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BM database" sheetId="1" r:id="rId3"/>
    <sheet state="visible" name="PBM indications by specialty" sheetId="2" r:id="rId4"/>
    <sheet state="visible" name="Photomedicine glossary" sheetId="3" r:id="rId5"/>
    <sheet state="visible" name="Research stats" sheetId="4" r:id="rId6"/>
    <sheet state="hidden" name="Ongoing PBM clinical trials" sheetId="5" r:id="rId7"/>
    <sheet state="visible" name="PBM in high-impact journals" sheetId="6" r:id="rId8"/>
    <sheet state="visible" name="PBM links" sheetId="7" r:id="rId9"/>
    <sheet state="visible" name="Team" sheetId="8" r:id="rId10"/>
    <sheet state="visible" name="Methods" sheetId="9" r:id="rId11"/>
  </sheets>
  <definedNames>
    <definedName hidden="1" localSheetId="0" name="_xlnm._FilterDatabase">'PBM database'!$B$2:$C$2</definedName>
  </definedNames>
  <calcPr/>
</workbook>
</file>

<file path=xl/sharedStrings.xml><?xml version="1.0" encoding="utf-8"?>
<sst xmlns="http://schemas.openxmlformats.org/spreadsheetml/2006/main" count="89623" uniqueCount="39252">
  <si>
    <t>Database compiled by Vladimir Heiskanen (Finland). Correspondence: valtsu.heiskanen@gmail.com</t>
  </si>
  <si>
    <t>Short link to this database: www.bitly.com/PBM-database</t>
  </si>
  <si>
    <t>★</t>
  </si>
  <si>
    <t>Category</t>
  </si>
  <si>
    <t>First author</t>
  </si>
  <si>
    <t>Country</t>
  </si>
  <si>
    <t>Year</t>
  </si>
  <si>
    <t>Journal</t>
  </si>
  <si>
    <t>Title</t>
  </si>
  <si>
    <t>Study type</t>
  </si>
  <si>
    <t>Notes</t>
  </si>
  <si>
    <r>
      <rPr>
        <rFont val="arial,sans,sans-serif"/>
        <b/>
        <sz val="9.0"/>
      </rPr>
      <t>λ</t>
    </r>
    <r>
      <rPr>
        <rFont val="arial,sans,sans-serif"/>
        <b/>
        <sz val="6.0"/>
      </rPr>
      <t xml:space="preserve">
nm</t>
    </r>
  </si>
  <si>
    <r>
      <rPr>
        <rFont val="arial,sans,sans-serif"/>
        <b/>
        <sz val="9.0"/>
      </rPr>
      <t>Φ</t>
    </r>
    <r>
      <rPr>
        <rFont val="arial,sans,sans-serif"/>
        <b/>
        <sz val="6.0"/>
      </rPr>
      <t xml:space="preserve">
mW</t>
    </r>
  </si>
  <si>
    <r>
      <rPr>
        <rFont val="arial,sans,sans-serif"/>
        <b/>
        <sz val="9.0"/>
      </rPr>
      <t xml:space="preserve">E
</t>
    </r>
    <r>
      <rPr>
        <rFont val="arial,sans,sans-serif"/>
        <b/>
        <sz val="6.0"/>
      </rPr>
      <t>W/cm2</t>
    </r>
  </si>
  <si>
    <r>
      <rPr>
        <rFont val="arial,sans,sans-serif"/>
        <b/>
        <sz val="9.0"/>
      </rPr>
      <t>Q</t>
    </r>
    <r>
      <rPr>
        <rFont val="arial,sans,sans-serif"/>
        <b/>
        <sz val="6.0"/>
      </rPr>
      <t xml:space="preserve">
J</t>
    </r>
  </si>
  <si>
    <r>
      <rPr>
        <rFont val="arial,sans,sans-serif"/>
        <b/>
        <sz val="9.0"/>
      </rPr>
      <t>H</t>
    </r>
    <r>
      <rPr>
        <rFont val="arial,sans,sans-serif"/>
        <b/>
        <sz val="6.0"/>
      </rPr>
      <t xml:space="preserve">
J/cm2</t>
    </r>
  </si>
  <si>
    <t>A</t>
  </si>
  <si>
    <r>
      <rPr>
        <rFont val="arial,sans,sans-serif"/>
        <b/>
        <sz val="9.0"/>
      </rPr>
      <t>t</t>
    </r>
    <r>
      <rPr>
        <rFont val="arial,sans,sans-serif"/>
        <b/>
        <sz val="6.0"/>
      </rPr>
      <t xml:space="preserve">
sec</t>
    </r>
  </si>
  <si>
    <r>
      <rPr>
        <rFont val="arial,sans,sans-serif"/>
        <b/>
        <sz val="9.0"/>
      </rPr>
      <t xml:space="preserve">N
</t>
    </r>
    <r>
      <rPr>
        <rFont val="arial,sans,sans-serif"/>
        <b/>
        <sz val="6.0"/>
      </rPr>
      <t>sessions</t>
    </r>
  </si>
  <si>
    <r>
      <rPr>
        <b/>
        <sz val="6.0"/>
      </rPr>
      <t xml:space="preserve">Results:  </t>
    </r>
    <r>
      <rPr>
        <b/>
        <color rgb="FF38761D"/>
        <sz val="6.0"/>
      </rPr>
      <t>positive</t>
    </r>
    <r>
      <rPr>
        <b/>
        <sz val="6.0"/>
      </rPr>
      <t xml:space="preserve"> </t>
    </r>
    <r>
      <rPr>
        <b/>
        <color rgb="FF38761D"/>
        <sz val="9.0"/>
      </rPr>
      <t xml:space="preserve">☺ </t>
    </r>
    <r>
      <rPr>
        <b/>
        <sz val="6.0"/>
      </rPr>
      <t xml:space="preserve">/ </t>
    </r>
    <r>
      <rPr>
        <b/>
        <color rgb="FFBF9000"/>
        <sz val="6.0"/>
      </rPr>
      <t xml:space="preserve">unclear/modest </t>
    </r>
    <r>
      <rPr>
        <b/>
        <color rgb="FFBF9000"/>
        <sz val="9.0"/>
      </rPr>
      <t>☺</t>
    </r>
    <r>
      <rPr>
        <b/>
        <color rgb="FFBF9000"/>
        <sz val="6.0"/>
      </rPr>
      <t xml:space="preserve"> </t>
    </r>
    <r>
      <rPr>
        <b/>
        <sz val="6.0"/>
      </rPr>
      <t xml:space="preserve">/ </t>
    </r>
    <r>
      <rPr>
        <b/>
        <color rgb="FF980000"/>
        <sz val="6.0"/>
      </rPr>
      <t>negative/null</t>
    </r>
    <r>
      <rPr>
        <b/>
        <sz val="6.0"/>
      </rPr>
      <t xml:space="preserve"> </t>
    </r>
    <r>
      <rPr>
        <b/>
        <color rgb="FF990000"/>
        <sz val="6.0"/>
      </rPr>
      <t xml:space="preserve">☹  </t>
    </r>
    <r>
      <rPr>
        <b/>
        <sz val="6.0"/>
      </rPr>
      <t xml:space="preserve">↑ ↓ →
</t>
    </r>
    <r>
      <rPr>
        <b/>
        <sz val="5.0"/>
      </rPr>
      <t>(conclusions)</t>
    </r>
  </si>
  <si>
    <t>Link</t>
  </si>
  <si>
    <r>
      <rPr>
        <b/>
        <sz val="8.0"/>
      </rPr>
      <t>Additional info ⚔🔵🟢🔴⚪🌈🔖📕🆘</t>
    </r>
    <r>
      <rPr>
        <b/>
        <color rgb="FF980000"/>
        <sz val="8.0"/>
      </rPr>
      <t>☹</t>
    </r>
    <r>
      <rPr>
        <b/>
        <sz val="8.0"/>
      </rPr>
      <t xml:space="preserve"> ⎯⎯⎯⎯⎯⎯⎯⎯⎯⎯ 💊🧪❗📚📊📈📖📰📄🎲👥⌛🧑♂♀🎚 ⚙️🌀🧬📷 ⌀</t>
    </r>
  </si>
  <si>
    <t>Comment</t>
  </si>
  <si>
    <t>Reply</t>
  </si>
  <si>
    <t>Additional info (2)</t>
  </si>
  <si>
    <t>Adipose tissue</t>
  </si>
  <si>
    <t>Adipocyte hypertrophy</t>
  </si>
  <si>
    <t>McColloch</t>
  </si>
  <si>
    <t>USA
(Arlington, TX)</t>
  </si>
  <si>
    <t>Transl Biophotonics</t>
  </si>
  <si>
    <t>Reversal of stem cell-derived hypertrophic adipocytes mediated by photobiomodulation (1064 nm)</t>
  </si>
  <si>
    <t>🧪 In vitro</t>
  </si>
  <si>
    <t>0.147</t>
  </si>
  <si>
    <t>2.65</t>
  </si>
  <si>
    <t>13.6
cm2
beam</t>
  </si>
  <si>
    <t>7
/ 7 days</t>
  </si>
  <si>
    <t>"Adipose-derived stem cells were induced to hypertrophy with the addition of palmitic acid (...)
PBM-treated hypertrophic cells (1064 nm and 17.6 J/cm2 every day for 7 days following addition of PA) decreased the lipid levels in hypertrophic adipocytes, restored the GLUT4 protein expression and enhanced glucose transport.
Taken together, PBM is shown capable of restoring the cellular morphology and function of hypertrophic cells. This could have important clinical implication for the development of laser-based potential therapeutic treatment of complications due to metabolic syndrome"</t>
  </si>
  <si>
    <t>Wiley</t>
  </si>
  <si>
    <t>📷</t>
  </si>
  <si>
    <t>Inflammation</t>
  </si>
  <si>
    <t>Yoshimura</t>
  </si>
  <si>
    <t>Brazil
(São Paulo)</t>
  </si>
  <si>
    <t>J Biophotonics</t>
  </si>
  <si>
    <t>Photobiomodulation reduces abdominal adipose tissue inflammatory infiltrate of diet-induced obese and hyperglycemic mice.</t>
  </si>
  <si>
    <t>🐁 Mouse</t>
  </si>
  <si>
    <t>LED phototherapy
Anti-inflammatory</t>
  </si>
  <si>
    <t>0.019</t>
  </si>
  <si>
    <t>5.7</t>
  </si>
  <si>
    <t>3.14
cm2</t>
  </si>
  <si>
    <t>"Non-irradiated control animals display inflammatory areas almost five times greater than the treated group (p &lt; 0.001). This result on inflammatory infiltrate may have caused impacts on the significant lower blood glucose level from irradiated animals (p = 0.04), twenty-four hours after the last irradiation session."</t>
  </si>
  <si>
    <t>Fat graft</t>
  </si>
  <si>
    <t>Sert</t>
  </si>
  <si>
    <t>Turkey
(Ankara)</t>
  </si>
  <si>
    <t>Lasers Surg Med</t>
  </si>
  <si>
    <t>Photobiomodulation with polychromatic light (600-1200 nm) improves fat graft survival by increasing adipocyte viability, neovascularization, and reducing inflammation in a rat model</t>
  </si>
  <si>
    <t>🐀 Rat</t>
  </si>
  <si>
    <t>Polychromatic light 🌈</t>
  </si>
  <si>
    <t>600-
1200</t>
  </si>
  <si>
    <t>-</t>
  </si>
  <si>
    <t>31.2</t>
  </si>
  <si>
    <t>"Intergroup comparison revealed that fat graft retention regarding weight and volume, was significantly superior in Group IV (p = 0.049 and p = 0.043, respectively), which polychromatic light was applied both before and after transfer of the graft. Hematoxylin-eosin and Masson's trichrome stained sections showed absence of necrosis, fibrosis, inflammation, cyst formation, and increased vascularization of both inner and outer zones of the grafts in Group IV."
"Application of PBM to the recipient site before and after fat transfer improved outcomes in rats at 56 day after fat grafting by means of volume retention, increased neovascularization and adipocyte viability and reduced necrosis, fibrosis and inflammation."</t>
  </si>
  <si>
    <t>PubMed</t>
  </si>
  <si>
    <t>🔖</t>
  </si>
  <si>
    <t>Free fatty acids (FFA)</t>
  </si>
  <si>
    <t>Gong</t>
  </si>
  <si>
    <t>China
(Guangzhou)</t>
  </si>
  <si>
    <t>Cell Signal</t>
  </si>
  <si>
    <t>Photobiomodulation therapy decreases free fatty acid generation and release in adipocytes to ameliorate insulin resistance in type 2 diabetes.</t>
  </si>
  <si>
    <t>HFD mice
Diabetic mice
Insulin-resistant 3T3-L1 adipocytes and WAT</t>
  </si>
  <si>
    <t>0.072</t>
  </si>
  <si>
    <t>8</t>
  </si>
  <si>
    <t>daily
for
10
weeks</t>
  </si>
  <si>
    <t xml:space="preserve">"The current results indicated that PBMT inhibited FFA generation and release in insulin-resistant adipocytes and reduced plasma FFA levels in diabetic db/db mice and HFD-fed mice. Therefore, PBMT might ameliorate whole-body insulin resistance in diabetic mice. 
GTT analysis indicated that glucose tolerance was markedly enhanced in db/db mice after PBMT (Fig. 5D, E). Meanwhile, insulin sensitivity was also elevated in laser-treated db/db mice (Fig. 5F, G). In HFD-fed mice, glucose tolerance and insulin sensitivity were also improved after PBMT (Fig. 5H–K). These results indicate that PBMT could improve whole-body insulin resistance in diabetic mice"
"PBMT promoted mitochondrial reactive oxygen species (ROS) generation, which inhibited phosphatase and tensin homologue (PTEN) and promoted protein kinase B (AKT) activation. Photoactivation of AKT inhibited the transcriptional activity of Forkhead box transcription factor O1 (FoxO1), reducing expression of lipolytic enzymes and FFA generation and release. Eliminating ROS elimination or inhibiting AKT blocked the effects of the laser therapy in vivo and in vitro."
"Taken together, PBMT suppresses FFA generation and release in insulin-resistant adipocytes, contributing to improvement of insulin resistance in mouse models of type 2 diabetes."
</t>
  </si>
  <si>
    <t>Gene expression</t>
  </si>
  <si>
    <t>Mafra</t>
  </si>
  <si>
    <t>Brazil
(Mogi das Cruzes)</t>
  </si>
  <si>
    <t>2019
epub</t>
  </si>
  <si>
    <t>Photobiomodul Photomed Laser Surg</t>
  </si>
  <si>
    <t>904 nm Low-Level Laser Irradiation Decreases Expression of Catabolism-Related Genes in White Adipose Tissue of Wistar Rats: Possible Roles of Laser on Metabolism.</t>
  </si>
  <si>
    <t>Cholesterol levels
Triglyceride levels</t>
  </si>
  <si>
    <t>0.120</t>
  </si>
  <si>
    <t>9
/leg</t>
  </si>
  <si>
    <t>6</t>
  </si>
  <si>
    <t>0.5
cm2
spot</t>
  </si>
  <si>
    <t>50
/leg</t>
  </si>
  <si>
    <t>20
/ 4 weeks</t>
  </si>
  <si>
    <t>"We demonstrated that the low-level laser irradiation was able to increase the feed intake of the animals and the relative mass of the adipose tissue in the CTL (L) group compared with CTL.
Laser treatment also increases serum triglycerides [CTL = 46.99 ± 5.87; CTL (L) = 57.46 ± 14.38; CAF = 43.98 ± 5.17; and CAF (L) = 56.9 ± 6.12; p = 0.007] and total cholesterol (CTL = 70.62 ± 6.80; CTL (L) = 79.41 ± 13.07; CAF = 71.01 ± 5.52; and CAF (L) = 79.23 ± 6.881; p = 0.003)."
"Laser PBM decreased gene expression of the studied genes in the adipose tissue, indicating that PBM is able to block the catabolic responses of this tissue. Interestingly, the CAF (L) and CAF animals presented the same CLT (L) phenotype, however, without increasing the feed intake and the relative weight of the adipose tissue. The description of these phenomena opens a new perspective for the study of the action of low-level laser in adipose tissue."
Comment: It seems the authors may misunderstand dose parameters since they assume fluence of different sites can be summed (eg. they claim irradiation of 3 points at 6 J/cm2 would equal 18 J/cm2).</t>
  </si>
  <si>
    <t>Insulin signalling</t>
  </si>
  <si>
    <t>Silva</t>
  </si>
  <si>
    <t>Brazil
(Diamantina)</t>
  </si>
  <si>
    <t>2017
epub</t>
  </si>
  <si>
    <t>Lasers Med Sci</t>
  </si>
  <si>
    <t>Infrared photobiomodulation (PBM) therapy improves glucose metabolism and intracellular insulin pathway in adipose tissue of high-fat fed mice.</t>
  </si>
  <si>
    <t>0.250</t>
  </si>
  <si>
    <t>2
(0.4
/p)</t>
  </si>
  <si>
    <t>10</t>
  </si>
  <si>
    <t>0.04
cm2
spot</t>
  </si>
  <si>
    <t>200
(5p)</t>
  </si>
  <si>
    <t>"PBM therapy improved glucose tolerance and phosphorylation of Akt (Ser473) and reversed the HFD-induced reduction of GLUT4 content and phosphorylation of AS160 (Ser588). Also, PBM therapy reversed the increased area of epididymal and mesenteric adipocytes.
"The total serum cholesterol was not affected by diet (diet main effect p = 0.39), but there was a PBM main effect (p = 0.047). Post hoc revealed that PBM reduced total serum cholesterol (p = 0.043), regardless of diet treatment (Fig. 3b)."
"In the present study, PBM therapy did not alter HFD-induced increase in fasting hyperglycemia, hyperinsulinemia, and insulin resistance, as assessed by HOMA-IR. On the other hand, PBM therapy improved glucose intolerance in HFD-fed mice."
"Also, PBM therapy reversed the increased area of epididymal and mesenteric adipocytes."
The results showed that chronic PBM therapy improved parameters related to obesity and insulin resistance in HFD-induced obesity in mice."</t>
  </si>
  <si>
    <t>Lipase activity</t>
  </si>
  <si>
    <t>Laser Photobiomodulation 904 nm Promotes Inhibition of Hormone-Sensitive Lipase Activity in 3T3-L1 Adipocytes Differentiated Cells.</t>
  </si>
  <si>
    <t>3T3-L1 cells</t>
  </si>
  <si>
    <t>0.8</t>
  </si>
  <si>
    <t>1
2
3</t>
  </si>
  <si>
    <t>14.2
28.5
42.8</t>
  </si>
  <si>
    <t>0.07
cm2
spot</t>
  </si>
  <si>
    <t>17
33
50</t>
  </si>
  <si>
    <t>"The response of laser photobiomodulation was able to trigger an inhibition of HSL activity"</t>
  </si>
  <si>
    <t>Lipolytic activity</t>
  </si>
  <si>
    <t>Martins</t>
  </si>
  <si>
    <t>Brazil
(Canoas)</t>
  </si>
  <si>
    <t>Evaluation of lipolysis and toxicological parameters of low-level laser therapy at different wavelengths and doses in the abdominal subcutaneous tissue</t>
  </si>
  <si>
    <t>660
808</t>
  </si>
  <si>
    <t>"Except for the IR3.3 group, all treated groups reduced the body weight (p &lt; 0.001). The R5 group reduced the abdominal subcutaneous tissue weight and thickness (p &lt; 0.05), even though all treated groups reduced the number of adipocytes and its size (p &lt; 0.001). No histological changes in the liver. There were no alterations in the triglycerides and LDL levels. The IR5 group increased the total cholesterol levels and decreased the HDL, ALT (both p &lt; 0.05), and AST levels (p &lt; 0.001). The group IR3.3 showed higher levels of ALP (p &lt; 0.01). The R3.3 group increased the TBARS and CAT activity (p &lt; 0.05). No mutagenic effects were found. The red laser treatment at 5 J/cm2 led to lipolysis and did not alter the liver's parameters."</t>
  </si>
  <si>
    <t>Barbosa</t>
  </si>
  <si>
    <t>Portugal
(Porto)</t>
  </si>
  <si>
    <t>J Cosmet Dermatol</t>
  </si>
  <si>
    <t>Effect of one session of aerobic exercise associated with abdominal laser therapy in lipolytic activity, lipid profile, and inflammatory markers</t>
  </si>
  <si>
    <t>🧑 Human
🎲 Randomized trial
👥 36 participants
⌛ single session</t>
  </si>
  <si>
    <t>"It is concluded that one session of aerobic exercise associated with LLLT and one session of aerobic exercise appears to be able to increase the lipolytic activity. However, it appears that LLLT does not provide increased value to the aerobic physical exercise by itself in lipolysis process."</t>
  </si>
  <si>
    <t>Lipoplasty</t>
  </si>
  <si>
    <t>Neira</t>
  </si>
  <si>
    <t>Colombia
(Cali)</t>
  </si>
  <si>
    <t>Clin Plast Surg</t>
  </si>
  <si>
    <t>Low-level laser-assisted liposuction: the Neira 4 L technique</t>
  </si>
  <si>
    <t>📖 Review</t>
  </si>
  <si>
    <t>"LLLL has been performed successfully in in-vitro and human adipose tissue cultures. It protects the patient from the surgical trauma of liposuction by protecting and preparing tissues for the surgical trauma; modulating the inflammatory response to prevent short and long-term side effects of surgery; and improving the quality and quantity of the healing process by accelerating recovery time, modulating secondary cicatrization, and preventing postoperative neuralgias."</t>
  </si>
  <si>
    <t>Brown</t>
  </si>
  <si>
    <t>USA
(Dallas, TX)</t>
  </si>
  <si>
    <t>Plast Reconstr Surg</t>
  </si>
  <si>
    <t>Effect of low-level laser therapy on abdominal adipocytes before lipoplasty procedures.</t>
  </si>
  <si>
    <t>🧑 Human
📄 Single-arm study
👥 3 participants
+ 🐖 Pig
+ 🧪 In vitro</t>
  </si>
  <si>
    <t>10
(?)</t>
  </si>
  <si>
    <t>14.4
?</t>
  </si>
  <si>
    <t>"Recently, low-level laser therapy was reported to "liquefy" or release stored fat in adipocytes by the opening of specialized yet not identified cell membrane-associated pores after a brief treatment."
"No histologic tissue changes or specifically in adipocyte structure were observed at any depth with the longest low-level laser therapy (60 minutes with superwet fluid)."
"These data do not support the belief that low-level laser therapy treatment before lipoplasty procedures disrupts tissue adipocyte structure."</t>
  </si>
  <si>
    <t>Neira &amp; Ortiz-Neira</t>
  </si>
  <si>
    <t>Aesthet Surg J</t>
  </si>
  <si>
    <t>Low-level laser-assisted liposculpture: clinical report of 700 cases.</t>
  </si>
  <si>
    <t>🧑 Human
📄 Retrospective study
👥 700 cases</t>
  </si>
  <si>
    <t>"Excellent aesthetic results, including an improved silhouette contour, smooth abdominal surface, and good skin retraction, were obtained in 95% of cases. Postoperative recovery was rapid, and complications were minimal."</t>
  </si>
  <si>
    <t>Fat liquefaction: effect of low-level laser energy on adipose tissue.</t>
  </si>
  <si>
    <t>Human adipose tissue samples</t>
  </si>
  <si>
    <t>1.2
2.4
3.6</t>
  </si>
  <si>
    <t>(120)
240
360</t>
  </si>
  <si>
    <t>"The low-level laser energy affected the adipose cell by causing a transitory pore in the cell membrane to open, which permitted the fat content to go from inside to outside the cell. The cells in the interstitial space and the capillaries remained intact. Low-level laser-assisted lipoplasty has a significant impact on the procedural implementation of lipoplasty techniques."
Comment: These results were unsupported by Brown et al. paper published in 2004.</t>
  </si>
  <si>
    <t>Liposuction complications</t>
  </si>
  <si>
    <t>Boaro</t>
  </si>
  <si>
    <t>J Lasers Med Sci</t>
  </si>
  <si>
    <t>Photobiomodulation Therapy as an Adjuvant Treatment of Cervicofacial Liposuction Complications</t>
  </si>
  <si>
    <t>🧑 Human
📄 Case series 
👥 2 cases
⌛ single treatment -&gt; 3-day follow-up</t>
  </si>
  <si>
    <t>60
(30 points)</t>
  </si>
  <si>
    <t>0.028
cm2
spot
size</t>
  </si>
  <si>
    <t>"In the current cases reported, PBMT resulted in an important clinical improvement in the patient’s quality of life in less than three days. To the best of the authors’ knowledge, this is the first case of the benefits of this phototherapeutic approach to cervicofacial liposuction complications."
Comment: The case reports are somewhat inadequately described.</t>
  </si>
  <si>
    <t>Mitochondrial function</t>
  </si>
  <si>
    <t>Modena</t>
  </si>
  <si>
    <t>Photobiomodulation therapy with light-emitting diode in stimulating adipose tissue mitochondria</t>
  </si>
  <si>
    <t>🧑 Human
📄 Non-randomized study, self-controlled
👥 8 participants
⌛ ~4-week treatment</t>
  </si>
  <si>
    <t>LED phototherapy</t>
  </si>
  <si>
    <t>630+
850</t>
  </si>
  <si>
    <t>3900+
3150
(????)</t>
  </si>
  <si>
    <t>0.034+
0.039</t>
  </si>
  <si>
    <t>2.398+
292.5
(4 points)
(????)</t>
  </si>
  <si>
    <t>6+
4</t>
  </si>
  <si>
    <t>80 cm2 spot size
+
400 cm2 applied area</t>
  </si>
  <si>
    <t>123+
45
per point (4 points)</t>
  </si>
  <si>
    <t>7
(2 per week)</t>
  </si>
  <si>
    <t>"A non-randomized clinical trial was conducted using a split abdomen design in obese women who received red and infrared LED photobiomodulation therapy (PBMT). The patients underwent bariatric surgery, and adipose tissue samples were collected for immunohistochemical analysis with primary mitochondrial antibodies. 
Adipose tissue samples subjected to LED intervention exhibited positivity in mitochondrial antibodies for cAMP, DRP1, FAS, FIS1, MFN2, and OPA1 (p&lt;0.001) compared to the control group. 
In conclusion, we observed that PBMT was capable of generating mitochondrial stimulation in adipose tissue cells, as evidenced by the positive antibody signals. This finding suggests that mitochondrial stimulation could be the mechanism and action underlying adipose tissue lipolysis and apoptosis."
Comment: The parameters reported seem somewhat contradictory.</t>
  </si>
  <si>
    <t>Device: "Antares® (IBRAMED – Amparo - Brazil)"</t>
  </si>
  <si>
    <t>Subcutaneous adipose tissue</t>
  </si>
  <si>
    <t>J Cosmet Laser Ther</t>
  </si>
  <si>
    <t>Effects of LED photobiomodulation therapy on the subcutaneous fatty tissue of obese individuals - histological and immunohistochemical analysis</t>
  </si>
  <si>
    <t>🧑 Human
📄 Non-randomized study, self-controlled
👥 (?)
⌛ (?)</t>
  </si>
  <si>
    <t/>
  </si>
  <si>
    <t>"PBMT and LED associating red and infrared wavelengths were able to promote autophagic lipolysis induced by adipocyte cell apoptosis in the subcutaneous tissue of obese individuals."</t>
  </si>
  <si>
    <t>📕</t>
  </si>
  <si>
    <t>Tanaka</t>
  </si>
  <si>
    <t>Japan
(Nagano)</t>
  </si>
  <si>
    <t>Eplasty</t>
  </si>
  <si>
    <t>Near-Infrared Irradiation Non-thermally Affects Subcutaneous Adipocytes and Bones.</t>
  </si>
  <si>
    <t>1100-
1800
without
1400-
1500</t>
  </si>
  <si>
    <t>"The central back tissues of rats were irradiated with a specialized near-infrared device that simulates solar radiation. The total energy emitted was equivalent to approximately 8.75 hours of sunbathing in North America."
"Near-infrared irradiation that simulated solar radiation non-thermally affected subcutaneous adipocytes and bones in rats. It induced putative, non-thermal damage of bone marrow, which was mediated by apoptosis. However, it increased subcutaneous and bone marrow adipocytes, CD34-positive hematopoietic stem cells in bone marrow, and cortical bone mass."</t>
  </si>
  <si>
    <t>☹</t>
  </si>
  <si>
    <t>Medrado</t>
  </si>
  <si>
    <t>Brazil
(Salvador, Bahia)</t>
  </si>
  <si>
    <t>Action of low-level laser therapy on living fatty tissue of rats.</t>
  </si>
  <si>
    <t>4
8
12
16</t>
  </si>
  <si>
    <t>31
62
124
248</t>
  </si>
  <si>
    <t>"Low-level laser rays cause brown adipose fat droplets to coalesce and fuse. Additionally, they stimulated proliferation and congestion of capillaries in the extracellular matrix."
Comment: Parameters were poorly reported: spot area (cm2) and radiant energy (J) were not mentioned.</t>
  </si>
  <si>
    <t>Aging</t>
  </si>
  <si>
    <t>Aging-related changes</t>
  </si>
  <si>
    <t>Monteiro</t>
  </si>
  <si>
    <t>Biomedicines</t>
  </si>
  <si>
    <t>Effects of Short-, Medium-, and Long-Term Treatment Using Photobiomodulation Therapy Combined with Static Magnetic Field in Aging Rats</t>
  </si>
  <si>
    <t>PBM safety / safety of PBM
PBM + static magnetic field</t>
  </si>
  <si>
    <t>640+
875+
905</t>
  </si>
  <si>
    <t>1
3
10
30</t>
  </si>
  <si>
    <t>"PBMT-sMF did not have detrimental effects on the skin, muscle, bone, kidney, or liver after short-, medium-, and long-term treatments in aging rats. In addition, PBMT-sMF may have protective effects on the muscle tissue in aging rats after short- and long-term treatment."</t>
  </si>
  <si>
    <t>Editorials</t>
  </si>
  <si>
    <t>Mitrofanis &amp; Jeffery</t>
  </si>
  <si>
    <t>Australia &amp; UK</t>
  </si>
  <si>
    <t>Aging (Albany NY)</t>
  </si>
  <si>
    <t>Does photobiomodulation influence ageing?</t>
  </si>
  <si>
    <t>📰 Editorial</t>
  </si>
  <si>
    <t>"In conclusion, photobiomodulation has been shown to alter the course of ageing in the central nervous system, by improving the survival and function of neurons and reducing gliosis and inflammation. These results in the laboratory are ripe for translation to the clinic, to determine whether this treatment effectively slows ageing in humans. Some of the key advantages of photobiomodulation therapy relate to its economy and safety, as it can be delivered with commercially available light emitting devices at energies well within the human safety range. Moreover, a major strength of this therapy is that it can offer a potential clinical application where there is little alternative available."</t>
  </si>
  <si>
    <t>Lifespan</t>
  </si>
  <si>
    <t>Deng</t>
  </si>
  <si>
    <t>Taiwan
(Taipei)</t>
  </si>
  <si>
    <t>J Photochem Photobiol B</t>
  </si>
  <si>
    <t>Organic light-emitting diode therapy promotes longevity through the upregulation of SIRT1 in senescence-accelerated mouse prone 8 mice</t>
  </si>
  <si>
    <t>🐁 Mouse
+ 🧪 In vitro</t>
  </si>
  <si>
    <t>Osteoporosis
LED phototherapy (OLED)</t>
  </si>
  <si>
    <t>0.020</t>
  </si>
  <si>
    <t>6.07</t>
  </si>
  <si>
    <t>1/week</t>
  </si>
  <si>
    <t>"Our findings indicated that the survival rates of 10-month aging senescence-accelerated mouse prone 8 mice were prolonged and that their gross appearance improved markedly after OLED treatment. Histological analysis of skin and brain tissue also indicated significantly greater collagen fibers density, which prevents ocular abnormalities and β-amyloid accumulation. Lordokyphosis and bone characteristics were observed to resemble those of younger mice after OLED treatment."
"Skeletal X-ray analysis of Aged/OLED-treated mice revealed a reduction of the mean spine angle from 104.5 ± 0.7° to 95.5 ± 7.3° (n = 4) in Aged group mice ( Fig. 3 A). Furthermore, micro-computed tomography of the femur bone ( Fig. 3 B and C) indicated that bone mass density and trabecular bone number were significantly increased ( Fig. 3 D and Fig. 3 E). The ratio of bone volume to trabecular bone volume (BV/TV%) also increased after 4 months of OLED therapy ( Fig. 3 F). Taken together, these results indicate that OLED therapy inhibits bone degradation in SAMP8 mice to delay the aging."
"OLED treatment significantly increased the cell proliferation, colony formation, and migration abilities of stem cells. SA-β-gal activity was significantly decreased in both ADSCs and BMSCs in the OLED-treated group. Gene expression biomarkers from treated mice indicated a significant upregulation of IGF-1 (insulin growthfactor-1). The upregulation of the SIRT1 gene inhibited the p16 and p19 genes then to downregulate the p53 expressions for regeneration of stem cells in the OLED-treated group."</t>
  </si>
  <si>
    <t>Bibliometric research</t>
  </si>
  <si>
    <t>Liu</t>
  </si>
  <si>
    <t>China
(Nanjing)</t>
  </si>
  <si>
    <t>Bibliometric Analysis to Global Research Status Quo on Photobiomodulation</t>
  </si>
  <si>
    <t>Bibliometric analysis</t>
  </si>
  <si>
    <t>"Background: Photobiomodulation (PBM) becomes a remedial technology with growing popularity. The primary goal of this article is to conduct a PBM literature review, providing an overall systematic understanding of current and future trends. 
Methods: A dataset was made with topic retrieval, concerning PBM research retrieved from the Web of Science Core Collection. We analyzed to forecast research frontiers in this field using the softwares: VOSviewer, CiteSpace, and Biblioshiny. 
Results: Four thousand five hundred thirty pieces of literature were retrieved from our database. Current trends were characterized by keywords of "light," "spinal cord injury," "skeletal muscle," and so on. Future trends were characterized probably by six cutting-edge terms: "wound healing," "pain," "oral mucositis," "Alzheimer's disease," "Parkinson's disease," and "orthodontics." 
Conclusions: This study finds that the inadequacy of in-depth reliable interpretation of current clinical data calls for molecular biological mechanisms together with well-designed, large-sample, multicenter clinical trials. The study of oral, wound, and neural-related mechanisms and the exploration of therapeutic effects may be the popular trend at present and in the next few years"</t>
  </si>
  <si>
    <t>Bone</t>
  </si>
  <si>
    <t>Angiogenesis for bioactive materials</t>
  </si>
  <si>
    <t>Huang</t>
  </si>
  <si>
    <t>China
(Beijing)</t>
  </si>
  <si>
    <t>Biomed Mater</t>
  </si>
  <si>
    <t>The additive effects of photobiomodulation and bioactive glasses on enhancing early angiogenesis</t>
  </si>
  <si>
    <t>"In conclusion, with the optimum PBM fluence and BG concentration, PBM combined with BG exerted additive effects on enhancing early angiogenesis."</t>
  </si>
  <si>
    <t>Bone and stromal cells</t>
  </si>
  <si>
    <t>Parenti</t>
  </si>
  <si>
    <t>Italy
(Bologna)</t>
  </si>
  <si>
    <t>Arch Biochem Biophys</t>
  </si>
  <si>
    <t>Evidence from systematic reviews on photobiomodulation of human bone and stromal cells: Where do we stand?</t>
  </si>
  <si>
    <t xml:space="preserve">📚 Systematic review (🧪 In vitro) </t>
  </si>
  <si>
    <t>"Six reviews using explicit eligibility criteria and methods selected in order to minimize bias were included.
There was no compelling evidence on the cellular mechanisms of action or treatment parameters of photobiomodulation; compliance with quality assessment was poor.
A rigorous description of laser parameters (wavelength, power, beam spot size, power density, energy density, repetition rate, pulse duration or duty cycle, exposure duration, frequency of treatments, and total radiant energy), exposure conditions (methods to ensure a uniform irradiation and to avoid cross-irradiation, laser-cell culture surface distance, lid presence during irradiation) and cell-related characteristics (cell type or line, isolation and culture conditions, donor-related factors where applicable, tissue source, cell phenotype, cell density, number of cell passages in culture) should be included among eligibility criteria for study inclusion.
These methodological improvements will maximize the contribution of in vitro studies on the effects of photobiomodulation on human bone and stromal cells to evidence-based translational research."
"PBM is a highly promising strategy, but its effectiveness on the proliferation and differentiation of bone and stromal cells is still controversial and even SRs disagree in their conclusions. A high degree of heterogeneity was observed between the primary studies being combined in SRs together with the absence of quantitative analyses; these aspects make it impossible to conduct a meta-analysis. Compliance with the quality assessment of the currently available SRs is poor, with no compelling evidence on the cellular mechanisms of action or treatment parameters of PBM for clinical practice. Above all, SRs do not evaluate and take into account the quality of the primary studies when interpreting the results. These limitations make it difficult to provide strong evidence of the biostimulatory effect on different bone and stromal cells used in in vitro studies. "</t>
  </si>
  <si>
    <t>Bone grafts</t>
  </si>
  <si>
    <t>Varela</t>
  </si>
  <si>
    <t>Brazil
(Campinas)</t>
  </si>
  <si>
    <t>Can Collagen Membrane on Bone Graft Interfere with Light Transmission and Influence Tissue Neoformation During Photobiomodulation? A Preliminary Study</t>
  </si>
  <si>
    <t>"The membrane reduced the light transmittance (808 nm) by an average of 78%. Histomophometric analyses showed significant differences in new blood vessels on day 7 and bone neoformation on day 14. Irradiation without membrane interposition resulted in a 15% more neoformed bone compared with the control (G1), and 6.5% more bone compared with irradiation over the membrane (G2)."
"The collagen membrane interferes with light penetration during photobiomodulation, decreases light dosimetry on the wound area, and interferes with bone neoformation."</t>
  </si>
  <si>
    <t>de Oliveira Gonçalves</t>
  </si>
  <si>
    <t>Brazil
(Bauru)</t>
  </si>
  <si>
    <t>Effects of low-level laser therapy on autogenous bone graft stabilized with a new heterologous fibrin sealant.</t>
  </si>
  <si>
    <t>0.2586</t>
  </si>
  <si>
    <t>2.9
(4p)</t>
  </si>
  <si>
    <t>0.116
cm2</t>
  </si>
  <si>
    <t>96
(4p)</t>
  </si>
  <si>
    <t>18
(?)</t>
  </si>
  <si>
    <t>"In conclusion, low-level laser therapy stimulated bone regeneration and accelerated the process of integration of autogenous bone grafts."</t>
  </si>
  <si>
    <t>Valiati</t>
  </si>
  <si>
    <t>Brazil
(Lages)</t>
  </si>
  <si>
    <t>Int J Med Sci</t>
  </si>
  <si>
    <t>Effect of low-level laser therapy on incorporation of block allografts.</t>
  </si>
  <si>
    <t>🐇 Rabbit</t>
  </si>
  <si>
    <t>4</t>
  </si>
  <si>
    <t>"Deep-freeze-processed block allografts followed by LLLT showed incorporation at the graft-host interface, moderate bone remodeling, partial filling of osteocyte lacunae, less inflammatory infiltrate in the early postoperative period, and higher collagen deposition than the control group."</t>
  </si>
  <si>
    <t>Bone marrow</t>
  </si>
  <si>
    <t>Pyczek</t>
  </si>
  <si>
    <t>Poland
(Kraków)</t>
  </si>
  <si>
    <t>Folia Biol (Krakow)</t>
  </si>
  <si>
    <t>Effect of low-energy laser power on the bone marrow of the rat.</t>
  </si>
  <si>
    <t>"These indicated that AsGa laser light induced a decrease in bone marrow mastocytes and peripheral blood basophils with an increase in the number of eosinophils. An increase in mitotic activity in the bone marrow was observed in the exposed groups of animals. No significant changes in Hb, Ht, erythrocyte or reticulocyte levels in the peripheral blood were noted, nor was there an increase in megakaryocyte emperipolesis."</t>
  </si>
  <si>
    <t>Bone metabolism</t>
  </si>
  <si>
    <t>Bomfim</t>
  </si>
  <si>
    <t>Acta Cir Bras.</t>
  </si>
  <si>
    <t>Influence of low-level laser irradiation on osteocalcin protein and gene expression in bone tissue1.</t>
  </si>
  <si>
    <t>Ostectomy</t>
  </si>
  <si>
    <t>0.2</t>
  </si>
  <si>
    <t>1.25
/p</t>
  </si>
  <si>
    <t>2</t>
  </si>
  <si>
    <t>0.02
mm2</t>
  </si>
  <si>
    <t>5
/p</t>
  </si>
  <si>
    <t>"Immunocytochemistry scores showed no significant differences between control and laser groups either in vivo and in vitro. Gene expression also showed no statistical differences."
"Low-level laser irradiation did not alter osteocalcin protein and gene expression in vivo and in vitro in the studied period but it may have been expressed them in an earlier period."</t>
  </si>
  <si>
    <t>Patrocínio-Silva</t>
  </si>
  <si>
    <t>Brazil
(São Carlos)</t>
  </si>
  <si>
    <t>Arch Endocrinol Metab</t>
  </si>
  <si>
    <t>Low-level laser therapy associated to a resistance training protocol on bone tissue in diabetic rats.</t>
  </si>
  <si>
    <t>Diabetic rats
Exercise+LLLT on bone tissue
Bone density (mineral density)</t>
  </si>
  <si>
    <t>3.57</t>
  </si>
  <si>
    <t>120</t>
  </si>
  <si>
    <t>0.028
cm2</t>
  </si>
  <si>
    <t>"In conclusion, it can be suggested that the resistance exercise program stimulated bone metabolism, culminating in increased cortical tibial area, bone mineral content, bone mineral density and biomechanical properties. Furthermore, the association of physical exercises and LLLT produced higher values for bone mineral content and stiffness."
Star: Parameters were well reported.</t>
  </si>
  <si>
    <t>Gordjestani</t>
  </si>
  <si>
    <t>Belgium
(Ghent)</t>
  </si>
  <si>
    <t>Int J Oral Maxillofac Surg</t>
  </si>
  <si>
    <t>Infrared laser and bone metabolism: a pilot study.</t>
  </si>
  <si>
    <t>0.0333</t>
  </si>
  <si>
    <t>20</t>
  </si>
  <si>
    <t>56,
in
28
days</t>
  </si>
  <si>
    <t>"A circular defect in each parietal bone of six Wislander rats was created. The animals were divided into two three-unit subgroups. The experimental group received infrared laser radiation on the left defect. The control group was sham irradiated. After 28 days, the bone metabolism was evaluated by technetium-99m methylene diphosphonate scintigraphy. The obtained results revealed no differences in bone metabolic activity between the laser-treated and the control defects."</t>
  </si>
  <si>
    <t>Luger</t>
  </si>
  <si>
    <t>Israel
(Tel Aviv)</t>
  </si>
  <si>
    <t>Laser Ther</t>
  </si>
  <si>
    <t>The effect of low level laser irradiation on bone cell culture</t>
  </si>
  <si>
    <t>Wavelength comparison</t>
  </si>
  <si>
    <t>633
635
650
670
780
830</t>
  </si>
  <si>
    <t>"A significant increase in DNA synthesis was observed at the wavelengths of 632.8, 635 and 830 nm, depending on the energy density level. A decrease was found at 780 nm. These findings suggest a possible therapeutic use of LLLI in the process of bone repair."</t>
  </si>
  <si>
    <t>Bone growth</t>
  </si>
  <si>
    <t>Yeom</t>
  </si>
  <si>
    <t>Korea
(Seoul)</t>
  </si>
  <si>
    <t>Evid Based Complement Alternat Med</t>
  </si>
  <si>
    <t>Effects of laser acupuncture on longitudinal bone growth in adolescent rats.</t>
  </si>
  <si>
    <t>635-
680</t>
  </si>
  <si>
    <t>1.2
(?)</t>
  </si>
  <si>
    <t>120
(4p)</t>
  </si>
  <si>
    <t>"In conclusion, LA promotes longitudinal bone growth in adolescent rats, suggesting that laser acupuncture may be a promising intervention for improving the growth potential for children and adolescents."</t>
  </si>
  <si>
    <t>Bone repair</t>
  </si>
  <si>
    <t>Aguilar</t>
  </si>
  <si>
    <t>Brazil
(Araraquara)</t>
  </si>
  <si>
    <t>Acta Cir Bras</t>
  </si>
  <si>
    <t>Influence of zoledronic acid and low-intensity laser on collagen fibers during the bone repair process</t>
  </si>
  <si>
    <t>"LLLT associated with ZA is effective in stimulating the neoformation of collagen fibers. The LLLT group without the association with ZA showed a greater amount of immature and less organized matrix over a period of 28 days."</t>
  </si>
  <si>
    <t>Lu</t>
  </si>
  <si>
    <t>China
(Wuhan)</t>
  </si>
  <si>
    <t>Prog Biophys Mol Biol</t>
  </si>
  <si>
    <t>The role of photobiomodulation in accelerating bone repair</t>
  </si>
  <si>
    <t>"Bone repair is faced with obstacles such as slow repair rates and limited bone regeneration capacity. Delayed healing even nonunion could occur in bone defects, influencing the life quality of patients severely. Photobiomodulation (PBM) utilizes different light sources to derive beneficial therapeutic effects with the advantage of being non-invasive and painless, providing a promising strategy for accelerating bone repair. 
In this review, we summarize the parameters, mechanisms, and effects of PBM regulating bone repair, and further conclude the current clinical application of PBM devices in bone repair. The wavelength of 635-980 nm, the output power of 40-100 mW, and the energy density of less than 100 J/cm2 are the most commonly used parameters. New technologies, including needle systems and biocompatible and implantable optical fibers, offer references to realize an efficient and safe strategy for bone repair. Further research is required to establish the reliability of outcomes from in vivo and in vitro studies and to standardize clinical trial protocols."</t>
  </si>
  <si>
    <t>Vigliar</t>
  </si>
  <si>
    <t>Bioengineering (Basel)</t>
  </si>
  <si>
    <t>Photobiomodulation Therapy Improves Repair of Bone Defects Filled by Inorganic Bone Matrix and Fibrin Heterologous Biopolymer</t>
  </si>
  <si>
    <t>Groups:
(1) PBM
(2) fibrin biopolymer
(3) both</t>
  </si>
  <si>
    <t>"In the histomorphometric analysis, the percentage of neoformed bone tissue in G3 (28.4% ± 2.3%) was higher in relation to G1 (24.1% ± 2.91%) and G2 (22.2% ± 3.11%) at 14 days and at 42 days, the percentage in G3 (35.1% ± 2.55%) was also higher in relation to G1 (30.1% ± 2.9%) and G2 (31.8% ± 3.12%). In the analysis of the birefringence of collagen fibers, G3 showed a predominance of birefringence between greenish-yellow in the neoformed bone tissue after 42 days, differing from the other groups with a greater presence of red-orange fibers."
Comment: No negative control group</t>
  </si>
  <si>
    <t>Mohebbi</t>
  </si>
  <si>
    <t>Iran
(Tehran)</t>
  </si>
  <si>
    <t>MicroRNA-26 and Related Osteogenic Target Genes Could Play Pivotal Roles in Photobiomodulation and Adipose-Derived Stem Cells-Based Healing of Critical Size Foot Defects in the Rat Model</t>
  </si>
  <si>
    <t>1.2</t>
  </si>
  <si>
    <t>"The results indicate that miRNA-26a, BMP, SMAD, RUNX, and OSTREX had higher expression in the treated groups than in the control group. Further, the biomechanical and histological properties of CSFDs in treated groups were improved compared with the control group."</t>
  </si>
  <si>
    <t>Leal</t>
  </si>
  <si>
    <t>J Funct Biomater</t>
  </si>
  <si>
    <t>Evaluation of How Methacrylate Gelatin Hydrogel Loaded with Ximenia americana L. Extract (Steam Bark) Effects Bone Repair Activity Using Rats as Models</t>
  </si>
  <si>
    <t>"The results shows that the Ximenia americana L. stem extract incorporated into GelMA hydrogel associated with LED therapy is a potentiator for animal bone repair."</t>
  </si>
  <si>
    <t>Allam</t>
  </si>
  <si>
    <t>Egypt
(Giza)</t>
  </si>
  <si>
    <t>Minerva Dent Oral Sci</t>
  </si>
  <si>
    <t>Efficacy of photobiomodulation using diode laser 650 nm combined with nano-cellulose and nano-amorphous calcium phosphate in bone healing of rabbit tibial defects assessed by H&amp;E staining and computed tomography</t>
  </si>
  <si>
    <t>"Diode laser 650nm photobiomodulation significantly improved bone defects healing. 
'Mineralized nano-cellulose experimental bone substitute material showed a delayed effect in bone healing and graft material resorption. The combination of LLLT with the graft material had no positive outcome on bone defect healing."</t>
  </si>
  <si>
    <t>Pomini</t>
  </si>
  <si>
    <t>Polymers (Basel)</t>
  </si>
  <si>
    <t>Use of Photobiomodulation Combined with Fibrin Sealant and Bone Substitute Improving the Bone Repair of Critical Defects</t>
  </si>
  <si>
    <t>0.259</t>
  </si>
  <si>
    <t>6.22</t>
  </si>
  <si>
    <t>0.116
cm2
beam
area</t>
  </si>
  <si>
    <t>96
(4p)</t>
  </si>
  <si>
    <t>post-op
and then
3x/week</t>
  </si>
  <si>
    <t>"We conclude that PBMT positively influenced the repair of bone defects filled with B and T."</t>
  </si>
  <si>
    <t>Device: "gallium–aluminum–arsenide (GaAlAs) laser (LaserpulseTM IBRAMED, Amparo, Brazil)"</t>
  </si>
  <si>
    <t>Berni</t>
  </si>
  <si>
    <t>Italy
(Pavia)</t>
  </si>
  <si>
    <t>Int J Mol Sci</t>
  </si>
  <si>
    <t>The Role of Low-Level Laser Therapy in Bone Healing: Systematic Review</t>
  </si>
  <si>
    <t>📚 Systematic review (preclinical research)</t>
  </si>
  <si>
    <t>"All the data reported in the literature show different clinical applications of LLLT but do not provide accurate knowledge on the stimulation of cellular responses due to the wide difference in dosimetry parameters (wavelength, power density, energy, irradiation time, frequency repetition and distance from the sample) used in the different studies. Therefore, it will be necessary to carry out more accurate analyses such as investigating in vivo cell survival, apoptosis, epigenetic changes and stress responses to have a broader view of the entire cellular context and the physiopathology of tissues. However, a better understanding of the in vitro effects of LLLT on biological systems would be a golden opportunity to predict in vivo outcomes. Due to the lack of standardized experimental guidelines and the great heterogeneity of the LLLT dosimetry parameters used both in vitro and in vivo, the controlled trials produced data that were not comparable and were inconclusive."</t>
  </si>
  <si>
    <t>de Freitas</t>
  </si>
  <si>
    <t>Photobiomodulation and Inorganic Bovine Bone in Guided Bone Regeneration: Histomorphometric Analysis in Rats</t>
  </si>
  <si>
    <t>6
/point</t>
  </si>
  <si>
    <t>210</t>
  </si>
  <si>
    <t>"The application of photobiomodulation in guided bone regeneration (GBR+P) has shown a decrease in the median value for the RPA variable (26.8) when compared to the GBR group (32.4), with a significant statistical difference; however, for NBA and LBE, the therapy has not provided significant results."</t>
  </si>
  <si>
    <t>Adolpho</t>
  </si>
  <si>
    <t>Brazil
(Ribeirão Preto)</t>
  </si>
  <si>
    <t>Mesenchymal Stem Cells Combined with a P(VDF-TrFE)/BaTiO3 Scaffold and Photobiomodulation Therapy Enhance Bone Repair in Rat Calvarial Defects</t>
  </si>
  <si>
    <t>1.42</t>
  </si>
  <si>
    <t>0.12
/point</t>
  </si>
  <si>
    <t>3
/point</t>
  </si>
  <si>
    <t>3
/ 5 days</t>
  </si>
  <si>
    <t>"The μCT and histological analyses showed an increment in bone formation, which exhibited a positive correlation with the treatments combined with the scaffold, with MSCs and PBM inducing more bone repair, followed by the scaffold combined with PBM, the scaffold combined with MSCs, and finally the scaffold alone (ANOVA, p ≤ 0.05)."</t>
  </si>
  <si>
    <t>Kawano</t>
  </si>
  <si>
    <t>Japan
(Saitama)</t>
  </si>
  <si>
    <t>Effect of Nd:YAG laser on bone formation in rat tibia defects: three-dimensional micro-computed tomography image analysis</t>
  </si>
  <si>
    <t>74</t>
  </si>
  <si>
    <t>daily
for 
7/14/21
days</t>
  </si>
  <si>
    <t>"Tibial BV and BS values were highest in both groups at 7 days after the operation and decreased at 14 days after operation. BV and BS values were both significantly higher in the LT group than in the control group at 7 and 14 days. There was no significant difference between the groups for either metric at 21 days."</t>
  </si>
  <si>
    <t>Ishida</t>
  </si>
  <si>
    <t>In Vivo</t>
  </si>
  <si>
    <t>Effects of Irradiation by Carbon Dioxide Laser Equipped With a Water Spray Function on Bone Formation in Rat Tibiae</t>
  </si>
  <si>
    <t>Far-infrared</t>
  </si>
  <si>
    <t xml:space="preserve">"Bone defects were created in rat tibiae by dental bur in a Bur group and by laser in laser irradiation groups with (Spray group) and without (Air group) water spray function."
"Histological findings and 3D observation confirmed induction of new bone formation following laser irradiation in both the Air and Spray groups. No bone formation was seen in the Bur group."
"The water spray function appears effective in reducing thermal damage to tissues irradiated by CO2 laser. CO2 lasers with water spray function may be useful in bone regeneration therapy."
</t>
  </si>
  <si>
    <t>Regen Biomater</t>
  </si>
  <si>
    <t>The additive effects of bioactive glasses and photobiomodulation on enhancing bone regeneration</t>
  </si>
  <si>
    <t>🐀 Rat
+ 🧪 In vitro</t>
  </si>
  <si>
    <t>0.200
in vivo</t>
  </si>
  <si>
    <t>"The in vitro results revealed that BG combined with PBM remarkably enhanced human bone marrow mesenchymal stem cells proliferation, osteogenic-related genes expression and mineralization, which was better than applying BG or PBM respectively.
For in vivo studies, the histological staining results showed that BG induced new bone formation in the interior of defects and promoted new bone reconstruction at 6 weeks post-operation. The micro-computed tomography results further confirmed that BG combined with PBM accelerated bone formation and maturation, improved the speed and quality of bone regeneration, and promoted bone repair."</t>
  </si>
  <si>
    <t>Xue</t>
  </si>
  <si>
    <t>China
(Taiyuan)</t>
  </si>
  <si>
    <t>Heliyon</t>
  </si>
  <si>
    <t>Analysis of the effects of concentrated growth factor and low-level laser therapy on the bone healing</t>
  </si>
  <si>
    <t>344</t>
  </si>
  <si>
    <t>d = 8 mm</t>
  </si>
  <si>
    <t>"Both CGF and LLLT can promote osteogenesis effectively, but the combination of the two did not show a synergistic effect. The pro-osteogenic effect of Nd:YAG low-level laser irradiation is superior to that of CGF, and also superior to the combined effect of the two."</t>
  </si>
  <si>
    <t>de Oliveira</t>
  </si>
  <si>
    <t>Brazil
(Juiz de Fora)</t>
  </si>
  <si>
    <t>Bone Neoformation Induced by Low-Level Laser and Methylene Blue Suggests Early Ossification in Rats</t>
  </si>
  <si>
    <t>PBM vs PBM+MB vs MB vs ctrl
PBM vs methylene blue</t>
  </si>
  <si>
    <t>"The combined use of MB with LLLT initiated during the transoperative phase may stimulate the bone repair process in rats."
Comment: The study methods are described somewhat vaguely. Apparently the control group too received light so there may not be a negative control group in this study?</t>
  </si>
  <si>
    <t>De Marco</t>
  </si>
  <si>
    <t>Brazil
(São Jose Dos Campos)</t>
  </si>
  <si>
    <t>Effect of Photobiomodulation Therapy Associated With Biphasic Phosphate Calcium on Bone Repair: A Histomorphometric Study in Rats</t>
  </si>
  <si>
    <t>12.56
mm2
focus
spot
area</t>
  </si>
  <si>
    <t>60
(5p)</t>
  </si>
  <si>
    <t>"Based on this study, it was possible to conclude that the application of PBM at 45 J/cm2 resulted in the highest percentage of the bone neoformation area after 60 days. The combination of PBM at 660 nm and 45 J/cm2 with BCP did not induce a significant increase in the bone neoformation area in critical calvarial defects of rats when compared with other study groups. Our findings suggest that although BCP exerts some osteogenic activity during bone repair, PBM therapy is not able to modulate this process."</t>
  </si>
  <si>
    <t>Sbrana</t>
  </si>
  <si>
    <t>Brazil</t>
  </si>
  <si>
    <t>Int J Oral Maxillofac Implants</t>
  </si>
  <si>
    <t>Evaluation of Different Photobiomodulation Therapy Protocols as Adjuncts in the Healing of Bone Defects Grafted with Inorganic Bovine Bone</t>
  </si>
  <si>
    <t>100
100</t>
  </si>
  <si>
    <t>4
6</t>
  </si>
  <si>
    <t>140
210</t>
  </si>
  <si>
    <t>"The 6 J protocol showed the best results, promoting greater bone formation with greater resorption of residual particles."</t>
  </si>
  <si>
    <t>Turgut &amp; Yanmaz</t>
  </si>
  <si>
    <t>Turkey
(Erzurum)</t>
  </si>
  <si>
    <t>Investigating effects of locally applied boric acid on fracture healing with and without low-level laser therapy</t>
  </si>
  <si>
    <t>BA vs BA+PBM vs PBM vs ctrl
(local application of BA)</t>
  </si>
  <si>
    <t>"On the 30th day, the highest radiological score was recorded for the BA + LLLT group (3.63 [2-4]), followed by the BA (3.38 [2.75-3.75]), control (3 [2-3.25]), and LLLT (2.5 [1.25-3]) groups."
"On day 30, superoxide dismutase, catalase, and alkaline phosphatase levels were highest in the BA + LLLT group compared to the control group (p &lt; 0.001).
When the histopathological, immunofluorescence, and immunohistochemical findings on the 15th and 30th days were compared with the control group, a statistically significant difference was found for the BA and BA + LLLT groups (p ˂ 0.05)."</t>
  </si>
  <si>
    <t>Fekrazad</t>
  </si>
  <si>
    <t>Angiogenetic and anti-inflammatory effects of photobiomodulation on bone regeneration in rat: A histopathological, immunohistochemical, and molecular analysis</t>
  </si>
  <si>
    <t>0.100</t>
  </si>
  <si>
    <t>"In this study's conditions, the results showed a meaningful alteration in osteogenic, inflammatory, and angiogenic mediators in post-surgical calvarial defect following PBMT. It appears that PBM can accelerate angiogenesis in the bone healing procedure which can be helpful in bone tissue engineering."</t>
  </si>
  <si>
    <t>Molecules</t>
  </si>
  <si>
    <t>Tissue Bioengineering with Fibrin Scaffolds and Deproteinized Bone Matrix Associated or Not with the Transoperative Laser Photobiomodulation Protocol</t>
  </si>
  <si>
    <t>6/point
(5 points)</t>
  </si>
  <si>
    <t>0.028
cm2
beam
area</t>
  </si>
  <si>
    <t>60
/point</t>
  </si>
  <si>
    <t>"Histologically, in all experimental groups, the defects were not reestablished either in the external cortical bone or in the epidural, occurring only in partial bone repair. At 42 days, the bone area (BA) increased in all groups, being significantly higher in the laser-treated groups. "</t>
  </si>
  <si>
    <t>Khosravipour</t>
  </si>
  <si>
    <t>Different Protocols of Combined Application of Photobiomodulation In Vitro and In Vivo Plus Adipose-Derived Stem Cells Improve the Healing of Bones in Critical Size Defects in Rat Models</t>
  </si>
  <si>
    <t>0.972</t>
  </si>
  <si>
    <t>1 cm2
beam
area</t>
  </si>
  <si>
    <t>"HSLs of CSFD in rats that received treatments of hDBMS plus hADS plus PBM were significantly higher than treatments with hADS and PBM alone and control groups."</t>
  </si>
  <si>
    <t>Shanei</t>
  </si>
  <si>
    <t>Iran
(Alborz)</t>
  </si>
  <si>
    <t>Cell J</t>
  </si>
  <si>
    <t>The Effect of Low-Level Laser Therapy in Combination with Leukocyte- and Platelet- Rich Fibrin on Bone Regeneration in Rabbits' Calvarial Defects: Histologic and Histomorphometric Studies</t>
  </si>
  <si>
    <t>0.4</t>
  </si>
  <si>
    <t>5</t>
  </si>
  <si>
    <t>0.5
cm2
spot
size</t>
  </si>
  <si>
    <t>7
/ 2 weeks</t>
  </si>
  <si>
    <t>"The combined L-PRF and LLLT was more likely to have a positive effect on accelerating bone regeneration and reducing fibrosis."</t>
  </si>
  <si>
    <t>Brazil
(Jundiaí)</t>
  </si>
  <si>
    <t>Suitability of Chitosan Scaffolds with Carbon Nanotubes for Bone Defects Treated with Photobiomodulation</t>
  </si>
  <si>
    <t>18.48
(3p)</t>
  </si>
  <si>
    <t>616</t>
  </si>
  <si>
    <t>0.01
cm2
beam
area</t>
  </si>
  <si>
    <t>265
(3p)</t>
  </si>
  <si>
    <t>1 post-op
+
15
/ 3 weeks</t>
  </si>
  <si>
    <t>"It was concluded that chitosan-based carbon nanotube materials combined with LLLT effectively stimulated the bone healing process."</t>
  </si>
  <si>
    <t>Reis</t>
  </si>
  <si>
    <t>Brazil
(Marilia)</t>
  </si>
  <si>
    <t>Effects of a Biocomplex Formed by Two Scaffold Biomaterials, Hydroxyapatite/Tricalcium Phosphate Ceramic and Fibrin Biopolymer, with Photobiomodulation, on Bone Repair</t>
  </si>
  <si>
    <t>6.2</t>
  </si>
  <si>
    <t>~19
(?)</t>
  </si>
  <si>
    <t>"It was concluded that the use of PBM with low-level laser therapy (LLLT) positively interfered in the repair process of bone defects previously filled with the biocomplex formed by the heterologous fibrin biopolymer associated with the synthetic ceramic of hydroxyapatite and tricalcium phosphate."</t>
  </si>
  <si>
    <t>Santos</t>
  </si>
  <si>
    <t>Brazil
(Vitoria)</t>
  </si>
  <si>
    <t>Front Physiol</t>
  </si>
  <si>
    <t>Optimal Parameters of Laser Therapy to Improve Critical Calvarial Defects</t>
  </si>
  <si>
    <t>200</t>
  </si>
  <si>
    <t>3 mm2</t>
  </si>
  <si>
    <t>4
7
11</t>
  </si>
  <si>
    <t>"Compared to the Control group (non-irradiated), the percentage of mineralization (formation of new bone into the cavities) gradually increased 25, 49, and 52% with, respectively, 4, 7, and 11 sessions of LT. In summary, combining the use of IBB with seven sessions of LT seems to be an optimal approach to greatly improve the recovery of calvarial defects."</t>
  </si>
  <si>
    <t>Buchaim</t>
  </si>
  <si>
    <t>J Venom Anim Toxins Incl Trop Dis</t>
  </si>
  <si>
    <t>A biocomplex to repair experimental critical size defects associated with photobiomodulation therapy</t>
  </si>
  <si>
    <t>2.88</t>
  </si>
  <si>
    <t>14
(?)</t>
  </si>
  <si>
    <t>"PBM therapy allowed an improvement in the formation of new bone, with a more organized deposition of collagen fibers in the defect area. Biocomplex favored the insertion and permanence of the particulate material in bone defects, creating a favorable microenvironment for accelerate repair process."</t>
  </si>
  <si>
    <t>Evaluation of the effects of preconditioned human stem cells plus a scaffold and photobiomodulation administration on stereological parameters and gene expression levels in a critical size bone defect in rats</t>
  </si>
  <si>
    <t>630+
810</t>
  </si>
  <si>
    <t>"ASC [adipose-derived stem cells] preconditioned with PBM in vitro plus PBM in vivo significantly increased stereological parameters and SDF1, RUNX2, and BMP4 mRNA expressions during bone healing in a CSFD [critical size femoral defect] model in rats."</t>
  </si>
  <si>
    <t>Garcia</t>
  </si>
  <si>
    <t>Brazil
(Curitiba)</t>
  </si>
  <si>
    <t>J Clin Exp Dent</t>
  </si>
  <si>
    <t>In vivo comparative study of the effects of using the enamel matrix derivative and/or photobiomodulation on the repair of bone defects</t>
  </si>
  <si>
    <t>"These results lead to the conclusion that treatments with EMD and PBM, both separate and in association were effective in filling and maturing bone tissue in tibial bone cavities, with greater effectiveness in the period of 30 days in the EMD and EMD + PBM groups."</t>
  </si>
  <si>
    <t>Yılmaz</t>
  </si>
  <si>
    <t>In vivo efficacy of low-level laser therapy on bone regeneration</t>
  </si>
  <si>
    <t>4
6
8</t>
  </si>
  <si>
    <t>"Our findings indicate that LLLT have a positive effect on new bone formation. The high efficacy of doses of 4 j/cm2 and 6 j/cm2 is promising to promote early bone healing."</t>
  </si>
  <si>
    <t>Rufato</t>
  </si>
  <si>
    <t>Clin Oral Investig</t>
  </si>
  <si>
    <t>Texturized P(VDF-TrFE)/BT membrane enhances bone neoformation in calvaria defects regardless of the association with photobiomodulation therapy in ovariectomized rats</t>
  </si>
  <si>
    <t>Ovariectomy</t>
  </si>
  <si>
    <t>30</t>
  </si>
  <si>
    <t>"The utilization of texturized P (VDF-TrFE)/BT, regardless of the association with photobiomodulation therapy, enhanced bone repair in an experimental model of osteoporosis."</t>
  </si>
  <si>
    <t>Bai</t>
  </si>
  <si>
    <t>China
(Dalian)</t>
  </si>
  <si>
    <t>Stem Cell Res Ther</t>
  </si>
  <si>
    <t>Low level laser therapy promotes bone regeneration by coupling angiogenesis and osteogenesis</t>
  </si>
  <si>
    <t>40
100</t>
  </si>
  <si>
    <t>1.8
(in vivo)
4.5
(in vitro)</t>
  </si>
  <si>
    <t>"Mouse bone marrow mesenchymal stem cells (BMSCs) combined with biphasic calcium phosphate (BCP) grafts were implanted into C57BL/6 mice to evaluate the effects of LLLT on the specialized vessel subtypes and bone regeneration in vivo. Furthermore, human BMSCs and human umbilical vein endothelial cells (HUVECs) were co-cultured in vitro. The effects of LLLT on cell proliferation, angiogenesis, and osteogenesis were assessed."
"LLLT enhanced vascularized bone regeneration by coupling angiogenesis and osteogenesis. ROS/HIF-1α was necessary for these effects of LLLT. LLLT triggered a ROS-dependent increase of HIF-1α, VEGF, and TGF-β and resulted in subsequent formation of type H vessels and osteogenic differentiation of mesenchymal stem cells. As ROS also was a target of HIF-1α, there may be a positive feedback loop between ROS and HIF-1α, which further amplified HIF-1α induction via the LLLT-mediated ROS increase. This study provided new insight into the effects of LLLT on vascularization and bone regeneration in bone tissue engineering."</t>
  </si>
  <si>
    <t>Coris</t>
  </si>
  <si>
    <t>Brazil
(Botucatu)</t>
  </si>
  <si>
    <t>Effect of low-level laser therapy on the membrane induced by the Masquelet technique at an orthotopic site in rabbits</t>
  </si>
  <si>
    <t>"Based on imaging studies and histology and immunohistochemistry, the LLLT at 2 J of energy for 20 seconds, every 48 hours for 15 days, did not show effects on the development of induced membrane at an orthotopic site in rabbits compared to non-irradiated control ones."</t>
  </si>
  <si>
    <t>Lee</t>
  </si>
  <si>
    <t>Taiwan
(Kaohsiung)</t>
  </si>
  <si>
    <t>The Effects of Photobiomodulation on Bone Defect Repairing in a Diabetic Rat Model</t>
  </si>
  <si>
    <t>4
(in vivo)
8
(in vitro)</t>
  </si>
  <si>
    <t>"With the PBMT, all groups (control, osmotic control and high glucose) showed higher osteogenic differentiation when compared to the non-irradiated groups."
"With the PBMT, the volume of bone regeneration was increasing and back to the similar level of the [healthy] control group."</t>
  </si>
  <si>
    <t>Gazor</t>
  </si>
  <si>
    <t>Iran
(Rasht)</t>
  </si>
  <si>
    <t>Simultaneous Treatment of Photobiomodulation and Demineralized Bone Matrix With Adipose-Derived Stem Cells Improve Bone Healing in an osteoporotic bone defect</t>
  </si>
  <si>
    <t>1
cm2
spot</t>
  </si>
  <si>
    <t>900
/point</t>
  </si>
  <si>
    <t>The PBM plus DBM [demineralized bone matrix] with or without ASCs significantly enhanced bone healing in the CSFD in OVX rats compared to control, DBM alone, and ALN plus DBM groups.</t>
  </si>
  <si>
    <t>Bellato</t>
  </si>
  <si>
    <t>Effect of S53P4 bioactive glass and low-level laser therapy on calvarial bone repair in rats submitted to zoledronic acid therapy</t>
  </si>
  <si>
    <t>"The rats were then randomly assigned to groups according to the following treatments: AZC: control group, treated with blood clot; AZBIO: bone defect filled with bioactive glass; AZL: treated with blood clot and submitted to PBMT; and AZBIOL: treated with bioactive glass S53P4 and submitted to PBMT."
"At 14 days, bone neoformation in the AZBIO (52.15 ± 9.77) and AZBIOL (49.77 ± 13.58) groups presented higher values (p ≤ 0.001) compared to the AZC (23.35 ± 10.15) and AZL groups (23.32 ± 8.75). At 28 days, AZBIO (80.24 ± 5.41)still presented significant higher bone recovery values when compared to AZC (59.59 ± 16.92)and AZL (45.25 ± 5.41) groups (p = 0.048). In the 28-day period, the AZBIOL group didn't show statistically significant difference with the other groups (71.79 ± 29.38)."</t>
  </si>
  <si>
    <t>Calis</t>
  </si>
  <si>
    <t>Photobiomodulation combined with adipose-derived stem cells encapsulated in methacrylated gelatin hydrogels enhances in vivo bone regeneration</t>
  </si>
  <si>
    <t>"ADSC-loaded microwave-induced GEL-MA hydrogels and periodic application of photobiomodulation with polychromatic light appear to have beneficial effect on bone regeneration and can stimulate ADSCs for osteogenic differentiation."</t>
  </si>
  <si>
    <t>Brazil
(São José dos Campos)</t>
  </si>
  <si>
    <t>The Effect of Photobiomodulation Therapy in Different Doses on Bone Repair of Critical Size Defects in Rats: A Histomorphometric Study</t>
  </si>
  <si>
    <t>15
30
45
60</t>
  </si>
  <si>
    <t>"As regards the treatment factor, the highest percentage of bone neoformation was achieved by group L45-60. The group with the highest closure, despite not having a statistically significant difference with the other doses, was 45 J with only 0.49 mm between edges."</t>
  </si>
  <si>
    <t>Torquato</t>
  </si>
  <si>
    <t xml:space="preserve">Brazil
(São José dos Campos)
</t>
  </si>
  <si>
    <t>Bone repair assessment of critical size defects in rats treated with mineralized bovine bone (Bio-Oss®) and photobiomodulation therapy: a histomorphometric and immunohistochemical study</t>
  </si>
  <si>
    <t>45</t>
  </si>
  <si>
    <t>"At 60 days, groups L and C displayed the highest proportion of bone neoformation. However, group B+L had more than twice as much bone neoformation as group B at 30 days. These findings indicate the positive role of PBM in the early stages of bone regeneration. In addition, TRAP immunostaining occurred later in group L, demonstrating a possible association of PBM with positive bone metabolism."</t>
  </si>
  <si>
    <t>Baran</t>
  </si>
  <si>
    <t>Turkey
(Balcali)</t>
  </si>
  <si>
    <t>The Effects of Photobiomodulation on Leukocyte and Platelet-Rich Fibrin as Barrier Membrane on Bone Regeneration: An Experimental Animal Study</t>
  </si>
  <si>
    <t>Sheep</t>
  </si>
  <si>
    <t>"The PBMT/L-PRF group presented higher values than the L-PRF group and controls for these parameters though not statistically significant (p &gt; 0.05)."
"The findings show that PBMT may provide additional regenerative properties to L-PRF when used as barrier membranes. However, these results did not reach the collagen membranes, which warrants further studies for adapting the laser parameters to increase regenerative capacity of L-PRF."</t>
  </si>
  <si>
    <t>Polo</t>
  </si>
  <si>
    <t xml:space="preserve">Brazil
(Araçatuba)
</t>
  </si>
  <si>
    <t>Is an anodizing coating associated to the photobiomodulation able to optimize bone healing in ovariectomized animal model?</t>
  </si>
  <si>
    <t>212</t>
  </si>
  <si>
    <t>"PEO [plasma electrolytic oxidation] and PBM are effective strategies for bone repair in fractures, however their association does not provide additional advantages."</t>
  </si>
  <si>
    <t>Magri</t>
  </si>
  <si>
    <t>Brazil
(Santos)</t>
  </si>
  <si>
    <t>J Biomed Mater Res A</t>
  </si>
  <si>
    <t>Bone substitutes and photobiomodulation in bone regeneration: A systematic review in animal experimental studies</t>
  </si>
  <si>
    <t>📚 Systematic review (animal research)</t>
  </si>
  <si>
    <t>"After the eligibility analyses, 16 studies were included in this review. The results showed that the most common material used was hydroxyapatite (HA) followed by Biosilicate associated with infrared PBM."
"In conclusion, this review demonstrates that the association of ceramic biomaterials and PBM presented positive effects for bone repair in experimental models of bone defects."</t>
  </si>
  <si>
    <t>Coletta</t>
  </si>
  <si>
    <t>Photobiomodulation Therapy on the Guided Bone Regeneration Process in Defects Filled by Biphasic Calcium Phosphate Associated with Fibrin Biopolymer</t>
  </si>
  <si>
    <t>3/wk</t>
  </si>
  <si>
    <t>"PBMT showed positive effects capable of improving and accelerating the guided bone regeneration process when associated with biphasic calcium phosphate and fibrin biopolymer."</t>
  </si>
  <si>
    <t>Hanna</t>
  </si>
  <si>
    <t>Italy
(Genoa)</t>
  </si>
  <si>
    <t>Effects of photobiomodulation on bone defects grafted with bone substitutes: A systematic review of in vivo animal studies</t>
  </si>
  <si>
    <t>"After applying the eligibility criteria, 38 papers included where the results reported according to "PRISMA." The results revealed insufficient and incomplete PBM parameters, however, the outcomes with or without biomaterials have positive effects on bone healing. 
In conclusion, in vivo animal studies with a standardized protocol to elucidate the effects of PBMT on biomaterials are required initially prior to clinical studies."</t>
  </si>
  <si>
    <t>Alves</t>
  </si>
  <si>
    <t>Photobiomodulation as adjunctive therapy for guided bone regeneration. A microCT study in osteoporotic rat model</t>
  </si>
  <si>
    <t>"The application of PBM as adjunctive therapy to GBR results in enhanced bone formation and maturation in comparison to the conventional GBR in the regeneration of lesions of osteoporotic bone in rats."</t>
  </si>
  <si>
    <t>Biochem Biophys Res Commun</t>
  </si>
  <si>
    <t>Preconditioning adipose-derived stem cells with photobiomodulation significantly increased bone healing in a critical size femoral defect in rats</t>
  </si>
  <si>
    <t>🐀 Rat
(+ 🧪 In vitro)</t>
  </si>
  <si>
    <t>"In vitro preconditioned of hADS [adipose-derived stem cells] with PBM significantly increased ADSs viability compared to control group. A combination of ADS plus PBM had significantly increased bone repair of repairing tissue in the CSFD in comparison with control, the alone PBM in vivo, and alone ADS protocols in rats. 
hADS preconditioned with PBM in vitro significantly increased bone repair in vivo and showed significantly better results than the hADS þ PBM in vivo and hADS þ PBM in vitroþin vivo protocols."</t>
  </si>
  <si>
    <t>Santinoni</t>
  </si>
  <si>
    <t>Bone marrow coagulated and low-level laser therapy accelerate bone healing by enhancing angiogenesis, cell proliferation, osteoblast differentiation, and mineralization</t>
  </si>
  <si>
    <t>4.9</t>
  </si>
  <si>
    <t>"Groups BMA/LLLT and LLLT presented significantly higher VEGF expression than group control. 
Group BMA/LLLT presented a significantly higher expression of PCNA than all experimental groups. 
Groups BMA and BMA/LLLT presented significantly higher expression of BMP-2 than all experimental groups. 
Groups LLLT and BMA/LLLT presented significantly higher expression of OPN than groups control and BMA. 
Groups LLLT, BMA, and BMA/LLLT presented a significantly higher expression of OCN than group control. 
It can be concluded that the association of BMA and LLLT enhanced bone healing by improving expression of VEGF, PCNA, Runx2, BMP-2, OPN, and OCN."</t>
  </si>
  <si>
    <t>Kheiri</t>
  </si>
  <si>
    <t>Arch Oral Biol</t>
  </si>
  <si>
    <t>Effect of Low- Level Laser Therapy on Bone Regeneration of Critical-Size Bone Defects: A Systematic Review of In Vivo Studies and Meta-Analysis</t>
  </si>
  <si>
    <t>📊 Meta-analysis (animal research)</t>
  </si>
  <si>
    <t>"Finally, 18 studies were included. Fourteen studies utilized low-level laser with a wavelength ranging from 606 to 980 nm and 53 % of studies applied low-level laser in a single session. Ten studies utilized continuous wave mode of laser. Highest and lowest values of power density were 1.5 W/cm2 and 0.1 W/cm2 in order. Eleven studies evaluated low-lever laser therapy on defects of 5 mm in calvaria. 
Meta-analysis showed the positive effect of low-level laser therapy on osteogenesis after 30 days compared to control group and no significant difference after 60 days."</t>
  </si>
  <si>
    <t>Göl</t>
  </si>
  <si>
    <t>Turkey
(Samsun)</t>
  </si>
  <si>
    <t>J Craniofac Surg</t>
  </si>
  <si>
    <t>Extracorporeal Shock-Wave Therapy or Low-Level Laser Therapy: Which is More Effective in Bone Healing in Bisphosphonate Treatment?</t>
  </si>
  <si>
    <t>Tooth extraction</t>
  </si>
  <si>
    <t>"The highest new bone volume was observed in the early LLLT+ESWT. New vessel volume and CD31 expression were found to be high in the LLLT group. matrixmetalloproteinaze (MMP)-2 expression was found increased by the application of LLLT and ESWT."
"The LLLT and ESWT have similar effect on socket healing in the early period and that co-use is more effective upon healing. The LLLT has been shown to increase CD31 expression and increase vascularization and soft-tissue healing."</t>
  </si>
  <si>
    <t>Cruz</t>
  </si>
  <si>
    <t>J Bone Miner Metab</t>
  </si>
  <si>
    <t>Marine collagen scaffolds and photobiomodulation on bone healing process in a model of calvaria defects.</t>
  </si>
  <si>
    <t>"Histological findings demonstrated that SPG/PBM-treated animals, 45 days post-surgery, demonstrated a higher amount of connective and newly formed bone tissue at the region of the defect compared to CG. Notwithstanding, no difference among groups were observed in the histomorphometry. Interestingly, for both anti-transforming growth factor-beta (TGF-β) and anti-vascular endothelial growth factor (VEGF) immunostaining, higher values for SPG/PBM, at 45 days post-surgery could be observed."</t>
  </si>
  <si>
    <t>Luca</t>
  </si>
  <si>
    <t>Romania
(Timisoara)</t>
  </si>
  <si>
    <t>Osteogenic Potential of Bovine Bone Graft in Combination with Laser Photobiomodulation: An Ex Vivo Demonstrative Study in Wistar Rats by Cross-Linked Studies Based on Synchrotron Microtomography and Histology.</t>
  </si>
  <si>
    <t>Calvarial defect</t>
  </si>
  <si>
    <t>0.450</t>
  </si>
  <si>
    <t>24.075</t>
  </si>
  <si>
    <t>85
(5p)</t>
  </si>
  <si>
    <t>"We demonstrated that using photobiomodulation provides a better healing effect than when receiving only the support of the biomaterial. This effect has been evident for short times treatments, i.e., during the first 14 days after surgery."</t>
  </si>
  <si>
    <t>Macedo</t>
  </si>
  <si>
    <t>Brazil
(Aracaju)</t>
  </si>
  <si>
    <t>Effect of laser photobiomodulation associated with a bioceramic cement on the repair of bone tissue in the femur of rats.</t>
  </si>
  <si>
    <t>2.2/p</t>
  </si>
  <si>
    <t>22/p</t>
  </si>
  <si>
    <t>"Laser photobiomodulation therapy is promising as an adjuvant in the bone repair process, especially when associated with the use of biomaterials."</t>
  </si>
  <si>
    <t>Rosso</t>
  </si>
  <si>
    <t>Biomolecules</t>
  </si>
  <si>
    <t>Photobiomodulation Therapy Associated with Heterologous Fibrin Biopolymer and Bovine Bone Matrix Helps to Reconstruct Long Bones.</t>
  </si>
  <si>
    <t>48
(2p)</t>
  </si>
  <si>
    <t>"It was concluded that the association of PBMT with HFB and BM has the potential to assist in the process of reconstructing bone defects in the tibia of rats."</t>
  </si>
  <si>
    <t>Photobiomodulation guided healing in a sub-critical bone defect in calvarias of rats.</t>
  </si>
  <si>
    <t>6
18</t>
  </si>
  <si>
    <t xml:space="preserve">"Histology analysis demonstrated that for PBM most of the bone defect was filled with newly formed bone (with a more mature aspect when compared to CG). Histomorphomeric analysis also demonstrated a higher amount of newly formed bone deposition in the irradiated animals, 2 weeks post-surgery. Furthermore, there was a more intense deposition of collagen for PBM, with ticker fibers. 
Results from Runx-2 immunohistochemistry demonstrated that a higher immunostaining for CG 2 week's post-surgery and no other difference was observed for Rank-L immunostaining."
"This current study concluded that the use of PBM was effective in stimulating newly formed bone and collagen fiber deposition in the sub-critical bone defect, being a promising strategy for bone tissue engineering."
</t>
  </si>
  <si>
    <t>Sarmadi</t>
  </si>
  <si>
    <t>The Effect of Photobiomodulation on Distraction Osteogenesis.</t>
  </si>
  <si>
    <t>"This study reviews 18 published articles on the effects of LLLT on DO and summarizes their findings to further elucidate this topic."</t>
  </si>
  <si>
    <t>Materials (Basel)</t>
  </si>
  <si>
    <t>Photobiomodulation Therapy (PBMT) Applied in Bone Reconstructive Surgery Using Bovine Bone Grafts: A Systematic Review.</t>
  </si>
  <si>
    <t>"In the studies concerning animals (17 in total), there was evidence of PBMT assisting in biomaterial-related conduction, formation of new bone, bone healing, immunomarker expression, increasing collagen fibers, and local inflammation reduction. However, the results disagreed with regard to the resorption of biomaterial particles. 
The only human study showed that PBMT with bovine bone was effective for periodontal regeneration. 
It was concluded that PBMT assists the process in bone reconstruction when associated with bovine bone, despite divergences between applied protocols."</t>
  </si>
  <si>
    <t>Escudero</t>
  </si>
  <si>
    <t>Injury</t>
  </si>
  <si>
    <t>Photobiomodulation therapy (PBMT) in bone repair: A systematic review.</t>
  </si>
  <si>
    <t>"Many studies have shown that PBMT has positive photobiostimulatory effects on bone regeneration, accelerating its process regardless of parameters and the use of biomaterials. However, standardization of its use is still imperfect and should be better studied to allow correct application concerning the utilization protocols."</t>
  </si>
  <si>
    <t>J Mater Sci Mater Med</t>
  </si>
  <si>
    <t>Bioglass/PLGA associated to photobiomodulation: effects on the healing process in an experimental model of calvarial bone defect.</t>
  </si>
  <si>
    <t>"Interesting, the use of PBM did not have any stimulatory effects of BG/PLGA composites on the process of bone repair."</t>
  </si>
  <si>
    <t>Diker</t>
  </si>
  <si>
    <t>Turkey
(Istanbul)</t>
  </si>
  <si>
    <t>Evaluation of the Effects of Low-Level Laser Therapy on Diabetic Bone Healing.</t>
  </si>
  <si>
    <t>Diabetic rats</t>
  </si>
  <si>
    <t>78,5</t>
  </si>
  <si>
    <t>"The LLLT was effective to stimulate osteoblastogenesis but failed to increase bone formation. Graft augmentation for treatment of bone defects seems essential for proper bone healing in diabetes, regeneration may be supported by the LLLT to enhance osteoblastogenesis."</t>
  </si>
  <si>
    <t>Nunes</t>
  </si>
  <si>
    <t>J Appl Oral Sci</t>
  </si>
  <si>
    <t>The influence of LLLT applied on applied on calvarial defect in rats under effect of cigarette smoke.</t>
  </si>
  <si>
    <t>"Within the limitations of this study, it can be concluded that the PBM protocol used provided adjunctive effect on osteogenesis and may compensate the negative factor of smoking in the bone repair process."</t>
  </si>
  <si>
    <t>de Miranda</t>
  </si>
  <si>
    <t>Histologic Evaluation of Early Bone Regeneration Treated with Simvastatin Associated with Low-Level Laser Therapy.</t>
  </si>
  <si>
    <t>LLLT vs simvastatin</t>
  </si>
  <si>
    <t>100
(?)</t>
  </si>
  <si>
    <t>4
/p
(?)</t>
  </si>
  <si>
    <t>"Greater new bone formation and a lower degree of inflammation were observed in the animals that had bone neoformation at the center of the defect, especially in the LLLT and SIM-LLLT groups. 
SIM and C groups presented greater angiogenesis than LLLT and SIM-LLLT. SIMLLLT therapy showed a statistically significant reduction in the degree of inflammation when compared to the control group (P &lt; .05)."</t>
  </si>
  <si>
    <t>Scalize</t>
  </si>
  <si>
    <t>Animal Model Exp Med</t>
  </si>
  <si>
    <t>Low-level laser therapy enhances the number of osteocytes in calvaria bone defects of ovariectomized rats.</t>
  </si>
  <si>
    <t>20/30</t>
  </si>
  <si>
    <t>3
6
12</t>
  </si>
  <si>
    <t>"We conclude that LLLT stimulated bone neoformation and contributed to an increase in the total number of osteocytes, especially with a laser energy density of 30 J/cm2 given for 6 and 12 sessions."</t>
  </si>
  <si>
    <t>Wang</t>
  </si>
  <si>
    <t>PLoS One</t>
  </si>
  <si>
    <t>Low power laser irradiation and human adipose-derived stem cell treatments promote bone regeneration in critical-sized calvarial defects in rats</t>
  </si>
  <si>
    <t>"ADSC and LPLI treatments improved fracture repair in critical-sized calvarial defects in rats. Importantly, the combined treatment of ADSCs and LPLI further enhances the bone healing process."</t>
  </si>
  <si>
    <t>Gabbai-Armelin</t>
  </si>
  <si>
    <t>Association of Bioglass/Collagen/Magnesium composites and low level irradiation: effects on bone healing in a model of tibial defect in rats.</t>
  </si>
  <si>
    <t>"The results showed that Col could be successfully introduced into BG/Mg and the association of BG/Mg/Col and LLLT constituted an optimized treatment for accelerating material degradation and increasing bone deposition. Additionally, mechanical tests showed an increased maximal load for BG/Mg + LLLT compared to other groups."</t>
  </si>
  <si>
    <t xml:space="preserve">Buchignani </t>
  </si>
  <si>
    <t>Brazil 
(Sāo Paulo)</t>
  </si>
  <si>
    <t>Effect of low-level laser therapy and zoledronic acid on bone repair process</t>
  </si>
  <si>
    <t>Groups:
1) saline
2) LLLT
3) zoledronic acid (ZA)
4) ZA + LLLT
LLLT vs zoledronic acid</t>
  </si>
  <si>
    <t>0.42</t>
  </si>
  <si>
    <t>57.14/point</t>
  </si>
  <si>
    <t>0.07 cm2/point</t>
  </si>
  <si>
    <t>133 /point</t>
  </si>
  <si>
    <t>"In intergroup comparison, group 1 (mean ± SD= 45.2 ± 18.56%) showed a lower bone formation compared with groups 2 (64.13 ± 3.51%) (p = 0.358) and 4 (15.2 ± 78.22%) (p = 0.049), at the 14-day period. Group 3 (20.99 ± 7.42%) also presented a lower amount of neoformed bone tissue, with statistically significant difference when compared with groups 1 (p = 0.002), 2, and 4 (p ≤ 0,001). After 28 days, group 1 presented a lower amount of neoformed bone tissue compared with the other groups, with p = 0.020. 
Thus, it was concluded that LLLT associated with zoledronic acid is effective for stimulating bone formation in surgically created defects in rats, at the periods studied."</t>
  </si>
  <si>
    <t>Fibrin Sealant Derived from Human Plasma as a Scaffold for Bone Grafts Associated with Photobiomodulation Therapy.</t>
  </si>
  <si>
    <t>0.116
cm2
beam</t>
  </si>
  <si>
    <t>94
(4p)</t>
  </si>
  <si>
    <t>"It was concluded that the support system formed by the xenograft fibrin sealant associated with the photobiomodulation therapy protocol had a positive effect on the bone repair process."</t>
  </si>
  <si>
    <t>Hosseinpour</t>
  </si>
  <si>
    <t>Australia
(Brisbane)</t>
  </si>
  <si>
    <t>Molecular impacts of photobiomodulation on bone regeneration: A systematic review.</t>
  </si>
  <si>
    <t>📚 Systematic review</t>
  </si>
  <si>
    <t>"This systematic review was performed based on PRISMA guideline. Among these studies, five articles reported in vitro results, twelve articles were in vivo, and three of them were clinical trials (...) 
PBM's effects depend on many parameters which energy density is more important than the others. PBM can significantly enhance expression of osteocalcin, collagen, RUNX-2, vascular endothelial growth factor, bone morphogenic proteins, and COX-2. 
Although since the heterogeneity of the studies and their limitations, an evidence-based decision for definite therapeutic application of PBM is still unattainable, the findings of our review can help other researchers to ameliorate their study design and elect more efficient approach for their investigation."</t>
  </si>
  <si>
    <t>Pinheiro</t>
  </si>
  <si>
    <t>Laser/LED phototherapy on the repair of tibial fracture treated with wire osteosynthesis evaluated by Raman spectroscopy.</t>
  </si>
  <si>
    <t>LLLT vs LED</t>
  </si>
  <si>
    <t>780
(laser)
850
(LED)</t>
  </si>
  <si>
    <t>"It is concluded that the use of either laser or LED phototherapy associated to MTA cement was efficacious on improving the repair of complete tibial fractures treated with wire osteosynthesis by increasing the synthesis of collagen matrix and creating a scaffold of calcium carbonate (carbonated hydroxyapatite-like) and the subsequent deposition of phosphate hydroxyapatite."</t>
  </si>
  <si>
    <t>Gerbi</t>
  </si>
  <si>
    <t>Brazil
(Camaragibe)</t>
  </si>
  <si>
    <t>Photomed Laser Surg</t>
  </si>
  <si>
    <t>Photobiomodulation Therapy in Bone Repair Associated with Bone Morphogenetic Proteins and Guided Bone Regeneration: A Histomorphometric Study</t>
  </si>
  <si>
    <t>PBM vs bone morphogenetic proteins (BMPs) and bovine biological membranes</t>
  </si>
  <si>
    <t>0,6 cm2</t>
  </si>
  <si>
    <t>7
every 48h during 2wk</t>
  </si>
  <si>
    <t>"Histological analysis confirmed the histomorphometric results, with the experimental groups showing bone neoformation of significantly higher quality and quantity at the end of 30 days compared with the control group."
"PBMT was effective for bone repair mainly when associated with BMPs and a biological membrane. The results of this study are promising and stimulate further scientific and clinical research."</t>
  </si>
  <si>
    <t>Brassolatti</t>
  </si>
  <si>
    <t>Photobiomodulation on critical bone defects of rat calvaria: a systematic review.</t>
  </si>
  <si>
    <t>📚 Systematic review (animal data)</t>
  </si>
  <si>
    <t>"Most of the evaluated articles presented positive results that describe a greater amount of neoformed bone, an increase in collagen synthesis, and a contribution to microvascular reestablishment. However, two studies report no effect on the repair process when the PBM was used. In addition, we observed considerable variations between the values of power, fluence, and total energy, which make it difficult to compare the results presented between the selected studies."
Comment: 14 papers were included to the systematic review.</t>
  </si>
  <si>
    <t>Sefati</t>
  </si>
  <si>
    <t>Therapeutic Effects of Laser on Partial Osteotomy in the Rat Model of Hypothyroidism</t>
  </si>
  <si>
    <t>1.15</t>
  </si>
  <si>
    <t>1.5</t>
  </si>
  <si>
    <t>"The results indicated that using laser may improve fracture regeneration and it may accelerate bone healing in hypothyroidism rat."</t>
  </si>
  <si>
    <t>Mostafavinia</t>
  </si>
  <si>
    <t>Evaluation of the Effects of Photobiomodulation on Partial Osteotomy in Streptozotocin-Induced Diabetes in Rats.</t>
  </si>
  <si>
    <t>1
cm2</t>
  </si>
  <si>
    <t>1300
/point</t>
  </si>
  <si>
    <t>"PBM significantly increased volumes of total callus, total bone, bone marrow, trabecular bone, and cortical bone, and the numbers of osteocytes and osteoblasts of callus in TIDM rats compared to those of callus in diabetic control. In addition, TIDM increased RUNX2, and osteocalcin in callus of tibial bone defect compared to healthy group. PBM significantly decreased osteocalcin gene expression in TIDM rats."</t>
  </si>
  <si>
    <t>Gurler &amp; Gursoy</t>
  </si>
  <si>
    <t>Cyprus (North)</t>
  </si>
  <si>
    <t>J Stomatol Oral Maxillofac Surg</t>
  </si>
  <si>
    <t>Investigation Of Effects Of Low Level Laser Therapy In Distraction Osteogenesis.</t>
  </si>
  <si>
    <t>"The use of LLLT in activation period of distraction osteogenesis stimulates bone repair in the early stages of distraction osteogenesis by inducing intramembranous healing and less cartilage tissue formation in the bone callus."</t>
  </si>
  <si>
    <t>Freitas</t>
  </si>
  <si>
    <t>Evaluation of photobiomodulation therapy associated with guided bone regeneration in critical size defects. In vivo study.</t>
  </si>
  <si>
    <t>300
(5p)</t>
  </si>
  <si>
    <t>"All groups had greater area of newly formed bone compared to group C (9.96±4.49%). The group PBMT+M (achieved the greater quantity of new bone (64.09±7.62%), followed by groups PBMT (47.67±8.66%), M (47.43±15.73%), AB+PBMT (39.15±16.72%) and AB+PBMT+M (35.82±7.68%). After group C, the groups AB (25.10±16.59%) and AB+M (22.72±13.83%) had the smallest quantities of newly formed bone. The area of remaining particles did not have statistically significant difference between groups AB+M (14.93±8.92%) and AB+PBMT+M (14.76±6.58%)."</t>
  </si>
  <si>
    <t>Evaluation of bone repair after application of a norbixin membrane scaffold with and without laser photobiomodulation (λ 780 nm).</t>
  </si>
  <si>
    <t>"The laser PBM also showed positive effects on the bone repair process with increased deposition and organization of the newly formed bone. However, laser PBM failed to improve the bioactive properties of the membrane scaffold."</t>
  </si>
  <si>
    <t>Moreira</t>
  </si>
  <si>
    <t>Effect of Low-Level Laser on the Healing of Bone Defects Filled with Autogenous Bone or Bioactive Glass: In Vivo Study.</t>
  </si>
  <si>
    <t>300
(5p)</t>
  </si>
  <si>
    <t>"The LLLT, in the present application protocol, did not increase the area of new bone formation when associated with autogenous bone or bioactive glass."</t>
  </si>
  <si>
    <t>Effect of low-level laser therapy on the healing of sites grafted with coagulum, deproteinized bovine bone, and biphasic ceramic made of hydroxyapatite and β-tricalcium phosphate. In vivo study in rats.</t>
  </si>
  <si>
    <t>d = 600 µm</t>
  </si>
  <si>
    <t>"The animals treated with LLLT exhibited increased mineralized tissues and bone, particularly after 90 days. These increases were associated with increased BMP2, OCN, and ALP protein expression and ALP, BMP2, and Jagged1 mRNA expression."
"LLLT improved the osteoconductive potential of DBB and HA/βTCP grafts and bone formation in ungrafted areas."</t>
  </si>
  <si>
    <t>Sarvestani</t>
  </si>
  <si>
    <t>Iran
(Shiraz)</t>
  </si>
  <si>
    <t>Effect of low-level laser therapy on fracture healing in rabbits.</t>
  </si>
  <si>
    <t>Radial bone</t>
  </si>
  <si>
    <t>"Findings suggest that in this study, laser treatment did not enhance callus formation nor reduce repair time of complete fracture of the radius in rabbits."</t>
  </si>
  <si>
    <t>Jonasson</t>
  </si>
  <si>
    <t>J Craniomaxillofac Surg</t>
  </si>
  <si>
    <t>Effects of low-level laser therapy and platelet concentrate on bone repair: Histological, histomorphometric, immunohistochemical, and radiographic study.</t>
  </si>
  <si>
    <t>7.5</t>
  </si>
  <si>
    <t>"LLLT reduces inflammation and contributes to increased bone formation. PC treatment was shown to maintain connective tissue and to induce fibrosis during bone repair. Combined LLLT and PC treatment did not improve bone repair."</t>
  </si>
  <si>
    <t>Twin Lasers (MM-Optics) device</t>
  </si>
  <si>
    <t>Yildirimturk</t>
  </si>
  <si>
    <t>The effects of low-level laser therapy on the healing of bone defects in streptozotocin-induced diabetic rats: A histological and morphometric evaluation.</t>
  </si>
  <si>
    <t>16</t>
  </si>
  <si>
    <t>"DM group had significantly smaller bone area and lower blood vessel count when compared to DM + LLLT, CONT and CONT + LLLT groups (p &lt; 0.05 for each). CONT and CONT + LLLT groups had significantly larger bone area than DM + LLLT group (p &lt; 0.05 for both)."
"LLLT application promoted vascularization and new bone formation in animals with DM to a limited extent, since it was unable to support the healing process up to the level of non-diabetic animals."</t>
  </si>
  <si>
    <t>Zein</t>
  </si>
  <si>
    <t>Effect of Low-Level Laser Therapy on Bone Regeneration During Osseointegration and Bone Graft.</t>
  </si>
  <si>
    <t>"19 articles met the inclusion criteria."
"A positive effect of low-level laser energy on bone regeneration within a certain relationship between dose and output power was found. LLLT stimulates cellular metabolism, increasing protein synthesis and subsequent bone regeneration. A high dose combined with low power or a low dose combined with high power appears to produce a positive effect."</t>
  </si>
  <si>
    <t>Fernandes</t>
  </si>
  <si>
    <t>Biosilicate/PLGA osteogenic effects modulated by laser therapy: In vitro and in vivo studies.</t>
  </si>
  <si>
    <t>Biosilicate/PLGA</t>
  </si>
  <si>
    <t>1.07</t>
  </si>
  <si>
    <t>0.84</t>
  </si>
  <si>
    <t>"As a conclusion, animals treated with BS/PLGA+LLLT demonstrated an improved material degradation and an increased amount of granulation tissue and newly formed bone."</t>
  </si>
  <si>
    <t>Brazil
(Natal)</t>
  </si>
  <si>
    <t>Int J Exp Pathol</t>
  </si>
  <si>
    <t>Low-level laser therapy (780 nm) combined with collagen sponge scaffold promotes repair of rat cranial critical-size defects and increases TGF-β, FGF-2, OPG/RANK and osteocalcin expression.</t>
  </si>
  <si>
    <t>--</t>
  </si>
  <si>
    <t>"Compared to the [control] group, defects in the 30-day [LLLT] group exhibited increased bone formation, both by increase in radiopaque areas (P &lt; 0.01) and by histomorphometric analysis (P &lt; 0.001). The histopathological analysis showed a decreased number of inflammatory cells (P &lt; 0.001). The combined CCS + LLLT (G3) treatment also resulted in the most intense immunostaining for OPG, RANK, FGF-2 and TGF-β, and the most intense and diffuse OCN immunofluorescent labelling at 30 days postsurgery (G3 vs. G0 group, P &lt; 0.05).
Therefore, the use of CCS associated with LLLT could offer a synergistic advantage in improving the healing of bone fractures."</t>
  </si>
  <si>
    <t>Diamantino</t>
  </si>
  <si>
    <t>Effect of non-coherent infrared light (LED, λ945 ± 20 nm) on bone repair in diabetic rats-morphometric and spectral analyses.</t>
  </si>
  <si>
    <t>Diabetic rats
LED phototherapy</t>
  </si>
  <si>
    <t>14.4</t>
  </si>
  <si>
    <t>0.8
cm2</t>
  </si>
  <si>
    <t>7
11
14</t>
  </si>
  <si>
    <t>"It can be concluded that LED therapy positively influences bone formation in the early stages of the bone repair process in non-diabetic and diabetic animals, without causing changes in the optical density and volume of tissue in the final stages. No influence of LED therapy was observed on the percentage of calcium, percentage of phosphorus, Ca/P ratio, or optical mineral density in non-diabetic animals. However, increased mineral concentration was evident in the diabetic animals treated with the LED during the repair process."</t>
  </si>
  <si>
    <t>Evaluation of the Effects of Photobiomodulation on Bone Healing in Healthy and Streptozotocin-Induced Diabetes in Rats.</t>
  </si>
  <si>
    <t>Partial osteotomy</t>
  </si>
  <si>
    <t>8320
(?)</t>
  </si>
  <si>
    <t>8.32
(?)</t>
  </si>
  <si>
    <t>1300
/p</t>
  </si>
  <si>
    <t xml:space="preserve">"Analysis of variance (ANOVA) (p = 0.013) results showed that treatment by PBM significantly increased the biomechanical property (stress high load) of the callus defect from the partial tibia osteotomy in healthy rats compared to the control groups. However, we observed no significant increase in the biomechanical properties of the laser-treated diabetic bone defect compared to the control diabetic group."
"The 80-Hz laser did not significantly enhance bone repair from an osteotomy of the tibia in an experimental model of TI DM rats."
Comment: The parameters seem contradictory. </t>
  </si>
  <si>
    <t>Device: "Mustang 2000; Technical Co., Moscow, Russia and LO7 probe"</t>
  </si>
  <si>
    <t>Biochemical changes on the repair of surgical bone defects grafted with biphasic synthetic micro-granular HA + β-tricalcium phosphate induced by laser and LED phototherapies and assessed by Raman spectroscopy.</t>
  </si>
  <si>
    <t>LED phototherapy
LLLT vs LED</t>
  </si>
  <si>
    <t>780
laser
850
LED</t>
  </si>
  <si>
    <t>70
150</t>
  </si>
  <si>
    <t>20
20
(unclear)</t>
  </si>
  <si>
    <t>0.04
cm2
0.5
cm2</t>
  </si>
  <si>
    <t>7?</t>
  </si>
  <si>
    <t>"These results indicated that the use of laser phototherapy improved the repair of bone defects grafted with the biomaterial by increasing the deposition of phosphate HA."</t>
  </si>
  <si>
    <t>Iryanov</t>
  </si>
  <si>
    <t>Russia</t>
  </si>
  <si>
    <t>Influence of Laser Irradiation Low Intensity on Reparative Osteogenesis and Angiogenesis Under Transosseous Osteosynthesis.</t>
  </si>
  <si>
    <t>Uzor A-2K device</t>
  </si>
  <si>
    <t>4000
?</t>
  </si>
  <si>
    <t>"The sessions of laser irradiation decreased inflammatory process severity, activated fibrillogenesis and angiogenesis, accelerated the compactization of newly formed bone tissue, and enhanced its maturity degree while primary healing occurred in the fracture."
Comment: Parameters were poorly reported.</t>
  </si>
  <si>
    <t>Uzor A-2K device. Pulsing 150Hz.</t>
  </si>
  <si>
    <t>Atasoy</t>
  </si>
  <si>
    <t>Turkey
(Trabzon)</t>
  </si>
  <si>
    <t>Braz Oral Res</t>
  </si>
  <si>
    <t>The efficacy of low-level 940 nm laser therapy with different energy intensities on bone healing.</t>
  </si>
  <si>
    <t>Biphasic dose response?</t>
  </si>
  <si>
    <t>1500
3000
6000</t>
  </si>
  <si>
    <t>5
10
20</t>
  </si>
  <si>
    <t>d = 30
mm</t>
  </si>
  <si>
    <t>10
10
10</t>
  </si>
  <si>
    <t>"No significant change was observed in the number of osteocytes, osteoblasts, osteoclasts and newly formed vessels at either time period across all laser groups. Although LLLT with the 10 J/cm2 energy density increased fibroblast activity at the 4th week in comparison with the 5 and 20 J/cm2 groups, no significant change was observed between the laser groups and the control group. "
"These results indicate that low-level 940 nm laser with different energy intensities may not have marked effects on the bone healing process in both phases of bone formation."</t>
  </si>
  <si>
    <t>de Almeida</t>
  </si>
  <si>
    <t>Brazil
(Araçatuba)</t>
  </si>
  <si>
    <t>Influence of low-level laser therapy on the healing process of autogenous bone block grafts in the jaws of systemically nicotine-modified rats: A histomorphometric study.</t>
  </si>
  <si>
    <t>Autogenous bone block graft</t>
  </si>
  <si>
    <t>"Nicotine harms bone formation in the bed-graft interface and LLLT action can mitigate this."
Comment: There seems to be an error in the reporting of parameters. They irradiated 8 spots with 4J/cm2 and another area with 4J/cm2. They claim that the total dose was 36J/cm2, but energy density can not be added up this way.</t>
  </si>
  <si>
    <t>Dereci</t>
  </si>
  <si>
    <t>The Comparison of the Efficacy of Blue Light-Emitting Diode Light and 980-nm Low-Level Laser Light on Bone Regeneration</t>
  </si>
  <si>
    <t>Blue light 🔵
Wavelength comparison</t>
  </si>
  <si>
    <t>400-
490
890</t>
  </si>
  <si>
    <t>"In conclusion, blue LED light significantly enhances bone regeneration in critical-sized defects when compared with CL group, but does not have a statistically significant effect on bone regeneration when compared with 980-nm low-level laser light."</t>
  </si>
  <si>
    <t>Medalha</t>
  </si>
  <si>
    <t>Low level laser therapy accelerates bone healing in spinal cord injured rats.</t>
  </si>
  <si>
    <t>Spinal cord injury (SCI) --&gt; Tibial bone defect</t>
  </si>
  <si>
    <t>100</t>
  </si>
  <si>
    <t>"The results of the histological and morphometric evaluation demonstrated that the SL group showed a larger amount of newly formed bone compared to the SC group. Moreover, a significant immunoexpression of runt-related transcription factor 2 (RUNX2) was observed in the SL group. There was no statistical difference in the biomechanical evaluation.
In conclusion, the results suggest that LLLT accelerated the process of bone repair in rats with complete SCI."</t>
  </si>
  <si>
    <t>Effects of Photobiomodulation and Mesenchymal Stem Cells on Articular Cartilage Defects in a Rabbit Model.</t>
  </si>
  <si>
    <t>0.430</t>
  </si>
  <si>
    <t>4 / 8.5
(???)</t>
  </si>
  <si>
    <t>11
(?)</t>
  </si>
  <si>
    <t>"No significant difference in new cartilage formation and inflammation was found between the groups (p &gt; 0.05). However, there was significantly more new bone formation in the experimental group (p &lt; 0.05)."
Comment: The abstract claims the energy density is 4 J/cm2 and full text claims the energy density is 8.5 J/cm2.</t>
  </si>
  <si>
    <t>Thor LX2 device</t>
  </si>
  <si>
    <t>Rajaei Jafarabadi</t>
  </si>
  <si>
    <t>The effects of photobiomodulation and low-amplitude high-frequency vibration on bone healing process: a comparative study.</t>
  </si>
  <si>
    <t>A transverse critical size defect (CSD) to femur</t>
  </si>
  <si>
    <t>1.52</t>
  </si>
  <si>
    <t>d = 0.35
cm</t>
  </si>
  <si>
    <t>11
21
(?)</t>
  </si>
  <si>
    <t>"The biostimulation effects of PBM or LLLT and of low-amplitude high-frequency WBV both had a positive impact on bone healing process, for critical size defects in the presence of a stainless steel implant. But their combination, i.e., low-level laser therapy and low-amplitude high-frequency whole body vibration (LV), interestingly did not accelerate the fractured bone healing process."</t>
  </si>
  <si>
    <t>1.7 /
1.07</t>
  </si>
  <si>
    <t>"The results of the histological and morphometric evaluation demonstrated that the SL group showed a larger amount of newly formed bone compared to the SC group. Moreover, a significant immunoexpression of runt-related transcription factor 2 (RUNX2) was observed in the SL group. There was no statistical difference in the biomechanical evaluation. In conclusion, the results suggest that LLLT accelerated the process of bone repair in rats with complete SCI."
Comment: The power density (irradiance) was 1.7 W/cm2 according to the abstract, and 1.07 W/cm2 according to the full text.</t>
  </si>
  <si>
    <t>Application mode: Stationary in skin contact mode</t>
  </si>
  <si>
    <t>☹
☹</t>
  </si>
  <si>
    <t>Freddo</t>
  </si>
  <si>
    <t>Brazil
(Porto Alegre)</t>
  </si>
  <si>
    <t>J Oral Maxillofac Surg</t>
  </si>
  <si>
    <t>Influence of a Magnetic Field and Laser Therapy on the Quality of Mandibular Bone During Distraction Osteogenesis in Rabbits.</t>
  </si>
  <si>
    <t>830
/ 780
(???)</t>
  </si>
  <si>
    <t>5
(on 4p?)</t>
  </si>
  <si>
    <t>d = 0.4
mm</t>
  </si>
  <si>
    <t xml:space="preserve">"The LLLT group exhibited a larger amount of newly formed bone and a larger number of osteoblasts in the cell division phase, but the difference was not statistically relevant compared with the control group."
Comment: Wavelength was 830nm according to the abstract, but 780nm according to the full text. </t>
  </si>
  <si>
    <t>Bosco</t>
  </si>
  <si>
    <t>Effects of low-level laser therapy on bone healing of critical-size defects treated with bovine bone graft.</t>
  </si>
  <si>
    <t>Bone graft</t>
  </si>
  <si>
    <t>19.44</t>
  </si>
  <si>
    <t>30.85</t>
  </si>
  <si>
    <t>0.07
cm2</t>
  </si>
  <si>
    <t>576
(8p)</t>
  </si>
  <si>
    <t>1
(?)</t>
  </si>
  <si>
    <t>"LLLT can improve bone formation process in CSD filled or not with BBG in rat calvaria, but it is not able to accelerate particles resorption of this material in the interior of bone defect."</t>
  </si>
  <si>
    <t>Acar</t>
  </si>
  <si>
    <t>Turkey</t>
  </si>
  <si>
    <t>Bone regeneration by low-level laser therapy and low-intensity pulsed ultrasound therapy in the rabbit calvarium.</t>
  </si>
  <si>
    <t>LLLT enhanced new bone formation in comparison to the untreated controls.
Comment: Parameters were poorly reported.</t>
  </si>
  <si>
    <t>Device: "CHEESE Dental Laser System, DEN4A"</t>
  </si>
  <si>
    <t>Havlucu</t>
  </si>
  <si>
    <t>J Oral Implantol</t>
  </si>
  <si>
    <t>Effects of Light-Emitting Diode Photobiomodulation Therapy and BioOss as Single and Combined Treatment in an Experimental Model of Bone Defect Healing in Rats.</t>
  </si>
  <si>
    <t>0.02</t>
  </si>
  <si>
    <t>24</t>
  </si>
  <si>
    <t>"Within the limitations of this study, LPT has positive effects on bone healing histopathologically and histomorphometrically for the defects filled with BioOss 3 weeks after the rats' femora injury."
Comment: Parameters were poorly reported. For example, spot size was not reported.</t>
  </si>
  <si>
    <t>OsseoPulse LED device</t>
  </si>
  <si>
    <t>Nascimento</t>
  </si>
  <si>
    <t>Improvement of bone repair in diabetic rats subjected to ƛ780 nm low-level laser therapy.</t>
  </si>
  <si>
    <t>1.75</t>
  </si>
  <si>
    <t>0.7</t>
  </si>
  <si>
    <t>17.5</t>
  </si>
  <si>
    <t>0.04
cm2</t>
  </si>
  <si>
    <t>40
(4p)</t>
  </si>
  <si>
    <t>"Low-level laser therapy significantly increased alkaline phosphatase in at seven and 18 days (p&lt;0.001), and improved bone healing at seven (p&lt;0.01), 18 (p&lt;0.05) and 30 (p&lt;0.01) in diabetic animals. In addition, bone healing in irradiated diabetic group was statistically similar to control group at 30 days (p&gt;0.05)."
Comment: Parameters were well reported!</t>
  </si>
  <si>
    <t>The effects of combined low level laser therapy and mesenchymal stem cells on bone regeneration in rabbit calvarial defects.</t>
  </si>
  <si>
    <t>"The histological evaluation showed a statistically significant increase in new bone formation of LLLT group relative to the control and the other two experimental groups (p&lt;0.05). There was no significant difference in bone formation of the control group compared to experimental groups filled with MSCs. Laser irradiation had no significant effect on resorption of the scaffold material. In addition, inflammation was significantly reduced in LLLT group compared to the control defects and the other two experimental groups."
"Low level laser therapy could be effective in bone regeneration but there is no evidence of a synergistic effect when applied in conjunction with MSCs."</t>
  </si>
  <si>
    <t>Soares</t>
  </si>
  <si>
    <t>Brazil (Salvador, Bahia)</t>
  </si>
  <si>
    <t>Braz Dent J</t>
  </si>
  <si>
    <t>Repair of surgical bone defects grafted with hydroxylapatite + β-TCP and irradiated with λ=850 nm LED light.</t>
  </si>
  <si>
    <t>Surgical bone defect
LED phototherapy
Bone graft (HA + β-TCP)</t>
  </si>
  <si>
    <t>0.5
cm2</t>
  </si>
  <si>
    <t>"It may be concluded that the use of LED phototherapy was effective in positively modulating the process of bone repair of bone defects in the femur of rats submitted or not to biomaterial grafting."
Comment: Treatment parameters were poorly reported. Radiant energy, power density and treatment duration were missing.</t>
  </si>
  <si>
    <t>Device: FisioLED; MMOptics , São Carlos, SP, Brazil</t>
  </si>
  <si>
    <t>Sella</t>
  </si>
  <si>
    <t>Effect of low-level laser therapy on bone repair: a randomized controlled experimental study.</t>
  </si>
  <si>
    <t>2
(2p)</t>
  </si>
  <si>
    <t>37</t>
  </si>
  <si>
    <t>10
(2p)</t>
  </si>
  <si>
    <t>"Microscopic analysis revealed a significant decrease in inflammatory infiltration, intense trabecular bone matrix and periosteal formation, and an increase in newly formed bone after laser irradiation."</t>
  </si>
  <si>
    <t>Magnus Plus, DMC Equipment; gallium aluminum arsenide laser device</t>
  </si>
  <si>
    <t>Marques</t>
  </si>
  <si>
    <t>New LLLT protocol to speed up the bone healing process-histometric and immunohistochemical analysis in rat calvarial bone defect.</t>
  </si>
  <si>
    <t>16
3.7</t>
  </si>
  <si>
    <t>9
3</t>
  </si>
  <si>
    <t>8
(?)</t>
  </si>
  <si>
    <t>"The results suggest LLLT using the protocol 2 hastened the bone healing process in the early periods after surgery."
Comment: At 45 days, there was no difference between the groups, but at 15 days, the amount of newly formed bone seemed to be a little bit higher in the laser groups.
Comment: It seems that spot/beam size wasn't reported in this study.</t>
  </si>
  <si>
    <t>Oliveira</t>
  </si>
  <si>
    <t>Rev Bras Ortop</t>
  </si>
  <si>
    <t>COMPARATIVE STUDY OF THE EFFECTS OF LOW-LEVEL LASER AND LOW-INTENSITY ULTRASOUND ASSOCIATED WITH BIOSILICATE(®) ON THE PROCESS OF BONE REPAIR IN THE RAT TIBIA.</t>
  </si>
  <si>
    <t>THERALASE device (version 24)</t>
  </si>
  <si>
    <t>1?</t>
  </si>
  <si>
    <t>"Curiously, the Biosilicate® plus laser or ultrasound groups showed lower amounts of bone tissue deposition when compared with control fracture and Biosilicate® groups."</t>
  </si>
  <si>
    <t>Photobiomodulation and bone healing in diabetic rats: evaluation of bone response using a tibial defect experimental model.</t>
  </si>
  <si>
    <t>Diabetic rats
Tibial bone healing</t>
  </si>
  <si>
    <t>0.84
1.68
3.36</t>
  </si>
  <si>
    <t>30
60
120</t>
  </si>
  <si>
    <t>8
16
33</t>
  </si>
  <si>
    <t>6
12</t>
  </si>
  <si>
    <t>"In the histological and morphometric evaluation, all laser-treated groups showed a better histological pattern and a higher amount of newly formed bone compared to DCG. An intense RUNX2 immunoexpression was observed in the laser-treated groups, 15 days after the surgery. 
There was no statistical difference in the biomechanical analysis among the groups.
In conclusion, PBM, in all fluences used, showed an osteogenic potential in bone healing of diabetic rats"</t>
  </si>
  <si>
    <t>Batista</t>
  </si>
  <si>
    <t>Brazil
(Uberlândia)</t>
  </si>
  <si>
    <t>Low-level laser therapy on bone repair: is there any effect outside the irradiated field?</t>
  </si>
  <si>
    <t>Systemic effects?</t>
  </si>
  <si>
    <t>d = 0.028
cm</t>
  </si>
  <si>
    <t>4
8
11</t>
  </si>
  <si>
    <t>"Laser therapy presented a positive local biostimulative effect in the early stage of bone healing, but the LLLT effect was not observed a long distance from the evaluated area."</t>
  </si>
  <si>
    <t>Application: punctual</t>
  </si>
  <si>
    <t>Altan</t>
  </si>
  <si>
    <t>Turkey
(Kocaeli)</t>
  </si>
  <si>
    <t>The effect of dosage on the efficiency of LLLT in new bone formation at the expanded suture in rats.</t>
  </si>
  <si>
    <t>Midpalatal suture expansion</t>
  </si>
  <si>
    <t>50
50
100</t>
  </si>
  <si>
    <t>1.6
1.6
1.6</t>
  </si>
  <si>
    <t>0.15
0.65
198</t>
  </si>
  <si>
    <t>5
20
6300</t>
  </si>
  <si>
    <t>d =
2 mm
(?)</t>
  </si>
  <si>
    <t>3
13
1980</t>
  </si>
  <si>
    <t>"Low-level laser therapy with both 5 and 6,300 J/cm(2) doses was found to be significantly effective, while the 20 J/cm(2) dose did not show a significant effect in increasing new bone formation. This finding reveals that the efficiency of the therapy is affected by the dosage."
Note: There was increase in bone formation in the medium dose group as well, but it was a little bit less pronounced. The bone formation increase was clearly highest in the "low dose" group (87%) compared to medium (41%) and high (51%) dose groups.</t>
  </si>
  <si>
    <t>Akyol</t>
  </si>
  <si>
    <t>Turkey
(Rize)</t>
  </si>
  <si>
    <t>The influence of low-level laser therapy with alendronate irrigation on healing of bone defects in rats.</t>
  </si>
  <si>
    <t>Alendronate potentiation</t>
  </si>
  <si>
    <t>0.1</t>
  </si>
  <si>
    <t>"Our findings demonstrated that Aln has a more positive effect with LLLT on bone healing in rats.
It was concluded that combining LLLT with Aln irrigation has a beneficial effect in bone repair. It was demonstrated experimentally that Aln irrigation during the surgery had a significant effect to enhance bone formation, and LLLT significantly potentiated the osseous healing effects of Aln on bone defects. This administration method is able to minimize the dose of Aln in order to avoid both systemic and local adverse effects as well as the local injection times during the bone healing process."</t>
  </si>
  <si>
    <t>Effect of low-level laser therapy on repair of the bone compromised by radiotherapy.</t>
  </si>
  <si>
    <t>Radiotherapy</t>
  </si>
  <si>
    <t>50
or
100</t>
  </si>
  <si>
    <t>0.04
cm2
or
0.028
cm2</t>
  </si>
  <si>
    <t>"The result demonstrated a positive local biostimulative effect of LLLT in normal bone. However, LLLT was not able to revert the bone metabolic damage due to ionizing radiation."
Note: The parameters in the abstract contradict the parameters given in the full text.</t>
  </si>
  <si>
    <t>Raman study of the repair of surgical bone defects grafted with biphasic synthetic microgranular HA + β-calcium triphosphate and irradiated or not with λ780 nm laser.</t>
  </si>
  <si>
    <t>5
(?)</t>
  </si>
  <si>
    <t>0.4
cm2</t>
  </si>
  <si>
    <t>"It is concluded that the use of laser phototherapy associated to biomaterial was effective in improving bone healing on bone defects as a result of the increasing deposition of calcium hydroxyapatite measured by Raman spectroscopy."</t>
  </si>
  <si>
    <t>Influence of the λ780nm laser light on the repair of surgical bone defects grafted or not with biphasic synthetic micro-granular hydroxylapatite+Beta-Calcium triphosphate.</t>
  </si>
  <si>
    <t>"Many similarities were observed histologically between groups on regards bone reabsorption and neoformation, inflammatory infiltrate and collagen deposition. The criterion degree of maturation, marked by the presence of basophilic lines, indicated that the use of LPT associated with HA+Beta TCP graft, resulted in more advanced stage of bone repair at the end of the experiment."
Comment: These authors appear to think that energy density in 4 separate points can be added up (4*5 J/cm2 = 20 J/cm2)...</t>
  </si>
  <si>
    <t>Clin Oral Implants Res</t>
  </si>
  <si>
    <t>The effect of low-level laser on bone healing in critical size defects treated with or without autogenous bone graft: an experimental study in rat calvaria.</t>
  </si>
  <si>
    <t>780 
or
810
(????)</t>
  </si>
  <si>
    <t>0.100
(???)</t>
  </si>
  <si>
    <t>6
(?)</t>
  </si>
  <si>
    <t>6
or
210
(???)</t>
  </si>
  <si>
    <t>60
/p
(5p total)</t>
  </si>
  <si>
    <t>"Utilization of LLL favored the healing process in rat calvaria. The quantity of new bone formation with use of the LLL was similar to the autogenous bone graft."
Comment: Parameters in abstract and full text contradict each others (eg. wavelength 780 vs 810; power density 6 J/cm2 vs 210 J/cm2
Comment: Also, the full text states that "power" is 100 mW/cm2, but that is the unit of intensity/irradiance, not power. The reporting of parameters is extremely bad in this case.</t>
  </si>
  <si>
    <t>Babuccu</t>
  </si>
  <si>
    <t>Cumulative effect of low-level laser therapy and low-intensity pulsed ultrasound on bone repair in rats.</t>
  </si>
  <si>
    <t>8
11
(?)</t>
  </si>
  <si>
    <t>"Combined LLLT + LIPUS treatment enhanced bone healing both histologically and mechanically, shortening the length of the treatment period, when compared to treatment with LLLT or LIPUS alone."</t>
  </si>
  <si>
    <t>Aciole</t>
  </si>
  <si>
    <t>Assessment of the LED phototherapy on femoral bone defects of ovariectomized rats: a Raman spectral study.</t>
  </si>
  <si>
    <t>20.4</t>
  </si>
  <si>
    <t>"The results of this study are indicative that infrared LED-PT improved the deposition of [hydroxyapatite] on bone defects of ovariectomized rats."</t>
  </si>
  <si>
    <t>Raman ratios on the repair of grafted surgical bone defects irradiated or not with laser (λ780 nm) or LED (λ850 nm).</t>
  </si>
  <si>
    <t>LLLT vs LED
LED phototherapy</t>
  </si>
  <si>
    <t>5
20
(???)</t>
  </si>
  <si>
    <t>0.4
cm2
0.5
cm2</t>
  </si>
  <si>
    <t>7
7</t>
  </si>
  <si>
    <t>"The results of the present study are well aligned with previous reports from our group [7, 8, 9, 13, 14, 22, 27, 30] and indicate that the association of laser/LED light with HA graft improved the repair of bone defects."
Comment: I was unable to interpret the results.</t>
  </si>
  <si>
    <t>Fangel</t>
  </si>
  <si>
    <t>J Appl Biomater Funct Mater</t>
  </si>
  <si>
    <t>Biomechanical properties: effects of low-level laser therapy and Biosilicate® on tibial bone defects in osteopenic rats.</t>
  </si>
  <si>
    <t>Osteopenia</t>
  </si>
  <si>
    <t>"Animals submitted to low-level laser therapy (LLLT) did not show any significant biomechanical improvement, but the association between Biosilicate® and LLLT was shown to be efficient to enhance callus biomechanical properties."</t>
  </si>
  <si>
    <t>Rasouli Ghahroudi</t>
  </si>
  <si>
    <t>Effect of low-level laser therapy irradiation and Bio-Oss graft material on the osteogenesis process in rabbit calvarium defects: a double blind experimental study.</t>
  </si>
  <si>
    <t>"The mean amount of new bone was 15.83 and 18.5% in the controls on the 4th and 8th week; 27.66 and 25.16% in the laser-irradiated group; 35.0 and 41.83% in Bio-Oss and 41.83 and 47.0% in the laser + Bio-Oss treated specimens with significant statistical differences (p &lt;0.05).
Application of LLLT in combination with Bio-Oss® can promote bone healing. Therefore, LLLT may be clinically beneficial in promoting bone formation in skeletal defects."
Comment: Parameters were very poorly reported.</t>
  </si>
  <si>
    <t>Effect of LLLT on autogenous bone grafts in the repair of critical size defects in the calvaria of immunosuppressed rats.</t>
  </si>
  <si>
    <t>0.70</t>
  </si>
  <si>
    <t>4.9
(on 5 points)</t>
  </si>
  <si>
    <t>0.0283
cm2</t>
  </si>
  <si>
    <t>20
(5p)</t>
  </si>
  <si>
    <t>"The use of LLLT with [autogenous bone] effectively stimulated bone formation in CSDs in the calvaria of immunosuppressed rats."</t>
  </si>
  <si>
    <t>Acta Ortop Bras</t>
  </si>
  <si>
    <t>Laser therapy in bone repair in rats: analysis of bone optical density.</t>
  </si>
  <si>
    <t>660
830</t>
  </si>
  <si>
    <t>4
4</t>
  </si>
  <si>
    <t>"Based on the radiographic findings, G (830nm) showed more complete bone regeneration, as shown in the gray shades of the images."</t>
  </si>
  <si>
    <t>Flash Lase III (DMC Equipment Ltda, São Carlos, SP, Brazil)</t>
  </si>
  <si>
    <t>Do laser/LED phototherapies influence the outcome of the repair of surgical bone defects grafted with biphasic synthetic microgranular HA + β-tricalcium phosphate? A Raman spectroscopy study.</t>
  </si>
  <si>
    <t>LED phototherapy
LLLT vs LED</t>
  </si>
  <si>
    <t>5
5
(on 4 points)</t>
  </si>
  <si>
    <t>"Raman intensities of both mineral and matrix components indicated that the use of laser and LED phototherapies improved the repair of bone defects grafted or not with biphasic synthetic microgranular HA + β-tricalcium phosphate."</t>
  </si>
  <si>
    <t>Laser device: TwinFlex Evolution®, MMOptics
LED device: FisioLED®, MMOptics</t>
  </si>
  <si>
    <t>Coelho</t>
  </si>
  <si>
    <t>Systemic effects of LLLT on bone repair around PLLA-PGA screws in the rabbit tibia.</t>
  </si>
  <si>
    <t>1
(on 4 points)</t>
  </si>
  <si>
    <t>d = 0.06 cm</t>
  </si>
  <si>
    <t>40.4
(4p)</t>
  </si>
  <si>
    <t>max
7</t>
  </si>
  <si>
    <t>"The results observed in the left paw of experimental animals were compared with the left paws of control animals. We also compared the right and left paws of experimental animals so as to compare local and potential systemic effects. Bone specimens were analyzed to assess the extent of peri-implant bone formation, quantitative analysis revealed greater bone formation in the left tibia of experimental animals as compared to controls on 5-day follow-up. Descriptive analysis revealed slightly larger and thicker trabeculae in the irradiated animals at 5 days post-procedure.
There were no significant differences at any other point in time. As used in this study, LLLT had a positive systemic effect on the early stages of bone formation."</t>
  </si>
  <si>
    <t>Cunha</t>
  </si>
  <si>
    <t>Biomed Res Int</t>
  </si>
  <si>
    <t>Effect of low-level laser on bone defects treated with bovine or autogenous bone grafts: in vivo study in rat calvaria.</t>
  </si>
  <si>
    <t>6
/p</t>
  </si>
  <si>
    <t>0.05
cm2</t>
  </si>
  <si>
    <t>"In the present study, the fact that all groups irradiated with LLL presented superior results to group C and groups receiving only grafts suggests that this type of therapy may be effective in the healing of bone defects, especially when associated with a filling material."</t>
  </si>
  <si>
    <t>Mendonça</t>
  </si>
  <si>
    <t>Brazil
(Araras)</t>
  </si>
  <si>
    <t>Laser Phys</t>
  </si>
  <si>
    <t>Comparative study of the application of microcurrent and AsGa 904 nm laser radiation in the process of repair after calvaria bone excision in rats</t>
  </si>
  <si>
    <t>3</t>
  </si>
  <si>
    <t>"The results showed significant responses in the reduction of inflammatory cells and an increase in the number of new blood vessels, number of fibroblasts and deposition of birefringent collagen fibers when these data were compared with those of samples of the untreated lesions. 
Both applications, microcurrent and laser at 904 nm, favored tissue repair in the region of bone excisions during the study period and these techniques can be used as coadjuvantes in the repair of bone tissue."</t>
  </si>
  <si>
    <t>Mota</t>
  </si>
  <si>
    <t>Res Vet Svi</t>
  </si>
  <si>
    <t>Low-power laser therapy for repairing acute and chronic-phase bone lesions.</t>
  </si>
  <si>
    <t>90</t>
  </si>
  <si>
    <t>4
9
19</t>
  </si>
  <si>
    <t>"Laser-treated animals showed significant increases in serum alkaline phosphatase levels and had an effect on biomechanical property, resulting in a gradual increase in bone stiffness. Laser therapy aided the bone consolidation process and favored the physiopathologic mechanisms involved in bone tissue repair, and its effects were more prominent when treatment started during the acute phase of the injury."
Comment: Parameters were poorly reported, but they are possible to calculate from the given variables.</t>
  </si>
  <si>
    <t>Device: BIOSET laser equipment (Phisiolux Dual P. 4050)</t>
  </si>
  <si>
    <t>Ekizer</t>
  </si>
  <si>
    <t>Turkey
(Kayseri)</t>
  </si>
  <si>
    <t>Light-emitting diode photobiomodulation: effect on bone formation in orthopedically expanded suture in rats--early bone changes.</t>
  </si>
  <si>
    <t>"New bone formation area (p = 0.024, 1.48-fold), number of osteoblasts (p &lt; 0.001, 1.59-fold), number of osteoclasts (p = 0.004, 1.43-fold), and number of vessels (p = 0.007, 1.67-fold) showed higher values in the experimental group than the control. Bone histomorphometric measurements revealed that bone architecture in the LPT group was improved."
Comment: Parameters were poorly reported.</t>
  </si>
  <si>
    <t>Device: OsseoPulse LED device (shown in a photograph)</t>
  </si>
  <si>
    <t>Effects of LLLT in combination with bisphosphonate on bone healing in critical size defects: a histological and histometric study</t>
  </si>
  <si>
    <t>LLLT vs alendronate</t>
  </si>
  <si>
    <t>0.4285</t>
  </si>
  <si>
    <t>"It was possible to conclude that the LLLT associated or not with bisphosphonate treatment was effective for stimulating bone formation in CSD in the calvaria of rats submitted to ovariectomy."</t>
  </si>
  <si>
    <t>Peccin</t>
  </si>
  <si>
    <t>Helium-neon laser improves bone repair in rabbits: comparison at two anatomic sites.</t>
  </si>
  <si>
    <t>0.0314
cm2</t>
  </si>
  <si>
    <t>7
21
35
(?)</t>
  </si>
  <si>
    <t>"Taken together, such findings suggest that helium-neon laser is able to improve bone repair in rabbits being the most pronounced effect in tibia."
Comment: Parameters were poorly reported.</t>
  </si>
  <si>
    <t>Pinto</t>
  </si>
  <si>
    <t>Brazil
(Rio de Janeiro)</t>
  </si>
  <si>
    <t>Oral Surg Oral Med Oral Pathol Oral Radiol</t>
  </si>
  <si>
    <t>Influence of low-intensity laser therapy on the stability of orthodontic mini-implants: a study in rabbits.</t>
  </si>
  <si>
    <t>2.5
/p ?</t>
  </si>
  <si>
    <t>25
/p</t>
  </si>
  <si>
    <t>"There was a statistically significant difference only between Group TF submitted to laser and all the other groups (P &lt; .05)."
"Low-intensity laser was capable of increasing stability of self-threading orthodontic mini-implants."</t>
  </si>
  <si>
    <t>Ribeiro</t>
  </si>
  <si>
    <t>Int J Photoenergy</t>
  </si>
  <si>
    <t>Low-Level Laser Therapy and Calcitonin in Bone Repair: Densitometric Analysis</t>
  </si>
  <si>
    <t>LLLT vs synthetic salmon calcitonin</t>
  </si>
  <si>
    <t>0.1
cm2</t>
  </si>
  <si>
    <t>The results of the densitometric study showed that LLLT (830 nm) combined with calcitonin improved bone repair.
Comment: The improvement seemed very modest, especially when comparing LLLT with control.</t>
  </si>
  <si>
    <t>Effects of LED phototherapy on bone defects grafted with MTA, bone morphogenetic proteins and guided bone regeneration: a Raman spectroscopic study.</t>
  </si>
  <si>
    <t>7/8
(?)</t>
  </si>
  <si>
    <t>"The results of this study using Raman spectral analysis indicate that infrared LED light irradiation improves the deposition of CHA in healing bone grafted or not with MTA."</t>
  </si>
  <si>
    <t>Rosa</t>
  </si>
  <si>
    <t>Effects of the combination of low-level laser irradiation and recombinant human bone morphogenetic protein-2 in bone repair.</t>
  </si>
  <si>
    <t>"It can be concluded that LLLI administered during surgery effectively accelerated healing of critical bone defects filled with pure rhBMP-2, achieving a better result than LLLI alone or the use of rhBMP-2 alone."</t>
  </si>
  <si>
    <t>Ebrahimi</t>
  </si>
  <si>
    <t>J Dent (Tehran)</t>
  </si>
  <si>
    <t>The influence of low-intensity laser therapy on bone healing.</t>
  </si>
  <si>
    <t>"Twenty-five relevant articles (13 in vitro and 12 animal studies) were included. Eleven in vitro studies showed positive results with regard to acceleration of cell proliferation and differentiation. All animal studies showed improved bone healing in sites irradiated with low-intensity laser."</t>
  </si>
  <si>
    <t>Kocyigit</t>
  </si>
  <si>
    <t>Turkey
(Kirikkale)</t>
  </si>
  <si>
    <t>A comparison of the low-level laser versus low intensity pulsed ultrasound on new bone formed through distraction osteogenesis.</t>
  </si>
  <si>
    <t>0.025</t>
  </si>
  <si>
    <t>7.5
(15/d)</t>
  </si>
  <si>
    <t>8
(16(d)</t>
  </si>
  <si>
    <t>0.95
cm2</t>
  </si>
  <si>
    <t>300
(600/d)</t>
  </si>
  <si>
    <t>(2
/d)</t>
  </si>
  <si>
    <t>"LIPUS and LLLT applied during the distraction period accelerated the DO treatment."</t>
  </si>
  <si>
    <t>J Biomed Opt</t>
  </si>
  <si>
    <t>Low-level laser therapy, at 60 J/cm2 associated with a Biosilicate(®) increase in bone deposition and indentation biomechanical properties of callus in osteopenic rats.</t>
  </si>
  <si>
    <t>Osteopenic rats</t>
  </si>
  <si>
    <t>60</t>
  </si>
  <si>
    <t>"Our results indicate that laser therapy improves bone repair process in contact with Biosilicate as a result of increasing bone formation as well as indentation biomechanical properties."</t>
  </si>
  <si>
    <t>Siéssere</t>
  </si>
  <si>
    <t>Application of low-level laser irradiation (LLLI) and rhBMP-2 in critical bone defect of ovariectomized rats: histomorphometric evaluation.</t>
  </si>
  <si>
    <t>"In Group I, when the laser was used alone and in Group VI, when the laser was used with monoolein gel, the results were statistically similar, resulting in new bone tissue in both groups. The results of this study are consistent with the findings of Renno et al. (8) who used low-level laser therapy with the same dose of this study (120 J/cm2 ) and found that LLLI was able to prevent bone loss."</t>
  </si>
  <si>
    <t>Ré Poppi</t>
  </si>
  <si>
    <t>Brazil
(Campo Grande)</t>
  </si>
  <si>
    <t>Evaluation of the osteogenic effect of low-level laser therapy (808 nm and 660 nm) on bone defects induced in the femurs of female rats submitted to ovariectomy.</t>
  </si>
  <si>
    <t>100
100</t>
  </si>
  <si>
    <t>3.3
3.3</t>
  </si>
  <si>
    <t>133.3</t>
  </si>
  <si>
    <t>0.03
cm2</t>
  </si>
  <si>
    <t>14
28</t>
  </si>
  <si>
    <t>"The results from days 14 and 21 showed that the irradiated groups presented increased density of osteoblasts, fibroblasts, and immature osteocytes on the tissue surface compared with the control (non-irradiated) groups (p &lt; 0.05). Additionally, inflammatory infiltrate evaluations showed that LLLT decreased the accumulation of leukocytes when compared to the control treatment (p &lt; 0.05).
We concluded that, in our experimental model, both wavelengths (660-nm and 880-nm) inhibited the inflammatory process and induced the proliferation of cells responsible for bone remodeling and repair."</t>
  </si>
  <si>
    <t>Light microscopic description of the effects of laser phototherapy on bone defects grafted with mineral trioxide aggregate, bone morphogenetic proteins, and guided bone regeneration in a rodent model.</t>
  </si>
  <si>
    <t>4
(on 4 points)</t>
  </si>
  <si>
    <t>"Major changes were seen on irradiated subjects and included marked deposition of new bone in advanced maturation. It is concluded that near infrared laser phototherapy improved the results of the use of the MTA on bone defects."</t>
  </si>
  <si>
    <t>Kazem Shakouri</t>
  </si>
  <si>
    <t>Iran
(Tabriz)</t>
  </si>
  <si>
    <t>Effect of low-level laser therapy on the fracture healing process.</t>
  </si>
  <si>
    <t>"The result of the study showed that the use of laser could enhance callus development in the early stage of the healing process, with doubtful improvement in biomechanical properties of the healing bone; therefore, laser therapy may be recommended as an additional treatment in non-union fractures in humans."
Comment: Parameters were poorly reported.</t>
  </si>
  <si>
    <t>Device: Endolaser 476, Enraf Nonius</t>
  </si>
  <si>
    <t>Hübler</t>
  </si>
  <si>
    <t>Effects of low-level laser therapy on bone formed after distraction osteogenesis.</t>
  </si>
  <si>
    <t>"The analysis of chemical composition and calcium (Ca) and phosphorus (P) ratios revealed greater mineralization in the LLLT group. Diffractograms showed that the crystalline structure of the samples was similar to that of hydroxyapatites. Crystallinity percentages were greater in rabbits that were given LLLT. Crystallinity (41.14% to 54.57%) and the chemical composition of the bone at the distraction osteogenesis site were similar to the that of the control group (42.37% to 49.29%). The results showed that LLLT had a positive effect on the biomodulation of newly formed bone."</t>
  </si>
  <si>
    <t>Effect of low-level laser therapy and calcitonin on bone repair in castrated rats: a densitometric study.</t>
  </si>
  <si>
    <t>PBM vs calcitonin</t>
  </si>
  <si>
    <t>213
(?)</t>
  </si>
  <si>
    <t>4
7
11
(?)</t>
  </si>
  <si>
    <t>"The La and CaLa had significantly higher bone mineral density than the control and Ca groups."</t>
  </si>
  <si>
    <t>Device: Thera Laser, D. M. C. Equipamentos Ltda., Sa˜o Carlos, SP, Brazil</t>
  </si>
  <si>
    <t>Lopes</t>
  </si>
  <si>
    <t>The effect of the association of near infrared laser therapy, bone morphogenetic proteins, and guided bone regeneration on tibial fractures treated with internal rigid fixation: a Raman spectroscopic study.</t>
  </si>
  <si>
    <t>4(?)</t>
  </si>
  <si>
    <t>"It is concluded that the use of NIR LLLT associated to BMPs and GBR was effective in improving bone healing on fractured bones due to increased levels of CHA."
Comment: The abstract was very strangely written, and I am not sure whether the authors understand the dose parameters...
Comment: Parameters were poorly reported.</t>
  </si>
  <si>
    <t>Low level laser therapy does not modulate the outcomes of a highly bioactive glass-ceramic (Biosilicate) on bone consolidation in rats.</t>
  </si>
  <si>
    <t>60
120</t>
  </si>
  <si>
    <t>d = 0.6 mm</t>
  </si>
  <si>
    <t>17
34</t>
  </si>
  <si>
    <t>"Our findings suggest that although Biosilicate exerts some osteogenic activity during bone repair, laser therapy is not able to modulate this process."</t>
  </si>
  <si>
    <t>Comparison of the effects of electrical field stimulation and low-level laser therapy on bone loss in spinal cord-injured rats.</t>
  </si>
  <si>
    <t>0.03</t>
  </si>
  <si>
    <t>14
(2p)
(?)</t>
  </si>
  <si>
    <t>250</t>
  </si>
  <si>
    <t>70
/p</t>
  </si>
  <si>
    <t>"We conclude that the mentioned treatments were able to initiate a positive bone-tissue response, maybe through stimulation of osteoblasts, which was able to determine the observed morphometric modifications. However, the evoked tissue response could not determine either biomechanical or densitometric modifications."</t>
  </si>
  <si>
    <t>Bashardoust Tajali</t>
  </si>
  <si>
    <t>Canada
(London)</t>
  </si>
  <si>
    <t>J Orthop Surg Res</t>
  </si>
  <si>
    <t>Effects of low power laser irradiation on bone healing in animals: a meta-analysis.</t>
  </si>
  <si>
    <t>📊 Meta-analysis</t>
  </si>
  <si>
    <t>"Studies indicate that low power laser irradiation can enhance biomechanical properties of bone during fracture healing in animal models. Maximum bone tolerance was statistically improved following low level laser irradiation (average random effect size 0.726, 95% CI 0.08-1.37, p 0.028).
While conclusions are limited by the low number of studies, there is concordance across limited evidence that laser improves the strength of bone tissue during the healing process in animal models."</t>
  </si>
  <si>
    <t>Kim</t>
  </si>
  <si>
    <t>Korea
(Busan)</t>
  </si>
  <si>
    <t>Expression of receptor activator of nuclear factor -kappaB ligand, receptor activator of nuclear factor -kappaB, and osteoprotegerin, following low-level laser treatment on deproteinized bovine bone graft in rats.</t>
  </si>
  <si>
    <t>0.830</t>
  </si>
  <si>
    <t>1.44
(3p)</t>
  </si>
  <si>
    <t>8.3</t>
  </si>
  <si>
    <t>d =
3.84 mm</t>
  </si>
  <si>
    <t>30
(3p)</t>
  </si>
  <si>
    <t>"The results of immunohistochemical analysis showed that the expression of RANKL (P = 0.199), OPG (P = 0.035), and RANK (P = 0.020) in the experimental group significantly increased from day 7, with a more even distribution than in the control group, and that this difference prevailed until the end of the experiment. Bone density of the experimental group after trichrome staining was also higher than in the control group.
These results suggest that LLL irradiation facilitates bone metabolism during bone healing at the sites of deproteinized bovine bone grafts in rats."</t>
  </si>
  <si>
    <t>Diniz</t>
  </si>
  <si>
    <t>Effect of low-power gallium-aluminum-arsenium laser therapy (830 nm) in combination with bisphosphonate treatment on osteopenic bone structure: an experimental animal study.</t>
  </si>
  <si>
    <t>1.5
/p ?</t>
  </si>
  <si>
    <t>0.375
cm2
area</t>
  </si>
  <si>
    <t>30
/p
(7p)</t>
  </si>
  <si>
    <t>"It was concluded that the laser therapy associated with bisphosphonate treatment was the best method for reversing vertebral osteopenia caused by the ovariectomy."</t>
  </si>
  <si>
    <t>Javadieh</t>
  </si>
  <si>
    <t>The effects of infrared low-level laser therapy on healing of partial osteotomy of tibia in streptozotocin-induced diabetic rats.</t>
  </si>
  <si>
    <t>11.6
23.3</t>
  </si>
  <si>
    <t>265
560</t>
  </si>
  <si>
    <t>"LLLT in an experimental diabetic model enhanced bone repair with a higher bending stiffness and maximum force compared to the control group."</t>
  </si>
  <si>
    <t>Device: Mustang 2000; Technical Co., Moscow, Russia</t>
  </si>
  <si>
    <t>Pereira</t>
  </si>
  <si>
    <t>Brazil
(Piracicaba)</t>
  </si>
  <si>
    <t>The effect of low-intensity laser therapy on bone healing around titanium implants: a histometric study in rabbits.</t>
  </si>
  <si>
    <t>"Low-intensity laser therapy did not affect the area of bone formed within the threads, but it may improve BIC in rabbit tibiae."
Comment: Could not access full text / parameters.</t>
  </si>
  <si>
    <t>Denadai</t>
  </si>
  <si>
    <t>Morphometric and histological analysis of low-power laser influence on bone morphogenetic protein in bone defects repair.</t>
  </si>
  <si>
    <t>0.1
cm2
spot
1.0
cm2
area</t>
  </si>
  <si>
    <t>"We concluded that the association of low-power laser with a bone-inducing substance produced better results than when low-power laser or BMPs were used alone."</t>
  </si>
  <si>
    <t>Device: A gallium–aluminum–arsenium (GaAlAs) laser made by Laserline® (Inova model)</t>
  </si>
  <si>
    <t>Bayat</t>
  </si>
  <si>
    <t>The effects of low-level laser therapy on bone in diabetic and nondiabetic rats.</t>
  </si>
  <si>
    <t>Dose response</t>
  </si>
  <si>
    <t>28.6
382.2</t>
  </si>
  <si>
    <t>90
1200</t>
  </si>
  <si>
    <t>"Maximum force (N) was significantly greater in laser-treated bones of groups 2 and 3 compared with their relevant control groups (paired Student t test, p = 0.05 and p = 0.007, respectively). Density of the bone lamella meshwork of compact bone in group 2 was significantly greater in comparison with its control group (paired Student t test, p = 0.005)."</t>
  </si>
  <si>
    <t>Device: A gaseous He-Ne laser unit (Model IR 2000; Iranian Atomic Energy Agency, Tehran, Iran)</t>
  </si>
  <si>
    <t>Abdi</t>
  </si>
  <si>
    <t>The effects of helium-neon light therapy on healing of partial osteotomy of the tibia in streptozotocin induced diabetic rats.</t>
  </si>
  <si>
    <t>66.8
369.4</t>
  </si>
  <si>
    <t>210
1166</t>
  </si>
  <si>
    <t>3
/wk</t>
  </si>
  <si>
    <t>"LT with a He-Ne laser in STZ-induced diabetic rats did not enhance bone repair of a partial transversal standardized osteotomy."</t>
  </si>
  <si>
    <t>AboElsaad</t>
  </si>
  <si>
    <t>Egypt
(Mansoura)</t>
  </si>
  <si>
    <t>Effect of soft laser and bioactive glass on bone regeneration in the treatment of bone defects (an experimental study).</t>
  </si>
  <si>
    <t>d = 3 mm</t>
  </si>
  <si>
    <t>"Laser irradiation had significantly accelerated bone healing at 4 weeks and 8 weeks in comparison with that at the sites not irradiated. However at 12 weeks, complete healing of the defects had occurred with no difference detected. Our results have confirmed the positive effect of soft laser in accelerating bone regeneration."</t>
  </si>
  <si>
    <t>Matsumoto</t>
  </si>
  <si>
    <t>Low-level laser therapy modulates cyclo-oxygenase-2 expression during bone repair in rats.</t>
  </si>
  <si>
    <t>~8</t>
  </si>
  <si>
    <t>"Taken together, such results suggest that low-level laser therapy is able to improve bone repair in the tibia of rats after 14 days of surgery as a result of an up-regulation for cyclo-oxygenase-2 expression in bone cells."
Comment: Parameters were poorly reported.</t>
  </si>
  <si>
    <t>Bone repair following bone grafting hydroxyapatite guided bone regeneration and infra-red laser photobiomodulation: a histological study in a rodent model.</t>
  </si>
  <si>
    <t>d =
0.6 mm</t>
  </si>
  <si>
    <t>"When the groups irradiated with implant and membrane were compared, it was observed that the repair of the defects submitted to LPBM was also processed faster, starting from the 15th day. At the 30th day, the level of repair of the defects was similar in the irradiated groups and those not irradiated. New bone formation was seen inside the cavity, probably by the osteoconduction of the implant, and, in the irradiated groups, this new bone formation was incremental."
Comment: Parameters were quite poorly reported.</t>
  </si>
  <si>
    <t>Infrared laser light further improves bone healing when associated with bone morphogenetic proteins and guided bone regeneration: an in vivo study in a rodent model.</t>
  </si>
  <si>
    <t>BMPs + LLLT</t>
  </si>
  <si>
    <t>"The results showed histological evidence of increased deposition of collagen fibers (at 15 and 21 d), as well as an increased amount of well-organized bone trabeculi at the end of the experimental period (30 d) in irradiated animals compared to non-irradiated controls."
Note: This paper seems quite similar as Gerbi's paper, even though they were published separately and they are clearly not identical... Though, some of the photomicrographs are quite identical. Maybe they used the same animals, but wrote two slightly diffeerent manuscripts for some reason?
Comment: Parameters were quite poorly reported.</t>
  </si>
  <si>
    <t>Torres</t>
  </si>
  <si>
    <t>Does the use of laser photobiomodulation, bone morphogenetic proteins, and guided bone regeneration improve the outcome of autologous bone grafts? An in vivo study in a rodent model.</t>
  </si>
  <si>
    <t>2.5
(on 4 points)</t>
  </si>
  <si>
    <t>d = 2 mm</t>
  </si>
  <si>
    <t>"The results showed that in all treatment groups, new bone formation was greater and qualitatively better than the untreated subjects. Control specimens showed a less advanced repair after 40 d, and this was characterized by the presence of medullary tissue, a small amount of bone trabeculi, and some cortical repair."
"We conclude that LPBM has a positive biomodulatory effect on the healing of bone defects, and that this effect was more evident when LPBM was performed on the surgical bed intraoperatively, prior to the placement of the autologous bone graft."Comment: Parameters were quite poorly reported.
Comment: Parameters were quite poorly reported.</t>
  </si>
  <si>
    <t>Ribeiro &amp; Matsumoto</t>
  </si>
  <si>
    <t>J Oral Rehabil</t>
  </si>
  <si>
    <t>Low-level laser therapy improves bone repair in rats treated with anti-inflammatory drugs.</t>
  </si>
  <si>
    <t>NSAID-treated rats</t>
  </si>
  <si>
    <t>8?</t>
  </si>
  <si>
    <t>"Taken together, such results suggest that low-level laser therapy is able to improve bone repair in the tibia of rats as a result of an up-regulation for cyclooxygenase-2 expression in bone cells."
Comment: A nice, clear effect was noticed.</t>
  </si>
  <si>
    <t>Márquez Martínez</t>
  </si>
  <si>
    <t>Effect of IR laser photobiomodulation on the repair of bone defects grafted with organic bovine bone.</t>
  </si>
  <si>
    <t>Bone grafts + LLLT</t>
  </si>
  <si>
    <t>7
11
15
(?)</t>
  </si>
  <si>
    <t>"There was histological evidence of improved collagen fiber deposition at early stages of the healing; increased amount of well-organized bone trabeculae at the end of the experimental period on irradiated animals. It is concluded that LPBM has positive biomodulative effect on the healing process bone defects."</t>
  </si>
  <si>
    <t>Brazil
(Recife)</t>
  </si>
  <si>
    <t>Infrared laser light further improves bone healing when associated with bone morphogenic proteins: an in vivo study in a rodent model.</t>
  </si>
  <si>
    <t>"The results showed histological evidence of increased deposition of collagen fibers (at 15 and 21 d), as well as an increased amount of well-organized bone trabeculae at the end of the experimental period (30 d) in the irradiated animals versus the non-irradiated controls."
Comment: Parameters were quite poorly reported.</t>
  </si>
  <si>
    <t>Infrared laser photobiomodulation (lambda 830 nm) on bone tissue around dental implants: a Raman spectroscopy and scanning electronic microscopy study in rabbits.</t>
  </si>
  <si>
    <t>Dental titanium implant on the tibia</t>
  </si>
  <si>
    <t>21.5
(on 4 points)</t>
  </si>
  <si>
    <t>0.0028
cm2</t>
  </si>
  <si>
    <t>"It is concluded that infrared laser photobiomodulation does improve bone healing, and this may be safely assessed by Raman spectroscopy or SEM."</t>
  </si>
  <si>
    <t>Miloro</t>
  </si>
  <si>
    <t>USA
(Omaha, NE)</t>
  </si>
  <si>
    <t>Low-level laser effect on mandibular distraction osteogenesis.</t>
  </si>
  <si>
    <t>36
(6p)</t>
  </si>
  <si>
    <t>"Ten millimeters of distraction was achieved in each rabbit bilaterally. Radiographically, the BHS was higher for the LLL-treated group at all time periods. Histologically, the area of new bone trabeculation and ossification was more advanced for the LLL-treated group, with less intervening fibrovascular intermediate zone in the bony regenerate, at all time periods. The formation of a complete inferior border occurred sooner in the treatment group than in the controls."
"LLL accelerates the process of bone regeneration during the consolidation phase after distraction osteogenesis. The adjunctive use of LLL may allow a shortened period of consolidation and therefore permit earlier device removal, with the avoidance of morbidity associated with prolonged device retention."
Comment: Parameters were poorly reported.</t>
  </si>
  <si>
    <t>Device: Low-level laser unit gallium-aluminum, arsenide at 820 nm (Laser Medical Systems, Hedehusene, Denmark). Photograph included in full text.</t>
  </si>
  <si>
    <t>Da Cunha</t>
  </si>
  <si>
    <t>Effect of laser therapy on bone tissue submitted to radiotherapy: experimental study in rats.</t>
  </si>
  <si>
    <t>"Clinical examination revealed cutaneous erosions on experimental groups (II, III, and IV) starting at the 6th week after radiotherapy. The radiographic findings showed higher bone density in groups II and IV (p &lt; 0.05) compared to the control group. The results further showed an increase of bone marrow cells, and number of osteocytes and Haversian canals in experimental groups II and IV (p &lt; 0.05). It was also found an increase of osteoblastic activity, in groups II, III, and IV (p &lt; 0.05)."
"Laser therapy on bone tissue in rats presented a positive biostimulative effect, especially when applied before or 4 weeks after radiotherapy. However, the use of laser in the parameters above should be used with caution due to epithelial erosions."</t>
  </si>
  <si>
    <t>The effect of the association of NIR laser therapy BMPs, and guided bone regeneration on tibial fractures treated with wire osteosynthesis: Raman spectroscopy study.</t>
  </si>
  <si>
    <t>"It is concluded that the use of NIR laser therapy associated to BMPs and GBR was effective in improving bone healing on the fractured bones as a result of the increasing deposition of CHA measured by Raman spectroscopy."
Comment: Parameters were quite poorly reported.</t>
  </si>
  <si>
    <t>USA
(Milwaukee, WI)</t>
  </si>
  <si>
    <t>Effect of lower-level laser therapy on rabbit tibial fracture.</t>
  </si>
  <si>
    <t>0.200</t>
  </si>
  <si>
    <t>10
(on 4 points)</t>
  </si>
  <si>
    <t>d = 1.5 mm</t>
  </si>
  <si>
    <t>50
(/p?)</t>
  </si>
  <si>
    <t>"The study suggests that LLLT may accelerate the process of fracture repair or cause increases in callus volume and BMD, especially in the early stages of absorbing the hematoma and bone remodeling."</t>
  </si>
  <si>
    <t>Device: A low-energy laser apparatus (Phototherapy, San Diego, CA, USA)</t>
  </si>
  <si>
    <t>Ninomiya</t>
  </si>
  <si>
    <t>Japan
(Shiojiri)</t>
  </si>
  <si>
    <t>Increase of bone volume by a nanosecond pulsed laser irradiation is caused by a decreased osteoclast number and an activated osteoblasts.</t>
  </si>
  <si>
    <t>Rat femur irradiation</t>
  </si>
  <si>
    <t>0.500</t>
  </si>
  <si>
    <t xml:space="preserve">2
(?)
</t>
  </si>
  <si>
    <t>"On day 1 after laser irradiation, bone volume (BV/TV), trabecular thickness (Tb.Th), and other parameters of the irradiated group did not significantly differ from the non-irradiation group (control). However, the mean BV/TV, Tb.Th, mineral apposition rate, and BMD of the laser group on day 7 after laser irradiation were significantly greater than those of the control. 
On histological analysis, the number of TRAP-positive osteoclasts was lower on day 3 after laser irradiation. Osteoblasts with activated clearance were seen in the laser irradiated group on day 1 and day 3. 
These data reveal that the increased bone volume by nanosecond pulsed laser irradiation causes an increase in osteoblast activity and a decrease in osteoclast number."</t>
  </si>
  <si>
    <t>Pretel</t>
  </si>
  <si>
    <t>Effect of low-level laser therapy on bone repair: histological study in rats.</t>
  </si>
  <si>
    <t>178</t>
  </si>
  <si>
    <t>d = 
1.0 mm</t>
  </si>
  <si>
    <t xml:space="preserve">"The histological results showed bone formation in both groups. However, the laser group exhibited an advanced tissue response compared to the control group, abbreviating the initial inflammatory reaction and promoting rapid new bone matrix formation at 15 and 45 days (P&lt;0.05).
On the other hand, there were no significant differences between the groups at 60 days."
Comment: In the conclusions they write about 830nm laser, even though methods section says they used 780nm. </t>
  </si>
  <si>
    <t>Pinheiro &amp; Gerbi</t>
  </si>
  <si>
    <t>Photoengineering of bone repair processes.</t>
  </si>
  <si>
    <t>"The results of our studies and others indicate that bone irradiated mostly with infrared (IR) wavelengths shows increased osteoblastic proliferation, collagen deposition, and bone neorformation when compared to nonirradiated bone. Further, the effect of laser therapy is more effective if the treatment is carried out at early stages when high cellular proliferation occurs. Vascular responses to laser therapy were also suggested as one of the possible mechanisms responsible for the positive clinical results observed following laser therapy."
"It is possible that the laser therapy effect on bone regeneration depends not only on the total dose of irradiation, but also on the irradiation time and the irradiation mode. The threshold parameter energy density and intensity are biologically independent of one another. This independence accounts for the success and the failure of laser therapy achieved at low-energy density levels."</t>
  </si>
  <si>
    <t>Lirani-Galvão</t>
  </si>
  <si>
    <t>Comparative study of how low-level laser therapy and low-intensity pulsed ultrasound affect bone repair in rats.</t>
  </si>
  <si>
    <t>112.5
(per
session?)</t>
  </si>
  <si>
    <t>4
mm2</t>
  </si>
  <si>
    <t>12
(5/
wk)</t>
  </si>
  <si>
    <t>"In the bending test, maximum load at failure of LLLT group was significantly higher (p &lt; 0.05). Bone histomorphometry revealed a significant increase in osteoblast number and surface, and osteoid volume in the LLLT group, and a significant increase in eroded and osteoclast surfaces in the LIPUS group."</t>
  </si>
  <si>
    <t>Blaya</t>
  </si>
  <si>
    <t>Brazil
(Santa Maria)</t>
  </si>
  <si>
    <t>J Contemp Dent Pract</t>
  </si>
  <si>
    <t>Histologic study of the effect of laser therapy on bone repair.</t>
  </si>
  <si>
    <t>685
830</t>
  </si>
  <si>
    <t>35
50</t>
  </si>
  <si>
    <t>10
10</t>
  </si>
  <si>
    <t>8
11
15
(?)</t>
  </si>
  <si>
    <t>"Greater degrees of new bone formation and vertical regeneration were found in the irradiated groups than in the control group."</t>
  </si>
  <si>
    <t>Renno</t>
  </si>
  <si>
    <t>Effects of 830-nm Laser, Used in Two Doses, on Biomechanical Properties of Osteopenic Rat Femora</t>
  </si>
  <si>
    <t>"The results of the present study indicate that photoradiation had stimulatory effects on femora of osteopenic rats, mainly at the dose of 120 J/cm.2 However, further studies are needed to investigate the effects of different parameters, wavelengths, and sessions of applications on ovariectomized rats."</t>
  </si>
  <si>
    <t>LiebertPub</t>
  </si>
  <si>
    <t>Muniz Renno</t>
  </si>
  <si>
    <t>The effects of infrared-830 nm laser on exercised osteopenic rats.</t>
  </si>
  <si>
    <t>28
(?)</t>
  </si>
  <si>
    <t>"Exercised animals showed higher bone strength and physical properties values. However, the LLLT did not improve the stimulatory effects of the exercise on the osteopenic rats."</t>
  </si>
  <si>
    <t>Device: Low-energy Ga–Al–As laser (Thera laser, DMC, Equipamentos São Carlos, SP, Brazil)</t>
  </si>
  <si>
    <t>da Silva &amp; Camilli</t>
  </si>
  <si>
    <t>Repair of bone defects treated with autogenous bone graft and low-power laser.</t>
  </si>
  <si>
    <t>34
(???)</t>
  </si>
  <si>
    <t>-.</t>
  </si>
  <si>
    <t>5.1
10.2</t>
  </si>
  <si>
    <t>"In both irradiated groups, a greater volume of newly formed bone occurred only in the first 2 weeks. The results demonstrated that laser irradiation at the grafted site stimulated osteogenesis during the initial stages of the healing process in a skull defect of the rat and that this effect was dose dependent."
Comment: The wavelength of 730 nm is usually considered to have no effect.</t>
  </si>
  <si>
    <t>Effects of 830-nm laser light on preventing bone loss after ovariectomy.</t>
  </si>
  <si>
    <t>"Maximal load of O120 was higher than in control groups. Wet weight, dry weight, and bone volume of O120 did not show any difference when compared with SC."</t>
  </si>
  <si>
    <t>Carvalho Pde</t>
  </si>
  <si>
    <t>Effect of 650 nm low-power laser on bone morphogenetic protein in bone defects induced in rat femors.</t>
  </si>
  <si>
    <t>0.1
cm2
spot
1
cm2
area</t>
  </si>
  <si>
    <t>1 (?)</t>
  </si>
  <si>
    <t>"In the present study, the results indicate that there was an inflammatory reaction of lesser intensity and duration in the groups that were subjected to irradiation using low-power laser, and this is corroborated by the results achieved by other studies using laser."</t>
  </si>
  <si>
    <t>Device: A GaAlAs laser made by Laserline® (Inova model) was utilized</t>
  </si>
  <si>
    <t>Weber</t>
  </si>
  <si>
    <t>Laser therapy improves healing of bone defects submitted to autologous bone graft.</t>
  </si>
  <si>
    <t>"In the groups in which the LLLT was used trans-operatively on the surgical bed (G2/G4), bone remodeling was both quantitatively and qualitatively more evident when compared to subjects of groups G1 and G3."
"The present study indicates that the use of LLLT trans-operatively resulted in a positive biomodulative effect on the healing of bone defects associated with autologous bone grafts."</t>
  </si>
  <si>
    <t>Nissan</t>
  </si>
  <si>
    <t>J Ohal Rehabil</t>
  </si>
  <si>
    <t>Effect of low intensity laser irradiation on surgically created bony defects in rats.</t>
  </si>
  <si>
    <t>Biphasic dose response</t>
  </si>
  <si>
    <t>0.004
0.024</t>
  </si>
  <si>
    <t>0.72
4.32</t>
  </si>
  <si>
    <t>"One-way anova with repeated measures showed that the low intensity laser using 4 mW cm(-2) power density significantly increased radiocalcium accumulation from 2 weeks post-surgery, whereas 22.4 mW cm(-2) had no effect. No changes were noted in the activity of alkaline phosphatase with the laser treatment."</t>
  </si>
  <si>
    <t>Infrared laser light reduces loading time of dental implants: a Raman spectroscopic study.</t>
  </si>
  <si>
    <t>21.5</t>
  </si>
  <si>
    <t>"The results showed significant differences in the concentration of CHA on irradiated and control specimens at both 30 and 45 days after surgery (p &lt; 0.001)."
"It is concluded that LLLT does improve bone healing, and this can be safely assessed by Raman spectroscopy."</t>
  </si>
  <si>
    <t>Merli</t>
  </si>
  <si>
    <t>Effect of low-intensity laser irradiation on the process of bone repair.</t>
  </si>
  <si>
    <t>"Histometrical analysis revealed a more rapid accumulation of reparative new bone in the hole injury of the laser-irradiated legs. We conclude that GaAsAl laser irradiation after injury was effective on bone repair when compared to results in the control group."</t>
  </si>
  <si>
    <t>Assessment of bone repair associated with the use of organic bovine bone and membrane irradiated at 830 nm.</t>
  </si>
  <si>
    <t>"The results of the present investigation showed histological evidence of improved amount of collagen fibers at early stages of the bone healing (15 days) and increased amount of well organized bone trabeculae at the end of the experimental period (30 days) on irradiated animals compared to non irradiated ones."</t>
  </si>
  <si>
    <t>Garavello</t>
  </si>
  <si>
    <t>Histol Histopathol</t>
  </si>
  <si>
    <t>The effects of low laser irradiation on angiogenesis in injured rat tibiae.</t>
  </si>
  <si>
    <t>31.5
94.5</t>
  </si>
  <si>
    <t xml:space="preserve">"Low-level energy treatment accelerated the deposition of bone matrix and histological characteristics compatible with an active recovery of the injured tissue. He-Ne laser therapy significantly increased the number of blood vessels after 7 days irradiation at an energy density of 94.5 Jcm(-2), but significantly decreased the number of vessels in the 14-day irradiated tibiae, independent of the dosage."
</t>
  </si>
  <si>
    <t>Khadra</t>
  </si>
  <si>
    <t>Norway
(Oslo)</t>
  </si>
  <si>
    <t>Oral Surg Oral Med Oral Pathol Oral Radiol Endod</t>
  </si>
  <si>
    <t>Enhancement of bone formation in rat calvarial bone defects using low-level laser therapy.</t>
  </si>
  <si>
    <t>0.550</t>
  </si>
  <si>
    <t>3
/defect</t>
  </si>
  <si>
    <t>23</t>
  </si>
  <si>
    <t>0.13
cm2</t>
  </si>
  <si>
    <t>40
/defect</t>
  </si>
  <si>
    <t>"At both time points the tissue samples from the experimental animals contained significantly more calcium, phosphorus, and protein than the controls. Similarly, histological analyses disclosed more pronounced angiogenesis and connective tissue formation, and more advanced bone formation in the experimental group than in the controls."</t>
  </si>
  <si>
    <t>Rochkind</t>
  </si>
  <si>
    <t>Molecular structure of the bony tissue after experimental trauma to the mandibular region followed by laser therapy.</t>
  </si>
  <si>
    <t>Oral (mandibular bone)</t>
  </si>
  <si>
    <t>3
mm2</t>
  </si>
  <si>
    <t>"The results suggest that low-power laser irradiation alone and in combination with Bio-Oss enhances bone healing and increases bone repair."</t>
  </si>
  <si>
    <t>Nicola</t>
  </si>
  <si>
    <t>Effect of low-power GaAlAs laser (660 nm) on bone structure and cell activity: an experimental animal study.</t>
  </si>
  <si>
    <t>Femur injury</t>
  </si>
  <si>
    <t>0.0625</t>
  </si>
  <si>
    <t>0.08
cm2
spot</t>
  </si>
  <si>
    <t>"We carried out histomorphometry analysis of the bone. We found that activity was higher in the irradiated group than in the control group: (a) bone volume at 5 DAS (p=0.035); (b) osteoblast surface at 15 DAS (p=0.0002); (c) mineral apposition rate at 15 and 25 DAS (p=0.0008 and 0.006); (d) osteoclast surface at 5 DAS and 25 DAS (p=0.049 and p=0.0028); and (e) eroded surface ( p=0.0032). 
We concluded that LLLT increases the activity in bone cells (resorption and formation) around the site of the repair without changing the bone structure."</t>
  </si>
  <si>
    <t>Japan
(Ishikawa)</t>
  </si>
  <si>
    <t>High-intensity pulsed laser irradiation accelerates bone formation in metaphyseal trabecular bone in rat femur.</t>
  </si>
  <si>
    <t>0.050
0.100</t>
  </si>
  <si>
    <t>2
/day
1
/day</t>
  </si>
  <si>
    <t>"Rat femurs were irradiated with a Q-switched Nd: YAG laser, which has a wavelength of 1064 nm, under two conditions: once a day, with the average fluence rate set at 100 mW/cm(2) (LA1), and twice a day, i.e., every 12 h, with the average fluence rate set at 50 mW/cm(2) (LA2). 
The mean bone volume and mineral apposition rate in the LA1 group were significantly higher than those in the nonirradiated group (control). These values were highest for the LA2 group, and were about 1.52 and 1.25-fold those of the control, respectively. 
These data demonstrated that the number of pulses, rather than the intensity of the laser irradiation, affects bone formation. Thus, this study indicated that high-intensity pulsed laser irradiation accelerates bone formation in the metaphysis."</t>
  </si>
  <si>
    <t>Effect of low level laser therapy on the repair of bone defects grafted with inorganic bovine bone.</t>
  </si>
  <si>
    <t>"We conclude that LLLT had a positive effect on the repair of bone defects implanted with inorganic bovine bone."
Note: The authors might have accidentally misreported radiant energy (J) as energy density (J/cm2)</t>
  </si>
  <si>
    <t>Garavello-Freitas</t>
  </si>
  <si>
    <t>Low-power laser irradiation improves histomorphometrical parameters and bone matrix organization during tibia wound healing in rats.</t>
  </si>
  <si>
    <t>0.03
0.3
0.9</t>
  </si>
  <si>
    <t>"These results show that low-level laser therapy stimulated the growth of the trabecular area and the concomitant invasion of osteoclasts during the first week, and hastened the organization of matrix collagen (parallel alignment of the fibers) in a second phase not seen in control, non-irradiated tibiae at the same period."</t>
  </si>
  <si>
    <t>J Clin Laser Med Surg</t>
  </si>
  <si>
    <t>Effect of 830-nm laser light on the repair of bone defects grafted with inorganic bovine bone and decalcified cortical osseus membrane. (Oct 2003)</t>
  </si>
  <si>
    <t>"The results showed more advanced repair of the irradiated groups when compared to the non-irradiated ones.
The repair of the irradiated group was characterized by both increased bone formation and on the amount of collagen fibers around the graft within the cavity, as early as the 15th day after surgery, considering the osteoconductive capacity of the Gen-ox and the increment of the cortical repair in specimens with Gen-derm membrane."
Note: It's not clear to me, what's the difference between the october and december articles. They seem identical.</t>
  </si>
  <si>
    <t>Barbos Pinheiro</t>
  </si>
  <si>
    <t>Effect of 830-nm laser light on the repair of bone defects grafted with inorganic bovine bone and decalcified cortical osseous membrane. (Dec 2003)</t>
  </si>
  <si>
    <t>"The results showed evidence of a more advanced repair on the irradiated groups when compared to non-irradiated ones.
The repair of irradiated groups was characterized by both increased bone formation and amount of collagen fibers around the graft within the cavity since the 15th day after surgery, through analysis of the osteoconductive capacity of the Gen-ox and the increment of the cortical repair in specimens with Gen-derm membrane."
Note: The authors might have accidentally misreported radiant energy (J) as energy density (J/cm2)</t>
  </si>
  <si>
    <t>Guzzardella</t>
  </si>
  <si>
    <t>Laser stimulation on bone defect healing: an in vitro study.</t>
  </si>
  <si>
    <t>"The aim of this in vitro study was to evaluate whether low-power laser (LPL) stimulation can accelerate bone healing. Bone defects of a standard area were created in the distal epiphysis of 12 femora explanted from six rats, and they were cultured in BGJb medium for 21 days. 
Six defects were treated daily with Ga-Al-As, 780 nm LPL for 10 consecutive days (lased group, LG), while the remainder were sham-treated (control group, CG). Alkaline phosphatase/total protein (ALP/TP), calcium (Ca), and nitric oxide (NO) were tested on days 7, 14 and 21 to monitor the metabolism of cultured bone. The percentage of healing of the defect area was determined by histomorphometric analysis. After 21 days significant increases were observed in ALP/TP in LG versus CG (p&lt;0.001), in NO in the LG versus CG ( p&lt;0.0005) and in Ca in CG versus LG ( p&lt;0.001). The healing rate of the defect area in the LG was higher than in the CG ( p=0.007). These in vitro results suggest that Ga-Al-As LPL treatment may play a positive role in bone defect healing."</t>
  </si>
  <si>
    <t>Effect of low-power laser irradiation on the mechanical properties of bone fracture healing in rats.</t>
  </si>
  <si>
    <t>"The maximal load at failure and the structural stiffness of the tibia were found to be elevated significantly in the irradiated group (P = .014 and P = .0023, respectively), whereas the extension maximal load was reduced (P = .015). In addition, gross non-union was found in four fractures in the control group, compared to none in the irradiated group."</t>
  </si>
  <si>
    <t>Yaakobi</t>
  </si>
  <si>
    <t>Calcif Tissue Int</t>
  </si>
  <si>
    <t>Promotion of bone repair in the cortical bone of the tibia in rats by low energy laser (He-Ne) irradiation.</t>
  </si>
  <si>
    <t>"The rate of calcium deposition, measured by radioactive calcium, was significantly higher (approximately 2-fold) in the laser-irradiated rats as compared with controls. It is concluded that the process of bone repair in a hole created in the rat tibia is markedly enhanced by direct He-Ne laser irradiation of the injured site at the optimal energy level and time postinjury."</t>
  </si>
  <si>
    <t>David</t>
  </si>
  <si>
    <t>Israel
(Nahariya)</t>
  </si>
  <si>
    <t>Effect of low-power He-Ne laser on fracture healing in rats.</t>
  </si>
  <si>
    <t>2
4</t>
  </si>
  <si>
    <t>"Radiological and histological examinations of the osteotomy sites failed to show any enhancing effect of He-Ne laser radiation on the bone healing process. Biomechanically, the irradiated bones of two of the six test groups were significantly weaker than the controls."</t>
  </si>
  <si>
    <t>Barushka</t>
  </si>
  <si>
    <t>Israel</t>
  </si>
  <si>
    <t>Effect of low-energy laser (He-Ne) irradiation on the process of bone repair in the rat tibia.</t>
  </si>
  <si>
    <t>31</t>
  </si>
  <si>
    <t>d =
1.9 mm</t>
  </si>
  <si>
    <t>138?</t>
  </si>
  <si>
    <t>Histomorphometrical analysis revealed a more rapid accumulation of reparative new bone in the hole injury of the laser-irradiated rats.</t>
  </si>
  <si>
    <t>Glinkowski &amp; Rowinski</t>
  </si>
  <si>
    <t>Effect of low incident levels of infrared laser energy on the healing of experimental bone fractures</t>
  </si>
  <si>
    <t>830
904</t>
  </si>
  <si>
    <t>30
?</t>
  </si>
  <si>
    <t>4.0
4.0</t>
  </si>
  <si>
    <t>21
21</t>
  </si>
  <si>
    <t>"The effect of pulsed 904 nm irradiation was significantly higher than 830 nm C/W laser irradiation. It was concluded that near infrared LLLT using diode lasers accelerates bone fracture healing. The authors suggest that the photoacoustic generation of an ultrasonic wave by the pulsed laser in the irradiated bone may play an additional role in the mechanism of callus formation."</t>
  </si>
  <si>
    <t>Cell proliferation</t>
  </si>
  <si>
    <t>Coskun</t>
  </si>
  <si>
    <t>Turkey
(Sivas)</t>
  </si>
  <si>
    <t>Determination of Optimum Operation Parameters for Low-Intensity Pulsed Ultrasound and Low-Level Laser Based Treatment to Induce Proliferation of Osteoblast and Fibroblast Cells.</t>
  </si>
  <si>
    <t>(Dose response)</t>
  </si>
  <si>
    <t>4
8
16</t>
  </si>
  <si>
    <t>"Bio-stimulating effects of LLLT irradiation promote proliferation and maintain cell viability better than LIPUS treatment without causing thermal response for both cell types, and the therapeutic modality above 200 mV has maximum effectiveness."</t>
  </si>
  <si>
    <t>Comparison of the in vitro effects of low-level laser therapy and low-intensity pulsed ultrasound therapy on bony cells and stem cells.</t>
  </si>
  <si>
    <t>Stem cells</t>
  </si>
  <si>
    <t>"A detailed and concise description of the LLLT and the LIPUS protocols and their individual effects on bony cells or stem cells and their results are presented in five tables.
Based on the main results and the conclusions of the reviewed articles in the current work, both, LLLT and LIPUS, apply a biostimulatory effect on osteoblasts, osteocytes, and enhance osteoblast proliferation and differentiation on different bony cell lines used in in vitro studies, and therefore, these may be useful tools for bone regeneration therapy. Moreover, in consideration of future cell therapy protocols, both, LLLT and LIPUS (especially LLLT), enhnce a significant increase in the initial number of SCs before differentiation, thus increasing the number of differentiated cells for tissue engineering, regenerative medicine, and healing.
Further studies are necessary to determine the LLLT or the LIPUS parameters, which are optimal for biostimsulating bony cells and SCs for bone healing and regenerative medicine."</t>
  </si>
  <si>
    <t>Amid</t>
  </si>
  <si>
    <t>Effect of low level laser therapy on proliferation and differentiation of the cells contributing in bone regeneration.</t>
  </si>
  <si>
    <t>"Following the initial screening of titles and abstracts as well as the final screening of full texts, 22 articles completely fulfilled the inclusion criteria of this study.
Wavelength used in LLLT irradiation varied between 600 to 1000 nm with an energy density of 0.04-60J/cm(2) .
Although almost all studies agreed on getting positive effects from LLLT, some had opposing results."
"Low level laser with low-energy density range appears to exert a biostimulatory effect on bone tissue, enhance osteoblastic proliferation and differentiation on cell lines used in in vitro studies. Despite the fact that many researches have been recently done on the effects of LLLT on different cell lines, without knowing the precise mechanism and effects, we are not able to offer a clinical treatment protocol. This paper is a beginning to help further progress and extend practical use of LLLT in future."</t>
  </si>
  <si>
    <t>Huertas</t>
  </si>
  <si>
    <t>Spain</t>
  </si>
  <si>
    <t>Biol Res Nurs</t>
  </si>
  <si>
    <t>Effect and clinical implications of the low-energy diode laser on bone cell proliferation.</t>
  </si>
  <si>
    <t>🧪 In vitro (MG-63 cells)</t>
  </si>
  <si>
    <t>0.5
1.0
1.5</t>
  </si>
  <si>
    <t>1
2
3
4
5</t>
  </si>
  <si>
    <t>d = 
0.4
mm</t>
  </si>
  <si>
    <t>LLLT increased cell proliferation.</t>
  </si>
  <si>
    <t>Pagin</t>
  </si>
  <si>
    <t>Laser and light-emitting diode effects on pre-osteoblast growth and differentiation.</t>
  </si>
  <si>
    <t>LED phototherapy
LLLT vs LED
Wavelength comparison</t>
  </si>
  <si>
    <t>630
(LED)
660
(laser)
780
(laser)</t>
  </si>
  <si>
    <t>"Cell growth was assessed by a colorimetric test (MTT) (24, 48, 72, and 96 h)"
"At 24 h, the cell growth was enhanced 3.6 times by LED (5 J/cm(2)), 6.8 times by red laser (3 J/cm(2)), and 10.1 times by red laser (5 J/cm(2)) in relation to control group (p &lt; 0.05). At the other periods, there was no influence of irradiation on cell growth (p &gt; 0.05). The production of ALP was not influenced by irradiation at any period of time (p &gt; 0.05). Low-intensity laser and LED have similar effects on stimulation of cell growth, but no effect on cell differentiation."</t>
  </si>
  <si>
    <t>Bloise</t>
  </si>
  <si>
    <t>Investigation of low-level laser therapy potentiality on proliferation and differentiation of human osteoblast-like cells in the absence/presence of osteogenic factors.</t>
  </si>
  <si>
    <t>1
3</t>
  </si>
  <si>
    <t>"Taken together these findings indicate that laser treatment enhances the in vitro proliferation of Saos-2 cells, and also influences their osteogenic maturation, which suggest it is a helpful application for bone tissue regeneration."</t>
  </si>
  <si>
    <t>Schwartz-Filho</t>
  </si>
  <si>
    <t>Effects of low-level laser therapy (685 nm) at different doses in osteogenic cell cultures.</t>
  </si>
  <si>
    <t>25
77
130</t>
  </si>
  <si>
    <t>"It was possible to conclude that the 685-nm laser irradiation (at 25, 77, and 130 J/cm(2)) did not influence cell growth and proliferation, although the extracellular mineralization process may have its pattern altered by the LLLT on osteogenic cell cultures."</t>
  </si>
  <si>
    <t>Mesquita-Ferrari</t>
  </si>
  <si>
    <t>Indian J Exp Biol</t>
  </si>
  <si>
    <t>No effect of low-level lasers on in vitro myoblast culture.</t>
  </si>
  <si>
    <t>🧪 In vitro (C2C12 myoblasts)</t>
  </si>
  <si>
    <t xml:space="preserve">660
780
</t>
  </si>
  <si>
    <t>3.8
6.3
10
17.5</t>
  </si>
  <si>
    <t>"There were no significant differences in cell proliferation between laser-treated myoblasts and control cultures for any of the parameters and incubation periods."
"Further studies are necessary to determine the correct laser parameters for optimizing the biostirhulation of myoblasts."</t>
  </si>
  <si>
    <t>Effect of 830 nm laser phototherapy on osteoblasts grown in vitro on Biosilicate scaffolds.</t>
  </si>
  <si>
    <t>10
mm2</t>
  </si>
  <si>
    <t>335
/p</t>
  </si>
  <si>
    <t>“Despite successful seeding of bioscaffolds with osteoblasts, laser phototherapy resulted in a reduction in cell growth compared to non-irradiated controls.”</t>
  </si>
  <si>
    <t>Xu</t>
  </si>
  <si>
    <t>China
(Hong Kong)</t>
  </si>
  <si>
    <t>Low-intensity pulsed laser irradiation affects RANKL and OPG mRNA expression in rat calvarial cells.</t>
  </si>
  <si>
    <t>1.14
2.28</t>
  </si>
  <si>
    <t>"LIPL irradiation may directly promote osteoblast proliferation and differentiation, and indirectly inhibit osteoclast differentiation, by downregulating the RANKL:OPG mRNA ratio in osteoblasts."</t>
  </si>
  <si>
    <t>The effects of laser irradiation on osteoblast and osteosarcoma cell proliferation and differentiation in vitro.</t>
  </si>
  <si>
    <t>Osteoblast
Osteosarcoma cell
Wavelength comparison</t>
  </si>
  <si>
    <t>670
780
830</t>
  </si>
  <si>
    <t>0.5
1
5
10</t>
  </si>
  <si>
    <t>“Based on the conditions of this study, we conclude that each cell line responds differently to specific wavelength and dose combinations.”</t>
  </si>
  <si>
    <t>Mirzaei</t>
  </si>
  <si>
    <t>Iran
(Sari)</t>
  </si>
  <si>
    <t>Effect of low-level laser therapy on skin fibroblasts of streptozotocin-diabetic rats.</t>
  </si>
  <si>
    <t>Skin fibroblasts</t>
  </si>
  <si>
    <t>0.9-
4.0</t>
  </si>
  <si>
    <t>"It is concluded that LLLT resulted in a significant increase of fibroblast proliferation of STZ-D rats in vitro."</t>
  </si>
  <si>
    <t>Hawkins &amp; Abrahamse</t>
  </si>
  <si>
    <t>South Africa
(Johannesburg)</t>
  </si>
  <si>
    <t>Influence of broad-spectrum and infrared light in combination with laser irradiation on the proliferation of wounded skin fibroblasts.</t>
  </si>
  <si>
    <t>Wounded skin fibroblasts
Wavelength comparison</t>
  </si>
  <si>
    <t>633
830
1064</t>
  </si>
  <si>
    <t>"Results indicate that 5 J/cm(2) (using 632.8 nm in the dark or 830 nm in the light) is the most effective dose to stimulate cell proliferation, which may ultimately accelerate or improve the rate of wound healing."</t>
  </si>
  <si>
    <t>Martinasso</t>
  </si>
  <si>
    <t>Italy</t>
  </si>
  <si>
    <t>Minerva Stomatol</t>
  </si>
  <si>
    <t>Effect of superpulsed laser irradiation on bone formation in a human osteoblast-like cell line.</t>
  </si>
  <si>
    <t>Human osteoblast-like cells</t>
  </si>
  <si>
    <t>LLLT stimulated cell proliferation in human osteoblast-like cells and increased the expression of proteins essential for bone formation.</t>
  </si>
  <si>
    <t>Shimizu</t>
  </si>
  <si>
    <t>Japan
(Tokyo)</t>
  </si>
  <si>
    <t>Low-intensity laser irradiation stimulates bone nodule formation via insulin-like growth factor-I expression in rat calvarial cells.</t>
  </si>
  <si>
    <t>3.75</t>
  </si>
  <si>
    <t>"The stimulatory effect of bone nodule formation by low-intensity laser irradiation will be at least partly mediated by IGF-I expression."</t>
  </si>
  <si>
    <t>Stein</t>
  </si>
  <si>
    <t>Low-level laser irradiation promotes proliferation and differentiation of human osteoblasts in vitro.</t>
  </si>
  <si>
    <t>Human osteoblasts</t>
  </si>
  <si>
    <t>0.18</t>
  </si>
  <si>
    <t>0.14
0.43
1.43</t>
  </si>
  <si>
    <t>d =
1.8
mm</t>
  </si>
  <si>
    <t>1
3
10</t>
  </si>
  <si>
    <t>LLLT promoted proliferation and maturation of human osteoblasts.</t>
  </si>
  <si>
    <t>Ueda &amp; Shimizu</t>
  </si>
  <si>
    <t>Japan
(Matsudo)</t>
  </si>
  <si>
    <t>Effects of pulse frequency of low-level laser therapy (LLLT) on bone nodule formation in rat calvarial cells.</t>
  </si>
  <si>
    <t>Pulsing</t>
  </si>
  <si>
    <t>0.48-
3.84</t>
  </si>
  <si>
    <t>"Laser irradiation in all four groups significantly stimulated cellular proliferation, bone nodule formation, ALP activity, and ALP gene expression, as compared with the non-irradiation group. Notably, PI-1 and -2 irradiation markedly stimulated these factors, when compared with the CI and PI-8 groups, and PI-2 irradiation was the best approach for bone nodule formation in the present experimental conditions."</t>
  </si>
  <si>
    <t>Japan</t>
  </si>
  <si>
    <t>J Oral Sci</t>
  </si>
  <si>
    <t>Pulse irradiation of low-power laser stimulates bone nodule formation.</t>
  </si>
  <si>
    <t>LLLT in both groups increased cell proliferation, bone nodule formation, ALP activity and ALP gene expression. Pulsed irradion had a stronger effect.</t>
  </si>
  <si>
    <t>Ozawa</t>
  </si>
  <si>
    <t>Low-energy laser irradiation stimulates bone nodule formation at early stages of cell culture in rat calvarial cells.</t>
  </si>
  <si>
    <t>Rat calvarial cells</t>
  </si>
  <si>
    <t>LLLT increased cell profliferation, ALP activity and osteocalcin gene expression. LLLT at earlier stages of culture also led to a greater number and larger area of bone nodules.</t>
  </si>
  <si>
    <t>Pulsing = pulsed vs. continous</t>
  </si>
  <si>
    <t>Lubart</t>
  </si>
  <si>
    <t>Israel
(Ramat Gan)</t>
  </si>
  <si>
    <t>Light effect on fibroblast proliferaton</t>
  </si>
  <si>
    <t>Fibroblast
Coherence (non-coherent light)
Biphasic dose response</t>
  </si>
  <si>
    <t>"The healing effect of low energy lasers is generally attributed to enhanced cell proliferation due to the irradiation. As it was not clear whether coherent irradiation is essential, we examined the effect of various wavelengths from non-coherent light sources, on fibroblast proliferation. We found that light at 540 and 600-900 nm significantly accelerates the mitosis of these cells, Moreover, we have found that the effect is not only energy-dose dependent, but depends non-lineraly on the intensity of the light source."</t>
  </si>
  <si>
    <t>Van Breugel &amp; Bär</t>
  </si>
  <si>
    <t>Netherlands
(Utrecth)</t>
  </si>
  <si>
    <t>J Neurocytol</t>
  </si>
  <si>
    <t>He-Ne laser irradiation affects proliferation of cultured rat Schwann cells in a dose-dependent manner.</t>
  </si>
  <si>
    <t>Schwann cells</t>
  </si>
  <si>
    <t>"Schwann cells that were irradiated from day 8 on were hardly affected by laser irradiation. However, the proliferation of cells that were irradiated starting on day 5 was significantly increased after 1, 2, and 5 min of daily irradiation, compared to non-irradiated control cultures."</t>
  </si>
  <si>
    <t>Gross &amp; Jelkmann</t>
  </si>
  <si>
    <t>Germany
(Lübeck)</t>
  </si>
  <si>
    <t>Helium-neon laser irradiation inhibits the growth of kidney epithelial cells in culture.</t>
  </si>
  <si>
    <t>0.04</t>
  </si>
  <si>
    <t>"Dose-response studies showed that repeated He-Ne irradiation (dose rate 40 mW/cm2) once a day in a dose range between 11.9 and 142 J/cm2 significantly inhibited cell growth, while daily irradiation with 4.7 J/cm2 had no effect. Microscopic examination of nuclear spreads revealed an increased number of cells in mitosis after a single irradiation with 142 J/cm2. These results support previous observations suggesting that laser light of low thermal energy interferes with cell cycling and may inhibit cell growth when irradiation is performed at doses of 11.9 J/cm2 or more."</t>
  </si>
  <si>
    <t>Cerebral palsy patients</t>
  </si>
  <si>
    <t>Asagai</t>
  </si>
  <si>
    <t>Investigation regarding prevention of insufficiency fractures in children with severe cerebral palsy by Light-Emitting Diode (LED) irradiation.</t>
  </si>
  <si>
    <t>🧑 Human
📄 Single-arm trial trial
👥 25 participants
⌛ up to 2 years</t>
  </si>
  <si>
    <t>LED phototherapy
Polychromatic light 🌈</t>
  </si>
  <si>
    <t>400-
700</t>
  </si>
  <si>
    <t>"The Bone density increased after LED irradiation. The average rate of change in the group with irradiation after one year was 16.86±17.6, while in the group without irradiation was 3.34±6.87 (p&lt;0.05) and healthy children (from5to18-year-old) were 6.66±4.05 (p&lt;0.05), and clear increases were seen in the group with irradiation."
"The characteristics of LED include easily obtaining a light that does not contain unnecessary ultraviolet or infra-red rays, as opposed to many light sources such as sunlight, fluorescent light, and incandescent light; LED are safer and more efficient than sun bathing. Although it is known that VD increases after sun bathing, but no consensus has been reached about the effectiveness of bone metabolism."</t>
  </si>
  <si>
    <t>Fractures</t>
  </si>
  <si>
    <t>Bonfim</t>
  </si>
  <si>
    <t>Brazil
(Vitória da Conquista)</t>
  </si>
  <si>
    <t>Effectiveness of 780 nm photobiomodulation as adjunct treatment for bone exposed fractures: A pilot study on radiograph, pain, and cytokines analysis</t>
  </si>
  <si>
    <t>🧑 Human
🎲 Randomized trial
👥 20 participants
⌛ (?)</t>
  </si>
  <si>
    <t>0.04 cm2</t>
  </si>
  <si>
    <t>10/p</t>
  </si>
  <si>
    <t>2/week</t>
  </si>
  <si>
    <t>"We can conclude that LLLT was effective as an adjuvant in the bone fracture regeneration process, altered IL-1β levels, reduced the use of analgesics and anti-inflammatories, reducing the pain pattern throughout the sessions."</t>
  </si>
  <si>
    <t>Neto</t>
  </si>
  <si>
    <t>Cost analysis of photobiomodulation in tibia fracture in the Brazilian public health system</t>
  </si>
  <si>
    <r>
      <rPr>
        <rFont val="arial,sans,sans-serif"/>
        <sz val="7.0"/>
      </rPr>
      <t xml:space="preserve">Cost-effectiveness analysis
</t>
    </r>
    <r>
      <rPr>
        <rFont val="arial,sans,sans-serif"/>
        <i/>
        <sz val="7.0"/>
      </rPr>
      <t>(Secondary publication of Neto et al. 2023 in J Biophotonics)</t>
    </r>
  </si>
  <si>
    <t>"When analyzing the ICER (Incremental cost-effectiveness ratio), it would be possible to save R$3,500.98 with PBM and decrease by 2.15 points in the daily average on the BATES-JENSEN scale. It is concluded, therefore, that PBM can be a supportive therapy of clinical and economic interest in a hospital setting."</t>
  </si>
  <si>
    <t>Effects of multiwavelength photobiomodulation for the treatment of traumatic soft tissue injuries associated with bone fractures: A double-blind, randomized controlled clinical trial</t>
  </si>
  <si>
    <t>🧑 Human
🎲 Randomized trial, double-blind
👥 27 participants
⌛ (?)</t>
  </si>
  <si>
    <t>"MPBM showed an improvement in the daily mean Bates-Jensen scale (MPBM 32.1 vs. control 34.2; p = 0.029), daily mean pain score change (MPBM 0.5 vs. control 0.2; p = 0.04) and occurrence of infection at the site of the external fixator pins (MPBM 15.3% vs. control 57.1%; p = 0.02). MPBM group also showed faster-wound resolution (MPBM 13.1 vs. control 23.1 days)."
"MPBM appears safe and effective in reducing wound resolution time, infection in the surgical pin sites, reported pain and time before definitive surgery."</t>
  </si>
  <si>
    <t>Sæbø</t>
  </si>
  <si>
    <t>Norway
(Bergen)</t>
  </si>
  <si>
    <t>Pain and Disability of Conservatively Treated Distal Radius Fracture: A Triple-Blinded Randomized Placebo-Controlled Trial of Photobiomodulation Therapy</t>
  </si>
  <si>
    <t>🧑 Human
🎲 Randomized trial, triple-blinded
👥 50 participants
⌛ 26 weeks</t>
  </si>
  <si>
    <t>0.6</t>
  </si>
  <si>
    <t>7.2
(6p)</t>
  </si>
  <si>
    <t>9
over
3 weeks</t>
  </si>
  <si>
    <t>"There was a significant between-group difference in PRWHE scores in favor of active PBMT 8, 12, and 26 weeks after DRF. NP and consumption of AM were significantly lower in the active PBMT group from 7 to 26 weeks. 
There was a minimum clinically important improvement between the groups in favor of active PBMT in total score at 12 weeks, in pain subscore at 8, 12, and 26 weeks, and in disability subscore at 8 and 12 weeks."
"PBMT is safe and has long-term positive effect on pain and disability in DRF patients, when applied in combination with a home-based rehabilitation exercise program."
Comment: The baseline symptom score was lower in PBM group though the difference was not statistically significant. However, the magnitude is similar as the between-the-group differences at the end of trial.</t>
  </si>
  <si>
    <t>Irradiation area: dorsal side wrist &amp; palmar side wrist</t>
  </si>
  <si>
    <t>Saebø</t>
  </si>
  <si>
    <t>Treatment of Distal Radius Fracture During Immobilization with an Orthopedic Cast: A Double-Blinded Randomized Controlled Trial of Photobiomodulation Therapy</t>
  </si>
  <si>
    <t>🧑 Human
🎲 Randomized trial, double-blinded
👥 53 participants
⌛ 26 weeks</t>
  </si>
  <si>
    <t>0.1
cm2
spot
size</t>
  </si>
  <si>
    <t>"PBMT administered during the immobilization period of DRF had no effect on perceived pain and function measured through PRWHE. Night pain was significantly reduced after 3 weeks by PBMT. 
PBMT significantly improved pinch and grip strength and AROM, but these findings did not translate to the subjective experience of pain and function."</t>
  </si>
  <si>
    <t>Device: Irradia MID-LITE 904
Irradiation area: dorsal side wrist (3J in one point) &amp; palmar side wrist (1.2J in three points)</t>
  </si>
  <si>
    <t>The Use of Photobiomodulation Therapy or LED and Mineral Trioxide Aggregate Improves the Repair of Complete Tibial Fractures Treated With Wire Osteosynthesis in Rodents</t>
  </si>
  <si>
    <t>"Our results are indicative that the association of MTA and PBMT (λ = 780 nm) improves the repair of complete tibial fracture treated with wire osteosynthesis in a rodent model more efficiently than LED (λ = 850 ± 10 nm)."</t>
  </si>
  <si>
    <t>Cheng</t>
  </si>
  <si>
    <t>China
(Zhengzhou)</t>
  </si>
  <si>
    <t>Progress in Photobiomodulation for Bone Fractures: A Narrative Review</t>
  </si>
  <si>
    <t>"Ten animal studies on rats and rabbits and four clinical trials were found on using PBM for complete fractures."
"Based on positive outcomes in animal trials, parameter optimization of PBM for human fractures still requires extensive research on factors such as dosage, wavelength, penetration depth, treatment frequency, and the use of pulsed waves."</t>
  </si>
  <si>
    <t>Photodiagnosis Photodyn Ther</t>
  </si>
  <si>
    <t>Raman spectroscopic study of the effect of the use of laser/LED phototherapy on the repair of complete tibial fracture treated with internal rigid fixation.</t>
  </si>
  <si>
    <t>780
850</t>
  </si>
  <si>
    <t>"Phototherapy and MTA increased collagen matrix synthesis, deposition of calcium carbonate and phosphate hydroxyapatite."</t>
  </si>
  <si>
    <t>Effects of photobiomodulation in the treatment of fractures: a systematic review and meta-analysis of randomized clinical trials.</t>
  </si>
  <si>
    <t>"Two RCTs were included that compared PBM to the placebo. A meta-analysis showed significant difference in favor of PBM for pain reduction (MD 1.19, 95% CI [0.61 to 1.77], 106 participants, two RCTs), but this difference was not clinically significant. One RCT (50 participants) showed a clinical and statistical improvement in physical function (MD - 14.60, 95% CI [- 21.39 to - 7.81]) and no difference in radiographic healing, regarding absence of fracture line (RR 1.00, 95% CI [0.93 to 1.08]) and visible bone callus (RR 0.33, 95% CI [0.01 to 7.81]). 
The certainty of evidence was classified as low to very low. 
Based on the evidence of low to very low certainty, PBM seems to be associated with the improvement of pain and function. Therefore, new RCTs are required that meet the recommendations of CONSORT to prove the effectiveness and safety of this intervention and support its recommendation in clinical practice."</t>
  </si>
  <si>
    <t>Baek</t>
  </si>
  <si>
    <t>The effect of light-emitting diode (590/830 nm)-based low-level laser therapy on posttraumatic edema of facial bone fracture patients.</t>
  </si>
  <si>
    <t>🧑 Human
📈 Observational study
👥40 participants
⌛ 5 days</t>
  </si>
  <si>
    <t>Edema
LED phototherapy
HEALITE II device</t>
  </si>
  <si>
    <t>590+
830</t>
  </si>
  <si>
    <t>10
/ 5 days</t>
  </si>
  <si>
    <t>"Our analysis showed a 16.5% reduction of edema in the LLLT group and 7.3% in the sham light group. The edema reduction was statistically significantly greater in the LLLT group than in the sham light group (p &lt; 0.047)."
"LED-based LLLT is recently receiving attention worldwide for its cost-effectiveness and large coverage area compared to traditional laser therapy. Recent studies support its effectiveness in various areas such as wound healing, skin rejuvenation, and pain alleviation. In this study, we treated facial bone fracture patients with LED-based LLLT, and showed its effectiveness in reducing posttraumatic edema."
Comment: Parameters were not reported.</t>
  </si>
  <si>
    <t>Léo</t>
  </si>
  <si>
    <t>Brazil
(Uberaba)</t>
  </si>
  <si>
    <t>EFFECT OF LOW-LEVEL LASER (GAAS, 904HM) FOR BONE REPAIR ON FRACTURES IN RATS</t>
  </si>
  <si>
    <t>10
15</t>
  </si>
  <si>
    <t>"EG IV, which underwent laser therapy with a dosage of 15 J/cm(2), showed the highest maximum force value (N) among the experimental groups, thus demonstrating the influence of higher laser dosage on bone repair."
Comment: No effect on maximum force value in the 10 J/cm2 group.</t>
  </si>
  <si>
    <t>Briteño-Vázquez</t>
  </si>
  <si>
    <t>Mexico
(Puebla)</t>
  </si>
  <si>
    <t>Low power laser stimulation of the bone consolidation in tibial fractures of rats: a radiologic and histopathological analysis.</t>
  </si>
  <si>
    <t>"Radiologic data showed that the experimental group had a higher bone consolidation of Montoya scale after ten days of laser irradiation compared to control group (P &lt; 0.004). Histopathologic data showed more fibroblasts and angiogenesis presence in the group receiving laser irradiation, compared to control group (P &lt; .002). The low power laser radiation therapy may expedite the bone repair after tibial fractures in rats, according to radiologic and histopathologic analysis."</t>
  </si>
  <si>
    <t>Chang</t>
  </si>
  <si>
    <t>Taiwan
(Taichung)</t>
  </si>
  <si>
    <t>Therapeutic outcomes of low-level laser therapy for closed bone fracture in the human wrist and hand.</t>
  </si>
  <si>
    <t>🧑 Human
🎲 Randomized trial, sham-controlled
👥 50 participants participants
⌛ 4 weeks</t>
  </si>
  <si>
    <t>0.016</t>
  </si>
  <si>
    <t>9.7</t>
  </si>
  <si>
    <t>3.7
cm2
spot
area</t>
  </si>
  <si>
    <t>10
/ 2 weeks</t>
  </si>
  <si>
    <t>"After treatment and at the follow-up, the laser group exhibited significant changes in all of the parameters compared with the baseline (p&lt;0.05). The results of comparing the two groups after treatment and at the follow-up indicated significant between-group differences among all of the parameters (p&lt;0.05)."
Comment: The results are quite remarkable.</t>
  </si>
  <si>
    <t>Pulsing (10 Hz). Peak power 8W. Pulsing frequency 7.5 * 10^5 ns.</t>
  </si>
  <si>
    <t>Tim</t>
  </si>
  <si>
    <t>Brazil
(Sao Carlos)</t>
  </si>
  <si>
    <t>Effects of low level laser therapy on inflammatory and angiogenic gene expression during the process of bone healing: A microarray analysis.</t>
  </si>
  <si>
    <t>3
4
8</t>
  </si>
  <si>
    <t>“Our findings indicate that LLLT was efficient on accelerating the development of newly formed bone probably by modulating the inflammatory and angiogenic gene expression as well as COX2 and VEGF immunoexpression during the initial phase of bone healing.”</t>
  </si>
  <si>
    <t>Effects of low-level laser therapy on the expression of osteogenic genes related in the initial stages of bone defects in rats.</t>
  </si>
  <si>
    <t>1.071</t>
  </si>
  <si>
    <t>1
2
3
5</t>
  </si>
  <si>
    <t>"We concluded that LLLT modulated the inflammatory process and accelerated bone repair, and this advanced repair pattern in the laser-treated groups may be related to the higher mRNA expression of genes presented by these animals."</t>
  </si>
  <si>
    <t>Fávaro-Pípi</t>
  </si>
  <si>
    <t>Low-level laser therapy induces differential expression of osteogenic genes during bone repair in rats.</t>
  </si>
  <si>
    <t>Surgical bone defect</t>
  </si>
  <si>
    <t>50</t>
  </si>
  <si>
    <t>Laser therapy improved bone repair in rats as depicted by differential histopathological and osteogenic genes expression, mainly at the late stages of recovery.</t>
  </si>
  <si>
    <t>Hypothyroidism-related bone defect</t>
  </si>
  <si>
    <t>The Combined Effects of Mesenchymal Stem Cell Conditioned Media and Low-Level Laser on Stereological and Biomechanical Parameter in Hypothyroidism Rat Model.</t>
  </si>
  <si>
    <t>"Our results showed significant increase in bending stiffness (116.09±18.49), maximum force (65.41±8.16), stress high load (23.30±7.14), energy absorption (34.57±4.10), trabecular bone volume (1.34±0.38) and the number of osteocyte, osteoblast, and osteoclast (12.77±0.54, 6.19±0.80, 1.12±0.16 respectively) in osteotomy site in the LLL+CM group compared to the hypothyroidism group (P&lt;0.05)."
"The results indicated that using the LLL + CM may improve fracture regeneration and it may hasten bone healing in the hypothyroid rat."</t>
  </si>
  <si>
    <t>Implants</t>
  </si>
  <si>
    <t>Moon</t>
  </si>
  <si>
    <t>Korea
(Iksan)</t>
  </si>
  <si>
    <t>Nanomaterials (Basel)</t>
  </si>
  <si>
    <t>Photobiomodulation-Based Synergic Effects of Pt-Coated TiO2 Nanotubes and 850 nm Near-Infrared Irradiation on the Osseointegration Enhancement: In Vitro and In Vivo Evaluation</t>
  </si>
  <si>
    <t>"The results of in vivo test, employing the removal torque testing, the 3D-micro CT, and histological analysis, showed overall improved outcomes; however, no significant difference was observed between the control and experimental groups (p &gt; 0.05)."</t>
  </si>
  <si>
    <t>Photobiomodulation stimulates surrounding bone formation and increases stability of titanium alloy miniscrews in ovariectomized rats</t>
  </si>
  <si>
    <t>"After 12 days, euthanasia was performed; the results revealed that both irradiated groups showed significantly greater bone neoformation compared to the control group (p &lt; 0.05). Mini-implant stability was measured in all animals using the Periotest device on day 0 and on the day of euthanasia. A significant increase in stability was observed in the group that received more laser application (p &lt; 0.05). Photobiomodulation had a positive effect on bone neoformation around mini-implants in ovariectomized rats, with an increase in stability when more irradiation was performed."</t>
  </si>
  <si>
    <t>da Fonseca</t>
  </si>
  <si>
    <t>Laser-photobiomodulation on titanium implant bone healing in rat model: comparison between 660- and 808-nm wavelength</t>
  </si>
  <si>
    <t>"Bone matrix histomorphometry analysis indicates that at 7 days in the irradiated groups (R and IR), a bigger area matrix was observed in relation to control group (C) (p=0.04 and p=0.048 respectively).
On the other hand, at 14 days, control group (C) presented a bigger area than infrared irradiated (IR) (p=0.001) and red irradiated group (R) also showed a bigger area than infrared irradiated group (IR) (p=0.019).
Histological analysis indicates that irradiated groups (R and IR) exhibited a faster bone tissue matrix production than control group."</t>
  </si>
  <si>
    <t>J Applr Oral Sci</t>
  </si>
  <si>
    <t>Effect of different low-level intensity laser therapy (LLLT) irradiation protocols on the osseointegration of implants placed in grafted areas</t>
  </si>
  <si>
    <t>"The LLLT groups presented higher removal torque, mineralized tissue volume, and a greater degree of osseointegration, especially when LLLT was performed only after implant placement, and these findings were associated with higher expression of BMP2 and alkaline phosphatase."</t>
  </si>
  <si>
    <t>Karakaya &amp; Demirbaş</t>
  </si>
  <si>
    <t>Int J Implant Dent</t>
  </si>
  <si>
    <t>Effect of low-level laser therapy on osseointegration of titanium dental implants in ovariectomized rabbits: biomechanics and micro-CT analysis</t>
  </si>
  <si>
    <t>"The values obtained from biomechanical tests and micro-CT in the ovariectomy-laser group were significantly higher than the ovariectomy group and achieved the values in the healthy bone."</t>
  </si>
  <si>
    <t>Low-level laser therapy (LLLT) in sites grafted with osteoconductive bone substitutes improves osseointegration.</t>
  </si>
  <si>
    <t>d =
0.6
mm</t>
  </si>
  <si>
    <t>"LLLT induced higher degree of osseointegration, which was associated with the greater expression of BMP2 and OCN. 
LLLT performed in areas grafted with osteoconductive bone substitutes prior to implant placement improves osseointegration."</t>
  </si>
  <si>
    <t>Yücesoy</t>
  </si>
  <si>
    <t>Turkey (?)</t>
  </si>
  <si>
    <t>Histologic and Biomechanical Evaluation of Osseointegrated Miniscrew Implants Treated with Ozone Therapy and Photobiomodulation at Different Loading Times.</t>
  </si>
  <si>
    <t>"According to the results of the Infinite Focus Microscopy, the ozone therapy group revealed significantly higher scores than the control group and photobiomodulation group at the 4-week loading time, whereas the photobiomodulation and ozone therapy groups revealed significantly higher scores than the control group at the 8-week loading time in terms of bone volume measurements in mm3 (P &lt; .05). According to the histologic analysis, the ozone therapy and photobiomodulation groups revealed significantly higher scores than the control group at the 4-week loading time, whereas the photobiomodulation group showed the highest scores among the 8-week loading groups (P &lt; .05)."
"This is the first study in the literature that reveals a better osseointegration process in miniscrew implants when treated with photobiomodulation and ozone therapy compared with control groups. Although the photobiomodulation and ozone therapy groups did not reveal significantly higher scores in immediately loaded miniscrew implants (G1), these treatments were significantly more effective when loaded after 4 or 8 weeks of osseointegration (G2 and G3)."</t>
  </si>
  <si>
    <t>New bone formation around implants inserted on autologous and xenografts irradiated or not with IR laser light: a histomorphometric study in rabbits.</t>
  </si>
  <si>
    <t>"The results of this investigation suggest that the use of LLLT is effective for enhancing new bone formation with consequent increase of bone-implant interface in both autologous grafts and xenografts."</t>
  </si>
  <si>
    <t>Primo</t>
  </si>
  <si>
    <t>Effect of surface roughness and low-level laser therapy on removal torque of implants placed in rat femurs.</t>
  </si>
  <si>
    <t>d =
0.4 mm</t>
  </si>
  <si>
    <t>"Group C (smooth surface + LLLT) showed no significant differences from the other 2 groups (P ¼ .05), as shown in Table 3 and Figure 2."</t>
  </si>
  <si>
    <t>Omasa</t>
  </si>
  <si>
    <t>Low-level laser therapy enhances the stability of orthodontic mini-implants via bone formation related to BMP-2 expression in a rat model.</t>
  </si>
  <si>
    <t>Orthodontic mini-implant in tibia bone</t>
  </si>
  <si>
    <t>195</t>
  </si>
  <si>
    <t xml:space="preserve">d =
4.2 mm
(spot)
(/p)
</t>
  </si>
  <si>
    <t>270
(2p)</t>
  </si>
  <si>
    <t>"Periotest values were significantly lower (0.79- to 0.65-fold) and the volume of newly formed bone was significantly higher (1.53-fold) in the LLLT group. LLLT also stimulated significant BMP-2 gene expression in peri-implant bone (1.92-fold)."
"LLLT enhanced the stability of mini-implants placed in rat tibiae and accelerated peri-implant bone formation by increasing the gene expression of BMP-2 in surrounding cells."</t>
  </si>
  <si>
    <t>Maluf</t>
  </si>
  <si>
    <t>Mechanical evaluation of the influence of low-level laser therapy in secondary stability of implants in mice shinbones.</t>
  </si>
  <si>
    <t>"A statistically significant difference was observed between the two groups. The experimental group presented larger difficulty for breaking up the implant interface with the bone block than the control group. It can be concluded that with the animal model and the protocol of irradiation present in this study, the laser therapy demonstrated capacity to increase the attachment bone implant."</t>
  </si>
  <si>
    <t>Campanha</t>
  </si>
  <si>
    <t>Brazil
(Belo Horizonte)</t>
  </si>
  <si>
    <t>Low-level laser therapy for implants without initial stability.</t>
  </si>
  <si>
    <t>0.02827
cm2</t>
  </si>
  <si>
    <t>51
/p</t>
  </si>
  <si>
    <t>"A significant increase (p = 0.050) in removal torque values was found in the group of laser-irradiated implants at 15 and 30 d when compared with the control groups. At 45 d, no significant differences were found."
"In this study, low-level laser therapy promoted the osseointegration of implants with poor initial stability, particularly in the initial stages of bone healing."</t>
  </si>
  <si>
    <t>Obradović</t>
  </si>
  <si>
    <t>Serbia
(Niš)</t>
  </si>
  <si>
    <t>Influence of low-level laser therapy on biomaterial osseointegration: a mini-review.</t>
  </si>
  <si>
    <t>"The utility of LLLT in biomaterial osseointegration is still unanswered, due to lack of literature and poorly understood mechanisms. It is still difficult for one to compare studies about the action of LLLT on the osseointegration of biomaterials because the experimental models and duration of treatments are very distinct. However, it could be concluded that LLLT may offer advantages in terms of periodontal and bone functional recovery and biomaterial osseointegration."</t>
  </si>
  <si>
    <t>Effect of low-level laser therapy after implantation of poly-L-lactic/polyglycolic acid in the femurs of rats.</t>
  </si>
  <si>
    <t>Implantation of poly-L-lactic/polyglycolic acid
Wavelength comparison</t>
  </si>
  <si>
    <t>d =
0.06 cm</t>
  </si>
  <si>
    <t>"Results showed that the laser irradiation had had a positive photobiomodulation effect on inflammation, confirmed by a better histologic pattern than that of the control group at 3 days and 7 days. Semiquantitative analysis revealed that groups A and B had a histologic score significantly greater than that of the control group at 3 days. At 21 days, histomorphometric analysis revealed a more intense inflammation in the red laser group than in the other groups.
We concluded that low-level laser therapy (LLLT) has positive effects on the photobiomodulation of inflammation in the tissues surrounding the poly-L-lactic/polyglycolic acid (PLLA/PGA) bioabsorbable plate. It stimulated vascularization, fibroblast proliferation, and collagen deposition."</t>
  </si>
  <si>
    <t>Effect of low-level laser treatment after installation of dental titanium implant-immunohistochemical study of RANKL, RANK, OPG: an experimental study in rats.</t>
  </si>
  <si>
    <t>6.72
(7p)</t>
  </si>
  <si>
    <t>"The application of the LLL influenced the expression of OPG, RANKL, and RANK, and resulted in the expansion of metabolic bone activity and increased the activity of bone tissue cells."</t>
  </si>
  <si>
    <t>Khadra M</t>
  </si>
  <si>
    <t>Swed Dent J Suppl</t>
  </si>
  <si>
    <t>The effect of low level laser irradiation on implant-tissue interaction. In vivo and in vitro studies.</t>
  </si>
  <si>
    <t>1.5
3</t>
  </si>
  <si>
    <t>"The following conclusions are drawn from the results of these five studies:
LLLT can promote bone healing and bone mineralization and thus may be clinically beneficial in promoting bone formation in skeletal defects. It may be also used as additional treatment for accelerating implant healing in bone.
LLLT can modulate the primary steps in cellular attachment and growth on titanium surfaces. Multiple doses of LLLT can improve LLLT efficacy, accelerate the initial attachment and alter the behaviour of human gingival fibroblasts cultured on titanium surfaces.
The use of LLLT at the range of doses between 1.5 and 3 J/cm2 may modulate the activity of cells interacting with an implant, thereby enhancing tissue healing and ultimate implant success."</t>
  </si>
  <si>
    <t>Low-level laser therapy stimulates bone-implant interaction: an experimental study in rabbits.</t>
  </si>
  <si>
    <t>"The histomorphometrical evaluation suggested that the irradiated group had more bone-to-implant contact than the controls. The weight percentages of calcium and phosphorus were significantly higher in the irradiated group when compared to the controls (P=0.037) and (P=0.034), respectively, suggesting that bone maturation processed faster in irradiated bone. These findings suggest that LLLT might have a favourable effect on healing and attachment of titanium implants."</t>
  </si>
  <si>
    <t>Osseointegration of endosseous ceramic implants after postoperative low-power laser stimulation: an in vivo comparative study.</t>
  </si>
  <si>
    <t>300</t>
  </si>
  <si>
    <t>"Three and 6 weeks after implantation, histomorphometric and microhardness measurements were taken. A higher affinity index was observed at the HA-bone interface in the LPL group at 3 (P&lt;0.0005) and 6 weeks (P&lt;0.001); a significant difference in bone microhardness was seen in the LPL group vs. the control group (P&lt;0.01). These results suggest that LPL postoperative treatment enhances the bone-implant interface."</t>
  </si>
  <si>
    <t>Dörtbudak</t>
  </si>
  <si>
    <t>Austria
(Vienna)</t>
  </si>
  <si>
    <t>Effect of low-power laser irradiation on bony implant sites.</t>
  </si>
  <si>
    <t>🐒 Monkey (baboon)</t>
  </si>
  <si>
    <t>"Five days later, the bone was removed en bloc and was evaluated histomorphometrically. The mean osteocyte count per unit area was 109.8 cells in the irradiated group vs. 94.8 cells in the control group. As intra-individual cell counts varied substantially, osteocyte viability was used for evaluation. In the irradiated group, viable osteocytes were found in 41.7% of the lacuna vs. 34.4% in the non-irradiated group. This difference was statistically significant at P &lt; 0.027. The total resorption area, eroded surface, was found to be 24.9% in the control group vs. 24.6% in the irradiated group. This difference was not statistically significant. 
This study showed that osteocyte viability was significantly higher in the samples that were subjected to laser irradiation immediately after implant site drilling and implant insertion, in comparison to control sites. This may have positive effects on the integration of implants. The bone resorption rate, in contrast, was not affected by laser irradiation."</t>
  </si>
  <si>
    <t>Int J Artif Organs</t>
  </si>
  <si>
    <t>Laser technology in orthopedics: preliminary study on low power laser therapy to improve the bone-biomaterial interface.</t>
  </si>
  <si>
    <t>"Histomorphometry showed a higher degree of osteointegration at the HA-bone interface in the LG Group at 4 (p &lt; 0.0005) and 8 weeks (p &lt; 0.001). These preliminary positive results seem to support the hypothesis that LPL treatment can be considered a good tool to enhance the bone-implant interface in orthopedic surgery."</t>
  </si>
  <si>
    <t>In vitro</t>
  </si>
  <si>
    <t>Ülker</t>
  </si>
  <si>
    <t>Polychromatic light-induced osteogenic activity in 2D and 3D cultures.</t>
  </si>
  <si>
    <t>590-
1500</t>
  </si>
  <si>
    <t>"Cell culture studies under static conditions indicated that polychromatic light significantly stimulated bone nodule formation via the prolonged cell survival and stimulated differentiation of MC3T3-E1 preosteoblastic cells in both TCPS and chitosan scaffold groups."</t>
  </si>
  <si>
    <t>Osteoblasts</t>
  </si>
  <si>
    <t>Zampa</t>
  </si>
  <si>
    <t>Greece
(Athens)</t>
  </si>
  <si>
    <t>Effect of Low-Level Laser Irradiation (810 nm) on the Proliferation and Differentiation of Osteoblast-Like Cells Cultured on SLA Titanium Discs Exposed to a Peri-implantitis Environment</t>
  </si>
  <si>
    <t>15 or 300 (????)</t>
  </si>
  <si>
    <t>"Photomodulation with a laser (810 nm) promoted osteoblastic differentiation in both sterile and disinfected titanium surfaces."</t>
  </si>
  <si>
    <t>Fu</t>
  </si>
  <si>
    <t>Korea
(Gwangju)</t>
  </si>
  <si>
    <t>625 nm Light Irradiation Prevented MC3T3-E1 Cells from Accumulation of Misfolded Proteins via ROS and ATP Production</t>
  </si>
  <si>
    <t>MC3T3-E1 cells
LED phototherapy</t>
  </si>
  <si>
    <t>"The results revealed that pretreatment with 625 nm LEDI (Pre-IR) induced reactive oxygen species (ROS) production, leading to the increased chaperone BiP through the inositol-requiring enzyme 1 (IRE1)/X-box binding protein 1s (XBP-1s) pathway, and then restoration of collagen type I (COL-I) and osteopontin (OPN) expression relieving cell apoptosis. Furthermore, the translocation of BiP into the endoplasmic reticulum (ER) lumen might be followed by a high level of ATP production."</t>
  </si>
  <si>
    <t>Peng</t>
  </si>
  <si>
    <t>Int J Oral Sci</t>
  </si>
  <si>
    <t>Low intensity near-infrared light promotes bone regeneration via circadian clock protein cryptochrome 1</t>
  </si>
  <si>
    <t>🧪 In vitro
+ 🐀 Rat</t>
  </si>
  <si>
    <t>⚙️ Mechanisms</t>
  </si>
  <si>
    <t xml:space="preserve">0.025
in vitro
0.100
rats
</t>
  </si>
  <si>
    <t>"We demonstrated that bone regeneration in the rat skull defect model was significantly accelerated with low-intensity NIR stimulation."
"In vitro studies showed that NIR stimulation could promote the osteoblast differentiation in bone mesenchymal stem cells (BMSCs) and MC3T3-E1 cells, which was associated with increased ubiquitination of the core circadian clock protein Cryptochrome 1 (CRY1) in the nucleus."
"NIR light treatment may act through sodium voltage-gated channel Scn4a, which may be a potential responder of NIR light to accelerate bone regeneration. Together, these findings suggest that low-intensity NIR light may promote in situ bone regeneration in a CRY1-dependent manner, providing a novel, efficient and non-invasive strategy to promote bone regeneration for clinical bone defects."</t>
  </si>
  <si>
    <t>Nature</t>
  </si>
  <si>
    <t>Device: "A high uniformity integrated xenon lamp (PLS-FX300HU, Beijing Perfectlight, China) with monochromatic light band-pass filter (λ = 810 nm; Beijing Perfectlight, China)"</t>
  </si>
  <si>
    <t>Garzón</t>
  </si>
  <si>
    <t>Colombia
(Bogotá)</t>
  </si>
  <si>
    <t>Response of osteoblastic cells to low-level laser treatment: a systematic review</t>
  </si>
  <si>
    <t>📚 Systematic review (🧪 In vitro research)</t>
  </si>
  <si>
    <t>"The aim of this systematic review was to collect and analyze the available literature on the cellular and molecular effects of LLLT on osteoblasts and the role of ROS in this process (...)
Fourteen articles were included with moderate (n = 9) and low risk of bias (n = 5). 
Thirteen studies reported the use of diode lasers with wavelengths (λ) between 635 and 980 nm. One study used an Nd:YAG laser (λ1064 nm). The most commonly used λ values were 808 and 635 nm.  The energy densities ranged from 0.378 to 78.75 J/cm2, and irradiation times from 1.5 to 300 s. 
Most studies found increases in proliferation, ATP synthesis, mitochondrial activity, and osteoblastic differentiation related to moderate and dose-dependent increases in intracellular ROS levels. Only two studies reported no significant changes. 
The data presented heterogeneity owing to the variety of LLLT protocols. 
Although several studies have shown a positive role of ROS in the induction of proliferation, migration, and differentiation of different cell types, further research is required to determine the specific role of ROS in the osteoblastic cell response and the molecular mechanisms involved in triggering previously reported cellular events."</t>
  </si>
  <si>
    <t>Sleep</t>
  </si>
  <si>
    <t>Australia
(Griffith)</t>
  </si>
  <si>
    <t>Bioenergetics of photobiomodulated osteoblast mitochondrial cells derived from human pulp stem cells: systematic review</t>
  </si>
  <si>
    <t>" A total number of 110 articles were collated, 106 were excluded leaving a total of 4 articles. These studies demonstrated that in vitro use of photobiomodulation was performed using different laser and LED types; InGaAlP; InGaN; and InGaAsP with average wavelengths of 630 to 940 nm. Primary human osteoblastic STRO-1 and mesenchymal stem cell lineages were studied.
Three out of four articles confirmed positive bioenergetic effects of photobiomodulation on mitochondria of osteoblasts derived from human pulp cells.
This systematic review demonstrated a lack of adequate reporting of bioenergetics of osteoblast mitochondria after photobiomodulation treatment."</t>
  </si>
  <si>
    <t>Agas</t>
  </si>
  <si>
    <t>Italy
(Macerata)</t>
  </si>
  <si>
    <t>Photobiomodulation by Near-Infrared 980-nm Wavelengths Regulates Pre-Osteoblast Proliferation and Viability through the PI3K/Akt/Bcl-2 Pathway</t>
  </si>
  <si>
    <t>"The 980-nm wavelength can photobiomodulate the pre-osteoblasts, regulating their metabolic schedule. The cellular signal activated by 45 J/cm2, 0.75 W and 0.75 W/cm2 consist of the PI3K/Akt/Bcl-2 pathway; differentiation markers were not affected, nor do other parameters seem to stimulate the cells. Our previous and present data consistently support the window effect of 980 nm, which has also been described in extracted mitochondria, through activation of signalling PI3K/Akt/Bcl-2 and cyclin family, while the Wnt and Smads 2/3-β-catenin pathway was induced by 55 J/cm2, 0.9 W and 0.9 W/cm2."</t>
  </si>
  <si>
    <t>Hong</t>
  </si>
  <si>
    <t>Korea
(Yangsan)</t>
  </si>
  <si>
    <t>Effects of photobiomodulation on bone remodeling in an osteoblast-osteoclast co-culture system</t>
  </si>
  <si>
    <t>"Under the single-cell culture condition, PBM enhanced osteoblast differentiation but had minor effects on osteoclast differentiation. However, in the co-culture condition, its osteoblastogenic effect was maintained, and osteoclast differentiation was substantially reduced."
"Our results highlight the different effects of PBM on bone cells based on culture conditions. Further, our findings suggest the indirect anti-osteoclastogenic effect of PBM, which is accompanied by a decrease in RANKL expression and an increase in OPG expression."</t>
  </si>
  <si>
    <t>Bueno</t>
  </si>
  <si>
    <t>Recovering the osteoblastic differentiation potential of mesenchymal stem cells derived from diabetic rats by photobiomodulation therapy</t>
  </si>
  <si>
    <t>Diabetic osteoblasts</t>
  </si>
  <si>
    <t>0.714</t>
  </si>
  <si>
    <t>0.14</t>
  </si>
  <si>
    <t>"PBM therapy improved viability of dOB, increased the gene and protein expression of bone markers, the ALP activity and the mineralized matrix production."</t>
  </si>
  <si>
    <t>Ghidini</t>
  </si>
  <si>
    <t>Italy
(Parma)</t>
  </si>
  <si>
    <t>Photobiomodulation with a 645 nm Diode Laser of Saos-2 Cells and Platelet-Rich Plasma: The Potential for a New Mechanism of Action</t>
  </si>
  <si>
    <t>"Only a defined amount of energy, that is, a fluence of 5 J/cm2 delivered in 2 min and of 10 J/cm2 in 4 min, was proven to be the most effective in the presence of platelet-rich plasma to induce cell proliferation and calcium deposition."</t>
  </si>
  <si>
    <t>Crous &amp; Abrahamse</t>
  </si>
  <si>
    <t>Stem Cell Rev Rep</t>
  </si>
  <si>
    <t>The Signalling Effects of Photobiomodulation on Osteoblast Proliferation, Maturation and Differentiation: A Review</t>
  </si>
  <si>
    <t>"The current review addresses osteoblast function and control, a new understanding of PBM on osteoblasts and its therapeutic impact using various parameters to optimize osteoblast function that may be clinically important."</t>
  </si>
  <si>
    <t>Niimi</t>
  </si>
  <si>
    <t>Front Cell Dev Biol</t>
  </si>
  <si>
    <t>Effects of Low-Level Er:YAG Laser Irradiation on Proliferation and Calcification of Primary Osteoblast-Like Cells Isolated From Rat Calvaria</t>
  </si>
  <si>
    <t>2.2
3.3
4.3</t>
  </si>
  <si>
    <t>"In conclusion, low-level Er:YAG laser irradiation at 3.3 J/cm2 enhanced calcification of primary osteoblast-like cells via enhanced Bglap expression and enriched Notch signaling."</t>
  </si>
  <si>
    <t>Cardoso</t>
  </si>
  <si>
    <t>Brazil
(Bauru))</t>
  </si>
  <si>
    <t>Laser and LED Photobiomodulation Effects in Osteogenic or Regular Medium on Rat Calvaria Osteoblasts Obtained by Newly Forming Bone Technique</t>
  </si>
  <si>
    <t>637
(LED)
660
(laser)
808
(laser)</t>
  </si>
  <si>
    <t>"PBM with red laser and LED induced mineralization by itself, without osteogenic medium, not observed for infrared laser (p &lt; 0.05). A sum of effects was observed in osteogenic medium and PBM by infrared, red laser, and LED (5 s). Red laser and LED increased proliferation, migration, and secretory phases in rGO cells in a dose-dependent manner. PBM with red laser and LED promotes osteogenic induction by itself. PBM with infrared laser and osteogenic medium potentializes mineralization."</t>
  </si>
  <si>
    <t>Rosenberg</t>
  </si>
  <si>
    <t>Israel
(Haifa)</t>
  </si>
  <si>
    <t>FEBS Open Bio</t>
  </si>
  <si>
    <t>Photobiomodulation of human osteoblast-like cells in vitro by low-intensity pulsed LED light.</t>
  </si>
  <si>
    <t>420-
840
(white)
420-
580
(B)
560-
650
(G)
593-
840
(R)</t>
  </si>
  <si>
    <t>"Osteocalcin content in cells decreased following 40 Hz and 10 Hz irradiance (p&lt;0.05). 
The 40 Hz blue range irradiance (diffuse transmittance 420-580 nm, maximal cell irradiance 0.5 mW/cm2 ) caused a decrease in alkaline phosphatase cellular activity (p&lt;0.001) and an increase in media osteocalcin content (p&lt;0.05). 
The 40 Hz green range (diffuse transmittance 560-650 nm, maximal cell irradiance 0.4 mW/cm2 ) irradiance caused an increase in the number of cells and in cell death. 
In summary, pulsed (40 Hz) white light irradiance has photomodulatory effects, with its green range spectrum affecting cell proliferation and cell death, and its blue range spectrum affecting cellular maturation and metabolism. The results indicate a low intensity threshold of photobiomodulation of osteoblast-like cells in vitro."</t>
  </si>
  <si>
    <t>Med Sci Monit</t>
  </si>
  <si>
    <t>The Effects of Photobiomodulation on MC3T3-E1 Cells via 630 nm and 810 nm Light-Emitting Diode.</t>
  </si>
  <si>
    <t>LED phototherapy
Wavelength comparison</t>
  </si>
  <si>
    <t>630
810</t>
  </si>
  <si>
    <t>0.005
0.005</t>
  </si>
  <si>
    <t>200
200</t>
  </si>
  <si>
    <t>"Our results showed that LED PBM could promote the proliferation, ALP staining intensity and activity, level of mineralization, gene expression of OCN and OPG of MC3T3-E1 cells, with no significant difference between the 630 nm- and 810 nm-irradiated groups."</t>
  </si>
  <si>
    <t>Li</t>
  </si>
  <si>
    <t>China
(Changchun)</t>
  </si>
  <si>
    <t>The effects of photobiomodulation therapy on mouse pre-osteoblast cell line MC3T3-E1 proliferation and apoptosis via miR-503/Wnt3a pathway.</t>
  </si>
  <si>
    <t>0.042</t>
  </si>
  <si>
    <t>"The results showed that PBMT treatment reduced the expression of miR-503 and increased the level of Wnt3a (p &lt; 0.01). Bioinformatics analysis and luciferase reporter assays revealed that Wnt3a was a target of miR-503, and Wnt3a was regulated by miR-503. Furthermore, miR-503 was found to functionally inhibit proliferation and promote apoptosis (p &lt; 0.01). And during this process, Wnt3a, β-catenin, Runx2, and Bcl-2 expressions were significantly inhibited (p &lt; 0.01); however, caspase-3 level was upregulated (p &lt; 0.01). 
These results suggest that miR-503 plays a role in osteoblast proliferation and apoptosis in response to PBMT, which is potentially amenable to therapeutic manipulation for clinical application."</t>
  </si>
  <si>
    <t>Jeong</t>
  </si>
  <si>
    <t>J Korean Assoc Oral Maxillofac Surg</t>
  </si>
  <si>
    <t>Combined effect of recombinant human bone morphogenetic protein-2 and low level laser irradiation on bisphosphonate-treated osteoblasts.</t>
  </si>
  <si>
    <t>"The results showed that rhBMP-2 and LLLT had a synergic effect on alendronate-treated osteoblasts for enhancing osteoblastic activity and bone matrix formation. Between rhBMP-2 and LLLT, rhBMP-2 exhibited a greater effect, but did not show a significant difference."
"rhBMP-2 and LLLT have synergic effects on bisphosphonate-treated osteoblasts through enhancement of osteoblastic activity and bone formation activity."</t>
  </si>
  <si>
    <t>Morsoleto</t>
  </si>
  <si>
    <t>Effect of low power laser in biomodulation of cultured osteoblastic cells of Wistar rats1.</t>
  </si>
  <si>
    <t>"At 18 days, the cellular viability (with laser) was 77.42% and 47.62% without laser."
"At 8 days, the total protein concentration was 21.622 mg / mol in the irradiated group and 16, 604 mg / mol in the non-irradiated group and at 18 days the concentration was 37.25 mg / mol in the irradiated group and 24, 95 mg / mol in the non-irradiated group."</t>
  </si>
  <si>
    <t>Front Endocrinol (Lausanne)</t>
  </si>
  <si>
    <t>A Comparative Study Between the Effectiveness of 980 nm Photobiomodulation Delivered by Hand-Piece With Gaussian vs. Flat-Top Profiles on Osteoblasts Maturation.</t>
  </si>
  <si>
    <t>Parameters / Flat-top beam profile</t>
  </si>
  <si>
    <t>0.9</t>
  </si>
  <si>
    <t>55</t>
  </si>
  <si>
    <t>1/3/5
/wk</t>
  </si>
  <si>
    <t>"Our data, for the first time, prove that laser irradiation of 980 nm wavelength with flat-top beam profile delivery system, compared to standard-Gaussian profile, has improved photobiomodulatory efficacy on pre-osteoblastic cells differentiation. 
Mechanistically, the irradiation enhances the pre-osteoblast differentiation through activation of Wnt signaling and activation of Smads 2/3-βcatenin pathway."</t>
  </si>
  <si>
    <t>Heo</t>
  </si>
  <si>
    <t>Tissue Eng Regen Med</t>
  </si>
  <si>
    <t>Combined Treatment with Low-Level Laser and rhBMP-2 Promotes Differentiation and Mineralization of Osteoblastic Cells under Hypoxic Stress.</t>
  </si>
  <si>
    <t>MC3T3-E1 osteoblastic cells</t>
  </si>
  <si>
    <t>"The results indicate that LLLT and rhBMP-2 synergistically increased alkaline phosphatase (ALP) activity and mineralization. Western blot analyses showed that expression of type I collagen, runt-related transcription factor 2 (RUNX2), and Osterix (Osx), increased and expression of hypoxia-inducible factor 1-alpha (HIF-1α), decreased more in the LLLT and rhBMP-2 combined group than in the rhBMP-2 or LLL alone groups. Moreover, LLLT and rhBMP-2 stimulated p38 phosphorylation and rhBMP-2 and LLLT increased Prkd1 phosphorylation."
"Combined treatment with rhBMP-2 and LLL induced differentiation and mineralization of hypoxic-cultured MC3T3-E1 osteoblasts by activating p38/PKD signaling in vitro."
Comment: Parameters were very poorly reported.</t>
  </si>
  <si>
    <t>Tsuka</t>
  </si>
  <si>
    <t>Japan
(Hiroshima)</t>
  </si>
  <si>
    <t>Effects of Nd:YAG low-level laser irradiation on cultured human osteoblasts migration and ATP production: in vitro study.</t>
  </si>
  <si>
    <t>"Migration of cells from the border of the original scratch zone was accelerated by laser irradiation. In addition, compared with the control group, significant enhancement of ATP production was observed in the irradiated group."</t>
  </si>
  <si>
    <t>Na</t>
  </si>
  <si>
    <t>USA
(Indianapolis, IN)</t>
  </si>
  <si>
    <t>Dose analysis of photobiomodulation therapy on osteoblast, osteoclast, and osteocyte.</t>
  </si>
  <si>
    <t>0.0017
0.0083
0.0125</t>
  </si>
  <si>
    <t>1
5
7.5</t>
  </si>
  <si>
    <t>"Low-dose treatment (1  J  /  cm2) enhanced osteoblast proliferation, osteoclast differentiation, and osteoclastic bone resorption activity. Osteocyte proliferation was not affected by both low- and high-dose (5  J  /  cm2) treatments. While 1  J  /  cm2 did not affect viability of all three cell types, 5  J  /  cm2 significantly decreased viability of osteocytes and osteoclasts. Osteoblast viability was negatively impacted by the higher dose (7.5  J  /  cm2). The findings suggest that optimal doses exist for osteoblast and osteoclast, which can stimulate cell activities, and there is a safe dose range for each type of cell tested."</t>
  </si>
  <si>
    <t>Mikami</t>
  </si>
  <si>
    <t>Low-level ultrahigh-frequency and ultrashort-pulse blue laser irradiation enhances osteoblast extracellular calcification by upregulating proliferation and differentiation via transient receptor potential vanilloid 1</t>
  </si>
  <si>
    <t>Blue light 🔵</t>
  </si>
  <si>
    <t>"LLLI with a 405 nm UHF-USP blue laser enhances extracellular calcification of osteoblasts by upregulating proliferation and differentiation via TRPV1."</t>
  </si>
  <si>
    <t>Ateş</t>
  </si>
  <si>
    <t>Indocyanine green-mediated photobiomodulation on human osteoblast cells.</t>
  </si>
  <si>
    <t>0.05</t>
  </si>
  <si>
    <t>0.5
1.0
2.0</t>
  </si>
  <si>
    <t>10
20
40</t>
  </si>
  <si>
    <t>"ICG-mediated PBM did not alter cell viability but increased ALP activity and enhanced mineralization of existing osteoblasts."</t>
  </si>
  <si>
    <t>Deana</t>
  </si>
  <si>
    <t>The impact of photobiomodulation on osteoblast-like cell: a review.</t>
  </si>
  <si>
    <t>"Thus, 22 studies were included for a critical evaluation of the impact of photobiomodulation on osteoblast-like cell culture. The cell lineages studied were primary rat, primary human, saos-2, Osteo-1, MC3T3, MG63, and OFCOL II. Moreover, a wide variety of experimental models were used to experimentally analyze the impact of photobiomodulation, the most common of which were alkaline phosphatase, MTT, and cell count. 
This review suggests that osteoblastic-like cells are susceptible to photobiomodulation but that most of the light parameters varied by different authors have little to no influence on proliferation but very high levels of irradiance have demonstrated deleterious effects on proliferation, highlighting the bi-phasic effect of photobiomodulation."</t>
  </si>
  <si>
    <t>Mergoni</t>
  </si>
  <si>
    <t>Effects of 915 nm laser irradiation on human osteoblasts: a preliminary in vitro study.</t>
  </si>
  <si>
    <t>Human osteoblasts (mandibular cortex)</t>
  </si>
  <si>
    <t>5
15
45</t>
  </si>
  <si>
    <t>41.7
125
375</t>
  </si>
  <si>
    <t>"Photobiomodulation, with the parameters investigated in the present study, positively modulated the mineralization process in human osteoblasts, inducing the formation of a greater amount of bone nodules, but did not increase cell proliferation."</t>
  </si>
  <si>
    <t>Bölükbaşı Ateş</t>
  </si>
  <si>
    <t>Investigation of photobiomodulation potentiality by 635 and 809 nm lasers on human osteoblasts.</t>
  </si>
  <si>
    <t>635
809</t>
  </si>
  <si>
    <t>"The results indicate that studied energy doses have a transient effect (48 h after laser irradiation) on the osteoblast viability and proliferation. Similarly, laser irradiation did not appear to have any effect on ALP activity. These results were confirmed by RT-PCR analysis of osteoblast markers."
"This study suggests that several irradiation parameters and variations in the methods should be clearly established in the laboratory before laser treatment becomes a postulated application for bone tissue regeneration in clinical level."</t>
  </si>
  <si>
    <t>Karoussis</t>
  </si>
  <si>
    <t>Nd:YAG laser radiation (1.064 nm) accelerates differentiation of osteoblasts to osteocytes on smooth and rough titanium surfaces in vitro.</t>
  </si>
  <si>
    <t>"Following the application of Nd:YAG laser irradiation, cells yielded statistically significantly improved differentiation on both smooth and SLA surfaces compared with non-irradiated surfaces."
"The findings of this present study suggest that both surface morphology and Nd:YAG laser irradiation influence the proliferation and differentiation potential of MG-63 cells."</t>
  </si>
  <si>
    <t>Low level laser therapy modulates viability, alkaline phosphatase and matrix metalloproteinase-2 activities of osteoblasts.</t>
  </si>
  <si>
    <t>660
780</t>
  </si>
  <si>
    <t>0.08/
0.16</t>
  </si>
  <si>
    <t>1.9/
3.8</t>
  </si>
  <si>
    <t>"In conclusion, when used at these specific parameters, LLL modulates both preosteoblast viability and differentiation highlighted by the increased ALP and MMP-2 activities induced by irradiation."</t>
  </si>
  <si>
    <t>Son</t>
  </si>
  <si>
    <t>Korea
(Ulsan)</t>
  </si>
  <si>
    <t>A novel combination treatment to stimulate bone healing and regeneration under hypoxic conditions: photobiomodulation and melatonin.</t>
  </si>
  <si>
    <t>PBM vs melatonin</t>
  </si>
  <si>
    <t>"Therefore, we concluded that laser irradiation could promote the effect of melatonin on the differentiation and mineralization of MC3T3-E1 cells under hypoxic conditions, and that this process is mediated through melatonin 1/2 receptors and PKRD/p38 signaling pathways."</t>
  </si>
  <si>
    <t>Shin</t>
  </si>
  <si>
    <t>Maxillofac Plast Reconstr Surg</t>
  </si>
  <si>
    <t>Effect of low-level laser therapy on bisphosphonate-treated osteoblasts.</t>
  </si>
  <si>
    <t>"The LLLT does not affect the OPG expression in the hFOB cell line, but it may increase the RANKL and M-CSF expressions, thereby resulting in positive effects on osteoclastogenesis and bone remodeling."</t>
  </si>
  <si>
    <t>Tschon</t>
  </si>
  <si>
    <t>Photobiomodulation with low-level diode laser promotes osteoblast migration in an in vitro micro wound model.</t>
  </si>
  <si>
    <t>5
10
15</t>
  </si>
  <si>
    <t>"This study demonstrated that laser photobiomodulation at 915 nm promoted wound healing mainly through stimulation of cell migration and collagen deposition by osteoblasts."</t>
  </si>
  <si>
    <t>Tang</t>
  </si>
  <si>
    <t>ACS Nano</t>
  </si>
  <si>
    <t>Implantable Self-Powered Low-Level Laser Cure System for Mouse Embryonic Osteoblasts' Proliferation and Differentiation.</t>
  </si>
  <si>
    <t>Mouse embryonic osteoblasts
Device development</t>
  </si>
  <si>
    <t>"In this work, a self-powered low-level laser cure system for osteogenesis is developed using the power generated by the triboelectric nanogenerator. It is found that the system significantly accelerated the mouse embryonic osteoblasts' proliferation and differentiation, which is essential for bone and tooth healing. 
The system is further demonstrated to be driven by a living creature's motions, such as human walking or a mouse's breathing, suggesting its practical use as a portable or implantable clinical cure for bone remodeling or orthodontic treatment."</t>
  </si>
  <si>
    <t>Chintavalakorn</t>
  </si>
  <si>
    <t>?</t>
  </si>
  <si>
    <t>Conf Proc IEEE Eng Med Biol Soc</t>
  </si>
  <si>
    <t>The effect of light-emitting diode irradiation at different wavelengths on calcification of osteoblast-like cells in 3D culture.</t>
  </si>
  <si>
    <t>🧪 In vitro (3D)</t>
  </si>
  <si>
    <t>630
680
760
830</t>
  </si>
  <si>
    <t>0.002
0.002
0.002
0.002</t>
  </si>
  <si>
    <t>3.1
3.1
3.1
3.1</t>
  </si>
  <si>
    <t>"Only 680-nm irradiated samples revealed a significant enhancement of calcium content until the late stages of culture (from days 21 to 42) (p&lt;;0.001). 
The cyclin D mRNA expression that was investigated 3 hours after stimulation at day3 also show that the 680-nm LED irradiation can enhance cyclin D expression more than others. 
For enhancing bone mineralization, LED irradiation at the 680-nm is more effective than those at 630-, 760- and 830-nm. 
Further studies should be investigated in order to obtain the most effective parameters of LLLI on bone regeneration in clinical setting."</t>
  </si>
  <si>
    <t>Asai</t>
  </si>
  <si>
    <t>Japan
(Kobe)</t>
  </si>
  <si>
    <t>Kobe J Med Sci</t>
  </si>
  <si>
    <t>The long-term effects of red light-emitting diode irradiation on the proliferation and differentiation of osteoblast-like MC3T3-E1 cells.</t>
  </si>
  <si>
    <t>LED phototherapy
Dose response</t>
  </si>
  <si>
    <t>0.5
1.5
3.0</t>
  </si>
  <si>
    <t>"The number of viable MC3T3-E1 cells showed a tendency to increase after the irradiation at all three energy densities in comparison with a non-irradiation group (control group). In particular, there was a remarkable 3.34-fold increase in the group irradiated with 3.0J/cm² on day 7 after starting the culture. On culture day 15, there was a tendency for the red LED irradiation group (0.5 J/cm²) to exhibit more staining for ALP than the control group, and the expression of OPN was significantly higher in the irradiation group on culture day 16. In conclusion, low level red LED light can enhance MC3T3-E1 cell proliferation and osteogenic differentiation when the cells are cultured for a relatively long time."</t>
  </si>
  <si>
    <t>Medina-Huertas</t>
  </si>
  <si>
    <t>Spain
(Granada)</t>
  </si>
  <si>
    <t>The effects of low-level diode laser irradiation on differentiation, antigenic profile, and phagocytic capacity of osteoblast-like cells (MG-63).</t>
  </si>
  <si>
    <t>1-1.5</t>
  </si>
  <si>
    <t>"These results demonstrate that laser therapy can exert a biostimulatory effect on osteoblastic cells at different levels, which may be clinically useful in the regeneration of bone tissue."</t>
  </si>
  <si>
    <t>Incerti Parenti</t>
  </si>
  <si>
    <t>Different doses of low-level laser irradiation modulate the in vitro response of osteoblast-like cells.</t>
  </si>
  <si>
    <t>1
5
10
20
50</t>
  </si>
  <si>
    <t>10
48
96
193
482</t>
  </si>
  <si>
    <t>"Viability was modulated by laser irradiation in a dose-dependent manner, with 10 J/cm2 inducing a biostimulatory response and 20 to 50 J/cm2 determining a bioinhibitory and cytotoxic effect. Accordingly, DNA content was generally increased for the 10 J/cm2 dose and decreased for the 50 J/cm2 dose. A rapid and transitory trend toward increased RANKL/OPG ratio and a tendency toward a delayed increase in VEGF release for doses of 1 to 10 J/cm2 was found. Further investigations using the biostimulatory dose of 10 J/cm2 emerged from this study are needed to establish the ideal treatment regimens in the laboratory as well as in clinical practice."</t>
  </si>
  <si>
    <t>Ann Ist Super Sanita</t>
  </si>
  <si>
    <t>Effect of low-level laser irradiation on osteoblast-like cells cultured on porous hydroxyapatite scaffolds.</t>
  </si>
  <si>
    <t>"Laser irradiation did not interfere in cell viability and proliferation as compared with the non-irradiated controls."
"This study suggests that there is no effect of 915 nm laser irradiation at a dose of 2 J/cm2 on the proliferation rate of MG63 cells. Future investigations are needed to compare different dose and wavelength regimens in order to determine the optimal set of laser parameters for maximum cell yield and safe clinical application."</t>
  </si>
  <si>
    <t>Pacheco</t>
  </si>
  <si>
    <t>Laser phototherapy at high energy densities do not stimulate pre-osteoblast growth and differentiation.</t>
  </si>
  <si>
    <t>Pre-osteoblast
(Biphasic dose response?)
Wavelength comparison</t>
  </si>
  <si>
    <t>660
780</t>
  </si>
  <si>
    <t>90
150
90
150</t>
  </si>
  <si>
    <t>"The low intensity laser stimulated neither cell growth nor the production of alkaline phosphatase."</t>
  </si>
  <si>
    <t>Jawad</t>
  </si>
  <si>
    <t>Iraq
(Baghdad)</t>
  </si>
  <si>
    <t>Effect of 940 nm low-level laser therapy on osteogenesis in vitro.</t>
  </si>
  <si>
    <t>100
200
300</t>
  </si>
  <si>
    <t>"All treatment groups showed a significant increase in cell proliferation and differentiation compared to the control group.
Regarding the exposure time, the subgroups treated with the LLLT for 6 min showed higher proliferation and differentiation rates for the powers delivered, the 300-mW LLLT group significantly increased the amount of cell proliferation. By contrast, the 100 and 200 mW groups showed significantly greater amounts of cell differentiation.
These results suggest that the use of LLLT may play an important role in stimulating osteoblast cells for improved bone formation."</t>
  </si>
  <si>
    <t>Nogueira</t>
  </si>
  <si>
    <t>Effect of low-level laser therapy on proliferation, differentiation, and adhesion of steroid-treated osteoblasts.</t>
  </si>
  <si>
    <t>0.12</t>
  </si>
  <si>
    <t>"LLLT in combination with a high concentration of steroid inhibited cell proliferation, possibly by inducing cell differentiation, while irradiation combined with lower concentrations of the steroid induced an increase in cell adhesion."</t>
  </si>
  <si>
    <t>Saygun</t>
  </si>
  <si>
    <t>Low-level laser irradiation affects the release of basic fibroblast growth factor (bFGF), insulin-like growth factor-I (IGF-I), and receptor of IGF-I (IGFBP3) from osteoblasts.</t>
  </si>
  <si>
    <t>0.0143</t>
  </si>
  <si>
    <t>1
2</t>
  </si>
  <si>
    <t>"The results of the present study indicate that LLLT increases the proliferation of osteoblast cells and stimulates the release of bFGF, IGF-I, and IGFBP3 from these cells. The biostimulatory effect of LLLT may be related to the enhanced production of the growth factors."</t>
  </si>
  <si>
    <t>Kanenari</t>
  </si>
  <si>
    <t>Japan
(Chiba)</t>
  </si>
  <si>
    <t>Enhancement of microtubule-associated protein-1 Alpha gene expression in osteoblasts by low level laser irradiation</t>
  </si>
  <si>
    <t>"LLLI irradiation enhances MAP1A gene expression and modulates microtubule assembly and the functional structure of microtubules, in turn, stimulates osteoblastic proliferation and differentiation."</t>
  </si>
  <si>
    <t>Kiyosaki</t>
  </si>
  <si>
    <t>Low-level laser therapy stimulates mineralization via increased Runx2 expression and ERK phosphorylation in osteoblasts.</t>
  </si>
  <si>
    <t>Dose response
Biphasic dose response</t>
  </si>
  <si>
    <t>0.96
1.91
3.82</t>
  </si>
  <si>
    <t>300
600
1200</t>
  </si>
  <si>
    <t>These results suggest that LLLT stimulates in vitro mineralization through increased IGF-I and BMP production, through Runx2 expression and ERK phosphorylation in osteoblasts.</t>
  </si>
  <si>
    <t>Fujimoto</t>
  </si>
  <si>
    <t>Low-intensity laser irradiation stimulates mineralization via increased BMPs in MC3T3-E1 cells.</t>
  </si>
  <si>
    <t>"These results suggest that low-intensity laser irradiation stimulates in vitro mineralization via increased expression of BMPs and transcription factors associated with osteoblast differentiation."</t>
  </si>
  <si>
    <t>Petri</t>
  </si>
  <si>
    <t>Effects of low-level laser therapy on human osteoblastic cells grown on titanium.</t>
  </si>
  <si>
    <t>"LLLT treatment did not influence culture growth, ALP activity, and mineralized matrix formation."
"Gene expression of ALP, OC, BSP, and BMP-7 was higher in LLLT treated cultures, while Runx2, OPN, and OPG were lower. These results indicate that LLLT modulates cell responses in a complex way stimulating osteoblastic differentiation, which suggests possible benefits on implant osseointegration despite a transient deleterious effect immediately after laser irradiation."</t>
  </si>
  <si>
    <t>Phenothiazine chloride and soft laser light have a biostimulatory effect on human osteoblastic cells.</t>
  </si>
  <si>
    <t>30
60</t>
  </si>
  <si>
    <t>"While the biostimulatory effect of the LLLT could be observed for the lower irradiation dose, the pretreatment with phenothiazine chloride did not significantly affect the growth and differentiation of the SaOS-2 cells."</t>
  </si>
  <si>
    <t>Saracino</t>
  </si>
  <si>
    <t>Superpulsed laser irradiation increases osteoblast activity via modulation of bone morphogenetic factors.</t>
  </si>
  <si>
    <t>904-
910</t>
  </si>
  <si>
    <t>9
cm2</t>
  </si>
  <si>
    <t>3
7
12</t>
  </si>
  <si>
    <t>LLLT (904-910nm) had various effects on osteoblast-like cells.</t>
  </si>
  <si>
    <t>Wien Klin Wochenschr</t>
  </si>
  <si>
    <t>Initial effects of low-level laser therapy on growth and differentiation of human osteoblast-like cells.</t>
  </si>
  <si>
    <t>Biphasic dose response (?)</t>
  </si>
  <si>
    <t>"Over the observation period, cell viability, alkaline phosphatase activity and the expression of osteopontin and collagen type I mRNA were slightly enhanced in cells irradiated with 1 J/cm2 compared with untreated control cells. Increasing the laser dose to 2 J/cm2 reduced cell viability during the first 48 h and resulted in persistently lower alkaline phosphatase activity compared with the other two groups."</t>
  </si>
  <si>
    <t>Fukuhara</t>
  </si>
  <si>
    <t>Japan
(Manazuru)</t>
  </si>
  <si>
    <t>Optimal low-energy laser irradiation causes temporal G2/M arrest on rat calvarial osteoblasts.</t>
  </si>
  <si>
    <t>1.25
3.75
6.25</t>
  </si>
  <si>
    <t>"These results demonstrate that LELI induces not only acceleration of bone formation but also initial G2/M arrest, which may cause wound healing like tissue repair."</t>
  </si>
  <si>
    <t>Fujihara</t>
  </si>
  <si>
    <t>Irradiation at 780 nm increases proliferation rate of osteoblasts independently of dexamethasone presence.</t>
  </si>
  <si>
    <t>"Phototherapy increased the proliferation rate of cells independently of dexamethasone presence. Adhesion and osteonectin synthesis were not significantly influenced by laser and/or dexamethasone."</t>
  </si>
  <si>
    <t>Biomaterials</t>
  </si>
  <si>
    <t>Effect of laser therapy on attachment, proliferation and differentiation of human osteoblast-like cells cultured on titanium implant material.</t>
  </si>
  <si>
    <t>"LLLT significantly enhanced cellular attachment (P&lt;0.05). Greater cell proliferation in the irradiated groups was observed first after 96 h. Osteocalcin synthesis and TGF-beta(1) production were significantly greater (P&lt;0.05) on the samples exposed to 3 J/cm(2). However, alkaline phosphatase activity did not differ significantly among the three groups. "
"These results showed that in response to LLLT, HOB cultured on titanium implant material had a tendency towards increased cellular attachment, proliferation, differentiation and production of TGF-beta(1), indicating that in vitro LLLT can modulate the activity of cells and tissues surrounding implant material."</t>
  </si>
  <si>
    <t>Coombe</t>
  </si>
  <si>
    <t>Australia
(Sydney)</t>
  </si>
  <si>
    <t>Clin Orthod Res</t>
  </si>
  <si>
    <t>The effects of low level laser irradiation on osteoblastic cells.</t>
  </si>
  <si>
    <t>0.3
0.5
1
2
4</t>
  </si>
  <si>
    <t>"Cellular proliferation or activation was not found to be significantly affected by any of the energy levels and varying exposure regimes investigated. Low level laser irradiation did result in a heat shock response at an energy level of 2 J. No significant early or late effects of laser irradiation on protein expression and alkaline phosphatase activity were found. Investigation of intracellular calcium concentration revealed a tendency of a transient positive change after irradiation. Low level laser irradiation was unable to stimulate the osteosarcoma cells utilised for this research at a gross cell population level. The heat shock response and increased intracellular calcium indicate that the cells do respond to low level laser irradiation. Further research is required, utilising different cell and animal models, to more specifically determine the effects of low level laser irradiation at a cellular level.
These effects should be more thoroughly investigated before low level laser therapy can be considered as a potential accelerator stimulus for orthodontic tooth movement."</t>
  </si>
  <si>
    <t>Biostimulation of bone marrow cells with a diode soft laser.</t>
  </si>
  <si>
    <t>"It was found that all lased cultures demonstrated significantly more fluorescent bone deposits than the non-lased cultures. The difference was significant, as tested by the Tukey Test (P &lt; 0.0001) in the cultures examined after 16 days. Hence it is concluded that irradiation with a pulsed diode soft laser has a biostimulating effect on osteoblasts in vitro, which might be used in osseointegration of dental implants."</t>
  </si>
  <si>
    <t>Osteochondral defect</t>
  </si>
  <si>
    <t>Evaluation of low-level laser therapy with a He-Ne laser on the healing of an osteochondral defect using a biomechanical test.</t>
  </si>
  <si>
    <t>148.4</t>
  </si>
  <si>
    <t>"LLLT with a He-Ne laser of an osteochondral defect in rabbits could not significantly accelerate the healing of the osteochondral defect from a biomechanical standpoint when compared with a control group."
Comment: The authors speculated that the red light might not penetrate deep enough to have the stimulating effect.</t>
  </si>
  <si>
    <t>J Rehabil Res Dev</t>
  </si>
  <si>
    <t>Effect of He-Ne laser radiation on healing of osteochondral defect in rabbit: a histological study.</t>
  </si>
  <si>
    <t>"The conclusion was that LLLT with an He-Ne laser could not significantly accelerate healing of a large osteochondral defect in rabbits of the experimental group compared with that of the control group throughout the duration of the present study."</t>
  </si>
  <si>
    <t>Baat</t>
  </si>
  <si>
    <t>Effect of low-level infrared laser therapy on large surgical osteochondral defect in rabbit: a histological study.</t>
  </si>
  <si>
    <t>4.8</t>
  </si>
  <si>
    <t>"Results in the experimental group were better than those in the control group; however, there were no significant differences between the two study groups."</t>
  </si>
  <si>
    <t>Kamali</t>
  </si>
  <si>
    <t>The therapeutic effect of low-level laser on repair of osteochondral defects in rabbit knee.</t>
  </si>
  <si>
    <t>"While no difference was observed in the repaired cartilage biomechanical properties among 4th, 8th, 16th weeks in study groups. The equilibrium indentation stiffness of experimental group was significantly higher in 8th week in comparison with control group."
"LLLT significantly enhances the stiffness of repairing tissue in the 8th week post injury in osteochondral defects in rabbits."</t>
  </si>
  <si>
    <t>Artif Cells Blood Substit Immobil Biotechnol</t>
  </si>
  <si>
    <t>Low-power diode laser stimulation of surgical osteochondral defects: results after 24 weeks.</t>
  </si>
  <si>
    <t>"After 24 weeks, the explants from the femoral condyles, either treated employing laser energy or left untreated, were examined histomorphometrically. Results obtained on the lased condyles showed good cell morphology and a regular aspect of the repaired osteocartilaginous tissue."</t>
  </si>
  <si>
    <t>Morrone</t>
  </si>
  <si>
    <t>Osteochondral lesion repair of the knee in the rabbit after low-power diode Ga-Al-As laser biostimulation: an experimental study.</t>
  </si>
  <si>
    <t>"Results after laser treatment showed faster healing of the lesion at week 2 (p=0.043) and an overall improvement in cellular morphology (p=0.044), while a more regular aspect of the osteocartilaginous tissue was observed at week 12 (p=0.004). A relationship between laser biostimulation properties and healing of the osteo-chondral defect has been demonstrated."</t>
  </si>
  <si>
    <t>Osteoclastogenesis</t>
  </si>
  <si>
    <t>Farhad</t>
  </si>
  <si>
    <t>Iran
(Isfahan)</t>
  </si>
  <si>
    <t>The effect of low-level laser radiation and doxycycline on the levels of osteoprotegerin and receptor activator of nuclear factor kappa-B ligand.</t>
  </si>
  <si>
    <t>MG-63 osteosarcoma cell line</t>
  </si>
  <si>
    <t>"The results of this study revealed that LLL and doxycycline reduced the RANKL/OPG ratio derived from the MG-63 osteosarcoma cell line, which may result in the diminished activity of osteoclasts and osteoclastogenesis."</t>
  </si>
  <si>
    <t>Sohn</t>
  </si>
  <si>
    <t>Comparison of the alendronate and irradiation with a light-emitting diode (LED) on murine osteoclastogenesis.</t>
  </si>
  <si>
    <t>0.005</t>
  </si>
  <si>
    <t>d = 
9 cm</t>
  </si>
  <si>
    <t>"These findings suggest that LED irradiation downregulates osteoclastogenesis by ROS production; this effect could lead to reduced bone loss and may offer a new therapeutic tool for managing osteoporosis."</t>
  </si>
  <si>
    <t>Regulation of RANKL-Induced Osteoclastogenesis by 635-nm Light Emitting Diode Irradiation Via HSP27 in Bone Marrow-Derived Macrophages.</t>
  </si>
  <si>
    <t>"The 635-nm irradiation treatment significantly increased HSP27 expression and decreased intracellular ROS generation, as well as p38 and AKT phosphorylation, leading to reductions in the expression of c-fos, NFATc1, and DC-STAMP and TRAP activation and osteoclastic bone resorption in RANKL-induced BMMs. However, in HSP27-silenced BMMs, no change was observed."</t>
  </si>
  <si>
    <t>Effects of light-emitting diode irradiation on RANKL-induced osteoclastogenesis.</t>
  </si>
  <si>
    <t>"Taken together, the results presented herein show that LED irradiation downregulates osteoclastogenesis by reducing ROS production. Therefore, LED irradiation/LLLT might be useful as an alternative, conservative approach to osteoporosis management."</t>
  </si>
  <si>
    <t>Lim</t>
  </si>
  <si>
    <t>Korea
(Cheonan)</t>
  </si>
  <si>
    <t>A 635-nm light-emitting diode (LED) therapy inhibits bone resorptive osteoclast formation by regulating the actin cytoskeleton.</t>
  </si>
  <si>
    <t>"In a morphological analysis, the formation of ROC was significantly inhibited by 635-nm LED irradiation in the different cell types. Actin rings were seen at cell peripheries in most ROC cells of the control group, but patches containing disorganized actin were found in the irradiation group. Both the number of ROCs and bone resorption activity were much lower in the irradiation group than in the control group. Also, the gene expression levels involved in actin ring formation such as integrin β3 and c-Src decreased in RT-PCR analysis.
Overall, 635-nm LED therapy may play a pivotal role in regulating bone remodeling, and it may prove to be a valuable tool to prevent bone loss in osteoporosis and other resorptive bone diseases."
[ROC = round-shaped osteoclast cells]</t>
  </si>
  <si>
    <t>Aihara</t>
  </si>
  <si>
    <t>Low-energy irradiation stimulates formation of osteoclast-like cells via RANK expression in vitro.</t>
  </si>
  <si>
    <t>"The present results suggest that low-energy laser irradiation facilitates differentiation and activation of osteoclasts via RANK expression."</t>
  </si>
  <si>
    <t>Osteomyelitis</t>
  </si>
  <si>
    <t>Kaya</t>
  </si>
  <si>
    <t>The use of 808-nm light therapy to treat experimental chronic osteomyelitis induced in rats by methicillin-resistant Staphylococcus aureus.</t>
  </si>
  <si>
    <t>0.1273</t>
  </si>
  <si>
    <t>22.93</t>
  </si>
  <si>
    <t>0.7854</t>
  </si>
  <si>
    <t>"Histopathological analysis showed that infection levels had decreased by 37%, 67%, 81%, and 93% in the groups treated by debridement or by debridement plus 7.64, 15.29, and 22.93 J/cm(2) light therapy, respectively, compared to the negative control group."
"Within the limitations of this study, laser phototherapy with the appropriate irradiation parameters appears to be a promising adjunct and/or alternative technique to pharmacological agents in the treatment of osteomyelitis."
Note: Lubart published a comment to this study, titled "A possible mechanism for treating staphylococcus aureus-induced chronic osteomyelitis in rats using 808-nm light".</t>
  </si>
  <si>
    <t>Osteoporosis</t>
  </si>
  <si>
    <t>Photobiomodulation and mesenchymal stem cell-conditioned medium for the repair of experimental critical-size defects</t>
  </si>
  <si>
    <t>"All treatment groups had considerably higher new trabecular bone volume (NTBV) than the control group (all, p = 0.004). Combined therapies with MBS + PBM and MBS + CM + PBM substantially increased the NTBV relative to the MBS group (all, p = 0.004). The MBS + CM + PBM treatment had a markedly higher NTBV than the MBS + PBM (p = 0.006) and MBS + CM (p = 0.004) treatments. MBS + CM + PBM, MBS + PBM, and MBS + CM treatments significantly accelerated bone regeneration of CSFD in OVX rats. PBM + CM enhanced the osteogenesis of the MBS compared to other treatment groups."</t>
  </si>
  <si>
    <t>Zhu</t>
  </si>
  <si>
    <t>Integrated Dose-Effect Relationship of Near-Infrared Light-Emitting Diode Light on Bone Regeneration in Disuse Osteoporosis Rats</t>
  </si>
  <si>
    <t>0.030
0.030
0.030
0.050
0.050
0.050
0.100
0.100
0.100</t>
  </si>
  <si>
    <t>7.2
18
27
12
30
45
24
60
90</t>
  </si>
  <si>
    <t>32
cm2
beam
area</t>
  </si>
  <si>
    <t>240
600
900
240
600
900
240
600
900</t>
  </si>
  <si>
    <t>daily for 4 weeks</t>
  </si>
  <si>
    <t>"The trabecular thickness, trabecular number, bone volume/total volume, and connectivity density of cancellous bone and the biomechanical properties of femur in light groups were significantly increased compared with the TS-OP group, while the trabecular separation and structure model index were significantly decreased."
"In our dose levels, the greater the light intensity, usually the more effective."</t>
  </si>
  <si>
    <t>Shokri</t>
  </si>
  <si>
    <t>Iran
(Hamadan)</t>
  </si>
  <si>
    <t>Effect of photobiomodulation therapy with different wavelengths on bone mineral density in osteoporotic rats</t>
  </si>
  <si>
    <t>PBM vs zoledronic acid</t>
  </si>
  <si>
    <t>660
810
940</t>
  </si>
  <si>
    <t>"In the condition of this study, it was found that PBMT at a constant energy density of 4 J/cm2 with 660-, 810-, and 940-nm wavelengths is effective for enhancement of bone mineral density and biomechanical properties. No significant difference was noted between different wavelengths of diode laser regarding radiographic and biomechanical properties of bone."</t>
  </si>
  <si>
    <t>Asgari</t>
  </si>
  <si>
    <t>Photobiomodulation and Stem Cell on Repair of Osteoporotic Bones</t>
  </si>
  <si>
    <t>Ovariectomized rats</t>
  </si>
  <si>
    <t>"The combination of DBM plus PBM plus ASC, as well as DBM plus PBM significantly improved the healing of CSFD in OVX rats, and affected the expression of OPG, OC, and RANKL genes."
Comment: Apparently there is no benefit between the scaffold (S) and scaffold+photobiomodulation (S+PBM) groups. However, the group with stem cells associated with photobiomodulation (S+PBM+ASC) seemed to show better outcomes compared to the group receiving stem cells without photobiomodulation (S+ASC).</t>
  </si>
  <si>
    <t xml:space="preserve">Biochem Biophys Res Commun
</t>
  </si>
  <si>
    <t>Combined therapy of adipose-derived stem cells and photobiomodulation on accelerated bone healing of a critical size defect in an osteoporotic rat model</t>
  </si>
  <si>
    <t>"ALN, ADS, and PBM significantly increased healed bone strength in an experimental model of DBM-treated CSFD in the catabolic phase of bone healing in osteoporotic rats. However, ALN alone and PBM plus ADS were superior to the other protocols."</t>
  </si>
  <si>
    <t>Hamza</t>
  </si>
  <si>
    <t>Egypt
(Cairo)</t>
  </si>
  <si>
    <t>Int J Clin Exp Pathol</t>
  </si>
  <si>
    <t>Effect of diode laser biostimulation compared to Teriparatide on induced osteoporosis in rats: an animal study from Egypt</t>
  </si>
  <si>
    <t>PBM vs teriparatide</t>
  </si>
  <si>
    <t>"The ELISA test for PINP concentration showed a steady rise in the PINP concentrations in OC, T, L and T+L groups."
Comment: Not very clear reporting and it is somewhat difficult to make sense, whether there was a clear benefit comparaed to the OC (osteoporotic control) group. The PINP levels seemed to increase more in the active treatment groups, and the treatment groups at 16/24 wk also seemed to have slightly higher bone mineral density values than the osteoporotic control group at 12 wk.</t>
  </si>
  <si>
    <t>Alayat</t>
  </si>
  <si>
    <t>Saudi Arabia
(Mecca)</t>
  </si>
  <si>
    <t>Long-Term Effect of Pulsed Nd-YAG Laser Combined with Exercise on Bone Mineral Density in Men with Osteopenia or Osteoporosis: 1 Year of Follow-Up</t>
  </si>
  <si>
    <t>🧑 Human
🎲 Randomized trial, sham-controlled
👥 100 participants
⌛ 1 year</t>
  </si>
  <si>
    <t>15
?</t>
  </si>
  <si>
    <t>0.2
cm2
spot
-&gt;
scan</t>
  </si>
  <si>
    <t>2160
(?)</t>
  </si>
  <si>
    <t>72
/ 24 weeks</t>
  </si>
  <si>
    <t>"Although HILT alone did not effectively increase lumbar and total hip BMD, HILT combined with exercise was more effective than exercise alone at increasing lumbar BMD after 24 weeks of treatment, with effects lasting up to 1 year."
Comment: The additive effects on exercise were quite modest, maybe not relevant?
Comment: The earlier paper (J Phys Ther Sci 2017) by the same group found benefit for pain level (VAS) and quality or life. This paper didn't show improvement on bone mineral density, though.</t>
  </si>
  <si>
    <t>Groups:
(1) HILT
(2) placebo
(3) exercise + HILT
(4) exercise + placebo
Dosing: "A total dose of energy of 3000 J was delivered in two treatment phases. The initial phase was performed with fast manual scanning at 510, 610, and 710 mJ/cm2 in three successive subphases and 500 J in each subphase for a total of 1500 J. The final phase was the same as the initial phase except that the scanning was slow. The average area for the upper thigh or lower back was 200 cm2 with an average fluency of 15 J/cm2 , and the application time for each area was *18 min."</t>
  </si>
  <si>
    <t>J Phys Ther Sci</t>
  </si>
  <si>
    <t>Efficacy of high intensity laser therapy in the treatment of male with osteopenia or osteoporosis: a randomized placebo-controlled trial.</t>
  </si>
  <si>
    <t>🧑 Human
🎲 Randomized trial, sham-controlled
⌛ 12 weeks</t>
  </si>
  <si>
    <t>36
/ 12 weeks</t>
  </si>
  <si>
    <t>"All measured outcomes were significantly decreased post-treatment in all treatment groups. Laser plus exercises showed a higher significant effect than exercises with a least significant effect in the laser group in reduction of pain and quality of life."</t>
  </si>
  <si>
    <t>Device: The HILT was produced by HIRO 3 device (ASA, Vicenza, Italy). The HILT machine provides the following: a pulsed Nd, a YAG laser with peak powers 3 KW, average power 10.5 W, a wavelength of 1,064 nm, fluency levels (510–1,780 mJ/cm2), a brief duration (120–150 µs), low frequency (10–30 Hz), a 0.1% duty cycle, a probe diameter of 0.5 cm and a spot size of 0.2 cm2. HILT was calibrated for constant output throughout the study by the manufacturer.</t>
  </si>
  <si>
    <t>Effect of in vivo low-level laser therapy on bone marrow-derived mesenchymal stem cells in ovariectomy-induced osteoporosis of rats.</t>
  </si>
  <si>
    <t>1,5</t>
  </si>
  <si>
    <t>25?</t>
  </si>
  <si>
    <t>"Pulse wave (PW) PBM significantly stimulated viability and cell proliferation of healthy BMMSCs compared to those of control-OVX, OVX-alendronate, OVX-LASER, and LASER+alendronate-OVX. In addition stimulatory effect of LASER+alendronate on viability and cell proliferation of OVX-BMMSCs compared to those of control-OVX, alendronate-OVX, and LASER-OVX groups were found."
Comment: The abstract is difficult to understand, but the figures are understandable...</t>
  </si>
  <si>
    <t>China
(Kunming)</t>
  </si>
  <si>
    <t>Eur Rev Med Pharmacol Sci</t>
  </si>
  <si>
    <t>Beneficial effects of low-level laser irradiation on senile osteoporosis in rats.</t>
  </si>
  <si>
    <t>"LLLI can effectively improve osteoporosis, increase BMD, improve bone structure and improve bone biomechanical properties in old rats; at the same time, it increases the levels of serum BAP and OCN and the number of osteoblasts in the bone marrow, suggesting that the osteogenesis function of osteoblasts is enhanced."</t>
  </si>
  <si>
    <t>Fredoni</t>
  </si>
  <si>
    <t>Iran
(Zanjan)</t>
  </si>
  <si>
    <t>Evaluation of the effects of photobiomodulation on vertebras in two rat models of experimental osteoporosis.</t>
  </si>
  <si>
    <t>0.001</t>
  </si>
  <si>
    <t>22</t>
  </si>
  <si>
    <t>"Results showed that laser alone had a detrimental effect on trabecular bone volume, and cortical bone volume in groups GIOP and OVX-D compared to those in the healthy group."
Comment (note-to-self): I should re-check the actual results to understand this paper better...</t>
  </si>
  <si>
    <t>Evaluation of the Effects of Photobiomodulation on Biomechanical Properties and Hounsfield Unit of Partial Osteotomy Healing in an Experimental Rat Model of Type I Diabetes and Osteoporosis.</t>
  </si>
  <si>
    <t>Diabetic, osteoporotic rats
Partial osteotomy
LLLT vs alendronate</t>
  </si>
  <si>
    <t>"Combined treatment of PW laser and alendronate significantly enhanced bone repair in an experimental model rat of TIDM and OP."</t>
  </si>
  <si>
    <t>Mohsenifar</t>
  </si>
  <si>
    <t>Evaluation of the effects of pulsed wave LLLT on tibial diaphysis in two rat models of experimental osteoporosis, as examined by stereological and real-time PCR gene expression analyses.</t>
  </si>
  <si>
    <t>Ovariectomy-induced osteoporosis
Dexamethasone-induced osteoporosis
Pulsed LLLT
LLLT vs alendronate</t>
  </si>
  <si>
    <t>1.08</t>
  </si>
  <si>
    <t>900
/p</t>
  </si>
  <si>
    <t>"Concurrent treatments of PW LLLT and alendronate produced the same effect on osteoporotic bone. Since the PW LLLT has osteogenic effects, different parameters should be investigated to verify whether an appropriate PW LLLT protocol in combination with a proper(s) anti osteoporotic agent(s) might reverse the detrimental effects of OP."</t>
  </si>
  <si>
    <t>de Vasconcellos</t>
  </si>
  <si>
    <t>Titanium scaffold osteogenesis in healthy and osteoporotic rats is improved by the use of low-level laser therapy (GaAlAs).</t>
  </si>
  <si>
    <t>Titanium scaffold</t>
  </si>
  <si>
    <t>4
(?)</t>
  </si>
  <si>
    <t>d =
0.69
cm</t>
  </si>
  <si>
    <t xml:space="preserve">"On the basis of our methodology and results, we conclude that LLLT improves and accelerates bone repair within titanium scaffolds in both ovariectomized and healthy rats, when compared to animals not subjected to radiation."
Comment: The authors might have misunderstood dosing parameters based on this sentence: "A dose of 4 J/cm2 was applied to four points around the cavity, making a total of 16 J/cm2 per session". Because J/cm2 is a unit of intensity, it should not be summed when separate points are irradiated. </t>
  </si>
  <si>
    <t>An evaluation of the effect of pulsed wave low-level laser therapy on the biomechanical properties of the vertebral body in two experimental osteoporosis rat models.</t>
  </si>
  <si>
    <t>Pulsed LLLT
LLLT vs alendronate</t>
  </si>
  <si>
    <t>0.00108</t>
  </si>
  <si>
    <t>"Biomechanical test findings showed positive effects of the PW LLLT and alendronate administration on increasing bending stiffness and maximum force of the osteoporotic bones compared to the healthy group. However, laser treatment of OVA-d rats significantly increased stress high load compared to OVA-d control rats.
PW LLLT preserved the cancellous (trabecular) bone of vertebra against the detrimental effects of OV-induced OP on bone strength in rats compared to control OV rats."</t>
  </si>
  <si>
    <t>Low-level laser therapy improves bone formation: stereology findings for osteoporosis in rat model.</t>
  </si>
  <si>
    <t xml:space="preserve">Osteoporosis
Dose response
</t>
  </si>
  <si>
    <t>20
30</t>
  </si>
  <si>
    <t>"In conclusion, there was new bone formation in the groups that received 20 and 30 J/cm(2) when compared to control groups, but over time, the dose of 30 J/cm(2) showed better stereological parameters when compared to 20 J/cm(2)."</t>
  </si>
  <si>
    <t>Fridoni</t>
  </si>
  <si>
    <t>Evaluation of the effects of LLLT on biomechanical properties of tibial diaphysis in two rat models of experimental osteoporosis by a three point bending test.</t>
  </si>
  <si>
    <t>LLLT vs alendronate
Dexamethasone-induced osteoporosis
Ovariextomy-induced osteoporosis</t>
  </si>
  <si>
    <t>"PW LLLT did not increase the biomechanical parameters of osteoporotic bones compared to controls and healthy rats. PW LLLT associated with alendronate treatment significantly increased stress high load in OVX-d rats compared to the healthy group."</t>
  </si>
  <si>
    <t>The effects of low-level laser irradiation on bone tissue in diabetic rats.</t>
  </si>
  <si>
    <t>808
or
830
(???)</t>
  </si>
  <si>
    <t>3.3
/p
(4p)</t>
  </si>
  <si>
    <t>33
/p
(4p)</t>
  </si>
  <si>
    <t>18
(6wk)</t>
  </si>
  <si>
    <t>"The immunohistochemical analysis revealed that LLLT produced an increased RUNX-2 expression compared to other groups. Similar RANK-L immunoexpression was observed for all experimental groups. In addition, laser irradiation produced a statistically increase in fracture force, bone mineral content (BMC) and bone mineral density compared to DG. The results of this study indicate that the STZ model was efficient in inducing DM 1 and producing a decrease in cortical diameter, biomechanical properties and in densitometric variables. In addition, it seems that LLLT stimulated bone metabolism, decreased resorptive areas, increased RUNX-2 expression, cortical area, fracture force, BMD, and BMC. Further studies should be developed to provide additional information concerning the mechanisms of action of laser therapy in diabetic bone in experimental and clinical trials."
Comment: Wavelength reported in abstract differs from the wavelength reported in full text. Otherwise the parameters are well reported...</t>
  </si>
  <si>
    <t>Bossini</t>
  </si>
  <si>
    <t>Exp Gerontol</t>
  </si>
  <si>
    <t>Low level laser therapy (830nm) improves bone repair in osteoporotic rats: similar outcomes at two different dosages.</t>
  </si>
  <si>
    <t>LLLT treatment led to higher amount of newly formed bone and granulation tissue compared to control.</t>
  </si>
  <si>
    <t>J Tissue Eng Regen Med</t>
  </si>
  <si>
    <t>Biosilicate® and low-level laser therapy improve bone repair in osteoporotic rats.</t>
  </si>
  <si>
    <t>d = 
0.6 mm</t>
  </si>
  <si>
    <t>"Our results indicate that laser therapy improves bone repair process in contact with Biosilicate as a result of increasing bone formation, as well as COX-2 and Cbfa-1 immunoexpression, angiogenesis and collagen deposition in osteoporotic rats."</t>
  </si>
  <si>
    <t>Thabet</t>
  </si>
  <si>
    <t>Bull Fac Ph Th Cairo Univ</t>
  </si>
  <si>
    <t>High Intensity Laser Versus low Intensity Laser Therapy in Management of Postmenopausal Osteoporosis</t>
  </si>
  <si>
    <t>🧑 Human
⚔ Comparison study 
👥 30 participants
⌛ 6 weeks</t>
  </si>
  <si>
    <t>⚔ HILT vs LLLT</t>
  </si>
  <si>
    <t xml:space="preserve">1064
or
633
+
904
</t>
  </si>
  <si>
    <t>0.8-
1.8
4?</t>
  </si>
  <si>
    <t>Comment: In HILT group (1064 nm; 2000 J), the T-score increased from baseline of -3.2 to post-treatment value of -0.533. 
In LLLT group (633+904 nm), the T-score increased from -3.133 to -2.000. 
However, authors do not explicitly state that they used T-score as their BMD measurement but that appears to be logical, since they also mention that -2.5 is the T-score limit for osteoporosis and the patient's baseline is close to -3.2.</t>
  </si>
  <si>
    <t>Saad</t>
  </si>
  <si>
    <t>Egypt
(Alexandria)</t>
  </si>
  <si>
    <t>Endocr Regul</t>
  </si>
  <si>
    <t>Possible role of low level laser therapy on bone turnover in ovariectomized rats.</t>
  </si>
  <si>
    <t>"Significant increase in serum Ca, Pi , ALP, osteocalcin and significant decrease in U-DPD/creatinine in LLLT exposed group was found as compared to the other two groups. Bone morphological findings revealed the increase in calcium deposition and alkaline phosphatase of femoral bones in LLLT exposed group as compared to sham-operated and OVX rats. The software image analysis showed increased osteoblast numbers, decreased osteoclast numbers and increased compact bone thickness in LLLT exposed group."
"The use of LLLT was found effective in enhancing bone formation and decreasing bone resorption in the osteoporotic OVX rats.
Further studies are necessary to investigate the effect of different parameters of LLLT as wave length, duration and also numbers of sessions. The potential use of LLLT in postmenopausal women with osteoporosis is needed to be verified."</t>
  </si>
  <si>
    <t>Pires-Oliveira</t>
  </si>
  <si>
    <t>Osteoporos Int</t>
  </si>
  <si>
    <t>Laser 904 nm action on bone repair in rats with osteoporosis.</t>
  </si>
  <si>
    <t>"Low-level 904-nm laser (50 mJ/cm(2)) accelerated the repair process of osteopenic fractures, especially in the initial phase of bone regeneration."</t>
  </si>
  <si>
    <t>Review</t>
  </si>
  <si>
    <t>Wan</t>
  </si>
  <si>
    <t>Theranostics</t>
  </si>
  <si>
    <t>NIR light-assisted phototherapies for bone-related diseases and bone tissue regeneration: A systematic review</t>
  </si>
  <si>
    <t>"We outlined the various therapeutic applications of photothermal, photodynamic and photobiomodulation effects under NIR light irradiation for bone‑related disease treatment and bone regeneration, based on the retrieved literatures. In addition, the advantages and promising applications of NIR light-responsive drug delivery systems for spatiotemporal-controlled therapy were summarized."
"These findings have revealed that NIR light-assisted phototherapy plays an important role in bone-related disease treatment and bone tissue regeneration, with significant promise for further biomedical and clinical applications."</t>
  </si>
  <si>
    <t>BOOK: Lasers in Dentistry: Guide for Clinical Practice</t>
  </si>
  <si>
    <t>Bone biomodulation</t>
  </si>
  <si>
    <t>"It is established that LLLT stimulates and accelerates bone repair, although more studies are being conducted to elucidate the mechanism of action of laser light in the bone repair process. At present, it remains uncertain whether the stimulation of bone formation by LLLT is the result of a general effect on mesenchymal cells or a direct stimulation of osteoblasts, or both."</t>
  </si>
  <si>
    <t>Tibial plateau leveling osteotomy (TPLO)</t>
  </si>
  <si>
    <t>Chavez</t>
  </si>
  <si>
    <t>USA
(Manhattan, KS)</t>
  </si>
  <si>
    <t>Am J Vet Res</t>
  </si>
  <si>
    <t>Photobiomodulation therapy in dogs undergoing TPLO after cranial cruciate ligament rupture shows promise but no statistically significant difference in a randomized trial</t>
  </si>
  <si>
    <t>🐶 Dog</t>
  </si>
  <si>
    <t>"No statistically significant differences were found between treatment groups when evaluating CRP, %WB, and CMPS-SF by the clinician and weekly evaluation of the CMPS-SF by owners. Although no statistically significant differences were found in patients developing surgical site infections between treatment groups, SSI was only observed in patients in the control group (5/30, 16.6%). Most were minor/superficial infections (4/30 13.3%), and a single dog (1/30, 3.3%) had a major/deep surgical site infection."</t>
  </si>
  <si>
    <t>Kennedy</t>
  </si>
  <si>
    <t>USA
(New York, NY)</t>
  </si>
  <si>
    <t>Effects of low-level laser therapy on bone healing and signs of pain in dogs following tibial plateau leveling osteotomy.</t>
  </si>
  <si>
    <t>"LLLT vs LED"</t>
  </si>
  <si>
    <t>20
(à 5)</t>
  </si>
  <si>
    <t>1.5 - 
2.25</t>
  </si>
  <si>
    <t>"Results suggested that the LLLT protocol used had no beneficial effects on signs of pain or pelvic limb function following TPLO."
"Those findings suggested that, for the dogs of this study, LLLT had detrimental effects or the control treatment (red LED light) had beneficial effects that exceeded those of the LLLT."
Comment: The control group used also red light (from a LED light source), so the setting was probably not very wise.</t>
  </si>
  <si>
    <t>Renwick</t>
  </si>
  <si>
    <t>UK
(St Monans)</t>
  </si>
  <si>
    <t>Vet Surg</t>
  </si>
  <si>
    <t>Influence of class IV laser therapy on the outcomes of tibial plateau leveling osteotomy in dogs.</t>
  </si>
  <si>
    <t>660
+
800
+
905
+
970</t>
  </si>
  <si>
    <t>"The laser protocol used in this study was associated with a greater improvement in ACOI gait in dogs treated with TPLO but did not improve any other clinical metrology instrument scores or bone healing."</t>
  </si>
  <si>
    <t>Rogatko</t>
  </si>
  <si>
    <t>New Zealand</t>
  </si>
  <si>
    <t>Vet Comp Orthop Traumatol</t>
  </si>
  <si>
    <t>Preoperative low level laser therapy in dogs undergoing tibial plateau levelling osteotomy: A blinded, prospective, randomized clinical trial.</t>
  </si>
  <si>
    <t>Tibial plateau levelling osteotomy (TPLO)</t>
  </si>
  <si>
    <t>800-
900</t>
  </si>
  <si>
    <t>3.5</t>
  </si>
  <si>
    <t>100
cm2</t>
  </si>
  <si>
    <t>"At eight weeks postoperatively, a significant difference in peak vertical force analysis was noted between the LLLT (39.6% ± 4.7%) and sham groups (28.9% ± 2.6%), (p &lt;0.01 Time, p &lt;0.01 L). There were no significant differences noted between groups for all other parameters."</t>
  </si>
  <si>
    <t>Brain</t>
  </si>
  <si>
    <t>Addiction (alcohol)</t>
  </si>
  <si>
    <t>Zalewska-Kaszubska &amp; Obzejta</t>
  </si>
  <si>
    <t>Poland
(Lodz)</t>
  </si>
  <si>
    <t>Use of low-energy laser as adjunct treatment of alcohol addiction.</t>
  </si>
  <si>
    <t>🧑 Human
📄 Single-arm trial
👥 53 participants
⌛ 2 months</t>
  </si>
  <si>
    <t>514
+
633</t>
  </si>
  <si>
    <t>100
+
25</t>
  </si>
  <si>
    <t>0.05
0.2
cm2</t>
  </si>
  <si>
    <t>50
(5p)
300</t>
  </si>
  <si>
    <t>20
/ ~23 days</t>
  </si>
  <si>
    <t>"Improvement in BDI-FS and increase in, beta-endorphin level were observed. These results suggest that laser therapy can be useful as an adjunct treatment for alcoholism."</t>
  </si>
  <si>
    <t>Addiction (opioid)</t>
  </si>
  <si>
    <t>Hadadgar</t>
  </si>
  <si>
    <t>Iran
(Karaj)</t>
  </si>
  <si>
    <t>Comparative Effects of Cognitive Rehabilitation and Photobiomodulation on Drug Craving in Treatment-Seeking Opioid Addicts</t>
  </si>
  <si>
    <t>🧑 Human
🎲 Randomized trial, sham-controlled
👥 63 participants
⌛ 6 weeks</t>
  </si>
  <si>
    <t>Groups:
- cognitive rehabilitation
- PBM
- control</t>
  </si>
  <si>
    <t>480-
640</t>
  </si>
  <si>
    <t>12 
/ 6 weeks</t>
  </si>
  <si>
    <t>"The results demonstrated that each intervention significantly reduced drug craving in both the post-test and follow-up phases compared to the control group. The Bonferroni post hoc test indicated that PBM was more effective than cognitive rehabilitation in terms of working memory (WM) and inhibitory control for reducing drug craving (p &lt; 0.05)."
"While both PBM and cognitive rehabilitation targeting WM and inhibitory control effectively reduced opioid drug craving, low-level laser therapy proved to be more effective than cognitive rehabilitation in this regard."</t>
  </si>
  <si>
    <t>Schiffer</t>
  </si>
  <si>
    <t>USA
(Newton Highlands, MA)</t>
  </si>
  <si>
    <t>Front Psychiatry</t>
  </si>
  <si>
    <t>An Effective and Safe Novel Treatment of Opioid Use Disorder: Unilateral Transcranial Photobiomodulation</t>
  </si>
  <si>
    <t>🧑 Human
🎲 Randomized trial, sham-controlled
👥 39 participants
⌛ 7 weeks</t>
  </si>
  <si>
    <t>8
/ 4 weeks</t>
  </si>
  <si>
    <t>"We report here our findings from our second randomized controlled trial to evaluate unilateral transcranial photobiomodulation as a treatment for opioid use disorder."
"Our primary outcome was changes in pre-treatment opioid craving scale (OCS) minus baseline, and we found using a mixed model that the active group had a highly significant treatment * time benefit over the sham group, p &lt; 0.0001, effect size at the last follow-up of 1.5.
The active treatment benefited those not on buprenorphine as well as those not on it. The TimeLine Follow Back measure of opioid use was significantly better in the actively treated group, p = 0.0001, with an effect size of 0.45. We observed no adverse effects."</t>
  </si>
  <si>
    <t>A Novel Treatment of Opioid Cravings With an Effect Size of .73 for Unilateral Transcranial Photobiomodulation Over Sham</t>
  </si>
  <si>
    <t>🧑 Human
🎲 Randomized trial, double-blind, crossover
👥 22 participants
⌛ 3 weeks</t>
  </si>
  <si>
    <t>"Unilateral t-PBM to the hemisphere with a more positive hemispheric emotional valence was an effective and safe treatment for opioid cravings as well as for depression and anxiety. Our results also lend support to the underlying premises of DBP."
"The effect size for the differences between active and sham was 0.73. For the active treatment from before and after treatment the effect size was 1.51 and for the sham, 0.45. The HDRS improved from a baseline of 15.1 to 8.8 (SD 10.3) a week after the active treatment and to 13.3 (SD 12.9) after the sham (p = 0.0071). HARS improved from 14.7 to 8.0 (SD 13.2) after the active treatments and to 14.3 (SD 16.0) after the sham, p = 0.08."</t>
  </si>
  <si>
    <t>Ojaghi</t>
  </si>
  <si>
    <t>USA
(Chicago, IL)</t>
  </si>
  <si>
    <t>Role of low-intensity laser therapy on naloxone-precipitated morphine withdrawal signs in mice: is nitric oxide a possible candidate mediator?</t>
  </si>
  <si>
    <t>LLLT vs L-NAME</t>
  </si>
  <si>
    <t>12.5</t>
  </si>
  <si>
    <t>0.22
cm2</t>
  </si>
  <si>
    <t>"LILT and L-NAME (20, 50, and 100 mg/kg) per se significantly decreased escape jump count and stool weight in morphine-dependent naloxone-treated mice (p &lt; 0.01). Coadministration of LILT and L-NAME (20, 50, and 100 mg/kg) also reduced escape jump and stool weight (p &lt; 0.05) but with no synergetic or additive response.
Here, LILT at this fluence may show its maximal effects on NO and therefore no noticeable effects appeared during coadministration use. Moreover, LILT and L-NAME follow the same track of changes in escape jump and stool weight. Conceivably, it seems that LILT acts partly via NO system, but the exact path is still obscure and rather intricate. The precise mechanisms need to be clarified."</t>
  </si>
  <si>
    <t>Mirzaii-Dizgah</t>
  </si>
  <si>
    <t>Behav Brain Res</t>
  </si>
  <si>
    <t>Attenuation of morphine withdrawal signs by low level laser therapy in rats.</t>
  </si>
  <si>
    <t>"One-way ANOVA showed that the LILT which applied immediately or 15min prior to naloxone injection significantly decreased total withdrawal score (TWS).
These results suggest that LILT prior to naloxone injection attenuates the expression of withdrawal signs in morphine-dependent rats. Further studies may elucidate the likely role of LILT in clinical management of opioid withdrawal syndrome."
Comment: The effect of LLLT was quite modest, but probably still relevant.</t>
  </si>
  <si>
    <t>Schiffer F</t>
  </si>
  <si>
    <t>USA
(Belmont, MA)</t>
  </si>
  <si>
    <t>J Psychiatr Res</t>
  </si>
  <si>
    <t>Unilateral transcranial photobiomodulation for opioid addiction in a clinical practice: A clinical overview and case series</t>
  </si>
  <si>
    <t>🧑 Human
📄 Case series
👥 42 cases
⌛ cases over 18 months</t>
  </si>
  <si>
    <t>"The case reports are from 42 consecutive patients in his practice with OUD where he has given 382 treatments over 18 months, as needed. The author's subjective clinical observations were that of the 42 patients, 26 (62%) consistently had responses to the UtPBM (as described in the case reports) that were easily observable to the patient and the author as strikingly beneficial, 8 (19%) had helpful, but not remarkable responses, and 8 (19%) had no noticeable response."</t>
  </si>
  <si>
    <t>United States
(Austin, TX)</t>
  </si>
  <si>
    <t>Front Neurosci</t>
  </si>
  <si>
    <t>Photobiomodulation of Cytochrome c Oxidase by Chronic Transcranial Laser in Young and Aged Brains</t>
  </si>
  <si>
    <t>58
/ 58 days</t>
  </si>
  <si>
    <t>"We concluded that chronic PBM modified the effects of aging by causing the CCO activity on brain regions in laser-treated aged rats to reach levels similar to those found in young rats."</t>
  </si>
  <si>
    <t>Hosseini</t>
  </si>
  <si>
    <t>Effect of transcranial near-infrared photobiomodulation on cognitive outcomes in D-galactose/AlCl 3 induced brain aging in BALB/c mice</t>
  </si>
  <si>
    <t>8
16
32</t>
  </si>
  <si>
    <t>"Behavioral results revealed that NIR PBM at fluencies of 16 and 8 J/cm2 could reduce D-gal/AlCl3 impaired social and spatial memories.
Treatment with NIR attenuated neuroinflammation through down-regulation of TNF-α and IL-6.
Additionally, NIR significantly inhibited the down-regulation of GAP-43 and SYN. 
The results indicate that transcranial PBM at the fluencies 16 and 8 J/cm2 effectively prevents cognitive impairment in mice model of aging by inhibiting the production of the inflammatory cytokines and enhancing synaptic markers."</t>
  </si>
  <si>
    <t>USA
(Austin, TX)</t>
  </si>
  <si>
    <t>Front Cell Neurosci</t>
  </si>
  <si>
    <t>Transcranial Laser Photobiomodulation Improves Intracellular Signaling Linked to Cell Survival, Memory and Glucose Metabolism in the Aged Brain: A Preliminary Study</t>
  </si>
  <si>
    <t>535.7</t>
  </si>
  <si>
    <t>150
(5p)</t>
  </si>
  <si>
    <t>"We hypothesized that transcranial near-infrared laser may increase intracellular signaling pathways beneficial to aging brains, such as those that regulate brain cell proliferation, apoptosis, and energy metabolism. To test this hypothesis, we investigated the expression and activation of intracellular signaling proteins in the cerebral cortex and hippocampus of aged rats (20 months old) treated with the transcranial near-infrared laser for 58 consecutive days."
As compared to sham controls, transcranial laser treatment increased intracellular signaling proteins related to cell proliferation and cell survival, such as signal transducer and activator of transcription 3 (STAT3), extracellular signal-regulated protein kinase (ERK), c-Jun N-terminal kinase (JNK), p70 ribosomal protein S6 kinase (p70S6K) and protein kinase B (PKB), also known as Akt that is linked to glucose metabolism (...)
Taken together, the data support the hypothesis that transcranial laser photobiomodulation improves intracellular signaling pathways linked to cell survival, memory, and glucose metabolism in the brain of aged rats."</t>
  </si>
  <si>
    <t>Alzheimer's Disease</t>
  </si>
  <si>
    <t>Yokoi</t>
  </si>
  <si>
    <t>Japan
(Kodaira)</t>
  </si>
  <si>
    <t>Front Neurol</t>
  </si>
  <si>
    <t>A randomized sham-controlled trial of transcranial and intranasal photobiomodulation in Japanese patients with mild cognitive impairment and mild dementia due to Alzheimer's disease: a protocol</t>
  </si>
  <si>
    <t>Study protocol</t>
  </si>
  <si>
    <t>Ramanishankar</t>
  </si>
  <si>
    <t>India
(Chennai)</t>
  </si>
  <si>
    <t>Future Sci OA</t>
  </si>
  <si>
    <t>Unleashing light's healing power: an overview of photobiomodulation for Alzheimer's treatment</t>
  </si>
  <si>
    <t>"PBMT elicits reduction of beta-amyloid plaque, restoration of mitochondrial function, anti-inflammatory and antioxidant properties with a stimulation in ATP synthesis."
"The PBMT could be helpful in patients non-responsive to traditional pharmacological therapy providing significant aid in the management of Alzheimer's disease when introduced into the medical field."</t>
  </si>
  <si>
    <t>USA
(Shreveport, LA)</t>
  </si>
  <si>
    <t>Alzheimers Res Ther</t>
  </si>
  <si>
    <t>Photobiomodulation in experimental models of Alzheimer's disease: state-of-the-art and translational perspectives</t>
  </si>
  <si>
    <t>"The available evidence indicates that different treatment paradigms, including transcranial and systemic PBM, along with the recently proposed remote PBM, all could be promising for AD."</t>
  </si>
  <si>
    <t>Blivet</t>
  </si>
  <si>
    <t>France
(Paris)</t>
  </si>
  <si>
    <t>J Integr Neurosci</t>
  </si>
  <si>
    <t>Photobiomodulation Therapy: A Novel Therapeutic Approach to Alzheimer's Disease Made Possible by the Evidence of a Brain-Gut Interconnection</t>
  </si>
  <si>
    <t>"The evidence of brain-gut interconnections in Alzheimer's disease (AD) opens novel avenues for the treatment of a pathology for which no definitive treatment exists. Gut microbiota and bacterial translocation may produce peripheral inflammation and immune modulation, contributing to brain amyloidosis, neurodegeneration, and cognitive deficits in AD. The gut microbiota can be used as a potential therapeutic target in AD. 
In particular, photobiomodulation (PBM) can affect the interaction between the microbiota and the immune system, providing a potential explanation for its restorative properties in AD-associated dysbiosis. PBM is a safe, non-invasive, non-ionizing, and non-thermal therapy that uses red or near-infrared light to stimulate the cytochrome c oxidase (CCO, complex IV), the terminal enzyme of the mitochondrial electron transport chain, resulting in adenosine triphosphate synthesis. The association of the direct application of PBM to the head with an abscopal and a systemic treatment through simultaneous application to the abdomen provides an innovative therapeutic approach to AD by targeting various components of this highly complex pathology. As a hypothesis, PBM might have a significant role in the therapeutic options available for the treatment of AD."</t>
  </si>
  <si>
    <t>Translation from Preclinical Research to Clinical Trials: Brain-Gut Photobiomodulation Therapy for Alzheimer's Disease</t>
  </si>
  <si>
    <t>Perspective</t>
  </si>
  <si>
    <t>Systemic effects</t>
  </si>
  <si>
    <t>"This article outlines the translation from the preclinical to clinical stages of an innovative brain-gut PBM therapy in a mouse model of AD, a pilot clinical trial involving mild-to-moderate AD patients, and a continuing pivotal clinical trial with a similar patient population."
(The mouse trial and clinical trial discussed in this paper are Blivet et al. 2018 and Blivet et al. 2022).</t>
  </si>
  <si>
    <t>Gaggi</t>
  </si>
  <si>
    <t>USA</t>
  </si>
  <si>
    <t>Brain Stimul</t>
  </si>
  <si>
    <t>Transcranial photobiomodulation increases intrinsic brain activity within irradiated areas in early Alzheimer's disease: Potential link with cerebral metabolism</t>
  </si>
  <si>
    <t>🧑 Human
📄 Single-arm study
👥 19 participants
⌛ 12 weeks
(not the final study data?)</t>
  </si>
  <si>
    <t>0.300</t>
  </si>
  <si>
    <t>"Effect sizes for the change from baseline fALFF (pre-t-PBM) within the target regions during and post-t-PBM were medium-to-large despite the small sample size. Effect sizes were larger during versus after t-PBM condition, suggesting that targets were engaged more during t-PBM with effects diminishing somewhat after. These results suggest that fALFF could be helpful in investigating varying parameters of t-PBM to further enhance target engagement."
"These data are part of an ongoing multi-site clinical trial; therefore, this is only the first step of the analysis. These data support the transient effects of t-PBM, which can serve as the mechanism for the longer-lasting clinical effects after multiple t-PBM sessions seen across many populations, including AD [[4]]. Outcome variables for this study will be correlated with these findings after the study's completion."</t>
  </si>
  <si>
    <t>Razzaghi</t>
  </si>
  <si>
    <t>Photobiomodulation's Potential as a Non-Invasive Therapy for Alzheimer's disease and Minimal Cognitive Impairment: A 12-Week Investigation</t>
  </si>
  <si>
    <t>🧑 Human
📄 Non-randomized, sham-controlled
👥 13 participants
⌛ 12 weeks</t>
  </si>
  <si>
    <t>daily for 12 weeks</t>
  </si>
  <si>
    <t>"The mean reduction of Hamilton's anxiety questionnaire score was 3.33±6.08 in the intervention group and 2.00±3.46 in the control group (p-value=0.836). 
The mean score reduction of the Hamilton depression questionnaire was 3.16±3.86 in the intervention group and 4.85±6.20 in the control group (p-value=0.836). 
The mean score of the DAD questionnaire in the intervention group before the study was 25.50±13.13 and after the intervention was 29.83±12.12 (p-value=0.084) and in the control group it was 29.71±8.19 and after the study was 29±0.972 (p-value = 0.526). "</t>
  </si>
  <si>
    <t>Front Optoelectron</t>
  </si>
  <si>
    <t>Photostimulation of lymphatic clearance of β-amyloid from mouse brain: a new strategy for the therapy of Alzheimer's disease</t>
  </si>
  <si>
    <t>"Here, we demonstrate that 1267-nm PBM significantly alleviates cognitive decline in the 5xFAD mouse model of AD and is safe as it does not induce a significant increase in cortical temperature. 
Moreover, with the combination of 3D tissue optical clearing imaging and automatic brain region segmentation, we show that PBM-mediated reductions of Aβ plaques in different subregions of prefrontal cortex and the hippocampus are different. The PBM-induced lymphatic clearance of Aβ from the brain is associated with improvement of memory and cognitive functions in 5xFAD mice."
"Our results suggest that the modulation of meningeal lymphatic vessels (MLVs) should play an important role in promoting Aβ clearance."</t>
  </si>
  <si>
    <t>China
(Shenzhen)</t>
  </si>
  <si>
    <t>Exploring the effect of photobiomodulation and gamma visual stimulation induced by 808 nm and visible LED in Alzheimer's disease mouse model</t>
  </si>
  <si>
    <t>VIS
808</t>
  </si>
  <si>
    <t>"In our research, the AD mouse model was stimulated using light with various parameters [continuous wave (PBM) or 40 Hz pulsed visible LED (GVS) or 40 Hz pulsed 808 nm LED"
"The main results are that the spatial learning and memory abilities of light-treated mice are noticeably higher than those of control untreated mice."
"The obtained results provide useful reference for further optimization of the LS (PBM or GVS) parameters to achieve efficient phototherapy of AD."</t>
  </si>
  <si>
    <t>Sipion</t>
  </si>
  <si>
    <t>Switzerland
(Geneva)</t>
  </si>
  <si>
    <t>Sci Rep</t>
  </si>
  <si>
    <t>A randomized, blinded study of photobiomodulation in a mouse model of Alzheimer's disease showed no preventive effect</t>
  </si>
  <si>
    <t>5
470</t>
  </si>
  <si>
    <t>0.006
0.600</t>
  </si>
  <si>
    <t>3/week for 5 months</t>
  </si>
  <si>
    <t>"The results showed that there were no significant differences between the groups in behavioral tests, including the Morris water maze, novel object recognition, and Y-maze. Similarly, histological analyses showed no differences in amyloid load, neuronal loss or microglial response. 
In conclusion, under the conditions of our experiment, we were unable to demonstrate any therapeutic effect of PBM for AD. This study calls for further evidence and caution when considering PBM as an effective treatment for AD."</t>
  </si>
  <si>
    <t>Gao</t>
  </si>
  <si>
    <t>Effectiveness of photobiomodulation for people with age-related cognitive impairment: a systematic review and meta-analysis</t>
  </si>
  <si>
    <t>"Eleven RCTs evaluating PBM interventions were included. The systematic review and meta-analysis has been registered in PROSPERO(CRD42022374562). 
Results showed that PBM had a significant moderated effect on global cognition function (SMD=0.51, 95% CI [0.162, 0.864], p=0.004). 
We found that multiple wavelength PBM (SMD=0.648, 95% CI [0.220, 1.075], p=0.003) had significant effects while single wavelength PBM was non-significant (SMD=0.385, 95% CI [-0.168, 0.987], p=0.172). 
Laser effect (SMD=0.682, 95% CI [0.37, 0,994], p&lt;0.001) was larger than LED effect (SMD=0.582, 95% CI [0.269, 0.895], p&lt;0.001). 
PBM in clinical setting (SMD=0.468, 95% CI [0.050, 0.887], p=0.028) had significant effect, but there was no significant effect of home-used PBM (SMD=0.616, 95% CI [-0.121, 1.354], p=0.101). 
The pool effect of multi-modality PBM (SMD=0.720, 95% CI [0.027, 1.414], p=0.040) was significantly higher in the studies of transcranial irradiation (SMD=0.616, 95% CI [-0.121, 1.354], p=0.010). 
Cumulative irradiation time was a moderator between the PBM and cognitive function improvement.
Photobiomodulation have the potential to improve cognitive function in aging adults. Cumulative irradiation duration, light source, device type, penetration modality, and intervention site can affect the effectiveness of PBM intervention."
"The stages of cognitive impairment were divided into three categories: SCD, MCI, and dementia. In general, only one study included SCD patients, four studies were MCI patients, and six studies were dementia patients."</t>
  </si>
  <si>
    <t>Semyachkina-Glushkovskaya</t>
  </si>
  <si>
    <t>Germany &amp; Russia</t>
  </si>
  <si>
    <t>Mechanisms of phototherapy of Alzheimer's disease during sleep and wakefulness: the role of the meningeal lymphatics</t>
  </si>
  <si>
    <t>500</t>
  </si>
  <si>
    <t>"n this study on mice, we demonstrate that photodynamic effects of 5-aminolevulenic acid and laser 635 nm cause reduction of network of the meningeal lymphatic vessels (MLVs) leading to suppression of lymphatic removal of beta-amyloid (Aβ) from the right lateral ventricle and the hippocampus. 
Using the original protocol of PBM under electroencephalographic monitoring of wakefulness and sleep stages in non-anesthetized mice, we discover that the 7-day course of PBM during deep sleep vs. wakefulness provides better restoration of clearance of Aβ from the ventricular system of the brain and the hippocampus."</t>
  </si>
  <si>
    <t>Chen</t>
  </si>
  <si>
    <t>China
(Shanghai)</t>
  </si>
  <si>
    <t>Adv Sci (Weinh)</t>
  </si>
  <si>
    <t>Exosomes Derived from M2 Microglial Cells Modulated by 1070-nm Light Improve Cognition in an Alzheimer's Disease Mouse Model</t>
  </si>
  <si>
    <t>🎚 Pulsing (10 Hz)
Direct and indirect PBM / Systemic effects</t>
  </si>
  <si>
    <t>(2)
4
(6)
(8)</t>
  </si>
  <si>
    <t>"The results show that 4 J cm-2 1070-nm light at a 10-Hz frequency prompts microglia with an M1 inflammatory type to switch to an M2 anti-inflammatory type. This induces secretion of M2 microglial-derived exosomes containing miR-7670-3p, which targets activating transcription factor 6 (ATF6) during endoplasmic reticulum (ER) stress. 
Moreover, it is found that miR-7670-3p reduces ATF6 expression to further ameliorate ER stress, thus attenuating the inflammatory response and protecting dendritic spine integrity of neurons in the cortex and hippocampus of 5xFAD mice, ultimately leading to improvements in cognitive function. 
This study highlights the critical role of exosomes derive from 1070-nm light-modulated microglia in treating AD mice, which may provide a theoretical basis for the treatment of AD with the use of near-infrared photobiomodulation."
Description of the in vivo irradiation experiment: 
"We evaluated the polarization of microglia in the cortex and CA1 regions of both 5xFAD and WT mice using representative markers for M1 (CD86) and M2 (CD206) via double immunofluorescent staining with IBA1 (...) CD86 fluorescence density and proportion of CD86+ microglial cells substantially declined in 5xFAD mice who underwent 4 J cm−2 light exposure (...) 5xFAD mice treated with 4 J cm−2 light experienced a higher CD206 fluorescence density and a greater proportion of CD206+ microglial cells (...) These experimental outcomes suggest that within the brain of 5xFAD mice, 1070-nm light at 4 J cm−2, rather than exosomes, promoted the polarization of microglial cells from M1 to M2"
Note: Published in a relatively high-impact journal (IF 15.1).</t>
  </si>
  <si>
    <t>Iosifescu</t>
  </si>
  <si>
    <t>USA
(Orangeburg, NY)</t>
  </si>
  <si>
    <t>Healthcare (Basel)</t>
  </si>
  <si>
    <t>Protocol Report on the Transcranial Photobiomodulation for Alzheimer's Disease (TRAP-AD) Study</t>
  </si>
  <si>
    <t>"In this randomized, double-blind, placebo-controlled study with aMCI and early AD participants, we will test the efficacy, safety, and impact on cognition of 24 sessions of t-PBM delivered over 8 weeks."</t>
  </si>
  <si>
    <t>Su</t>
  </si>
  <si>
    <t>USA
(Houston, TX)</t>
  </si>
  <si>
    <t>Recent Mechanisms of Neurodegeneration and Photobiomodulation in the Context of Alzheimer's Disease</t>
  </si>
  <si>
    <t>"The goal of this comprehensive review is to discuss the most recent achievements in and mechanisms of AD pathogenesis with respect to neurodegeneration. It also provides an overview of the mechanisms of photobiomodulation associated with AD pathology and the benefits of transcranial near-infrared light treatment as a potential therapeutic solution. This review also discusses the older reports and hypotheses associated with the development of AD, as well as some other approved AD drugs."</t>
  </si>
  <si>
    <t>Phototherapy of Alzheimer's Disease: Photostimulation of Brain Lymphatics during Sleep: A Systematic Review</t>
  </si>
  <si>
    <t>"Photobiomodulation (PBM) is considered to be a non-pharmacological and safe approach for AD therapy. Here, we highlight the most recent and relevant studies of PBM for AD. We focus on emerging evidence that indicates the potential benefits of PBM during sleep for modulation of natural activation of the LDRSB at nighttime, providing effective removal of metabolites, including amyloid-β, from the brain, leading to reduced progression of AD. Our review creates a new niche in the therapy of brain diseases during sleep and sheds light on the development of smart sleep technologies for neurodegenerative diseases."</t>
  </si>
  <si>
    <t>Thammasart</t>
  </si>
  <si>
    <t>Thailand
(Bangkok)</t>
  </si>
  <si>
    <t>Attenuation Aβ1-42-induced neurotoxicity in neuronal cell by 660nm and 810nm LED light irradiation</t>
  </si>
  <si>
    <t>LED phototherapy
Dose response
Biphasic dose response</t>
  </si>
  <si>
    <t>660
810</t>
  </si>
  <si>
    <t>1
3
5</t>
  </si>
  <si>
    <t>"We showed that both of LLLT wavelengths could protect neurons form Aβ1-42-induced neurotoxicity in a biphasic manner. The treatment of LLLT at 3 J/cm2 potentially alleviated cell death and recovered neurite outgrowth. 
In addition, the treatment of LLLT following Aβ1-42 exposure could attenuate the intracellular ROS generation and Ca2+ influx. Interestingly, both wavelengths could induce minimal level of ROS generation. However, they did not affect cell viability. In addition, LLLT also stimulated Ca2+ influx, but not altered mitochondrial membrane potential. This finding indicated LLLT may protect neurons through the stimulation of secondary signaling messengers such as ROS and Ca2+. The increase of these secondary messengers was in a functional level and did not harmful to the cells."</t>
  </si>
  <si>
    <t>Danappanvar</t>
  </si>
  <si>
    <t>India
(Karnataka)</t>
  </si>
  <si>
    <t>Neuroprotective effects of photobiomodulation by hormesis on scopolamine induced neurodegenerative diseases of memory disorders in rats a paradigm shift</t>
  </si>
  <si>
    <t>460-
660</t>
  </si>
  <si>
    <t>"In contrast to normal and control groups with treatment groups, histopathology of the cortex and hippocampus examination revealed the maintenance of structural integrity and densities of CA1 and CA3 neuronal cells. However, network pharmacology predicted Ca+2 modulation of various pathways, among the treatments with red LED light showed highly significant amelioration compared with normal and control groups."</t>
  </si>
  <si>
    <t>Neural Regen Res</t>
  </si>
  <si>
    <t>Transcranial photobiomodulation with near-infrared light: a promising therapeutic modality for Alzheimer's disease</t>
  </si>
  <si>
    <t>"Summary: tPBM with NIR light stimulations presents an excellent and promising therapeutic modality to treat AD and AD-related dementia. The provided mechanistic understanding and tested protocol can be a powerful tool for a long-awaited therapeutic intervention of AD. Large mechanistic, placebo-controlled, randomized clinical trials are necessary to determine efficacy and achieve the full potential of tPBM."</t>
  </si>
  <si>
    <t>Luo</t>
  </si>
  <si>
    <t>China
(Tangshan)</t>
  </si>
  <si>
    <t>Front Aging Neurosci</t>
  </si>
  <si>
    <t>Effectiveness of non-pharmacological therapies on cognitive function in patients with dementia-A network meta-analysis of randomized controlled trials</t>
  </si>
  <si>
    <t>"In this study, photobiomodulation (PBM), enriched environment (EE), exercise therapy (ET), computerized cognitive training (CCT), and cognitive stimulation therapy (CST) were selected to compare the effects of NPTs that improve dementia by quantifying information from randomized controlled trials (RCTs)."
"We identified 1,268 citations and of these included 38 trials comprising 3,412 participants. 
For improving dementia, the results of the network meta-analysis showed that compared with the control group (CON), PBM (SMD = 0.90, 95% CI: 0.43-1.37), EE (SMD = 0.71, 95% CI: 0.02-1.41), ET (SMD = 0.42, 95% CI: 0.16-0.68), and CST (SMD = 0.36, 95% CI: 0.11-0.62) were significantly different (P &lt; 0.05); 
There was no significant difference in CCT (SMD = 0.41, 95% CI: -0.07-0.88) (P &gt; 0.05). 
The ranked results showed that PBM has more potential to be the best intervention (P = 0.90). In addition, there was a significant difference between PBM and CST in improving cognitive function (SMD = 0.54, 95% CI: 0.00; 1.08, P &lt; 0.05)."
"In this study, NPTs have excellent potential to improve cognition in people with dementia, and PBM may have more significant benefits in improving cognition than the other four NPTs."</t>
  </si>
  <si>
    <t>Ailioaie</t>
  </si>
  <si>
    <t>Romania &amp; Austria</t>
  </si>
  <si>
    <t>Pharmaceutics</t>
  </si>
  <si>
    <t>Photobiomodulation in Alzheimer's Disease-A Complementary Method to State-of-the-Art Pharmaceutical Formulations and Nanomedicine?</t>
  </si>
  <si>
    <t>"In conclusion, new insights from this interdisciplinary approach, including the latest results from photobiomodulation (PBM) applied in human clinical trials, combined with the latest nanoscale drug delivery systems to easily overcome protective brain barriers, could open new avenues to rejuvenate our central nervous system, the most fascinating and complex organ."</t>
  </si>
  <si>
    <t>J Alzheimers Dis</t>
  </si>
  <si>
    <t>A Pilot Study of Near-Infrared Light Treatment for Alzheimer's Disease</t>
  </si>
  <si>
    <t>🧑 Human (mild-to-moderate AD)
🎲 Randomized trial
👥 20 participants
⌛ 12-week treatment -&gt; 4-week follow-up</t>
  </si>
  <si>
    <t>800-
820
+
1060-
1080</t>
  </si>
  <si>
    <t>"In the intervention and control groups at week 12, mean changes from baseline on the Alzheimer's Disease Assessment Scale-Cognitive (ADAS-Cog) were -3.1 and -1.3 (p = 0.5689). 
Mean changes from baseline on the Activities of Daily Living (ADL) were -3.6 versus 3.1 (p = 0.0437). 
Mean changes from baseline on the Mini-Mental State Examination (MMSE) were 4.4 versus 1.0 (p = 0.0253). 
The percentage of participants who exhibited a change larger than 4 points from baseline to week 12 was determined for the intervention and control groups on the ADAS-Cog (57% versus 29%), ADL (29% versus 0%), and MMSE (57% versus 14%). Treatment with NIR light did not increase the incidence of adverse events in participants."</t>
  </si>
  <si>
    <t>Tian</t>
  </si>
  <si>
    <t>China
(Wenzhou)</t>
  </si>
  <si>
    <t>Photobiomodulation for Alzheimer's disease: photoelectric coupling effect on attenuating Aβ neurotoxicity</t>
  </si>
  <si>
    <t>"The present review discusses the mechanisms of the photoelectric coupling effect (light energy-induced special electronic transition-related alterations in protein structure) of PBM on reducing Aβ toxicity. On the one hand, RL or NIR can directly disassemble Aβ in vitro and in vivo. On the other hand, formaldehyde (FA)-inhibited catalase (CAT) and H2O2-inactived formaldehyde dehydrogenase (FDH) are formed a vicious circle in AD; however, light energy not only activates FDH to degrade excessive FA (which crosslinks Aβ monomer to form Aβ oligomers and senile plaques) but also sensitizes CAT to reduce hydrogen peroxide levels (H2O2, which can facilitate Aβ aggregation and enhance FA generation). In addition, it also activates mitochondrial cytochrome-c to produce ATP in the neurons. Clinical trials of phototherapeutics or oral coenzyme Q10 have shown positive effects in AD patients."</t>
  </si>
  <si>
    <t>Ageing Res Rev</t>
  </si>
  <si>
    <t>Can transcranial photobiomodulation improve cognitive function? A systematic review of human studies</t>
  </si>
  <si>
    <t>"Of the 35 studies identified, 29 (82.9 %) studies reported positive improvement in cognitive functions after tPBM. 
All nine studies on participants with subjective memory complaints, mild cognitive impairment, and dementia, showed positive outcomes. 
Seven (87.5 %) studies on traumatic brain injury (TBI) patients also showed positive results. 
A series of clinical trials on stroke patients showed positive trends on improved neurological deficit at first, but was prematurely terminated later at phase III due to the lack of statistical significance. 
One of the most common protocols for clinical populations employed devices delivering near-infrared light (810 nm), the irradiance of 20-25 mW/cm2, and fluence of 1-10 J/cm2. 
While this was common, the reviewed protocols also included other wavelengths of light ranging from visible, red (630-635 nm) to invisible near-infrared maximum wavelengths of 1060-1068 nm."</t>
  </si>
  <si>
    <t>Portugal
(Guimarães)</t>
  </si>
  <si>
    <t>Alzheimers Dement (N Y)</t>
  </si>
  <si>
    <t>Photobiomodulation and visual stimulation against cognitive decline and Alzheimer's disease pathology: A systematic review</t>
  </si>
  <si>
    <t>📚 Systematic review (in vitro, animal, and human)</t>
  </si>
  <si>
    <t>"Based on Scopus, PubMed, and Web of Science databases search, this systematic review summarizes, compares, and discusses 43 cell, animal, and human studies of PBM and VS related to cognitive decline and AD pathology."
"Preclinical work suggests that PBM with 640±30-nm light and VS at 40 Hz attenuates Aβ and Tau pathology and improves neuronal and synaptic plasticity with most studies pointing towards enhancement of degradation/clearance mechanisms in the brain of AD animal models. 
Despite the gap of the translational evidence for both modalities, the few human studies performed so far support the use of PBM at 810-870 nm light pulsing at 40 Hz for improving brain network connectivity and memory in older subjects and AD patients, while 40 Hz VS in humans seems to improve cognition; further clinical investigation is urgently required to clarify the beneficial impact of PBM and VS in AD patients."</t>
  </si>
  <si>
    <t>Buendía</t>
  </si>
  <si>
    <t>Brazil &amp; Chile</t>
  </si>
  <si>
    <t>Brain Sci</t>
  </si>
  <si>
    <t>The Transcranial Light Therapy Improves Synaptic Plasticity in the Alzheimer's Disease Mouse Model</t>
  </si>
  <si>
    <t>0.35</t>
  </si>
  <si>
    <t>43.5</t>
  </si>
  <si>
    <t>"Cognitive function, measured through an object recognition task, showed non-significant improvement after [transcranial light therapy]. 
[Synaptic plasticity], on the other hand, was evaluated (...) An improvement was observed in subjects treated with [transcranial light therapy], showing higher levels of LTP than those transgenic mice that were not exposed to the treatment. 
Therefore, the results obtained in this work showed that [transcranial light therapy] could be an efficient non-invasive treatment for AD-associated SP deficits."</t>
  </si>
  <si>
    <t>Effects of multi-mode physical stimulation on APP/PS1 Alzheimer's disease model mice</t>
  </si>
  <si>
    <t>PBM (near-infrared) vs light+music stimulation (green light) vs combination</t>
  </si>
  <si>
    <t>"In conclusion, through the analysis of physical stimulation (LED/music/laser)) on APP/PS1 mice based on animal behavior and pathology experiments, the study indicated the neuroprotective effect of combined γ-rhythm light, music, and infrared laser stimulation in AD. Our results suggest that multi-model (LED/music/laser) physical stimulation on APP/PS1 mice is more effective in relieving AD symptoms than single laser stimulation or light and music stimulation."
Comments: Parameters inadequately reported.</t>
  </si>
  <si>
    <t>Huynh</t>
  </si>
  <si>
    <t>Australia
(Camperdown)</t>
  </si>
  <si>
    <t>Non-Pharmacological Therapeutic Options for the Treatment of Alzheimer's Disease</t>
  </si>
  <si>
    <t>"PBM has the potential to treat many pathologies that arise from AD including Aβ load, intracellular tau tangles, neuroinflammation, oxidative stress, decreased trophic factor expression, and metabolic dysfunction. An important advantage of PBM is its noninvasive approach and as such, a patient can be safely treated on multiple occasions if required. PBM can provide sustainable therapeutic benefits including the stimulation of neurotrophic factor release and induce regenerative properties intrinsic to cells. 
Future research should focus on harnessing the optimal benefits of PBM by establishing parameters required for targeted and even personalized therapy to the brain."</t>
  </si>
  <si>
    <t>Vrankic</t>
  </si>
  <si>
    <t>Croatia
(Rijeka)</t>
  </si>
  <si>
    <t>Sensors (Basel)</t>
  </si>
  <si>
    <t>EEG-Validated Photobiomodulation Treatment of Dementia-Case Study</t>
  </si>
  <si>
    <t>🧑 Human
📄 Case report</t>
  </si>
  <si>
    <t>"This case study suggests that PBM could have positive effects on improving desired brain activity, measured as improvement in power spectrum and connectivity measures in theta and alpha bands, for elderly people with memory and thinking disorders."</t>
  </si>
  <si>
    <t>Wu</t>
  </si>
  <si>
    <t>J Neuroinflammation</t>
  </si>
  <si>
    <t>Promoted CD4+ T cell-derived IFN-γ/IL-10 by photobiomodulation therapy modulates neurogenesis to ameliorate cognitive deficits in APP/PS1 and 3xTg-AD mice</t>
  </si>
  <si>
    <t>daily
for 1 month</t>
  </si>
  <si>
    <t>"Our results showed that PBMT treatment could promote AHN and reverse cognitive deficits in AD mouse model. 
"Our research suggests that PBMT exerts a beneficial neurogenesis modulatory effect through activating the JAK2/STAT4/STAT5 signaling pathway to promote the expression of IFN-γ/IL-10 in non-parenchymal CD4+ T cells, induction of improvement of brain microenvironmental conditions and alleviation of cognitive deficits in APP/PS1 and 3xTg-AD mouse models."</t>
  </si>
  <si>
    <t>Device: "a semiconductor laser (635 nm, NLFBA-2.0-635, nLight Photonics Corporation, Vancouver, WA, USA)"</t>
  </si>
  <si>
    <t>Inflamm Regen</t>
  </si>
  <si>
    <t>Therapeutic non-invasive brain treatments in Alzheimer's disease: recent advances and challenges</t>
  </si>
  <si>
    <t xml:space="preserve">"In this paper, we reviewed the advances of the most widely studied non-invasive therapies, including photobiomodulation (PBM), transcranial magnetic stimulation (TMS), transcranial direct current stimulation (tDCS), and exercise therapy."
</t>
  </si>
  <si>
    <t>Valverde &amp; Mitrofanis</t>
  </si>
  <si>
    <t>France &amp; UK</t>
  </si>
  <si>
    <t>Photobiomodulation for Hypertension and Alzheimer's Disease</t>
  </si>
  <si>
    <t>"In this review, we explore the idea that photobiomodulation, the application of specific wavelengths of light onto body tissues, can reduce the neuropathology and behavioral deficits in Alzheimer's disease by controlling hypertension."</t>
  </si>
  <si>
    <t>France
(Montpellier)</t>
  </si>
  <si>
    <t>A Randomized, Double-Blind, and Sham-Controlled Trial of an Innovative Brain-Gut Photobiomodulation Therapy: Safety and Patient Compliance</t>
  </si>
  <si>
    <t>🧑 Human
🎲 Randomized trial, sham-controlled
👥 53 participants
⌛ 8-week treatment -&gt; 4-week follow-up</t>
  </si>
  <si>
    <t>40
/ 8 weeks</t>
  </si>
  <si>
    <t>"This double-blind, randomized, monocentric sham-controlled study started in 2018 and ended prematurely in 2020 due to the COVID-19 pandemic."
"Compared to the sham patients, the PBM patients showed higher ADAS-Cog comprehension sub-scores and forward verbal spans, and lower TMT-B execution times, which suggests an improvement in cognitive functions."
"This study demonstrates the tolerability of and patient compliance with a PBM-based treatment for mild-to-moderate AD patients. It highlights encouraging efficacy trends and provides insights for the design of the next phase trial in a larger AD patient sample."</t>
  </si>
  <si>
    <t>Kheradmand</t>
  </si>
  <si>
    <t>Therapeutic Effects of Low-Level Laser Therapy on Cognitive Symptoms of Patients with Dementia: A Double-Blinded Randomized Clinical Trial</t>
  </si>
  <si>
    <t>🧑 Human
🎲 Randomized trial, double-blind
👥 32 participants
⌛ 8 weeks (?)</t>
  </si>
  <si>
    <t>PBM device design: helmet</t>
  </si>
  <si>
    <t>1200+
1200</t>
  </si>
  <si>
    <t>0.09
for
each
diode</t>
  </si>
  <si>
    <t>288
(from 24 laser diodes in total)</t>
  </si>
  <si>
    <t>56.50</t>
  </si>
  <si>
    <t>0.21
cm2
beam
area
per
laser
(24 diodes)</t>
  </si>
  <si>
    <t>6
/ 2 weeks</t>
  </si>
  <si>
    <t>"The rate of change of MMSE scores in sham and LLLT groups was 0.13 ± 0.96 and 2.31 ± 1.81 in week 2 (p = 0.00005) and also -0.25 ± 0.86 and 2.53 ± 1.73 in week 8 (p = 0.000003). 
In the LLLT group, the mean scores of CDR were 1.28 ± 0.71, 1.28 ± 0.71, and 1.25 ± 0.80 at baseline, week 2, and week 8 (p = 0.605 and p = 0.742), respectively. 
The mean scores of CDR in the sham group were 1.69 ± 0.73, 1.75 ± 0.68, and 1.72 ± 0.82 at baseline, week 2, and week 8, respectively. "
"These findings suggest that laser therapy could be a promising treatment modality and an adjunct to pharmacotherapy in dementia patients."</t>
  </si>
  <si>
    <t>Device: "Model niltvirc102; Noura Inst. Tehran"</t>
  </si>
  <si>
    <t>Nazari</t>
  </si>
  <si>
    <t>Neurotox Res</t>
  </si>
  <si>
    <t>The Effect of 40-Hz White LED Therapy on Structure-Function of Brain Mitochondrial ATP-Sensitive Ca-Activated Large-Conductance Potassium Channel in Amyloid Beta Toxicity</t>
  </si>
  <si>
    <t>white
LED
40 Hz</t>
  </si>
  <si>
    <t>0.012</t>
  </si>
  <si>
    <t>10.8</t>
  </si>
  <si>
    <t>"The current study explains a light therapy improvement in brain mitoBKCa channel function in the Aβ-induced neurotoxicity rat model, an effect that can be linked to increased expression of β2 subunit."</t>
  </si>
  <si>
    <t>China
(Hangzhou)</t>
  </si>
  <si>
    <t>Phototherapy for Cognitive Function in Patients With Dementia: A Systematic Review and Meta-Analysis</t>
  </si>
  <si>
    <t xml:space="preserve">📊 Meta-analysis 
Basic Information
- 13 studies
- 608 study subjects
PBM parameters (range): 
- λ = 1072, 810, 633, 650, broad sources
- H = ill-reported
- N = 1-112 sessions
Meta-analysis (doesn't quite work here)
- pain 
- QoL
Heterogenity
- PBM parameters: very high
- Study results: high
Risk of bias
- 3 high, 8 medium, 2 low (RoB2)
Risk of publication bias
- Low assesed by funnel plot and Egger's
</t>
  </si>
  <si>
    <t>"Our analyses included 13 studies enrolling a total of 608 participants."
"Near-infrared (NIR) light-emitting diodes (LEDs) photobiomodulation (SMD, 0.91; 95% CI, 0.46-1.36; P &lt; 0.001) and lasers (SMD, 0.99; 95% CI, 0.56-1.43; P &lt; 0.001) showed more significant associations with improved cognitive functions when compared with normal visible light."
"[T]he effect sizes of short-term effects (SMD, 0.63; 95% CI, 0.33–0.94; P &lt; 0.001) were larger than effects assessed in long-term follow-up (SMD, 0.49; 95% CI, -0.24–1.21; P = 0.189)."</t>
  </si>
  <si>
    <t>Zhang</t>
  </si>
  <si>
    <t>Front Neuroimaging</t>
  </si>
  <si>
    <t>Synergistic photobiomodulation with 808-nm and 1064-nm lasers to reduce the β-amyloid neurotoxicity in the in vitro Alzheimer's disease models</t>
  </si>
  <si>
    <t>Wavelength combination</t>
  </si>
  <si>
    <t>808
1064
808+
1064</t>
  </si>
  <si>
    <t>"In conclusion, our results demonstrated that the 1,064- and 808-nm lasers can regulate microglia and neurons, respectively, to resist the fAβ-induced neurotoxicity. 
A reduction in the intracellular Ca2+ level in microglia using the 1,064-nm laser resulted in not only the anti-inflammatory expression with TGF-β factor, but also regulating the polarization of microglia toward the M2 phenotype. 
On the contrary, PBM with the 808-nm laser directly caused the enhancement of neuronal viability (Figure 6). 
Overall attenuation of the fAβ-induced neurotoxicity was maximum when the two PBM approaches (with two different lasers 1,064 and 808 nm) were combined to regulate the transwell co-culture models for both cell types."</t>
  </si>
  <si>
    <t>Frontiers</t>
  </si>
  <si>
    <t>Stepanov</t>
  </si>
  <si>
    <t>Near-infrared light reduces β-amyloid-stimulated microglial toxicity and enhances survival of neurons: mechanisms of light therapy for Alzheimer's disease</t>
  </si>
  <si>
    <t>0.030</t>
  </si>
  <si>
    <t>"The light induces a metabolic shift from glycolysis to mitochondrial activity in pro-inflammatory microglia affected by oligomeric Aβ. Thereby, the level of anti-inflammatory microglia increases.
This process is accompanied by a decrease in pro-inflammatory cytokines and an activation of phagocytosis. Light exposure decreases the Aβ-induced activity of glucose-6-phosphate dehydrogenase, an enzyme that regulates the rate of the pentose phosphate pathway, which activates nicotinamide adenine dinucleotide phosphate oxidases to further produce ROS. During co-cultivation of neurons with microglia, light prevents the death of neurons, which is caused by ROS produced by Aβ-altered microglia."
"These original data clarify reasons for how PBM protects against neurodegeneration and support the use of light for therapeutic research in the treatment of Alzheimer's disease."</t>
  </si>
  <si>
    <t>Far infrared light irradiation enhances Aβ clearance via increased exocytotic microglial ATP and ameliorates cognitive deficit in Alzheimer's disease-like mice</t>
  </si>
  <si>
    <t>Green light 🟢
Wavelength comparison (green vs NIR vs FIR)</t>
  </si>
  <si>
    <t>500
visible
800
NIR
3000-
25000
FIR</t>
  </si>
  <si>
    <t>0.00013</t>
  </si>
  <si>
    <t>daily
for
1.5
months</t>
  </si>
  <si>
    <t>"Our results showed that FIR light reduced Aβ burden, a hallmark of AD neuropathology, alleviated neuroinflammation, restored the expression of the presynaptic protein synaptophysin, and ameliorated learning and memory impairment in the AD mice. FIR light enhanced mitochondrial oxidative phosphorylation pathway to increase ATP production. This increased intracellular ATP promoted the extracellular ATP release from microglia stimulated by Aβ, leading to the enhanced Aβ phagocytosis through phosphoinositide 3-kinase/mammalian target of rapamycin pathways for Aβ clearance."</t>
  </si>
  <si>
    <t>Dewey</t>
  </si>
  <si>
    <t>USA
(Freeville, NY)</t>
  </si>
  <si>
    <t>Open Vet J</t>
  </si>
  <si>
    <t>Transcranial photobiomodulation (laser) therapy for cognitive impairment: A review of molecular mechanisms and potential application to canine cognitive dysfunction (CCD)</t>
  </si>
  <si>
    <t>"Alzheimer's disease (AD) is a common degenerative brain disorder of aging people which shares many clinical and pathological features with canine cognitive dysfunction (CCD). CCD is considered a naturally occurring model of human AD."
" The purposes of this review are to provide an overview of the suspected molecular mechanisms of action of tPBMT for the treatment of cognitive decline and to propose potential application of this treatment modality for dogs affected by CCD."</t>
  </si>
  <si>
    <t>Yang</t>
  </si>
  <si>
    <t>Non-invasive photobiomodulation treatment in an Alzheimer Disease-like transgenic rat model</t>
  </si>
  <si>
    <t>0.350
scalp
--&gt;
0.025
cortex</t>
  </si>
  <si>
    <t>42
scalp
--&gt;
3
cortex</t>
  </si>
  <si>
    <t>3/wk
for 16
months</t>
  </si>
  <si>
    <t>"PBM treatment significantly improved the typical AD pathologies of memory loss, amyloid plaques, tau hyperphosphorylation, neuronal degeneration, spine damage, and synaptic loss.
PBM treatment had several mechanistic effects which may explain these beneficial effects, including
1) regulation of glial cell polarization and inhibition of neuroinflammation,
2) preservation of mitochondrial dynamics by regulating fission and fusion proteins, and
3) suppression of oxidative damage to DNA, proteins, and lipids.
Furthermore, PBM enhanced recruitment of microglia surrounding amyloid plaques by improving the expression of microglial IL-3Rα and astrocytic IL-3, which implies a potential role of PBM in improving Aβ clearance.
Finally, our results implicate neuronal hemoglobin in mediating the neuroprotective effect of PBM, as Hbα knockdown abolished the neuroprotective effect of PBM treatment."</t>
  </si>
  <si>
    <t>Device: MDL-III-LED, model 808M100, Dragon Lasers</t>
  </si>
  <si>
    <t>Maksimovich IV</t>
  </si>
  <si>
    <t>Russia
(Moscow)</t>
  </si>
  <si>
    <t>Alzheimers Dement [ABSTRACT]</t>
  </si>
  <si>
    <t>Stimulation of cerebral angiogenesis and neurogenesis with transcatheter intracerebral laser photobiomodulation therapy during dementia in patients with Alzheimer's and Binswanger's disease</t>
  </si>
  <si>
    <t>🧑 Human
📄 Single-arm trial
👥 48 participants
[POSTER ABSTRACT,
NOT A FULL ARTICLE]</t>
  </si>
  <si>
    <t>"All 48 (100%) patients with AD showed cerebral microcirculation improvement, as well as a 10-20% increase in cerebral temporal lobes volume, which indicates cerebral neurogenesis development and tissue regeneration. The process was accompanied by dementia level decline and cognitive functions restoration. As a result, patients were transferred to the milder TDR stage group. Depending on the initial dementia severity, the obtained positive effect has been observed for 2-10 years.
All 17 (100%) patients with BD showed cerebral microcirculation improvement and cerebral involutional changes decline, which indicates neurogenesis development and tissue regeneration. The process was accompanied by dementia level decline and cognitive functions restoration. The resulting positive effect has been observed for over 10 years."</t>
  </si>
  <si>
    <t>Berman MH</t>
  </si>
  <si>
    <t>USA
(Elkins Park, PA)</t>
  </si>
  <si>
    <t>Shining new light on dementia treatment: ADAS-Cog and quantitative EEG evidence of cognitive improvement in early and mid-stage dementia using self-administered 1070 nm transcranial near-infrared photobiomodulation</t>
  </si>
  <si>
    <t>🧑 Human
🎲 Randomized trial, sham-controlled
🗺 Multicenter
👥 100 participants
⌛ 60 days
[POSTER ABSTRACT,
NOT A FULL ARTICLE]</t>
  </si>
  <si>
    <t>At-home device</t>
  </si>
  <si>
    <t>"This trial was a replication of an earlier pilot trial and a recent safety/feasibility trial with no adverse events reported in any study.
MMSE improved 21.0%, 4.8 points in the active treatment group and 1.6 points in the placebo group.
Sleep duration increased in the active treatment group by an hour after 8 days of treatment and caregivers noted improved mood, energy, and positive engagement in daily activities. None of these functional changes were noted in the placebo arm subjects.
Active group's clock drawing improved 20% and no change in the control group. Logical memory recall improved 3.3 points (p&lt; .03) and time to completion of Trails A&amp;B decreased 23.7% (p&lt;.03)."</t>
  </si>
  <si>
    <t>J Phys D Appl Phys</t>
  </si>
  <si>
    <t>Dose–effect relationships for PBM in the treatment of Alzheimer's disease</t>
  </si>
  <si>
    <t>"This review summarizes the parameters of PBM for AD treatment studied on cells, animals, and in clinical trials, as well as the dose–effect relationship of PBM treatment for AD."</t>
  </si>
  <si>
    <t>IOP</t>
  </si>
  <si>
    <t>Tao</t>
  </si>
  <si>
    <t>Light Sci Appl</t>
  </si>
  <si>
    <t>Microglia modulation with 1070-nm light attenuates Aβ burden and cognitive impairment in Alzheimer's disease mouse model</t>
  </si>
  <si>
    <t>LED phototherapy
🎚 Pulsing (10 Hz, 50% duty cycle)</t>
  </si>
  <si>
    <t>0.025
--&gt;
approx
0.002-
0.004
at
brain</t>
  </si>
  <si>
    <t>4.5</t>
  </si>
  <si>
    <t>60
/ 60 days</t>
  </si>
  <si>
    <t>"Our results show that 1070-nm light pulsed at 10 Hz triggers microglia rather than astrocyte responses in AD mice. The 1070-nm light-induced microglia responses with alteration in morphology and increased colocalization with Aβ are sufficient to reduce Aβ load in AD mice. Moreover, 1070-nm light pulsed at 10 Hz can reduce perivascular microglia and promote angiogenesis to further enhance Aβ clearance.
Our study confirms the important roles of microglia and cerebral vessels in the use of 1070-nm light for the treatment of AD mice and provides a framework for developing a novel therapeutic approach for AD."
"The group of APP/PS1 mice with 10-Hz pulsed-light irradiation (AD+10 Hz) performed similarly to WT mice, while 40-Hz pulsed light failed to alleviate the short-term memory deficits observed in APP/PS1 mice (Fig. ​(Fig.1c).1c)."
"Moreover, there was also a decrease in M1-like microglia surrounding vessels in the AD+10 Hz group at 6M (20.35%), while 40-Hz pulsed light failed to reduce the M1 phenotype in perivascular microglia"</t>
  </si>
  <si>
    <t>Hamblin &amp; Salehpour</t>
  </si>
  <si>
    <t>South Africa &amp; Germany</t>
  </si>
  <si>
    <t>Photobiomodulation of the Brain: Shining Light on Alzheimer's and Other Neuropathological Diseases</t>
  </si>
  <si>
    <t>Introduction</t>
  </si>
  <si>
    <t>"We expect PBM to continue to be investigated to treat diverse brain disorders, considering the evidence of efficacy, almost complete lack of adverse effects, and the availability of relatively inexpensive LED devices that can be used at home."</t>
  </si>
  <si>
    <t>Qi</t>
  </si>
  <si>
    <t>Cureus</t>
  </si>
  <si>
    <t>Gender Differences of Dementia in Response to Intensive Self-Administered Transcranial and Intraocular Near-Infrared Stimulation</t>
  </si>
  <si>
    <t>🧑 Human
🎲 Randomized trial, double-blind
👥 60 participants
⌛ 8 weeks</t>
  </si>
  <si>
    <t>1060-
1080</t>
  </si>
  <si>
    <t>0.023</t>
  </si>
  <si>
    <t>650
cm2</t>
  </si>
  <si>
    <t>twice daily
for
8 weeks</t>
  </si>
  <si>
    <t>"Over the course of treatment, active-arm female subjects had a 20.2% improvement in Mini-Mental State Exam (MMSE) (mean 4.8 points increase, p &lt; 0.001) and active-arm male cohort had 19.3% improvement (p &lt; 0.001). Control-arm female subjects had a 6.5% improvement in MMSE (mean 1.5 points increase, p &lt; 0.03) and control-arm male subjects had 5.9% improvement (p = 0.35) with no significant differences in the mean MMSE between female and male subjects in both arms respectively. Other comparison of assessments including Clock Copying and Drawing Test, Logical Memory Test - immediate and delayed recall yielded nominal but not statistically significant differences."</t>
  </si>
  <si>
    <t>Photoactivation of TGFβ/SMAD signaling pathway ameliorates adult hippocampal neurogenesis in Alzheimer's disease model</t>
  </si>
  <si>
    <t>1.57
(?)</t>
  </si>
  <si>
    <t>2
at
cortex
(??)</t>
  </si>
  <si>
    <t>0.785
cm2
spot
size</t>
  </si>
  <si>
    <t>30
/ 30 days</t>
  </si>
  <si>
    <t>"The latent transforming growth factor-β1 (LTGFβ1) was activated in vitro and in vivo during PBMT-induced AHN, which promoted the differentiation of hippocampal APP/PS1 NSCs into newborn neurons. In particular, behavioral experiments showed that PBMT enhanced the spatial learning/memory ability of APP/PS1 mice.
Mechanistically, PBMT-stimulated reactive oxygen species (ROS) activates TGFβ/Smad signaling pathway to increase the interaction of the transcription factors Smad2/3 with Smad4 and competitively reduce the association of Smad1/5/9 with Smad4, thereby significantly upregulating the expression of doublecortin (Dcx)/neuronal class-III β-tubulin (Tuj1) and downregulating the expression of glial fibrillary acidic protein (GFAP). These in vitro effects were abrogated when eliminating ROS. Furthermore, specific inhibition of TGFβ receptor I (TGFβR I) attenuates the DNA-binding efficiency of Smad2/3 to the Dcx promotor triggered by PBMT."
Comment: Dose parameters somewhat difficult to interpret from full text and tables S2-S3.</t>
  </si>
  <si>
    <t>Dose-effect relationships for PBM in the treatment of Alzheimer's disease</t>
  </si>
  <si>
    <t>"A large number of clinical studies and experiments proved that PBM (photobiomodulation) had a positive effect on AD treatment. It was shown that the irradiation with red and near-infrared light at a low dose can effectively reduce an accumulation of amyloid-β (Aβ) plagues in the central nervous system, relieving the symptoms of Alzheimer's disease. This review summarizes the parameters of PBM for AD treatment studied on cells, animals and in clinical trials, as well as the dose-effect relationship of PBM treatment for AD."</t>
  </si>
  <si>
    <t>Russia
(Saratov)</t>
  </si>
  <si>
    <t>Cells</t>
  </si>
  <si>
    <t>Night Photostimulation of Clearance of Beta-Amyloid from Mouse Brain: New Strategies in Preventing Alzheimer's Disease</t>
  </si>
  <si>
    <t>Timing of PBM</t>
  </si>
  <si>
    <t>9</t>
  </si>
  <si>
    <t>9
/ 9 days</t>
  </si>
  <si>
    <t>"Our results on healthy mice show that Aβ clearance from the brain occurs faster at night than during wakefulness. The PS [=photostimulation] course at night improves memory and reduces Aβ accumulation in the brain of AD mice more effectively than the PS course during the day. Our results suggest that night PS is a more promising candidate as an effective method in preventing AD than daytime PS."</t>
  </si>
  <si>
    <t>Adv Exp Med Biol</t>
  </si>
  <si>
    <t>Transcranial Photobiomodulation of Clearance of Beta-Amyloid from the Mouse Brain: Effects on the Meningeal Lymphatic Drainage and Blood Oxygen Saturation of the Brain</t>
  </si>
  <si>
    <t>32</t>
  </si>
  <si>
    <t>"Here, we demonstrate the therapeutic effects of transcranial photobiomodulation (tPBM, 1267 nm, 32 J/cm2, a 9-day course) in mice with the injected model of Alzheimer's disease (AD) associated with accumulation of beta-amyloid (Aβ) in the brain resulting in neurocognitive deficit vs. the control group (CG) (the neurological severity score (NNS), AD 3.67 ± 0.58 vs. CG 1.00 ± 0.26%, p &lt; 0.05) and mild cerebral hypoxia (AD 72 ± 6% vs. CG 97 ± 2%, p &lt; 0.001). The course of tPBM improved neurocognitive status of mice with AD (NNS, AD 2.03 ± 0.14 vs. CG 1.00 ± 0.26, vs. 2.03 ± 0.14, p &lt; 0.05) due to stimulation of clearance of Aβ from the brain via the meningeal lymphatic vessels (the immunohistochemical and confocal data) and an increase in blood oxygen saturation of the brain tissues (the pulse oximetry data) till 85 ± 2%, p &lt; 0.05."</t>
  </si>
  <si>
    <t>Salehpour</t>
  </si>
  <si>
    <t>Germany
(Starnberg)</t>
  </si>
  <si>
    <t>Photobiomodulation Therapy for Dementia: A Systematic Review of Pre-Clinical and Clinical Studies</t>
  </si>
  <si>
    <t>"Nine articles reported in vitro studies, 17 articles reported studies in animal models of dementia, and 10 studies were conducted in dementia patients. All of the included studies reported positive results. The clinical studies were limited by the small number of patients, lack of placebo controls in some instances, and only a few used objective neuroimaging methods."
"The preliminary evidence of clinical benefit, the lack of any adverse effects, and the remarkable ease of use, suggest larger clinical trials should be conducted as soon as possible."</t>
  </si>
  <si>
    <t>Spera</t>
  </si>
  <si>
    <t>USA
(Boston, MA)</t>
  </si>
  <si>
    <t>Pilot Study on Dose-Dependent Effects of Transcranial Photobiomodulation on Brain Electrical Oscillations: A Potential Therapeutic Target in Alzheimer's Disease</t>
  </si>
  <si>
    <t>🧑 Human
📄 Non-controlled, single-blind, crossover
👥 10 participants
⌛ 5 weeks</t>
  </si>
  <si>
    <t>0.55</t>
  </si>
  <si>
    <t>1 CW
1 pulsed
1 sham</t>
  </si>
  <si>
    <t>"c-tPBM significantly boosted gamma (t = 3.02, df = 7, p &lt; 0.02) and beta (t = 2.91, df = 7, p &lt; 0.03) EEG spectral powers in eyes-open recordings and gamma power (t = 3.61, df = 6, p &lt; 0.015) in eyes-closed recordings, with a widespread increase over frontal-central scalp regions. There was no significant effect of tPBM on CBF compared to sham."
"Our data suggest a dose-dependent effect of tPBM with NIR on cerebral gamma and beta neuronal activity. Altogether, our findings support the neuromodulatory effect of transcranial NIR."</t>
  </si>
  <si>
    <t>Nizamutdinov</t>
  </si>
  <si>
    <t>USA
(Temple, TX)</t>
  </si>
  <si>
    <t>Aging Dis</t>
  </si>
  <si>
    <t>Transcranial Near Infrared Light Stimulations Improve Cognition in Patients with Dementia</t>
  </si>
  <si>
    <t>0.0231</t>
  </si>
  <si>
    <t>650
cm2
area</t>
  </si>
  <si>
    <t>360
(per session)</t>
  </si>
  <si>
    <t>108 sessions in 56 days</t>
  </si>
  <si>
    <t>"Treatment with active device resulted in improvements of cognitive functions and changes were: an average increase of MMSE by 4.8 points; Logical Memory Tests I and II by ~3.0 points; Trail Making Tests A and B by ~24%; Boston Naming Test by ~9%; improvement of both Auditory Verbal Learning Tests in all subtest categories and overall time of performance."
"In the active arm, the average MMSE score improved from 22.8 ± 2.6 at the beginning of treatment to 27.6 ± 2.8 (p &lt; .001) at the end of the treatment, which was 4.8 points improvement (21.0% increase) over the course of treatment."
"In the control arm, the average MMSE score changed from 23.2 ± 1.6 at the beginning of treatment to 24.6 ± 2.5 (p = .066) at the end of the treatment, which was 1.4 points improvement (6.2% increase) over the course of treatment (Table 1)."</t>
  </si>
  <si>
    <t>Aging and Disease</t>
  </si>
  <si>
    <t>Nagy</t>
  </si>
  <si>
    <t xml:space="preserve">Int J Gen Med
</t>
  </si>
  <si>
    <t>Impact of Combined Photo-Biomodulation and Aerobic Exercise on Cognitive Function and Quality-of-Life in Elderly Alzheimer Patients with Anemia: A Randomized Clinical Trial</t>
  </si>
  <si>
    <t>🧑 Human
🎲 Randomized trial, sham-controlled
👥 60 participants
⌛ 12 weeks</t>
  </si>
  <si>
    <t>Nasal and wrist irradiation</t>
  </si>
  <si>
    <t>1800
per
session</t>
  </si>
  <si>
    <t>2 sessions per day, thrice a week, for 12 weeks</t>
  </si>
  <si>
    <t>"By the end of this study, both groups showed significant improvements in Hb level, Montreal Cognitive Assessment Scale (MoCa - B basic), Quality-of-Life for Alzheimer's Disease scale, and Berg Balance scale scores along with significant reduction in body mass index (BMI) and waist-hip ratio (WHR) (P&lt;0.0001).
The experimental group which received active low-level laser in addition to moderate-intensity aerobic exercise showed more significant results compared to the control group which received placebo low-level laser in addition to moderate-intensity aerobic exercise in all the measured outcomes (P&lt;0.001)."</t>
  </si>
  <si>
    <t>Device: "A PBM device radiates non-thermal infra-red laser therapy via nasal probe for simultaneous laser blood irradiation and wrist laser watch acupuncture which irradiates radial artery acupoints (Lieque Lu 7, Jingqu Lu 8, Taiyuan Lu 9), unlar artery acupoints (Lingdao He 4, Tongli He 5, Yinxi He 6, Shenmen He 7), and middle wrist acupoints (Neiguan PC 6, Daling PC 7)"</t>
  </si>
  <si>
    <t>Shen</t>
  </si>
  <si>
    <t>Aging Cell</t>
  </si>
  <si>
    <t>Photobiomodulation suppresses JNK3 by activation of ERK/MKP7 to attenuate AMPA receptor endocytosis in Alzheimer's disease</t>
  </si>
  <si>
    <t>APP/PS1 mice</t>
  </si>
  <si>
    <t>"Here, we found that PBM attenuated Aβ-induced synaptic dysfunction and neuronal death through MKP7-dependent suppression of JNK3, a brain-specific JNK isoform related to neurodegeneration.
The results showed PBM-attenuated amyloid load, AMPA receptor endocytosis, dendrite injury, and inflammatory responses, thereby rescuing memory deficits in APP/PS1 mice."</t>
  </si>
  <si>
    <t>China
(Tianjin)</t>
  </si>
  <si>
    <t>Gut flora-targeted photobiomodulation therapy improves senile dementia in an Aß-induced Alzheimer's disease animal model</t>
  </si>
  <si>
    <t>630
730
850</t>
  </si>
  <si>
    <t>"PBM at all three wavelengths (especially 630 nm and 730 nm) significantly improved learning retention as measured by the Morris water maze. In addition, we found reduced amyloidosis and tau phosphorylation in the hippocampus by immunofluorescence in AD mice."
"The 16 s rRNA gene sequencing of fecal contents showed that PBM significantly altered the diversity and abundance of intestinal flora. Specifically, PBM treatment reversed the typical increase of Helicobacter and uncultured Bacteroidales and the decrease of Rikenella seen in AD mice."
"Our data indicate that gf-targeted PBM regulates the diversity of intestinal flora, which may improve damage caused by AD. Gf-targeted PBM has the potential to be a noninvasive microflora regulation method for AD patients."</t>
  </si>
  <si>
    <t>Therapeutic Potential of Photobiomodulation In Alzheimer's Disease: A Systematic Review</t>
  </si>
  <si>
    <t>📚 Systematic review (preclinical)</t>
  </si>
  <si>
    <t>"We included 10 studies, being 5 in vivo studies, 4 in vitro studies and 1 study using in vivo and in vitro."
"The studies showed that photobiomodulation is able to reduce inflammatory response, oxidative stress and apoptotic effects generated by amyloid beta (Aβ) and restore mitochondrial function and cognitive behavior."</t>
  </si>
  <si>
    <t>Pople</t>
  </si>
  <si>
    <t>Canada
(Toronto)</t>
  </si>
  <si>
    <t>Neuromodulation in the Treatment of Alzheimer's Disease: Current and Emerging Approaches</t>
  </si>
  <si>
    <t xml:space="preserve">"Here we review work in animal models and humans with Alzheimer's disease exploring emerging neuromodulation modalities. Approaches reviewed include deep brain stimulation, transcranial magnetic stimulation, transcranial electrical stimulation, ultrasound stimulation, photobiomodulation, and visual or auditory stimulation."
</t>
  </si>
  <si>
    <t>Safety and Efficacy of 630-nm Red Light on Cognitive Function in Older Adults With Mild to Moderate Alzheimer's Disease: Protocol for a Randomized Controlled Study</t>
  </si>
  <si>
    <t>Zinchenko</t>
  </si>
  <si>
    <t>Electronics</t>
  </si>
  <si>
    <t>Photostimulation of Extravasation of Beta-Amyloid through the Model of Blood-Brain Barrier</t>
  </si>
  <si>
    <t>"The goal of this study was to determine the mechanisms of therapeutic [photostimulation] effects in beta-amyloid (Aβ)-injected mice. The neurological severity score and the new object recognition tests demonstrate that [photostimulation] 9 J/cm2 attenuates the memory and neurological deficit in mice with AD. The immunohistochemical assay revealed a decrease in the level of Aβ in the brain and an increase of Aβ in the deep cervical lymph nodes obtained from mice with AD after [photostimulation]."</t>
  </si>
  <si>
    <t>MDPI</t>
  </si>
  <si>
    <t>Gauthier</t>
  </si>
  <si>
    <t>Canada &amp; USA &amp; France</t>
  </si>
  <si>
    <t>J Prev Alzheimers Dis</t>
  </si>
  <si>
    <t>Non-Amyloid Approaches to Disease Modification for Alzheimer's Disease: An EU/US CTAD Task Force Report</t>
  </si>
  <si>
    <t>In addition to physical and cognitive activity, other non-pharmacological strategies are being investigated for their potential to slow cognitive decline and prevent dementia. For example, photobiomodulation (PBM) has been shown to be neuroprotective. In animal models PBM improved memory and normalized markers of AD, oxidative stress and neuroinflammation (42). A pilot study is now underway in participants with probable AD (NCT03405662)</t>
  </si>
  <si>
    <t>Enengl</t>
  </si>
  <si>
    <t>Austria &amp; USA</t>
  </si>
  <si>
    <t>Photobiomodulation for Alzheimer's Disease: Translating Basic Research to Clinical Application.</t>
  </si>
  <si>
    <t>"This review covers the mechanistic action of photobiomodulation therapy against Alzheimer's disease at a cellular level. Safe and effective doses have been found in animal models, and the first human case studies have provided reasons to undertake large-scale clinical trials. A brief discussion of the minimally effective and maximum tolerated dose concludes this review, and provides the basis for a successful translation from bench to bedside."</t>
  </si>
  <si>
    <t>Horner</t>
  </si>
  <si>
    <t>USA
(Bethel, MN)</t>
  </si>
  <si>
    <t>Nutritional Ketosis and photobiomodulation remediate mitochondria warding off Alzheimer's disease in a diabetic, ApoE4+ patient with mild cognitive impairment: A case report.</t>
  </si>
  <si>
    <t>🧑 Human
📄 Case report, multifactorial intervention
⌛ 10-week protocol</t>
  </si>
  <si>
    <t>"This case study evaluates the effects of a 10-week clinically prescribed ketogenic nutrition protocol combined with transcranial photobiomodulation (PBM) with a 59-year-old male, heterozygous ApoE4 carrier, with a dual diagnosis of mild AD and an 11 year history of insulin dependent type 2 diabetes (T2DM). Statistically significant results reflect an 83% reduction in HOMA-IR; 64% decrease in the triglyceride/HDL ratio; HgA1c reduction from 9.44% to 6.4%; a 57% decrease in VLDL and triglycerides; and normalized cognition as measured via the MoCA (Montreal Cognitive Assessment), 26/30 post intervention."</t>
  </si>
  <si>
    <t>Berman &amp; Nichols</t>
  </si>
  <si>
    <t>Treatment of Neurodegeneration: Integrating Photobiomodulation and Neurofeedback in Alzheimer's Dementia and Parkinson's: A Review.</t>
  </si>
  <si>
    <t>"PBM-treated subjects showed that active treatment subjects tended to show greater improvement in the functioning of the executive: clock drawing, immediate recall, practical memory, and visual attention and task switching (Trails A&amp;B). A larger study using the CerebroLite helmet in Temple Texas again of subjects in a double-blind, placebo-controlled IRB-approved FDA Clinical Trial demonstrated gain in memory and cognition by increased clock drawing."
Comment: The data in this paper is presented in an unconventional manner, with very little between-the-group comparisons with usual statistical tests.</t>
  </si>
  <si>
    <t>Yue</t>
  </si>
  <si>
    <t>New insight into Alzheimer's disease: Light reverses Aβ-obstructed interstitial fluid flow and ameliorates memory decline in APP/PS1 mice.</t>
  </si>
  <si>
    <t>630
(680)
(810)</t>
  </si>
  <si>
    <t>0.0005</t>
  </si>
  <si>
    <t>40
(?)</t>
  </si>
  <si>
    <t>"[Red light] at 630 nm had the least heating effects than other wavelengths associated with ~49% penetration ratio into the brains.
For the molecular mechanisms, Aβ could induce formaldehyde (FA) accumulation by inactivating FA dehydrogenase. Unexpectedly, in turn, FA accelerated Aβ deposition in the [extracellular space]. However, LED-RL treatment not only directly destroyed Aβ assembly in vitro and in vivo but also activated FA dehydrogenase to degrade FA and attenuated FA-facilitated Aβ aggregation. Subsequently, LED-RL markedly smashed Aβ deposition in the [extracellular space], recovered the flow of [interstitial fluid], and rescued cognitive functions in AD mice."
Comment: The full text doesn't seem to reveal the irradiated area (cm2), but the text and the supplementary material provides some photographic evidence suggesting that the irradiated area was relatively large.</t>
  </si>
  <si>
    <t>Activation of PKA/SIRT1 signaling pathway by photobiomodulation therapy reduces Aβ levels in Alzheimer's disease models.</t>
  </si>
  <si>
    <t>"Here, we report that PBMT reduced Aβ production and plaque formation by shifting amyloid precursor protein (APP) processing toward the nonamyloidogenic pathway, thereby improving memory and cognitive ability in a mouse model of AD. 
More importantly, a pivotal protein, SIRT1, was involved in this process by specifically up-regulating ADAM10 and down-regulating BACE1, which is dependent on the cAMP/PKA pathway in APP/PS1 primary neurons and SH-SY5Y cells stably expressing human APP Swedish mutation (APPswe). 
We further found that the activity of the mitochondrial photoacceptor cytochrome c oxidase (CcO) was responsible for PBMT-induced activation of PKA and SIRT1."</t>
  </si>
  <si>
    <t>Biomed Opt Express</t>
  </si>
  <si>
    <t>Pilot study of transcranial photobiomodulation of lymphatic clearance of beta-amyloid from the mouse brain: breakthrough strategies for non-pharmacologic therapy of Alzheimer’s disease</t>
  </si>
  <si>
    <t>"The results of this pilot study clearly demonstrate that 9 days course of tPBM (1267 nm, 32 J/cm2 ) reduces Aβplaques in the brain of mice with AD and improved the memory and neurocognitive deficit. The tPBM-mediated stimulation of lymphatic drainage might be one of mechanism underlying tPBM elimination of Aβ from the brain."</t>
  </si>
  <si>
    <t>Hamblin MR</t>
  </si>
  <si>
    <t>Photonics</t>
  </si>
  <si>
    <t>Photobiomodulation for Alzheimer’s Disease: Has the Light Dawned?</t>
  </si>
  <si>
    <t>"In recent years PBM has been applied for a diverse range of brain disorders, frequently applied in a non-invasive manner by shining light on the head (transcranial PBM). The present review discusses the mechanisms of action of tPBM in the brain, and summarizes studies that have used tPBM to treat animal models of AD. The results of a limited number of clinical trials that have used tPBM to treat patients with AD and dementia are discussed."</t>
  </si>
  <si>
    <t>Rapid Reversal of Cognitive Decline, Olfactory Dysfunction, and Quality of Life Using Multi-Modality Photobiomodulation Therapy: Case Report.</t>
  </si>
  <si>
    <t>🧑 Human
📄 Case report
⌛ 4 weeks</t>
  </si>
  <si>
    <t>635+
810</t>
  </si>
  <si>
    <t>twice
daily
for
4 weeks</t>
  </si>
  <si>
    <t>"The patient showed a significant improvement in the Montreal Cognitive Assessment score from 18 to 24 and in the Working Memory Questionnaire score from 53 to 10. The cognitive enhancement was accompanied by reversal of olfactory dysfunction as measured by the Alberta Smell Test and peanut butter odor detection test. Quality-of-life measures improved and caregiver stress was reduced. No adverse effects were reported."</t>
  </si>
  <si>
    <t>Chao LL</t>
  </si>
  <si>
    <t>USA
(San Francisco, CA)</t>
  </si>
  <si>
    <t>Effects of Home Photobiomodulation Treatments on Cognitive and Behavioral Function, Cerebral Perfusion, and Resting-State Functional Connectivity in Patients with Dementia: A Pilot Trial.</t>
  </si>
  <si>
    <t>🧑 Human
🎲 Randomized trial
👥 8 participants
⌛ 12 weeks</t>
  </si>
  <si>
    <t>3/week
for
12 weeks</t>
  </si>
  <si>
    <t>"At baseline, the UC and PBM groups did not differ demographically or clinically. However, after 12 weeks, there were improvements in ADAS-cog (group × time interaction: F1,6 = 16.35, p = 0.007) and NPI (group × time interaction: F1,6 = 7.52, p = 0.03), increased cerebral perfusion (group × time interaction: F1,6 = 8.46, p &lt; 0.03), and increased connectivity between the posterior cingulate cortex and lateral parietal nodes within the default-mode network in the PBM group."
"Because PBM was well tolerated and associated with no adverse side effects, these results support the potential of PBM therapy as a viable home treatment for individuals with dementia."
Comment: Small sample size (n=8).</t>
  </si>
  <si>
    <t>Device: Vielight Neuro Gamma</t>
  </si>
  <si>
    <t>Cho</t>
  </si>
  <si>
    <t>2018
epub</t>
  </si>
  <si>
    <t>J Gerontol A Biol Sci Med Sci</t>
  </si>
  <si>
    <t>Photobiomodulation using a low-level light-emitting diode improves cognitive dysfunction in the 5XFAD mouse model of Alzheimer's disease.</t>
  </si>
  <si>
    <t>"The results showed that photobiomodulation treatment at early stages reduced amyloid accumulation, neuronal loss, and microgliosis and alleviated the cognitive dysfunction in 5XFAD mice, possibly by increasing insulin degrading enzyme (IDE) related to amyloid-beta (Aβ) degradation. Photobiomodulation may be an excellent candidate for advanced preclinical AD research."</t>
  </si>
  <si>
    <t>Comerota</t>
  </si>
  <si>
    <t>USA
(Galveston, TX)</t>
  </si>
  <si>
    <t>Mol Neurobiol</t>
  </si>
  <si>
    <t>Near Infrared Light Treatment Reduces Synaptic Levels of Toxic Tau Oligomers in Two Transgenic Mouse Models of Human Tauopathies.</t>
  </si>
  <si>
    <t>LED phototherapy
Transgenic mouse strains (hTau, 3xTgAD)</t>
  </si>
  <si>
    <t>"We found that a 4-week exposure to NIR light (90 s/day/5 days a week) significantly reduced levels of endogenous total and oligomeric tau in both synaptosomes and total protein extracts from the hippocampus and cortex of hTau mice and improved deteriorating memory function. Similar results were observed in the 3xTgAD mice, which further displayed reduced synaptic Aβ after NIR light treatment. 
On the other hand, ex vivo binding of tau oligomers in isolated synaptosomes as well as tau oligomer-induced depression of long-term potentiation (LTP) in hippocampal slices from NIR light-treated wt mice were unaffected. 
Finally, levels of proteins critically involved in two mechanisms associated with clearance of misfolded tau, inducible HSP70 and autophagy, were upregulated in NIR light treated mice."
Comment: While the paper was nice, parameters weren't reported well (thought they might be approximated based on the features of Warp10 device).</t>
  </si>
  <si>
    <t>Device: Warp10 by Quantum Devices</t>
  </si>
  <si>
    <t>Alzheimer's &amp; Dementia: Translational Research &amp; Clinical Interventions</t>
  </si>
  <si>
    <t>Neuroprotective effect of a new photobiomodulation technique against Aβ25–35 peptide–induced toxicity in mice: Novel hypothesis for therapeutic approach of Alzheimer's disease suggested</t>
  </si>
  <si>
    <t>LED phototherapy (with laser)</t>
  </si>
  <si>
    <t>625
+
850</t>
  </si>
  <si>
    <t>"The daily treatment with RGn500 applied during 10 minutes on both the head (10 Hz) and abdomen (10 Hz) inhibited this microglial activation (Fig. 5F) in a highly significant manner (P &lt; .001, Fig. 5H)."
"Results obtained in the hereby study suggest that PBM may represent a novel nonpharmacological therapeutic approach for the treatment of AD. The specific combination of PBM/static magnetic field of the so-called emerging therapy we propose, including, furthermore, two application sites showing synergistic effects, points out very promising results, considering especially the extremely severe phenotype of Aβ25–35 mouse model of AD. Yet, a complex human disease such as AD cannot be fully recapitulated in this context. "</t>
  </si>
  <si>
    <t>Device: "RGn500 (REGEnLIFE, France) uses a combination of components in an unprecedented way. It is a non-ablative, non-ionizing, non-invasive and non-thermal light source working in the visible and infrared spectrum, including lasers and Light Emitting Diodes (LEDs). The device is made of a near infrared (NIR) InAlGaAs laser (850nm) combined with a NIR LED (850nm) and a red LED (625nm) surrounded with a ring-shaped magnet creating a static magnetic field (SMF) at 200mT. "</t>
  </si>
  <si>
    <t>Antioxid Redox Signal</t>
  </si>
  <si>
    <t>Illumination with 630-nm red light reduces oxidative stress and restores memory by photo-activating catalase and formaldehyde dehydrogenase in SAMP8 mice.</t>
  </si>
  <si>
    <t>"Illumination with LED-RL markedly activated both catalase and FDH in the brains, cultured cells and purified protein solutions, all reduced brain H2O2 and FA levels and restored brain Ach contents. Consequently, LED-RL not only prevented early-stage memory decline but also rescued late-stage memory deficits in SAMP8 mice."</t>
  </si>
  <si>
    <t>Near infrared light decreases synaptic vulnerability to amyloid beta oligomers.</t>
  </si>
  <si>
    <t>1-90
(?)</t>
  </si>
  <si>
    <t>"We found that Aβ oligomer binding to CNS synaptosomes isolated from wild type (wt) mice treated with NIR light was significantly reduced and the resulting suppression of long term potentiation (LTP) by Aβ oligomers was prevented. Similarly, APP transgenic mice treated with NIR showed a significant reduction of endogenous Aβ at CNS synapses. We further found that these phenomena were accompanied by increased synaptic mitochondrial membrane potential in both wt and Tg2576 mice. 
This study provides evidence that NIR light can effectively reduce synaptic vulnerability to damaging Aβ oligomers, thus furthering NIR light therapy as a viable treatment for AD."</t>
  </si>
  <si>
    <t>Berman</t>
  </si>
  <si>
    <t>J Neurol Neurosci</t>
  </si>
  <si>
    <t>Photobiomodulation with Near Infrared Light Helmet in a Pilot, Placebo Controlled Clinical Trial in Dementia Patients Testing Memory and Cognition.</t>
  </si>
  <si>
    <t>🧑 Human
🎲 Randomized trial, double-blind
👥 11 participants
⌛ 4 weeks</t>
  </si>
  <si>
    <t>28
over
28 days</t>
  </si>
  <si>
    <t>"We now report a small pilot double blind, placebo-controlled trial (n=11) 6 active, 3 controls and 2 dropouts assessing the effect of 28 consecutive, sixminute transcranial sessions of near infrared (NIR) stimulation using 1060-1080 nm light emitting diodes. Subjects were independently diagnosed with dementia conducted in an outpatient behavioral healthcare clinic. IRB approval was obtained through the Quietmind Foundation's institutional review Board (IRB). Results showed changes in executive functioning; clock drawing, immediate recall, praxis memory, visual attention and task switching (Trails A&amp;B) as well as a trend of improved EEG amplitude and connectivity measures."</t>
  </si>
  <si>
    <t>da Luz Eltchechem</t>
  </si>
  <si>
    <t>Brazil
(Guarapuava)</t>
  </si>
  <si>
    <t>Transcranial LED therapy on amyloid-β toxin 25-35 in the hippocampal region of rats.</t>
  </si>
  <si>
    <t>LED phototherapy
Transcranial LLLT</t>
  </si>
  <si>
    <t>7</t>
  </si>
  <si>
    <t>"Our study indicates the beneficial effect of PBM treatment on behavioral tasks in the early stages of AD by demonstrating the improvement in motor and behavioral performance in treated animals compared to nontreated ones."
"The use of PBM in rats with AD showed a significant reduction in senile plaques after 21 days of treatment in the treated group compared to the nontreated group."
"The early diagnosis of AD associated with the proposed use of PBM, which is a low-cost and noninvasive procedure and with absolute unknown contraindications, could lead to the achievement of relevant results that would improve the quality of life of people affected by this disease. Further investigation using a population of patients with AD is required."</t>
  </si>
  <si>
    <t>Saltmarche</t>
  </si>
  <si>
    <t>Canada &amp; USA</t>
  </si>
  <si>
    <t>Significant Improvement in Cognition in Mild to Moderately Severe Dementia Cases Treated with Transcranial Plus Intranasal Photobiomodulation: Case Series Report.</t>
  </si>
  <si>
    <t>🧑 Human
📄 Case series
👥 5 cases
⌛ 12-week treatment / 16-week study</t>
  </si>
  <si>
    <t>Transcranial + nasal photobiomodulation</t>
  </si>
  <si>
    <t>"Results suggest that larger, controlled studies are warranted. PBM shows potential for home treatment of patients with dementia and AD."</t>
  </si>
  <si>
    <t>USA (Georgia)</t>
  </si>
  <si>
    <t>Neurobiol Aging</t>
  </si>
  <si>
    <t>Low-level Laser Therapy for Beta-Amyloid Toxicity in Rat Hippocampus</t>
  </si>
  <si>
    <t>Beta-amyloid injection to hippocampus
Dose response (in the preliminary experiment, described in methods section)</t>
  </si>
  <si>
    <t>0.025
(brain)</t>
  </si>
  <si>
    <t>15
(brain)</t>
  </si>
  <si>
    <t>"LLI treatment suppressed Aβ-induced hippocampal neurodegeneration and long-term spatial and recognition memory impairments. 
Molecular studies revealed that LLI treatment:
a) restored mitochondrial dynamics, by altering fission and fusion protein levels thereby suppressing Aβ-induced extensive fragmentation;
b) suppressed Aβ-induced collapse of mitochondrial membrane potential;
c) reduced oxidized mtDNA and excessive mitophagy;
d) facilitated mitochondrial homeostasis via modulation of the Bax/Bcl-2 ratio and of mitochondrial antioxidant expression;
e) promoted cytochrome c oxidase activity and ATP synthesis;
f) suppressed Aβ induced G6PDH and NADPH oxidase activity;
g) enhanced the total antioxidant capacity of hippocampal CA1 neurons while reducing oxidative damage; and
h) suppressed Aβ-induced reactive gliosis, inflammation and tau hyperphosphorylation."</t>
  </si>
  <si>
    <t>de la Torre</t>
  </si>
  <si>
    <t>Brain Pathol</t>
  </si>
  <si>
    <t>Cerebral Perfusion Enhancing Interventions: A New Strategy for the Prevention of Alzheimer Dementia.</t>
  </si>
  <si>
    <t>"Brain hypoperfusion in the elderly is strongly associated with the development of mild cognitive impairment (MCI) and both conditions are presumed to be precursors of Alzheimer dementia. A therapeutic target to prevent or treat MCI and consequently reduce the incidence of AD aims to elevate cerebral perfusion using novel pharmacological agents. As reviewed here, the experimental pharmaca include the use of Rho kinase inhibitors, neurometabolic energy boosters, sirtuins and vascular growth factors. In addition, a compelling new technique in laser medicine called photobiomodulation is reviewed. Photobiomodulation is based on the use of low level laser therapy to stimulate mitochondrial energy production non-invasively in nerve cells. The use of novel pharmaca and photobiomodulation may become important tools in the treatment or prevention of cognitive decline that can lead to dementia."</t>
  </si>
  <si>
    <t>Oron</t>
  </si>
  <si>
    <t>Low-Level Laser Therapy to the Bone Marrow Ameliorates Neurodegenerative Disease Progression in a Mouse Model of Alzheimer's Disease: A Minireview.</t>
  </si>
  <si>
    <t>max
400</t>
  </si>
  <si>
    <t>0.01</t>
  </si>
  <si>
    <t>1</t>
  </si>
  <si>
    <t>"MSCs from wild-type mice stimulated with LLLT showed to increase their ability to maturate towards a monocyte lineage and to increase phagocytosis activity towards soluble amyloid beta (Aβ).
Furthermore, weekly LLLT to BM of AD mice for 2 months, starting at 4 months of age (progressive stage of AD), improved cognitive capacity and spatial learning, as compared to sham-treated AD mice. Histology revealed a significant reduction in Aβ brain burden."</t>
  </si>
  <si>
    <t>Purushothuman</t>
  </si>
  <si>
    <t>Neurosci Lett</t>
  </si>
  <si>
    <t>Near infrared light mitigates cerebellar pathology in transgenic mouse models of dementia.</t>
  </si>
  <si>
    <t>Cerebellar injury</t>
  </si>
  <si>
    <t>"One month of NIr treatment mitigated the deposition of β-amyloid in cerebellar cortex of APP/PS1 mice, and the formation of neurofibrillary tangles, the hyperphosphorylation of tau, the damage caused by oxidative stress and the downregulation of cytochrome oxidase expression by Purkinje cells in the cerebellar cortex of K3 mice.
These findings show the ability of NIr to mitigate degeneration in many - probably all - regions of the mouse brain."</t>
  </si>
  <si>
    <t>Farfara</t>
  </si>
  <si>
    <t>J Mol Neurosci</t>
  </si>
  <si>
    <t>Low-level laser therapy ameliorates disease progression in a mouse model of Alzheimer's disease.</t>
  </si>
  <si>
    <t>5XFAD transgenic mice
Systemic effects</t>
  </si>
  <si>
    <t>???
???
???</t>
  </si>
  <si>
    <t>d =
0.3
cm</t>
  </si>
  <si>
    <t>"MSCs from wild-type mice stimulated with LLLT demonstrated an increased ability to maturate toward a monocyte lineage and to increase phagocytosis of soluble Aβ in vitro. Furthermore, weekly LLLT for 2 months to the BM, starting at 4 months of age (progressive stage of the disease in these 5XFAD transgenic male mice), improved memory and spatial learning, compared to a sham-treated AD mouse model. Histology revealed a significant reduction in Aβ brain burden in the laser-treated mice compared to the nonlaser-treated ones."</t>
  </si>
  <si>
    <t>Photobiomodulation with near infrared light mitigates Alzheimer's disease-related pathology in cerebral cortex - evidence from two transgenic mouse models.</t>
  </si>
  <si>
    <t>Transgenic mice:
- K3
- APP/PS1</t>
  </si>
  <si>
    <t>"In the K3 mice, NIr treatment was associated with a reduction in hyperphosphorylated tau, neurofibrillary tangles and oxidative stress markers (4-hydroxynonenal and 8-hydroxy-2′-deoxyguanosine) to near wildtype levels in the neocortex and hippocampus, and with a restoration of expression of the mitochondrial marker cytochrome c oxidase in surviving neurons."
"In the APP/PS1 mice, NIr treatment was associated with a reduction in the size and number of amyloid-β plaques in the neocortex and hippocampus."</t>
  </si>
  <si>
    <t>"Our measurements of NIr penetration across the fur and skull of a C57BL/6 mouse indicate that ~2.5% of transmitted light reaches the cortex."</t>
  </si>
  <si>
    <t>Bungart</t>
  </si>
  <si>
    <t>USA
(Columbia, MO)</t>
  </si>
  <si>
    <t>Nanomedicine</t>
  </si>
  <si>
    <t>Nanoparticle-emitted light attenuates amyloid-β-induced superoxide and inflammation in astrocytes.</t>
  </si>
  <si>
    <t>"Our results show that BRET-Qdot-emitted NIR suppresses Aβ-induced oxidative stress and inflammatory responses in primary rat astrocytes. These data provide a proof of concept for a nanomedicine platform for LLLT."</t>
  </si>
  <si>
    <t>Duggett &amp; Chazot</t>
  </si>
  <si>
    <t>UK
(Durham)</t>
  </si>
  <si>
    <t>Biology and Medicine</t>
  </si>
  <si>
    <t>Low-Intensity Light Therapy (1068 nm) Protects CAD Neuroblastoma Cells from β-Amyloid-Mediated Cell Death</t>
  </si>
  <si>
    <t>"IR1068 exposure was found to consistently significantly reduce cell death caused by Aβ, by up to 24%, over the range of Aβ concentrations (1-25 μM). The range of Aβ concentrations used would not necessarily be found in vivo."
"The use of IR1068 as a treatment for Alzheimer’s disease is under investigation, with recruitment of patients initiated in December 2010 (double-blind, placebo-controlled clinical trial). The results of these trials will enable statistically valid conclusions to be drawn, regarding the use of IR1068 as a treatment for neurodegenerative disease in a clinical setting."
Note: OMICS International isn't a very respected scientific publishing company, but the article seems to be of decent quality.</t>
  </si>
  <si>
    <t>Meng</t>
  </si>
  <si>
    <t>J Neurosci</t>
  </si>
  <si>
    <t>Low-level laser therapy rescues dendrite atrophy via upregulating BDNF expression: implications for Alzheimer's disease.</t>
  </si>
  <si>
    <t>0.0127</t>
  </si>
  <si>
    <t>0.5
1
2
4</t>
  </si>
  <si>
    <t>~40
~75
150
300</t>
  </si>
  <si>
    <t>"In the present study, we found that LLLT rescued neurons loss and dendritic atrophy via upregulation of BDNF in both Aβ-treated hippocampal neurons and cultured APP/PS1 mouse hippocampal neurons. Photoactivation of transcription factor CRE-binding protein (CREB) increased both BDNF mRNA and protein expression, since knockdown CREB blocked the effects of LLLT. Furthermore, CREB-regulated transcription was in an ERK-dependent manner. Inhibition of ERK attenuated the DNA-binding efficiency of CREB to BDNF promoter. In addition, dendrite growth was improved after LLLT, characterized by upregulation of Rac1 activity and PSD-95 expression, and the increase in length, branching, and spine density of dendrites in hippocampal neurons.
Together, these studies suggest that upregulation of BDNF with LLLT by activation of ERK/CREB pathway can ameliorate Aβ-induced neurons loss and dendritic atrophy, thus identifying a novel pathway by which LLLT protects against Aβ-induced neurotoxicity. Our research may provide a feasible therapeutic approach to control the progression of AD."</t>
  </si>
  <si>
    <t>Grillo</t>
  </si>
  <si>
    <t>Non-invasive infra-red therapy (1072 nm) reduces β-amyloid protein levels in the brain of an Alzheimer's disease mouse model, TASTPM.</t>
  </si>
  <si>
    <t>"Chronic IR1072 treatment of female TASTPM mice elicited significant increases in HSP60, 70 and 105 and phosphorylated-HSP27 (P-HSP27) (50-139%), together with a concomitant profound decrease in αB-crystallin, APP, tau-P, Aβ1-40 and Aβ1-42 (43-81%) protein levels at 7 months of age. Furthermore, IR1072 treatment elicited a modest, but significant, reduction in Aβ1-42 plaques in the cerebral cortex."
"IR1072 treatment provides a novel non-invasive and safe way to upregulate a panel of stress response proteins in the brain, known to both reduce protein aggregation and neuronal apoptosis. This approach recently entered clinical trials for AD in the USA, and may provide a novel disease modifying therapy for a range of neuropathologies."</t>
  </si>
  <si>
    <t>Liang</t>
  </si>
  <si>
    <t>Free Radic Biol Med</t>
  </si>
  <si>
    <t>Photobiomodulation by low-power laser irradiation attenuates Aβ-induced cell apoptosis through the Akt/GSK3β/β-catenin pathway.</t>
  </si>
  <si>
    <t>0.001274</t>
  </si>
  <si>
    <t>"We found that Akt activated by LPLI interacted with GSK3β and phosphorylated it on Ser9 in the presence of Aβ(25-35), which resulted in the inhibition of GSK3β. Furthermore, LPLI increased the nuclear translocation of β-catenin and enhanced its T cell factor/lymphocyte enhancer factor-dependent transcriptional activity via the Akt/GSK3β pathway to promote cell survival upon treatment with Aβ(25-35.)
Our data demonstrate that LPLI has a prosurvival effect on Aβ-induced apoptosis and may be an effective therapeutic strategy in treating AD by targeting GSK3β."</t>
  </si>
  <si>
    <t>Inhibition of Aβ(25-35)-induced cell apoptosis by low-power-laser-irradiation (LPLI) through promoting Akt-dependent YAP cytoplasmic translocation.</t>
  </si>
  <si>
    <t xml:space="preserve">🧪 In vitro
</t>
  </si>
  <si>
    <t>PC12 cells</t>
  </si>
  <si>
    <t>0.0069</t>
  </si>
  <si>
    <t>"LPLI inhibits Aβ25–35-induced apoptosis through Akt/YAP/p73 pathway."</t>
  </si>
  <si>
    <t>Sommer AP</t>
  </si>
  <si>
    <t>Germany</t>
  </si>
  <si>
    <t>670 nm laser light and EGCG complementarily reduce amyloid-β aggregates in human neuroblastoma cells: basis for treatment of Alzheimer's disease?</t>
  </si>
  <si>
    <t>"In irradiated cells, Aβ(42) aggregate amounts were significantly lower than in nonirradiated cells."</t>
  </si>
  <si>
    <t>De Taboada</t>
  </si>
  <si>
    <t>USA
(Carlsbad, CA)</t>
  </si>
  <si>
    <t>Transcranial laser therapy attenuates amyloid-β peptide neuropathology in amyloid-β protein precursor transgenic mice.</t>
  </si>
  <si>
    <t>Transgenic mice (amyloid-β protein precursor)</t>
  </si>
  <si>
    <t>"All TLT doses produced an increase in sAβPPα and a decrease in CTFβ levels consistent with inhibition of the β-secretase activity. In addition, TLT showed an increase in ATP levels, mitochondrial function, and c-fos suggesting an overall improvement in neurological function. These studies suggest that TLT is a potential candidate for treatment of AD."</t>
  </si>
  <si>
    <t>Neuroscience</t>
  </si>
  <si>
    <t>Low energy laser light (632.8 nm) suppresses amyloid-β peptide-induced oxidative and inflammatory responses in astrocytes.</t>
  </si>
  <si>
    <t>🧪 In vitro (rat astrocytes)</t>
  </si>
  <si>
    <t>0.0015</t>
  </si>
  <si>
    <t>16.2</t>
  </si>
  <si>
    <t>10
cm2</t>
  </si>
  <si>
    <t>3h</t>
  </si>
  <si>
    <t>"Our data showed that laser light at 632.8 nm suppressed Aβ-induced superoxide production, colocalization between NADPH oxidase gp91(phox) and p47(phox) subunits, phosphorylation of cPLA(2,) and the expressions of IL-1β and iNOS in primary astrocytes.
We demonstrated for the first time that 632.8 nm laser was capable of suppressing cellular pathways of oxidative stress and inflammatory responses critical in the pathogenesis in AD."</t>
  </si>
  <si>
    <t>Michalikova</t>
  </si>
  <si>
    <t>UK (Sunderland)</t>
  </si>
  <si>
    <t>Neurobiol Learn Mem</t>
  </si>
  <si>
    <t>Emotional responses and memory performance of middle-aged CD1 mice in a 3D maze: effects of low infrared light.</t>
  </si>
  <si>
    <t>Transgenic mice (CD1)</t>
  </si>
  <si>
    <t>"Exposure to IR appeared to have no significant effects upon exploratory activity or anxiety responses. However, it elicited significant effects on working memory, with the IR middle-aged mice being more considerate in their decision making, which results in an overall improved cognitive performance which is comparable to that of young CD-1 mice."</t>
  </si>
  <si>
    <t>Duan</t>
  </si>
  <si>
    <t>Light emitting diode irradiation protect against the amyloid beta 25-35 induced apoptosis of PC12 cell in vitro.</t>
  </si>
  <si>
    <t>LED phototherapy
Biphasic dose response</t>
  </si>
  <si>
    <t>0.001
0.00009</t>
  </si>
  <si>
    <t>3.6
0.324</t>
  </si>
  <si>
    <t>3600
3600</t>
  </si>
  <si>
    <t>"The LED irradiation, when utilized at power of 0.9 W/m(2) and 60 minutes has significantly diminished A beta induced apoptosis of PC12 cells."</t>
  </si>
  <si>
    <t>Antioxidant markers</t>
  </si>
  <si>
    <t>Urciuoli</t>
  </si>
  <si>
    <t>Italy
(Turin)</t>
  </si>
  <si>
    <t>Superoxide dismutase (SOD) levels in rat brain after HeNe laser irradiation compared to intravenous administration of SOD solution: An experimental model for the prevention of cerebral vasospasm after subarachnoid haemorrhage</t>
  </si>
  <si>
    <t>0.12
/p</t>
  </si>
  <si>
    <t>24
/p</t>
  </si>
  <si>
    <t>"In the reported study. as a step towards establishing a multifactorial SAH therapy, we tried in a controlled experiment to enhance rat brain superoxide dismutase (SOD), EC 1.15.1.1., the natural scavenger of superoxide radicals, either by helium neon (HeNe) laser irradiation on the sinciput of rats, or by direct intravenous administration of SOD solution. In both cases we obtained a marked increase of brain total SOD, compared with the control animals and those who had simulated (sham) treatment."</t>
  </si>
  <si>
    <t>Anxiety</t>
  </si>
  <si>
    <t>Brain Res Bull</t>
  </si>
  <si>
    <t>820-nm Transcranial near-infrared stimulation on the left DLPFC relieved anxiety: A randomized, double-blind, sham-controlled study</t>
  </si>
  <si>
    <t>🧑 Human
📄 Randomized trial, double-blind
👥 36 participants
⌛ 2-week treatment -&gt; 8-week follow-up</t>
  </si>
  <si>
    <t>0.310</t>
  </si>
  <si>
    <t>10.4
at
cortex</t>
  </si>
  <si>
    <t>960
per day</t>
  </si>
  <si>
    <t>56
/ 14 days</t>
  </si>
  <si>
    <t>"The Hamilton Anxiety Scale (HAMA) scores of the active stimulation group decreased post-treatment compared with the sham group (P = 0.021). The HAMA scores of the active stimulation group at the 2-, 4-, and 8-week follow-up assessments were lower than those before treatment (P &lt; 0.05). The time-varying EEG network pattern showed an information outflow from the left DLPFC and the left posterior temporal region after active treatment."
"Herein, 820-nm tNIRS targeting the left DLPFC had significant positive effects on therapy for GAD that lasted at least 2 months. tNIRS may reverse the abnormality of time-varying brain network connections in GAD."</t>
  </si>
  <si>
    <t>Cranio</t>
  </si>
  <si>
    <t>Effects of photobiomodulation on auriculotherapy points for sleep disorders, anxiety, and temporomandibular dysfunctions</t>
  </si>
  <si>
    <t>🧑 Human
📄 Randomized trial
👥 20 participants
⌛ 10 weeks</t>
  </si>
  <si>
    <t>Irradiation of the ear (auricle)</t>
  </si>
  <si>
    <t>10
over
10 weeks</t>
  </si>
  <si>
    <t>"The participants presented scores corresponding to mild to moderate anxiety (MDN = 17; CI = [13.16;22.31]) and after treatment, normal or non-existent anxiety (MDN = 9; CI = [8.76; 17.12]) (p = 0.005). There was no significant difference (p &gt; 0.05) between the controland 20 auriculotherapy groups for TMD and SD."</t>
  </si>
  <si>
    <t>🧪</t>
  </si>
  <si>
    <t>Maiello</t>
  </si>
  <si>
    <t>Transcranial Photobiomodulation with Near-Infrared Light for Generalized Anxiety Disorder: A Pilot Study.</t>
  </si>
  <si>
    <t>🧑 Human
📄 Single-arm trial trial
👥 15 participants
⌛ 8 weeks</t>
  </si>
  <si>
    <t>36</t>
  </si>
  <si>
    <t>80
cm2
area
on
forehead</t>
  </si>
  <si>
    <t>daily
for
8wk</t>
  </si>
  <si>
    <t>"Of the 15 recruited subjects (mean age 30 ± 14 years; 67% women), 12 (80%) completed the open trial. 
Results show a significant reduction in the total scores of SIGH-A (from 17.27 ± 4.89 to 8.47 ± 4.87; p &lt; 0.001; Cohen's d effect size = 1.47), in the CGI-S subscale (from 4.53 ± 0.52 to 2.87 ± 0.83; p &lt; 0.001; Cohen's d effect size = 2.04), as well as significant improvements in sleep at the PSQI. 
t-PBM was well tolerated with no serious adverse events. "</t>
  </si>
  <si>
    <t>Astrocyte</t>
  </si>
  <si>
    <t>La Naour</t>
  </si>
  <si>
    <t>France
(Grenoble)</t>
  </si>
  <si>
    <t>Do astrocytes respond to light, sound, or electrical stimulation?</t>
  </si>
  <si>
    <t>"In this review, we consider the role of astrocytes in three brain therapies; two are emerging treatments (photobiomodulation and ultrasound), while the other is well-established (deep brain stimulation). In essence, we explore the issue of whether external sources, such as light, sound, or electricity, can influence the function of astrocytes, as they do neurons. We find that, when taken all together, each of these external sources can influence many, if not, all of the functions associated with astrocytes. These include influencing neuronal activity, prompting neuroprotection, reducing inflammation (astrogliosis) and potentially increasing cerebral blood flow and stimulating the glymphatic system."</t>
  </si>
  <si>
    <t>Yoon</t>
  </si>
  <si>
    <t>Effects of 660-nm LED photobiomodulation on drebrin expression pattern and astrocyte migration</t>
  </si>
  <si>
    <t>6
12
18</t>
  </si>
  <si>
    <t>"PBM could increase the astrocyte migration by altering the cell morphology and DBN expression pattern."</t>
  </si>
  <si>
    <t>Autism</t>
  </si>
  <si>
    <t>Ceranoglu &amp; Vater</t>
  </si>
  <si>
    <t>J Atten Disord</t>
  </si>
  <si>
    <t>Dr. Joseph Biederman's Enduring Legacy: Illuminating the Path to Addressing Autistic Traits in Attention Deficit Hyperactivity Disorder With Transcranial Photobiomodulation</t>
  </si>
  <si>
    <t>"Three original manuscripts reporting findings on a heterogenous group of study methods met the eligibility criteria. Despite the heterogenous nature of study designs, findings from all three studies reported tPBM treatment to be associated with improvements in ASD symptoms. No serious or treatment limiting adverse events were reported."</t>
  </si>
  <si>
    <t>Fradkin</t>
  </si>
  <si>
    <t>Transcranial photobiomodulation in children aged 2-6 years: a randomized sham-controlled clinical trial assessing safety, efficacy, and impact on autism spectrum disorder symptoms and brain electrophysiology</t>
  </si>
  <si>
    <t>🧑 Human (pediatric)
🎲 Randomized trial, double-blind
👥 30 participants
⌛ 8 weeks</t>
  </si>
  <si>
    <t>16
/ 8 weeks</t>
  </si>
  <si>
    <t>"The difference in the change in CARS scores between the two groups was 7.23 (95% CI 2.357 to 12.107, p = 0.011). Seventeen of the thirty participants completed at least two EEGs and time-dependent trends were detected. 
In addition, an interaction between Active versus Sham and Scaled Time was observed in delta power (Coefficient = 7.521, 95% CI -0.517 to 15.559, p = 0.07) and theta power (Coefficient = -8.287, 95% CI -17.199 to 0.626, p = 0.07), indicating a potential trend towards a greater reduction in delta power and an increase in theta power over time with treatment in the Active group, compared to the Sham group. 
Furthermore, there was a significant difference in the condition (Treatment vs. Sham) in the power of theta waves (net_theta) (Coefficient = 9.547, 95% CI 0.027 to 19.067, p = 0.049). No moderate or severe side effects or adverse effects were reported or observed during the trial."
"These results indicate that tPBM may be a safe and effective treatment for ASD and should be studied in more depth in larger studies."</t>
  </si>
  <si>
    <t>Elsheikh</t>
  </si>
  <si>
    <t>Pediatr Neurol</t>
  </si>
  <si>
    <t>Efficacy of Laser Acupuncture for Children With Autism Spectrum Disorder: Clinical, Molecular, and Biochemical Study</t>
  </si>
  <si>
    <t>🧑 Human
🎲 Randomized trial
👥 30 participants
⌛ 6 weeks</t>
  </si>
  <si>
    <t>Laser acupuncture</t>
  </si>
  <si>
    <t>12
/point</t>
  </si>
  <si>
    <t>12
/ 6 weeks</t>
  </si>
  <si>
    <t xml:space="preserve">"Following the intervention, the severity of ASD was reduced and language performance was elevated in both groups. The improvement in Group I was higher with (P = 0.002; 0.03)."
Comment: CARS score decreased from 39.5 to 33.9 in the intervention group, and from 39.6 to 37.5 in control group. </t>
  </si>
  <si>
    <t>Anatomical location (based on TCM): "Active low-level laser biostimulation was directly applied to stimulate certain acupoints, which are GV 20, Ex–HN1, GV 24 (Shen Ting), GB 20 (Feng Chi), GV 26 (Shui Gou), and EX–HN 3 (Si Shen Chong; a group of four points at the vertex 1 cun anterior, posterior, left, and right, respectively, to GV 20); bilateral LI 4 (He Gu), bilateral ST 36 (Zu San Li), bilateral SP 6 (San Yin Jiao), and the speech area on the scalp."</t>
  </si>
  <si>
    <t>Photobiomodulation Attenuated Cognitive Dysfunction and Neuroinflammation in a Prenatal Valproic Acid-Induced Autism Spectrum Disorder Mouse Model</t>
  </si>
  <si>
    <t>0.070</t>
  </si>
  <si>
    <t>42</t>
  </si>
  <si>
    <t>7.07
cm2
spot
size</t>
  </si>
  <si>
    <t>3
/ 2 days (??)</t>
  </si>
  <si>
    <t>"Pregnant mice that had been exposed to VPA were treated with PBM three times. Thereafter, we evaluated the offspring for developmental disorders, motor function, hyperactivity, repetitive behaviors, and cognitive impairment. PBM attenuated many of the pathological behaviors observed in the VPA-induced ASD mouse model. 
In addition, pathophysiological analyses confirmed that the increase in activated microglia and astrocytes observed in the VPA-induced ASD mouse model was attenuated by PBM treatment. This suggests that PBM can counteract the behavioral changes caused by neuroinflammation in ASD. 
Therefore, our data show that PBM has therapeutic potential and may reduce the prevalence of neurodevelopmental disorders such as ASD."</t>
  </si>
  <si>
    <t>Hamilton</t>
  </si>
  <si>
    <t>Australia</t>
  </si>
  <si>
    <t>Neurol Int</t>
  </si>
  <si>
    <t>Lights on for Autism: Exploring Photobiomodulation as an Effective Therapeutic Option</t>
  </si>
  <si>
    <t>"In this mini-review, we consider the effectiveness of a potential new treatment for autism, known as photobiomodulation, the therapeutic use of red to near infrared light on body tissues. This treatment has been shown in a range of pathological conditions-to improve the key changes that characterise autism, including the functional connectivity and survival patterns of neurones, the patterns of gliosis and inflammation and the composition of the microbiome. We highlight the idea that photobiomodulation may form an ideal treatment option for autism, one that is certainly worthy of further investigation."</t>
  </si>
  <si>
    <t>South Africa
(Doornfontein)</t>
  </si>
  <si>
    <t>Could Photobiomodulation Treat Autism Spectrum Disorder?</t>
  </si>
  <si>
    <t>Pallanti</t>
  </si>
  <si>
    <t>Italy
(Florence)</t>
  </si>
  <si>
    <t>Children (Basel)</t>
  </si>
  <si>
    <t>Transcranial Photobiomodulation for the Treatment of Children with Autism Spectrum Disorder (ASD): A Retrospective Study</t>
  </si>
  <si>
    <t>🧑 Human
📄 Retrospective
👥 21 subjects
⌛ 6-month treatment</t>
  </si>
  <si>
    <t>120
(?)</t>
  </si>
  <si>
    <t>1200
morning
+
1200
evening</t>
  </si>
  <si>
    <t>5 days per week
for 6 months</t>
  </si>
  <si>
    <t>"The main result of this retrospective study is the reduction in ASD severity as shown by the decrease in CARS scores after the intervention. Then, a reduction in cognitive and behavioral rigidity, measured through the MERS–R, and an increase in sleep quality, measured through the PSQI, were observed. Importantly, attention improved too, as shown by the reduction in the scores of the inattention subscale of the SDAG. A relevant reduction in noncompliant behavior as measured by HSQ-ASD has been also found."</t>
  </si>
  <si>
    <t>Device: Vielight Neuro Alpha/Gamma</t>
  </si>
  <si>
    <t>Ceranoglu</t>
  </si>
  <si>
    <t>Transcranial Photobiomodulation in Adults with High-Functioning Autism Spectrum Disorder: Positive Findings from a Proof-of-Concept Study</t>
  </si>
  <si>
    <t>🧑 Human
📄 Single-arm trial trial
👥11 subjects
⌛ 8 weeks</t>
  </si>
  <si>
    <t>"All 10 completers were included in efficacy and safety analyses. Five participants (50%) met responder criteria at end-point.
Overall, 8-week tPBM was associated with significant reduction in SRS-2 total scores at end-point (SRS-2: -30.6 ± 23, p &lt; 0.001) particularly in Social Awareness (-3.0 ± 1.9, p &lt; 0.001), Social Communication (-10.3 ± 6, p &lt; 0.001), Social Motivation (-5.0 ± 2.4, p &lt; 0.001), and Restricted/Repetitive Behaviors (-7.4 ± 4.1, p &lt; 0.001). There were statistically significant improvements at end-point in Global Assessment of Functioning scores (+12.8 ± 4.2, p &lt; 0.001) and Quality of Life Enjoyment and Satisfaction Questionnaire scores (+6.0 ± 7.9, p = 0.02). 
Three participants experienced transient, mild side effects (insomnia, headache, and warmth at treatment application site)."</t>
  </si>
  <si>
    <t>Leisman</t>
  </si>
  <si>
    <t>Effects of Low-Level Laser Therapy in Autism Spectrum Disorder.</t>
  </si>
  <si>
    <t>🧑 Human
🎲 Randomized trial,
sham-controlled
👥 40 participants
⌛ 8 weeks</t>
  </si>
  <si>
    <t>LLLT vs LED (?)</t>
  </si>
  <si>
    <t>"Participants [8-year-old on average] received eight 5-min laser light applications to the base of the skull and temporal areas"
"The adjusted mean difference in the baseline to study endpoint change in the ABC irritability subscale score between test and placebo participants was -15.17 in favor of the test procedure group. ANCOVA analysis found this difference to be statistically significant (F = 99.34, p &lt; 0.0001) compared to the baseline ABC irritability subscale score. 
The study found that low-level laser therapy could be an effective tool for reducing irritability and other symptoms and behaviors associated with the autistic spectrum disorder in children and adolescents, with positive changes maintained and augmented over time."
Comment: Global symptom score also decreased 41% in the test group, while no change was observed in the control group (non-significant 0.7% increase).
Comment: The parameters were inadequately reported (beam size unknown) 
Comment: They used LED as a control, but they didn't report any of the parameters. I would assume the beam was low-powered or more divergent then laser, and therefore ineffective. Most laser-vs-LED comparisons in the literature show no difference (Heiskanen&amp;Hamblin 2018). 
On their website, however, they claim that they have used the same power output: https://www.erchonia.com/erchonia-submits-data-to-us-fda-to-support-low-level-laser-510k-market-clearance-for-autism/</t>
  </si>
  <si>
    <t>Device: Erchonia® EAL Laser
🧪</t>
  </si>
  <si>
    <t>Binswanger's disease</t>
  </si>
  <si>
    <t>Intracerebral Transcatheter Laser Photobiomodulation Therapy in the Treatment of Binswanger's Disease and Vascular Parkinsonism: Research and Clinical Experience.</t>
  </si>
  <si>
    <t xml:space="preserve">🧑 Human
📄Non-randomized, controlled trial
👥27 BD participants, 62 VP participants
⌛12-24 month follow-up, up to 8 years
</t>
  </si>
  <si>
    <t>1200-
2400</t>
  </si>
  <si>
    <t>"Good and satisfactory clinical results were obtained in Test group 1 and Test group 2 patients in 49 (92.45%) cases, with a persistent decrease of dementia and motor impairment, and recovery of cognitive functions and daily life activity. 
Control group 1 and Control group 2 patients showed a satisfactory clinical result in 6 (15.79%) cases. Persistent positive dynamics was not observed."
Regarding the methods: "[U]nder local anesthesia, according to Seldinger method, the common femoral artery is punctured and catheterized with a 6F–7F introducer. Through this introducer, under fluoroscopic and angiographic control, guiding catheters go into the intracerebral branches through the common and internal carotid arteries. A flexible fiber optic light guide laser instrument with a diameter of 25–100 lm, and the total diameter is 1000 lm, with a perpendicular polished distal end, connected to the laser stand is passed coaxially through these catheters.14,37 The fiber optic instrument is carried to the distal intracerebral arteries, where laser action is performed."</t>
  </si>
  <si>
    <t>Bipolar disorder</t>
  </si>
  <si>
    <t>O'Donnell</t>
  </si>
  <si>
    <t>Prefrontal photobiomodulation produces beneficial mitochondrial and oxygenation effects in older adults with bipolar disorder</t>
  </si>
  <si>
    <t>🧑 Human
📄 Single-arm study (with sham phase)
👥 15 participants
⌛ single session</t>
  </si>
  <si>
    <t>75</t>
  </si>
  <si>
    <t>13.6 cm2 beam area</t>
  </si>
  <si>
    <t>"As compared to sham, TILS to the PFC in adults with BD increased oxidized CCO both during and after TILS, and increased HbD concentrations after TILS. By significantly increasing oxidized CCO and HbD concentrations above sham levels, TILS has the potential ability to stabilize mitochondrial oxidative energy production and prevent oxidative damage in the PFC of adults with BD."</t>
  </si>
  <si>
    <t>Device: "a well-collimated flat-top laser (CytonPro-5000, CytonSys Inc., Austin, Texas, United States)"</t>
  </si>
  <si>
    <t xml:space="preserve">J Geriatr Psychiatry Neurol
</t>
  </si>
  <si>
    <t>Transcranial Infrared Laser Stimulation Improves Cognition in Older Bipolar Patients: Proof of Concept Study</t>
  </si>
  <si>
    <t>🧑 Human
🎲Randomized trial, sham-controlled, crossover
👥 5 participants
⌛ 5-week treatment / 4-week washout period / 15-17 week study</t>
  </si>
  <si>
    <t>"We found TILS-induced improvements in cognitive performance on the tasks that measure cognitive flexibility and impulsivity, after 5 weekly sessions of TILS.
We concluded that TILS appeared both safe and effective in helping alleviate the accelerated cognitive decline present in older bipolar patients."</t>
  </si>
  <si>
    <t>Mannu</t>
  </si>
  <si>
    <t>Italy
(Cagliari)</t>
  </si>
  <si>
    <t>Transcranial Photobiomodulation to Augment Lithium in Bipolar-I Disorder.</t>
  </si>
  <si>
    <t>🧑 Human
📄 Case series
👥 4 cases
⌛ 4 weeks</t>
  </si>
  <si>
    <t>0.0332</t>
  </si>
  <si>
    <t>40</t>
  </si>
  <si>
    <t>57.4
cm2</t>
  </si>
  <si>
    <t>"All four patients had been clinically diagnosed with type-I BPAD and followed by their psychiatrist (P.M.)"
"All patients reported a marked reduction of anhedonia/apathy and increase of libido, together with isolated improvements in anxiety, sleep, irritability, and impulsivity. Noticeably, the magnitude of the clinical improvement was such that little or no changes in concomitant psychotropics were required"
"Incidentally, after a four-week cycle with t-PBM, patients’ lithium levels increased significantly ( p = 0.014) from an average of 0.54 (SD: 0.02) to 0.74 (SD: 0.05) mM, as given in Table 1."
"The temporal sequence between the t-PBM cycle and the increase in lithium levels in all four patients—who were otherwise on stable doses and whose lithium levels had been previously stable—is striking and indicative of a possible causal link. The beneficial effects of t-PBM on the residual symptoms persisted after re-establishing lower lithium levels; suggesting that the benefits of t-PBM were unrelated to increased lithium availability in the blood."</t>
  </si>
  <si>
    <t>Blood-brain barrier (BBB)</t>
  </si>
  <si>
    <t>Germany
(Berlin)</t>
  </si>
  <si>
    <t>Low-Level Laser Treatment Induces the Blood-Brain Barrier Opening and the Brain Drainage System Activation: Delivery of Liposomes into Mouse Glioblastoma</t>
  </si>
  <si>
    <t>Wavelength comparison (1122 vs 1268 nm) (interesting results)</t>
  </si>
  <si>
    <t>1122
1268</t>
  </si>
  <si>
    <t>"In this study, we discover unknown phenomenon of opening of the BBBB (BBBO) by low-level laser treatment (LLLT, 1268 nm) in the mouse cortex. LLLT-BBBO is accompanied by activation of the brain drainage system contributing effective delivery of liposomes into glioblastoma (GBM). The LLLT induces the generation of singlet oxygen without photosensitizers (PSs) in the blood endothelial cells and astrocytes, which can be a trigger mechanism of BBBO. LLLT-BBBO causes activation of the ABC-transport system with a temporal decrease in the expression of tight junction proteins. The BBB recovery is accompanied by activation of neuronal metabolic activity and stabilization of the BBB permeability."
"Thus, both in vivo MRI and 2PLSM clearly demonstrated that laser 1268 nm (1O2 and ROS generation) but not laser 1122 nm (no 1O2/ROS generation) induced reversible BBBO."</t>
  </si>
  <si>
    <t>Zhou</t>
  </si>
  <si>
    <t>Effect of NIR light on the permeability of the blood-brain barriers in in vitro models</t>
  </si>
  <si>
    <t>0.3
1
3
10
30</t>
  </si>
  <si>
    <t>"808 nm laser irradiation at the doses of 10 and 30 J/cm2 was found to significantly increase the permeability of this BBB model. The results showed that NIR light affected mitochondria of cells in the in vitro BBB models, leading to an increase in the mitochondrial activity, reactive oxygen species (ROS) level and Ca2+ influx."
"The activity of matrix metalloproteinases and the expression of the tight junction proteins in the endothelial cells were found to be inhibited by the NIR light, resulting in an increase in the BBB permeability. This study suggested a new strategy for drug transport across the BBB in development of treatments for brain disorders."</t>
  </si>
  <si>
    <t>Brain injury</t>
  </si>
  <si>
    <t>Zeng</t>
  </si>
  <si>
    <t>Front Psychol</t>
  </si>
  <si>
    <t>Can transcranial photobiomodulation improve cognitive function in TBI patients? A systematic review</t>
  </si>
  <si>
    <t>"Results showed improvements in cognition for patients with chronic TBI after tPBM intervention. The mechanism may be that tPBM increases the volume of total cortical gray matter (GM), subcortical GM, and thalamic, improves cerebral blood flow (CBF), functional connectivity (FC), and cerebral oxygenation, improving brain function. 
However, due to the significant heterogeneity in application, we cannot summarize the optimal parameters for tPBM treatment of TBI. In addition, there is currently a lack of RCT studies in this field. Therefore, given this encouraging but uncertain finding, it is necessary to conduct randomized controlled clinical trials to further determine the role of tPBM in cognitive rehabilitation of TBI patients."</t>
  </si>
  <si>
    <t>Karr</t>
  </si>
  <si>
    <t>USA
(Lexington, KY)</t>
  </si>
  <si>
    <t>Brain Inj</t>
  </si>
  <si>
    <t>Treatment of chronic symptoms following mild traumatic brain injury with transcranial LED: a sham run-in pilot study of photobiomodulation therapy</t>
  </si>
  <si>
    <t>🧑 Human
📄 Single-arm study (sham -&gt; PBM)
👥 9 patients
⌛ 6-week treatment -&gt; 2-month follow-up</t>
  </si>
  <si>
    <t>"Only 2 participants improved on neuropsychological testing. On questionnaires, 4 reported improved cognition, 5 reported improved post-concussion symptoms, and 3 reported improved depression. Significant improvement in 2 or more domains was reported by 4 participants and mostly maintained at both follow-ups."
"Most participants did not improve on neuropsychological testing."</t>
  </si>
  <si>
    <t>Chan</t>
  </si>
  <si>
    <t>Radiology</t>
  </si>
  <si>
    <t>Effects of Low-Level Light Therapy on Resting-State Connectivity Following Moderate Traumatic Brain Injury: Secondary Analyses of a Double-blinded Placebo-controlled Study</t>
  </si>
  <si>
    <t>🧑 Human
(secondary analysis of a RCT)</t>
  </si>
  <si>
    <t>"Seven brain region pairs exhibited a greater change in connectivity in LLLT-treated participants than in sham-treated participants between the acute and subacute phases (range of z differences, 0.37 [95% CI: 0.20, 0.53] to 0.45 [95% CI: 0.24, 0.67]; FDR-adjusted P value range, .010-.047). Thirteen different brain region pairs showed an increase in connectivity in sham-treated participants between the subacute and late-subacute phases (range of z differences, 0.17 [95% CI: 0.09, 0.25] to 0.26 [95% CI: 0.14, 0.39]; FDR-adjusted P value range, .020-.047). 
There was no evidence of a difference in clinical outcomes between LLLT-treated and sham-treated participants (range of differences in medians, -3.54 [95% CI: -12.65, 5.57] to -0.59 [95% CI: -7.31, 8.49]; P value range, .44-.99), as measured according to RPQ scores."
"Despite the small sample size, the change in RSFC from the acute to subacute phases of recovery was greater in LLLT-treated than sham-treated participants, suggesting that acute-phase LLLT may have an impact on resting-state neuronal circuits in the early recovery phase of moderate TBI."</t>
  </si>
  <si>
    <t>Lim L</t>
  </si>
  <si>
    <t>Traumatic Brain Injury Recovery with Photobiomodulation: Cellular Mechanisms, Clinical Evidence, and Future Potential</t>
  </si>
  <si>
    <t>"The objective of this study is to analyze transcranial photobiomodulation (PBM), which employs specific red to near-infrared light wavelengths to modulate brain functions, as a promising therapy to address TBI's complex pathophysiology in a single intervention"</t>
  </si>
  <si>
    <t>Photobiomodulation therapy alleviates repeated closed head injury-induced anxiety-like behaviors</t>
  </si>
  <si>
    <t>🐀 Rat (??)</t>
  </si>
  <si>
    <t>0.350</t>
  </si>
  <si>
    <t>20
/ 20 days
(?)</t>
  </si>
  <si>
    <t>"We found that PBM significantly ameliorated rCHII-induced anxiety-like behaviors, neuronal apoptosis, neuronal injury, promotes astrocyte/microglial polarization to anti-inflammatory phenotype, preserves mitochondrial fusion-related protein MFN2, attenuates the elevated mitochondrial fission-related protein DRP1, and mitigates neuronal senescence."</t>
  </si>
  <si>
    <t>Lin</t>
  </si>
  <si>
    <t>Effects of intravascular photobiomodulation on cognitive impairment and crossed cerebellar diaschisis in patients with traumatic brain injury: a longitudinal study</t>
  </si>
  <si>
    <t>🧑 Human
📄 Single-arm study
👥 30 patients
⌛ 2-3 month treatment</t>
  </si>
  <si>
    <t>"Administration of iPBM could be applied in TBI patients to reduce the occurrence of CCD. The study failed to show differences in cognitive function after iPBM, which still serves as an alternative non-pharmacological intervention."</t>
  </si>
  <si>
    <t>Naeser</t>
  </si>
  <si>
    <t>J Alzheimers Dis Rep</t>
  </si>
  <si>
    <t>Transcranial Photobiomodulation Treatment: Significant Improvements in Four Ex-Football Players with Possible Chronic Traumatic Encephalopathy</t>
  </si>
  <si>
    <t>🧑 Human
📄 Case series
👥 4 participants
⌛ 6-week treatment -&gt; 2-month follow-up (?)</t>
  </si>
  <si>
    <t>Various devices</t>
  </si>
  <si>
    <t>810
850
870</t>
  </si>
  <si>
    <t>"After tPBM, these ex-football players improved. Significant correlations of increased SN FC and CEN FC with specific cognitive tests and behavior/mood ratings, plus increased NAA in ACC support beneficial effects from tPBM."</t>
  </si>
  <si>
    <t>Rindner</t>
  </si>
  <si>
    <t>USA
(Los Angeles, CA)</t>
  </si>
  <si>
    <t>Transcranial Infrared Laser Stimulation for the Treatment of Traumatic Brain Injury: A Case Series</t>
  </si>
  <si>
    <t>🧑 Human
📄 Case series
👥 11 participants
⌛ 8-week treatment</t>
  </si>
  <si>
    <t>1200
(600 per lobe)</t>
  </si>
  <si>
    <t>8
/ 8 weeks</t>
  </si>
  <si>
    <t>"All patients enrolled in this study protocol were able to tolerate the study procedures without any AEs or SAEs. 
Nine out of eleven participants had clinically significant improvements in GRC score (≥ +2). 
Neuropsychological testing and mood questionnaire outcomes also suggested a positive therapeutic effect."</t>
  </si>
  <si>
    <t>China
(Chengdu)</t>
  </si>
  <si>
    <t>40 Hz Blue LED Relieves the Gamma Oscillations Changes Caused by Traumatic Brain Injury in Rat</t>
  </si>
  <si>
    <t>Blue light 🔵
LED phototherapy</t>
  </si>
  <si>
    <t>240
(4p)</t>
  </si>
  <si>
    <t>6 times
per day
for
1 week</t>
  </si>
  <si>
    <t>"TBI causes the decrease of gamma oscillations on the injured side of the brain of rats. The 40 hz Blue LED therapy could relieve the gamma oscillation changes caused by TBI and improve the prognosis of TBI."</t>
  </si>
  <si>
    <t>Stevens</t>
  </si>
  <si>
    <t>UK
(Birmingham)</t>
  </si>
  <si>
    <t>J Neurotrauma</t>
  </si>
  <si>
    <t>Photobiomodulation in acute traumatic brain injury: a systematic review and meta-analysis</t>
  </si>
  <si>
    <t>"This systematic review summarises the available evidence for the value of PBM in improving outcomes in acute TBI and presents a meta-analysis of the pre-clinical evidence for neurological severity score (NSS) and lesion size in animal models of TBI. 
A systematic review of the literature was performed, with searches and data extraction performed independently in duplicate by two authors. Eighteen published articles were identified for inclusion: seventeen pre-clinical studies of in vivo animal models; and one clinical study in human patients. 
The available human study supports safety and feasibility of PBM in acute moderate TBI. For pre-clinical studies, meta-analysis for NSS and lesion size were found to favour intervention versus control. 
Sub-group analysis based on PBM parameter variables for these outcomes was performed. Favourable parameters were identified as: wavelengths in the region of 665 nm and 810 nm; time to first administration of PBM ≤ 4 hours; total number of daily treatments ≤3. No differences were identified between pulsed and continuous wave modes or energy delivery. 
Mechanistic sub-studies within included in vivo studies are presented and were found to support hypotheses of anti-apoptotic, anti-inflammatory and pro-proliferative effects, and a modulation of cellular metabolism. 
This systematic review provides substantial meta-analysis evidence of the benefits of PBM on functional and histological outcomes of TBI in in vivo mammalian models. Consideration of study design and PBM parameters should be closely considered for future human clinical studies."</t>
  </si>
  <si>
    <t>World J Clin Cases</t>
  </si>
  <si>
    <t>Effects of intravascular laser phototherapy on delayed neurological sequelae after carbon monoxide intoxication as evaluated by brain perfusion imaging: A case report and review of the literature</t>
  </si>
  <si>
    <t>🧑 Human
📄 Case report
⌛ 2-month treatment / 4-month study</t>
  </si>
  <si>
    <t>Intravascular PBM</t>
  </si>
  <si>
    <t>0.72-
0.82</t>
  </si>
  <si>
    <t>2571-
2939</t>
  </si>
  <si>
    <t>30
/ 2 months</t>
  </si>
  <si>
    <t>"A 51-year-old woman presented to our medical center experiencing progressive bradykinesia, rigidity of limbs, gait disturbance, and cognitive impairment. Based on her neurological deficits, laboratory tests and imaging findings, the patient was diagnosed with delayed neurological sequelae of CO intoxication.
She received intensive rehabilitation and ILIB therapy during 30 sessions over 2 mo after diagnosis. Brain single-photon emission computed tomography was performed both prior to and after ILIB therapy.
The original hypoperfusion area in bilateral striata, bilateral frontal lobe, right parietal lobe, and bilateral cerebellum showed considerable improvement after completion of therapy. The patient's MMSE score also increased markedly from 6/30 to 25/30. Symptoms of DNS became barely detectable, and the woman was able to carry out her daily living activities independently."</t>
  </si>
  <si>
    <t>Shah</t>
  </si>
  <si>
    <t>USA
(Detroit, MI)</t>
  </si>
  <si>
    <t>Inhibiting Mitochondrial Cytochrome c Oxidase Downregulates Gene Transcription After Traumatic Brain Injury in Drosophila</t>
  </si>
  <si>
    <t>Fruit fly</t>
  </si>
  <si>
    <t>"Recent studies in animal models of stroke and ischemia/reperfusion injury have found that NIR exposure at 750 nm inhibits COX activity (Sanderson et al., 2018), reduces mitochondrial respiratory and ΔΨm, and prevents ROS generation (Sanderson et al., 2018; Strubakos et al., 2020). In line with this evidence, we sought to investigate the effect of modulating mitochondrial COX activity with 750 nm NIR exposure in both sexes of a Drosophila model of mild traumatic brain injury (mTBI)."
"We subjected w 1118 male and female flies to TBI using a high-impact trauma (HIT) device and subsequently exposed the isolated fly brains to a COX-inhibitory wavelength of 750 nm for 2 hours (hr).
Genome-wide 3'-mRNA-sequencing of fly brains revealed that injured w 1118 females exhibit greater changes in transcription compared to males at 1, 2, and 4 hours (hr) after TBI. Inhibiting COX by exposure to NIR downregulates gene expression in injured females but has minimal effect in injured males.
Our results suggest that mitochondrial COX modulation with NIR alters gene expression in Drosophila following TBI and the response to injury and NIR exposure varies by biological sex."</t>
  </si>
  <si>
    <t>Longo</t>
  </si>
  <si>
    <t>JAMA Netw Open</t>
  </si>
  <si>
    <t>Effect of Transcranial Low-Level Light Therapy vs Sham Therapy Among Patients With Moderate Traumatic Brain Injury: A Randomized Clinical Trial</t>
  </si>
  <si>
    <t>🧑 Human
🎲 Randomized trial, double-blind
👥 68 participants
⌛ ~3-day treatment / 6-month study</t>
  </si>
  <si>
    <t>0.036</t>
  </si>
  <si>
    <t>1.3
@ cortex</t>
  </si>
  <si>
    <t>3
(with
at least
12h interval)</t>
  </si>
  <si>
    <t>"Radial diffusivity (RD), mean diffusivity (MD), and fractional anisotropy (FA) showed significant time and treatment interaction at 3-month time point (RD: 0.013; 95% CI, 0.006 to 0.019; P &lt; .001; MD: 0.008; 95% CI, 0.001 to 0.015; P = .03; FA: -0.018; 95% CI, -0.026 to -0.010; P &lt; .001).
The LLLT group had lower RPQ scores, but this effect did not reach statistical significance (time effect P = .39, treatment effect P = .61, and time × treatment effect P = .91)."</t>
  </si>
  <si>
    <t>China
(Xuzhou)</t>
  </si>
  <si>
    <t>Photobiomodulation Therapy for Repeated Closed Head Injury in Rats.</t>
  </si>
  <si>
    <t>0.350
scalp
--&gt;
0.025
brain
cortex</t>
  </si>
  <si>
    <t>"PBM group showed an increase of synaptic proteins and surviving neurons, along with a reduction in reactive gliosis and neuronal injury in. These findings highlight the complexity of gliosis and neuronal injury following rCHI and suggest that PBM may be a viable treatment option to mitigate these effects and their detrimental consequences."</t>
  </si>
  <si>
    <t>Carneiro</t>
  </si>
  <si>
    <t>Transcranial Photobiomodulation Therapy in the Cognitive Rehabilitation of Patients with Cranioencephalic Trauma.</t>
  </si>
  <si>
    <t>🧑 Human
📄 Single-arm trial
👥 10 participants
⌛ 6 weeks</t>
  </si>
  <si>
    <t>0.0257</t>
  </si>
  <si>
    <t>1.494</t>
  </si>
  <si>
    <t>3.74</t>
  </si>
  <si>
    <t>400
cm2
irradiated
area</t>
  </si>
  <si>
    <t>3
/wk
for
6wk</t>
  </si>
  <si>
    <t>"The results found an alteration in the cerebral blood flow (CBF) as well as a consequent increase of the cerebral oxygenation that helped to improve the cerebral function."</t>
  </si>
  <si>
    <t>Photobiomodulation preconditioning prevents cognitive impairment in a neonatal rat model of hypoxia-ischemia.</t>
  </si>
  <si>
    <t>Hypoxia-ischemia</t>
  </si>
  <si>
    <t>12</t>
  </si>
  <si>
    <t>"PBM-P significantly attenuated cognitive impairment, volume shrinkage in the brain, neuron loss, dendritic and synaptic injury after HI. Further mechanistic investigation found that PBM-P could restore HI-induced mitochondrial dynamics and inhibit mitochondrial fragmentation, followed by a robust suppression of cytochrome c release, and prevention of neuronal apoptosis by inhibition of caspase activation. 
Our work suggests that PBM-P can attenuate HI-induced brain injury by maintaining mitochondrial dynamics and inhibiting the mitochondrial apoptotic pathway."</t>
  </si>
  <si>
    <t>Dos Santos</t>
  </si>
  <si>
    <t>Med Devices (Auckl)</t>
  </si>
  <si>
    <t>Transcranial light-emitting diode therapy for neuropsychological improvement after traumatic brain injury: a new perspective for diffuse axonal lesion management.</t>
  </si>
  <si>
    <t>"There is still a lot to understand and study about this new technology (PBM), but it is undeniable that its results are interesting so far. There are many questions that need to be elucidated such as duration of treatment, when to start and if all TBI patients should be treated or only a few of them depending on their characteristics. Answers like these may only be available after randomized clinical trials. However, the displayed data demonstrate that tLED therapy may be considered as a promising treatment for improvement in the quality of life of TBI patients."</t>
  </si>
  <si>
    <t>Hipskind</t>
  </si>
  <si>
    <t>USA
(Addison, TX)</t>
  </si>
  <si>
    <t>Pulsed Transcranial Red/Near-Infrared Light Therapy Using Light-Emitting Diodes Improves Cerebral Blood Flow and Cognitive Function in Veterans with Chronic Traumatic Brain Injury: A Case Series</t>
  </si>
  <si>
    <t>🧑 Human
📄 Case series
👥 12 cases
⌛ 6-week treatment and 1-4 week latency until SPECT measurements post-treatment</t>
  </si>
  <si>
    <t xml:space="preserve">LED phototherapy
Transcranial PBM
</t>
  </si>
  <si>
    <t>629+
850</t>
  </si>
  <si>
    <t>7.7</t>
  </si>
  <si>
    <t>18 (3/wk)</t>
  </si>
  <si>
    <t>"Pulsed tPBMT significantly improved neuropsychological scores in 6 of 15 subscales (40.0%; p &lt; 0.05; two tailed). SPECT analysis showed increase in relative cerebral blood flow (rCBF) in 8 of 12 (66.7%) study participants. Quantitative SPECT analysis revealed a significant increase in rCBF in this subgroup of study participants and a significant difference between pre-treatment and post-treatment gamma ray counts per cubic centimeter [t = 3.77, df = 7,p = 0.007, 95% confidence interval (95,543.21–21,931.82)]."
"Pulsed tPBMT using LEDs shows promise in improving cognitive function and rCBF several years after TBI. Larger, controlled studies are indicated."</t>
  </si>
  <si>
    <t>Trials</t>
  </si>
  <si>
    <t>Effects of transcranial LED therapy on the cognitive rehabilitation for diffuse axonal injury due to severe acute traumatic brain injury: study protocol for a randomized controlled trial.</t>
  </si>
  <si>
    <t>0.07</t>
  </si>
  <si>
    <t>"This study evaluates early and delayed effects of TCLT on the cognitive rehabilitation for DAI following severe acute TBI. There is a paucity of studies regarding the use of this therapy for cognitive improvement in TBI."</t>
  </si>
  <si>
    <t>Poiani</t>
  </si>
  <si>
    <t>Photobiomodulation using low-level laser therapy (LLLT) for patients with chronic traumatic brain injury: a randomized controlled trial study protocol.</t>
  </si>
  <si>
    <t>J Neurosci Res</t>
  </si>
  <si>
    <t>Photobiomodulation for Traumatic Brain Injury and Stroke.</t>
  </si>
  <si>
    <t>"There is a notable lack of therapeutic alternatives for what is fast becoming a global epidemic of traumatic brain injury (TBI). Photobiomodulation (PBM) employs red or near-infrared (NIR) light (600-1100nm) to stimulate healing, protect tissue from dying, increase mitochondrial function, improve blood flow, and tissue oxygenation. PBM can also act to reduce swelling, increase antioxidants, decrease inflammation, protect against apoptosis, and modulate microglial activation state. All these mechanisms of action strongly suggest that PBM delivered to the head should be beneficial in cases of both acute and chronic TBI. 
Most reports have used NIR light either from lasers or from light-emitting diodes (LEDs). Many studies in small animal models of acute TBI have found positive effects on neurological function, learning and memory, and reduced inflammation and cell death in the brain. There is evidence that PBM can help the brain repair itself by stimulating neurogenesis, upregulating BDNF synthesis, and encouraging synaptogenesis. In healthy human volunteers (including students and healthy elderly women), PBM has been shown to increase regional cerebral blood flow, tissue oxygenation, and improve memory, mood, and cognitive function.
Clinical studies have been conducted in patients suffering from the chronic effects of TBI. There have been reports showing improvement in executive function, working memory, and sleep. Functional magnetic resonance imaging has shown modulation of activation in intrinsic brain networks likely to be damaged in TBI (default mode network and salience network)."</t>
  </si>
  <si>
    <t>Transcranial, Red/Near-Infrared Light-Emitting Diode Therapy to Improve Cognition in Chronic Traumatic Brain Injury.</t>
  </si>
  <si>
    <t>Vielight for intranasal treatment
LED phototherapy</t>
  </si>
  <si>
    <t>"Ongoing studies: Ongoing, current studies involve TBI patients who have been treated with tLED using either 26 J/cm2 per LED location on the head or treated with intranasal only (iLED) using red (633 nm) and NIR (810 nm) diodes placed into the nostrils. The NIR iLED is hypothesized to deliver photons to the hippocampus, and the red 633 nm iLED is believed to increase melatonin. Results have been similar to the previously published tLED study. Actigraphy sleep data showed increased time asleep (on average one additional hour per night) after the 18th tLED or iLED treatment. LED treatments may be performed in the home.
Sham-controlled studies with veterans who have cognitive dysfunction from Gulf War Illness, blast TBI, and TBI/PTSD are currently ongoing."
Free full text: http://vielight.com/wp-content/uploads/2016/12/Transcranial-Red-NIR-therapy-for-Cognition-in-Chronic-TBI-Naeser-2016.pdf</t>
  </si>
  <si>
    <t>Thunshelle &amp; Hamblin</t>
  </si>
  <si>
    <t>USA
(Cambridge, MA)</t>
  </si>
  <si>
    <t>Transcranial Low-Level Laser (Light) Therapy for Brain Injury.</t>
  </si>
  <si>
    <t>"We review the fundamental mechanisms at the cellular and molecular level and the effects on the brain are discussed. There are several contributing processes that have been proposed to lead to the beneficial effects of PBM in treating TBI such as stimulation of neurogenesis, a decrease in inflammation, and neuroprotection. Both animal and clinical trials for ischemic stroke are outlined. A number of articles have shown how transcranial LLLT (tLLLT) is effective at increasing memory, learning, and the overall neurological performance in rodent models with TBI."</t>
  </si>
  <si>
    <t>Henderson TA</t>
  </si>
  <si>
    <t>USA
(Centennial, CO)</t>
  </si>
  <si>
    <t>Multi-watt near-infrared light therapy as a neuroregenerative treatment for traumatic brain injury.</t>
  </si>
  <si>
    <t>📖 Perspective</t>
  </si>
  <si>
    <t>"These data presented herein make an intriguing case for the potential of multi-watt NIR laser therapy as a safe and effective modality for the treatment of TBI and possibly other neurological insults. This multi-Watt modality provides sufficient energy delivery to the skin to yield biologically meaningful fluence at the site of brain injury (Henderson and Morries, 2015a, b; Morries et al., 2015; Tedford et al., 2015), which can be 1–7 cm from the scalp surface.
Moreover, our data indicate that multi-Watt NIR laser therapy appears to induce a persistent change in neurological function (Morries et al., 2015), given patients have maintained their clinical improvements for years after treatment. Indeed, it is possible that multi-watt NILT induces a neuroregenerative change, based on the evidence of neurotrophin induction in animal models (e.g., Xuan et al., 2014) and the improvement of neurological function revealed with serial functional neuroimaging (Henderson and Morries, 2015b)."</t>
  </si>
  <si>
    <t>Xuan</t>
  </si>
  <si>
    <t>Repeated transcranial low-level laser therapy for traumatic brain injury in mice: biphasic dose response and long-term treatment outcome.</t>
  </si>
  <si>
    <t>18</t>
  </si>
  <si>
    <t>d =
1cm
(?)</t>
  </si>
  <si>
    <t>3
14</t>
  </si>
  <si>
    <t>"We conclude that an excessive number of laser-treatments delivered to mice can temporarily inhibit the process of brain repair stimulated by tPBM, but then the inhibitory effect ceases, and brain repair can resume. The mechanism may be temporary induction of reactive gliosis."</t>
  </si>
  <si>
    <t>Low-level laser therapy for traumatic brain injury in mice increases brain derived neurotrophic factor (BDNF) and synaptogenesis.</t>
  </si>
  <si>
    <t>d =
1 cm</t>
  </si>
  <si>
    <t>1/3
/d
(?)</t>
  </si>
  <si>
    <t>"The data suggest that the benefit of LLLT to the brain is partly mediated by stimulation of BDNF production, which may in turn encourage synaptogenesis. Moreover the pleiotropic benefits of BDNF in the brain suggest LLLT may have wider applications to neurodegenerative and psychiatric disorders."</t>
  </si>
  <si>
    <t>Naeser &amp; Hamblin</t>
  </si>
  <si>
    <t>Traumatic Brain Injury: A Major Medical Problem That Could Be Treated Using Transcranial, Red/Near-Infrared LED Photobiomodulation.</t>
  </si>
  <si>
    <t>📖 Review or 📰 Editorial?</t>
  </si>
  <si>
    <t>"Newly funded, sham-controlled studies with red/NIR tLED and iLED for PTSD, blast-TBI and Gulf War illness are underway at the VA Boston Healthcare System, Boston University School of Medicine, and the United States Army Research Institute of Environmental Medicine.
In addition, a tLED study with acute TBI patients is underway through the Emergency Department at Massachusetts General Hospital."</t>
  </si>
  <si>
    <t>Morries</t>
  </si>
  <si>
    <t>USA
(Lakewood, CO)</t>
  </si>
  <si>
    <t>Neuropsychiatr Dis Treat</t>
  </si>
  <si>
    <t>Treatments for traumatic brain injury with emphasis on transcranial near-infrared laser phototherapy.</t>
  </si>
  <si>
    <t>📖 Review
+ 📄 Case series
👥 10 cases</t>
  </si>
  <si>
    <t>810+
980
810</t>
  </si>
  <si>
    <t>9000
13200</t>
  </si>
  <si>
    <t>2400+</t>
  </si>
  <si>
    <t>55-
81</t>
  </si>
  <si>
    <t>10
20</t>
  </si>
  <si>
    <t>"In ten patients with chronic TBI (average time since injury 9.3 years) given ten treatments over the course of 2 months using a high-power NIR laser [...], symptoms of headache, sleep disturbance, cognition, mood dysregulation, anxiety, and irritability improved."</t>
  </si>
  <si>
    <t>The paper comments NEST-3: "A key factor in the interpretation of the results of NEST-3 is that, different from NEST-1, all types of stroke were included as opposed to just cortical strokes. Continuous laser light has a limited depth of penetration (≤1 cm into brain tissue) which likely prevents an effect on deeper brain matter. Therefore, the lack of significant benefits from NIR phototherapy in NEST-3 could be related to the fact that ischemic penumbra was not reached by the light (Luis DeTaboada, personal communication, January 2015). While pulsed NIR was not used in the NEST-3 study, it is estimated that pulsed NIR could penetrate up to 3 cm in depth from the cortical surface, therefore possibly extending the therapeutic target to deeper strokes (Luis DeTaboada, personal communication, January 2015)."</t>
  </si>
  <si>
    <t>Henderson&amp;Morries</t>
  </si>
  <si>
    <t>Adv Mind Body Med</t>
  </si>
  <si>
    <t>SPECT Perfusion Imaging Demonstrates Improvement of Traumatic Brain Injury With Transcranial Near-infrared Laser Phototherapy.</t>
  </si>
  <si>
    <t>🧑 Human
📄 Case report
⌛ 2 months</t>
  </si>
  <si>
    <t>810+
980</t>
  </si>
  <si>
    <t>10000-
15000
(?)</t>
  </si>
  <si>
    <t>20
/ 2 months</t>
  </si>
  <si>
    <t>Clinical application of these levels of infrared energy for this patient with TBI yielded highly favorable outcomes with decreased depression, anxiety, headache, and insomnia, whereas cognition and quality of life improved. Neurological function appeared to improve based on changes in the SPECT by quantitative analysis.</t>
  </si>
  <si>
    <t>Dong</t>
  </si>
  <si>
    <t>J Cereb Blood Flow Metab</t>
  </si>
  <si>
    <t>Low-level light in combination with metabolic modulators for effective therapy of injured brain.</t>
  </si>
  <si>
    <t>Aculaser device</t>
  </si>
  <si>
    <t>0.15</t>
  </si>
  <si>
    <t>d = 
1 cm</t>
  </si>
  <si>
    <t>"We found high levels of glycolysis, reduced adenosine triphosphate generation, and increased formation of reactive oxygen species and apoptosis in neurons under hypoxia. Strikingly, these adverse events were reversed significantly by noninvasive exposure of injured brain to low-level light (LLL). Low-level light illumination sustained the mitochondrial membrane potential, constrained cytochrome c leakage in hypoxic cells, and protected them from apoptosis, underscoring a unique property of LLL. The effect of LLL was further bolstered by combination with metabolic substrates such as pyruvate or lactate both in vivo and in vitro. The combinational treatment retained memory and learning activities of injured mice to a normal level, whereas other treatment displayed partial or severe deficiency in these cognitive functions. In accordance with well-protected learning and memory function, the hippocampal region primarily responsible for learning and memory was completely protected by combination treatment, in marked contrast to the severe loss of hippocampal tissue because of secondary damage in control mice."</t>
  </si>
  <si>
    <t>Low-level laser therapy effectively prevents secondary brain injury induced by immediate early responsive gene X-1 deficiency.</t>
  </si>
  <si>
    <t>"The low-level laser therapy (LLLT) suppressed proinflammatory cytokine expression like interleukin (IL)-1β and IL-6 but upregulated TNF-α. Moreover, although lack of IEX-1 compromised ATP synthesis, LLLT elevated its production in injured brain. The protective effect of LLLT may be ascribed to enhanced ATP production and selective modulation of proinflammatory mediators. This new closed head injury model provides an excellent tool to investigate the pathogenesis of secondary brain injury as well as the mechanism underlying the beneficial effect of LLLT."</t>
  </si>
  <si>
    <t>Transcranial low-level laser therapy enhances learning, memory, and neuroprogenitor cells after traumatic brain injury in mice.</t>
  </si>
  <si>
    <t>"Our study results suggest that tLLLT may improve TBI both by reducing cell death in the lesion and by stimulating neurogenesis."</t>
  </si>
  <si>
    <t>Significant improvements in cognitive performance post-transcranial, red/near-infrared light-emitting diode treatments in chronic, mild traumatic brain injury: open-protocol study.</t>
  </si>
  <si>
    <t>🧑 Human
📄 Single-arm trial
👥 11 participants
⌛ 14 weeks</t>
  </si>
  <si>
    <t>Chronic TBI patients
LED phototherapy</t>
  </si>
  <si>
    <t>633+
870</t>
  </si>
  <si>
    <t>3000
from
6 LED clusters</t>
  </si>
  <si>
    <t>13</t>
  </si>
  <si>
    <t>18
over
6 weeks</t>
  </si>
  <si>
    <t>"Each LED cluster head had a 5.35 cm diameter (9 red diodes, 633 nm, and 52 NIR diodes, 870 nm were embedded into each LED cluster head); 22.48 cm2 in size; 500 mW total power; 22.2 mW/cm2 power density; continuous wave."
"A significant linear trend was observed for the effect of LED treatment over time for the Stroop test for Executive Function, Trial 3 inhibition (p=0.004); Stroop, Trial 4 inhibition switching (p=0.003); California Verbal Learning Test (CVLT)-II, Total Trials 1-5 (p=0.003); and CVLT-II, Long Delay Free Recall (p=0.006). Participants reported improved sleep, and fewer post-traumatic stress disorder (PTSD) symptoms, if present. Participants and family reported better ability to perform social, interpersonal, and occupational functions."</t>
  </si>
  <si>
    <t>Giacci</t>
  </si>
  <si>
    <t>Australia (Adelaide &amp; Crawley)</t>
  </si>
  <si>
    <t>Differential effects of 670 and 830 nm red near infrared irradiation therapy: a comparative study of optic nerve injury, retinal degeneration, traumatic brain and spinal cord injury.</t>
  </si>
  <si>
    <t>"Treatment of fluid-percussion TBI with 670 nm or 830 nm R/NIR-IT did not result in improvements in motor or sensory function or lesion size at 7 days (P&gt;0.05)."</t>
  </si>
  <si>
    <t>Transcranial low-level laser therapy improves neurological performance in traumatic brain injury in mice: effect of treatment repetition regimen.</t>
  </si>
  <si>
    <t>"Mice with severe TBI treated with 1-laser Tx (and to a greater extent 3-laser Tx) had significant improvements in neurological severity score (NSS), and wire-grip and motion test (WGMT). However 14-laser Tx provided no benefit over TBI-sham control."</t>
  </si>
  <si>
    <t>Nawashiro</t>
  </si>
  <si>
    <t>Focal increase in cerebral blood flow after treatment with near-infrared light to the forehead in a patient in a persistent vegetative state.</t>
  </si>
  <si>
    <t>🧑 Human
📄 Case report
⌛ 73 days</t>
  </si>
  <si>
    <t>LED phototherapy (23 diodes)</t>
  </si>
  <si>
    <t>0.0114</t>
  </si>
  <si>
    <t>20.5</t>
  </si>
  <si>
    <t>0.95
cm2
/LED</t>
  </si>
  <si>
    <t>146
/ 73 days</t>
  </si>
  <si>
    <t>“Transcranial LED might increase rCBF with some improvement of neurological condition in severely head-injured patients.”
Comment: Parameters are well reported in a table.</t>
  </si>
  <si>
    <t>Low-level laser therapy for closed-head traumatic brain injury in mice: effect of different wavelengths.</t>
  </si>
  <si>
    <t>665
730
810
980</t>
  </si>
  <si>
    <t>“Mice with moderate-to-severe TBI treated with 665 and 810 nm laser (but not with 730 or 980 nm) had a significant improvement in Neurological Severity Score”</t>
  </si>
  <si>
    <t>Quirk</t>
  </si>
  <si>
    <t>USA (Milwaukee, WI)</t>
  </si>
  <si>
    <t>Near-infrared photobiomodulation in an animal model of traumatic brain injury: improvements at the behavioral and biochemical levels.</t>
  </si>
  <si>
    <t>"These results show statistically significant, preclinical outcomes that support the use of NIR treatment after TBI in effecting changes at the behavioral, cellular, and chemical levels."</t>
  </si>
  <si>
    <t>Near infrared transcranial laser therapy applied at various modes to mice following traumatic brain injury significantly reduces long-term neurological deficits.</t>
  </si>
  <si>
    <t>LLLT (808nm) protected mice against traumatic brain injury (TBI).</t>
  </si>
  <si>
    <t>Khuman</t>
  </si>
  <si>
    <t>USA
(Charlestown, MA)</t>
  </si>
  <si>
    <t>Low-level laser light therapy improves cognitive deficits and inhibits microglial activation after controlled cortical impact in mice.</t>
  </si>
  <si>
    <t>Microgliosis</t>
  </si>
  <si>
    <t>"Injured mice treated with 60 J/cm² (500 mW/cm²×2 min) either transcranially or via an open craniotomy had modestly improved latency to the hidden platform (p&lt;0.05 for group), and probe trial performance (p&lt;0.01) compared to non-treated controls. The beneficial effects of LLLT in open craniotomy mice were associated with reduced microgliosis at 48 h (21.8±2.3 versus 39.2±4.2 IbA-1+ cells/200×field, p&lt;0.05).
Little or no effect of LLLT on post-injury cognitive function was observed using the other doses, a 4-h administration time point and 7-day administration of 60 J/cm². No effect of LLLT (60 J/cm² open craniotomy) was observed on post-injury motor function (days 1-7), brain edema (24 h), nitrosative stress (24 h), or lesion volume (14 days).
Although further dose optimization and mechanism studies are needed, the data suggest that LLLT might be a therapeutic option to improve cognitive recovery and limit inflammation after TBI."</t>
  </si>
  <si>
    <t>USA (Boston, MA)</t>
  </si>
  <si>
    <t>Improved cognitive function after transcranial, light-emitting diode treatments in chronic, traumatic brain injury: two case reports.</t>
  </si>
  <si>
    <t>🧑 Human
📄 Case series
👥 2 cases
⌛ 6+ years for case 1 / 4+ months for case 2</t>
  </si>
  <si>
    <t>870+
633</t>
  </si>
  <si>
    <t>“Transcranial LED may improve cognition, reduce costs in TBI treatment, and be applied at home.”</t>
  </si>
  <si>
    <t>Transcranial low level laser (light) therapy for traumatic brain injury.</t>
  </si>
  <si>
    <t>Review
 - Animal studies and clinical trials of transcranial-LLLT for ischemic stroke are summarized.
 - Several laboratories have shown that LLLT is effective in increasing neurological performance and memory and learning in mouse models of TBI.
 - There have been case report papers that show beneficial effects of transcranial-LLLT in a total of three patients with chronic TBI.
 - Our laboratory has conducted three studies on LLLT and TBI in mice.</t>
  </si>
  <si>
    <t>Demirtas-Tatlidede</t>
  </si>
  <si>
    <t>J Head Trauma Rehabil</t>
  </si>
  <si>
    <t>Noninvasive brain stimulation in traumatic brain injury</t>
  </si>
  <si>
    <t>"Review of the following techniques: transcranial magnetic stimulation, transcranial direct current stimulation, low-level laser therapy, and transcranial Doppler sonography. Furthermore, we provide a brief overview of TMS studies to date."
"Different forms of noninvasive brain stimulation techniques harbor the promise of diagnostic and therapeutic utility, particularly to guide processes of cortical reorganization and enable functional restoration in TBI. Available evidence is sparse, but the present understanding about the pathophysiology of post-traumatic brain damage and the mechanisms of action of various noninvasive brain stimulation methods justifies exploration of new interventions that may forestall the functional impact of TBI. Future lines of safety research and well-designed clinical trials in TBI are warranted to ascertain the capability of noninvasive brain stimulation to promote recovery and minimize disability."</t>
  </si>
  <si>
    <t>Ando</t>
  </si>
  <si>
    <t>Comparison of therapeutic effects between pulsed and continuous wave 810-nm wavelength laser irradiation for traumatic brain injury in mice.</t>
  </si>
  <si>
    <t>“The brain lesion volume of mice treated with 10-Hz pulsed-laser irradiation was significantly lower than control group at 15-days and 4-weeks post-TBI. Moreover, we found an antidepressant effect of LLLT at 4-weeks as shown by forced swim and tail suspension tests.”</t>
  </si>
  <si>
    <t>Effect of laser phototherapy on wound healing following cerebral ischemia by cryogenic injury.</t>
  </si>
  <si>
    <t>0.24
(2p)</t>
  </si>
  <si>
    <t>"The most striking findings were: lased lesions showed smaller tissue loss than control lesions in 6 h. During the first 24 h the amount of viable neurons was significantly higher in the lased group. There was a remarkable increase in the amount of GFAP in the control group by 14 days. Moreover, the lesions of irradiated animals had fewer leukocytes and lymphocytes in the first 24 h than controls. 
Considering the experimental conditions of this study it was concluded that laser phototherapy exerts its effect in wound healing following CI by controlling the brain damage, preventing neuron death and severe astrogliosis that could indicate the possibility of a better clinical outcome."</t>
  </si>
  <si>
    <t>★
📷</t>
  </si>
  <si>
    <t>Effect of phototherapy with low intensity laser on local and systemic immunomodulation following focal brain damage in rat.</t>
  </si>
  <si>
    <t>Cryogenic brain injury
Wavelength comparison</t>
  </si>
  <si>
    <t>0.24-
0.4</t>
  </si>
  <si>
    <t>3-5</t>
  </si>
  <si>
    <t>"Thus, although some alterations of the local and systemic levels of the studied cytokines in the cryolesioned rats were observed, at this point it is difficult to conclude if these changes would be beneficial or deleterious to the CNS healing. Hence, more studies are needed in order to further explore the possibility of using laser phototherapy for preventing and/or limiting the brain damage in the traumatic brain injury clinical outcome."
Star: The paper was supplied with interesting photographs.
Comment: However, they made a 2011 follow-up study with clear positive effects.</t>
  </si>
  <si>
    <t>Low-level laser therapy applied transcranially to mice following traumatic brain injury significantly reduces long-term neurological deficits.</t>
  </si>
  <si>
    <t>0.01
0.02</t>
  </si>
  <si>
    <t>1.2
2.4</t>
  </si>
  <si>
    <t>1.2
cm2</t>
  </si>
  <si>
    <t>"The lesion volume of the laser treated mice was significantly lower (1.4%) than the non-treated group (12.1%). Our data suggest that a non-invasive transcranial application of LLLT given 4 h following TBI provides a significant long-term functional neurological benefit."</t>
  </si>
  <si>
    <t>Cerebral palsy</t>
  </si>
  <si>
    <t>Abdelhalim</t>
  </si>
  <si>
    <t>Effect of low-level laser therapy on quadriceps and foot muscle fatigue in children with spastic diplegia: a randomized controlled study</t>
  </si>
  <si>
    <t>🧑 Human
🎲 Randomized trial
👥 40 participants
⌛ 1 month</t>
  </si>
  <si>
    <t>5.49</t>
  </si>
  <si>
    <t>30
/point
(9 points bilaterally, 18 total)</t>
  </si>
  <si>
    <t>164.85</t>
  </si>
  <si>
    <t>0.036
cm2
spot
size</t>
  </si>
  <si>
    <t>60
(2 points, 30s each)</t>
  </si>
  <si>
    <t>5/week
for 1 month</t>
  </si>
  <si>
    <t>"This study was the first to show the effect of LLLT on power gains on quadriceps and dorsiflexors in children with CP diplegia."
Comment: The 30 J dose per point does not seem likely as the power output is 0.2 W and the irradiation time is 30 seconds per point, thus the dose should be 6 J per point.
Comment: Despite positive conclusions, the actual data doesn't seem to show as clear benefits between the groups. The study reporting is a little bit unusual, not easy to make sense of some parts.</t>
  </si>
  <si>
    <t>Asagai Y</t>
  </si>
  <si>
    <t>Japan
(Shimosuwa)</t>
  </si>
  <si>
    <t>Int J Phys Med Rehabil</t>
  </si>
  <si>
    <t>24 Years Experience of Low Level Laser Therapy (LLLT) for Children with Cerebral Palsy</t>
  </si>
  <si>
    <t>📖 Review (mini-review)</t>
  </si>
  <si>
    <t>"1) In 1991, we introduced low level laser therapy (LLLT) as a new therapeutic method for suppressing myotonia in cerebral palsy.
2) The target sites were the acupuncture and the nerve block points, and the muscles where the myotonia was observed. The myotonic suppression of any sites on the body is possible.
3) The laser irradiation is not effective for regions where irreversible joint contracture occurs.
4) The laser irradiation before the slow stretching training is useful because the pain associated with the stretching is suppressed.
5) The irradiation is completely free from pain or serious adverse reaction.
6) The laser irradiation might act as a trigger for improving the imbalance of the antagonistic muscles.
7) LLLT can be positioned as supplementary treatment for enhancing the effect of functional training."
Comment: The paper was published in a journal by OMICS publishing company, that doesn't seem to be indexed in PubMed.</t>
  </si>
  <si>
    <t>Giannasi</t>
  </si>
  <si>
    <t>BMC Musculoskelet Disord</t>
  </si>
  <si>
    <t>Effects of neuromuscular electrical stimulation, laser therapy and LED therapy on the masticatory system and the impact on sleep variables in cerebral palsy patients: a randomized, five arms clinical trial.</t>
  </si>
  <si>
    <t>Suppression of myotonia in cerebral palsy and adjunctive effect of low level laser therapy on intensive functional training</t>
  </si>
  <si>
    <t>🧑 Human
Controlled
👥 73 participants
⌛ 2 months</t>
  </si>
  <si>
    <t>60-
100</t>
  </si>
  <si>
    <t>600-
900</t>
  </si>
  <si>
    <t>on weekdays for ~2 months (?)</t>
  </si>
  <si>
    <t>"73 children with cerebral palsy were directed to practice intensive functional training in hospital for a mean of 2 months (...) A semiconductor laser apparatus was used under the following irradiation conditions, wavelength at 810 nm, output 60-100 mW in continuous wave, irradiation time 15 seconds-10 minutes per target site for a total of 10-15 minutes per day. The target sites were acupuncture ponits (...)"
"A significant effect was observed in 23 cases, showing a more than 10% improvement in the overall score of GMFM during the assessment period"
"When compared with patients at other training sites, where only functional training therapy was applied without LLLT, the efficacy of functional training was clearly enhanced by combination with LLLT (Figure 4)."</t>
  </si>
  <si>
    <t>J-STAGE</t>
  </si>
  <si>
    <t>Application of low reactive-level laser therapy (LLLT) in patients with cerebral palsy of the adult tension athetosis type</t>
  </si>
  <si>
    <t>🧑 Human
👥 20 participants</t>
  </si>
  <si>
    <t>varying</t>
  </si>
  <si>
    <t>"Improvement of myotonia was seen in 19 patients while improvement of pain in the neck and back was seen in all the 16 patients who had pain in these regions. Suppression of myotonia reduced tonic vocalization making words easily heard; moreover, suppression of myotonia and involuntary movements improved working efficiency enabling the patient to perform fairly complex tasks such as word processing. Insomnia and dysuria also improved. Even in the most severe cases, assisting the patient became easier and breathing improved. LLLT with the 830 nm diode laser provides a new and effective treatment modality in this extremely problematic condition, has no serious side effects, and has the potential to improve these patients’ quality of life."</t>
  </si>
  <si>
    <t>Chronic mild stress</t>
  </si>
  <si>
    <t>Sancho-Balsells</t>
  </si>
  <si>
    <t>Spain
(Barcelona)</t>
  </si>
  <si>
    <t>J Affect Disord</t>
  </si>
  <si>
    <t>Brain-gut photobiomodulation restores cognitive alterations in chronically stressed mice through the regulation of Sirt1 and neuroinflammation</t>
  </si>
  <si>
    <t>LED phototherapy (with a laser diode too)</t>
  </si>
  <si>
    <t>660+
850</t>
  </si>
  <si>
    <t>daily for 3 weeks</t>
  </si>
  <si>
    <t>"We observed that the CUMS protocol induces profound behavioral alterations and an increase of sirtuin1 (Sirt1) levels in the hippocampus. We then combined the stress protocol with PBM and found that tissue-combined PBM was able to rescue cognitive alterations induced by CUMS. This rescue was accompanied by a restoration of hippocampal Sirt1 levels, prevention of spine density loss in the CA1 of the hippocampus, and the modulation of the gut microbiome. PBM was also effective in reducing neuroinflammation and modulating the morphology of Iba1-positive microglia."</t>
  </si>
  <si>
    <t>Circulation</t>
  </si>
  <si>
    <t>Hu</t>
  </si>
  <si>
    <t>IEEE J Biomed Health Inform</t>
  </si>
  <si>
    <t>Repeated Photobiomodulation Induced Reduction of Bilateral Cortical Hemodynamic Activation During a Working Memory Task in Healthy Older Adults</t>
  </si>
  <si>
    <t>🧑 Human
👥 61 participants</t>
  </si>
  <si>
    <t>"We found that tPBM stimulation on Day 1 induced significantly decreased activation in the right hemisphere during the 3-back. The decreased activation expanded from only the right hemisphere on Day 1 to both hemispheres on Day 7. The decreased activation persisted for one week in the right supramarginal gyrus and the left angular gyrus and two weeks in the left somatosensory association cortex. These activation changes were accompanied by significantly improved task accuracy during the N-back."</t>
  </si>
  <si>
    <t>Korea
(Incheon)</t>
  </si>
  <si>
    <t>Trans Electr Electron Mater</t>
  </si>
  <si>
    <t>Photobiomodulation Therapy in Mice with Chronic Cerebral Hypoperfusion Using Application-Specific Near-Infrared Light-Emitting Diode System</t>
  </si>
  <si>
    <t>LED phototherapy
Bilateral common carotid artery stenosis (BCAS)</t>
  </si>
  <si>
    <t>0.300-
0.600</t>
  </si>
  <si>
    <t>"Here, we demonstrate the application-specific near-infrared (NIR) LED therapy system applicable to the mouse for brain repair. The proposed NIR LED therapy system especially employ the curved-shape NIR LED module and the LED dimmer for optimal transfer of the light energy to the mouse brain."
"Figure 6 shows the summed 18F-FDG PET images in the coronal plane obtained from the 0 to 5 min of the scans of in the BCAS/NIR, BCAS/white, BCAS, and Normal groups (...) The SUVr of the BCAS/NIR and the BCAS/white group is higher than that of BCAS group, indicating that the cerebral blood flow is nearly recovered to normal level after LED treatment."
"From the PET scans after the PBM therapy, we observed that the cerebral blood flow was recovered to normal level. In the near future, we would like to quantitatively validate the therapeutic effect of our proposed NIR LED therapy system on mice with brain injury and apply it to a human brain."</t>
  </si>
  <si>
    <t>Litscher G</t>
  </si>
  <si>
    <t>Austria
(Graz)</t>
  </si>
  <si>
    <t>Medicines (Basel)</t>
  </si>
  <si>
    <t>Brain Photobiomodulation-Preliminary Results from Regional Cerebral Oximetry and Thermal Imaging.</t>
  </si>
  <si>
    <t>LED phototherapy
LED array (256 diodes)</t>
  </si>
  <si>
    <t>"The results of the three sections (before (20 min), during (15 min), and after (20 min) stimulation) are indicated in Figure 3. Note the significant increase in rSO2 (left and right side) during and even after transcranial LED stimulation. The changes of the temperature are shown in Figure 4."</t>
  </si>
  <si>
    <t>Transcranial laser stimulation improves human cerebral oxygenation.</t>
  </si>
  <si>
    <t>🧑 Human</t>
  </si>
  <si>
    <t>0.25</t>
  </si>
  <si>
    <t>13.6
cm2</t>
  </si>
  <si>
    <t>In both experiments, transcranial laser stimulation induced an increase of oxygenated hemoglobin concentration (Δ[HbO2 ]) and a decrease of deoxygenated hemoglobin concentration (Δ[Hb]) in both cerebral hemispheres.</t>
  </si>
  <si>
    <t>Salgado</t>
  </si>
  <si>
    <t>The effects of transcranial LED therapy (TCLT) on cerebral blood flow in the elderly women.</t>
  </si>
  <si>
    <t>🧑 Human
📄 Single-arm trial
👥 25 participants
⌛ 4 weeks</t>
  </si>
  <si>
    <t>Cerebral blood flow
LED phototherapy</t>
  </si>
  <si>
    <t>120
(4p)</t>
  </si>
  <si>
    <t>"Paired t-test results showed that there was a significant improvement after TCLT with increase in the systolic and diastolic velocity of the left middle cerebral artery (25 and 30%, respectively) and basilar artery (up to 17 and 25%), as well as a decrease in the pulsatility index and resistance index values of the three cerebral arteries analyzed (p &lt; 0.05). TCD parameters showed improvement in the blood flow on the arteries analyzed. TCLT promoted a blood and vasomotor behavior of the basilar and middle cerebral arteries in healthy elderly women."</t>
  </si>
  <si>
    <t>Gorshkova</t>
  </si>
  <si>
    <t>Russia
(St. Petersburg)</t>
  </si>
  <si>
    <t>Bull Exp Biol Med</t>
  </si>
  <si>
    <t>Role of nitric oxide in responses of pial arterial vessels to low-intensity red laser irradiation</t>
  </si>
  <si>
    <t>"The analysis showed that LILI in the red band of the spectrum produced a dilatatory effect on the pial vessels: the cross-section area of dilated vessels 2.5-fold surpassed that of constricted vessels (Fig. 1)."
"Our experiments showed that NO-synthase blockage did not change the response of the entire population of pial vessels to irradiation with red laser (Figs. 1 and 3)."</t>
  </si>
  <si>
    <t>Shuvaeva</t>
  </si>
  <si>
    <t>Effect of laser irradiation on adrenoreactivity of pial arterial vessels in rats</t>
  </si>
  <si>
    <t>473
650</t>
  </si>
  <si>
    <t>"Experiments on WKY and SHR rats showed that low-intensity laser irradiation reduced the tone of pial arterial vessels thereby potentiating the subsequent constrictor effect of norepinephrine."
Comment: The writing style is somewhat difficult to understand.</t>
  </si>
  <si>
    <t>Chertok &amp; Bykov</t>
  </si>
  <si>
    <t>Biull Eksp Biol Med</t>
  </si>
  <si>
    <t>[The effect of low-intensity laser radiation on rat brain capillaries].
[Article in Russian]</t>
  </si>
  <si>
    <t>"The dose-dependent action of the low-intensive He-Ne laser on the capillaries of the temporal area of the brain which were revealed by Mg ATPase has been determined. Laser radiation during 0.5-15 min provoked a complex of the activity of the enzymes in the vessels with density latent action of the factor. Subsequent increasing of the exposition (from 30 min to hours) bring to the opposite effect."</t>
  </si>
  <si>
    <t>Circulatory hypoxia</t>
  </si>
  <si>
    <t>Tu</t>
  </si>
  <si>
    <t>Sichuan Da Xue Xue Bao Yi Xue Ban</t>
  </si>
  <si>
    <t>[Photobiomodulation Promotes Hippocampal Neurogenesis and Improves Cognitive Function and Anti-Inflammatory Injury in Rats With Chronic Cerebral Hypoperfusion] [Article in Chinese]</t>
  </si>
  <si>
    <t>every other day for 1mo</t>
  </si>
  <si>
    <t>"PBM can effectively improve the spatial learning and memory function in rats with chronic cerebral hypoperfusion, inhibit the activation of glial cells, reduce inflammatory damage mediated by NLRP3 inflammasome, and promote the regeneration of endogenous neural stem cells in the hippocampal DG region of rats."</t>
  </si>
  <si>
    <t>Smekalkina</t>
  </si>
  <si>
    <t>Alleviation of the Genotoxic Effect of Experimental Circulatory Brain Hypoxia in Rat Cornea under the Effect of Infrared Low-Level Laser Radiation</t>
  </si>
  <si>
    <t>Eye (cornea)</t>
  </si>
  <si>
    <t>"Exposure of animals with circulatory brain hypoxia (ischemia) to ILLLR reduced the level of chromosome aberrations in corneal epitheliocytes and led to change in the mitotic index. Correction of the damaging effects of ischemia in the experiment in the absence of mutagenic effect of ILLLR in therapeutic dose and mode of exposure indicates the possibility of applying this physical method for correcting after-effects of oxidative stress during progression of degenerative eye diseases in ophthalmic practice."</t>
  </si>
  <si>
    <t>Shurygina</t>
  </si>
  <si>
    <t>Russia
(Rostov)</t>
  </si>
  <si>
    <t>Effect of Infrared Low-Intensity Laser Irradiation on Lipid Peroxidation Under Conditions of Experimental Circulatory Hypoxia of Visual Analyzer</t>
  </si>
  <si>
    <t>0.3
(?)</t>
  </si>
  <si>
    <t>"In posthypoxic period, the infrared low-intensity laser irradiation significantly decreased the chemiluminescence parameters in blood plasma, normalized the retinal levels of diene and triene conjugates, and decreased MDA in the rat brain attesting to the correcting effect of this irradiation during various types of physiological stresses."</t>
  </si>
  <si>
    <t>CNS</t>
  </si>
  <si>
    <t>Fitzgerald</t>
  </si>
  <si>
    <t>Australia (Crawley)</t>
  </si>
  <si>
    <t>Rev Neurosci</t>
  </si>
  <si>
    <t>Red/near-infrared irradiation therapy for treatment of central nervous system injuries and disorders.</t>
  </si>
  <si>
    <t>"We have addressed the important issues of specification of treatment parameters, penetration of R/NIR irradiation to CNS tissues and mechanism/s, and provided the necessary detail to demonstrate the potential of R/NIR-IT for the treatment of retinal degeneration, damage to white matter tracts of the CNS, stroke and Parkinson's disease."</t>
  </si>
  <si>
    <t>Cognitive learning</t>
  </si>
  <si>
    <t>You</t>
  </si>
  <si>
    <t>Taiwan
(Zhunan)</t>
  </si>
  <si>
    <t>Red LED light treatment promotes cognitive learning through up-regulation of trpm4 in zebrafish</t>
  </si>
  <si>
    <t>Zebrafish</t>
  </si>
  <si>
    <t>465
630
white</t>
  </si>
  <si>
    <t>"We used a zebrafish animal model to investigate the long-term effects of white, blue and red LED lights on cognitive learning and memory recall. Our data suggest that these treatments had not only an impact on learning but also surprisingly long-lasting effects, particularly with regard to individuals treated with red light."
"The qPCR results revealed that the expression levels of trpm4, trpa1b, grin2aa and dlg4 in the skin were increased after monochromatic light treatment. Furthermore, the up-regulation of trpm4 in the brain may correlate to enhanced learning and memory following red-light treatment."</t>
  </si>
  <si>
    <t>Cognitive impairment</t>
  </si>
  <si>
    <t>Kazmi</t>
  </si>
  <si>
    <t>Brain Res</t>
  </si>
  <si>
    <t>Transcranial photobiomodulation mitigates learning and memory impairments induced by hindlimb unloading in a mouse model of microgravity exposure by suppression of oxidative stress and neuroinflammation signaling pathways</t>
  </si>
  <si>
    <t>"Behavioral testing showed that the PBM-treated animals had a shorter latency time to find the target and fewer errors than the HU group. PBM decreased hippocampal lipid peroxidation while increasing antioxidant defense systems (glutathione peroxidase, superoxide dismutase, and total antioxidant capacity) compared to HU mice. PBM increased protein expression of Sirt1, Nrf2, and BDNF while decreasing NF-κB compared to HU mice."
"Our findings suggested that the protective effect of PBM against HU-induced cognitive impairment involved the activation of the Sirt1/Nrf2 signaling pathway, up-regulation of BDNF, and reduction of neuroinflammation and oxidative stress in the hippocampus."</t>
  </si>
  <si>
    <t>Cheung</t>
  </si>
  <si>
    <t>Photobiomodulation improves frontal lobe cognitive functions and mental health of older adults with non-amnestic mild cognitive impairment: Case studies</t>
  </si>
  <si>
    <t>🧑 Human
📄 Case series
👥 3 cases
⌛ 9-week treatment</t>
  </si>
  <si>
    <t>21</t>
  </si>
  <si>
    <t>9
cm2
surface
area</t>
  </si>
  <si>
    <t>18
/ 9 weeks</t>
  </si>
  <si>
    <t>"One older adult's intrusion and perseveration errors improved from the &lt;1st-2nd percentile (moderately to severely impaired range) to the 41st-69th percentile (average range), another older adult's intrusion errors improved from the 11th percentile to the 83rd percentile, and the third older adult's intrusion errors improved from the 5th percentile to the 56th percentile."</t>
  </si>
  <si>
    <t>Papi</t>
  </si>
  <si>
    <t>Prz Menopauzalny</t>
  </si>
  <si>
    <t>The effect of transcranial photobiomodulation on cognitive function and attentional performance of older women with mild cognitive impairment: a randomized controlled trial</t>
  </si>
  <si>
    <t>🧑 Human
🎲 Randomized trial, sham-controlled,
👥 42 participants
⌛ 5 days</t>
  </si>
  <si>
    <t>LED phototherapy (array of 20 LEDs)</t>
  </si>
  <si>
    <t>0.285</t>
  </si>
  <si>
    <t>60
(on scalp)</t>
  </si>
  <si>
    <t>42.75</t>
  </si>
  <si>
    <t>(??)</t>
  </si>
  <si>
    <t>5
/ 5 days</t>
  </si>
  <si>
    <t>"The current study indicated a beneficial effect of light treatment by using 5 sessions of tPBM on the rPFC with an 850-nm LED source, which consequently improved the cognitive capacity and attentional performance of older women with MCI."
Comment: The improvement in MMSE seems almost unbelievable (from approximately 18 -&gt; 27 in PBM group compared to 20 -&gt; 20 in sham group).</t>
  </si>
  <si>
    <t>Device calibration: "The Lumix3 calibrator was used to calibrate the device’s output power (Lumix3, Italy)."</t>
  </si>
  <si>
    <t>Baik</t>
  </si>
  <si>
    <t>Effects of Photobiomodulation on Changes in Cognitive Function and Regional Cerebral Blood Flow in Patients with Mild Cognitive Impairment: A Pilot Uncontrolled Trial</t>
  </si>
  <si>
    <t>🧑 Human
📄 Single-arm trial
👥 14 participants</t>
  </si>
  <si>
    <t>2500
power
consumption</t>
  </si>
  <si>
    <t>0.003</t>
  </si>
  <si>
    <t>"Regarding rCBF, statistically significant trends were found in the medial prefrontal cortex, lateral prefrontal cortex, anterior cingulate cortex, and occipital lateral cortex. Based on the cognitive assessments, statistically significant trends were found in overall cognitive function, memory, and frontal/executive function."
"We confirmed the possibility that PBM treatment in the VA and ICA areas could positively affect cognitive function by increasing rCBF. A study with a larger sample size is needed to validate the potential of PBM."</t>
  </si>
  <si>
    <t>Irradiation of throat&amp;neck area (see photograph in full text): "The PBM device (...) was attached to the sternoclavicular mastoid muscle, in the ICA area, and the trapezius muscle, in the VA area of the patients (Fig. 1)"</t>
  </si>
  <si>
    <t>Photobiomodulation Enhances Memory Processing in Older Adults with Mild Cognitive Impairment: A Functional Near-Infrared Spectroscopy Study</t>
  </si>
  <si>
    <t>🧑 Human
🎲 Randomized trial, sham-controlled
👥 18 participants</t>
  </si>
  <si>
    <t>"The results showed that among the MCI subjects, only those who received PBM, but not those who received the sham stimulation, demonstrated significant improvement in the visual memory performance and a reduction in the hemodynamic response during the tasks."</t>
  </si>
  <si>
    <t>Neuropharmacology</t>
  </si>
  <si>
    <t>Can Mild Cognitive Impairment Be Stabilized By Showering Brain Mitochondria With Laser Photons?</t>
  </si>
  <si>
    <t>"For the first time in medical interventions, a non-pharmacological, non-invasive, well-tolerated, easy to perform, free of significant side effects and cost-effective treatment may achieve what virtually all AD treatments in the past have been unable to accomplish. This intervention uses transcranial infrared brain stimulation (TIBS), a form of photobiomodulation (PBM). PBM is a bioenergetic non-ionizing, therapeutic approach using low level light emission from laser or light emitting diodes. PBM has been used in a number of neurological conditions including Parkinson's disease, depression, traumatic brain injury, and stroke with diverse reported benefits.
This brief review examines the impact of reduced energy supply stemming from chronic brain hypoperfusion in the aging brain. 
In this context, the use of TIBS is planned in a randomized, placebo-controlled study of MCI patients to be done at our University Clinic."</t>
  </si>
  <si>
    <t>Transcranial near-infrared photobiomodulation attenuates memory impairment and hippocampal oxidative stress in sleep-deprived mice.</t>
  </si>
  <si>
    <t>Sleep deprivation / sleep debt</t>
  </si>
  <si>
    <t>4.75</t>
  </si>
  <si>
    <t>8
(cortex?)</t>
  </si>
  <si>
    <t>"The results showed that NIR PBM prevented cognitive impairment induced by SD. Moreover, NIR PBM therapy enhanced the antioxidant status and increased mitochondrial activity in the hippocampus of SD mice.
Our findings revealed that hippocampus-related mitochondrial damage and extensive oxidative stress contribute to the occurrence of memory impairment. In contrast, NIR PBM reduced hippocampal oxidative damage, supporting the ability of 810 nm laser light to improve the antioxidant defense system and maintain mitochondrial survival. This confirms that non-invasive transcranial NIR PBM therapy ameliorates hippocampal dysfunction, which is reflected in enhanced memory function."</t>
  </si>
  <si>
    <t>Pulsing: 10Hz</t>
  </si>
  <si>
    <t>Transcranial low-level laser therapy improves brain mitochondrial function and cognitive impairment in D-galactose-induced aging mice.</t>
  </si>
  <si>
    <t>Dose response
Brain mitochondrial function, brain aging
Wavelength comparison</t>
  </si>
  <si>
    <t>660
810</t>
  </si>
  <si>
    <t>4
8
4
8</t>
  </si>
  <si>
    <t>"Laser treatments at wavelengths of 660 and 810 nm at 8 J/cm2 attenuated DG-impaired spatial and episodic-like memories. Also, results showed an obvious improvement in the mitochondrial function aspects and modulatory effects on apoptotic markers in aged mice. However, same wavelengths at the fluency of 4 J/cm2 had poor effect on the behavioral and molecular indexes in aging model.
This data indicates that transcranial LLLT at both of red and NIR wavelengths at the fluency of 8 J/cm2 has a potential to ameliorate aging-induced mitochondrial dysfunction, apoptosis, and cognitive impairment."</t>
  </si>
  <si>
    <t>Cognitive performance</t>
  </si>
  <si>
    <t>Pulsed transcranial photobiomodulation generates distinct beneficial neurocognitive effects compared with continuous wave transcranial light</t>
  </si>
  <si>
    <t>🧑 Human
🎲 Randomized trial, sham-controlled,
👥 56 participants
⌛ single session for each wavelength (= 2 sessions)</t>
  </si>
  <si>
    <t>4 groups:
- sham
- PBM, CW
- PBM, 40 Hz
- PBM ,100 Hz
Wavelength comparison
LED phototherapy</t>
  </si>
  <si>
    <t>660
850</t>
  </si>
  <si>
    <t>1 per wavelenght</t>
  </si>
  <si>
    <t>"Paired sample T test showed that the KSS [Karolinska Sleepiness Scale] score, the number of correct responses of PVT, and DMS rate correct score (RCS) of PW tPBM groups improved significantly after intervention (p &lt; 0.05). With regard to EEG analysis, paired one-way repeated ANOVA test showed that during the intervention of PW tPBM, the average power within the Gamma band was higher than the baseline (p &lt; 0.05). 
Our study presented that PW tPBM could generate better beneficial cognitive effects and change brain electrical activity under certain circumstances."</t>
  </si>
  <si>
    <t>Zhao</t>
  </si>
  <si>
    <t>Sci Adv</t>
  </si>
  <si>
    <t>Transcranial photobiomodulation enhances visual working memory capacity in humans</t>
  </si>
  <si>
    <t>🧑 Human
🎲 Randomized trial, crossover, double-blind
👥 90 participants (total in 4 experiments)
⌛ four experiments, each with two sessions and a 1-week interval between them</t>
  </si>
  <si>
    <t>852
1064</t>
  </si>
  <si>
    <t>"n this study, we found that 1064-nm tPBM applied to the right prefrontal cortex (PFC) improves visual working memory capacity and increases occipitoparietal contralateral delay activity (CDA). 
The CDA set-size effect during retention mediated the effect between the 1064-nm tPBM and subsequent WM capacity. 
The behavioral benefits and the corresponding changes in the CDA set-size effect were absent with tPBM at a wavelength of 852 nm or with stimulation of the left PFC. 
Our findings provide converging evidence that 1064-nm tPBM applied to the right PFC can improve WM capacity."</t>
  </si>
  <si>
    <t>Qu</t>
  </si>
  <si>
    <t>Neurophotonics</t>
  </si>
  <si>
    <t>Repeated transcranial photobiomodulation improves working memory of healthy older adults: behavioral outcomes of poststimulation including a three-week follow-up</t>
  </si>
  <si>
    <t>🧑 Human
🎲 Randomized trial, sham-controlled,
👥 86 participants (61 active, 25 sham)
⌛ 1-week treatment -&gt; 3-week follow-up</t>
  </si>
  <si>
    <t>"Repeated and single tPBM significantly improved accuracy rate in 1- and 3-back tasks and decreased response time in 3-back compared to the baseline. Moreover, the repeated tPBM resulted in a significantly higher improvement in accuracy rate than the single tPBM. These improvements in accuracy rate and response time lasted at least three weeks following repeated tPBM. In contrast, the control group showed no significant improvement in behavioral performance."</t>
  </si>
  <si>
    <t>Dougal</t>
  </si>
  <si>
    <t>UK
(Spennymoor)</t>
  </si>
  <si>
    <t>Effect of Transcranial Near-Infrared Light 1068 nm Upon Memory Performance in Aging Healthy Individuals: A Pilot Study</t>
  </si>
  <si>
    <t>🧑 Human
SB
👥 27 participants
(~1 month)</t>
  </si>
  <si>
    <t>56+ on 
28+ days</t>
  </si>
  <si>
    <t>"A significant improvement in motor function, memory performance, and processing speed was observed in healthy individuals with PBM-T compared to the placebo group. No adverse effects were reported."</t>
  </si>
  <si>
    <t>"The participants were shown a transcranial phototherapy device and given the appropriate instructions on how to use the device. All participants were requested to use the phototherapy device for at least 28 days; the device was to be used twice daily until reassessment on three separate occasions. A total of six assessments were conducted on each participant."</t>
  </si>
  <si>
    <t>Lee &amp; Chan</t>
  </si>
  <si>
    <t>Photobiomodulation may enhance cognitive efficiency in older adults: a functional near-infrared spectroscopy study</t>
  </si>
  <si>
    <t>🧑 Human
👥 30 participants
📄 Single-arm study
⌛ single session</t>
  </si>
  <si>
    <t>60
/cluster
(9 clusters)</t>
  </si>
  <si>
    <t>0.020
/cluster</t>
  </si>
  <si>
    <t>21
/cluster
(9 clusters)</t>
  </si>
  <si>
    <t>"After tPBM, participants exhibited significantly lower HbO in a harder (span 7) but not an easier level (span 2) of the task, but their behavioral performance remained unchanged."</t>
  </si>
  <si>
    <t>Photoneuromodulation makes a difficult cognitive task less arduous</t>
  </si>
  <si>
    <t>🧑 Human
🎲 Randomized trial, sham-controlled
👥 33 participants
⌛ single session</t>
  </si>
  <si>
    <t>"After an 8-min PNM session, for the 0-back task, the reaction time and A’ in both conditions did not change significantly in both the experimental (reaction time: t(17) = 1.321, p = 0.20; A’: t(17) = 0.164, p = 0.87) and control groups (reaction time: t(14) = − 0.080, p = 0.94; A’: t(14) = 0.526, p = 0.61). Same non-significant results were found for the 3-back task in both the experimental (reaction time: t(17) = 0.396, p = 0.70; A’: t(17) = 0.359, p = 0.72) and control groups (reaction time: t(14) = 1.644, p = 0.12; A’: t(14) = 1.123, p = 0.28)."
"A significant group (experimental vs. control) × time (before vs. after PNM) interaction in memory-related frontal activation was found. Specifically, only the experimental group had a significant reduction in frontal hemodynamic levels during the difficult task. Additionally, the memory-related frontal activation was significantly correlated with the immediate and delayed recall of the Rey-Osterrieth Complex Figure Test assessed at baseline."</t>
  </si>
  <si>
    <t>Gutiérrez-Menéndez</t>
  </si>
  <si>
    <t>Spain
(Oviedo)</t>
  </si>
  <si>
    <t>Physiol Behav</t>
  </si>
  <si>
    <t>Photobiomodulation effects on active brain networks during a spatial memory task</t>
  </si>
  <si>
    <t>"After five days of PBM, the control photobiomodulation group showed a decrease of CCO levels in the striatum, medial septum, entorhinal, hippocampus, amygdala, thalamus, mammillary nuclei and VTA.
Both behavioural groups performed the task correctly, however, the behavioural photobiomodulation group displayed CCO reduction in some regions involved in the execution of the reversal task: septum, entorhinal, CA1, CA3, central amygdala and supramammilar, along with higher levels in accumbens. These results could show the effect of PBM on active brain networks.
Further studies will be necessary to elucidate its effects in different brain networks that are involved in the execution of other memory tasks."</t>
  </si>
  <si>
    <t>Cell Mol Neurobiol</t>
  </si>
  <si>
    <t>Improved Spatial Memory And Neuroinflammatory Profile Changes in Aged Rats Submitted to Photobiomodulation Therapy</t>
  </si>
  <si>
    <t>3/p</t>
  </si>
  <si>
    <t>"Young and aged rats submitted to transcranial laser exhibited better cognitive performance in Barnes maze than did control rats. Transcranial laser therapy decreased cortical levels of GM-CSF, IL-10, MCP-1, LIX, and TNFα in young rats and IL-5 in aged rats. High levels of IL-6, IL-10, and TNF-alpha were found in the cerebral cortex of aged rats submitted to transcranial laser. In the hippocampus, a decrease in IP-10 and fractalkine levels was observed in the aged rats from the laser group when compared to the aged rats from the control group. Our data indicate that transcranial photobiomodulation improves spatial learning and memory and alters the neuroinflammatory profile of young and aged rats' brains."
Comment: In most of the behavioral tests, there were no difference between PBM and control. Therefore, the authors' positive conclusion appears to be somewhat biased.</t>
  </si>
  <si>
    <t>Kwon &amp; Im</t>
  </si>
  <si>
    <t>IEEE Trans Neural Syst Rehabil Eng</t>
  </si>
  <si>
    <t>Performance Improvement of Near-Infrared Spectroscopy-based Brain-Computer Interfaces Using Transcranial Near-Infrared Photobiomodulation with the Same Device</t>
  </si>
  <si>
    <t>🧑 Human
🎲 Randomized trial, crossover, double-blind
👥 20 participants
⌛ two study sessions</t>
  </si>
  <si>
    <t>770+
840</t>
  </si>
  <si>
    <t>"The tNIR-PBM was applied by simply turning on the NIRS recording equipment for 20 min. To evaluate the degree of performance improvement obtained after tNIR-PBM, the average BCI classification accuracy obtained under the tNIR-PBM condition was compared with that obtained under the sham stimulation condition. The classification accuracy of NIRS-based BCI was significantly improved upon conduction of tNIR-PBM (82.74%) as compared to that in the sham stimulation condition (76.07%, p &lt; 0.005)."
"Our experimental results demonstrated that tNIR-PBM for 20 min using a commercial NIRS recording device could influence the hemodynamic responses of most participants when performing specific tasks. Our results further suggest that the cognitive task performance or BCI performance in a long-term NIRS experiment may be influenced by the NIRS recording device."</t>
  </si>
  <si>
    <t>Iran &amp; USA</t>
  </si>
  <si>
    <t>Transcranial Photobiomodulation Improves Cognitive Performance in Young Healthy Adults: A Systematic Review and Meta-Analysis.</t>
  </si>
  <si>
    <t>"The initial search resulted in 871 studies, of which nine publications met our criteria for inclusion and exclusion. Seven studies were performed on young, healthy subjects (17-35 years), and two studies were conducted on older (≥49 years), normal subjects. A meta-analysis was performed on six full-text publications whose subjects were young adults. "
"t-PBM administration improved cognition-related outcomes by an 0.833 standardized mean difference (SMD; 95% confidence interval (CI): 0.458-1.209, 14 comparisons) in young, healthy participants. 
Funnel plotting revealed asymmetry, which was validated using Egger's (p = 0.030) and Begg's regression (p = 0.006) tests. However after reanalysis, this asymmetry disappeared in the attention subgroup, but not in the memory subgroup. The trim-and-fill analysis indicated two studies were lacking required data. Thus, the effect size was adjusted from an SMD of 0.761 (95% CI: 0.573-0.949) to 0.949 (0.779-1.120). 
The overall quality score of the studies was modest."</t>
  </si>
  <si>
    <t>Holmes</t>
  </si>
  <si>
    <t>Cognitive Enhancement by Transcranial Photobiomodulation Is Associated With Cerebrovascular Oxygenation of the Prefrontal Cortex.</t>
  </si>
  <si>
    <t>🧑 Human
SB
👥 18 participants
⌛ single session</t>
  </si>
  <si>
    <t>13.6
cm2
area
and
beam
size</t>
  </si>
  <si>
    <t>"fNIRS revealed large effects on prefrontal oxygenation during cognitive enhancement post-laser and provided the first demonstration that cognitive enhancement by transcranial photobiomodulation is associated with cerebrovascular oxygenation of the prefrontal cortex. Sham control data served to rule out that the laser effects were due to pre-post task repetition or other non-specific effects."</t>
  </si>
  <si>
    <r>
      <rPr>
        <b/>
        <color rgb="FF980000"/>
        <sz val="9.0"/>
      </rPr>
      <t xml:space="preserve">★
</t>
    </r>
    <r>
      <rPr>
        <b/>
        <color rgb="FF980000"/>
        <sz val="6.0"/>
      </rPr>
      <t>📷
📹</t>
    </r>
  </si>
  <si>
    <t>J Vis Exp</t>
  </si>
  <si>
    <t>A Protocol for Transcranial Photobiomodulation Therapy in Mice.</t>
  </si>
  <si>
    <t>6.66</t>
  </si>
  <si>
    <t>99.9</t>
  </si>
  <si>
    <t>"The results from the Barnes task show an enhancement of the spatial memory in laser-treated aged mice when compared with age-matched controls. Biochemical analysis after laser treatment indicates increased hippocampal ATP levels. We postulate that the enhancement of memory performance is potentially due to an improvement in hippocampal energy metabolism induced by the red laser treatment."</t>
  </si>
  <si>
    <t>Int J Geriatr Psychiatry</t>
  </si>
  <si>
    <t>Photobiomodulation improves the frontal cognitive function of older adults.</t>
  </si>
  <si>
    <t>🧑 Human
🎲 Randomized trial, sham-controlled
👥 30 participants
⌛ single session</t>
  </si>
  <si>
    <t>1349
total</t>
  </si>
  <si>
    <t>"Our findings support that PBM may enhance the frontal brain functions of older adults in a safe and cost-effective manner."</t>
  </si>
  <si>
    <t>Ghanbari</t>
  </si>
  <si>
    <t>Iran
(Yasuj)</t>
  </si>
  <si>
    <t>CNS Neurol Disord Drug Targets</t>
  </si>
  <si>
    <t>Light-Emitting Diode (LED) Therapy Attenuates Neurotoxicity of Methanol-Induced Memory Impairment and Apoptosis in The Hippocampus.</t>
  </si>
  <si>
    <t>Methanol neurotoxicity
LED phototherapy</t>
  </si>
  <si>
    <t>"Methanol induced neurotoxic rats showed a significant decrease in the latency period, in comparison to controls, which was significantly improved in LED treated rats at 7, 14 and 28 days, indicating recovery of memory function. 
In addition, methanol neurotoxicity in hippocampus caused a significant increase in cell death (caspase3+ cells) and cell edema at 7 and 28 days, which were significantly decreased by LED therapy. 
Furthermore, the number of glial fibrillary acid protein astrocytes were significantly lower in methanol rats, compared to controls, whereas LED treatment caused their significant increase. 
Finally, methanol neurotoxicity caused a significant decrease in the number of brain-derived neurotrophic factor (BDNF+) cells, but also circulating serum BDNF, at 7 and 28 days, compared to controls, which were significantly increased by LED therapy. Importantly, LED significantly increased the number of Ki-67+ cells and BDNF levels in the serum and hypothalamus in control-LED rats, compared to controls without LED therapy. 
In conclusion, chronic methanol administration caused severe memory impairments and several pathological outcomes in the hippocampus of adolescent rats which were improved by LED therapy."</t>
  </si>
  <si>
    <t>Vargas</t>
  </si>
  <si>
    <t>Beneficial neurocognitive effects of transcranial laser in older adults.</t>
  </si>
  <si>
    <t>🧑 Human
📄 Single-arm study
👥 12 participants
⌛ 5 weeks</t>
  </si>
  <si>
    <t>816
/site
2
sites</t>
  </si>
  <si>
    <t>13.6
cm2
beam
area</t>
  </si>
  <si>
    <t>240
/site
2 sites</t>
  </si>
  <si>
    <t>5
/ 5 weeks</t>
  </si>
  <si>
    <t>"Cognitive performance, age, and carotid artery intima-media thickness were highly correlated, but all participants improved in all cognitive measures after TILS treatments. Baseline vs. chronic (five weekly sessions, 8 min each) comparisons of mean cognitive scores all showed improvements, significant for PVT reaction time (p &lt; 0.001), PVT lapses (p &lt; 0.001), and DMS correct responses (p &lt; 0.05). The neural studies also showed for the first time that TILS increases resting-state EEG alpha, beta, and gamma power and promotes more efficient prefrontal blood-oxygen-level-dependent (BOLD)-fMRI response. Importantly, no adverse effects were found.
These preliminary findings support the use of TILS for larger randomized clinical trials with this non-invasive approach to augment neurocognitive function in older people to combat aging-related and vascular disease-related cognitive decline."</t>
  </si>
  <si>
    <t>Device: "FDA-cleared Class 4 laser apparatus (HD Laser, Cell Gen Therapeutics, Dallas, TX)"</t>
  </si>
  <si>
    <t>Blanco</t>
  </si>
  <si>
    <t>J Neuropsychol</t>
  </si>
  <si>
    <t>Improving executive function using transcranial infrared laser stimulation.</t>
  </si>
  <si>
    <t>🧑 Human
📄 Non-randomized study, sham-controlled
👥 30 participants
⌛ single session</t>
  </si>
  <si>
    <t>"Participants who received laser treatment made fewer errors and showed improved set-shifting ability relative to placebo controls. These results suggest that transcranial laser stimulation improves executive function and may have exciting potential for treating or preventing deficits resulting from neuropsychological disorders or normal ageing."
Comment: In some of the recent experiments, it's been shown that long wavelengths (&gt;980nm) might have their effects via calcium channels (TRPV1 / TRPC) instead of cytochrome oxidase.</t>
  </si>
  <si>
    <t>Sham treatment method: "For the placebo group the procedures were identical except that participants received only a brief (5 s) LLLT treatment to the intended site, followed by 55 s of no treatment, during each one-minute treatment session. Thus the placebo group received approximately 1/12th of the cumulative light energy density as the active treatment group."</t>
  </si>
  <si>
    <t>Grover</t>
  </si>
  <si>
    <t>USA
(Denver, CO)</t>
  </si>
  <si>
    <t>Acute Effects of Near Infrared Light Therapy on Brain State in Healthy Subjects as Quantified by qEEG Measures.</t>
  </si>
  <si>
    <t>🧑 Human
📄 Single-arm trial (with control phase)
👥 31 participants
⌛ single session*</t>
  </si>
  <si>
    <t>LED phototherapy
LED array (784)</t>
  </si>
  <si>
    <t>0.0167</t>
  </si>
  <si>
    <t>360
cm2</t>
  </si>
  <si>
    <t>"Change in reaction time significantly differed between treated and control, with a mean of 23.8 msec improvement compared with controls (p = 0.035). Amplitude increased an average of 0.81 μV in treatment versus 0.22 μV in controls and did not reach significance."
"The data suggest that NIR light may have an acute effect on reaction time and amplitude in certain subject subsets. There were no adverse events registered across the 31 subjects in the treatment group, nor in the 18 evaluable control group subjects."</t>
  </si>
  <si>
    <t>* the control measurement was 2-4 months later</t>
  </si>
  <si>
    <t>Transcranial infrared laser stimulation improves rule-based, but not information-integration, category learning in humans.</t>
  </si>
  <si>
    <t>🧑 Human
🎲 Randomized trial, sham-controlled
👥 118 participants
⌛ single session</t>
  </si>
  <si>
    <t>480
(2p)</t>
  </si>
  <si>
    <t>"Participants (n=118) received either active infrared laser to the lateral prefrontal cortex or sham (placebo) stimulation, and then learned one of two category structures-a rule-based structure optimally learned by the reflective system, or an information-integration structure optimally learned by the reflexive system.
We found that prefrontal rule-based learning was substantially improved following transcranial infrared laser stimulation as compared to placebo (treatment X block interaction: F(1, 298)=5.117, p=0.024), while information-integration learning did not show significant group differences (treatment X block interaction: F(1, 288)=1.633, p=0.202).
These results highlight the exciting potential of transcranial infrared laser stimulation for cognitive enhancement and provide insight into the neurobiological underpinnings of category learning."</t>
  </si>
  <si>
    <t>Sham treatment was 5 sec of PBM and 55 seconds of no treatment.</t>
  </si>
  <si>
    <t>Hwang</t>
  </si>
  <si>
    <t>Cognitive enhancement by transcranial laser stimulation and acute aerobic exercise.</t>
  </si>
  <si>
    <t>🧑 Human
🎲 Randomized trial
👥 60 participants
⌛ single session (after baseline measurement day)</t>
  </si>
  <si>
    <t>PBM vs exercise</t>
  </si>
  <si>
    <t>"The transcranial infrared laser stimulation and acute aerobic exercise treatments were similarly effective for cognitive enhancement, suggesting that they augment prefrontal cognitive functions similarly."</t>
  </si>
  <si>
    <t>Groups:
(1) LLLT
(2) exercise
(3) LLLT + exercise
(4) control</t>
  </si>
  <si>
    <t>Gonzalez-Lima &amp; Barrett</t>
  </si>
  <si>
    <t>Front Syst Neurosci</t>
  </si>
  <si>
    <t>Augmentation of cognitive brain functions with transcranial lasers.</t>
  </si>
  <si>
    <t>"Opinion article"</t>
  </si>
  <si>
    <t>"Transcranial absorption of photon energy by cytochrome oxidase, the terminal enzyme in mitochondrial respiration, is proposed as the bioenergetic mechanism of action of LLLT in the brain. Transcranial LLLT up-regulates cortical cytochrome oxidase and enhances oxidative phosphorylation. LLLT improves prefrontal cortex-related cognitive functions, such as sustained attention, extinction memory, working memory, and affective state. Transcranial infrared stimulation may be used efficaciously to support neuronal mitochondrial respiration as a new non-invasive, cognition-improving intervention in animals and humans. This fascinating new approach should also be able to influence other brain functions depending on the neuroanatomical site stimulated and the stimulation parameters used."</t>
  </si>
  <si>
    <t>Barrett &amp; Gonzalez-Lima</t>
  </si>
  <si>
    <t>Transcranial infrared laser stimulation produces beneficial cognitive and emotional effects in humans.</t>
  </si>
  <si>
    <t>🧑 Human
🎲 Randomized trial, sham-controlled
👥 40 participants
⌛ single session -&gt; 2 week follow-up</t>
  </si>
  <si>
    <t>"Reaction time in a sustained-attention psychomotor vigilance task (PVT) was significantly improved in the treated (n=20) vs. placebo control (n=20) groups, especially in high novelty-seeking subjects.
Performance in a delayed match-to-sample (DMS) memory task showed also a significant improvement in treated vs. control groups as measured by memory retrieval latency and number of correct trials.
The Positive and Negative Affect Schedule (PANAS-X), which tracks self-reported positive and negative affective (emotional) states over time, was administered immediately before treatment and 2 weeks after treatment. The PANAS showed that while participants generally reported more positive affective states than negative, overall affect improved significantly in the treated group due to more sustained positive emotional states as compared to the placebo control group.
These data imply that transcranial laser stimulation could be used as a non-invasive and efficacious approach to increase brain functions such as those related to cognitive and emotional dimensions."</t>
  </si>
  <si>
    <t>Rojas</t>
  </si>
  <si>
    <t>Low-level light therapy improves cortical metabolic capacity and memory retention.</t>
  </si>
  <si>
    <t>"Experiment 1 verified that LLLT increased the rate of oxygen consumption in the prefrontal cortex in vivo. Experiment 2 showed that LLLT-treated rats had an enhanced extinction memory as compared to controls. Experiment 3 showed that LLLT reduced fear renewal and prevented the reemergence of extinguished conditioned fear responses. Experiment 4 showed that LLLT induced hormetic dose-response effects on the metabolic capacity of the prefrontal cortex."</t>
  </si>
  <si>
    <t>Concussion</t>
  </si>
  <si>
    <t>Taylor</t>
  </si>
  <si>
    <t>Med Sci Sports Exerc</t>
  </si>
  <si>
    <t>A Randomized, Double-Blinded, Placebo-Controlled Clinical Trial Evaluating Transcranial Photobiomodulation as Treatment for Concussion</t>
  </si>
  <si>
    <t>🧑 Human
🎲 Randomized trial, sham-controlled
👥 48 participants (completed)
⌛ 6 weeks</t>
  </si>
  <si>
    <t>600+
600</t>
  </si>
  <si>
    <t>18
/ 6 weeks</t>
  </si>
  <si>
    <t>"Despite showing promise in previous investigations, our study did not show benefit to tPBM over placebo therapy in patients experiencing persistent post-concussion symptoms."</t>
  </si>
  <si>
    <t>Chao</t>
  </si>
  <si>
    <t>Changes in Brain Function and Structure After Self-Administered Home Photobiomodulation Treatment in a Concussion Case</t>
  </si>
  <si>
    <t>🧑 Human
📄 Case report
⌛8-week treatment + 14 months follow-up</t>
  </si>
  <si>
    <t>"The subject was a 23-year professional hockey player with a history of concussions, presumed to have caused his symptoms of headaches, mild anxiety, and difficulty concentrating. He treated himself at home with commercially available, low-risk PBM devices that used light-emitting diodes (LEDs) to emit 810-nm light pulsing at 10 or 40 Hz delivered by an intranasal and four transcranial modules that targeted nodes of the default mode network (DMN) with a maximum power density of 100 mW/cm2.
After 8 weeks of PBM treatments, increased brain volumes, improved functional connectivity, and increased cerebral perfusion and improvements on neuropsychological test scores were observed. Although this is a single, sport-related case with a history of concussions, these positive findings encourage replication studies that could provide further validation for this non-invasive, non-pharmacological modality as a viable treatment option for TBI."</t>
  </si>
  <si>
    <t>Delirium</t>
  </si>
  <si>
    <t>Leditschke &amp; Laakso</t>
  </si>
  <si>
    <t>Acute Delirium and Transcranial Photobiomodulation</t>
  </si>
  <si>
    <t>📰 Guest editorial</t>
  </si>
  <si>
    <t>Depression</t>
  </si>
  <si>
    <t>Hao</t>
  </si>
  <si>
    <t>Photodermatol Photoimmunol Photomed</t>
  </si>
  <si>
    <t>Efficacy of transcranial photobiomodulation in the treatment for major depressive disorder: A TMS-EEG and pilot study</t>
  </si>
  <si>
    <t>🧑 Human
📄 Single-arm study
👥 11 participants
⌛ 14-day treatment -&gt; 8-week follow-up</t>
  </si>
  <si>
    <t>14
/ 14 days</t>
  </si>
  <si>
    <t>"All of scales scores in the 11 patients decreased significantly after 14-day tPBM (p &lt; .01) and remained at 8-week follow-up. The time-varying brain network analysis suggested that the brain regions with enhanced connection information outflow in MDD became gradually more similar to healthy controls after treatment."</t>
  </si>
  <si>
    <t>Shirkavand</t>
  </si>
  <si>
    <t>A Brief Review of Low-Level Light Therapy in Depression Disorder</t>
  </si>
  <si>
    <t>"Here in our review, we aim to present the application of LLLT to help with depression, explore potential action mechanisms and pathways, discuss existing limitations, and address the challenges associated with its clinical implementation."
Comment: The review doesn't address the relevant clinical trials.</t>
  </si>
  <si>
    <t>Zheng</t>
  </si>
  <si>
    <t>China
(Xi'an)</t>
  </si>
  <si>
    <t>Nan Fang Yi Ke Da Xue Xue Bao</t>
  </si>
  <si>
    <t>[Near-infrared light therapy ameliorates depression-induced intestinal dysfunction in rats possibly by activating PGC-1 α/Nrf2 signaling and increasing hippocampal BDNF expression]</t>
  </si>
  <si>
    <t>Intestinal dysfunction from chronic stress</t>
  </si>
  <si>
    <t>NIR (?)</t>
  </si>
  <si>
    <t>"NIR light therapy can significantly improve depression-like behavior and intestinal function in rats possibly by ameliorating oxidative stress via the PGC-1α/Nrf2 signaling pathway and increasing BDNF level in the hippocampus."</t>
  </si>
  <si>
    <t>Efficacy of Transcranial Photobiomodulation on Depressive Symptoms: A Meta-Analysis</t>
  </si>
  <si>
    <t>"[T]he meta-analysis of the few double-blind, sham-controlled studies in MDD has not supported the statistically significant superiority of tPBM over sham (Hedges' g = 0.499, p = 0.211, k = 3), although a sample size bias is likely present."
"Overall, this meta-analysis provides weak support for the promising role of tPBM in the treatment of depressive symptoms. Dose finding studies to determine optimal tPBM parameters followed by larger, randomized, sham-controlled studies will be needed to fully demonstrate the antidepressant efficacy of tPBM."</t>
  </si>
  <si>
    <t>Vieira</t>
  </si>
  <si>
    <t>Brazil &amp; USA</t>
  </si>
  <si>
    <t>Harv Rev Psychiatry</t>
  </si>
  <si>
    <t>Photobiomodulation for Major Depressive Disorder: Linking Transcranial Infrared Light, Biophotons and Oxidative Stress</t>
  </si>
  <si>
    <t>"The aims of this Review are to evaluate the current clinical and preclinical literature on t-PBM in MDD and to discuss candidate mechanisms for effects of t-PBM in MDD, with specific attention to biophotons and oxidative stress."
"After a systematic screening, only 19 studies containing original data were included in this review (9 clinical and 10 preclinical trials). Study results demonstrate consensus that t-PBM is a safe and potentially effective treatment; however, varying treatment parameters among studies complicate definitive conclusions about efficacy."
"We suggest that future trials include biological measures to better understand the mechanisms of action of t-PBM and to optimize treatment efficiency. Of particular interest going forward will be studying potential effects of t-PBM-an external light source on the NIR spectra-on neural circuitry implicated in depression."</t>
  </si>
  <si>
    <t>Psychiatr Clin North Am</t>
  </si>
  <si>
    <t>Photobiomodulation: An Emerging Treatment Modality for Depression</t>
  </si>
  <si>
    <t>"The aim of this review was to revisit the antidepressant effects of t-PBM, with a special emphasis on individuals with [treatment-resistant depression]"</t>
  </si>
  <si>
    <t>Guo</t>
  </si>
  <si>
    <t>Transl Psychiatry</t>
  </si>
  <si>
    <t>Neuroinflammation mechanisms of neuromodulation therapies for anxiety and depression</t>
  </si>
  <si>
    <t>"Neuromodulation therapies, including transcranial magnetic stimulation (TMS), transcranial electrical stimulation (TES), electroconvulsive therapy (ECT), photobiomodulation (PBM), transcranial ultrasound stimulation (TUS), deep brain stimulation (DBS), and vagus nerve stimulation (VNS), all have been reported to attenuate neuroinflammation and reduce the release of pro-inflammatory factors, which may be one of the reasons for mood improvement. This review provides a better understanding of the effective mechanism of neuromodulation therapies and indicates that inflammatory biomarkers may serve as a reference for the assessment of pathological conditions and treatment options in anxiety and depression."</t>
  </si>
  <si>
    <t>McEachern</t>
  </si>
  <si>
    <t>USA &amp; Brazil</t>
  </si>
  <si>
    <t>Psychiatr Ann</t>
  </si>
  <si>
    <t>Transcranial Photobiomodulation (tPBM) for Major Depressive Disorder</t>
  </si>
  <si>
    <t>"Preliminary clinical trials have shown that NIR tPBM is effective at decreasing symptoms of depression compared to sham, however optimal dosimetry is still uncertain. In some reports, the antidepressant effects of tPBM were sustained after treatment discontinuation. Choice of adequate treatment parameters is likely critical to the efficacy and tolerability of tPBM for MDD. General conclusions can be drawn to guide clinicians to the off-label use of tPBM for MDD in clinical practice."</t>
  </si>
  <si>
    <t>Healio</t>
  </si>
  <si>
    <t>J Clin Psychiatry</t>
  </si>
  <si>
    <t>Very Low-Level Transcranial Photobiomodulation for Major Depressive Disorder: The ELATED-3 Multicenter, Randomized, Sham-Controlled Trial</t>
  </si>
  <si>
    <t>🧑 Human
🎲 Randomized trial, double-blind
👥 54 participants
⌛ 6 weeks</t>
  </si>
  <si>
    <t>0.0548</t>
  </si>
  <si>
    <t>65.8</t>
  </si>
  <si>
    <t>35.8
cm2
treatment
area</t>
  </si>
  <si>
    <t>"There were no significant differences between t-PBM and sham with respect to the change in HDRS-17 (t = -0.319, P = .751) or QIDS-C (t = -0.499, P = .620) scores. The sham effect was reasonably low."
"Mostly uncontrolled studies suggest the efficacy of t-PBM for MDD; however, its optimal dose is still to be defined. A minimal dose threshold is likely necessary, similarly to other neuromodulation techniques in MDD (electroconvulsive therapy, transcranial magnetic stimulation). We established a threshold of inefficacy of t-PBM for MDD, based on combined low irradiance, low energy per session, and low number of sessions."</t>
  </si>
  <si>
    <t>Caldieraro</t>
  </si>
  <si>
    <t>Dosimetry and Clinical Efficacy of Transcranial Photobiomodulation for Major Depression Disorder: Could they Guide Dosimetry for Alzheimer's Disease?</t>
  </si>
  <si>
    <t>Parameters / Dosing
Alzheimer's disease</t>
  </si>
  <si>
    <t>"The greatest effect sizes for the antidepressant effect were found in studies using pulse-wave t-PBM with high peak irradiance (but low average irradiance) over large skin surface. One well-designed and sufficiently powered, double-blind, sham-controlled trial indicated that t-PBM with low irradiance over a small skin surface is ineffective to treat depression."</t>
  </si>
  <si>
    <t>Farazi</t>
  </si>
  <si>
    <t>Synergistic effects of combined therapy with transcranial photobiomodulation and enriched environment on depressive- and anxiety-like behaviors in a mice model of noise stress</t>
  </si>
  <si>
    <t>"Exposure to noise stress significantly elevated serum corticosterone level; downregulated hippocampal BDNF, TrkB, and CREB protein expressions; and resulted in depressive- and anxiety-like behaviors.
While, the application of tPBM (810 nm wavelength, 8 J/cm2 fluence, 10 Hz pulsed wave mode), housing in EE [enriched environment], and their combination lowered corticosterone levels, upregulated the BDNF/TrkB/CREB signaling pathway in the hippocampus, and improved behavioral outcomes in noise stress subjected mice."</t>
  </si>
  <si>
    <t>Mohammed &amp; Khadrawy</t>
  </si>
  <si>
    <t>Antidepressant and antioxidant effects of transcranial irradiation with 830-nm low-power laser in an animal model of depression</t>
  </si>
  <si>
    <t>"The present findings provide evidence for the antidepressant and antioxidant actions of NIR low-power laser in the rat model of depression. Accordingly, low-laser irradiation may be presented as a potential candidate modality for depression treatment."
"As shown in Table 2, repeated reserpine administration has significantly increased the average immobilization time in [forced swimming test] and decreased the active swimming and climbing time with respect to the control group of animals. Laser treatment on the other hand has restored the values of the immobilization and activity into control-like values."</t>
  </si>
  <si>
    <t>USA
(Augusta, GA)</t>
  </si>
  <si>
    <t>Photobiomodulation Therapy Attenuates Anxious-Depressive-Like Behavior in the TgF344 Rat Model</t>
  </si>
  <si>
    <t>"Behavioral tests showed that: 1) no spatial memory deficits were detected in TgF344 rats at 10 months of age; 2) PBM alleviated anxious-depressive-like behavior in TgF344 rats; 3) PBM attenuated neuronal damage, degeneration, and apoptosis; and 4) PBM suppresses neuroinflammation and oxidative stress."</t>
  </si>
  <si>
    <t>Oxid Med Cell Longev</t>
  </si>
  <si>
    <t>Photobiomodulation Therapy Ameliorates Glutamatergic Dysfunction in Mice with Chronic Unpredictable Mild Stress-Induced Depression</t>
  </si>
  <si>
    <t>"Results showed that PBMT decreased extracellular glutamate levels via upregulation of glutamate transporter-1 (GLT-1) and rescued astrocyte loss in the cerebral cortex and hippocampus, which also alleviated dendritic atrophy and upregulated the expression of AMPA receptors on the postsynaptic membrane, ultimately exhibiting behaviorally significant antidepressant effects in mice exposed to chronic unpredictable mild stress (CUMS). Notably, PBMT also obtained similar antidepressant effects in a depressive mouse model subcutaneously injected with corticosterone (CORT).
Evidence from in vitro mechanistic experiments demonstrated that PBMT treatment significantly increased both the GLT-1 mRNA and protein levels via the Akt/NF-κB signaling pathway. NF-κB-regulated transcription was in an Akt-dependent manner, while inhibition of Akt attenuated the DNA-binding efficiency of NF-κB to the GLT-1 promoter. Importantly, in vitro, we further found that PKA activation was responsible for phosphorylation and surface levels of AMPA receptors induced by PBMT, which is likely to rescue excitatory synaptic transmission.
Taken together, our research suggests that PBMT as a feasible therapeutic approach has great potential value to control the progression of depression"</t>
  </si>
  <si>
    <t>Kerppers</t>
  </si>
  <si>
    <t>Brazil
(Paraná)</t>
  </si>
  <si>
    <t>Study of transcranial photobiomodulation at 945-nm wavelength: anxiety and depression.</t>
  </si>
  <si>
    <t>🧑 Human
📄 Controlled, non-randomized trial
👥 22 participants
⌛ 30 days</t>
  </si>
  <si>
    <t>9.35</t>
  </si>
  <si>
    <t>30
over
30 days</t>
  </si>
  <si>
    <t>"The 945-nm LED transcranial photobiomodulation improves brain activity and may clinically decrease anxiety and depression."
Comment: The paper is somewhat strangely written, and it seems that the between-the-groups changes (before-after) haven't been tested for statistical significance.</t>
  </si>
  <si>
    <t>Askalsky &amp; Iosifescu</t>
  </si>
  <si>
    <t>Transcranial Photobiomodulation For The Management Of Depression: Current Perspectives</t>
  </si>
  <si>
    <t>"Animal and human studies, using a variety of t-PBM settings and experimental models, suggest that t-PBM may have significant efficacy and good tolerability in MDD. In aggregate, these data support the need for large confirmatory studies for t-PBM as a novel, likely safe, and easy-to-administer antidepressant treatment."</t>
  </si>
  <si>
    <t>Near-infrared photobiomodulation combined with coenzyme Q10 for depression in a mouse model of restraint stress: reduction in oxidative stress, neuroinflammation, and apoptosis.</t>
  </si>
  <si>
    <t>PBM vs CoQ10</t>
  </si>
  <si>
    <t>33.3</t>
  </si>
  <si>
    <t>"PBM or CoQ10, or the combination, ameliorated depressive-like behaviors induced by restraint stress as indicated by decreased immobility time in both the FST and TST. PBM and/or CoQ10 treatments decreased lipid peroxidation and enhanced total antioxidant capacity (TAC), GSH levels, GPx and SOD activities in both brain areas. The neuroinflammatory response in the HIP and PFC was suppressed, as indicated by decreased NF-kB, p38, and JNK levels in PBM and/or CoQ10 groups. Intrinsic apoptosis biomarkers, BAX, Bcl-2, cytochrome c release, and caspase-3 and -9, were also significantly down-regulated by both treatments. Furthermore, both treatments decreased the elevated serum levels of cortisol, corticosterone, TNF-α, and IL-6 induced by restraint stress. 
Transcranial NIR PBM and CoQ10 therapies may be effective antidepressant strategies for the prevention of psychopathological and behavioral symptoms induced by stress."</t>
  </si>
  <si>
    <t>Eshaghi</t>
  </si>
  <si>
    <t>Transcranial photobiomodulation prevents anxiety and depression via changing serotonin and nitric oxide levels in brain of depression model mice: A study of three different doses of 810 nm laser.</t>
  </si>
  <si>
    <t>4.75
skin
~1.6
cortex</t>
  </si>
  <si>
    <t>4
8
16
@ cortex</t>
  </si>
  <si>
    <t>2.5
5
10</t>
  </si>
  <si>
    <t>9
/3wk</t>
  </si>
  <si>
    <t>"Our results demonstrated that NIR TPBM had an anti-anxiety and anti-depressive effect in CRS mice, which is probably linked to increasing 5-HT and decreasing NO levels in the PFC and Hipp areas. Also, the maximum anti-anxiety and anti-depressive effect was produced at dose of 8 J/cm2 ."</t>
  </si>
  <si>
    <t>Cassano</t>
  </si>
  <si>
    <t>Transcranial Photobiomodulation for the Treatment of Major Depressive Disorder. The ELATED-2 Pilot Trial.</t>
  </si>
  <si>
    <t>🧑 Human
🎲 Randomized trial, double-blind
👥 21 participants
⌛ 8 weeks</t>
  </si>
  <si>
    <t>up to
65.2</t>
  </si>
  <si>
    <t>1200-
1800</t>
  </si>
  <si>
    <t>16
over
8 weeks</t>
  </si>
  <si>
    <t>"The effect size for the antidepressant effect of t-PBM, based on change in HAM-D17 total score at end-point, was 0.90, 0.75, and 1.5 (Cohen's d), respectively for BOCF (n = 21), LOCF (n = 19), and completers (n = 13). Further, t-PBM was fairly well tolerated, with no serious adverse events."
"t-PBM with NIR light demonstrated antidepressant properties with a medium to large effect size in patients with MDD. Replication is warranted, especially in consideration of the small sample size."
Comment: The subsequent ELATED-3 trial has been completed. The study showed null results but the study has not been published in a peer-reviewed journal to this date (April 2022) (https://clinicaltrials.gov/ct2/show/results/NCT02959307). However, the dose parameters are slightly different between ELATED-2 and ELATED-3.</t>
  </si>
  <si>
    <t>Device: Omnilux New U (Photomedex, Inc., Montgomeryville, PA)</t>
  </si>
  <si>
    <t>Caldieraro &amp; Cassano</t>
  </si>
  <si>
    <t>Transcranial and systemic photobiomodulation for major depressive disorder: A systematic review of efficacy, tolerability and biological mechanisms.</t>
  </si>
  <si>
    <t>"Studies on animal models indicate a benefit from PBM that is comparable to antidepressant medications. Clinical studies also indicate a significant antidepressant effect and good tolerability."
"A RCT designed to assess the efficacy of t-PBM as a primary treatment for MDD included 21 participants randomized to receive bilateral stimulation on DLPFC (EEG sites F3 and F4) or sham treatment twice-a-week for 8 weeks (Cassano et al., 2018b). Treatment was delivered by a LED device (Omnilux New U, Photomedex Inc.) emitting NIR (823nm).
The duration of the initial sessions was 20 minutes, and subsequent sessions could be extended up to 30 minutes based on clinical judgment. The decrease in depression severity – assessed by the HAM-D17 from baseline to endpoint – was significantly greater in the PBM group compared to the sham (-10.8 ± 7.55 vs. -4.4 ± 6.65). Response (decrease in HAM-D17 scores ≥50%) was observed in 50% of those who receive the active treatment and in 27% of those in the sham group."</t>
  </si>
  <si>
    <t>Gabel CP</t>
  </si>
  <si>
    <t>A case control series for the effect of photobiomodulation in patients with low back pain and concurrent depression</t>
  </si>
  <si>
    <t>🧑 Human
📄 Retrospective study
👥 5 cases + 5 controls
⌛ 5 weeks</t>
  </si>
  <si>
    <t>360
(12p)</t>
  </si>
  <si>
    <t>"After treatment, the mean decrease in depression scores (OMSQ-12 item #6) was significantly larger in the PBM-group (43.0 ± 22.0 vs. 8.0 ± 5.7, t(8) = 3.449, p = 0.009). Improvement in functional status (ARGS) in the PBM-group was similar to that in the controls (42.0 ± 13.5 vs. 43.4 ± 11.1, t(8) = 0.179, p = 0.862), suggesting group differences in antidepressant effect were independent of functional status improvement. 
Conclusions: This preliminary investigation suggests that an antidepressant effect may result from PBM to the back and thighs in patients with LBP and concurrent depression."</t>
  </si>
  <si>
    <t>J Clin Psychopharmacol</t>
  </si>
  <si>
    <t>Long-Term Near-Infrared Photobiomodulation for Anxious Depression Complicated by Takotsubo Cardiomyopathy.</t>
  </si>
  <si>
    <t>🧑 Human
📄 Case report
⌛</t>
  </si>
  <si>
    <t>810
830</t>
  </si>
  <si>
    <t>"This report describes the case of a 76-year-old white woman, diagnosed with MDD with anxious distress, hypertrophic obstructive cardiomyopathy, and Takotsubo cardiomopathy, who had responded to cautious antidepressant pharmacotherapy, but failed to achieve remission, and who subsequently received a 31-month augmentation with NIR PBM."
"In conclusion, long-term augmentation with PBM was well tolerated. The anxiety symptoms steadily improved with the add-on of i-PBM and then with the combination of i-PBM and t-PBM."</t>
  </si>
  <si>
    <t>Devices: Vielight 810 for i-PBM and Omnilux New U device (Photomedex Inc) for t-PBM.</t>
  </si>
  <si>
    <t>Henderson &amp; Morries</t>
  </si>
  <si>
    <t>Multi-Watt Near-Infrared Phototherapy for the Treatment of Comorbid Depression: An Open-Label Single-Arm Study.</t>
  </si>
  <si>
    <t>🧑 Human
📄 Retrospective study
👥 39 participants
⌛ ~ 4-8 weeks</t>
  </si>
  <si>
    <t>810/
980</t>
  </si>
  <si>
    <t>8000
-
15000</t>
  </si>
  <si>
    <t>8-34
over
4-8 weeks</t>
  </si>
  <si>
    <t>"For 36 of the 39 patients, after 16.82 ± 6.26 treatments, QIDS scores indicated a robust response (decrease of QIDS total score by ≥50%). For 32 of 39 patients, posttreatment QIDS scores indicated a remission from depression (decrease of QIDS total score ≤5). Overall, the QIDS score fell from 14.10 ± 3.39 to 3.41 ± 3.30 SD (p = 6.29 × 10-19)."
"This is the first report of high-powered NILT showing efficacy for depression. Multi-Watt NILT showed far greater efficacy and persistent benefit compared to low-power (&lt;1 Watt) infrared light treatments. Patients saw benefit often within four treatments and resolution of depressive symptoms occurred within 4 weeks for some. These data raise an intriguing possibility-that multi-Watt NILT may be a safe, effective, and rapid treatment for depression comorbid with TBI and possibly primary major depression disorder. A double-blind, placebo controlled trial is warranted to verify these proof-of-concept data."</t>
  </si>
  <si>
    <t>Regarding the PBM dosing: 
"Our recent tissue studies demonstrate no penetration of low-level (0.5–6.0 W) NIR energy through 3 cm of skin, skull and brain (35). However, at 10–15 W, 0.45 to 2.9% of 810 nm light penetrated 3 cm of tissue. A 15 W 810 nm NIR device (continuous or non-pulsed) delivered 2.9% of the surface power density to 3 cm of depth. Pulsing at 10 Hz reduced the dose of light delivered to the surface by 50%, but 2.4% of the surface energy reached the depth of 3 cm (35). 
Based on the power densities of 55–81 J/cm2 delivered to the skin of patients in our clinic, our laboratory data indicate that at the depth of 3 cm into the human brain, we would be delivering 0.8–2.4 J/cm2."</t>
  </si>
  <si>
    <t>Salehpour &amp; Rasta</t>
  </si>
  <si>
    <t>The potential of transcranial photobiomodulation therapy for treatment of major depressive disorder.</t>
  </si>
  <si>
    <t>"In this review, we focus on some issue relating to the application of photobiomodulation therapy for major depressive disorder. There is some evidence that transcranial photobiomodulation therapy using near-infrared light on 10-Hz pulsed mode appears to be a hopeful technique for treatment of major depressive disorder. However, further studies are necessary to find the safety of this method and to determine its effective treatment protocol."</t>
  </si>
  <si>
    <t>Review of transcranial photobiomodulation for major depressive disorder: targeting brain metabolism, inflammation, oxidative stress, and neurogenesis.</t>
  </si>
  <si>
    <t>"Based on the data collected to date, PBM appears to be a promising treatment for depression that is safe and well-tolerated. However, large randomized controlled trials are still needed to establish the safety and effectiveness of this new treatment for MDD."</t>
  </si>
  <si>
    <t>Disner</t>
  </si>
  <si>
    <t>Transcranial Laser Stimulation as Neuroenhancement for Attention Bias Modification in Adults with Elevated Depression Symptoms.</t>
  </si>
  <si>
    <t>🧑 Human
🎲 Randomized trial, sham-controlled
👥 51 participants
⌛ one session -&gt; 2wk follow-up</t>
  </si>
  <si>
    <t>1064*</t>
  </si>
  <si>
    <t>816
/p
(2p)</t>
  </si>
  <si>
    <t>"A significant three-way interaction between LLLT condition, ABM response, and time indicated that right LLLT led to greater symptom improvement among participants whose attention was responsive to ABM (i.e., attention was directed away from negative stimuli). Minimal change in depression was observed in the left and sham LLLT."
"The results suggest that larger clinical trials examining the efficacy of using photoneuromodulation to augment cognitive training are warranted."</t>
  </si>
  <si>
    <t>* The wavelength is not mentioned in the paper, but this research group always appears to use 1064 nm</t>
  </si>
  <si>
    <t>Mohammed HS</t>
  </si>
  <si>
    <t>Egypt</t>
  </si>
  <si>
    <t>Transcranial low-level infrared laser irradiation ameliorates depression induced by reserpine in rats.</t>
  </si>
  <si>
    <t>80
200
400</t>
  </si>
  <si>
    <t>0.64
1.60
3.18</t>
  </si>
  <si>
    <t>4.8
12
24</t>
  </si>
  <si>
    <t>0.1256
cm2</t>
  </si>
  <si>
    <t>360
(6p)</t>
  </si>
  <si>
    <t xml:space="preserve">Low power (80 mW) ameliorated depressive symptoms.
High power (400 mW) exacerbated depressive symptoms.
</t>
  </si>
  <si>
    <t>China (Jiangsu)</t>
  </si>
  <si>
    <t>Low-Level Laser Irradiation Improves Depression-Like Behaviors in Mice.</t>
  </si>
  <si>
    <t>0.79
cm2
(??)</t>
  </si>
  <si>
    <t>"Our results revealed that LLLT effectively improved depression-like behaviors, in the two depression mice models, by decreasing immobility duration in behavioral despair tests.
In addition, ATP biosynthesis and the level of mitochondrial complex IV expression and activity were significantly elevated in prefrontal cortex (PFC) following LLLT.
Intriguingly, LLLT has no effects on ATP content and mitochondrial complex I-IV levels in other tested brain regions, hippocampus and hypothalamus.
As a whole, these findings shed light on a novel strategy of transcranial LLLT on depression improvement by ameliorating neurotransmitter abnormalities and promoting mitochondrial function in PFC."</t>
  </si>
  <si>
    <t>Janssen</t>
  </si>
  <si>
    <t>USA
(Tucson, AZ)</t>
  </si>
  <si>
    <t>JAMA Psychiatry</t>
  </si>
  <si>
    <t>Whole-Body Hyperthermia for the Treatment of Major Depressive Disorder: A Randomized Clinical Trial.</t>
  </si>
  <si>
    <t>🧑 Human
🎲 Randomized trial, double-blind
👥 30 participants
⌛ 6 weeks</t>
  </si>
  <si>
    <t>Polychromatic light 🌈
Full-body PBM
Water-filtered infrared-A 
Hyperthermic PBM</t>
  </si>
  <si>
    <t>560-
1360
(?)</t>
  </si>
  <si>
    <t>up
to
0.200
(?)</t>
  </si>
  <si>
    <t>"Whole-body hyperthermia holds promise as a safe, rapid-acting, antidepressant modality with a prolonged therapeutic benefit."
Comment: They didn't use just ordinary heating in this study. Instead, they used water-filtered infrared-A device Heckel HT3000. Therefore, the treatment can be interpreted as whole-body photobiomodulation with near-infrared light and the effects might be attributed to both thermal and athermal effects.
Comment: The wavelength information was obtained at https://www.heckel-hyperthermia.com/index.php/en03. The same Heckel website mentions the irradiance: "The water-filtered infrared A radiation of hydrosun® enables a compliant irradiance up to 200 mW/cm2"</t>
  </si>
  <si>
    <t>Iran (Tabriz)</t>
  </si>
  <si>
    <t>Therapeutic effects of 10-HzPulsed wave lasers in rat depression model: A comparison between near-infrared and red wavelengths.</t>
  </si>
  <si>
    <t>6.2
39.3</t>
  </si>
  <si>
    <t>0.089
0.562</t>
  </si>
  <si>
    <t>1.18
14.4</t>
  </si>
  <si>
    <t>"This study showed that non-invasive tLLLT using 10-Hz pulsed NIR laser light was as effective as Citalopram and more effective than red laser in the treatment of depressive-like behaviors and may help improve tLLLT as an alternative non-pharmacological treatments of psychological disorders such as depression."</t>
  </si>
  <si>
    <t>USA
(Bethesda, MD)</t>
  </si>
  <si>
    <t>Pulsed light irradiation improves behavioral outcome in a rat model of chronic mild stress.</t>
  </si>
  <si>
    <t>Chronic mild stress model
PBM vs fluoxetine</t>
  </si>
  <si>
    <t>"TLT was comparable to fluoxetine in improving the behavioral outcome after CMS. TLT did not cause weight loss, which is consistently seen in patients treated with fluoxetine. This study demonstrates that TLT has potential as an effective treatment for depression."</t>
  </si>
  <si>
    <t>Japan
(Oita)</t>
  </si>
  <si>
    <t>Infrared radiation has potential antidepressant and anxiolytic effects in animal model of depression and anxiety.</t>
  </si>
  <si>
    <t>600-
1600</t>
  </si>
  <si>
    <t>1
10</t>
  </si>
  <si>
    <t>"Acutely exposed rats were treated with an infrared radiation machine for one session, whereas chronically exposed animals were treated with an infrared radiation for 10 sessions."
"The infrared emitter had highest emissivity values within 0.6-1.6 μm and a calculated maximal irradiation intensity of 1800-2200 mW. A polyethylene restraint apparatus (a device that modeled the neck and the body of the animal as cylinders and the head as an ellipsoid) was used to immobilize the head and body of the rat during the treatment."
"Chronic infrared radiation exposure decreased indicators of depression- and anxiety-like behavior. No significant effect on general locomotor activity was observed. The number of BrdU-positive cells in CA1 of the hippocampus was significantly increased in both acutely and chronically exposed infrared radiation groups compared with the control group."
"These results indicate that chronic infrared radiation might produce antidepressant- and anxiolytic-like effects."</t>
  </si>
  <si>
    <t>USA
(Harvard; Belmont, MA)</t>
  </si>
  <si>
    <t>Behav Brain Funct</t>
  </si>
  <si>
    <t>Psychological benefits 2 and 4 weeks after a single treatment with near infrared light to the forehead: a pilot study of 10 patients with major depression and anxiety.</t>
  </si>
  <si>
    <t xml:space="preserve">🧑 Human
🎲 Randomized trial (crossover for acute effect)
👥 10 participants
⌛ single session -&gt; 4 week follow-up
</t>
  </si>
  <si>
    <t>Major depression and anxiety</t>
  </si>
  <si>
    <t>480
(2p)</t>
  </si>
  <si>
    <t>"At 2-weeks post treatment 6 of 10 patients had a remission (a score &lt;/= 10) on the HAM-D and 7 of 10 achieved this on the HAM-A."</t>
  </si>
  <si>
    <t>Tsai</t>
  </si>
  <si>
    <t>Taiwan
(Hualien)</t>
  </si>
  <si>
    <t>Prog Neuropsychopharmacol Biol Psychiatry</t>
  </si>
  <si>
    <t>Infrared irradiation has potential antidepressant effect.</t>
  </si>
  <si>
    <t>Far-infrared (non-LLLT)</t>
  </si>
  <si>
    <t>3000-
15000</t>
  </si>
  <si>
    <t>33</t>
  </si>
  <si>
    <t>"This is the first study using an experimental animal design to evaluate the potential antidepressant effect of the infrared irradiation.
The result suggests that daily 60 min infrared irradiation for 4 weeks has potential antidepressant effect.
The result encourages further studies applying infrared irradiation to human for the treatment of depression, especially for those who hesitate to take antidepressants and unable to perform the alternatives such as exercise."</t>
  </si>
  <si>
    <t>Quah-Smith</t>
  </si>
  <si>
    <t>Australia
(Victoria)</t>
  </si>
  <si>
    <t>Acupunct Med</t>
  </si>
  <si>
    <t>Laser acupuncture for mild to moderate depression in a primary care setting--a randomised controlled trial.</t>
  </si>
  <si>
    <t>🧑 Human
🎲 Randomized trial, double-blind
👥 30 participants
⌛ 8 weeks -&gt; 12 week follow-up</t>
  </si>
  <si>
    <t>8 over 4 weeks
--&gt; then 4 over 4 weeks</t>
  </si>
  <si>
    <t>"At the end of the treatment period, Beck Depression Inventory scores fell from baseline by 16.1 points in the intervention group and by 6.8 points in the sham control group (P&lt;0.001). The difference showed only a trend four weeks later, but was again significant after 12 weeks (P=0.007). Laser acupuncture was well tolerated with transient fatigue as the most common adverse effect."
"Laser acupuncture may be worth further investigation as a treatment for mild to moderate depression in primary care."
Comment: The parameters were extremely poorly reported. Even wavelength wasn't mentioned.</t>
  </si>
  <si>
    <t>Meesters</t>
  </si>
  <si>
    <t>Netherlands</t>
  </si>
  <si>
    <t>Biol Psychiatry</t>
  </si>
  <si>
    <t>Prophylactic treatment of seasonal affective disorder (SAD) by using light visors: bright white or infrared light?</t>
  </si>
  <si>
    <t>🧑 Human
🎲 Randomized trial
👥 38 participants
⌛ 26 weeks; from autumn until spring</t>
  </si>
  <si>
    <t>720-
?</t>
  </si>
  <si>
    <t>daily</t>
  </si>
  <si>
    <t>"Almost every light fixture produces light with an infrared component. So, our data indicate that, if light is crucial to the response, it must be that component which is crucial. However, infrared light is beyond the visible range of the spectrum. The 720 nm filter in our light visor still transmitted some visible light. However, its visibility was virtually negligible (0.18 lux). The conclusion of this study might therefore be that the perception of light does not play a role in the therapeutic mechanism. Infrared might be effective through pathways other than those involved in perception."
"Infrared light is just as effective as bright white light. Both are more effective than the control condition."
Comment: In this study, they used a 720nm filter for the bright light to show that the effects of bright light might be mediated by the infrared, not visible light wavelengths.</t>
  </si>
  <si>
    <t>Down syndrome (cognitive performance)</t>
  </si>
  <si>
    <t>Transcranial Photobiomodulation for Down Syndrome.</t>
  </si>
  <si>
    <t>🧑 Human
📄 Case series
👥 3 cases
⌛ 4-8 weeks</t>
  </si>
  <si>
    <t>28.7
cm2
per
size
(2 sites)</t>
  </si>
  <si>
    <t>1200
per
site
(2 sites)</t>
  </si>
  <si>
    <t>"Although no quantitative measures were implemented, the following qualitative changes were reported: 
(1) improved dexterity (fine motor skills) was reported by the caregivers and also demonstrated by more accurate copying of drawings (spiral drawing test) and by more detailed portraits’ drawings (Fig. 2). 
(2) Improved verbal fluency (speaking in full sentences) paired with greater attention, suggesting both a motor and procognitive effect of NIR light.
(3) Noticeable were also the mood and behavioral changes, with less emotional lability, less weeping, less agitation, or physical outbursts.
(4) Greater engagement in leisure activities at home—such as watching TV—was reported by the parents, as they noticed their child required less supervision. They described their child as calmer, less hyperactive, more able to relax, and to attend to the activity of the moment.
(5) Seasonal upper respiratory infections seemed less likely to occur, according to the parents."</t>
  </si>
  <si>
    <t>Early life adversity (ELA)</t>
  </si>
  <si>
    <t>Photobiomodulation attenuates oligodendrocyte dysfunction and prevents adverse neurological consequences in a rat model of early life adversity</t>
  </si>
  <si>
    <t>daily for
7 days</t>
  </si>
  <si>
    <t>"The rats exposed to ELA exhibited obvious oligodendrocyte dysfunction, including a reduction in OPCs differentiation, diminished generation and survival of OLs, decreased OLs, and decreased matured oligodendrocyte. Furthermore, a deficit in myelinating oligodendrocytes was observed, in conjunction with an imbalance in redox homeostasis and accumulated oxidative damage. These alternations were concomitant with cognitive dysfunction and depression-like behaviors. 
Importantly, we found that early PBM treatment largely prevented these pathologies and reversed the neurologic sequelae resulting from ELA."</t>
  </si>
  <si>
    <t>Editorials, etc.</t>
  </si>
  <si>
    <t>Gaggioli A</t>
  </si>
  <si>
    <t>Italy
(Milan)</t>
  </si>
  <si>
    <t>Cyberpsychol Behav Soc Netw</t>
  </si>
  <si>
    <t>Brain Photobiomodulation: A New Strategy to Enhance Cognitive Function?</t>
  </si>
  <si>
    <t>Letter / other</t>
  </si>
  <si>
    <t>EEG</t>
  </si>
  <si>
    <t>Pruitt</t>
  </si>
  <si>
    <t>Simultaneous MEG and EEG source imaging of electrophysiological activity in response to acute transcranial photobiomodulation</t>
  </si>
  <si>
    <t>🧑 Human
📄 Single-arm study
👥 25 participants
⌛ single session</t>
  </si>
  <si>
    <t>"The 8-min tPBM enabled significant increases in alpha (8–12 Hz) and beta (13–30 Hz) powers across multiple cortical regions, as confirmed by MEG and EEG source images. Moreover, tPBM-enhanced oscillations in the beta band were located not only near the stimulation site but also in remote cerebral regions, including the frontal, parietal, and occipital regions, particularly on the ipsilateral side."
"MEG and EEG results shown in this study demonstrated that tPBM modulates neurophysiological activity locally and in distant cortical areas. The EEG topographies reported in this study were consistent with previous observations. This study is the first to present MEG and EEG evidence of the electrophysiological effects of tPBM in the brain space, supporting the potential utility of tPBM in treating neurological diseases through the modulation of brain oscillations."</t>
  </si>
  <si>
    <t>Shahdadian</t>
  </si>
  <si>
    <t>Directed physiological networks in the human prefrontal cortex at rest and post transcranial photobiomodulation</t>
  </si>
  <si>
    <t>🧑 Human
🎲 Randomized trial, crossover, sham-controlled
👥 22 participants
⌛ 1 session per condition (4 conditions), one-week washout period</t>
  </si>
  <si>
    <t>"The results illustrate that the demand for oxygen by neuronal activity and metabolism (EEG and CCO) drives the hemodynamic supply (HbO) in all E/N/M bands in the resting prefrontal cortex. Furthermore, to investigate the effect of transcranial photobiomodulation (tPBM), we performed a sham-controlled study by delivering an 800-nm laser beam to the left and right prefrontal cortex of the same participants. After performing the same data processing and statistical analysis, we obtained novel and important findings: tPBM delivered on either side of the prefrontal cortex triggered the alteration or reversal of directed network couplings among the three neurophysiological entities (i.e., HbO, CCO, and EEG frequency-specific powers) in the physiological network in the E and N bands, demonstrating that during the post-tPBM period, both metabolism and hemodynamic supply drive electrophysiological activity in directed network coupling of the prefrontal cortex (PFC)."
"Overall, this study revealed that tPBM facilitates significant modulation of the directionality of neurophysiological networks in electrophysiological, metabolic, and hemodynamic activities."</t>
  </si>
  <si>
    <t>Truong</t>
  </si>
  <si>
    <t>Temporal and spectral analyses of EEG microstate reveals neural effects of transcranial photobiomodulation on the resting brain</t>
  </si>
  <si>
    <t>🧑 Human
🎲 Randomized trial, crossover, sham-controlled
👥 45 participants
⌛ 1 session per condition (2 conditions), one-week washout period</t>
  </si>
  <si>
    <t>1 per condition
(1 active, 1 sham)</t>
  </si>
  <si>
    <t>"These findings confirm the neurophysiological effects of tPBM on EEG microstates of the resting brain, particularly in class D, which represents brain activation across the frontal and parietal regions. This study helps to better understand tPBM-induced dynamic alterations in EEG microstates that may be linked to the tPBM mechanism of action for the enhancement of human cognition."</t>
  </si>
  <si>
    <t>Shetty</t>
  </si>
  <si>
    <t>India
(Manipal)</t>
  </si>
  <si>
    <t>J Clin Neurosci</t>
  </si>
  <si>
    <t>Effect of transcranial photobiomodulation on electrophysiological activity of brain in healthy individuals: A scoping review</t>
  </si>
  <si>
    <t>📖 Review (scoping review)</t>
  </si>
  <si>
    <t>"10 articles were included in this review. tPBM has been found to increase the higher electrophysiological oscillations and there is inconclusive evidence targeting the lower oscillatory electrophysiological frequencies."
"Transcranial photobiomodulation can have promising effects on the electrophysiological activity of the brain in healthy individuals."</t>
  </si>
  <si>
    <t>Chaudhari</t>
  </si>
  <si>
    <t>Repeated Transcranial Photobiomodulation with Light-Emitting Diodes Improves Psychomotor Vigilance and EEG Networks of the Human Brain</t>
  </si>
  <si>
    <t>🧑 Human
🎲 Randomized trial, sham-controlled
👥 22 participants
⌛ single session</t>
  </si>
  <si>
    <t>660+
810</t>
  </si>
  <si>
    <t>32 cm2 total aperture area</t>
  </si>
  <si>
    <t>"The reaction time of the PVT in the tPBM-treated group was significantly improved over four weeks compared to that in the sham group. 
We observed acute increases in EEG delta and alpha powers during a 10 min LED-tPBM while the participants performed the PVT task. 
We also found that the theta, beta, and gamma EEG powers significantly increased overall after four weeks of LED-tPBM. 
Combining gSVD with eLORETA enabled us to identify EEG brain networks and the corresponding network power changes by repeated 4-week tPBM. 
This study clearly demonstrated that a 4-week prefrontal LED-tPBM can neuromodulate several key EEG networks, implying a possible causal effect between modulated brain networks and improved psychomotor vigilance outcomes."</t>
  </si>
  <si>
    <t>Taiwan
(Taoyuan)</t>
  </si>
  <si>
    <t>Life (Basel)</t>
  </si>
  <si>
    <t>Effects of Near-Infrared Pulsed Light on the Attention of Human Beings Using Electroencephalography</t>
  </si>
  <si>
    <t>🧑 Human
🎲 Randomized trial, sham-controlled, crossover
👥 40 participants
⌛ single session</t>
  </si>
  <si>
    <t>Acute effects</t>
  </si>
  <si>
    <t>30
/diode
(7 diodes)</t>
  </si>
  <si>
    <t>63
(total?)</t>
  </si>
  <si>
    <t>"PBM stimulation was found to induce significant variation in beta activity in most of the regions of the brain in the laser group. Compared to the placebo group, the PBM stimulation has a significant change in beta activity on electroencephalography (EEG). 
Three types of tests, the random number test, the Stroop color-word test, and the Multiple-Dimension Attention Test (MDAT), were used to evaluate the effects of the PBM stimulation. The scores of MDAT in the laser group increased more significantly than those in the placebo group after PBM stimulation (p &lt; 0.01). An improvement in attention was observed in this study."
Comment: If the power is 30mW per diode (total 7 diodes), the total output should be 210 mW and during 10 minutes (600 seconds) of irradiation the total energy should be 0.210 * 600 = 126 joules, twice the 63 J dose claimed in the paper?</t>
  </si>
  <si>
    <t>Device: "PBM stimulator (iRestore Multi-Channel Laser Therapy System, Jin-Ciang Technology, Taoyuan, Taiwan) was applied to the palm of the tester, as shown in Figure 1"</t>
  </si>
  <si>
    <t>J Neural Eng</t>
  </si>
  <si>
    <t>Neuromodulation of brain topography and network topology by prefrontal transcranial photobiomodulation</t>
  </si>
  <si>
    <t>🧑 Human
🎲 Randomized trial, sham-controlled, crossover
👥 45 participants
⌛ two sessions with 5+ day washout</t>
  </si>
  <si>
    <t>0.250
scalp
=
0.0025
cortex</t>
  </si>
  <si>
    <t>1662
scalp
=
16.62
cortex</t>
  </si>
  <si>
    <t>120
scalp
=
1.20
cortex</t>
  </si>
  <si>
    <t>1 PBM
+
1 sham</t>
  </si>
  <si>
    <t>"Frontal tPBM increased EEG alpha and beta powers in the frontal-central-parietal regions, enhanced the complexity of the global beta-wave brain network, and augmented local information flow and integration of beta oscillations across prefrontal cortical regions. 
This study sheds light on the potential link between electrophysiological effects and human cognitive improvement induced by tPBM."</t>
  </si>
  <si>
    <t>Front Hum Neurosci</t>
  </si>
  <si>
    <t>Combination of Group Singular Value Decomposition and eLORETA Identifies Human EEG Networks and Responses to Transcranial Photobiomodulation</t>
  </si>
  <si>
    <t>🧑 Human
🎲 Randomized trial, sham-controlled, crossover
👥 44 participants
⌛ two sessions with 3+ day washout</t>
  </si>
  <si>
    <t>0.257</t>
  </si>
  <si>
    <t>"Our results showed that tPBM-induced increases in alpha powers occurred at default mode network, executive control network, frontal parietal network and lateral visual network."
"Many similarities were found between the cortical locations of SVD-revealed EEG networks and fMRI-identified resting-state networks. This consistency may shed light on mechanistic associations between tPBM-modulated brain networks and improved cognition outcomes."</t>
  </si>
  <si>
    <t>Transcranial photobiomodulation and thermal stimulation induce distinct topographies of EEG alpha and beta power changes in healthy humans</t>
  </si>
  <si>
    <t>🧑 Human
🎲 Randomized trial, sham-controlled, crossover
👥 57 participants
⌛ two sessions within a week</t>
  </si>
  <si>
    <t>Athermal effects of PBM</t>
  </si>
  <si>
    <t>"Overall, this study provided evidence to support our hypothesis, showing that the laser-induced heat on the human forehead is not a mechanistic source causing increases in EEG power during and after tPBM."</t>
  </si>
  <si>
    <t>Ghaderi</t>
  </si>
  <si>
    <t>Transcranial photobiomodulation changes topology, synchronizability, and complexity of resting state brain networks</t>
  </si>
  <si>
    <t>🧑 Human
🎲 Randomized trial, sham-controlled
👥 40 participants
⌛?</t>
  </si>
  <si>
    <t>400
/LED
20
LEDs</t>
  </si>
  <si>
    <t>"Here, we employed electroencephalography and different methods (conventional and spectral) in the graph theory analysis to track the significant effects of tPBM on the resting state brain networks. The non-parametric statistical analysis showed that just one short-term tPBM session over right medial frontal pole can significantly change both topological (i.e. clustering coefficient, global efficiency, local efficiency, eigenvector centrality) and dynamical (i.e. energy, largest eigenvalue, and entropy) features of resting state brain networks."
"The topological results revealed that tPBM can reduce local processing, centrality, and laterality. Furthermore, the increased centrality of central electrode was observed."</t>
  </si>
  <si>
    <t>Transcranial photobiomodulation with 1064-nm laser modulates brain electroencephalogram rhythms.</t>
  </si>
  <si>
    <t>🧑 Human
📄 Non-randomized study, crossover, sham-controlled
👥 20 participants
⌛ single session</t>
  </si>
  <si>
    <t>0.162</t>
  </si>
  <si>
    <t>107</t>
  </si>
  <si>
    <t>13.6
cm2
spot
size</t>
  </si>
  <si>
    <t>1 sham,
1 active</t>
  </si>
  <si>
    <t>"The results show time-dependent, significant increases of EEG spectral powers at the alpha (8 to 13 Hz) and beta (13 to 30 Hz) bands at broad scalp regions, exhibiting a front-to-back pattern. The findings provide the first sham-controlled topographic mapping that tPBM increases the strength of electrophysiological oscillations (alpha and beta bands) while also shedding light on the mechanisms of tPBM in the human brain."</t>
  </si>
  <si>
    <t>Jahan</t>
  </si>
  <si>
    <t>Transcranial near-infrared photobiomodulation could modulate brain electrophysiological features and attentional performance in healthy young adults.</t>
  </si>
  <si>
    <t>🧑 Human
🎲 Randomized trial,  SB
👥 30 participants
⌛single session</t>
  </si>
  <si>
    <t>1.4
cm2
irradiation
area</t>
  </si>
  <si>
    <t>"The study presented that light irradiation with 850-nm LED source on right PFC could change brain electrical activity and has beneficial effects on attentional performance."
Comment: The authors claim that fluence ("energy density") was 60 J/cm2 but according to the other parameters it seems the dose was 60 J (radiant energy) and 42.75 J/cm2 (fluence).</t>
  </si>
  <si>
    <t>Sham: "The sham group received only a 5-s light irradiation for each 1-min. "</t>
  </si>
  <si>
    <t>Zomorrodi</t>
  </si>
  <si>
    <t>Pulsed Near Infrared Transcranial and Intranasal Photobiomodulation Significantly Modulates Neural Oscillations: a pilot exploratory study.</t>
  </si>
  <si>
    <t>🧑 Human
🎲 Randomized trial, double-blind
👥 20 participants
⌛ single session</t>
  </si>
  <si>
    <t>810
(PW 40 Hz)</t>
  </si>
  <si>
    <t>240</t>
  </si>
  <si>
    <t>"Using electroencephalography (EEG), we found that a single session of tPBM significantly increases the power of the higher oscillatory frequencies of alpha, beta and gamma and reduces the power of the slower frequencies of delta and theta in subjects in resting state. 
Furthermore, the analysis of network properties using inter-regional synchrony via weighted phase lag index (wPLI) and graph theory measures, indicate the effect of tPBM on the integration and segregation of brain networks."</t>
  </si>
  <si>
    <t>Wu &amp; Chang</t>
  </si>
  <si>
    <t>Effect of low-level laser stimulation on EEG power in normal subjects with closed eyes.</t>
  </si>
  <si>
    <t>🧑 Human
🎲 Randomized trial, double-blind
Crossover
👥 20 participants
⌛two sessions: active and sham</t>
  </si>
  <si>
    <t>14.8
mm2</t>
  </si>
  <si>
    <t>1 active,
1 sham</t>
  </si>
  <si>
    <t>"We found a pronounced decrease in the EEG power in alpha-bandwidth during laser simulation and then less decrease in the EEG power in delta-bandwidth in normal subjects with laser stimulation. The EEG power in beta-bandwidth in the right occipital area also decreased significantly in the laser group. We suggest that LLL stimulation might be conducive to falling into sleep in patients with sleep problems."</t>
  </si>
  <si>
    <t>Effect of Low-Level Laser Stimulation on EEG</t>
  </si>
  <si>
    <t>🧑 Human
🎲 Randomized trial, sham-controlled
👥 40 participants
⌛ uninterpretable (1 or 6 sessions?)</t>
  </si>
  <si>
    <t>14.8
mm2
beam
area</t>
  </si>
  <si>
    <t>1 or 6 (?)</t>
  </si>
  <si>
    <t>"We found that the low-level laser stimulation was able to increase the power of alpha rhythms and theta waves, mainly in the posterior head regions. These effects lasted at least 15 minutes after cessation of the laser stimulation. The amplitude power of beta activities in the anterior head regions decreased after laser stimulation. We thought these EEG changes comparable to those in meditation."</t>
  </si>
  <si>
    <t>Epilepsy</t>
  </si>
  <si>
    <t>Cell Biosci</t>
  </si>
  <si>
    <t>Photobiomodulation improves the synapses and cognitive function and ameliorates epileptic seizure by inhibiting downregulation of Nlgn3</t>
  </si>
  <si>
    <t>825
(in vivo)
850
(in vitro)</t>
  </si>
  <si>
    <t>0.040</t>
  </si>
  <si>
    <t>15.2</t>
  </si>
  <si>
    <t>"Our findings demonstrate that PBM attenuates epileptic excitotoxicity, neurodegeneration and cognitive decline induced by TLE through inhibition of the Nlgn3 gene decrease induced by excitotoxicity."</t>
  </si>
  <si>
    <t>Torres-Martinez</t>
  </si>
  <si>
    <t>Lights for epilepsy: can photobiomodulation reduce seizures and offer neuroprotection?</t>
  </si>
  <si>
    <t>"One of the major issues associated with the treatment of epilepsy is that many patients do not respond to, and/or suffer major side effects from, the drug treatment; further, the surgery option remains highly invasive and has a risk of morbidity. For these patients, there are few effective alternatives, particularly non-pharmacological and non-invasive. In this context, there are some encouraging, early findings in animal models of epilepsy that photobiomodulation treatment - by targeting the key source of the cellular dysfunction in epilepsy, namely the mitochondria - is effective in reducing two of the mainstays of the disorder: that is (1) the abnormal neuronal firing and seizure-like activity and (2) the neuronal death. Together with these beneficial outcomes, photobiomodulation is a treatment that is non-pharmacological and non-invasive, and the devices are easy to use; further, it has an excellent safety record with little or no evidence of side effects. 
When taking all these positive pre-clinical results together, photobiomodulation appears to be an ideal alternative treatment option for patients suffering from epilepsy, and the stage is set for the development of a large-scale clinical trial."</t>
  </si>
  <si>
    <t>Photobiomodulation regulates adult neurogenesis in the hippocampus in a status epilepticus animal model</t>
  </si>
  <si>
    <t>0.050
at skin
0.032
at brain</t>
  </si>
  <si>
    <t>14 mm2
spot size</t>
  </si>
  <si>
    <t>1 or 5</t>
  </si>
  <si>
    <t>"In the present study, we found that PBM transformed SE-induced abnormal neurogenesis to normal neurogenesis. We demonstrated that PBM plays a key role in normal hippocampal neurogenesis by enhancing the migration of maturing granular cells (early neuronal cells) to the GCL, and that normal neurogenesis induced by PBM prevents SE-induced hippocampal neuronal loss in CA1. 
Thus, PBM is a novel approach to prevent seizure-induced neuronal degeneration, for which light devices may be developed in the future."</t>
  </si>
  <si>
    <t>Mitochondrial Photobiomodulation as a Neurotherapeutic Strategy for Epilepsy</t>
  </si>
  <si>
    <t>"Transcranial PBM may treat the mitochondrial dysfunction in epilepsy by upregulating CCO, which is the terminal enzyme in mitochondrial respiration. This mitochondrial mechanism of action of PBM might benefit epilepsy because transcranial PBM is neuroprotective and improves human neurocognitive functions affected by epilepsy. This fascinating new intervention is safe and non-invasive and should be tested further to confirm if augmenting neuronal mitochondrial respiration is a neurotherapeutic strategy for epilepsy."</t>
  </si>
  <si>
    <t>Transcranial photobiomodulation (808 nm) attenuates pentylenetetrazole-induced seizures by suppressing hippocampal neuroinflammation, astrogliosis, and microgliosis in peripubertal rats</t>
  </si>
  <si>
    <t>1.333</t>
  </si>
  <si>
    <t>0.0825
cm2
area</t>
  </si>
  <si>
    <t>1
(before
PTZ
injection)</t>
  </si>
  <si>
    <t>"tPBM significantly reduced NSE immunoreactivity in CA3 in PTZ-treated rats, GFAP immunoreactivity in CA1, and Iba-1 immunoreactivity in CA3. Enhancement of hippocampal MT-CO1 reflected that tPBM acted in CCO-dependent manner."</t>
  </si>
  <si>
    <t>BMC Complement Med Ther</t>
  </si>
  <si>
    <t>Transcranial photobiomodulation add-on therapy to valproic acid for pentylenetetrazole-induced seizures in peripubertal rats</t>
  </si>
  <si>
    <t>"Adding tPBM to low-dose VPA reduced the incidence of severe status epilepticus and significantly delayed the latency to stage 2 seizures. 
However, adding tPBM to high-dose VPA increased the maximum seizure stage, prolonged the duration of stage 4-7 seizures, and shortened the latency to stage 6 seizures."</t>
  </si>
  <si>
    <t>Vogel</t>
  </si>
  <si>
    <t>Repetitive transcranial photobiomodulation but not long-term omega-3 intake reduces epileptiform discharges in rats with stroke-induced epilepsy</t>
  </si>
  <si>
    <t>"PBM but not Ω-3 reduced both electrographic seizure duration and spikes number in the ipsilateral and contralateral cortices and ventral posteromedial thalamic nucleus. 
Conclusively, PBM reduced epileptiform discharges in stroke-induced epilepsy. Our results suggest the PBM as a therapeutic approach for stroke-induced epileptogenesis to minimize long-term disease outcomes."</t>
  </si>
  <si>
    <t>Transcranial photobiomodulation attenuates pentylenetetrazole-induced status epilepticus in peripubertal rats.</t>
  </si>
  <si>
    <t>"Behaviorally, tPBM attenuated the mean seizure score and reduced the incidence of SE and mortality. 
Histochemically, tPBM reduced dark neurons in the cortex, hippocampus, thalamus, and hypothalamus, lessened the apoptotic ratio of parvalbumin-positive interneurons (PV-INs), and alleviated the aberrant extent of PV-positive unstained somata of PCs in the hippocampus. 
Conclusively, tPBM attenuated PTZ-induced seizures, SE, and mortality in peripubertal rats and reduced PTZ-induced neuronal injury, apoptosis of PV-INs, and preserved PV positive perisomatic inhibitory network in the hippocampus."</t>
  </si>
  <si>
    <t>Radwan</t>
  </si>
  <si>
    <t>Effect of infrared laser irradiation on amino acid neurotransmitters in an epileptic animal model induced by pilocarpine.</t>
  </si>
  <si>
    <t>"Significant increases in the concentrations of glutamic acid, glutamine, glycine, and taurine were recorded in the cortices of pilocarpinized rats, and they returned to initial levels after laser treatment. In the hippocampus, a moderate increase in aspartate accompanied by a significant increase in glycine were observed in the epileptic animal model, and these dropped to near-control values after laser treatment. In addition, a significant increase in cortical AST activity and a significant decrease in ALT activity and glucose content were obtained in the pilocarpinized animals and pilocarpinized rats treated with laser irradiation. In the hippocampus, significant decreases in the activity of AST and ALT and glucose content were recorded in the epileptic animals and in the epileptic animals treated with laser irradiation."
"Based on the results obtained in this study, it may be suggested that near infrared laser irradiation may reverse the neurochemical changes in amino acid neurotransmitters induced by pilocarpine."</t>
  </si>
  <si>
    <t>Excitability</t>
  </si>
  <si>
    <t>Song</t>
  </si>
  <si>
    <t>Transcranial near-infrared stimulation may increase cortical excitability recorded in humans.</t>
  </si>
  <si>
    <t>"The ΔMEPs percentage was evaluated, and a significant increase in amplitude was observed 10-20 min post-stimulation compared to that in sham."
"This study provides evidence that an 820-nm tNIRS induces transitory increase in the excitability of the stimulated cortex."</t>
  </si>
  <si>
    <t>Fear extinction</t>
  </si>
  <si>
    <t>Zaizar</t>
  </si>
  <si>
    <t>Contemp Clinical Trials</t>
  </si>
  <si>
    <t>Singular and combined effects of transcranial infrared laser stimulation and exposure therapy: A randomized clinical trial.</t>
  </si>
  <si>
    <t>fMRI</t>
  </si>
  <si>
    <t>El Khoury</t>
  </si>
  <si>
    <t>Exp Brain Res</t>
  </si>
  <si>
    <t>Does photobiomodulation influence the resting-state brain networks in young human subjects?</t>
  </si>
  <si>
    <t>🧑 Human
🎲 Randomized trial, crossover, sham-controlled
👥 24 participants
⌛2 sessions with 4-12 week washout</t>
  </si>
  <si>
    <t>"Our results showed that when comparing pre- with post-active and pre- with post-sham photobiomodulation scans, there were no substantial differences in activity across any of the four resting-state networks examined, indicating no clear photobiomodulation effect.
When taken together with previous findings, we suggest that the impact of photobiomodulation becomes much clearer only after brain circuitry is altered, for example, after a neurone undergoes some change in its equilibrium or homeostasis, either during pathology or ageing, or during a change in functional activity when individuals are engaged in a specific task (e.g. evoked brain activity)."</t>
  </si>
  <si>
    <t>Device: Vielight Alpha</t>
  </si>
  <si>
    <t>Exploring the Effects of Near Infrared Light on Resting and Evoked Brain Activity in Humans Using Magnetic Resonance Imaging.</t>
  </si>
  <si>
    <t>🧑 Human
🎲 Randomized trial, sham-controlled
👥 24 participants
⌛2 sessions with 4-12 week washout</t>
  </si>
  <si>
    <t>"In summary, our fMRI findings indicated that transcranially applied light did have a major impact on brain activity in normal subjects, but only when the brain region was itself functionally active, when undertaking a particular task. We suggest that these light-induced changes, particularly those in parietal association cortex, were associated with attention and novelty, and served to deactivate the so-called default mode network."</t>
  </si>
  <si>
    <t>Functional connectivity</t>
  </si>
  <si>
    <t>Joshi</t>
  </si>
  <si>
    <t>India
(Bengaluru)</t>
  </si>
  <si>
    <t>Dose response of transcranial near infrared light stimulation on brain functional connectivity and cognition in older adults- a randomised comparison</t>
  </si>
  <si>
    <t>🧑 Human
🎲 Randomized trial
👥 25 participants
⌛ single session</t>
  </si>
  <si>
    <t>Cognitive performance
Dose response</t>
  </si>
  <si>
    <t>(2 groups)
(see add. info column)</t>
  </si>
  <si>
    <t>"There was a significant increase in resting state functional connectivity of the left superior frontal gyrus (SFG) with the left planum temporale (PT), p = 0.0016, and with the left inferior frontal gyrus, pars triangularis, p = 0.0235 in the 'high-dose' group only compared to the 'sham' group.
There was also a significant improvement in visual search and processing speed (p = 0.012) in the 'high-dose' group."</t>
  </si>
  <si>
    <t>📕
Dosing: "They were randomized to a single session of the sham group, 'low-dose' and 'high-dose' groups receiving NIR light with transcranial fluence of 26 and 52 J/cm2 respectively, and intranasal fluence of 9 and 18 J/cm2 respectively."</t>
  </si>
  <si>
    <t>Site-specific effects of 800- and 850-nm forehead transcranial photobiomodulation on prefrontal bilateral connectivity and unilateral coupling in young adults</t>
  </si>
  <si>
    <t>🧑 Human
🎲 Randomized trial, crossover, sham-controlled
👥 26 participants
⌛5 sessions with 1-week washout (1 session of each condition)</t>
  </si>
  <si>
    <t>800
850</t>
  </si>
  <si>
    <t>0.310
0.330
(center of beam)</t>
  </si>
  <si>
    <t>1 per condition</t>
  </si>
  <si>
    <t>"Each participant was measured under five specific conditions: (1) right prefrontal 800-nm tPBM (R800), (2) right prefrontal 850-nm tPBM (R850), (3) right prefrontal sham (RS), (4) left prefrontal 800-nm tPBM (L800), and (5) left prefrontal sham (LS) stimulation. Sequences of the five experiments were randomly assigned to each subject."
"Prefrontal tPBM can significantly modulate neurophysiological networks bilaterally and coupling unilaterally in the human prefrontal cortex. Such modulation effects are site- and wavelength-specific for each ISO band."</t>
  </si>
  <si>
    <t>Dole</t>
  </si>
  <si>
    <t>A systematic review of the effects of transcranial photobiomodulation on brain activity in humans</t>
  </si>
  <si>
    <t>"Four databases were screened for references containing terms encompassing photobiomodulation, brain activity, brain imaging, and human. 
We also analysed the quality of the included studies using validated tools. Results in healthy subjects showed that even after a single session, tPBM can be effective in influencing brain activity. 
In particular, the different transcranial approaches - using a focal stimulation or helmet for global brain stimulation - seemed to act at both the vascular level by increasing regional cerebral blood flow (rCBF) and at the neural level by changing the activity of the neurons. 
In addition, studies also showed that even a focal stimulation was sufficient to induce a global change in functional connectivity across brain networks. Results in patients with neurological disease were sparser; nevertheless, they indicated that tPBM could improve rCBF and functional connectivity in several regions. 
Our systematic review also highlighted the heterogeneity in the methods and results generated, together with the need for more randomised controlled trials in patients with neurological diseases. 
In summary, tPBM could be a promising method to act on brain function, but more consistency is needed in order appreciate fully the underlying mechanisms and the precise outcomes."</t>
  </si>
  <si>
    <t>Enhancement of Frequency-Specific Hemodynamic Power and Functional Connectivity by Transcranial Photobiomodulation in Healthy Humans</t>
  </si>
  <si>
    <t>🧑 Human
🎲 Randomized trial, crossover. sham-controlled
👥 19 participants
⌛ 2 sessions with 1+ week washout</t>
  </si>
  <si>
    <t>"Our novel findings revealed that tPBM significantly increased endogenic Δ[HbO] powers over the right frontopolar area near the stimulation site. Also, we demonstrated that tPBM enabled significant enhancements of endogenic and myogenic FC across cortical regions as well as of several global network metrics. 
These findings were consistent with recent reports and met the expectation that myogenic oscillation is highly associated with endothelial activity, which is stimulated by tPBM-evoked nitric oxide (NO) release."</t>
  </si>
  <si>
    <t>Metabolites</t>
  </si>
  <si>
    <t>Metabolic Connectivity and Hemodynamic-Metabolic Coherence of Human Prefrontal Cortex at Rest and Post Photobiomodulation Assessed by Dual-Channel Broadband NIRS</t>
  </si>
  <si>
    <t>🧑 Human
🎲 Randomized trial, crossover. sham-controlled
👥 12 participants
⌛ 2 sessions with 14 day washout</t>
  </si>
  <si>
    <t>"For post-tPBM/sham comparison, our analyses revealed three key findings: 8-min, right-forehead, 1064-nm tPBM
(1) enhanced the amplitude of metabolic oscillation bilaterally,
(2) promoted the bilateral metabolic connectivity of neurogenic rhythm, and 
(3) made the main effect on endothelial cells, causing alteration of hemodynamic-metabolic coherence on each side of the prefrontal cortex."</t>
  </si>
  <si>
    <t>Anatomical location: "right side of human foreheads between the eyebrow and hairline"</t>
  </si>
  <si>
    <t>Urquhart</t>
  </si>
  <si>
    <t>Transcranial photobiomodulation-induced changes in human brain functional connectivity and network metrics mapped by whole-head functional near-infrared spectroscopy in vivo</t>
  </si>
  <si>
    <t>🧑 Human
🎲 Randomized trial, crossover, sham-controlled
👥 19 participants
⌛2 sessions with ~2-14 day washout</t>
  </si>
  <si>
    <t>"Our results revealed that tPBM (1) enhanced information processing speed and efficiency of the brain network, and (2) increased FC significantly in the frontal-parietal network, shedding light on a better understanding of tPBM effects on brain networks."</t>
  </si>
  <si>
    <t>Sham irradiation: "placebo had negligible laser output by turning the laser on and then off within 3 seconds"</t>
  </si>
  <si>
    <t>Hemorrhage</t>
  </si>
  <si>
    <t>China &amp; Russia</t>
  </si>
  <si>
    <t>Nat Commun</t>
  </si>
  <si>
    <t>Photostimulation of brain lymphatics in male newborn and adult rodents for therapy of intraventricular hemorrhage</t>
  </si>
  <si>
    <t>🐀 Rat (newborn &amp; adult)</t>
  </si>
  <si>
    <t>9
(adult)
(4 for newborn at skulll surface)</t>
  </si>
  <si>
    <t>3060
(3 * 1020)</t>
  </si>
  <si>
    <t>"Our results uncover the clinical significance of phototherapy of intraventricular hemorrhage in 4-day old male rat pups that have the brain similar to a preterm human brain. 
The course of phototherapy in newborn rats provides fast recovery after intraventricular hemorrhage due to photo-improvements of lymphatic drainage and clearing functions."</t>
  </si>
  <si>
    <t>Device : "A fiber Bragg grating wavelength locked high-power laser diode (LD-1267-FBG-350, Innolume, Dortmund, Germany) emitting at 1267 nm was used as a source of irradiation. "</t>
  </si>
  <si>
    <t>Hepatic encephalopathy</t>
  </si>
  <si>
    <t xml:space="preserve">Méndez </t>
  </si>
  <si>
    <t>Methylene blue and photobiomodulation recover cognitive impairment in hepatic encephalopathy through different effects on cytochrome c-oxidase</t>
  </si>
  <si>
    <t>LED phototherapy
Cytochrome oxidase (decrease in activity)</t>
  </si>
  <si>
    <t>"When comparing MB and PBM, we found that, although both treatments effectively improved the HE-memory deficit, there was a differential effect on CCO.
A general decrease in CCO activity was found in the prefrontal and entorhinal cortices, dorsal striatum, and hippocampus when PBM, compared to MB, was applied"</t>
  </si>
  <si>
    <t>Hypobaric hypoxia</t>
  </si>
  <si>
    <t>Pchelin</t>
  </si>
  <si>
    <t>Russia
(Nizhny Novgorod)</t>
  </si>
  <si>
    <t>Red light photobiomodulation rescues murine brain mitochondrial respiration after acute hypobaric hypoxia</t>
  </si>
  <si>
    <t>"The irradiation of the mitochondrial fraction of the left cerebral cortex with low-intensity LED red light rescued Complex I-supported respiration during oxidative phosphorylation, normalized the initial polarization of the inner mitochondrial membrane, but has not shown any significant effect on the activity of Complex IV. 
In comparison, the postponed effect (in 24 h) of the similar transcranial irradiation following hypoxic exposure led to a less pronounced improvement of the mitochondrial functional state, but normalized respiration related to ATP production and membrane polarization. In contrast, the similar irradiation of the mitochondria isolated from control healthy animals exerted an inhibitory effect on CI-supported respiration. 
The obtained results provide significant insight that can be beneficial for the development of non-invasive phototherapy."</t>
  </si>
  <si>
    <t>Interstitial fluid drainage</t>
  </si>
  <si>
    <t>Cai</t>
  </si>
  <si>
    <t>Beijing Da Xue Xue Bao Yi Xue Ban</t>
  </si>
  <si>
    <r>
      <rPr>
        <b/>
        <sz val="7.0"/>
      </rPr>
      <t xml:space="preserve">[Epidural photobiomodulation accelerates the drainage of brain interstitial fluid and its mechanism] </t>
    </r>
    <r>
      <rPr>
        <b/>
        <i/>
        <sz val="7.0"/>
      </rPr>
      <t>[Article in Chinese]</t>
    </r>
  </si>
  <si>
    <t>"PBM can regulate the brain ISF drainage actively, which may be one of the potential mechanisms of the effect of PBM therapy on AD."</t>
  </si>
  <si>
    <t>Ischemia</t>
  </si>
  <si>
    <t>Wider</t>
  </si>
  <si>
    <t>USA
(Ann Arbor, MI)</t>
  </si>
  <si>
    <t>Crit Care</t>
  </si>
  <si>
    <t>Modulation of mitochondrial function with near-infrared light reduces brain injury in a translational model of cardiac arrest</t>
  </si>
  <si>
    <t>🐖 Pig</t>
  </si>
  <si>
    <t>Inhibitory PBM (750 + 950 nm)</t>
  </si>
  <si>
    <t>750+
950</t>
  </si>
  <si>
    <t>"Our group has recently confirmed that specific wavelengths in the NIR spectrum stimulate mitochondrial respiration through directly increasing cytochrome c oxidase (COX) activity, including the frequently studied 808 nm range. However, in contrast to previous studies on NIR, our studies uncovered a novel inhibitory effect of two wavelength ranges of NIR, 750 nm and 950 nm, that partially inhibit COX activity and consequently reduce mitochondrial respiration [39]."
"We found that eight minutes of cardiac arrest followed by cardiopulmonary resuscitation (CA/CPR) resulted in a 45% reduction in neuronal density in the hippocampus at 4 days post-ROSC when compared with sham-operated subjects (26,743 ± 4651 vs. 48,843 ± 4208, p &lt; 0.05; Fig. 5B). Two-hour treatment with 750 nm + 950 nm NIR evoked significant neuroprotection, enhancing neuronal survival by ~ two-fold when compared with untreated CA/CPR (42,612 ± 4176 vs 26,743 ± 4651, p &lt; 0.05; Fig. 5B). 
Neurological recovery is the cornerstone for the assessment of patient recovery following cardiac arrest. We found cardiac arrest causes marked increases in neurologic deficit scores compared to shams (40.8 ± 18.3 vs. 0.0 ± 0.0; Fig. 5C), while treatment with NIR was accompanied by a near-complete absence of neurologic deficits (score of 0.9 ± 0.9, p &lt; 0.05 versus CA/CPR; p = ns versus sham; Fig. 5C)."
"Conclusions: NIR modulates mitochondrial function which improves mitochondrial dynamics and quality control following ischemia/reperfusion. Noninvasive modulation of mitochondria, achieved by transcranial treatment of the brain with NIR, mitigates post-cardiac arrest brain injury and improves neurologic functional outcomes."</t>
  </si>
  <si>
    <t>Kleine-Levin syndrome</t>
  </si>
  <si>
    <t>Hamper</t>
  </si>
  <si>
    <t>USA
(Boca Raton, FL)</t>
  </si>
  <si>
    <t>Treatment of Kleine-Levin Syndrome With Intranasal Photobiomodulation and Methylene Blue</t>
  </si>
  <si>
    <t>🧑 Human
📄 Case report
⌛~2 years</t>
  </si>
  <si>
    <t>PBM + methylene blue</t>
  </si>
  <si>
    <t>"We present a case of KLS in a patient who has no clinical improvement in symptoms with a variety of treatments. The parents of the patient agreed to attempt a trial of intranasal photobiomodulation (i-PBM) with red light, in combination with methylene blue (MB).
"Within one week of treatment, the patient began to normalize with remission of his hypersomnia, and of his cognitive and behavioral abnormalities. After one month, the patient and family members noted the lack of recurrence of KLS episodes, as well as a return to socialization with friends and family. Six months after starting i-PBM plus MB, the patient enrolled in college. At 20 years old, two years after treatment with i-PBM and MB, the patient has not experienced a relapse of an episode, has been taking any other medications, nor has reported any adverse effects."</t>
  </si>
  <si>
    <t>Meningeal lymphatic system</t>
  </si>
  <si>
    <t>Semyachkina‐Glushkovskaya</t>
  </si>
  <si>
    <t>Technology of the photobiostimulation of the brain's drainage system during sleep for improvement of learning and memory in male mice</t>
  </si>
  <si>
    <t>Timing of PBM
Night PBM</t>
  </si>
  <si>
    <t>0.1 cm2</t>
  </si>
  <si>
    <t>"Using the Pavlovian instrumental transfer probe and the 2-objects-location test, we found that the 10-day course of PBM during sleep vs. wakefulness promotes improved learning and spatial memory in mice."
"For the first time, we present the technology for PBM under electroencephalographic (EEG) control that incorporates modern state of the art facilities of optoelectronics and biopotential detection and that can be built of relatively cheap and commercially available components. These findings open a new niche in the development of smart technologies for phototherapy of brain diseases during sleep."
"We assume that the mechanisms of PBM for BDS and brain functions might be different in sleeping and awake subjects, which requires the detailed research [16,45–47]. Further animal and clinical studies of better therapeutic effects of PBM during sleep vs. wakefulness will shed light on optimization of PBM for successful phototherapy of neurocognitive diseases, including light wavelength, power intensity, treatment duration, and comfort light application on the head in horizontal position.
Typically, in experimental and clinical studies, PBM is performed in awake subjects [15,30–38]. In our recent review, we suggested that there are no commercial devices for simultaneous PBM and sleep monitoring, which significantly limits the clinical investigations the therapeutic effects of PBM during sleep [16]. We discussed that the development of sleep-PBM technologies is urgently needed and could become a breakthrough step in the progress of AD therapy in humans [15,16]. The technology proposed in this study opens new perspectives of development of promising PBM devices for night phototherapy of brain diseases and its implementation in clinical practice. The PBM can be also combined with near infrared spectroscopy and laser speckle contrast imaging techniques for advanced assessment of PBM effect on the brain function [70–75]."</t>
  </si>
  <si>
    <t>Translational Biophotonics</t>
  </si>
  <si>
    <t>Photostimulation of cerebral and peripheral lymphatic functions</t>
  </si>
  <si>
    <t>"In sum, our results clearly show PS stimulation of meningeal clearing and drainage functions as well as effects of PS on permeability of the lymphatic endothelium to macrophages.
These findings open new strategies for alternative non‐pharmacological therapy of brain diseases via PS modulation of lymphatic mechanisms of the homeostasis of central nervous system."</t>
  </si>
  <si>
    <t>Metabolism</t>
  </si>
  <si>
    <t>Zorzo</t>
  </si>
  <si>
    <t>Photobiomodulation increases brain metabolic activity through a combination of 810 and 660 wavelengths: a comparative study in male and female rats</t>
  </si>
  <si>
    <t>810
660+
810</t>
  </si>
  <si>
    <t>"CCO activity in the cingulate and prelimbic area, dentate gyrus, retrosplenial and parietal cortex was enhanced in both treatments (810 + 660 nm and 810 nm). Moreover, using the combination of waves, CCO increased in the infralimbic area, and in CA1 and CA3 of the hippocampus. 
Thus, employment of a single NIR treatment or a combination of red to NIR treatment led to slight differences in CCO activity across the limbic system, suggesting that a combination of lights of the spectrum may be relevant."</t>
  </si>
  <si>
    <t>Fear</t>
  </si>
  <si>
    <t>UK
(York)</t>
  </si>
  <si>
    <t>Use of 31 P magnetisation transfer magnetic resonance spectroscopy to measure ATP changes after 670 nm transcranial photobiomodulation in older adults</t>
  </si>
  <si>
    <t>🧑 Human
📄 Single-arm study
👥 7 participants
⌛ 4-day treatment</t>
  </si>
  <si>
    <t>Morning PBM
Timing of PBM</t>
  </si>
  <si>
    <t>"Using 31 P magnetisation transfer magnetic resonance spectroscopy (MT-MRS) we quantify, for the first time, the effects of 670 nm PBM treatment on healthy ageing human brains. We find a significant increase in the rate of ATP synthase flux in the brain after PBM in a cohort of older adults. 
Our study provides initial evidence of PBM therapeutic efficacy for improving mitochondrial function and restoring ATP flux with age, but recognises that wider studies are now required to confirm any resultant cognitive benefits."</t>
  </si>
  <si>
    <t>Device: "18W, Red Mini 670, Red Light Man Ltd., Manchester, UK"
Application: "The centre of the bulb was held 1 cm from the participant's inion using a small spacer"</t>
  </si>
  <si>
    <t>Wade ZS</t>
  </si>
  <si>
    <t>Histochemical mapping of the duration of action of photobiomodulation on cytochrome c oxidase in the rat brain</t>
  </si>
  <si>
    <t>🐀 Rat
⌛ single session -&gt; 4-week follow-up</t>
  </si>
  <si>
    <t>"The prefrontal infralimbic cortex showed the earliest significant increase in CCO activity between 1-day post-TILS and sham groups, which continued elevated for 2-4 weeks post-TILS. 
Significant differences in CCO activity between 2-weeks and sham groups were also found in the lateral septum, accumbens core, CA3 of the hippocampus, and the molecular layer of the hippocampus. The medial amygdala showed a significant decrease in CCO activity between 4-weeks and sham. Further analyses showed significant inter-regional CCO activity correlations among the brain regions as the result of TILS, with the most pronounced changes at 4-weeks post-stimulation."
"The time course of changes in CCO activity and network connectivity suggested that TILS caused different neuroplasticity types of bioenergetic changes at different time scales, depending on brain region and its depth from the cortex. In conclusion, this controlled CCO histochemical study demonstrated a long-lasting duration of action of PBM in the rat brain."</t>
  </si>
  <si>
    <t>No Effects of Photobiomodulation on Prefrontal Cortex and Hippocampal Cytochrome C Oxidase Activity and Expression of c-Fos Protein of Young Male and Female Rats</t>
  </si>
  <si>
    <t>0.0066</t>
  </si>
  <si>
    <t>46.5</t>
  </si>
  <si>
    <t>0.0495
cm2
beam
size</t>
  </si>
  <si>
    <t>"Results displayed no metabolic differences between the three groups in both sexes. The same results were found in the analysis of c-Fos positive cells, reporting no differences between groups. This research, in contrast to the PBM consequences reported in healthy adult subjects, showed a lack of PBM effects in the brain markers we examined in young healthy rat brains. 
At this stage, brain function, specifically brain mitochondrial function, is not disturbed so it could be that the action of PBM in the mitochondria may not be detectable using the analysis of CCO activity and c-Fos protein expression. 
Further studies are needed to examine in depth the effects of PBM in brain development, cognitive functions and postnatal disorders, along with the exploration of the optimal light parameters."</t>
  </si>
  <si>
    <t>Saucedo</t>
  </si>
  <si>
    <t>Transcranial laser stimulation: Mitochondrial and cerebrovascular effects in younger and older healthy adults</t>
  </si>
  <si>
    <t>🧑 Human
🎲 Randomized trial, sham-controlled
👥 68 participants
⌛ single session</t>
  </si>
  <si>
    <t>13.6
cm2
area</t>
  </si>
  <si>
    <t>"As compared to sham control, there was a significant laser-induced increase in oxidized cytochrome-c-oxidase during laser stimulation, followed by a significant post-stimulation increase in oxygenated hemoglobin and a decrease in deoxygenated hemoglobin. Furthermore, there was a greater laser-induced effect on cytochrome-c-oxidase with increasing age, while laser-induced effects on cerebral hemodynamics decreased with increasing age. No adverse laser effects were found."
"The findings support the use of transcranial photobiomodulation for cerebral oxygenation and alleviation of age-related decline in mitochondrial respiration. They justify further research on its therapeutic potential in neurologic and psychiatric diseases."</t>
  </si>
  <si>
    <t>Sham irradiation: "The placebo group underwent a sham 5-s stimulation during the first minute, which does not generate physiological or cognitive effects [[8],[11]] but gives a similar subjective experience to the TILS group (...) This sham procedure was proven to be effective in previous research because participants could not correctly report whether they got sham or active treatment"</t>
  </si>
  <si>
    <t>Mol Neurobil</t>
  </si>
  <si>
    <t>Effects of Chronic Photobiomodulation with Transcranial Near-Infrared Laser on Brain Metabolomics of Young and Aged Rats</t>
  </si>
  <si>
    <t>107.14</t>
  </si>
  <si>
    <t>30
/p</t>
  </si>
  <si>
    <t>"Statistical analyses of the brain metabolomics data indicated that chronic transcranial photobiomodulation
(1) significantly enhances the metabolic pathways of young rats, particularly for excitatory neurotransmission and oxidative metabolism, and
(2) restores the altered metabolic pathways of aged rats towards levels found in younger rats, mainly in the cerebral cortex.
These novel metabolomics findings may help complement other laser-induced neurocognitive, neuroprotective, anti-inflammatory, and antioxidant effects described in the literature."</t>
  </si>
  <si>
    <t>Arias</t>
  </si>
  <si>
    <t>Differential effects of photobiomodulation interval schedules on brain cytochrome c-oxidase and proto-oncogene expression</t>
  </si>
  <si>
    <t>"Animals in the long interval PBMT group (LI) received 1 session of low-light level treatment a day for 7 days (between 9:00 and 10:00 a.m.). Animals in the short interval PBMT group (SI) received four PBMT sessions for a total of 3 min within 30 h."
"Increased CCO activity in the [long interval PBM] group, compared to the [short interval PBM] and CN groups, was found in the prefrontal cortices, dorsal and ventral striatum, and hippocampus.
Regarding c-Fos expression, we found a significant increase in the [short interval PBM} group compared to [long interval PBM] and CN, whereas [long interval PBM] showed increased c-Fos expression compared to CN in the cingulate and infralimbic cortices."</t>
  </si>
  <si>
    <t>Device: Quantum Devices Warp 10</t>
  </si>
  <si>
    <t>Transcranial Photobiomodulation (tPBM) With 1,064-nm Laser to Improve Cerebral Metabolism of the Human Brain In Vivo.</t>
  </si>
  <si>
    <t>🧑 Human
🎲 Randomized trial, crossover, sham-controlled
⌛ 2 two sessions with 2+ day washout</t>
  </si>
  <si>
    <t>"This study provided strong evidence to validate/confirm our previous findings that tPBM with 1,064-nm laser enables to increase cerebral ∆[HbO] and ∆[oxi-CCO] in the human brain, as measured by bb-NIRS. Overall, it demonstrated the robust reproducibility of tPBM being able to improve cerebral hemodynamics and metabolism of the human brain in vivo in both young and older adults."</t>
  </si>
  <si>
    <t>Mintzopoulos</t>
  </si>
  <si>
    <t>Effects of Near-Infrared Light on Cerebral Bioenergetics Measured with Phosphorus Magnetic Resonance Spectroscopy.</t>
  </si>
  <si>
    <t>🧑 Human
📄 Single-arm study
👥 4 cases
⌛ 2 weeks</t>
  </si>
  <si>
    <t>Transcranial PBM</t>
  </si>
  <si>
    <t>4200-
5800</t>
  </si>
  <si>
    <t>3.6-
9.1</t>
  </si>
  <si>
    <t>240
(2p)</t>
  </si>
  <si>
    <t>"TLT did not induce acute 31P MRS changes over the course of 2 h in either scan session. However, after repeat TLT, the baseline PCr/β-nucleoside triphosphate ratio was higher than the scan 1 baseline (p &lt; 0.0001), an effect attributable to increased PCr level (p &lt; 0.0001)."
"Our findings are consistent with reports that bioenergetic effects of PBM can take several hours to evolve. Thus, in vivo 31P MRS may be useful for characterizing bioenergetic effects of PBM in brain and other tissues."
Comment: The 4.2-5.8W irradiation should provide 4.2-5.8 J per second, so the dose 3.6-9.1J seems unlikely. Maybe the authors are referring to the dose reaching dura mater, which is likely to be small because of light absorption by tissues?</t>
  </si>
  <si>
    <t>Mochizuki-Oda</t>
  </si>
  <si>
    <t>Japan
(Hirakata)</t>
  </si>
  <si>
    <t>Effects of near-infra-red laser irradiation on adenosine triphosphate and adenosine diphosphate contents of rat brain tissue.</t>
  </si>
  <si>
    <t>830
652</t>
  </si>
  <si>
    <t>"These results suggest that the increase in tissue ATP content did not result from the thermal effect, but from a specific effect of the laser operated at the 830-nm wavelength."
Comment 1: A strange paper, since a laser of extremely high power density was used, and the tissue temperature was also raised significantly by ~4 celcius degrees.
Comment 2: Red light wasn't effective in this study.</t>
  </si>
  <si>
    <t>Vojnosanit Pregl</t>
  </si>
  <si>
    <t>Serbia
(Belgrade)</t>
  </si>
  <si>
    <t>Influence of low level laser irradiation on biochemical processes in brainstem and cortex of intact rabbits</t>
  </si>
  <si>
    <t>660
904</t>
  </si>
  <si>
    <t>"It was established that LLL induced oxidative stress in the brainstem and the cortex of treated rabbits, independently of applied wavelength of laser beams. The registrated changes in functional activity of sodium pump were dependent on the applied wavelength. The irradiation at 904 nm caused the significant increase of the substrate uptake rate of sodium pump in the brainstem tissue. The irradiation at 660 nm caused the "competitive inhibition" of the sodium pump. Decrease of norepinefrine content in the brainstem of treated rabbits pointed on the indirect mechanism of functional activity of sodium pump as well as the oxidative stress."</t>
  </si>
  <si>
    <t>Cassone</t>
  </si>
  <si>
    <t>Effect of in vivo He-Ne laser irradiation on biogenic amine levels in rat brain.</t>
  </si>
  <si>
    <t>"The results obtained on groups of four to eight rats assayed individually showed that irradiation caused a strong increase in 5-HT in striatum and hippocampus, a small but significant decrease in NA in cortex, and DA levels were not significantly affected. Restraint stress per se led to a considerable decrease in 5-HT and DA in striatum and hippocampus, but did not significantly alter the NA levels."</t>
  </si>
  <si>
    <t>Rossetti</t>
  </si>
  <si>
    <t>Italy
(Torino)</t>
  </si>
  <si>
    <t>Mol Chem Neuropathol</t>
  </si>
  <si>
    <t>Rat brain metabolism enzyme activity variations following He-Ne laser irradiation.</t>
  </si>
  <si>
    <t>"The data obtained from 5-10 animals assayed individually showed that, in the in toto brain tissues of the irradiated rats compared to the stressed rats, there was a marked increase of total SOD, together with an appreciable decrease of cytosolic AST, and insignificant variations in mitochondrial AST and GIDH."</t>
  </si>
  <si>
    <t>Microglial dysfunction (in diabetes)</t>
  </si>
  <si>
    <t>Commun Biol</t>
  </si>
  <si>
    <t>Transcranial photobiomodulation improves insulin therapy in diabetic microglial reactivity and the brain drainage system</t>
  </si>
  <si>
    <t>Diabetic mice</t>
  </si>
  <si>
    <t>"We find tPBM treatment effectively improves insulin therapy on microglial morphology and reactivity. We also show that tPBM stimulates brain drainage system through activation of meningeal lymphatics, which contributes to the removal of inflammatory factor, and increase of microglial purinergic receptor P2RY12. Besides, the energy expenditure and locomotor activity of diabetic mice are also improved by tPBM."</t>
  </si>
  <si>
    <t>Microglia</t>
  </si>
  <si>
    <t>von Leden</t>
  </si>
  <si>
    <t>808 nm wavelength light induces a dose-dependent alteration in microglial polarization and resultant microglial induced neurite growth.</t>
  </si>
  <si>
    <t>Biphasic dose response (interesting effect on microglial polarization)</t>
  </si>
  <si>
    <t>0.2
4
10
30</t>
  </si>
  <si>
    <t xml:space="preserve">"Specifically, PBM with energy densities between 4 and 30 J/cm(2) induced expression of M1 markers in microglia. Markers of the M2 phenotype, including CD206 and TIMP1, were observed at lower energy densities of 0.2-10 J/cm(2)"
</t>
  </si>
  <si>
    <t>Motor function</t>
  </si>
  <si>
    <t>Fekri</t>
  </si>
  <si>
    <t>Short-term Effects of Transcranial Near-Infrared Photobiomodulation on Motor Performance in Healthy Human Subjects: An Experimental SingleBlind Randomized Clinical Trial.</t>
  </si>
  <si>
    <t>🧑 Human
🎲 Randomized trial, sham-controlled
👥 56 participants
⌛single session</t>
  </si>
  <si>
    <t>"The results showed that the number of finger taps in both right and left hands following the use of transcranial NIR-PBM in the real transcranial NIR-PBMC3 group significantly increased (P&lt;0.05)."</t>
  </si>
  <si>
    <t>Multiple sclerosis</t>
  </si>
  <si>
    <t>Rouhani</t>
  </si>
  <si>
    <t>Mult Scler Relat Disord</t>
  </si>
  <si>
    <t>Effects of photobiomodulation therapy on muscle function in individuals with multiple sclerosis</t>
  </si>
  <si>
    <t>🧑 Human
🎲 Randomized trial, crossover, double-blind
👥 31 participants (study 1), 23 participants (study 2)</t>
  </si>
  <si>
    <t>40
80
120</t>
  </si>
  <si>
    <t>"In study I, participants who received a high dose of PBMT showed significant improvement in force recovery (101.89 % (13.55 %)) compared to the placebo group (96.3 % (18.48 %); p = 0.03). Muscle fatigue did not significantly improve with either active PBMT or placebo. In study II, active PBMT resulted in a significant improvement in muscle strength compared to both the baseline (pre-PBMT = 162.70 N (37.52 N); post-PBMT = 185.56 N (33.95 N); p = 0.01) and the placebo group (active PBMT: mean-change = 22.87 N (23.67 N); placebo: mean-change = -4.12 N (31.95 N); p = 0.02)."</t>
  </si>
  <si>
    <t>Vafaei-Nezhad</t>
  </si>
  <si>
    <t>Iran
(Birjand)</t>
  </si>
  <si>
    <t>Therapeutic Effects of Photobiomodulation Therapy on Multiple Sclerosis by Regulating the Inflammatory Process and Controlling Immune Cell Activity: A Novel Promising Treatment Target</t>
  </si>
  <si>
    <t>"PBM has positive effects on MS by regulating the inflammatory process, controlling immune cell activity and mitochondrial functions, as well as inhibiting free radicals production which finally leads to a reduction in neurological defects and an improvement in the functional status of patients."</t>
  </si>
  <si>
    <t>Tolentino</t>
  </si>
  <si>
    <t>Photobiomodulation at 830 nm Reduced Nitrite Production by Peripheral Blood Mononuclear Cells Isolated from Multiple Sclerosis Subjects</t>
  </si>
  <si>
    <t>"PBM at 830 nm (10 J/cm2 at 72 h) reduced the levels of nitrite and this reduction was in relationship with the increase of interleukin-10 and the reduction of interferon-γ produced by the PBMCs regardless of the severity of disease present in the participants."
"PBM at 830 nm can potentially be used to reduce nitrosative stress at any point of disease in PwMS."</t>
  </si>
  <si>
    <t>Effect of photobiomodulation on fatigue in individuals with relapsing-remitting multiple sclerosis: a pilot study</t>
  </si>
  <si>
    <t>🧑 Human
📄 Single-arm study (two subgroups)
👥 (?)
⌛ (?)</t>
  </si>
  <si>
    <t>Group 1: PBM under the tongue
Group 2: PBM over the radial artery</t>
  </si>
  <si>
    <t>"Photobiomodulation with the parameters employed in the present study had no effect on fatigue in individuals with multiple sclerosis."</t>
  </si>
  <si>
    <t>Photobiomodulation Modulates Interleukin-10 and Interferon Gamma Production by Mononuclear Cells from Healthy Donors and Persons with Multiple Sclerosis</t>
  </si>
  <si>
    <t>"Previous observations were extended to determine the effect of PBM therapy on peripheral blood mononuclear cells and CD4+ T cells isolated from persons with MS (PwMS) and healthy donors."
"PBM modulated cytokine production in MS subjects and healthy donors in a dose- and wavelength-dependent manner, with MS subjects and healthy donors responding differently to administered light. In addition, disease severity affected the response of immune cells, for instance, 670 nm increased IL-10 production associated with increased disease severity."
"The data show that PBM therapy has the potential to modulate pro- and anti-inflammatory cytokines in PwMS over the course of disease. Further experiments applying PBM treatment directly on patients should be carried out with extreme caution to avoid severe imbalance in the immune response."</t>
  </si>
  <si>
    <t>Hossein-Khannazer</t>
  </si>
  <si>
    <t>The Role of Low-Level Laser Therapy in the Treatment of Multiple Sclerosis: A Review Study</t>
  </si>
  <si>
    <t>"In vitro and in vivo studies also showed that the LLLT could modulate the regeneration of neurons and had beneficial effects on the improvement of MS manifestations. It also delayed the onset of the disease in animal models. Clinical studies revealed that LLLT inhibited inflammatory responses in MS patients and improved patients’ physical conditions. It seems that LLLT through these mechanisms could be an additional treatment option for the treatment of MS and other neurodegenerative disorders."</t>
  </si>
  <si>
    <t>Effects of photobiomodulation on interleukin-10 and nitrites in individuals with relapsing-remitting multiple sclerosis - Randomized clinical trial.</t>
  </si>
  <si>
    <t>🧑 Human
⚔ Comparison study, randomized. uncontrolled
👥 20 participants
⌛ 12 weeks</t>
  </si>
  <si>
    <t>PBM vs PBM comparison</t>
  </si>
  <si>
    <t>"Treatment with PBM positively modulated the expression of IL-10 but had no effect on nitrite levels. Further studies should be conducted with a larger sample and a control group, as PBM may be a promising complementary treatment for the management of MS. This trial is registered at ClinicalTrials.gov."
Note: The study had no negative control, but only 2 different PBM groups.</t>
  </si>
  <si>
    <t>Duarte</t>
  </si>
  <si>
    <t>Low-level laser therapy modulates demyelination in mice.</t>
  </si>
  <si>
    <t>1.78</t>
  </si>
  <si>
    <t>0.028
cm2
spot</t>
  </si>
  <si>
    <t>"In this study, the cuprizone was used as a model of MS to investigate the effect of [transcranial LLLT] on demyelination."
"The results showed that laser-treated animals presented motor performance improvement, attenuation of demyelination, increased number of oligodendrocyte precursor cells, modulated microglial and astrocytes activation, and a milder toxicity by cuprizone."</t>
  </si>
  <si>
    <t>da Silva</t>
  </si>
  <si>
    <t>Medicine (Baltimore)</t>
  </si>
  <si>
    <t>Effect of photobiomodulation treatment in the sublingual, radial artery region, and along the spinal column in individuals with multiple sclerosis: Protocol for a randomized, controlled, double-blind, clinical trial.</t>
  </si>
  <si>
    <t>"Treatment for MS is directed at the immune response and slowing the progression of the disease. This is one of the first clinical trials involving photobiomodulation in the sublingual region and along the spinal cord, which could help establish a promising new form of nonpharmacological treatment for autoimmune diseases. This is one of the first clinical trials with sublingual photobiomodulation and along the spinal cord that could help establish a new form of promising treatment of the disease associated with pharmacological treatment."</t>
  </si>
  <si>
    <t>Gonçalves</t>
  </si>
  <si>
    <t>Brazil (Araranguá)</t>
  </si>
  <si>
    <t>Autoimmunity</t>
  </si>
  <si>
    <t>Low-level laser therapy ameliorates disease progression in a mouse model of multiple sclerosis.</t>
  </si>
  <si>
    <t>Experimental autoimmune encephalomyelitis (EAE)
Wavelength comparison</t>
  </si>
  <si>
    <t>660
904</t>
  </si>
  <si>
    <t>30
?</t>
  </si>
  <si>
    <t xml:space="preserve">3.6
(?)
</t>
  </si>
  <si>
    <t>10
3</t>
  </si>
  <si>
    <t>0.06
cm2
0.10
cm2</t>
  </si>
  <si>
    <t>20
?</t>
  </si>
  <si>
    <t>30
30</t>
  </si>
  <si>
    <t>"Our results showed that LLLT consistently reduced the clinical score of EAE and delayed the disease onset, and also prevented weight loss induced by immunization.
Furthermore, these beneficial effects of LLLT seem to be associated with the down-regulation of NO levels in the CNS, although the treatment with LLLT failed to inhibit lipid peroxidation and restore antioxidant defense during EAE.
Finally, histological analysis showed that LLLT blocked neuroinflammation through a reduction of inflammatory cells in the CNS, especially lymphocytes, as well as preventing demyelination in the spinal cord after EAE induction.
Together, our results suggest the use of LLLT as a therapeutic application during autoimmune neuroinflammatory responses, such as MS."
Comment: This group erroneously claims that 'there are no reports about the effects and mechanisms of LLLT' in EAE. This claim is simply not true, because researchers from Milwaukee had published two reports on photobiomodulation and EAE in 2012 and 2013.</t>
  </si>
  <si>
    <t>Kubsik</t>
  </si>
  <si>
    <t>NeuroRehabilitation</t>
  </si>
  <si>
    <t>Application of laser radiation and magnetostimulation in therapy of patients with multiple sclerosis</t>
  </si>
  <si>
    <t>🧑 Human
⚔ Comparison study
👥 120 participants
⌛ 21-day treatment / 51-day study</t>
  </si>
  <si>
    <t>PBM vs PBM+magnets vs kinesiother vs magnets</t>
  </si>
  <si>
    <t>21
/ 21 days</t>
  </si>
  <si>
    <t>"This study showed that synergic action of laser radiation and magneto stimulation has a beneficial effect on improving functional status, and thus improves the quality of life of patients with multiple sclerosis. "
Comment: It seems that the average symptom scores within the laser group do not change much between the three examination sessions, so the positive conclusions might be exaggerated. The data is presented in an unusual manner.</t>
  </si>
  <si>
    <t>Muili</t>
  </si>
  <si>
    <t>Photobiomodulation induced by 670 nm light ameliorates MOG35-55 induced EAE in female C57BL/6 mice: a role for remediation of nitrosative stress.</t>
  </si>
  <si>
    <t xml:space="preserve">🐁 Mouse
</t>
  </si>
  <si>
    <t>LED phototherapy
Experimental autoimmune encephalomyelitis</t>
  </si>
  <si>
    <t>0.028</t>
  </si>
  <si>
    <t>75
cm2
(spot
size?
)</t>
  </si>
  <si>
    <t>"Cell culture experiments demonstrated that 670 nm light-mediated photobiomodulation attenuated antigen-specific nitric oxide production by heterogenous lymphocyte populations isolated from MOG immunized mice.
Experiments in the EAE model demonstrated down-regulation of inducible nitric oxide synthase (iNOS) gene expression in the spinal cords of mice with EAE over the course of disease, compared to sham treated animals.
Animals receiving 670 nm light treatment also exhibited up-regulation of the Bcl-2 anti-apoptosis gene, an increased Bcl-2:Bax ratio, and reduced apoptosis within the spinal cord of animals over the course of disease.
670 nm light therapy failed to ameliorate MOG-induced EAE in mice deficient in iNOS, confirming a role for remediation of nitrosative stress in the amelioration of MOG-induced EAE by 670 nm mediated photobiomodulation."</t>
  </si>
  <si>
    <t>Amelioration of experimental autoimmune encephalomyelitis in C57BL/6 mice by photobiomodulation induced by 670 nm light.</t>
  </si>
  <si>
    <t>375
skin
0.432
spinal
cord</t>
  </si>
  <si>
    <t>5
skin
0.012
spinal
cord</t>
  </si>
  <si>
    <t>75
cm2
array</t>
  </si>
  <si>
    <t>"Disease was induced with myelin oligodendrocyte glycoprotein (MOG) according to standard laboratory protocol. Mice received 670 nm light or no light treatment (sham) administered as suppression and treatment protocols.
670 nm light reduced disease severity with both protocols compared to sham treated mice. 
Disease amelioration was associated with down-regulation of proinflammatory cytokines (interferon-γ, tumor necrosis factor-α) and up-regulation of anti-inflammatory cytokines (IL-4, IL-10) in vitro and in vivo."</t>
  </si>
  <si>
    <t>Peszynski-Drews</t>
  </si>
  <si>
    <t>Poland</t>
  </si>
  <si>
    <t>Proc. SPIE 5229</t>
  </si>
  <si>
    <t>Laser biostimulation of patients suffering from multiple sclerosis in respect to the biological influence of laser light [Proceedings paper]</t>
  </si>
  <si>
    <t>"The authors discuss the results, obtained so far during three years' clinical examination, of laser therapy in the treatment of patients suffering from multiple sclerosis."</t>
  </si>
  <si>
    <t>Myasthenia gravis</t>
  </si>
  <si>
    <t>Lan</t>
  </si>
  <si>
    <t>Effects of intravascular photobiomodulation on motor deficits and brain perfusion images in intractable myasthenia gravis: A case report</t>
  </si>
  <si>
    <t>12.6-
14.4</t>
  </si>
  <si>
    <t>6429</t>
  </si>
  <si>
    <t>10 / 10 days
per course
for 3 courses, with 1-2 week intervals between them</t>
  </si>
  <si>
    <t>"Brain single-photon emission computed tomography (SPECT) was performed both before and after ILIB therapy. After receiving three courses of ILIB, the brain SPECT images showed greatly increased perfusion of the frontal lobe and anterior cingulate gyri. The patient's MG-ADL scale score decreased markedly from 17/24 to 3/24. The QMG scale score also decreased remarkably from 32/39 to 9/39. The symptoms of MG became barely detectable and the patient was able to perform his activities of daily living and regain muscle power."</t>
  </si>
  <si>
    <t>Near-infrared spectroscopy (NIRS) and PBM</t>
  </si>
  <si>
    <t>Waight</t>
  </si>
  <si>
    <t>UK &amp; Spain</t>
  </si>
  <si>
    <t>Behav Res Methods</t>
  </si>
  <si>
    <t>From functional neuroimaging to neurostimulation: fNIRS devices as cognitive enhancers</t>
  </si>
  <si>
    <t>🧑 Human
📄 Non-randomized study, sham-controlled 
👥 30 participants
⌛ single session</t>
  </si>
  <si>
    <t>770
+
840
(6 probes of each
wavel.,
total 12)</t>
  </si>
  <si>
    <t>5
/probe
?
(6 probes of each
wavel.,
total 12)</t>
  </si>
  <si>
    <t>"Functional near-infrared spectroscopy (fNIRS) relies on near-infrared (NIR) light for changes in tissue oxygenation. For decades, this technique has been used in neuroscience to measure cortical activity. However, recent research suggests that NIR light directed to neural populations can modulate their activity through "photobiomodulation" (PBM). Yet, fNIRS is being used exclusively as a measurement tool. 
By adopting cognitive tests sensitive to prefrontal functioning, we show that a 'classical' fNIRS device, placed in correspondence of the prefrontal cortices of healthy participants, induces faster RTs and better accuracy in some of the indexes considered. A well-matched control group, wearing the same but inactive device, did not show any improvement. "
"The present study was the first aimed at evaluating the impact of near-infrared light, delivered via a fNIRS device, on cognition. As hypothesized, our results show that by merely turning on a device classically used for fNIRS, a modulation in the cognitive performance of healthy adults can be witnessed."
"Hence, our findings indicate that the 'standard' use of fNIRS devices generates PBM impacting cognition. The neuromodulatory power intrinsic in that technique has been so far completely overlooked, and future studies will need to take this into account."</t>
  </si>
  <si>
    <t>Martini &amp; Arias</t>
  </si>
  <si>
    <t>Spain
(Madrid)</t>
  </si>
  <si>
    <t>Near-infrared light spectroscopy and stimulation in cognitive neuroscience: the need for an integrative view?</t>
  </si>
  <si>
    <t>Commentary</t>
  </si>
  <si>
    <t>"Near-infrared spectroscopy (NIRS) has been largely used in neuroscience as an alternative non-invasive neuroimaging technique, primarily to measure the oxygenation levels of cerebral haemoglobin. Its portability and relative robustness against motion artefacts made it an ideal method to measure cerebral blood changes during physical activity.
Usually referred to as 'functional' NIRS (fNIRS) when used to monitor brain changes during motor or cognitive tasks, this technique often involves the montage the probes on the forehead of the participants to gauge the neurophysiological underpinning of executive functioning. Other applications of NIRS include other aspects of cerebral hemodynamics such as cerebral pulsatility.
However, there is an important aspect that fNIRS studies do not seem to have taken into account so far, which relates to the capacity of near-infrared light to modulate cognitive and psychological processes according to what is known as photobiomodulation (PBM).
Hence, drawing on a selection of NIRS and PBM experiments, we argue in favour of an integrative view for NIR-based neuroimaging studies, which should embrace a control for the possible effects of light stimulation, especially when fNIRS is considered to test the effect of an intervention."</t>
  </si>
  <si>
    <t>Neuroinflammation</t>
  </si>
  <si>
    <t>Xie</t>
  </si>
  <si>
    <t>A systematic review of the effect of photobiomodulation on the neuroinflammatory response in animal models of neurodegenerative diseases</t>
  </si>
  <si>
    <t>📚 Systematic review (animal studies)</t>
  </si>
  <si>
    <t>"We found that PBM can effectively reduce glial activation, pro-inflammatory cytokine expression and oxidative stress, whilst increasing anti-inflammatory glial responses and cytokines, and antioxidant capacity. These positive outcomes accompanied the neuroprotection evident after PBM treatment. 
Our review provides further indication that PBM can be developed into an effective non-pharmacological intervention for neurodegenerative diseases."</t>
  </si>
  <si>
    <t>Photobiomodulation for the treatment of neuroinflammation: A systematic review of controlled laboratory animal studies</t>
  </si>
  <si>
    <t>"27 studies met the inclusion criteria."
"The studies showed that PBM has anti-inflammatory properties in several conditions, such as traumatic brain injury, edema formation and hyperalgesia, ischemia, neurodegenerative conditions, aging, epilepsy, depression, and spinal cord injury."</t>
  </si>
  <si>
    <t>Saieva &amp; Taglialatela</t>
  </si>
  <si>
    <t>Near-infrared light reduces glia activation and modulates neuroinflammation in the brains of diet-induced obese mice</t>
  </si>
  <si>
    <t>20
/ 5 weeks</t>
  </si>
  <si>
    <t>"The hippocampal and cortical regions of the HFD group had increased expression of the activated microglial marker CD68 and the astrocytic marker glial fibrillary acidic protein. NIR-treated HFD groups showed decreased levels of these markers.
PCR revealed that hippocampal tissue from the HFD group had increased levels of pro-inflammatory interleukin (IL)-1β and tumor necrosis factor-α. Interestingly, the same samples showed increased levels of the anti-inflammatory IL-10. All these changes were attenuated by NIR treatment. 
Lastly, hippocampal levels of the neurotrophic factor BDNF were increased in NIR-treated HFD mice, compared to untreated HFD mice."</t>
  </si>
  <si>
    <t>Device: WARP 10</t>
  </si>
  <si>
    <t>Haghjoo</t>
  </si>
  <si>
    <t>Int J Radiat Biol</t>
  </si>
  <si>
    <t>Red-light radiation: Does it enhance memory by increasing hippocampal LRP-1 and TRPA-1 genes expression?</t>
  </si>
  <si>
    <t>LPS-induced neuroinflammation</t>
  </si>
  <si>
    <t>"Taken together, the results suggest that red-light therapy can reduce the complications of memory impairment in rats. This study has found that red-light therapy demonstrates higher effect during the period of dark phase compared to light phase. No doubt, further experimental studies would help us to establish a greater degree of accuracy on this matter."</t>
  </si>
  <si>
    <t>Photobiomodulation Improves the Inflammatory Response and Intracellular Signaling Proteins Linked to Vascular Function and Cell Survival in the Brain of Aged Rats</t>
  </si>
  <si>
    <t>"Inflammatory analysis showed that aged rats submitted to transcranial laser treatment had increased levels of IL-1alpha and decreased levels of IL-5 in the cerebral cortex. In the hippocampus, the laser treatment increased the levels of IL-1alpha and decreased levels of IL-5, IL-18, and fractalkine. Regarding the intracellular signaling proteins, a reduction in the ERK and p38 expression and an increase in the STAT3 and ERK activation were observed in the cerebral cortex of aged rats from the laser group. In addition, the laser treatment increased the hippocampal expression of p70S6K, STAT3, and p38 of aged rats.
Taken together, our data indicate that transcranial photobiomodulation can improve the inflammatory response and the activation of intracellular signaling proteins linked to vascular function and cell survival in the aged brain."</t>
  </si>
  <si>
    <t>Saieva S</t>
  </si>
  <si>
    <t>DISSERTATION [University of Texas]</t>
  </si>
  <si>
    <t>Near-Infrared Light Reduces Glia Activation and Modulates
Neuroinflammation in Brain of Diet-Induced Obese Mice</t>
  </si>
  <si>
    <t>0.050</t>
  </si>
  <si>
    <t>"The immunostaining investigations performed on brain slices to evaluate glial activation revealed that in both hippocampus and parietal/occipital cortex, HFD caused increased expression of CD68 (activated microglia) and GFAP (astrocytic marker), whereas NIR light reverses this increase. On the other hand, the same investigations displayed no change in frontal cortex. Furthermore, I evaluated the effects of light on cytokines in hippocampus and frontal cortex, by using quantitative realtime PCR analyses: in the hippocampus, HFD caused the increase of pro-inflammatory IL1β and TNF-α, as well as of the anti-inflammatory IL-10, while NIR light lowers their levels. Also, BDNF resulted upregulated in HFD mice treated with NIR light, compared to HFD not-treated mice, thus suggesting that the NIR light triggers neuroprotective effects resulting in reduced neuroinflammation. Interestingly, the levels of cytokines and BDNF were unchanged in the frontal cortex."
"Collectively, this data suggests that neuroinflammation is reduced by NIR light and it is a reversible process that may be targeted to prevent neurodegeneration. "</t>
  </si>
  <si>
    <t>PDF</t>
  </si>
  <si>
    <t>Neurotransmitters</t>
  </si>
  <si>
    <t>Kuo</t>
  </si>
  <si>
    <t>Taiwan
(Tainan)</t>
  </si>
  <si>
    <t>Deep brain light stimulation effects on glutamate and dopamine concentration</t>
  </si>
  <si>
    <t>"A fiber-coupled laser stimulator at 840 nm wavelength and 130 Hz pulse repetition rate is developed in this work for deep brain light stimulation in a rat model. Concentration changes in glutamate and dopamine in the striatum are observed using a microdialysis probe when the subthalamic nucleus (STN) is stimulated at various optical power levels. Experimental results show that light stimulation causes the concentration of glutamate to decrease while that of dopamine is increased. This suggests that deep brain light stimulation of the STN is a promising therapeutic strategy for dopamine-related diseases such as Parkinson’s disease. The stimulator developed for this work is useful for deep brain light stimulation in biomedical research."</t>
  </si>
  <si>
    <t>Ahmed</t>
  </si>
  <si>
    <t>Effect of three different intensities of infrared laser energy on the levels of amino acid neurotransmitters in the cortex and hippocampus of rat brain.</t>
  </si>
  <si>
    <t>830
808
808</t>
  </si>
  <si>
    <t>90
190
500</t>
  </si>
  <si>
    <t>"The rats subjected to 500 mW of laser irradiation had a significant decrease in glutamate, aspartate, and taurine in the cortex, and a significant decrease in hippocampal GABA. In the cortices of rats exposed to 190 mW of laser irradiation, an increase in aspartate accompanied by a decrease in glutamine were observed. In the hippocampus, other changes were seen. The rats irradiated with 90 mW showed a decrease in cortical glutamate, aspartate, and glutamine, and an increase in glycine, while in the hippocampus an increase in glutamate, aspartate, and GABA were recorded."
"We conclude that daily laser irradiation at 90 mW produced the most pronounced inhibitory effect in the cortex after 7 d. This finding may explain the reported neurosuppressive effect of infrared laser energy on axonal conduction of hippocampal and cortical tissues of rat brain."</t>
  </si>
  <si>
    <t>Neuronal morphology</t>
  </si>
  <si>
    <t>Transcranial photobiomodulation changes neuronal morphology in the cerebral cortex of rats</t>
  </si>
  <si>
    <t>"We hypothesized that chronic laser treatment may stimulate neuronal growth. To test this hypothesis, we investigated the morphology of neurons in the cerebral cortex of rats submitted to brief (2.5 min) daily sham or transcranial laser treatment (810 nm wavelength at 100 mW) for 58 consecutive days. 
Laser treatment increased the number of dendritic nodes and ends, and reduced the total dendritic length in neurons of the cerebral cortex. 
Taken together, our data indicate that chronic transcranial photobiomodulation induces morphological neuroplasticity in the cerebral cortex of rats."</t>
  </si>
  <si>
    <t>Obsessive-compulsive disorder (OCD)</t>
  </si>
  <si>
    <t>Inflammation in obsessive-compulsive disorder: A literature review and hypothesis-based potential of transcranial photobiomodulation</t>
  </si>
  <si>
    <t>"Our review suggests that t-PBM could be a promising, noninvasive intervention for OCD, with the potential to modulate underlying inflammatory processes. Future research should focus on randomized clinical trials to assess t-PBM's efficacy and optimal treatment parameters in OCD. Biomarker analyses and neuroimaging studies will be important in understanding the relationship between inflammatory modulation and OCD symptom improvement following t-PBM sessions."</t>
  </si>
  <si>
    <t>Other</t>
  </si>
  <si>
    <t>Idris</t>
  </si>
  <si>
    <t>Malaysia</t>
  </si>
  <si>
    <t>Light and the Brain: A Clinical Case Depicting the Effects of Light on Brainwaves and Possible Presence of Plasma-like Brain Energy</t>
  </si>
  <si>
    <t>"Herein, we present our intraoperative findings of rapid electrocorticographic brainwave changes when the brain was shone directly with different wavelengths of light during awake brain surgery. Our findings provide literature evidence for light's ability to influence human brain energy and function."</t>
  </si>
  <si>
    <t>Parkinson's disease</t>
  </si>
  <si>
    <t>China
(Jiangsu)</t>
  </si>
  <si>
    <t>NIR-II light therapy improves cognitive performance in MPTP induced Parkinson's disease rat models: A preliminary experimental study</t>
  </si>
  <si>
    <t>"The horizontal analysis results indicated that NIR-II phototherapy improved the learning and cognitive abilities as well as coordination and balance abilities of rats. Post-treatment, the MPTP rats showed significantly shortened, escape latency, prolonged target quadrant residence time, and prolonged fall latency compared with pre-treatment. The longitudinal analysis results reaffirmed that NIR-II phototherapy improved the learning and cognitive abilities as well as coordination and balance abilities of rats."</t>
  </si>
  <si>
    <t>Bicknell</t>
  </si>
  <si>
    <t>J Pers Med</t>
  </si>
  <si>
    <t>Parkinson's Disease and Photobiomodulation: Potential for Treatment</t>
  </si>
  <si>
    <t>"Pre-clinical experiments have indicated that PBM has the potential to improve the clinical signs of Parkinson's disease and to provide neuroprotection. This effect is seen whether the PBM is directed to the head of the animal or to other parts of the body (remotely). A small number of clinical trials has given weight to the possibility that using PBM can improve both motor and non-motor clinical signs and symptoms of Parkinson's disease and may potentially slow its progression."</t>
  </si>
  <si>
    <t>Herkes</t>
  </si>
  <si>
    <t>EClinicalMedicine</t>
  </si>
  <si>
    <t>A novel transcranial photobiomodulation device to address motor signs of Parkinson's disease: a parallel randomised feasibility study</t>
  </si>
  <si>
    <t>🧑 Human
🎲 Randomized trial, crossover-like design
👥 20 participants
⌛ 2 phases (12 weeks + 12 weeks) study</t>
  </si>
  <si>
    <t>72
/ 12 weeks</t>
  </si>
  <si>
    <t>"There was no significant difference between groups at any assessment point."
"Our findings add to the evidence base to suggest that tPBM is a safe, tolerable, and feasible non-pharmaceutical adjunct therapy for Parkinson's disease. While future work is needed our results lay the foundations for an adequately powered randomised placebo-controlled clinical trial."
"The overall improvement for many participants in the sham group when they progressed to active treatment suggests a positive signal to tPBM above placebo and points to the need to conduct a larger, appropriately powered, randomised crossover trial."</t>
  </si>
  <si>
    <t>Mohammed</t>
  </si>
  <si>
    <t>Photochem Photobiol Sci</t>
  </si>
  <si>
    <t>Transcranial photobiomodulation ameliorates midbrain and striatum neurochemical impairments and behavioral deficits in reserpine-induced parkinsonism in rats</t>
  </si>
  <si>
    <t>0.1274</t>
  </si>
  <si>
    <t>71.96
(6 points)</t>
  </si>
  <si>
    <t>15.28</t>
  </si>
  <si>
    <t>0.785 cm2 spot size</t>
  </si>
  <si>
    <t>"Non-invasive treatment of animals for 14 days with 100 mW, 830 nm laser has demonstrated successful attainment in the recovery of oxidative stress, and enzymatic activities impairments induced by reserpine (0.2 mg/kg) in both midbrain and striatum of adult male Wistar rats. PBM also improved the decrease in DA, NE, and 5-HT in the investigated brain regions. On a behavioral level, animals showed improvement in their locomotion activity."</t>
  </si>
  <si>
    <t>Suhariningsih</t>
  </si>
  <si>
    <t>Indonesia
(Surabaya)</t>
  </si>
  <si>
    <t>Effect of 650 nm laser photobiomodulation therapy on the HT-7 ( shenmen) acupoint in the Mus musculus model of Parkinson's disease</t>
  </si>
  <si>
    <t>0.14
0.29
0.37
0.76
1.14
1.52</t>
  </si>
  <si>
    <t>"The effective radiated energy of the photobiomodulation therapy using laser diode treatment on the muscle musculus cell model of Parkinson's disease is 0.76 J."</t>
  </si>
  <si>
    <t>McGee</t>
  </si>
  <si>
    <t>J Clin Med</t>
  </si>
  <si>
    <t>A Randomized Placebo-Controlled Study of a Transcranial Photobiomodulation Helmet in Parkinson's Disease: Post-Hoc Analysis of Motor Outcomes</t>
  </si>
  <si>
    <t>🧑 Human
📄 Post hoc data from a RCT
👥 40 participants
⌛ 12 weeks</t>
  </si>
  <si>
    <t>"There was no significant difference in total MDS-UPDRS-III scores between groups, presumably due to the placebo effect. Additional analyses demonstrated that facial and lower-limb sub-scores significantly improved with active treatment, while gait and lower-limb sub-scores significantly improved with sham treatment."</t>
  </si>
  <si>
    <t>Toro-Pérez</t>
  </si>
  <si>
    <t>Spain
(Almería)</t>
  </si>
  <si>
    <t>Treatment of Vascular Parkinsonism: A Systematic Review</t>
  </si>
  <si>
    <t>"The treatments evaluated included levodopa, vitamin D, repetitive transcranial magnetic stimulation (rTMS) and intracerebral transcatheter laser photobiomodulation therapy (PBMT)."
"New therapies such as vitamin D, rTMS and PBMT warrant further studies to demonstrate their efficacy."</t>
  </si>
  <si>
    <t>Gordon</t>
  </si>
  <si>
    <t>Eur J Neurosci</t>
  </si>
  <si>
    <t>Remote photobiomodulation targeted at the abdomen or legs provides effective neuroprotection against parkinsonian MPTP insult</t>
  </si>
  <si>
    <t>🐁 Mouse
+ 🐒 Monkey (?)</t>
  </si>
  <si>
    <t>"In a pilot study, the neurotoxin MPTP was used to induce PD in non-human primates; PBM (670 nm, 50 mW/cm2 , 6 min/day) of the abdomen (n = 1) was associated with fewer clinical signs and more surviving midbrain dopaminergic cells relative to MPTP-injected non-human primates not treated with PBM."
"Validation studies in MPTP-injected mice (n = 10 per group) revealed a significant rescue of midbrain dopaminergic cells in mice receiving PBM to the abdomen (~80%, p &lt; .0001) or legs (~80%, p &lt; .0001), with comparable rescue of axonal terminals in the striatum."
"Strikingly, this degree of neuroprotection was at least as, if not more, pronounced than that achieved with transcranial PBM."
"These findings confirm that remote PBM provides neuroprotection against MPTP-induced destruction of the key circuitry underlying PD, with both the abdomen and legs serving as viable remote targets. This should provide the impetus for a comprehensive investigation of remote PBM-induced neuroprotection in other models of PD and, ultimately, human patients."</t>
  </si>
  <si>
    <t>Ahrabi</t>
  </si>
  <si>
    <t>Photobiomodulation Therapy and Cell Therapy Improved Parkinson's Diseases by Neuro-regeneration and Tremor Inhibition</t>
  </si>
  <si>
    <t>Protocol for randomized controlled trial to evaluate the safety and feasibility of a novel helmet to deliver transcranial light emitting diodes photobiomodulation therapy to patients with Parkinson's disease</t>
  </si>
  <si>
    <t>"This is a 24-week, two-arm, triple-blinded randomized placebo-controlled clinical trial of a novel transcranial "PDNeuro" LED Helmet, comparing an active helmet to a sham helmet device."</t>
  </si>
  <si>
    <t>Liebert</t>
  </si>
  <si>
    <t>Remote Photobiomodulation Treatment for the Clinical Signs of Parkinson's Disease: A Case Series Conducted During COVID-19</t>
  </si>
  <si>
    <t>🧑 Human
📄 Case series
👥 7 cases
⌛ 45 weeks: 12 at clinic, 33 at home</t>
  </si>
  <si>
    <t>"A number of clinical signs of PD were shown to be improved by remote PBM treatment, including mobility, cognition, dynamic balance, spiral test, and sense of smell. Improvements were individual to the participant. Some improvements were lost for certain participants during at-home treatment, which coincided with a number of enforced coronavirus disease 2019 (COVID-19) pandemic lockdown periods."</t>
  </si>
  <si>
    <t>BMC Neurol</t>
  </si>
  <si>
    <t>Improvements in clinical signs of Parkinson's disease using photobiomodulation: a prospective proof-of-concept study</t>
  </si>
  <si>
    <t>🧑 Human
📄 Non-randomized study, waitlist-controlled
👥 12 participants
⌛ 12 weeks at clinic -&gt; 25 or 40 weeks at home</t>
  </si>
  <si>
    <t>904
(laser)
+
810
(LED)</t>
  </si>
  <si>
    <t>3 times
weekly
(wk 1-4)
2 times
weekly
(wk 5-8)
once per
week
(wk 9-12)
3 times
weekly
(home)</t>
  </si>
  <si>
    <t>"Measures of mobility, cognition, dynamic balance and fine motor skill were significantly improved (p &lt; 0.05) with PBM treatment for 12 weeks and up to one year. Many individual improvements were above the minimal clinically important difference, the threshold judged to be meaningful for participants. Individual improvements varied but many continued for up to one year with sustained home treatment. There was a demonstrable Hawthorne Effect that was below the treatment effect. No side effects of the treatment were observed."
Comment: Many outcomes seemed to improve also in the waitlist group (group B) before those participants received PBM.</t>
  </si>
  <si>
    <t>Devices: "The PBM was administered transcranially with a VieLight Neuro Gamma device (4 LEDs, 240 joules), intranasally with a VieLight Gamma nasal device (1 LED, 15 joules), transdermally to the C1/C2 region of the neck and to the abdomen with an Irradia MID 2.5 laser device (4 laser diodes, 39.6 joules) or a MIDCARE laser device (2 diodes 39.6 joules)."</t>
  </si>
  <si>
    <t>Johnstone</t>
  </si>
  <si>
    <t>Exploring the Use of Intracranial and Extracranial (Remote) Photobiomodulation Devices in Parkinson's Disease: A Comparison of Direct and Indirect Systemic Stimulations</t>
  </si>
  <si>
    <t>"In relation to Parkinson's disease, given that the major zone of pathology lies deep in the brain and that light from an extracranial or external photobiomodulation device would not reach these vulnerable regions, stimulating the distressed neurons directly would require intracranial delivery of light using a device implanted close to the vulnerable regions.
For indirect systemic stimulation, photobiomodulation could be applied to either the head and scalp, using a transcranial helmet, or to a more remote body part (e.g., abdomen, leg). In this review, we discuss the evidence for both the direct and indirect neuroprotective effects of photobiomodulation in Parkinson's disease and propose that both types of treatment modality, when working together using both intracranial and extracranial devices, provide the best therapeutic option."</t>
  </si>
  <si>
    <t>Bullock-Saxton</t>
  </si>
  <si>
    <t>Exploring the Effect of Combined Transcranial and Intra-Oral Photobiomodulation Therapy Over a Four-Week Period on Physical and Cognitive Outcome Measures for People with Parkinson's Disease: A Randomized Double-Blind Placebo-Controlled Pilot Study</t>
  </si>
  <si>
    <t>🧑 Human
🎲 Randomized trial, 3-phased, double-blind
👥 22 participants
⌛ 4-week treatment phase 1 / 4-week washout / 4-week treatment phase 2</t>
  </si>
  <si>
    <t>🎚 Pulsing 50 Hz</t>
  </si>
  <si>
    <t>693
(33p)</t>
  </si>
  <si>
    <t>"Montreal Cognitive Assessment remained stable between start and end of study. No measures demonstrated statistically significant changes. With regular treatment, the spiral (writing) test and the dynamic step test were most sensitive to change in a positive direction; and the 9-hole peg test demonstrated a minimum clinically important difference worthy of further investigation in a larger, adequately powered clinical trial. A placebo effect was noted."
Comment: The study phases are somewhat similar as in crossover studies, but not exactly. See the full text for details.</t>
  </si>
  <si>
    <t>Effects of concomitant use of hydrogen water and photobiomodulation on Parkinson disease: A pilot study</t>
  </si>
  <si>
    <t>🧑 Human
📄 Single-arm trial
👥 18 participants
⌛ 2-week treatment / 3-week study</t>
  </si>
  <si>
    <t>PBM + hydrogen water (H2)</t>
  </si>
  <si>
    <t>240
(from 4 diodes)</t>
  </si>
  <si>
    <t>0.006</t>
  </si>
  <si>
    <t>42
(21p)</t>
  </si>
  <si>
    <t>0.196
cm2
beam
size</t>
  </si>
  <si>
    <t>daily
for
2 weeks</t>
  </si>
  <si>
    <t>"We noted that the UPDRS scores began significantly decreasing from the first week, and this improvement persisted until the end of therapy. Moreover, no adverse event was recorded. After 1 week of therapy cessation, UPDRS scores slightly increased but the improvement remained significant compared with the baseline."
"This novel, proof-of-concept study demonstrated that PBM+H2 therapy is safe and reduces disease severity. A larger-scaled clinical trial is warranted to completely investigate the effects of PBM + H2 therapy on PD."</t>
  </si>
  <si>
    <t>Salehpour &amp; Hamblin</t>
  </si>
  <si>
    <t>Germany &amp; USA</t>
  </si>
  <si>
    <t>Photobiomodulation for Parkinson's Disease in Animal Models: A Systematic Review.</t>
  </si>
  <si>
    <t>"The present systematic review covers reports describing the use of PBM to treat laboratory animal models of PD, in an attempt to draw conclusions about the best choice of parameters and irradiation techniques. There have already been clinical trials of PBM reported in patients, and more are expected in the coming years. PBM is particularly attractive as it is a non-pharmacological treatment, without any major adverse effects (and very few minor ones)."</t>
  </si>
  <si>
    <t>Foo</t>
  </si>
  <si>
    <t>Singapore
(Singapore)</t>
  </si>
  <si>
    <t>Mitochondrial Dysfunction and Parkinson's Disease-Near-Infrared Photobiomodulation as a Potential Therapeutic Strategy.</t>
  </si>
  <si>
    <t>"A recent approach towards forestalling dopaminergic neurodegeneration in PD involves near-infrared (NIR) photobiomodulation (PBM), which is thought to enhance mitochondrial function of stimulated cells through augmenting the activity of cytochrome C oxidase.
Notwithstanding this, our understanding of the neuroprotective mechanism of PBM remains far from complete. For example, studies focusing on the effects of PBM on gene transcription are limited, and the mechanism through which PBM exerts its effects on distant sites (i.e., its "abscopal effect") remains unclear. Also, the clinical application of NIR in PD proves to be challenging. Efficacious delivery of NIR light to the substantia nigra pars compacta (SNpc), the primary site of disease pathology in PD, is fraught with technical challenges.
Concerted efforts focused on understanding the biological effects of PBM and improving the efficiency of intracranial NIR delivery are therefore essential for its successful clinical translation."</t>
  </si>
  <si>
    <t>Bikmulina</t>
  </si>
  <si>
    <t>Opt Eng</t>
  </si>
  <si>
    <t>Photobiomodulation enhances mitochondrial respiration in an in vitro rotenone model of Parkinson’s disease</t>
  </si>
  <si>
    <t>"PBM stimulated mitochondrial respiration overcoming rotenone-induced inhibition. At high doses (50  μM), rotenone moderately suppressed cell viability, which was reversed by PBM. Thus, preliminary treatment with red and infrared radiation improves cell viability and enhances mitochondrial oxygen consumption in an in vitro rotenone model of Parkinson’s disease."</t>
  </si>
  <si>
    <t>"Buckets": Early Observations on the Use of Red and Infrared Light Helmets in Parkinson's Disease Patients.</t>
  </si>
  <si>
    <t>🧑 Human
📄 Case series
👥 6 cases
⌛ 8-24 months</t>
  </si>
  <si>
    <t>660
670
810
850</t>
  </si>
  <si>
    <t>"We found that 55% of the initial signs and symptoms of the six patients showed overall improvement, whereas 43% stayed the same and only 2% got worse. We also found that PBM did not target a specific sign or symptom, with both motor and nonmotor ones being affected, depending on the patient."
"In summary, our early observations are the first to note the impact of PBM on patients' signs and symptoms over an extended period, up to 24 months, and lays the groundwork for further development to clinical trial."</t>
  </si>
  <si>
    <t>San Miguel</t>
  </si>
  <si>
    <t>Photobiomodulation Mitigates Cerebrovascular Leakage Induced by the Parkinsonian Neurotoxin MPTP.</t>
  </si>
  <si>
    <t>"Mice that were injected with MPTP and treated with daily transcranial PBM (670 nm, 50 mW/cm2, 3 min/day), commencing 24 hours after MPTP injection, showed significantly less leakage of FITC-labelled albumin in both the SNc (p &lt; 0.0001) and CPu (p = 0.0003) than sham-treated MPTP mice, with levels of leakage that were not significantly different from saline-injected controls. 
In summary, this study confirms that MPTP damages the brain's vasculature, delineates the time course of leakage induced by MPTP out to 14 days post-injection, and provides the first direct evidence that PBM can mitigate this leakage."</t>
  </si>
  <si>
    <t>O'Brien &amp; Austin</t>
  </si>
  <si>
    <t>Effect of Photobiomodulation in Rescuing Lipopolysaccharide-Induced Dopaminergic Cell Loss in the Male Sprague-Dawley Rat.</t>
  </si>
  <si>
    <t>670
(675)</t>
  </si>
  <si>
    <t>"While PBM caused no significant improvement at the group level, motor performance on all three tests no longer correlated with the lesion size caused by 20 µg LPS in PBM-treated rats, suggesting extranigral motor improvements in some animals. These results provide support for PBM as a successful neuroprotective therapy against the inflammatory component of early PD, provided inflammation has not reached a devastating level, as well as potential benefits in other motor circuitries."</t>
  </si>
  <si>
    <t>Maggio</t>
  </si>
  <si>
    <t>Italy
(L'Aquila)</t>
  </si>
  <si>
    <t>Parkinson's Disease and Light: The Bright and the Dark Sides.</t>
  </si>
  <si>
    <t>"Notwithstanding the above discussion, specific wavelengths of light, locally applied, can be used therapeutically to exert protective effects in Parkinson’s Disease. Mitrofanis and its group [62] demonstrated that near-infrared light has neuroprotective effects in mice treated with the neurotoxic agent, MPTP (...)"</t>
  </si>
  <si>
    <t>Spain
(A Coruna)</t>
  </si>
  <si>
    <t>Photobiomodulation in Parkinson's disease: A randomized controlled trial</t>
  </si>
  <si>
    <t>🧑 Human
🎲 Randomized trial, sham-controlled
👥 35 participants
⌛ 9 weeks</t>
  </si>
  <si>
    <t>0.060</t>
  </si>
  <si>
    <t>"When 8J/cm2 of energy are applied to the head, approximately 2–3% of the near-infrared photons reach the brain cortex at depths of 1cm from the skin or scalp surface, and 0.2–0.3% are estimated to reach depths of 2cm (and thus to reach the white matter). 
Accordingly, transcranial application of [8?] J/cm2 is estimated to deliver 0.09375 J/cm2 (1.9%) and 0.009375J/cm2 (0.19%) to the brain cortex and white matter, respectively."
"We found no changes over the 9-wk period in the sham group (all p&gt;0.1). Yet, the photobiomodulation group showed gait improvements (i.e., TMWT, fast rhythm; p=0.045, ES=0.73), and a significant between-group difference was found for the mean change (post-intervention minus baseline) in this endpoint (p=0.001, ES=1.17, Table 1). No other intervention effect was noted, although there was trend towards greater benefits in the TUG 105 test after photobiomodulation (p=0.094, ES=0.54)."
Comment: Poor results, at least with the methodology used in this study.</t>
  </si>
  <si>
    <t>Device: "WARP 10, Quantum Devices"</t>
  </si>
  <si>
    <t>Ganeshan</t>
  </si>
  <si>
    <t>Pre-conditioning with remote photobiomodulation modulates the brain transcriptome and protects against MPTP insult in mice.</t>
  </si>
  <si>
    <t>LED phototherapy
Systemic effects</t>
  </si>
  <si>
    <t>2
5
10</t>
  </si>
  <si>
    <t>"Balb/c mice were irradiated with 670nm light (4J/cm2 per day) targeting dorsum and hindlimbs for 2, 5 or 10 days, followed by injection of the parkinsonian neurotoxin MPTP (50mg/kg) over two consecutive days. Despite no direct irradiation of the head, 10 days of pre-conditioning with remote PBM significantly attenuated MPTP-induced loss of midbrain tyrosine hydroxylase-positive dopaminergic cells and mitigated the increase in FOS-positive neurons in the caudate-putamen complex. 
Interrogation of the midbrain transcriptome by RNA microarray and pathway enrichment analysis suggested upregulation of cell signaling and migration (including CXCR4+ stem cell and adipocytokine signaling), oxidative stress response pathways and modulation of the blood-brain barrier following remote PBM."
Comment: While the 2 and 5 day groups didn't show a statistically significant difference in the TH+ cells, all PBM groups clearly mitigate dthe increases of FOS+ cells</t>
  </si>
  <si>
    <t>Exploring the use of transcranial photobiomodulation in Parkinson's disease patients.</t>
  </si>
  <si>
    <t>"In conclusion, there are solid arguments to challenge the bulk of the suspicion and scepticism with regard to the potential development of transcranial photobiomodulation in Parkinson's disease patients. The translation of the experimental evidence in the laboratory to use by patients in the clinic is well-founded and certainly worthy of consideration. Indeed, the treatment is safe to use, with no side effects and there are early and encouraging indications of photobiomodulation-induced improvements in a number of patients. The next step would be to replicate these early clinical findings in controlled and blinded larger clinical studies and, upon replication, then proceed to a double-blind clinical trial on a large cohort of patients. Such trials could include strategies to determine whether the photobiomodulation is indeed neuroprotective, as has been reported in animal models of Parkinson's disease (Hamblin, 2016; Johnstone et al., 2016; Mitrofanis, 2017)[12]."</t>
  </si>
  <si>
    <t>El Massri</t>
  </si>
  <si>
    <t>Photobiomodulation reduces gliosis in the basal ganglia of aged mice.</t>
  </si>
  <si>
    <t>"In summary, our results indicated that long-term PBM had beneficial effects on the aging striatum by reducing glial cell number; and furthermore, that this treatment did not have any deleterious effects on the neurons and terminations in this nucleus."</t>
  </si>
  <si>
    <t>Australia &amp; France</t>
  </si>
  <si>
    <t>Evidence for encephalopsin immunoreactivity in interneurones and striosomes of the monkey striatum.</t>
  </si>
  <si>
    <t>🐒 Monkey</t>
  </si>
  <si>
    <t>Opsins in brain</t>
  </si>
  <si>
    <t>"There was also rich encephalopsin expression in a set of terminals forming striosome-like patches across the striatum. Finally, we found that neither parkinsonian (MPTP) insult nor photobiomodulation had any effect on encephalopsin expression in the striatum. In summary, our results revealed an extensive network of encephalopsin containing structures throughout the striatum, indicating that external light is in a position to influence a range of striatal activities at both the interneurone and striosome level."
Comment: Shortly, they found opsin proteins in certain cell populations of the middle brain of monkey. While photobiomodulation or parkinsonism didn't influence those proteins, researchers are speculating whether the opsins could have some light-sensitive functions in the brain.</t>
  </si>
  <si>
    <t>Gu</t>
  </si>
  <si>
    <t>Photoactivation of ERK/CREB/VMAT2 pathway attenuates MPP +-induced neuronal injury in a cellular model of Parkinson's disease</t>
  </si>
  <si>
    <t>1
2
4</t>
  </si>
  <si>
    <t>"In the present study, we demonstrated that LPLI protects against MPP+-induced neurotoxicity via upregulation of VMAT2 in SH-SY5Y human dopaminergic neuroblastoma cells. The photoactivation of ERK phosphorylated cAMP-response element binding protein (CREB) at Ser133, and thus increased the ability of CREB binding to the promoter region of VMAT2, leading to elevated VMAT2 expression, which contributes to dopamine release and cell survival."</t>
  </si>
  <si>
    <t>IBRO Rep</t>
  </si>
  <si>
    <t>Remote tissue conditioning is neuroprotective against MPTP insult in mice</t>
  </si>
  <si>
    <t>MPTP
Systemic effects</t>
  </si>
  <si>
    <t>"Stereological counts of functional dopaminergic neurons in the substantia nigra pars compacta revealed that both remote ischemia and remote photobiomodulation rescued around half of the neurons that were compromised by MPTP (p &lt; 0.001). Combining the two interventions provided no added benefit, rescuing only 40% of vulnerable neurons (p &lt; 0.01). 
The present results suggest that remote tissue conditioning, whether ischemia of a limb or photobiomodulation of the torso, induces protection of brain centers critical in PD. The lack of additional benefit when combining these two interventions suggests they may share common mechanistic pathways. Further research is needed to identify these pathways and determine the conditioning doses that yield optimal neuroprotection."</t>
  </si>
  <si>
    <t>Photobiomodulation-induced changes in a monkey model of Parkinson's disease: changes in tyrosine hydroxylase cells and GDNF expression in the striatum.</t>
  </si>
  <si>
    <t>🐒 Monkey
🐀 Rat
🐁 Mouse</t>
  </si>
  <si>
    <t>MPTP
(6-OHDA rats)
LED phototherapy</t>
  </si>
  <si>
    <t>"In our MPTP monkey model, which showed a clear loss in striatal dopaminergic terminations, PBM generated a striking increase in striatal TH+ cell number, 60% higher compared to MPTP monkeys not treated with PBM and 80% higher than controls."
"This increase was not evident in our MPTP mouse and 6OHDA rat models, both of which showed minimal loss in striatal terminations."
"In monkeys, the increase in striatal TH+ cell number in MPTP-PBM cases was accompanied by similar increases in GDNF expression, as determined from western blots, from MPTP and control cases.
In summary, these results offer insights into the mechanisms by which PBM generates its beneficial effects, potentially with the use of trophic factors, such as GDNF."</t>
  </si>
  <si>
    <t>Mitrofanis</t>
  </si>
  <si>
    <t>Why and how does light therapy offer neuroprotection in Parkinson's disease?</t>
  </si>
  <si>
    <t>Mechanisms</t>
  </si>
  <si>
    <t>Reinhart</t>
  </si>
  <si>
    <t>France &amp; Australia</t>
  </si>
  <si>
    <t>Neurosci Res</t>
  </si>
  <si>
    <t>The behavioural and neuroprotective outcomes when 670 nm and 810 nm near infrared light are applied together in MPTP-treated mice</t>
  </si>
  <si>
    <t>MPTP
LED phototherapy</t>
  </si>
  <si>
    <t>670
+
810</t>
  </si>
  <si>
    <t>"Our results showed that when 670nm and 810nm NIr were applied both together and sequentially, there was a greater overall beneficial outcome - increased locomotor activity and number of tyrosine hydroxylase immunoreactive cells in the substantia nigra pars compacta - than when they were applied either separately, or in particular, both together and concurrently."
Note: In this paper, they had 6 different active treatment groups, and all of them fared better than the MPTP group!</t>
  </si>
  <si>
    <r>
      <rPr>
        <rFont val="Arial"/>
        <b/>
        <color rgb="FF980000"/>
        <sz val="9.0"/>
      </rPr>
      <t xml:space="preserve">★
</t>
    </r>
    <r>
      <rPr>
        <rFont val="Arial"/>
        <b/>
        <color rgb="FF980000"/>
        <sz val="6.0"/>
      </rPr>
      <t>📷</t>
    </r>
  </si>
  <si>
    <t>Near-infrared light (670 nm) reduces MPTP-induced parkinsonism within a broad therapeutic time window.</t>
  </si>
  <si>
    <t>MPTP
LED phototherapy
Epitex devices (models 670-66-60 and 810-66-60)</t>
  </si>
  <si>
    <t>0.0053
(mid-
brain)</t>
  </si>
  <si>
    <t>0.5
(mid-
brain)</t>
  </si>
  <si>
    <t>4-
12</t>
  </si>
  <si>
    <t>"In summary, irrespective of whether it was applied before, at the same time as or after MPTP insult, NIr reduced both behavioural and structural measures of damage by a similar magnitude."
"There was a broad therapeutic time window of NIr application in relation to the stage of toxic insult, and the NIr was fast-acting and long-lasting."
Star: The paper included a photograph of LLLT application.</t>
  </si>
  <si>
    <t>J Neurosurg</t>
  </si>
  <si>
    <t>Intracranial application of near-infrared light in a hemi-parkinsonian rat model: the impact on behavior and cell survival.</t>
  </si>
  <si>
    <t>6-OHDA
LED phototherapy (Epitex SMT 670)
Light delivery into the brain via optical fiber</t>
  </si>
  <si>
    <t>"In summary, when delivered at the appropriate power, delivery mode, and dosage, NIr treatment provided both improved behavior and neuroprotection in 6-OHDA-lesioned rats."
Comment: However, there were three NIR groups and it seems that the results weren't as straightforward as one would think...</t>
  </si>
  <si>
    <t>Koptasikova</t>
  </si>
  <si>
    <t>Slovakia
(Kosice)</t>
  </si>
  <si>
    <t>Biophys J</t>
  </si>
  <si>
    <r>
      <rPr>
        <b/>
        <sz val="7.0"/>
      </rPr>
      <t xml:space="preserve">Study of the NIR Light Induced Effects on Neuroblastoma N2A Cells with Parkinson's-Like Features
</t>
    </r>
    <r>
      <rPr>
        <b val="0"/>
        <i/>
        <sz val="7.0"/>
      </rPr>
      <t>[Poster abstract, not a full article]</t>
    </r>
  </si>
  <si>
    <t>"Overall, we observed a significant stimulation of cell proliferation in control and rotenone-treated cells after PBM. This effect was accompanied by an increased oxygen consumption rate by mitochondria and increased mitochondrial membrane potential. These effects are concomitant features of PBM, finally somehow stimulating cell proliferation. 
Our further experiments focus on the production of lactate, reactive oxygen species (ROS), and ATP by rotenone-treated and untreated N2A cells after irradiation at 808 nm to better understand PBM-triggered metabolic changes inducing an enhanced cells proliferation."</t>
  </si>
  <si>
    <t>Moro</t>
  </si>
  <si>
    <t>Effects of a higher dose of near-infrared light on clinical signs and neuroprotection in a monkey model of Parkinson's disease.</t>
  </si>
  <si>
    <t>MPTP
Laser diode</t>
  </si>
  <si>
    <t>Higher dose of 125J was not as beneficial to MPTP-treated monkeys as compared to the lower doses of 25J and 35J.</t>
  </si>
  <si>
    <t>Med Res Arch</t>
  </si>
  <si>
    <t>Effects of Light Emitting Diode and Low-intensity Light on the immunological process in a model of Parkinson's disease</t>
  </si>
  <si>
    <t>LLLT vs LED
LED phototherapy
6-OHDA</t>
  </si>
  <si>
    <t>627
(LED)
630
(laser)</t>
  </si>
  <si>
    <t>70
45</t>
  </si>
  <si>
    <t>4
4</t>
  </si>
  <si>
    <t>46
88</t>
  </si>
  <si>
    <t>Comment: Quite poorly written paper in a very random journal, showing improvement in open field test with laser but not LED group. The cytokine results are hard to interpret.</t>
  </si>
  <si>
    <t>Int J Neurosci</t>
  </si>
  <si>
    <t>The effect of different doses of near infrared light on dopaminergic cell survival and gliosis in MPTP-treated mice.</t>
  </si>
  <si>
    <t>"In summary, we showed that neuroprotection by NIr irradiation in MPTP-treated mice was dose-dependent; with increasing MPTP toxicity, higher doses of NIr were required to protect cells and reduce astrogliosis."</t>
  </si>
  <si>
    <t>Near-infrared light treatment reduces astrogliosis in MPTP-treated monkeys.</t>
  </si>
  <si>
    <t>"Our results showed that NIr treatment reduced dramatically (~75 %) MPTP-induced astrogliosis in both the SNc and striatum. Among microglia, however, NIr had a more limited impact in both nuclei; although there was a reduction in overall cell size, there were no changes in the number of microglia in the MPTP-treated monkeys after NIr treatment."</t>
  </si>
  <si>
    <t>Darlot</t>
  </si>
  <si>
    <t>Ann Neurol</t>
  </si>
  <si>
    <t>Near-infrared light is neuroprotective in a monkey model of Parkinson disease.</t>
  </si>
  <si>
    <t>5
or
7</t>
  </si>
  <si>
    <t>"Our findings indicate NIr to be an effective therapeutic agent in a primate model of the disease and create the template for translation into clinical trials."</t>
  </si>
  <si>
    <t>Turning On Lights to Stop Neurodegeneration: The Potential of Near Infrared Light Therapy in Alzheimer's and Parkinson's Disease.</t>
  </si>
  <si>
    <t>(Systemic effects)</t>
  </si>
  <si>
    <t>"Red to infrared light therapy (λ = 600-1070 nm), and in particular light in the near infrared (NIr) range, is emerging as a safe and effective therapy that is capable of arresting neuronal death. Previous studies have used NIr to treat tissue stressed by hypoxia, toxic insult, genetic mutation and mitochondrial dysfunction with much success. Here we propose NIr therapy as a neuroprotective or disease-modifying treatment for Alzheimer's and Parkinson's patients."</t>
  </si>
  <si>
    <t>810nm near-infrared light offers neuroprotection and improves locomotor activity in MPTP-treated mice.</t>
  </si>
  <si>
    <t>MPTP
LED phototherapy</t>
  </si>
  <si>
    <t>0.057</t>
  </si>
  <si>
    <t>"Our results showed that MPTP-treated mice that were irradiated with 810nm NIr had both greater locomotor activity (∼40%) and number of dopaminergic cells (∼20%) than those that were not. In summary, 810nm (as with 670nm) NIr offered neuroprotection and improved locomotor activity in MPTP-treated mice."</t>
  </si>
  <si>
    <t>Oueslati</t>
  </si>
  <si>
    <t>Switzerland</t>
  </si>
  <si>
    <t>Photobiomodulation Suppresses Alpha-Synuclein-Induced Toxicity in an AAV-Based Rat Genetic Model of Parkinson's Disease.</t>
  </si>
  <si>
    <t>AAV-based genetic model</t>
  </si>
  <si>
    <t>0.0025
0.0050</t>
  </si>
  <si>
    <t>2
cm2
(?)</t>
  </si>
  <si>
    <t>"In this model, daily exposure of both sides of the rat's head to 808-nm near-infrared light for 28 consecutive days alleviated α-syn-induced motor impairment, as assessed using the cylinder test. This treatment also significantly reduced dopaminergic neuronal loss in the injected substantia nigra and preserved dopaminergic fibers in the ipsilateral striatum."</t>
  </si>
  <si>
    <t>Photobiomodulation inside the brain: a novel method of applying near-infrared light intracranially and its impact on dopaminergic cell survival in MPTP-treated mice.</t>
  </si>
  <si>
    <t>MPTP
LED phototherapy
Light delivery into the brain via optical fiber</t>
  </si>
  <si>
    <t>"Measurements showed that the NIr intensity declined as distance from the source increased across the brain (65% per mm) but was detectable up to 10 mm away. At neuroprotective (0.16 mW) and much higher (67 mW) intensities, the NIr caused no observable behavioral deficits, nor was there evidence of tissue necrosis at the fiber tip, where radiation was most intense. Finally, the intracranially delivered NIr protected SNc cells against MPTP insult; there were consistently more dopaminergic cells in MPTP-treated mice irradiated with NIr than in those that were not irradiated."
Comment: A really cool photograph is included!</t>
  </si>
  <si>
    <t>Australia (Sydney)</t>
  </si>
  <si>
    <t>Indirect application of near infrared light induces neuroprotection in a mouse model of parkinsonism – An abscopal neuroprotective effect</t>
  </si>
  <si>
    <t>MPTP
Systemic effects
LED phototherapy</t>
  </si>
  <si>
    <t>"In summary, the findings suggest that treatment of a remote tissue with NIr is sufficient to induce protection of the brain, reminiscent of the ‘abscopal effect’ sometimes observed in radiation treatment of metastatic cancer. This discovery has implications for the clinical translation of light-based therapies, providing an improved mode of delivery over transcranial irradiation."</t>
  </si>
  <si>
    <t>ChronoPhysiology and Therapy</t>
  </si>
  <si>
    <t>The potential of light therapy in Parkinson’s disease</t>
  </si>
  <si>
    <t>"Although very much in its infancy, with the bulk of results still at the basic science “proof of concept” stage, red to infrared light therapy has the potential to develop into a viable treatment option for patients with Parkinson’s disease (and other neurodegenerative diseases). Light therapy would offer patients the advantage of neuroprotection, something that dopamine replacement drug therapy does not do. If light therapy was applied at early stages, for example at first diagnosis, it could potentially slow the progression of the disease by rescuing the critical neurons from damage and death. Consequently, over time, the greater survival of neurons would lessen the clinical signs of tremor, akinesia, and/or rigidity."</t>
  </si>
  <si>
    <t>Jang &amp; Han</t>
  </si>
  <si>
    <t>Korea
(Gyeongbuk)</t>
  </si>
  <si>
    <t>Can phototherapy ameliorate the progression of Parkinson's disease?</t>
  </si>
  <si>
    <t>"In summary, emerging evidence suggests that treatment with LED or low level laser therapy (LLLT) may neuroprotect dopaminergic cells in the SNc, 
 by accelerating mitochondrial respiration and ATP production. Consequently, it is suggested that phototherapy may suppress the progression of
 neurodegeneration or minimize the symptoms of PD.
 Attractive as this suggestion appears, there are no human studies to support it. Moreover, light penetration through the skull may be limited, such
 that it does not reach the midbrain and the limbic system of the human brain. Nevertheless, it seems reasonable to attempt phototherapy
 treatment of intractable PD."</t>
  </si>
  <si>
    <t>BMC Neurosci</t>
  </si>
  <si>
    <t>Photobiomodulation preserves behaviour and midbrain dopaminergic cells from MPTP toxicity: evidence from two mouse strains.</t>
  </si>
  <si>
    <t>"In summary, our results revealed the neuroprotective benefits of NIr treatment after parkinsonian insult at both cellular and behavioural levels and suggest that Balb/c strain, due to greater penetration of NIr through skin and fur, provides a clearer model of protection than the C57BL/6 strain."</t>
  </si>
  <si>
    <t>Vos</t>
  </si>
  <si>
    <t>Belgium</t>
  </si>
  <si>
    <t>Near-infrared 808 nm light boosts complex IV-dependent respiration and rescues a Parkinson-related pink1 model.</t>
  </si>
  <si>
    <t>Pink1
730nm -&gt; no effect
Wavelength comparison</t>
  </si>
  <si>
    <t>808
730</t>
  </si>
  <si>
    <t>0.01
-
0.025</t>
  </si>
  <si>
    <t>25-
200</t>
  </si>
  <si>
    <t>"We tested the hypothesis that 808 nm infrared light that effectively penetrates tissues rescues pink1 mutants. We show that irradiating isolated fly or mouse mitochondria with 808 nm light that is absorbed by ETC-Complex IV acutely improves Complex IV-dependent oxygen consumption and ATP production, a feature that is wavelength-specific. Irradiating Drosophila pink1 mutants using a single dose of 808 nm light results in a rescue of major systemic and mitochondrial defects."</t>
  </si>
  <si>
    <t>The impact of near-infrared light on dopaminergic cell survival in a transgenic mouse model of parkinsonism.</t>
  </si>
  <si>
    <t>Transgenic (K3)</t>
  </si>
  <si>
    <t>"Our results showed immunoreactivity for 4-HNE, 8-OHDG and AT8 within the SNc was increased in K3 mice compared to WT, and that this increase was mitigated by NIr. Results further showed that TH⁺ cell number was lower in K3 mice than in WT, and that this loss was mitigated by NIr. In summary, NIr treatment reduced the oxidative stress caused by the tau transgene in the SNc of K3 mice and saved SNc cells from degeneration. Our results, when taken together with those in other models, strengthen the notion that NIr treatment saves dopaminergic cells in the parkinsonian condition."</t>
  </si>
  <si>
    <t>Shaw</t>
  </si>
  <si>
    <t>Parkinsons Dis</t>
  </si>
  <si>
    <t>Patterns of Cell Activity in the Subthalamic Region Associated with the Neuroprotective Action of Near-Infrared Light Treatment in MPTP-Treated Mice.</t>
  </si>
  <si>
    <t>MPTP</t>
  </si>
  <si>
    <t>0.5</t>
  </si>
  <si>
    <t>"In summary, our results indicated that NIr had long lasting effects on the activity of cells located deep in the brain and had repaired partially the abnormal activity generated by the parkinsonian toxin."</t>
  </si>
  <si>
    <t>Front Biosci (Elite Ed)</t>
  </si>
  <si>
    <t>Therapeutic effect of near infrared (NIR) light on Parkinson's disease models.</t>
  </si>
  <si>
    <t>Review:
 - Mitochondrial dysfunction plays a central role in PD, especially in the electron transport chain.
 - This mitochondrial role allows the use of inhibitors of complex I and IV in PD models, and enhancers of complex IV activity, such as NIR light, 
   to be used as possible therapy.
 - PD models fall into two main categories; cell cultures and animal models.
 - In cell cultures, primary neurons, mutant neuroblastoma cells, and cell cybrids have been studied in conjunction with NIR light.
 - Primary neurons show protection or recovery of function and morphology by NIR light after toxic insult. Neuroblastoma cells, with a gene for
   mutant alpha-synuclein, show similar results.
 - Cell cybrids, containing mtDNA from PD patients, show restoration of mitochondrial transport and complex I and IV assembly.
 - Animal models include toxin-insulted mice, and alpha-synuclein transgenic mice. Functional recovery of the animals, chemical and
   histological evidence, and delayed disease progression show the potential of NIR light in treating Parkinson's disease.</t>
  </si>
  <si>
    <t>Peoples</t>
  </si>
  <si>
    <t>ISRN Neurol</t>
  </si>
  <si>
    <t>Survival of Dopaminergic Amacrine Cells after Near-Infrared Light Treatment in MPTP-Treated Mice.</t>
  </si>
  <si>
    <t>MPTP
LED phototherapy
Retinal damage (eyes)</t>
  </si>
  <si>
    <t>"In summary, we showed that NIr treatment was able to both protect (simultaneous series) and rescue (posttreatment series) TH(+) cells of the retina from parkinsonian insult."</t>
  </si>
  <si>
    <t>Parkinsonism Relat Disord</t>
  </si>
  <si>
    <t>Photobiomodulation enhances nigral dopaminergic cell survival in a chronic MPTP mouse model of Parkinson's disease.</t>
  </si>
  <si>
    <t>0.04
(scalp)
--&gt;
0.0053
(brain)</t>
  </si>
  <si>
    <t>"In summary, exposure to NIr either at the same time or well after chronic MPTP insult saved many SNc dopaminergic cells from degeneration."</t>
  </si>
  <si>
    <t>J Comp Neurol</t>
  </si>
  <si>
    <t>Neuroprotection of midbrain dopaminergic cells in MPTP-treated mice after near-infrared light treatment.</t>
  </si>
  <si>
    <t>"In summary, our results indicate that NIr light treatment offers neuroprotection against MPTP toxicity for dopaminergic cells in the SNc, but not in the ZI-Hyp."</t>
  </si>
  <si>
    <t>Trimmer</t>
  </si>
  <si>
    <t>USA
(Virginia)</t>
  </si>
  <si>
    <t>Mol Neurodegener</t>
  </si>
  <si>
    <t>Reduced axonal transport in Parkinson's disease cybrid neurites is restored by light therapy.</t>
  </si>
  <si>
    <t>🧪 In vitro (🧑 Human cells)</t>
  </si>
  <si>
    <t>"The results from this study support our proposal that axonal transport is reduced in sporadic PD and that a single, brief treatment with near-infrared light can restore axonal transport to control levels."</t>
  </si>
  <si>
    <t>Ying</t>
  </si>
  <si>
    <t>Pretreatment with near-infrared light via light-emitting diode provides added benefit against rotenone- and MPP+-induced neurotoxicity.</t>
  </si>
  <si>
    <t>🧪 In vitro (striatal and cortical neurons)</t>
  </si>
  <si>
    <t>Neurotoxins
LED phototherapy</t>
  </si>
  <si>
    <t>4
8</t>
  </si>
  <si>
    <t>"Results indicate that pretreatment with NIR-LED significantly suppressed rotenone- or MPP(+)-induced apoptosis in both striatal and cortical neurons (P&lt;0.001), and that pretreatment plus LED treatment during neurotoxin exposure was significantly better than LED treatment alone during exposure to neurotoxins.
In addition, MPP(+) induced a decrease in neuronal ATP levels (to 48% of control level) that was reversed significantly to 70% of control by NIR-LED pretreatment.
These data suggest that LED pretreatment is an effective adjunct preventative therapy in rescuing neurons from neurotoxins linked to PD."</t>
  </si>
  <si>
    <t>Near-infrared light via light-emitting diode treatment is therapeutic against rotenone- and 1-methyl-4-phenylpyridinium ion-induced neurotoxicity.</t>
  </si>
  <si>
    <t>1-
20</t>
  </si>
  <si>
    <t>"Results indicated that LED treatments twice a day significantly increased cellular ATP content, decreased the number of neurons undergoing cell death, and significantly reduced the expressions of reactive oxygen species and reactive nitrogen species in rotenone- or MPP+-exposed neurons as compared to untreated ones."</t>
  </si>
  <si>
    <t>Vitreshchak</t>
  </si>
  <si>
    <t>Laser modification of the blood in vitro and in vivo in patients with Parkinson's disease</t>
  </si>
  <si>
    <t>🧑 Human
📄 Single-arm trial (two subgroups)
👥 70 participants
⌛ 5 days
+ 🧪 In vitro</t>
  </si>
  <si>
    <t>"The effect of He-Ne laser radiation on activity of MAO B, Cu/Zn-SOD, Mn-SOD, and catalase in blood cells from patients with Parkinson's disease was studied in vivo and in vitro. The effects of intravenous in vivo irradiation (intravenous laser therapy) were more pronounced than those observed in similar in vitro experiments. It is concluded that generalized effect of laser therapy involves interaction between blood cells."
Comment: The effect was modest, could be attributable to regression to the mean.</t>
  </si>
  <si>
    <t>PBM devices</t>
  </si>
  <si>
    <t>J Neuroeng Rehabil</t>
  </si>
  <si>
    <t>Devices used for photobiomodulation of the brain-a comprehensive and systematic review</t>
  </si>
  <si>
    <t>Parameters</t>
  </si>
  <si>
    <t>"A total of 2133 records were screened, from which 97 were included in this review. 
The parameters that were extracted and analysed in each article were the device design, actuation area, actuation site, wavelength, mode of operation, power density, energy density, power output, energy per session and treatment time. To organize device information, 11 categories of devices were defined, according to their characteristics. 
The most used category of devices was laser handpieces, which relate to 21% of all devices, while 28% of the devices were not described. Studies for cognitive function and physiological characterisation are the most well defined ones and with more tangible results. 
There is a lack of consistency when reporting PBM studies, with several articles under defining the stimulation protocol, and a wide variety of parameters used for the same health conditions (e.g., Alzheimer's or Parkinson's disease) resulting in positive outcomes. Standardization for the report of these studies is warranted, as well as sham-controlled comparative studies to determine which parameters have the greatest effect on PBM treatments for different neurological conditions."</t>
  </si>
  <si>
    <t>Perioperative neurocognitive disorder (PND)</t>
  </si>
  <si>
    <t>Transcranial photobiomodulation therapy ameliorates perioperative neurocognitive disorder through modulation of mitochondrial function in aged mice</t>
  </si>
  <si>
    <t>~1
cm2
beam
area</t>
  </si>
  <si>
    <t>"The results demonstrated that the cognitive impairment and mitochondrial dysfunction in PND mice were ameliorated after tNIR light treatment.
Further experiments demonstrated that photobiomodulation therapy (PBMT) increased synapse-related protein expression, neuronal survival, and protected synapse from depletion. 
Moreover, downregulated sirtuin 1 (SIRT1) and peroxisome proliferator-activated receptor-γ coactivator-1α (PGC-1α) were increased after tNIR light treatment.
Our results suggested that tNIR light was an effective treatment of PND through PBMT effect, accompanied by synaptic and neuronal improvement. The improvement of mitochondrial dysfunction mediated by SIRT1/PGC-1α signaling pathway might participate in this process. Those findings might provide a novel and noninvasive therapeutic target for PND."</t>
  </si>
  <si>
    <t>Postoperative neurocognitive disorder (PND)</t>
  </si>
  <si>
    <t>China
(Jinan)</t>
  </si>
  <si>
    <t>The neuroprotective effect of near infrared light therapy in aged mice with postoperative neurocognitive disorder by upregulating IRF7</t>
  </si>
  <si>
    <t>"We found that transcranial NIRL therapy effectively ameliorated learning and memory deficit induced by anesthesia and surgery in aged mice. Specifically, we identified down-regulation of interferon regulatory factor 7 (IRF7) in the brains of PND mice that was mechanistically associated with increased pro-inflammatory M1 phenotype of microglia and elevated neuroinflammatory. NIRL treatment produced protective effects through the upregulation of IRF7 expression and reversing microglial phenotypes from pro-inflammatory to neuroprotective, resulting in reduced brain damage and improved cognitive function in PND mice."</t>
  </si>
  <si>
    <t>Zhong</t>
  </si>
  <si>
    <t>Transcranial near-infrared laser improves postoperative neurocognitive disorder in aged mice via SIRT3/AMPK/Nrf2 pathway</t>
  </si>
  <si>
    <t>3
/ 3</t>
  </si>
  <si>
    <t>"The results demonstrated that TNIL improved PND and the levels of synaptic function-associated proteins such as post-synaptic density protein 95 (PSD95), synaptophysin (SYP), and brain-derived neurotrophic factor (BDNF). Besides, neuroinflammatory cytokine levels of tumor necrosis factor (TNF)-α and interleukin (IL)-1β as well as microglia activation and oxidative stress damage were attenuated after TNIL treatment in aged mice with PND. Further investigation suggested that TNIL relieved oxidative stress response by activating the SIRT3/AMPK/Nrf2 pathway."</t>
  </si>
  <si>
    <t>POCD</t>
  </si>
  <si>
    <t>J Exp Neurosci</t>
  </si>
  <si>
    <t>Neuroprotective Effects Against POCD by Photobiomodulation: Evidence from Assembly/Disassembly of the Cytoskeleton.</t>
  </si>
  <si>
    <t>Postoperative cognitive dysfunction (POCD)</t>
  </si>
  <si>
    <t>"Photobiomodulation (PBM) is an effective treatment for a number of conditions, including inflammation. PBM also has a direct effect on microtubule disassembly in neurons with the formation of small, reversible varicosities, which cause neural blockade and alleviation of pain symptoms. This mimics endogenously formed varicosities that are neuroprotective against damage, toxins, and the formation of larger, destructive varicosities and focal swellings."</t>
  </si>
  <si>
    <t>Pineal gland</t>
  </si>
  <si>
    <t>Guillot Valls</t>
  </si>
  <si>
    <t>Spain
(Valencia)</t>
  </si>
  <si>
    <t>A morphometric and statistical study of the effects of soft laser (He-Ne) irradiation on the pineal gland.</t>
  </si>
  <si>
    <t>"We suggest that laser irradiation stimulates cortical and medullary pinealocytes, followed by a decreased effect at day 10 postirradiation. The effect of laser light is in turn determined by experimental action and the duration of exposure."</t>
  </si>
  <si>
    <t>Martinez Soriano</t>
  </si>
  <si>
    <t>J Hirnforsch</t>
  </si>
  <si>
    <t>The effects of soft laser (He-Ne) irradiation on pineal parenchyma. Ultrastructural and pinealocyte caryometric modifications.</t>
  </si>
  <si>
    <t>"Ultrastructurally, there were signs of secretory activity increase in the groups after 3 and 6 days, and decrease in such activity after 15 days--along with the appearance of cells of mesoglial lineage."</t>
  </si>
  <si>
    <t>Psychological disorders</t>
  </si>
  <si>
    <t>Neurosci Biobehav Rev</t>
  </si>
  <si>
    <t>Photobiomodulation as a promising new tool in the management of psychological disorders: A systematic review</t>
  </si>
  <si>
    <t>"This systematic review collects studies up to 2019 about the beneficial effects of photobiomodulation as a therapy for treating psychological disorders and a tool for modulating cognitive processes."
"Photobiomodulation could be used as an effective and safe therapy for the treatment of multiple psychological pathologies."</t>
  </si>
  <si>
    <t>PTSD</t>
  </si>
  <si>
    <t>Preventing Post-Traumatic Stress Disorder (PTSD) in rats with pulsed 810 nm laser transcranial phototherapy</t>
  </si>
  <si>
    <t>Pulsing vs continous wave</t>
  </si>
  <si>
    <t>3
cm2
irrad.
area</t>
  </si>
  <si>
    <t>"The results revealed that P-PT was effective in preventing both freezing and anxiety behavior in stressed rats. In contrast, CW-PT only had a preventive effect on freezing behavior but not anxiety. 
Additionally, P-PT significantly reduced the c-fos expression in cingulate cortex area 1(Cg1) and infralimbic cortex (IL) of stressed rats, while CW-PT had no significant effects on c-fos expression. 
Taken together, our results demonstrate that P-PT is a highly effective strategy for preventing the occurrence of PTSD-like comorbidities in rats."</t>
  </si>
  <si>
    <t>USA
(Bronx, NY)</t>
  </si>
  <si>
    <t>Neurotrauma Rep</t>
  </si>
  <si>
    <t>Transcranial Laser Therapy Does Not Improve Cognitive and Post-Traumatic Stress Disorder-Related Behavioral Traits in Rats Exposed to Repetitive Low-Level Blast Injury</t>
  </si>
  <si>
    <t>"TLT did not improve blast-related effects in any of these tests, and blast-exposed rats were worse after TLT in some anxiety-related measures. Based on these findings, TLT does not appear to be a promising treatment for the chronic cognitive and mental health problems that follow blast injury."</t>
  </si>
  <si>
    <t>Mol Psychiatry</t>
  </si>
  <si>
    <t>Photobiomodulation prevents PTSD-like memory impairments in rats</t>
  </si>
  <si>
    <t>0.025
@ cortex
0.003 @ amygdala</t>
  </si>
  <si>
    <t>1.5
cm2
spot
size</t>
  </si>
  <si>
    <t>"Here, we report that
(I) a single dose of transcranial photobiomodulation (PBM) applied immediately after tone fear conditioning can reverse contextual amnesia. PBM treatment preserved an appropriately high level of contextual fear memory in rats revisiting the "dangerous" context, while control rats displayed memory impairment. 
(II) A single dose of PBM applied after memory recall can reduce contextual fear during both contextual and cued memory testing. 
(III) In a model of complex PTSD with repeated trauma, rats given early PBM interventions efficiently discriminated safety from danger during cued memory testing and, importantly, these rats did not develop PTSD-like symptoms and comorbidities. 
(IV) Finally, we report that fear extinction was facilitated when PBM was applied in the early intervention window of memory consolidation. 
Our results demonstrate that PBM treatment applied immediately after a traumatic event or its memory recall can protect contextual fear memory and prevent the development of PTSD-like psychopathological fear in rats."</t>
  </si>
  <si>
    <t>Transcranial photobiomodulation prevents PTSD-like comorbidities in rats experiencing underwater trauma</t>
  </si>
  <si>
    <t>3
/day</t>
  </si>
  <si>
    <t>"PTSD-like commodities, such as anxiety-like behavior, depression-like behavior, and cognitive dysfunction, were reproduced in UWT-rats. These comorbidities, however, could be prevented by early PBM interventions.
By measuring the expression of immediate early genes (IEGs) as neuronal activity markers, we found that PBM treatment differentially regulated Arc and c-fos expression in the hippocampus and amygdala, two PTSD-related brain regions. Additionally, PBM boosted ATP production and regulated protein expression in the hippocampus following stress."</t>
  </si>
  <si>
    <t>Repetitive Head Acceleration Events</t>
  </si>
  <si>
    <t>Johnson</t>
  </si>
  <si>
    <t>USA
(Salt Lake City, UT)</t>
  </si>
  <si>
    <t>The Effect of Intranasal Plus Transcranial Photobiomodulation on Neuromuscular Control in Individuals with Repetitive Head Acceleration Events</t>
  </si>
  <si>
    <t>🧑 Human
📄 Single-arm trial
👥 43 participants
⌛ 8 weeks (?)</t>
  </si>
  <si>
    <t>LED phototherapy
At-home PBM (self-administered PBM)</t>
  </si>
  <si>
    <t>"Posttreatment group averages in reaction time, MiniBEST reactive control subscores, and bilateral grip strength significantly improved with effect sizes of g = 0.75, g = 0.63, g = 0.22 (dominant hand), and g = 0.34 (nondominant hand), respectively."
"This study provides a framework for more robust studies and suggests that itPBM may serve as a noninvasive solution for improved neuromuscular health."</t>
  </si>
  <si>
    <t>Gaggi &amp; Iosifescu</t>
  </si>
  <si>
    <t>Neuropsychopharmacology</t>
  </si>
  <si>
    <t>Transcranial photobiomodulation: an emerging therapeutic method to enhance brain bioenergetics</t>
  </si>
  <si>
    <t>📖 Review (mini-review / "hot topics")</t>
  </si>
  <si>
    <t>"In summary, the combination of t-PBM stimulation in clinical populations and advanced MRI methods has the potential to support the development of a novel therapeutic modality in neuropsychiatry, with clinical applications in MDD, dementia, and beyond, while also enabling an enhanced understanding of its effects on cerebral hemodynamics and metabolism. t-PBM can be used as a tool to enhance brain bioenergetics for multiple psychiatric populations through a noninvasive and non-thermal [6] pathway, as illustrated in Fig. 1. From a neurobiology research perspective, t-PBM can be combined with advanced neuroimaging modalities and can be used as a probe to better profile cerebral responses. From a clinical perspective, t-PBM is very safe and, once its efficacy will be fully established, could potentially serve as an at-home, self-administered and affordable treatment."</t>
  </si>
  <si>
    <t>Transcranial photobiomodulation for neurodevelopmental disorders: a narrative review</t>
  </si>
  <si>
    <t>"Neurodevelopmental disorders (NDDs) such as autism spectrum disorder (ASD), attention-deficit/hyperactivity disorder (ADHD), and Down syndrome (DS) significantly impact social, communicative, and behavioral functioning."
"Nine studies were identified, including one preclinical and eight clinical studies (five on ASD, two on ADHD, and one on DS). The reviewed studies encompassed various t-PBM parameters (wavelengths: 635-905 nm) and targeted primarily frontal cortex areas.
t-PBM showed efficacy in improving disruptive behavior, social communication, cognitive rigidity, sleep quality, and attention in ASD; in enhancing attention in ADHD; and in improving motor skills and verbal fluency in DS. Minimal adverse effects were reported. Proposed mechanisms involve enhanced mitochondrial function, modulated oxidative stress, and reduced neuroinflammation."
"t-PBM emerges as a promising intervention for NDDs, with potential therapeutic effects across ASD, ADHD, and DS. These findings underscore the need for further research, including larger-scale, randomized sham-controlled clinical trials with comprehensive biomarker analyses, to optimize treatment parameters and understand the underlying mechanisms associated with the effects of t-PBM."</t>
  </si>
  <si>
    <t>Nairuz</t>
  </si>
  <si>
    <t>Korea
(Daegu)</t>
  </si>
  <si>
    <t>Photobiomodulation Therapy on Brain: Pioneering an Innovative Approach to Revolutionize Cognitive Dynamics</t>
  </si>
  <si>
    <t>"This comprehensive review aims to explore the mechanisms through which PBM exerts its effects on the brain and provide a summary of notable preclinical investigations and clinical trials conducted on various brain disorders, highlighting PBM's potential as a therapeutic modality capable of effectively impeding disease progression within the organism-a task often elusive with conventional pharmacological interventions."</t>
  </si>
  <si>
    <t>Rodríguez-Fernández</t>
  </si>
  <si>
    <t>Geroscience</t>
  </si>
  <si>
    <t>Photobiomodulation in the aging brain: a systematic review from animal models to humans</t>
  </si>
  <si>
    <t>📚 Systematic review (preclinical and clinical)</t>
  </si>
  <si>
    <t>"37 studies were identified by searching in PubMed, Scopus, and PsycInfo databases. Most studies use wavelengths of 800, 810, or 1064 nm but intensity and days of application were highly variable. 
In animal studies, it has been shown improvements in spatial memory, episodic-like memory, social memory, while different results have been found in recognition memory. Locomotor activity improved in Parkinson disease models. 
In healthy aged humans, it has been outlined improvements in working memory, cognitive inhibition, and lexical/semantic access, while general cognition was mainly enhanced on Alzheimer disease or mild cognitive impairment. Anxiety assessment is scarce and shows mixed results. 
As for brain activity, results outline promising effects of PBM in reversing metabolic alterations and enhancing mitochondrial function, as evidenced by restored CCO activity and ATP levels. Additionally, PBM demonstrated neuroprotective, anti-inflammatory, immunomodulatory and hemodynamic effects. 
The findings suggest that PBM holds promise as a non-invasive intervention for enhancing cognitive function, and in the modulation of brain functional reorganization. It is necessary to develop standardized protocols for the correct, beneficial, and homogeneous use of PBM."</t>
  </si>
  <si>
    <t>Photobiomodulation for Neurodegenerative Diseases: A Scoping Review</t>
  </si>
  <si>
    <t>"This paper presents a review and evaluation of studies investigating PBM in neurodegenerative diseases, with a specific emphasis on recent applications in AD and PD treatment for both animal and human subjects. Molecular mechanisms related to neuron damage and cognitive impairment are scrutinized, offering valuable insights into PBM's potential as a non-invasive therapeutic strategy."</t>
  </si>
  <si>
    <t>Transcranial photobiomodulation for brain diseases: review of animal and human studies including mechanisms and emerging trends</t>
  </si>
  <si>
    <t>"This review provides a comprehensive overview of tPBM. We summarize emerging trends and new discoveries in tPBM based on over one hundred references published in the past 20 years. We discuss the advantages and disadvantages of tPBM and highlight successful experimental and clinical protocols for treating various brain diseases."</t>
  </si>
  <si>
    <t>Ding</t>
  </si>
  <si>
    <t>Phototherapy for age-related brain diseases: Challenges, successes and future</t>
  </si>
  <si>
    <t>"Firstly, the article elucidates the various wavelengths of visible light that possess the capability to penetrate the skin and skull, as well as the pathways of light stimulation, encompassing the eyes, skin, veins, and skull. 
Secondly, it deliberates on the molecular mechanisms of visible light on photosensitive proteins, within the context of brain disorders and other molecular pathways of light modulation. 
Lastly, the practical application of phototherapy in diverse clinical neurological disorders is indicated."</t>
  </si>
  <si>
    <t>Ramakrishnan</t>
  </si>
  <si>
    <t>India
(Thanjavur)</t>
  </si>
  <si>
    <t>Life Sci</t>
  </si>
  <si>
    <t>A comprehensive review on therapeutic potentials of photobiomodulation for neurodegenerative disorders</t>
  </si>
  <si>
    <t>"Overall, this review is intended to bring the major advances made in the field to the spotlight alongside addressing the practicalities and caveats to develop PBM as a major therapeutic for NDDs."</t>
  </si>
  <si>
    <t>Ma</t>
  </si>
  <si>
    <t>Recent advances in light energy biotherapeutic strategies with photobiomodulation on central nervous system disorders</t>
  </si>
  <si>
    <t>"This review mainly introduces the mechanism and recent preclinical and clinical advances of transcranial photobiomodulation for central nervous system disorders, which will provide a reference for clinicians to understand and engage in related studies, and calls for more and larger studies to validate and develop a wider application of transcranial photobiomodulation in central nervous system."</t>
  </si>
  <si>
    <t>Transcranial photobiomodulation for the brain: a wide range of clinical applications</t>
  </si>
  <si>
    <t>📖 Review (minireview / perspective)</t>
  </si>
  <si>
    <t>"Overall, many of the clinical trials of tPBMT for brain disorders published so far have been pilot trials, and were underpowered to convince mainstream medicine to adopt this new technology. Additional larger trials will be required before tPBMT can become widely accepted in medicine and society at large."</t>
  </si>
  <si>
    <t>Abijo</t>
  </si>
  <si>
    <t>The Beneficial Role of Photobiomodulation in Neurodegenerative Diseases</t>
  </si>
  <si>
    <t>"Here, we highlight the various ways by which PBM may possess beneficial effects on neural activity and has been reported in various neurodegenerative conditions (Alzheimer's disease, Parkinson's disease, epilepsy, TBI, stroke) with the hope that it may serve as an alternative therapy in the management of neurodegenerative diseases because of the biological side effects associated with drugs currently used in the treatment of neurodegenerative diseases."</t>
  </si>
  <si>
    <t>Chamkouri</t>
  </si>
  <si>
    <t>China
(Hefei)</t>
  </si>
  <si>
    <t>Brain photobiomodulation therapy on neurological and psychological diseases</t>
  </si>
  <si>
    <t>"Neuronal metabolism is improved by brain PBM therapy, which also promotes synaptogenesis and neurogenesis as well as anti-inflammatory. Its depression-treating potential is attracting attention for other conditions, including Parkinson's disease and dementia. Giving enough dosage for optimum stimulation using the transcranial PBM technique is challenging because of the rapidly increasing attenuation of light transmission in tissue. Different strategies like intranasal and intracranial light delivery systems have been proposed to overcome this restriction."
"The most recent preclinical and clinical data on the effectiveness of brain PBM therapy are studied in this review article."</t>
  </si>
  <si>
    <t>Pan</t>
  </si>
  <si>
    <t>J Transl Med</t>
  </si>
  <si>
    <t>Advances in photobiomodulation for cognitive improvement by near-infrared derived multiple strategies</t>
  </si>
  <si>
    <t>"Photobiomodulation and its associated strategies may provide new breakthrough treatments for cognitive improvement."</t>
  </si>
  <si>
    <t>Montazeri</t>
  </si>
  <si>
    <t>Photobiomodulation therapy in mood disorders: a systematic review</t>
  </si>
  <si>
    <t>"The human or animal studies written in English and published from January 2009 to August 2021 were included. Sixteen studies, which included four randomized controlled trials (RCTs), met the inclusion criteria. 
Infrared wavelength ranges from 800 to 830 nm, power density of 250 mW/cm2 and energy density of 60 to 120 J/ cm2 were the most used PBMT parameters. Bias risk assessment was performed to evaluate the quality of RCTs in which 2 out of 4 RCTs were evaluated as high quality. 
Based on grade practice recommendations, PBMT can be classified as strongly recommended for moderate grade of major depressive disorder (MDD) and recommended for anxiety disorder. In bipolar disorder, further studies are needed to recommend this therapeutic method."</t>
  </si>
  <si>
    <t>Front Pharmacol</t>
  </si>
  <si>
    <t>Transcranial near-infrared light in treatment of neurodegenerative diseases</t>
  </si>
  <si>
    <t>"This scientific overview incorporates the most recent cellular and functional findings in PBM with NIR light in treating neurodegenerative diseases, presents the discussion of the proposed mechanisms of action, and describes the benefits of this treatment in neuroprotection, cell preservation/detoxification, anti-inflammatory properties, and regulation of brain energy metabolism."</t>
  </si>
  <si>
    <t>Mosilhy</t>
  </si>
  <si>
    <t>Non-invasive transcranial brain modulation for neurological disorders treatment: A narrative review</t>
  </si>
  <si>
    <t>"The commonly noninvasive techniques used in neurological manipulations include photobiomodulation (PBM), transcranial electrical stimulation (TES), transcranial magnetic stimulation (TMS), and ultrasound stimulation (USS)."
"In the present review, the mechanisms of action of these different brain stimulation/modulation modalities were explored and a synopsis of their applications in the treatment of certain neurological disorders was provided."</t>
  </si>
  <si>
    <t>Huang L-D</t>
  </si>
  <si>
    <t>Focus (Am Psychiatr Publ)</t>
  </si>
  <si>
    <t>Brighten the Future: Photobiomodulation and Optogenetics</t>
  </si>
  <si>
    <t>"Safe, noninvasive, and effective treatments for brain conditions are everyone's dream. Low-level light therapy (LLLT) based on the photobiomodulation (PBM) phenomenon has recently been adopted in practice, with solid scientific evidence. Optogenetics provides high spatiotemporal resolution to precisely switch on and off a particular circuitry in the brain."
"Detailed scientific foundations and the state of the art for both technologies are reviewed. Ongoing developments are discussed to provide insight for future research and applications."</t>
  </si>
  <si>
    <t>Germany &amp; USA &amp; Iran</t>
  </si>
  <si>
    <t>Photobiomodulation Therapy and the Glymphatic System: Promising Applications for Augmenting the Brain Lymphatic Drainage System</t>
  </si>
  <si>
    <t>"We review recent animal research on the neurotherapeutic benefits of PBM therapy on glymphatic drainage and clearance. We also highlight cellular mechanisms of PBM on the cerebral glymphatic system. Animal research has shed light on the beneficial effects of PBM on the cerebral drainage system through the clearance of amyloid-beta via meningeal lymphatic vessels. Finally, PBM-mediated increase in the blood-brain barrier permeability with a subsequent rise in Aβ clearance from PBM-induced relaxation of lymphatic vessels via a vasodilation process will be discussed."</t>
  </si>
  <si>
    <t>Photobiomodulation for the aging brain</t>
  </si>
  <si>
    <t>"Studies using both animals and humans have shown promising metabolic and hemodynamic effects of PBM on the brain, such as improved mitochondrial and vascular functions. Studies in humans have shown that PBM can improve electrophysiological activity and cognitive functions such as attention, learning, memory and mood in older people. In this paper we will review the main brain effects of PBM during aging, discuss its mechanisms of action relevant to the aging brain, and call for more controlled studies in older populations."</t>
  </si>
  <si>
    <t>Transcranial photobiomodulation in the management of brain disorders</t>
  </si>
  <si>
    <t>"The aim of this review was to determine the existing evidence of effectiveness, useful parameters, and safety of tPBM in the management of traumatic brain injury, stroke, Parkinson, and Alzheimer's disease as the common brain disorders."
"Only those articles that were published until September 2020 and designed as randomized clinical trials (RCTs) or animal-controlled studies were included. 6 RCTs, 2 related supplementary articles, and 38 controlled animal studies met the inclusion criteria of this study. No RCTs were performed in the fields of Alzheimer's and Parkinson's diseases. The human RCTs and animal studies reported no adverse events resulted from the use of tPBM."
"In this study we systematically reviewed human RCTs to determine the existing evidence of tPBM effectiveness in management of four mentioned brain disorders. Since the outcomes of the reviewed RCTs were not homogeneous, further well-designed RCTs are required to decide more definitively on the evidence of this noninvasive and probably safe therapeutic intervention. We hypothesized that non-homogeneous outcomes could be due to inefficiency of PBM parameters. Controlled animal studies have the advantage of using objective tests to evaluate the results and compare them with the control group. We determined useful tPBM parameters based on these studies."</t>
  </si>
  <si>
    <t>Current application and future directions of photobiomodulation in central nervous diseases</t>
  </si>
  <si>
    <t>"We conducted a comprehensive literature review of the application of photobiomodulation in patients with central nervous system diseases in February 2019. The NCBI PubMed database, EMBASE database, Cochrane Library and ScienceDirect database were searched.
We reviewed 95 papers and analyzed.
Photobiomodulation has wide applicability in the treatment of stroke, traumatic brain injury, Parkinson's disease, Alzheimer's disease, major depressive disorder, and other diseases.
Our analysis provides preliminary evidence that PBM is an effective therapeutic tool for the treatment of central nervous system diseases. However, additional studies with adequate sample size are needed to optimize treatment parameters."</t>
  </si>
  <si>
    <t>Belova</t>
  </si>
  <si>
    <t>Vopr Kurortol Fizioter Lech Fiz Kult</t>
  </si>
  <si>
    <r>
      <rPr>
        <b/>
        <sz val="7.0"/>
      </rPr>
      <t xml:space="preserve">[Transcranial photobiomodulation in therapy of neurodegenerative diseases of the brain: theoretical background and clinical effectiveness]
</t>
    </r>
    <r>
      <rPr>
        <b/>
        <i/>
        <sz val="7.0"/>
      </rPr>
      <t>[Article in Russian]</t>
    </r>
  </si>
  <si>
    <t>"Transcranial photobiomodulation (tPBM) is a form of light therapy that uses monochromatic visible and infrared light from non-ionizing radiation sources (lasers, LEDs) placed on the scalp, forehead, or intranasally to project light directly to target areas of the brain. 
Accumulated experimental and clinical data indicate the safety and potential efficacy of tPBM in some central nervous system diseases.This article briefly reviews the general concepts of tPBM, the results of experimental and clinical studies on the efficacy of tPBM in Alzheimer's disease, Parkinson's disease, and brain stroke. 
The possible mechanisms of the tPBM therapeutic effect and the need to choose optimal exposure parameters are discussed. Although the evidence base regarding the efficacy of tPBM in neurodegenerative and vascular brain diseases is still insufficient, analysis of the published data justifies considering tPBM as a promising method of adjuvant therapy for some central nervous system diseases."</t>
  </si>
  <si>
    <t>Cunnane</t>
  </si>
  <si>
    <t>Canada
(Sherbrooke)</t>
  </si>
  <si>
    <t>Nat Rev Drug Discov</t>
  </si>
  <si>
    <t>Brain energy rescue: an emerging therapeutic concept for neurodegenerative disorders of ageing</t>
  </si>
  <si>
    <t>"Low wavelengths of light penetrate brain tissue to a considerable depth, and transcranial (intracranial, intra-aural or intranasal) application of near-infrared light is being studied as a treatment for various brain disorders243,244. 
The mechanisms underlying the positive effects of photobiomodulation therapy await further elucidation, but increased brain perfusion, energy availability and oxygen supply have been proposed, in addition to neuronal actions implicating light-absorbing cytochrome c and increased ATP production243,244,245. 
The use of photobiomodulation to improve brain energetics has received initial support from small-scale clinical trials243,244,246, but rigorous controlled studies with larger sample sizes are needed."</t>
  </si>
  <si>
    <t>USA
(Denton, TX)</t>
  </si>
  <si>
    <t>Preclinical studies of transcranial photobiomodulation in the neurological diseases</t>
  </si>
  <si>
    <t>"This article introduces the biophotonics nature of PBM, records the experimental parameters of preclinical studies since 2014 and summarizes the application of tPBM on the neurobiological diseases in the past two decades."</t>
  </si>
  <si>
    <t>Bathini</t>
  </si>
  <si>
    <t>The Molecular Mechanisms of Action of Photobiomodulation Against Neurodegenerative Diseases: A Systematic Review</t>
  </si>
  <si>
    <t>"This review has systematically been undertaken to study the effects of photobiomodulation at a molecular level and identify the different biochemical pathways and molecular changes in the process. The data showed the involvement of pathways like extracellular signal-regulated kinase (ERK), mitogen-activated protein kinase (MAPK), and protein kinase B (Akt). In addition, the expression of several genes and proteins playing different roles in the disease mechanisms was found to be influenced by PBM, such as neurotrophic factors and secretases.
Studying the literature indicated that PBM can be translated to a potential therapeutic tool, acting through a spectrum of mechanisms that work together to decelerate disease progression in the organism, which is difficult to achieve through pharmacological interventions."</t>
  </si>
  <si>
    <t>Mitrofanis &amp; Henderson</t>
  </si>
  <si>
    <t>How and Why Does Photobiomodulation Change Brain Activity?</t>
  </si>
  <si>
    <t>"In conclusion, light has a considerable influence on brain activity. It does so by stimulating mitochondrial function within individual neurones either by an activation of cytochrome c oxidase, a change in the composition of interfacial water, and/or a stimulation of any accumulated chlorophyll metabolites.
It remains to be determined which of these mechanisms is, in fact, the most dominant across different types of cells and whether different situations or cell types rely on one mechanism over another. Such an interaction, between light and mitochondria, helps to preserve the homeostasis of neurons, maintaining their proper function when in an healthy state or aiding their survival when in distress or after damage (Hamblin, 2016; Mitrofanis, 2019).
As to why light, from a transcranial approach, influences the neurons of the default mode network, we suggest that there are evolutionary links, relating to a survival strategy for the organism against any potentially threatening or dangerous situation."</t>
  </si>
  <si>
    <t>Transl Neurodegener</t>
  </si>
  <si>
    <t>Mitochondria as a Target for Neuroprotection: Role of Methylene Blue and Photobiomodulation</t>
  </si>
  <si>
    <t>"This review will discuss two widely studied approaches for the improvement of brain mitochondrial respiration, methylene blue (MB) and photobiomodulation (PBM). 
MB is a widely studied drug with potential beneficial effects in animal models of brain disease, as well as limited human studies. Similarly, PBM is a non-invasive treatment that promotes energy production and reduces both oxidative stress and inflammation, and has garnered increasing attention in recent years. MB and PBM have similar beneficial effects on mitochondrial function, oxidative damage, inflammation, and subsequent behavioral symptoms. However, the mechanisms underlying the energy enhancing, antioxidant, and anti-inflammatory effects of MB and PBM differ. 
This review will focus on mitochondrial dysfunction in several different brain diseases and the pathological improvements following MB and PBM treatment."</t>
  </si>
  <si>
    <t>Light Modulation of Brain and Development of Relevant Equipment.</t>
  </si>
  <si>
    <t>"This manuscript reviews
1) how optogenetic approaches have been used to dissect neural circuits in animal models of Alzheimer's disease, Parkinson's disease, and depression, and 
2) how low level transcranial lasers and LED stimulation in humans improves brain activity patterns in these diseases.
State-of-the-art brain machine interfaces that can record neural activity and stimulate neurons with light have good prospects in the future."</t>
  </si>
  <si>
    <t>Therapeutic potential of intranasal photobiomodulation therapy for neurological and neuropsychiatric disorders: a narrative review.</t>
  </si>
  <si>
    <t>"Herein, we provide a summary of different intranasal light delivery approaches including a nostril-based portable method and implanted deep-nasal methods for the effective systemic or direct irradiation of the brain. Nostril-based i-PBMT devices are available, using either lasers or light emitting diodes (LEDs), and can be applied either alone or in combination to transcranial devices (the latter applied directly to the scalp) to treat a wide range of brain conditions such as mild cognitive impairment, Alzheimer's disease, Parkinson's disease, cerebrovascular diseases, depression and anxiety as well as insomnia.
Evidence shows that nostril-based i-PBMT improves blood rheology and cerebral blood flow, so that, without needing to puncture blood vessels, i-PBMT may have equivalent results to a peripheral intravenous laser irradiation procedure. 
Up to now, no studies were conducted to implant PBMT light sources deep within the nose in a clinical setting, but simulation studies suggest that deep-nasal PBMT via cribriform plate and sphenoid sinus might be an effective method to deliver light to the ventromedial part of the prefrontal and orbitofrontal cortex. 
Home-based i-PBMT, using inexpensive LED applicators, has potential as a novel approach for neurorehabilitation; comparative studies also testing sham, and transcranial PBMT are warranted."</t>
  </si>
  <si>
    <t>Hong N</t>
  </si>
  <si>
    <t>Biomed Eng Lett</t>
  </si>
  <si>
    <t>Photobiomodulation as a treatment for neurodegenerative disorders: current and future trends</t>
  </si>
  <si>
    <t>"In this review, we have introduced several previous studies showing the positive effect of PBM over neurodegenerative disorders such as Alzheimer’s disease, Parkinson’s disease and different types of epilepsy. Despite excellent outcomes of animal researches, not many clinical studies are conducted or showed positive outcome of PBM against neurodegenerative disease."</t>
  </si>
  <si>
    <t>Brain Photobiomodulation Therapy: a Narrative Review.</t>
  </si>
  <si>
    <t>"Brain photobiomodulation (PBM) therapy using red to near-infrared (NIR) light is an innovative treatment for a wide range of neurological and psychological conditions. Red/NIR light is able to stimulate complex IV of the mitochondrial respiratory chain (cytochrome c oxidase) and increase ATP synthesis. Moreover, light absorption by ion channels results in release of Ca2+ and leads to activation of transcription factors and gene expression. 
Brain PBM therapy enhances the metabolic capacity of neurons and stimulates anti-inflammatory, anti-apoptotic, and antioxidant responses, as well as neurogenesis and synaptogenesis. Its therapeutic role in disorders such as dementia and Parkinson's disease, as well as to treat stroke, brain trauma, and depression has gained increasing interest. 
In the transcranial PBM approach, delivering a sufficient dose to achieve optimal stimulation is challenging due to exponential attenuation of light penetration in tissue. Alternative approaches such as intracranial and intranasal light delivery methods have been suggested to overcome this limitation. 
This article reviews the state-of-the-art preclinical and clinical evidence regarding the efficacy of brain PBM therapy."</t>
  </si>
  <si>
    <t>Hennessy &amp; Hamblin</t>
  </si>
  <si>
    <t>USA
(Briarcliff Manor, NY)</t>
  </si>
  <si>
    <t>J Opt</t>
  </si>
  <si>
    <t>Photobiomodulation and the brain: a new paradigm.</t>
  </si>
  <si>
    <t>"Transcranial photobiomodulation (PBM) also known as low level laser therapy (tLLLT) relies on the use of red/NIR light to stimulate, preserve and regenerate cells and tissues. The mechanism of action involves photon absorption in the mitochondria (cytochrome c oxidase), and ion channels in cells leading to activation of signaling pathways, up-regulation of transcription factors, and increased expression of protective genes. We have studied PBM for treating traumatic brain injury (TBI) in mice using a NIR laser spot delivered to the head. Mice had improved memory and learning, increased neuroprogenitor cells in the dentate gyrus and subventricular zone, increased BDNF and more synaptogenesis in the cortex. These highly beneficial effects on the brain suggest that the applications of tLLLT are much broader than at first conceived. Other groups have studied stroke (animal models and clinical trials), Alzheimer's disease, Parkinson's disease, depression, and cognitive enhancement in healthy subjects."</t>
  </si>
  <si>
    <t>The Biochemist (Magazine)</t>
  </si>
  <si>
    <t>Photobiomodulation and the brain – has the light dawned?</t>
  </si>
  <si>
    <t>📖 Review
(for laypeople)</t>
  </si>
  <si>
    <t>"Evidence is mounting that photobiomodulation therapy (shining near-infrared light) can benefit a wide range of brain disorders. The photons can penetrate into the brain where they stimulate production of energy in brain cells, and trigger numerous signaling pathways. Acute ischaemic stroke was the first indication that progressed to human clinical trials. Acute and chronic stages of traumatic brain injury were then investigated. Currently, psychiatric disorders such as depression, and neurodegenerative diseases such as Alzheimer’s and Parkinson’s are under investigation. Although showing great promise, more trials are clearly needed before the therapy will be accepted."</t>
  </si>
  <si>
    <t>BBA Clin</t>
  </si>
  <si>
    <t>Shining light on the head: Photobiomodulation for brain disorders.</t>
  </si>
  <si>
    <t>"Photobiomodulation (PBM) describes the use of red or near-infrared light to stimulate, heal, regenerate, and protect tissue that has either been injured, is degenerating, or else is at risk of dying."
"In this transcranial PBM (tPBM) application, near-infrared (NIR) light is often applied to the forehead because of the better penetration (no hair, longer wavelength). Some workers have used lasers, but recently the introduction of inexpensive light emitting diode (LED) arrays has allowed the development of light emitting helmets or "brain caps". This review will cover the mechanisms of action of photobiomodulation to the brain, and summarize some of the key pre-clinical studies and clinical trials that have been undertaken for diverse brain disorders."</t>
  </si>
  <si>
    <t>Gonzalez-Lima &amp; Auchter</t>
  </si>
  <si>
    <t>Protection against neurodegeneration with low-dose methylene blue and near-infrared light.</t>
  </si>
  <si>
    <t>📖 Opinion article</t>
  </si>
  <si>
    <t>"We have described two very different chemical-physical interventions resulting in a similar cellular mechanism targeting mitochondrial respiration (Gonzalez-Lima et al., 2014). One entails fostering electron cycling by an auto-oxidizing redox chemical, and the other using photon absorption from near-infrared light.
New in vivo evidence from animal models and human studies suggest that low-dose methylene blue and low-level near-infrared light share a common mechanism of enhancement of mitochondrial respiration that protects against neuronal degeneration in a broad range of animal models and human neurobehavioral disorders.
We hope that this fascinating neuroprotective approach targeting mitochondrial respiration will stimulate more human studies of potential therapeutic applications in neurology and psychiatry."</t>
  </si>
  <si>
    <t>Potential for transcranial laser or LED therapy to treat stroke, traumatic brain injury, and neurodegenerative disease.</t>
  </si>
  <si>
    <t>"A TLT protocol with LEDs has potential for home treatment. Additional controlled studies with real and sham, transcranial low-level laser therapy and LED are recommended."</t>
  </si>
  <si>
    <t>Sanfilippo syndrome</t>
  </si>
  <si>
    <t>Lau</t>
  </si>
  <si>
    <t>Australia
(Bedford Park)</t>
  </si>
  <si>
    <t>J Neurochem</t>
  </si>
  <si>
    <t>Photobiomodulation in the infrared spectrum reverses the expansion of circulating natural killer cells and brain microglial activation in Sanfilippo mice</t>
  </si>
  <si>
    <t>670
904</t>
  </si>
  <si>
    <t>"We investigated the effects of 10-14 days transcranial PBM at 670 nm (2 or 4 J/cm2/day) or 904 nm (4 J/cm2/day) in young (3 weeks) and older (15 weeks) Sanfilippo or mucopolysaccharidosis type IIIA (MPS IIIA) mice."
"Although we found no PBM-induced changes in HS accumulation, astrocyte activation, CD206 (an anti-inflammatory marker) and BDNF expression in the brains of Sanfilippo mice, there was a near-normalisation of microglial activation in older MPS IIIA mice by 904 nm PBM, with decreased IBA1 expression and a return of their morphology towards a resting state."
"Notably, 670 and 904 nm PBM both reversed the Sanfilippo-induced increase in pSTAT1 and p-p38 expression in multiple leukocyte populations in young mice, while 904 nm reversed the increase in NK cells in older mice."
"In conclusion, this is the first study to demonstrate the beneficial effects of PBM in Sanfilippo mice. The distinct reduction in microglial activation and NK cell pro-inflammatory signalling and number suggests PBM may alleviate neuroinflammation and lymphocyte activation, encouraging further investigation of PBM as a standalone, or complementary therapy in Sanfilippo syndrome."</t>
  </si>
  <si>
    <t>Schizophrenia</t>
  </si>
  <si>
    <t>Effect of low-level laser therapy (LLLT) on cognitive impairment among patients with chronic schizophrenia: a double-blind randomized placebo-controlled clinical trial</t>
  </si>
  <si>
    <t>🧑 Human
🎲 Randomized trial, double-blind
👥 32 participants
⌛ 3-week treatment / 11-week study</t>
  </si>
  <si>
    <t>1200
1200
(total 24 diodes)</t>
  </si>
  <si>
    <t>0.8
for each diode</t>
  </si>
  <si>
    <t>144</t>
  </si>
  <si>
    <t>6
/ 3 weeks</t>
  </si>
  <si>
    <t>"No improvement in cognitive impairment or the positive and negative symptoms was detected after LLLT in patients with chronic schizophrenia."</t>
  </si>
  <si>
    <t>Stroke (clinical)</t>
  </si>
  <si>
    <t>Estrada-Rojas &amp; Ortiz</t>
  </si>
  <si>
    <t>Colombia
(Pereira)</t>
  </si>
  <si>
    <t>Increased Improvement in Speech-Language Skills After Transcranial Photobiomodulation Plus Speech-Language Therapy, Compared to Speech-Language Therapy Alone: Case Report with Aphasia</t>
  </si>
  <si>
    <t>🧑 Human
📄 Case report
⌛ 5-month treatment</t>
  </si>
  <si>
    <t>630+
660+
850</t>
  </si>
  <si>
    <t>"During the initial, 5-month treatment series with traditional speech-language therapy only, there was little to no improvement in dysarthria and expressive language. During the second, 5-month treatment series, however, with tPBM applied first, to the left hemisphere only, and second, to both hemispheres during each session plus simultaneous speech-language therapy, there was marked improvement in the dysarthria and expressive language. 
After the first 5-month series, this PWA had utilized a slow rate of speech with a production of ∼25 to 30 words-per-minute during conversations and spontaneous speech. Utterance length was only 4-6 words with simple, grammatical structure. After the second, 5-month series of treatment combining tPBM plus speech-language therapy, the rate of speech increased to 80+ words-per-minute and utterance length was increased to 9-10 words, with more complex grammatical structure."</t>
  </si>
  <si>
    <t>Paolillo</t>
  </si>
  <si>
    <t>Brazil
(Passos)</t>
  </si>
  <si>
    <t>The effects of transcranial laser photobiomodulation and neuromuscular electrical stimulation in the treatment of post-stroke dysfunctions</t>
  </si>
  <si>
    <t>🧑 Human
📄 Controlled study + ex vivo
👥 (?)
⌛ (?)</t>
  </si>
  <si>
    <t>Penetration</t>
  </si>
  <si>
    <t>660+
808+
980</t>
  </si>
  <si>
    <t>"Our clinical trial showed improvement of cognitive function, pain relief, greater manual dexterity, enhancement of physical and social-emotional health which lead to better quality of life and well-being. There was also increased temperature in the treated regions with laser and NMES. 
For the ex vivo study, the distribution of infrared and red radiation after penetration through the cranium and hemihead of cadavers were showed."</t>
  </si>
  <si>
    <t>Lai</t>
  </si>
  <si>
    <t>Intravascular Laser Irradiation of Blood Improves Functional Independence in Subacute Post-Stroke Patients: A Retrospective Observational Study from a Post-Stroke Acute Care Center in Taiwan</t>
  </si>
  <si>
    <t>🧑 Human
📄 Retrospective study
👥 34 patients (12 PBM, 22 ctrl)
⌛ ~75-80 days of hospital stay, PBM started from day ~24</t>
  </si>
  <si>
    <t>2.5-4.0
(??)</t>
  </si>
  <si>
    <t>10+
(15.7 on avg)</t>
  </si>
  <si>
    <t>"Patients who received ILIB had significantly superior mRS scores than those who received only conventional rehabilitation (p = 0.028). Patients in the ILIB group experienced more improvements in the BI, 6MWT, and FMA-UE; however, these were nonsignificant. In addition, the control group experienced a greater improvement in the BBS than the ILIB group. Further studies are required to elucidate the mechanism of action of ILIB therapy fully. There was no major adverse event reported in patients receiving ILIB therapy."
"This study has several limitations. First, this was a single-center retrospective study and included a small number of patients. The patient population was highly heterogeneous in terms of stroke locations, patient ages, and hospitalization days. In addition, ILIB treatment parameters and sessions varied among patients."</t>
  </si>
  <si>
    <t>Device: YJ-ILIB-5; Bio-ILIB Human Energy Ltd, Taiwan (helium-neon laser</t>
  </si>
  <si>
    <t>Feng</t>
  </si>
  <si>
    <t>USA
(Durham, NC)</t>
  </si>
  <si>
    <t>Transl Stroke Res</t>
  </si>
  <si>
    <t>Revisiting Transcranial Light Stimulation as a Stroke Therapeutic-Hurdles and Opportunities</t>
  </si>
  <si>
    <t>"While the NEST trials failed to show the efficacy of light therapy in human stroke patients, there are many lingering questions and lessons that can be learned. In this review, we summarize the putative mechanism of light stimulation in the setting of stroke, highlight barriers, and challenges during the translational process, and evaluate light stimulation parameters, dosages and safety issues, choice of outcomes, effect size, and patient selection criteria. In the end, we propose potential future opportunities with transcranial light stimulation as a cerebroprotective or restorative tool for future stroke treatment."</t>
  </si>
  <si>
    <t>Dumont</t>
  </si>
  <si>
    <t>Photobiomodulation Therapy Combined with Static Magnetic Field (PBMT-SMF) on Spatiotemporal and Kinematics Gait Parameters in Post-Stroke: A Pilot Study</t>
  </si>
  <si>
    <t>🧑 Human
🎲 Randomized trial, crossover, triple-blind
👥 10 participants
⌛ 4 sessions with 7-day washouts</t>
  </si>
  <si>
    <t>875+
905</t>
  </si>
  <si>
    <t>10
+
30
+
50
+
sham</t>
  </si>
  <si>
    <t>1
+
1
+
1
+
sham
(random
order)</t>
  </si>
  <si>
    <t>"A single application of PBMT-SMF at doses of 10 J, 30 J, and 50 J per site of the lower limbs did not demonstrate positive effects on the spatiotemporal variables, but it promoted immediate effects in the kinematic variables of the hip (maximum and minimum flexion/extension angulation during the support phase) in the paretic and non-paretic limbs in post-stroke people."</t>
  </si>
  <si>
    <t>Casalechi</t>
  </si>
  <si>
    <t>Acute effects of photobiomodulation therapy and magnetic field on functional mobility in stroke survivors: a randomized, sham-controlled, triple-blind, crossover, clinical trial.</t>
  </si>
  <si>
    <t>🧑 Human
🎲 Randomized trial, double-blind
👥 12 participants
⌛ 4 sessions with 1-week washouts</t>
  </si>
  <si>
    <t>LED phototherapy (w/ lasers) with 35 mT static magnetic field
Dose response
Biphasic dose response</t>
  </si>
  <si>
    <t>10
+
30
+
50
+
sham
per
site
34
sites
(?)</t>
  </si>
  <si>
    <t>"The primary outcome measure was the 6-min walk test (6MWT) and the secondary outcome was the Timed Up and Go (TUG) test. Significant improvements were found in the 6MWT test using a total energy of 30 J per site compared with sham (0 J) (p &lt; 0.05) and compared with the baseline evaluation (p &lt; 0.01). And in the TUG test significant improvements were also found using a total energy per site of 30 J per site compared to sham (0 J) and baseline (p &lt; 0.05). 
PBMT with different light sources (laser and LEDs) and wavelengths in combination with sMF with a total energy per site of 30 J has positive acute effects on functional mobility in stroke survivors."</t>
  </si>
  <si>
    <t>Increased Functional Connectivity Within Intrinsic Neural Networks in Chronic Stroke Following Treatment With Red/Near-Infrared Transcranial Photobiomodulation: Case Series With Improved Naming in Aphasia.</t>
  </si>
  <si>
    <t>🧑 Human
📄 Case series
👥 6 cases
⌛ 6 weeks</t>
  </si>
  <si>
    <t>LED phototherapy
Six patients
Four protocols
fMRI</t>
  </si>
  <si>
    <t>0.022</t>
  </si>
  <si>
    <t>22.48
cm2</t>
  </si>
  <si>
    <t>18
/ 3 weeks</t>
  </si>
  <si>
    <t>"After Protocol A with bilateral LED placements, including midline, at scalp vertex over left and right supplementary motor areas (L and R SMAs), picture naming was not improved. P1 underwent pre-/postovert, picture-naming task-fMRI scans; P2 could not. After Protocol A, P1 showed increased activation in LH and right hemisphere, including L and R SMAs. 
After Protocol B with LEDs only on ipsilesional, LH side, naming ability significantly improved for P1 and P2; the fMRI scans for P1 then showed activation only on the ipsilesional LH side. 
After Protocol C with LED placements on ipsilesional LH side, plus one midline placement over mesial prefrontal cortex (mPFC) at front hairline, a cortical node of the default mode network (DMN), P3 and P4 had only moderate/poor response, and no increase in functional connectivity on resting-state functional-connectivity MRI. 
After Protocol D, however, with LED placements on ipsilesional LH side, plus over two midline nodes of DMN, mPFC, and precuneus (high parietal) simultaneously, P5 and P6 each had good response with significant increase in functional connectivity within DMN, p &lt; 0.0005; salience network, p &lt; 0.0005; and central executive network, p &lt; 0.05."</t>
  </si>
  <si>
    <t>Zivin</t>
  </si>
  <si>
    <t>USA
(San Diego, CA)</t>
  </si>
  <si>
    <t>Int J Stroke</t>
  </si>
  <si>
    <t>NeuroThera® Efficacy and Safety Trial-3 (NEST-3): a double-blind, randomized, sham-controlled, parallel group, multicenter, pivotal study to assess the safety and efficacy of transcranial laser therapy with the NeuroThera® Laser System for the treatment of acute ischemic stroke within 24 h of stroke onset.</t>
  </si>
  <si>
    <t>Hacke</t>
  </si>
  <si>
    <t>Multiple countries</t>
  </si>
  <si>
    <t>Stroke</t>
  </si>
  <si>
    <t>Transcranial laser therapy in acute stroke treatment: results of neurothera effectiveness and safety trial 3, a phase III clinical end point device trial.</t>
  </si>
  <si>
    <t>🧑 Human
🎲 Randomized trial, double-blind
🗺 Multicenter
👥 566 participants
⌛ single treatment / 90-day study</t>
  </si>
  <si>
    <t>NEST-3
Large sample size RCT (&gt;150)</t>
  </si>
  <si>
    <t>2400
(20p)</t>
  </si>
  <si>
    <t>"The study was terminated on recommendation by the Data Monitoring Committee after a futility analysis of 566 completed patients found no difference in the primary end point (transcranial laser therapy 140/282 [49.6%] versus sham 140/284 [49.3%] for good functional outcome; modified Rankin Scale, 0-2)."</t>
  </si>
  <si>
    <t>Kasner</t>
  </si>
  <si>
    <t>USA
(Philadelphia, PA)</t>
  </si>
  <si>
    <t>Transcranial laser therapy and infarct volume</t>
  </si>
  <si>
    <t>🧑 Human
🎲 Randomized trial, double-blind
👥 640 participants
⌛ single treatment / 5-day follow-up</t>
  </si>
  <si>
    <r>
      <rPr>
        <i/>
        <sz val="7.0"/>
      </rPr>
      <t>NEST-2, secondary publication, focusing on infarct volume data</t>
    </r>
    <r>
      <rPr>
        <sz val="7.0"/>
      </rPr>
      <t xml:space="preserve">
Large sample size RCT (&gt;150)</t>
    </r>
  </si>
  <si>
    <t>"TLT was not associated with a reduction in overall or cortical infarct volume as measured on computed tomography in the subacute phase."</t>
  </si>
  <si>
    <t>Boonswang</t>
  </si>
  <si>
    <t>USA
(Easton, PA)</t>
  </si>
  <si>
    <t>BMJ Case Rep</t>
  </si>
  <si>
    <t>A new treatment protocol using photobiomodulation and muscle/bone/joint recovery techniques having a dramatic effect on a stroke patient's recovery: a new weapon for clinicians.</t>
  </si>
  <si>
    <t>🧑 Human
📄 Case report
⌛ 12 months</t>
  </si>
  <si>
    <t>0.196
cm2</t>
  </si>
  <si>
    <t>8
/ 8 weeks
--&gt; 
once every 4 weeks</t>
  </si>
  <si>
    <t>"The patient in this case report experienced a dramatic recovery/rehabilitation outcome after being treated with the treatment protocol."</t>
  </si>
  <si>
    <t>Effectiveness and safety of transcranial laser therapy for acute ischemic stroke.</t>
  </si>
  <si>
    <t>🧑 Human
🎲 Randomized trial, double-blind
👥 660 participants
⌛ single treatment / 90-day follow-up</t>
  </si>
  <si>
    <t xml:space="preserve">NEST-2
Acute ischemic stroke
Large sample size RCT (&gt;150)
</t>
  </si>
  <si>
    <t>"TLT within 24 hours from stroke onset demonstrated safety but did not meet formal statistical significance for efficacy. However, all predefined analyses showed a favorable trend, consistent with the previous clinical trial (NEST-1)."
Comment: In the subsequent NEST-3 trial, no benefit was found. The insufficient dose has been suspected as the explanation for negative results.</t>
  </si>
  <si>
    <t>Lampl</t>
  </si>
  <si>
    <t>Israel
(Holon)</t>
  </si>
  <si>
    <t>Infrared laser therapy for ischemic stroke: a new treatment strategy: results of the NeuroThera Effectiveness and Safety Trial-1 (NEST-1).</t>
  </si>
  <si>
    <t>🧑 Human
🎲 Randomized trial, double-blind
🗺 Multicenter
👥 120 participants
⌛ single treatment / 90-day follow-up</t>
  </si>
  <si>
    <t>NEST-1</t>
  </si>
  <si>
    <t>~1
@ cortex</t>
  </si>
  <si>
    <t>"The NEST-1 study indicates that infrared laser therapy has shown initial safety and effectiveness for the treatment of ischemic stroke in humans when initiated within 24 hours of stroke onset. A larger confirmatory trial to demonstrate safety and effectiveness is warranted."
Comment: Despite the positive results, the subsequent NEST-2 and NEST-3 trials could not verify the positive results shown here.
Note: A highly cited articly (222 on Google Scholar in 10/2016).</t>
  </si>
  <si>
    <t>Stroke (preclinical)</t>
  </si>
  <si>
    <t>Antioxidants (Basel)</t>
  </si>
  <si>
    <t>Photobiomodulation Inhibits Ischemia-Induced Brain Endothelial Senescence via Endothelial Nitric Oxide Synthase</t>
  </si>
  <si>
    <t>"We demonstrated that treatment with PBMT (808 nm, 350 mW/cm2, 2 min/day) for 7 days significantly reduced PT-stroke-induced vascular permeability. Additionally, PBMT inhibited the levels of endothelial senescence markers (senescence green and p21) and antiangiogenic factor (endostatin), while increasing the phospho-eNOS (Ser1177) in the peri-infarct region following PT stroke."
"In vitro study further indicated that OGD increased p21, endostatin, and DNA damage (γH2AX) levels in the brain endothelial cell line, but they were reversed by PBMT. Intriguingly, the beneficial effects of PBMT were attenuated by a NOS inhibitor."</t>
  </si>
  <si>
    <t>Yokomizo</t>
  </si>
  <si>
    <t>Near-Infrared II Photobiomodulation Preconditioning Ameliorates Stroke Injury via Phosphorylation of eNOS</t>
  </si>
  <si>
    <t>"Pretreatment with a 1064-nm laser at an irradiance of 50 mW/cm2 improved cerebral blood flow, eNOS phosphorylation, and stroke outcomes."
"Near-infrared II photobiomodulation could offer a noninvasive and low-risk adjunctive therapy for stroke injury. This new modality using a physical parameter merits further consideration to develop innovative therapies to prevent and treat a wide array of cardiovascular diseases."</t>
  </si>
  <si>
    <t>CNS Neurosci Ther</t>
  </si>
  <si>
    <t>Activation of testosterone-androgen receptor mediates cerebrovascular protection by photobiomodulation treatment in photothrombosis-induced stroke rats</t>
  </si>
  <si>
    <t>"We showed that PT stroke caused a decrease in cerebrovascular testosterone concentration, which was significantly increased by 7-day PBMT (808 nm, 350 mW/cm2 , 42 J/cm2 ). 
Furthermore, PBMT significantly increased cerebral blood flow (CBF) and the expression of vascular-associated proteins, while inhibiting vascular permeability and reducing endothelial cell apoptosis. 
This ultimately mitigated behavioral deficits in PT stroke rats. 
Notably, treatment with the androgen receptor antagonist flutamide reversed the beneficial effects of PBMT. 
Cellular experiments confirmed that PBMT inhibited cell apoptosis and increased vascular-associated protein expression in brain endothelial cell line (bEnd.3) subjected to oxygen-glucose deprivation (OGD). However, these effects were inhibited by flutamide. Moreover, mechanistic studies revealed that PBMT-induced testosterone synthesis in bEnd.3 cells was partly mediated by 17β-hydroxysteroid dehydrogenase 5 (17β-HSD5)."
"Our study provides evidence that PBMT attenuates cerebrovascular injury and behavioral deficits associated with testosterone/AR following ischemic stroke. Our findings suggest that PBMT may be a promising alternative approach for managing cerebrovascular diseases."</t>
  </si>
  <si>
    <t>Neurochem Int</t>
  </si>
  <si>
    <t>Photobiomodulation treatment inhibits neurotoxic astrocytic polarization and protects neurons in in vitro and in vivo stroke models</t>
  </si>
  <si>
    <t>7
/ 7 days
(?)</t>
  </si>
  <si>
    <t>"In summary, we demonstrated that PBM could inhibit neurotoxic astrocytic polarization, preserve synaptic integrity and protect neurons against stroke injury both in vitro and in vivo."</t>
  </si>
  <si>
    <t>Morse</t>
  </si>
  <si>
    <t>Biochem Soc Trans</t>
  </si>
  <si>
    <t>Sometimes less is more: inhibitory infrared light during early reperfusion calms hyperactive mitochondria and suppresses reperfusion injury</t>
  </si>
  <si>
    <t>"Finally, we discuss the use of near infrared light (IRL) to treat stroke. IRL can both stimulate or inhibit mitochondrial activity depending on the wavelength. We emphasize that the use of the correct wavelength is crucial for outcome: inhibitory IRL, applied early during reperfusion, can prevent the ROS burst from occurring, thus preserving neurological tissue."</t>
  </si>
  <si>
    <t>Liao</t>
  </si>
  <si>
    <t>China
(Chongqing)</t>
  </si>
  <si>
    <t>Ann Transl Med</t>
  </si>
  <si>
    <t>Activation of the AKT/GSK-3β/β-catenin pathway via photobiomodulation therapy promotes neural stem cell proliferation in neonatal rat models of hypoxic-ischemic brain damage</t>
  </si>
  <si>
    <t>"PBMT improved the spatial learning and memory of HIBD rats and promoted hippocampal NSC proliferation through the AKT/GSK-3β/β-catenin pathway."</t>
  </si>
  <si>
    <t>Benefits of a Skull-Interfaced Flexible and Implantable Multilight Emitting Diode Array for Photobiomodulation in Ischemic Stroke</t>
  </si>
  <si>
    <t>LED phototherapy
Wavelength comparison
PBM device design: skull-interfaced LED array</t>
  </si>
  <si>
    <t>630
850
940</t>
  </si>
  <si>
    <t>"Among the wavelength range of 630, 850, and 940 nm LED array, the PBM with 630-nm LED array is proved to be the most effective for reducing the infarction volume and neurological impairment after ischemic stroke.
Moreover, the PBM with 630 nm LED array remarkably improves the capability of spatial learning and memory in the chronic poststroke phase, attenuates AIM2 inflammasome activation and inflammasome-mediated pyroptosis, and modulates microglial polarization in the hippocampus and cortex 7 days following ischemic stroke.
Thus, PBM may prevent tissue and functional damage in acute ischemic injury, thereby attenuating the development of cognitive impairment after stroke."</t>
  </si>
  <si>
    <t>Photobiomodulation Promotes Hippocampal CA1 NSC Differentiation Toward Neurons and Facilitates Cognitive Function Recovery Involving NLRP3 Inflammasome Mitigation Following Global Cerebral Ischemia</t>
  </si>
  <si>
    <t>"The results revealed that PBM exerted a markedly neuroprotective role and improved spatial learning and memory ability at 58 days of ischemia/reperfusion (I/R) but not at 7 days of reperfusion."
"Taken together, PBM treatment performed postischemia exerted a long-lasting protective effect on astrocytes and promoted endogenous neurogenesis in the hippocampal CA1 region, which might contribute to neurological recovery after GCI."</t>
  </si>
  <si>
    <t>Gerace</t>
  </si>
  <si>
    <t>NIR Laser Photobiomodulation Induces Neuroprotection in an In Vitro Model of Cerebral Hypoxia/Ischemia</t>
  </si>
  <si>
    <t>808+
905</t>
  </si>
  <si>
    <t>3.71
7.42
14.84</t>
  </si>
  <si>
    <t>"Western blot analysis of proteins involved in neuroinflammation (iNOS, COX-2, NFkB subunit p65, and Bcl-2) and in glutamatergic-mediated synaptic activity (vGluT1, EAAT2, GluN1, and PSD95) showed that the protein modifications induced by OGD were reverted by NIR laser application. Moreover, CA1 confocal microscopy revealed that the profound morphological changes induced by OGD were reverted by NIR laser radiation.
In conclusion, NIR laser radiation attenuates OGD neurotoxicity in organotypic hippocampal slices through attenuation of inflammatory mechanisms. These findings shed light on molecular definition of NIR neuroprotective mechanisms, thus underlining the potential benefit of this technique for the treatment of cerebral ischemia."</t>
  </si>
  <si>
    <t>Transcranial low-level laser therapy in an in vivo model of stroke: Relevance to the brain infarct, microglia activation, and neuroinflammation</t>
  </si>
  <si>
    <t>PBM vs fish oil</t>
  </si>
  <si>
    <t>10
(??)</t>
  </si>
  <si>
    <t>0.083</t>
  </si>
  <si>
    <t>3/week
for 60 days after the stroke</t>
  </si>
  <si>
    <t>"Five different groups of Wistar rats were submitted or not to a daily dose of fish oil or/and laser sessions for 2 months. The ischemia volume was evaluated by stereology; GFAP, Iba, and NeuN by immunohistochemistry; TNF-α, IL-1β, IL-6, IL-10, and TGF-β by ELISA assay. "
"PBM influenced both the lesion volume and the GFAP. Furthermore, PBM and Ω-3 or both reduced Iba RNAm. PBM reduced TNF-α, IL-1β, IL-6, brain damage, neuroinflammation, and microglial activation, and it increased astroglial activity in peri-lesioned region after stroke."</t>
  </si>
  <si>
    <t>Iglesias-Rey &amp; Castillo</t>
  </si>
  <si>
    <t>Spain
(Santiago de Compostela)</t>
  </si>
  <si>
    <t>New strategies for ischemic stroke: internal photobiomodulation therapy.</t>
  </si>
  <si>
    <t>"The overall results from extensive in vitro and in vivo studies of the PBM therapy show the benefits of light-based strategies in the acute stroke phase in terms of neuroprotection and neurorecovery. Nevertheless, negative results from the clinical studies halt the possible viability of this therapy in patients at this moment. We consider that the greatest limitation of this light-based technique lies in the impossibility of delivering non-invasive effective light energy into the damaged area inside the patient’s brain able to induce the corresponding biological effect."
"Hereafter, we propose a new perspective to solve this technical challenge; we consider that novel functionalized persistent luminescence nanoparticles could be an alternative way to irradiate deep, damaged brain tissue from inside the brain itself (internal PBM). NIR persistent luminescence nanoparticles are optical materials that emit long-lasting luminescence (for minutes or hours) even after the excitation ceases, and that allow for reactivation of the persistent luminescence by NIR light or X-ray (Wang et al., 2017; Sun et al., 2018)."
"We conclude that clinic PBM therapy using laser or LED sources could become a promising tool in stroke therapy, but further preclinical studies are necessary in order to open, develop and optimize novel but indirect approaches."</t>
  </si>
  <si>
    <t>Meynaghizadeh-Zargar</t>
  </si>
  <si>
    <t>Effects of transcranial photobiomodulation and methylene blue on biochemical and behavioral profiles in mice stress model.</t>
  </si>
  <si>
    <t>PBM vs methylene blue</t>
  </si>
  <si>
    <t>8
at
cortex</t>
  </si>
  <si>
    <t>"Behavioral tests revealed that [unpredictable chronic mild stress] impaired learning and memory, and treatment with PBM, MB, and their combination reversed these impairments.
Levels of NO, ROS, SOD activity in brain, and serum cortisol levels significantly increased while brain GPx activity and total antioxidant capacity significantly decreased in the sham + NS animals when compared with the controls."
"Both tPBM and MB in combination or alone have significant therapeutic effects on learning and memory impairments in UCMS-received animals."</t>
  </si>
  <si>
    <t>Banqueri</t>
  </si>
  <si>
    <t>Photobiomodulation rescues cognitive flexibility in early stressed subjects.</t>
  </si>
  <si>
    <t>Cognitive function</t>
  </si>
  <si>
    <t>"Early life stress delivered in the form of maternal separation on the first 10 postnatal days leads to cognitive flexibility impairment and a general increase in energy metabolism in adulthood. 
Low-level light therapy seems to be useful for treating these unwanted outcomes, because it rescued cognitive flexibility and returned the oxidative energy metabolism to balanced scores, without harming controls' brains or behavior."</t>
  </si>
  <si>
    <t>Argibay</t>
  </si>
  <si>
    <t>Light-Emitting Diode Photobiomodulation After Cerebral Ischemia.</t>
  </si>
  <si>
    <t>18.0
at
head
=
0.28
at
cortex</t>
  </si>
  <si>
    <t>"PBM did not show an infarct reduction or functional recovery. Despite the promising therapeutic effect described for PBM, further preclinical studies are necessary to optimize the therapeutic window of this novel therapy, in terms of the mechanism associated to neurorecovery and to reduce the risk of failure in futures clinical trials."
Comment: The PBM treatment was initiated 24h after the stroke.</t>
  </si>
  <si>
    <t>de Jesus Fonseca</t>
  </si>
  <si>
    <t>Study of transcranial therapy 904 nm in experimental model of stroke.</t>
  </si>
  <si>
    <t>"In conclusion, the present study suggests that 904-nm LED irradiation may beneficially affect neurogenesis, muscle resistance, and animal motor behavior following ischemic CVA."</t>
  </si>
  <si>
    <t>Strubakos</t>
  </si>
  <si>
    <t>USA
(Ann Arbot, MI)</t>
  </si>
  <si>
    <t>Non-invasive treatment with near-infrared light: A novel mechanisms-based strategy that evokes sustained reduction in brain injury after stroke.</t>
  </si>
  <si>
    <t>7200
or
14400</t>
  </si>
  <si>
    <t>"Treatment with NIR for 2 h resulted in a 21% reduction in brain injury at 24 h of reperfusion measured by diffusion-weighted imaging (DWI) and a 25% reduction in infarct volume measured by T2-weighted imaging (T2WI) at 7 and 14 days of reperfusion, respectively. Additionally, extended treatment reduced brain injury in the acute phase of brain injury, and 7 and 14 days of reperfusion, demonstrating a &gt;50% reduction in infarction."
"Our data suggest that mitochondrial modulation with NIR attenuates ischemia-reperfusion injury and evokes a sustained reduction in infarct volume following ischemic stroke."</t>
  </si>
  <si>
    <t>Photobiomodulation and Coenzyme Q10 Treatments Attenuate Cognitive Impairment Associated With Model of Transient Global Brain Ischemia in Artificially Aged Mice.</t>
  </si>
  <si>
    <t>Mitochondrial biogenesis
PBM vs CoQ10</t>
  </si>
  <si>
    <t>"Separately and together, the treatments lowered reactive oxygen species and raised ATP and general mitochondrial activity as well as biomarkers of mitochondrial biogenesis, including SIRT1, PGC-1α, NRF1, and TFAM. Neuroinflammatory responsiveness declined, as indicated by decreased iNOS, TNF-α, and IL-1β levels with the PBM and CoQ10 treatments. 
Collectively, the findings of this preclinical study imply that the procognitive effects of NIR PBM and CoQ10 treatments, separately or in combination, are beneficial in a model of transient global brain ischemia superimposed on a model of aging in mice."</t>
  </si>
  <si>
    <t>Tucker</t>
  </si>
  <si>
    <t>Photobiomodulation Therapy Attenuates Hypoxic-Ischemic Injury in a Neonatal Rat Model.</t>
  </si>
  <si>
    <t xml:space="preserve">Hypoxic-ischemic injury
Neonatal Rat
</t>
  </si>
  <si>
    <t>"We demonstrated that PBM treatment significantly reduced HI-induced brain lesion in both the cortex and hippocampal CA1 subregions. 
Molecular studies indicated that PBM treatment profoundly restored mitochondrial dynamics by suppressing HI-induced mitochondrial fragmentation. Further investigation of mitochondrial function revealed that PBM treatment remarkably attenuated mitochondrial membrane collapse, accompanied with enhanced ATP synthesis in neonatal HI rats. 
In addition, PBM treatment led to robust inhibition of oxidative damage, manifested by significant reduction in the productions of 4-HNE, P-H2AX (S139), malondialdehyde (MDA), as well as protein carbonyls. 
Finally, PBM treatment suppressed the activation of mitochondria-dependent neuronal apoptosis in HI rats, as evidenced by decreased pro-apoptotic cascade 3/9 and TUNEL-positive neurons. 
Taken together, our findings demonstrated that PBM treatment contributed to a robust neuroprotection via the attenuation of mitochondrial dysfunction, oxidative stress, and final neuronal apoptosis in the neonatal HI brain."</t>
  </si>
  <si>
    <t>China
(Tangshan)
&amp;
USA
(Augusta, GA)</t>
  </si>
  <si>
    <t>Photobiomodulation for Global Cerebral Ischemia: Targeting Mitochondrial Dynamics and Functions.</t>
  </si>
  <si>
    <t>Global cerebral ischemia (not stroke)
Dose response
Cytochrome oxidase, ATP level, mitochondrial membrane potential...</t>
  </si>
  <si>
    <t>0.008
at
hippocampus</t>
  </si>
  <si>
    <t>1
2
3
4</t>
  </si>
  <si>
    <t>"It was noted that PBM dose-dependently protected against GCI-induced neuronal death in the vulnerable hippocampal CA1 subregion. Functional assessments demonstrated that PBM markedly preserved both short-term (a week) and long-term (6 months) spatial learning and memory function following GCI. 
Further mechanistic studies revealed that PBM post-treatment 
(a) preserved healthy mitochondrial dynamics and suppressed substantial mitochondrial fragmentation of CA1 neurons, by reducing the detrimental Drp1 GTPase activity and its interactions with adaptor proteins Mff and Fis1 and by balancing mitochondrial targeting fission and fusion protein levels; 
(b) reduced mitochondrial oxidative damage and excessive mitophagy and restored mitochondrial overall health status and preserved mitochondrial function; and 
(c) suppressed mitochondria-dependent apoptosome formation/caspase-3/9 apoptosis-processing activities. 
Additionally, we validated, in an in vitro ischemia model, that cytochrome c oxidase served as a key PBM target for mitochondrial function preservation and neuroprotection. 
Our findings suggest that PBM serves as a promising therapeutic strategy for the functional recovery after GCI, with mechanisms involving PBM's preservation on mitochondrial dynamics and functions and the inhibition of delayed apoptotic neuronal death in GCI."
Star: This was a very extensive study with a lot of data regarding the mitochondrial function.</t>
  </si>
  <si>
    <t>Sanderson</t>
  </si>
  <si>
    <t>Inhibitory modulation of cytochrome c oxidase activity with specific near-infrared light wavelengths attenuates brain ischemia/reperfusion injury.</t>
  </si>
  <si>
    <t>Inhibitory PBM
LED phototherapy
Wavelength comparison</t>
  </si>
  <si>
    <t>750
810
950</t>
  </si>
  <si>
    <t>"Previous studies have suggested that near infrared light (NIR) enhances the activity of mitochondria by increasing cytochrome c oxidase (COX) activity, which we confirmed for 810 nm NIR. In contrast, scanning the NIR spectrum between 700 nm and 1000 nm revealed two NIR wavelengths (750 nm and 950 nm) that reduced the activity of isolated COX. 
COX-inhibitory wavelengths reduced mitochondrial respiration, reduced the mitochondrial membrane potential (ΔΨm), attenuated mitochondrial superoxide production, and attenuated neuronal death following oxygen glucose deprivation, whereas NIR that activates COX provided no benefit. We evaluated COX-inhibitory NIR as a potential therapy for cerebral reperfusion injury using a rat model of global brain ischemia. 
Untreated animals demonstrated an 86% loss of neurons in the CA1 hippocampus post-reperfusion whereas inhibitory NIR groups were robustly protected, with neuronal loss ranging from 11% to 35%. Moreover, neurologic function, assessed by radial arm maze performance, was preserved at control levels in rats treated with a combination of both COX-inhibitory NIR wavelengths. 
Taken together, our data suggest that COX-inhibitory NIR may be a viable non-pharmacologic and noninvasive therapy for the treatment of cerebral reperfusion injury."
Comment: Very novel and interesting research from Hüttemann's group. This research group's history has been strongly COX-focused and has tried to explain how inflammatory and ischemic injuries can modulate mitochondrial function.</t>
  </si>
  <si>
    <t>China &amp; USA</t>
  </si>
  <si>
    <t>Exp Neurol</t>
  </si>
  <si>
    <t>Photobiomodulation therapy promotes neurogenesis by improving post-stroke local microenvironment and stimulating neuroprogenitor cells.</t>
  </si>
  <si>
    <t>294
(scalp)</t>
  </si>
  <si>
    <t>"We demonstrated that PBM significantly attenuated behavioral deficits and infarct volume induced by PT stroke.
Further investigation displayed that PBM remarkably enhanced neurogenesis and synaptogenesis, as evidenced by immunostaining of BrdU, Ki67, DCX, MAP2, spinophilin, and synaptophysin.
Mechanistic studies suggested beneficial effects of PBM were accompanied by robust suppression of reactive gliosis and the production of pro-inflammatory cytokines.
On the contrary, the release of anti-inflammatory cytokines, cytochrome c oxidase activity and ATP production in peri-infarct regions were elevated following PBM treatment.
Intriguingly, PBM could effectively switch an M1 microglial phenotype to an anti-inflammatory M2 phenotype.
Our novel findings indicated that PBM is capable of promoting neurogenesis after ischemic stroke. The underlying mechanisms may rely on: 
1) promotion of proliferation and differentiation of internal neuroprogenitor cells in the peri-infarct zone; 
2) improvement of the neuronal microenvironment by altering inflammatory status and promoting mitochondrial function. 
These findings provide strong support for the promising therapeutic effect of PBM on neuronal repair following ischemic stroke."</t>
  </si>
  <si>
    <t>Low-level light emitting diode therapy promotes long-term functional recovery after experimental stroke in mice.</t>
  </si>
  <si>
    <t>0.0017</t>
  </si>
  <si>
    <t>"The acute and subacute LED-T groups showed a significant improvement in motor function up to 28 days post-ischemia, although no brain atrophy recovery was noted. We observed proliferating cells (BrdU+ ) in the ischemic brain, and significant increases in BrdU+ /GFAP+ , BrdU+ /DCX+ , BrdU+ /NeuN+ , and CD31+ cells in the subacute LED-T group. However, the BrdU+ /Iba-1+ cell count was reduced in the subacute LED-T group. Furthermore, the brain-derived neurotrophic factor (BDNF) was significantly upregulated in the subacute LED-T group."
"We concluded that LED-T administered during the subacute stage had a positive impact on the long-term functional outcome, probably via neuron and astrocyte proliferation, blood vessel reconstruction, and increased BDNF expression."</t>
  </si>
  <si>
    <t>Pretreatment with light-emitting diode therapy reduces ischemic brain injury in mice through endothelial nitric oxide synthase-dependent mechanisms</t>
  </si>
  <si>
    <t>"After reperfusion, the LED-T group showed significantly smaller infarct and edema volumes, fewer behavioral deficits compared to injured mice that did not receive LED-T and significantly higher cerebral blood flow compared to the vehicle group.
We observed lower levels of endothelial nitric oxide synthase (eNOS) phosphorylation in the injured mouse brains, but significantly higher eNOS phosphorylation in LED-T-pretreated mice. The enhanced phospho-eNOS was inhibited by LY294002, indicating that the effects of LED-T on the ischemic brain could be attributed to the upregulation of eNOS phosphorylation through the phosphoinositide 3-kinase (PI3K)/Akt pathway. Moreover, no reductions in infarct or edema volume were observed in LED-T-pretreated eNOS-deficient (eNOS−/-) mice."</t>
  </si>
  <si>
    <t>Low-level light emitting diode (LED) therapy suppresses inflammasome-mediated brain damage in experimental ischemic stroke.</t>
  </si>
  <si>
    <t>LED phototherapy
Microglia</t>
  </si>
  <si>
    <t>d =
4 mm</t>
  </si>
  <si>
    <t>"LED therapy group generated a significantly smaller infarct size and improvements in neurological function based on neurologic test score. LED therapy profoundly reduced neuroinflammatory responses including neutrophil infiltration and microglia activation in the ischemic cortex. LED therapy also decreased cell death and attenuated the NLRP3 inflammasome, in accordance with down-regulation of pro-inflammatory cytokines IL-1β and IL-18 in the ischemic brain."</t>
  </si>
  <si>
    <t>Meyer</t>
  </si>
  <si>
    <t>Dose-finding study of phototherapy on stroke outcome in a rabbit model of ischemic stroke</t>
  </si>
  <si>
    <t>Dose response (finding optimal dose)</t>
  </si>
  <si>
    <t>7.5
111
333</t>
  </si>
  <si>
    <t>"As shown in Fig. 1, 111 mW/cm2 at 100 Hz was clearly the best settings we found, and it was statistically significantly better than the settings used in all previous studies."</t>
  </si>
  <si>
    <t>Restor Neurol Neurosci</t>
  </si>
  <si>
    <t>Pre-conditioning with transcranial low-level light therapy reduces neuroinflammation and protects blood-brain barrier after focal cerebral ischemia in mice.</t>
  </si>
  <si>
    <t>"LLLT significantly reduced infarct size and edema and improved neurological and motor function 24 h after ischemic injury.
In addition, LLLT markedly inhibited Iba-1- and GFAP-positive cells, which was accompanied by a reduction in the expression of inflammatory mediators and inhibition of MAPK activation and NF-κB translocation in the ischemic cortex.
Concomitantly, LLLT significantly attenuated leukocyte accumulation and infiltration into the infarct perifocal region.
LLLT also prevented BBB disruption after ischemic events, as indicated by a reduction of Evans blue leakage and water content.
These findings were corroborated by immunofluorescence staining of the tight junction-related proteins in the ischemic cortex in response to LLLT."</t>
  </si>
  <si>
    <t>Lapchak &amp; Boitano</t>
  </si>
  <si>
    <t>Acta Neurochir Suppl</t>
  </si>
  <si>
    <t>Transcranial Near-Infrared Laser Therapy for Stroke: How to Recover from Futility in the NEST-3 Clinical Trial.</t>
  </si>
  <si>
    <t>"There is especially extensive attenuation of light energy penetration across the human calvaria, compared with animal skulls, which suggests that the power density setting used in stroke clinical trials may not have optimally stimulated neuroprotection and repair pathways. 
The results of our study suggest that NILT cannot be sufficiently optimized in "small" animals and directly translated to humans because of significant variances of skull thickness and penetration characteristics across species."</t>
  </si>
  <si>
    <t>Peplow PV</t>
  </si>
  <si>
    <t>New Zealand
(Dunedin)</t>
  </si>
  <si>
    <t>Neuroimmunomodulatory effects of transcranial laser therapy combined with intravenous tPA administration for acute cerebral ischemic injury</t>
  </si>
  <si>
    <t>"Transcranial laser therapy has been shown to be effective in animal models of acute ischemic stroke, resulting in significant improvement in neurological score and function. NEST-1 and NEST-2 clinical trials in human patients have demonstrated the safety and positive trends in efficacy of transcranial laser therapy for the treatment of ischemic stroke when initiated close to the time of stroke onset."</t>
  </si>
  <si>
    <t>660 nm red light-enhanced bone marrow mesenchymal stem cell transplantation for hypoxic-ischemic brain damage treatment</t>
  </si>
  <si>
    <t>"After 3 hours of culture, green fluorescence-labeled GFP-bone marrow mesenchymal stem cells were visible in Transwell chambers and the number of migrated cells gradually increased as culture time proceeded (20 hours later). There were more migrating cells in the irradiation group after high-power red light-emitting diode irradiation than in the control group (P &lt; 0.05),"
"After treatment with red light irradiation for 1–5 days, the active avoidance response rate of hypoxic-ischemic brain damaged rats in the bone marrow mesenchymal stem cell transplantation group was significantly increased compared with the model group, and the increment was more apparent in the phototherapy + bone marrow mesenchymal stem cell transplantation group (P &lt; 0.05)."</t>
  </si>
  <si>
    <t>Huisa</t>
  </si>
  <si>
    <t>USA
(Albuquerque, NM)</t>
  </si>
  <si>
    <t>Incremental treatments with laser therapy augments good behavioral outcome in the rabbit small clot embolic stroke model.</t>
  </si>
  <si>
    <t>Embolic stroke</t>
  </si>
  <si>
    <t>Low-level laser stimulation on adipose-tissue-derived stem cell treatments for focal cerebral ischemia in rats.</t>
  </si>
  <si>
    <t>i-ADSCs treated (in vitro) with or without LLLT</t>
  </si>
  <si>
    <t>"At 28 days posttreatment, the motor functions of the rats treated using i-ADSCs (LS+) did not differ greatly from those in the sham group and HE-stained brain tissue samples exhibited near-complete recovery with nearly no brain tissue damage. However, the motor functions of the rats treated using i-ADSCs (LS-) remained somewhat dysfunctional and tissue displayed necrotic scarring and voids. The western blot analysis also revealed significant expression of oligo-2 in the rats treated using i-ADSCs (LS+) as well as in the sham group (P &lt; 0.05). 
The results demonstrated that low-level laser irradiation exerts a positive effect on the differentiation of i-ADSCs and can be employed to treat rats suffering from ischemic stroke to regain motor functions."
Comment: Parameters are very poorly reported. However, results are interesting.</t>
  </si>
  <si>
    <t>Pulsing: 50 Hz</t>
  </si>
  <si>
    <t>Choi</t>
  </si>
  <si>
    <t>Neuroimmunomodulation</t>
  </si>
  <si>
    <t>Effect of 710-nm visible light irradiation on neuroprotection and immune function after stroke.</t>
  </si>
  <si>
    <t>Slow irradiation (12 hours)</t>
  </si>
  <si>
    <t>710
± 30</t>
  </si>
  <si>
    <t>0.047</t>
  </si>
  <si>
    <t>0.00004</t>
  </si>
  <si>
    <t>1.796</t>
  </si>
  <si>
    <t>1.13
cm2
(?)</t>
  </si>
  <si>
    <t>"CD4(+) cell count was reduced after MCAO but was significantly increased by 710-nm VIS irradiation. The infarct sizes were decreased in the MCAO + irradiation group compared with the MCAO control group. IL-10 mRNA expression and the immunoreactivity of Treg cells were increased in the MCAO + irradiation group compared with the MCAO control group. Increased microglia activation after MCAO was reduced by 710-nm VIS irradiation. The irradiation group also showed improved neurological severity score levels and step fault scores after MCAO."
"Our data suggest that 710-nm VIS irradiation may activate cellular immunity, reduce brain infarction and ultimately induce functional recovery in a stroke animal model."</t>
  </si>
  <si>
    <t>Lapchak &amp; De Taboada</t>
  </si>
  <si>
    <t>USA
(La Jolla, CA)</t>
  </si>
  <si>
    <t>Transcranial near infrared laser treatment (NILT) increases cortical adenosine-5'-triphosphate (ATP) content following embolic strokes in rabbits.</t>
  </si>
  <si>
    <t>Dose response
Pulsed vs continous wave</t>
  </si>
  <si>
    <t>"Embolization decreased cortical ATP content in ischemic cortex by 45% compared to naive rabbits, a decrease that was attenuated by CW NILT which resulted in a 41% increase in cortical ATP content compared to the sham embolized group (p&gt;0.05). The absolute increase in ATP content was 22.5% compared to naive rabbits.
Following PW NILT, which delivered 5 (PW1) and 35 (PW2) times more energy than CW, we measured a 157% (PW1 p=0.0032) and 221% (PW2 p=0.0001) increase in cortical ATP content, respectively, compared to the sham embolized group. That represented a 41% and 77% increase in ATP content compared to naive control .
This is the first demonstration that embolization can decrease ATP content in rabbit cortex and that NILT significantly increases cortical ATP content in embolized rabbits, an effect that is correlated with cortical fluence and the mode of NILT delivery."</t>
  </si>
  <si>
    <t>Lapchak PA</t>
  </si>
  <si>
    <t>USA
(Los Angeles, CO)</t>
  </si>
  <si>
    <t>Ann Med</t>
  </si>
  <si>
    <t>Taking a light approach to treating acute ischemic stroke patients: transcranial near-infrared laser therapy translational science.</t>
  </si>
  <si>
    <t>Lapchak</t>
  </si>
  <si>
    <t>Safety profile of transcranial near-infrared laser therapy administered in combination with thrombolytic therapy to embolized rabbits.</t>
  </si>
  <si>
    <t>"TLT did not significantly alter hemorrhage incidence after embolization, but there was a trend for a modest reduction of hemorrhage volume (by 65%) in the TLT-treated group compared with controls."
"TLT may be administered safely either alone or in combination with tPA because neither treatment affected hemorrhage incidence or volume. Our results support the study of TLT in combination with Alteplase in patients with stroke."</t>
  </si>
  <si>
    <t>Transcranial near-infrared light therapy improves motor function following embolic strokes in rabbits: an extended therapeutic window study using continuous and pulse frequency delivery modes.</t>
  </si>
  <si>
    <t>Embolic stroke
Transcranial LLLT</t>
  </si>
  <si>
    <t>Expert Rev Neurother</t>
  </si>
  <si>
    <t>Laser treatment for stroke.</t>
  </si>
  <si>
    <t>"In vivo studies reinforced the efficacy of this technique for a better neurological and functional outcome post-stroke. The evidence is based on in vivo animal studies of various models and one human clinical study. Although the data is very promising, some fundamental questions remain to be answered, such as the exact mechanism along the cascade of post-stroke interconnective molecular disturbance, the optimal technique and time of treatment, and the long-term safety aspects. The answers to these questions are expected to evolve within the next few years."</t>
  </si>
  <si>
    <t>Oron (A)</t>
  </si>
  <si>
    <t>Israel
(Zerifin)</t>
  </si>
  <si>
    <t>Low-level laser therapy applied transcranially to rats after induction of stroke significantly reduces long-term neurological deficits.</t>
  </si>
  <si>
    <t>Atherothrombotic stroke
Transcranial LLLT</t>
  </si>
  <si>
    <t>0.0075</t>
  </si>
  <si>
    <t>120
/p</t>
  </si>
  <si>
    <t>"Our data suggest that a noninvasive intervention of LLLT issued 24 hours after acute stroke may provide a significant functional benefit with an underlying mechanism possibly being induction of neurogenesis."
Note: "Application of the laser at 4 hours poststroke did not affect the neurological outcome of the stroke-induced rats as compared with controls."</t>
  </si>
  <si>
    <t>DeTaboada</t>
  </si>
  <si>
    <t>Transcranial application of low-energy laser irradiation improves neurological deficits in rats following acute stroke.</t>
  </si>
  <si>
    <t>"In all three laser-treated groups, a marked and significant improvement in neurological deficits was evident at 14, 21, and 28 days post stroke relative to the non-treated group."
"These observations suggest that LLLT applied at different locations in the skull and in a rather delayed-phase post stroke effectively improves neurological function after acute stroke in rats."</t>
  </si>
  <si>
    <t>Streeter</t>
  </si>
  <si>
    <t>Mitochondrion</t>
  </si>
  <si>
    <t>Mechanisms of action of light therapy for stroke and acute myocardial infarction.</t>
  </si>
  <si>
    <t>Transcranial infrared laser therapy improves clinical rating scores after embolic strokes in rabbits.</t>
  </si>
  <si>
    <t>0.0075
0.025</t>
  </si>
  <si>
    <t>"This study shows that laser treatment improved behavioral performance if initiated within 6 hours of an embolic stroke and the effect of laser treatment is durable. Therefore, transcranial laser treatment may be useful to treat human stroke patients and should be further developed."
Note: A highly cited article (129 on Google Scholar in 10/2016).</t>
  </si>
  <si>
    <t>Samosiuk NI</t>
  </si>
  <si>
    <t>[Magnetic and laser therapy of acute ischemic stroke].
[Article in Russian]</t>
  </si>
  <si>
    <t>Leung</t>
  </si>
  <si>
    <t>Treatment of experimentally induced transient cerebral ischemia with low energy laser inhibits nitric oxide synthase activity and up-regulates the expression of transforming growth factor-beta 1.</t>
  </si>
  <si>
    <t>60
300
600</t>
  </si>
  <si>
    <t>"Low energy laser could suppress the activity of NOS and up-regulate the expression of TGF-beta1 after stroke in rats."</t>
  </si>
  <si>
    <t>Iwase</t>
  </si>
  <si>
    <t>Japan
(Fukuoka)</t>
  </si>
  <si>
    <t>Low power laser irradiation reduces ischemic damage in hippocampal slices in vitro.</t>
  </si>
  <si>
    <t>Hippocampal slices</t>
  </si>
  <si>
    <t>"Low power laser irradiation has acute protective effects against ischemic damage in brain slices."</t>
  </si>
  <si>
    <t>Stroke complications</t>
  </si>
  <si>
    <t>Karabegović</t>
  </si>
  <si>
    <t>Bosnia-Herzegovina
(Tuzla)</t>
  </si>
  <si>
    <t>Bosn J Basic Med Sci</t>
  </si>
  <si>
    <t>Laser therapy of painful shoulder and shoulder-hand syndrome in treatment of patients after the stroke.</t>
  </si>
  <si>
    <t>🧑 Human
⚔ Comparison study
👥 70 participants
⌛ 6 weeks</t>
  </si>
  <si>
    <t>⚔ PBM vs electrotherapy (TENS)</t>
  </si>
  <si>
    <t>daily for
3 weeks,
then 
6 / 2wk
then
2 / 1wk</t>
  </si>
  <si>
    <t>"LASER therapy used on EG shows significantly better results in reducing pain, swelling, disability and improvement of independency."</t>
  </si>
  <si>
    <t>Upconverting nanoparticles</t>
  </si>
  <si>
    <t>Potential Application of Upconverting Nanoparticles for Brain Photobiomodulation.</t>
  </si>
  <si>
    <t>"Although the transcranial approach to delivering light to the head is the most common technique to stimulate the brain, delivery of light to deeper structures in the brain is still a challenge. The science of nanoparticle engineering in combination with biophotonic excitation could provide a way to overcome this problem. Upconversion is an anti-Stokes process that is capable of transforming low energy photons that penetrate tissue well to higher energy photons with a greater biological effect, but poor tissue penetration."
"Upconverting nanoparticles (UCNPs) have been successfully used in various medical fields. Their ability to cross the brain-blood barrier and their low toxicity make them a good candidate for application in brain disorders. It is possible that delivery of UCNPs to the brainstem or deeper parts of the cerebral tissue, followed by irradiation using light wavelengths with good tissue penetration properties, could allow more efficient PBM of the brain."</t>
  </si>
  <si>
    <t>Low-level laser irradiation modulates brain-derived neurotrophic factor mRNA transcription through calcium-dependent activation of the ERK/CREB pathway.</t>
  </si>
  <si>
    <t>Cultured dorsal root ganglion neurons (DRGNs)</t>
  </si>
  <si>
    <t>"Taken together, these findings establish the Ca2+-ERK-CREB cascade as a potential signaling pathway involved in LLL-induced Bdnf mRNA transcription. To our knowledge, this is the first report of the mechanisms of Ca2+-dependent Bdnf mRNA transcription triggered by LLL. These findings may help further explore the complex molecular signaling networks in LLL-triggered nerve regeneration in vivo and may also provide experimental evidence for the development of LLL for clinical applications."</t>
  </si>
  <si>
    <t>Gonzalez-Lima</t>
  </si>
  <si>
    <t>Biochem Pharmacol</t>
  </si>
  <si>
    <t>Mitochondrial respiration as a target for neuroprotection and cognitive enhancement.</t>
  </si>
  <si>
    <t>"First, low-dose USP methylene blue is described as a pharmacological intervention that can successfully increase mitochondrial respiration and result in memory enhancement and neuroprotection.
Second, transcranial low-level light/laser therapy with near-infrared light is used to illustrate a photobiomodulation intervention with similar neurometabolic mechanisms of action as low-dose methylene blue.
Finally, a nutrition intervention to improve mitochondrial respiration is proposed by increasing ketone bodies in the diet.
The evidence discussed for each intervention supports a fundamental neurotherapeutic strategy based on improving oxidative energy metabolism while at the same time reducing the pro-oxidant tendencies of the nervous system."</t>
  </si>
  <si>
    <t>Konstantinović</t>
  </si>
  <si>
    <t>Transcranial application of near-infrared low-level laser can modulate cortical excitability.</t>
  </si>
  <si>
    <t>🧑 Human
📄 Single-arm trial
👥 14 participants
⌛ single session</t>
  </si>
  <si>
    <t>3
(?)</t>
  </si>
  <si>
    <t>"The average MEP size was significantly reduced during the first 20 minutes following the TLS. The pattern was present in 10 (71.5%) of the participants. The MEP size reduction correlated negatively with the motor threshold at rest."
"TLS with NIR-LLL induced transitory reduction of the excitability of the stimulated cortex."</t>
  </si>
  <si>
    <t>Carpal tunnel</t>
  </si>
  <si>
    <t>Carpal tunnel syndrome</t>
  </si>
  <si>
    <t>Ghasemi</t>
  </si>
  <si>
    <t>J Hand Ther</t>
  </si>
  <si>
    <t>A randomized clinical trial on the changing of median nerve cross-sectional area and pain after extracorporeal shock wave and low-level laser therapy added to conventional physical therapy in patients with mild-to-moderate carpal tunnel syndrome</t>
  </si>
  <si>
    <t>🧑 Human
⚔ Comparison study, randomized
👥 36 participants
⌛ 2 weeks</t>
  </si>
  <si>
    <t>"The addition of either LLLT or ESWT to conventional treatment effectively reduced pain and median nerve CSA in mild-to-moderate CTS. The absence of significant differences between ESWT and LLLT indicates their comparable efficacy in pain relief and CSA reduction."</t>
  </si>
  <si>
    <t>Karaman</t>
  </si>
  <si>
    <t>Turkey
(Balıkesir)</t>
  </si>
  <si>
    <t>Agri</t>
  </si>
  <si>
    <t>Additional contribution of phonophoresis and low-level laser therapy to exercise in the treatment of carpal tunnel syndrome: A clinical, electrophysiological, and ultrasonographic evaluation</t>
  </si>
  <si>
    <t>🧑 Human
🎲 Randomized trial
👥 45 participants
⌛ 3-week treatment / 12-week study</t>
  </si>
  <si>
    <t>5.4</t>
  </si>
  <si>
    <t>180
(3p)</t>
  </si>
  <si>
    <t>15
/ 3 eeks</t>
  </si>
  <si>
    <t>"Phonophoresis and LLLT do not provide additional effects to exercise therapy. Exercise therapy alone may positively contribute to ultrasonographic and clinical outcomes in the treatment of moderate CTS."</t>
  </si>
  <si>
    <t>Device: "Gal-Al-As diode laser device (Endolaser 476, Enraf Nonius, Netherlands) "</t>
  </si>
  <si>
    <t>Yiğit &amp; Ordahan</t>
  </si>
  <si>
    <t>Turkey
(Meram)</t>
  </si>
  <si>
    <t>Effects of high-intensity laser therapy on pain, functional status, hand grip strength, and median nerve cross-sectional area by ultrasonography in patients with carpal tunnel syndrome</t>
  </si>
  <si>
    <t>🧑 Human
🎲 Randomized trial, sham-controlled
👥 60 participants
⌛ 2-week PBM treatment / 3-month study</t>
  </si>
  <si>
    <t>(see full text)</t>
  </si>
  <si>
    <t>"The impact of time on the change in VAS levels was found to be of statistical significance within each group of patients (p&lt;0.001), but between-group comparisons did not yield significant results (p&lt;0.454)."</t>
  </si>
  <si>
    <t>Chuah</t>
  </si>
  <si>
    <t>Malaysia
(Kuala Lumpur)</t>
  </si>
  <si>
    <t>Photobiomodulation Therapy in Carpal Tunnel Release: A Randomized Controlled Trial</t>
  </si>
  <si>
    <t>🧑 Human
🎲 Randomized trial
👥 56 participants
⌛ 3-week treatment / 6-month study</t>
  </si>
  <si>
    <t>PBM as adjunct to carpal tunnel release</t>
  </si>
  <si>
    <t>10
/ 3 weeks</t>
  </si>
  <si>
    <t>"There were significant improvements in the Functional Status Scale in the Boston Carpal Tunnel Questionnaire (p = 0.018) and pain (visual analogue scales) in the morning (p = 0.019) at 1 month postoperatively in the PBMT group compared with the non-PBMT group. 
Improvement of tip pinch strength at 3 months (p = 0.022) and 6 months (p = 0.024), lateral pinch strength at 1 month (p = 0.042) and 3 months (p = 0.05), and tripod pinch strength at 3 months (p = 0.005) was significantly better in the PBMT group. Thumb 2-point discrimination (2PD) at 3 months (p = 0.018) and 6 months (p = 0.016) and index finger 2PD at 3 months (p = 0.039) were also significantly improved in the PBMT group. 
There were no side effects of PBMT reported."
"Patients who underwent PBMT post-CTR had better outcomes. PBMT may be a valuable adjunct to post-CTR care."</t>
  </si>
  <si>
    <t>Nalbant</t>
  </si>
  <si>
    <t>Turkey
(Mersin)</t>
  </si>
  <si>
    <t>Arch Rheumatol</t>
  </si>
  <si>
    <t>Ultrasonographic and electrophysiological outcomes of carpal tunnel syndrome treated with low-level laser therapy: A double-blind, prospective, randomized, sham-controlled study</t>
  </si>
  <si>
    <t>🧑 Human
🎲 Randomized trial, sham-controlled
👥 42 participants
⌛ 3 weeks</t>
  </si>
  <si>
    <t>15
/ 3 weeks</t>
  </si>
  <si>
    <t>"Nocturnal paresthesia improved in both groups; however, pain and patients with a positive Phalen's test reduced only in the therapy group (p=0.031). The FSS and SSS scores also improved only in the therapy group (p&lt;0.001). Electrophysiologically, median sensory nerve conduction velocities showed a significant improvement only in the therapy group (p=0.002). The CSA, FR, and vascularization of the median nerve showed a significant improvement in the therapy group alone (p&lt;0.001, p=0.048, and p=0.021, respectively)."</t>
  </si>
  <si>
    <t>Güloğlu</t>
  </si>
  <si>
    <t>Turkey
(Antalya)</t>
  </si>
  <si>
    <t>Treatment of carpal tunnel syndrome by low-level laser therapy versus corticosteroid injection: a randomized, prospective clinical study</t>
  </si>
  <si>
    <t>🧑 Human
⚔ Comparison study
👥 87pts, 143 wrists
⌛ 3-week treatment / 6-month study</t>
  </si>
  <si>
    <t>⚔ PBM vs triamcinolone</t>
  </si>
  <si>
    <t>"VAS and Quick DASH scores were better in the corticosteroid group in the 1st month, but there were no significant differences between groups in the 6th month. Phalen and Tinel tests, strength tests, and motor distal latency improved significantly and similarly in both groups at the 1st and 6th months."</t>
  </si>
  <si>
    <t>Akgol</t>
  </si>
  <si>
    <t>Turkey
(Elazig)</t>
  </si>
  <si>
    <t>J Back Musculoskelet Rehabil</t>
  </si>
  <si>
    <t>Comparison of low power laser and kinesio taping for the treatment of carpal tunnel syndrome: A prospective randomized study</t>
  </si>
  <si>
    <t>🧑 Human
⚔ Comparison study
👥 60 participants
⌛ 3-week treatment / 7-week study</t>
  </si>
  <si>
    <t>⚔ PBM vs kinesio taping</t>
  </si>
  <si>
    <t>"In patients with CTS, both LPLT and KT were effective treatments. However, the LPLT group had significantly better improvements than the KT group."</t>
  </si>
  <si>
    <t>Asheghan</t>
  </si>
  <si>
    <t>Iran</t>
  </si>
  <si>
    <t>A randomized comparative trial of corticosteroid phonophoresis, local corticosteroid injection, and low-level laser in the treatment of carpal tunnel syndrome</t>
  </si>
  <si>
    <t>🧑 Human
⚔ Comparison study
👥 42 participants
⌛ 4 weeks</t>
  </si>
  <si>
    <t>⚔ PBM vs hydrocortisone (topical) vs methylprednisolone+lidocaine (injection)</t>
  </si>
  <si>
    <t>880
(?)</t>
  </si>
  <si>
    <t>50 (?)</t>
  </si>
  <si>
    <t>10
/ 4 weeks</t>
  </si>
  <si>
    <t>"Within-group analyses with paired t-test showed that local corticosteroid, laser, and phonophoresis are all effective treatments. Between-group analyses with ANOVA indicated that there were significant differences among the groups after four weeks in terms of pain (p = 0.004), in favor of corticosteroid; and in sensory delay (p = 0.001), in favor of laser."</t>
  </si>
  <si>
    <t>Hong Kong
(Shatin)</t>
  </si>
  <si>
    <t>Physiotherapy</t>
  </si>
  <si>
    <t>Low-level laser therapy for carpal tunnel syndrome: systematic review and network meta-analysis.</t>
  </si>
  <si>
    <t>"However, while LLLT plus splinting is significantly more effective than sham laser plus splinting for pain reduction, the magnitude is not clinically significant (Visual Analogue Scale mean difference -0.53cm, 95% confidence interval -1.01 to -0.05cm; P=0.03, I2=25%). The effect of LLLT plus splinting on symptom severity and functional status was not superior to splinting alone."
"The use of LLLT in addition to splinting for the management of CTS is not recommended, as LLLT offers limited additional benefits over splining alone in terms of pain reduction, reduction of symptom severity or improved functional status."</t>
  </si>
  <si>
    <t>Rayegani</t>
  </si>
  <si>
    <t>Effectiveness of Low-Level Laser Therapy compared to Ultrasound in Patients With Carpal Tunnel Syndrome: A Systematic Review and Meta-analysis.</t>
  </si>
  <si>
    <t>"The results of the meta-analyses showed that there was no significant difference between these 2 therapeutic methods in terms of pain relief, symptom severity scale (SSS), functional status scale (FSS), motor latency, sensory latency, hand grip strength, and motor amplitude. "</t>
  </si>
  <si>
    <t>Ezzati</t>
  </si>
  <si>
    <t>Eur J Phys Rehabil Med</t>
  </si>
  <si>
    <t>A comparative study of the dose-dependent effects of low level and high intensity photobiomodulation (laser) therapy on pain and electrophysiological parameters in patients with carpal tunnel syndrome: a randomized controlled trial.</t>
  </si>
  <si>
    <t>🧑 Human
⚔ Comparison study, randomized, double-blind
👥 98 participants
⌛ 2-week treatment / 5-week study</t>
  </si>
  <si>
    <t>⚔ LLLT vs HILT</t>
  </si>
  <si>
    <t>808
(HILT)
860
(LLLT)</t>
  </si>
  <si>
    <t>8
20
8
20</t>
  </si>
  <si>
    <t>5
/ 2 weeks</t>
  </si>
  <si>
    <t>"HILT with a power of 1.6 W and low fluence of 8 J/cm2 was superior in reduction of pain and improvement of the median motor nerve electrophysiological studies compared to LLLT and exercise-only control groups."</t>
  </si>
  <si>
    <t>Efficacy of laser acupuncture for carpal tunnel syndrome: A study protocol for a prospective double-blind randomized controlled trial.</t>
  </si>
  <si>
    <t>Bartkowiak</t>
  </si>
  <si>
    <t>Poland
(Poznań)</t>
  </si>
  <si>
    <t>Indian J Orthop</t>
  </si>
  <si>
    <t>The Effects of Nerve and Tendon Gliding Exercises Combined with Low-level Laser or Ultrasound Therapy in Carpal Tunnel Syndrome.</t>
  </si>
  <si>
    <t>🧑 Human
⚔ Comparison study
👥 70 participants
⌛ 2 weeks</t>
  </si>
  <si>
    <t>⚔ LLLT vs ultrasound</t>
  </si>
  <si>
    <t>d =
5 mm</t>
  </si>
  <si>
    <t>"A decrease in sensory impairments, improvement in visual analog scale, hand grip strength and the Boston Questionnaire results were significant in all patients after therapy. No meaningful differences between groups were noted in any of the examined variables after treatment. No adverse effects were observed."
Comment: No negative control group.</t>
  </si>
  <si>
    <t>Tezcan</t>
  </si>
  <si>
    <t>J Ultrasound Med</t>
  </si>
  <si>
    <t>Carpal Tunnel Syndrome: Evaluation of the Effects of Low-Level Laser Therapy With Ultrasound Strain Imaging.</t>
  </si>
  <si>
    <t>🧑 Human
📄 Non-randomized study, controlled
👥 37 wrists
⌛ 3 weeks</t>
  </si>
  <si>
    <t>"The strain ratio and cross-sectional area of the median nerve decrease after low-level laser therapy. These changes may be related to the therapeutic effects of low-level laser therapy, such as nerve regeneration and improvement of the vascular supply."
Comment: The effects were modest.</t>
  </si>
  <si>
    <t>Güner</t>
  </si>
  <si>
    <t>Turkey
(Bursa)</t>
  </si>
  <si>
    <t>Rheumatol Int</t>
  </si>
  <si>
    <t>The effectiveness of the low-power laser and kinesiotaping in the treatment of carpal tunnel syndrome, a pilot study.</t>
  </si>
  <si>
    <t>🧑 Human
🎲 Randomized trial, sham-controlled
👥 64 wrists
⌛ 3-week treatment / 3-month study</t>
  </si>
  <si>
    <t>"Comparison of the [LLLT group] with the [placebo group] showed significantly better improvement in the former in VNS, BCTSQ at 3rd week and 12th week compared to 0th week, and in FPS and HGS at 3rd week."
"In conclusion, low-power laser and kinesiotaping method in the treatment of CTS may be an effective and reliable treatment option in clinical parameters."</t>
  </si>
  <si>
    <t>Stasinopoulos &amp; Stasinopoulos</t>
  </si>
  <si>
    <t>Cyprus</t>
  </si>
  <si>
    <t>Treatment of Carpal Tunnel Syndrome in pregnancy with Polarized Polychromatic Non-coherent Light (Bioptron Light): A Preliminary, Prospective, Open Clinical Trial</t>
  </si>
  <si>
    <t>🧑 Human
📄 Single-arm trial
👥 46 participants
⌛ 2-week treatment / 6-week study</t>
  </si>
  <si>
    <t>480-
3400</t>
  </si>
  <si>
    <t>14.4
(?)</t>
  </si>
  <si>
    <t>10/wk
for
2 weeks</t>
  </si>
  <si>
    <t>"Pain and paraesthesia decreased at the end of treatment and at the 1-month follow-up, whereas the finger pinch strength increased at the end of treatment and at the 1-month follow-up. 
In conclusion, the results of the present study suggest that Bioptron light is a reliable, safe, and effective treatment option in pregnant patients with CTS."
Comment: Authors say that the energy density is 2.4 J/cm2, but apparently it is 2.4 J/cm2/minute, and during the 6-minute treatment the energy density is 14.4 J/cm2.</t>
  </si>
  <si>
    <t>Treatment of mild to moderate carpal tunnel syndrome in patients with diabetic neuropathy using low level laser therapy versus ultrasound controlled comparative study.</t>
  </si>
  <si>
    <t>🧑 Human
⚔ Comparison study
👥 50 participants
⌛ 6 weeks</t>
  </si>
  <si>
    <t>⚔ PBM vs ultrasound</t>
  </si>
  <si>
    <t>d = 7 mm</t>
  </si>
  <si>
    <t>"The results of our study showed that there were no statistical significance differences (P &gt; 0.05) were observed between the two groups. It was concluded that both low level laser (20 mW power, 904 nm Wavelength) and ultrasound (1.0 w/cm2 power, 1 MHz frequency) are effective in the treatment of mild and moderate CTS patients."
Comment: The trial is not controlled. Some figures are not very useful... Not a high-quality paper.</t>
  </si>
  <si>
    <t>Franke</t>
  </si>
  <si>
    <t>Netherlands
(Utrecht)</t>
  </si>
  <si>
    <t>Arch Phys Med Rehabil</t>
  </si>
  <si>
    <t>Do Patients with Carpal Tunnel Syndrome Benefit from Low-Level Laser Therapy? A Systematic Review of Randomized Controlled Trials.</t>
  </si>
  <si>
    <t>"A best-evidence synthesis was performed to summarize the results of the two systematic reviews and 17 RCTs that were included. Strong evidence was found for the effectiveness of low-level laser therapy compared to placebo treatment in the very short term (0≤5 weeks). After five weeks the positive effects of low-level laser therapy on pain, function, or recovery diminished over time (moderate and conflicting evidence were found at seven and 12-weeks follow-up, respectively)."
"In the very short term low-level laser therapy is more effective as a single intervention than placebo low-level laser therapy in patients with carpal tunnel syndrome, after which the positive effects of low-level laser therapy tend to subside. Evidence in the mid and long term is sparse."</t>
  </si>
  <si>
    <t>Bekhet</t>
  </si>
  <si>
    <t>Efficacy of low-level laser therapy in carpal tunnel syndrome management: a systematic review and meta-analysis.</t>
  </si>
  <si>
    <t>"Eight RCTs (473 patients/631 wrists) were eligible for the final analysis.
The overall effect estimates did not favor LLLT therapy group over placebo in all primary outcomes: visual analogue scale (MD -1.11, 95% CI [-2.58, 0.35]), symptom severity scale score (MD -1.41, 95% CI [-5.12, 2.29]), and functional status scale score (MD -1.33, 95% CI [-3.27, 0.61]). However, LLLT was superior to placebo in terms of grip strength (MD 2.19, 95% CI [1.63, 2.76]) and inferior to placebo in terms of sensory nerve action potential (MD -2.74, 95% CI [-3.66, -1.82]). Laser therapy is superior to placebo in terms of improving the grip strength; however, no significant difference was found between both groups in terms of functional status improvement, pain reduction, or motor electrodiagnostic evaluations. 
Further high-quality trials with longer follow-up periods are required to establish the efficacy of LLLT for CTS treatment."</t>
  </si>
  <si>
    <t>Burger</t>
  </si>
  <si>
    <t>South Africa</t>
  </si>
  <si>
    <t>Physiother Theory Pract</t>
  </si>
  <si>
    <t>The effectiveness of low-level laser therapy on pain, self-reported hand function, and grip strength compared to placebo or "sham" treatment for adults with carpal tunnel syndrome: A systematic review.</t>
  </si>
  <si>
    <t>"The nine included randomized control trials (RCTs) had an average score of 8.2/11 according to the PEDro scale. The heterogeneity of the LLLT regimes used made statistical pooling inappropriate for this review and results were described narratively."
"No strong evidence exists concerning the effects of LLLT on CTS in adults. Studies that used 780-860 nm Lasers and energy dosages of 9-11 J/cm2 or 10.8 J reported a more favorable outcome for pain, symptom severity, and functional ability as well as grip strength at the end of treatment and short-term follow up."</t>
  </si>
  <si>
    <t>Effectiveness of low-level laser on carpal tunnel syndrome: A meta-analysis of previously reported randomized trials.</t>
  </si>
  <si>
    <t>"Seven randomized clinical trials met the inclusion criteria; there were 270 wrists in the laser group and 261 wrists in the control group. High heterogeneity existed when the analysis was conducted."
"Hand grip (at 12 weeks) was stronger in the LLLT group than in the control group (MD = 2.04; 95% CI: 0.08-3.99; P = 0.04; I = 62%), and there was better improvement in the visual analog scale (VAS) (at 12 weeks) in the LLLT group (MD = 0.97; 95% CI: 0.84-1.11; P &lt; 0.01; I = 0%). The sensory nerve action potential (SNAP) (at 12 weeks) was better in the LLLT group (MD = 1.08; 95% CI: 0.44-1.73; P = 0.001; I = 0%)."
"However, 1 included study was weighted at &gt;95% in the calculation of these 3 parameters. There were no statistically significant differences in the other parameters between the 2 groups."
"This study revealed that low-level laser improve hand grip, VAS, and SNAP after 3 months of follow-up for mild to moderate CTS. More high-quality studies using the same laser intervention protocol are needed to confirm the effects of low-level laser in the treatment of CTS."</t>
  </si>
  <si>
    <t>Efficacy of low-level laser therapy associated to orthoses for patients with carpal tunnel syndrome: A randomized single-blinded controlled trial.</t>
  </si>
  <si>
    <t>🧑 Human
🎲 Randomized trial, sham-controlled
👥 48 participants; 30 completed
⌛ 6 weeks</t>
  </si>
  <si>
    <t>3.6
(6p)</t>
  </si>
  <si>
    <t>0.06
cm2
beam
area</t>
  </si>
  <si>
    <t>120
(6p)</t>
  </si>
  <si>
    <t>"No significant difference was found between groups. A Minimal clinical change was observed after the intervention in 92.3% of participants for BCTQ subdomain severity of symptoms at individual comparison for LLLT and orthoses group and 76.5% for the orthoses group, demonstrating clinical relevance. Effect size Cohen's index was moderate for the severity of symptoms."</t>
  </si>
  <si>
    <t>PBM application: "The laser focus was positioned at an angle of 90◦ to the skin, according to a contact point technique."</t>
  </si>
  <si>
    <t>Pratelli</t>
  </si>
  <si>
    <t>J Bodyw Mov Ther</t>
  </si>
  <si>
    <t>Conservative treatment of carpal tunnel syndrome: comparison between laser therapy and Fascial Manipulation(®).</t>
  </si>
  <si>
    <t>🧑 Human
⚔ Comparison study, randomized
👥 42 participants, 70 hands
⌛5-day treatment / 3-month study</t>
  </si>
  <si>
    <t>⚔ PBM vs Fascial Manipulation</t>
  </si>
  <si>
    <t>780-
830</t>
  </si>
  <si>
    <t>1000-
3000</t>
  </si>
  <si>
    <t>"The group that received FM showed a significant reduction in subjective pain perception and an increased function assessed by BCTQ at the end of the treatment and follow-up. The group that received LLLT showed an improvement in the BCTQ at the end of the treatment but the improvement level was not sustained at the three month follow-up."
Comment: The parameters were reported in a very inaccurate way.
Comment: It is unclear whether the 5 PBM sessions were on consecutive days.</t>
  </si>
  <si>
    <t>Alves Mde &amp; de Araújo</t>
  </si>
  <si>
    <t>Brazil
(Niterói)</t>
  </si>
  <si>
    <t>Low-level laser therapy after carpal tunnel release.</t>
  </si>
  <si>
    <t>🧑 Human
🎲 Randomized trial, sham-controlled
👥 58 participants
⌛ 2-week treatment / 6.5-month study</t>
  </si>
  <si>
    <t>"Patients undergoing LLLT after surgery for CTS were benefited and had better functional outcomes than shown by the control group. The technique was effective and did not have any adverse effects on the patients studied."
Comment: The parameters were poorly reported.</t>
  </si>
  <si>
    <t>Device: "The equipment used was the aluminum gallium arsenide Ibramed® laser pen"</t>
  </si>
  <si>
    <t>Fusakul</t>
  </si>
  <si>
    <t>Low-level laser therapy with a wrist splint to treat carpal tunnel syndrome: a double-blinded randomized controlled trial.</t>
  </si>
  <si>
    <t>🧑 Human
🎲 Randomized trial, double-blind
👥 66 participants
⌛ 5-week treatment / 12-week study</t>
  </si>
  <si>
    <t>15
/ 5 weeks</t>
  </si>
  <si>
    <t>"Improvements were significantly more pronounced in the LLLT-treated group than the placebo group especially for grip strength at 5- and 12-week follow-ups. At 12-week follow-up, distal motor latency of the median nerve was significantly improved in the LLLT group than the placebo group (p &lt; 0.05).
LLLT therapy, as an alternative for a conservative treatment, is effective for treating mild to moderate CTS patients. It can improve hand grip strength and electroneurophysiological parameter with a carry-over effect up to 3 months after treatment for grip strength of the affected hands."
Comment: In this study, they used "red light" as the placebo treatment, but it wasn't described accurately.</t>
  </si>
  <si>
    <t>Raeissadat</t>
  </si>
  <si>
    <t>The effect of polarized polychromatic noncoherent light (bioptron) therapy on patients with carpal tunnel syndrome.</t>
  </si>
  <si>
    <t>🧑 Human
🎲 Randomized trial
👥 44 participants
⌛ 4-week treatment / 8-week study</t>
  </si>
  <si>
    <t>Polychromatic light 🌈 (Bioptron)</t>
  </si>
  <si>
    <t>"Bioptron with the above mentioned parameters led to therapeutic effects equal to splinting alone in patients with carpal tunnel syndrome. However, applying Bioptron with different therapeutic protocols and light parameters other than used in this study, perhaps longer duration of therapy and long term assessment may reveal different results favoring Bioptron therapy."</t>
  </si>
  <si>
    <t>Lazovic</t>
  </si>
  <si>
    <t>Placebo-controlled investigation of low-level laser therapy to treat carpal tunnel syndrome.</t>
  </si>
  <si>
    <t>🧑 Human
🎲 Randomized trial, double-blind
👥 79 participants
⌛ 5-week treatment / 8-week study</t>
  </si>
  <si>
    <t>0.0382</t>
  </si>
  <si>
    <t>10.8
(4p)</t>
  </si>
  <si>
    <t>3.4</t>
  </si>
  <si>
    <t>0.785
cm2</t>
  </si>
  <si>
    <t>360
(4p)</t>
  </si>
  <si>
    <t xml:space="preserve">"Significant reduction in pain, reduction in the percentage of patients with a positive Tinel's sign, and shortening of sensory and motor latency time in the NCS examination was observed in the experimental LLLT group (but not in the control group)."
</t>
  </si>
  <si>
    <t>Casale</t>
  </si>
  <si>
    <t>Pain and electrophysiological parameters are improved by combined 830-1064 high-intensity LASER in symptomatic carpal tunnel syndrome versus Transcutaneous Electrical Nerve Stimulation. A randomized controlled study.</t>
  </si>
  <si>
    <t>🧑 Human
⚔ Comparison study
👥 20 participants
⌛ 3 weeks</t>
  </si>
  <si>
    <t>PBM vs electrotherapy (TENS)</t>
  </si>
  <si>
    <t>830+
1064</t>
  </si>
  <si>
    <t>250
(?)</t>
  </si>
  <si>
    <t>"LASER improved both positive and negative sensory symptoms. TENS induced clinical improvement but this was not statistically significant and was limited to pain reduction. LASER but not TENS favourably modified the neurophysiological parameters."</t>
  </si>
  <si>
    <t>The effects of low intensity laser on clinical and electrophysiological parameters of carpal tunnel syndrome.</t>
  </si>
  <si>
    <t xml:space="preserve">🧑 Human
🎲 Randomized trial
👥 50 participants
⌛ </t>
  </si>
  <si>
    <t>"No significant changes were noticed between the three groups regarding clinical and EDX parameters."</t>
  </si>
  <si>
    <t>Effectiveness of low-level laser therapy for patients with carpal tunnel syndrome: design of a randomized single-blinded controlled trial.</t>
  </si>
  <si>
    <t>Study design</t>
  </si>
  <si>
    <t>Tascioglu</t>
  </si>
  <si>
    <t>Turkey
(Eskisehir)</t>
  </si>
  <si>
    <t>Low-level laser in the treatment of carpal tunnel syndrome: clinical, electrophysiological, and ultrasonographical evaluation.</t>
  </si>
  <si>
    <t>🧑 Human
🎲 Randomized trial, double-blind
👥 60 participants
⌛ 2-week treatment / 10-week study</t>
  </si>
  <si>
    <t>3
6</t>
  </si>
  <si>
    <t>"There was no significant difference in any of the outcome measures among the groups. With the chosen laser type and dose regimen, the results suggested that LLLT was no more effective than placebo in CTS."</t>
  </si>
  <si>
    <t>Dakowicz</t>
  </si>
  <si>
    <t>Poland
(Bialystok)</t>
  </si>
  <si>
    <t>Adv Med Sci</t>
  </si>
  <si>
    <t>Comparison of the long-term effectiveness of physiotherapy programs with low-level laser therapy and pulsed magnetic field in patients with carpal tunnel syndrome.</t>
  </si>
  <si>
    <t>🧑 Human
⚔ Comparison study
👥 38 participants
⌛ 2-week treatment -&gt; 2-month break -&gt; 2-week treatment -&gt; 6-month follow-up</t>
  </si>
  <si>
    <t>PBM vs pulsed magnetic field (PMF)</t>
  </si>
  <si>
    <t>"Although after LLL as well as PMF therapy clinical improvement was observed, the most significant differences were registered after the second series and persisted for up to 6 months in both groups."</t>
  </si>
  <si>
    <t>Yagci</t>
  </si>
  <si>
    <t>Clin Rheumatol</t>
  </si>
  <si>
    <t>Comparison of splinting and splinting plus low-level laser therapy in idiopathic carpal tunnel syndrome.</t>
  </si>
  <si>
    <t>🧑 Human
🎲 Randomized trial
👥 45 participants
⌛ 3 months</t>
  </si>
  <si>
    <t>"In the third-month control, SLLLT group had significant improvements on both clinical and [nerve conduction study] parameters (median motor nerve distal latency, median sensory nerve conduction velocities, BQ symptom severity scale, and BQ functional capacity scale) while S group had only symptomatic healing (BQ symptom severity scale). The grip strength of splinting group was decreased significantly.
According to clinical response criteria, in SLLLT group, five (23.8%) patients had full and 12 (57.1%) had partial recovery; four (19%) patients had no change or worsened. In S group, one patient (4.2%) had full and 17 (70.8%) partial recovery; six (25%) patients had no change or worsened.
Additionally, applied laser therapy provided better outcomes on [nerve conduction study] but not in clinical parameters in patients with CTS."</t>
  </si>
  <si>
    <t>Dincer</t>
  </si>
  <si>
    <t>The effectiveness of conservative treatments of carpal tunnel syndrome: splinting, ultrasound, and low-level laser therapies.</t>
  </si>
  <si>
    <t>🧑 Human
🎲 Randomized trial
👥 50 participants, 100 hands
⌛ 2-week treatment / 3-month study</t>
  </si>
  <si>
    <t>0.216</t>
  </si>
  <si>
    <t>"It appeared that the combinations of US or LLL therapy with splinting were more effective than splinting alone in treating CTS. However, LLL therapy plus splinting was more advantageous than US therapy plus splinting, especially for the outcomes of lessening of symptom severity, pain alleviation, and increased patient satisfaction."</t>
  </si>
  <si>
    <t>Carpal tunnel syndrome treated with a diode laser: a controlled treatment of the transverse carpal ligament.</t>
  </si>
  <si>
    <t>🧑 Human
🎲 Randomized trial, sham-controlled
👥 36 participants
⌛ 2-week treatment / 4-week study</t>
  </si>
  <si>
    <t>🎚 Pulsing (10 Hz, 50% duty cycle)</t>
  </si>
  <si>
    <t>"After 2 wk of treatment, no significant differences were found in grip strengths or for symptoms and functional assessments (p &gt; 0.05). However, there were statistically significant differences in these variables at 2-wk follow-up (p &lt; 0.05).
Regarding the findings of NCS, there was no statistically significant difference between groups after treatment and at 2-wk follow-up."</t>
  </si>
  <si>
    <t>Shooshtrai</t>
  </si>
  <si>
    <t>Electromyogr Clin Neurophysiol</t>
  </si>
  <si>
    <t>The effects of low level laser in clinical outcome and neurophysiological results of carpal tunnel syndrome.</t>
  </si>
  <si>
    <t>🧑 Human
🎲 Randomized trial, sham-controlled
👥 80 participants
⌛ (?)</t>
  </si>
  <si>
    <t>"There was a significant improvement in clinical symptoms and hand grip in group A (p &lt; 0.001). Proximal median sensory latency, distal median motor latency and median sensory latencies were significantly decreased (p &lt; 0.001). Transcarpal median SNCV increased significantly after laser irradiation (p &lt; 0.001). There were no significant changes in group B except changes in clinical symptoms (p &lt; 0.001)"</t>
  </si>
  <si>
    <t>Ekim</t>
  </si>
  <si>
    <t>Swiss Med Wkly</t>
  </si>
  <si>
    <t>Effect of low level laser therapy in rheumatoid arthritis patients with carpal tunnel syndrome.</t>
  </si>
  <si>
    <t>🧑 Human
🎲 Randomized trial, sham-controlled
👥 19 participants
⌛ 2-week treatment / 3-month study</t>
  </si>
  <si>
    <t>1.5
/p</t>
  </si>
  <si>
    <t>"Improvements were significantly more pronounced in the LLLT group than placebo group. A comparison between groups showed significant improvements in pain score and functional status scale score. Group mean differences at 3 months adjusted at baseline were found to be statistically significant for pain score and functional status scale score."
"There were no statistically significant differences in other clinical and electrophysiological parameters between groups at 3 months."</t>
  </si>
  <si>
    <t>Evcik</t>
  </si>
  <si>
    <t>Turkey
(Afyonkarahisar)</t>
  </si>
  <si>
    <t>Laser therapy in the treatment of carpal tunnel syndrome: a randomized controlled trial.</t>
  </si>
  <si>
    <t>🧑 Human
🎲 Randomized trial, sham-controlled
👥 81 participants
⌛ 2-week treatment / 12-week study</t>
  </si>
  <si>
    <t>0.60</t>
  </si>
  <si>
    <t>"In using LLLT, (1) there was no difference relative to pain relief and functional capacity during the follow-up in CTS patients; (2) there were positive effects on hand and pinch grip strengths."</t>
  </si>
  <si>
    <t>Elwakil</t>
  </si>
  <si>
    <t>Treatment of carpal tunnel syndrome by low-level laser versus open carpal tunnel release.</t>
  </si>
  <si>
    <t>🧑 Human
⚔ Comparison study
👥 54 participants, 60 hands
⌛ 6-week treatment -&gt; 6-month follow-up</t>
  </si>
  <si>
    <t>PBM vs open approach for carpal tunnel release</t>
  </si>
  <si>
    <t>"The patients were evaluated clinically and by nerve conduction studies (NCSs) about 6 months after the treatment.
LLLT showed overall significant results but at a lower level in relation to surgery. LLLT showed significant outcomes in all parameters of subjective complaints (p &lt; or = 0.01) except for muscle weakness. Moreover, LLLT showed significant results in all parameters of objective findings (p &lt; or = 0.01) except for thenar atrophy. However, NCSs expressed the same statistical significance (p &lt; or = 0.01) after the treatment by both modalities. 
LLLT has proven to be an effective and noninvasive treatment modality for CTS especially for early and mild-to-moderate cases when pain is the main presenting symptom."
Comment: Radiation parameters were insufficiently reported.</t>
  </si>
  <si>
    <t>Naeser MA</t>
  </si>
  <si>
    <t>Photobiomodulation of pain in carpal tunnel syndrome: review of seven laser therapy studies.</t>
  </si>
  <si>
    <t>"In this review, seven studies using photoradiation to treat carpal tunnel syndrome (CTS) are discussed: two controlled studies that observed real laser to have a better effect than sham laser, to treat CTS; three openprotocol studies that observed real laser to have a beneficial effect to treat CTS; and two studies that did not observe real laser to have a better effect than a control condition, to treat CTS.
In the five studies that observed beneficial effect from real laser, higher laser dosages (9 Joules, 12-30 Joules, 32 J/cm(2), 225 J/cm(2)) were used at the primary treatment sites (median nerve at the wrist, or cervical neck area), than dosages in the two studies where real laser was not observed to have a better effect than a control condition (1.8 Joules or 6 J/cm(2)).
The average success rate across the first five studies was 84% (SD, 8.9; total hands = 171). The average pain duration prior to successful photoradiation was 2 years.
Photoradiation is a promising new, conservative treatment for mild/moderate CTS cases (motor latency &lt; 7 msec; needle EMG, normal). It is cost-effective compared to current treatments."</t>
  </si>
  <si>
    <t>Stasinopoulos</t>
  </si>
  <si>
    <t>UK &amp; Greece</t>
  </si>
  <si>
    <t>Treatment of Carpal Tunnel Syndrome with Polarized Polychromatic Noncoherent Light (Bioptron Light): A Preliminary, Prospective, Open Clinical Trial</t>
  </si>
  <si>
    <t>🧑 Human
📄 Single-arm trial
👥 25 participants
⌛ 4-week treatment / 6-month study</t>
  </si>
  <si>
    <t>2.4
/minute
14.4 for 6 min</t>
  </si>
  <si>
    <t>12
/ 4 weeks</t>
  </si>
  <si>
    <t>"Nocturnal pain and paraesthesia associated with idiopathic carpal tunnel syndrome improved during polarized polychromatic noncoherent light (Bioptron light) treatment. Controlled clinical trials are needed to establish the absolute and relative effectiveness of this intervention."</t>
  </si>
  <si>
    <t>Irvine</t>
  </si>
  <si>
    <t>Canada
(Edmonton)</t>
  </si>
  <si>
    <t>Muscle Nerve</t>
  </si>
  <si>
    <t>Double-blind randomized controlled trial of low-level laser therapy in carpal tunnel syndrome.</t>
  </si>
  <si>
    <t>🧑 Human
🎲 Randomized trial, double-blind
👥 15 participants
⌛ 5-week treatment / 9-week study</t>
  </si>
  <si>
    <t>0.01
cm2</t>
  </si>
  <si>
    <t>"There was a significant symptomatic improvement in both the control (P = 0.034) and treatment (P =0.043) groups. However, there was no significant difference in any of the outcome measures between the two groups. Thus, LLLT is no more effective in the reduction of symptoms of CTS than is sham treatment."
Comment: There may be some dose calculation errors in the full text.</t>
  </si>
  <si>
    <t>Bakhtiary &amp; Rashidy-Pour</t>
  </si>
  <si>
    <t>Iran
(Senman)</t>
  </si>
  <si>
    <t>Aust J Physiother</t>
  </si>
  <si>
    <t>Ultrasound and laser therapy in the treatment of carpal tunnel syndrome.</t>
  </si>
  <si>
    <t>🧑 Human
⚔ Comparison study, randomized
👥 50 participants
⌛ 3-week treatment / 7-week study</t>
  </si>
  <si>
    <t>"Ultrasound treatment was more effective than laser therapy for treatment of carpal tunnel syndrome. Further study is needed to investigate the combination therapy effects of these treatments in carpal tunnel syndrome patients."</t>
  </si>
  <si>
    <t>Carpal tunnel syndrome pain treated with low-level laser and microamperes transcutaneous electric nerve stimulation: A controlled study.</t>
  </si>
  <si>
    <t>🧑 Human
🎲 Randomized trial, crossover, double-blind
👥 11 participants
⌛ two 3-4 week treatment phases</t>
  </si>
  <si>
    <t>633
+
904</t>
  </si>
  <si>
    <t>15
?</t>
  </si>
  <si>
    <t>9-12
/ 3-4 weeks</t>
  </si>
  <si>
    <t>"Eleven mild to moderate CTS cases who failed standard medical or surgical treatment for 3 to 30 months.""
"Significant decreases in MPQ score, median nerve sensory latency, and Phalen and Tinel signs after the real treatment series but not after the sham treatment series. Patients could perform their previous work (computer typist, handyman) and were stable for 1 to 3 years."
Comment: In addition LLLT, TENS treatment was also used. 
Comment: Parameters were insufficiently reported.</t>
  </si>
  <si>
    <t>Branco &amp; Naeser</t>
  </si>
  <si>
    <t>USA
(Westport, MA)</t>
  </si>
  <si>
    <t>J Altern Complement Med</t>
  </si>
  <si>
    <t>Carpal tunnel syndrome: clinical outcome after low-level laser acupuncture, microamps transcutaneous electrical nerve stimulation, and other alternative therapies--an open protocol study.</t>
  </si>
  <si>
    <t>🧑 Human
📄 Single-arm trial
👥 31 participants, 36 hands
⌛ 4-5 weeks -&gt; some 1-2 year follow-ups</t>
  </si>
  <si>
    <t>LLLT+TENS+etc.</t>
  </si>
  <si>
    <t>670
+
904</t>
  </si>
  <si>
    <t>5
+
?</t>
  </si>
  <si>
    <t>1-7
/p</t>
  </si>
  <si>
    <t>12-15
/ 4-5 weeks</t>
  </si>
  <si>
    <t>"Posttreatment, pain significantly reduced (p &lt; .0001), and 33 of 36 hands (91.6%) no pain, or pain reduced by more than 50%. The 14 hands that failed surgical release, successfully treated. Patients remained employed, if not retired. Follow-up after 1-2 years with cases less than age 60, only 2 of 23 hands (8.3%) pain returned, but successfully re-treated within a few weeks."
Comment: It is clear that the methodology of this multi-treatment trial is very poor for examining the effects of LLLT alone.</t>
  </si>
  <si>
    <t>Wong</t>
  </si>
  <si>
    <t>Int J Clin Pharmacol Ther</t>
  </si>
  <si>
    <t>Successful management of female office workers with "repetitive stress injury" or "carpal tunnel syndrome" by a new treatment modality--application of low level laser.</t>
  </si>
  <si>
    <t>"Female office workers with desk jobs who are incapacitated by pain and tingling in the hands and fingers are often diagnosed by physicians as "repetitive stress injury" (RSI) or "carpal tunnel syndrome" (CTS)."
"The laser rapidly alleviated the pain and tingling in the arms, hands and fingers, and diminished tenderness at the involved spinous processes. Thereby, it has become apparent that many patients labelled as having RSI or CTS have predominantly cervical radicular dysfunction resulting in pain to the upper extremities which can be managed by low level laser. Successful long-term management involves treating the soft tissue lesions in the neck combined with correcting the abnormal head, neck and shoulder posture by taping, cervical collars, and clavicle harnesses as well as improved work ergonomics."</t>
  </si>
  <si>
    <t>Wrist pain</t>
  </si>
  <si>
    <t>Yun</t>
  </si>
  <si>
    <t>Korea
(Jeonju)</t>
  </si>
  <si>
    <t>Therapeutic efficacy and safety of home-based portable laser irradiation on patients with wrist pain: a single-blinded randomized controlled trial</t>
  </si>
  <si>
    <t>🧑 Human
🎲 Randomized trial, sham-controlled
👥 30participants
⌛ 3 weeks</t>
  </si>
  <si>
    <t>650+
830</t>
  </si>
  <si>
    <t>0.0053</t>
  </si>
  <si>
    <t>9.54</t>
  </si>
  <si>
    <t>"After the intervention, both groups showed a significant decrease in VAS score, from 4.93 to 3.67 in experimental group, from 5.53 to 4.00 in control group (the experiment group: p = 0.020, the control group: p = 0.003). The experimental group showed a significant improvement in function scale score (p = 0.012), the control group did not. Lateral and pinch strength was significantly improved in the experimental group (p = 0.017) and in the control group (p = 0.034) respectively."</t>
  </si>
  <si>
    <t>Device: "Epione™, WellsCare Co., Seoul, Korea"</t>
  </si>
  <si>
    <t>Wrist pain (chronic)</t>
  </si>
  <si>
    <t>Petrofsky</t>
  </si>
  <si>
    <t>USA
(Loma Linda, CA)</t>
  </si>
  <si>
    <t>Phys Ther Rehabil Sci</t>
  </si>
  <si>
    <t>The effects of low-level laser therapy in patients with wrist pain: is this Mickey Mouse science?</t>
  </si>
  <si>
    <t>🧑 Human
🎲 Randomized trial, sham-controlled
👥 48 participants
⌛ 2 weeks (?)</t>
  </si>
  <si>
    <t>Polychromatic light 🌈 (Mickey Mouse flashlight)</t>
  </si>
  <si>
    <t xml:space="preserve">420
(UV)
660
(laser)
890
(NIR)
broad
band
</t>
  </si>
  <si>
    <t>3
/ 2 weeks</t>
  </si>
  <si>
    <t>"The most common diagnosis was CTS in 78% of the subjects."
"The results of the experiments showed that while pain was reduced both immediately after and the next day after laser therapy (p&lt;0.05), there was no significant difference between the laser groups and the placebo group. 
However, the Mickey Mouse flashlight treatment groups had a greater range of motion than the laser groups (p&lt;0.05)."
Comment: Dose parameters were not reported. The authors attribute the benefits from Mickey Mouse lamp (broadband light) to heat, but it is also possible that the dose parameters were more suitable with the device as well.</t>
  </si>
  <si>
    <t>KMBASE</t>
  </si>
  <si>
    <t>3D cultures</t>
  </si>
  <si>
    <t>Photobiomodulation in 3D tissue engineering</t>
  </si>
  <si>
    <t>"First, we provide a brief overview of PBM and the timeline of its development. Then, we discuss the optical properties of 3D cultivation systems and important points of light dosimetry. Finally, we analyze the cellular pathways induced by PBM and outcomes observed in various 3D tissue-engineered constructs: hydrogels, scaffolds, spheroids, cell sheets, bioprinted structures, and organoids."
"Our summarized results demonstrate the great potential of PBM in the stimulation of the cell survival and viability in 3D conditions. The strategies to achieve different cell physiology states with particular PBM parameters are outlined."</t>
  </si>
  <si>
    <t>Adhesion</t>
  </si>
  <si>
    <t>Houreld</t>
  </si>
  <si>
    <t>Cell Adhesion Molecules are Mediated by Photobiomodulation at 660 nm in Diabetic Wounded Fibroblast Cells.</t>
  </si>
  <si>
    <t>Diabetic wounded fibroblast cells</t>
  </si>
  <si>
    <t>"Real-time reverse transcription (RT) quantitative polymerase chain reaction (qPCR) was used to determine the expression of CAM-related genes. Ten genes were up-regulated in diabetic wounded cells, while 25 genes were down-regulated. Genes were related to transmembrane molecules, cell-cell adhesion, and cell-matrix adhesion, and also included genes related to other CAM molecules. 
PBM at 660 nm modulated gene expression of various CAMs contributing to the increased healing seen in clinical practice. There is a need for new therapies to improve diabetic wound healing."</t>
  </si>
  <si>
    <t>Apoptosis</t>
  </si>
  <si>
    <t>Pasternak-Mnich</t>
  </si>
  <si>
    <t>Effect of photobiomodulation therapy on the morphology, intracellular calcium concentration, free radical generation, apoptosis and necrosis of human mesenchymal stem cells-an in vitro study</t>
  </si>
  <si>
    <t>808
905</t>
  </si>
  <si>
    <t>"After irradiation exposure in doses of energy 3 J, 10 J (CW, ƒ = 1000 Hz), and 20 J (ƒ = 2000 Hz), increased proliferation of MSCs was observed. 
Significant reduction of Fluo-4 Direct™ Ca2+ indicator fluorescence over controls after CW and PE with 3 J, 10 J, and 20 J was noticed. 
A decrease in fluorescence intensity after the application of radiation with a frequency of 2000 Hz in doses of 3 J, 10 J, and 20 J was observed. 
In contrary, an increase in DCF fluorescence intensity after irradiation with laser radiation of 3 J, 10 J, and 20 J (CW, ƒ = 1000 Hz and ƒ = 2000 Hz) was also shown. 
Laser irradiation at a dose of 20 J, emitted at 1000 Hz and 2000 Hz, and 3 J emitted at a frequency of 2000 Hz caused a statistically significant loss of MSC viability. 
The applied photobiomodulation therapy induced a strong pro-apoptotic effect dependent on the laser irradiation exposure time, while the application of a sufficiently high-energy dose and frequency with a sufficiently long exposure time significantly increased intracellular calcium ion concentration and free radical production by MSCs."</t>
  </si>
  <si>
    <t>Photochem Photobiol</t>
  </si>
  <si>
    <t>Effects of 625 nm light-emitting diode irradiation on preventing ER stress-induced apoptosis via GSK-3β phosphorylation in MC3T3-E1</t>
  </si>
  <si>
    <t>"In summary, this study suggests that the Pre-IR treatment in TM-induced ER stress is beneficial for preventing cell apoptosis via GSK-3β phosphorylation."</t>
  </si>
  <si>
    <t>Pevna</t>
  </si>
  <si>
    <t>Photobiomodulation and photodynamic therapy-induced switching of autophagy and apoptosis in human dermal fibroblasts</t>
  </si>
  <si>
    <t>"Overall, we observed that the switching of autophagy and apoptosis is dose-dependent and also occurs independently of PBM in HDF cells after hypericin-mediated PDT. However, PBM might preferentially induce autophagy in noncancer cells, which might escape apoptosis under certain conditions."</t>
  </si>
  <si>
    <t>Davies</t>
  </si>
  <si>
    <t>United Kingdom
(Birmingham)</t>
  </si>
  <si>
    <t>Photobiomodulation reduces hippocampal apoptotic cell death and produces a Raman spectroscopic "signature"</t>
  </si>
  <si>
    <t>Cultured hippocampal tissue slice</t>
  </si>
  <si>
    <t>"A significantly higher proportion of apoptotic cells 62.8±12.2% vs 48.6±13.7% (P&lt;0.0001) per region were observed in the control group compared with the photobiomodulation group. After photobiomodulation, Raman spectroscopic observations demonstrated 1440/1660 cm-1 spectral shift.
Photobiomodulation has the potential for therapeutic utility, reducing cell loss to apoptosis in injured neurological tissue, as demonstrated in this in vitro model. A clear Raman spectroscopic signal was observed after apparent optimal irradiation, potentially integrable into therapeutic light delivery apparatus for real-time dose metering."</t>
  </si>
  <si>
    <t>Photobiomodulation can alter mRNA levels cell death-related.</t>
  </si>
  <si>
    <t>3
30</t>
  </si>
  <si>
    <t>"Results obtained in this study indicate that PBM by low-level infrared laser alters mRNA relative levels of genes involved in cell death pathways. However, these molecular alterations were not able to cause DNA fragmentation in cells in talocrural joint tissues, indicating that infrared laser was not enough to cause cell death."</t>
  </si>
  <si>
    <t>Mechanistic study of apoptosis induced by high-fluence low-power laser irradiation using fluorescence imaging techniques</t>
  </si>
  <si>
    <t>80
120</t>
  </si>
  <si>
    <t>"The following temporal sequence of cellular events was observed during apoptosis induced by high-fluence LPLI (120 J/cm(2), ASTC-a-1 cells):
(1) immediate generation of mitochondrial ROS following laser irradiation, reaching a maximum level 60 min after irradiation;
(2) onset of DeltaPsim decrease 15 min after laser irradiation, reaching a minimum level 50 min after irradiation; and
(3) activation of caspase-3 between 30 min and 180 min after laser irradiation.
Our results also show that the high-fluence LPLI does not activate caspase-8, indicating that the induced apoptosis was initiated directly from mitochondrial ROS generation and DeltaPsim decrease, independent of the caspase-8 activation."</t>
  </si>
  <si>
    <t>Autophagy</t>
  </si>
  <si>
    <t>Zuo</t>
  </si>
  <si>
    <t>Protective Effect of Photobiomodulation against Hydrogen Peroxide-Induced Oxidative Damage by Promoting Autophagy through Inhibition of PI3K/AKT/mTOR Pathway in MC3T3-E1 Cells</t>
  </si>
  <si>
    <t>Bone cells
Osteogenesis</t>
  </si>
  <si>
    <t>"PBM could inhibit MC3T3-E1 cell apoptosis under oxidative stress and promote the expression of osteogenic proteins, while enhancing the level of autophagy. 
In contrast, 3-methyladenine (3-MA) inhibited the expression of osteoblast autophagy under oxidative stress conditions, increased apoptosis, and plus counteracted the effect of PBM on osteoblasts. We also found that PBM suppressed the activated PI3K/AKT/mTOR pathway during oxidative stress and induced autophagy in osteoblasts. PBM promoted autophagy of MC3T3 cells and was further blocked by 740 Y-P, which reversed the effect of PBM on MC3T3 cells with H2O2. 
In conclusion, PBM promotes autophagy and improves the level of osteogenesis under oxidative stress by inhibiting the PI3K/AKT/mTOR pathway. Our results can lay the foundation for the clinical usage of PBM in the treatment of osteoporosis."</t>
  </si>
  <si>
    <t>Cell cycle</t>
  </si>
  <si>
    <t>Masub</t>
  </si>
  <si>
    <t>USA
(Brooklyn, NY)</t>
  </si>
  <si>
    <t>High-fluence light emitting diode-red light inhibits cell cycle progression in human dermal fibroblasts</t>
  </si>
  <si>
    <t>"Herein, we explored the effects of high fluence LED-RL on human dermal fibroblast cell cycle progression. We demonstrate that LED-RL at 640 J/cm2 induced significant arrest of cells in G0 /G1 compared to temperature-matched control. This was accompanied by a corresponding increase in expression of checkpoint regulator p53 in irradiated cells."</t>
  </si>
  <si>
    <t>Cell membrane</t>
  </si>
  <si>
    <t>Kujawa</t>
  </si>
  <si>
    <t>The effect of near-infrared MLS laser radiation on cell membrane structure and radical generation.</t>
  </si>
  <si>
    <t>Human red blood cells
Breast cancer MCF-4 cells</t>
  </si>
  <si>
    <t>0.213
(avg)</t>
  </si>
  <si>
    <t>"Near-infrared low-intensity laser radiation changed the acetylcholinesterase activity of the red blood cell membrane in a dose-dependent manner: There was a considerable increase of maximal enzymatic rate and Michaelis constant due to changes in the membrane structure. 
Integral parameters such as erythrocyte stability, membrane lipid peroxidation, or methemoglobin levels remained unchanged. 
Anti-oxidative capacity of the red blood cells increased after MLS laser irradiation. This irradiation induced a time-dependent increase in free radical generation in MCF-4 cells. 
Low-intensity near-infrared MLS laser radiation induces free radical generation and changes enzymatic and anti-oxidative activities of cellular components. Free radical generation may be the mechanism of the biomodulative effect of laser radiation."</t>
  </si>
  <si>
    <t>Circular dorsal ruffles</t>
  </si>
  <si>
    <t>J Cell Physiol</t>
  </si>
  <si>
    <t>H-Ras and PI3K are required for the formation of circular dorsal ruffles induced by low-power laser irradiation</t>
  </si>
  <si>
    <t>"In this study, using confocal fluorescence microscope, we for the first time demonstrated that LPLI could induce the production of circular ruffle structures in COS-7 cells. These structures were proved to be actin-based and originated from membrane microdomains enriched in cholesterol.
Ras was shown to be activated by LPLI and expression of YFP-H-Ras (N17), a dominant negative H-Ras, blocked the generation of circular ruffles induced by LPLI. Wortmannin, PI3K inhibitor, potently suppressed the formation of LPLI-induced circular ruffles in a dose-dependent manner. However, blocking the activation of PKC, which was activated during LPLI-induced cell proliferation in our previous study, had no effect on the formation of circular ruffles.
Thus, both H-Ras and PI3K were required for the formation of circular ruffles induced by LPLI and the generation of circular ruffles provides new information for the mechanisms of biological effects of LPLI."</t>
  </si>
  <si>
    <t>Cytoskeleton</t>
  </si>
  <si>
    <t>Olejárová</t>
  </si>
  <si>
    <t>The Remodulation of Actin Bundles during the Stimulation of Mitochondria in Adult Human Fibroblasts in Response to Light</t>
  </si>
  <si>
    <t>(590)
808</t>
  </si>
  <si>
    <t>"While PDT led to the disintegration of actin oligomers, PBM increased their number. The interaction of β-actin with mitochondria was observed. The combination of PDT and PBM treatments is important to minimize the side effects of cancer treatment with PDT on healthy cells, as shown by the cell metabolism assay in this work. In this work, β-actin is presented as an important parameter that changes and is involved in the response of cells to PDT and PBM."</t>
  </si>
  <si>
    <t>Ricci</t>
  </si>
  <si>
    <t>Biomodulation with low-level laser radiation induces changes in endothelial cell actin filaments and cytoskeletal organization</t>
  </si>
  <si>
    <t>"It was concluded that laser irradiation induces changes in the cytoskeleton of endothelial cells through the reorganization of actin filaments and neo-formation of stress fibers, allowing evident cellular proliferation."</t>
  </si>
  <si>
    <t>Assessment of cytoskeleton and endoplasmic reticulum of fibroblast cells subjected to low-level laser therapy and low-intensity pulsed ultrasound.</t>
  </si>
  <si>
    <t>L929 fibroblast</t>
  </si>
  <si>
    <t>0.05
6</t>
  </si>
  <si>
    <t>"The study demonstrated that both LLLT and LIPUS promote changes on the cellular level. However, LIPUS was more effective than LLLT at the doses used here, as assessed by fluorescence microscopy, which revealed increased reticulum activity and increased protein synthesis. However, when the organization of actin filaments was assessed, LLLT achieved a better result."</t>
  </si>
  <si>
    <t>Bolognani</t>
  </si>
  <si>
    <t>Italy
(Modena)</t>
  </si>
  <si>
    <t>Effects of low-power 632 nm radiation (HeNe laser) on a human cell line: influence on adenylnucleotides and cytoskeletal structures.</t>
  </si>
  <si>
    <t>ATP levels
AMP levels
ADP levels</t>
  </si>
  <si>
    <t>"In HeNe-treated cells, the remodelling of cytoskeletal and adhesion molecules becomes evident after 15 min of treatment. The following events are important: (1) modification of stress fibre assembly and increase in vinculin-containing adhesion plaques; (2) assembly and bundling of intermediate filaments; (3) increase in laminin and L-cell adhesion molecules (L-CAM) expression. The lowered energy charge in irradiated cells is related to the increase in AMP production at the expense of ADP. ATP is dynamically constant despite its requirement in short-time remodelling processes of the cytoskeletal network which are enhanced in irradiated cells."</t>
  </si>
  <si>
    <t>Differentiation (keratinocyte)</t>
  </si>
  <si>
    <t>Rood</t>
  </si>
  <si>
    <t>USA
(Davis, CA)</t>
  </si>
  <si>
    <t>J Invest Dermatol</t>
  </si>
  <si>
    <t>Low-Energy Helium Neon Laser Irradiation Does Not Alter Human Keratinocyte Differentiation</t>
  </si>
  <si>
    <t>0.8
3.0
7.2</t>
  </si>
  <si>
    <t>"No significant differences were found between the control (0 J) and irradiated cultures in these assays."
"These results provide evidence that HeNe irradiations of up to 7.2 J/cm2 have no direct deleterious effect on normal keratinocyte differentiation needed for the formation of a functional epidermis. hence, it is anticipated that the clinical use ot the HeNe laser irradiance that enhances kerationcytes migration in vitro (0.8 J/cm2) to promote wound healing in vivo will not alter the ultimate integrity or differentiated function of the epidermis that migrates to cover the wounded area."</t>
  </si>
  <si>
    <t>DNA stability</t>
  </si>
  <si>
    <t>da Silva Neto Trajano (??)</t>
  </si>
  <si>
    <t>Low power lasers on genomic stability</t>
  </si>
  <si>
    <t>"Low power lasers are used for treatment of a number of diseases, but they are also suggested to cause DNA damages at sub-lethal levels and alter transcript levels from DNA repair genes. This review focuses on genomic and telomere stabilization modulation as possible targets to improve therapeutic protocols based on low power lasers."
"Several studies have been carried out to evaluate the laser-induced effects on genome and telomere stabilization suggesting that exposure to these lasers modulates DNA repair mechanisms, telomere maintenance and genomic stabilization. Although the mechanisms are not well understood yet, low power lasers could be effective against DNA harmful agents by induction of DNA repair mechanisms and modulation of telomere maintenance and genomic stability."</t>
  </si>
  <si>
    <t>Energy metabolism</t>
  </si>
  <si>
    <t>Umino &amp; Denda</t>
  </si>
  <si>
    <t>Japan
(Yokohama)</t>
  </si>
  <si>
    <t>Skin Res Technol</t>
  </si>
  <si>
    <t>Effect of red light on epidermal proliferation and mitochondrial activity</t>
  </si>
  <si>
    <t>Wavelength comparison
Blue light 🔵</t>
  </si>
  <si>
    <t>463
630</t>
  </si>
  <si>
    <t>"Irradiation of the epidermal-equivalent model with red light for 2 h (44.64 J/cm2 ) increased both epidermal proliferation in the basal layer and mitochondrial activity. Blue light had no effect on epidermal proliferation. 
Furthermore, irradiation with red light for 2 h on three consecutive days increased epidermal proliferation in human skin tissue in culture."</t>
  </si>
  <si>
    <t>Baldassarro</t>
  </si>
  <si>
    <t>Photobiomodulation at Defined Wavelengths Regulates Mitochondrial Membrane Potential and Redox Balance in Skin Fibroblasts</t>
  </si>
  <si>
    <t>440
525
645
660
780
900</t>
  </si>
  <si>
    <t>0.0001</t>
  </si>
  <si>
    <t>"In this study, we observed a transient increase in MMP in fibroblasts (at 24 hr) following exposure to 525, 645, and 780 nm wavelengths, whereas no changes were observed at 440, 900, and at 660 nm using a 100 Hz frequency. Notably, this effect persisted 24 hr after exposure, with a further increase at 48 hr and recovery at 72 hr (645 nm). This matches the increase in mitochondrial fusion as measured by 3D image analysis of the mitochondrial fusion protein MFN2, localized in the outer membrane."</t>
  </si>
  <si>
    <t>Zupin</t>
  </si>
  <si>
    <t>The mitochondrial-related effect of the 905 nm photobiomodulation therapy on 50B11 sensory neurons</t>
  </si>
  <si>
    <t>ATP levels (decrease)</t>
  </si>
  <si>
    <t>3
6
12
18</t>
  </si>
  <si>
    <t>"A decrement of adenosine triphosphate was detected, moreover, an increment of total reactive oxygen species and mitochondrial superoxide anion was found after PBMT with all protocols tested. PBMT at 18 J diminished the mitochondrial membrane potential, and influenced mitochondrial respiration, decreasing the oxygen consumption rate. Finally, a decrement of extracellular signal-regulated kinase 1/2 phosphorylation was observed with the protocol using 12 J."</t>
  </si>
  <si>
    <t>Silveira</t>
  </si>
  <si>
    <t>Brazil
(Criciúma)</t>
  </si>
  <si>
    <t>Med Eng Phys</t>
  </si>
  <si>
    <t>Effects of photobiomodulation on mitochondria of brain, muscle, and C6 astroglioma cells.</t>
  </si>
  <si>
    <t xml:space="preserve">Astroglioma cells (C6) + mitochondrial suspensions from brain and muscle
Cytochrome c oxidase expression
</t>
  </si>
  <si>
    <t>10
30
60</t>
  </si>
  <si>
    <t>"Five minutes after the introduction of PBM of the muscle mitochondria (at 30 and 60 J/cm2), the activity of complex I increased, while the activity of complex IV increased only at 60 J/cm2. 
One hour after the laser session, complex II activity increased in the cells treated with 10 and 60 J/cm²; however, complex IV activity showed an increase in all PBM groups. 
In brain mitochondria, 5 min after irradiation only the activity of complex IV increased in all PBM groups.
One hour after the laser session, complex II activity increased at 60 J/cm2, and complex IV activity increased for all PBM groups when compared to controls. 
PBM could increase the activity of respiratory chain complexes in an apparently dose- and time-dependent manner."
Comment: MTT reduction, hexokinase activity and creatine kinase activity were also measured, with the MTT and hexokinase showing increases with 30 J/cm2.</t>
  </si>
  <si>
    <t>Amaroli</t>
  </si>
  <si>
    <t>Photobiomodulation with 808-nm diode laser light promotes wound healing of human endothelial cells through increased reactive oxygen species production stimulating mitochondrial oxidative phosphorylation.</t>
  </si>
  <si>
    <t>Human endothelial cells (HECV)</t>
  </si>
  <si>
    <t>0.95</t>
  </si>
  <si>
    <t>57</t>
  </si>
  <si>
    <t>"Irradiated cells demonstrated higher proliferation rate and increased migration ability associated to moderate increase in ROS production without a significant increase in oxidative stress and oxidative stress-activated processes. Near-infrared light stimulated mitochondrial oxygen consumption and ATP synthesis in HECV cells."
"Short near-infrared irradiation did not affect viability of HECV cells, rather led to a stimulation of wound healing rate, likely sustained by ROS-mediated stimulation of mitochondrial activity. Our results demonstrating that near-infrared led to a shift from anaerobic to aerobic metabolism provide new insight into the possible molecular mechanisms by which photobiomodulation with 808-nm diode laser light protects against inflammation-induced endothelial dysfunction, seemingly promising to enhance their therapeutic properties."</t>
  </si>
  <si>
    <t>Mignon</t>
  </si>
  <si>
    <t>UK
(Bradford)</t>
  </si>
  <si>
    <t>Differential response of human dermal fibroblast subpopulations to visible and near-infrared light: Potential of photobiomodulation for addressing cutaneous conditions.</t>
  </si>
  <si>
    <t>LED phototherapy
Blue light 🔵
Green light 🟢
Wavelength comparison
(No intracellular ROS formation?)</t>
  </si>
  <si>
    <t>450
490
550
590
650
850</t>
  </si>
  <si>
    <t>"In terms of metabolic activity, consecutive irradiation with short-wavelength light (⇐530 nm) exerted an inhibitory effect on DF, while longer wavelengths (&gt;=590 nm) had essentially a neutral effect. Cell behavior following treatment with 450 nm was biphasic with two distinct states: inhibitory at low- to mid- dose levels (&lt;=30 J/cm2 ), and cytotoxic at higher dose levels (&gt;30 J/cm2 )."
"850 nm near-infrared (NIR) light (20 J/cm2 ) exerted a stimulatory metabolic effect in these cells, with no detectable intracellular ROS formation. Here too, reticular DF were more responsive than papillary DF. This stimulatory effect was only observed under in vivo-like low oxygen conditions, corresponding to normal dermal tissue oxygen levels (approximately 2%)."</t>
  </si>
  <si>
    <t>Red (660 nm) or near-infrared (810 nm) photobiomodulation stimulates, while blue (415 nm), green (540 nm) light inhibits proliferation in human adipose-derived stem cells.</t>
  </si>
  <si>
    <t>Blue light 🔵
Green light 🟢
Wavelength comparison
ATP levels
Mitochondrial membrane potential
Biphasic dose response</t>
  </si>
  <si>
    <t>415
540
660
810</t>
  </si>
  <si>
    <t>"When cultured in proliferation medium there was a clear difference between blue/green which inhibited proliferation and red/NIR which stimulated proliferation, all at 3 J/cm2. Blue/green reduced cellular ATP, while red/NIR increased ATP in a biphasic manner. Blue/green produced a bigger increase in intracellular calcium and reactive oxygen species (ROS). Blue/green reduced mitochondrial membrane potential (MMP) and lowered intracellular pH, while red/NIR had the opposite effect."</t>
  </si>
  <si>
    <t>J Clin Orthop Trauma</t>
  </si>
  <si>
    <t>Effect of near-infrared light on in vitro cellular ATP production of osteoblasts and fibroblasts and on fracture healing with intramedullary fixation.</t>
  </si>
  <si>
    <t>Osteoblasts
Fibroblasts
ATP levels
Wavelength comparison</t>
  </si>
  <si>
    <t>660
830
or
both</t>
  </si>
  <si>
    <t>"All groups gave significant increase in ATP within 5-10 min, with decay to baseline by 45 min. 660 nm NIR was significantly more effective than 830 nm with fibroblasts or either wavelength with osteoblasts.
Animal study - A significant increase in the fracture healing grade in the 660 nm group at day 14, but with no differences at day 21."</t>
  </si>
  <si>
    <t>Belletti</t>
  </si>
  <si>
    <t>Effects of 915 nm GaAs diode laser on mitochondria of human dermal fibroblasts: analysis with confocal microscopy.</t>
  </si>
  <si>
    <t>Human dermal fibroblasts
Biphasic dose response</t>
  </si>
  <si>
    <t>"At 5 J/cm(2), CW irradiation determined a little decrease (5%) of the baseline level of Δψm, while opposite behavior was shown when cells were irradiated with PW, with a 10% increment. 
Our results suggest that different responses observed at cellular level with low doses of irradiation, could be at the basis of efficacy of LLLT in clinical application, performed with PW rather than CW modalities."
Comment: Read the full text to see the complete data.</t>
  </si>
  <si>
    <t>USA &amp; Taiwan</t>
  </si>
  <si>
    <t>Low-level light therapy potentiates NPe6-mediated photodynamic therapy in a human osteosarcoma cell line via increased ATP.</t>
  </si>
  <si>
    <t>Osteosarcoma cell line'</t>
  </si>
  <si>
    <t>810
+
652</t>
  </si>
  <si>
    <t>1.5
+
1.5</t>
  </si>
  <si>
    <t>"Taken together, these results demonstrate that LLLT potentiates NPe6-mediated PDT via increased ATP synthesis and is a potentially promising strategy that could be applied in clinical PDT."</t>
  </si>
  <si>
    <t>Sharma</t>
  </si>
  <si>
    <t>Dose response effects of 810 nm laser light on mouse primary cortical neurons.</t>
  </si>
  <si>
    <t>0.03
0.3
3
10
30</t>
  </si>
  <si>
    <t>"Light induced a significant increase in calcium, ATP and MMP at lower fluences and a decrease at higher fluences."
"The results suggest that LLLT at lower fluences is capable of inducing mediators of cell signaling processes which in turn may be responsible for the beneficial stimulatory effects of the low level laser. At higher fluences beneficial mediators are reduced and high levels of Janus-type mediators such as ROS and NO (beneficial at low concentrations and harmful at high concentrations) may be responsible for the damaging effects of high-fluence light and the overall biphasic dose response."</t>
  </si>
  <si>
    <t>Benedicenti</t>
  </si>
  <si>
    <t>Intracellular ATP level increases in lymphocytes irradiated with infrared laser light of wavelength 904 nm.</t>
  </si>
  <si>
    <t>Lymphocytes</t>
  </si>
  <si>
    <t>"The amount of ATP in irradiated cell cultures was 10.79 +/- 0.15 microg/L (SD; n = 10), and in non-irradiated cell cultures it was 8.81 +/- 0.13 microg/L (SD; n = 10). The average percentage increase of irradiated versus control cell cultures was about 22.4% +/- 0.56% SD (p &lt; 0.001)."
"This significant increase is probably due to laser irradiation; it cannot be attributed to any thermal effect, as the temperature during irradiation was maintained at 37.0 degrees +/- 0.5 degrees C."</t>
  </si>
  <si>
    <t>Israel
(Tel Aviv) / USA (CA)</t>
  </si>
  <si>
    <t>Ga-As (808 nm) laser irradiation enhances ATP production in human neuronal cells in culture.</t>
  </si>
  <si>
    <t>Human neural progenitor (NHNP) cells
ATP levels</t>
  </si>
  <si>
    <t>d =
25 mm</t>
  </si>
  <si>
    <t>"ATP was determined at 10 min after laser application."
"The quantity of ATP in laser-treated cells was 7513 +/- 970 units, which was significantly higher (p &lt; 0.05) than the non-treated cells, which comprised 3808 +/- 539 ATP units."</t>
  </si>
  <si>
    <t>Karu</t>
  </si>
  <si>
    <t>Russia
(Troitsk)</t>
  </si>
  <si>
    <t>Irradiation with He-Ne laser increases ATP level in cells cultivated in vitro.</t>
  </si>
  <si>
    <t>HeLa cells
ATP levels</t>
  </si>
  <si>
    <t>"The amount of ATP in the log phase of cultured cells remained at the control level (0.79 +/- 0.09) x 10(-15) mol per cell) during the first 15 min after irradiation; it then increased sharply and, after reaching a maximum (170.8%) 20 min after irradiation, decreased slowly to the control level."</t>
  </si>
  <si>
    <t>Biull Eksp Biol Med.</t>
  </si>
  <si>
    <t>[Changes in the amount of ATP in HeLa cells under the action of He-Ne laser radiation].
[Article in Russian]</t>
  </si>
  <si>
    <t>HeLa cells</t>
  </si>
  <si>
    <t>"In cells of the exponential phase of growth, the amount of ATP (basal level 8 x 10(-16) mole/cell) starts to increase in 15 min after the irradiation with a maximum (170% above the basal level) at 20 min, and then decreases gradually to the basal level."</t>
  </si>
  <si>
    <t>Rigau</t>
  </si>
  <si>
    <t>Spain
(Tarragona)</t>
  </si>
  <si>
    <t>Changes in fibroblast proliferation and metabolism following in vitro helium-neon laser irradiation</t>
  </si>
  <si>
    <t>Fibroblasts
ATP levels
Glucose consumption</t>
  </si>
  <si>
    <t>"Results of the assessment of the metabolic changes suggested that an efficient modality for enhancement or modulation of cell activity could be ascertained for laser irradiation at LLLT levels, and thereafter used for therapeutic purposes, following the elucidation of appropriate power and energy densities, and other parameters."
"Statistical analysis of the data showed no increase in the number of fibroblasts following low reactive-level laser therapy (LLLT) levels of radiation, but did reveal significant changes in metabolic rates compared with the unirradiated controls, "</t>
  </si>
  <si>
    <t>Epigenetic effects</t>
  </si>
  <si>
    <t>Brazil
(Rio Grande do Sul)</t>
  </si>
  <si>
    <t>Photobiomodulation therapy drives massive epigenetic histone modifications, stem cells mobilization and accelerated epithelial healing</t>
  </si>
  <si>
    <t>Keratinocytes
Epithelial stem cells</t>
  </si>
  <si>
    <t>4
20</t>
  </si>
  <si>
    <t>"We observed that PBMT-induced accelerated epithelial migration and chromatin relaxation along with increased levels of histones acetylation, the transcription cofactors CBP/p300 and mammalian target of rapamycin. We further observed a reduction of the transcription repression-associated protein MBD2 and a reduced number of epithelial stem cells and spheres. In this study, we showed that PBMT could induce epigenetic modifications of epithelial cells and control stem cell fate, leading to an accelerated healing phenotype."</t>
  </si>
  <si>
    <t>Epithelial + mesenchymal cells</t>
  </si>
  <si>
    <t>Wound Repair Regen</t>
  </si>
  <si>
    <t>Interplay between epithelial and mesenchymal cells unveils essential proinflammatory and pro-resolutive mediators modulated by photobiomodulation therapy at 660 nm</t>
  </si>
  <si>
    <t>0.71</t>
  </si>
  <si>
    <t>1
5
50</t>
  </si>
  <si>
    <t>"Herein, we investigated light parameters on challenged keratinocytes (KC) - i.e., cultivated under oxidative stress - solely or associated with fibroblasts (FB) in a co-culture system."
"Our main data suggest that PBMT can increase cellular proliferation at low doses and cell migration in a biphasic mode (1 and 50 J/cm2 ), both further confirmed by the epidermal growth factor receptor ligand - amphiregulin - upregulation. IL-1RA mRNA - the IL-1β (interleukin-1β) receptor antagonist recognized to fasten wound repair - was upregulated in the co-culture system."</t>
  </si>
  <si>
    <t>Extracellular vesicles / exosomes</t>
  </si>
  <si>
    <t>Gholami</t>
  </si>
  <si>
    <t>Effect of Photobiomodulation on Structure and Function of Extracellular Vesicle Secreted from Mesenchymal Stem Cells</t>
  </si>
  <si>
    <t>"The current study intended to evaluate the effect of photobiomodulation on the morphology and function of EVs secreted from mesenchymal stem cells (MSCs) derived from periodontal ligament (PDL) and the buccal fat pad (BFP) in vitro.These cells were irradiated at 660 nm or kept in dark as control."
"According to SEM images,isolated EV were round and cup-shaped in all groups showing no destructive effects of laser irradiation on EV morphology.
MTT test results revealed statistically significant difference between the HDF cells treated with different EV groups from hPDLSCs-Dark in compared to control (0 μg/mL) (p &lt;0.05) and treated with exosome from hPDLSCs-Irradiation cells compared to dark group (p &lt;0.05)."</t>
  </si>
  <si>
    <t>Fibroblast differentiation</t>
  </si>
  <si>
    <t>Mokoena</t>
  </si>
  <si>
    <t>Photobiomodulation at 660 nm Stimulates Fibroblast Differentiation.</t>
  </si>
  <si>
    <t>"PBM at 660 nm with 5 J/cm2 was successful in stimulating the differentiation of fibroblasts into myofibroblasts in diabetic wounded cells, which was independent of the TGF-β1/Smad pathway. Fibroblast transition into myofibroblasts is vital to wound healing, failure of which results in impaired healing; PBM is able to foster such a transition."</t>
  </si>
  <si>
    <t>Fibroblast function</t>
  </si>
  <si>
    <t>Cavalcanti</t>
  </si>
  <si>
    <t>The Effects In Vitro of Photobiomodulation Over Fibroblasts and Extracellular Matrix</t>
  </si>
  <si>
    <t>"PBM increased significantly the number of fibroblasts, and the production of collagen types I (Col I) and III (Col III), after three sessions of LLL with 2.5 J per session, every 24 h, for 3 consecutive days; total energy delivered after 72 h is 7.5 J."</t>
  </si>
  <si>
    <t>Graefes Arch Clin Exp Ophthalmol</t>
  </si>
  <si>
    <t>Photobiomodulation at 660 nm promotes collagen synthesis via downregulation of HIF-1α expression without photodamage in human scleral fibroblasts in vitro in a hypoxic environment</t>
  </si>
  <si>
    <t>"Photobiomodulation at 660 nm promotes collagen synthesis via downregulation of HIF-1α expression without photodamage."</t>
  </si>
  <si>
    <t>Ryu</t>
  </si>
  <si>
    <t>Clin Orthop Surg</t>
  </si>
  <si>
    <t>Exploring the Effects of 630 nm Wavelength of Light-Emitting Diode Irradiation on the Proliferation and Migration Ability of Human Biceps Tendon Fibroblast Cells</t>
  </si>
  <si>
    <t>630
630+
880</t>
  </si>
  <si>
    <t>0.010
0.010
0.040</t>
  </si>
  <si>
    <t>"Twenty-four hours after LED treatment, cell viability and proliferation were significantly increased in the 630 nm LED and 630 nm + 880 nm LED treatment groups compared to that in the control group (p &lt; 0.05). Under the same conditions, compared with the control group, the 630 nm LED alone treatment group showed a 3.06 ± 0.21 times higher cell migration rate (p &lt; 0.05), and the 630 nm + 880 nm LED combination treatment group showed a 2.88 ± 0.20 times higher cell migration rate (p &lt; 0.05) in three-dimensional migration assay."
"In human tendon fibroblast cells, 20 minutes of LED treatment at 630 nm and 630 nm + 880 nm exhibited significant effects on cell proliferation and migration. Our findings suggest the potential of LED therapy as an adjuvant treatment for tendon healing, and hence, further research is warranted to standardize the various parameters to further develop and establish this as a reliable treatment regimen."</t>
  </si>
  <si>
    <t>Tripodi</t>
  </si>
  <si>
    <t>Australia
(Melbourne)</t>
  </si>
  <si>
    <t>The effects of polarized photobiomodulation on cellular viability, proliferation, mitochondrial membrane potential and apoptosis in human fibroblasts: Potential applications to wound healing</t>
  </si>
  <si>
    <t>Polarized light (polarization)</t>
  </si>
  <si>
    <t>"It was noted that polarized PBM, when compared to non-polarized PBM and non-irradiated controls, demonstrated mostly increased levels of cellular proliferation and ΔΨ, whilst decreasing the amount of cellular apoptosis. These results indicate that polarization may have utility in the clinical application of PBM."</t>
  </si>
  <si>
    <t>The effects of photobiomodulation on human dermal fibroblasts in vitro: A systematic review</t>
  </si>
  <si>
    <t>📚 Systematic review (🧪 In vitro)</t>
  </si>
  <si>
    <t>Dose response (graph)
Gene expression (table)</t>
  </si>
  <si>
    <t>"This review demonstrates that when fibroblasts are irradiated in vitro within a set range of intensities, they exhibit a multitude of positive effects related to the wound healing process.
However, the development of an optimal in vitro framework is paramount to improve the reliability and validity of research in this field."</t>
  </si>
  <si>
    <t>Rossi</t>
  </si>
  <si>
    <t>Photobiomodulation of Human Fibroblasts and Keratinocytes with Blue Light: Implications in Wound Healing</t>
  </si>
  <si>
    <t>Fibroblasts and keratinocytes
Blue light 🔵
Biphasic dose response</t>
  </si>
  <si>
    <t>3.43
6.87
13.7
20.6
30.9
41.2</t>
  </si>
  <si>
    <t>"Electrophysiology was used to investigate the effects on membrane currents: healthy fibroblasts and keratinocytes showed no significant differences between treated and not treated cells.
Raman spectroscopy revealed the mitochondrial Cytochrome C (Cyt C) oxidase dependence on blue light irradiation: a significant decrease in peak intensity of healthy fibroblast was evidenced, while it is less pronounced in keratinocytes."
"Preliminary scratch test performed in co-cultures of HaCaT cells and fibroblasts demonstrated that a fluence of 20.6 J/cm2 can stimulate cellular migration in comparison to untreated sample (Figure 6A). Indeed, the scratch area was significantly reduced by almost 50% in both control and treatment, already 24 h after the beginning of the experiment (0 h). This reduction remained stable in the control sample until 72 h (Figure 6B), while, in the treated sample, the scratch area was further reduced until it closed completely (Figure 6C). When the scratch test was performed in fibroblasts cultured alone, no significant differences between treated and control were found (data not shown)."</t>
  </si>
  <si>
    <t>Shaikh-Kader</t>
  </si>
  <si>
    <t>Levels of Cyclooxygenase 2, Interleukin-6, and Tumour Necrosis Factor- α in Fibroblast Cell Culture Models after Photobiomodulation at 660 nm</t>
  </si>
  <si>
    <t>"Through its effect on decreased IL-6 levels in diabetic cell models, PBM at 660 nm may be successful at decreasing oxidative stress; however, the present study also found an increase in cox-2 levels at 48 h postirradiation."</t>
  </si>
  <si>
    <t>Illescas-Montes</t>
  </si>
  <si>
    <t>Human Fibroblast Gene Expression Modulation Using 940 NM Diode Laser.</t>
  </si>
  <si>
    <t>"A significant increase in the expression of FGF, TGF-β1, TGFβR1, TGFβR2, α-actin, fibronectin, decorin, DDR2 and MMP2 was observed after both treatments. A decrease was observed in expression of elastin (T1 and T2), and CTGF (T2). These changes underlie the biostimulatory effect of laser on fibroblasts, which translates into an increase in short-term proliferation and in long-term differentiation to myofibroblasts. "</t>
  </si>
  <si>
    <t>de Magalhães</t>
  </si>
  <si>
    <t>Photobiomodulation therapy can change actin filaments of 3T3 mouse fibroblast.</t>
  </si>
  <si>
    <t>3T3 mouse fibroblast
Cytoskeleton</t>
  </si>
  <si>
    <t>625
808</t>
  </si>
  <si>
    <t>"A detailed analysis of the images demonstrated that the total polymerized actin and number of actin filaments decrease, while the nucleus area increases in treated cells shortly after photo-irradiation, regardless of substrate and wavelength."</t>
  </si>
  <si>
    <t>Harorli</t>
  </si>
  <si>
    <t>Effect of Photobiomodulation on Secretion of IL-6 and IL-8 by Human Gingival Fibroblasts In Vitro.</t>
  </si>
  <si>
    <t>Biphasic dose response (reverse dose response?)</t>
  </si>
  <si>
    <t>"Laser therapy with 0.84-1.4 J/cm2 amplified IL-6 and IL-8 secretions, whereas 1.97 J/cm2 suppressed IL-6 and IL-8 release in LPS-stimulated cells. Cell viability did not show a variation with photobiomodulation."
"These results demonstrate that photobiomodulation can alter IL-6 and IL-8 release, with cytokine suppression potency at a relatively high dose, as demonstrated previously. However, in contrast, we found that a low level of stimulation (6 J) in the presence of inflammation (LPS stimulation) may further enhance IL-6 and IL-8 release."</t>
  </si>
  <si>
    <t>Maldaner</t>
  </si>
  <si>
    <t>Interaction between low-level laser therapy and Guarana (Paullinia cupana) extract induces antioxidant, anti-inflammatory, and anti-apoptotic effects and promotes proliferation in dermal fibroblasts.</t>
  </si>
  <si>
    <t>LLLT vs guarana</t>
  </si>
  <si>
    <t>"Fibroblasts treated with guarana (5 µg/mL) exhibited anti-inflammatory and anti-apoptotic properties been used in complementary protocols. 
Combined guarana and LLLT treatment significantly decreased protein carbonylation, lipoperoxidation, and DNA oxidation, downregulated the mRNA and protein expression of pro-inflammatory molecules, and upregulated IL-10 gene and protein expression. 
Guarana plus LLLT also decreased the levels of caspases 1, 3, and 8, increased the percentage of S-phase cells, and decreased FGF-1 and KGF-1 levels. 
Some of these changes were also observed after treatment with guarana or LLLT alone."</t>
  </si>
  <si>
    <t>In vitro effect of low-level laser therapy on the proliferative, apoptosis modulation, and oxi-inflammatory markers of premature-senescent hydrogen peroxide-induced dermal fibroblasts.</t>
  </si>
  <si>
    <t>3
4
5
6
8</t>
  </si>
  <si>
    <t>"The H2O2 at 50 μM concentration induced some fibroblast senescence markers and for LLLT, the best dose for treatment was 4 J (p &lt; 0.001). The interaction between H2O2 at 50 μM and LLLT at 4 J showed partially reversion of the higher levels of DNA oxidation, CASP 3, CASP 8, IL-1B, IL-6, and INFy induced by H2O2 exposure. LLLT also trigger increase of IL-10 anti-inflammatory cytokine, FGF-1 and KGF levels. Cellular proliferation was also improved when fibroblasts treated with H2O2 were exposed to LLLT (p &lt; 0.001). 
These results suggest that in fibroblast with some senescence characteristics H2O2-induced, the LLLT presented an important protective and proliferative action, reverting partially or totally negative effects triggering by H2O2."</t>
  </si>
  <si>
    <t>Korea
(Dankook)</t>
  </si>
  <si>
    <t>Light-emitting diode irradiation using 660 nm promotes human fibroblast HSP90 expression and changes cellular activity and morphology.</t>
  </si>
  <si>
    <t>900
1800
3600</t>
  </si>
  <si>
    <t>"After LED irradiation, cellular viability and morphology changed. Of the several HSPs analyzed, the HSP90 level increased significantly, suggesting that this protein played roles in the morphological and cellular changes."
"There was no significant change in the ATP level after LED irradiation regardless of culturing conditions"</t>
  </si>
  <si>
    <t>Akilbekova</t>
  </si>
  <si>
    <t>Kazakhkstan
(Astana)</t>
  </si>
  <si>
    <t>The effect of polarized light on the organization of collagen secreted by fibroblasts.</t>
  </si>
  <si>
    <t>Collagen organization</t>
  </si>
  <si>
    <t>"Twice the level of VEGF was observed for all irradiation conditions compared to control level (p &lt; 0.05)."
"Myofibroblasts were detected in all samples. There was no statistically significant difference between the differentiation in the samples polarized at 0°, 45°, 90°, and 135° and the all condition, as compared to the non-radiated control sample (Fig. 3)."
"The samples exposed to polarized laser light at 0°, 45°, 90°, and 135° showed similar ordering in collagen orientation and were comparable to the orientations measured in the all sample exposed to all the different polarized incidence on consecutive days"
"The data presented here shows that polarized light can upregulate VEGF production, myofibroblast differentiation, and induce different collagen organization in response to different polarization angles of the incident beam."</t>
  </si>
  <si>
    <t>Ayuk</t>
  </si>
  <si>
    <t>Effect of 660 nm visible red light on cell proliferation and viability in diabetic models in vitro under stressed conditions.</t>
  </si>
  <si>
    <t>0.0112</t>
  </si>
  <si>
    <t>9.1
cm2</t>
  </si>
  <si>
    <t>"This study concludes that hypoxic wounded and diabetic hypoxic wounded models responded positively to PBM, and PBM does not damage stressed cells but has a stimulatory effect on cell viability and proliferation to promote repair and wound healing. This suggests that the more stressed the cells are the better they responded to photobiomodulation (PBM)."</t>
  </si>
  <si>
    <t>Martignago</t>
  </si>
  <si>
    <t>Brazil
(Londrina)</t>
  </si>
  <si>
    <t>Effect of low-level laser therapy on the gene expression of collagen and vascular endothelial growth factor in a culture of fibroblast cells in mice.</t>
  </si>
  <si>
    <t>2
3</t>
  </si>
  <si>
    <t>"LLLT (904 nm) had an influence on the expression of the genes COL1α1 (2 J/cm(2)) and VEGF (2 e 3 J/cm(2)) in a culture of the fibroblast cells of mice."</t>
  </si>
  <si>
    <t>Diabetes Technol Ther</t>
  </si>
  <si>
    <t>Collagen production in diabetic wounded fibroblasts in response to low-intensity laser irradiation at 660 nm.</t>
  </si>
  <si>
    <t>"Diabetic wounded cells irradiated with 5 J/cm(2) at 660 nm showed a significant increase in cell migration, viability, proliferation, and collagen content."</t>
  </si>
  <si>
    <t>Weng</t>
  </si>
  <si>
    <t>Clin Exp Dermatol</t>
  </si>
  <si>
    <t>Investigation of irradiation by different nonablative lasers on primary cultured skin fibroblasts.</t>
  </si>
  <si>
    <t>532
1064</t>
  </si>
  <si>
    <t>"Irradiation by all three lasers led to a marked increase in collagen production. Two major antioxidant enzymes, SOD and GSH, were significantly increased, whereas MDA was markedly reduced after laser irradiation. No change in LDH activity was found between nonirradiated and irradiated fibroblasts."
"This study indicates that the increased collagen synthesis by fibroblasts after laser treatment may be partly due to improved antioxidant capacity, which reduces oxidative stress and thus stimulates new collagen production."</t>
  </si>
  <si>
    <t>Taiwan
(Hsinchu)</t>
  </si>
  <si>
    <t>In vitro observations on the influence of copper peptide aids for the LED photoirradiation of fibroblast collagen synthesis.</t>
  </si>
  <si>
    <t>"LED-PI maintained human fibroblast (HS68) viability and increased collagen synthesis when applied by itself. In the combinative stimulation for in vitro collagen production (when LED-PI was followed by Cu-GHK-supplied incubation), stimulated cells showed increased bFGF secretion, P1CP production, and COL1 expression, compared to the LED-PI treatment alone."</t>
  </si>
  <si>
    <t>Bolton</t>
  </si>
  <si>
    <t>UK
(London)</t>
  </si>
  <si>
    <t>The direct effect of 860 nm light on cell proliferation and on succinic dehydrogenase activity of human fibroblasts invitro</t>
  </si>
  <si>
    <t>"The results obtained suggest a relationship between fibroblast proliferation and succinic dehydrogenase activity. At the lower energy density (2 J/cm2), succinic dehydrogenase levels rise with fibroblast proliferation. However, at an energy density of 16 J/cm2, the succinic dehydrogenase levels and fibroblast proliferation appear to be inhibited. These findings agree with previously reported data."</t>
  </si>
  <si>
    <t>Yu</t>
  </si>
  <si>
    <t>USA
(Rochester, NY)</t>
  </si>
  <si>
    <t>The effect of laser irradiation on the release of bFGF from 3T3 fibroblasts</t>
  </si>
  <si>
    <t>3T3 fibroblasts
Biphasic dose response (?)</t>
  </si>
  <si>
    <t>"Our study showed that fibroblasts irradiated with laser energy at 2.16 J/cm2 demonstrated increased cell proliferation and enhanced production of bFGF, whereas fibroblasts irradiated with laser energy at 3.24 J/cm2 neither demonstrated increased cell proliferation or an enhanced release of bFGF as compared to the control group. These results provide direct evidence that the proliferation of fibroblasts as a result of stimulation by low level laser irradiation may be associated with the autocrine production of bFGF from fibroblasts."</t>
  </si>
  <si>
    <t>Hein</t>
  </si>
  <si>
    <t>Germany
(München)</t>
  </si>
  <si>
    <t>Laser light of low power density does not influence chemotaxis and collagen synthesis of human dermal fibroblasts</t>
  </si>
  <si>
    <t>633
647</t>
  </si>
  <si>
    <t>0.05-
32</t>
  </si>
  <si>
    <t>"We report here on in vitro experiments which demonstrate that laser light in dosages between 0.05 and 32 J cm−2 does not influence proliferation and protein synthesis of normal human dermal fibroblasts. There was also no effect on collagen synthesis and chemotaxis of these cells."</t>
  </si>
  <si>
    <t>Pourreau-Schneider</t>
  </si>
  <si>
    <t>France
(Marseille)</t>
  </si>
  <si>
    <t>Am J Pathol</t>
  </si>
  <si>
    <t>Helium-neon laser treatment transforms fibroblasts into myofibroblasts.</t>
  </si>
  <si>
    <t>"These data provide evidence that the primary biologic effect of the Helium-Neon laser on connective tissue is the rapid generation of myofibroblasts from fibroblasts. The induction of a phenotype with contractile properties may have clinical significance in the acceleration of the wound-healing process."</t>
  </si>
  <si>
    <t>Abergel</t>
  </si>
  <si>
    <t>Nonthermal effects of ND:YAG laser on biological functions of human skin fibroblasts in culture.</t>
  </si>
  <si>
    <t>"A marked decrease of collagen production and thymidine incorporation was noted in the cultures subjected to Nd:YAG laser. No such decreases were noted in cultures heated to the corresponding temperatures by tungsten-halogen lamp. The results thus indicate that the biochemical alteration caused by the Nd:YAG laser in human fibroblast functions cannot be explained on the basis of thermal effects."
Comment: Since the laser effect differed from the incandescent lamp, I wonder whether this could be related to coherence or specific wavelength, or biphasic dose response.</t>
  </si>
  <si>
    <t>Bosatra</t>
  </si>
  <si>
    <t>Dermatologica</t>
  </si>
  <si>
    <t>In vitro fibroblast and dermis fibroblast activation by laser irradiation at low energy. An electron microscopic study.</t>
  </si>
  <si>
    <t>🧪 In vitro
(+ 🧑 Human)</t>
  </si>
  <si>
    <t>"In conclusion, it can be stated that the morphological evidence shows more active collagenogenesis in the cells treated with laser irradiation both in vitro and in vivo, whereas synthesis of the mature definitive periodic fibril is hindered for reasons that remain unknown."</t>
  </si>
  <si>
    <t>Fibrosis</t>
  </si>
  <si>
    <t>Combined treatment of low-level laser therapy and phloroglucinol for inhibition of fibrosis.</t>
  </si>
  <si>
    <t>LLLT vs phloroglucinol</t>
  </si>
  <si>
    <t>0.375
0.75
1.5
3.0</t>
  </si>
  <si>
    <t>"When compared with respectively treated groups, the group with the combined treatment of LLLT and PHL significantly reduced cell viability and proliferation. Immunofluorescence staining showed that the combined group minimized more α-smooth muscle actin (α-SMA) and type I collagen than the other groups. Western blot analysis showed that the combined treatment had significant decreases in α-SMA, TGF-β1, and type I collagen."
"PHL-assisted LLLT may be an effective treatment to inhibit fibrosis due to its additive effects. The combined treatment has a potential to be an alternative treatment for fibrosis."</t>
  </si>
  <si>
    <t>Yeh</t>
  </si>
  <si>
    <t>Low-power laser irradiation inhibits arecoline-induced fibrosis: an in vitro study</t>
  </si>
  <si>
    <t>"Interestingly, both LPLI and forskolin, an adenylyl cyclase activator, reduced the expression of arecoline-mediated fibrotic marker genes and inhibited the transcriptional activity of CCN2. Moreover, pretreatment with SQ22536, an adenylyl cyclase inhibitor, blocked LPLI's inhibition of the expression of arecoline-mediated fibrotic marker genes. Our data suggest that LPLI may inhibit the expression of arecoline-mediated fibrotic marker genes via the cAMP signalling pathway."</t>
  </si>
  <si>
    <t>Sassoli</t>
  </si>
  <si>
    <t>Low intensity 635 nm diode laser irradiation inhibits fibroblast-myofibroblast transition reducing TRPC1 channel expression/activity: New perspectives for tissue fibrosis treatment.</t>
  </si>
  <si>
    <t>Fibroblasts</t>
  </si>
  <si>
    <t>"Low intensity irradiation with 635 ± 5 nm diode laser inhibited TGF-β1/Smad3-mediated fibroblast-myofibroblast transition and this effect involved the modulation of TRPC1 ion channels. These data contribute to support the potential anti-fibrotic effect of LLLT and may offer further informations for considering this therapy as a promising therapeutic tool for the treatment of tissue fibrosis."</t>
  </si>
  <si>
    <t>Growth factors</t>
  </si>
  <si>
    <t>Damante</t>
  </si>
  <si>
    <t>Effect of laser phototherapy on the release of fibroblast growth factors by human gingival fibroblasts.</t>
  </si>
  <si>
    <t>3/5</t>
  </si>
  <si>
    <t>0.042
cm2</t>
  </si>
  <si>
    <t>"KGF release was similar in all groups, while that of bFGF was significantly greater (1.49-times) in groups treated with infra-red laser. It was concluded that increased production of bFGF could be one of the mechanisms by which infra-red laser stimulates wound healing."</t>
  </si>
  <si>
    <t>Matrix metalloproteinases (MMP)</t>
  </si>
  <si>
    <t>Schieke</t>
  </si>
  <si>
    <t>Germany
(Düsseldorf)</t>
  </si>
  <si>
    <t>Infrared-A radiation-induced matrix metalloproteinase 1 expression is mediated through extracellular signal-regulated kinase 1/2 activation in human dermal fibroblasts.</t>
  </si>
  <si>
    <t>MMP1
Dose response
Polychromatic light 🌈 (water-filtered infrared A)</t>
  </si>
  <si>
    <t>760-
1400</t>
  </si>
  <si>
    <t>"In conclusion, this study demonstrates that infrared-A is capable of inducing matrix metalloproteinase 1 expression in human dermal fibroblasts via activation of the extracellular signal-regulated kinase 1/2 signaling pathway. This previously unrecognized property of infrared-A points to its possible role in the photoaging of human skin."</t>
  </si>
  <si>
    <t>Matrix proteins</t>
  </si>
  <si>
    <t>Photobiomodulation alters matrix protein activity in stressed fibroblast cells in vitro.</t>
  </si>
  <si>
    <t>108
94</t>
  </si>
  <si>
    <t>5
5</t>
  </si>
  <si>
    <t>420
483</t>
  </si>
  <si>
    <t>"There was an increase in TIMP-1 and Col-I, and a decrease in MMP-3 and -9, as well as an alteration in mRNA expression of MMP3, MMP9, TIMP1 and COL1A1 in irradiated cells. Due to the responsiveness of the diabetic hypoxic wounded model, the findings propose this model as appropriate for wound healing studies and suggest that PBM promotes the remodeling phase of wound healing by decreasing matrix degradation and upregulating synthesis."</t>
  </si>
  <si>
    <t>Microtubules</t>
  </si>
  <si>
    <t>Staelens</t>
  </si>
  <si>
    <t>Front Med Technol</t>
  </si>
  <si>
    <t>Near-Infrared Photobiomodulation of Living Cells, Tubulin, and Microtubules In Vitro</t>
  </si>
  <si>
    <t>LED phototherapy
🎚 Pulsing (10 Hz)</t>
  </si>
  <si>
    <t>"The three sets of experiments in this report have produced a new understanding of the way that living cells, cellular structures, and components such as microtubules and tubulin respond to low-intensity NIR PBM. "</t>
  </si>
  <si>
    <t>Microvesicles</t>
  </si>
  <si>
    <t>Lovisolo</t>
  </si>
  <si>
    <t>Italy
(Novara)</t>
  </si>
  <si>
    <t>Photobiomodulation induces microvesicle release in human keratinocytes: PI3 kinase-dependent pathway role</t>
  </si>
  <si>
    <t>16.2
32.5
48.7</t>
  </si>
  <si>
    <t>"Microvesicles (MVs, 100-1000 nm diameter) are released into the extracellular environment by mammalian cells. MVs interact with near or remote cells through different mechanisms; in particular, MVs from human keratinocytes accelerate wound healing."
"Photobiomodulation therapy, also known as PBMT, was able to increase MV release from human keratinocytes reaching a maximum effect at 32.5 J/cm2 with a stimulation of (148.6 ±15.1)% of basal (p&lt;0.001).
PI-3K activity inhibition strongly reduced both basal- and laser-induced MV release; but PBMT by laser still increased MV release, compared to basal values in the presence of WRT."
"Laser-induced MV release could be a new effect of biostimulation on the wound healing process."</t>
  </si>
  <si>
    <t>Mitochondria</t>
  </si>
  <si>
    <t>Trajano</t>
  </si>
  <si>
    <t>Does photobiomodulation alter mitochondrial dynamics?</t>
  </si>
  <si>
    <t>"This review focuses on the mitochondrial dynamic's role in various diseases, evaluating the possible therapeutic role of low-power lasers (LPL) and light-emitting diodes (LED). 
Studies increasingly support that mitochondrial dysfunction is correlated with severe neurodegenerative diseases such as Parkinson's, Huntington's, Alzheimer's, and Charcot-Marie-Tooth diseases. Furthermore, a disturbance in mitofusin activity is also associated with metabolic disorders, including obesity and type 2 diabetes. 
The effects of PBM on mitochondrial dynamics have been observed in cells using a human fibroblast cell line and in vivo models of brain injury, diabetes, spinal cord injury, Alzheimer's disease, and skin injury. 
Thus, new therapies aiming to improve mitochondrial dynamics are clinically relevant. Several studies have demonstrated that LPL and LED can be important therapies to improve health conditions when there is dysfunction in mitochondrial dynamics."</t>
  </si>
  <si>
    <t>Photobiomodulation on isolated mitochondria at 810 nm: first results on the efficiency of the energy conversion process</t>
  </si>
  <si>
    <t>"In this paper the photobiomodulation on isolated mitochondria of bovine liver is studied as a thermodynamic process of conversion of energy. This analysis is conducted by considering a particular set-up for the photobiomodulation experiments of interest. It allows, in particular, the computation of the electromagnetic field and the related energetic quantities in the stimulated organelles. The measurements of the excess of biochemical power density produced by the illuminated mitochondria are performed at regular time intervals after the experiments. The calculations and the measurements finally allow us to obtain the first results on the efficiency of the process of conversion of electromagnetic energy into excess of biochemical energy released by the isolated organelles."</t>
  </si>
  <si>
    <t>Single Cell Effects of Photobiomodulation on Mitochondrial Membrane Potential and Reactive Oxygen Species Production in Human Adipose Mesenchymal Stem Cells</t>
  </si>
  <si>
    <t>2.5
5.0
10</t>
  </si>
  <si>
    <t>"Present results showed that a fluence of 5 J/cm2 of PBM significantly enhanced the ΔΨm, ROS, and vesicle transport phenomena compared to the control group (0 J/cm2) after 30 min PBM treatment."
Comment: There were also several comparisons that showed no effect.</t>
  </si>
  <si>
    <t>Rono &amp; Oliver</t>
  </si>
  <si>
    <t>USA
(Atlanta, GA)</t>
  </si>
  <si>
    <t>Near infrared light exposure is associated with increased mitochondrial membrane potential in retinal pigmented epithelial cells</t>
  </si>
  <si>
    <t>.0016</t>
  </si>
  <si>
    <t>"Data from our study show that RPE cells exposed to an irradiance of 1.6 mW cm-2 for 30 minutes demonstrate elevations in mitochondrial membrane potential. This is the expectation if NIR light exposure is associated with oxygen consumption, as shown in previously published studies."</t>
  </si>
  <si>
    <t>J Mol Med (Berl)</t>
  </si>
  <si>
    <t>Induction of primitive pigment cell differentiation by visible light (helium-neon laser): a photoacceptor-specific response not replicable by UVB irradiation.</t>
  </si>
  <si>
    <t>Primitive pigment cells
Mitochondrial biogenesis</t>
  </si>
  <si>
    <t>"We first showed that helium-neon (He-Ne) laser (632.8 nm) irradiation stimulated differentiation of primitive pigment cells, an effect not replicable by UVB treatment even at high and damaging doses. 
In addition, significant increases of mitochondrial DNA copy number and the regulatory genes for mitochondrial biogenesis were induced by He-Ne laser irradiation. Mechanistically, we demonstrated that He-Ne laser initiated mitochondrial retrograde signaling via a Ca(2+)-dependent cascade. The impact on cytochrome c oxidase within the mitochondria is responsible for the efficacy of He-Ne laser in promoting melanoblast differentiation. 
Taken together, we propose that visible lights from the sun provide important environmental cues for the relatively quiescent stem or primitive cells to differentiate. In addition, our results also indicate that visible light may be used for regenerative medical purposes involving stem cells."
"As He–Ne laser irradiation increased the mtDNA copy number of NCCmelb4M5 cells, we next evaluated the expressions of the crucial genes associated with mitochondrial biogenesis including PGC-1α, mtTFA, and POLγ at indicated time points after He–Ne laser irradiation. Using quantitative PCR, we demonstrated that the mRNA expressions of these genes showed time- and dose-dependent increase after He–Ne laser treatments (Fig. 2c–e). These results indicated that He–Ne laser induced mitochondrial biogenesis, a process that occurred with induction of kit expression on NCCmelb4M5 in a coordinated manner."</t>
  </si>
  <si>
    <t>Gavish</t>
  </si>
  <si>
    <t>Israel
(Jerusalem)</t>
  </si>
  <si>
    <t>Low level laser irradiation stimulates mitochondrial membrane potential and disperses subnuclear promyelocytic leukemia protein.</t>
  </si>
  <si>
    <t>"The fluorescence intensity of MMP was increased immediately after the end of LLLI by 148 +/- 6% over control (P&lt;0.001). Subsequently it decayed, reaching 51 +/- 14% of the control level (P &lt; 0.01) within 200 minutes."
"Following irradiation, the expression of interleukin-1alpha, interleukin-6, and keratinocyte growth factor (KGF) genes were transiently upregulated; but the expression of the proinflammatory gene interleukin-1beta, was suppressed. The subnuclear distribution of PML was altered from discrete domains to its dispersed form within less than 1 hour after LLLI."
"These changes reflect a biostimulative boost that causes a shift of the cell from a quiescent to an activated stage in the cell cycle heralding proliferation and suppression of inflammation. Further characterization of MMP kinetics may provide a quantitative basis for assessment of the effect of LLLI in the clinical setting."
MMP = mitochondrial membrane potential</t>
  </si>
  <si>
    <t>Nitric oxide</t>
  </si>
  <si>
    <t>Kashiwagi</t>
  </si>
  <si>
    <t>Nitric Oxide</t>
  </si>
  <si>
    <t>Photobiomodulation and nitric oxide signaling</t>
  </si>
  <si>
    <t>"Although the precise mechanisms of action of PBM are still elusive, recent studies consistently report that PBM improves endothelial dysfunction via increasing bioavailable NO in a dose-dependent manner and open a feasible path to the use of PBM for treating cardiovascular diseases via augmenting NO bioavailability. In particular, the use of NIR light in the NIR-II window (1000-1700 nm) for PBM, which has reduced scattering and minimal tissue absorption with the largest penetration depth, is emerging as a promising therapy. In this review, we update recent findings on PBM and NO."</t>
  </si>
  <si>
    <t>FASEB J</t>
  </si>
  <si>
    <t>Near-infrared II photobiomodulation augments nitric oxide bioavailability via phosphorylation of endothelial nitric oxide synthase</t>
  </si>
  <si>
    <t>808
1064
1270</t>
  </si>
  <si>
    <t>0.010</t>
  </si>
  <si>
    <t>"There is solid evidence of the beneficial effect of photobiomodulation (PBM) with low-power near-infrared (NIR) light in the NIR-I window in increasing bioavailable nitric oxide (NO). However, it is not established whether this effect can be extended to NIR-II light, limiting broader applications of this therapeutic modality."
"In short, NIR-II laser enhances bioavailable NO in endothelial cells. Since a hallmark of endothelial dysfunction is suppressed eNOS with concomitant NO deficiency, NIR-II laser technology could be broadly used to restore endothelial NO and treat or prevent cardiovascular diseases."</t>
  </si>
  <si>
    <t>Barolet</t>
  </si>
  <si>
    <t>Canada
(Montreal)</t>
  </si>
  <si>
    <t>Light-induced nitric oxide release in the skin beyond UVA and blue light: Red &amp; near-infrared wavelengths</t>
  </si>
  <si>
    <t>"This review focuses on UVR, blue, red, and NIR spectra and their capacity to release NO in human skin."</t>
  </si>
  <si>
    <t>Pope</t>
  </si>
  <si>
    <t>USA
(San Antonio, TX)</t>
  </si>
  <si>
    <t>Wavelength- and irradiance-dependent changes in intracellular nitric oxide level</t>
  </si>
  <si>
    <t xml:space="preserve"> 447
532
635
808</t>
  </si>
  <si>
    <t>"We found statistically significant wavelength-dependent elevations (10% to 30%) in intracellular NO levels following laser exposures at 447, 532, 635, or 808 nm. Sequential or simultaneous exposures to light at two different wavelengths enhanced the NO modulation up to 50% of unexposed controls. 
Additionally, the immediate increases in cellular NO levels were independent of the function of NO synthase, depended greatly on the substrate source of electrons entering the electron transport chain, and did not result in increased levels of cyclic guanosine monophosphate."
"Our study concludes the simple model of light-mediated release of NO from COX is unlikely to explain the wide variety of PBM effects reported in the literature. Our multiwavelength method provides a novel tool for studying immediate and early mechanisms of PBM as well as exploring intracellular NO signaling networks."</t>
  </si>
  <si>
    <t>Albers</t>
  </si>
  <si>
    <t>Blue light (λ=453 nm) nitric oxide dependently induces β-endorphin production of human skin keratinocytes in-vitro and increases systemic β-endorphin levels in humans in-vivo</t>
  </si>
  <si>
    <t>🧑 Human
🎲 Randomized trial, crossover
+ 🧪 In vitro</t>
  </si>
  <si>
    <t>72
(human)</t>
  </si>
  <si>
    <t>"In the present work we show with human skin keratinocyte cultures in-vitro that exposure of the cells to blue light with a maximum intensity at around 453 nm induced a significant increase in keratinocytic β-endorphin production.
Interestingly, elevated β-endorphin formation in the light-exposed cell cultures was paralleled by significantly increased non-enzymatic generation of nitric oxide (NO), which points at a pivotal role of NO in the observed effect. Indeed, the sole exogenous application of NO to cultured keratinocytes significantly enhanced keratinocytic β-endorphin production as well.
Moreover, in-vivo, whole body exposure of healthy subjects to visible light at λ = 453 nm significantly enhanced both systemic serum concentration of bioactive NO-derivates as well as of β-endorphin."</t>
  </si>
  <si>
    <t>Wajih</t>
  </si>
  <si>
    <t>USA
(Winston-Salem, NC)</t>
  </si>
  <si>
    <t>Redox Biol</t>
  </si>
  <si>
    <t>Erythrocytic bioactivation of nitrite and its potentiation by far-red light.</t>
  </si>
  <si>
    <t xml:space="preserve">"Using photoacoustic imaging in a rat model as a function of varying inspired oxygen, we found that far red light (660 nm, five min. exposure) and nitrite feeding (three weeks in drinking water at 100 mg/L) each separately increased tissue oxygenation and vessel diameter, and the combined treatment was additive. 
We also employed inhibition of human platelet activation measured by flow cytometry to assess RBC-dependent nitrite bioactivation and found that far red light dramatically potentiates platelet inhibition by nitrite. Blocking RBC-surface thiols abrogated these effects of nitrite and far-red light. 
RBC-dependent production of NO was also shown to be enhanced by far red light using a chemiluminescence-based nitric oxide analyzer. In addition, RBC-dependent bioactivation of nitrite led to prolonged lag times for clotting in platelet poor plasma that was enhanced by exposure to far red light."
</t>
  </si>
  <si>
    <t>Keszler</t>
  </si>
  <si>
    <t>Ascorbate attenuates red light mediated vasodilation: Potential role of S-nitrosothiols.</t>
  </si>
  <si>
    <t>"n this study we have investigated the mechanism of vasodilatation and conclude that 670 nm light stimulates vasodilator release from an endothelial store, and that this vasodilator has the characteristics of an S-nitrosothiol (RSNO). 
This study shows that 670 nm irradiation can be used as a targeted and non-invasive means to release biologically relevant amounts of vasodilator from endothelial stores. 
This raises the possibility that these stores can be pharmacologically built-up in pathological situations to improve the efficacy of red light treatment. This strategy may overcome eNOS dysfunction in peripheral vascular pathologies for the improvement of vascular health."</t>
  </si>
  <si>
    <t>Osipov</t>
  </si>
  <si>
    <t>Front Med (Lausanne)</t>
  </si>
  <si>
    <t>Effects of Laser Radiation on Mitochondria and Mitochondrial Proteins Subjected to Nitric Oxide.</t>
  </si>
  <si>
    <t>"Control of mitochondrial respiration by NO by formation or photolytic decay of iron-sulfur protein nitrosyl complexes is an effective instrument to modulate mitochondrial metabolism."</t>
  </si>
  <si>
    <t>Rizzi</t>
  </si>
  <si>
    <t>Photobiomodulation induces in vitro re-epithelialization via nitric oxide production.</t>
  </si>
  <si>
    <t xml:space="preserve">Keranocytes
Re-epithelialization
</t>
  </si>
  <si>
    <t>"Laser stimulation induced an increase in NO production, resulting in an energy-dependent increase in both keratinocytes proliferation and re-epithelialization ability. The direct link between increased NO production and the observed physiological responses was confirmed by their inhibition in L-NAME pre-treated samples. Since NO production increase is a quick event, it is conceivable that it is due to an increase in existing NOS activity rather than to a de novo protein synthesis. For this reason, it could be hypothesized that photobiomodulation-derived NO positive effects on keratinocytes behavior might rely on a near infrared mediated increase in NOS conformational stability and cofactors as well as substrate binding ability, finally resulting in an increased enzymatic activity."</t>
  </si>
  <si>
    <t>Increase in the nitric oxide release without changes in cell viability of macrophages after laser therapy with 660 and 808 nm lasers.</t>
  </si>
  <si>
    <t>Macrophages
Cell viability
Wavelength comparison</t>
  </si>
  <si>
    <t>660
808</t>
  </si>
  <si>
    <t>30/
50/
100</t>
  </si>
  <si>
    <t>10/
30/
60</t>
  </si>
  <si>
    <t>"LLLT promoted statistically significant changes in NO release and MTT value only at the wavelength of 660 nm (p &lt; 0.05). LLLT also promoted an increase in the NO release and cell viability when the energy densities 64 (p = 0.04) and 214 J/cm2 (p = 0.012), respectively, were used."</t>
  </si>
  <si>
    <t>Irradiation at 830 nm stimulates nitric oxide production and inhibits pro-inflammatory cytokines in diabetic wounded fibroblast cells.</t>
  </si>
  <si>
    <t>Fibroblasts
Wounded cell healing
Cytokines</t>
  </si>
  <si>
    <t>"There was a decrease in pro-inflammatory cytokines (IL-1 beta and TNF-alpha) and irradiation stimulated the release of ROS and NO due to what appears to be direct photochemical processes."</t>
  </si>
  <si>
    <t>Ankri</t>
  </si>
  <si>
    <t>Visible light induces nitric oxide (NO) formation in sperm and endothelial cells.</t>
  </si>
  <si>
    <t>Sperm cells
Endothelial cells
Polychromatic light 🌈
Nitric oxide</t>
  </si>
  <si>
    <t>400-
800</t>
  </si>
  <si>
    <t>0.130</t>
  </si>
  <si>
    <t>"Visible light illumination increased NO concentration both in sperm and endothelial cells. Blue light was more effective than red."
"Light induces NO formation in endothelial and sperm cells. In endothelial cells, NO formation may explain previous results demonstrating enhanced wound healing and pain relief following illumination. In illuminated sperm cells, NO formation may account for the enhanced fertilization rate."</t>
  </si>
  <si>
    <t>Mowbray</t>
  </si>
  <si>
    <t>UK
(Edinburgh)</t>
  </si>
  <si>
    <t>Enzyme-independent NO stores in human skin: quantification and influence of UV radiation</t>
  </si>
  <si>
    <t>"It is widely accepted that NO-related products in the form of nitrate, nitrite, and RSNOs are important storage forms of NO, the latter two offering potential sources of recyclable bioactive NO (Lundberg and Govoni, 2004; Rassaf et al., 2004). Nitrite has been shown to act as a signaling molecule in its own right (Bryan et al., 2005), and can also provide a bioavailable pool of NO during periods of hypoxia and ischemia (Zweier et al., 1995; Wink et al., 1996)."
"We have demonstrated that in human epidermis and in sweat on the skin surface nitrate is the predominant NO-related product, followed by nitrite, with only very low concentrations of RSNOs being present."
Comment: Paper is not directly about PBM, but the NO stores are a possible mechanism of PBM. Red light effects on NO stores haven't been investigated in this paper.</t>
  </si>
  <si>
    <t>Dungel</t>
  </si>
  <si>
    <t>Illumination with blue light reactivates respiratory activity of mitochondria inhibited by nitric oxide, but not by glycerol trinitrate.</t>
  </si>
  <si>
    <t>430-</t>
  </si>
  <si>
    <t>"The respiration was completely restored by illumination at the wavelength of 430nm while longer wavelengths were less effective."</t>
  </si>
  <si>
    <t>Lindgård</t>
  </si>
  <si>
    <t>Sweden
(Gothenburg)</t>
  </si>
  <si>
    <t>Irradiation at 634 nm releases nitric oxide from human monocytes.</t>
  </si>
  <si>
    <t>"Irradiation resulted in elevated levels of NO but had no effect on iNOS or eNOS. Irradiation also caused a decrease in levels of intracellular ROS and had no effect on cell viability.
Our studies indicate that irradiation at 634 nm releases NO, possibly from a preformed store, and reduces the production of intracellular ROS without affecting cell viability. Irradiation at 634 nm may have a wide range of clinical applications, including a reduction in oxidative stress-mediated injury in the vasculature."
"The intracellular ATP concentration was not significantly affected by irradiation (Fig. 5)."</t>
  </si>
  <si>
    <t>Cellular effects of low power laser therapy can be mediated by nitric oxide.</t>
  </si>
  <si>
    <t>"The NO donors added to the cellular suspension before irradiation eliminate the radiation-induced increase in the number of cells attached to the glass matrix, supposedly by way of binding NO to cytochrome c oxidase. NO added to the suspension after irradiation can also inhibit the light-induced signal downstream. Both effects of NO depend on the concentration of the NO donors added. These results indicate that NO can control the irradiation-activated reactions that increase the attachment of cells."</t>
  </si>
  <si>
    <t>Moriyama</t>
  </si>
  <si>
    <t>In vivo study of the inflammatory modulating effects of low-level laser therapy on iNOS expression using bioluminescence imaging.</t>
  </si>
  <si>
    <t>635
785
808
905</t>
  </si>
  <si>
    <t>"The results showed a significant increase in BLI signal after irradiation with 635 nm laser when compared to the nonirradiated animals and the other LLLT-treated groups, indicating wavelength dependence of LLLT effects on iNOS expression during the inflammatory process, and thus demonstrating an action spectrum of iNOS gene expression following LLLT in vivo that can be detected by BLI."
"Histological analysis was also performed and demonstrated the presence of fewer inflammatory cells in the synovial joints of mice irradiated with 635 nm compared with nonirradiated knee joints."</t>
  </si>
  <si>
    <t>Olfactory ensheathing cells</t>
  </si>
  <si>
    <t>Byrnes</t>
  </si>
  <si>
    <t>USA
(Washington)</t>
  </si>
  <si>
    <t>Low power laser irradiation alters gene expression of olfactory ensheathing cells in vitro.</t>
  </si>
  <si>
    <t>0.2
68</t>
  </si>
  <si>
    <t>"These results demonstrate that low and high dosages of PBM alter OEC activity, including upregulation of a number of neurotrophic growth factors and extracellular matrix proteins known to support neurite outgrowth. Therefore, the application of PBM in conjunction with OEC transplantation warrants consideration as a potential combination therapy for spinal cord injury."</t>
  </si>
  <si>
    <t>Proliferation</t>
  </si>
  <si>
    <t>Photobiomodulation with a 660-Nanometer Light-Emitting Diode Promotes Cell Proliferation in Astrocyte Culture</t>
  </si>
  <si>
    <t>LED phototherapy
Astrocytes</t>
  </si>
  <si>
    <t>"We determined that the 660-nanometer LED promoted the biological actions of cultured astrocytes by increasing the reactive oxygen species levels.
The overall viability of the cultured cells, which included various cells other than astrocytes, did not change after LED exposure; however, astrocyte-specific proliferation was observed by the increased co-expression of GFAP and bromodeoxyuridine (BrdU)/Ki67.
Furthermore, the 660-nanometer LED provides evidence of differentiation, as shown by the decreased Oct4 and GFAP co-expression and increased nestin and aldh1L1 expression."</t>
  </si>
  <si>
    <t>Bourouni</t>
  </si>
  <si>
    <t>Low Level Laser Therapy With an 810-nm Diode Laser Affects the Proliferation and Differentiation of Premature Osteoblasts and Human Gingival Fibroblasts In Vitro</t>
  </si>
  <si>
    <t>Osteoblast
Human Gingival Fibroblast</t>
  </si>
  <si>
    <t>15</t>
  </si>
  <si>
    <t>"The 810-nm diode laser positively affected cell proliferation and viability in all experimental groups. The statistically significant increased COL1a gene expression at 7 days after irradiation both in the irradiated HGF and co-cultures suggests that low-level laser therapy (LLLT) stimulated extracellular matrix (ECM) formation signaling in both cell types."</t>
  </si>
  <si>
    <t>Sterczała</t>
  </si>
  <si>
    <t>Poland
(Wroclaw)</t>
  </si>
  <si>
    <t>Assessment of Human Gingival Fibroblast Proliferation after Laser Stimulation In Vitro Using Different Laser Types and Wavelengths (1064, 980, 635, 450, and 405 nm)-Preliminary Report</t>
  </si>
  <si>
    <t>Wavelength comparison
Wavelength combination</t>
  </si>
  <si>
    <t>405
450
635
980
1064</t>
  </si>
  <si>
    <t>"The application of the 635 nm and 405 nm irradiation caused a statistically significant increase in the proliferation of gingival fibroblasts."</t>
  </si>
  <si>
    <t>Flores Luna</t>
  </si>
  <si>
    <t>Biphasic Dose/Response of Photobiomodulation Therapy on Culture of Human Fibroblasts.</t>
  </si>
  <si>
    <t>"The total number of cells increased in laser group (LG)1 (0.84 J) and LG2 (1.40 J) and decreased in LG4 (6.72 J). The mitochondrial activity increased significantly in LG1 and LG2 at 48 and 72 h and decreased in LG3 (5.88 J) and LG4 (6.72 J) compared with CG."
"The results indicate that the lower doses (0.45 and 0.75 J/cm2) of PBM induce the highest mitochondrial activity and cellular viability."</t>
  </si>
  <si>
    <t>RNA-Seq analysis revealed the molecular mechanisms of photobiomodulation effect on human fibroblasts.</t>
  </si>
  <si>
    <t>Fibroblasts
Wavelength comparison
Blue light 🔵</t>
  </si>
  <si>
    <t>390
415
660</t>
  </si>
  <si>
    <t>"We found that 415 nm blue light inhibited cell proliferation and 660 nm red light stimulated cell proliferation while 390 nm ultraviolet radiation has little influence on cell proliferation."
"Furthermore, RNA-seq results showed that CSF1R, PPP3CC, ITGAL, ITGAM, IL2RB and several other differentially expressed genes (DEGs) are involved in the cell proliferation. Relative DEGs values for matrix metalloproteinases (MMPs) gene family has shown a great difference in blue and red light radiation especially on MMP25, MMP9, MMP21 and MMP13."</t>
  </si>
  <si>
    <t>China
(Harbin)</t>
  </si>
  <si>
    <t>Photobiomodulation with 630-nm LED radiation inhibits the proliferation of human synoviocyte MH7A cells possibly via TRPV4/PI3K/AKT/mTOR signaling pathway.</t>
  </si>
  <si>
    <t>26
39</t>
  </si>
  <si>
    <t>"In terms of the proliferation and migration, repeated radiation with LED red light (630 nm, 26 and 39 J/cm2) exerted an inhibitory effect on synoviocyte MH7A cells. 
Expression of inflammatory factors (IL-6, IL-1β, IL-8, and MMP-3) was reduced; meanwhile, the expression of anti-inflammatory factor IL-10 was promoted. 
At the protein level, treatment with 39 J/cm2 of LED red light could decrease the level of extracellular protein (IL-6 and IL-8) and affect the expression and phosphorylation of proteins on TRPV4/PI3K/AKT/mTOR signaling pathway induced by TNF-α. 
These results demonstrated that LED red light (630 nm) inhibits proliferation and migration of MH7A cells."</t>
  </si>
  <si>
    <t>Adv Biosyst</t>
  </si>
  <si>
    <t>A Comprehensive Analysis of Near‐Contact Photobiomodulation Therapy in the Host–Bacteria Interaction Model Using 3D‐Printed Modular LED Platform</t>
  </si>
  <si>
    <t>465
575
615
880</t>
  </si>
  <si>
    <t>"The data show that the irradiation of near‐infrared (NIR‐LED) significantly improves the viability of inflamed cells. It reveals that NIR‐LED inhibits the production of reactive oxygen species by regulating the Nox4‐NF‐κB pathway. 
Interestingly, however, high‐pulse frequency stimulus causes the collapse of the mitochondrial membrane potential (ΔΨm) of cells, resulting in cell death."</t>
  </si>
  <si>
    <t>de Abreu</t>
  </si>
  <si>
    <t>Brazil
(Minas Gerais)</t>
  </si>
  <si>
    <t>Photobiomodulation effects on keratinocytes cultured in vitro: a critical review</t>
  </si>
  <si>
    <t>"Overall, the studies failed to provide detailed information about light dosimetry or detailed experimental conditions. The vast majority of the energy densities tested produced unmodified results regardless of the wavelength applied. However, it was possible to observe that red and near-infrared light had more stimulatory effects than blue light. 
"[F]or all parameters analyzed, favorable outcomes were mostly obtained in the range of 0.1-5.0 J/cm2. The less explored energy densities were within the 10.1-15.0 J/cm2 range. Energy densities above 15.0 J/cm2 were ineffective or tended to cause cell death. 
The heterogeneity of the data does not allow us to define a PBMT range setting protocol that would have beneficial effects on keratinocytes."</t>
  </si>
  <si>
    <t>Staffoli</t>
  </si>
  <si>
    <t>Italy
(Rome)</t>
  </si>
  <si>
    <t>Clin Ter</t>
  </si>
  <si>
    <t>The effects of low level laser irradiation on proliferation of human dental pulp: a narrative review.</t>
  </si>
  <si>
    <t>"The results of this review suggest that LLLT may be a useful and important tool for future advances in cell therapy and tissue engineering associated to stem cells. Studies on cell therapy for regenerating dental tissues has already been done, and shows promising results."</t>
  </si>
  <si>
    <t>Ganjali</t>
  </si>
  <si>
    <t>Iran &amp; UK</t>
  </si>
  <si>
    <t>Effect of Laser Irradiation on Cell Cycle and Mitosis.</t>
  </si>
  <si>
    <t>Monkey kidney cell line "Vero (CCL-81)".
Dose response
Biphasic dose response</t>
  </si>
  <si>
    <t>"The results showed that low-intensity laser irradiation in the range of visible red could make meaningful changes in the cell division process (the mitosis activity). These changes depend on the power density, exposure time, the presence of a magnetic field, and the duration of time after exposure termination. The stimulatory effects on the cell division within the power density of 1-6 mW/(cm2 ) and exposure time in the range of 1-10 minutes was studied. It is demonstrated that the increase in these parameters (power density and exposure time) leads to destructing the cell division process."</t>
  </si>
  <si>
    <t>Rohringer</t>
  </si>
  <si>
    <t>The impact of wavelengths of LED light-therapy on endothelial cells.</t>
  </si>
  <si>
    <t>Blue light 🔵
Green light 🟢
Wavelength comparison</t>
  </si>
  <si>
    <t>476
516
635</t>
  </si>
  <si>
    <t>1/
4/
7
(?)</t>
  </si>
  <si>
    <t>"Stimulation with both red and green pulsed LED light significantly increased HUVEC proliferation and 3D migration."
"There was a trend to increased NO formation in the red and green light treated group compared to control immediately after light treatment (Fig. 5)."
"Several parameters showed that green light was even more potent to stimulate proliferation and migration of endothelial cells than clinically well-established red light therapy."</t>
  </si>
  <si>
    <t>Naderi</t>
  </si>
  <si>
    <t>A Comparative Study of 660 nm Low-Level Laser and Light Emitted Diode in Proliferative Effects of Fibroblast Cells.</t>
  </si>
  <si>
    <t>LED phototherapy 
LLLT vs LED
Biphasic dose response</t>
  </si>
  <si>
    <t>1
5
10</t>
  </si>
  <si>
    <t xml:space="preserve">"In contrast to LLL, LED light had no significant impact on the proliferation of Hu02 cells"
"Our findings showed that production of ROS within the cell was linearly increased both in the LED and laser light irradiated cells. However, laser light is more incremental in comparison to LED light. "
</t>
  </si>
  <si>
    <t>Ginani</t>
  </si>
  <si>
    <t>Low-level laser irradiation induces in vitro proliferation of stem cells from human exfoliated deciduous teeth.</t>
  </si>
  <si>
    <t>0.5
1.0</t>
  </si>
  <si>
    <t>"It can be concluded that the LLLI parameters used (660 nm, 30 mW, 1.0 J/cm2) promote the proliferation of SHEDs and the maintenance of cell viability."</t>
  </si>
  <si>
    <t>Vale</t>
  </si>
  <si>
    <t>The Effects of Photobiomodulation Delivered by Light-Emitting Diode on Stem Cells from Human Exfoliated Deciduous Teeth: A Study on the Relevance to Pluripotent Stem Cell Viability and Proliferation.</t>
  </si>
  <si>
    <t>Stem cells from "milk teeth" (deciduous teeth)
LED phototherapy</t>
  </si>
  <si>
    <t>0.037</t>
  </si>
  <si>
    <t>2
4
8
16
32</t>
  </si>
  <si>
    <t>"LED irradiation at 630 nm (37 mW/cm2, 75 mW) with radiant exposure of 16 J/cm2 was capable of inducing a proliferative response in stem cells from the pulp tissue of deciduous teeth without affecting mitochondrial function or inducing senescence."</t>
  </si>
  <si>
    <t>Basso</t>
  </si>
  <si>
    <t>LLLT Effects on Oral Keratinocytes in an Organotypic 3D Model.</t>
  </si>
  <si>
    <t>Biphasic dose response
Organotypic oral epithelium model</t>
  </si>
  <si>
    <t>"LLLT enhanced the cell proliferation and gene expression of keratinocytes (hKGF) as well as epidermal (hEGF) growth factors. In general, analysis of these data shows that the three-dimensional cell culture model can be applied for phototherapy studies and that the positive effects of LLLT were confirmed by the use of an organotypic model."</t>
  </si>
  <si>
    <t>Effects of PBM in different energy densities and irradiance on maintaining cell viability and proliferation of pulp fibroblasts from human primary teeth.</t>
  </si>
  <si>
    <t>Pulp fibroblasts (human primary teeth)</t>
  </si>
  <si>
    <t>"The different irradiation protocols (equal energy densities applied with different irradiances) showed no statistically significant differences on cell viability and proliferation at the evaluated periods."</t>
  </si>
  <si>
    <t>Epithelial cell-enhanced metabolism by low-level laser therapy and epidermal growth factor.</t>
  </si>
  <si>
    <t>Epithelial cells</t>
  </si>
  <si>
    <t>"LLLT enhanced cell migration; however, no significant effects of laser irradiation on other cell functions were observed."</t>
  </si>
  <si>
    <t>Ren</t>
  </si>
  <si>
    <t>Effect of diode low-level lasers on fibroblasts derived from human periodontal tissue: a systematic review of in vitro studies.</t>
  </si>
  <si>
    <t>Inflammation
Differentation</t>
  </si>
  <si>
    <t>"Current evidence showed that diode low-level lasers with adequate parameters stimulated the proliferation and modulated the inflammation of fibroblasts derived from human periodontal tissue."</t>
  </si>
  <si>
    <t>Effects of laser therapy on the proliferation of human periodontal ligament stem cells.</t>
  </si>
  <si>
    <t>"An energy density of 1.0 J/cm² improved the cell proliferation in comparison to the other groups (control and laser 0.5 J/cm²) at 48 and 72 h. The group irradiated with 1.0 J/cm² presented significantly higher MTT activity at 48 and 72 h when compared to the energy density of 0.5 J/cm².
It can be concluded that LLLI using infrared light and an energy density of 1.0 J/cm² has a positive stimulatory effect on the proliferation of hPDLSC."</t>
  </si>
  <si>
    <t>Niu</t>
  </si>
  <si>
    <t>Red Light Combined with Blue Light Irradiation Regulates Proliferation and Apoptosis in Skin Keratinocytes in Combination with Low Concentrations of Curcumin.</t>
  </si>
  <si>
    <t>Proliferation inhibition
LED phototherapy
Blue light 🔵</t>
  </si>
  <si>
    <t>405
405+
630/
660</t>
  </si>
  <si>
    <t>"In this study, we show that curcumin at low concentrations (1.25–3.12 μM) has a strong anti-proliferative effect on TNF-α-induced psoriasis-like inflammation when applied in combination with light-emitting-diode devices. The treatment was especially effective when LED blue light at 405 nm was combined with red light at 630 or 660 nm, which markedly amplified the anti-proliferative and apoptosis-inducing effects of curcumin."
Comment: In this study, they aimed to inhibit proliferation.</t>
  </si>
  <si>
    <t>Exp Biol Med (Maywood)</t>
  </si>
  <si>
    <t>Evaluation of the photobiomodulation in L929 cell culture.</t>
  </si>
  <si>
    <t>0.1
0.5
1
2
3
5
7
10
20
30</t>
  </si>
  <si>
    <t>"Our results showed that low-level laser therapy stimulates effect when the energy density is 5 to 3030 J/cm(2) and inhibits effects on energy density 0.1 to 3 J/cm(2). This inhibitory effect was evidenced by the absence of dead cells labeled, decreased cell density, and by the absorption of neutral red in intact cells."
"The present study demonstrated that LLLT has proliferative and inhibitory effects on L929 cells, depending on the parameters chosen for irradiation, which influence the results. It was also demonstrated that the metabolic condition of the cells dictates the intensity response after irradiation."</t>
  </si>
  <si>
    <t>Helium-neon laser irradiation promotes the proliferation and migration of human epidermal stem cells in vitro: proposed mechanism for enhanced wound re-epithelialization.</t>
  </si>
  <si>
    <t>Human epidermal stem cells (ESCs)</t>
  </si>
  <si>
    <t>"He-Ne laser irradiation markedly promoted cell proliferation and migration accompanied by an increase in the phosphorylation of ERK, but did not significantly influence cell differentiation."
"Our data indicated that photostimulation with a He-Ne laser resulted in a significant increase in human ESC proliferation and migration in vitro, which might contribute, at least partially, to accelerated wound re-epithelialization by low-level laser therapy."</t>
  </si>
  <si>
    <t>Lev-Tov</t>
  </si>
  <si>
    <t>USA
(Mather, CA)</t>
  </si>
  <si>
    <t>Dermatol Surg</t>
  </si>
  <si>
    <t>Inhibition of fibroblast proliferation in vitro using low-level infrared light-emitting diodes.</t>
  </si>
  <si>
    <t>Dose response
(or biphasic dose response, since they use very high doses)
LED phototherapy</t>
  </si>
  <si>
    <t>80
160
320</t>
  </si>
  <si>
    <t>"IR LLLT can effectively inhibit fibroblast proliferation in vitro without altering viability and holds promise for the treatment of scars."
Comment: I'll interpret this result as positive, even though the outcome was proliferation inhibition.</t>
  </si>
  <si>
    <t>Inhibition of fibroblast proliferation in vitro using red light-emitting diodes.</t>
  </si>
  <si>
    <t>160
320
640</t>
  </si>
  <si>
    <t>"At certain fluences, red LLLT can effectively inhibit fibroblast proliferation in vitro without altering viability and holds promise for the treatment of scars and other proliferative skin diseases."
Comment: They used very high doses, obviously purposefully. Since their goal was to limit proliferation, I'll interpret this result as positive, even though the outcome was proliferation inhibition.</t>
  </si>
  <si>
    <t>China
(Fuzhou)</t>
  </si>
  <si>
    <t>Efficacy of Proliferation of HeLa Cells under Three Different Low-Intensity Red Lasers Irradiation</t>
  </si>
  <si>
    <t>633
658
785</t>
  </si>
  <si>
    <t xml:space="preserve">"The results indicated that the proliferation of HeLa cells in 10% FBS was in proliferation-specific homeostasis (PSH) so that it was not modulated with LIL; the proliferation in FBS at 1%, 2%, or 5% was far from PSH so that it may be wavelength dependently modulated with LIL, and the maximum proliferation promotion was conducted with LIL at 633 nm amongst the three different LIL."
Comment: The results were quite mixed. LLLT was associated with less proliferation in some contexts (low FBS concentration). </t>
  </si>
  <si>
    <t>Effect of 635 nm light-emitting diode irradiation on intracellular superoxide anion scavenging independent of the cellular enzymatic antioxidant system.</t>
  </si>
  <si>
    <t>Human epithelial cells
LED phototherapy</t>
  </si>
  <si>
    <t>(470)
635</t>
  </si>
  <si>
    <t>0.005
0.005</t>
  </si>
  <si>
    <t>18
18</t>
  </si>
  <si>
    <t>"These results highlight the potential role of 635 nm irradiation in protection against oxidative stress by scavenging superoxide anions. Also, a pathway that is independent of the activities of intracellular enzymatic ROS scavengers, such as superoxide dismutase, glutathione peroxidase and catalase might be involved in its mechanism of action."</t>
  </si>
  <si>
    <t>Hammouda</t>
  </si>
  <si>
    <t>Egypt J Histol</t>
  </si>
  <si>
    <t>Stimulatory effect of helium–neon laser irradiation on human umbilical vein endothelial cells</t>
  </si>
  <si>
    <t>Human umbilical vein endothelial cells (HUVEC)</t>
  </si>
  <si>
    <t>1.77
3.54</t>
  </si>
  <si>
    <t>"The present study showed that 1.77 and 3.54 J/cm2 of He–Ne laser irradiation stimulated human umbilical vein endothelial cell line proliferation."</t>
  </si>
  <si>
    <t>AlGhamdi</t>
  </si>
  <si>
    <t>Saudi Arabia (Riyadh)</t>
  </si>
  <si>
    <t>Low-level laser therapy: a useful technique for enhancing the proliferation of various cultured cells.</t>
  </si>
  <si>
    <t>"This review suggests that an energy density value of 0.5 to 4.0 J/cm(2) and a visible spectrum ranging from 600 to 700 nm of LLLT are very helpful in enhancing the proliferation rate of various cell lines. With the appropriate use of LLLT, the proliferation rate of cultured cells, including stem cells, can be increased, which would be very useful in tissue engineering and regenerative medicine."</t>
  </si>
  <si>
    <t>Saito</t>
  </si>
  <si>
    <t>Bull Tokyo Dent Coll</t>
  </si>
  <si>
    <t>Effect of diode laser on proliferation and differentiation of PC12 cells.</t>
  </si>
  <si>
    <t>Differentiation
PC12 cells</t>
  </si>
  <si>
    <t>5
20</t>
  </si>
  <si>
    <t>"Laser irradiation at 20 J/cm(2) significantly decreased the number of PC12 cells, while no difference was seen between the 5 J/cm(2) group and the control group (p&lt;0.05)."
"Western blotting revealed marked expression of neurofilament and β-tubulin, indicating greater neurite differentiation in the irradiation groups than in the control group at 48 hr. Irradiation also enhanced expression of phospho-p38. The decrease in number of cells after laser irradiation was accelerated by p38 inhibitor, while neurite differentiation was up-regulated by laser irradiation, even when the p38 pathway was blocked."</t>
  </si>
  <si>
    <t>Almeida-Lopes</t>
  </si>
  <si>
    <t>Comparison of the low level laser therapy effects on cultured human gingival fibroblasts proliferation using different irradiance and same fluence.</t>
  </si>
  <si>
    <t>Gingival fibroblasts
Biphasic dose response (time parameter; fixed fluence)
Wavelength comparison</t>
  </si>
  <si>
    <t>670
692
780
786</t>
  </si>
  <si>
    <t>2
2
2
2</t>
  </si>
  <si>
    <t>"The LLLT acts by improving the in vitro fibroblast proliferation and a smaller laser exposure time results in higher proliferation."</t>
  </si>
  <si>
    <t>Peplow</t>
  </si>
  <si>
    <t>Laser photobiomodulation of proliferation of cells in culture: a review of human and animal studies.</t>
  </si>
  <si>
    <t>"In total, 46 relevant articles were included in the review, comprising work completed on a variety of cell types."
"Findings from studies of cells in culture clearly demonstrate the ability of laser irradiation to modulate (typically stimulate) cellular proliferation. The relevance of some irradiation parameters remains occult and represents an important area for further research."</t>
  </si>
  <si>
    <t>de Sousa</t>
  </si>
  <si>
    <t>Effect of LED phototherapy of three distinct wavelengths on fibroblasts on wound healing: a histological study in a rodent model.</t>
  </si>
  <si>
    <t>LED phototherapy
Blue and green light 🔵🟢
Wavelength comparison</t>
  </si>
  <si>
    <t>460
530
700</t>
  </si>
  <si>
    <t>22
8
15</t>
  </si>
  <si>
    <t>10
10
10</t>
  </si>
  <si>
    <t>4
4
4
(?)</t>
  </si>
  <si>
    <t>"The quantitative results showed that red LED (700 +/- 20 nm) and green LED (530 +/- 20 nm) showed a significant increase in fibroblast numbers (p &lt; 0.01 and p = 0.02) when compared with the control group."</t>
  </si>
  <si>
    <t>Frigo</t>
  </si>
  <si>
    <t>Low-level laser irradiation (InGaAlP-660 nm) increases fibroblast cell proliferation and reduces cell death in a dose-dependent manner.</t>
  </si>
  <si>
    <t>Fibroblast cell
3T3 cell
Biphasic dose response</t>
  </si>
  <si>
    <t>3
21</t>
  </si>
  <si>
    <t>150
1050</t>
  </si>
  <si>
    <t>2
mm2</t>
  </si>
  <si>
    <t>60
420</t>
  </si>
  <si>
    <t>"Our data support the hypothesis that the physiological state of the cells affects the LLLT results, and that high-metabolic rate and short- cell-cycle 3T3 cells are not responsive to LLLT. In conclusion, LLLT with a dose of 3 J reduced cell death significantly, but did not stimulate cell cycle.
A LLLT dose of 21 J had negative effects on the cells, as it increased cell death and inhibited cell proliferation."</t>
  </si>
  <si>
    <t>Laser biomodulation on L 929 cell culture.</t>
  </si>
  <si>
    <t>0.05
6.00</t>
  </si>
  <si>
    <t>"Irradiation of L929 cells with pulsed laser in the near infrared region (904 nm) at two quite distinct energy densities allowed the observation of increased cell proliferation in both cases. The result was slightly higher for an energy density of 50 mJ=cm2 than for 6 J=cm2 , as demonstrated by fluorescence microscopy. Cell response was also found to be better 72 h after irradiation."
Comment: The lower dose was more effective, even though the dose was 120-fold smaller (50mJ/cm2 vs 6J/cm2).</t>
  </si>
  <si>
    <t>Taniguchi</t>
  </si>
  <si>
    <t>Japan
(Kyoto)</t>
  </si>
  <si>
    <t>Low-energy laser irradiation promotes synovial fibroblast proliferation by modulating p15 subcellular localization.</t>
  </si>
  <si>
    <t>HIG-82 rabbit synovial fibroblasts</t>
  </si>
  <si>
    <t>"LELI promoted HIG-82 synovial fibroblast proliferation and induced cytoplasmic localization of cyclin-dependent kinase inhibitor p15 (INK4B/CDKN2B)."
"Our findings suggest that cAMP may be involved in the effect of LELI on synovial fibroblast proliferation."</t>
  </si>
  <si>
    <t>Brondon</t>
  </si>
  <si>
    <t>Pulsing influences photoradiation outcomes in cell culture.</t>
  </si>
  <si>
    <t>Human epithelial cells (HEp-2)
Pulsing
LED phototherapy</t>
  </si>
  <si>
    <t>5.0</t>
  </si>
  <si>
    <t>"Cell proliferation was maximally stimulated at 100 Hz at 48 and 72 hours (n = 4, P&lt; or =0.05). Oxidative burst was maximally stimulated at 600 Hz (n = 4, P&lt; or =0.05). All frequencies were stimulatory at 48 and 72 hours (n = 4, P&lt; or =0.05)."</t>
  </si>
  <si>
    <t>Eduardo</t>
  </si>
  <si>
    <t>Cultured epithelial cells response to phototherapy with low intensity laser.</t>
  </si>
  <si>
    <t>Epithelial cell cultures (Vero cell line) 
Wavelength comparison</t>
  </si>
  <si>
    <t>40
70</t>
  </si>
  <si>
    <t>"Phototherapy with the laser parameters tested increases epithelial cell growth rate for cells stressed by growth under nutritionally deficient states. This cell growth improvement is directly proportional to the number of irradiations; however, was not enough to reach the full cell growth potential rate of Vero epithelial cell line observed when growing under nutritional regular condition."</t>
  </si>
  <si>
    <t>Pal</t>
  </si>
  <si>
    <t>USA
(Melbourne, FL)</t>
  </si>
  <si>
    <t>Effect of low intensity laser interaction with human skin fibroblast cells using fiber-optic nano-probes.</t>
  </si>
  <si>
    <t>Human skin fibroblast cells
Dose response</t>
  </si>
  <si>
    <t>8
10
16</t>
  </si>
  <si>
    <t>"Laser irradiation induced enhancement in the rate of cell proliferation was observed to be dependent on laser exposure parameters and the method of laser delivery. The total energy dose (fluence) had a greater influence on the enhancement in the rate of cellular proliferation than compared to laser intensity."</t>
  </si>
  <si>
    <t>Azevedo</t>
  </si>
  <si>
    <t>Influence of different power densities of LILT on cultured human fibroblast growth : a pilot study.</t>
  </si>
  <si>
    <t>Human gingival fibroblasts
Intensity comparison</t>
  </si>
  <si>
    <t>10
29</t>
  </si>
  <si>
    <t>0.143
0.429</t>
  </si>
  <si>
    <t>"The cell growth of the irradiated groups was significantly higher than control group (P&lt;or=0.05). The cultures of Group II presented cell growth superior to that of Group III. Based on the conditions of this study, we concluded that the power density influences cell growth in an inversely proportional manner."</t>
  </si>
  <si>
    <t>Moore</t>
  </si>
  <si>
    <t>USA
(Oklahoma City, OK)</t>
  </si>
  <si>
    <t>Effect of wavelength on low-intensity laser irradiation-stimulated cell proliferation in vitro.</t>
  </si>
  <si>
    <t>Fibroblasts
Endothelial cells
Wavelength comparison</t>
  </si>
  <si>
    <t>625
635
645
655
665
675
810</t>
  </si>
  <si>
    <t>"Fibroblasts proliferated faster than endothelial cells in response to laser irradiation. Maximum cell proliferation occurred with 665 and 675 nm light, whereas 810 nm light was inhibitory to fibroblasts."</t>
  </si>
  <si>
    <t>A study of the effects of phototherapy dose interval on photobiomodulation of cell cultures.</t>
  </si>
  <si>
    <t>Human HEP-2
Murine L-929
LED phototherapy</t>
  </si>
  <si>
    <t>"Cellular response to dose frequency varies. More frequent treatments (2/24 hours) increased metabolism and proliferation in both cell lines. Further investigation of dose fractionation in phototherapy is warranted."</t>
  </si>
  <si>
    <t>Biological effects of helium-neon laser irradiation on normal and wounded human skin fibroblasts.</t>
  </si>
  <si>
    <t>Human skin fibroblasts
Biphasic dose response</t>
  </si>
  <si>
    <t>0.5
2.5
5
10</t>
  </si>
  <si>
    <t>"Cellular parameters evaluated cell proliferation, cell viability, and cytotoxicity while molecular parameters assessed the extent of DNA damage."
"The results clearly demonstrate that LLLT has an effect on normal and wounded(3) human skin fibroblasts. The parameters showed that doses of 0.5, 2.5, 5, and 10 J/cm2 were sufficient to produce measurable changes in fibroblast cells."
"A dose of 10 J/cm2 appeared to produce a significant amount of cellular and molecular damage, which could be an important consideration for other therapies, such as photodynamic therapy."</t>
  </si>
  <si>
    <t>Mognato</t>
  </si>
  <si>
    <t>Italy
(Padova)</t>
  </si>
  <si>
    <t>Cell growth modulation of human cells irradiated in vitro with low-level laser therapy.</t>
  </si>
  <si>
    <t>HeLa and TK6 cells</t>
  </si>
  <si>
    <t>1-60</t>
  </si>
  <si>
    <t>"The effect of the combined low-level 808-905-nm diode laser irradiation were slightly superior to those achieved with either laser alone in HeLa cells. TK6 cellular proliferation was not found to be significantly affected by any of the energy levels and varying exposure doses investigated."
"Our results are a confirmation of previous observations carried out on human cells, where only the proliferation of slowly growing cell populations appeared to be stimulated by laser light."</t>
  </si>
  <si>
    <t>Vinck</t>
  </si>
  <si>
    <t>Increased fibroblast proliferation induced by light emitting diode and low power laser irradiation.</t>
  </si>
  <si>
    <t>Fibroblasts
LED phototherapy
LLLT vs LED
Green light 🟢
Wavelength comparison</t>
  </si>
  <si>
    <t>830
Laser
570
660
950
LED</t>
  </si>
  <si>
    <t>"Statistical analysis revealed a higher rate of proliferation (p &lt; 0.001) in all irradiated cultures in comparison with the controls. Green light yielded a significantly higher number of cells, than red (p &lt; 0.001) and infrared LED light (p &lt; 0.001) and than the cultures irradiated with the LLL (p &lt; 0.001); the red probe provided a higher increase (p &lt; 0.001) than the infrared LED probe and than the LLL source."</t>
  </si>
  <si>
    <t>Effect of low-power laser irradiation on cell growth and procollagen synthesis of cultured fibroblasts.</t>
  </si>
  <si>
    <t>NIH-3T3 fibroblasts
Biphasic dose response</t>
  </si>
  <si>
    <t>3
4
5</t>
  </si>
  <si>
    <t>"Our results showed that a particular laser irradiation stimulates fibroblast proliferation, without impairing procollagen synthesis."
Comment: Between groups, there were some other changes than the energy density as well (see the full text).</t>
  </si>
  <si>
    <t>Al-Watban &amp; Andres</t>
  </si>
  <si>
    <t>The effect of He-Ne laser (632.8 nm) and Solcoseryl in vitro.</t>
  </si>
  <si>
    <t>CHO cells
HSF cells</t>
  </si>
  <si>
    <t>0.00125</t>
  </si>
  <si>
    <t>0.06-
0.6</t>
  </si>
  <si>
    <t>"This study demonstrates that SS and He-Ne could be used alone or in combination to augment cellular proliferation with the use at their optimal doses. Their effect was dependent on the cell type."</t>
  </si>
  <si>
    <t>Effect of He-Ne laser (632.8 nm) and Polygen on CHO cells.</t>
  </si>
  <si>
    <t>CHO cells</t>
  </si>
  <si>
    <t>"Results suggest that the He:Ne laser or PG can stimulate CHO cell proliferation and that further stimulation can be achieved by using the He:Ne laser and PG simultaneously. This combination could be useful as a new treatment modality."</t>
  </si>
  <si>
    <t>Grossman</t>
  </si>
  <si>
    <t>Israel
(Beersheba)</t>
  </si>
  <si>
    <t>780 nm low power diode laser irradiation stimulates proliferation of keratinocyte cultures: involvement of reactive oxygen species.</t>
  </si>
  <si>
    <t>"The results indicate that 780 nm low power diode laser irradiation enhanced keratinocytes proliferation in vitro, with an apparent involvement of ROS in this response, and comparably, might be used to promote their proliferation in vivo to enhance wound healing."</t>
  </si>
  <si>
    <t>Pogrel</t>
  </si>
  <si>
    <t>Effects of low-energy gallium-aluminum-arsenide laser irradiation on cultured fibroblasts and keratinocytes.</t>
  </si>
  <si>
    <t>5-
100</t>
  </si>
  <si>
    <t>0.12-
4.24</t>
  </si>
  <si>
    <t>10-
120</t>
  </si>
  <si>
    <t>"The gallium-aluminum-arsenide laser, when utilized at powers 5-100 milliwatts and times of between 10-120 seconds has no biostimulatory effects on fibroblasts or keratinocyte cultures as assessed by cell proliferation, adhesion, or migration."</t>
  </si>
  <si>
    <t>Hrnjak</t>
  </si>
  <si>
    <t>Stimulatory effect of low-power density He-Ne laser radiation on human fibroblasts in vitro. [Article in English, Serbian]</t>
  </si>
  <si>
    <t>0.5
1.0
1.5
2.0</t>
  </si>
  <si>
    <t>"Single He-Ne laser irradiation exhibited a significant stimulation effect on human fibroblast proliferation in cell-culture."</t>
  </si>
  <si>
    <t>Loevschall &amp; Arenholt-Bindslev</t>
  </si>
  <si>
    <t>Denmark
(Aarhus)</t>
  </si>
  <si>
    <t>Effect of low level diode laser irradiation of human oral mucosa fibroblasts in vitro</t>
  </si>
  <si>
    <t>0.0045</t>
  </si>
  <si>
    <t>1
3
10
32
100
316
1000</t>
  </si>
  <si>
    <t>"Following LLL exposure the 3H-cpm/protein ratio was increased with maximum cpm/protein ratio (132.5% +/- 10.6% SEM) in the group receiving 450 mJ/cm2 (P &lt; 0.03 nonparametric Kruskal Wallis one-way ANOVA-test).
This study demonstrated an increased incorporation on tritiated thymidine in cultured human oral fibroblasts following LLL exposure and suggests that LLL irradiation can induce increased DNA synthesis."</t>
  </si>
  <si>
    <t>2.16
3.24</t>
  </si>
  <si>
    <t>"Our study showed that fibroblasts irradiated with laser energy at 2.16 J/cm2 demonstrated increased cell proliferation and enhanced production of bFGF, whereas fibroblasts irradiated with laser energy at 3.24 J/cm2 neither demonstrated increased cell proliferation or an enhanced release of bFGF as compared to the control group."</t>
  </si>
  <si>
    <t>Steinlechner &amp; Dyson</t>
  </si>
  <si>
    <t>The effects of low level laser therapy on the proliferation of keratinocytes</t>
  </si>
  <si>
    <t>Keratinocytes
Wavelength comparison</t>
  </si>
  <si>
    <t>633
904</t>
  </si>
  <si>
    <t>"The results obtained indicate that: (1) LLLT stimulates keratinoycte proliferation; (2) the delay in proliferation observed in keratinocytes taken from confluent cultures may be reduced by laser irradiation; (3) LLLT has a greater effect on cultures grown in the poor conditions of 1% FCS than in the better conditions provided by 5% FCS; and (4) LLLT has biostimulatory properties at energy densities as low as 0.25 J/cm2."</t>
  </si>
  <si>
    <t>van Breugel</t>
  </si>
  <si>
    <t>Power density and exposure time of He-Ne laser irradiation are more important than total energy dose in photo-biomodulation of human fibroblasts in vitro.</t>
  </si>
  <si>
    <t>Human fibroblasts
Biphasic dose response</t>
  </si>
  <si>
    <t>0.55
1.24
2.91
5.98</t>
  </si>
  <si>
    <t>330
145
60
30</t>
  </si>
  <si>
    <t>"Collagen type I production (as determined by an ELISA) was affected in the opposite direction to cell proliferation: when the cell proliferation was increased, collagen type I production was decreased."
"Both stimulation and inhibition of the observed cell properties can be obtained with the same laser on the same cells."
Comment: Increased proliferation was noted in only one of the four groups studied.</t>
  </si>
  <si>
    <t>Hallman</t>
  </si>
  <si>
    <t>USA
(Rochester, MN)</t>
  </si>
  <si>
    <t>Does low-energy helium-neon laser irradiation alter "in vitro" replication of human fibroblasts?</t>
  </si>
  <si>
    <t>Human fibroblasts</t>
  </si>
  <si>
    <t>"A significant stimulative, or inhibitive, effect on replication was not found in either trial."</t>
  </si>
  <si>
    <t>Protection</t>
  </si>
  <si>
    <t>Tsunoi</t>
  </si>
  <si>
    <t>Japan
(Tokorozawa)</t>
  </si>
  <si>
    <t>Viability Improvement of Three-Dimensional Human Skin Substitutes by Photobiomodulation during Cultivation</t>
  </si>
  <si>
    <t>440
523
658
823</t>
  </si>
  <si>
    <t>0.015</t>
  </si>
  <si>
    <t>50
or
600</t>
  </si>
  <si>
    <t>"PBM at 823 nm for 50 s (0.75 J cm-2 ) significantly improved the viability of the 3D-cultured skin"</t>
  </si>
  <si>
    <t>Atum</t>
  </si>
  <si>
    <t>Photobiomodulation therapy preconditioning modifies nitric oxide pathway and oxidative stress in human-induced pluripotent stem cell-derived ventricular cardiomyocytes treated with doxorubicin</t>
  </si>
  <si>
    <t>Doxorubicin toxicity</t>
  </si>
  <si>
    <t>"Our data suggested that PBMT preconditioning ameliorated in vitro DOX-induced cardiotoxicity on transcription level, restoring NO levels and reducing oxidative stress."</t>
  </si>
  <si>
    <t>Victor</t>
  </si>
  <si>
    <t>Effect of Photobiomodulation in Lipopolysaccharide-Treated Myoblasts</t>
  </si>
  <si>
    <t>10
40</t>
  </si>
  <si>
    <t>"An increase in cell viability was found in both LPS groups in comparison with the control. PBM with the higher power output (40 mW) induced a reduction in cell viability."
"PBM also modulated the synthesis of NO in the myoblasts, but did not alter the expression of IL-6."</t>
  </si>
  <si>
    <t>de Fonseca</t>
  </si>
  <si>
    <t>Effect of low power lasers on prokaryotic and eukaryotic cells under different stress condition: a review of the literature</t>
  </si>
  <si>
    <t>"Exposure to radiations emitted by low power radiation sources could induce adaptive responses enabling cells to survive in stressful conditions, such as those experienced by bacteria in their host and by eukaryotic cells in injured tissues"
"Different types of stressors were evaluated, and incubation in low fetal bovine serum [21,22,23, 30, 31, 33, 35,36,37, 41, 42] was the mostly carried out. Other stressors were hydrogen peroxide [19, 34, 44]; glutamate, kainite and glutamate, N-methyl-D-aspartate [20], and doxorubicin [43]; high glucose concentration [25]; gamma [18], ultraviolet A [29], and X radiation [38]; compressive force [32]; and cryopreservation [39, 40].
Also, different eukaryotic cell types were used, including HeLa cell [18, 38], B-lymphoblast [29], fibroblast [21, 33, 44], Vero [30], dental pulp stem cell [22, 36, 41], neuron [19, 20, 25, 34], myoblast [23, 31, 35, 37], periodontal ligament cells [32], adipose-derived stem cells [44], osteoblast [24], sperm [40], stem cells from exfoliated deciduous teeth [42], and mesenchymal stem cells [43].
A number of effects were reported following photobiomodulation, mainly the increase of cell growth or cell proliferation [18, 21, 30, 39, 44] and increase of cell survival or cell viability [18, 20, 22, 25, 33,34,35]. However, decrease of cell growth [31] and decrease of cell survival [38] were reported."</t>
  </si>
  <si>
    <t>Photobiomodulation Promotes Neuronal Axon Regeneration After Oxidative Stress and Induces a Change in Polarization from M1 to M2 in Macrophages via Stimulation of CCL2 in Neurons: Relevance to Spinal Cord Injury</t>
  </si>
  <si>
    <t>Oxidative stress (by hydrogen peroxide)</t>
  </si>
  <si>
    <t>0.002</t>
  </si>
  <si>
    <t>2.5
cm2</t>
  </si>
  <si>
    <t>"The PBM-DRG [dorsal root ganglion] model was constructed to perform PBM on neurons under oxidative stress simulated in vitro."
"PBM could promote survival and axonal regeneration of DRG under SCI oxidative stress, increase the secretion level of CCL2 by DRG, and this change can reduce the polarization of macrophages to M1, further indicating that PBM could promote spinal cord injury repair."</t>
  </si>
  <si>
    <t>Mirakabad</t>
  </si>
  <si>
    <t>The Effect of Low-Level Laser Therapy and Curcumin on the Expression of LC3, ATG10 and BAX/BCL2 Ratio in PC12 Cells Induced by 6-Hydroxide Dopamine</t>
  </si>
  <si>
    <t>PBM vs curcumin</t>
  </si>
  <si>
    <t>"This study shows that the combination of 5 μM CU and LLLT has the best neuroprotective effect on PC12 cells against 6-OHDA by decreasing the BAX/BCL2 ratio."</t>
  </si>
  <si>
    <t>Chaudary</t>
  </si>
  <si>
    <t>In Vitro Effects of 635 Nm Photobiomodulation Under hypoxia/reoxygenation Culture Conditions</t>
  </si>
  <si>
    <t>"PBM of H/R-challenged cells enhanced mitochondrial activity and rescued decreased ATP levels, with significant effects in fibroblasts. This was associated with increased cell proliferation rates in both cell types. The increase was again more pronounced in fibroblasts"
"Our study concluded that PBM with red LED light significantly restored ATP levels during H/R and effectively promoted cell growth under both normoxic and H/R conditions."
"In clinical applications, PBM has been repeatedly reported to resolve difficult clinical situations in which ischemia/reperfusion injuries are a major issue. Our study confirms the beneficial effects of PBM especially in H/R-challenged cells."</t>
  </si>
  <si>
    <t>Toxicon</t>
  </si>
  <si>
    <t>Photobiomodulation Effect in C2C12 Cells After Incubation With Bothrops Jararacussu Venom: Reduction of Oxidative Stress and Inflammatory Mediators [ABSTRACT ONLY]</t>
  </si>
  <si>
    <t>Snake venom</t>
  </si>
  <si>
    <t>"PBM irradiation significantly reduced NO release, but did not alter H2O2 release. No difference was observed of antioxidant enzymes in C2C12 cells incubated to BjV. PBM induced a significant increase of SOD in comparison to the venom group, but not modify Gpx release. Moreover, the release of IL-1b, IL-6, and TNF-a were reduced by 660 and 780 nm irradiation. C"</t>
  </si>
  <si>
    <t>Beyond 2D: effects of photobiomodulation in 3D tissue-like systems.</t>
  </si>
  <si>
    <t>630
840</t>
  </si>
  <si>
    <t>"The PBM was able to improve cell viability in hydrogels. The most pronounced effect was achieved with near-IR irradiation at the 840-nm wavelength."</t>
  </si>
  <si>
    <t>Terena</t>
  </si>
  <si>
    <t>Photobiomodulation alters the viability of HUVECs cells.</t>
  </si>
  <si>
    <t>Wavelength comparison
Dose response
Biphasic dose response</t>
  </si>
  <si>
    <t>"Red laser increased the viability and concentration of total proteins in HUVECs, whereas infrared laser had an inhibitory effect on cell viability, while maintaining the total protein concentration similar to that found in the control group."</t>
  </si>
  <si>
    <t>Ferroni</t>
  </si>
  <si>
    <t>Italy
(Cotignola)</t>
  </si>
  <si>
    <t>Fluorescent Light Energy (FLE) Acts on Mitochondrial Physiology Improving Wound Healing.</t>
  </si>
  <si>
    <t>Mitochondria
LED phototherapy
Polychromatic light 🌈 (+ photoconverter material)
Fluorescence-based PBM</t>
  </si>
  <si>
    <t>"FLE treatment leads to restoration of the mitochondrial network by 24-h post-treatment, as well as upregulation of UCP1 and CPT1B genes, which encode proteins favoring the production of ATP through oxidative phosphorylation and lipid β-oxidation, respectively. 
These observations, coupled with the previously established capacity of PBM to stimulate CCO, show a beneficial effect of FLE in the treatment of inflamed wounds. However, these findings derive from an in vitro model and should be validated by an in vivo investigation."</t>
  </si>
  <si>
    <t>Khoshsirat</t>
  </si>
  <si>
    <t>Protective effect of Photobiomodulation Therapy and Bone Marrow Stromal Stem Cells Conditioned Media on Pheochromocytoma Cell Line 12 Against Oxidative Stress Induced by Hydrogen Peroxide.</t>
  </si>
  <si>
    <t>H2O2</t>
  </si>
  <si>
    <t>1.15
/ 3
(???)</t>
  </si>
  <si>
    <t>"Our result demonstrated that the combination of [conditioned media] +PBMT has a protective effect on PC12 cells against oxidative stress."
Comment: The parameters in the abstract and full text seem to contradict each others.</t>
  </si>
  <si>
    <t>Photobiomodulation (660 nm) therapy reduces oxidative stress and induces BDNF expression in the hippocampus.</t>
  </si>
  <si>
    <t>LED phototherapy
Hippocampal cell line (HT-22)</t>
  </si>
  <si>
    <t>"PBMT inhibited HT-22 cell death by oxidative stress and increased BDNF expression via ERK and CREB signaling pathway activation. In addition, PBMT increased BDNF expression in hippocampal organotypic slices and the levels of phosphorylated ERK and CREB, which were reduced by oxidative stress, as well as the expression of the antioxidant enzyme superoxide dismutase. 
These data demonstrate that PBMT inhibits hippocampal damage induced by oxidative stress and increases the expression of BDNF, which can be used as an alternative to treat a variety of related disorders that lead to nerve damage. "</t>
  </si>
  <si>
    <t>da Silva Oliveira</t>
  </si>
  <si>
    <t>Photobiomodulation increases cell viability via AKT activation in an in vitro model of diabetes induced by glucose neurotoxicity.</t>
  </si>
  <si>
    <t>Glucotoxicity</t>
  </si>
  <si>
    <t>1.6</t>
  </si>
  <si>
    <t>"Results demonstrate that PBM increased N2A viability as well as induced neurogenesis observed by the increase in neurite outgrowth being this effect modulated by AKT activation. Data obtained herein reinforce the regenerative potential of PBM in the treatment of PN and strongly suggests that phototherapy should be considered adjuvant in the treatment of diabetes."</t>
  </si>
  <si>
    <t>de Lima</t>
  </si>
  <si>
    <t>Low-level laser therapy alleviates the deleterious effect of doxorubicin on rat adipose tissue-derived mesenchymal stem cells.</t>
  </si>
  <si>
    <t>Rat adipose-derived mesenchymal stem cells</t>
  </si>
  <si>
    <t>0.2
0.4
0.7</t>
  </si>
  <si>
    <t>"Results revealed that the DOX reduced the viability and adenosine triphosphate level of MSCs. These findings were followed by significantly increased apoptosis as well as oxidative stress in the MSCs. Interestingly, LLLI at the dose of 0.2 J alleviated the effects of DOX on cell viability and apoptosis, and inhibited oxidative stress in the MSCs."
"LLLI did not result in positive changes in the ATP level"
"In summary, this study provides a crucial step toward the future application of LLLI as a protective approach against DOX-induced toxicity in MSCs, particularly cell death."</t>
  </si>
  <si>
    <t>Rhee</t>
  </si>
  <si>
    <t>Effect of photobiomodulation therapy on neuronal injuries by ouabain: the regulation of Na, K-ATPase; Src; and mitogen-activated protein kinase signaling pathway.</t>
  </si>
  <si>
    <t>HCN-2 neuronal cells
LED phototherapy</t>
  </si>
  <si>
    <t>0.78
1.56
3.12
6.24
9.36</t>
  </si>
  <si>
    <t>"HCN-2 neuronal cells treated with ouabain showed loss of cell polarity, disrupted cell morphology, and decreased cell viability, which were improved after PBM treatment."
"In response to ouabain, we observed activation of Src and MAPK by Na, K-ATPase, decreased mitochondrial membrane potential, and Na+-dependent Ca2+ increases, which were restored by PBM treatment."</t>
  </si>
  <si>
    <t>Fan</t>
  </si>
  <si>
    <t>USA
(Tampa, FL)</t>
  </si>
  <si>
    <t>Am J Transl Res</t>
  </si>
  <si>
    <t>LED enhances anti-inflammatory effect of luteolin (3',4',5,7-tetrahydroxyflavone) in vitro.</t>
  </si>
  <si>
    <t>Microglial cells (BV2)
LPS-stimulation
Polychromatic light 🌈
PBM vs luteolin</t>
  </si>
  <si>
    <t>411-
777</t>
  </si>
  <si>
    <t>"In this study, we aimed to confirm the anti-inflammatory effect of luteolin and LED combination therapy in lipopolysaccharide (LPS)-stimulated BV2 microglial cells. We showed that luteolin inhibited LPS-induced cytotoxicity, tumor necrosis factor alpha (TNFα) and interleukin-6 (IL-6) production through modulation of p38 and extracellular signal-regulated kinase (ERK) signaling in BV2 cells. In addition, LED therapy enhanced the anti-inflammatory effect of luteolin. These results suggest that a synergistic effect between luteolin and LED could be a new effective therapy in relieving neuroinflammation."</t>
  </si>
  <si>
    <t>Pansani</t>
  </si>
  <si>
    <t>Photobiomodulation in the Metabolism of LPS-exposed Epithelial Cells and Gingival Fibroblasts.</t>
  </si>
  <si>
    <t>Human gingival fibroblasts (HGF)
Epithelial cells (HaCaT)
LPS exposure</t>
  </si>
  <si>
    <t>"Enhanced synthesis of CCL2 by gingival fibroblasts occurred at 24h, while epithelial cells increased synthesis of this chemokine at 48 and 72h. PBM enhanced cell proliferation and viability in a time-dependent manner for both cell lines exposed or not to LPS, while synthesis of CCL2 by cells exposed to PT decreased over time. PBM caused biomodulatory effects on gingival fibroblasts and epithelial cells previously treated with LPS. 
These effects may decrease tissue inflammatory response and accelerate wound healing of oral mucosal tissue."</t>
  </si>
  <si>
    <t>Hendudari</t>
  </si>
  <si>
    <t>Combined effects of low-level laser therapy and human bone marrow mesenchymal stem cell conditioned medium on viability of human dermal fibroblasts cultured in a high-glucose medium.</t>
  </si>
  <si>
    <t>Hyperglycemia
Human dermal fibroblasts
Biphasic dose response</t>
  </si>
  <si>
    <t>0.00185</t>
  </si>
  <si>
    <t>"In conclusion, hBM-MSCs CM or LLLT alone increased the survival of HG HDFs cells."</t>
  </si>
  <si>
    <t>Knels</t>
  </si>
  <si>
    <t>Germany
(Dresden)</t>
  </si>
  <si>
    <t>Effects of Narrow-band IR-A and of Water-Filtered Infrared A on Fibroblasts.</t>
  </si>
  <si>
    <t>LED phototherapy
Polychromatic light 🌈 (water-filtered infrared A)
LED vs wIRA
3T3 fibroblasts</t>
  </si>
  <si>
    <t>670-
1400
(wIRA)
875
(LED)</t>
  </si>
  <si>
    <t>"The numbers of apoptotic cells were reduced in cultures irradiated with wIRA or LED-IR-A. More mitochondria showed a well-polarized MMP after wIRA irradiation in glyoxal damaged cells. LED-IR-A treatment specifically restored the GSH/GSSG ratio. The immediate positive effects of wIRA and LED-IR-A observed in living cells, particularly on mitochondria, reflect the therapeutic benefits of wIRA and LED-IR-A."</t>
  </si>
  <si>
    <t>Metab Brain Dis</t>
  </si>
  <si>
    <t>Near infrared radiation protects against oxygen-glucose deprivation-induced neurotoxicity by down-regulating neuronal nitric oxide synthase (nNOS) activity in vitro.</t>
  </si>
  <si>
    <t>Nitric oxide (↓nNOS)</t>
  </si>
  <si>
    <t>"These results suggest NIR may protect against OGD at least partially through reducing NO production by down-regulating nNOS activity, and modulating cell survival/death signaling."
Comment: The inhibition of NO production didn't seem to be very pronounced?</t>
  </si>
  <si>
    <t>Near infrared radiation rescues mitochondrial dysfunction in cortical neurons after oxygen-glucose deprivation.</t>
  </si>
  <si>
    <t>"Our results showed that 4 h oxygen-glucose deprivation plus 20 h reoxygenation caused 33.8 ± 3.4 % of neuron death, while NIR exposure significantly reduced neuronal death to 23.6 ± 2.9 %. 
MTT reduction rate was reduced to 75.9 ± 2.7 % by oxygen-glucose deprivation compared to normoxic controls, but NIR exposure significantly rescued MTT reduction to 87.6 ± 4.5 %. 
Furthermore, after oxygen-glucose deprivation, mitochondria membrane potential was reduced to 48.9 ± 4.39 % of normoxic control, while NIR exposure significantly ameliorated this reduction to 89.6 ± 13.9 % of normoxic control. 
Finally, NIR significantly rescued OGD-induced ATP production decline at 20 min after NIR. 
These findings suggest that low intensity NIR can protect neurons against oxygen-glucose deprivation by rescuing mitochondrial function and restoring neuronal energetics."</t>
  </si>
  <si>
    <t>Spitler</t>
  </si>
  <si>
    <t>USA
(Irvine, CA)</t>
  </si>
  <si>
    <t>Combination of low level light therapy and nitrosyl-cobinamide accelerates wound healing.</t>
  </si>
  <si>
    <t>U2OS human osteosarcoma cells
Mechanisms
ATP production
Oxygen consumption
LED phototherapy
Wavelength comparison
PBM vs NO-Cbi
LLLT vs LED</t>
  </si>
  <si>
    <t>652
806
laser
637
901
LED</t>
  </si>
  <si>
    <t>"LLLT-enhanced wound healing proceeded through an electron transport chain-C-ox-dependent mechanism with a reduction of reactive oxygen species and increased adenosine triphosphate production. C-ox was validated as the primary photoacceptor by three observations: increased oxygen consumption, reduced wound healing in the presence of sodium azide, and disassociation of cyanide, a known C-ox ligand, following LLLT.
We conclude that LLLT and NO-Cbi accelerate wound healing through two independent mechanisms, the electron transport chain-C-ox pathway and cGMP signaling, respectively, with both resulting in ERK1/2 activation."</t>
  </si>
  <si>
    <t>Effect and Mechanism of 808 nm Light Pretreatment of Hypoxic Primary Neurons</t>
  </si>
  <si>
    <t>LED phototherapy
Primary cortical neurons</t>
  </si>
  <si>
    <t>"Our study observed the effect of low intensity 808 nm LED light pretreatment on the cell morphology, cell viability, COX activity, and ATP level of primary neurons with CoCl2 exposure. This study demonstrated the protective function of low intensity 808 nm LED light pretreatment on anoxia injury neurons from the cellular level, which may be useful for the development of nondrug therapy modality of the acute ischemic stroke (AIS)."</t>
  </si>
  <si>
    <t>Photobiomodulation for Cobalt Chloride-Induced Hypoxic Damage of RF/6A Cells by 670 nm Light-Emitting Diode Irradiation</t>
  </si>
  <si>
    <t>LED phototherapy
Dose response
Biphasic dose response</t>
  </si>
  <si>
    <t>"The irradiation of 670 nm LED significantly improved cell viability, cytochrome C oxidase activity, and ATP concentration in the hypoxia RF/6A cells. 
Conclusion. 670 nm LED irradiation could recover the hypoxia damage caused by CoCl2. Photobiomodulation of 670 nm LED plays a potential role for the treatment of diabetic retinopathy."</t>
  </si>
  <si>
    <t>Spitler &amp; Berns</t>
  </si>
  <si>
    <t>Comparison of laser and diode sources for acceleration of in vitro wound healing by low-level light therapy.</t>
  </si>
  <si>
    <t>Wound healing
LED phototherapy
LED vs LLLT
Wavelength comparison</t>
  </si>
  <si>
    <t>652
806
(laser)
637
901
(LED)</t>
  </si>
  <si>
    <t>"The laser and LED sources were found to be comparable when equal doses of light were applied. The biological response measured was similar in most cases."</t>
  </si>
  <si>
    <t>Low-level laser therapy (LLLT) reduces oxidative stress in primary cortical neurons in vitro.</t>
  </si>
  <si>
    <t>Primary cortical neurons
Hydrogen peroxide / cobalt chloride / rotenone</t>
  </si>
  <si>
    <t>"Although LLLT increases ROS in normal neurons, it reduces ROS in oxidatively-stressed neurons. In both cases MMP is increased. These data may explain how LLLT can reduce clinical oxidative stress in various lesions while increasing ROS in cells in vitro."</t>
  </si>
  <si>
    <t>Sekhejane</t>
  </si>
  <si>
    <t>Irradiation at 636 nm positively affects diabetic wounded and hypoxic cells in vitro.</t>
  </si>
  <si>
    <t>Diabetes / hypoxia / wound</t>
  </si>
  <si>
    <t>0.011</t>
  </si>
  <si>
    <t>9.05
cm2</t>
  </si>
  <si>
    <t>"Phototherapy resulted in hastened wound closure, increased proliferation, and normalization of cellular function. The decrease in the different pro-inflammatory cytokines and NF-κB translocation was model and time dependent. Overall, laser irradiation resulted in a reduction in inflammatory cytokines and directed cells into the cell survival pathway."</t>
  </si>
  <si>
    <t>Hodgson</t>
  </si>
  <si>
    <t>Effect of photobiomodulation on vinblastine-poisoned murine HERS cells.</t>
  </si>
  <si>
    <t>Chemotherapy (vinblastine)
LED phototherapy
Murine HERS cells</t>
  </si>
  <si>
    <t>12.8</t>
  </si>
  <si>
    <t>"Photobiomodulation demonstrated an improvement in proliferation and glutathione levels in vinblastine-poisoned murine HERS cells."</t>
  </si>
  <si>
    <t>Volpato</t>
  </si>
  <si>
    <t>Brazil
(Cuiabá)</t>
  </si>
  <si>
    <t>Viability of fibroblasts cultured under nutritional stress irradiated with red laser, infrared laser, and red light-emitting diode.</t>
  </si>
  <si>
    <t>660
780
(laser)
637
(LED)</t>
  </si>
  <si>
    <t>"Considering the parameters and protocol of phototherapy used, it can be concluded that phototherapy stimulated the viability of fibroblasts cultured under nutritional deficit resembling those found in traumatized tissue in which cell viability is reduced."</t>
  </si>
  <si>
    <t>LPLI inhibits apoptosis upstream of Bax translocation via a GSK-3beta-inactivation mechanism.</t>
  </si>
  <si>
    <t>Staurosporine (STS)</t>
  </si>
  <si>
    <t>0.0013</t>
  </si>
  <si>
    <t>"In this study, based on real-time single-cell analysis, we demonstrated for the first time that LPLI inhibits staurosporine (STS)-induced cell apoptosis by inactivating the GSK-3beta/Bax pathway. 
LPLI could inhibit the activation of GSK-3beta, Bax, and caspase-3 induced by STS. In the searching for the mechanism, we found that, LPLI can activate Akt, which was consistence with our former research, even in the presence of STS. In this anti-apoptotic process, the interaction between Akt and GSK-3beta increased gradually, indicating Akt interacts with and inactivates GSK-3beta directly. Conversely, LPLI decreased the interaction between GSK-3beta and Bax, with the suppression of Bax translocation to mitochondria, suggesting LPLI inhibits Bax translocation through inactivating GSK-3beta. 
These results were further confirmed by the experiments of co-immunoprecipitation. Wortmannin, an inhibitor of phosphatidylinositol 3'-OH kinase (PI3K), potently suppressed the activation of Akt and subsequent anti-apoptotic processes induced by LPLI. 
Taken together, we conclude that LPLI protects against STS-induced apoptosis upstream of Bax translocation via the PI3K/Akt/GSK-3beta pathway. These findings raise the possibility of LPLI as a promising therapy for neuron-degeneration disease induced by GSK-3beta."</t>
  </si>
  <si>
    <t>Houreld &amp; Abrahamse</t>
  </si>
  <si>
    <t>Low-intensity laser irradiation stimulates wound healing in diabetic wounded fibroblast cells (WS1).</t>
  </si>
  <si>
    <t>Wavelengths
Wavelength comparison</t>
  </si>
  <si>
    <t>"Diabetic wounded cells irradiated at 1,064 nm showed a lesser degree of migration, viability, and proliferation compared to cells irradiated at 632.8 or 830 nm. Cells irradiated at 632.8 nm showed a higher degree of haptotaxis and migration as well as ATP luminescence compared to cells irradiated at 830 nm."
"This study showed that LILI of diabetic wounded cells in the visible range (632.8 nm) was more beneficial to wound healing than irradiating the same cells to wavelengths in the infrared range. Cells irradiated at a longer wavelength of 1,064 nm performed worse."</t>
  </si>
  <si>
    <t>Dantas</t>
  </si>
  <si>
    <t>In vitro effect of low intensity laser on the cytotoxicity produced by substances released by bleaching gel.</t>
  </si>
  <si>
    <t>Hydrogen peroxide gel (35%)
Dose response
Wavelength comparison</t>
  </si>
  <si>
    <t>4
6
10</t>
  </si>
  <si>
    <t>"The cell viability increased significantly in 24 hours within each group. The PC presented cell viability significantly higher than NC in both experimental times. Only the NIR/10 J/cm² group presented cell viability similar to that of PC in 24 hours."</t>
  </si>
  <si>
    <t>Skopin &amp; Molitor</t>
  </si>
  <si>
    <t>USA
(Toledo, OH)</t>
  </si>
  <si>
    <t>Effects of near-infrared laser exposure in a cellular model of wound healing.</t>
  </si>
  <si>
    <t>Wound healing
Biphasic dose response</t>
  </si>
  <si>
    <t>1.5-
66</t>
  </si>
  <si>
    <t>"Low-level exposure to 980 nm laser light can accelerate wound healing in vitro without measurable temperature increases. However, these results also demonstrate the need for appropriate supervision of laser therapy sessions to prevent overexposure to NIR laser light that may inhibit cell growth rates observed in response to lower intensity laser exposure."</t>
  </si>
  <si>
    <t>Zungu</t>
  </si>
  <si>
    <t>Mitochondrial responses of normal and injured human skin fibroblasts following low level laser irradiation--an in vitro study.</t>
  </si>
  <si>
    <t>5
16</t>
  </si>
  <si>
    <t>9.08
cm2</t>
  </si>
  <si>
    <t>2700
9000</t>
  </si>
  <si>
    <t>"The study confirmed that laser irradiation with 5 J cm(-2) stimulated an increase in intracellular Ca2+ which resulted in an increase in MMP, ATP and cAMP, which ultimately results in photobiomodulation to restore homeostasis of injured cells."
Comment: Irradiation with 5 J/cm2 was beneficial, but 16 J/cm2 wasn't. Therefore there seems to be a biphasic dose response.</t>
  </si>
  <si>
    <t>Evans &amp; Abrahamse</t>
  </si>
  <si>
    <t>Efficacy of three different laser wavelengths for in vitro wound healing.</t>
  </si>
  <si>
    <t xml:space="preserve">Wavelength comparison
</t>
  </si>
  <si>
    <t>18.8
54
1000</t>
  </si>
  <si>
    <t>0.0021
0.0060
0.0127</t>
  </si>
  <si>
    <t>5/16
5/16
5/16</t>
  </si>
  <si>
    <t>9.1
9.1
78.5
cm2</t>
  </si>
  <si>
    <t>"The results indicate that 5 J/cm(2) using 632.8 nm results in a stimulatory effect that is more effective than 830 and 1064 nm. The results suggest possible mechanisms by which the wavelength may potentially influence the cellular responses of wounded cells."</t>
  </si>
  <si>
    <t>Effectiveness of helium-neon laser irradiation on viability and cytotoxicity of diabetic-wounded fibroblast cells.</t>
  </si>
  <si>
    <t>Irradiation interval
(Biphasic dose response?)</t>
  </si>
  <si>
    <t>"Wounded diabetic WS1 cells irradiated to 5 J/cm(2) showed increased cellular repair when irradiated with adequate time between irradiations, allowing time for cellular response mechanisms to take effect. Therefore, the irradiation interval was shown to play an important role in wound healing in vitro and should be taken into account."</t>
  </si>
  <si>
    <t>In vitro exposure of wounded diabetic fibroblast cells to a helium-neon laser at 5 and 16 J/cm2.</t>
  </si>
  <si>
    <t>"Based on cellular morphology, exposure to 5 J/cm(2) was stimulatory to cellular migration, whereas exposure to 16 J/cm(2) was inhibitory. Exposure to 16 J/cm(2) induced genetic damage on WS1 cells when exposed to a He-Ne laser in vitro, whereas exposure to 5 J/cm(2) did not induce any additional damage."</t>
  </si>
  <si>
    <t>Irradiation with a 632.8 nm helium-neon laser with 5 J/cm2 stimulates proliferation and expression of interleukin-6 in diabetic wounded fibroblast cells.</t>
  </si>
  <si>
    <t>"This study showed that phototherapy at the correct fluence stimulates IL-6 expression, proliferation, and cellular migration in diabetic wounded cells. A fluence of 5 J/cm(2) stimulates diabetic wound healing in vitro, while 16 J/cm(2) is inhibitive."</t>
  </si>
  <si>
    <t>The role of laser fluence in cell viability, proliferation, and membrane integrity of wounded human skin fibroblasts following helium-neon laser irradiation.</t>
  </si>
  <si>
    <t>Wounded fibroblasts</t>
  </si>
  <si>
    <t>0.5
2.5
5.0
10
16</t>
  </si>
  <si>
    <t>"Results show that 5 J/cm(2) stimulates mitochondrial activity, which leads to normalization of cell function and ultimately stimulates cell proliferation and migration of wounded fibroblasts to accelerate wound closure. Laser irradiation can modify cellular processes in a dose or fluence (J/cm(2)) dependent manner."</t>
  </si>
  <si>
    <t>Photobiomodulation partially rescues visual cortical neurons from cyanide-induced apoptosis.</t>
  </si>
  <si>
    <t>"These results indicate that light-emitting diode pretreatment partially protects neurons against cyanide-induced caspase-mediated apoptosis, most likely by decreasing reactive oxygen species production, down-regulating pro-apoptotic proteins and activating anti-apoptotic proteins, as well as increasing energy metabolism in neurons as reported previously."</t>
  </si>
  <si>
    <t>Effect of multiple exposures of low-level laser therapy on the cellular responses of wounded human skin fibroblasts.</t>
  </si>
  <si>
    <t>"A single dose of 5.0 J/cm(2), and two or three doses of 2.5 J/cm(2) had a stimulatory or positive effect on wounded fibroblasts with an increase in cell migration and cell proliferation while maintaining cell viability, but without causing additional stress or damage to the cells.
Multiple exposures at higher doses (16 J/cm(2)) caused additional stress, which reduces cell migration, cell viability, and ATP activity, and inhibits cell proliferation."</t>
  </si>
  <si>
    <t>Wong-Riley</t>
  </si>
  <si>
    <t>J Biol Chem</t>
  </si>
  <si>
    <t>Photobiomodulation directly benefits primary neurons functionally inactivated by toxins: role of cytochrome c oxidase.</t>
  </si>
  <si>
    <t>Neurotoxins</t>
  </si>
  <si>
    <t>670nm LED light protected primary cultured neurons against potassium cyanide (KCN) and tetrodotoxin (TTX).</t>
  </si>
  <si>
    <t>Neuroreport</t>
  </si>
  <si>
    <t>Light-emitting diode treatment reverses the effect of TTX on cytochrome oxidase in neurons.</t>
  </si>
  <si>
    <t>670nm LED light protected cultured primary neurons against tetrodotoxin (TTX).</t>
  </si>
  <si>
    <t>Bednarska</t>
  </si>
  <si>
    <t>Radiat Environ Biophys</t>
  </si>
  <si>
    <t>Effect of low-power red light laser irradiation on the viability of human skin fibroblast</t>
  </si>
  <si>
    <t>Fibroblast viability (S-126 cell line)</t>
  </si>
  <si>
    <t>2
12</t>
  </si>
  <si>
    <t>"The viability data analysis showed significant differences (P&lt;0.001) between the control group and the groups of fibroblasts irradiated and incubated for 2 h and 3, 4, 5 days after irradiation. No difference was observed between the control group and the groups incubated for 4 and 8 h and 1 day after irradiation."
"When comparing the two laser-treated groups, no significant difference can be found."</t>
  </si>
  <si>
    <t>ROS</t>
  </si>
  <si>
    <t>Iran
(Kermanshah)</t>
  </si>
  <si>
    <t>Eur J Pharm Sci</t>
  </si>
  <si>
    <t>Management of oxidative stress for cell therapy through combinational approaches of stem cells, antioxidants, and photobiomodulation</t>
  </si>
  <si>
    <t>PBM for stem cells</t>
  </si>
  <si>
    <t>"Oxidative stress (OS) is one of these challenges that can affect the therapeutic properties of stem cells. Therefore, it seems that employing strategies for the reduction of OS in combination with stem cell therapy can lead to better results of these therapies. Based on the available evidence, antioxidant therapy and photobiomodulation (PBM) are strategies that can regulate the OS in the cells. Antioxidant therapy is a method in which various antioxidants are used in the therapeutic processes. PBM is also the clinical application of light that gained importance in medicine. Antioxidants and PBM can regulate OS by the effect on mitochondria as an important source of OS in the cells."</t>
  </si>
  <si>
    <t>Rajendran</t>
  </si>
  <si>
    <t>J Cell Commun Signal</t>
  </si>
  <si>
    <t>Photobiomodulation reduces oxidative stress in diabetic wounded fibroblast cells by inhibiting the FOXO1 signaling pathway</t>
  </si>
  <si>
    <t>660
830</t>
  </si>
  <si>
    <t>5
5</t>
  </si>
  <si>
    <t>"This study concluded that treatment with PBM progressed diabetic wound healing by attenuating oxidative stress through inhibition of the FOXO1 signaling pathway."</t>
  </si>
  <si>
    <t>George</t>
  </si>
  <si>
    <t>Effect of red light and near infrared laser on the generation of reactive oxygen species in primary dermal fibroblasts</t>
  </si>
  <si>
    <t>636
828</t>
  </si>
  <si>
    <t>0.074-
0.104</t>
  </si>
  <si>
    <t>5-25</t>
  </si>
  <si>
    <t>"While red light relieves oxidative stress, near-infrared laser increases ROS and cellular bioenergy in primary fibroblasts."
"This outcome indicates that the ROS production within biological systems are more dependent on the wavelength of the laser rather than its fluences."</t>
  </si>
  <si>
    <t>Kushibiki</t>
  </si>
  <si>
    <t>Blue laser irradiation generates intracellular reactive oxygen species in various types of cells</t>
  </si>
  <si>
    <t>405
664
808</t>
  </si>
  <si>
    <t>60/120</t>
  </si>
  <si>
    <t>"After a blue laser irradiation, intracellular ROS levels were increased in all types of cells. In contrast, intracellular ROS generation was not observed after irradiation with a red laser or near-infrared laser."</t>
  </si>
  <si>
    <t>Cell types: "Various types of cells were used in this study: mouse preadipocytes (3T3-L1), prechondrocytes (ATDC5), myoblasts (C2C12), mesenchymal stromal cells (KUSA-A1), lung cancer cells (LLC), insulinoma cells (MIN6), fibroblasts (NIH-3T3), human cervix adenocarcinoma cells (HeLa), macrophages differentiated from lymphocytes (THP-1) after treatment with phorbol ester, and rat basophilic leukemia cells (RBL-2H3)."</t>
  </si>
  <si>
    <t>Low-level laser therapy activates NF-kB via generation of reactive oxygen species in mouse embryonic fibroblasts.</t>
  </si>
  <si>
    <t>Mouse embronic fibroblasts
Dose response (biphasic?)</t>
  </si>
  <si>
    <t>0.003
0.03
0.3
3
30</t>
  </si>
  <si>
    <t>"Significant activation of NF-kB was observed at fluences higher than 0.003 J/cm(2) and was confirmed by Western blot analysis. NF-kB was activated earlier (1 hour) by LLLT compared to conventional lipopolysaccharide treatment. We also observed that LLLT induced intracellular reactive oxygen species (ROS) production similar to mitochondrial inhibitors, such as antimycin A, rotenone and paraquat. Furthermore, we observed similar NF-kB activation with these mitochondrial inhibitors. These results, together with inhibition of laser induced NF-kB activation by antioxidants, suggests that ROS play an important role in the laser induced NF-kB signaling pathways."
"We conclude that LLLT not only enhances mitochondrial respiration, but also activates the redox-sensitive NFkB signaling via generation of ROS. Expression of anti-apoptosis and pro-survival genes responsive to NFkB could explain many clinical effects of LLLT."
"However, LLLT, unlike mitochondrial inhibitors, induced increased cellular ATP levels, which indicates that LLLT also upregulates mitochondrial respiration."</t>
  </si>
  <si>
    <t>Scratch migration assay</t>
  </si>
  <si>
    <t>Lou</t>
  </si>
  <si>
    <t>Wound-healing effects of 635-nm low-level laser therapy on primary human vocal fold epithelial cells: an in vitro study.</t>
  </si>
  <si>
    <t>Primary human vocal fold epithelial cells (VFECs)
(Dose response / Biphasic dose response)</t>
  </si>
  <si>
    <t>1
4
8
12
16
20</t>
  </si>
  <si>
    <t>"This study concludes that LLLT at the preset parameters was capable of stimulating the proliferation and migration of human vocal fold epithelial cells in culture as well as increase the expression of some genes involved in tissue healing process. Additionally, successive laser treatments at 24 h intervals have an additive beneficial effect on the healing of injured tissues."</t>
  </si>
  <si>
    <t>König</t>
  </si>
  <si>
    <t>Germany
(Frankfurt)</t>
  </si>
  <si>
    <t>Effect of NIR photobiomodulation therapy in a cellular wound healing model.</t>
  </si>
  <si>
    <t>Polychromatic light 🌈 (water-filtered infrared A)</t>
  </si>
  <si>
    <t>"The application of NIR in wound treatment seems to be applicable due to (a) increased fibroblast proliferation, (b) moderate induction of ROS (c) lack of induction of pro-inflammatory cytokines, at least IL-6 and IL-8, (d) stimulation of cell migration and (e) the low risk of thermal tissue damages."</t>
  </si>
  <si>
    <t>Gagnon</t>
  </si>
  <si>
    <t>Canada
(Guelph)</t>
  </si>
  <si>
    <t>BMC Vet Res</t>
  </si>
  <si>
    <t>An in vitro method to test the safety and efficacy of low-level laser therapy (LLLT) in the healing of a canine skin model.</t>
  </si>
  <si>
    <t>500
1000
3000
12000</t>
  </si>
  <si>
    <t>0.1
0.2
1.2
10</t>
  </si>
  <si>
    <t>9.62
cm2</t>
  </si>
  <si>
    <t>2
2
4
8</t>
  </si>
  <si>
    <t>"In this in vitro wound-healing model, LLLT increased cellular migration and proliferation at doses of 0.1, 0.2, and 1.2 J/cm(2) while exposure to 10 J/cm(2) decreased cellular migration and proliferation. These data suggest that the beneficial effects of LLLT in vivo may be due, in part, to effects on keratinocyte behavior."</t>
  </si>
  <si>
    <t>Effect of 660 nm Light-Emitting Diode on the Wound Healing in Fibroblast-Like Cell Lines</t>
  </si>
  <si>
    <t>0.0025
0.0055
0.0085</t>
  </si>
  <si>
    <t>300
600
1200
300
600
1200
300
600
1200</t>
  </si>
  <si>
    <t>"Exposure to the 660 nm red LED resulted in an increase in cell proliferation and migration compared to the control, indicating its potential use as a phototherapeutic agent."
Comment: The effect on proliferation seemed very modest, but the effect on migration seemed clearer.</t>
  </si>
  <si>
    <t>Pellicioli</t>
  </si>
  <si>
    <t>Laser phototherapy accelerates oral keratinocyte migration through the modulation of the mammalian target of rapamycin signaling pathway.</t>
  </si>
  <si>
    <t>0.16
0.80</t>
  </si>
  <si>
    <t>3
(1
per
6h)</t>
  </si>
  <si>
    <t>"Compared with control cells, the LPT-treated cells showed accelerated cellular migration without any changes in proliferation. Furthermore, LPT resulted in an increase in the phospho-S6 ribosomal protein, indicating activation of the mTOR signaling pathway. Collectively, these findings suggest that the LPT activates mTOR signaling pathway, promotes epithelial cell migration, and accelerates healing of oral mucosa."</t>
  </si>
  <si>
    <t>Scratch wound model</t>
  </si>
  <si>
    <t>Leyane</t>
  </si>
  <si>
    <t>Effect of photobiomodulation at 830 nm on gene expression correlated with JAK/STAT signalling in wounded and diabetic wounded fibroblasts in vitro</t>
  </si>
  <si>
    <t>🧬 Gene expression</t>
  </si>
  <si>
    <t>0.01253</t>
  </si>
  <si>
    <t>"Forty-eight hours post-PBM, RT-qPCR was used to analyse 84 genes related to JAK/STAT signalling. Five genes were upregulated and four downregulated in wounded cell models, while six genes were downregulated in diabetic wounded models. 
The results show drastic gene expression differences between wounded and diabetic wounded cell models in response to PBM using 830 nm."</t>
  </si>
  <si>
    <t>Wiegand</t>
  </si>
  <si>
    <t>Germany
(Jena)</t>
  </si>
  <si>
    <t>Treatment with a red-laser-based wound therapy device exerts positive effects in models of delayed keratinocyte and fibroblast wound healing</t>
  </si>
  <si>
    <t>"The study's aim was providing information on the effect of a novel, red-laser-based wound therapy device (WTD) on keratinocytes and fibroblasts during wound healing under optimal and non-optimal conditions."
"Positive effects described for wound treatment with WTD could be replicated in vitro and seem to be to be conferred by a direct influence on cellular processes taking place in keratinocytes and fibroblasts during wound healing."</t>
  </si>
  <si>
    <t>Denzinger</t>
  </si>
  <si>
    <t>Germany
(Regensburg)</t>
  </si>
  <si>
    <t>Acta Dermatovenerol Croat</t>
  </si>
  <si>
    <t>The Impact of Blue Light Irradiation on Keratinocytes in Vitro</t>
  </si>
  <si>
    <t>Blue light 🔵
PBM-related harm (blue light)</t>
  </si>
  <si>
    <t>"In both the sterile and contaminated groups, treated cells showed delayed wound closure when compared with cells not irradiated with blue light. Additionally, treatment with blue light resulted in poorer viability in the treatment groups."</t>
  </si>
  <si>
    <t>Mathioudaki</t>
  </si>
  <si>
    <t>Ann Biomed Eng</t>
  </si>
  <si>
    <t>Photobiomodulation and Wound Healing: Low-Level Laser Therapy at 661 nm in a Scratch Assay Keratinocyte Model</t>
  </si>
  <si>
    <t>0.003
0.005
0.010
0.015</t>
  </si>
  <si>
    <t>(1, 2, 3, 5, 6, 8, 10, 13 or 15 minutes for each irradiance)</t>
  </si>
  <si>
    <t>"The energy range of 0.18-7.2 J/cm2 was not phototoxic, increased cell viability and promoted wound healing. 
Power and irradiation time proved to be more important than energy. 
The results indicated the existence of two thresholds in both power and irradiation time that need to be overcome to improve wound healing. An increase in ROS production was observed at 0 h only in the group with the lowest healing rate. This early response seemed to block proliferation and finally wound healing. 
Low level laser light at 661 nm enhanced both proliferation and migration in keratinocytes, providing evidence that it could possibly stimulate wound healing in vivo. The observed results are dependent on irradiance and irradiation time rather than energy dose in total."</t>
  </si>
  <si>
    <t>Kasowanjete</t>
  </si>
  <si>
    <t>Photobiomodulation at 660 nm Stimulates In Vitro Diabetic Wound Healing via the Ras/MAPK Pathway</t>
  </si>
  <si>
    <t>"PBM resulted in an increase in bFGF and a subsequent increase in FGFR activation. There was also an increase in downstream proteins, p-Ras, p-MEK1/2 and p-MAPK. PBM at 660 nm led to increased viability, proliferation, and migration as a result of increased bFGF and subsequent activation of the Ras/MAPK signalling pathway."</t>
  </si>
  <si>
    <t>Giannakopoulos</t>
  </si>
  <si>
    <t>The effects of low power laser light at 661 nm on wound healing in a scratch assay fibroblast model</t>
  </si>
  <si>
    <t>300/
480/
780</t>
  </si>
  <si>
    <t>"Low power laser light at 661 nm activated both the migration and proliferation in the in vitro model used, providing evidence that it could also accelerate wound healing in vivo. Also, ROS production and cellular orientation seem to play an important role in wound healing process."
"An increase in ROS production was also observed 24 h post irradiation higher in the group with the highest wound healing rate."</t>
  </si>
  <si>
    <t>Sutterby</t>
  </si>
  <si>
    <t>Investigating the effects of low intensity visible light on human keratinocytes using a customized LED exposure system</t>
  </si>
  <si>
    <t>Device design (in vitro research)
Very low level light therapy</t>
  </si>
  <si>
    <t>585
610
660</t>
  </si>
  <si>
    <t>0.004
0.031
0.031</t>
  </si>
  <si>
    <t>"Here, we present a custom-made compact, and modular LED-based exposure system for studying the effects of very low-intensity visible light (cell proliferation, migration, ROS production, and mitochondrial membrane potential) of three different wavelengths in a parallel manner. 
The device allows for six repeats of three different exposure conditions plus a non-irradiated control on a single 24-well plate."
"The results demonstrate increased proliferation and decreased scratch area for all exposure conditions, however only red light increased the mitochondrial activity."
"Very low doses of light irradiation were applied (energy density &lt; 0.032 J/cm2 and exposure duration of 600 s) to investigate whether these low doses contain sufficient energy to stimulate HaCaT cells."</t>
  </si>
  <si>
    <t>Oyebode</t>
  </si>
  <si>
    <t>Diabetes Metab Syndr Obes</t>
  </si>
  <si>
    <t>Photobiomodulation at 830 nm Stimulates Migration, Survival and Proliferation of Fibroblast Cells</t>
  </si>
  <si>
    <t>"Results show a significant increase in cellular migration in wounded models, and increased viability and proliferation in irradiated cells compared to their respective controls. An increase in the presence of TGF-β1 in the culture media, a reduction in pTGF-βR1 and a slight presence of p-Smad2/3 was observed in the cells."</t>
  </si>
  <si>
    <t>Scratch wound model*</t>
  </si>
  <si>
    <t>Besser</t>
  </si>
  <si>
    <t>Germany
(Muenster)</t>
  </si>
  <si>
    <t>Pulsed low-intensity laser treatment stimulates wound healing without enhancing biofilm development in vitro</t>
  </si>
  <si>
    <t>"Frequent application of LILT (904 nm, 3200 Hz) seems to be beneficial for the metabolism of human dermal cells during wound healing. Considering this, the lack of disturbance of the behavior of the immune cells and no growth-inducing effect on bacteria and fungi in the biofilm can be assigned as rather positive."</t>
  </si>
  <si>
    <t>(* need to see full text to confirm whether scratch wound model was used)</t>
  </si>
  <si>
    <t>Immune-modulating properties of blue light do not influence reepithelization in vitro</t>
  </si>
  <si>
    <t>400-
450</t>
  </si>
  <si>
    <t>28.9</t>
  </si>
  <si>
    <t>600
1200
1800</t>
  </si>
  <si>
    <t>"Therefore, we investigated the effects of blue light irradiation on peripheral blood mononuclear cells (PBMC) and the influence on reepithelization in vitro."
"No differences in reepithelization were detectable when keratinocytes were treated with the supernatant of these blue light irradiated PBMCs. "</t>
  </si>
  <si>
    <t>Wounds</t>
  </si>
  <si>
    <t>Does Phototherapy Promote Wound Healing? Limitations of Blue Light Irradiation</t>
  </si>
  <si>
    <t>PBM-related harm (high-dose blue light) 🔵</t>
  </si>
  <si>
    <t>400-
450
400-
450</t>
  </si>
  <si>
    <t xml:space="preserve">
0.120</t>
  </si>
  <si>
    <t>"Blue light reduces keratinocyte proliferation and migration at high doses and therefore could negatively affect wound healing."</t>
  </si>
  <si>
    <t>Ebrahiminaseri</t>
  </si>
  <si>
    <t>Combination treatment of dendrosomal nanocurcumin and low-level laser therapy develops proliferation and migration of mouse embryonic fibroblasts and alter TGF-β, VEGF, TNF-α and IL-6 expressions involved in wound healing process</t>
  </si>
  <si>
    <t>"Our results indicated that combination exposure with DNC and LLLT leads to increased proliferation and migration of MEFs as well as being more efficient in significantly upregulating growth factors (TGF-β, VEGF) and decline in inflammatory cytokines (TNF-α, IL-6). Moreover, findings of this research provide persuasive support for the notion that DNC could reduce the LLLT-induced enhancement in intracellular ROS in mouse embryonic fibroblasts."</t>
  </si>
  <si>
    <t>Keratinocyte and Fibroblast Wound Healing In Vitro Is Repressed by Non-Optimal Conditions but the Reparative Potential Can Be Improved by Water-Filtered Infrared A</t>
  </si>
  <si>
    <t>380-
1400</t>
  </si>
  <si>
    <t>"Keratinocyte and fibroblast wound healing under non-optimal conditions was found to be distinctly reduced in vitro. wIRA treatment could counteract the inflammatory response in infected keratinocytes as well as under chronic inflammatory conditions by decreasing pro-inflammatory cytokine gene expression and improve wound healing.
In contrast, in the anti-inflammatory setting, wIRA radiation could re-initiate the acute inflammatory response necessary after injury to stimulate the regenerative processes and advance scratch closure."</t>
  </si>
  <si>
    <t>In Vitro Wound Healing Potential of Photobiomodulation Is Possibly Mediated by Its Stimulatory Effect on AKT Expression in Adipose-Derived Stem Cells</t>
  </si>
  <si>
    <t>Adipose-derived stem cells (ADSCs)</t>
  </si>
  <si>
    <t>0.011
0.010</t>
  </si>
  <si>
    <t>"This data suggests that PBM promotes wound healing by increasing antioxidant levels by activating AKT signaling."</t>
  </si>
  <si>
    <t>Topatoglu</t>
  </si>
  <si>
    <t>Turkey
(Izmir)</t>
  </si>
  <si>
    <t>Comparative analysis of the light parameters of red and near-infrared diode lasers to induce photobiomodulation on fibroblasts and keratinocytes: An in vitro study</t>
  </si>
  <si>
    <t>655
808</t>
  </si>
  <si>
    <t>1/3/5
1/3/5</t>
  </si>
  <si>
    <t>"This study revealed that PBM with 655 and 808 nm of wavelengths was effective to speed up the wound healing process at specific energy densities. In general 808-nm of wavelength was more successful."</t>
  </si>
  <si>
    <t>Theodoro</t>
  </si>
  <si>
    <t>Inhibitory Effect of Red LED Irradiation on Fibroblasts and Co-Culture of Adipose-Derived Mesenchymal Stem Cells</t>
  </si>
  <si>
    <t>"Our hypothesis was not supported by the results because the red LED irradiation decreased the healing response of ASC."</t>
  </si>
  <si>
    <t>Jere</t>
  </si>
  <si>
    <t>Effect of Photobiomodulation on Cellular Migration and Survival in Diabetic and Hypoxic Diabetic Wounded Fibroblast Cells</t>
  </si>
  <si>
    <t>"PBM increased migration and survival in diabetic wounded and hypoxic diabetic wounded fibroblasts. 
Our findings suggest that PBM enhances migration and survival in diabetic wounded and hypoxic diabetic wounded fibroblasts, indicating that this therapeutic method may be beneficial against chronic wounds in diabetic patients."</t>
  </si>
  <si>
    <t>Photobiomodulation and the expression of genes related to the JAK/STAT signalling pathway in wounded and diabetic wounded cells.</t>
  </si>
  <si>
    <t>"RNA was extracted from cells 48 h post-irradiation, and was used to synthesise complementary deoxyribonucleic acid (cDNA) that was used in PCR arrays to profile for 84 JAK/STAT signalling related genes. 
Irradiation at a wavelength of 660 nm and an energy density of 5 J/cm2 significantly regulated genes related to the JAK/STAT signalling pathway in wounded and diabetic wounded cells.
In irradiated wounded cells, 19 genes were significantly regulated, of which two were up-regulated and 17 were down-regulated, while 73 genes were significantly regulated in irradiated diabetic wounded cells of which 46 were up-regulated and 27 were down-regulated.
This data suggests that PBM modulates gene transcription for protein synthesis and activates cellular signalling, and may indeed be helpful in enhancing diabetic wound repair."</t>
  </si>
  <si>
    <t>Tricarico</t>
  </si>
  <si>
    <t>France
(Créteil)</t>
  </si>
  <si>
    <t>Photobiomodulation therapy promotes in vitro wound healing in nicastrin KO HaCaT cells.</t>
  </si>
  <si>
    <t>ATP</t>
  </si>
  <si>
    <t>"In our experimental model PBM exerts a potent action on metabolism of mutated keratinocytes, incrementing ATP production at 2-hours, while after 24-hours an increase of metabolism with a decrement of intracellular ATP levels were recorded. Moreover, PBM speeds up the wound closure, inducing cells' migration without affecting their proliferation."</t>
  </si>
  <si>
    <t>Photobiomodulation at 660nm stimulates proliferation and migration of diabetic wounded cells via the expression of epidermal growth factor and the JAK/STAT pathway.</t>
  </si>
  <si>
    <t>"Irradiated diabetic wounded cells showed a significant increase in EGF, and activation of its receptor (p-EGFR) and JAK/STAT (p-JAK2, p-STAT1 and p-STAT5). PBM at 660nm and 5J/cm2 is able to modulate cellular autocrine signalling, particularly the EGF/EGFR loop leading to activation of the JAK/STAT pathway which in turn stimulates cell proliferation and migration."</t>
  </si>
  <si>
    <t>Masson-Meyers</t>
  </si>
  <si>
    <t>USA
(Milkwaukee, WI)</t>
  </si>
  <si>
    <t>Blue light does not impair wound healing in vitro</t>
  </si>
  <si>
    <t>3
5
10
55</t>
  </si>
  <si>
    <t>"The results showed that wound closure was similar for groups treated with 3, 5 and 10J/cm(2), with a slight improvement with the 5J/cm(2) dose, and slower closure with 55J/cm(2) p&lt;0.001)."</t>
  </si>
  <si>
    <t>Teuschl</t>
  </si>
  <si>
    <t>Phototherapy with LED light modulates healing processes in an in vitro scratch-wound model using 3 different cell types.</t>
  </si>
  <si>
    <t>LED phototherapy
Blue light 🔵
Wavelength comparison</t>
  </si>
  <si>
    <t>470
630</t>
  </si>
  <si>
    <t>"[R]ed light did not alter apoptosis in either cell type but promoted proliferation in all 3 cell types with significant effects in C2C12 and NIH/3T3 cells and shortened time to closure in all 3 cell types."</t>
  </si>
  <si>
    <t>Agha</t>
  </si>
  <si>
    <t>USA
(Carmel, IN)</t>
  </si>
  <si>
    <t>Am J Cosmet Surg</t>
  </si>
  <si>
    <t>In vitro Comparison of Light-Emitting Diodes and Carnosic Acid Effects on Keratinocyte Proliferation and Wound Healing</t>
  </si>
  <si>
    <t>PBM vs carnosic acid</t>
  </si>
  <si>
    <t>620
660</t>
  </si>
  <si>
    <t>"This study did not support the hypothesis that LED treatment results in keratinocyte proliferation; however, carnosic acid, a potent antioxidant, stimulated keratinocyte production and could be implicated in wound healing and rejuvenation."</t>
  </si>
  <si>
    <t>SAGE</t>
  </si>
  <si>
    <t>Senescence</t>
  </si>
  <si>
    <t>Arabadjiev</t>
  </si>
  <si>
    <t>Bulgaria
(Sofia)</t>
  </si>
  <si>
    <t>Photobiomodulation with 590 nm Wavelength Delays the Telomere Shortening and Replicative Senescence of Human Dermal Fibroblasts In Vitro</t>
  </si>
  <si>
    <t>"After 10 cycles of irradiation, the percentage of senescent cells in PBM-treated cultures was 19.7% ± 4.5%, p &lt; 0.05 smaller than the percentage of senescent cells in the control group, and their relative telomere length was 1.19 ± 0.09-fold, p &lt; 0.05 greater than nontreated controls."</t>
  </si>
  <si>
    <t>Signalling pathways</t>
  </si>
  <si>
    <t>BangHong</t>
  </si>
  <si>
    <t>China
(Bengbu)</t>
  </si>
  <si>
    <t>Low-level laser activates Wnt/β-catenin signaling pathway-promoting hair follicle stem cell regeneration and wound healing: Upregulate the expression of key downstream gene Lef 1</t>
  </si>
  <si>
    <t>🧪 In vitro
+ 🐁 Mouse</t>
  </si>
  <si>
    <t>Regeneration of taste through Sonic hedgehog upregulation by photobiomodulation</t>
  </si>
  <si>
    <t>🧪 In vitro
+ in vivo (which animal?)</t>
  </si>
  <si>
    <t>"PBM treatment using a 630 nm laser (3 W/cm2 ) at a radiant exposure of 120 J/cm2 (24 J/cm2 x 5) successfully upregulated the Shh protein expression, regenerated taste buds, and recovered taste function."</t>
  </si>
  <si>
    <t>J Wound Care</t>
  </si>
  <si>
    <t>The effect of photomodulation on fibroblast growth factor and the Ras/MAPK signalling pathway: a review</t>
  </si>
  <si>
    <t>"Experimental and clinical findings from the review show that PBM can stimulate the release of growth factors, including FGF, an essential cytokine in wound healing, and one which is present at lower concentrations in diabetic wounds. There is also activation of the Ras/MAPK signalling pathway."</t>
  </si>
  <si>
    <t>Komine</t>
  </si>
  <si>
    <t>Japan
(Kanazawa)</t>
  </si>
  <si>
    <t>Activation of the extracellular signal-regulated kinase signal pathway by light emitting diode irradiation.</t>
  </si>
  <si>
    <t>Fibroblasts (NIH3T3)
LED phototherapy</t>
  </si>
  <si>
    <t>"LED irradiation induced cell growth of NIH3T3 fibroblasts. The expression of PDGF-C had significantly increased in the irradiated group (P &lt; 0.01). Although strong activation of the ERK pathway was observed in the irradiated group, its activation was completely suppressed by the PDGF receptor inhibitor. We concluded that LED irradiation promotes fibroblast proliferation by increasing autocrine production of PDGF-C and activating the ERK pathway through phosphorylation of the PDGF receptor."</t>
  </si>
  <si>
    <t>El Makakey</t>
  </si>
  <si>
    <t>Egypt
(Qena)</t>
  </si>
  <si>
    <t>Biochem Biophys Rep (?)</t>
  </si>
  <si>
    <t>Comparative study of the efficacy of Pulsed Electromagnetic Field and Low Level Laser Therapy on Mitogen-Activated Protein Kinases</t>
  </si>
  <si>
    <t>🧑 Human
⚔ Comparison study
👥 50 participants
⌛ 6 days</t>
  </si>
  <si>
    <t>Appendectomy wound
PBM vs PEMF</t>
  </si>
  <si>
    <t>12
/ 6 days</t>
  </si>
  <si>
    <t>"LLLT stimulates only the ERK pathway in MAPKS activation pathways."</t>
  </si>
  <si>
    <t>Int J Biochem Cell Biol</t>
  </si>
  <si>
    <t>Photoactivation of TAZ via Akt/GSK3β signaling pathway promotes osteogenic differentiation</t>
  </si>
  <si>
    <t>Osteogenesis</t>
  </si>
  <si>
    <t>However, inhibition of Akt/GSK3 pathway reversed the effects of TAZ on osteogenic differentiation induced by LPLI.</t>
  </si>
  <si>
    <t>Jiang</t>
  </si>
  <si>
    <t>Photoactivation of Dok1/ERK/PPARγ signaling axis inhibits excessive lipolysis in insulin-resistant adipocytes</t>
  </si>
  <si>
    <t>"Our data showed that LPLI inhibits ERK phosphorylation through the activation of Dok1, resulting in decreased phospho-PPARγ level. Non-phosphorylated PPARγ maintains in nucleus to promote the expression of adipogenic genes, reversing excessive lipolysis in insulin-resistant adipocytes."</t>
  </si>
  <si>
    <t>Low-power laser irradiation (LPLI) promotes VEGF expression and vascular endothelial cell proliferation through the activation of ERK/Sp1 pathway</t>
  </si>
  <si>
    <t>"Herein, we report that LPLI (low-power laser irradiation) activates ERK/Sp1 (extracellular signal-regulated kinase/specificity protein 1) pathway to promote VEGF expression and vascular endothelial cell proliferation."</t>
  </si>
  <si>
    <t>High fluence low-power laser irradiation induces apoptosis via inactivation of Akt/GSK3β signaling pathway.</t>
  </si>
  <si>
    <t>20
40
80
120
160</t>
  </si>
  <si>
    <t>100
200
400
600
800</t>
  </si>
  <si>
    <t>"Taken together, we have identified a new and important proapoptotic signaling pathway that is consisted of Akt/GSK3β inactivation for HF-LPLI stimulation. Our research will extend the knowledge into the biological mechanisms induced by LPLI."</t>
  </si>
  <si>
    <t>Sun</t>
  </si>
  <si>
    <t>FEBS J</t>
  </si>
  <si>
    <t>The reactive oxygen species-Src-Stat3 pathway provokes negative feedback inhibition of apoptosis induced by high-fluence low-power laser irradiation.</t>
  </si>
  <si>
    <t>"High-fluence low-power laser irradiation (HF-LPLI) can induce apoptosis by triggering mitochondrial oxidative stress. Signal transducer and activator of transcription 3 (Stat3) is an important transcription factor in the modulation of cell proliferation and apoptosis. Here, using real-time single-cell analysis and western blotting analysis, we investigated the changes in activities of Stat3 in COS-7 cells upon HF-LPLI (633 nm, 80 and 120 J·cm(-2)) and the underlying mechanisms involved."
"Taken together, these findings show that the ROS-Src-Stat3 pathway mediates a negative feedback inhibition of apoptosis induced by HF-LPLI in COS-7 cells. Our research will provide new insights into the mechanism of apoptosis caused by HF-LPLI, and also extend the functional study of Stat3."</t>
  </si>
  <si>
    <t>Low-power laser irradiation promotes cell proliferation by activating PI3K/Akt pathway</t>
  </si>
  <si>
    <t>"LPLI promotes cell proliferation through PI3K/Akt activation since the cell viability was significantly inhibited by PI3K inhibitor. All these studies create a concernful conclusion that PI3K/Akt signaling pathway is well involved in LPLI triggered cell proliferation that acts as a time- and dose-dependent manner."</t>
  </si>
  <si>
    <t>Gao &amp; Xing</t>
  </si>
  <si>
    <t>J Biomed Sci</t>
  </si>
  <si>
    <t>Molecular mechanisms of cell proliferation induced by low power laser irradiation.</t>
  </si>
  <si>
    <t>"Low power laser irradiation (LPLI) promotes proliferation of multiple cells, which (especially red and near infrared light) is mainly through the activation of mitochondrial respiratory chain and the initiation of cellular signaling. Recently, the signaling proteins involved in LPLI-induced proliferation merit special attention, some of which are regulated by mitochondrial signaling.
Hepatocyte growth factor receptor (c-Met), a member of tyrosine protein kinase receptors (TPKR), is phosphorylated during LPLI-induced proliferation, but tumor necrosis factor alpha (TNF-alpha) receptor has not been affected. Activated TPKR could activate its downstream signaling elements, like Ras/Raf/MEK/ERK, PI3K/Akt/eIF4E, PI3K/Akt/eNOS and PLC-gamma/PKC pathways. Other two pathways, DeltaPsim/ATP/cAMP/JNK/AP-1 and ROS/Src, are also involved in LPLI-induced proliferation.
LPLI-induced cell cycle progression can be regulated by the activation or elevated expressions of cell cycle-specific proteins. Furthermore, LPLI induces the synthesis or release of many molecules, like growth factors, interleukins, inflammatory cytokines and others, which are related to promotive effects of LPLI."</t>
  </si>
  <si>
    <t>High fluence low-power laser irradiation induces mitochondrial permeability transition mediated by reactive oxygen species.</t>
  </si>
  <si>
    <t>Human lung adenocarcinoma cells (ASTC-a-1)</t>
  </si>
  <si>
    <t>"Taken together, these results showed that HF-LPLI induced cell apoptosis via the CsA-sensitive MPT, which was ROS-dependent. Furthermore, there existed a secondary signaling pathway through Bax activation."</t>
  </si>
  <si>
    <t>Low-power laser irradiation activates Src tyrosine kinase through reactive oxygen species-mediated signaling pathway.</t>
  </si>
  <si>
    <t>"Using a Src reporter based on fluorescence resonance energy transfer (FRET) and confocal laser scanning microscope, we visualized the dynamic Src activation in Hela cells immediately after LPLI. Moreover, Src activation by LPLI was in a dose-dependent manner."
"These results demonstrated that it was ROS that mediated Src activation by LPLI. Cellular viability assay revealed that laser irradiation of low doses (&lt;/=25 J/cm(2)) promoted Hela cells viability while high doses impaired."</t>
  </si>
  <si>
    <t>De Castro</t>
  </si>
  <si>
    <t>Do laser and led phototherapies influence mast cells and myofibroblasts to produce collagen?</t>
  </si>
  <si>
    <t>Mast cells
Myofibroblasts
LLLT vs LED</t>
  </si>
  <si>
    <t>660
laser
630
LED</t>
  </si>
  <si>
    <t>"It is concluded that the mast cell and myofibroblast population might participate in the collagen formation of irradiated wounds particularly in relation to laser phototherapy."
"No statistical significances were observed for LED light according to the parameters used in this study."</t>
  </si>
  <si>
    <t>Fujimura</t>
  </si>
  <si>
    <t>Japan
(Nagoya)</t>
  </si>
  <si>
    <t>Irradiation with a low-level diode laser induces the developmental endothelial locus-1 gene and reduces proinflammatory cytokines in epithelial cells.</t>
  </si>
  <si>
    <t>"The mRNA expression of Del-1, which is known to have anti-inflammatory activity, was significantly upregulated by laser irradiation (p &lt; 0.01). Concurrently, LPS-induced IL-6 and IL-8 expression was significantly suppressed in the LPS + laser group (p &lt; 0.01).
ICAM-1 expression was significantly higher in the LPS + laser group than in the LPS only or control groups. Finally, compared with the control, the migration of epithelial cells was significantly increased by diode laser irradiation with or without ICG-Nano/c.
These results suggest that, in addition to its antimicrobial effect, low-level diode laser irradiation, with or without ICG-Nano/c, can suppress excessive inflammatory responses via a mechanism involving Del-1, and assists in wound healing."</t>
  </si>
  <si>
    <t>Chellini</t>
  </si>
  <si>
    <t>Low pulse energy Nd:YAG laser irradiation exerts a biostimulative effect on different cells of the oral microenvironment: "an in vitro study".</t>
  </si>
  <si>
    <t>TRPC1</t>
  </si>
  <si>
    <t>"Nd:YAG laser irradiation did not affect cell viability in all the tested cell types, even when combined with pre-treatment with MB, and efficiently stimulated cell growth in the non-sensitized osteoblasts. Moreover, a significant induction in the expression of osteopontin, ALP, and Runx2 in osteoblasts, type I collagen in fibroblasts, and vinculin in endothelial cells could be observed in the irradiated cells."
"Notably, laser irradiation also caused an increase in the intracellular Ca(2+) in osteoblasts through the activation of TRPC1 ion channels. Moreover, the pharmacologic or genetic inhibition of these channels strongly attenuated laser-induced osteopontin expression, suggesting a role for the laser-mediated Ca(2+) influx in regulating osteoblast differentiation."</t>
  </si>
  <si>
    <t>Lins</t>
  </si>
  <si>
    <t>Brazil
(Santo André)</t>
  </si>
  <si>
    <t>A novel 785-nm laser diode-based system for standardization of cell culture irradiation.</t>
  </si>
  <si>
    <t>2
4
10
15
25</t>
  </si>
  <si>
    <t>"[T]he data of this study revealed that the odontoblast-like cells exposed to low-level laser therapy (LLLT) using the LT presented higher metabolism and normal morphology."
"The experimental LASERTable assessed in this study provided parameters for standardization of infrared cell irradiation, minimizing the time spent to irradiate all samples."</t>
  </si>
  <si>
    <t>Device: Twelve units of the laser diode DL-7140-201S (SANYO Electric Co., Ltd., Japan) were used in the LT.</t>
  </si>
  <si>
    <t>De Oliveira</t>
  </si>
  <si>
    <t>Comparison between the effect of low-level laser therapy and low-intensity pulsed ultrasonic irradiation in vitro.</t>
  </si>
  <si>
    <t>L929 fibroblast cells</t>
  </si>
  <si>
    <t>Abdominal aortic aneurysm</t>
  </si>
  <si>
    <t>Photobiomodulation for Abdominal Aortic Aneurysm: Can It Work?</t>
  </si>
  <si>
    <t>"In this editorial we focus on the recent evidence that has accumulated suggesting that PBM may be highly suitable for minimally invasive prevention of progression and rupture of AAA."</t>
  </si>
  <si>
    <t>Arrest of progression of pre-induced abdominal aortic aneurysm in apolipoprotein E-deficient mice by low level laser phototherapy.</t>
  </si>
  <si>
    <t>Ang-II-infused Apo-E(-/-) mice</t>
  </si>
  <si>
    <t>2.2</t>
  </si>
  <si>
    <t>"LLL not only prevents de novo development of AAA, but, from this study, also arrests further progression of pre-induced AAA and its associated deterioration in the biomechanical integrity of the aortic wall in Apo-E(-/-) mice."</t>
  </si>
  <si>
    <t>Low level laser arrests abdominal aortic aneurysm by collagen matrix reinforcement in apolipoprotein E-deficient mice.</t>
  </si>
  <si>
    <t>"Transmural disruptions of the aorta occurred with distinct predilection for branch orifices. In the LLLI-treated animals, the frequency of these disruptions was lower (#branches with break points: 17 of 40 vs. 32 of 48, P = 0.023 by Chi-squared), their size smaller (length [mm]: 0.48 ± 0.26 vs. 0.98 ± 1.42, P = 0.044 by ANOVA with FPLSD), and the number of Mac-2-positive macrophages in the intramural areas of these disruptions lower than in the non-treated control (#Macrophages/0.01 mm(2) at break points: 11.6 ± 7.2 vs. 26.0 ± 15.7, P = 0.016 by Kruskal-Wallis).
The average size of the medial SMCs was larger reflecting a heightened synthetic state (SMC size [µm(2) ]: 463.9 ± 61.4 vs. 354.9 ± 71.7, P = 0.001 by ANOVA with FPLSD).
Furthermore, at sites of transmural disruption, the %area occupied by collagen of the overall area of attempted repair (%Col/WO) was significantly greater in the LLLI-treated animals versus control (%Col/WO: 41 ± 13 vs. 32 ± 16, P = 0.009 by ANOVA with FPLSD)."</t>
  </si>
  <si>
    <t>Cardiovasc Res</t>
  </si>
  <si>
    <t>Low-level laser irradiation inhibits abdominal aortic aneurysm progression in apolipoprotein E-deficient mice.</t>
  </si>
  <si>
    <t>0.004</t>
  </si>
  <si>
    <t>"At 4 weeks, seven of 15 non-irradiated, but none of the 13 LLLI, mice had aneurysmal dilatation in the suprarenal aneurysm-prone segments that had progressed to &gt;or=50% increase in maximal cross-sectional diameter (CSD) over baseline (P = 0.005 by Fisher's exact test).
The mean CSD of the suprarenal segments (normalized individually to inter-renal control segments) was also significantly lower in irradiated animals (LLLI vs. non-irradiated: 1.32 +/- 0.14 vs. 1.82 +/- 0.39, P = 0.0002 by unpaired, two-tailed t-test) with a 94% reduction in CSD at 4 weeks compared with baseline.
M-mode ultrasound data showed that reduced radial wall velocity seen in non-treated was significantly attenuated in the LLLI mice, suggesting a substantial effect on arterial wall elasticity."</t>
  </si>
  <si>
    <t>Aging (cardiovasc.)</t>
  </si>
  <si>
    <t>Syed</t>
  </si>
  <si>
    <t>Photobiomodulation therapy mitigates cardiovascular aging and improves survival</t>
  </si>
  <si>
    <t>Full-body PBM (animal)</t>
  </si>
  <si>
    <t>full-body PBM</t>
  </si>
  <si>
    <t>5/week 
for 8 months
(incl. a 3-month break due to covid19)</t>
  </si>
  <si>
    <t>"PBM treatment mitigated age-associated cardiovascular remodeling and reduced cardiac function, improved neuromuscular coordination, and increased longevity in an experimental animal model. These responses correlate with increased TGF-β1 in circulation. Future mechanistic and dose optimization studies are necessary to assess these anti-aging effects of PBM, and validation in future controlled human studies is required for effective clinical translation."
"We observed a striking increase in cumulative survival in PBM-treated AC8 mice (100%; p = 0.01) compared to untreated AC8 mice (43%)."</t>
  </si>
  <si>
    <t>Device: "a LED light source (Bio900, Platinum LED Inc)"
Method: "Fourteen months old Adenylyl cyclase type VIII (AC8) overexpressing transgenic mice (n = 8) and their wild-type (WT) littermates (n = 8) were treated with daily exposure to Near-Infrared Light (850 nm) at 25 mW/cm2 for 2 min each weekday for a total dose of 1 Einstein (4.5 p.J/cm2 or fluence 3 J/cm2 ) and compared to untreated controls over an 8-month period."</t>
  </si>
  <si>
    <t>Angiogenesis</t>
  </si>
  <si>
    <t>Photobiomodulation promotes angiogenesis in wound healing through stimulating the nuclear translocation of VEGFR2 and STAT3</t>
  </si>
  <si>
    <t>Wound healing</t>
  </si>
  <si>
    <t>"In the present work, we indicated that PBM with 1.0 J/cm2 irradiation dose exerts positive effects on cell viability, migration, proliferation and tube formation in human umbilical vein endothelial cells (HUVECs). Furthermore, we demonstrate that the VEGFA/VEGFR2/STAT3 pathway plays an important role in PBM effecting cellular function and promoting angiogenesis in wound healing. In addition, we also found that PBM activated the VEGFA/VEGFR2/STAT3 pathway by stimulating VEGFR2 and STAT3 nuclear translocation in the presence of importin-β."</t>
  </si>
  <si>
    <t>Red and near infrared light-stimulated angiogenesis mediated via Ca2+ influx, VEGF production and NO synthesis in endothelial cells in macrophage or malignant environments</t>
  </si>
  <si>
    <t>650
808</t>
  </si>
  <si>
    <t>"Red and near-infrared light stimulates angiogenesis in vitro, with more efficient stimulation at 650 nm than 808 nm."
"The irradiation promotes Ca ion influx, cell cycle progression, proliferation, and NO generation in endothelial cells."</t>
  </si>
  <si>
    <t>Korea
(Suwon)</t>
  </si>
  <si>
    <t>Cell Biol Toxicol</t>
  </si>
  <si>
    <t>Phototoxicity-free blue light for enhancing therapeutic angiogenic efficacy of stem cells</t>
  </si>
  <si>
    <t>470
(?)</t>
  </si>
  <si>
    <t>"We further explored molecular mechanisms involved in the therapeutic efficacy of bOLED for enhancing angiogenic properties of hADSC, including intracellular ROS control in hADSCs. Using optimum conditions of bOLED light proposed in this study, photobiomodulation and angiogenic properties of hADSCs were enhanced. These findings might open new methods for using blue light in LLLT."</t>
  </si>
  <si>
    <t>Bioeng Transl Med</t>
  </si>
  <si>
    <t>Area light source-triggered latent angiogenic molecular mechanisms intensify therapeutic efficacy of adult stem cells</t>
  </si>
  <si>
    <t>LED phototherapy (OLED)
Hindlimb ischemia</t>
  </si>
  <si>
    <t>"Our results revealed that the angiogenic paracrine effect, viability, and adhesion of hADSCs were significantly intensified by our OPBM strategy. 
Following OPBM treatment, significant changes were observed in HIF-1α expression, intracellular reactive oxygen species levels, activation of the receptor tyrosine kinase, and glycolytic pathways in hADSCs.
In addition, transplantation of OLED-irradiated hADSCs resulted in significantly enhanced limb salvage ratio in a mouse model of hindlimb ischemia."
"Our OPBM might serve as a new paradigm for stem cell culture systems to develop cell-based therapies in the future."</t>
  </si>
  <si>
    <t>Photobiomodulation Therapy to Promote Angiogenesis in Diabetic Mice with Hindlimb Ischemia</t>
  </si>
  <si>
    <t>1.91</t>
  </si>
  <si>
    <t>"Compared with the control and DM mice, the laser and DM+ laser groups had more than double the capillary density and blood perfusion rate. Levels of CD31 and VEGF-A proteins in groups that received laser were increased by 1.9- to 3.2-fold compared with groups that did not undergo laser treatment. Animals treated with PBMT exhibited significantly increased HIF-1α expression and ERK phosphorylation compared with animals that did not receive this treatment, and the amount of phospho-eNOS and iNOS increased and decreased, respectively."</t>
  </si>
  <si>
    <t>Winter</t>
  </si>
  <si>
    <t>Photobiomodulation (PBM) promotes angiogenesis in-vitro and in chick embryo chorioallantoic membrane model.</t>
  </si>
  <si>
    <t>Chick embryo 
chorioallantoic membrane model</t>
  </si>
  <si>
    <t>80
12</t>
  </si>
  <si>
    <t>57.6
518.4</t>
  </si>
  <si>
    <t>24
3.24</t>
  </si>
  <si>
    <t>2.4
160 cm2</t>
  </si>
  <si>
    <t>600
540</t>
  </si>
  <si>
    <t>"In conclusion we demonstrated the stimulating effect of intensive LED light of 635 nm at a pulse frequency of 2.5 Hz and a duty cycle of 50% on the angiogenesis in-vitro as well as in-vivo by means of cell culture and CAM assay. Further research is needed to characterize the mechanistic basis of this observation."</t>
  </si>
  <si>
    <t>REPULS 7</t>
  </si>
  <si>
    <t>Park</t>
  </si>
  <si>
    <t>Cytotherapy</t>
  </si>
  <si>
    <t>Adipose-derived stem cell spheroid treated with low-level light irradiation accelerates spontaneous angiogenesis in mouse model of hindlimb ischemia.</t>
  </si>
  <si>
    <t>🐁 Mouse
(🧪 In vitro irradiation)</t>
  </si>
  <si>
    <t>Stem cells
LED phototherapy</t>
  </si>
  <si>
    <t>"These findings suggest that transplantation of ASC spheroid treated with LLLI may be an effective stem cell therapy for the treatment of hind-limb ischemia and peripheral vascular disease."</t>
  </si>
  <si>
    <t>Zaidi</t>
  </si>
  <si>
    <t>Transient repetitive exposure to low level light therapy enhances collateral blood vessel growth in the ischemic hindlimb of the tight skin mouse.</t>
  </si>
  <si>
    <t>"Recovery of blood flow to the ischemic limb was reduced in Tsk(-/+) compared with C57Bl/6 mice 2 weeks after surgery. LLLT treatment of Tsk(-/+) mice restored blood flow to levels observed in C57Bl/6 mice. Vascular density was decreased, angiostatin expression was enhanced and angiomotin depressed in the ischemic hindlimb of Tsk(-/+) mice. LLLT treatment reversed these abnormalities. 
LLLT stimulates angiogenesis by increasing angiomotin and decreasing angiostatin expression in the ischemic hindlimb of Tsk(-/+) mice."</t>
  </si>
  <si>
    <t>Low level light therapy by LED of different wavelength induces angiogenesis and improves ischemic wound healing.</t>
  </si>
  <si>
    <t>470
629</t>
  </si>
  <si>
    <t>0.05
0.05</t>
  </si>
  <si>
    <t>"LED therapy with both wavelengths significantly increased angiogenesis in the sub-epidermal layer and intramuscularly (panniculus carnosus muscle) which was associated with significantly improved tissue perfusion 7 days after the ischemic insult. Accordingly, tissue necrosis was significantly reduced and shrinkage significantly less pronounced in the LED-treated groups of both wavelengths."</t>
  </si>
  <si>
    <t>Lohr</t>
  </si>
  <si>
    <t>J Mol Cell Cardiol</t>
  </si>
  <si>
    <t>Far red/near infrared light treatment promotes femoral artery collateralization in the ischemic hindlimb.</t>
  </si>
  <si>
    <t>🐇 Rabbit
🐁 Mouse
🧪 In vitro</t>
  </si>
  <si>
    <t>LED phototherapy
Nitric oxide</t>
  </si>
  <si>
    <t>"R/NIR significantly increased collateral vessel number which could not be attenuated with L-NAME.
R/NIR induced collateralization was abolished with c-PTIO.
In vitro, NO production increased in endothelial cells with R/NIR exposure, and this finding was independent of NOS inhibition. Similarly R/NIR induced proliferation and tube formation in a NO dependent manner.
Finally, nitrite supplementation accelerated R/NIR collateralization in wild type C57Bl/6 mice. In an eNOS deficient transgenic mouse model, R/NIR restores collateral development."</t>
  </si>
  <si>
    <t>Laser and LED phototherapies on angiogenesis.</t>
  </si>
  <si>
    <t>Cutaneous wounds
LED phototherapy
LLLT vs LED
Wavelength comparison
Blue light 🔵
Green light 🟢</t>
  </si>
  <si>
    <t>660
790
700
530
460</t>
  </si>
  <si>
    <t>60
50
15
8
22</t>
  </si>
  <si>
    <t>1.911
1.592
0.0075
0.0040
0.0109</t>
  </si>
  <si>
    <t>10
10
10
10
10</t>
  </si>
  <si>
    <t>333
333
4.97
4.97
4.97</t>
  </si>
  <si>
    <t>1
cm2
(area)
spot
size
varies</t>
  </si>
  <si>
    <t>168
200
668
1250
456</t>
  </si>
  <si>
    <t>7
7
7
7
7</t>
  </si>
  <si>
    <t>"Quantitative results showed that green LED (λ530 ± 20 nm), red LED (λ700 ± 20 nm), λ790 nm laser and λ660 nm laser caused significant increased angiogenesis when compared to the control group.
It is concluded that both laser and LED light are capable of stimulating angiogenesis in vivo on cutaneous wounds and that coherence was not decisive on the outcome of the treatment."</t>
  </si>
  <si>
    <t>Effects of 635nm light-emitting diode irradiation on angiogenesis in CoCl(2) -exposed HUVECs.</t>
  </si>
  <si>
    <t>Human umbilical vein endothelial cells (HUVECs)
LED phototherapy</t>
  </si>
  <si>
    <t>"The results showed that, under hypoxic/ischemic conditions, irradiation with 635 leads to reduced production and increased scavenging of intracellular ROS, which results in alleviation of VEGFR-1 suppression, enhanced VEGF expression and ERK MAPK activation, and subsequent acceleration of angiogenesis with improved cell viability and tube formation."</t>
  </si>
  <si>
    <t>Mirsky</t>
  </si>
  <si>
    <t>Promotion of angiogenesis by low energy laser irradiation.</t>
  </si>
  <si>
    <t>Myocardial infarction</t>
  </si>
  <si>
    <t>"Laser irradiation caused a 3.1-fold significant increase in newly formed blood vessels 6 days post infarction, as compared with nonirradiated rats."</t>
  </si>
  <si>
    <t>Arterial restenosis</t>
  </si>
  <si>
    <t>Derkacz</t>
  </si>
  <si>
    <t>Adv Clin Exp Med</t>
  </si>
  <si>
    <t>Effect of endovascular coronary low-level laser therapy during angioplasty on the release of endothelin-1 and nitric oxide.</t>
  </si>
  <si>
    <r>
      <rPr>
        <sz val="7.0"/>
      </rPr>
      <t xml:space="preserve">🧑 Human
🎲 Randomized trial
👥 101 participants
⌛ single treatment / 1-month follow-up
</t>
    </r>
    <r>
      <rPr>
        <i/>
        <sz val="7.0"/>
      </rPr>
      <t>(secondary publication)</t>
    </r>
  </si>
  <si>
    <t>1
during
the
PCI</t>
  </si>
  <si>
    <t>"Statistically higher nitrites/nitrates concentrations were observed in the laser group as compared to the control group in all tests except the pre-PCI assays. Endothelin-1 levels were significantly higher in the laser group 6 hours after PCI with a significant decrease in subsequent tests, which was not observed in the control group."
Comment: It seems the patient population is the same as in previous Derkacz studies, but the outcomes are different so this papers appears to be a secondary publication.</t>
  </si>
  <si>
    <t>Effects of intravascular low-level laser therapy during coronary intervention on selected growth factors levels.</t>
  </si>
  <si>
    <r>
      <rPr>
        <sz val="7.0"/>
      </rPr>
      <t xml:space="preserve">🧑 Human
🎲 Randomized trial
👥 101 participants
⌛ single treatment / 6-month follow-up
</t>
    </r>
    <r>
      <rPr>
        <i/>
        <sz val="7.0"/>
      </rPr>
      <t>(secondary publication)</t>
    </r>
  </si>
  <si>
    <t>1.6-
2.5
cm2</t>
  </si>
  <si>
    <t>"LLLT decreases levels of TGF-β1 and FGF-2 in patients undergoing coronary intervention, which may explain smaller neointima formation."
Comment: It seems the patient population is the same as in previous Derkacz studies, but the outcomes are different so this papers appears to be a secondary publication.</t>
  </si>
  <si>
    <t>Effect of the intravascular low energy laser illumination during percutaneous coronary intervention on the inflammatory process in vascular wall.</t>
  </si>
  <si>
    <t>🧑 Human
🎲 Randomized trial
👥 101 participants
⌛ single treatment / 1-month follow-up
(secondary publication)</t>
  </si>
  <si>
    <t>"Irradiation of the lesion with low-energy laser radiation during the PCI procedure results in a decrease in the levels of pro-inflammatory IL 1β and IL 6 as well as in an increase in the levels of anti-inflammatory IL 10, which may result in decreased risk for restenosis."
Comment: It seems the patient population is the same as in previous Derkacz study, but the outcomes are different so this papers appears to be a secondary publication.</t>
  </si>
  <si>
    <t>Am J Cardiol</t>
  </si>
  <si>
    <t>Usefulness of intravascular low-power laser illumination in preventing restenosis after percutaneous coronary intervention.</t>
  </si>
  <si>
    <t>🧑 Human
🎲 Randomized trial
👥 101 participants
⌛ single treatment / 12-month follow-up</t>
  </si>
  <si>
    <t>Patients undergoing percutaneous coronary intervention (PCI)
Intravascular PBM</t>
  </si>
  <si>
    <t xml:space="preserve">"Follow-up coronary angiography was performed after 6 months. The difference in the restenosis rate was insignificant (15.0% vs 32.4%); however, significant differences were observed in the minimal lumen diameter (2.18 ± 0.70 vs 1.76 ± 0.74 mm; p &lt; 0.05), late lumen loss (0.53 ± 0.68 vs 0.76 ± 0.76 mm; p &lt; 0.01), and the late lumen loss index (0.28 ± 0.39 vs 0.46 ± 0.43; p &lt; 0.005) in favor of the laser group.
In conclusion, the new therapy seemed effective and safe. Marked differences between late loss, late loss index, and minimal lumen diameter were observed."
</t>
  </si>
  <si>
    <t>Endoluminal phototherapy for prevention of restenosis: preliminary results at 6-month follow-up.</t>
  </si>
  <si>
    <t>🧑 Human
📄 Single-arm trial
👥 41 participants
⌛  single treatment / 6-month follow-up</t>
  </si>
  <si>
    <t>"Angiographic follow-up (n = 30) revealed restenosis in 9% and 25% of patients after stent implantation and balloon angioplasty, respectively. The MACE rate was 4.5% and 12.5% in stent and balloon-treated patients, respectively."
"Laser phototherapy gives very promising results in restenosis prevention, especially after stent implantation. The treatment method is safe, with a low rate of MACE in follow-up."</t>
  </si>
  <si>
    <t>Photostimulation of coronary arteries with low power laser radiation: preliminary results for a new method in invasive cardiology therapy</t>
  </si>
  <si>
    <t>🧑 Human
📄 Case series
👥 2 cases
⌛ single treatment / 6-month follow-up</t>
  </si>
  <si>
    <t>"The procedures were well tolerated. In both cases the follow-up examinations showed no evidence of restenosis."</t>
  </si>
  <si>
    <t>Kipshidze</t>
  </si>
  <si>
    <t>Effect of short pulsed nonablative infrared laser irradiation on vascular cells in vitro and neointimal hyperplasia in a rabbit balloon injury model.</t>
  </si>
  <si>
    <t>2.6
(?)</t>
  </si>
  <si>
    <t>"Morphometry showed that the luminal area was significantly greater in the arteries subjected to laser treatment (1.92±0.21 mm2 in the treated arteries and 0.49±0.09 mm2 in the control animals, P=9.1×10−14) (Table). Similar significant differences were demonstrated in the neointimal areas (0.76±0.18 and 1.85±0.30 mm2 in laser and control arteries, respectively, P=2.2×10−11). The ratio EELinj/EELref was greater in laser than control vessels (1.41±0.08 versus 1.09±0.08, P=9.4×10−9)."
"The present study also shows that endoluminal NIL has a significant effect on restenosis (Figures 5 and 6⇓; Table)."
"When delivered endoluminally, NIL reduces neointimal hyperplasia in the rabbit injury model. This study, however, should not be regarded as definitive preclinical data, and further experiments in the porcine coronary model are necessary to further establish the efficacy of this therapy. Ultimately, these data may lead to the development of new methods for the prevention of restenosis."</t>
  </si>
  <si>
    <t>De Scheerder</t>
  </si>
  <si>
    <t>Belgium
(Leuven)</t>
  </si>
  <si>
    <t>Intravascular low-power laser irradiation after coronary stenting: long-term follow-up.</t>
  </si>
  <si>
    <r>
      <rPr>
        <sz val="7.0"/>
      </rPr>
      <t xml:space="preserve">🧑 Human
📄 Single-arm trial
👥 68 participants
⌛ single treatment / 6-month follow-up
</t>
    </r>
    <r>
      <rPr>
        <i/>
        <sz val="7.0"/>
      </rPr>
      <t>(duplicate data)</t>
    </r>
  </si>
  <si>
    <t>1.885
cm2</t>
  </si>
  <si>
    <t>"After treatment, MLD was 2.76 +/- 0.32 mm with no procedural complications or in-hospital adverse events. Angiographic follow-up (n = 61) revealed restenosis in nine patients (14.7%) with rate by artery size of &gt; 3 mm (n = 21) 0%; 2.5--3.0 mm (n = 28) 14.2%; and &lt; 2.5 mm (n = 12) 41.6%."
"Intravascular red light therapy is safe, feasible, and reduces expected restenosis rate after coronary stenting."
Comment: This is the exactly same data as in the Am J Cardiol paper.</t>
  </si>
  <si>
    <t>Optimal dosing of intravascular low-power red laser light as an adjunct to coronary stent implantation: insights from a porcine coronary stent model.</t>
  </si>
  <si>
    <t>50
100</t>
  </si>
  <si>
    <t>60
60</t>
  </si>
  <si>
    <t>1
1</t>
  </si>
  <si>
    <t>"At 6 weeks, minimal luminal stent diameter was significantly narrower in the control group compared to the 50-mW dose group (p &lt; 0.05). These results were confirmed by morphometric analysis. Neointimal area was also significantly decreased in the 50-mW dose group."</t>
  </si>
  <si>
    <t>Long-term follow-up after coronary stenting and intravascular red laser therapy.</t>
  </si>
  <si>
    <t>🧑 Human
📄 Single-arm trial
👥 68 participants
⌛ single treatment / 6-month follow-up</t>
  </si>
  <si>
    <t>"After stenting and laser irradiation, MLD was 2.76 +/- 0.39 mm. No procedural complications or in-hospital adverse events occurred. All patients were followed up as depicted in the protocol. Sixty-one patients underwent angiographic restudy, which revealed restenosis in 9 patients (14.7%). Observed restenosis rate by artery size was &gt; 3 mm (n = 21, 0%), 2.5 to 3.0 mm (n = 28, 14.2%), and &lt;2.5 mm (n = 12, 41.6%). We conclude that IRLT is safe and feasible and reduces the expected restenosis rate in patients after coronary stenting in arteries of &gt;2.5 mm."</t>
  </si>
  <si>
    <t>Catheter Cardiovasc Interv</t>
  </si>
  <si>
    <t>Intravascular low-power red laser light as an adjunct to coronary stent implantation: initial clinical experience.</t>
  </si>
  <si>
    <t>🧑 Human
📄 Single-arm trial
👥 81 participants
⌛ single treatment / 6-month follow-up</t>
  </si>
  <si>
    <t>"Low-power red laser light (LPRLL) irradiation enhances endothelial cell growth in vitro and in vivo and reduces restenosis in animal models. The present study reports the preliminary clinical experience in our center. Eighty-one patients were treated with LPRLL, 30 mW/1 min, for in-stent restenosis (n = 27), elective stenting for recurrent restenosis (n = 16), and stenting for treatment of a suboptimal PTCA result (n = 38). All interventions were successful and no major adverse events due to LPRLL therapy were observed. At follow-up, 12 patients (14.8%) underwent an early control coronarogram due to target vessel restenosis. At 6 months, another 20 patients showed a significant restenosis of the target vessel. Preliminary clinical evaluation demonstrates that LPRLL is feasible and safe. The preliminary results suggest that LPRLL results in a decrease of in-stent restenosis when used during primary stenting."</t>
  </si>
  <si>
    <t>J Am Coll Cardiol</t>
  </si>
  <si>
    <t>Photoremodeling of arterial wall reduces restenosis after balloon angioplasty in an atherosclerotic rabbit model.</t>
  </si>
  <si>
    <t>"Endoluminal [low power red laser light] therapy was performed using a laser-balloon catheter with a 200 μm fiberoptic with a diffuse tip at the end to provide a uniform distribution of light in the radial and axial directions of the balloon (Fig. 1)."
"Morphometric analysis demonstrated that intimal area was five times greater in the areas subjected to balloon treatment alone (25.3 ± 1.9 mm2) than in the balloon plus laser treatment sites (4.2 ± 0.7 mm2)"
"Our experimental data indicate that endoluminal irradiation with [low power red laser light] prevents restenosis after balloon angioplasty in an atherosclerotic rabbit model. Endoluminal [low power red laser light] therapy may have a significant role in interventional cardiology, not only to prevent restenosis after coronary interventions but also to stabilize vascular endothelium so that progression or redevelopment of the disease is inhibited. Randomized studies are required to establish this as an effective clinical tool in humans."
Comment: This paper was published in a very-high impact journal (IF = 17.8). The paper is also Open Access.</t>
  </si>
  <si>
    <t>J Invasive Cardiol</t>
  </si>
  <si>
    <t>Intravascular Low Power Red Laser Light as an Adjunct to Coronary Stent Implantation Evaluated in a Porcine Coronary Model.</t>
  </si>
  <si>
    <t>Intravascular LLLT</t>
  </si>
  <si>
    <t>10
34</t>
  </si>
  <si>
    <t>"At 6 weeks, minimal luminal stent diameter was significantly narrower in the control group compared to the higher dose group (p &lt; 0.05), late loss correlated inversely proportional to the dose used (r = 0.9; p &lt; 0.03), these results were confirmed by morphometric analysis. Neointimal area was also significantly decreased in the higher dose group."
"Intravascular LPRLL contributes to reduction of angiographic restenosis and hyperplastic reaction in this animal model and seems to be dose dependent."</t>
  </si>
  <si>
    <t>Kaul</t>
  </si>
  <si>
    <t>India
(New Delhi)</t>
  </si>
  <si>
    <t>Intravascular Red Light Therapy after Coronary Stenting Ñ Angiographic and Clinical Follow-up Study in Humans.</t>
  </si>
  <si>
    <t>🧑 Human
📄 Single-arm trial
👥 22 participants
⌛ single treatment / 6-month follow-up</t>
  </si>
  <si>
    <t>"We studied the safety and efficacy of catheter-based IRLT for preventing restenosis after coronary stenting in 22 patients with angina pectoris. IRLT was performed using a diode laser (650 nm) at an energy level of 10 megawatts delivered through a rapid exchange balloon system containing the fiberoptics. The procedure was successful in all patients, with no procedural or in-hospital complications. Two patients with recurrence of symptoms had angiography at 3 and 4.1 months respectively. Angiographic follow-up was also done after 6 months in the 20 remaining asymptomatic patients. The mean minimal lumen diameter (MLD) for the whole group at 6 months follow-up was 2.57 +/- 0.62 mm. The calculated late lumen loss was 0.49 +/- 1.12 mm with a late loss index of 0.21 +/- 0.54. Four patients (2 symptomatic and 2 asymptomatic) in the series developed angiographic restenosis. Clinical events at follow-up of 10.9 +/- 3.5 months were repeat angioplasty in 2 patients for symptomatic restenosis with a 91% event free survival. These preliminary results demonstrate that IRLT after coronary artery stenting is safe and feasible; it is associated with low rates of angiographic indices of restenosis."
Comment: They claim the output power was 10 megawatts. This is ridiculous.</t>
  </si>
  <si>
    <t>Deckelbaum</t>
  </si>
  <si>
    <t>USA
(New Haven, CT)</t>
  </si>
  <si>
    <t>Photoinhibition of smooth muscle cell migration: potential therapy for restenosis.</t>
  </si>
  <si>
    <t>594-
600</t>
  </si>
  <si>
    <t>0.09
0.9
(single)
1.0
(daily)</t>
  </si>
  <si>
    <t>"We conclude that 594-600 nm light inhibits smooth muscle cell migration in vitro and may potentially be used in vivo to decrease fibrointimal thickening following arterial injury. This application of photoinhibition may be useful in retarding restenosis following angioplasty."</t>
  </si>
  <si>
    <t>Arteries</t>
  </si>
  <si>
    <t>Kotsyuba</t>
  </si>
  <si>
    <t>Russia
(Vladivostok)</t>
  </si>
  <si>
    <t>Reaction of Arterial and Venous Branches of the Broad Ligament of the Rat Uterus to Low-Intensity Red Laser Irradiation</t>
  </si>
  <si>
    <t>"Small arteries were found to be most sensitive to laser irradiation. The veins of the broad ligament of the uterus demonstrated lower reactivity to laser irradiation of the same duration than arterial vessels, which can be explained by morphological, functional, and hemodynamic differences."</t>
  </si>
  <si>
    <t>Mackiewicz-Milewska</t>
  </si>
  <si>
    <t>Poland
(Toruń)</t>
  </si>
  <si>
    <t>The influence of low level laser irradiation on vascular reactivity.</t>
  </si>
  <si>
    <t>🐀 Rat tail arteries</t>
  </si>
  <si>
    <t>10
30
110</t>
  </si>
  <si>
    <t>1.8
5.5
19.8</t>
  </si>
  <si>
    <t xml:space="preserve">"Laser irradiation at the power of 10 mW, 30 mW, and 110 mW reduced the maximum response of arteries stimulated with of an alpha-adrenergic receptor agonist, phenylephrine sequentially to 88%, 72%, and 52%. Furthermore, we found significant and powerdependent increase in EC50 value (the concentration of agonist at which 50% of the maximal effect is reached). EC50 in the presence of 10 mW, 30 mW and 110 mW laser irradiation was respectively 4.2, 9.5 and 20.3 times higher than in the controls. Relative potency was reduced in all laser irradiated subsets."
"Similar findings were observed during stimulation of endothelin-1. Laser irradiation at the power of 10 mW, 30 mW and 110 mW resulted in maximal response respectively reduced to 94%, 62% and 38%."
"Endothelin-1 induced vasospasm was significantly and powerdependent reduced during laser irradiation. The reduction was found during contraction resulted from calcium influx from intra
and extracellular calcium stores."
"Our results strongly suggest that during laser biostimulation vascular smooth muscle cells reactivity is reduced, this effect is present in arteries with normal endothelium."
</t>
  </si>
  <si>
    <t>Atherosclerosis</t>
  </si>
  <si>
    <t>Synergic effects of ultrasound and laser therapies on mesentery for management of obesity and diabetes in rats</t>
  </si>
  <si>
    <t>660+
808</t>
  </si>
  <si>
    <t>1.0</t>
  </si>
  <si>
    <t>14.4
/p
(2p)</t>
  </si>
  <si>
    <t>847</t>
  </si>
  <si>
    <t>0.017
cm2
optical
fiber
area
1.6
cm2
effective
radiation area</t>
  </si>
  <si>
    <t>180
per
body
region</t>
  </si>
  <si>
    <t>"An animal model of type 2 diabetes based on a hyperlipidemic diet combined with a low dose of streptozotocin was used in this study. Body mass and biochemical measurements were performed.
GOT and GPT level showed a significant reduction in the treated groups than SHAM.
The total cholesterol, triglycerides and very low-density lipoprotein (VLDL) levels showed significantly lower values for the US+LASER group.
There was also reduced risk of cardiovascular diseases evidenced by Castelli index in the treated groups than SHAM.
This study showed that the US and laser treatment on mesentery resulted to an improvement in biochemical measurements of the obese-hyperglycemic rats, especially the total cholesterol, triglycerides and VLDL levels."</t>
  </si>
  <si>
    <t>Yin</t>
  </si>
  <si>
    <t>J Cell Mol Med</t>
  </si>
  <si>
    <t>Photobiomodulation therapy promotes the ATP-binding cassette transporter A1-dependent cholesterol efflux in macrophage to ameliorate atherosclerosis</t>
  </si>
  <si>
    <t>0.058</t>
  </si>
  <si>
    <t>"Quantification based on Oil red O-stained aortas showed that the average plaque area decreased 8.306 ± 2.012% after PBMT (P &lt; .05).
Meanwhile, we observed that high-density lipoprotein cholesterol level in WD + PBMT mice increased from 0.309 ± 0.037 to 0.472 ± 0.038 nmol/L (P &lt; .05) compared with WD mice.
The further results suggested that PBMT could promote cholesterol efflux from lipid-loaded primary peritoneal macrophages and inhibit foam cells formation via up-regulating the ATP-binding cassette transporters A1 expression. A contributing mechanism involved in activating the phosphatidylinositol 3-kinases/protein kinase C zeta/specificity protein 1 signalling cascade.
Our study outlines that PBMT has a protective role on atherosclerosis by promoting macrophages cholesterol efflux and provides a new strategy for treating atherosclerosis."
[WD = western diet]</t>
  </si>
  <si>
    <t>Korea
(Cheongju)</t>
  </si>
  <si>
    <t>Lab Anim Res</t>
  </si>
  <si>
    <t>Anti-hypercholesterolemic and anti-atherosclerotic effects of polarized-light therapy in rabbits fed a high-cholesterol diet.</t>
  </si>
  <si>
    <t>Atherosclerosis (high cholesterol diet)
Polarized light of tungsten lamp (60W)
Polychromatic light 🌈
Systemic effects
PBM vs lovastatin</t>
  </si>
  <si>
    <t>400-
760</t>
  </si>
  <si>
    <t>300
1200</t>
  </si>
  <si>
    <t>"The results indicate that PLT attenuates atherosclerosis not only by lowering blood cholesterol and LDL levels, but also by improving blood flow without adverse effects. Therefore, it is suggested that PLT could be a safe alternative therapy for the improvement of hypercholesterolemia and atherosclerosis."</t>
  </si>
  <si>
    <t>Albumin (BSA)</t>
  </si>
  <si>
    <t>Ivanov</t>
  </si>
  <si>
    <t>Russia
(Pushchino)</t>
  </si>
  <si>
    <t>Formation of long-lived reactive species of blood serum proteins induced by low-intensity irradiation of helium-neon laser and their involvement in the generation of reactive oxygen species</t>
  </si>
  <si>
    <t>🧪 In vitro
(bovine serum albumin)</t>
  </si>
  <si>
    <t>Acellular effects</t>
  </si>
  <si>
    <t>"In this work it is shown that the dependence of the intensity of laser-induced luminescence of protein solutions (Fig. 1) and the formation of hydrogen peroxide (Fig. 3) on the protein concentration are two-phase in nature with a maximum at certain protein concentrations."
"Based on Table 1 and the data on generation of OH radicals, it may be concluded that 1O2, HO2 • and •OH contribute to the LRPS-induced generation of hydrogen peroxide"
"Thus, a new fundamental property of serum proteins was revealed: under the action of laser radiation in the presence of dissolved oxygen, they can be converted to LRPS, which then generate hydrogen peroxide over a prolonged period of time, as a result of associated autocatalytic electron-radical chain reactions [40]."</t>
  </si>
  <si>
    <t>Blood</t>
  </si>
  <si>
    <t>Al-Kaabi</t>
  </si>
  <si>
    <t>In Vitro Effect of Low-Level Lasers on Total Bilirubin Concentration in Human Blood Plasma Using 375 and 650 nm Lasers</t>
  </si>
  <si>
    <t>375
630</t>
  </si>
  <si>
    <t>"Human blood plasma total bilirubin levels were considerably lower following LLLI at 375 and 630 nm than controls."</t>
  </si>
  <si>
    <t>Suardi</t>
  </si>
  <si>
    <t>Nigeria
(Makurdi)</t>
  </si>
  <si>
    <t>Acoustic evaluation of photobiomodulation effect on in vitro human blood samples</t>
  </si>
  <si>
    <t>"The ultrasonic velocity measured in the human blood samples after laser irradiation showed significant changes, most of which were within the acceptance limit for soft tissues (1570 [Formula: see text] 30 m/s). Abnormal cells (echinocyte and crenation) were observed due to excessive exposure during laser treatment."</t>
  </si>
  <si>
    <t>Arjmand</t>
  </si>
  <si>
    <t>Central Proteins of Plasma in Response to Low-Level Laser Therapy Involve in Body Hemostasis and Wound Repair</t>
  </si>
  <si>
    <t>"To assess the effect of LLLT on the body, 6 proteins which are identified as dysregulated proteins after laser application to rats were extracted from the published data by Kilik et al.19 Based on the explained methods of that paper, 2 groups of 5-month-old rats were assigned as control and irradiated groups. The exposed group was irradiated for 9 days with a total daily dose of 60.3 J/cm2 with 134 irradiation time."
"FGG, AHSG, SERPINA1, TIMP1, KNG1, F5, APP, FGA, FN1, and ALB were introduced as the critical proteins that are involved in response to LLLT. Significant roles of the determined proteins are recognized as the regulation of body hemostasis and wound repair. The findings support the application of LLLT in medicine."</t>
  </si>
  <si>
    <t>Kilik</t>
  </si>
  <si>
    <t>Slovakia
(Košice)</t>
  </si>
  <si>
    <t>Physiol Res</t>
  </si>
  <si>
    <t>Proteomic analysis of plasma proteins after low-level laser therapy in rats.</t>
  </si>
  <si>
    <t>60.3</t>
  </si>
  <si>
    <t>"The comparison of blood plasma proteome from irradiated and non-irradiated rats was performed utilizing 2D electrophoresis followed by MALDI TOF/TOF mass spectrometry.
LLLT led to a quantitative change in the acute phase proteins with antioxidant protection i.e., haptoglobin (log(2) fold change (FC)=3.5), hemopexin (log(2) FC=0.5), fibrinogen gamma (log2 FC=1.4), alpha-1-antitrypsin (log(2) FC=-2.2), fetuin A (log2 FC=-0.6) and fetuin B (log2 FC=-2.3).
In comparison to conventional biochemical methods, the changes in protein levels in blood plasma induced by LLLT offer a deeper insight into the oxidative stress response."</t>
  </si>
  <si>
    <t>Elblbesy</t>
  </si>
  <si>
    <t>Comparative In Vitro Study: Examining 635 nm Laser and 265 nm Ultraviolet Interaction with Blood.</t>
  </si>
  <si>
    <t>Ex vivo (human blood)</t>
  </si>
  <si>
    <t>(265)
635</t>
  </si>
  <si>
    <t>"A decrease in whole blood viscosity due to irradiation by LLL was observed. To the contrary, an increase in whole blood viscosity due to irradiation by UV was detected. A significant reduction in erythrocytes' aggregation was observed as a result of LLL and UV radiation. Erythrocytes' deformability was strongly affected by UV radiation, while there was no significant effect from LLL."</t>
  </si>
  <si>
    <t xml:space="preserve">Technol Health Care
</t>
  </si>
  <si>
    <t>Effect of 405 nm low intensity irradiation on the absorption spectrum of in-vitro hyperlipidemia blood</t>
  </si>
  <si>
    <t>6
/ 3 days</t>
  </si>
  <si>
    <t>"Results show that after 405 nm low-intensity laser irradiation, whole blood samples of high lipid level statistically have higher absorbance peak value than normal samples while erythrocyte samples have lower absorbance peak value."</t>
  </si>
  <si>
    <t>Walski</t>
  </si>
  <si>
    <t>Low-Level Light Therapy Protects Red Blood Cells Against Oxidative Stress and Hemolysis During Extracorporeal Circulation.</t>
  </si>
  <si>
    <t>750-
1500
(peak
at
800)</t>
  </si>
  <si>
    <t>"In the control group, a rapid systemic decrease in WBC count during ECC was accompanied by a significant increase in RBC membrane lipids peroxidation, while in the LLLT group the number of WBC and TBARS concentration both remained relatively constant, indicating limitation of the inflammatory process. These results were consistent with the change in the hemolysis markers like PFHgb, LDH, and serum bilirubin concentration, which were significantly reduced in LLLT group. No differences in TAC, RBC count, and Hgb concentration were detected."</t>
  </si>
  <si>
    <t>The hematologic effects of low intensity 650 nm laser irradiation on hypercholesterolemia rabbits</t>
  </si>
  <si>
    <t>🐇 Rabbits</t>
  </si>
  <si>
    <t>Hypercholesterolemia</t>
  </si>
  <si>
    <t>"Low energy laser improve microcirculation, rheological properties and blood lipid that might be related with erythrocytes aggregation and deformability."</t>
  </si>
  <si>
    <t>Wasik</t>
  </si>
  <si>
    <t>Poland
(Warsaw)</t>
  </si>
  <si>
    <t>J Physiol Pharmacol</t>
  </si>
  <si>
    <t>The influence of low-power helium-neon laser irradiation on function of selected peripheral blood cells</t>
  </si>
  <si>
    <t>Ex vivo (blood)</t>
  </si>
  <si>
    <t>" This study was conducted to test the effects of low-level laser irradiation on human blood cells: erythrocytes, granulocytes, and lymphocytes. Whole blood obtained by phlebotomy was irradiated at 632.8 nm by using energy fluences 0.6 J/cm2."
"An analysis of blood gases revealed an increase in PO2 and SaO2 (P&lt;0.001) in irradiated blood. No shifts in PCO2 and pH were recorded. 
Spontaneous synthesis of DNA in T and B blood lymphocytes decreased significantly after laser irradiation (P&lt;0.02 and P&lt;0.04, respectively). 
Phytohemagglutinin (PHA)-induced proliferation of T cells and SAC proliferation of B cells, expressed as a stimulation index, were statistically higher in the samples of irradiated than in non-irradiated blood (P&lt;0.01). 
Chemiluminescence of fMLP-stimulated granulocytes from irradiated blood increased in comparison with non-irradiated samples (P&lt;0.001). No changes of spontaneous and stimulated chemiluminescence kinetics in irradiated samples were observed. 
These results reveal the influence of photodynamic reactions on the ability of blood to transport oxygen and on immunomodulatory effects on leukocytes."</t>
  </si>
  <si>
    <t>Mi</t>
  </si>
  <si>
    <t>In vitro effects of helium-neon laser irradiation on human blood: blood viscosity and deformability of erythrocytes.</t>
  </si>
  <si>
    <t>0.150</t>
  </si>
  <si>
    <t>540</t>
  </si>
  <si>
    <t>"Laser irradiation reduced the erythrocyte sedimentation rate of blood samples, which had a hyper-sedimentation rate originally. The blood viscosity of samples in hyper-values was lowered by laser irradiation in all shear rates measured (10-110 S(-1)), with a relative variation of approximately 10%. The deformability of erythrocytes from pathological samples and Ca(2+)-treated samples was improved after laser irradiation."</t>
  </si>
  <si>
    <t>Siposan &amp; Lukacs</t>
  </si>
  <si>
    <t>Romania
(Bucharest)</t>
  </si>
  <si>
    <t>Relative variation to received dose of some erythrocytic and leukocytic indices of human blood as a result of low-level laser radiation: an in vitro study.</t>
  </si>
  <si>
    <t>Single irradiation -&gt; 24h or 48h follow-up</t>
  </si>
  <si>
    <t>"Following irradiation, marked variations of some erythrocyte and leukocyte indices and changes of the erythrocyte aggregation (viscosity), as a function of received dose, were observed. Significant differences between control and irradiated blood samples were found for the following rheologic factors: RBC (in 22.2% of cases); HGB (26.8%); HCT (82.4%); MONO and GRAN (36.7%); viscosity (82.5%). From the plasma proteins: albumin (22.2%); alpha 1 globulin and gamma globulin (18.5%); fibrinogen (70.4%). In most of the cases, remarkable effects (maxima) were noticed around 1.2 J.cm-3 dose value. We consider this dose value as optimal, one that can lead to beneficial effects. The cell membrane integrity was not affected from irradiation, for doses between 0 and 9.346 J.cm-3, and will probably not even be affected at higher doses (see MCV and MCHC behavior)."</t>
  </si>
  <si>
    <t>Effect of low-level laser radiation on some rheological factors in human blood: an in vitro study.</t>
  </si>
  <si>
    <t>🧪 In vitro (blood samples from volunteers)</t>
  </si>
  <si>
    <t>"This study has shown that LLLR, even though used at low doses and low power densities, produced some changes of the rheological factors of the blood, as follows: a revitalizing and regenerating effect on mitosis stimulation and a nondamaging and biostimulating effect on the cell membrane (by keeping unmodified MCV, MCH, and MCHC). In 3 cases out of 22, hemolysis (complete or partially) occurred, but we are not yet sure whether this was caused by laser exposure or by certain environmental physical factors."</t>
  </si>
  <si>
    <t>Blood flow (feet)</t>
  </si>
  <si>
    <t>Heu</t>
  </si>
  <si>
    <t>Germany
(Erlangen)</t>
  </si>
  <si>
    <t>Effect of low-level laser therapy on blood flow and oxygen- hemoglobin saturation of the foot skin in healthy subjects: a pilot study.</t>
  </si>
  <si>
    <t>🧑 Human
📄 Non-randomized study, self-controlled, double-blind
👥 16 participants
⌛ single session</t>
  </si>
  <si>
    <t>Evaluation of systemic effects</t>
  </si>
  <si>
    <t>5.73</t>
  </si>
  <si>
    <t xml:space="preserve">55
cm2
area
</t>
  </si>
  <si>
    <t>"No evidence that the LLLT has a significant instant effect on the circulation or the oxygen saturation could be found."
"No immediate effect of an LLLT on the perfusion or oxygenation situation is to be expected with physiologically normal starting conditions. An additional investigation should be carried out in which either the radiation dose is varied or the starting conditions are pathological (e.g. chronic wounds) in order to rule out immediate effects on circulation or oxygen saturation as the cause of the improved wound healing which is often observed."</t>
  </si>
  <si>
    <t>Device: The laser therapy device used was the FL 3500 surface laser (wavelength: 660 nm; seven semiconductor laser diodes; output power: 350 mW) made by Heltschl Medizintechnik.</t>
  </si>
  <si>
    <t>Blood flow (forearm)</t>
  </si>
  <si>
    <t>Larkin</t>
  </si>
  <si>
    <t>USA
(Gainesville, FL)</t>
  </si>
  <si>
    <t>J Athl Train</t>
  </si>
  <si>
    <t>Limb blood flow after class 4 laser therapy.</t>
  </si>
  <si>
    <t>🧑 Human
🎲 Randomized trial, crossover
👥 10 participants
⌛ 4 sessions with 24-hour washout period</t>
  </si>
  <si>
    <t>1000
3000
6000</t>
  </si>
  <si>
    <t>1 for
each
condition
(4 conditions)</t>
  </si>
  <si>
    <t>"Laser therapy at the 3-W (360-J) dose level was an effective treatment modality to increase blood flow in the soft tissues."
"The sham, 1-W, and 6-W treatment doses did not change blood flow from baseline at any time point."
Comment: The effect was very modest. Parameters (even wavelength) not reported.</t>
  </si>
  <si>
    <t>Blood flow (superficial)</t>
  </si>
  <si>
    <t>Effects of diode laser irradiation on superficial blood flow in college sumo wrestlers: a preliminary study</t>
  </si>
  <si>
    <t>🧑 Human
📄 Single-arm trial
👥 10 participants
⌛ single session</t>
  </si>
  <si>
    <t>~15</t>
  </si>
  <si>
    <t>"Decreased blood flow was seen intrairradiation, but an increase, significant in 7 of the 10 subjects was seen immediately postirradiation. This was maintained at significantly elevated levels in 4 subjects, while the remaining six decreased slightly, but in all ten subjects elevated levels of superficial blood flow were seen at one hour postirradiation, compared with preirradiation"</t>
  </si>
  <si>
    <t>Digital ischemia</t>
  </si>
  <si>
    <t>Lueangarun &amp; Tempark</t>
  </si>
  <si>
    <t>Thailand
(Pathumthani)</t>
  </si>
  <si>
    <t>Successful Treatment of Digital Ischemia Following a Carbon Dioxide Laser and Tourniquet for a Digital Procedure With Adjuvant Low-Level Laser Therapy.</t>
  </si>
  <si>
    <t>🧑 Human
📄 Case report
⌛ 3 months</t>
  </si>
  <si>
    <t>"We reported an elderly patient with atherosclerotic risk factors and she subsequently underwent a digital tourniquet, partial nail plate removal, and a carbon dioxide laser treatment for subungual wart with digital gangrene development. The successful treatment consisted of wound-dressing, medication, and adjuvant low-level light therapy (LLLT) to enhance the wound healing process, thereby resulting in almost complete recovery of skin color and function of the digit in 3 months. 
In conclusion, the digital tourniquet should be cautiously applied, especially in elderly patients with atherothrombosis, under minimal pressure and appropriate length of time. Moreover, LLLT could be an effective adjuvant treatment to prevent the vascular complications of the digit."</t>
  </si>
  <si>
    <t>Editorial</t>
  </si>
  <si>
    <t>Vascular Photobiomodulation</t>
  </si>
  <si>
    <t>🔒</t>
  </si>
  <si>
    <t>Endothelium</t>
  </si>
  <si>
    <t>Colombo</t>
  </si>
  <si>
    <t>Experimental and Clinical Applications of Red and Near-Infrared Photobiomodulation on Endothelial Dysfunction: A Review</t>
  </si>
  <si>
    <t>Fifty (...) articles were selected (..) The PBM can modulate endothelial dysfunction, improving inflammation, angiogenesis, and vasodilatation. Among the studies, 808 nm and 18 J (0.2 W, 2.05 cm2) intracoronary irradiation can prevent restenosis as well as 645 nm and 20 J (0.25 W, 2 cm2) can stimulate angiogenesis. PBM can also support hypertension cure. However, more extensive randomised controlled trials are necessary."</t>
  </si>
  <si>
    <t>Hauck</t>
  </si>
  <si>
    <t>Effects of photobiomodulation therapy (PBMT) over endothelial function in healthy individuals: a preliminary crossover clinical trial</t>
  </si>
  <si>
    <t>🧑 Human
🎲 Randomized trial, crossover
👥 22 participants
⌛ single session</t>
  </si>
  <si>
    <t>0,28
cm2</t>
  </si>
  <si>
    <t>"We found a small effect size (p = 0.702; d de Cohen = 0.24) without statistical difference between interventions. 
PBMT with the energy density of 60 J and 30 J did not improve endothelial function."</t>
  </si>
  <si>
    <t>Photobiomodulation and estrogen stabilize mitochondrial membrane potential in angiotensin-II challenged porcine aortic smooth muscle cells</t>
  </si>
  <si>
    <t>0.0067</t>
  </si>
  <si>
    <t>"In the current study we report that while challenge of porcine aortic Smooth Muscle Cells (SMCs) with Ang-II (1 μM) resulted in a marked decay in mitochondrial membrane potential (MitMP) vs non-challenged cells, treatment with PBM (continuous diode laser, 780 nm, 6.7 mW/cm2 , 5 minutes, 2 J/cm2 ) or pre-incubation with estrogen (50 nM, 1 hour) significantly attenuated this deterioration in MitMP.
We also report that PBM and estrogen markedly affected porcine aortic SMC contraction and modified mitochondrial dispersion reflecting important influence on SMC function."</t>
  </si>
  <si>
    <t>China
(Nanchang)</t>
  </si>
  <si>
    <t>Microvasc Res</t>
  </si>
  <si>
    <t>Low-level laser therapy induces human umbilical vascular endothelial cell proliferation, migration and tube formation through activating the PI3K/Akt signaling pathway.</t>
  </si>
  <si>
    <t>0.5
1.0
2.0
4.0
8.0
12.0
16.0
20.0</t>
  </si>
  <si>
    <t>"As suggested by the obtained data, LLLT (1.0, 2.0 and 4.0 J/m2) increased the HUVEC proliferation, migration, and tube formation in dose-and time-dependent manner, accompanied with increases in the levels of HIF-1α, eNOS, and VEGFA."
"In conclusion, LLLT promotes the proliferation, migration, and angiogenesis of HUVECs via activation of the PI3K/Akt signaling pathway."
Comment: In the abstract, the authors use a wrong unit for energy (J/m2 instead of J/cm2). However, the full text reports the units correctly.</t>
  </si>
  <si>
    <t>Oh</t>
  </si>
  <si>
    <t>Int J Impot Res</t>
  </si>
  <si>
    <t>Effects of light-emitting diodes irradiation on human vascular endothelial cells.</t>
  </si>
  <si>
    <t>LED phototherapy
Blue light 🔵
Green light 🟢
Wavelength comparison</t>
  </si>
  <si>
    <t>410
480
595
630</t>
  </si>
  <si>
    <t>1/
2.5/
5.0/
10</t>
  </si>
  <si>
    <t>"The cell viability assay demonstrated that irradiation with LEDs at 630 nm significantly increased the proliferation of HUVECs. In addition, irradiation with LEDs at 630 nm was more effective in stimulating NO secretion and eNOS expression from HUVECs than irradiation with LEDs at 410, 480, and 595 nm. 
Irradiation with LEDs at 630 nm was effective for inducing cell proliferation, NO secretion, and eNOS expression in HUVECs."
"These results suggest that irradiation with LEDs at 630 nm may be a therapeutic strategy for vasculogenic erectile dysfunction."</t>
  </si>
  <si>
    <t>Bagheri</t>
  </si>
  <si>
    <t>Low-level laser irradiation at a high power intensity increased human endothelial cell exosome secretion via Wnt signaling.</t>
  </si>
  <si>
    <t>Cell signalling</t>
  </si>
  <si>
    <t>80</t>
  </si>
  <si>
    <t>"When human ECs were treated with LLLI at a power density of 80 J/cm2, the survival rate reduced."
"Thus, LLLI at high power intensity increased exosome biogenesis by the induction of autophagy and Wnt signaling. LLLI at high power intensity increases exosome biogenesis by engaging the transcription factors related to Wnt signaling and autophagy stimulate."</t>
  </si>
  <si>
    <t>Szymczyszyn</t>
  </si>
  <si>
    <t>Effect of the transdermal low-level laser therapy on endothelial function.</t>
  </si>
  <si>
    <t>🧑 Human
📄 Non-randomized study, controlled
👥 40 participants
⌛ 3-day treatment / 4-day study</t>
  </si>
  <si>
    <t>d = 2mm</t>
  </si>
  <si>
    <t>3
/ 3 days</t>
  </si>
  <si>
    <t>"In the LG, a significant increase in GSH levels and considerable decrease in angiostatin concentration following the LLLT were observed.
No significant differences in levels of the VEGF, FGF, SDMA, ADMA were observed.LLLT modifies vascular endothelial function by increasing its antioxidant and angiogenic potential.
We found no significant differences in levels of the nitric oxide pathway metabolites within 24 h following the LLLT irradiation."</t>
  </si>
  <si>
    <t>Góralczyk</t>
  </si>
  <si>
    <t>Poland
(Bydgoszcz)</t>
  </si>
  <si>
    <t>Effect of LLLT on endothelial cells culture.</t>
  </si>
  <si>
    <t>0.0019</t>
  </si>
  <si>
    <t>2
4
8</t>
  </si>
  <si>
    <t>"The use of laser radiation wavelength of 635 nm, was associated with a statistically significant increase in proliferation of endothelial cells (p = 0.0041). Moreover, at 635-nm wavelength, all doses of radiation significantly reduced the concentration of sVEGFR-1 (p = 0.0197)."</t>
  </si>
  <si>
    <t>Szymanska</t>
  </si>
  <si>
    <t>Phototherapy with low-level laser influences the proliferation of endothelial cells and vascular endothelial growth factor and transforming growth factor-beta secretion.</t>
  </si>
  <si>
    <t>635
830</t>
  </si>
  <si>
    <t>0.001875
0.00375</t>
  </si>
  <si>
    <t>2
4
8
2
4
8</t>
  </si>
  <si>
    <t>"LLLT with wavelength 635 nm increases endothelial cell proliferation. Significant increase in endothelial cell proliferation and corresponding decrease in VEGF concentration may suggest the role for VEGF in this process. The wavelength of 830 nm was associated with a decrease in TGF-β secretion."</t>
  </si>
  <si>
    <t>Protasiewicz</t>
  </si>
  <si>
    <t>Influence of low-power laser illumination on pro-inflammatory response in human endothelial cells stimulated with interleukin-1a.</t>
  </si>
  <si>
    <t>1.5
4.5</t>
  </si>
  <si>
    <t>90
270</t>
  </si>
  <si>
    <t>"Low-power laser illumination diminishes the pro-inflammatory and pro-coagulant activity of IL-1β-stimulated HUVECs."</t>
  </si>
  <si>
    <t>Low-energy laser irradiation increases endothelial cell proliferation, migration, and eNOS gene expression possibly via PI3K signal pathway.</t>
  </si>
  <si>
    <t>0.09
0.26
0.52
0.77</t>
  </si>
  <si>
    <t>"Irradiation enhanced endothelial nitric oxidase synthase (eNOS) protein expression, and irradiation of less than 0.26 J/cm(2) enhanced eNOS gene expression in HUVEC. The cell migration ability was promoted for HUVEC irradiated with 0.26 J/cm(2)."
"The study has shown that LELI increased endothelial cell proliferation, migration, NO secretion, and identified that activation of PI3K/Akt pathway was a critical step for the elevated for eNOS expression upon LELI."</t>
  </si>
  <si>
    <t>Schindl</t>
  </si>
  <si>
    <t>Br J Dermatol</t>
  </si>
  <si>
    <t>Direct stimulatory effect of low-intensity 670 nm laser irradiation on human endothelial cell proliferation.</t>
  </si>
  <si>
    <t>Human umbilical vein endothelial cell (HUVEC)</t>
  </si>
  <si>
    <t>0.010-
0.065</t>
  </si>
  <si>
    <t>2-
8</t>
  </si>
  <si>
    <t>"Low-intensity laser irradiation influences EC proliferation and might thereby contribute to the increase in angiogenesis and the acceleration of wound healing in vivo."</t>
  </si>
  <si>
    <t>Low-power helium: neon laser irradiation enhances production of vascular endothelial growth factor and promotes growth of endothelial cells in vitro.</t>
  </si>
  <si>
    <t>0.10-
6.3</t>
  </si>
  <si>
    <t>"Our studies demonstrate that low-power laser irradiation increases production of VEGF by SMC, fibroblasts, and cardiac myocytes and stimulates EC growth in culture. These data may have significant importance leading to the establishment of new methods for endoluminal postangioplasty vascular repair and myocardial photoangiogenesis."</t>
  </si>
  <si>
    <t>Ghali &amp; Dyson</t>
  </si>
  <si>
    <t>BOOK: Angiogenesis</t>
  </si>
  <si>
    <t>The direct effect of light therapy on endothelial cell proliferation in vitro</t>
  </si>
  <si>
    <t>(Dose response)
Wavelength comparison</t>
  </si>
  <si>
    <t>660
820</t>
  </si>
  <si>
    <t>1
2
4
8
1
2
4
8</t>
  </si>
  <si>
    <t>Comment: The authors showed some statistically significant changes at some time points, but the practical significance was probably negligible.</t>
  </si>
  <si>
    <t>Hemoglobin</t>
  </si>
  <si>
    <t>Linares</t>
  </si>
  <si>
    <t>Photobiomodulation effect on local hemoglobin concentration assessed by near-infrared spectroscopy in humans.</t>
  </si>
  <si>
    <t>🧑 Human
🎲 Randomized trial (partially) (?), self-controlled, crossover
👥 12 participants
⌛ single session (sham + 4 active phases)</t>
  </si>
  <si>
    <t>"We found that PBMT statistically increased the [O2Hb] in 0.39 μM. These results demonstrate the potential of PBMT to increase oxygen availability."</t>
  </si>
  <si>
    <t>Hemostasis</t>
  </si>
  <si>
    <t>Low-Level Laser Therapy Effects on Rat Blood Hemostasis Via Significant Alteration in Fibrinogen and Plasminogen Expression Level</t>
  </si>
  <si>
    <t>1
cm2
spot
size</t>
  </si>
  <si>
    <t>"The differentially expressed plasma proteins of treated rats via LLLT from the literature and the added 50 first neighbors were investigated via network analysis to find the critical dysregulated proteins and biological processes by using Cytoscape software, the STRING database, and ClueGO."
"A scale-free network including 55 nodes was constructed from queried and added first neighbor proteins. Fibrinogen gamma, fibrinogen alpha, and plasminogen were highlighted as the central genes of the analyzed network. Fibrinolysis was determined as the main group of biological processes that were affected by LLLT."
"Findings indicate that LLLT affects blood hemostasis which is an important point in approving the therapeutic application of LLLT and also in preventing its possible complication."</t>
  </si>
  <si>
    <t>Hindlimb ischemia</t>
  </si>
  <si>
    <t>Vascular regeneration effect of adipose-derived stem cells with light-emitting diode phototherapy in ischemic tissue.</t>
  </si>
  <si>
    <t>Adipose-derived stem cells treatment
LLLT + stem cells
LED phototherapy</t>
  </si>
  <si>
    <t>"In the ASC + LLLT group, the survival of ASCs was increased due to the decreased apoptosis of ASCs. The secretion of growth factors was stimulated in this group compared with ASCs alone. The ASC + LLLT group displayed improved treatment efficacy including neovascularization and tissue regeneration compared with ASCs alone. In particular, quantitative analysis of laser Doppler blood perfusion image ratio showed that blood perfusion was enhanced significantly (p &lt; 0.05) by ASC + LLLT treatment. 
These data suggest that LLLT is an effective biostimulator of ASCs in vascular regeneration, which enhances the survival of ASCs and stimulates the secretion of growth factors in ischemic limbs."</t>
  </si>
  <si>
    <t>Hypertension</t>
  </si>
  <si>
    <t>Photobiomodulation for Blood Pressure and Heart Rate Reduction in Mastectomized Women on Hormone Blockers: A Randomized Controlled Trial</t>
  </si>
  <si>
    <t>🧑 Human
🎲 Randomized trial
👥 (?) participants
⌛ (?)</t>
  </si>
  <si>
    <t>Note: Not an actual hypertension treatment study</t>
  </si>
  <si>
    <t>"Systemic photobiomodulation on the PCA did not demonstrate a statistically significant difference in relation to SBP and DBP. However, for HR, the p-value was &lt;0.05, indicating a significant difference between G1 and G2. The initial mean p &gt; decreased from 142.3 to 116.4 mmHg in G1, and from 130.4 to 119.8 mmHg in G2. The DBP varied from 78.8 to 72.8 mmHg in G1, and from 79.1 to 74.2 mmHg in G2. A statistically significant difference was observed in HR, decreasing from 81.3 to 62.06 bpm in G1, and changing minimally from 74.1 to 75.1 bpm in G2. A considerable reduction was present in the timing of application."</t>
  </si>
  <si>
    <t>Oishi</t>
  </si>
  <si>
    <t>Long-term effects of photobiomodulation therapy on blood pressure in obese rats induced by a high-fat diet</t>
  </si>
  <si>
    <t>3/week</t>
  </si>
  <si>
    <t>"Our results indicate that PBM carried out 3 days a week was able to prevent the increase in blood pressure (133.75 ± 4.82 mmHg, n = 8) induced by a high-fat diet (150.00 ± 4.57 mmHg, n = 8; p &lt; 0.05), restore nitric oxide levels (control: 31.7 ± 5.5 μM, n = 8; HFD + PBM: 29.9 ± 3.7 μM, n = 8 &gt; HFD: 22.2 ± 2.9 μM, n = 8, p &lt; 0.05), decrease lipoperoxidation (control: 1.65 ± 0.25 nM, n = 8; HFD + PBM: 2.05 ± 0.55 nM, n = 8 &lt; HFD: 3.20 ± 0.47 nM, n = 8; p &lt; 0.05), and improve endothelial function (pD2 control: 7.39 ± 0.08, n = 8 &gt; pD2 HFD + PBM: 7.15 ± 0.07, n = 8 &gt; HFD: 6.94 ± 0.07, n = 8; p &lt; 0.05). 
Our results indicate that PBM prevents the elevation of blood pressure in an obese animal model by a mechanism that involves improvement of endothelial function through an antioxidant effect."</t>
  </si>
  <si>
    <t>Schiavon</t>
  </si>
  <si>
    <t>Chronic red laser treatment induces hypotensive effect in two-kidney one-clip model of renovascular hypertension in rat</t>
  </si>
  <si>
    <t>16..8
(3p)</t>
  </si>
  <si>
    <t>190</t>
  </si>
  <si>
    <t>0.0295 cm2 spot size</t>
  </si>
  <si>
    <t>168
(3p)</t>
  </si>
  <si>
    <t>"Chronic photobiomodulation therapy (PBM) by red laser (660 nm) can induce a hypotensive effect in 64% of 2 K-1C hypertensive animals, which we say responsive animals. There was no difference in serum NO levels 24 h after the last red laser application, between treated and non-treated groups. Aortic rings from 2 K-1C hypertensive animals present a higher lipid peroxidation. 
The chronic PBM treatment by red laser decreased aortic rings lipid peroxidation in hypertensive responsive groups, compared to control. our results indicate that chronic PBM made by red laser has an important hypotensive effect in renovascular hypertensive models, by a mechanism that involves decrease in oxidative stress from vascular beds."</t>
  </si>
  <si>
    <t>De Moraes</t>
  </si>
  <si>
    <t>Energy-dependent effect trial of photobiomodulation on blood pressure in hypertensive rats.</t>
  </si>
  <si>
    <t>0.6
1.8
3.6
7.2
13.8
28.2
55.8
111.6</t>
  </si>
  <si>
    <t>"Our results indicated that 660 nm laser light presents an energy-dependent hypotensive effect, and 28.2 J energy irradiation reached the maximum hypotensive effect, inducing a decreased SAP, DAP, and HR (decrease in SAP: - 19.23 ± 1.82 mmHg, n = 11; DAP: - 9.57 ± 2.23 mmHg, n = 11; HR: - 39.15 ± 5.10 bpm, n = 11; and time of hypotensive effect: 3068.00 ± 719.00 s, n = 11). "
"The higher energy irradiation evaluated (111.6 J) did not induce a hypotensive effect and induced an increase in HR (21.69 ± 7.89 bpm, n = 7)."
"Taken together, our results indicate that red laser energy irradiation from 7.2 to 55.8 J is the effective therapeutic window to reduce SAP, DAP, MAP, and HR and induce a long-lasting hypotensive effect in rats, with effect loss at higher energy irradiation (111.6 J)."</t>
  </si>
  <si>
    <t>Buzinari</t>
  </si>
  <si>
    <t>Photobiomodulation induces hypotensive effect in spontaneously hypertensive rats.</t>
  </si>
  <si>
    <t>1.71</t>
  </si>
  <si>
    <t>96</t>
  </si>
  <si>
    <t>0.0586
cm2</t>
  </si>
  <si>
    <t>336
(6p)</t>
  </si>
  <si>
    <t>"Photobiomodulation therapy was able to reduce the systolic arterial pressure in 69% of the SHR submitted to the application, displaying a decrease in systolic, diastolic, and mean arterial pressure. No change in heart rate was observed. Nevertheless, there was an increase in serum nitric oxide levels in the SHR responsive to photobiomodulation. 
Our results suggest that acute irradiation with a red laser at 660 nm can elicit a hypotensive effect in SHR, probably by a mechanism involving the release of NO, without changing the heart rate."</t>
  </si>
  <si>
    <t>Isabella</t>
  </si>
  <si>
    <t>Effect of irradiation with intravascular laser on the hemodynamic variables of hypertensive patients: Study protocol for prospective blinded randomized clinical trial.</t>
  </si>
  <si>
    <t>"This study aims to consider the possibility of offering nonpharmacological therapy to hypertensive patients with the goal of increasing adherence to the treatment as well as minimizing morbidity and mortality caused by hypertension."</t>
  </si>
  <si>
    <t>Stern</t>
  </si>
  <si>
    <t>Germany
(Duesseldorf)</t>
  </si>
  <si>
    <t>Eur J Prev Cardiol</t>
  </si>
  <si>
    <t>Blue light exposure decreases systolic blood pressure, arterial stiffness, and improves endothelial function in humans</t>
  </si>
  <si>
    <t>🧑 Human
🎲 Randomized trial, crossover
👥 14 participants
⌛ 2 days</t>
  </si>
  <si>
    <t>Blue light, whole-body irradiation 🔵</t>
  </si>
  <si>
    <t>72</t>
  </si>
  <si>
    <t>"Whole body irradiation with visible blue light at real world doses improves blood pressure, endothelial function and arterial stiffness by nitric oxide released from photolabile intracutanous nitric oxide metabolites into circulating blood."</t>
  </si>
  <si>
    <t>Kovalenko</t>
  </si>
  <si>
    <t>Ukraine
(Sumy)</t>
  </si>
  <si>
    <t>Wiad Lek.</t>
  </si>
  <si>
    <t>Efficiency of hyperuricemia correction by low level laser therapy in the treatment of arterial hypertension.</t>
  </si>
  <si>
    <t>🧑 Human
📄 Single-arm trial
👥 64 participants
⌛</t>
  </si>
  <si>
    <t>hyperuricemia + normal BP
hyperuricemia + AH</t>
  </si>
  <si>
    <t xml:space="preserve">"LLLT reduces uric acid (UA ) level by 4,7% more effective in patients with hyperuricemia without AH than in patients with AH combined with hyperuricemia. LLLT can increase EDVD by 9,87%, reduce UA level by 15,4%, DaySBP and DayDBP - about 7% in patients with AH combined with hyperuricemia than in patients with hyperuricemia alone."
"Conclusion: Decreasing of DayDBP in hyperuricemia group and both DaySBP and DayDBP in the group of patients with AH combined with hyperuricemia demonstrated the influence of UA on EDVD and AH and the possibility to correct these cardiovascular risk factors with the using of LLLT."
</t>
  </si>
  <si>
    <t>Mustang-2000</t>
  </si>
  <si>
    <t>Hypotensive acute effect of photobiomodulation therapy on hypertensive rats.</t>
  </si>
  <si>
    <t>0.357</t>
  </si>
  <si>
    <t>33.6</t>
  </si>
  <si>
    <t>0.028
cm2
/p
(6 p)</t>
  </si>
  <si>
    <t>"Our results indicate that the abdominal acute application of PBM at 660nm is able to induce a long lasting hypotensive effect in hypertensive rats and vasodilation by a NO dependent mechanism."</t>
  </si>
  <si>
    <t>Tomimura</t>
  </si>
  <si>
    <t>Arq Bras Cardiol</t>
  </si>
  <si>
    <t>Hemodynamic effect of laser therapy in spontaneously hypertensive rats.</t>
  </si>
  <si>
    <t>"The Laser Group showed reduced levels of mean blood pressure, with statistically significant reduction (169 ± 4 mmHg* vs. 182 ± 4 mmHg from the Sham Group) and reduced levels of diastolic pressure (143 ± 4 mmHg* vs. 157 ± 3 mmHg from the Sham Group), revealing a 13 and 14 mmHg decrease, respectively. Besides, there was a concomitant important decline in heart rate (312 ± 14 bpm vs. 361 ± 13 bpm from the Sham Group).
Therefore, laser therapy was able to produce hemodynamic changes, thus reducing pressure levels in spontaneously hypertensive rats."</t>
  </si>
  <si>
    <t>Umeda</t>
  </si>
  <si>
    <t>Blood pressure controlled by low reactive level diode laser therapy (lllt)</t>
  </si>
  <si>
    <t>🧑 Human
📄 Single-arm trial
👥 30 participants
⌛ not mentioned (4-12 sessions)</t>
  </si>
  <si>
    <t>" Thirty patients were included in the study. Following treatment the results were graded as excellent in 6 patients (20%); good in 11 patients (37%); fair in seven cases (23%), and ineffective in 6 cases (20%), giving an overall effective rate of 80%. 
In 12 of the 30 patients, whose hypertension had not been effectively controlled by conventional hypotensive treatment, LLLT gave excellent results in 6, good in 5 and fair in 1 patient. In contrast, in a second group of 15 relatively normotensive control patients, there were no excellent or good results, and only 3 fair results, the remainder being graded as ineffective. 
It was concluded that in general there was no clear-cut hypotensive effect following LLLT with the diode laser, but when applied to the pathological condition known as essential hypertension, LLLT was noticeably effective. These findings warrant further study on this application of LLLT."</t>
  </si>
  <si>
    <t>Anatomic location: "The chosen target area was the centre of the back of the upper neck, just below the occiput, angling the laser slightly upwards. This was chosen to involve as much of the blood pressure motor control centre as possible and associated afferent and efferent nerve fibres."</t>
  </si>
  <si>
    <t>Microcirculation</t>
  </si>
  <si>
    <t>Ovadia-Blechman</t>
  </si>
  <si>
    <t>Morphological features of the photoplethysmographic signal: a new approach to characterize the microcirculatory response to photobiomodulation</t>
  </si>
  <si>
    <r>
      <rPr>
        <sz val="7.0"/>
      </rPr>
      <t xml:space="preserve">🧑 Human
</t>
    </r>
    <r>
      <rPr>
        <i/>
        <sz val="7.0"/>
      </rPr>
      <t>Secondary analysis of Gavish 2020</t>
    </r>
  </si>
  <si>
    <t>"The PPG waveforms of responders to PBM had increased amplitude and decreased jaggedness (Baseline vs. 10' post-irradiation: Entropy, 5.0 ± 1.3 vs. 3.9 ± 1.1, p = 0.012; #Extrema, 4.0 ± 1.1 vs. 3.0 ± 1.6, p = 0.009; RMS, 1.6 ± 0.9 vs. 2.3 ± 1.2, p = 0.004; Smoothness, 0.10 ± 0.05 vs. 0.19 ± 0.16, p = 0.016). In addition, unilateral irradiation resulted in a bilateral response, although the response of the contralateral, non-irradiated hand was shorter in duration and lower in magnitude. Although subjects with 'cold,' or 'hot,' baseline skin temperature appeared to have morphologically distinct PPG waveforms, representing vasoconstriction and vasodilatation, these were not affected by PBM irradiation."
"This pilot study indicates that post-acquisitional analysis of morphological features of the PPG waveform provides new measures for the exploration of microcirculation responsiveness to PBM."</t>
  </si>
  <si>
    <t>Calin</t>
  </si>
  <si>
    <t>Romania
(Magurele)</t>
  </si>
  <si>
    <t>New evidence from hyperspectral imaging analysis on the effect of photobiomodulation therapy on normal skin oxygenation</t>
  </si>
  <si>
    <t>🧑 Human
📄 Non-randomized study, self-controlled
👥 11 participants
⌛ single session</t>
  </si>
  <si>
    <t>"Hyperspectral data analysis showed that variations of oxyhemoglobin and deoxyhemoglobin concentrations had no statistical significance in both groups. In conclusion, photobiomodulation therapy does not induce changes in oxyhemoglobin and deoxyhemoglobin concentrations in the normal skin measured from hyperspectral images, at least at λ = 635 nm and 900-s exposure time."</t>
  </si>
  <si>
    <t>de Sá CMD</t>
  </si>
  <si>
    <t>Effect of 660/850 nm LED on the microcirculation of the foot: neurovascular biphasic reflex</t>
  </si>
  <si>
    <t>🧑 Human
📄 Single-arm trial
👥 42 participants
⌛ single session</t>
  </si>
  <si>
    <t>Systemic effects
LED phototherapy</t>
  </si>
  <si>
    <t>90+
90</t>
  </si>
  <si>
    <t>0.0064</t>
  </si>
  <si>
    <t>3.8</t>
  </si>
  <si>
    <t>0.785
cm2
beam
area</t>
  </si>
  <si>
    <t>"The LED was applied on the right foot of forty-two normal volunteers followed by serial infrared images."
"After the stimulus, a biphasic hyperthermia curve was observed synchronously in both feet, in the right and left halluxes, while hyperthermia was attributed to the redistribution of postural blood flow in the plantar region, which may indicate independent neurovascular mechanisms. Thus, periodic thermographic analysis can be used in the evolution of the LED treatment."</t>
  </si>
  <si>
    <t>Microcirculatory Response to Photobiomodulation-Why Some Respond and Others Do Not: A Randomized Controlled Study.</t>
  </si>
  <si>
    <t>🧑 Human
⚔ Comparison study, randomized
👥 20 participants
⌛ single session</t>
  </si>
  <si>
    <t>Wavelength comparison
⚔ red vs near-infrared PBM</t>
  </si>
  <si>
    <t>633
830</t>
  </si>
  <si>
    <t>0.070
0.055
(?)</t>
  </si>
  <si>
    <t>"Near-infrared PBM was found to induce a 27% increase in microcirculatory flow that increased to 54% during the 20-minute follow-up period (P = 0.049 and P = 0.004, respectively), but red light PBM did not increase the median flow. 
Only 10 of 20 participants were responders by thermal imaging (i.e., ≥0.5°C from baseline), and their initial skin temperature was between 33 and 37.5°C. The non-responders had either "hot" hands (≥37.5°C) or "cold" hands (≤33°C). 
In responders, the meantime to 20% increase in microcirculatory blood volume and blood flow was less than 2.5 minutes after initiation of PBM irradiation."</t>
  </si>
  <si>
    <t>Besides Photothermal Effects, Low-Level CO2 Laser Irradiation Can Potentiate Skin Microcirculation Through Photobiomodulation Mechanisms.</t>
  </si>
  <si>
    <t>🧑 Human
📄 Single-arm trial
👥 12 participants
⌛ single session
+ 🧪 In vitro</t>
  </si>
  <si>
    <t>Mechanisms (of CO2 laser)</t>
  </si>
  <si>
    <t>(131)
262
(393)
(524)</t>
  </si>
  <si>
    <t>"Low-level CO2 laser irradiation can improve microcirculation. Besides the thermal effect, regulation of extravascular eATP by the photobiomodulation mechanism may be involved. This implies that CO2 lasers might be used in LLLT."
Comment: Might be relevant for research related to purinergic signaling. The observed (modest) decrease in extracellular ATP could be considered beneficial.</t>
  </si>
  <si>
    <t>Frangez</t>
  </si>
  <si>
    <t>Slovenia
(Ljubljana)</t>
  </si>
  <si>
    <t>The effect of LED on blood microcirculation during chronic wound healing in diabetic and non-diabetic patients-a prospective, double-blind randomized study.</t>
  </si>
  <si>
    <t>🧑 Human
⚔ Comparison study, randomized, double-blind
👥 79 participants
⌛ 8 weeks</t>
  </si>
  <si>
    <t>Chronic lower limb wounds
Diabetic patients (and non-diabetic)
LED phototherapy
⚔ Monochromatic PBM (2.4 J/cm2) vs polychromatic PBM (0.72 J/cm2)</t>
  </si>
  <si>
    <t>625+
660+
850</t>
  </si>
  <si>
    <t>2.4</t>
  </si>
  <si>
    <t>24
/ 8 weeks</t>
  </si>
  <si>
    <t>"A significant increase in blood flow was noted in the treated group of diabetic and non-diabetic patients (p = 0.040 and p = 0.033), while there was no difference in the control groups. Additional Falanga wound bed score evaluation showed a significant improvement in both treated groups as compared to the control group."
Comment: The control group used a broadband light source (580-900nm broadband light, energy density of 0.72 J/cm2)... There was no passive&amp;placebo control.
Comment: The abstract says "power density" when it is actually "energy density".</t>
  </si>
  <si>
    <t>Mak &amp; Cheing</t>
  </si>
  <si>
    <t>Immediate effects of monochromatic infrared energy on microcirculation in healthy subjects.</t>
  </si>
  <si>
    <t>MIRE treatment with "Anodyne" LED pad device
LED phototherapy</t>
  </si>
  <si>
    <t>720
(60
LED)</t>
  </si>
  <si>
    <t>108</t>
  </si>
  <si>
    <t>22.5
cm2</t>
  </si>
  <si>
    <t>"A 30-min MIRE produced a significantly greater increase in the capillar blood velocity (CBV) and flux of the feet in the active MIRE group than in the placebo and control groups."</t>
  </si>
  <si>
    <t>Ihsan FR</t>
  </si>
  <si>
    <t>Low-level laser therapy accelerates collateral circulation and enhances microcirculation.</t>
  </si>
  <si>
    <t>"Rapid increases in the level of adenosine, GH, and FGF occurred. The F/C ratio and capillary diameter peaked at 12-16 h; their levels declined gradually, reaching normal values 72 h after irradiation in the treated group. Numerous collateral blood vessels proliferated the area, with marked increases in the diameters of the original blood vessels."
"The results indicated that LLLT accelerated collateral circulation and enhanced microcirculation and seemed to be unique in the normalization of the functional features of the injured area, which could lead to occlusion of the regional blood vessels."</t>
  </si>
  <si>
    <t>Núñez</t>
  </si>
  <si>
    <t>He-Ne laser effects on blood microcirculation during wound healing: a method of in vivo study through laser Doppler flowmetry.</t>
  </si>
  <si>
    <t>"The results did not show a significant sustained effect on microcirculation with this He-Ne dose."</t>
  </si>
  <si>
    <t>Systemic effects of low-intensity laser irradiation on skin microcirculation in patients with diabetic microangiopathy.</t>
  </si>
  <si>
    <t>🧑 Human
🎲 Randomized trial, double-blind
👥 30 participants
⌛ single session</t>
  </si>
  <si>
    <t>"Our data show a significant increase in skin circulation due to athermic laser irradiation in patients with diabetic microangiopathy and point to the possibility of inducing systemic effects."</t>
  </si>
  <si>
    <t>Schaffer</t>
  </si>
  <si>
    <t>Germany
(Munich)</t>
  </si>
  <si>
    <t>Effects of 780 nm diode laser irradiation on blood microcirculation: preliminary findings on time-dependent T1-weighted contrast-enhanced magnetic resonance imaging (MRI).</t>
  </si>
  <si>
    <t>🧑 Human
📄 Single-arm trial
👥 6 participants
⌛ 2 sessions (1 without PBM, 1 with PBM)</t>
  </si>
  <si>
    <t>50
cm2
area
6
cm2
spot
size</t>
  </si>
  <si>
    <t>"When laser light is applied the signal to noise ratio increases by more than 0.35 +/- 0.15 (range 0.23-0.63) after irradiation according to contrast-enhanced MRI. It can be observed that, after biomodulation with light of low energy and low power, wound healing improves and pain is reduced. This effect might be explained by an increased blood flow in this area."</t>
  </si>
  <si>
    <t>Maegawa</t>
  </si>
  <si>
    <t>Effects of near-infrared low-level laser irradiation on microcirculation.</t>
  </si>
  <si>
    <t>Mesenteric circulation
Dose response</t>
  </si>
  <si>
    <t>"LLLI caused potent dilation in the laser-irradiated arteriole, which led to marked increases in the arteriolar blood flow."
"The circulatory changes observed seemed to be mediated largely by LLLI-induced reduction of [Ca2+]i in VSMCs, in addition to the involvement of NO in the initial phase."</t>
  </si>
  <si>
    <t>Skobelkin</t>
  </si>
  <si>
    <t>Russia/USSR
(Moscow)</t>
  </si>
  <si>
    <t>Blood microcirculation under laser physio-and reflexotherapy in patients with lesions in vessels of low extremities</t>
  </si>
  <si>
    <t>🧑 Human
📄 Retrospective study (?)
👥 315 participants</t>
  </si>
  <si>
    <t xml:space="preserve">PBM combined with dietary, herbal and vitamin therapy.
</t>
  </si>
  <si>
    <t>890
(?)</t>
  </si>
  <si>
    <t>"A stimulating effect of laser irradiation on the microcirculation was demonstrated, characterized by the activation of capillary bloodflow, arteliole distension, and by the reduction of the level of intravascular erythrocyte aggregation,"</t>
  </si>
  <si>
    <t>Nasal LLLT</t>
  </si>
  <si>
    <t>Randomized, Double-Blind, and Placebo-Controlled Clinic Report of Intranasal Low-Intensity Laser Therapy on Vascular Diseases</t>
  </si>
  <si>
    <t>🧑 Human
🎲 Randomized trial, double-blind
👥 90 participants
⌛ 10 days -&gt; 3-day break -&gt; 10 days</t>
  </si>
  <si>
    <t>0.0084</t>
  </si>
  <si>
    <t>10
(daily)
+
10
(daily)</t>
  </si>
  <si>
    <t xml:space="preserve">"As shown in Table 2, blood viscosity (high shear rate at 200/s) (), plasma viscosity (low shear rate at 3/s) (), and red blood cell aggregation () decreased significantly after the therapy in the treatment group, but there were no significant changes in the control group."
"As shown in Table 3, TC decreased significantly () in the treatment group but there were no significant changes in the control group, LDL-c decreased significantly () in the treatment group although LDL-c increased significantly () in the control group, and HDL-c increased significantly () from 1.07 mmol/L to 1.20 mmol/L but there were no significant changes in the control group."
"It was also shown that there were no changes in TG, ApoA-I, ApoB, and the ratio of ApoA-I to ApoB either in the treatment group or in the control group."
Comment: There appears to be a mistake in the reporting of lipid levels (LDL-c) of control group. </t>
  </si>
  <si>
    <t>Bath &amp; Gupta</t>
  </si>
  <si>
    <t>USA
(Kalamazoo, MI)</t>
  </si>
  <si>
    <t>Cardio-light: nitric oxide uncaged.</t>
  </si>
  <si>
    <t>"To explore the therapeutic potential of biomodulation of different tissues, LLLT has been extensively researched, especially in the light of its very low side effect profile. We believe there is an opportunity to unearth its dynamic effects on the coronaries which can be promising for the patients with chronic stable angina. NIR treatment of the heart may be protective on patients after acute myocardial infarction or on ischemic heart conditions that are not accessible to current revascularization procedures."
"The clinical promise for the combined use of R/NIR light and NO is of considerable interest. NIR treatment of the heart may be protective on patients after acute myocardial infarction or on ischemic heart conditions that are not accessible to current revascularization procedures. The combination of LLLT and NO has the advantage over other NO donors as the former will sway against the tolerance that we usually see from the latter. While there is substantial clinical promise for the use of NIR in heart disease, several hurdles need to be considered and overcome."</t>
  </si>
  <si>
    <t>Wavelength-dependence of vasodilation and NO release from S-nitrosothiols and dinitrosyl iron complexes by far red/near infrared light.</t>
  </si>
  <si>
    <t>Ex vivo (mice arteries)
+ 🧪 In vitro</t>
  </si>
  <si>
    <t>670
740
830</t>
  </si>
  <si>
    <t>"Here we indicate R/NIR light exposure induces wavelength dependent dilation of murine facial artery, with longer wavelengths (740, and 830 nm) exhibiting reduced potency when compared to 670 nm."
"R/NIR also stimulated NO release from pure solutions of low molecular weight RSNO (GSNO and SNAP) and glutathione dinitrosyl iron complex (GSH-DNIC) in a power- and wavelength-dependent manner, with the greatest effect at 670 nm. NO release from SNAP using 670 was nearly ten-fold more than GSNO or GSH-DNIC, with no substantial difference in NO production at 740 nm and 830 nm. Thermal effects of irradiation on vasodilation or NO release from S-nitrosothiols and DNIC was minimal. Our results suggest 670 nm is the optimal wavelength for R/NIR treatment of certain vascular-related diseases."</t>
  </si>
  <si>
    <t>Red/Near Infrared Light Stimulates Release of an Endothelium Dependent Vasodilator and Rescues Vascular Dysfunction in a Diabetes Model.</t>
  </si>
  <si>
    <t>Diabetic vascular dysfunction
LED phototherapy</t>
  </si>
  <si>
    <t>"In conclusion, R/NIR stimulates vasodilation by release of NO bound substances from the endothelium. In a diabetes model of endothelial dysfunction, R/NIR restores vasodilation, which lends the potential for new treatments for diabetic vascular disease."</t>
  </si>
  <si>
    <t>Mitchell &amp; Mack</t>
  </si>
  <si>
    <t>USA
(Provo, UT)</t>
  </si>
  <si>
    <t>Am J Phys Med Rehabil</t>
  </si>
  <si>
    <t>Low-level laser treatment with near-infrared light increases venous nitric oxide levels acutely: a single-blind, randomized clinical trial of efficacy.</t>
  </si>
  <si>
    <t>🧑 Human
🎲 Randomized trial, sham-controlled, crossover (partial)
👥 15 participants
⌛ single session</t>
  </si>
  <si>
    <t>MIRE treatment with "Anodyne" LED pad device
🎚 Pulsing (292 Hz, 50% duty cycle)
LED phototherapy</t>
  </si>
  <si>
    <t>90
cm2
pad
area</t>
  </si>
  <si>
    <t>"LLLT increased NO levels in venous blood draining from the treatment site in healthy subjects. The peak increase in NO occurred 5 mins into the treatment, after which it slowly waned. Further research is necessary to assess NO increases with LLLT in patients with pathologies."</t>
  </si>
  <si>
    <t>Samoilova</t>
  </si>
  <si>
    <t>Role of nitric oxide in the visible light-induced rapid increase of human skin microcirculation at the local and systemic levels: II. healthy volunteers.</t>
  </si>
  <si>
    <t>🧑 Human
📄 Non-randomized, self-controlled study, complex design (5 groups)
👥 42 participants
⌛ single session</t>
  </si>
  <si>
    <t>Polychromatic light 🌈
Evaluation of systemic effects</t>
  </si>
  <si>
    <t>385-
750</t>
  </si>
  <si>
    <t>24
cm2
or
120
cm2
area</t>
  </si>
  <si>
    <t>"As soon as 2 min after exposure, Qas in the irradiated area rose on average by 32%, and in 20 min by 45%; it then decreased and in 90 min returned to the initial level. A statistically significant Qas increase in the non-irradiated hand was recorded in 5 min (+9%), and in 20 min it reached a maximum level (+39%), and 90 min later it decreased to the initial values. 
The presence of L-NMMA in the light-exposed area completely blocked the photoinduced rise of microcirculation, both in the irradiated and in non-irradiated hand; however, its administration to the non-irradiated hand did not prevent these effects."
"The increase in skin microcirculation produced by pVIS light at the local and systemic levels is due to activation of NO synthesis in the irradiated area."</t>
  </si>
  <si>
    <t>Plasma</t>
  </si>
  <si>
    <t>da Fonseca Ade</t>
  </si>
  <si>
    <t>Low-intensity infrared laser increases plasma proteins and induces oxidative stress in vitro.</t>
  </si>
  <si>
    <t>0.08</t>
  </si>
  <si>
    <t>0.126
0.504
1.008</t>
  </si>
  <si>
    <t>1
4
8</t>
  </si>
  <si>
    <t>0.126
cm2</t>
  </si>
  <si>
    <t>12.6
50.4
100.8</t>
  </si>
  <si>
    <t>"Low-intensity infrared laser exposure increases plasma protein content, induces lipid peroxidation, and increases myeloperoxidase activity in a dose- and frequency-dependent way in blood samples. The low-intensity infrared laser increases plasma protein content and oxidative stress in blood samples, suggesting that laser therapy protocols should take into account fluencies, frequencies, and wavelengths of the laser before beginning treatment."</t>
  </si>
  <si>
    <t>Platelets</t>
  </si>
  <si>
    <t>Bontekoe</t>
  </si>
  <si>
    <t>Netherlands
(Amsterdam)</t>
  </si>
  <si>
    <t>Vox Sang</t>
  </si>
  <si>
    <t>The effect of near-infrared low-level light on the in vitro quality of platelets during storage</t>
  </si>
  <si>
    <t>"Illuminated platelets in PAS-E were less activated with significantly lower CD62P expression (day 8: 10.8 ± 1.8 vs. 12.2 ± 2.6, p &lt; 0.05) and lower Annexin A5 binding (day 8: 11.8 ± 1.9 vs. 13.1 ± 2.4, ns). They produced significantly less lactate resulting in a higher pH (days 6-10). ATP content and mitochondrial membrane potential were not affected. Although these trends were also observed for PCs in plasma, the differences did not reach statistical significance as compared with the control group."</t>
  </si>
  <si>
    <t>Poland
(Wrocław)</t>
  </si>
  <si>
    <t>Near-infrared photobiomodulation of blood reversibly inhibits platelet reactivity and reduces hemolysis</t>
  </si>
  <si>
    <t>🧪 In vitro (porcine blood)</t>
  </si>
  <si>
    <t>700-
1000</t>
  </si>
  <si>
    <t xml:space="preserve">"The control group had a considerable drop in platelet number, but the NIR exposed samples had more minimal and strictly dose-dependent alterations."
"Furthermore, red blood cells that had received PBM were more resistant to osmotic stress and less prone to hemolysis, as seen by a slightly lower quantity of plasma free hemoglobin."
</t>
  </si>
  <si>
    <t>Effects of nitrite and far-red light on coagulation</t>
  </si>
  <si>
    <t>"In all cases, the combination of far-red light and nitrite treatment decreased measures of coagulation, but in some cases mono-treatment with nitrite or light alone had no effect.
Perhaps most relevant to device thrombosis, we observed that platelet adhesions was inhibited by the combination of nitrite and light treatment while nitrite alone and far-red light alone trended to decrease adhesion, but the results were mixed.
These results support the potential of combined far-red light and nitrite treatment for preventing thrombosis in extra-corporeal or shallow-tissue depth devices where the far-red light can penetrate. Such a combined treatment could be advantageous due to the localized treatment afforded by far-red light illumination with minimal systemic effects.
Given the role of thrombosis in COVID 19, application to treatment of patients infected with SARS Cov-2 might also be considered."</t>
  </si>
  <si>
    <t>Irmak</t>
  </si>
  <si>
    <t>Eur J Pharm Biopharm</t>
  </si>
  <si>
    <t>Sustained Release of Growth Factors from Photoactivated Platelet Rich Plasma (PRP).</t>
  </si>
  <si>
    <t>🧪 In vitro / Ex vivo</t>
  </si>
  <si>
    <t>Platelet-rich plasma
Polychromatic light 🌈
Dose response</t>
  </si>
  <si>
    <t>0.090</t>
  </si>
  <si>
    <t>"ATP secretion and then, calcium release from platelets significantly increased after light application. Photostimulation of platelets triggered lamellipodia extension, numerous filopodia formation, and platelet agglomeration as activation indicators. P-selectin expression was significantly increased after the application of [polychromatic light source]. 
In conclusion, PRP was successfully activated with PAC for 10 min and realized activation-dependent sustained growth factor release during 28 days. 
We proved that [polychromatic light source] which has a great potential of activation of PRP enables sustained growth factor release from PRP with a periodic use for therapeutic applications of PRP."</t>
  </si>
  <si>
    <t>Potentials for Prolonging Shelf-Life of Platelets by Near Infrared Low-Level Light.</t>
  </si>
  <si>
    <t>"We found that exposure of a platelet-containing storage bag to 830nm light-emitting diode (LED) light at 0.5J/cm2 prior to storage could significantly retain a pH value and viability of the platelets stored for eight days with improved quality compared to those stored similarly for five days in controls.
The LLL inhibited reactive oxygen species (ROS) and lactate production, while sustaining ATP synthesis and mitochondrial membrane potential and morphology in the stored platelets. It also sustained aggregation capacity and in vivo survival of stored platelets, concomitant with no significant activation, as suggested by similar CD62p expression and enhanced agonist-induced aggregation and a recovery following infusion in the presence compared to absence of LLL treatment. 
This simple, additive-free, cost-effective, noninvasive approach can be readily incorporated into the current platelet storage system to potentially improve quality of stored platelets."</t>
  </si>
  <si>
    <t>Shakir &amp; Rasheed Naji</t>
  </si>
  <si>
    <t>In vitro impact of laser irradiation on platelet aggregation.</t>
  </si>
  <si>
    <t>1.5
3.0
5.0</t>
  </si>
  <si>
    <t>d = 4 mm</t>
  </si>
  <si>
    <t>1.8
3.7
6.2</t>
  </si>
  <si>
    <t>"Low laser irradiation induced significant changes in platelet aggregation in the presence of weak agonists such as adenosine diphosphate (ADP) (P ≤ 0.05) and epinephrine (P ≤ 0.01). Low-level laser therapy has no influence on platelet count; however, it promotes platelet aggregation in response to weak agonists, specifically ADP and epinephrine."</t>
  </si>
  <si>
    <t>Rola</t>
  </si>
  <si>
    <t>Low-Level Laser Irradiation Exerts Antiaggregative Effect on Human Platelets Independently on the Nitric Oxide Metabolism and Release of Platelet Activation Markers.</t>
  </si>
  <si>
    <t>"We have demonstrated in the established in vitro experimental model that the LLLT in a reproducible manner decreases the whole blood platelet aggregation regardless of the NO bioavailability or changes in the platelet activation markers."</t>
  </si>
  <si>
    <t>Raynaud syndrome</t>
  </si>
  <si>
    <t>Kuryliszyn-Moskal</t>
  </si>
  <si>
    <t>The influence of Multiwave Locked System (MLS) laser therapy on clinical features, microcirculatory abnormalities and selected modulators of angiogenesis in patients with Raynaud's phenomenon.</t>
  </si>
  <si>
    <t>🧑 Human
📄 Single-arm trial
👥 78 RP patients + 30 healthy controls
⌛ 3 weeks</t>
  </si>
  <si>
    <t>129.3</t>
  </si>
  <si>
    <t>"After 3 weeks of MLS laser therapy, the clinical improvement manifested by decreasing of the number of RP attacks, mean duration of Raynaud's attack and pain intensity in RP patients was observed. After MLS laser therapy in 65% of patients with primary and in 35% with secondary RP, an increase in the loop number and/or a reduction in avascular areas in NVC were observed. 
In comparison with a control group, higher serum concentration of VEGF and Ang-2 in RP patients was demonstrated."</t>
  </si>
  <si>
    <t>al-Awami</t>
  </si>
  <si>
    <t>Vasa</t>
  </si>
  <si>
    <t>Low level laser therapy for treatment of primary and secondary Raynaud's phenomenon.</t>
  </si>
  <si>
    <t>🧑 Human
🎲 Randomized trial, double-blind
👥 47 participants
⌛ 20-day treatment / 6-month study</t>
  </si>
  <si>
    <t>0.0022</t>
  </si>
  <si>
    <t>10
(every
other
day)</t>
  </si>
  <si>
    <t>"Overall a significant reduction of the frequency as well as the severity of RP in patients with either LLLI (frequency p &lt; 0.0001, severity p &lt; 0.0001) or placebo treatment (frequency p &lt; 0.0001, severity p = 0.02) was found, but patients in the LLLI group exhibited a statistically more significant improvement of the frequency at 6 weeks p = 0.007 and 3 months p = 0.02 and the severity p = 0.02, p = 0.04 of RP. Thermographic response to cold challenge improved only in patients treated with LLL but not in those treated with placebo."</t>
  </si>
  <si>
    <t>Hirschl</t>
  </si>
  <si>
    <t>J Rheumatol</t>
  </si>
  <si>
    <t>Low level laser therapy in primary Raynaud's phenomenon--results of a placebo controlled, double blind intervention study.</t>
  </si>
  <si>
    <t>🧑 Human
⚔ Comparison study, randomized, crossover, double-blind
👥 48 participants
⌛ 6 weeks (2 x 3 weeks, no washout)</t>
  </si>
  <si>
    <t>⚔ Laser vs LED PBM</t>
  </si>
  <si>
    <t>685
(laser)
640-
685
(LED)</t>
  </si>
  <si>
    <t>200
200</t>
  </si>
  <si>
    <t>2
?</t>
  </si>
  <si>
    <t>15
/ 3 weeks
with
each
light
source</t>
  </si>
  <si>
    <t>"Intensity of attacks was only slightly reduced during placebo phase (about 96% of pretreatment intensity), while laser therapy resulted in a highly significant reduction to about 82%, with a decreasing trend during the 3-week therapy period. Although all thermographic measures compared favorably for laser therapy, none of them reached statistical significance (Table 2)."
Comment: Parameters were inadequately reported.
Comment: Apparently they used a red LED light as a "placebo", and reported no benefit from it.</t>
  </si>
  <si>
    <t>Double-blind, randomised, placebo controlled low level laser therapy study in patients with primary Raynaud's phenomenon.</t>
  </si>
  <si>
    <t>🧑 Human
⚔ Comparison study, randomized, crossover, double-blind
👥 15 participants
⌛ 6 weeks (2 x 3 weeks, no washout)</t>
  </si>
  <si>
    <t>625
(laser)
670
(LED)</t>
  </si>
  <si>
    <t>200
?</t>
  </si>
  <si>
    <t>"Frequency of Raynaud's attacks was not significantly affected by low level laser therapy. Compared to placebo a significantly lower intensity of attacks during laser irradiation was observed, but no transfer effect occurred."
Comment: Couldn't retrieve full text, but based on their 2004 study, they might have used an active red LED as the placebo, which would be a methodologically controversial.</t>
  </si>
  <si>
    <t>Low level laser treatment of primary and secondary Raynaud's phenomenon.</t>
  </si>
  <si>
    <t>🧑 Human
📄 Single-arm trial
👥 40 participants
⌛5-week treatment, 3-month study</t>
  </si>
  <si>
    <t>0.0011</t>
  </si>
  <si>
    <t>3
/ 1 week
+
7
/ 4 weeks</t>
  </si>
  <si>
    <t>"A significant improvement was noticed clinically and thermographically after 6 weeks and 3 months, respectively (p &lt; 0.0001)."</t>
  </si>
  <si>
    <t>Red blood cells</t>
  </si>
  <si>
    <t>Biphasic dose-response and effects of near-infrared photobiomodulation on erythrocytes susceptibility to oxidative stress in vitro</t>
  </si>
  <si>
    <t>750
800
825
875
900
925
975
1025
1100</t>
  </si>
  <si>
    <t>"Continuous NIR exposure revealed a biphasic response in cell-free hemoglobin changes, with antioxidative effects observed at low fluences and detrimental effects at higher fluences. 
Optimal exposure duration was identified between 60 s and 15 min. Protective effects were also tested across wavelengths in the range of 750-1100 nm, with all of them reducing hemolysis, notably at 750 nm, 875 nm, and 900 nm. 
Comparing broadband NIR and far-red light (750 nm) showed no significant difference in hemolysis reduction. 
Pulse-dosed NIR irradiation allowed safe increases in radiation dose, effectively limiting hemolysis at higher doses where continuous exposure was harmful. 
These findings highlight NIR photobiomodulation's potential in protecting RBCs from oxidative stress and will be helpful in the effective design of novel medical therapeutic devices."</t>
  </si>
  <si>
    <t>Finland
(Oulu)</t>
  </si>
  <si>
    <t>Hemorheological alterations of red blood cells induced by 450-nm and 520-nm laser radiation</t>
  </si>
  <si>
    <t>Blue light 🔵
Green light 🟢</t>
  </si>
  <si>
    <t>450
520</t>
  </si>
  <si>
    <t>"The results revealed that high radiant exposure (over 170.5 J/cm2 radiant fluence) caused enhanced RBC aggregation and cell shape transformation while the aggregation force between single RBC remained unchanged. 
LLLR with radiant fluence below 9.5 J/cm2 by 450 nm wavelength improved the RBC deformability, weakened the strength of cell-cell interaction in the RBC disaggregation process, and showed rejuvenating effects on RBC suspended in a harsh cell environment."</t>
  </si>
  <si>
    <t>Narrative Review of Russian, Ukrainian and English-Language Publications Investigating the Effects of Photobiomodulation on Red Blood Cell Physiology</t>
  </si>
  <si>
    <t>"The majority of articles indicated beneficial changes in RBC structure and function following exposure to PBM, including increased osmotic resistance, normalization of membrane permeability, decreased free radical oxidation and concentration of intermediate products of lipid peroxidation, reduced phospholipase A2 membrane activity, and normalization of the viscoelastic properties of RBCs and erythrocyte deformability index. Most trials had small patient numbers with no long-term follow-up."</t>
  </si>
  <si>
    <t>Musawi &amp; Al-Gailani</t>
  </si>
  <si>
    <t>Appl Nanosci</t>
  </si>
  <si>
    <t>ATP level in red blood cells improves by altering the low-level DPSS laser irradiation condition</t>
  </si>
  <si>
    <t>🧪 In vitro (ex vivo blood)</t>
  </si>
  <si>
    <t>405
589
670</t>
  </si>
  <si>
    <t>"Our results clearly demonstrate that red blood cell radiation with low-power lasers of 405, 589, and 670 nm increases the ATP level in RBCs compared with their non-irradiated counterparts at various storage times. This, it is suggested that laser DPSS can cause structural transformations of the red blood cell membrane or components of the membrane."</t>
  </si>
  <si>
    <t>Springer</t>
  </si>
  <si>
    <t>Deryugina</t>
  </si>
  <si>
    <t>Low-level laser therapy as a modifier of erythrocytes morphokinetic parameters in hyperadrenalinemia.</t>
  </si>
  <si>
    <t>0.0002</t>
  </si>
  <si>
    <t>"LLLT did not significantly impact on the RBC parameters 1 h after adrenaline injection. However, a day later, LLLT reduced the severity of the adrenaline effect on RBSs, which was manifested in a decreased amount of the pathological forms of RBCs, restored RBC phase portraits, higher electrophoretic mobility and osmotic resistance, and RBSs amount in peripheral blood restored up to the level of intact animals. 
We suppose that the mechanism of LLLT action is realized both at cellular level through the laser radiation effect on RBC membranes, and at systemic level through the activation of stress-realizing systems of the organism with subsequent limitation of inflammatory response."</t>
  </si>
  <si>
    <t>Micromachines (Basel)</t>
  </si>
  <si>
    <t>Influence of Pulsed He-Ne Laser Irradiation on the Red Blood Cell Interaction Studied by Optical Tweezers.</t>
  </si>
  <si>
    <t>Red blood cell aggregation</t>
  </si>
  <si>
    <t>"The RBC aggregation force was 2.0 ± 0.7 pN in the irradiated group, and 2.0 ± 0.5 pN in the control group. No significant influence of continuous laser irradiation (0–300 s) on RBC aggregation was observed in plasma."</t>
  </si>
  <si>
    <t>Al Musawi</t>
  </si>
  <si>
    <t>Malaysia
(Pulau Pinang)</t>
  </si>
  <si>
    <t>Laser-induced changes of in vitro erythrocyte sedimentation rate</t>
  </si>
  <si>
    <t>"Irradiated blood plasma in which non-radiated RBCs were re-suspended was found to result in the largest ESR decrease for healthy human RBCs, 51%, when compared with RBCs re-suspended in non-irradiated blood plasma.
The decrease in ESR induced by LLL irradiation of the plasma alone was likely related to changes in the plasma composition and an increase in the erythrocyte zeta potential upon re-suspension of the RBCs in the irradiated blood plasma."</t>
  </si>
  <si>
    <t>The effects of low-intensity He-Ne laser irradiation on erythrocyte metabolism.</t>
  </si>
  <si>
    <t>"In hypertonic RBCs, LHNL irradiation may decrease the activity of energy-consuming enzymes, but increases the activity of energy-generating enzymes in glycolysis, to improve the RBC deformability."</t>
  </si>
  <si>
    <t>Near infrared light induces post-translational modifications of human red blood cell proteins</t>
  </si>
  <si>
    <t>750-
2000</t>
  </si>
  <si>
    <t>0.69
*10^-3</t>
  </si>
  <si>
    <t>600
900
1800
2700</t>
  </si>
  <si>
    <t>"The exposure of intact RBCs to NIR light causes quaternary transitions in Hb, dehydration of proteins and decreases the amount of physiologically inactive methemoglobin, as detected by Raman spectroscopy. These effects are accompanied by a lowering of the intracellular pH (pHi) and changes in the cell membrane topography, as documented by atomic force microscopy (AFM).
All those changes are in line with our previous studies where alterations of the membrane fluidity and membrane potential were attributed to NIR action on RBCs. The rate of the above listed changes depends strictly on the dose of NIR light that the cells receive, nonetheless it should not be considered as a thermal effect."</t>
  </si>
  <si>
    <t>Pasternak</t>
  </si>
  <si>
    <t>Mol Cell Biochem</t>
  </si>
  <si>
    <t>Influence of MLS laser radiation on erythrocyte membrane fluidity and secondary structure of human serum albumin</t>
  </si>
  <si>
    <t>0.46-
4.9</t>
  </si>
  <si>
    <t>"Dose-dependent changes in erythrocyte membrane fluidity were induced by near-infrared laser radiation. Slight changes in the secondary structure of HSA were also noted."</t>
  </si>
  <si>
    <t>Aquaporin-1-Mediated Effects of Low Level He-Ne Laser Irradiation on Human Erythrocytes</t>
  </si>
  <si>
    <t>"The LHNL at 4.4 mW/cm2 for 5 min significantly improved the contact area and EEI of the dehydrated erythrocytes, but the improvement was significantly inhibited by 0.2 μmol/L HgCl2."
Comment: It seems that the effect was noted with only one of the parameters studied.</t>
  </si>
  <si>
    <t>Hindawi</t>
  </si>
  <si>
    <t>Lin'kova</t>
  </si>
  <si>
    <t>Effect of low-intensity laser radiation of the red spectrum on some properties of erythrocytes in Wistar rats.</t>
  </si>
  <si>
    <t>"An increase in the radiation power from 2.2 to 25 mW/cm2 was accompanied by a decrease in the erythrocyte sedimentation rate and an increase in erythrocyte filtration index. Radiation of 50 mW/cm2 induced abnormal erythrocyte aggregation. Increasing the time of irradiation at power intensity of 2.2 mW/cm2 did not potentiate its effect on the blood."</t>
  </si>
  <si>
    <t>Cui</t>
  </si>
  <si>
    <t>Acta Biochim Biophys Sin (Shanghai)</t>
  </si>
  <si>
    <t>Reactive effect of low intensity He-Ne laser upon damaged ultrastructure of human erythrocyte membrane in Fenton system by atomic force microscopy.</t>
  </si>
  <si>
    <t>Damage by Fenton reaction
Mechanism?</t>
  </si>
  <si>
    <t>"Comparing the degree of congregation of the molecular particles in the non-irradiated group and the He-Ne laser irradiated (9 mW and 18 mW) group, we found the average size of molecular particles in the laser irradiated group was smaller than that in the non-irradiated group, indicating that the low intensity laser had repairing function to the damage of erythrocyte membrane produced by the free radicals."</t>
  </si>
  <si>
    <t>Chludzińska</t>
  </si>
  <si>
    <t>Blood Cells Mol Dis</t>
  </si>
  <si>
    <t>Near-infrared radiation protects the red cell membrane against oxidation.</t>
  </si>
  <si>
    <t>700-
2000</t>
  </si>
  <si>
    <t>0.0007
(?)</t>
  </si>
  <si>
    <t>"We revealed that, under in vitro condition, the oxidation of red cells by ozone decreased lipids' bilayer fluidity in the vicinity of the 5th carbon and increased fluidity on the 16th carbon level of hydrocarbon chains, induced autohemolysis, oxidized lipids, and changed the electrokinetic potential. However, when erythrocytes were exposed to near-infrared radiation (NIR) and later ozonated, measured parameters were the same as that for control cells kept in darkness or markedly less modified than that ozonated."
"In conclusion, these observations suggest protective action of NIR radiation on the erythrocyte membrane."</t>
  </si>
  <si>
    <t>Effect of low-intensity (3.75-25 J/cm2) near-infrared (810 nm) laser radiation on red blood cell ATPase activities and membrane structure.</t>
  </si>
  <si>
    <t>🧪 In vitro (RBC)</t>
  </si>
  <si>
    <t>NIR LLLT changed the ATPase activities of the membrane ion pumps in the dose- and fluence rate-dependent manner.</t>
  </si>
  <si>
    <t>Low-intensity near-infrared laser radiation-induced changes of acetylcholinesterase activity of human erythrocytes.</t>
  </si>
  <si>
    <t>"It was found that near-infrared low-intensity laser radiation produced complex biphasic dose-dependent changes of the parameters of AchEase reaction in the dose-dependent manner: at smaller doses of radiation (6 J) the maximal reaction rate and Michaelis-Menten constant value decreased, and at higher radiation doses these parameters increased. 
No significant changes of erythrocyte stability, cellular redox state (reduced glutathione or lipid peroxidation product levels), or cell membrane electrochemical potential were observed"</t>
  </si>
  <si>
    <t>Spodaryk</t>
  </si>
  <si>
    <t>Poland
(Krakow)</t>
  </si>
  <si>
    <t>Clin Hemorheol Microcirc</t>
  </si>
  <si>
    <t>The influence of low-power laser energy on red blood cell metabolism and deformability.</t>
  </si>
  <si>
    <t>633
780
904</t>
  </si>
  <si>
    <t>2
cm2</t>
  </si>
  <si>
    <t>300
900
1800</t>
  </si>
  <si>
    <t>"This study revealed that the low-power laser at 632.8, 780 and 904 nm wavelengths have little biological effects on red blood cells in vitro."
Comment: Since RBCs don't have mitochondria, LLLT isn't expected to have significant effects on these cells.</t>
  </si>
  <si>
    <t>Itoh</t>
  </si>
  <si>
    <t>Artif Organs</t>
  </si>
  <si>
    <t>Low power laser protects human erythrocytes In an In vitro model of artificial heart-lung machines.</t>
  </si>
  <si>
    <t>"In the laser group, erythrocyte deformability and erythrocyte adenosine triphosphate (ATP) levels were significantly higher, and free hemoglobin levels were significantly lower than those in the control group."
"Low power He-Ne laser protected human erythrocytes in the preserved diluted whole blood from the damage caused by experimental artificial heart-lung machines. The clinical application of low power laser treatment for extracorporeal circulation is suggested."</t>
  </si>
  <si>
    <t>Appl Laser</t>
  </si>
  <si>
    <t>Effects of Low Level Laser Irradiation on intracellular Free Calcium Concentration and SOD Activity in Vitro and in Vivo Study</t>
  </si>
  <si>
    <t>"The findings suggest that intravascular low level laser irradiation (ILLLI) enhanced SOD activity of mouse erythrocyte, and the effects induced by 6.75 * 10^33 J/cm2/day were better than those did by 2.70 * 10^4 J/cm2/day. It seemed that irradiation with optimum constants would result in the best effect on organism."</t>
  </si>
  <si>
    <t>Hiroshima J Med Sci</t>
  </si>
  <si>
    <t>The protective effect of low power He-Ne laser against erythrocytic damage caused by artificial heart-lung machines.</t>
  </si>
  <si>
    <t>🧪 In vitro (?)</t>
  </si>
  <si>
    <t>"The laser group demonstrated significantly higher erythrocyte deformability and erythrocyte ATP levels, and lower free hemoglobin and lipid peroxide levels."
"Low power He-Ne laser irradiation was shown to protect human erythrocytes from the damage caused by an experimental artificial heart-lung machine, raising the possibility of the clinical application of low power He-Ne laser treatment during extracorporeal circulation in cardiovascular surgery."</t>
  </si>
  <si>
    <t>Serum inflammatory markers</t>
  </si>
  <si>
    <t>Mrasori</t>
  </si>
  <si>
    <t>Kosovo
(Pristina)</t>
  </si>
  <si>
    <t>Acta Inform Med</t>
  </si>
  <si>
    <t>Effects of Low Level Laser Therapy (LLLT) on Serum Values of Interleukin 6 (IL-6) in Patients with Periodontitis and Type 2 Diabetes Mellitus (T2DM)</t>
  </si>
  <si>
    <t>🧑 Human
📄 Non-randomized study, controlled
👥 80 participants
⌛5-day treatment / 3-month study</t>
  </si>
  <si>
    <t>PBM treatment of gingiva (in addition to periodontal treatment)</t>
  </si>
  <si>
    <t>"LLLT resulted in significantly reduced serum IL-6 values in patients with periodontitis and T2DM after 6 weeks and 3 months of therapy in which conservative treatment was supplemented with LLLT."</t>
  </si>
  <si>
    <t>Skin</t>
  </si>
  <si>
    <t>Kobayashi</t>
  </si>
  <si>
    <t>Japan
(Osaka)</t>
  </si>
  <si>
    <t>Am J Physiol Heart Circ Physiol</t>
  </si>
  <si>
    <t>Increase in peripheral blood flow due to extraocular direct irradiation of visible light in rats.</t>
  </si>
  <si>
    <t>"We found that blood flow shows a synchronized transient increase with a irradiation-nonirradiation sequence. The action spectrum of the phenomenon was found to show peaks at approximately 410-420 nm, 540-550 nm, and 570- 580 nm. These peaks coincide with the specific optical absorption peaks of B and Q (alpha,beta) bands in sixfold coordinated ferruos-heme complexes such as nitric oxide (NO)-Hb."</t>
  </si>
  <si>
    <t>Podogrodzki</t>
  </si>
  <si>
    <t>Dev Period Med</t>
  </si>
  <si>
    <t>[Impact of low level laser therapy on skin blood flow].
[Article in Polish]</t>
  </si>
  <si>
    <t>🧑 Human
📄 Single-arm trial
👥 19 participants
⌛ single session</t>
  </si>
  <si>
    <t>Children with meningomyelocele in the lumbosacral area</t>
  </si>
  <si>
    <t>"Within the tested children the laser application resulted in a significantly increased skin blood flow. Average results in tested group before LLLT are 7.47 ml/100 g/min, after LLLT 11.08 ml/100 g/min."
"1. LLLT significantly increases the perfusion of the skin. 2. The effect of the increased perfusion as the result of laserotherapy in the most evident in children with skin trophic abnormalities. 3. Results confirmed by clinical observation indicate, that perfusion increase in relation to LLLT takes place with participation of trophic component of skin blood circulation."</t>
  </si>
  <si>
    <t>Saied</t>
  </si>
  <si>
    <t>The diabetic foot and leg: combined He-Ne and infrared low-intensity lasers improve skin blood perfusion and prevent potential complications. A prospective study on 30 Egyptian patients.</t>
  </si>
  <si>
    <t>🧑 Human
🎲 Randomized trial
👥 60 participants
⌛ 4 weeks</t>
  </si>
  <si>
    <t>633
+
IR</t>
  </si>
  <si>
    <t>"The minimum perfusion flow improved from 16.45 before LILT to 25.94 after, while maximum flow recovered from 32.91 to 48.47 and basal perfusion changed from 24.68 to 34.84 blood perfusion units. The percentage change in perfusion values was 23.17. All these were statistically significant."
Comment: Parameters were poorly reported.</t>
  </si>
  <si>
    <t>Smooth muscle cells</t>
  </si>
  <si>
    <t>Low-power laser irradiation inhibits PDGF-BB-induced migration and proliferation via apoptotic cell death in vascular smooth muscle cells.</t>
  </si>
  <si>
    <t>Green light 🟢</t>
  </si>
  <si>
    <t>"These findings indicate that LPL irradiation induces vascular apoptosis via p38 MAPK activation and simultaneously inhibits VSMC proliferation and migration in response to PDGF-BB."</t>
  </si>
  <si>
    <t>Effects of low-intensity laser irradiation on the apoptosis of rabbit vascular smooth muscle cells in culture</t>
  </si>
  <si>
    <t>"The results showed that apoptotic bodies and obvious intranuclear apoptosis-positive particles formed within VSMCs 24 h after laser irradiation, suggesting that low-intensity laser irradiation at certain doses can inhibit the proliferation of VSMCs by promoting their apoptosis. This experiment provides evidences for further animal experiments and clinical trials on prevention and treatment of restenosis by intracoronary low-intensity laser irradiation at a wavelength of 532 nm."</t>
  </si>
  <si>
    <t>Low-level laser irradiation modulates matrix metalloproteinase activity and gene expression in porcine aortic smooth muscle cells.</t>
  </si>
  <si>
    <t>"LLLI stimulates SMC proliferation, stimulates collagen synthesis, modulates the equilibrium between regulatory matrix remodeling enzymes, and inhibits pro-inflammatory IL-1-beta gene expression.
These findings may be of therapeutic relevance for arterial diseases such as aneurysm where SMC depletion, weakened extracellular matrix, and an increase in pro-inflammatory markers are major pathologic components."</t>
  </si>
  <si>
    <t>Low-power laser irradiation increases cyclic GMP synthesis in penile smooth muscle cells in vitro.</t>
  </si>
  <si>
    <t>0.52-
2.1</t>
  </si>
  <si>
    <t>"We observed that: (1) LPLI of HCC SMC results in a statistically significant increase of cGMP synthesis in culture and is dose dependent (maximal effect was observed with LPLI irradiance of 1.57 J/cm2. (2) There were no changes in Normalized Viability Index (NVI) immediately after and 24 h following laser irradiation."</t>
  </si>
  <si>
    <t>Stem cells in blood</t>
  </si>
  <si>
    <t>Photobiomodulation Therapy to Autologous Bone Marrow in Humans Significantly Increases the Concentration of Circulating Stem Cells and Macrophages: A Pilot Study</t>
  </si>
  <si>
    <t>🧑 Human
📄 Single-arm trial
👥 15 participants
⌛ single treatment / follow up ? 📕</t>
  </si>
  <si>
    <t>"PBMT to the BM caused a significant (p &lt; 0.01) increase in the concentration of CD-34+ cells in the CB from 7.8 ± 3.0% (mean ± SD) of total mononucleated cell to 29.5 ± 10.1% of total commencing at about 2 h post-PBMT.
The levels of CD-34+ cells peaked at 2-4 days post-PBMT and then gradually returned to baseline levels. Macrophages in the CB were also significantly (p &lt; 0.01) elevated following PBMT to the BM from 7.8 ± 6.0% (mean ± SD) of the total mononucleated cells to 52.1 ± 7.9% of total."</t>
  </si>
  <si>
    <t>Thrombocytopenia</t>
  </si>
  <si>
    <t>Innov Med</t>
  </si>
  <si>
    <t>Rectifying the impairment of immune thrombocytopenia plasmas through photobiomodulation</t>
  </si>
  <si>
    <t>Ex vivo (human)</t>
  </si>
  <si>
    <t>"The current investigation shows that while anti-platelet antibodies and ITP plasmas hinder megakaryocyte differentiation and maturation and impair proplatelet and platelet formation in ex vivo culture of umbilical cord human CD34+ stem cells (cHSCs), low-level laser (LLL) treatment or photobiomodulation (PBM) effectively mitigates these detrimental impacts. PBM reinstated megakaryocyte differentiation and maturation, bolstering proplatelet and platelet formation in the presence of auto-platelet antibodies or ITP plasmas. The mitigating effects of PBM appear to pivot on its capacity to uphold cellular mitochondrial functionality and rectify the mitochondrial impairments engendered by anti-platelet antibodies or ITP plasmas. These findings underscore the potential of PBM as a safe and cost-efficient alternative for the management of a specific subset of ITP patients."
Note: The journal is quite recent, not indexed in PubMed (yet?).</t>
  </si>
  <si>
    <t>The Innovation</t>
  </si>
  <si>
    <t>Device: diode laser by OsTech, Berlin.</t>
  </si>
  <si>
    <t>J Thromb Haemost</t>
  </si>
  <si>
    <t>Photobiomodulation Therapy for Thrombocytopenia by Upregulating Thrombopoietin Expression via the ROS-dependent Src/ERK/STAT3 Signaling Pathway</t>
  </si>
  <si>
    <t>0.044</t>
  </si>
  <si>
    <t>23.3</t>
  </si>
  <si>
    <t>"PBMT prevented a severe drop in platelet count by increasing platelet production, and then ameliorated [chemotherapy-induced thrombocytopenia].
Mechanistically, PBMT significantly upregulated hepatic TPO expression in a thrombocytopenic mouse model, which promoted megakaryocytopoiesis and thrombopoiesis. The levels of TPO mRNA and protein increased by PBMT via the Src/ERK/STAT3 signaling pathway in hepatic cells. Furthermore, the generation of the reactive oxygen species was responsible for PBMT-induced activation of Src and its downstream target effects."
"Our research suggests that PBMT is a promising therapeutic strategy for the treatment of CIT."</t>
  </si>
  <si>
    <t>Thrombophlebitis</t>
  </si>
  <si>
    <t>Korea</t>
  </si>
  <si>
    <t>Low-level laser therapy for the treatment of superficial thrombophlebitis after chemotherapy in breast cancer patients: a case study</t>
  </si>
  <si>
    <t>🧑 Human
📄 Case report
⌛ Treatments within 1.5 months / 5-month follow-up</t>
  </si>
  <si>
    <t>"[Case] The patient was a 66-year-old women who developed superficial thrombophlebitis in the left upper limb after chemotherapy. She was administered 6 sessions of low-level laser therapy. 
[Result] Her pain score decreased by 8 points. Her scores on the Patient and Observer scar Assessment Scale decreased by 18 points for the observer portion and by 26 points for the patient portion."</t>
  </si>
  <si>
    <t>Sci Transl Med</t>
  </si>
  <si>
    <t>Noninvasive low-level laser therapy for thrombocytopenia.</t>
  </si>
  <si>
    <t>🐁 Mouse &amp; 🧪 In vitro</t>
  </si>
  <si>
    <t>whole
body</t>
  </si>
  <si>
    <t>4?</t>
  </si>
  <si>
    <t>"This safe, drug-free, donor-independent modality represents a paradigm shift in the prophylaxis and treatment of thrombocytopenia. "
"We demonstrate here that noninvasive whole-body LLL illumination increases platelet generation and completely cures or greatly ameliorates thrombocytopenia caused by γ-irradiation (IR), ITP (induced by anti-CD41 antibody), or chemotherapy in mice."
Comment: Figures 1F and 2F are identical, even though they should represent different samples. Is this misconduct or a honest mistake by the authors?</t>
  </si>
  <si>
    <t>Low-level light treatment ameliorates immune thrombocytopenia.</t>
  </si>
  <si>
    <t>"These adverse effects of anti-CD41 antibody were all mitigated by LLLT to varying degrees, owing to its ability to enhance mitochondrial biogenesis and activity in megakaryocytes and preserve mitochondrial functions in platelets in the presence of the antibody.
The observations argue not only for contribution of mitochondrial stress to the pathology of ITP, but also clinical potentials of LLLT as a safe, simple, and cost-effective modality of ITP."</t>
  </si>
  <si>
    <t>Vasoconstriction</t>
  </si>
  <si>
    <t>Gal</t>
  </si>
  <si>
    <t>USA (Boston/MA)</t>
  </si>
  <si>
    <t>Percutaneous delivery of low-level laser energy reverses histamine-induced spasm in atherosclerotic Yucatan microswine.</t>
  </si>
  <si>
    <t>Microswine</t>
  </si>
  <si>
    <t>633
1064</t>
  </si>
  <si>
    <t>LLLT (633 or 1064nm) seemed to locally relieve vasoconstriction inYucatan microswine.</t>
  </si>
  <si>
    <t>Vasorelaxation</t>
  </si>
  <si>
    <t>Vitamin E Attenuates Red-Light-Mediated Vasodilation: The Benefits of a Mild Oxidative Stress</t>
  </si>
  <si>
    <t>"Here we investigated the underlying mechanistic effect of oxidative stress on light-mediated vasodilation by using pressure myography on dissected murine arteries and immunofluorescence on endothelial cells. 
Treatment with antioxidants Trolox and catalase decreased vessel dilation. In the presence of catalase, a lower number of exosomes were detected in the vessel bath. 
Light exposure resulted in increased cellular free radical levels. Mitochondrial reactive oxygen species were also more abundant but did not alter cellular ATP production. 
Red light enhanced the co-localization of late exosome marker CD63 and cellular S-nitrosoprotein to a greater extent than high glucose, suggesting that a mild oxidative stress favors the localization of NO precursor in late exosomes. Exocytosis regulating protein Rab11 was more abundant after irradiation."
"Our findings conclude that red-light-induced gentle oxidative stress facilitates the dilation of blood vessels, most likely through empowering the traffic of vasodilatory substances. Application of antioxidants disfavors this mechanism."</t>
  </si>
  <si>
    <t>Weihrauch</t>
  </si>
  <si>
    <t>Red light mediates the exocytosis of vasodilatory vesicles from cultured endothelial cells: a cellular, and ex vivo murine model</t>
  </si>
  <si>
    <t>🧪 In vitro
+ ex vivo (mouse)</t>
  </si>
  <si>
    <t>"Here, we confirm that red light facilitates the exocytosis of this vasodilator from cultured endothelial cells and increases ex vivo blood vessel diameter. Ex vivo pressurized and pre-constricted facial arteries from C57Bl6/J mice relaxed 14.7% of maximum diameter when immersed in the medium removed from red-light exposed Bovine Aortic Endothelial Cells. In parallel experiments, 0.49 nM RSNO equivalent species was measured in the medium over the irradiated cells vs dark control."
"Therefore, we further define the mechanism on the 670 nm light mediated traffic of endothelial vasodilatory vesicles and plan to leverage this insight into the delivery of red-light therapies."</t>
  </si>
  <si>
    <t>In Vivo Characterization of a Red Light-Activated Vasodilation: A Photobiomodulation Study</t>
  </si>
  <si>
    <t>0.050
(also
0.025
0.100)</t>
  </si>
  <si>
    <t>3
cm2
area</t>
  </si>
  <si>
    <t>180-
360</t>
  </si>
  <si>
    <t>"The nitric oxide precursor in the irradiated quadriceps tissue decreased significantly from 123 ± 18 pmol/g tissue by both intensity and duration of light treatment to an average of 90 ± 17 pmol/g tissue, while stayed steady (137 ± 21 pmol/g tissue) in unexposed control hindlimb.
Second, the blood flow remained elevated 30 min after termination of the light exposure. The nitric oxide precursor content significantly increased by 50% by irradiation then depleted in plasma, while remained stable in the hindlimb muscle. 
Third, to mimic human peripheral artery disease, an ameroid constrictor was inserted on the proximal femoral artery of mice and caused a significant reduction of flow. Repeated light treatment for 14 days achieved steady and significant increase of perfusion in the constricted limb."
"Our results strongly support 670 nm light can regulate dilation of conduit vessel by releasing a vasoactive nitric oxide precursor species and may offer a simple home-based therapy in the future to individuals with impaired blood flow in the leg."</t>
  </si>
  <si>
    <t>Nitric oxide storage levels modulate vasodilation and the hypotensive effect induced by photobiomodulation using an aluminum gallium arsenide (AlGaAs) diode laser (660 nm)</t>
  </si>
  <si>
    <t>Ex vivo (rat aorta)</t>
  </si>
  <si>
    <t>"Hypertensive L-NAME rats did not exhibit a decrease in blood pressure after PBM. PBM promoted vasodilation in the aorta isolated from normotensive rats, and less effect in the aorta of L-NAME rats and the addition of the NO donor, DETA-NO, promoted greater vasodilation by PBM in the aorta of L-NAME rats."
"The results of this study demonstrate that the hypotensive and vasodilatory effect of PBM with a red laser at 660 nm is modulated by the release of nitric oxide from the storage."</t>
  </si>
  <si>
    <t>Gebremendhin</t>
  </si>
  <si>
    <t>Electromagnetic energy (670 nm) stimulates vasodilation through activation of the large conductance potassium channel (BKCa)</t>
  </si>
  <si>
    <t>"R/NIR stimulated vasodilation requires functional activation of the large conductance potassium channels. There is a voltage dependent outward current in SMC with light stimulation, which is due to increases in the open state probability of channel opening. R/NIR modulation of channel opening is eliminated pharmacologically (paxilline) and genetically (BKca α subunit knockout). There is no direct action of light to modulate channel activity as excised patches did not increase the open state probability of channel opening."
"R/NIR vasodilation requires indirect activation of the BKca channel."</t>
  </si>
  <si>
    <t>de Moraes</t>
  </si>
  <si>
    <t>Multidrug-resistant protein inhibitor and phosphodiesterase inhibitor potentiate the vasodilator effect induced by photobiomodulation in isolated aortic rings</t>
  </si>
  <si>
    <t>Ex vivo (rat)</t>
  </si>
  <si>
    <t>"The results support the evidence that the vasodilation induced by red LASER is potentiated by MK-571 and sildenafil in aortic rings from normotensive rats. However, in aortic rings from L-NAME hypertensive rats, the potentiation in vasodilation was induced just by MK-571."</t>
  </si>
  <si>
    <t>USA
(Wauwatosa, WI)</t>
  </si>
  <si>
    <t>Red light stimulates vasodilation through extracellular vesicle trafficking</t>
  </si>
  <si>
    <t>Ex vivo (mouse)</t>
  </si>
  <si>
    <t>Segments of facialis arteries from C57Bl6/J mice</t>
  </si>
  <si>
    <t>"In the present work we establish that 670 nm light mediated vasodilation occurs in vivo and is physiologically stable. Light exposure depletes intracellular S-nitroso protein while concomitantly increasing extracellular RNSO, suggesting vesicular pathways are involved. Furthermore, we demonstrate this RSNO vasodilator is embedded in extracellular vesicles (EV). The action of red light on vesicular trafficking appears to increase expression of endosome associated membrane protein CD63 in bovine aortic endothelial cells, enhance endosome localization in the endothelium, and induce exit of RSNO containing EVs from murine facialis arteries."
"We suggest a mechanism by which the concerted actions of 670 nm light initiate formation of RSNO containing EVs which exit the endothelium and trigger relaxation of smooth muscle cells."</t>
  </si>
  <si>
    <t>Violet LED induces vasodilation in rat aortic rings by soluble guanylate cyclase-dependent mechanism and increases SOD activity</t>
  </si>
  <si>
    <t>LED phototherapy
Aortic rings</t>
  </si>
  <si>
    <t>0.014</t>
  </si>
  <si>
    <t>0.855</t>
  </si>
  <si>
    <t>"Our results suggest that Violet LED Light induces vasodilation by a mechanism dependent on sGC activation, and not by NOS activation, and part of this effect could be due to the increase of SOD activity."</t>
  </si>
  <si>
    <t>Chertok</t>
  </si>
  <si>
    <t>Role of nitric oxide in the reaction of arterial vessels to laser irradiation</t>
  </si>
  <si>
    <t>"Significant increase in blood flow velocity over the first minutes after irradiation was accompanied by typical morphological signs. Optical density of blood flow increased. The peripheral plasma layer near the vascular wall was narrowed and then disappeared. We revealed the appearance of additional anastomoses and increase in the vascular diameter (Fig. 1, a-d)."</t>
  </si>
  <si>
    <t>Kihshidze</t>
  </si>
  <si>
    <t>Photoactivation of vascular iNOS and elevation of cGMP in vivo: possible mechanism for photovasorelaxation and inhibition of restenosis in an atherosclerotic rabbit models.</t>
  </si>
  <si>
    <t>Aterosclerotic rabbit</t>
  </si>
  <si>
    <t>"Our study demonstrated that intravascular low dose laser irradiation induces iNOS and elevates vascular cGMP in an in vivo atherosclerotic rabbit model."
"We think that endoluminal laser irradiation of PTCA-treated arteries modulates relaxation, migration and prolif-eration of SMC, which in turn reduces the incidence of restenosis."</t>
  </si>
  <si>
    <t>Collagen</t>
  </si>
  <si>
    <t>Ho</t>
  </si>
  <si>
    <t>Singapore</t>
  </si>
  <si>
    <t>Effect of low-level laser treatment of tissue-engineered skin substitutes: contraction of collagen lattices.</t>
  </si>
  <si>
    <t>3T3 fibroblasts</t>
  </si>
  <si>
    <t>"The effect was energy dependent and was not observed at 1, 2, or 4 J/cm(2). There was no alteration in fibroblast viability, morphology, or mitochondrial membrane potential after any laser treatments, but the distribution of actin fibers within the cells and collagen fibers in the matrices was disturbed at 3 J/cm(2). These effects contribute to the decrease in contraction observed. LLLT may offer a means to control contraction of FPCL used as artificial skin substitutes."</t>
  </si>
  <si>
    <t>Skinner</t>
  </si>
  <si>
    <t>Aust Dent J</t>
  </si>
  <si>
    <t>A preliminary study of the effects of laser radiation on collagen metabolism in cell culture.</t>
  </si>
  <si>
    <t>Human embryonic fibroblast cells</t>
  </si>
  <si>
    <t>0.077-
1.044</t>
  </si>
  <si>
    <t>d = 6.5 mm</t>
  </si>
  <si>
    <t>"Following laser treatment, controlled pepsin digestion measured the increase in cell biostimulation. Maximum increase in collagen production and cell biostimulation occurred after 4 episodes of laser treatment at 24-hour intervals. Laser doses between 0.099 and 0.522 J/cm2 had the most significant stimulatory effects on fibroblast function. Clinical efficacy of the low power Ga-As pulse laser may be related to enhanced connective tissue repair."</t>
  </si>
  <si>
    <t>Cosmetic medicine</t>
  </si>
  <si>
    <t>Body contouring</t>
  </si>
  <si>
    <t>Alizadeh</t>
  </si>
  <si>
    <t>Aesthetic Plast Surg</t>
  </si>
  <si>
    <t>Non-invasive Body Contouring Technologies: An Updated Narrative Review</t>
  </si>
  <si>
    <t>"We searched databases including PubMed, Cochrane, and Google Scholar for 11 essential keywords, including cryolipolysis, high-intensity focused ultrasound (HIFU), shock wave, low-level laser therapy (LLLT), radiofrequency (RF), capacitive resistive electrical transfer (TECAR), high-intensity focused electromagnetic (HIFEM), electromyostimulation (EMS), carboxytherapy, mesotherapy, and acupuncture and their abbreviations, in addition to obesity, overweight, cellulite, subcutaneous fat, and body contouring."</t>
  </si>
  <si>
    <t>Efficacy and safety of a novel combined 1060-nm and 635-nm laser device for non-invasive reduction of abdominal and submental fat</t>
  </si>
  <si>
    <t>🧑 Human
📄 Single-arm trial
👥 42 participants
⌛ single treatment -&gt; 12-week follow-up</t>
  </si>
  <si>
    <t>635+
1060</t>
  </si>
  <si>
    <t xml:space="preserve">0.022-
0.036
</t>
  </si>
  <si>
    <t>"Twelve weeks after a single treatment with the investigational device, ultrasound images showed statistically significant (P &lt; 0.0001) reductions in abdominal and submental fat by 18.62 and 26.4%, respectively. In addition, significant (P &lt; 0.0001) reduction in waist circumference was observed. Ninety-six percent of subjects rated that they were satisfied."</t>
  </si>
  <si>
    <t>Marreira</t>
  </si>
  <si>
    <t>BMJ Open</t>
  </si>
  <si>
    <t>Study protocol for the use of photobiomodulation with red or infrared LED on waist circumference reduction: a randomised, double-blind clinical trial</t>
  </si>
  <si>
    <t>Elnaggar RK</t>
  </si>
  <si>
    <t>A Randomized, Controlled Trial on the Effectiveness of Photobiomodulation Therapy and Non-Contact Selective-Field Radiofrequency on Abdominal Adiposity in Adolescents With Obesity.</t>
  </si>
  <si>
    <t>🧑 Human
⚔ Comparison study, randomized
👥 54 participants
⌛ 4 weeks</t>
  </si>
  <si>
    <t>⚔ PBM vs non-contact selective-field radiofrequency (NcRF)</t>
  </si>
  <si>
    <t>4.08</t>
  </si>
  <si>
    <t>"Our analysis shows that PBMT is more efficient than NcRF for the reduction of W-to-H ratio and SAFT in adolescents with obesity."</t>
  </si>
  <si>
    <t>Croghan</t>
  </si>
  <si>
    <t>USA
(Rochester, MD)</t>
  </si>
  <si>
    <t>Low-level laser therapy for weight reduction: a randomized pilot study.</t>
  </si>
  <si>
    <t>🧑 Human
⚔ Comparison study
👥 60 participants
⌛ 4-12 week treatment / 26-week study</t>
  </si>
  <si>
    <t>Treatment schedule comparison: 12 treatments over (1) 4 weeks, (2) 6 weeks, (3) 12 weeks
Green light 🟢</t>
  </si>
  <si>
    <t>516
cm2
target
area</t>
  </si>
  <si>
    <t>12
over
4/6/12
weeks</t>
  </si>
  <si>
    <t>"When comparing across treatment groups, the greatest reductions from baseline were observed in those assigned to twice weekly for 6 weeks in weight (1 ± 1.7 (±SD) kg by week 6), waist circumference (- 2.0 ± 3.2 in. by week 6 and - 1.5 ± 3.2 in. by week 26), body mass index (- 0.4 ± 0.6 kg/m2), and body fat mass (- 1.1 ± 1.6 kg). This group also had the most significant improvement from baseline in quality of life (+ 0.5 ± 0.8 by week 6), body satisfaction (+ 0.2 ± 0.4 by week 6 and week 26), and body appreciation (+ 0.2 ± 0.3 by week 6 and + 0.3 ± 0.3 by week 26)."
Comment: Three active groups, no control group. Most of between-the-group comparisons show no difference.</t>
  </si>
  <si>
    <t>Roche</t>
  </si>
  <si>
    <t>Low-Level Laser Therapy for Reducing the Hip, Waist, and Upper Abdomen Circumference of Individuals with Obesity.</t>
  </si>
  <si>
    <t>🧑 Human
🎲 Randomized trial, double-blind
👥 53 participants
⌛ 4-week treatment / 6-week study</t>
  </si>
  <si>
    <t>"After 4 weeks, 20 LLLT-treated subjects (71.43%) achieved ≥7.2 cm decrease in combined measurements versus three sham-treated subjects (12%; p &lt; 0.00005). The mean (standard deviation) decrease in combined measurement for LLLT-treated subjects was 10.52 (7.59) cm (p &lt; 0.0001 vs. baseline) versus 1.80 (3.20) cm for sham-treated subjects."
"Based on these results, the device was cleared by the U.S. Food and Drug Administration as a noninvasive esthetic treatment for reduction of circumference of hips, waist, and upper abdomen when applied to individuals with a BMI between 30 and 40 kg/m2."
Comment: This study belongs to the "WTF" category. They used very small doses of green light and reported good results. I wonder whether this is a misconduct or some interesting new finding.</t>
  </si>
  <si>
    <t>The Effect of Combination of Red, Infrared and Blue Wavelengths of Low-Level Laser on Reduction of Abdominal Girth: A Before-After Case Series.</t>
  </si>
  <si>
    <t>🧑 Human
📄 Case series
👥 18 cases
⌛ 6 weeks</t>
  </si>
  <si>
    <t>(Blue light from LEDs, otherwise laser)</t>
  </si>
  <si>
    <t>450
+
630
+
808</t>
  </si>
  <si>
    <t>"Based on this case series pilot investigation, the combination of 3 different wavelengths of LLL was effective for abdominal girth reduction in 100% of our subjects (P&lt;0.001), without any side effects. Future studies will assess the long-term benefits of this laser combination for reduction of subcutaneous fat deposits."</t>
  </si>
  <si>
    <t>Jankowski</t>
  </si>
  <si>
    <t>Low-level laser therapy (LLLT) does not reduce subcutaneous adipose tissue by local adipocyte injury but rather by modulation of systemic lipid metabolism.</t>
  </si>
  <si>
    <t>🧑 Human
📄 Single-arm trial
👥 24 participants
⌛ 12-18 day treatment / 4-5 week study</t>
  </si>
  <si>
    <t xml:space="preserve">Side effects
</t>
  </si>
  <si>
    <t>4800
from
48 LEDs</t>
  </si>
  <si>
    <t>768
cm2</t>
  </si>
  <si>
    <t>6
/ each session 2-3 days apart</t>
  </si>
  <si>
    <t>"We could not show a statistically significant reduction of abdominal subcutaneous adipose tissue by LLLT therapy. Paradoxically when the measurements of the loss of fat thickness on treated side was corrected for change in thickness on non treated side, we have observed that in 8 out of 17 patients LLLT increased adipose tissue thickness.
In two patients severe side effect occurred as a result of treatment: one patient developed ulceration within appendectomy scar, the other over the posterior superior iliac spine.
The paradoxical net increase in subcutaneous fat thickness observed in some of our patients is a rationale against liquefactive and transitory pore models of LLLT-induced adipose tissue reduction.
LLLT devices with laser diode panels applied directly on the skin are not as safe as devices with treatment panels separated from the patient's skin."</t>
  </si>
  <si>
    <t>Int J Endocrinol Metab</t>
  </si>
  <si>
    <t>Review of the Mechanisms and Effects of Noninvasive Body Contouring Devices on Cellulite and Subcutaneous Fat.</t>
  </si>
  <si>
    <t>"In the original articles, the numbers of included methods were: 10 HIFU, 13 RF, 22 cryolipolysis, 11 LLLT, 5 ESWT and 4 WBV therapies."
"Some of the noninvasive body contouring devices in animal and human studies such as cryolipolysis, RF, LLLT and HIFU showed statistical significant effects on body contouring, removing unwanted fat and cellulite in some body areas. However, the clinical effects are mild to moderate, for example 2 - 4 cm circumference reduction as a sign of subcutaneous fat reduction during total treatment sessions."</t>
  </si>
  <si>
    <t>Thornfeldt</t>
  </si>
  <si>
    <t>J Clin Aesthet Dermatol</t>
  </si>
  <si>
    <t>A Six-week Low-level Laser Therapy Protocol is Effective for Reducing Waist, Hip, Thigh, and Upper Abdomen Circumference</t>
  </si>
  <si>
    <t>🧑 Human
📄 Single-arm trial
👥 54 participants
⌛ 6 weeks</t>
  </si>
  <si>
    <t>6
/ 6 weeks</t>
  </si>
  <si>
    <t>"The mean decrease in combined circumference reduction at six weeks was 5.4 inches (p&lt;0.001), and most subjects (72.2%) achieved a ≥4.5-inch decrease. Most subjects (81.0%) were Satisfied (27%) or Very Satisfied (54%) with the aesthetic results they achieved. There were no adverse events."</t>
  </si>
  <si>
    <t>Laser Acupuncture Reduces Body Fat in Obese Female Undergraduate Students</t>
  </si>
  <si>
    <t>🧑 Human
🎲 Randomized trial, sham-controlled
👥 28 participants
⌛ 4 weeks</t>
  </si>
  <si>
    <t>150
200
250</t>
  </si>
  <si>
    <t>1.194
1.592
1.990</t>
  </si>
  <si>
    <t>358
478
597</t>
  </si>
  <si>
    <t>d = 0.4 cm</t>
  </si>
  <si>
    <t>1500
(5p)</t>
  </si>
  <si>
    <t>24
/ 6 weeks</t>
  </si>
  <si>
    <t>"Mean BWs in the low-dose group, the medium-dose group, and the high-dose group were reduced by 1.43, 0.81, and 1.26 kg (percent reductions: 1.99%, 1.13%, and 1.63%), respectively. Mean BMIs in the three laser groups decreased by 0.63, 0.31, and 0.53 kg/m2, respectively (Table 1)."
"Each laser group also showed a nonsignificant drop in hip girth after treatment. Mean waist girths in the low-dose group and the high-dose group were reduced by 2.34 and 2.14 cm, respectively."</t>
  </si>
  <si>
    <t>Nestor</t>
  </si>
  <si>
    <t>USA
(Miami, FL)</t>
  </si>
  <si>
    <t>Semin Cutan Med Surg</t>
  </si>
  <si>
    <t>Body contouring using 635-nm low level laser therapy.</t>
  </si>
  <si>
    <t>"Research has shown that LLLT is effective in reducing overall body circumference measurements of specifically treated regions, including the hips, waist, thighs, and upper arms, with recent studies demonstrating the long-term effectiveness of results. The treatment is painless, and there appears to be no adverse events associated with LLLT. The mechanism of action of LLLT in body contouring is believed to stem from photoactivation of cytochrome c oxidase within hypertrophic adipocytes, which, in turn, affects intracellular secondary cascades, resulting in the formation of transitory pores within the adipocytes' membrane."
Comment: I think that some studies are questioning that 'pore' mechanism.</t>
  </si>
  <si>
    <t>McRae &amp; Boris</t>
  </si>
  <si>
    <t>Independent evaluation of low-level laser therapy at 635 nm for non-invasive body contouring of the waist, hips, and thighs.</t>
  </si>
  <si>
    <t>🧑 Human
📄 Retrospective study
👥 86 participants
⌛ 2-week treatment / 3-week study</t>
  </si>
  <si>
    <t>1200
(?)</t>
  </si>
  <si>
    <t>"Compared with baseline, a statistically significant 2.99 in. (7.59 cm) mean loss was observed at the post-procedure evaluation point (P &lt; 0.0001). When analyzed individually, the waist, hips, and thighs each reported a statistically significant reduction of -1.12, -0.769, and -1.17, respectively. Furthermore, linear regression analysis revealed a weak linear dependence (r = 0.179) between the reported weight and circumference change."</t>
  </si>
  <si>
    <t>Savoia</t>
  </si>
  <si>
    <t>Italy
(Naples)</t>
  </si>
  <si>
    <t>Dermatol Ther (Heidelb)</t>
  </si>
  <si>
    <t>Low-level laser therapy and vibration therapy for the treatment of localized adiposity and fibrous cellulite.</t>
  </si>
  <si>
    <t>🧑 Human
📄 Single-arm trial
👥 33 participants
⌛ 4-6 week treatment / 4-week follow-up</t>
  </si>
  <si>
    <t>LLLT+vibration</t>
  </si>
  <si>
    <t>40
/diode
(multiple diodes?)</t>
  </si>
  <si>
    <t>.</t>
  </si>
  <si>
    <t>1200-
1500</t>
  </si>
  <si>
    <t>6
/ 6 weeks
or
8
/ 4 weeks</t>
  </si>
  <si>
    <t>"The results produced were statistically analyzed and resulted in a significant reduction of fat thickness when compared to the measurement prior to the treatment (P &lt; 0.0001). Moreover, subjective and objective tests, as well as ecographic and histological evaluations, confirmed the reduction of fat thickness."
"In this study we have demonstrated the safety and efficacy of the combination between low-level laser therapy and vibration therapy for the resolution of localized adiposity and fibrous cellulite."
Comment: Parameters were poorly/inconveniently reported.</t>
  </si>
  <si>
    <t>Effect of 635nm Low-level Laser Therapy on Upper Arm Circumference Reduction: A Double-blind, Randomized, Sham-controlled Trial.</t>
  </si>
  <si>
    <t>🧑 Human
🎲 Randomized trial, double-blind
👥 40 participants
⌛ 2-week treatment / 4-week study</t>
  </si>
  <si>
    <t>17
/diode
4
diodes</t>
  </si>
  <si>
    <t>3.94</t>
  </si>
  <si>
    <t>"Noninvasive low-level laser therapy is safe, painless, and effective in reducing upper arm circumference and is associated with a high degree of subject satisfaction."</t>
  </si>
  <si>
    <t>Elm</t>
  </si>
  <si>
    <t>USA
(Edita, MN)</t>
  </si>
  <si>
    <t>Efficacy of a multiple diode laser system for body contouring.</t>
  </si>
  <si>
    <t>🧑 Human
🎲 Randomized trial, self-controlled
👥 5 participants
⌛ 2-week treatment -&gt; 4-week follow-up</t>
  </si>
  <si>
    <t>A study with groups both receiving PBM, but the other also receiving supplements</t>
  </si>
  <si>
    <t>"Circumference measurements revealed no statistically significant reduction at either 7 days or 1 month post-treatment. One month following treatment the greatest circumference reduction overall was 0.5 ± 0.3 inches. Ultrasound measurements also did not reveal statistically significant reduction in fat layer thickness (P &gt; 0.5). Evaluation by three blinded dermatologists resulted in average correct photo identification of 51.1%. Results reflect little clinical difference between post-treatment and baseline images."</t>
  </si>
  <si>
    <t>Gold</t>
  </si>
  <si>
    <t>USA
(Nashville, TN)</t>
  </si>
  <si>
    <t>Reduction in thigh circumference and improvement in the appearance of cellulite with dual-wavelength, low-level laser energy and massage.</t>
  </si>
  <si>
    <t>🧑 Human
🎲 Randomized trial, self-controlled
🗺 Multicenter
👥 83 participants
⌛ 4-week treatment / 3-month study</t>
  </si>
  <si>
    <t>Self-controlled (unilateral thigh irradiation)</t>
  </si>
  <si>
    <t>650+
915</t>
  </si>
  <si>
    <t>"The low-level, dual-wavelength laser energy and massage device safely improves the appearance of cellulite while reducing thigh circumference."
Comment: The parameters were not reported (except the wavelength).</t>
  </si>
  <si>
    <t>Caruso-Davis</t>
  </si>
  <si>
    <t>USA
(Baton Rouge, LA)</t>
  </si>
  <si>
    <t>Obes Surg</t>
  </si>
  <si>
    <t>Efficacy of low-level laser therapy for body contouring and spot fat reduction.</t>
  </si>
  <si>
    <t>🧑 Human
🎲 Randomized trial
👥 40 participants
⌛ 4 weeks</t>
  </si>
  <si>
    <t>LAPEX 2000 LipoLaser</t>
  </si>
  <si>
    <t>"Cumulative girth loss after 4 weeks was −2.15 cm (−0.78 ± 2.82 vs. 1.35 ± 2.64 cm for the control group,p &lt; 0.05).
A blinded evaluation of standardized pictures showed statistically significant cosmetic improvement after 4 weeks of laser treatment."</t>
  </si>
  <si>
    <t>Lach E</t>
  </si>
  <si>
    <t>USA
(Southborough, MA)</t>
  </si>
  <si>
    <t>Reduction of subcutaneous fat and improvement in cellulite appearance by dual-wavelength, low-level laser energy combined with vacuum and massage.</t>
  </si>
  <si>
    <t>🧑 Human
🎲 Randomized trial
👥 102 participants, 74 completed
⌛ 4-6 weeks</t>
  </si>
  <si>
    <t>650
+
915</t>
  </si>
  <si>
    <t>~14
/ 4-6 weeks</t>
  </si>
  <si>
    <t>"Fat thickness decreased for the leg treated with laser-massage by 1.19 cm(2) (mean) and increased by 3.82 cm(2) (mean) for the control leg over time. The difference was statistically significant (p&lt;0.001). Among those who completed the study, 82.26% responded to treatment. Individuals reported looser-fitting clothing and satisfaction with the procedure and results. Adverse effects were limited to occasional increases in urinary frequency."
"Low-level, dual-beam laser energy with massage appears to be safe and more efficacious than massage alone for reducing subcutaneous fat in the thighs of normal women."</t>
  </si>
  <si>
    <t>Breast augmentation</t>
  </si>
  <si>
    <t>Jackson</t>
  </si>
  <si>
    <t>USA
(Marion, IN)</t>
  </si>
  <si>
    <t>Low-Level Laser Therapy Effectiveness for Reducing Pain after Breast Augmentation</t>
  </si>
  <si>
    <t>🧑 Human
🎲 Randomized trial, double-blind
👥 104 participants
⌛ single session / 1-week follow-up</t>
  </si>
  <si>
    <t>Pain</t>
  </si>
  <si>
    <t>630-
640</t>
  </si>
  <si>
    <t>2
on
same
day</t>
  </si>
  <si>
    <t>"Low-level laser therapy is effective at significantly decreasing postoperative pain and the amount of pain medication needed after breast augmentation at 1 day and 1 week respectfully. All other covariants studied including, implant type, implant size, incision size, implant location, test site location, amount of swelling measurements, hydration level, and adverse events were found to be neglible."
Comment: Parameters were poorly reported</t>
  </si>
  <si>
    <t>Cellulite</t>
  </si>
  <si>
    <t>Sasaki GH</t>
  </si>
  <si>
    <t>The safety and effectiveness of low-level light therapy (LLLT) with light-emitting diode (LED) bed system and a novel topical anti-cellulite gel on grades 1-2 thigh/buttock cellulite: a randomized, comparative-controlled split-thigh/buttock IRB study</t>
  </si>
  <si>
    <t>🧑 Human
⚔ Comparison study (PBM vs PBM+gel)
👥 8 participants
⌛ 3 months</t>
  </si>
  <si>
    <t>twice
weekly
for
3 months</t>
  </si>
  <si>
    <t>"At the end of the 3-month trial, skin elasticity increased after combined therapy on one thigh but decreased with only LLLT-LED bed treatments on the opposite thigh. Thighs treated with active gel and LLLT-LED bed, were downgraded to a lower cellulite grade, while monotherapy did not demonstrate any change from their baseline cellulite grading."</t>
  </si>
  <si>
    <t>A double-blind, placebo-controlled randomized trial evaluating the ability of low-level laser therapy to improve the appearance of cellulite.</t>
  </si>
  <si>
    <t>🧑 Human
🎲 Randomized trial, double-blind
👥 68 participants
⌛ 2-week treatment / 6-week study</t>
  </si>
  <si>
    <t>"Low-level laser therapy using green 532 nm diodes is safe and effective for improving the appearance of cellulite in the thighs and buttocks."</t>
  </si>
  <si>
    <t>Dermatology</t>
  </si>
  <si>
    <t>Acellular dermal matrix</t>
  </si>
  <si>
    <t>Cell Tissue Bank</t>
  </si>
  <si>
    <t>Effects of diode laser therapy on the acellular dermal matrix.</t>
  </si>
  <si>
    <t>"In treated animals, the extent of edema and the number of inflammatory cells were reduced (P &lt; 0.05). The amount of collagen in graft treated with low-level laser were significantly higher than those of controls (P &lt; 0.05) and were statistically more prominent on the 14th day after surgery. The mean count of fibroblasts was significantly higher in the low-laser therapy group within the 3rd day, showing a marked influx of fibroblasts into area. In conclusion, wound healing of the ADM appear to be positively affected by laser therapy."</t>
  </si>
  <si>
    <t>Acne conglobata</t>
  </si>
  <si>
    <t>Koceva</t>
  </si>
  <si>
    <t>Switzerland &amp; Denmark</t>
  </si>
  <si>
    <t>Clin Case Rep</t>
  </si>
  <si>
    <t>Fluorescent light energy: A new therapeutic approach to effectively treating acne conglobata and hidradenitis suppurativa</t>
  </si>
  <si>
    <t>🧑 Human
📄 Case report
⌛ 6-week treatment / 12-week study</t>
  </si>
  <si>
    <t>Fluorescence-based PBM
🔵 irradiation --&gt; 🟢🔴 light emission from gel</t>
  </si>
  <si>
    <t>415+
447
(LED)
510-
610
(?)
(gel)</t>
  </si>
  <si>
    <t>"Significant improvements were noted in the facial nodules and cysts during the treatment (week 2 and 4) at the 6-week timepoint/the end of the treatment course (Figure 1). A further improvement in the accompanying facial erythema and the overall complexion of the skin was apparent 12 weeks from the initiation of treatment (Figure 1)."
Comment: The gel fluorescence spectrum 510-610 nm is not mentioned in the full text but was found from other sources.</t>
  </si>
  <si>
    <t>Acne vulgaris</t>
  </si>
  <si>
    <t>Ashmawy</t>
  </si>
  <si>
    <t>Egypt
(Tanta)</t>
  </si>
  <si>
    <t>Dermatol Pract Concept</t>
  </si>
  <si>
    <t>Efficacy of Low-Level Laser Versus Topical Erythromycin 2% in the Treatment of Inflammatory Acne Vulgaris</t>
  </si>
  <si>
    <t>🧑 Human
⚔ Comparison study, split-face
👥 40 participants
⌛ 4-week treatment -&gt; 3-month follow-up</t>
  </si>
  <si>
    <t>⚔ PBM vs erythromycin</t>
  </si>
  <si>
    <t>"There was improvement of acne lesions on laser side and antibiotic side (assessed as non-inflammatory and inflammatory lesion counts). Laser side showed better results than antibiotic side. Patients were more satisfied with laser treatment due to minimal side effects and less relapse."</t>
  </si>
  <si>
    <t>Chung</t>
  </si>
  <si>
    <t>Dermatol Ther</t>
  </si>
  <si>
    <t>A Novel, Hand-Held, and Low-Level Light Therapy Device for the Treatment of Acne Vulgaris: A Single-Arm, Prospective Clinical Study</t>
  </si>
  <si>
    <t>🧑 Human
📄 Single-arm trial
👥 57 participants
⌛ 4-week treatment -&gt; 4-week follow-up</t>
  </si>
  <si>
    <t>450+
680</t>
  </si>
  <si>
    <t>~0.012</t>
  </si>
  <si>
    <t>"The mean number of inflammatory acne lesions decreased statistically at weeks 4 () and 8 (). The proportion of Investigator’s Global Assessment grade 3, indicating moderate acne severity, decreased significantly at the final visit. No severe adverse reactions were reported."</t>
  </si>
  <si>
    <t>China
(Shaanxi)</t>
  </si>
  <si>
    <t>Efficacy and safety of low-level light therapy by delicate pulsed light combined with low-dose oral isotretinoin for the treatment of acne vulgaris: a randomized split-face study</t>
  </si>
  <si>
    <t>🧑 Human
🎲 Randomized trial, self-controlled
👥 36 participants
⌛ 6 weeks</t>
  </si>
  <si>
    <t>Isotretinoin with or without "delicate pulsed light" (DPL)</t>
  </si>
  <si>
    <t>500-
600</t>
  </si>
  <si>
    <t>"At the end of the observation, the improvement of GAGS was 70.88% on the DPL and isotretinoin combined side versus 62.12% on the side with isotretinoin monotherapy (p = 0.0009)."
Comment: This treatment is not necessary related to photobiomodulation, since IPL-related treatments are based on temporary heating of tissue: "Delicate pulsed light (DPL), as a sub-type of intense pulsed light (IPL), has a more precise therapeutic spectrum (500–600 nm). This makes DPL more efficient and avoids unspecific heating of untargeted surrounding tissue [20]."</t>
  </si>
  <si>
    <t>Comparison of red light and blue light therapies for mild-to-moderate acne vulgaris: A randomized controlled clinical study</t>
  </si>
  <si>
    <t>🧑 Human
⚔ Comparison study
👥 28 participants
⌛ (?)</t>
  </si>
  <si>
    <t xml:space="preserve">Blue light 🔵
Red light 🔴
</t>
  </si>
  <si>
    <t>red
blue</t>
  </si>
  <si>
    <t>"At the 2-week follow-up, the average improvement rate of total acne lesions was 36.2% in the RL group and 30.7% in the BL group (p &gt; .05)."
"Red light and BL therapies have similar efficacy in mild-to-moderate acne vulgaris, especially for inflammatory lesions. RL had advantages with fewer adverse reactions compared with BL."</t>
  </si>
  <si>
    <t>Application of red light therapy for moderate-to-severe acne vulgaris: A systematic review and meta-analysis</t>
  </si>
  <si>
    <t>"13 randomized controlled trials (RCTs) consisting of 422 participants were included.
There was no significant difference in the average number of non-inflammatory lesions (weighted mean difference (WMD = -0.527; 95% CI,-3.055~2.001; p = 0.683). Moreover, there was no statistically significant difference in the average number of inflammatory lesions (WMD =0.701; 95% CI, -0.809~2.212; p =0.363). In the subgroup analysis of the outcome changes in comedones, pustules, papules, and total lesions, it was found that red light therapy elicited no significant superiority compared with other conventional treatment methods (WMD = -1.125; 95% CI, -3.122~0.873; p = 0.270). Adverse events of the red light group were generally mild or even completely non-existent."
"There was no statistically significant difference between red light therapy and traditional therapies in terms of efficacy. However, due to the heterogeneity of the researches and the lack of large sample size, the result of this study needs to be interpreted with caution."
Comment: Red light was compared to various other treatments such as photodynamic therapy (PDT) and salicylic acid.</t>
  </si>
  <si>
    <t>Russo</t>
  </si>
  <si>
    <t>Italy
(Siena)</t>
  </si>
  <si>
    <t>Fluorescent light energy combined with systemic isotretinoin: A 52-week follow-up evaluating efficacy and safety in treatment of moderate-severe acne</t>
  </si>
  <si>
    <t>🧑 Human
📄 Case series
👥 12 cases
⌛ 6-week treatment / 1-year follow-up</t>
  </si>
  <si>
    <t>PBM + isotretinoin
Fluorescence-based PBM: 🔵 irradiation --&gt; 🟢🔴 light emission from gel</t>
  </si>
  <si>
    <t>6
/ 6 weeks
+
1 after
6mo
+ 
1 after 12mo
(?)</t>
  </si>
  <si>
    <t>"Fluorescent light energy therapy combined with low‐dose isotretinoin or tetracycline show remarkable clinical effect on 12 cases of moderate‐to‐severe acne. Treatment was considered safe, well‐tolerated, and highly efficacious."</t>
  </si>
  <si>
    <t>Szymańska</t>
  </si>
  <si>
    <t>Clin Cosmet Investig Dermatol</t>
  </si>
  <si>
    <t>The Anti-Acne Effect of Near-Infrared Low-Level Laser Therapy</t>
  </si>
  <si>
    <t>🧑 Human
📄 Single-arm trial
👥 27 participants
⌛ 12-week treatment -&gt; 2-week follow-up</t>
  </si>
  <si>
    <t>0.080</t>
  </si>
  <si>
    <t>6
/ 12 weeks</t>
  </si>
  <si>
    <t>"Significant improvements in acne lesions (assessed as non-inflammatory and inflammatory lesion counts) and a significant decrease in skin sebum excretion were observed after the treatment. No adverse effects were reported."</t>
  </si>
  <si>
    <t>Diogo</t>
  </si>
  <si>
    <t>Effect of Blue Light on Acne Vulgaris: A Systematic Review</t>
  </si>
  <si>
    <t>"After the exclusion of duplicates, the titles and abstracts of 81 articles were evaluated, and 50 articles were selected for full reading, including in the review at the end 8 articles. Studies have shown significant improvements in the overall picture of acne. It is concluded that despite the great potential in its use in the treatment of acne, there is a need for more detailed trials on the effect of blue light on the treatment of inflammatory acne."</t>
  </si>
  <si>
    <t>Kharazi</t>
  </si>
  <si>
    <t xml:space="preserve">Photodermatol Photoimmunol Photomed
</t>
  </si>
  <si>
    <t>The efficacy of blue light versus the combination of blue and red light therapy in the treatment of acne vulgaris</t>
  </si>
  <si>
    <t>🧑 Human
⚔ Comparison study
👥 33 participants
⌛ 4-week treatment -&gt; 12-week follow-up</t>
  </si>
  <si>
    <t>Blue light 🔵
Red-blue light 🔴🔵</t>
  </si>
  <si>
    <t>415
415+
633</t>
  </si>
  <si>
    <t>48
48+
96</t>
  </si>
  <si>
    <r>
      <rPr>
        <sz val="6.0"/>
      </rPr>
      <t xml:space="preserve">8
/ 4 weeks
</t>
    </r>
    <r>
      <rPr>
        <i/>
        <sz val="6.0"/>
      </rPr>
      <t>(follow-up till wk 16)</t>
    </r>
  </si>
  <si>
    <t>"As it is confirmed by our findings, the combination of blue and red light is more effective in treatment of acne vulgaris rather than blue light alone, with no significant adverse effects."
Comment: At week 16, the improvement was 70% in combination group and 51% in blue light group. There were 33 participants in this study.</t>
  </si>
  <si>
    <t>Eid</t>
  </si>
  <si>
    <t>Narrow Band Ultraviolet B Versus Red Light-Emitting Diodes in the Treatment of Facial Acne Vulgaris: A Randomized Controlled Trial</t>
  </si>
  <si>
    <t>🧑 Human
🎲 Randomized trial
👥 45 participants
⌛ 8 weeks</t>
  </si>
  <si>
    <t>PBM vs erythromycin (?) vs ultraviolet B</t>
  </si>
  <si>
    <t>312
633</t>
  </si>
  <si>
    <t>"Both NBUVB and red LED were effective in acne treatment; NBUVB, however, revealed a highly efficient treatment than red LED in decreasing the acne lesions count and the improved degree of AV severity as measured by the global investigator's assessment scale."</t>
  </si>
  <si>
    <t>Nitayavardhana</t>
  </si>
  <si>
    <t>A Comparative Study Between Once-Weekly and Alternating Twice-Weekly Regimen Using Blue (470 nm) and Red (640 nm) Light Combination LED Phototherapy for Moderate-to-Severe Acne Vulgaris</t>
  </si>
  <si>
    <t>🧑 Human
⚔ Comparison study
👥 30 participants
⌛ 4-week treatment -&gt; 8-week follow-up</t>
  </si>
  <si>
    <t>LED phototherapy
Red-blue light 🔴🔵</t>
  </si>
  <si>
    <t>470+
640</t>
  </si>
  <si>
    <t>4 or 8
/ 4 weeks</t>
  </si>
  <si>
    <t>"There was no statistically significant difference between once- and alternating twice-weekly regimens. Both regimens provided marked improvement only for inflammatory lesions. The median percentage of acne reduction was significantly demonstrated for 1 week after finishing the course of treatment and was sustained until the end of the study. There were no side effects noted throughout the study period."</t>
  </si>
  <si>
    <t>Edge</t>
  </si>
  <si>
    <t>Denmark
(Ballerup)</t>
  </si>
  <si>
    <t>Fluorescent Light Energy: The Future for Treating Inflammatory Skin Conditions?</t>
  </si>
  <si>
    <t>🧑 Human
📄 Case report
⌛ 1 year
+ 🧪 In vitro</t>
  </si>
  <si>
    <t>360-
680</t>
  </si>
  <si>
    <t>"FLE reduced inflammatory lesions and associated redness in the representative acne patient. Following the resolution of inflammation there was an overall enhancement of the skin's texture."
"FLE enhanced collagen production from nonstressed HDF cells, decreased the inflammatory profile of HDF and HEK cells, and enhanced angiogenesis in HAE cells."</t>
  </si>
  <si>
    <t>Nikolis</t>
  </si>
  <si>
    <t>Canada &amp; Greece</t>
  </si>
  <si>
    <t>Int J Dermatol</t>
  </si>
  <si>
    <t>An extension of a multicenter, randomized, split-face clinical trial evaluating the efficacy and safety of chromophore gel-assisted blue light phototherapy for the treatment of acne</t>
  </si>
  <si>
    <t>🧑 Human
🎲 Randomized trial, self-controlled
👥 49 participants
⌛ 6-week treatment / 12-week study</t>
  </si>
  <si>
    <t>415+
446
(?)
(LED)
500-
610
(from
gel)</t>
  </si>
  <si>
    <t>"These results are similar to those already reported in the Main trial for baseline IGA grades 3 and 4 and confirm the efficacy profile of the BioPhotonic System observed in this Main trial."
Comment: This is a continuation of the Antoniou 2016 study.</t>
  </si>
  <si>
    <t>Alba</t>
  </si>
  <si>
    <t>Clinical comparison of salicylic acid peel and LED-Laser phototherapy for the treatment of Acne vulgaris in teenagers.</t>
  </si>
  <si>
    <t>🧑 Human
⚔ Comparison study
👥 22 participants
⌛ 10 weeks</t>
  </si>
  <si>
    <t>PBM vs salicylic acid
Red-blue light 🔴🔵</t>
  </si>
  <si>
    <t>470
+
660</t>
  </si>
  <si>
    <t>10
/ 10 weeks</t>
  </si>
  <si>
    <t>"The combined use of red and blue lights due to their anti-inflammatory and wound-healing properties is a more efficient alternative for treating Acne vulgaris in relation to SA and proves more reliable and without side effects, improving the adolescents' skin health."</t>
  </si>
  <si>
    <t>USA
(Skillman, NJ)</t>
  </si>
  <si>
    <t>Low-level red LED light inhibits hyperkeratinization and inflammation induced by unsaturated fatty acid in an in vitro model mimicking acne.</t>
  </si>
  <si>
    <t>"Low level red LED light therapy could provide beneficial effects of anti-inflammation, normalizing pilosebaceous hyperkeratinization, and improving barrier impairment in Acne vulgaris."</t>
  </si>
  <si>
    <t>Efficacy and Tolerability of a Combined 445nm and 630nm Over-the-counter Light Therapy Mask with and without Topical Salicylic Acid versus Topical Benzoyl Peroxide for the Treatment of Mild-to-moderate Acne Vulgaris</t>
  </si>
  <si>
    <t>🧑 Human
⚔ Comparison study
👥 105 participants
⌛ 12 weeks</t>
  </si>
  <si>
    <t>PBM vs benzoyl peroxide
LED phototherapy
Red-blue light 🔴🔵</t>
  </si>
  <si>
    <t>445+
630</t>
  </si>
  <si>
    <t>"The results of this 12-week evaluator-blinded, randomized study demonstrated the effectiveness of a LED device emitting red (630nm) and blue (445nm) light for the treatment of mild-to-moderate acne vulgaris across a range of subject ages, racial backgrounds, and skin types. There were no reports of AEs. This device has received FDA clearance for home use."
Comment: The improvement in each group was 10-25% with the greater improvement in the light mask group, even compared to light mask + salicylic acid combination treatment group. No negative control group.</t>
  </si>
  <si>
    <t>Device: illuMask® La Lumiere, LLC., Cleveland, Ohio</t>
  </si>
  <si>
    <t>Antoniou</t>
  </si>
  <si>
    <t>Greece &amp; Canada</t>
  </si>
  <si>
    <t>A multicenter, randomized, split-face clinical trial evaluating the efficacy and safety of chromophore gel-assisted blue light phototherapy for the treatment of acne</t>
  </si>
  <si>
    <t>🧑 Human
🎲 Randomized trial
Self-controlled
👥 90 participants
⌛ 6-week treatment / 6-week follow-up</t>
  </si>
  <si>
    <t>415+
446
(?)
(LED)
400-
610
(from
gel)</t>
  </si>
  <si>
    <t>"The percentage of treated hemifaces that attained a reduction of at least one IGA grade at week 6 was 79.8%, compared with 48.9% for the untreated hemifaces (P &lt; 0.0001). This response was sustained at week 12 follow-up (88.8% treated vs. 69.7% control; P &lt; 0.0001) (Table 3)."</t>
  </si>
  <si>
    <t>Ann Dermatol</t>
  </si>
  <si>
    <t>Efficacy of Red or Infrared Light-Emitting Diodes in a Mouse Model of Propionibacterium acnes-Induced Inflammation.</t>
  </si>
  <si>
    <t>650
830</t>
  </si>
  <si>
    <t>"Mice treated with red and infrared LED showed clinical improvement in inflammatory nodules compared to mice in the control group. 
Red LED was much more effective than infrared LED. Epidermal hyperplasia, comedone-like cysts, and integrin α6 expression improved to a similar extent in the red and infrared LED treatment groups and control group.
Neutrophil, IL-1β, MMP-2, and MMP-9 expression after treatment with red and infrared LED decreased considerably compared to expression in the control group."</t>
  </si>
  <si>
    <t>Momen &amp; Al-Niaimi</t>
  </si>
  <si>
    <t>Acne vulgaris and light-based therapies.</t>
  </si>
  <si>
    <t>Jung</t>
  </si>
  <si>
    <t>Korea
(Daejeon)</t>
  </si>
  <si>
    <t>Arch Dermatol Res</t>
  </si>
  <si>
    <t>Regulation of lipid production by light-emitting diodes in human sebocytes.</t>
  </si>
  <si>
    <t>LED phototherapy
Wavelength comparison
Blue light 🔵
Red light 🔴</t>
  </si>
  <si>
    <t>415
630</t>
  </si>
  <si>
    <t>"When applied to human primary sebocytes, 415 nm blue light suppressed cell proliferation. Based on a lipogenesis study using Oil Red O, Nile red staining, and thin-layered chromatography, 630 nm red light strongly downregulated lipid production in sebocytes. These results suggest that 415 nm blue light and 630 nm red light influence lipid production in human sebocytes and have beneficial effects on acne by suppressing sebum production."</t>
  </si>
  <si>
    <t>Inflammatory Cytokine Expression and Sebum Production after Exposure of Cultured Human Sebocytes to Ultraviolet A Radiation and Light at Wavelengths of 650 nm and 830 nm</t>
  </si>
  <si>
    <t>Ultraviolet light 🟣</t>
  </si>
  <si>
    <t>UVA
650
830</t>
  </si>
  <si>
    <t>2
3
5
14
29
87
5
10
30</t>
  </si>
  <si>
    <t>"Exposure of cultured sebocytes to UVA radiation and light at wavelengths of 650 nm and 830 nm did not show a significant increase in the expression of inflammatory cytokines, MMPs, or AMPs.
Sebum production was not significantly decreased after exposure to UVA radiation and light at both wavelengths."
"We propose that UVA radiation, visible light, and infrared light can be used to target Propionibacterium acnes for the treatment of acne, without an increase in the expression of inflammatory biomarkers and sebum production."</t>
  </si>
  <si>
    <t>Clinical and usability study to determine the safety and efficacy of the Silk'n Blue Device for the treatment of mild to moderate inflammatory acne vulgaris</t>
  </si>
  <si>
    <t>🧑 Human
📄 Single-arm trial
👥 17 participants
⌛ 4-week treatment / 3-month study</t>
  </si>
  <si>
    <t>405-
460</t>
  </si>
  <si>
    <t>"There was a statistically significant decrease in mean acne counts from baseline through the follow-up visits, p = 0.002. Percent reduction was also statistically significant, p = 0.041. The study also showed that 36.4% of the patients had complete clearance with the study device. 100% of the patients showed full comprehension with the label for the device. There were no adverse events. Photos were captured."</t>
  </si>
  <si>
    <t>Randomized trial of three phototherapy methods for the treatment of acne vulgaris in Chinese patients.</t>
  </si>
  <si>
    <t>🧑 Human
⚔ Comparison study, randomized
👥 150 participants
⌛ 3-9 sessions (1-2 per week) -&gt; 3-month follow-up</t>
  </si>
  <si>
    <t>Red-blue light 🔴🔵
⚔ PBM vs PDT vs IPL</t>
  </si>
  <si>
    <t>blue+
red</t>
  </si>
  <si>
    <t>twice
weekly,
9 sessions
on average</t>
  </si>
  <si>
    <t>At 1 month, &gt;90% clearance or moderate improvement occurred in 22/50 (44%) patients in the LED group. There was no control group.</t>
  </si>
  <si>
    <t>Chile
(Temuco)</t>
  </si>
  <si>
    <t>Indian J Dermatol Venereol Leprol</t>
  </si>
  <si>
    <t>Efficacy of red light alone and methyl-aminolaevulinate-photodynamic therapy for the treatment of mild and moderate facial acne</t>
  </si>
  <si>
    <t>🧑 Human
⚔ Comparison study
👥 36 participants
⌛ 2-week treatment / 10-week study</t>
  </si>
  <si>
    <t>⚔ PBM vs PDT</t>
  </si>
  <si>
    <t>2
/ 2 weeks</t>
  </si>
  <si>
    <t xml:space="preserve">"At week 2, clinical improvement from acne grade II-IV to 0-I was observed in 82.3% of MAL-PDT group and 14.2% of red light alone group. Red light alone group had a gradual clinical improvement over time with a 77% response at week 10. In contrast, MAL-PDT group had a rapid clinical improvement with total response at week 10. Both treatments were significantly effective for improving acne lesions."
Comment: No negative control group. Thus, it may be difficult to evaluate whether red light was slightly effective or if the improvement was due to regression to the mean or spontaneous remission. </t>
  </si>
  <si>
    <t>Kwon</t>
  </si>
  <si>
    <t>The clinical and histological effect of home-use, combination blue-red LED phototherapy for mild-to-moderate acne vulgaris in Korean patients: a double-blind, randomized controlled trial.</t>
  </si>
  <si>
    <t>🧑 Human
🎲 Randomized trial, double-blind
👥 35 participants
⌛ 4 weeks</t>
  </si>
  <si>
    <t>LED phototherapy
At-home device
Red-blue light 🔴🔵</t>
  </si>
  <si>
    <t>420
+
660</t>
  </si>
  <si>
    <t>0.0061
+
0.0081</t>
  </si>
  <si>
    <t>0.91
+
1.22</t>
  </si>
  <si>
    <t>150
+
150</t>
  </si>
  <si>
    <t>"At the final visit at 12 weeks, both inflammatory and noninflammatory acne lesions had decreased significantly, by 77% and 54%, respectively, in the treatment group. No significant difference was observed in the control group.
In the treatment group, sebum output reduction, attenuated inflammatory cell infiltrations and a decreased size of the sebaceous gland were found.
The immunostaining intensities for interleukin (IL)-8, IL-1α, matrix metalloproteinase-9, toll-like receptor-2, nuclear factor-κB, insulin-like growth factor-1 receptor and sterol response element binding protein (SREBP)-1 were reduced concomitantly. Messenger RNA expression of SREBP-1c was also decreased.
No severe adverse reactions were reported."</t>
  </si>
  <si>
    <t>Aziz-Jalali</t>
  </si>
  <si>
    <t>Indian J Dermatol</t>
  </si>
  <si>
    <t>Comparison of Red and Infrared Low-level Laser Therapy in the Treatment of Acne Vulgaris.</t>
  </si>
  <si>
    <t>🧑 Human
⚔ Comparison study
👥 28 participants
⌛ 6-week treatment / 8-week study</t>
  </si>
  <si>
    <t>Red vs NIR
Wavelength comparison</t>
  </si>
  <si>
    <t>630
890</t>
  </si>
  <si>
    <t>12
12</t>
  </si>
  <si>
    <t>"Ten weeks after treatment acne lesion were significantly decreased in the side treated by 630 nm LLLT (27.7±12.7 to 6.3±1.9) (P&lt;0.001), but this decrease was not significant in the site treated by 890 nm LLLT (26.9±12.4 to 22.2±8.5) (P&gt;0.05)."</t>
  </si>
  <si>
    <t>Darné</t>
  </si>
  <si>
    <t>UK
(Middlesbrough)</t>
  </si>
  <si>
    <t>Evaluation of the clinical efficacy of the 1,450 nm laser in acne vulgaris: a randomized split-face, investigator-blinded clinical trial.</t>
  </si>
  <si>
    <t>🧑 Human
🎲 Randomized trial
👥 38 participants
⌛ 3-month treatment -&gt; 12-month follow-up</t>
  </si>
  <si>
    <t>No results (or: systemic effect)?</t>
  </si>
  <si>
    <t>8-9</t>
  </si>
  <si>
    <t>3
/ 3 months</t>
  </si>
  <si>
    <t>"Treatment with the 1450 nm laser does not reduce inflammatory lesion count or acne grade when compared with a control side, using a split-face format in participants recruited from secondary care. Both sides of the face improved and a systemic effect of the laser is possible."</t>
  </si>
  <si>
    <t>Faghihi</t>
  </si>
  <si>
    <r>
      <rPr>
        <sz val="7.0"/>
      </rPr>
      <t>J Pak Assoc Dermatol
(</t>
    </r>
    <r>
      <rPr>
        <i/>
        <sz val="7.0"/>
      </rPr>
      <t>not indexed in PubMed)</t>
    </r>
  </si>
  <si>
    <t>Comparative efficacy of filtered blue light (emitted from sunlight) and topical erythromycin solution in acne treatment: a randomized controlled clinical trial</t>
  </si>
  <si>
    <t>🧑 Human
⚔ Comparison study, self-controlled
👥 32 participants
⌛ 8-week treatment / 12-week study</t>
  </si>
  <si>
    <t>⚔ 🔵 Blue light vs erythromycin</t>
  </si>
  <si>
    <t>405-
420</t>
  </si>
  <si>
    <t>daily
for
8 weeks</t>
  </si>
  <si>
    <t>"In our study, a mean improvement of 46% in acne score was achieved with the blue light compared to 58% with topical erythromycin (p&gt;0.05)."</t>
  </si>
  <si>
    <t>JPAD</t>
  </si>
  <si>
    <r>
      <rPr>
        <sz val="7.0"/>
      </rPr>
      <t xml:space="preserve">Korean J Dermatol 
</t>
    </r>
    <r>
      <rPr>
        <i/>
        <sz val="7.0"/>
      </rPr>
      <t>(not PubMed-indexed)</t>
    </r>
  </si>
  <si>
    <r>
      <rPr>
        <b/>
        <sz val="7.0"/>
      </rPr>
      <t xml:space="preserve">[The Effect of 650 nm Red Light Phototherapy on Acne Vulgaris]
</t>
    </r>
    <r>
      <rPr>
        <b/>
        <i/>
        <sz val="7.0"/>
      </rPr>
      <t>[Full text in Korean]</t>
    </r>
  </si>
  <si>
    <t>🧑 Human
📄 Non-randomized study, self-controlled
👥 39 participants
⌛ 6 weeks</t>
  </si>
  <si>
    <t>0.0057</t>
  </si>
  <si>
    <t>twice daily
for
6 weeks</t>
  </si>
  <si>
    <t>"Improvement of satisfaction of patients and efficacy assessment on the red light emitting side were 82.05% and 84.62%, respectively, compared with 41.03% and 38.46%, respectively, on the [control] LED emitting side."
Comment: Article in Korean and not PubMed-indexed. No DOI identifier.</t>
  </si>
  <si>
    <t>KCI</t>
  </si>
  <si>
    <t>Barolet &amp; Boucher</t>
  </si>
  <si>
    <t>Radiant near infrared light emitting Diode exposure as skin preparation to enhance photodynamic therapy inflammatory type acne treatment outcome</t>
  </si>
  <si>
    <t>🧑 Human
🎲 Randomized trial, self-controlled
👥 10 participants
⌛ single treatment -&gt; 4-week follow-up</t>
  </si>
  <si>
    <t>PBM preconditioning before PDT
LED phototherapy</t>
  </si>
  <si>
    <t>"This randomized, controlled, and rater-blinded trial revealed a significant difference in median reduction of inflammatory lesions on the IR pre-treated (73%, 95% confidence interval (CI) 51-81%) versus the control side (38%, 95% CI 8-55%) 1 month after PDT (P&lt;0.0001). 
Clinical assessment of severity was also significantly lower on the IR-treated side than on the control side (median 1, 95% CI 0.74-1.34 vs. 2, 95% CI 1.17-1.72). 
No unusual treatment-related adverse effects were observed."</t>
  </si>
  <si>
    <t>Noborio</t>
  </si>
  <si>
    <t>Clinical effect of low-energy double-pass 1450 nm laser treatment for acne in Asians.</t>
  </si>
  <si>
    <t>🧑 Human
📄 Single-arm trial
👥 30 participants
⌛ 5-10 sessions at 2-4 week intervals -&gt; 1-month follow-up</t>
  </si>
  <si>
    <t>8-12</t>
  </si>
  <si>
    <t>5-10
sessions
at
2-4 week
intervals</t>
  </si>
  <si>
    <t>"Of the 30 patients, 27 completed the study. The mean acne grades decreased from 3.9 to 1.4 (P&lt;0.01) in the 27 patients. The pain was tolerated by 25 patients, and two patients required local anesthesia. No remarkable side effects occurred in any of the patients; all but a few patients had transient faint erythema."</t>
  </si>
  <si>
    <t>Sadick N</t>
  </si>
  <si>
    <t>A study to determine the effect of combination blue (415 nm) and near-infrared (830 nm) light-emitting diode (LED) therapy for moderate acne vulgaris.</t>
  </si>
  <si>
    <t>🧑 Human
📄 Single-arm trial
👥 17 participants
⌛ 4-week treatment / 12-week study</t>
  </si>
  <si>
    <t>LED phototherapy
NIR-blue light 🔴🔵</t>
  </si>
  <si>
    <t>415
+
830</t>
  </si>
  <si>
    <t>0.040
+
0.055</t>
  </si>
  <si>
    <t>48
+
66</t>
  </si>
  <si>
    <t>"The combination therapy for acne produced results which were less effective in the reduction of inflammatory lesions than those achieved with the previously reported blue/red combination. Further study with a much larger patient population is warranted."
Comment: Why combination instead of only red? Because there is also some data for using blue light for acne ( https://www.ncbi.nlm.nih.gov/pubmed/22091799 ).</t>
  </si>
  <si>
    <t>Hörfelt</t>
  </si>
  <si>
    <t>Sweden
(Göteborg)</t>
  </si>
  <si>
    <t>Acta Derm Venereol</t>
  </si>
  <si>
    <t>Single low-dose red light is as efficacious as methyl-aminolevulinate--photodynamic therapy for treatment of acne: clinical assessment and fluorescence monitoring.</t>
  </si>
  <si>
    <t>🧑 Human
⚔ Comparison study
👥 23 participants
⌛ single treatment -&gt; 20-week follow-up</t>
  </si>
  <si>
    <t>0.063</t>
  </si>
  <si>
    <t>Red light ("control") was as beneficial as photodynamic therapy. There was no real control group receiving no treatment.
"Seaton et al. (26), suggest that light treatment increases the production of transforming growth factor (TGF-ß). which promotes resolution of inflammation. Thus the improvement on the cheek treated with light only could be explained by anti-inflammatory properties by influencing cytokine release from macrophages or other cells (27, 28)."</t>
  </si>
  <si>
    <t>Device: "Aktilite CL 128 lamp (Photocure, Oslo, Norway)"</t>
  </si>
  <si>
    <t>Laser and other light therapies for the treatment of acne vulgaris: systematic review.</t>
  </si>
  <si>
    <t>Overall, the results from trials of light alone were disappointing, but the trials of blue light, blue-red light and infrared radiation were more successful, particularly those using multiple treatments. Red-blue light was more effective than topical 5% benzoyl peroxide cream in the short term.</t>
  </si>
  <si>
    <t>Zane</t>
  </si>
  <si>
    <t>Italy
(Brescia)</t>
  </si>
  <si>
    <t>Non-invasive diagnostic evaluation of phototherapeutic effects of red light phototherapy of acne vulgaris.</t>
  </si>
  <si>
    <t>🧑 Human
📄 Single-arm trial
👥 15 participants
⌛ 4-week treatment / 3-month study</t>
  </si>
  <si>
    <t>600-
750</t>
  </si>
  <si>
    <t>"A significant improvement of acne lesions and a significant decrease of skin sebum excretion and TEWL of the face were registered at the end of the therapy and at the 3-month follow-up visit. The results could be related to a reduced follicular colonization of Propionibacterium acnes, in that it was lethally damaged by photoactivated endogenous porphyrins."</t>
  </si>
  <si>
    <t>Ammad</t>
  </si>
  <si>
    <t>UK
(Cardiff)</t>
  </si>
  <si>
    <t>An assessment of the efficacy of blue light phototherapy in the treatment of acne vulgaris</t>
  </si>
  <si>
    <t>🧑 Human
📄 Single-arm trial
👥 21 participants
⌛ 4 weeks</t>
  </si>
  <si>
    <t>70-
90
(???)</t>
  </si>
  <si>
    <t>"Significant improvement was achieved in the Leeds Acne Grade (P = 0.001). The inflammatory (P = 0.001) and noninflammatory (P = 0.06) lesion counts also improved significantly. A similar change was noted in the DLQI (P = 0.001); a degree of significance was also achieved in the patients' and the investigators' VAS scores (P = 0.01 and P = 0.001, respectively). P. acnes colony counts failed to show a significant decrease at the end of the treatment and remained almost constant (P = 0.660)."</t>
  </si>
  <si>
    <t>Sadick NS</t>
  </si>
  <si>
    <t>J Drugs Dermatol</t>
  </si>
  <si>
    <t>Handheld LED array device in the treatment of acne vulgaris.</t>
  </si>
  <si>
    <t>🧑 Human
📄 Single-arm trial
👥 21 participants
⌛ 4-week treatment / 12-week study</t>
  </si>
  <si>
    <t>415
+
633</t>
  </si>
  <si>
    <t>8,
alternating
color</t>
  </si>
  <si>
    <t>"Lesion counts progressively reduced throughout the 4-week light therapy period and continued to reduce up to 8 weeks posttherapy, with a final average reduction of 69% seen 8 weeks after the treatment course (P&gt;.001). This pattern is similar to previously reported studies."</t>
  </si>
  <si>
    <t>Orringer</t>
  </si>
  <si>
    <t>J Am Acad Dermatol</t>
  </si>
  <si>
    <t>A randomized, controlled, split-face clinical trial of 1320-nm Nd:YAG laser therapy in the treatment of acne vulgaris.</t>
  </si>
  <si>
    <t>🧑 Human
🎲 Randomized trial, split-face
👥 46 participants
⌛ 7-week treatment / 14-week study</t>
  </si>
  <si>
    <t>3
at
3-week
intervals</t>
  </si>
  <si>
    <t>"Infrared laser therapy may improve comedonal acne. Additional work is needed to better define the degree and duration of the effect. Patients appear to positively view such therapy for both acne and oily skin"
Comment: I am unsure whether this type of laser treatment should be categorized as photobiomodulation. Not necessarily.</t>
  </si>
  <si>
    <t>Na &amp; Suh</t>
  </si>
  <si>
    <t>Red light phototherapy alone is effective for acne vulgaris: randomized, single-blinded clinical trial.</t>
  </si>
  <si>
    <t>🧑 Human
🎲 Randomized trial, split-face
👥 28 participants
⌛ 8 weeks</t>
  </si>
  <si>
    <t xml:space="preserve">635-
670
</t>
  </si>
  <si>
    <t>5.4
(?)</t>
  </si>
  <si>
    <t>0.185
(?)</t>
  </si>
  <si>
    <t>112
(2/day for 8 weeks)</t>
  </si>
  <si>
    <t>"This study shows that red light phototherapy alone can be a new therapeutic option for acne vulgaris."
Comment: The parameters were poorly reported.</t>
  </si>
  <si>
    <t>Device: Softlaser SL30, Beurer GmbH &amp; Co.</t>
  </si>
  <si>
    <t>Blue and red light combination LED phototherapy for acne vulgaris in patients with skin phototype IV.</t>
  </si>
  <si>
    <t>🧑 Human
📄 Single-arm trial
👥 27 participants
⌛ 4-week treatment -&gt; 8-week follow-up</t>
  </si>
  <si>
    <t>415+
633</t>
  </si>
  <si>
    <t>0.040
0.080</t>
  </si>
  <si>
    <t>48
96</t>
  </si>
  <si>
    <t>8
/ 4 weeks
alternating
color</t>
  </si>
  <si>
    <t>"Blue and red light combination LED phototherapy is an effective, safe and non-painful treatment for mild to moderately severe acne vulgaris, particularly for papulopustular acne lesions."</t>
  </si>
  <si>
    <t>Goldberg &amp; Russell</t>
  </si>
  <si>
    <t>Combination blue (415 nm) and red (633 nm) LED phototherapy in the treatment of mild to severe acne vulgaris.</t>
  </si>
  <si>
    <t>🧑 Human
📄 Single-arm trial
👥 24 participants
⌛ 4-week treatment -&gt; 8-week follow-up</t>
  </si>
  <si>
    <t>8
/ 4 weeks
alternating color</t>
  </si>
  <si>
    <t>"At the 4-week follow-up, the mean lesion count reduction was significant at 46% (p=0.001). At the 12-week follow-up, the mean lesion count reduction was also significant at 81% (p=0.001). Patient and dermatologist assessments were similar. Severe acne showed a marginally better response than mild acne. Side effects were minimal and transitory."</t>
  </si>
  <si>
    <t>Tremblay</t>
  </si>
  <si>
    <t>Light‐emitting diode 415 nm in the treatment of inflammatory acne: An open‐label, multicentric, pilot investigation</t>
  </si>
  <si>
    <t>🧑 Human
📄 Single-arm trial
👥 45 participants
⌛ 4-8 week treatment / 8-week study</t>
  </si>
  <si>
    <t>48</t>
  </si>
  <si>
    <t>2 per week
for 4-8 weeks</t>
  </si>
  <si>
    <t>"The mean improvement score was 3.14 at 4 weeks and 2.90 at 8 weeks. Nine patients experienced complete clearing at 8 weeks. The treatment was well tolerated, with 50% of patients highly satisfied with the treatment."</t>
  </si>
  <si>
    <t>Morton</t>
  </si>
  <si>
    <t>UK
(Falkirk)</t>
  </si>
  <si>
    <t>J Dermatolog Treat</t>
  </si>
  <si>
    <t>An open study to determine the efficacy of blue light in the treatment of mild to moderate acne</t>
  </si>
  <si>
    <t>🧑 Human
📄 Single-arm trial
👥 30 participants
⌛ 4-week treatment / 12-week study</t>
  </si>
  <si>
    <t>409-
419</t>
  </si>
  <si>
    <t>"An overall effect on inflammatory counts was observed at week 5, and a statistically significant decrease in inflamed counts was detected at the week 8 assessments, which continued to week 12. There was little effect on non-inflamed lesions."</t>
  </si>
  <si>
    <t>Charakida</t>
  </si>
  <si>
    <t>Am J Clin Dermatol</t>
  </si>
  <si>
    <t>Phototherapy in the treatment of acne vulgaris: what is its role?</t>
  </si>
  <si>
    <t>"Red light is less effective at photoactivating porphyrins, but penetrates more deeply into tissue. In addition, red light may also have anti-inflammatory properties by influencing cytokine release from macrophages or other cells.[36] Biostimulation with low-level laser energy is a complex subject of ongoing investigation. In wound healing, low-energy laser radiation has been found to have a stimulatory effect on cells, whereas high-energy radiation had an inhibitory effect.[37] "
"Recently, Papageorgiou et al.[43] performed a randomized, controlled, single-blind study comparing mixed blue and red light (415nm and 660nm, respectively) phototherapy with blue (415nm) or white light phototherapy or 5% benzoyl peroxide in 140 patients with mild-to-moderate acne (...) With the use of the combined blue-red light radiation, a final improvement of 76% in inflammatory lesions was noted, which was significantly superior to those achieved by blue light or benzoyl peroxide. The final mean improvement in comedones was 58%. Again, the combined blue-red light phototherapy did better than the other treatments used but the difference did not reach significant levels."
"Further studies are needed to clarify the role of phototherapy as a monotherapy or an adjuvant treatment in the current management of acne vulgaris."</t>
  </si>
  <si>
    <t>Pollock</t>
  </si>
  <si>
    <t>UK
(Leeds)</t>
  </si>
  <si>
    <t>Topical aminolaevulinic acid-photodynamic therapy for the treatment of acne vulgaris: a study of clinical efficacy and mechanism of action</t>
  </si>
  <si>
    <t>🧑 Human
🎲 Randomized trial, self-controlled
👥 10 participants, 40 sites
⌛ 3-week treatment -&gt; 3-week follow-up</t>
  </si>
  <si>
    <t>3
/ 3 weeks</t>
  </si>
  <si>
    <t>"There was a statistically significant reduction in inflammatory acne lesion counts from baseline after the second treatment at the ALA-PDT site but not at any of the other sites."
Comment: Red light alone was not better than untreated control for acne lesion counts.</t>
  </si>
  <si>
    <t>Tzung</t>
  </si>
  <si>
    <t>Blue light phototherapy in the treatment of acne</t>
  </si>
  <si>
    <t>🧑 Human
🎲 Randomized trial, self-controlled
👥 31 participants
⌛ 4-week treatment / 8-week study</t>
  </si>
  <si>
    <t>8
/ 4 weeks</t>
  </si>
  <si>
    <t>"Compared with the non-irradiation side, eight sessions of blue light irradiation were effective in acne treatment (P&lt;0.001)."
Comment: According to Fig 1, improvement was approximately 50% on blue light side and 10% on non-irradiated side. It seems acne severity was accessed by the investigator.</t>
  </si>
  <si>
    <t>Kawada</t>
  </si>
  <si>
    <t>J Dermatol Sci</t>
  </si>
  <si>
    <t>Acne phototherapy with a high-intensity, enhanced, narrow-band, blue light source: an open study and in vitro investigation</t>
  </si>
  <si>
    <t>🧑 Human
📄 Single-arm trial
👥 30 participants
⌛ 5 weeks
+ 🧪 In vitro</t>
  </si>
  <si>
    <t>400-
800
peak
at
407-
420</t>
  </si>
  <si>
    <t>10
/ 5 weeks</t>
  </si>
  <si>
    <t>"Sun exposure is known to be beneficial for acne vulgaris [1]. Ultraviolet (UV) light [2], [3], [4], [5], visible light [6], [7], and the combination of UVA plus visible light [8], [9], [10] have been reported to be effective for acne vulgaris."
"An open study was performed in acne patients who were treated twice a week up to 5 weeks. Acne lesions were reduced by 64%."
"In vitro investigation revealed that irradiation from this light source reduced the number of Propionibacterium acnes (P. acnes), but not Staphylococcus epidermidis that were isolated from the acne patients."
Comment: As far as I understood, they are using 400-800 nm polychromatic light with the blue peak (407-420nm).</t>
  </si>
  <si>
    <t>Regarding the possible mechanism: "Propionibacterium acnes (P. acnes) produces porphyrins [11], [12], [13], [14], [15] of which absorption spectra is in the near UV and blue light spectrum. The main porphyrin produced by P. acnes is coproporphyrin III of which absorption spectrum peak is at 415 nm [12], [13]. Blue light, therefore, is a theoretically effective phototherapy since exposure to blue visible light induces photoexcitation of bacterial porphyrins, singlet oxygen production, and subsequent bacterial destruction [16]."</t>
  </si>
  <si>
    <t>Papageorgiou</t>
  </si>
  <si>
    <t>Phototherapy with blue (415 nm) and red (660 nm) light in the treatment of acne vulgaris.</t>
  </si>
  <si>
    <t>🧑 Human
🎲 Randomized trial
👥 107 participants
⌛ 12 weeks</t>
  </si>
  <si>
    <t>PBM vs benzoyl peroxide
Wavelength comparison 
Blue light 🔵
Red-blue light 🔴🔵
White light ⚪</t>
  </si>
  <si>
    <t>415
415+
660
white</t>
  </si>
  <si>
    <t>0.0042
0.0042+
0.0026</t>
  </si>
  <si>
    <t>daily
for
12
weeks</t>
  </si>
  <si>
    <t>"After 12 weeks of active treatment a mean improvement of 76% (95% confidence interval 66-87) in inflammatory lesions was achieved by the combined blue-red light phototherapy; this was significantly superior to that achieved by blue light (at weeks 4 and 8 but not week 12), benzoyl peroxide (at weeks 8 and 12) or white light (at each assessment)."</t>
  </si>
  <si>
    <t>Acneiform</t>
  </si>
  <si>
    <t>Mahendran</t>
  </si>
  <si>
    <t>Treatment of erlotinib‐induced acneiform eruption with chromophore gel‐assisted phototherapy</t>
  </si>
  <si>
    <t>🧑 Human
📄 Case report
⌛ 6+ weeks</t>
  </si>
  <si>
    <t>447
(LED)
510-
610
(?)
(gel)</t>
  </si>
  <si>
    <t>"Within three weeks of treatment, the acneiform eruption was arrested and topical treatment was withdrawn one week after."
"The severity of her acneiform eruption decreased from an Investigator's Global Assessment (IGA) of 5 to 0. Scoring of the patient‐reported outcomes of the Acne Quality of Life Index decreased from 78 to 23 and increased on the Acne‐specific Quality of Life Questionnaire (Acne‐QOL) from 49 to 109 demonstrating marked improvement in quality of life."</t>
  </si>
  <si>
    <t>Product: Kleresca®</t>
  </si>
  <si>
    <t>Acrodermatitis continua</t>
  </si>
  <si>
    <t>J Korean Med Sci</t>
  </si>
  <si>
    <t>Low level light could work on skin inflammatory disease: a case report on refractory acrodermatitis continua.</t>
  </si>
  <si>
    <t>🧑 Human
📄 Case report
⌛ 10+ months</t>
  </si>
  <si>
    <t>"We experienced a case of acrodermatitis continua in a pregnant woman refractory to any conventional treatment including the most potent topical steroid. She was successfully treated with LPPL. LPPL could be a possible treatment modality producing substantial clinical result in inflammatory skin condition without any side-effect."</t>
  </si>
  <si>
    <t>Atopic dermatitis</t>
  </si>
  <si>
    <t>Buhl</t>
  </si>
  <si>
    <t>Germany
(Göttingen)</t>
  </si>
  <si>
    <t>J Dtsch Dermatol Ges</t>
  </si>
  <si>
    <t>Full-body blue light irradiation as treatment for atopic dermatitis: a randomized sham-controlled clinical trial (AD-Blue)</t>
  </si>
  <si>
    <t>🧑 Human
🎲 Randomized trial
👥 87 participants
⌛ 8-week treatment -&gt; 4-week follow-up</t>
  </si>
  <si>
    <t>415
450</t>
  </si>
  <si>
    <t>0.040
0.040</t>
  </si>
  <si>
    <t>36
36</t>
  </si>
  <si>
    <t>24
/ 8 we eks</t>
  </si>
  <si>
    <t>"Despite its favorable safety profile and moderate reductions in itch and IL-31 levels, full-body blue light irradiation did not lead to an amelioration of any of the objective measures of AD."</t>
  </si>
  <si>
    <t>Exp Ther Med</t>
  </si>
  <si>
    <t>Effect of low-level laser intervention on dermatitis symptoms and cytokine changes in DNCB-induced atopy mouse model: A randomized controlled trial</t>
  </si>
  <si>
    <t>2
4
6
8</t>
  </si>
  <si>
    <t>14
/2wk</t>
  </si>
  <si>
    <t>"The results demonstrated that serum IgE level in all irradiated groups was significantly decreased compared with that of the AD control group, and IL-4 level was significantly decreased in all irradiated groups apart from the 8 J/cm2 LLL irradiated group. IL-6 and TNF-α levels were also significantly decreased in all irradiated groups. The results from histological analysis revealed diminished epidermal thickness and mast cell counts in irradiated mice compared with those mice in the AD control group.
In summary, these findings suggested that LLL irradiation may alleviate symptoms of AD and may be useful for restoring cytokines levels and tissues features to normal levels."</t>
  </si>
  <si>
    <t>Jekal</t>
  </si>
  <si>
    <t>Korean J Clin Lab Sci</t>
  </si>
  <si>
    <t>The Combined Effects of Curcumin Administration and 630 nm LED Phototherapy against DNCB-induced Atopic Dermatitis-like Skin Lesions in BALB/c Mice</t>
  </si>
  <si>
    <t>LED phototherapy
PBM vs curcumin</t>
  </si>
  <si>
    <t>"These results suggest that the combined therapy of curcumin and LED is more effective than a single treatment. We recommend that this can be a feasible alternative therapy to manage AD."</t>
  </si>
  <si>
    <t>Therapeutic Effects of a Light Emitting Diode at a Variety of Wavelengths on Atopic Dermatitis-Like Skin Lesions in NC/Nga Mice.</t>
  </si>
  <si>
    <t>LED phototherapy
Wavelength comparison
Blue light 🔵</t>
  </si>
  <si>
    <t>415
525
660
830</t>
  </si>
  <si>
    <t>"In conclusion, our study demonstrates that LED phototherapy with longer wavelengths can improve AD-like skin lesions in NC/Nga mice, probably through regulation of both Th1 and Th2 responses. Thus, LED phototherapy with red and NIR wavelengths could be a potential phototherapeutic modality for AD management."</t>
  </si>
  <si>
    <t>Korea
(Goyang)</t>
  </si>
  <si>
    <t>Effects of low-dose light-emitting-diode therapy in combination with water bath for atopic dermatitis in NC/Nga mice.</t>
  </si>
  <si>
    <t>LED phototherapy
Dermatophagoides farina (Df)-induced dermatitis in NC/Nga mice
Dose response (!)</t>
  </si>
  <si>
    <t>10
15
20
40
80</t>
  </si>
  <si>
    <t>"Combined therapy with low-dose LED therapy and water bath therapy significantly ameliorated the development of AD-like skin lesions. These effects were correlated with the suppression of total IgE, NO, histamine, and Th2-mediated immune responses. Furthermore, combination therapy significantly reduced the infiltration of inflammatory cells and the induction of thymic stromal lymphopoietin (TSLP) in the skin lesions."
"We have shown here that single-modality treatment of high-dose 850 nm LED (40 and 80 J/cm2) to NC/Nga inhibited the development of AD-like skin symptoms, but little effects in NC/Nga mice treated with low-dose 850 nm LED (10 and 20 J/cm2). To further investigate the beneficial effects of low-dose 850 nm LED, low-dose 850 nm LED was performed combination therapy with water bath. We found that this combination therapy has a therapeutic effect on Df-induced AD-like skin lesions in NC/Nga mice"
Comment: In this study, the dose response seemed very clear. The higher dose used, the better effect.</t>
  </si>
  <si>
    <t>Stich</t>
  </si>
  <si>
    <t>USA
(Tustin, CA)</t>
  </si>
  <si>
    <t>Vet Dermatol</t>
  </si>
  <si>
    <t>Clinical efficacy of low-level laser therapy on localized canine atopic dermatitis severity score and localized pruritic visual analog score in pedal pruritus due to canine atopic dermatitis.</t>
  </si>
  <si>
    <t>Pedal pruritus</t>
  </si>
  <si>
    <t>"Low-level laser therapy is not an effective localized treatment for pedal pruritus in canine atopic dermatitis."
Comment: Dogs served as their own controls. If there is a beneficial effect via systemic mechanisms, then the methodology will conceal it.</t>
  </si>
  <si>
    <t>850nm light-emitting-diode phototherapy plus low-dose tacrolimus (FK-506) as combination therapy in the treatment of Dermatophagoides farinae-induced atopic dermatitis-like skin lesions in NC/Nga mice.</t>
  </si>
  <si>
    <t>LED phototherapy
PBM vs tacrolimus (FK-506)</t>
  </si>
  <si>
    <t>"The use of combination of LED phototherapy and low-dose immunosuppressant improved Df-induced AD-like skin lesions in an NC/Nga mouse model by dominantly reducing IgE, NO, suppressing Th2-mediated immune responses, and inhibiting inflammatory cells, as well as improving skin barrier function."</t>
  </si>
  <si>
    <t>Low-energy visible light irradiation modulates immune responses induced by epicutaneous sensitization with protein antigen.</t>
  </si>
  <si>
    <t>5 ?</t>
  </si>
  <si>
    <t>"Epicutaneous sensitization has been an important route for protein allergen sensitization in atopic disease. Although the skin is irradiated by sunlight daily, the influence of visible light on epicutaneous sensitization has not been explored. In this study, by using a well-established murine protein-patch model, we show that low-energy visible light (LEVL) irradiation could differentially modulate the predominant Th2 immune response induced by epicutaneous sensitization with protein antigen. 
When the induced Th2 response was strong, as usually observed in BALB/c mice, LEVL irradiation suppressed the response. In contrast, LEVL irradiation enhanced the weaker Th2 response in C57BL/6 mice. Increased IL-18 and decreased TGF-beta expression in draining lymph nodes after LEVL irradiation was observed in BALB/c mice, but not in C57BL/6 mice. LEVL irradiation also enhanced IL-18 expression in skin and reduced the downregulation of CD24 expression on epidermal Langerhans cells in draining lymph nodes of BALB/c mice. 
Collectively, these results provide evidence for immunomodulatory effects of LEVL irradiation and will help us develop a useful strategy for prevention of allergen sensitization."</t>
  </si>
  <si>
    <t>Morita</t>
  </si>
  <si>
    <t>Japan
(Hyogo)</t>
  </si>
  <si>
    <t>Clinical Application Of Gaalas 830 Nm Diode Laser For Atopic Dermatitis</t>
  </si>
  <si>
    <t>🧑 Human
📄 Retrospective study
👥 81 subjects
⌛ 13 months (Nov 1991 - Dec 1992)</t>
  </si>
  <si>
    <t xml:space="preserve">100
cm2
of
skin
</t>
  </si>
  <si>
    <t>once
a
week</t>
  </si>
  <si>
    <t>"(1) Itchy sensation decreased in 63 of 81 cases (79%) after this therapy. 
(2) Skin eruption improved in 57 of 81 cases (71%). 
(3) There were no side-effects during and after LLLT. 
(4) Major histocompatibility complex (MHC) class II antigen and inter-cellular adhesion molecule (ICAM)-1 expression on epidermal cells decreased after the therapy. 
(5) The number of CDI positive epidermal dendritic cells did not significantly change before and after LLLT."
Comment: The number of sessions per patient not mentioned in the full text?</t>
  </si>
  <si>
    <t>Brightness</t>
  </si>
  <si>
    <t>Lightening Effect of a Light-Emitting Diode Mask on Facial Skin: A Colorimetric Assessment</t>
  </si>
  <si>
    <t>🧑 Human
📄 Case report
⌛ 3 weeks</t>
  </si>
  <si>
    <t>650-
840</t>
  </si>
  <si>
    <t>daily
for
3 weeks</t>
  </si>
  <si>
    <t>"On average, pre-treatment calculated L* values increased from 67.8 to 68.7 after LED mask irradiation (Table 1). No remarkable changes in color hue were visible after LED mask use (Fig. 1)."</t>
  </si>
  <si>
    <t>Cell protection</t>
  </si>
  <si>
    <t>Mamalis</t>
  </si>
  <si>
    <t>USA
(Sacramento, CA)</t>
  </si>
  <si>
    <t>High fluence light emitting diode-generated red light modulates characteristics associated with skin fibrosis.</t>
  </si>
  <si>
    <t>Skin fibrosis
LED phototherapy</t>
  </si>
  <si>
    <t>0.087</t>
  </si>
  <si>
    <t xml:space="preserve">"We demonstrate that HF-LED-RL is capable of inhibiting the unifying cellular processes involved in skin fibrosis including proliferation, migration, and collagen production in vitro. These findings suggest that HF-LED-RL may represent a paradigm shifting approach to altering HDF function for treatment of skin fibrosis."
</t>
  </si>
  <si>
    <t>Kimeswenger</t>
  </si>
  <si>
    <t>Austria
(Vienna) &amp; Germany</t>
  </si>
  <si>
    <t>Exp Dermatol</t>
  </si>
  <si>
    <t>Infrared A radiation promotes survival of human melanocytes carrying ultraviolet radiation-induced DNA damage.</t>
  </si>
  <si>
    <t>760-
1440</t>
  </si>
  <si>
    <t>"In conclusion, IR enhances the survival of melanocytes carrying UVR-induced DNA damage and thereby might contribute to melanomagenesis."
Note: A ocmment to this paper was published by Skobowiat &amp; Slominski (2016)</t>
  </si>
  <si>
    <t>Chabert</t>
  </si>
  <si>
    <t>France
(Sophia Antipolis)</t>
  </si>
  <si>
    <t>Evaluation of light-emitting diodes (LED) effect on skin biology (in vitro study).</t>
  </si>
  <si>
    <t>Fibroblasts
Keratinocytes
LED phototherapy</t>
  </si>
  <si>
    <t>590
+
630</t>
  </si>
  <si>
    <t>"Combined, the LED wavelengths could improve in vitro the cell shape, the cell proliferation, and the level of major proteins involved in the healing process."</t>
  </si>
  <si>
    <t>Antiphotoaging effects of light-emitting diode irradiation on narrow-band ultraviolet B-exposed cultured human skin cells.</t>
  </si>
  <si>
    <t>Wavelength combination
Biphasic dose response
LED phototherapy
Wavelength comparison</t>
  </si>
  <si>
    <t>630
660
830
850</t>
  </si>
  <si>
    <t>1
2
5
10
20</t>
  </si>
  <si>
    <t>"The combination of 630/850- or 660/830-nm irradiation led to better direct and indirect antiphotoaging outcomes than single LED wavelengths in NB-UVB-irradiated cultured normal human skin cells."</t>
  </si>
  <si>
    <t>Menezes</t>
  </si>
  <si>
    <t>Non-coherent near infrared radiation protects normal human dermal fibroblasts from solar ultraviolet toxicity.</t>
  </si>
  <si>
    <t>Non-coherent</t>
  </si>
  <si>
    <t>"Living organisms on the Earth's surface are bathed by infrared radiation every day, before being submitted to solar UV. Thus, we propose that this as yet undescribed natural process of cell protection against solar UV, acquired and preserved through evolutional selection, plays an important role in life maintenance. Understanding and controlling this mechanism could provide important keys to the prevention of solar UV damage of human skin."</t>
  </si>
  <si>
    <t>Contact dermatitis</t>
  </si>
  <si>
    <t>Sakihama H</t>
  </si>
  <si>
    <t>Japan
(Kurume)</t>
  </si>
  <si>
    <t>Kurume Med J</t>
  </si>
  <si>
    <t>Effect of a helium-neon laser on cutaneous inflammation.</t>
  </si>
  <si>
    <t>Allergic contact dermatitis
Irritated contact dermatitis</t>
  </si>
  <si>
    <t>12.2</t>
  </si>
  <si>
    <t>"Twenty-four hours after the challenge, the swelling of the ear was measured with a dial thickness gauge, and the anti-inflammatory effect of He-Ne laser irradiation was expressed as an ear thickness ratio (ETR).
Although the laser did not decelerate the ETR from ICD, the allergic response was decelerated. Irradiation at 5 min after the challenge of contact dermatitis increased the thickness ratio.
Next, the influence of the He-Ne laser on histamine release from Wistar-rat peritoneal mast cells was observed. The spontaneous histamine release was inhibited by laser irradiation, while substance P and compound 48/80-induced histamine release were not inhibited.
From these results, it can be suggested that He-Ne laser irradiation has an anti-inflammatory effect on cutaneous inflammation."</t>
  </si>
  <si>
    <t>Cytokines</t>
  </si>
  <si>
    <t>Prindeze</t>
  </si>
  <si>
    <t>USA
(Washington, D.C.)</t>
  </si>
  <si>
    <t>Photobiomodulation Elicits a Differential Cytokine Response in a Cultured Analogue of Human Skin.</t>
  </si>
  <si>
    <t>0.0015
0.0030</t>
  </si>
  <si>
    <t>"Photobiomodulation with 660-nm wavelength light induced transcription of IL-1β and IL-6 mRNA and decreased that of IL-8. Tissue protein content of IL-6 and IL-8 was unchanged, whereas supernatant protein content of IL-8 was significantly increased (P = .023) by 1.5 mW/cm2 treatment. To describe the localization of cytokines between tissue and supernatant, the relative diffusion of each was calculated and found to be 15-fold higher for IL-6 than for IL-8 despite an overall higher concentration of IL-8 in the tissue."
"In this study, photobiomodulation elicited mRNA and protein changes quantifiable in both the tissue and supernatant."</t>
  </si>
  <si>
    <t>Corticosteroid addiction dermatitis</t>
  </si>
  <si>
    <t>Luan</t>
  </si>
  <si>
    <t>Effects of low-level light therapy on facial corticosteroid addiction dermatitis: A retrospective analysis of 170 Asian patients</t>
  </si>
  <si>
    <t>🧑 Human
📄 Retrospective study
👥 170 subjects
⌛ 1-2 week treatment (approx) / 6-month follow-up</t>
  </si>
  <si>
    <t>LED phototherapy
Dose response (more sessions associated with higher rate of effectiveness)</t>
  </si>
  <si>
    <t>1-6 or more</t>
  </si>
  <si>
    <t>"Of the total, 85.9% felt clinical relief to different extents, including a decrease in lesional area and improvement of symptoms [Figure 1]. No adverse events were observed. The results of histopathologic examination showed healing of the epidermis and obvious relief in inflammation of dermis after low-level light therapy [Figure 2]. The clinical efficacy was similar at different locations [Table 1]. Therapeutic efficacy was best for acute lesions, followed by subacute lesions, whereas chronic lesions had the least benefit [Table 2]."
Comment: The benefit for acute lesions could be due to 'regression to the mean', not necessarily related to the treatment?</t>
  </si>
  <si>
    <t>Cutaneous immune function</t>
  </si>
  <si>
    <t>Leong</t>
  </si>
  <si>
    <t>Physiological Doses of Red Light Induce IL-4 Release in Cocultures between Human Keratinocytes and Immune Cells.</t>
  </si>
  <si>
    <t>Keratinocytes + macrophage/dendritic cells</t>
  </si>
  <si>
    <t>(380)
(505)
627</t>
  </si>
  <si>
    <t>1/3/5</t>
  </si>
  <si>
    <t>"This supports the application of isolated red light as a possible alternative for photo-immunotherapy without need for additional photosensitizers."</t>
  </si>
  <si>
    <t>Takezaki</t>
  </si>
  <si>
    <t>J Nippon Med Sch</t>
  </si>
  <si>
    <t>Light-emitting diode phototherapy at 630 +/- 3 nm increases local levels of skin-homing T-cells in human subjects.</t>
  </si>
  <si>
    <t>🧑 Human
📄 Single-arm study
👥 6 participants
⌛ 8 weeks</t>
  </si>
  <si>
    <t>0.105
(?)</t>
  </si>
  <si>
    <t>94</t>
  </si>
  <si>
    <t>"Transmission electron microscopy revealed mild fibroplastic changes in fibroblasts, with no acute inflammatory changes throughout the treatment session. Qualitative PCR showed the presence of both Th-1 and Th-2 T-cells, and quantitative PCR showed an increase in the numbers of both types of skin-homing T-cells, much more so for Th-2 than for Th-1."
"Visible red LED irradiation appears to activate the skin-homing immune system."</t>
  </si>
  <si>
    <t>Danno &amp; Sugie</t>
  </si>
  <si>
    <t>Japan
(Shiga)</t>
  </si>
  <si>
    <t>Effects of near-infrared radiation on the epidermal proliferation and cutaneous immune function in mice.</t>
  </si>
  <si>
    <t>700-
1300</t>
  </si>
  <si>
    <t>"While ultraviolet radiation alters various cutaneous cell functions, little is known about the photobiological effects of infrared radiation (IR) on the skin except its local thermal effect. This study demonstrated that single exposure of mouse skin to near IR (0.7-1.3 microns) reversibly suppressed the proliferating activity of the epidermis, the density of Langerhans cells, and the ability of skin to induce contact hypersensitivity reaction. During the exposure, the ear surface temperature was elevated from a mean of 27 to 31.2 degrees C. The results suggest that near IR can modulate the epidermal proliferation and part of the skin immune system, with a mild thermal effect."</t>
  </si>
  <si>
    <t>Dermal abrasion</t>
  </si>
  <si>
    <t>Gilewski</t>
  </si>
  <si>
    <t>USA
(Mystic, CT)</t>
  </si>
  <si>
    <t>Zoo Biol</t>
  </si>
  <si>
    <t>Effect of photobiomodulation therapy as a multimodal approach to treatment of dermal abrasions in cownose rays (Rhinoptera bonasus)</t>
  </si>
  <si>
    <t>Cownose ray</t>
  </si>
  <si>
    <t>"Observational analysis revealed a lack of appreciable difference in healing time between the treatment and control groups in the aforementioned settings; however, it is recommended that PBMT protocols should be re-evaluated if there is little to no response in healing after three to four sessions."</t>
  </si>
  <si>
    <t>Gupta</t>
  </si>
  <si>
    <t>Effect of red and near-infrared wavelengths on low-level laser (light) therapy-induced healing of partial-thickness dermal abrasion in mice.</t>
  </si>
  <si>
    <t>635
730
810
980</t>
  </si>
  <si>
    <t>22.5
22.5
22.5
22.5</t>
  </si>
  <si>
    <t>0.01
0.01
0.01
0.01</t>
  </si>
  <si>
    <t>9
9
9
9</t>
  </si>
  <si>
    <t>4
4
4
4</t>
  </si>
  <si>
    <t>2.25
cm2</t>
  </si>
  <si>
    <t>396
396
396
396</t>
  </si>
  <si>
    <t>7
7
7
7</t>
  </si>
  <si>
    <t>"Wavelengths of 635 and 810 nm were found to be effective in promoting the healing of dermal abrasions. However, treatment using 730- and 980-nm wavelengths showed no sign of stimulated healing.
Healing was maximally augmented in mice treated with an 810-nm wavelength, as evidenced by significant wound area reduction (p &lt; 0.05), enhanced collagen accumulation, and complete re-epithelialization as compared to other wavelengths and non-illuminated controls."
"The effectiveness of 810-nm wavelength agrees with previous publications and, together with the partial effectiveness of 635 nm and the ineffectiveness of 730 and 980 nm wavelengths, can be explained by the absorption spectrum of cytochrome c oxidase, the candidate mitochondrial chromophore in LLLT."</t>
  </si>
  <si>
    <t>Diabetic dermopathy</t>
  </si>
  <si>
    <t>Low-Level Laser Therapy for Diabetic Dermopathy in Patients With Type 2 Diabetes: A Placebo-Controlled Pilot Study</t>
  </si>
  <si>
    <t>🧑 Human
📄 Non-randomized study, split-body
👥 12 patients
⌛ 4-week treatment -&gt; 4-week follow-up</t>
  </si>
  <si>
    <t>2.5</t>
  </si>
  <si>
    <t>Acc. to skin
area
(120s/
1cm2)</t>
  </si>
  <si>
    <t>"At the baseline, no significant differences existed between LLLT and placebo sides in the DD and skin blood flow at the knee and ankle sites (P &gt;0.05). 
Post-intervention, a significant improvement occurred in DD diameter and the skin blood flow of the knee and ankle sites in the LLLT side (P &lt;0.05), while the placebo side showed a significant improvement only in DD diameter (P &lt;0.05) and non-significant changes in skin blood flow (P &gt;0.05). Comparing both sides, all measures significantly favored LLLT."</t>
  </si>
  <si>
    <t>Hazari</t>
  </si>
  <si>
    <t>Influence of low-level laser on pain and inflammation in type 2 diabetes mellitus with diabetic dermopathy - A case report.</t>
  </si>
  <si>
    <t>🧑 Human
📄 Case report
⌛ 21 days</t>
  </si>
  <si>
    <t>540
on
each
area
(?)</t>
  </si>
  <si>
    <t>daily
for
21
days
(?)</t>
  </si>
  <si>
    <t>"With the continued sessions of LLLT, the skin manifestations and neuropathy conditions improved drastically. On the 21st day, the skin colour was found to be normal. Also, there were significant changes in clinical findings for diabetic peripheral neuropathy. LLLT with specific exercises can promote healing of skin manifestations in individuals with type 2 diabetes mellitus. It can be used as an effective treatment modality for treating diabetic dermopathy."</t>
  </si>
  <si>
    <t>Epithelial keratinized layer</t>
  </si>
  <si>
    <t>Caccianiga</t>
  </si>
  <si>
    <t>J Biol Regul Homeost Agents</t>
  </si>
  <si>
    <t>Effects of laser biostimulation on the epithelial tissue for keratinized layer differentiation: an in vitro study.</t>
  </si>
  <si>
    <t>"Analyses showed an increase in keratin synthesis in test group cultures, showing a remarkable increase in production of keratin 8 in co-cultures test. Laser biostimulation can considerably enhance keratin synthesis when applied with high energy doses and repeated applications to keratinocytes-fibroblasts co-cultures."</t>
  </si>
  <si>
    <t>Erythema and other symptoms from other treatments</t>
  </si>
  <si>
    <t>Elawar</t>
  </si>
  <si>
    <t>Combined Photobiomodulation and Static Magnetic Fields to Reduce Side Effects from Laser and Radiofrequency Treatments for Dermatological Conditions</t>
  </si>
  <si>
    <t>🧑 Human
📄 Non-randomized study
👥 37 patients
⌛ single session or 1 week (?)</t>
  </si>
  <si>
    <t>PBM + static magnetic fields
LED phototherapy (+ 905nm laser)</t>
  </si>
  <si>
    <t>470+
528+
625+
850+
905</t>
  </si>
  <si>
    <t>1 or 2</t>
  </si>
  <si>
    <t xml:space="preserve">"After the PBMT-SMF protocol, overall mean pain reduction was 40 percent, and redness and edema reduction were shown by the pictures taken before and after the PBMT-SMF procedure."
</t>
  </si>
  <si>
    <t>Erythema from IPL</t>
  </si>
  <si>
    <t>Khoury &amp; Goldman</t>
  </si>
  <si>
    <t>Use of light-emitting diode photomodulation to reduce erythema and discomfort after intense pulsed light treatment of photodamage.</t>
  </si>
  <si>
    <t>🧑 Human
🎲 Randomized trial, split-face
👥 15 participants
⌛ 2 consecutive treatment days -&gt; 1-week follow-up</t>
  </si>
  <si>
    <t>2
/ 2 days</t>
  </si>
  <si>
    <t>"Mean erythema scores on the first visit were significantly higher (P = 0.0054) on the side not treated with LED (52.7 +/- 24.6) than on the LED-treated side (43.3 +/- 21.9). Visit 2 data showed a similar trend (P = 0.0281). The subjects reported similar findings with mean erythema scores on the first visit on the LED-treated side (46.7 +/- 25.3) compared with the untreated side (60.0 +/- 23.3); the difference was significant (P = 0.0382). 
On the second visit, the mean erythema scores trended lower on the LED-treated side (24.3 +/- 22.1) than on the untreated side (27.9 +/- 25.8), but the difference did not reach statistical significance (P = 0.1365). 
Erythema scores on both facial sides were 0 for all subjects 1 week after IPL treatment. Four patients commented that posttreatment discomfort was considerably less on the LED-treated side immediately after treatment."</t>
  </si>
  <si>
    <t>Device: Gentlewaves™, Light BioScience, LLC, Virginia Beach, VA</t>
  </si>
  <si>
    <t>Erythema from PDT</t>
  </si>
  <si>
    <t>Bay</t>
  </si>
  <si>
    <t>Denmark
(Copenhagen)</t>
  </si>
  <si>
    <t>Skin reactions after photodynamic therapy are unaffected by 839 nm photobiomodulation therapy: A randomized, double-blind, placebo-controlled, clinical trial.</t>
  </si>
  <si>
    <t>🧑 Human
🎲 Randomized trial, double-blind
👥 20 participants
⌛ 5-day treatment -&gt; 7-day follow-up</t>
  </si>
  <si>
    <t>839
+
595</t>
  </si>
  <si>
    <t>0.109</t>
  </si>
  <si>
    <t>65</t>
  </si>
  <si>
    <t>daily
for
5 days</t>
  </si>
  <si>
    <t>"Under the current study conditions, PDT-induced skin reactions were unaffected by PBM."
Comment: Both groups received 595nm (as "placebo"). I have to check the parameters to see whether the placebo group got a significant amount of yellow light that might have affected the results.
Comment: 632nm light was used for PDT</t>
  </si>
  <si>
    <t>Erythema multiforme</t>
  </si>
  <si>
    <t>Siqueira</t>
  </si>
  <si>
    <t>Natl J Maxillofac Surg</t>
  </si>
  <si>
    <t>Bullous erythema multiforme secondary to fluconazole intake: A unique case report managed with photobiomodulation therapy</t>
  </si>
  <si>
    <t>15
(15p)</t>
  </si>
  <si>
    <t>"A 32-year-old female patient sought emergency dental care due to painful orofacial lesions that had developed two days after oral fluconazole use for recurrent vulvovaginal candidiasis. Given the acute clinical features, a diagnosis of bullous erythema multiforme secondary to fluconazole was established. Prednisone 20 mg was then prescribed for five days, and fluconazole intake was immediately discontinued. As the initial treatment strategies failed to show improvement in the clinical condition, three PBMT sessions were proposed every other day. Within seven days, almost complete wound healing was observed, and any pain complaints were no longer present."</t>
  </si>
  <si>
    <t>Raffaele</t>
  </si>
  <si>
    <t>Phototherapies for erythema multiforme secondary to viral infections: a case report of a child</t>
  </si>
  <si>
    <t>🧑 Human
📄 Case report
⌛ 7 days</t>
  </si>
  <si>
    <t>aPDT + PBM</t>
  </si>
  <si>
    <t>1 PDT +
6 PBM</t>
  </si>
  <si>
    <t>"A combination of an aPDT session and six PBMT sessions was proposed and resulted in almost complete resolution of the lesion on the 7th day."</t>
  </si>
  <si>
    <t>Facial filler-related adverse reactions</t>
  </si>
  <si>
    <t>de Melo</t>
  </si>
  <si>
    <t>Brazil
(Brasilia)</t>
  </si>
  <si>
    <t>Photobiomodulation Therapy in the Management of Late Complications After Facial Filling</t>
  </si>
  <si>
    <t>2/point</t>
  </si>
  <si>
    <t>"The aim of the present study is to report a clinical case of a patient diagnosed with a late adverse reaction to the injection of filler material - persistent and intermittent delayed swelling (PIDS) - in which photobiomodulation therapy (PBMT) with low-power laser was used for edema reduction. 
This is an observational, descriptive, and retrospective work of a case report. The female patient, aged 73 years old, had undergone dermal filler six years before and complained of increased volume in the face region (glabellar region, labiomental sulcus, and nasolabial folds) and was submitted to ultrasound and anatomopathological analysis. PBMT using a low-power laser (660 nm and 808 nm, simultaneous irradiation, in contact, 2 J/point, 100 mW) proved to be effective for the non-invasive approach of late adverse reaction to dermal filler, such as PIDS, a common complication related to the use of dermal fillers."</t>
  </si>
  <si>
    <t>Paschoini</t>
  </si>
  <si>
    <t>Laser treatment for adverse reactions to injectable facial filling: a systematic review</t>
  </si>
  <si>
    <t>"In total, six studies were included, all classified as having a "moderate risk" of bias. A total of 533 patients underwent laser treatment for adverse reactions to injectable facial fillers. The diode laser was the most frequently utilized equipment, with positive results reported in five studies. Among all treated patients, 96.24% achieved partial or complete resolution, 0.22% experienced some sequelae or complications, and only 0.01% showed no improvement. Laser treatment can eliminate the necessity for surgical intervention for adverse reactions to injectable facial fillers, resulting in partial or complete improvement of the condition."</t>
  </si>
  <si>
    <t>Facial vascular lesions</t>
  </si>
  <si>
    <t>García &amp; Andrino</t>
  </si>
  <si>
    <t>Feasibility and Safety of Using Combined Light-Emitting Diodes Versus Intense Pulsed Light Technology for the Improvement of Facial Hypervascularization in Adult Patients</t>
  </si>
  <si>
    <t>🧑 Human
⚔ Comparison study
👥 20 participants
⌛ (?)</t>
  </si>
  <si>
    <t>PBM vs intense pulsed light (IPL)</t>
  </si>
  <si>
    <t>633+
830
(PBM)
530-
950
(IPL)</t>
  </si>
  <si>
    <t>"Treatment with combined red and near-infrared LEDs effectively reduced the excess of facial vascularization with moderate outcomes compared with IPL, but without secondary effects and no pain. This treatment could represent an effective, safe, and well-tolerated approach for facial vascular lesions."
Comment: PBM had modestly less effect but also less side effects.</t>
  </si>
  <si>
    <t>Proteomic Analysis Reveals Anti-Fibrotic Effects of Blue Light Photobiomodulation on Fibroblasts.</t>
  </si>
  <si>
    <t>4-8</t>
  </si>
  <si>
    <t>"Low-level blue light exerted suppressive effects on AMDFs, including suppression of mitochondrial activity, metabolism, cell motility, proliferation, TGFβ1 levels, and collagen I production. Low-level blue light can be a potential treatment for the prevention and reduction of tissue fibrosis, such as hypertrophic scar and keloids."</t>
  </si>
  <si>
    <t>MicroRNA expression analysis of human skin fibroblasts treated with high-fluence light-emitting diode-red light.</t>
  </si>
  <si>
    <t>320
640</t>
  </si>
  <si>
    <t>"Using RNA-seq analysis we found that HF-LED-RL at 320 and 640 J/cm2 increased transcription of key miRNA that are involved in skin fibrosis including miRNA-29, miRNA-196a, and Let-7a, and decreased transcription of miRNA-21, miRNA-23b, miRNA-31. These microRNA findings provide insight into the molecular underpinnings of HF-LED-RL and highlight potential therapeutic targets of interest for the treatment of skin fibrosis."</t>
  </si>
  <si>
    <t>Han</t>
  </si>
  <si>
    <t>China 
(Beijing)</t>
  </si>
  <si>
    <t>Adipose-derived mesenchymal stem cells treatments for fibroblasts of fibrotic scar via downregulating TGF-β1 and Notch-1 expression enhanced by photobiomodulation therapy</t>
  </si>
  <si>
    <t xml:space="preserve">LLLT + stem cells
Keloid tissue samples, hypertrophic scar tissues, normal skin tissues, established fibroblast cell cultures
</t>
  </si>
  <si>
    <t>635
 + 
655</t>
  </si>
  <si>
    <t>3
once
per
12h</t>
  </si>
  <si>
    <t>In summary, the study demonstrates that in vitro LLLT applied to Adipose Mesenchymal Stem Cells (AMSCs) boosts its secretion of paracrine factors, thereby enhancing AMSCs potential as a treatment for keloid fibroblasts and hypertrophic scar fibroblasts via downregulation of Notch1 and TGF-β1. However, there are limitations of this study that needs further amelioration. 
Following research is finding out key factors of AMSCs that contributed, and then blocking Notch 1and TGF-β1 pathway separately to detect their relationship in context of keloid and hypertrophic scar tissue.</t>
  </si>
  <si>
    <t>HairMax LaserComb®, Lexington International, LLC, Boca Raton, Florida</t>
  </si>
  <si>
    <t>Mamalis &amp; Jagdeo</t>
  </si>
  <si>
    <t>High-Fluence Light-Emitting Diode-Generated Red Light Modulates the Transforming Growth Factor-Beta Pathway in Human Skin Fibroblasts.</t>
  </si>
  <si>
    <t>"The authors found that HF-LED-RL leads to significant decreases in TGF-Beta 1 ligand levels in human fibroblasts immediately after irradiation, without changes in TGF-BR1 (Figures 1 and 2). Furthermore, pSMAD2 signaling was inhibited for up to four hours after irradiation (Figure 3). Increased TGF-Beta 1 and subsequent pSMAD2 activation are primary drivers in skin fibrosis."</t>
  </si>
  <si>
    <t>The Combination of Resveratrol and High-Fluence Light Emitting Diode-Red Light Produces Synergistic Photobotanical Inhibition of Fibroblast Proliferation and Collagen Synthesis: A Novel Treatment for Skin Fibrosis.</t>
  </si>
  <si>
    <t>"In this study, evidence is provided that resveratrol combined with HF-LED-RL acts synergistically to decrease fibroblast proliferation and procollagen 1A1 production, and this represents a new potential therapeutic modality that is termed the "photobotanical" effect due to the combined light and botanical properties observed."</t>
  </si>
  <si>
    <t>A single-blind, dose escalation, phase I study of high-fluence light-emitting diode-red light (LED-RL) on human skin: study protocol for a randomized controlled trial.</t>
  </si>
  <si>
    <t>160-
640</t>
  </si>
  <si>
    <t>"This study may provide important safety information on the effects of high-fluence LED-RL phototherapy on human skin and help facilitate future phase II studies to evaluate the efficacy of high-fluence LED-RL as a potential noninvasive, safe, portable, at-home therapy for treatment of skin fibrosis."</t>
  </si>
  <si>
    <t>Curr Dermatol Rep</t>
  </si>
  <si>
    <t>Visible Red Light Emitting Diode Photobiomodulation for Skin Fibrosis: Key Molecular Pathways.</t>
  </si>
  <si>
    <t>"There is a growing body of evidence demonstrating that visible LED light, especially in the red spectrum, is capable of modulating key cellular characteristic associated with skin fibrosis. We anticipate that as the understanding of LED-RL's biochemical mechanisms and clinical effects continue to advance, additional therapeutic targets in related pathways may emerge."
"We augmented our discussion with additional in vitro data on related pathways. LED phototherapy is an emerging therapeutic modality for treatment of skin fibrosis."
"We believe that the use of LED-RL, in combination with existing and new therapies, has the potential to alter the current treatment paradigm of skin fibrosis. There is a current lack of clinical trials investigating the efficacy of LED-RL to treat skin fibrosis. Randomized clinical trials are needed to demonstrate visible red light's clinical efficacy on different types of skin fibrosis."</t>
  </si>
  <si>
    <t>Resveratrol Prevents High Fluence Red Light-Emitting Diode Reactive Oxygen Species-Mediated Photoinhibition of Human Skin Fibroblast Migration.</t>
  </si>
  <si>
    <t>480
640
800</t>
  </si>
  <si>
    <t>"High fluence LED-RL increases intracellular fibroblast ROS and decreases fibroblast migration speed. LED-RL at 480, 640 and 800 J/cm2 increased ROS levels to 132.8%, 151.0%, and 158.4% relative to matched controls, respectively. These LED-RL associated increases in ROS were prevented by pretreating cells with 0.0001% or 0.001% resveratrol."
"These data lend support to an increasing scientific body of evidence that high fluence LED-RL has anti-fibrotic properties."</t>
  </si>
  <si>
    <t>Light emitting diode-generated blue light modulates fibrosis characteristics: fibroblast proliferation, migration speed, and reactive oxygen species generation.</t>
  </si>
  <si>
    <t>Blue light 🔵
(Dose response; higher dose -&gt; less proliferation)</t>
  </si>
  <si>
    <t>5
10
15
30
80</t>
  </si>
  <si>
    <t>"At the fluences studied, LED-BL can inhibit adult human skin dermal fibroblast proliferation and migration speed, and is associated with increased reactive oxygen species generation in a dose-dependent manner without altering viability. LED-BL has the potential to contribute to the treatment of keloids and other fibrotic skin diseases and is worthy of further translational and clinical investigation."</t>
  </si>
  <si>
    <t>Fixed drug eruption (FDE)</t>
  </si>
  <si>
    <t>Palma</t>
  </si>
  <si>
    <t>Photobiomodulation Therapy for Multiple Painful Fixed Drug Eruptions: The First Case Report</t>
  </si>
  <si>
    <t>🧑 Human
📄 Case report
⌛ 7 days -&gt; 3-month follow-up</t>
  </si>
  <si>
    <t>20
(20
points)</t>
  </si>
  <si>
    <t>25</t>
  </si>
  <si>
    <t>0.04
cm2
spot
size</t>
  </si>
  <si>
    <t>"A 31-year-old Caucasian woman presented with many extremely painful mucocutaneous lesions of FDE which had arisen 8 days before, following a long period of hospitalization. The lesions were not responsive to either corticosteroids or analgesics within 5 days, and then seven daily sessions of PBMT were proposed. Pain alleviation was achieved on the 1st day of PBMT, and the lesions showed an advanced course of healing on the 3rd day."</t>
  </si>
  <si>
    <t>USA
(Baltimore, MD)</t>
  </si>
  <si>
    <t>Clinical and molecular change induced by repeated low-dose visible light exposure in both light-skinned and dark-skinned individuals</t>
  </si>
  <si>
    <t>🧑 Human
📄 Single-arm study (?)
👥 31 participants
⌛ 4 days</t>
  </si>
  <si>
    <t>400-700</t>
  </si>
  <si>
    <t>0.50</t>
  </si>
  <si>
    <t>4
/ 4 days</t>
  </si>
  <si>
    <t>"Repeated low-dose VL irradiation induced immediate pigment darkening and delayed tanning in dark-skinned individuals while no discernable pigmentation and erythema were observed in light-skinned individuals. 
Top ten upregulated genes by repeated VL exposure in microarray included melanogenic genes such as tyrosinase (TYR), tyrosinase-related protein-1 (TYRP1), dopachrome tautomerase (DCT), premelanosome protein (PMEL), melan-A (MLANA), and solute carrier family 24, member 5 (SLC24A5) and genes involved in inflammation/matrix remodeling/cell signaling including chemokine (C-C motif) ligand 18 (CCL18), BCL2-related protein A1 (BCL2A1), and cartilage oligomeric matrix protein (COMP). 
In qRT-PCR CCL18 was upregulated in light skin with a greater extent (mean fold change ± SD; 4.03 ± 3.28, p = .04) than in dark-skinned individuals (1.91 ± 1.32, p = .07) while TYR was not significantly upregulated in both skin types."</t>
  </si>
  <si>
    <t>Austin</t>
  </si>
  <si>
    <t>Transcriptome analysis of human dermal fibroblasts following red light phototherapy</t>
  </si>
  <si>
    <t>"Pathway enrichment and transcription factor analysis revealed regulation of extracellular matrices, proliferation, and cellular responses to oxygen-containing compounds following RL phototherapy. Specifically, RL phototherapy increased the expression of MMP1, which codes for matrix metalloproteinase-1 (MMP-1) and is responsible for remodeling extracellular collagen. Differential regulation of MMP1 was confirmed with RT-qPCR and ELISA.
Additionally, RL upregulated PRSS35, which has not been previously associated with skin activity, but has known anti-fibrotic functions.
Our results suggest that RL may benefit patients by altering fibrotic gene expression."
"Much of the existing research has focused on the effects of visible or near-infrared light at fluences lower than 150 J/cm2 to stimulate cell growth for skin rejuvenation or hair growth22. However, our laboratory team has studied the inhibitory properties of red light greater or equal to 320 J/cm2 to treat pathological hyperproliferative processes, including fibrosis23–25."</t>
  </si>
  <si>
    <t>Heat</t>
  </si>
  <si>
    <t>Piazena</t>
  </si>
  <si>
    <t>Effects of water-filtered infrared-A and of heat on cell death, inflammation, antioxidative potential and of free radical formation in viable skin--first results.</t>
  </si>
  <si>
    <t>🧪 In vitro (skin samples)</t>
  </si>
  <si>
    <t>Water-filtered infrared-A (wIRA)</t>
  </si>
  <si>
    <t>"Neither cell viability, the inflammation status, the radical status or the antioxidative defence systems of the skin were significantly affected by wIRA applied within 30 min by using an irradiance of 1900 W m(-2) which is of relevance for clinical use, but which exceeded the maximum solar IR-A irradiance at the Earth's surface more than 5 times and which resulted in a skin surface temperature of about 45 °C without cooling and of about 37 °C with convective cooling by air ventilation."</t>
  </si>
  <si>
    <t>Herpes labialis</t>
  </si>
  <si>
    <t>Seyyedi</t>
  </si>
  <si>
    <t>Iran
(Urmia)</t>
  </si>
  <si>
    <t>Efficacy of adjuvant Photobiomodulation therapy in recurrent herpes labialis, a randomized clinical trial study</t>
  </si>
  <si>
    <t>🧑 Human
🎲 Randomized trial, double-blind
👥 22 participants
⌛ 5-day treatment -&gt; 3-day follow-up (?)</t>
  </si>
  <si>
    <t>"Pain intensity in PBM + Acyclovir group was significantly lower than Acyclovir without PBM group in both two and three days after intervention (p &lt; 0.001). The lesion size in case group was significantly lower on 7 and 10 days (p &lt;0.05). Patients in the treatment group were significantly more satisfied with their treatment process (p=0.008)."
"PBMT can be used as an adjuvant tool to acyclovir cream, due to higher potential in reducing postoperative pain, lesion size and also patients satisfaction."</t>
  </si>
  <si>
    <t>Al-Hallak</t>
  </si>
  <si>
    <t>Syria
(Damascus)</t>
  </si>
  <si>
    <t>Efficacy of photobiomodulation therapy in recurrent herpes labialis management: a randomized controlled trial</t>
  </si>
  <si>
    <t>🧑 Human
🎲 Randomized trial, double-blind
👥 40 participants
⌛ treatment until healing</t>
  </si>
  <si>
    <t>PBM vs acyclovir cream</t>
  </si>
  <si>
    <t>4.7</t>
  </si>
  <si>
    <t>"Photobiomodulation therapy of herpes labialis reduced pain significantly faster than acyclovir, but there was no difference in healing time between the groups in light of the parameters used in this study."</t>
  </si>
  <si>
    <t>Zanella</t>
  </si>
  <si>
    <t>Photobiomodulation for Preventive Therapy of Recurrent Herpes Labialis: A 2-Year In Vivo Randomized Controlled Study</t>
  </si>
  <si>
    <t>🧑 Human
🎲 Randomized trial, sham-controlled
👥 158 participants
⌛ 6-month treatment -&gt; 2-year follow-up</t>
  </si>
  <si>
    <t>1/p
2/p
(40-50 points)</t>
  </si>
  <si>
    <t>11.11
22.22</t>
  </si>
  <si>
    <t>10/p
20/p
(40-50 points)</t>
  </si>
  <si>
    <t>15
/ 6 months</t>
  </si>
  <si>
    <t>"The results showed that L1J presented the most satisfactory results concerning the reduction of the number of lesions per year and less severity of recurrences in the long-term evaluation when compared with L2J. Both Laser Groups (L1J and L2J) were statistically more efficient than placebo in all aspects analyzed."
"All patients who received laser treatment (L1J and L2J) and presented recurrences had significant improvement in frequency and/or severity of lesions. No patient had side effects from treatment."
"If RHL appeared during the treatment, PDT was performed [660nm light]"</t>
  </si>
  <si>
    <t>Khalil &amp; Hamadah</t>
  </si>
  <si>
    <t>Association of Photodynamic Therapy and Photobiomodulation As a Promising Treatment of Herpes Labialis: A Systematic Review</t>
  </si>
  <si>
    <t>PBM+PDT</t>
  </si>
  <si>
    <t>"Since there are no clinical trials regarding the association of PDT and PBM in the treatment of herpes labialis, we only included case reports in our review."</t>
  </si>
  <si>
    <t>de Araújo</t>
  </si>
  <si>
    <t>Brazil
(Paraíba)</t>
  </si>
  <si>
    <t>Treatment of recurrent herpes of the lower lip skin region with photodynamic therapy and photobiomodulation: case report</t>
  </si>
  <si>
    <t>🧑 Human
📄 Case report
⌛ 8 months</t>
  </si>
  <si>
    <t>Methylene blue PDT</t>
  </si>
  <si>
    <t>4
/p</t>
  </si>
  <si>
    <t>0.028
cm2
spot
area
x
4
points</t>
  </si>
  <si>
    <t>"It was possible to observe complete healing after 10 days of treatment, and the patient remains in follow-up for eight months without any recurrences."</t>
  </si>
  <si>
    <t>Lago</t>
  </si>
  <si>
    <t>Brazil
(São Luís)</t>
  </si>
  <si>
    <t>Association of photodynamic therapy and photobiomodulation for herpes simplex labialis resolution: Case series</t>
  </si>
  <si>
    <t>🧑 Human
📄 Case series
👥 3 cases
⌛ 1 week</t>
  </si>
  <si>
    <t>"This article reports through a case series, a proposal for an efficient resolution in clinical manifestations of herpes simplex labialis using aPDT associated with PBT."</t>
  </si>
  <si>
    <t>Al-Maweri</t>
  </si>
  <si>
    <t>Efficacy of low-level laser therapy in management of recurrent herpes labialis: a systematic review.</t>
  </si>
  <si>
    <t>"[S]ix clinical trials met the eligibility criteria. 
The wavelengths, the power output, and energy density ranged between 632.5-870 nm, 5-80 W, and 2.04-48 J/cm2, respectively. All included studies found laser to be effective in the management and prevention of RHL, without any side effects. 
The findings of this review suggest that laser is potentially a safe and effective treatment alternative for the management of RHL. However, due to high variability in study designs and inconsistency in laser parameters among the included studies, more well-designed randomized clinical trials with standardized laser parameters are highly warranted."</t>
  </si>
  <si>
    <t>Honarmand</t>
  </si>
  <si>
    <t>Iran
(Zahedan)</t>
  </si>
  <si>
    <t>Comparing the effect of diode laser against acyclovir cream for the treatment of herpes labialis</t>
  </si>
  <si>
    <t>🧑 Human
🎲 Randomized trial, sham-controlled
👥 60 participants
⌛ 6 days (?)</t>
  </si>
  <si>
    <t>PBM vs acyclovir vs placebo</t>
  </si>
  <si>
    <t>"The mean length of recovery time (day) in the laser, off laser, and acyclovir groups was 2.20±0.41, 4.30±1.03, and 3.4±1.142, respectively. "
"The mean duration of pain (day) was 1.35±0.74, 2.65±1.27, and 2.30±0.92 for laser, off laser, and acyclovir groups, respectively (P&lt;0.0001)."</t>
  </si>
  <si>
    <t>de Paula Eduardo</t>
  </si>
  <si>
    <t>Laser treatment of recurrent herpes labialis: a literature review.</t>
  </si>
  <si>
    <t>"According to the literature, none of the laser treatment modalities is able to completely eliminate the virus and its recurrence. However, laser phototherapy appears to strongly decrease pain and the interval of recurrences without causing any side effects."
"Photodynamic therapy can be helpful in reducing viral titer in the vesicle phase, and high-power lasers may be useful to drain vesicles. The main advantages of the laser treatment appear to be the absence of side effects and drug interactions, which are especially helpful for older and immunocompromised patients. Although these results indicate a potential beneficial use for lasers in the management of recurrent herpes labialis, they are based on limited published clinical trials and case reports."</t>
  </si>
  <si>
    <t>Dougal &amp; Lee</t>
  </si>
  <si>
    <t>Evaluation of the efficacy of low-level light therapy using 1072 nm infrared light for the treatment of herpes simplex labialis.</t>
  </si>
  <si>
    <t>🧑 Human
🎲 Randomized trial
👥 87 participants
⌛ 2-day treatment -&gt; healing follow-up (1-16 days)</t>
  </si>
  <si>
    <t>6
/ 2 days</t>
  </si>
  <si>
    <t>"The median time to healing for the active group was 129 h, compared with 177 h for the control group, which was significant (P = 0.01)."</t>
  </si>
  <si>
    <t>Sergio</t>
  </si>
  <si>
    <t>Brazil
(Teresópolis)</t>
  </si>
  <si>
    <t>Therapeutic low-intensity red laser for herpes labialis on plasmid survival and bacterial transformation.</t>
  </si>
  <si>
    <t>"The data indicate low-intensity red laser: (i) alters the survival of plasmids in wild type, fpg/mutM(-) and xthA(-)E. coli cultures depending of growth phase, (ii) alters the content of the supercoiled form of plasmids in the wild type and fpg/mutM(-)E. coli cells, (iii) alters the content of nucleic acids and proteins in wild type E. coli cells, (iv) alters the transformation efficiency of plasmids in wild type and fpg/mutM(-)E. coli competent cells.
These data could be used to understand positive effects of low-intensity lasers on herpes labialis treatment."</t>
  </si>
  <si>
    <t>Muñoz Sanchez</t>
  </si>
  <si>
    <t>Cuba
(Cienfuegos)</t>
  </si>
  <si>
    <t>The effect of 670-nm low laser therapy on herpes simplex type 1.</t>
  </si>
  <si>
    <t>🧑 Human
🎲 Randomized trial
👥 232 participants
⌛ 1 year
📄 Single-arm trial 5-year follow-up
👥 322 participants
⌛ 5 years</t>
  </si>
  <si>
    <t>RCT: PBM vs aciclovir
Large sample size RCT (&gt;150)</t>
  </si>
  <si>
    <t>0.051</t>
  </si>
  <si>
    <t>1.6/
4.8
+1.2</t>
  </si>
  <si>
    <t>2.04</t>
  </si>
  <si>
    <t>0.79
cm2</t>
  </si>
  <si>
    <t>"LLLT of herpes simples virus 1 (HSV-1) appears to be an effective treatment modality without any observed side effects."</t>
  </si>
  <si>
    <t>Eduardo Cde</t>
  </si>
  <si>
    <t>Prevention of recurrent herpes labialis outbreaks through low-intensity laser therapy: a clinical protocol with 3-year follow-up.</t>
  </si>
  <si>
    <t>🧑 Human
📄 Case series
👥 3 cases
⌛ ~1-year treatment period (3 phases) / 3-year follow-up</t>
  </si>
  <si>
    <t>21
(50-
60p)</t>
  </si>
  <si>
    <t>8.75</t>
  </si>
  <si>
    <t>0.04
cm2
beam</t>
  </si>
  <si>
    <t>10
/ 5 weeks
--&gt;
6 mo later:
5
/ 10 days
--&gt;
6mo later:
5
/ 10 days</t>
  </si>
  <si>
    <t>"Based on the outcomes observed in this study, it is possible to conclude that the preventive protocol proposed may represent an alternative treatment for patients presenting recurrent herpes labialis infection."</t>
  </si>
  <si>
    <t>Ferreira</t>
  </si>
  <si>
    <t>Rev Soc Bras Med Trop</t>
  </si>
  <si>
    <t>Recurrent herpes simplex infections: laser therapy as a potential tool for long-term successful treatment.</t>
  </si>
  <si>
    <t>🧑 Human
📄 Case series
👥 2 cases
⌛ ~1-week treatment / 17 month follow-up</t>
  </si>
  <si>
    <t>"Two clinical cases are described with recurrent labial herpes for which LLLT was used. Following treatment, both patients remained symptom free during the 17-month clinical follow-up period."</t>
  </si>
  <si>
    <t>de Carvalho</t>
  </si>
  <si>
    <t>Effect of laser phototherapy on recurring herpes labialis prevention: an in vivo study.</t>
  </si>
  <si>
    <t>🧑 Human
🎲 Randomized trial
👥 71 participants
⌛ 10-week treatment -&gt; 16-month follow-up</t>
  </si>
  <si>
    <t>LLLT vs aciclovir</t>
  </si>
  <si>
    <t>7.2
10.8</t>
  </si>
  <si>
    <t>3.0
4.5</t>
  </si>
  <si>
    <t>0.04
cm2
(30p
/lip)</t>
  </si>
  <si>
    <t>30
/lip</t>
  </si>
  <si>
    <t>"Patients in the experimental group presented a significant decrease in dimension of herpes labialis lesions (P = 0.013) and inflammatory edema (P = 0.031). The reduction in pain level (P = 0.051) and monthly recurrences (P = 0.076) did not reach statistical significance. This study represents an in vivo indication that this treatment should be further considered as an effective alternative to therapeutic regimens for herpes labialis lesions."</t>
  </si>
  <si>
    <t>Bello-Silva</t>
  </si>
  <si>
    <t>Low- and high-intensity lasers in the treatment of herpes simplex virus 1 infection.</t>
  </si>
  <si>
    <t>2940
+
660</t>
  </si>
  <si>
    <t>?
+
10</t>
  </si>
  <si>
    <t>?
+
3.8</t>
  </si>
  <si>
    <t>"We report a clinical case of a patient with severe oral HSV-1 infection in the lower lip."
"Pain sensitivity was completely gone after the first irradiation with the low-intensity laser."</t>
  </si>
  <si>
    <t>Marotti</t>
  </si>
  <si>
    <t>High-intensity laser and photodynamic therapy as a treatment for recurrent herpes labialis.</t>
  </si>
  <si>
    <t>🧑 Human
📄 Case series
👥 4 cases
⌛ 5 treatment sessions within a week -&gt; 6-month follow-up</t>
  </si>
  <si>
    <t>PDT + PBM (for 2 of 4 patients)</t>
  </si>
  <si>
    <t>"Four clinical cases of patients diagnosed with RHL are described in this report. Two patients were subjected to high-intensity laser therapy (HILT) followed by LLLT, and two patients received MB-mediated PDT, again followed by LLLT."
"Throughout the follow-up period, all patients reported pain relief and did not show any signs or symptoms of RHL. A favorable healing process was observed in all cases. None of the patients reported pain as a consequence of the treatment."</t>
  </si>
  <si>
    <t>Navarro</t>
  </si>
  <si>
    <t>J Clin Pediatr Dent</t>
  </si>
  <si>
    <t>Low-level-laser therapy as an alternative treatment for primary herpes simplex infection: a case report.</t>
  </si>
  <si>
    <t>🧑 Human
📄 Case report
⌛ 1 week</t>
  </si>
  <si>
    <t>300
(?)</t>
  </si>
  <si>
    <t>2
/ 3 days</t>
  </si>
  <si>
    <t>"Low level laser therapy (LLLT) was used with an immediate outcome."</t>
  </si>
  <si>
    <t>Hargate</t>
  </si>
  <si>
    <t>A randomised double-blind study comparing the effect of 1072-nm light against placebo for the treatment of herpes labialis</t>
  </si>
  <si>
    <t>🧑 Human
🎲 Randomized trial, double-blind
👥 32 participants
⌛ 2 treatment days -&gt; follow-up until asymptomatic (~1 week on average)</t>
  </si>
  <si>
    <t>"The 1072-nm light-emitting diode device reduced cold-sore healing time to 6.3 days compared with 9.4 days for placebo (P = 0.048)."
Comment: Relevant dose parameters not reported.</t>
  </si>
  <si>
    <t>Dougal &amp; Kelly</t>
  </si>
  <si>
    <t>UK
(Stockton-on-Tees)</t>
  </si>
  <si>
    <t>A pilot study of treatment of herpes labialis with 1072 nm narrow waveband light</t>
  </si>
  <si>
    <t>🧑 Human
⚔ Comparison study, randomized, double-blind
👥 51 participants
⌛ single treatment -&gt; follow-up until asymptomatic (~1 week on average)</t>
  </si>
  <si>
    <t>⚔ PBM vs aciclovir</t>
  </si>
  <si>
    <t>0.005-
0.010</t>
  </si>
  <si>
    <t>6
cm2
treatment
area</t>
  </si>
  <si>
    <t>"The results demonstrated that a single 5 min light treatment significantly reduced cold sore healing time by 4 days;
1072 nm light healed cold sores in 4.3 ± 1.8 days (mean ± SD) as compared with aciclovir applied five times daily, 8.5 ± 3.0 days (P &lt; 0.0001)."</t>
  </si>
  <si>
    <t>Schindl &amp; Neumann</t>
  </si>
  <si>
    <t>Low-intensity laser therapy is an effective treatment for recurrent herpes simplex infection. Results from a randomized double-blind placebo-controlled study.</t>
  </si>
  <si>
    <t>🧑 Human
🎲 Randomized trial, double-blind
👥 50 participants
⌛ 2-week treatment / 1-year follow-up</t>
  </si>
  <si>
    <t>daily
for
/ 2 weeks</t>
  </si>
  <si>
    <t>"The median recurrence-free interval in the laser-treated group was 37.5 wk (range: 2-52 wk) and in the placebo group 3 wk (range: 1-20 wk). This difference was found to be statistically significant (p &lt; 0.0001; Wilcoxon's Rank Sum Test). In conclusion, we demonstrated that a total of 10 irradiations with low-intensity laser therapy significantly lowers the incidence of local recurrence of herpes simplex infection."</t>
  </si>
  <si>
    <t>Herpes zoster</t>
  </si>
  <si>
    <t>Mukhtar</t>
  </si>
  <si>
    <t>Pakistan
(Islamabad)</t>
  </si>
  <si>
    <t>Role of low-level laser therapy in post-herpetic neuralgia: a pilot study.</t>
  </si>
  <si>
    <t>🧑 Human
📄 Single-arm trial
👥 15 participants
⌛ 8 weeks</t>
  </si>
  <si>
    <t>3.6</t>
  </si>
  <si>
    <t>60
(/ each
tender
point ?)</t>
  </si>
  <si>
    <t>"In total, fifteen patients were included in the present study, out of which 8 were females and 7 were males aged between 42 and 82 years."
"The final pain score was 0 in 11 patients although their initial pain score was severe in 8 and moderate in 3 patients. In three patients, pain reduced to mild intensity (2-3), and in one, the final pain score was 4 on the visual analogue scale."
"Overall, low-level laser therapy (LLLT) proved itself an excellent therapeutic modality for the relief of pain in post-herpetic neuralgia patients, which may replace pain management medicines in future."</t>
  </si>
  <si>
    <t>Early application of low-level laser may reduce the incidence of postherpetic neuralgia (PHN).</t>
  </si>
  <si>
    <t>🧑 Human
📄 Retrospective study (no control)
👥 250 participants
⌛ 6-month follow-up</t>
  </si>
  <si>
    <t>Postherpetic neuralgia</t>
  </si>
  <si>
    <t>every other day
(at least 3 sessions, depending on the patient)</t>
  </si>
  <si>
    <t>"Applying LLLT within the first 5 days of herpes zoster eruption significantly reduced the incidence of PHN. LLLT may have the potential to prevent PHN, but further well-designed randomized controlled trials are required."</t>
  </si>
  <si>
    <t>Fan &amp; Wang</t>
  </si>
  <si>
    <t>A Novel Treatment of Herpes Zoster Pain With Pulsed Laser Irradiation.</t>
  </si>
  <si>
    <t>Letter
(🧑 Human / 📄 Case series / 👥 5 cases)</t>
  </si>
  <si>
    <t>0.8-
1.5</t>
  </si>
  <si>
    <t>d =
8 mm</t>
  </si>
  <si>
    <t>1-2
?</t>
  </si>
  <si>
    <t>"In summary, the authors found in the treatment of 5 herpes zoster patients that 1,064-nm Nd:YAG laser irradiation could significantly alleviate herpetic pain with persisting effect and no apparent adverse effect."
Comment: The parameters were poorly reported.</t>
  </si>
  <si>
    <t>The Effects of 830 nm Light-Emitting Diode Therapy on Acute Herpes Zoster Ophthalmicus: A Pilot Study.</t>
  </si>
  <si>
    <t>🧑 Human
🎲 Randomized trial
👥 28 participants
⌛ 10-day treatment / 14-day study</t>
  </si>
  <si>
    <t>LED phototherapy
HEALITE device (Lutronic)</t>
  </si>
  <si>
    <t>0.055</t>
  </si>
  <si>
    <t>4
/ 10 days</t>
  </si>
  <si>
    <t>"The mean time required for wound healing was 13.14±2.34 days in group B and 15.92±2.55 days in group A (p=0.006). From day 4, the mean VAS score showed a greater improvement in group B, compared with group A. A marginal but not statistically significant difference in the VAS scores was observed between the two groups (p=0.095)."</t>
  </si>
  <si>
    <t>Knapp DJ</t>
  </si>
  <si>
    <t>USA
(Sarasota, FL)</t>
  </si>
  <si>
    <t>Clin J Pain</t>
  </si>
  <si>
    <t>Postherpetic neuralgia: case study of class 4 laser therapy intervention.</t>
  </si>
  <si>
    <t>🧑 Human
📄 Case report
⌛ 14 months</t>
  </si>
  <si>
    <t>810
+
980</t>
  </si>
  <si>
    <t>2000-
4000</t>
  </si>
  <si>
    <t>0.41-
0.82</t>
  </si>
  <si>
    <t>3.5-
7.1</t>
  </si>
  <si>
    <t>d = 
2.5 cm</t>
  </si>
  <si>
    <t>"The author reports a case of PHN of 15-year duration resistant to prior interventions."
"Weekly laser therapy treatment over 8 weeks resulted in reduced 0 to 10 Numeric Pain Scale score from 8 to 0, Neuropathy Pain Scale Questionnaire total score from 39 to 4, and allodynia over a 60 cm surface area of the upper trunk and posterior arm totally resolved, with resolution continued at 14-month follow-up."</t>
  </si>
  <si>
    <t>Sasaki</t>
  </si>
  <si>
    <t>Low reactive level laser therapy in the treatment of post herpetic neuralgia</t>
  </si>
  <si>
    <t>🧑 Human
📄 Retrospective study
👥 123 participants
⌛ Data from 1980 to 2008</t>
  </si>
  <si>
    <t>~780
on
average</t>
  </si>
  <si>
    <t xml:space="preserve"> ~13
on
average</t>
  </si>
  <si>
    <t>"One hundred and twenty-three patients (73 male, 50 female, mean age: 66.11yr) have received LLLT for various entities of PHN over the past 29 years. In these cases the affected tissue area(s) was as follows: thorax and back (48 cases); head and neck (41 cases); abdomen and lumbar (17 cases); upper limb (9 cases); and lower limb (8 cases). The overall total improvement rate was 60.16%. Patient whose treatment was given within six month of onset obtained the highest improvement rate (mean, 76.34%). 
LLLT was effective for PHN in the acute and chronic phase, but LLLT was particularly effective for the acute phase patients whose onset before treatment was 6 months or less. 
The results demonstrate a significant reduction in PHN pain intensity, hypersensitivity and other complaints"</t>
  </si>
  <si>
    <t>Kemmotsu</t>
  </si>
  <si>
    <t>Laser therapy for pain attenuation of postherpetic neuralgia - a decade of challenge</t>
  </si>
  <si>
    <t>"Our clinical experience in the application of laser therapy for pain attenuation in PHN patients has been aggressively expanded to apply this treatment modality for various other types of chronic pain syndrome over the last ten years. Many tens of thousands of patients who have visited our pain clinic for a decade have benefited from laser therapy. It is noteworthy that not only pain attenuation but also the quality of life and activity of daily living have been markedly improved in these patients. Laser therapy has a very important role in our pain clinic and is an essential modality of pain attenuation."</t>
  </si>
  <si>
    <t>Hashimoto</t>
  </si>
  <si>
    <t>Japan
(Hokkaido)</t>
  </si>
  <si>
    <t>Efficacy of laser irradiation on the area near the stellate ganglion is dose-dependent: a double-blind crossover placebo-controlled study</t>
  </si>
  <si>
    <t>🧑 Human
🎲 Randomized trial, crossover, double-blind
👥 8 participants
⌛ 3 sessions on separate days (60mW / 150mW / sham)</t>
  </si>
  <si>
    <t>60
150</t>
  </si>
  <si>
    <t>3
(each
in
different
condition,
crossover
study)</t>
  </si>
  <si>
    <t>"Regional skin temperature increased following both 150 mW and 60mW laser irradiation, whereas no changes were obtained by placebo treatment. VAS decreased following both 150 mW and 60 mW laser treatments, but no changes in VAS were obtained by placebo treatment. These changes in the temperature and VAS were further dependent on the energy density, i.e the dose. Results demonstrate that laser irradiation near the stellate ganglion produces effects similar to stellate ganglion block. Our results clearly indicate that they are not placebo effects but true effects of laser irradiation."</t>
  </si>
  <si>
    <t>Yamada &amp; Ogawa</t>
  </si>
  <si>
    <t>Comparative study of 60 mw diode laser therapy and 150 mw diode laser therapy in the treatment of postherpetic neuralgia</t>
  </si>
  <si>
    <t>🧑 Human
⚔  Comparison study
👥 17 participants
⌛ Treatment until pain score adequately low (~ 1-2 months)</t>
  </si>
  <si>
    <t>Dose response
⚔ PBM (60mW) vs PBM (150mW)</t>
  </si>
  <si>
    <t>10.8-
72</t>
  </si>
  <si>
    <t>180-
1200</t>
  </si>
  <si>
    <t>1-5
/ week
for
outpatients
5-6
/week
for
inpatients
approx
9-13
on average</t>
  </si>
  <si>
    <t>"Our results in this preliminary study suggest that 150 mW LLLT was a much more effective therapy than 60 mW LLLT for the treatment of PHN within the period tested. Further controlled and double blinded studies in larger populations will be required to corroborate these preliminary findings."
Comment: Irradiation duration (3-20min) depended on size of affected area.
Comment: Study methodology very irregular. The patients received very varying doses etc...</t>
  </si>
  <si>
    <t>Matsumura</t>
  </si>
  <si>
    <t>Japan
(Sapporo)</t>
  </si>
  <si>
    <t>Useful effect of application of helium-neon LLLT on an early stage case of herpes zoster: a case report</t>
  </si>
  <si>
    <t>🧑 Human
📄 Case report
⌛ ~2-3 weeks</t>
  </si>
  <si>
    <t>27
(scanning)</t>
  </si>
  <si>
    <t>12
/ 2-3 weeks</t>
  </si>
  <si>
    <t>"A case report is presented on a 37-year-old female who presented with an early stage atack of Herpes zoster. HeNe laser LLLT was applied in the scanning mode, in combination with epidural block therapy. The patient was taken off all forms of treatment after only 3 weeks, with no residual pain. The normal period is a minimum of 4 weeks, with some residual pain. The authors suggest that LLLT is a valid, easily applied and noninvasive adjunctive therapeutic technique to speed recovery from Herpes zoster attacks, especially when applied in the early stages of the attack."</t>
  </si>
  <si>
    <t>Ohtsuka</t>
  </si>
  <si>
    <t>Masui</t>
  </si>
  <si>
    <t>[Low reactive-level laser therapy near the stellate ganglion for postherpetic facial neuralgia].</t>
  </si>
  <si>
    <t>🧑 Human
📄 Case report
⌛ (?)</t>
  </si>
  <si>
    <t>"The results imply that the irradiation with low reactive-level laser of the stellate ganglion and/or the carotid artery increases a facial blood flow and relieves facial neuralgia."</t>
  </si>
  <si>
    <t>Iijima</t>
  </si>
  <si>
    <t>Evaluation of analgesic effect of low-power He:Ne laser on postherpetic neuralgia using VAS and modified McGill pain questionnaire.</t>
  </si>
  <si>
    <t>🧑 Human
📄 Single-arm trial
👥 18 participants
⌛ ~8 months</t>
  </si>
  <si>
    <t>up to
50</t>
  </si>
  <si>
    <t>" 3.6 after 50 treatments, and the degree of pain relief was reduced to 44.6% and correlated with the number of treatments. The total numbers of words and the total scores of the m-MPQ decreased as the number of treatments increased."</t>
  </si>
  <si>
    <t>Efficacy of low reactive-level laser therapy for pain attenuation of postherpetic neuralgia</t>
  </si>
  <si>
    <t>🧑 Human
📄 Single-arm trial
👥 63 participants
⌛ (?)
📄 Non-randomized study, crossover, double-blind
👥 12 participants</t>
  </si>
  <si>
    <t>36
on
average</t>
  </si>
  <si>
    <t>"The long-term effect at the end of LLLT (the average number of treatments 36 ± 12) resulted in no pain (PS: 0) in 12 patients and slight pain (PS: 1-4) in 46 patients, No complications attributable to LLLT occurred. Although a placebo effect was observed, decreases in pain scores and increases of the body surface temperature by LLLT were significantly greater than those that occurred with the placebo treatment. 
Our results indicate that LLLT is a useful modality for pain attenuation in PHN patients and because LLLT is a noninvasive, painless and safe method of therapy, it is well acceptable by patients."</t>
  </si>
  <si>
    <t>McKibbin &amp; Downie</t>
  </si>
  <si>
    <t>Canada
(Wheatley)</t>
  </si>
  <si>
    <t>Treatment of post herpetic neuralgia using a 904 nm (infrared) low incident energy laser: a clinical study</t>
  </si>
  <si>
    <t>🧑 Human
📄 Single-arm trial
👥 39 participants
⌛ 6-12 month follow-up</t>
  </si>
  <si>
    <t>"The reported level of PHN pain decreased significantly after treatment (p &lt; 0.05)."</t>
  </si>
  <si>
    <t>Clinical trial of low reactive-level laser therapy in 20 patients with postherpetic neuralgia</t>
  </si>
  <si>
    <t>🧑 Human
📄 Single-arm trial
👥 20 participants
⌛ ~1 year</t>
  </si>
  <si>
    <t>Treatment-resistant patients</t>
  </si>
  <si>
    <t>"Twelve of the 20 patients respended to the LLLT, 60%. Further studies are needed. with emphasis on methodology. as these figures are not as high as those from other workers in this field, The success rate was high enough however to make the authors consider a larger programme in the future, including double-blind and crossover components. The GaAlAs diode laser in contaet LLLT certainly provides a new noninvasive and easily applied therapy for PHN."</t>
  </si>
  <si>
    <t>Effect of repeated irradiation of low-power He-Ne laser in pain relief from postherpetic neuralgia.</t>
  </si>
  <si>
    <t>🧑 Human
📄 Single-arm trial
👥 36 participants
⌛ &lt; 2 months (?)</t>
  </si>
  <si>
    <t>20
(2-3 per
week)</t>
  </si>
  <si>
    <t>"VAS decreased from 6.2 before irradiation therapy to 3.6 after 50 treatments, and the degree of pain relief was reduced to 44.6% and correlated with the number of treatments. The total numbers of words and the total scores of the m-MPQ decreased as the number of treatments increased."</t>
  </si>
  <si>
    <t>UK
(Oldham)</t>
  </si>
  <si>
    <t>A double-blind crossover trial of low-level laser therapy in the treatment of postherpetic neuralgia</t>
  </si>
  <si>
    <t>🧑 Human
🎲 Randomized trial, double-blind, crossover
👥 20 participants
⌛ 1 month</t>
  </si>
  <si>
    <t>4
active,
4
sham
2 per week</t>
  </si>
  <si>
    <t>"Measurements of pain intensity and distribution were noted over a period of eight treatments in two groups of patients each of which received four consecutive laser treatments. The results demonstrate a significant reduction in both PHN pain intensity and distribution following a course of LLLT."</t>
  </si>
  <si>
    <t>Aleksandrov</t>
  </si>
  <si>
    <t>Stomatologiia (Mosk)</t>
  </si>
  <si>
    <t>[Experience in using helium-neon laser radiation for treating herpetic stomatitis in children]. [Article in Russian]</t>
  </si>
  <si>
    <t>Hidradenitis suppurativa</t>
  </si>
  <si>
    <t>Italy
(Trieste)</t>
  </si>
  <si>
    <t>Impact of 970 Nm Photobiomodulation Therapy on Wound Healing in Cellular Models of Hidradenitis Suppurativa</t>
  </si>
  <si>
    <t>"In our study, the beneficial effect of PBMT on in vitro genetic models of HS confirmed our previous findings [19] on NCTSN−/− cells, suggesting that PBMT acted also when the cells were maintained in an undifferentiated status, promoting cell metabolism, ATP production, and cell migration in the scratch assay. Moreover, the influence of PBMT on PSENEN−/− cells was unraveled showing an increased metabolism correlated with proliferation and an augmented capacity of migration through transwell. The different results obtained in the presence of the two knockout genes could suggest different gene-related mechanisms involved in the response to PBMT."</t>
  </si>
  <si>
    <t>Ferri</t>
  </si>
  <si>
    <t>Photobiomodulation therapy is able to decrease IL1B gene expression in an in vitro cellular model of hidradenitis suppurativa.</t>
  </si>
  <si>
    <t>445
970</t>
  </si>
  <si>
    <t>0.2
0.3</t>
  </si>
  <si>
    <t>"PBM alone is not able to induce IL1B expression, both in wild-type and in NCSTN knockout cells. On the contrary, both laser protocols (BLUE and NIR) after Pam2CSK4 treatment were able to significantly reduce IL1B expression leading us to hypothesize a PBM anti-inflammatory effect in each cell line (Fig. 2b, c)."</t>
  </si>
  <si>
    <t>G Ital Dermatol Venereol</t>
  </si>
  <si>
    <t>Photobiomodulation as potential novel third line tool for non-invasive treatment of Hidradenitis Suppurativa.</t>
  </si>
  <si>
    <t>"This review explores the potential use of photobiomodulation (PBM), already used for the treatment of other skin conditions, such as acne, hypertrophic scars, wrinkles, and burns, as potential novel therapy for HS."</t>
  </si>
  <si>
    <t>Infrared skin damage</t>
  </si>
  <si>
    <t>Horton</t>
  </si>
  <si>
    <t>The effects of infrared radiation on the human skin</t>
  </si>
  <si>
    <t>"Detrimental effects such as thermal burns, photocarcinogenesis, and photoaging have been reported, though evidence suggests that these may be due to the thermal effects produced secondary to IR exposure rather than the isolated effect of IR. There are currently no chemical or physical filters specifically available for protection against IR, and existing compounds are not known to have IR-filtering capacity. Interestingly, IR may have some photoprotective properties against the carcinogenic effects of UVR. 
Furthermore, IR has been used with encouraging results in skin rejuvenation, wound healing, and hair restoration when given at an appropriate therapeutic dose."</t>
  </si>
  <si>
    <t>de Gálvez</t>
  </si>
  <si>
    <t>Spain
(Málaga)</t>
  </si>
  <si>
    <t>Infrared radiation increases skin damage induced by other wavelengths in solar urticaria.</t>
  </si>
  <si>
    <t>🧑 Human
📄 Case series (experimental)
👥 4 participants</t>
  </si>
  <si>
    <t>Solar urticaria patients</t>
  </si>
  <si>
    <t>"Initial standard phototests that were all positive found the induction of erythema and whealing, while when IRR was blocked from the UVA and visible light sources, three of the patients developed no lesions, while the fourth developed a very small wheal."
"These results suggest that IRR has the potential to produce and exacerbate lesions caused by other types of radiation. Consideration of these effects during phototesting could help prevent diagnostic errors."
Comment: They used a water filter (1.5cm) to block the infrared. However, water doesn't block near-infrared but mainly wavelengths that are over 1150nm. Therefore, this finding doesn't apply to shorter wavelengths in the near-infrared range, but it says that in some patients with solar urticaria, longer wavelengths of infrared could be harmful.</t>
  </si>
  <si>
    <t>Grether-Beck</t>
  </si>
  <si>
    <t>Effective photoprotection of human skin against infrared A radiation by topically applied antioxidants: results from a vehicle controlled, double-blind, randomized study.</t>
  </si>
  <si>
    <t>Polychromatic light 🌈 (infrared A)</t>
  </si>
  <si>
    <t>0.105</t>
  </si>
  <si>
    <t>360</t>
  </si>
  <si>
    <t>"As expected, exposure to IRA radiation significantly upregulated MMP-1 expression, as compared to unirradiated skin, and this response was significantly reduced, if the SPF30 sunscreen plus the antioxidant cocktail had been applied prior to IRA radiation. In contrast, treatment of human skin with the SPF30 sunscreen alone did not provide significant protection."
Comment: The dose (360 J/cm2) was moderately high in this case, which might have contributed to the negative effects.</t>
  </si>
  <si>
    <t>Costa</t>
  </si>
  <si>
    <t>Inflamm Allergy Drug Targets</t>
  </si>
  <si>
    <t>In vitro effects of infrared A radiation on the synthesis of MMP-1, catalase, superoxide dismutase and GADD45 alpha protein.</t>
  </si>
  <si>
    <t>"Human skin fibroblasts were exposed to a non-cytotoxic dose of IRA radiation and cultured for different periods for further collection of cell-free supernatants and lysates, and quantification of MMP-1, catalase, superoxide dismutase, and GADD45a. Our results corroborate previous published data and strongly indicate a negative impact of IRA radiation on the skin physiological by mechanisms involving reduced endogenous antioxidant enzymatic defense, increased MMP-1 and decreased repair process of DNA by reducing GADD45a protein, in cultured human fibroblasts."</t>
  </si>
  <si>
    <t>Robert</t>
  </si>
  <si>
    <t>Monaco
(Monaco)</t>
  </si>
  <si>
    <t>Skin Pharmacol Physiol</t>
  </si>
  <si>
    <t>Low to moderate doses of infrared A irradiation impair extracellular matrix homeostasis of the skin and contribute to skin photodamage.</t>
  </si>
  <si>
    <t>Human fibroblasts
Polychromatic light 🌈 (infrared A)</t>
  </si>
  <si>
    <t>600-
1400</t>
  </si>
  <si>
    <t>0.045</t>
  </si>
  <si>
    <t>(20)
(40)
(81)
162</t>
  </si>
  <si>
    <t>"In the present study, we demonstrate, in vitro on normal human fibroblasts, that even under low irradiance with single or very few repeated doses, infrared A irradiation (IRA) produces free radicals, triggers major changes in the expression of the type I collagen and elastin network, impairs the dermal-epidermal junction, upregulates several matrix metalloproteinases and has an impact on the expression of key genes of the extracellular matrix. We conclude that chronic or discretionary exposure to IRA could play a role that is more important than expected in premature skin aging."
Comment: Most of the harmful results were noticed after 162 J/cm2 irradiation, which is indeed quite a high dose of light. For example, Karu (2010) has mentioned that in Central Europe, IR-A from sunlight is only about 200 W/m2 (=20 mW/cm2) in summer. If you have a 20 mW/cm2 intensity, you need 8100 seconds (2.25 hours) of sun exposure to achieve this energy density.</t>
  </si>
  <si>
    <t>Effects of temperature and water-filtered infrared-A alone or in combination on healthy and glyoxal-stressed fibroblast cultures.</t>
  </si>
  <si>
    <t>780-
1400</t>
  </si>
  <si>
    <t>"WIRA irradiation itself or in combination with glyoxal treatment exerted no damaging effects on the fibroblasts at physiological (37°-40°C) or higher (42°-45°C) temperatures compared to untreated controls."</t>
  </si>
  <si>
    <t>Germany
(Stuttgart)</t>
  </si>
  <si>
    <t>Effects of water-filtered infrared A irradiation on human fibroblasts.</t>
  </si>
  <si>
    <t>Temperature-controlled study
Polychromatic light 🌈</t>
  </si>
  <si>
    <t>"Here we demonstrate that in human dermal fibroblasts this reactive oxygen species generation is dependent on heat formation by infrared A and can be reproduced by thermal exposure. On the other hand wIRA irradiation had no detectable effect if the temperature in the cells was kept constant, even if irradiance exceeded the extraterrestrial solar irradiance in the IR range by a factor of about 4 and the maximum at noontime in the tropics by a factor up to about 6. This could be demonstrated by the measurement of oxidant formation using H(2)DCFDA and the determination of protein carbonyls. In additional experiments we could show that during thermal exposure the mitochondria contribute significantly to oxidant production. Further experiments revealed that the major absorbance of infrared is due to absorption of the energy by cellular water."</t>
  </si>
  <si>
    <t>Darvin</t>
  </si>
  <si>
    <t>Radical production by infrared A irradiation in human tissue.</t>
  </si>
  <si>
    <t>🧑 Human
👥 12 participants
⌛ single session
+ 🧪 In vitro</t>
  </si>
  <si>
    <t>600-
1500</t>
  </si>
  <si>
    <t>0.170</t>
  </si>
  <si>
    <t>"Summarizing the results, it could be established that free radicals are produced by IRA irradiation of the skin. This effect was demonstrated in vivo by resonance Raman spectroscopic measurements and confirmed by EPR spectroscopic investigations. It has to be expected that enzymatic processes in the human skin are involved in the energy transfer from IRA irradiation into the molecules of the tissue [20]."
Comment: The skin temperature increased by ~8 degrees (celcius), so the effect might be related to overdosing.</t>
  </si>
  <si>
    <t>Piazena &amp; Kelleher</t>
  </si>
  <si>
    <t>Effects of infrared-A irradiation on skin: discrepancies in published data highlight the need for an exact consideration of physical and photobiological laws and appropriate experimental settings.</t>
  </si>
  <si>
    <t>"A number of in vitro and/or in vivo investigations assessing cellular or tissue damage caused by IR-A radiation have been undertaken. While such studies are necessary for the development of safety recommendations, the results of measurements undertaken to examine the interaction between skin and IR radiation emitted from different sources presented in this study, together with the detailed examination of the literature reveals a wide spectrum of contradictory findings, which in some instances may be related to methodological shortcomings or fundamental errors in the application of physical and photobiological laws, thus highlighting the need for physically and photobiologically appropriate experiments."</t>
  </si>
  <si>
    <t>Holzer</t>
  </si>
  <si>
    <t>USA
(Birmingham, AL)</t>
  </si>
  <si>
    <t>The other end of the rainbow: infrared and skin.</t>
  </si>
  <si>
    <t>"Although infrared radiation (IRR) is ubiquitous in the terrestrial milieu, its effects on human skin have until now been largely ignored. Recent studies suggest an important role for infrared A (IRA) radiation (760-1440 nm) in dermal inflammation, photoaging, and photocarcinogenesis."
Comment: This paper assumes that  infrared A (~near-infrared) from the sunlight can be harmful for the skin.</t>
  </si>
  <si>
    <t>Schroeder</t>
  </si>
  <si>
    <t>Photoprotection beyond ultraviolet radiation--effective sun protection has to include protection against infrared A radiation-induced skin damage.</t>
  </si>
  <si>
    <t>"Effective sun protection requires specific strategies to prevent IRA radiation-induced skin damage."
Comment: This paper assumes that infrared from sunlight can be harmful for the skin.</t>
  </si>
  <si>
    <t>Skin Therapy Lett</t>
  </si>
  <si>
    <t>Prevention of infrared-A radiation mediated detrimental effects in human skin.</t>
  </si>
  <si>
    <t>Letter</t>
  </si>
  <si>
    <t>"Photoaging and skin damage that is caused by solar radiation is well known. We have recently learned that within the solar spectrum this damage not only results from ultraviolet (UV) radiation, but also from longer wavelengths, in particular near infrared radiation. Accordingly, infrared radiation (IR) has been shown to alter the collagen equilibrium of the dermal extracellular matrix in at least 2 ways: (1) by leading to an increased expression of the collagen degrading enzyme matrixmetalloproteinase-1 while (2) decreasing the de novo synthesis of the collagen itself. Infrared-A (IRA) radiation exposure, therefore, induces similar biological effects to UV, but the underlying mechanisms are substantially different. IRA acts via the mitochondria and therefore protection from IR requires alternative strategies."
Comment: This paper assumes that infrared from sunlight can be harmful for the skin.</t>
  </si>
  <si>
    <t>Schroeder &amp; Krutmann</t>
  </si>
  <si>
    <t>Hautarzt</t>
  </si>
  <si>
    <t>[IRA protection. Needs and possibilities]. [Article in German]</t>
  </si>
  <si>
    <t>"When it comes to skin damage, solar radiation is often regarded to be identical to ultraviolet (UV) but it includes much more. Over 90% of solar radiation is in the non-UV-range. Infrared A radiation (IRA, 760-1440 nm) accounts for around 30% of the solar energy reaching the earth's surface and exert detrimental effects on the skin. IRA alters the collagen equilibrium of the dermal extracellular matrix by leading to an increased expression of the collagen degrading enzyme matrixmetalloproteinase-1 while decreasing the expression of the dominant collagen gene Col1alpha1. IRA therefore leads to endpoints similar to UV, but the underlying biological mechanisms are substantially different. IRA acts via the mitochondria. IRA-specific protective approaches should be added to conventional sun protections strategies"
Comment: This paper assumes that infrared from sunlight can be harmful for the skin.</t>
  </si>
  <si>
    <t>The role of near infrared radiation in photoaging of the skin.</t>
  </si>
  <si>
    <t>"Infrared (IR) radiation is non-ionizing, electromagnetic radiation with wavelengths between 760 nm and 1 mm, which is further divided into IRA, IRB and IRC. IR accounts for more than half of the solar energy that reaches the human skin. While IRB and IRC do not penetrate deeply into the skin, more than 65% of IRA reaches the dermis. Human skin is increasingly exposed to IRA-radiation; most relevant sources are (i) natural solar radiation consisting of over 30% IRA, (ii) artificial IRA sources used for therapeutic or wellness purposes and (iii) artificial UV sources contaminated with IRA. As part of natural sunlight, IRA significantly contributes to extrinsic skin aging. This article reviews the cutaneous effects of IRA-radiation, the underlying molecular mechanisms and the available protective strategies."
Comment: This paper assumes that infrared from sunlight can be harmful for the skin.</t>
  </si>
  <si>
    <t>Gebbers</t>
  </si>
  <si>
    <t>Switzerland
(Lausanne)</t>
  </si>
  <si>
    <t>Ger Med Sci</t>
  </si>
  <si>
    <t>Water-filtered infrared-A radiation (wIRA) is not implicated in cellular degeneration of human skin.</t>
  </si>
  <si>
    <t>665-
780
+
780-
1400</t>
  </si>
  <si>
    <t>"wIRA(+RL) even at the investigated disproportionally high irradiances does not induce cell death or a systematic increase of MMP-1 mRNA expression, both of which can be easily induced by UV-A radiation. Furthermore, these results support previous findings of in vivo investigations on collagenase induction by UV-A but not wIRA and show that infrared-A with appropriate irradiances does not seem to be involved in MMP-1 mediated photoaging of the skin. As suggested by previously published studies wIRA could even be implicated in a protective manner."</t>
  </si>
  <si>
    <t>Applegate</t>
  </si>
  <si>
    <t>Int J Mol Med</t>
  </si>
  <si>
    <t>Induction of the putative protective protein ferritin by infrared radiation: implications in skin repair.</t>
  </si>
  <si>
    <t>🧑 Human
📄 Non-randomized study
👥 4 participants
⌛ single session -&gt; biopsy 24h later
+ 🧪 In vitro</t>
  </si>
  <si>
    <t>800-
1400</t>
  </si>
  <si>
    <t>"The modification of ferritin in human skin cells in vitro and in vivo following infrared-A irradiation by immunohistochemical analysis and ELISA were evaluated. In addition, we observed that IR-A is not capable of inducing frank damage to DNA (pyrimidine dimers, p53), induction of oxidative stress proteins (heme oxygenase, nitric oxide, superoxide dismutase, heat shock proteins) or proteases (collagenase, stromelysin, gelatinase) involved in carcinogenesis and photoaging of the skin."
"Following IR-A radiation, the ferritin increase was localized to epidermal tissue and showed an increase from 120 to 220%. Parallel to the in vivo analysis, dermal fibroblasts were cultured from six individuals. Quantitative analysis for ferritin in cultured fibroblasts was assessed by ELISA and increases were seen to be dose-dependent and up to 130% of basal levels of ferritin following infrared-A. "
"Our findings indicate that the putative defense system of ferritin that exists in human skin in vivo can be induced by infrared-A radiation and that these wavelengths may prove to be beneficial for human skin. Importantly, following the same doses of IR-A that induced ferritin levels, there was no alteration seen for nuclear DNA type damage, oxidative stress proteins or proteases involved in the degradation of skin. The increased concentrations of this antioxidant in human skin following acute UV radiation could afford increased protection against subsequent oxidative stress."</t>
  </si>
  <si>
    <t>Laser skin resurfacing wounds / erythema</t>
  </si>
  <si>
    <t>Soliman</t>
  </si>
  <si>
    <t>The effect of combined red, blue, and near-infrared light-emitting diode (LED) photobiomodulation therapy on speed of wound healing after superficial ablative fractional resurfacing</t>
  </si>
  <si>
    <t>🧑 Human
🎲 Randomized trial
👥 25 participants
⌛ 4-week treatment / 2-month study</t>
  </si>
  <si>
    <t>465+
640+
880</t>
  </si>
  <si>
    <t>"The three blinded evaluators chose the treatment arm as the faster healed arm in greater than 50% of the images, although the results were not statistically significant. There was no statistically significant difference between test and control arms in terms of pain, discomfort and itch."</t>
  </si>
  <si>
    <t>Duff</t>
  </si>
  <si>
    <t>France
(Nice)</t>
  </si>
  <si>
    <t>HeaLED: Assessment of skin healing under light-emitting diode (LED) exposure-A randomized controlled study versus placebo</t>
  </si>
  <si>
    <t>🧑 Human
🎲 Randomized trial, sham-controlled, self-controlled
👥 10 participants
⌛ 3-day treatment / 21-day study</t>
  </si>
  <si>
    <t>590+
630+
850</t>
  </si>
  <si>
    <t>"No significant differences in the variation of the parameter a* or any of the other studied parameters were found for the different LEDs compared to the placebo area."</t>
  </si>
  <si>
    <t>Wanitphakdeedecha</t>
  </si>
  <si>
    <t>Local and systemic effects of low-level light therapy with light-emitting diodes to improve erythema after fractional ablative skin resurfacing: a controlled study.</t>
  </si>
  <si>
    <t>🧑 Human
🎲 Randomized trial, sham-controlled, split-face
👥 17 participants
⌛ single treatment / 7-day follow-up</t>
  </si>
  <si>
    <t>"In the split-face group, the duration of erythema post laser was equal (7.4 ± 2.8 days). No significant reduction in the erythema index and transepidermal water loss was seen in the LED-treated vs the non-treated side (p values = 0.99 and 0.78 respectively). 
For the second part of the study that compared the results between the split-face group and the control CO2 only group, the duration of the post-laser erythema was comparable (p value = 0.32). 
However, the percentage difference of the erythema index from baseline in the split-face group was significantly lower than the CO2 group on days 1, 4, 5, and 7 post-laser treatment (p value = 0.03 on days 1, 4, 5, and 0.04 on day 7)"
"830/590 nm LED-LLLT may provide both local and systemic effects on the degree of post-ablative laser erythema in human skin, however, appropriate protocol settings should be considered to achieve a significant clinical outcome."</t>
  </si>
  <si>
    <t>Canada</t>
  </si>
  <si>
    <t>Accelerating Ablative Fractional Resurfacing Wound Healing Recovery by Photobiomodulation</t>
  </si>
  <si>
    <t>"A growing body of clinical evidence is showing that PBM, using 600–1000 nm light wavelengths, as soon as possible post-procedure and thereafter, successfully accelerates the acute healing phase via faster wound healing so as to reduce patient downtime."</t>
  </si>
  <si>
    <t>Marmon</t>
  </si>
  <si>
    <t>Evaluating the safety and efficacy of the 1,440-nm laser in the treatment of photodamage in Asian skin.</t>
  </si>
  <si>
    <t>🧑 Human
📄 Single-arm study
👥 10 participants
⌛ 8-week treatment / 12-week study</t>
  </si>
  <si>
    <t>"The low energy, low density nonablative 1,440-nm fractional laser produces a mild improvement in select signs of photodamage after four treatments without any long-term adverse effects."</t>
  </si>
  <si>
    <t>Efficacy of light-emitting diode photomodulation in reducing erythema after fractional carbon dioxide laser resurfacing: a pilot study.</t>
  </si>
  <si>
    <t>🧑 Human
🎲 Randomized trial, split-face
👥 10 participants
⌛ 7 days</t>
  </si>
  <si>
    <t>LED phototherapy
(Smartlux, Medmix)</t>
  </si>
  <si>
    <t>0.075</t>
  </si>
  <si>
    <t>"The postlaser erythema resolved faster on the experimental side than the control side, with improvements noted according to physician assessment and chromometer erythema index. Statistically significant improvements between the two sides were first noted on day 4."
"Treatment using a 635-nm-wavelength LED array decreases the intensity and duration of post-fractional CO2 laser treatment erythema."
Comment: The differences between the groups are quite modest.</t>
  </si>
  <si>
    <t>Alster &amp; Wanitphakdeedecha</t>
  </si>
  <si>
    <t>Improvement of postfractional laser erythema with light-emitting diode photomodulation.</t>
  </si>
  <si>
    <t>🧑 Human
🎲 Randomized trial, split-face
👥 20 participants
⌛ single treatment / 4-day follow-up</t>
  </si>
  <si>
    <t>4200
(??)</t>
  </si>
  <si>
    <t>0.1
(??)</t>
  </si>
  <si>
    <t>"The LED-treated facial halves were less erythematous in all 20 patients 24 hours postoperatively. The six patients who received the highest mean energy densities during fractional laser treatment continued to exhibit decreased erythema in the LED-treated areas at 48 hours. At 96 hours post-treatment, no discernible differences between facial halves were observed in any patient."
Comment: The parameters seem contradictory.</t>
  </si>
  <si>
    <t>Tralles</t>
  </si>
  <si>
    <t>Spain
(Cambrils)</t>
  </si>
  <si>
    <t>Medical Laser Application</t>
  </si>
  <si>
    <t>Combined visible light and infrared light-emitting diode (LED) therapy enhances wound healing after laser ablative resurfacing of photodamaged facial skin</t>
  </si>
  <si>
    <t>🧑 Human
🎲 Randomized trial, self-controlled
👥 28 participants
⌛ 3-week treatment / 6-month follow-up</t>
  </si>
  <si>
    <t>LED phototherapy
Systemic effects (?)</t>
  </si>
  <si>
    <t>633+
830</t>
  </si>
  <si>
    <t>98+
55</t>
  </si>
  <si>
    <t>4
/ 3 weeks</t>
  </si>
  <si>
    <t>"The healing time in the LED-treated side was around 50% faster and sequelae significantly less compared with the untreated side, but interestingly these factors were slightly better in the untreated side compared with the retrospective untreated controls."
"At a 6-month follow-up in the prospective group, no significant difference in wrinkle improvement was seen between the treated and untreated side, but the skin appeared younger-looking on the LED-treated compared with the untreated side."
Comment: The journal is not indexed in PubMed.</t>
  </si>
  <si>
    <t>Device: Omnilux</t>
  </si>
  <si>
    <t>Trelles &amp; Allones</t>
  </si>
  <si>
    <t>Red light-emitting diode (LED) therapy accelerates wound healing post-blepharoplasty and periocular laser ablative resurfacing.</t>
  </si>
  <si>
    <t>🧑 Human
🎲 Randomized trial, split-face
👥 10 participants 
⌛ 2-week treatment / 6-week follow-up</t>
  </si>
  <si>
    <t>4
/ 2 weeks</t>
  </si>
  <si>
    <t>"In all instances, the LED therapy-treated side was statistically significantly superior to the unirradiated control by a factor of two to three."
"In this small series of 10 patients, red LED phototherapy after blepharoplasty and laser ablative resurfacing cut the time to resolution of side effects and the healing time by one-half to one-third compared with contralateral unirradiated controls. Further studies are warranted with larger populations to confirm these findings."</t>
  </si>
  <si>
    <t>LEDs</t>
  </si>
  <si>
    <t>Gold MH</t>
  </si>
  <si>
    <t>Curr Probl Dermatol</t>
  </si>
  <si>
    <t>Light-emitting diode.</t>
  </si>
  <si>
    <t>"Light-emitting diode (LED) photomodulation has become a recognized player in the world of lasers and light sources. It is used to treat a variety of clinical entities, including photorejuvenation, erythema-induced injury following laser and other cosmetic procedures, and acne vulgaris. Its use has increased and will increase further as our understanding of LED devices deepens."</t>
  </si>
  <si>
    <t>Melanin</t>
  </si>
  <si>
    <t>Photobiomodulation for Skin Pigmentation Disorders: A Dual-Function Treatment</t>
  </si>
  <si>
    <t>"The intriguing topic that will be addressed as follows is that photobiomodulation therapy (PBMT) may be able to treat both types of pigmentation disorders and exert seemingly opposite effects depending on the result required."</t>
  </si>
  <si>
    <t>Adv Healthcare Mater</t>
  </si>
  <si>
    <t>Wearable Surface-Lighting Micro-Light-Emitting Diode Patch for Melanogenesis Inhibition</t>
  </si>
  <si>
    <t>🐁 Mouse (?)
+ 🧪 In vitro</t>
  </si>
  <si>
    <t>LED phototherapy
Device design</t>
  </si>
  <si>
    <t>"Here, we report a wearable surface-lighting micro-LED (SμLED) photostimulator for skin-bleaching applications."
"The SμLEDs maximize photostimulation effectiveness on the skin surface by uniform irradiation, high flexibility and thermal stability. The SμLEDs effect on melanogenesis inhibition was evaluated via in vitro and in vivo experiments to human skin equivalents and mouse dorsal skin, respectively. 
The anti-melanogenic effect of SμLEDs was confirmed by significantly reduced levels of melanin contents, melan-A, tyrosinase and microphthalmia-associated transcription factor (MITF), compared to a conventional LED (CLED) stimulator."</t>
  </si>
  <si>
    <t>Jin</t>
  </si>
  <si>
    <t>585 nm light-emitting diodes inhibit melanogenesis through upregulating H19/miR-675 axis in LEDs-irradiated keratinocytes by paracrine effect</t>
  </si>
  <si>
    <t>"This study demonstrated that 585 nm LEDs could inhibit melanogenesis via the up-regulation of H19 and its derived exosomal miR-675 from NHEKs, which was considered as a novel paracrine factor in regulating melanogenesis."</t>
  </si>
  <si>
    <t>Light-emitting diode 585nm photomodulation inhibiting melanin synthesis and inducing autophagy in human melanocytes.</t>
  </si>
  <si>
    <t>"Our finding demonstrated that LED photomodulation with 585nm wavelength suppressed melanin content in [human epidermal melanocyte]s, and the effect was caused by its dose-dependent inhibition on melanogenesis and the induction of [human epidermal melanocyte]s autophagy. This may provide new insights into the efficacy of LED photomodulation in the treatment of hyperpigmentation disorders."</t>
  </si>
  <si>
    <t>Inhibitory effect of 660-nm LED on melanin synthesis in in vitro and in vivo.</t>
  </si>
  <si>
    <t>"The purpose of this study was to investigate the effects of 660-nm LED on inhibition of melanogenesis. We investigated whether a 660-nm LED affected melanin synthesis in in vitro and in vivo models, and we explored the mechanisms involved."
"These findings suggest 660-nm LED is a potentially depigmentation strategy."</t>
  </si>
  <si>
    <t>Saudi Arabia
(Riyadh)</t>
  </si>
  <si>
    <t>Ultra-structural effects of different low-level lasers on normal cultured human melanocytes: an in vitro comparative study.</t>
  </si>
  <si>
    <t>Blue light 🔵
Melanogenesis /
Melanosome stages</t>
  </si>
  <si>
    <t>355
457
635</t>
  </si>
  <si>
    <t>2.0</t>
  </si>
  <si>
    <t>"The present data show that the amount of stage I is significantly higher (P &lt; 0.0001) in the LLLT-treated cells compared to the control, which indicates significant stimulation of melanogenesis. The red laser was more effective than the other lasers."</t>
  </si>
  <si>
    <t>Korea
(Dongguk)</t>
  </si>
  <si>
    <t>Light-emitting diodes at 830 and 850 nm inhibit melanin synthesis in vitro.</t>
  </si>
  <si>
    <t>830
850</t>
  </si>
  <si>
    <t>1-20
1</t>
  </si>
  <si>
    <t>"These results indicate that LEDs could potentially be used to treat melanin-overproducing skin conditions."</t>
  </si>
  <si>
    <t>Melasma</t>
  </si>
  <si>
    <t>Galache</t>
  </si>
  <si>
    <t>Photobiomodulation for melasma treatment: Integrative review and state of the art</t>
  </si>
  <si>
    <t>"We identified nine relevant studies. Clinical studies, in agreement with in vitro experiments and animal models, suggest that PBM effectively reduces melasma-associated hyperpigmentation. Specific wavelengths (red: 630 nm; amber: 585 and 590 nm; infrared: 830 and 850 nm) at radiant exposures between 1 and 20 J/cm2 exert modulatory effects on tyrosinase activity, gene expression, and protein synthesis of melanocytic pathway components, and thus significantly reduce the melanin content. Additionally, PBM is effective in improving the dermal structure and reducing erythema and neovascularization, features recently identified as pathological components of melasma."
"PBM emerges as a promising, contemporary, and non-invasive procedure for treating melasma. Beyond its role in inhibiting melanogenesis, PBM shows potential in reducing erythema and vascularization and improving dermal conditions. However, robust and well-designed clinical trials are needed to determine optimal light parameters and to evaluate the effects of PBM on melasma thoroughly."</t>
  </si>
  <si>
    <t>Coricciati</t>
  </si>
  <si>
    <t>Italy
(Martano)</t>
  </si>
  <si>
    <t>The 675-nm wavelength for treating facial melasma</t>
  </si>
  <si>
    <t>🧑 Human
📄 Single-arm trial
👥 18 participants
⌛ 3-month treatment -&gt; 3-month follow-up</t>
  </si>
  <si>
    <t>Non-ablative laser
(Not exactly PBM?)</t>
  </si>
  <si>
    <t>10000
(??)</t>
  </si>
  <si>
    <t>1.69
cm2
scanning
system
(13 x 13 mm)</t>
  </si>
  <si>
    <t>"Our research shows that individuals with Fitzpatrick phototypes II to III can treat facial melasma with the 675-nm laser source system without risk. Due to its interaction with melanin, collagen and haemoglobin chromophores, as well as its excellent capacity to penetrate tissues with less heating, this system is promising in the treatment of pigmentary and vascular illnesses such as melasma. The great success of the technology we used came from the reduced levels of inflammation produced after the treatments and the low energy level implied."</t>
  </si>
  <si>
    <t>Amber photobiomodulation versus tranexamic acid for the treatment of melasma: protocol for a double-blind, randomised controlled trial</t>
  </si>
  <si>
    <t>"This study is a controlled, randomised, double-blind, non-inferiority trial. This study will be performed in two centres (Universidade Nove de Julho Facility, Campus Vergueiro, and Galache Odontology Clinic, São Caetano do Sul, both in São Paulo State, Brazil). The sample (54 participants) will be divided into two groups in a 1:1 ratio; one group will receive active PBM and a placebo cosmetic and the other will receive sham PBM and liposomal tranexamic acid."</t>
  </si>
  <si>
    <t>Dai</t>
  </si>
  <si>
    <t>590 nm LED Irradiation Improved Erythema through Inhibiting Angiogenesis of Human Microvascular Endothelial Cells and Ameliorated Pigmentation in Melasma</t>
  </si>
  <si>
    <t>🧑 Human
📄 Single-arm trial
👥 10 participants
⌛ 8-week treatment -&gt; 3-month follow-up
+ 🧪 In vitro</t>
  </si>
  <si>
    <t>"We previously demonstrated the yellow light of light-emitting diodes (LED) could inhibit melanogenesis through the photobiomodulation (PBM) of melanocytes and keratinocytes. In the current study, we investigated the effect of 590 nm LED on the function of human microvascular endothelial cells (HMEC-1). 
We revealed 0-40 J/cm2 590 nm LED had no toxic effect on HMEC-1 in vitro. 590 nm LED irradiation significantly reduced cell migration, tube formation, as well as the expression of vascular endothelial growth factor (VEGF) and stem cell factor (SCF), a pro-melanogenic factor. 
Moreover, we illustrated that 590 nm LED inhibited the phosphorylation of the AKT/PI3K/mTOR signaling pathway, and the inhibitory effect on HMEC-1 could be partially reversed by insulin-like growth factor 1 (IGF-1), an AKT/PI3K/mTOR pathway agonist."
"Besides, we conducted a pilot clinical study and observed a marked improvement on facial erythema and pigmentation in melasma patients after amber LED phototherapy."</t>
  </si>
  <si>
    <t>Device: "amber light LED device (product code: KN-7000D, wavelength: 585 ± 10 nm, power density: 20 mW/cm2, irradiation area: 850 cm2 ± 10%, donated by Xuzhou Kernel Medical Equipment Co.)"</t>
  </si>
  <si>
    <t>Mpofana &amp; Abrahamse</t>
  </si>
  <si>
    <t>The Management of Melasma on Skin Types V and VI Using Light Emitting Diode Treatment</t>
  </si>
  <si>
    <t>🧑 Human
📄 Single-arm trial
👥 60 participants
⌛ 9 months</t>
  </si>
  <si>
    <t>Two subgroups according to skin type
LED phototherapy</t>
  </si>
  <si>
    <t>0.055
0.105</t>
  </si>
  <si>
    <t>126+
66</t>
  </si>
  <si>
    <t>36
/ 9 months</t>
  </si>
  <si>
    <t>"Both subjective and objective results indicated a significant improvement of melasma. Statistical analyses revealed significant improvements in both groups."</t>
  </si>
  <si>
    <t>Barolet D</t>
  </si>
  <si>
    <t>Canada
(Québec)</t>
  </si>
  <si>
    <t>Dual Effect of Photobiomodulation on Melasma: Downregulation of Hyperpigmentation and Enhanced Solar Resistance-A Pilot Study.</t>
  </si>
  <si>
    <t>🧑 Human
🎲 Randomized trial, self-controlled, single-blinded (?)
👥 7 participants
⌛ 8-week treatment / 12-week study</t>
  </si>
  <si>
    <t>13.5</t>
  </si>
  <si>
    <t>"The pulsed photobiomodulation-treated side versus the control side showed statistically significant results for pigment reduction."
"This pilot study shows that dermal melasma can be significantly improved with pulsed photobiomodulation. Interestingly, it might also precondition the skin, helping it to build a resistance to future solar ultraviolet ray exposure."
Comment: The authors claim that the participants were not able to know which side was PBM-treated, so if this is true, the study is single-blinded.</t>
  </si>
  <si>
    <t>Nails</t>
  </si>
  <si>
    <t>Jornsamer</t>
  </si>
  <si>
    <t>Red light emitting diode as an adjuvant treatment for epidermal growth factor receptor inhibitors-induced paronychia</t>
  </si>
  <si>
    <t>🧑 Human
🎲 Randomized trial, sham-controlled, self-controlled
👥 8 participants
⌛ 6-week treatment / 8-week study</t>
  </si>
  <si>
    <t>126</t>
  </si>
  <si>
    <t>2-3
/week
for
6
weeks</t>
  </si>
  <si>
    <t>"The red light group showed significantly lower erythema, severity, and pain scores at weeks 4, 6, and 8. The elevation was significantly lower in the red light group at every follow-up visit."</t>
  </si>
  <si>
    <t>Device: Omnilux Revive</t>
  </si>
  <si>
    <t>Onychomycosis</t>
  </si>
  <si>
    <t>Kiran</t>
  </si>
  <si>
    <t>Pakistan
(Karachi)</t>
  </si>
  <si>
    <t>J Coll Physicians Surg Pak</t>
  </si>
  <si>
    <t>Efficacy of Nd:YAG Laser 1064-nm in the Treatment of Onychomycosis</t>
  </si>
  <si>
    <t>🧑 Human
📄 Retrospective study
👥 30 patients</t>
  </si>
  <si>
    <t>40-60</t>
  </si>
  <si>
    <t>"Fourteen (46.6%) cases showed excellent improvement, 6 (20%) cases showed good improvement, and 10 (33.3%) cases showed mild improvement."</t>
  </si>
  <si>
    <t>Aukstikalnyte</t>
  </si>
  <si>
    <t>Italy
(Bolzano)</t>
  </si>
  <si>
    <t>Combination of a triple wavelength (650 nm, 810 nm, and 915 nm) class IV laser system and local mechanical abrasion in the treatment of chronic toenail onychomycosis: an uncontrolled prospective pilot study</t>
  </si>
  <si>
    <t>🧑 Human
📄 Single-arm trial
👥 9 participants, 16 nails
⌛ 28-44 day treatment -&gt; 1-month follow-up (?)</t>
  </si>
  <si>
    <t>650+
810+
915</t>
  </si>
  <si>
    <t>240
x4</t>
  </si>
  <si>
    <t>120
x4</t>
  </si>
  <si>
    <t>"Nine patients with 16 clinically involved nails were included in this study (median age: 55.6). Clinical improvement was noted in eight patients (89%) at the end of the treatment cycles. 
Initial positive cultures could be reduced from six (67%) to two (22%), P = 0.07, while histopathologic examination by PAS staining remained invariable positive in all patients (100%)."
Comment: The 3 watts over 2 minutes should equal 360 joules, but authors claim the dose of 240 joules.</t>
  </si>
  <si>
    <t>Sabbah</t>
  </si>
  <si>
    <t>Canada
(Quebec City)</t>
  </si>
  <si>
    <t>J Cutan Med Surg</t>
  </si>
  <si>
    <t>A Randomized, Double-Blind, Controlled Trial Evaluating the Efficacy of Nd:YAG 1064 nm Short-Pulse Laser Compared With Placebo in the Treatment of Toenail Onychomycosis.</t>
  </si>
  <si>
    <t>🧑 Human
🎲 Randomized trial, double-blind
👥 51 participants
⌛ 24-week treatment / 52-week study</t>
  </si>
  <si>
    <t>6-8</t>
  </si>
  <si>
    <t>3
/ 24 weeks</t>
  </si>
  <si>
    <t>"This study demonstrated that 3 treatments of Nd:YAG 1064 nm laser at 3-month intervals were not effective to treat onychomycosis."</t>
  </si>
  <si>
    <t>Nijenhuis-Rosien</t>
  </si>
  <si>
    <t>Netherlands
(Zwolle)</t>
  </si>
  <si>
    <t>J Eur Acad Dermatol Venereol</t>
  </si>
  <si>
    <t>Laser therapy for onychomycosis in patients with diabetes at risk for foot ulcers: A randomised, quadruple-blind, sham controlled trial (LASER-1).</t>
  </si>
  <si>
    <t>🧑 Human
🎲 Randomized trial, double-blind
👥 63 participants
⌛ 12-week treatment / 1-year study</t>
  </si>
  <si>
    <t>4
/ 12 weeks</t>
  </si>
  <si>
    <t>"There was no difference in the primary outcome between laser and sham treatment."</t>
  </si>
  <si>
    <t>Hees</t>
  </si>
  <si>
    <t>Germany
(Karlsruhe)</t>
  </si>
  <si>
    <t>Treatment of onychomycosis using the 1 064 nm Nd:YAG laser: a clinical pilot study.</t>
  </si>
  <si>
    <t>🧑 Human
⚔ Comparison study
👥 10 participants
⌛1-month treatment / 9-month study</t>
  </si>
  <si>
    <t>Two different devices compared</t>
  </si>
  <si>
    <t>1064
1064</t>
  </si>
  <si>
    <t>50
25.5</t>
  </si>
  <si>
    <t>d  = 3 mm
d = 1.5 mm</t>
  </si>
  <si>
    <t>2
2
/ 1 month</t>
  </si>
  <si>
    <t>"OSI-Scores decreased for 3.8 (15 %; p = 0.006), 4.8 (19 %; p = 0.0002) and 2.9 points (12 %; p = 0.04) within 3, 6 and 9 months. The positive culture rate at 9 months was significantly reduced to 35 % (p = 0.0003). Classification of severity of onychomycosis showed no change. The difference between the treatment regimens was not significant."</t>
  </si>
  <si>
    <t>Nicolopoulos</t>
  </si>
  <si>
    <t>The Foot</t>
  </si>
  <si>
    <t>Clinical application of helium neon (632 nm) plus infrared diode laser GaAIAs (830 nm) and CO2laser in treatment of onychomycotic nails</t>
  </si>
  <si>
    <t>🧑 Human
📄 Non-randomized study, controlled
👥 78 participants
⌛2-week treatment / 12-month study</t>
  </si>
  <si>
    <t>CO2 laser + LLLT (group B)</t>
  </si>
  <si>
    <t>633
+
830</t>
  </si>
  <si>
    <t>1.5
+
50</t>
  </si>
  <si>
    <t>2
+
4</t>
  </si>
  <si>
    <t>every third day
for 2 weeks</t>
  </si>
  <si>
    <t>"It was concluded that low level laser therapy reduced pain, improved the healing time and had a lower recurrence rate."</t>
  </si>
  <si>
    <t>Orthopedic implant sensitivity</t>
  </si>
  <si>
    <t>Tzu Chi Med J</t>
  </si>
  <si>
    <t>Orthopedic implant hypersensitivity: Characterization of clinical presentation and effects of photobiomodulation therapy</t>
  </si>
  <si>
    <t>🧑 Human
📄 Case series
👥 14 cases</t>
  </si>
  <si>
    <t>311+
808</t>
  </si>
  <si>
    <t>"Seven patients (50%) had favorable outcome after PBMT and successfully withdrew from systemic steroid."</t>
  </si>
  <si>
    <t>Patient questions</t>
  </si>
  <si>
    <t>An Analysis of Dermatology-Related Red-Light Therapy Patient Questions on Reddit</t>
  </si>
  <si>
    <t>Analysis of internet forum</t>
  </si>
  <si>
    <t>"All posts on the "Hot" page of the r/redlighttherapy subreddit were analyzed and categorized."
"A total of 930 questions from 664 posts were analyzed. The most commonly asked question category was related to product recommendations or feedback (29.7%), followed by usage instructions (15.3%), safety and side effects (12.6%), and indications and efficacy (12.3%)."
"Understanding patient concerns and questions about RL, as expressed on online platforms like Reddit, can help clinicians improve patient satisfaction, education, and clinical outcomes. The study offers an innovative approach by using social media to uncover valuable patient insights that might not be easily observable within clinical settings."</t>
  </si>
  <si>
    <t>PBM with PDO threads</t>
  </si>
  <si>
    <t>Combining red photobiomodulation therapy with polydioxanone threads for wrinkle reduction in the glabella region: A randomized, controlled, double-blind clinical trial</t>
  </si>
  <si>
    <t>🧑 Human
🎲 Randomized trial, double-blind
👥 40 participants
⌛ 30 days</t>
  </si>
  <si>
    <t>9
/ 30 days</t>
  </si>
  <si>
    <t>"PDO threads induced dermal thickening; no added effect with PBM."</t>
  </si>
  <si>
    <t>Pemphigus vegetans</t>
  </si>
  <si>
    <t>USA &amp; China</t>
  </si>
  <si>
    <t>Is 640 nm high-fluence visible red light a valuable adjunct for treating pemphigus vegetans? A single case report.</t>
  </si>
  <si>
    <t>🧑 Human
📄 Case report
⌛ 5+ years</t>
  </si>
  <si>
    <t>"The cerebriform plaques improved quickly after the treatment of corticosteroid and 640 nm high-fluence visible red light."</t>
  </si>
  <si>
    <t>Psoriasis</t>
  </si>
  <si>
    <t>Pixley</t>
  </si>
  <si>
    <t>Could red and near-infrared emitting fabric technology improve the severity of psoriasis, polymorphous light eruption, and alopecia areata?</t>
  </si>
  <si>
    <t>🧑 Human
📄 Case series
👥 14 cases (9 completed, 3 per condition)</t>
  </si>
  <si>
    <t>600-
1000</t>
  </si>
  <si>
    <t>daily for
12 weeks</t>
  </si>
  <si>
    <t>"Three patients with psoriasis completed the study while two self-discontinued. The three patients who completed the study noted improvement and two had improvements in lesion redness, thickness, or scale, while one was clinically stable. 
Three patients with PMLE completed the study, and none had a disease flare during the study period.
Three patients with AA completed the study: two reported disease improvement and all three had an improved SALT score."</t>
  </si>
  <si>
    <t>Device: "LLLT yarn (Lumiton®) is embedded with light-emitting dyes that absorb wavelengths in the visible red UV spectrum (approximately 200–700nm) and emit wavelengths in the red to NIR region (600– 1000nm). Garments made from this fabric and used in this study included long-sleeved shirts and shirt sleeves (Figures 1A and 1B, used for psoriasis and PMLE) and baseball caps (Figure 1C, used for AA). Patients were given a garment that covered the skin or hair involved"</t>
  </si>
  <si>
    <t>Kemény</t>
  </si>
  <si>
    <t>Hungary
(Szeged)</t>
  </si>
  <si>
    <t>Expert Rev Clin Immunol</t>
  </si>
  <si>
    <t>Advances in phototherapy for psoriasis and atopic dermatitis.</t>
  </si>
  <si>
    <t>"Vascular lasers, IPLs and LLLT, however, can not currently be recommended for the treatment of inflammatory skin diseases because of the lack of well-controlled studies."</t>
  </si>
  <si>
    <t>A Systematic Review of Light Emitting Diode (LED) Phototherapy for Treatment of Psoriasis: An Emerging Therapeutic Modality.</t>
  </si>
  <si>
    <t>"5 original articles met inclusion criteria for our review.
Grade of recommendation: B for LED-blue light.
Grade of recommendation: C for LED-ultraviolet B, LED-red light, and combination LED-near-infrared and LED-red light.
Conclusion: We envision further characterizing the effects of LED phototherapy to treat psoriasis in patients may increase adoption of LED-based modalities and provide clinicians and patients with new therapeutic options that balance safety, efficacy, and cost."</t>
  </si>
  <si>
    <t>Pfaff</t>
  </si>
  <si>
    <t>Germany
(Aachen)</t>
  </si>
  <si>
    <t>Prospective Randomized Long-Term Study on the Efficacy and Safety of UV-Free Blue Light for Treating Mild Psoriasis Vulgaris</t>
  </si>
  <si>
    <t>🧑 Human
🎲 Randomized trial, double-blind, self-controlled, two intervention groups
👥 47 participants
⌛ 12-week treatment -&gt; 4-week follow-up</t>
  </si>
  <si>
    <t>LED phototherapy
🔵 Blue light</t>
  </si>
  <si>
    <t>0.100
0.200</t>
  </si>
  <si>
    <t xml:space="preserve">44-52
/ 12 weeks
</t>
  </si>
  <si>
    <t>"The primary endpoint, change from baseline (CfB) of the Local Psoriasis Severity Index, revealed a significant improvement of the target compared to the control plaques (ΔCfB for the HI group: -0.92 ± 1.10, p = 0.0005; for the LI group: -0.74 ± 1.18, p = 0.0064)."</t>
  </si>
  <si>
    <t>Kleinpenning</t>
  </si>
  <si>
    <t>Efficacy of blue light vs. red light in the treatment of psoriasis: a double-blind, randomized comparative study.</t>
  </si>
  <si>
    <t>🧑 Human
⚔ Comparison study, randomized
👥 20 participants
⌛ 4 weeks</t>
  </si>
  <si>
    <t>LED phototherapy
⚔ Blue vs red light vs salicylic acid (alone) (?)
🔵 Blue light</t>
  </si>
  <si>
    <t>420
630</t>
  </si>
  <si>
    <t>0.100
0.050</t>
  </si>
  <si>
    <t>120
60</t>
  </si>
  <si>
    <t>1200
1200</t>
  </si>
  <si>
    <t>12
12</t>
  </si>
  <si>
    <t>"Clinical improvement was seen after treatment with blue as well as after treatment with red light. With respect to scaling and induration, no major differences between both light sources were seen. Improvement of erythema, however, continued in blue light irradiated plaques throughout the whole study period, whereas after red light no significant improvement was seen after six illuminations."</t>
  </si>
  <si>
    <t>Ablon G</t>
  </si>
  <si>
    <t>Combination 830-nm and 633-nm light-emitting diode phototherapy shows promise in the treatment of recalcitrant psoriasis: preliminary findings.</t>
  </si>
  <si>
    <t>🧑 Human
📄 Case series
👥 9 cases
⌛4-5 week treatment / 3-8 month follow-up</t>
  </si>
  <si>
    <t>Recalcitrant psoriasis
LED phototherapy</t>
  </si>
  <si>
    <t>126
+
60</t>
  </si>
  <si>
    <t>2
/ 4-5 weeks</t>
  </si>
  <si>
    <t>"Clearance rates at the end of the follow-up period ranged from 60% to 100%. Satisfaction was universally very high."</t>
  </si>
  <si>
    <t>Radiation dermatitis</t>
  </si>
  <si>
    <t>Behroozian</t>
  </si>
  <si>
    <t>Multinational working group</t>
  </si>
  <si>
    <t>MASCC clinical practice guidelines for the prevention and management of acute radiation dermatitis: part 1) systematic review</t>
  </si>
  <si>
    <t>"A total of 235 original studies were included in this review, including 149 randomized controlled trials (RCTs). Most interventions could not be recommended due to a low quality of evidence, lack of supporting evidence, or conflicting findings across multiple trials."
"Photobiomodulation therapy, Mepitel® film, mometasone furoate, betamethasone, olive oil, and oral enzyme mixtures showed promising results across multiple RCTs. Recommendations could not be made solely based on the published evidence due to limited high-quality evidence. As such, Delphi consensus recommendations will be reported in a separate publication."</t>
  </si>
  <si>
    <t>Gobbo</t>
  </si>
  <si>
    <t>Support Care Cancer</t>
  </si>
  <si>
    <t>Photobiomodulation therapy for the prevention of acute radiation dermatitis: a systematic review and meta-analysis</t>
  </si>
  <si>
    <t>"Five papers were identified: four in breast and one in head and neck cancer patients. 
Patients receiving PBMT experienced less severe RD than the control groups after 40 Gray (Gy) of RT (grade 3 toxicity: Odds Ratio (OR): 0.57, 95% CI 0.14-2.22, p = 0.42) and at the end of RT (grade 0 + 1 vs. 2 + 3 toxicity: OR: 0.28, 95% CI 0.15-0.53, p &lt; 0.0001). RT interruptions due to RD severity were more frequent in the control group (OR: 0.81, 95% CI 0.10-6.58, p = 0.85)."
"Preventive PBMT may be protective against the development of severe grades of RD and reduce the frequency of RT interruptions. Larger sample sizes and other cancer sites at-risk of RD should be evaluated in future studies to confirm the true efficacy of PBMT, also in preventing the onset of RD and to finalize a standardized protocol to optimize the technique. At present, starting PBMT when RT starts is recommendable, as well as performing 2 to 3 laser sessions weekly."</t>
  </si>
  <si>
    <t>Lancet Oncol</t>
  </si>
  <si>
    <t>Multinational Association of Supportive Care in Cancer (MASCC) clinical practice guidelines for the prevention and management of acute radiation dermatitis: international Delphi consensus-based recommendations</t>
  </si>
  <si>
    <t>Consensus-based recommendations</t>
  </si>
  <si>
    <t>"Acute radiation dermatitis is a frequent adverse effect of radiotherapy, but standardisation of care for acute radiation dermatitis is lacking. 
Due to the conflicting evidence and variability in current guidelines, a four-round Delphi consensus process was used to compile opinions of 42 international experts on care for people with acute radiation dermatitis on the basis of the evidence in existing medical literature. 
Interventions for acute radiation dermatitis prevention or management that reached at least 75% consensus were recommended for clinical use. 
Six interventions could be recommended for the prevention of acute radiation dermatitis: photobiomodulation therapy and Mepitel film in people with breast cancer, Hydrofilm, mometasone, betamethasone, and olive oil."</t>
  </si>
  <si>
    <t>Camargo</t>
  </si>
  <si>
    <t>Plast Reconstr Surg Glob Open</t>
  </si>
  <si>
    <t>Effect of Photobiomodulation With Different Wavelengths on Radiodermatitis Treatment</t>
  </si>
  <si>
    <t>630
850
630+
850</t>
  </si>
  <si>
    <t>every other day for 21 days</t>
  </si>
  <si>
    <t>"LED (630 nm, 850 nm, and 630 nm + 850 nm) showed benefit in the treatment of radiodermatitis, and the association of the 630 nm + 850 nm and 630 nm parameters demonstrated the best macroscopic and microscopic results."</t>
  </si>
  <si>
    <t>Rocha</t>
  </si>
  <si>
    <t>Photobiomodulation Therapy in the Prevention and Treatment of Radiodermatitis in Breast Cancer Patients: Systematic Review</t>
  </si>
  <si>
    <t>"A total of 286 women were included in the three studies, and 142 of them received PBMT intervention."
"PBMT can reduce the severity of RD. New clinical trials are required to standardize protocols, given the scarcity of studies for the adopted site and methodological diversity."</t>
  </si>
  <si>
    <t>Hottz</t>
  </si>
  <si>
    <t>Radiat Oncol</t>
  </si>
  <si>
    <t>Photobiomodulation as a treatment for dermatitis caused by chemoradiotherapy for squamous cell anal carcinoma: case report and literature review</t>
  </si>
  <si>
    <t>🧑 Human
📄 Case report
⌛ 4-week treatment / 1-year follow-up</t>
  </si>
  <si>
    <t>"We present a case report of the successful use of PBM for the treatment of dermatitis in the anal area in a patient with SCAC treated with concomitant chemoradiation with curative intent and follow with a literature review of the recent advances and possibilities of the use of PBM as a promising strategy. 
PBM therapy proved to be efficient in the radiodermatitis treatment, both in relieving the symptoms and controlling dermatitis, in addition to improving the patient's quality of life."
Comment: Wavelength not mentioned.</t>
  </si>
  <si>
    <t>Mosca</t>
  </si>
  <si>
    <t>USA
(Buffalo, NY)</t>
  </si>
  <si>
    <t>The Efficacy of Photobiomodulation Therapy in Improving Tissue Resilience and Healing of Radiation Skin Damage</t>
  </si>
  <si>
    <t>660
880</t>
  </si>
  <si>
    <t>"We observed that both PBM treatments—red and NIR—demonstrated significantly less incidence and severity and improved healing with skin radionecrosis. Radiation exposed tissues had improved functional parameters such as vascular perfusion, reduced inflammation, and metabolic derangement following PBM therapy. Histological analysis confirmed these observations with minimal damage and resolution in tissues exposed to radiation. To our knowledge, this is the first report on the successful use of PBM therapy for brachytherapy."</t>
  </si>
  <si>
    <t>Robijns</t>
  </si>
  <si>
    <t>Belgium
(Hasselt)</t>
  </si>
  <si>
    <t>Photobiomodulation therapy for the prevention of acute radiation dermatitis in breast cancer patients undergoing hypofractioned whole-breast irradiation (LABRA trial)</t>
  </si>
  <si>
    <t>🧑 Human
🎲 Randomized trial
🗺 Multicenter
👥 71 participants
⌛ 3 weeks (?)</t>
  </si>
  <si>
    <t>2/week
for
3 weeks?</t>
  </si>
  <si>
    <t>"At week 3 of RT, one patient presented a grade 2 and one patient a grade 3 skin reaction in the control group, while in the PBM group, all patients still presented grade 1 ARD. At the final RT session 28% of the patients presenting grade 2-3 ARD, while in the PBM group 10% presented grade 2 and no grade 3 ARD. PBM reduced the incidence of severe ARD by 18%. However, the difference was not significant (p = 0.053)."
"Based on the LABRA trial results, PBM seems not able to reduce the incidence of severe ARD in breast cancer patients undergoing HF-WBI. Research in a larger patient population is recommended."</t>
  </si>
  <si>
    <t>Device: MLS® laser M6 (ASA srl)</t>
  </si>
  <si>
    <t>de Aguiar</t>
  </si>
  <si>
    <t>Brazil
(Brasília)</t>
  </si>
  <si>
    <t>Crit Rev Oncol Hematol</t>
  </si>
  <si>
    <t>Effectiveness of photobiomodulation therapy in radiation dermatitis: A systematic review and meta-analysis</t>
  </si>
  <si>
    <t>"We included seven clinical trials. Breast cancer patients receiving PBMT developed more grade 1 RD than the control group (RR 1.55, 95 % CI 1.14-2.10, I2 = 51 %). PBMT appears to prevent RD grade 2 (RR 0.33, 95 % CI 0.09-1.23, I2 = 85 %) and RD grade 3 (RR 0.21, 95 % CI 0.05-0.94, I2 = 0%) with very low certainty of evidence."
"There is very low certainty of evidence that PBMT was effective in the prevention of RD. However, PBMT showed a significant effect to prevent grade 3 RD in breast cancer patients. Thus, further randomized clinical trials are required to confirm the promising effect of PBMT in RD."
"Two authors (B.R.L.A. and E.B.F.) independently evaluated the certainty of the evidence of the outcomes according to the Grades of Recommendations, Assessment, Development, Evaluation (GRADE) (Gyuatt et al., 2008) criteria."</t>
  </si>
  <si>
    <t>Light-emitting diode stimulates radiodermatitis recovery</t>
  </si>
  <si>
    <t>1.050
(??)</t>
  </si>
  <si>
    <t>"The LED group showed a higher number of dermal appendages (p = 0.04) and angiogenesis(p = 0.007), a tendency towards higher IL-10 (p = 0.06) and an increase in MMP-9 (p = 0.004) when compared to the control group."
"This study suggested that the use of LED for radiodermatitis increased skin regeneration."</t>
  </si>
  <si>
    <t>Radiother Oncol</t>
  </si>
  <si>
    <t>Photobiomodulation therapy for the prevention of acute radiation dermatitis in head and neck cancer patients (DERMISHEAD trial)</t>
  </si>
  <si>
    <t>🧑 Human
🎲 Randomized trial, sham-controlled
👥 46 participants
⌛ 7 weeks</t>
  </si>
  <si>
    <t>0.168</t>
  </si>
  <si>
    <t>300-
600</t>
  </si>
  <si>
    <t>14
/ 7 weeks</t>
  </si>
  <si>
    <t>"PBMT significantly reduced NCI-CTCAE grade 2-3 ARD with 49% at the end of RT."
"The results of the first RCT in HNC patients showed that PBMT is an effective method to prevent the development of severe ARD. These results support the implementation of PBM in theclinical oncology - radiotherapy practice."</t>
  </si>
  <si>
    <t>Effect of photobiomodulation therapy on radiodermatitis in a mouse model: an experimental animal study</t>
  </si>
  <si>
    <t>"Grade 3 radiodermatitis was evident only in [control group]. Compared with that in group [control group], the skin in groups [633 nm] and [830 nm] had significantly less epidermal hyperplasia, inflammatory cell infiltration, and thinner dermis on day 7 and less inflammatory cell infiltration, fewer apoptotic cells, and thinner dermis on day 21."
"This study indicates PBM could prevent severe radiodermatitis by reducing epidermal and dermal damage, inflammation, and apoptosis."</t>
  </si>
  <si>
    <t>A Narrative Review on the Use of Photobiomodulation Therapy for the Prevention and Management of Acute Radiodermatitis: Proposed Mechanisms, Current Clinical Outcomes, and Preliminary Guidance for Clinical Studies</t>
  </si>
  <si>
    <t>"Results: Nine clinical trials that investigated the use of photobiomodulation therapy (PBMT) in ARD were available for evaluation. Results demonstrate that PBMT could significantly reduce the severity of ARD and the accompanying discomfort and pain in patients with cancer. 
Conclusions: Based on the available evidence of the narrative review, PBM might be an effective therapy for the prevention and management of ARD in patients with cancer. More research is needed to confirm this finding."</t>
  </si>
  <si>
    <t>Feasibility of photobiomodulation therapy for the prevention of radiodermatitis: a single-institution pilot study.</t>
  </si>
  <si>
    <t>🧑 Human
📄 Single-arm trial
👥 33 participants
⌛ 6-week treatment / 7-week study</t>
  </si>
  <si>
    <t>"There was no significant side effect of PBM therapy. Thirteen (39%) patients showed wet desquamation (CTCAE grade 2b or higher). Only three (9%) of them showed grade 3 toxicity, which is a favorable result compared with previous studies.
This pilot study showed that PBM therapy is safe and feasible in the clinic, and it might reduce the severity of radiodermatitis. A randomized trial should be warranted to prove the efficacy of PBM therapy."</t>
  </si>
  <si>
    <t>Treating Acute Cervical Radiodermatitis with Photobiomodulation Therapy: A Report of Two Cases.</t>
  </si>
  <si>
    <t>🧑 Human
📄 Case series
👥 2 cases
⌛ 6-7 days</t>
  </si>
  <si>
    <t>"The PBMT made possible an expressive improvement in the healing process and reduction of painful symptoms associated with RD."</t>
  </si>
  <si>
    <t>Curr Opin Oncol</t>
  </si>
  <si>
    <t>Photobiomodulation therapy for acute radiodermatitis.</t>
  </si>
  <si>
    <t xml:space="preserve">" Up to now about seven clinical trials have been performed, investigating the use of PBMT in the prevention and/or management of ARD. Results demonstrate that PBMT can effectively reduce the incidence of severe ARD, decrease the accompanying pain, and improve the patients' quality of life. Moreover, the technique seems to be well tolerated in oncologic patients."
</t>
  </si>
  <si>
    <t>World J Surg Oncol</t>
  </si>
  <si>
    <t>Application of red light phototherapy in the treatment of radioactive dermatitis in patients with head and neck cancer.</t>
  </si>
  <si>
    <t>🧑 Human
🎲 Randomized trial
👥 60 participants
⌛ 6 weeks</t>
  </si>
  <si>
    <t>twice
daily
during
RT</t>
  </si>
  <si>
    <t>"In terms of the reaction degree of RD, experimental group was mainly grade 0-2, and control group was mainly grade 2-3, with a significant difference (P &lt; 0.05)."
"The application of [red light phototherapy] in the treatment of RD can help accelerate wound healing and significantly shorten healing time. It can not only reduce wounds pain of patients, promote inflammation and ulcer healing, but also ensure the smooth progress of patients' radiotherapy and improve their quality of lives, which is worth popularization and application in the clinical practice."
Comment: The authors did not report the treatment parameters.</t>
  </si>
  <si>
    <t>Biophysical skin measurements to evaluate the effectiveness of photobiomodulation therapy in the prevention of acute radiation dermatitis in breast cancer patients.</t>
  </si>
  <si>
    <r>
      <rPr>
        <sz val="7.0"/>
      </rPr>
      <t xml:space="preserve">🧑 Human
🎲 Randomized trial, sham-controlled
👥 120 participants
⌛7 weeks
</t>
    </r>
    <r>
      <rPr>
        <i/>
        <sz val="7.0"/>
      </rPr>
      <t>(secondary analysis)</t>
    </r>
  </si>
  <si>
    <t>808
+
905</t>
  </si>
  <si>
    <t>19.625
cm2</t>
  </si>
  <si>
    <t>"The incidence of moist desquamation was significantly higher in the control than in the PBMT group at the end of RT (30 vs. 7%, respectively, odds ratio = 6, p = 0.004). The biophysical skin measures showed that the mean percentage change from the baseline transepidermal water loss (TEWL), erythema, and melanin values was significantly higher in the control than in the PBMT group at the end of RT (ps &lt; 0.05)."
"This is the first randomized controlled trial demonstrating by objective measurements that PBMT is effective in reducing the incidence of moist desquamation in breast cancer patients undergoing RT."
Comment: This is a secondary analysis of the other Robijns et al paper (Lasers Surg Med 2018)</t>
  </si>
  <si>
    <t>Prevention of acute radiodermatitis by photobiomodulation: A randomized, placebo-controlled trial in breast cancer patients (TRANSDERMIS trial).</t>
  </si>
  <si>
    <t>🧑 Human
🎲 Randomized trial, sham-controlled
👥 120 participants
⌛7 weeks</t>
  </si>
  <si>
    <t>"At a RT dose of 40 Gy, there was no significant difference between the groups in the distribution of RTOG grades. However, at the end of RT the severity of the skin reactions significantly differed between the two groups (P = 0.004), with a larger percentage of patients experiencing RTOG grade 2 or higher (e.g., moist desquamation) in the placebo group (30% vs. 6.7%, for the placebo and laser group, resp.). The objective RISRAS score confirmed these results. In addition, the Skindex-16 and RISRAS subjective score demonstrated that the patients' quality of life was significantly better in the LT than in the control group."
"The results of this trial show that PBMT is an effective tool to prevent the development of grade 2 acute RD or higher in BC patients. In addition, it also reduces the patients' symptoms related to RD."
Comment: To me, the differences regarding quality of life seems a bit hard to compare, because the situation was a bit worse in the LLLT group in the 40 Gy phase, and therefore the improvement could theoretically be explained by "regression to the mean"...</t>
  </si>
  <si>
    <t>Robijns &amp; Laubach</t>
  </si>
  <si>
    <t>J Egypt Women Dermatol Soc</t>
  </si>
  <si>
    <t>Acute and chronic radiodermatitis: clinical signs, pathophysiology, risk factors and management options</t>
  </si>
  <si>
    <t>"Future RCTs are necessary to further investigate the beneficial effect of PBMT in the prevention and management of acute RD."</t>
  </si>
  <si>
    <t>Seité</t>
  </si>
  <si>
    <t>France</t>
  </si>
  <si>
    <t>Breast Cancer (Dove Med Press)</t>
  </si>
  <si>
    <t>Prevention and treatment of acute and chronic radiodermatitis.</t>
  </si>
  <si>
    <t>"Although there is insufficient evidence available to form recommendations that would prevent or reduce radiodermatitis, some advances have been made using low level light therapy (LLLT) or vascular lasers to control the symptoms. Some recent preclinical and clinical research suggests that LLLT has biostimulating properties which allow the tissues to regenerate and heal faster, reduce inflammation, and prevent fibrosis. Also, in late-onset radiodermatitis pulsed dye laser treatment has been shown to be beneficial in clearing radiation-induced telangiectasia. In the absence of evidence-based recommendations, the objective of this paper is to review how to prevent or manage the symptoms of radiodermatitis reactions."</t>
  </si>
  <si>
    <t>Strouthos</t>
  </si>
  <si>
    <t>Germany
(Offenbach)</t>
  </si>
  <si>
    <t>Strahlenther Onkol</t>
  </si>
  <si>
    <t>Photobiomodulation therapy for the management of radiation-induced dermatitis : A single-institution experience of adjuvant radiotherapy in breast cancer patients after breast conserving surgery.</t>
  </si>
  <si>
    <t>🧑 Human
📄 Non-randomized study, controlled
👥 70 participants
⌛ 6 weeks (?)</t>
  </si>
  <si>
    <t>LED phototherapy
LED cluster (69)</t>
  </si>
  <si>
    <t>660
+
805</t>
  </si>
  <si>
    <t>1390
total</t>
  </si>
  <si>
    <t>0.0446</t>
  </si>
  <si>
    <t>240-
300</t>
  </si>
  <si>
    <t>~12 
/ 6 weeks
(?)</t>
  </si>
  <si>
    <t>"In the PBM group, 22 patients (88%) presented grade 1 and 3 (12%) grade 2 RD. In the control group, 25 patients (55.6%) developed grade 1 reactions, 18 patients (40%) grade 2, and 2 (4.4%) patients grade 3 RD."
"Concerning pain intensity, 15 patients (60%) of the PBM treatment arm reported no pain, 5 patients (20%) VAS 2, and 5 (20%) VAS 3. In the control group, 13 patients (28.9%) reported no pain, 2 (4.4%) VAS 1, 7 (15.6%) VAS 2, 9 patients (20%) reported VAS 3, 12 (26.7%) patients VAS 4, and 2 (4.4%) patients VAS 5."
"PBM-LED therapy applied prior to RT might be effective in decreasing the incidence and sequelae of radiation-induced skin toxicity in breast cancer patients treated with breast-conserving surgery."</t>
  </si>
  <si>
    <t>Censabella</t>
  </si>
  <si>
    <t>Photobiomodulation for the management of radiation dermatitis: the DERMIS trial, a pilot study of MLS(®) laser therapy in breast cancer patients.</t>
  </si>
  <si>
    <t>🧑 Human
📄 Non-randomized study, controlled
👥 79 participants
⌛ 3 weeks</t>
  </si>
  <si>
    <t>MLS(®) laser therapy</t>
  </si>
  <si>
    <t>905
+
808</t>
  </si>
  <si>
    <t>19.635
cm2</t>
  </si>
  <si>
    <t>"Skin toxicity was equivalent between the groups before the start of LT but significantly differed at the end of radiotherapy, with an aggravation in the control but not in the LT group (e.g., 29 versus 3 % of RTOG grade 2 RD, respectively, P &lt; 0.005).
We found no significant group differences with respect to quality of life. However, the RISRAS subjective score decreased in the LT group only, implying a decreased impact of RD on patients' quality of life. Finally, patients' ratings were significantly higher for LT than for standard care."</t>
  </si>
  <si>
    <t>Brazil
(Pouso Alegre)</t>
  </si>
  <si>
    <t>Phototherapy 660 nm for the prevention of radiodermatitis in breast cancer patients receiving radiation therapy: study protocol for a randomized controlled trial.</t>
  </si>
  <si>
    <t>"Thus, the results of this ongoing trial may establish whether use of a low-power laser represents an ideal treatment option for the prevention of radiodermatitis."</t>
  </si>
  <si>
    <t>Fife</t>
  </si>
  <si>
    <t>A randomized, controlled, double-blind study of light emitting diode photomodulation for the prevention of radiation dermatitis in patients with breast cancer.</t>
  </si>
  <si>
    <t>🧑 Human
🎲 Randomized trial, double-blind
👥 33 participants
⌛ 6 weeks (?)</t>
  </si>
  <si>
    <t>60-66
/ 6 weeks
(?)</t>
  </si>
  <si>
    <t>"LED photomodulation did not reduce the incidence of radiation-induced skin reactions or interruptions in therapy. ."
Note: DeLand published a letter, wondering why the results were so different in this study. He suggests it might be related to the treatment parameters... Metelitsa's commentary also mentions this issue, and also focuses on some differences between the treatments in these two studies.
Comment: Dose parameters not reported in this paper. In another PBM study, the 590nm Gentlewaves device had power output of 4 mW and fluence of 0.1 J/cm2 during 35 seconds (Merry et al. 2017). Lack of effect could be related to the low-end dosing. Howeverr, that would not explain why previous study (DeLand 2007) got positive results.</t>
  </si>
  <si>
    <t>Device: Gentlewaves</t>
  </si>
  <si>
    <t>DeLand</t>
  </si>
  <si>
    <t>USA
(Lafayette, LA)</t>
  </si>
  <si>
    <t>Treatment of radiation-induced dermatitis with light-emitting diode (LED) photomodulation.</t>
  </si>
  <si>
    <t>🧑 Human
📄 Non-randomized study, controlled
👥 47 participants
⌛ 7 weeks</t>
  </si>
  <si>
    <t>33-38
/ 7 weeks</t>
  </si>
  <si>
    <t>"In LED-treated patients, 18 (94.7%) had grade 0 or 1 reaction and 1 (5.3%) had grade 2 reaction. Among controls, 4 (14.3%) had a grade 1 reaction, 24 (85.7%) had a grade 2 or 3 reaction. One LED-treated patient (5.3%) and 19 controls (67.9%) had to interrupt treatment."
Note: Results are very interesting, but parameters are poorly reported.</t>
  </si>
  <si>
    <t>J Am Acad Dermatol.</t>
  </si>
  <si>
    <t>Increased dermal angiogenesis after low-intensity laser therapy for a chronic radiation ulcer determined by a video measuring system.</t>
  </si>
  <si>
    <t>🧑 Human
📄 Case report
⌛4 weeks</t>
  </si>
  <si>
    <t>7
/ 4 weeks</t>
  </si>
  <si>
    <t>"We describe a patient with a long-lasting radiotherapy-induced ulcer that healed after low-intensity laser therapy. A video measuring system was used to determine the number of dermal vessels in the ulcer before and after laser treatment. We found a statistically significant increase in the number of dermal vessels after low-intensity laser therapy in both the central and marginal parts of the ulcer compared with its pretreatment status."</t>
  </si>
  <si>
    <t>Radiation ulcers</t>
  </si>
  <si>
    <t>Low intensity laser irradiation in the treatment of recalcitrant radiation ulcers in patients with breast cancer--long-term results of 3 cases.</t>
  </si>
  <si>
    <t>🧑 Human
📄 Case series
👥 3 cases
⌛ 5-8 week treatment / 36-month follow-up</t>
  </si>
  <si>
    <t>thrice
weekly
for
5-8 
weeks</t>
  </si>
  <si>
    <t>"In all patients, complete wound closure was achieved within a period of 7, 5, and 8 weeks. One patient died 6 weeks after laser treatment due to tumor cachexia. Neither of the other patients showed recurrence of radiation ulcers or neoplasm during a follow-up of 36 months. 
Low intensity helium-neon laser irradiation has been shown to be effective in the induction of wound healing in radiotherapy-induced ulcers in three patients with breast cancer."</t>
  </si>
  <si>
    <t>Phototherapy with low intensity laser irradiation for a chronic radiation ulcer in a patient with lupus erythematosus and diabetes mellitus.</t>
  </si>
  <si>
    <t>🧑 Human
📄 Case report
⌛ 3-week treatment / 18-month follow-up</t>
  </si>
  <si>
    <t>8
/ ~3 weeks</t>
  </si>
  <si>
    <t>"Twenty-three days after starting low intensity laser irradiation the ulcer had healed completely."</t>
  </si>
  <si>
    <t>Successful treatment of a persistent radiation ulcer by low power laser therapy.</t>
  </si>
  <si>
    <t>🧑 Human
📄 Case report
⌛ 10-week treatment / 2-year follow-up</t>
  </si>
  <si>
    <t>31.5</t>
  </si>
  <si>
    <t>20
/ 10 weeks</t>
  </si>
  <si>
    <t>"After 20 sessions and 10 weeks the ulcer had healed completely, showing only minimal scarring"</t>
  </si>
  <si>
    <t>Hernández-Bule</t>
  </si>
  <si>
    <t>Unlocking the Power of Light on the Skin: A Comprehensive Review on Photobiomodulation</t>
  </si>
  <si>
    <t>"We conducted a narrative review including articles about photobiomodulation, LED light therapy or low-level laser therapy and their applications on dermatology published over the last 6 years, encompassing research studies, clinical trials, and technological developments. 
This review highlights the mechanisms of action underlying PBM, including the interaction with cellular chromophores and the activation of intracellular signaling pathways. The evidence from clinical trials and experimental studies to evaluate the efficacy of PBM in clinical practice is summarized with a special emphasis on dermatology. Furthermore, advancements in PBM technology, such as novel light sources and treatment protocols, are discussed in the context of optimizing therapeutic outcomes and improving patient care. 
This narrative review underscores the promising role of PBM as a non-invasive therapeutic approach with broad clinical applicability. Despite the need for further research to develop standard protocols, PBM holds great potential for addressing a wide range of medical conditions and enhancing patient outcomes in modern healthcare practice."</t>
  </si>
  <si>
    <t>Mineroff</t>
  </si>
  <si>
    <t>Photobiomodulation CME Part II: Clinical Applications in Dermatology</t>
  </si>
  <si>
    <t>"Studies show that PBM can be used effectively to treat conditions secondary to cancer therapies, alopecia, ulcers, herpes simplex virus, acne, skin rejuvenation, wounds, and scars. PBM offers patients many benefits compared to other treatments. It is non-invasive, cost-effective, and convenient for patients and offers a favorable safety profile."</t>
  </si>
  <si>
    <t>Hamblin</t>
  </si>
  <si>
    <t>South Africa &amp; China</t>
  </si>
  <si>
    <t>Editorial: Photobiomodulation and phototherapy in skin diseases</t>
  </si>
  <si>
    <t>"This Research Topic was designed to foster insights into advances in the mechanisms and application of photobiomodulation and phototherapy for skin diseases in order to provoke further translational research in this area. We eventually ended up with two original research papers, two brief research reports, one clinical trial and one case report."</t>
  </si>
  <si>
    <t>Green &amp; Borden</t>
  </si>
  <si>
    <t>Book: Image-Guided Aesthetic Treatments</t>
  </si>
  <si>
    <t>Low-Level Light Therapy with LEDs</t>
  </si>
  <si>
    <t>"Low-level light therapy (LLLT) employs athermal and atraumatic levels of illumination, typically in the visible or near-infrared (NIR) regions of the electromagnetic spectrum, to target tissue and stimulate a clinically useful local or systemic effect. LLLT has demonstrated beneficial applications in the areas of wound healing, pain management, and various musculoskeletal conditions as well as skin rejuvenation. This chapter dives into the benefits of using LED-based devices in aesthetic applications, resulting in a safer and more convenient approach to benefit patients."</t>
  </si>
  <si>
    <t>Kennedy R</t>
  </si>
  <si>
    <t>UK
(Warwickshire)</t>
  </si>
  <si>
    <t>Life</t>
  </si>
  <si>
    <t>Phototherapy as a Treatment for Dermatological Diseases, Cancer, Aesthetic Dermatologic Conditions and Allergenic Rhinitis in Adult and Paediatric Medicine</t>
  </si>
  <si>
    <t>"The three wavelengths of light that have demonstrated several therapeutic applications are blue (415 nm), red (633 nm), and near-infrared (830 nm). This review shows their potential for treating dermatological conditions. Phototherapy has also been shown to be an effective treatment for allergenic rhinitis in children and adults."
"Several phototherapy devices emitting a range of wavelengths have recently become available for use and which give good outcomes for some dermatological conditions."</t>
  </si>
  <si>
    <t>Ngoc</t>
  </si>
  <si>
    <t>Korea
(Seongnam)</t>
  </si>
  <si>
    <t>Utilization of Light-Emitting Diodes (LEDs) for Skin therapy: Systematic Review and Meta-analysis</t>
  </si>
  <si>
    <t>"31 studies were selected after manually screening and eliminating unnecessary studies. 
The potential effectiveness of LEDs for skin therapies was assessed by evaluating the standardized mean differences (SMDs) and funnel plots of this meta-analysis. It was discovered that both red and blue LED lights play an important role in the treatment of acne vulgaris with an overall statistically significant SMD of -2.42 [-2.64, -2.15] and I2 = 17% &lt; 50%. 
Additionally, other LEDs (e.g., yellow LEDs and near-infrared devices) showed outstanding levels of effectiveness, not only in reducing the lesions of herpes simplex and psoriasis but also in improved skin rejuvenation with highly consistent analytical results (I2 = 0% and 33%, respectively). 
However, the analysis of LED-based skin wound healing and atopic dermatitis treatments exhibited heterogeneity (I2 = 85% and 90%) due to the lack of unpublished articles."</t>
  </si>
  <si>
    <t>View</t>
  </si>
  <si>
    <t>Evaluation of in vitro human skin models for studying effects of external stressors and stimuli and developing treatment modalities</t>
  </si>
  <si>
    <t>"Skin is exposed to a variety of potential stressors and stimulators that may impact homeostasis, healing, tumor development, inflammation, and irritation. As such it is important to understand the impact that these stimuli have on skin health and function, and to develop therapeutic interventions."
"Contrary to blue light, red light and near IR radiation (around 600–1070 nm) is considered to reduce the effects of photoaging and aid tissue repair in human skin. Lasers and more recently LEDs have been adopted for use in photobiomodulation therapy, and while a consensus has yet to be reached on whether or not they have different effects, it appears that both are effective treatment options (...)"</t>
  </si>
  <si>
    <t>Chauhan &amp; Gretz</t>
  </si>
  <si>
    <t>Germany
(Mannheim)</t>
  </si>
  <si>
    <t>Role of Visible Light on Skin Melanocytes: A Systematic Review</t>
  </si>
  <si>
    <t>"Various wavelengths within the visible spectrum have been reported to alter skin pigmentation. However, the underlying mechanisms are incompletely understood so far. The article aims to shed light on the progress made in the photobiology field (photobiomodulation, PBM) to study the role of visible light on skin melanocytes."</t>
  </si>
  <si>
    <t>Charlson P</t>
  </si>
  <si>
    <t>J Aesthet Nurs</t>
  </si>
  <si>
    <t>Light-emitting diode treatments and indications for treatment</t>
  </si>
  <si>
    <t>"Light-emitting diode treatments are an established therapy in many medical aesthetic clinics. Most machines are designed for facial treatment and work by non-thermal photobiomodulation-stimulating fibroblast proliferation, collagen synthesis and growth factors. They use mainly blue, red and near infrared light and are efficacious in treating acne, psoriasis, photorejuvenation and wound healing. The treatment has relatively few side effects and has a short downtime. They tend to be used in combination with other treatment modalities, such as radiofrequency, skin-tightening and lasers, but can be used as a standalone treatment. Treatment protocols vary but usually require several treatments over a few weeks, with the effects taking 3 to 6 months to become evident.
Recently, light-emitting diode masks have become popular, but their evidence base for effectiveness is currently weak."
Comment: The journal is not PubMed-indexed.</t>
  </si>
  <si>
    <t>MAG</t>
  </si>
  <si>
    <t>Tran</t>
  </si>
  <si>
    <t>Vietnam &amp; Korea</t>
  </si>
  <si>
    <t>Opt Laser Technol</t>
  </si>
  <si>
    <t>Light emitting diodes technology-based photobiomodulation therapy (PBMT) for dermatology and aesthetics: Recent applications, challenges, and perspectives</t>
  </si>
  <si>
    <t>"Photobiomodulation Therapy (PBMT) is a novel modality using irradiation with light-power-intensity light. Recently, applications of PBMT have been broadened to thousands of people around the world for various medical conditions and dermatological conditions.
Normally, light sources used in PBMT are non-coherent light (Light Emitting Diodes-LED) or coherent light (lasers). LED-light-source-based devices offer several advantages compared with laser devices, including ease of home use, simultaneous irradiation of a large area of tissue, availability for wearable devices, much lower price, and enhanced safety. Thus, various LED-based devices for dermatological and cosmetics applications have been designed and developed and sold on the global market.
However, LED therapy still confronts many challenges that limit its applications and cause human-health concerns. Herein, we provide a critical review of the various applications of LED therapy in the fields of dermatology and beauty: skin rejuvenation, acne treatment, scarring prevention, hair restoration, fat reduction and cellulite treatment, and tooth whitening. Also, the challenges to the development of LED therapy and its action mechanisms are identified and discussed in detail. Additionally, future perspectives for development of LED light phototherapy are pointed."</t>
  </si>
  <si>
    <t>ScienceDirect</t>
  </si>
  <si>
    <t>Visible Light Part I. Properties and Cutaneous Effects of Visible Light</t>
  </si>
  <si>
    <t>"Approximately fifty percent of sunlight reaching the Earth's surface is visible light (400-700 nm). Other sources of visible light include lasers, light-emitting diodes (LEDs), and flash lamps. Photons from visible light are absorbed by photoreceptive chromophores (e.g., melanin, heme, and opsins), altering skin function by activating and imparting energy to chromophores. Additionally, visible light can penetrate the full thickness of the skin and induce pigmentation and erythema.
Clinically, lasers and light devices are used to treat skin conditions by utilizing specific wavelengths and treatment parameters. Red and blue light from LEDs and intense pulsed light (IPL) have been studied as anti-microbial and anti-inflammatory treatments for acne."</t>
  </si>
  <si>
    <t>Light Emitting Diode Phototherapy for Skin Aging.</t>
  </si>
  <si>
    <t>"Light emitting diode (LED) phototherapy is a promising treatment modality for photorejuvenation as it is safe, noninvasive, accessible, and can be easily combined with other treatment options. LED irradiation alters intrinsic cellular activity via absorption by chromophores located in the skin and may result in desirable photorejuvenation effects. In this review, we discuss the physiologic process of cutaneous aging, how visible light phototherapy with LEDs may be used to treat aging skin, and the importance of photoprotection."</t>
  </si>
  <si>
    <t>BOOK: Practical Introduction to Laser Dermatolog</t>
  </si>
  <si>
    <t>Light Emitting Diodes and Low Level Laser Light Therapy</t>
  </si>
  <si>
    <t>Glass GE</t>
  </si>
  <si>
    <t>Qatar
(Doha)</t>
  </si>
  <si>
    <t>Photobiomodulation: The Clinical Applications of Low-Level Light Therapy</t>
  </si>
  <si>
    <t>"A reasonable body of clinical trial evidence exists in support of the role of low energy red/near infrared light as a safe and effective method of skin rejuvenation, treatment of acne vulgaris, alopecia and, especially, body contouring. Methodological flaws, small patient cohorts and industry funding mean there is ample scope to improve the quality of evidence. It remains unclear if LED-based light sources induces physiologic effects of the nature and magnitude of laser-based systems which were used in most of the higher quality studies."
"Low level light therapy is here to stay. However, its ubiquity and commercial success has outpaced the empirical approach on which solid clinical evidence is established. Thus, the challenge is to prove its therapeutic utility in retrospect. Well-designed, adequately powered, independent clinical trials will help us answer some of the unresolved questions and enable the potential of this therapy to be realized."</t>
  </si>
  <si>
    <t>Sorbellini</t>
  </si>
  <si>
    <t>Photodynamic and photobiological effects of light-emitting diode (LED) therapy in dermatological disease: an update.</t>
  </si>
  <si>
    <t>"LED therapy represents the emerging and safest tool for the treatment of many conditions such as skin inflammatory conditions, aging, and disorders linked to hair growth. The use of LED in the treatment of such conditions has now entered common practice among dermatologists. Additional controlled studies are still needed to corroborate the efficacy of such kind of treatment."</t>
  </si>
  <si>
    <t>USA
(Manhattan Beach, CA)</t>
  </si>
  <si>
    <t>Phototherapy with Light Emitting Diodes: Treating a Broad Range of Medical and Aesthetic Conditions in Dermatology</t>
  </si>
  <si>
    <t>"Within the field of dermatology, advances in the use of light emitting diodes (LEDs) have led to their clinical application for a variety of medical and cosmetic uses. 
Of note, one phototherapy device has demonstrated beneficial effects over a range of clinical applications (Omnilux™; GlobalMed Technologies, Glen Ellen, California). 
The study included a literature review of published studies. Using LEDs with frequencies of 415nm (blue), 633nm (red), and 830nm (infrared), this device has demonstrated significant results for the treatment of medical conditions, including mild-to-moderate acne vulgaris, wound healing, psoriasis, squamous cell carcinoma in situ (Bowen's disease), basal cell carcinoma, actinic keratosis, and cosmetic applications. 
Although photodynamic therapy with the photosensitizer 5-aminolevulinic acid might cause stinging and burning, phototherapy is free of adverse events. 
We determined that phototherapy using LEDs is beneficial for a range of medical and aesthetic conditions encountered in the dermatology practice. This treatment displays an excellent safety profile."</t>
  </si>
  <si>
    <t>Jagdeo</t>
  </si>
  <si>
    <t>Light-emitting diodes in dermatology: A systematic review of randomized controlled trials.</t>
  </si>
  <si>
    <t>"Thirty-one original RCTs were suitable for review."
"LEDs represent an emerging modality to alter skin biology and change the paradigm of managing skin conditions. Acne vulgaris, herpes simplex and zoster, and acute wound healing received grade of recommendation B. Other skin conditions received grade of recommendation C or D. Limitations of some studies include small patient sample sizes (n &lt; 20), absent blinding, no sham placebo, and varied treatment parameters. Due to few incidences of adverse events, affordability, and encouraging clinical results, we recommend that physicians use LEDs in clinical practice and researchers continue to explore the use of LEDs to treat skin conditions."</t>
  </si>
  <si>
    <t>Calderhead &amp; Vasily</t>
  </si>
  <si>
    <t>Korea &amp; USA</t>
  </si>
  <si>
    <t>Low Level Light Therapy with Light-Emitting Diodes for the Aging Face.</t>
  </si>
  <si>
    <t>Comment: This paper contains two useful pictures of absorption spectra of light (penetration) in the 400-10000 nm wavelength range.</t>
  </si>
  <si>
    <t>Baker A</t>
  </si>
  <si>
    <t>UK</t>
  </si>
  <si>
    <t>Light-emitting diode red light therapy: evidence base for aesthetic indications</t>
  </si>
  <si>
    <t>"Non-invasive approaches to skin rejuvenation, such light-emitting diode (LED) red light therapy, are increasing in popularity owing to their affordability, effective treatment outcomes and minimal downtime. 
In contrast to traumatic ablative (e.g. laser resurfacing) and non-ablative (e.g. intense pulsed light) skin rejuvenation modalities, which induce secondary tissue repair by causing controlled damage to the epidermis or dermis, LED red light therapy is atraumatic and bypasses the initial destructive step by directly stimulating regenerative processes in the skin."</t>
  </si>
  <si>
    <t>Infrared and skin: Friend or foe.</t>
  </si>
  <si>
    <t>"This article will focus on key information suggesting that IR-A may be more beneficial than deleterious when the skin is exposed to the appropriate irradiance/dose of IR-A radiation similar to daily sun exposure received by people in real life.IR-A might even precondition the skin--a process called photo prevention--from an evolutionary standpoint since exposure to early morning IR-A wavelengths in sunlight may ready the skin for the coming mid-day deleterious UVR. Consequently IR-A appears to be the solution, not the problem. It does more good than bad for the skin. It is essentially a question of intensity and how we can learn from the sun."</t>
  </si>
  <si>
    <t>Greaves AJ</t>
  </si>
  <si>
    <t>France
(Aulnay-Sous-Bois)</t>
  </si>
  <si>
    <t>Int J Cosmet Sci</t>
  </si>
  <si>
    <t>The effects of narrowbands of visible light upon some skin disorders: a review</t>
  </si>
  <si>
    <t>"This review article focuses on clinical studies published in the fields of (i) photorejuvenation and anti-ageing, (ii) oily or acne-prone skin and related imperfections, (iii) skin pigmentation and lightening, (iv) dandruff and other Malassezia-related skin disorders and (v) prevention and reversal of hair loss using non-thermal, non-ablative devices (principally light-emitting diodes). It mainly focuses on clinical proof of performance and also on in vitro studies that support the clinical findings."</t>
  </si>
  <si>
    <t>Lipozenčić &amp; Mokos</t>
  </si>
  <si>
    <t>Croatia
(Zagreb)</t>
  </si>
  <si>
    <t>Clin Dermatol</t>
  </si>
  <si>
    <r>
      <rPr>
        <b/>
        <sz val="7.0"/>
      </rPr>
      <t xml:space="preserve">Will nonablative rejuvenation replace ablative lasers? Facts and controversies
</t>
    </r>
    <r>
      <rPr>
        <b val="0"/>
        <i/>
        <color rgb="FF6AA84F"/>
        <sz val="6.0"/>
      </rPr>
      <t>[A review focusing on non-PBM light-based skin treatments such as:
(1) ablative laser resurfacing, (2) nonablative resurfacing, (3) intense pulsed light
(4) fractional resurfacing]</t>
    </r>
  </si>
  <si>
    <t>"Since the early 1980s, the field of skin rejuvenation has evolved rapidly. Traditional ablative resurfacing with carbon dioxide and Er:YAG lasers offered dramatic improvement of the skin tone and texture, but prolonged postoperative period and an increased risk for side effects and complications were unacceptable for the majority of patients. It prompted the development of nonablative lasers and non-laser systems, which stimulate dermal neocollagenesis without epidermal disruption, and therefore, produce less adverse effects with little or no healing time. Recently, fractional nonablative and ablative lasers have been introduced, employing a completely new concept of fractional photothermolysis, which ensures high efficacy and fewer risks."</t>
  </si>
  <si>
    <t>Avci</t>
  </si>
  <si>
    <t>Low-level laser (light) therapy (LLLT) in skin: stimulating, healing, restoring.</t>
  </si>
  <si>
    <t>Mechanisms
LED history
Ablative fractional resurfacing</t>
  </si>
  <si>
    <t>"In dermatology, LLLT has beneficial effects on wrinkles, acne scars, hypertrophic scars, and healing of burns. LLLT can reduce UV damage both as a treatment and as a prophylactic measure. In pigmentary disorders such as vitiligo, LLLT can increase pigmentation by stimulating melanocyte proliferation and reduce depigmentation by inhibiting autoimmunity. Inflammatory diseases such as psoriasis and acne can also be managed. The noninvasive nature and almost complete absence of side effects encourage further testing in dermatology."</t>
  </si>
  <si>
    <t>Helbig</t>
  </si>
  <si>
    <t>Germany
(Leipzig)</t>
  </si>
  <si>
    <t>Epidermal and dermal changes in response to various skin rejuvenation methods.</t>
  </si>
  <si>
    <t>"A recently developed photorejuvenation method using non-thermal stimulation of skin cells with low energy and narrow band light has been termed photomodulation. Light emitting diodes are the ideal source of this kind of light that stimulate mitochondrial cell organelles leading to up-regulation of cytochrome electron transport pathway leading to mitochondrial DNA gene modulation. This paper reviews the most current knowledge of intrinsic and extrinsic changes of ageing and summarizes different systems for skin rejuvenation with focus on non-thermal non-ablative skin rejuvenation modalities."</t>
  </si>
  <si>
    <t>Weiss</t>
  </si>
  <si>
    <t>USA
(Hunt Valley, MD)</t>
  </si>
  <si>
    <t>BOOK: Cosmetics Applications of Laser &amp; Light-Based Systems</t>
  </si>
  <si>
    <t>LED Low-Level Light Photomodulation for Reversal of Photoaging [Chapter 12]</t>
  </si>
  <si>
    <t>"This chapter discusses the LED low-level light photomodulation for reversal of photoaging. LED arrays using LILT for photomodulation are useful for collagen stimulation, textural smoothing, and reduction of inflammation. Pilot wound-healing studies show slightly accelerated wound resolution. Cellular rescue from UV damage and other toxic insults has been shown in small studies. Our combined multiyear experience and clinical observations confirm that combinations of thermal nonablative photorejuvenation and nonthermal LED photomodulation have a synergistic effect. LED photomodulation is delivered immediately, subsequent to the thermal-based treatment for its antiinflammatory effects, which may reduce the thermally induced erythema and edema of nonablative treatments."</t>
  </si>
  <si>
    <t>Rosacea</t>
  </si>
  <si>
    <t>Efficacy and Tolerance of Oral Minocycline Combined with Photobiomodulation Therapy for Rosacea: An Evaluator-blinded Randomized, Controlled Clinical Trial</t>
  </si>
  <si>
    <t xml:space="preserve">🧑 Human
🎲 Randomized trial
👥 
⌛ </t>
  </si>
  <si>
    <t>(Full text not accessed)</t>
  </si>
  <si>
    <t>The effects of photobiomodulation therapy on inflammatory mediators, immune infiltration, and angiogenesis in a mouse model of rosacea</t>
  </si>
  <si>
    <t>25+
50</t>
  </si>
  <si>
    <t>"PBMT significantly decreased the erythema scores and inflammatory cell infiltration of rosacea lesions in mice."
"This investigation suggested that PBMT can improve the rosacea condition by regulating key inflammatory mediators and dysregulating immune infiltration and angiogenesis."</t>
  </si>
  <si>
    <t>Wade</t>
  </si>
  <si>
    <t>United Kingdom
(London)</t>
  </si>
  <si>
    <t>Biophotonic Therapy with Fluorescent Light Energy Decreases Facial Erythema, Improves Signs and Symptoms of Rosacea, and Increases Patient Satisfaction: A Postmarket Study</t>
  </si>
  <si>
    <t>🧑 Human
📄 Single-arm trial
👥 9 participants
⌛ 4-week treatment -&gt; 4-8 week follow-up</t>
  </si>
  <si>
    <t>Fluorescence-based PBM</t>
  </si>
  <si>
    <t>4
/ 4 weeks</t>
  </si>
  <si>
    <t>"FLE significantly reduced the inflammatory erythematous reaction of the face, improved flushing and erythema associated with rosacea, and had a positive impact on patients' self-perception and emotional wellbeing."</t>
  </si>
  <si>
    <t>J Med Case Rep</t>
  </si>
  <si>
    <t>Coupled blue and red light-emitting diodes therapy efficacy in patients with rosacea: two case reports</t>
  </si>
  <si>
    <t>🧑 Human
📄 Case series
👥 2 cases
⌛ 5 weeks</t>
  </si>
  <si>
    <t>480+
650</t>
  </si>
  <si>
    <t>4500+
4500</t>
  </si>
  <si>
    <t>"In the present work, we reported the efficacy and safety of light-emitting diodes therapy combining blue (480 nm) and red (650 nm) light for the treatment of two patients with papulopustular rosacea: a 22-year-old Caucasian woman and a 68-year-old Caucasian man."</t>
  </si>
  <si>
    <t>Device: "LED system Dermodinamica® (ELISOR Srl, Milan, Italy)"
Other: "The therapy was coupled with topical 15% azelaic acid."</t>
  </si>
  <si>
    <t>Sannino</t>
  </si>
  <si>
    <t>Fluorescent light energy: Treating rosacea subtypes 1, 2, and 3</t>
  </si>
  <si>
    <t>🧑 Human
📄 Case series
👥 3 cases
⌛ 3-8 weeks</t>
  </si>
  <si>
    <t>415+
447
(LED)
??
(gel)</t>
  </si>
  <si>
    <t>weekly
for
3-8
weeks</t>
  </si>
  <si>
    <t>"In all cases, there was an overall reduction in inflammation and erythema (Figures ​(Figures22‐4 and Table ​Table1).1)."</t>
  </si>
  <si>
    <t>Braun &amp; Gerber</t>
  </si>
  <si>
    <t>A photoconverter gel-assisted blue light therapy for the treatment of rosacea</t>
  </si>
  <si>
    <t>🧑 Human
📄 Case report
⌛ 5 weeks</t>
  </si>
  <si>
    <t>Fluorescence-based PBM
Blue light irradiation (🔵), gel emitting green/red (🟢🔴)</t>
  </si>
  <si>
    <t>447
(LED)
??
(gel)</t>
  </si>
  <si>
    <t>4 * 540</t>
  </si>
  <si>
    <t>"Shown is one representative case of a 62-year-old woman with papulopustular rosacea. Treatments with topical metronidazole- and ivermectin-containing ointments did not lead to a satisfying control of the papulopustular inflammation within the T zone (Fig. 1a). 
We applied the photoconverter chromophore gel (...) on the patient’s face and subsequently treated with a blue light-emitting multi LED-lamp (447 nm) for nine minutes (...)  treatment was repeated four times once weekly (...) After 5 weeks, the patient showed a marked reduction of the inflammatory reaction and an overall improvement of the large-pored skin type"
Comment: According to a website on Kleresca® Acne Treatment, the gel emits 510-610 nm light.</t>
  </si>
  <si>
    <t>Light-emitting diodes downregulate cathelicidin, kallikrein and toll-like receptor 2 expressions in keratinocytes and rosacea-like mouse skin.</t>
  </si>
  <si>
    <t>(410)
(480)
(525)
(580)
(595)
630
(850)
940</t>
  </si>
  <si>
    <t>"Based on the results of in vitro tests, LED wavelengths of 630 and 940 nm were selected for the in vivo experimental study."
"On performing H&amp;E staining of mouse skin, inflammatory cell infiltration, blood vessel dilatation, and RBC extravasation or thrombosis within blood vessels in the dermis and subcutaneous tissue as well as epidermal thickening were observed in rosacea-like mouse skin models. However, these findings were reduced in LED-irradiated groups compared to the rosacea-like mouse skin groups (Fig.4np). Both LED wavelengths of 630 and 940 nm were effective but there was no significant difference between the results for both wavelengths."
"LED at 630 and 940 nm downregulated TLR-2, KLK5 and LL-37 expressions and protease activity in [normal human epidermal keratinocytes] and [skin of mice]. Thus, LEDs may be promising for rosacea treatment."</t>
  </si>
  <si>
    <t>McGinley</t>
  </si>
  <si>
    <t>Dermatol Online J</t>
  </si>
  <si>
    <t>Patient perspectives on low level light therapy and laser therapies for rosacea-associated persistent facial redness.</t>
  </si>
  <si>
    <t>Survey</t>
  </si>
  <si>
    <t>"Patients discussed a variety of topics, but most commonly discussed effectiveness (34.2%), treatment education (19.3%), and adverse effects (18%). Relationship with the health care provider (9.9%), cost (8.1%), execution of treatments (8.1%) and convenience of treatments (2.5%) were less commonly discussed, but contributed to patients' decisions about utilizing laser and light therapies."
"Online forums are utilized to fulfill patients' desire for educational, empathic and collaborative relationship. Patients' adherence to laser and light therapies will likely increase if costs are reduced, reduction in redness is consistent with their expectations, and if physicians empower them through education on device choices and managing adverse effects."</t>
  </si>
  <si>
    <t>Scars (clinical)</t>
  </si>
  <si>
    <t>Yenyuwadee</t>
  </si>
  <si>
    <t>Effect of Laser and Energy-based Device Therapies to Minimize Surgical Scar Formation: A Systematic Review and Network Meta-analysis</t>
  </si>
  <si>
    <t>📊 Meta-analysis (network)</t>
  </si>
  <si>
    <t>"A total of 18 randomized controlled trials involving 482 participants and 671 postsurgical wounds were included in the network meta-analyses. The results showed that the most efficacious treatments were achieved using low-level laser therapy) (weighted mean difference -3.78; 95% confidence interval (95% CI) -6.32, -1.24) and pulsed dye laser (weighted mean difference -2.46; 95% CI -4.53, -0.38)."
"The findings of this network meta-analyses suggest that low-level laser therapy and pulsed dye laser are both effective treatments for minimization of scar formation following primary closure of surgical wounds with comparable treatment outcomes."</t>
  </si>
  <si>
    <t>Santiago</t>
  </si>
  <si>
    <t>Scars Burn Heal</t>
  </si>
  <si>
    <t>Photobiomodulation for modulation of neuropathic pain and improvement of scar tissue</t>
  </si>
  <si>
    <t>🧑 Human
📄 Case report</t>
  </si>
  <si>
    <t>660+
825+
840</t>
  </si>
  <si>
    <t>"The final result of this patient's treatment was significant flattening and decreased redness of her scar. Her self-reported pain decreased to a 6/10. At the one year follow up, the patient reported that she stopped taking her opioids, antidepressant and sleeping pills and that her pain decreased to a 4/10. At the last review her pain score was 1/10; and she had returned to work and took Tylenol (acetaminophen) occasionally for breakthrough pain."
"We attribute the patient's improvement in scar appearance and pain symptoms to PBMT."</t>
  </si>
  <si>
    <t>Device: "BIOFLEX® therapist device which consists of LED arrays and laser probes"</t>
  </si>
  <si>
    <t>Korea
(Suwon-si)</t>
  </si>
  <si>
    <t>Photobiomodulation therapy with an 830-nm light-emitting diode for the prevention of thyroidectomy scars: a randomized, double-blind, sham device-controlled clinical trial</t>
  </si>
  <si>
    <t>🧑 Human
🎲 Randomized trial, double-blind
👥 44 participants
⌛ 4-week treatment / 6-month study</t>
  </si>
  <si>
    <t>At-home device
LED phototherapy</t>
  </si>
  <si>
    <t>14
cm2
LED
area
on neck</t>
  </si>
  <si>
    <t>1800
(see full text for details)</t>
  </si>
  <si>
    <t>daily
for 4 weeks</t>
  </si>
  <si>
    <t>"The treatment group showed significantly higher patient satisfaction and GAS scores and lower NRS and VSS scores than the control group at 6 months. Improvements in color variation, height, pigmentation, and vascularity at 6 months were greater in the treatment group than in the control group, although the differences were not significant."</t>
  </si>
  <si>
    <t>Device: "PAEAN (WON TECH Co, Ltd., Daejeon, Korea), a curved 830-nm LED-based photobiomodulation device that was applied around the neck. The device consists of 14 LEDs of 830 nm and 4 LEDs of 650 nm for visual effects."</t>
  </si>
  <si>
    <t>Pires</t>
  </si>
  <si>
    <t>Effect of the combination of photobiomodulation therapy and the intralesional administration of corticoid in the preoperative and postoperative periods of keloid surgery: A randomized, controlled, double-blind trial protocol study</t>
  </si>
  <si>
    <t>"A randomized, controlled, double-blind, clinical trial will be conducted involving two groups: 1) Sham (n = 29): intralesional administration of corticoid (IAC) and sham PBM in the preoperative and postoperative periods of keloid removal surgery; and 2) active PBM combined with IAC (n = 29) in the preoperative and postoperative periods of keloid removal surgery. Transcutaneous PBM will be performed on the keloid region in the preoperative period and on the remaining scar in the postoperative period using blue LED (470 nm, 400 mW, 4J per point on 10 linear points)."</t>
  </si>
  <si>
    <t>Kurtti</t>
  </si>
  <si>
    <t>Light emitting diode-red light for reduction of post-surgical scarring: Results from a dose-ranging, split-face, randomized controlled trial</t>
  </si>
  <si>
    <t>🧑 Human
🎲 Randomized trial, sham-controlled, split-face
👥 30 participants
⌛ 3-week treatment / 12-month study</t>
  </si>
  <si>
    <t>160
320
480</t>
  </si>
  <si>
    <t>9
/ 3 weeks</t>
  </si>
  <si>
    <t>"There were no significant differences in scar pliability between treated and control scars. At certain fluences, treated scars showed greater improvements in observer rating and scar pliability, reflected by greater reductions in induration, from baseline to 6 months compared to control scars. Treatment-site adverse events included blistering (n=2) and swelling (n=1), which were mild and resolved without sequelae."</t>
  </si>
  <si>
    <t>Mohsen</t>
  </si>
  <si>
    <t>Cleft Palate Craniofac J</t>
  </si>
  <si>
    <t>Evaluating the Effect of Low Power Diode Laser 806 nm on the Healing of Unilateral Cleft Lip Scar: An Open-Label Comparative Study</t>
  </si>
  <si>
    <t>🧑 Human
📄 Non-randomized study, controlled
👥 80 participants
⌛ (?)</t>
  </si>
  <si>
    <t>"The median pigmentation score was significantly lower in the laser group (median = 1; IQR = 1-2) than the control group (median 2; IQR 1-3), with p-value of &lt;0.001 (...)"</t>
  </si>
  <si>
    <t>Nguyen</t>
  </si>
  <si>
    <t>A dose-ranging, parallel group, split-face, single-blind phase II study of light emitting diode-red light (LED-RL) for skin scarring prevention: study protocol for a randomized controlled trial.</t>
  </si>
  <si>
    <t>Nesrein</t>
  </si>
  <si>
    <t>Effect of orange polarized light on post burn pediatric scar: a single blind randomized clinical trial</t>
  </si>
  <si>
    <t>🧑 Human
🎲 Randomized trial, sham-controlled
👥 30 participants
⌛ 4 weeks</t>
  </si>
  <si>
    <t>"All participated children were analyzed. Comparison of post treatment results between groups revealed significant improvement of post burn scar for both groups with significant difference in favor to the study group."</t>
  </si>
  <si>
    <t>Device: Bioptron Pro I (PAG-990)</t>
  </si>
  <si>
    <t>Alsharnoubi</t>
  </si>
  <si>
    <t>Evaluation of scars in children after treatment with low-level laser.</t>
  </si>
  <si>
    <t>🧑 Human (pediatric)
🎲 Randomized trial, self-controlled
👥 15 participants
⌛ 3 months</t>
  </si>
  <si>
    <t>0.119</t>
  </si>
  <si>
    <t>24
/ 12 weeks</t>
  </si>
  <si>
    <t>"Significant improvement was reported in the studied area, compared to the control area for patients with P values (P = 0.003) and (P = 0.005), for VSS and U/S scores, respectively. No differences were detected for blood perfusion of the scar between both areas (P = 0.73). In addition, no adverse effects were reported. 
Photobiomodulation (PBM) is an efficient and safe therapeutic modality for post-burn hypertrophic scars in children, with no side effects, and should be considered a part of combination therapy for better results."</t>
  </si>
  <si>
    <t>Alsharnoubi &amp; Mohamed</t>
  </si>
  <si>
    <t>Photobiomodulation effect on children's scars.</t>
  </si>
  <si>
    <t>Burn scars</t>
  </si>
  <si>
    <t>"Significant improvement was reported in the studied area compared to the control area for patients with P values (P = 0.005) and (P = 0.0001) for VSS and U/S scores, respectively. No difference was detected for blood perfusion to the scar between both areas (P = 0.18). In addition, no adverse effect was reported.
Photobiomodulation is an efficient and safe therapeutic modality for post-burn hypertrophic scars in children and should be considered a part of combination therapy for better results."</t>
  </si>
  <si>
    <t>Prevention of Thyroidectomy Scars in Asian Adults With Low-Level Light Therapy.</t>
  </si>
  <si>
    <t>🧑 Human
📄 Non-randomized study, controlled
👥 50 participants
⌛ 1-month treatment / 3-month study</t>
  </si>
  <si>
    <t>590
+
830</t>
  </si>
  <si>
    <t>7
/ 1 week
--&gt;
9
/ 3 weeks</t>
  </si>
  <si>
    <t>"The average VSS and GAS scores were lower in the treatment group, whereas the subjective score was not significantly different."</t>
  </si>
  <si>
    <t>Vranova</t>
  </si>
  <si>
    <t>Czech</t>
  </si>
  <si>
    <t>Comparison of quality of facial scars after single low-level laser therapy and combined low-level with high-level (PDL 595 nm) laser therapy.</t>
  </si>
  <si>
    <t>🧑 Human (participants)
📄 Non-randomized study, controlled
👥 41 participants
⌛ 2-3 week treatment / 12-week study</t>
  </si>
  <si>
    <t>LLLT vs LLLT+PDL vs control</t>
  </si>
  <si>
    <t>595
(PDL)
670
(LLLT)</t>
  </si>
  <si>
    <t>daily
for
2-3
weeks</t>
  </si>
  <si>
    <t>"A statistically significant improvement in scars (between ratings before treatment and 4 weeks after therapy, before treatment and 8 weeks after therapy and before treatment and 12 weeks after therapy) was observed in all parameters in both treatment groups (p &lt; 0.0001).
For the HLLT+LLLT group the most significant enhancement in the quality of scars was found for all items and at all evaluations, except pigmentation and pliability. 
There was no improvement observed in quality of facial scars in the control group."</t>
  </si>
  <si>
    <t>Depressed Facial Scars Successfully Treated with Autologous Platelet-Rich Plasma and Light-Emitting Diode Phototherapy at 830 nm</t>
  </si>
  <si>
    <t>🧑 Human
📄 Case report
⌛ 16 weeks</t>
  </si>
  <si>
    <t>8
/ 16 weeks</t>
  </si>
  <si>
    <t>"After autologous PRP injection, the lesion was illuminated with an LED at 830 nm (Smartlux™; Medmix, Seoul, Korea; light dose 72 J/cm2) for 20 minutes. The treatment caused a substantial improvement of the lesion and symptoms, with good cosmetic results (Fig. 1B)."</t>
  </si>
  <si>
    <t>Prophylactic low-level light therapy for the treatment of hypertrophic scars and keloids: a case series.</t>
  </si>
  <si>
    <t>🧑 Human
📄 Case series
👥 3 cases
⌛ 30 days</t>
  </si>
  <si>
    <t>27</t>
  </si>
  <si>
    <t>daily
for
30
days</t>
  </si>
  <si>
    <t>"Significant improvements on the NIR-treated versus the control scar were seen in all efficacy measures. No significant treatment-related adverse effects were reported."</t>
  </si>
  <si>
    <t>Gaida</t>
  </si>
  <si>
    <t>Burns</t>
  </si>
  <si>
    <t>Low Level Laser Therapy--a conservative approach to the burn scar?</t>
  </si>
  <si>
    <t>🧑 Human
📄 Single-arm trial
👥 19 participants
⌛ 8-week treatment</t>
  </si>
  <si>
    <t>acc.
to
lesion
size</t>
  </si>
  <si>
    <t>"Seventeen out of 19 scars exhibited an improvement after treatment. The average rating on the VSS decreased from 7.10+/-2.13 to 4.68+/-2.05 points in the treated areas, whereas the VSS in the control areas decreased from 6.10+/-2.86 to 5.88+/-2.72. A correlation between scar duration and improvement through LLLT could be found. No negative effects of LLLT were reported. 
The present study shows that the 400 mW 670 nm softlaser has a positive, yet sometimes limited effect on burn scars concerning macroscopic appearance, pruritus, and pain."</t>
  </si>
  <si>
    <t>Ohshiro &amp; Maeda</t>
  </si>
  <si>
    <t>Application of 830 nm diode laser lllt as successful adjunctive therapy of hypertrophic scars and keloids</t>
  </si>
  <si>
    <t>🧑 Human
📄 Case series
👥 9 cases
⌛ 2-12 months</t>
  </si>
  <si>
    <t>830
1064</t>
  </si>
  <si>
    <t>"As LLLT has been shown clinically and in scientific studies to have a regulatory effect on all of the above factors, a good therapeutic effect was anticipated from low reactive-level laser therapy applied to keloids and hypertrophic scars. Both the defocused Nd:YAG (1064 nm, 4 W, c/w, noncontact method) and the GaAlAs diode laser (830 nm, 60 mW c/w, contact and noncontact) have been used, with or without other laser or conventional surgery and conservative treatment modalities, with consistently good results."</t>
  </si>
  <si>
    <t>Scars (preclinical)</t>
  </si>
  <si>
    <t>Antiﬁbrotic effects of Hypocrellin A combined with LED red light irradiation on keloid fibroblasts by counteracting the TGF-β/Smad/autophagy/apoptosis signalling pathway</t>
  </si>
  <si>
    <t>"Hypocrellin A (HA) was shown to have excellent light induced anticancer, antimicrobial and antiviral activities. In this experiment, we investigated the impacts of HA united light-emitting diode (LED) red light irradiation on human keloid fibroblast cells (KFs).
Our results showed that HA combined with red light irradiation treatment (HA-R-PDT) decreased KF viability, reduced KF collagen production and ECM accumulation, inhibited cell proliferation, suppressed cell invasion and induced cell apoptosis."</t>
  </si>
  <si>
    <t>Magni</t>
  </si>
  <si>
    <t>Experimental Study on Blue Light Interaction with Human Keloid-Derived Fibroblasts</t>
  </si>
  <si>
    <t>Blue light
LED phototherapy</t>
  </si>
  <si>
    <t>410-
430</t>
  </si>
  <si>
    <t>"Our results showed that the blue LED light can modulate cell metabolism and proliferation, with a dose-dependent behavior and that these effects persist at least till 48 h after treatment. Furthermore, we demonstrated that the highest fluence value can reduce cell viability 24 h after irradiation in keloid-derived fibroblasts, while the same effect is observed 48 h after treatment in perilesional fibroblasts."</t>
  </si>
  <si>
    <t>Low-Level Light Therapy with 410 nm Light Emitting Diode Suppresses Collagen Synthesis in Human Keloid Fibroblasts: An In Vitro Study</t>
  </si>
  <si>
    <t>410
630
830</t>
  </si>
  <si>
    <t>"We observed no statistically significant change in the viability of keloid fibroblasts after irradiation. Collagen type I was the only gene whose expression significantly decreased after irradiation at 410 nm when compared to the non-irradiated control. Western blot analysis showed that LLLT at 410 nm lowered the protein levels of collagen type I compared to the control."</t>
  </si>
  <si>
    <t>Zöller</t>
  </si>
  <si>
    <t>Water-filtered near-infrared influences collagen synthesis of keloid-fibroblasts in contrast to normal foreskin fibroblasts.</t>
  </si>
  <si>
    <t>"Our results show that viability was not influenced by irradiation. Independent of the analysed fibroblast species temperature dependent occurrence of spheric cells could be observed. These morphological changes were clearly counteracted by additional light exposure. Convective heat reduced collagen type I synthesis in both cell species depending on the applied temperature. Co-treatment with NIR significantly reversed this effect in keloid fibroblast cultures treated at 46°C whereas no difference could be observed in the foreskin fibroblasts. The observed influence on collagen type I synthesis was associated to a temperature dependent TGF-β1 secretion reduction. Co-stimulation of keloid cultures with NIR at 46°C completely abolished the temperature dependent TGF-β1 secretion reduction. In foreskin fibroblast cultures co-treatment with NIR had no additional influence on TGF-β1 secretion. The observed influence of convective heat treatment with and without NIR on keloid and foreskin fibroblasts indicates a possible clinical application that has to be evaluated in further basic research and clinical studies in context of hypertrophic scar treatment."</t>
  </si>
  <si>
    <t>Light-emitting diode-generated red light inhibits keloid fibroblast proliferation.</t>
  </si>
  <si>
    <t>240
320
480</t>
  </si>
  <si>
    <t>"Light-emitting diode-generated red light can inhibit keloid fibroblast proliferation in a dose-dependent manner without altering viability. Light-emitting diode-generated red light has the potential to contribute to the treatment of keloids and other fibrotic skin diseases and is worthy of further translational and clinical investigation."</t>
  </si>
  <si>
    <t>Laser and light-based treatment of Keloids--a review.</t>
  </si>
  <si>
    <t>"Clinical studies using CO2 laser are more prevalent in current literature and a combination regimen may be an adequate ablative approach. Adding light-based treatments, such as LED phototherapy or PDT, to laser treatment regimens may enhance patient outcomes. Lasers and other light-based technology have introduced new ways to manage keloids that may result in improved aesthetic and symptomatic outcomes and decreased keloid recurrence."</t>
  </si>
  <si>
    <t>Bonatti</t>
  </si>
  <si>
    <t>In vitro effect of 470 nm LED (Light Emitting Diode) in keloid fibroblasts</t>
  </si>
  <si>
    <t>"There was a reduction in the number of adjacent skin fibroblasts irradiated with 470nm blue LED at the energy dose of 18 J compared to the ones irradiated at the energy dose of 6 J. There were no changes in keloid fibroblasts counting at any of the doses applied, 24 h after irradiation."</t>
  </si>
  <si>
    <t>Webb &amp; Dyson</t>
  </si>
  <si>
    <t>The effect of 880 nm low level laser energy on human fibroblast cell numbers: a possible role in hypertrophic wound healing.</t>
  </si>
  <si>
    <t>2.4
4.0</t>
  </si>
  <si>
    <t>"This experiment investigated the effect of an 880 nm, 16 mW GaAlAs diode at 2.4 and 4 J/cm(2) on cell numbers of two human fibroblast cell lines, derived from hypertrophic scar (HF) and normal dermal explants (NF), respectively. After irradiation by 880 nm LLL, cell numbers were measured utilising methylene blue bioassay and read by the spectrophotometer in the same microculture plates. HF and NF exhibited decreased cell numbers as compared to sham-irradiated controls. HF cell number, after 2.4 J/cm(2), was significantly lower on day 5 (P&lt;0.05). The NF cell numbers were significantly lower on day 4 and/or day 5 (P&lt;0.05). The results have implications on hypertrophic wound healing and further studies are required."
Comment: I should read the full text to interpret the results.</t>
  </si>
  <si>
    <t>Webb</t>
  </si>
  <si>
    <t>Stimulatory effect of 660 nm low level laser energy on hypertrophic scar-derived fibroblasts: possible mechanisms for increase in cell counts.</t>
  </si>
  <si>
    <t>"The post-660 nm-irradiated HSFs exhibited very significantly higher cell counts than controls P &lt; 0.01 on days 1-4 (Mann-Whitney U-test), and P &lt; 0.01 on days 1-3 for similarly irradiated NDFs."
Comment: I should read this and the other Webb paper to interpret the results.</t>
  </si>
  <si>
    <t>Sebaceous gland</t>
  </si>
  <si>
    <t>Near-infrared radiation causes sebaceous gland enlargement along with an ROS-dependent augmentation of epidermal growth factor receptor expression in hamsters</t>
  </si>
  <si>
    <t>Hamster</t>
  </si>
  <si>
    <t>NIR</t>
  </si>
  <si>
    <t>0.095-
0.190</t>
  </si>
  <si>
    <t>"As near-infrared radiation (NIR), which is a composition of sunlight with an 780-1400 nm wavelength, is associated with skin aging such as wrinkles and slacks, the biological actions of NIR with high dermal penetration remains unclear. In the present study, we found that NIR irradiation (40 J/cm2 ) at different levels of irradiance (95-190 mW/cm2 ) using a laboratory device with a xenon flash lamp (780-1700 nm) caused sebaceous gland enlargement concomitantly with skin thickening in the auricle skin of hamsters."
"Therefore, these results provide novel evidence that NIR irradiation causes the hyperplasia of sebaceous glands in hamsters by mechanisms in which EGFR production is transcriptionally augmented through ROS-dependent pathways in sebocytes."</t>
  </si>
  <si>
    <t>Seborrheic dermatitis</t>
  </si>
  <si>
    <t>Fonseka</t>
  </si>
  <si>
    <t>Sri Lanka</t>
  </si>
  <si>
    <t>J Cutan Aesthet Surg</t>
  </si>
  <si>
    <t>Light-emitting Diode Light Therapy for Facial Seborrhoeic Dermatitis: A Case Report</t>
  </si>
  <si>
    <t>🧑 Human
📄 Case report
⌛ 6 weeks (?)</t>
  </si>
  <si>
    <t>blue+
yellow+
red</t>
  </si>
  <si>
    <t>"The patient showed clinical improvement in relation to pruritus, scaling, pigmentation, texture of the skin, and sebum secretion. Also, he showed a 50% improvement after the first treatment [Figures 1–3] and he had three sessions of LED-LT. At the end of the third session, the patient was almost completely better and he was maintained on topical emollients and sunscreens."
Comment: Parameters and other relevant details insufficiently reported.</t>
  </si>
  <si>
    <t>Sensitive skin</t>
  </si>
  <si>
    <t>Sonbol</t>
  </si>
  <si>
    <t>France
(Brest)</t>
  </si>
  <si>
    <t>Efficacy and Tolerability of Phototherapy With Light-Emitting Diodes for Sensitive Skin: A Pilot Study.</t>
  </si>
  <si>
    <t>🧑 Human
📄 Single-arm trial
👥 30 participants
⌛ treatment up to 8 weeks -&gt; 2-month follow-up</t>
  </si>
  <si>
    <t>up to
16
/ 8 weeks</t>
  </si>
  <si>
    <t>"The mean [sensitive skin] scores were 54.7 at inclusion, 14.4 at the last session and 13.9 2 months after the last session, suggesting that the benefits persist for a few weeks"</t>
  </si>
  <si>
    <t>In vivo and in vitro analysis of low level light therapy: a useful therapeutic approach for sensitive skin</t>
  </si>
  <si>
    <t>🧑 Human
📄 Single-arm trial
👥 28 participants
⌛ ~10-week treatment
+ 🧪 In vitro</t>
  </si>
  <si>
    <t>7.2</t>
  </si>
  <si>
    <t>2-3
/ week
average
9.9
sessions</t>
  </si>
  <si>
    <t>"Twenty-eight patients complaining of sensitive skin were treated with low-level polarized light, and clinical results were evaluated using subjective and objective method (...) 
The average number of LLLT sessions required to achieve clinical improvement was 9.9, and cumulative dose of LLLT was 71.3 J/cm2 on the average. Erythema index decreased significantly after LLLT treatment (p = 0.017). 
In vitro assay showed that LLLT significantly reduced the release of VEGF from SLS-pretreated keratinocytes (p = 0.021). 
Our results suggest that LLLT could be a useful and safe treatment modality for sensitive skin, and modification of inflammatory cytokines released from irritated keratinocytes may be considered as one of plausible mechanisms in sensitive skin treated with LLLT."</t>
  </si>
  <si>
    <t>Skin barrier</t>
  </si>
  <si>
    <t>Abe</t>
  </si>
  <si>
    <t>Japan
(Sendai)</t>
  </si>
  <si>
    <t>Red light-promoted skin barrier recovery: Spatiotemporal evaluation by transepidermal potential.</t>
  </si>
  <si>
    <t>Ex vivo
(porcine skin)</t>
  </si>
  <si>
    <t>600+
(filter
on
white
LED)</t>
  </si>
  <si>
    <t>"An accelerated recovery of TEP was observed by irradiation of red light with the irradiance of 40 mW/cm2 and a duration of &gt; 10 min. The influence of the light stimulation to the surroundings (~ 20 mm) was also observed. The irradiations of blue and purple lights were ineffective in accelerating the barrier recovery. These characteristics of the light stimulation would be useful for the design of effective and safe phototherapy devices for skin. The present study proves that the TEP can serve as a spatiotemporal indicator of the epidermal barrier function."</t>
  </si>
  <si>
    <t>Skin inflammation (due to skin perturbation)</t>
  </si>
  <si>
    <t>Falcone</t>
  </si>
  <si>
    <t>Netherlands
(Nijmegen)</t>
  </si>
  <si>
    <t>Effects of red light on inflammation and skin barrier recovery following acute perturbation. Pilot study results in healthy human subjects.</t>
  </si>
  <si>
    <t>🧑 Human
🎲 Randomized trial, crossover
👥 22 participants
⌛ 2 sessions with 1-week interval (active or control)</t>
  </si>
  <si>
    <t>LED phototherapy
Biphasic dose response (?)</t>
  </si>
  <si>
    <t>0.010
0.030</t>
  </si>
  <si>
    <t>3.6
30</t>
  </si>
  <si>
    <t>1
active
1
control</t>
  </si>
  <si>
    <t>"Firstly, red light at low fluence (3.6 J/cm 2 ) decreased the redness induced by histamine iontophoresis at 30 minutes after stimulus, in line with the use of red light in accelerating the resolution of erythema following skin rejuventation treatments ( 5). This effect was not observed with red light at higher fluence (30 J/cm 2 ) , possibly because of the greater increase in skin temperature leading to increased skin blood flow."
"Secondly, red light at both 3.6 J/cm 2 and 30 J/cm 2 had no effect on the recovery of the skin barrier function following tape stripping. This is in contrast with previous data which showed a stimulatory effect of red light ( 2, 8, 9). Enhanced skin barrier recovery might have been obtained with repeated irradiations instead of a single irradiation"
"Lastly, red light did not influence the release of IL -1α, IL -1RA or hBD - 1, at least with the irradiation parameters used in this study."</t>
  </si>
  <si>
    <t>Skin pigmentation</t>
  </si>
  <si>
    <t>Kollias &amp; Bager</t>
  </si>
  <si>
    <t>An experimental study of the changes in pigmentation in human skin in vivo with visible and near infrared light.</t>
  </si>
  <si>
    <t>🧑 Human
📄 (?)
👥 8 participants
⌛ (?)</t>
  </si>
  <si>
    <t>390-
1700</t>
  </si>
  <si>
    <t>"The generation of a photoproduct was observed and measured as changes in the remitted intensity within 600 s (10 min) of the start of irradiation.
The photoproduct formed was characterized by a weak absorption in the blue part of the spectrum (400–450 nm), leading to a bluish appearance in the irradiated area only. The color change appears as a two step process. It starts with a “soluble” photoproduct, which disappears, within 24 h after irradiation, and an “insoluble” photoproduct which appears with irradiation greater than 3 ×103 s (50 min). No spectral differences were detected between the two photoproducts. The “insoluble” photoproduct persists for periods of up to 8 weeks. The color change in the skin is immediate and there is no erythema associated with this color change."</t>
  </si>
  <si>
    <t>Skin neuropeptides</t>
  </si>
  <si>
    <t>Hochman</t>
  </si>
  <si>
    <t>Low-level laser therapy and light-emitting diode effects in the secretion of neuropeptides SP and CGRP in rat skin.</t>
  </si>
  <si>
    <t>470
660
(LED)
660
808
(laser)</t>
  </si>
  <si>
    <t>350
350
100
100</t>
  </si>
  <si>
    <t>"P was released in Infrared Laser Group (p = 0.01); there was no difference in the CGRP secretion among groups. Infrared (808 nm) LLLT enhances neuropeptide [substance P] secretion in healthy rat skin."</t>
  </si>
  <si>
    <t>Skin rejuvenation</t>
  </si>
  <si>
    <t>Shurrab &amp; Alzghayar</t>
  </si>
  <si>
    <t>Low-level laser therapy for skin rejuvenation: A safe and effective solution baked by data and visual evidence</t>
  </si>
  <si>
    <t>🧑 Human
⚔ Comparison study
👥 30 participants
⌛ 4 or 6 weeks</t>
  </si>
  <si>
    <t>Groups:
- 2 PBM sessions/wk for 6 weeks
- 3 PBM sessions/wk for 4 weeks</t>
  </si>
  <si>
    <t>"Our study revealed that the use of a low-energy laser with a wavelength of 660 nm within 12 sessions represents a safe and effective treatment for pigmentation and improves the appearance of the skin in general."</t>
  </si>
  <si>
    <t>Yonsei Med J</t>
  </si>
  <si>
    <t>Exploring the Safety and Efficacy of Organic Light-Emitting Diode in Skin Rejuvenation and Wound Healing</t>
  </si>
  <si>
    <t>628
LED
625-
630
OLED</t>
  </si>
  <si>
    <t xml:space="preserve">
6
10</t>
  </si>
  <si>
    <t>"OLED irradiation had no significant morphological effects on human skin tissue, but caused a considerably higher expression of collagen than the control and LED-treated groups. 
Moreover, OLED irradiation reduced the expression levels of matrix metalloproteinases (MMPs) more effectively than did LED on HDFs. 
OLED irradiation group in HDFs had significantly higher expression levels of growth factors compared to the control group, but similar to those in the LED irradiation group. 
In addition, OLED irradiation on photo-aged animal skin model resulted in increased collagen fiber density in the dermis while reducing ultra violet radiation-mediated skin wrinkles and roughness, as shown in the skin replica."</t>
  </si>
  <si>
    <t>Efficacy and safety of a home-use handheld multi-energy-based device for skin rejuvenation: clinical, ex vivo, and histological studies</t>
  </si>
  <si>
    <t>🧑 Human
🎲 Randomized trial, split-face
👥 36 participants
⌛ 8 weeks
+ ex vivo</t>
  </si>
  <si>
    <t>Couturaud</t>
  </si>
  <si>
    <t>France
(Neuilly sur Seine)</t>
  </si>
  <si>
    <t>Reverse skin aging signs by red light photobiomodulation</t>
  </si>
  <si>
    <t>🧑 Human
📄 Single-arm trial
👥 20 participants
⌛ 3 months</t>
  </si>
  <si>
    <t>LED phototherapy
PBM device design: face mask</t>
  </si>
  <si>
    <t>0.0217</t>
  </si>
  <si>
    <t>15.6</t>
  </si>
  <si>
    <t>337
cm2
emission
surface</t>
  </si>
  <si>
    <t>2/week
for 3 months</t>
  </si>
  <si>
    <t>"The efficacy results measured after 1, 2, and 3 months of use are progressive and confirm the interest of LED photobiomodulation to reverse the visible signs of skin aging. All the volunteers observed an overall improvement in skin quality."
Results (examples): Gradual 38.3% decrease of wrinkle depth in 84 days, 18.4% increase in skin elasticity, and 47.7% increase in dermis density, 70.3% decrease in sebum rate. A dozen different outcomes reported.
Comment: According to Table 1, the power output seems quite high</t>
  </si>
  <si>
    <t>Device: Skin Light Dior x Lucibel mask</t>
  </si>
  <si>
    <t>Male facial rejuvenation using a combination 633, 830, and 1072 nm LED face mask</t>
  </si>
  <si>
    <t>🧑 Human
📄 Single-arm trial
👥 (?)
⌛ 6 weeks</t>
  </si>
  <si>
    <t>PBM device design: face mask</t>
  </si>
  <si>
    <t>633+
830+
1072</t>
  </si>
  <si>
    <t>"The participants reported overall favorable results and improvements in all individual categories, were satisfied with the treatment, and would recommend the product to others. The participants perceived the greatest improvement in fine lines and wrinkles, skin texture, and youthful appearance. Photographic digital analysis demonstrated favorable improvements in wrinkles, UV spots, brown spots, pores, and porphyrins."</t>
  </si>
  <si>
    <t>Bragato</t>
  </si>
  <si>
    <t>Comparison of the effects of 2 frequencies of application of photobiomodulation on facial rejuvenation: Controlled, randomized, and double-blind clinical trial</t>
  </si>
  <si>
    <t>"The objective of this study is to compare the effects of PBM with a light-emitting diode mask (660 nm, 6.4 mW/ cm², 8,02 J/ cm², 5.02 mW, 21 minutes) on facial rejuvenation using 2 frequency applications for 4 weeks: one group will receive PBM application on the face, twice a week and another group will receive PBM application 3 times a week. A group with simulated PBM applied twice a week for 4 weeks will be used as a control."</t>
  </si>
  <si>
    <t>Photobiomodulation Reduces Periocular Wrinkle Volume by 30%: A Randomized Controlled Trial</t>
  </si>
  <si>
    <t>🧑 Human
⚔ Comparison study
👥 137 participants
⌛ 4 weeks</t>
  </si>
  <si>
    <t>PBM (amber) vs PBM (red)</t>
  </si>
  <si>
    <t>590
660</t>
  </si>
  <si>
    <t>3.8
3.8</t>
  </si>
  <si>
    <t>"There was a significant reduction in wrinkle volume after red (31.6%) and amber (29.9%) PBM. None of the treatments improved skin hydration and viscoelasticity. Both questionnaires showed improvements in participants' quality of life."</t>
  </si>
  <si>
    <t>Pourang</t>
  </si>
  <si>
    <t>Effects of visible light on mechanisms of skin photoaging</t>
  </si>
  <si>
    <t>"In this review, the effects of blue light, yellow light, red light, and broad visible light are discussed in relation with photoaging. Different visible light wavelengths likely contribute beneficial and deleterious effects on photoaging by way of interaction with specific photoreceptors, ROS production, and other photon-mediated reactions. Further in vivo studies are needed to determine the mechanism and action spectrum of photoaging in humans, as well as optimal photoprotection with coverage against visible light wavelengths."</t>
  </si>
  <si>
    <t>Cordova JAD</t>
  </si>
  <si>
    <t>UK
(Jersey)</t>
  </si>
  <si>
    <t>Facial Plast Surg</t>
  </si>
  <si>
    <t>Role of Photo-Biomodulation Therapy in Facial Rejuvenation and Facial Plastic Surgery</t>
  </si>
  <si>
    <t>"Photo-biomodulation (PBM) also known as low-level laser therapy is a rising technology with multiple potential uses in medicine and recently in the cosmetic field for the treatment of skin conditions and skin rejuvenation. Due to its wound healing and anti-inflammatory properties, there is an increase in popularity in its use as adjunctive treatment before and after surgical procedures in the face and neck."</t>
  </si>
  <si>
    <t>Low-Level Red Plus Near Infrared Lights Combination Induces Expressions of Collagen and Elastin in Human Skin In Vitro</t>
  </si>
  <si>
    <t>640+
830</t>
  </si>
  <si>
    <t>0.3</t>
  </si>
  <si>
    <t>"Treatment of human fibroblast cell cultures with low level red plus near IR lights combination was found to significantly increase LOXL1, ELN and COL1A1 and COL3A1 gene expressions as well as the synthesis of the procollagen type I and elastin proteins. 
Treating human skin explants with low level red plus near IR lights combination similarly induced significant increases of the same genes expressions, type III collagen and elastic fiber formation and cross-links. 
ATP production was increased in human dermal fibroblasts after red plus near IR lights combination treatment."</t>
  </si>
  <si>
    <t>Guermonprez</t>
  </si>
  <si>
    <t>Safety and efficacy of a novel home-use device for light-potentiated (LED) skin treatment</t>
  </si>
  <si>
    <t xml:space="preserve">🧑 Human
🎲 Randomized trial, self-controlled
👥 32 participants
⌛ 4 weeks
+ 🧪 In vitro
</t>
  </si>
  <si>
    <t>LED phototherapy
Objective measures
At-home device</t>
  </si>
  <si>
    <t>440+
660+
780</t>
  </si>
  <si>
    <t>0.0057
0.0106
0.0040</t>
  </si>
  <si>
    <t>28
/ 4 weeks</t>
  </si>
  <si>
    <t>"After in vitro and ex vivo investigations, a clinical study assessed the safety and efficacy of a daily treatment with the home-use device for 28 days. A significant increases in skin density and radiance while reducing the wrinkles was obtained with no side effects."</t>
  </si>
  <si>
    <t xml:space="preserve">Interpretation of results:
- PBM increased skin smoothness (+7%) and decreased Crow's feet wrinkles (-9%) compared to control at d28
- PBM decreased measured non-echogenic surface% (-20%) compared to control at d28
- PBM had a lifting effect (+9%) according to expert scoring compared to control at d28
(Control side had serum only. Intervention side had serum and PBM.)
Device: Lightinderm home-use device </t>
  </si>
  <si>
    <t>Synergistic effects of using novel home-use 660- and 850-nm light-emitting diode mask in combination with hyaluronic acid ampoule on photoaged Asian skin: A prospective, controlled study</t>
  </si>
  <si>
    <t>🧑 Human
📄 Non-randomized study, controlled
👥 48 participants
⌛ 4 weeks</t>
  </si>
  <si>
    <t>LED phototherapy (mask device)
Objective measures</t>
  </si>
  <si>
    <t>1.89</t>
  </si>
  <si>
    <t>"Group A showed a significantly faster and higher rate of improvement than Group B."</t>
  </si>
  <si>
    <t>Interpretation of results:
- PBM flattened prejowl sulci compared to control (-46% vs -28%)
- PBM flattened nasolabial fold compared to control (-43% vs -28%)
- PBM improved lower chin firmness compared to control (-17% vs 6%)
- PBM increased skin density compared to control (17% vs 7%)
- PBM decreased pores compared to control (-35% vs -18%)
- PBM decreased corneocytes compared to control (-48% vs -23%)
(Control group had hyaluronic acid only. Intervention group had hyaluronic acid and PBM.)
Device: CELLRETURN LED Mask Platinum</t>
  </si>
  <si>
    <t>Ng</t>
  </si>
  <si>
    <t>Efficacy of Home-Use Light-Emitting Diode Device at 637 and 854-nm for Facial Rejuvenation: A Split-Face Pilot Study</t>
  </si>
  <si>
    <t>🧑 Human
📄 Non-randomized study, self-controlled
👥 24 participants
⌛ 8 weeks</t>
  </si>
  <si>
    <t>637
854</t>
  </si>
  <si>
    <t>"All 24 subjects completed the study and attended all follow-up. Skin elasticity was significantly higher in the LED group compared to the control during the 6- and 8-week follow-up (p &lt; 0.05). In the LED group, an image of the treated skin captured using Visioscan® showed improvement of the skin texture at 8-week follow-up. 
Majority of the subjects in the LED group scored good improvement on all follow-ups (37.5%, 41.7%, 58.3% and 62.5%) when compared to the baseline. No adverse reactions or pain were recorded in the study."
Comment: Only 2 of the 10 statistical intergroup tests showed significant difference. without correction for multiple testing (eg. Bonferroni).</t>
  </si>
  <si>
    <t>Interpretation of results:
- Skin elasticity increased 56% on intervention side and 17% on control side (week 8) (p = 0.012 between groups)
- Skin hydration decreased 7% on intervention side and 12% on control side (week 8) (N.S. between groups)
- Wrinkles did not change in either group
- Skin roughness did not change in either group
- Skin smoothness value decreased 22% on intervention side and 14% on control side (N.S. between groups)
- Subjective self-improvement scores were good/excellent in 83% of intervention sides and 26% of control sides</t>
  </si>
  <si>
    <t>Heidari Beigvand</t>
  </si>
  <si>
    <t>Assessment of Laser Effects on Skin Rejuvenation.</t>
  </si>
  <si>
    <t>"PBMs lasers mainly utilize red and near-red light spectra to activate biological processes used in a wide range of medical applications (Table 2). Low-power sources as LEDs, broadband lights and lasers are the sources of the photochemical and photophysical phenomenon without thermal reactions.47 Photon energy is converted to stimulate biological reactions as collagen synthesis.48 Near-infrared irradiation assists fibroblasts in making collagen to increase the consistency of skin.49 The PBM technique without thermal reactions has been able to dramatically increase patients’ satisfaction with skin rejuvenation.50"</t>
  </si>
  <si>
    <t>10 
14 
16
 20
 28</t>
  </si>
  <si>
    <t>"The H2O2 at 50 μM concentration induced some fibroblast senescence markers and for LLLT, the best dose for treatment was 4 J (p &lt; 0.001). The interaction between H2O2 at 50 μM and LLLT at 4 J showed partially reversion of the higher levels of DNA oxidation, CASP 3, CASP 8, IL-1B, IL-6, and INFy induced by H2O2 exposure. LLLT also trigger increase of IL-10 anti-inflammatory cytokine, FGF-1 and KGF levels. Cellular proliferation was also improved when fibroblasts treated with H2O2 were exposed to LLLT (p &lt; 0.001)."
"These results suggest that in fibroblast with some senescence characteristics H2O2-induced, the LLLT presented an important protective and proliferative action, reverting partially or totally negative effects triggering by H2O2."</t>
  </si>
  <si>
    <t>Houreld NN</t>
  </si>
  <si>
    <t>The use of lasers and light sources in skin rejuvenation.</t>
  </si>
  <si>
    <t>"Currently, there is a wide range of lasers and devices available for the regeneration and healing of skin. Lasers and light sources for skin rejuvenation involve the removal of aged skin tissue via thermal heat from high-powered lasers, stimulating the surrounding tissues to recover through natural wound-healing processes. In contrast, photobiomodulation, which makes use of low energy lasers or light emitting diodes, uses no heat and has shown positive effects in the reduction of wrinkles and improving skin laxity."</t>
  </si>
  <si>
    <t>Preconditioning With Low-Level Laser Irradiation Enhances the Therapeutic Potential of Human Adipose-derived Stem Cells in a Mouse Model of Photoaged Skin.</t>
  </si>
  <si>
    <t>(2)
4
(8)</t>
  </si>
  <si>
    <t>10
cm2
area</t>
  </si>
  <si>
    <t>"The results showed that GaAlAs laser treatment of cells at a radiant exposure of 4 J cm-2 enhanced ADSC proliferation and adipogenic differentiation and increased secretion of growth factors. Furthermore, GaAlAs laser irradiation upregulated the expression of putative ADSC surface markers. 
In the mouse model of photoaged skin, ADSCs treated with GaAlAs laser irradiation had markedly decreased the epidermal thickness and increased the dermal thickness of photoaged mouse skin."</t>
  </si>
  <si>
    <t>Combination of Natural Extracts and Photobiomodulation in Keratinocytes Subjected to UVA Radiation</t>
  </si>
  <si>
    <t>🧪 In vitro
🦠 keratinocytes</t>
  </si>
  <si>
    <t>LED phototherapy
PBM + natural extracts (NE)
UVA radiation</t>
  </si>
  <si>
    <t>0.026</t>
  </si>
  <si>
    <t>"The data show that PBM is a promising therapy to restore keratinocytes after UVA damage; however, the detailed mechanism and effects require further exploration. Moreover, although the combination of PBM with NE may be a useful strategy, the choice of a NE is challenging, since the working concentration and other properties, such as photosensitivity, may bring about unwanted results."</t>
  </si>
  <si>
    <t>Q-switched 1064-nm dymium-doped yttrium aluminum garnet laser irradiation induces skin collagen synthesis by stimulating MAPKs pathway</t>
  </si>
  <si>
    <t>"In summary, our study demonstrated that Q-switched 1064-nm Nd:YAG laser can induce collagen generation, at least in part, through activating TGF-β1/Smad3/MAPK signaling pathway."</t>
  </si>
  <si>
    <t>Qin</t>
  </si>
  <si>
    <t>Potential role of S100A8 in skin rejuvenation with the 1064-nm Q-switched Nd:YAG laser.</t>
  </si>
  <si>
    <t>"Our results demonstrated that the overexpression of S100A8 induced by the 1064-nm laser irradiation triggered inflammatory reactions in skin cells. The inflammatory microenvironment and improvement of skin antioxidant capacity contribute to new collagen synthesis in the skin cells. Thus, S100A8 was required for laser-induced new collagen synthesis in skin cells. p38/MAPK and NF-κB signal pathways were involved in S100A8-mediated inflammatory reactions in response to laser irradiation."</t>
  </si>
  <si>
    <t>Rocha Mota</t>
  </si>
  <si>
    <t>Efficacy of phototherapy to treat facial ageing when using a red versus an amber LED: a protocol for a randomised controlled trial.</t>
  </si>
  <si>
    <t>Nam</t>
  </si>
  <si>
    <t>The Efficacy and Safety of 660 nm and 411 to 777 nm Light-Emitting Devices for Treating Wrinkles</t>
  </si>
  <si>
    <t>🧑 Human
⚔ Comparison study
👥 52 participants
⌛ 12 weeks</t>
  </si>
  <si>
    <t>PBM vs white light</t>
  </si>
  <si>
    <t>660
(red)
411-
777
(white)</t>
  </si>
  <si>
    <t>5.17</t>
  </si>
  <si>
    <t>84
(daily for 12 weeks)</t>
  </si>
  <si>
    <t>"In both groups treated with red and white LEDs, the wrinkle measurement from skin replica improved significantly from baseline at Week 12. The red LED group showed slightly better improvement, but there were no statistical differences. 
In assessments by blinded dermatologists, no significant differences were observed in both groups. 
In the global assessment of the subjects, the mean improvement score of the red LED group was higher than that of the white LED group."
Comment: The control group may have also received PBM effects from the broadband white light.</t>
  </si>
  <si>
    <t>A prospective study of the safety and efficacy of a combined bipolar radiofrequency, intense pulsed light, and infrared diode laser treatment for global facial photoaging.</t>
  </si>
  <si>
    <t>🧑 Human
📄 Single-arm trial
👥 26 participants
⌛ 4 months of treatment -&gt; 6 months of follow-up</t>
  </si>
  <si>
    <t>Multi-
factorial</t>
  </si>
  <si>
    <t>"There was a statistically significant improvement in all five aspects of the comprehensive grading scale. Overall, it had excellent efficacy for improving erythema, telangiectasias, and skin texture. It also had a relatively long effect on improving skin laxity; however, it had only a limited ability to improve rhytides and dyschromia. It can mildly to moderately improve the global photoaging. This global effect can be noted 1 month after treatment and becomes most clinically apparent 3 months after treatment. This is maintained at least 6 months after treatment. MI index and SC and D values increased while EI index and TEWL values decreased after the treatment. The subjects' self-assessment improved by 2.7 ± 1.2 points. The overall satisfaction rate was 88%. The degree of pain measured 2.5 ± 1.9 points on average. There was no downtime and no severe side effects reported. The sequential implementation of bipolar radiofrequency based optical combination devices (IPL, IR, diode laser) is effective and safe for global facial photoaging."</t>
  </si>
  <si>
    <t>Kim &amp; Choi</t>
  </si>
  <si>
    <t>Effects of radiofrequency, electroacupuncture, and low-level laser therapy on the wrinkles and moisture content of the forehead, eyes, and cheek.</t>
  </si>
  <si>
    <t>🧑 Human
⚔ Comparison study
👥 30 participants
⌛ 6 weeks</t>
  </si>
  <si>
    <t>"The application of LLLT, EA, and RF had positive effects on wrinkle and moisture content of adult women's faces."
Comment: Parameters insufficiently reported</t>
  </si>
  <si>
    <t>Safety, efficacy, and usage compliance of home-use device utilizing RF and light energies for treating periorbital wrinkles</t>
  </si>
  <si>
    <t>🧑 Human
📄 Single-arm trial
👥 33 participants
⌛ 6 weeks of treatment -&gt; 3-month follow-up</t>
  </si>
  <si>
    <t>PBM + radiofrequency treatment
LED phototherapy</t>
  </si>
  <si>
    <t>red+
NIR</t>
  </si>
  <si>
    <t>0.070+
0.055</t>
  </si>
  <si>
    <t>"A blinded, independent photographs assessment of three dermatologists demonstrated an average reduction of 1.49 Fitzpatrick scores (P &lt; 0.001)."
"The Silk'n Home Skin Tightening (HST) device offers a safe and effective in-home noninvasive technique to improve the appearance of age-related periorbital wrinkles."
Comment: Wavelength not mentioned. Dose parameters inadequately reported.</t>
  </si>
  <si>
    <t>S100a8/NF-κB signal pathway is involved in the 800-nm diode laser-induced skin collagen remodeling.</t>
  </si>
  <si>
    <t>20
40
60</t>
  </si>
  <si>
    <t>"At day 30, PCR and Western blot analysis showed significant increase of type I and III procollagen in the dermis treated with laser. Importantly, skin structure was markedly improved in the laser-irradiated skin compared with the control. Thus, it seemed that S100a8 upregulation triggered NF-κB signal pathway through RAGE and TLR4, responding to laser-induced dermis wound healing. 
The involvement of the NF-κB pathway in MMP gene transcription promoted the turnover of collagen in the skin, accelerating new collagen synthesis."</t>
  </si>
  <si>
    <t>Skin photorejuvenation effects of light-emitting diodes (LEDs): a comparative study of yellow and red LEDs in vitro and in vivo.</t>
  </si>
  <si>
    <t>Human dermal fibroblast
LED phototherapy
Wavelength comparison</t>
  </si>
  <si>
    <t>410
480
525
580
595
630
850</t>
  </si>
  <si>
    <t>"We have demonstrated that both yellow and red LEDs are useful and effective for promoting collagen synthesis in vitro and in vivo. Therefore, LEDs with specific wavelengths can be an effective, safe and promising tool for skin rejuvenation."
"Specific LED treatment with 595 ± 2 and 630 ± 8 nm irradiation was able to modulate [collagen] and MMPs in skin, with the effects persisting for at least 21 days after irradiation."</t>
  </si>
  <si>
    <t>Non-ablative radiofrequency associated or not with Low Level Laser Therapy on the treatment of facial wrinkles in adult women: a randomized single-blind clinical trial.</t>
  </si>
  <si>
    <t>🧑 Human
🎲 Randomized trial, sham-controlled
👥 46 participants
⌛ 8 weeks of treatment -&gt; 8-week follow-up</t>
  </si>
  <si>
    <t>RF + PBM vs RF alone</t>
  </si>
  <si>
    <t>0.24</t>
  </si>
  <si>
    <t>3.82</t>
  </si>
  <si>
    <t>0.1257
cm2
(</t>
  </si>
  <si>
    <t>"LLLT did not potentiate RF treatment."
"The present findings did not show significant differences on classification of nasolabial folds and periorbital wrinkles through scales after treatment. However, aesthetic improvement was observed in nasolabial folds on the right side of face for both treatment groups (RG and RLG) and participants’ subjective perception."
"It is supposed that aesthetic improvement on the right side of the face was associated with thermal RF effects."</t>
  </si>
  <si>
    <t>Korea
(Yongin)</t>
  </si>
  <si>
    <t>Continuous irradiation with a 633-nm light-emitting diode exerts an anti-aging effect on human skin cells.</t>
  </si>
  <si>
    <t>Skin fibroblasts
Keratinocytes
LED phototherapy
Long irradiation time</t>
  </si>
  <si>
    <t>0.000005
0.00005</t>
  </si>
  <si>
    <t>0.43
1.30
4.10
12.31</t>
  </si>
  <si>
    <t>1d
3d
1d
3d</t>
  </si>
  <si>
    <t>"In the present study, we demonstrated that continuous irradiation with a 633±3-nm LED exerted anti-aging effects in both in vitro and ex vivo experiments. More specifically, irradiation with a 633-nm LED for 2 days increased the synthesis of type 1 procollagen and decreased the expression of matrix metalloproteinase (MMP)1 and MMP2 in skin fibroblasts. 
In addition, irradiation with a 633-nm LED decreased the expression levels of inflammatory genes, such has cyclooxygenase-2 (COX-2), and interleukin-1-α (IL-1α) in keratinocytes.
Furthermore, a 14-day LED irradiation moderately increased keratinocyte proliferation. 
Using human skin explants, we confirmed the safety of this 633-nm LED irradiation, which resulted in unaltered morphology and allergy-free potential in human tissue. Overall, these data provide insight into the anti-aging effects of continuous LED irradiation on human skin."</t>
  </si>
  <si>
    <t>Wunsch &amp; Matuschka</t>
  </si>
  <si>
    <t>Germany
(Heidelberg)</t>
  </si>
  <si>
    <t>A controlled trial to determine the efficacy of red and near-infrared light treatment in patient satisfaction, reduction of fine lines, wrinkles, skin roughness, and intradermal collagen density increase.</t>
  </si>
  <si>
    <t>🧑 Human
⚔ Comparison study + non-randomized control group
👥 113 participants
⌛ 15 weeks</t>
  </si>
  <si>
    <t xml:space="preserve">611-
650
"RLT"
570-
850
"ELT"
</t>
  </si>
  <si>
    <t>~9
~9</t>
  </si>
  <si>
    <t>30
/ 15 weeks</t>
  </si>
  <si>
    <t>"The treated subjects experienced significantly improved skin complexion and skin feeling, profilometrically assessed skin roughness, and ultrasonographically measured collagen density. The blinded clinical evaluation of photographs confirmed significant improvement in the intervention groups compared with the control."</t>
  </si>
  <si>
    <t>Results interpretation (15 weeks)
- Subjective skin complexion improved by -1.29 (RLT) and -1.72 (ELT)
- Subjective skin feeling improved by -1.01 (RLT) and -1.65 (ELT)
- Objective skin roughness improved by -1.79 (RLT) and -1.58 (ELT) vs 0.95 (ctrl)
- Objective collagen intensity score improved by 5.75 (RLT) and 6.40 (ELT) vs -0.26 (ctrl)
- Expert wrinkle assessment: improved by 69% (RLT) and 75% (ELT) vs 4% (ctrl)
--&gt; 6 months later (long-term follow-up) the effect sizes were slightly lower than at the end of the intervention
Groups: RLT (red light therapy 611-650nm); ELT (energizing light 570-850nm)</t>
  </si>
  <si>
    <t>Dang</t>
  </si>
  <si>
    <t>The 800-nm diode laser irradiation induces skin collagen synthesis by stimulating TGF-β/Smad signaling pathway.</t>
  </si>
  <si>
    <t>"The 800-nm diode laser treatments markedly improved the histological structure and increased dermal thickness compared to the non-irradiated controls. 
Laser irradiation at 40 J/cm(2) significantly up-regulated the expression of procollagen type I and IV, TGF-β and Smad2, 3, 4. The p-Smad2 and p-Smad3 levels were also enhanced in the laser-irradiated skin. The 800-nm laser is effective in improving skin structure and inducing skin new collagen expression. 
New collagen synthesis induced by the 800-nm laser was mediated by TGF-β/Smad signaling pathway. Thus, it seemed that the 800-nm laser could be used for non-ablative rejuvenation in the future."</t>
  </si>
  <si>
    <t>Shaoul &amp; Mulholland</t>
  </si>
  <si>
    <t>Israel &amp; Canada</t>
  </si>
  <si>
    <t>J Cosmet Dermatol Sci Appl</t>
  </si>
  <si>
    <t>Evaluation of the Safety and Efficacy of a Novel Home-Use Device with Diode Arrays and Contact Heating for Facial Skin Rejuvenation</t>
  </si>
  <si>
    <t>🧑 Human
📄 Single-arm trial
👥 40 participants
⌛ Treatment duration 4 weeks
⌛ Study duration 4 months</t>
  </si>
  <si>
    <t>645
(?)</t>
  </si>
  <si>
    <t>"The results show that as time elapses, there is a gradual improvement in all lesions. At 3 months follow-up, 94% and 98% of patients were evaluated as having excellent or considerable improvement in wrinkling and skin texture, respectively. Improvement of pigmentation was less apparent and was recorded after 3 months as 45% of patients having excellent or considerable improvement. There were no non-responders, and 5% of patients showed poor results only for pigmentation."
Comment: Journal not indexed in PubMed. The published SCIRP is considered predatory so the article's scientific value may be questioned. Also, the parameters are not mentioned in the text, but according to online information, it seems the wavelength is 645 nm.</t>
  </si>
  <si>
    <t>SCIRP</t>
  </si>
  <si>
    <t>Device: Silk’n Reju/FaceFX facial skin rejuvenation device</t>
  </si>
  <si>
    <t>Sauder</t>
  </si>
  <si>
    <t>USA
(Princeton, NJ)</t>
  </si>
  <si>
    <t>Light-emitting diodes: their role in skin rejuvenation.</t>
  </si>
  <si>
    <t>"There is now substantial evidence that non-ablative LED systems can provide significant benefit in terms of facial rejuvenation without the major side effects associated with ablative systems."</t>
  </si>
  <si>
    <t>Regulation of skin collagen metabolism in vitro using a pulsed 660 nm LED light source: clinical correlation with a single-blinded study.</t>
  </si>
  <si>
    <t>🧑 Human
📄 Non-randomized, self-controlled study
👥 40 participants
⌛ 4 weeks</t>
  </si>
  <si>
    <t>Collagen &amp; wrinkles
LED phototherapy</t>
  </si>
  <si>
    <t>"Results yielded a mean percent difference between LED-treated and non-LED-treated HRS of 31% in levels of type-1 procollagen and of -18% in MMP-1. No histological changes were observed.
Furthermore, profilometry quantification revealed that more than 90% of individuals showed a reduction in rhytid depth and surface roughness, and, via a blinded clinical assessment, that 87% experienced a reduction in the Fitzpatrick wrinkling severity score after 12 LED treatments."
Star: Interesting and quite extensive paper.</t>
  </si>
  <si>
    <t>Kelley</t>
  </si>
  <si>
    <t>USA
(Beverly, MA)</t>
  </si>
  <si>
    <t>J Eval Clin Pract</t>
  </si>
  <si>
    <t>Mirror, mirror on the wall: placebo effects that exist only in the eye of the beholder</t>
  </si>
  <si>
    <r>
      <rPr>
        <sz val="7.0"/>
      </rPr>
      <t xml:space="preserve">🧑 Human
📄 Single-arm trial
👥 36 participants
⌛ 8 weeks
</t>
    </r>
    <r>
      <rPr>
        <i/>
        <sz val="7.0"/>
      </rPr>
      <t>[Duplicate data?]</t>
    </r>
  </si>
  <si>
    <t>LED phototherapy
Placebo effect</t>
  </si>
  <si>
    <r>
      <rPr>
        <sz val="6.0"/>
      </rPr>
      <t xml:space="preserve">"Patients reported robust and statistically significant improvements in seven facial features at the conclusion of the 8-week treatment regimen as well as at 1-month follow-up (for all comparisons, P &lt;/= 0.003, median d = 1.14). 
In sharp contrast, both the treating doctor and blinded, expert raters were unable to detect any improvement whatsoever (for all comparisons, P &gt; 0.05)."
</t>
    </r>
    <r>
      <rPr>
        <i/>
        <sz val="6.0"/>
      </rPr>
      <t>Comment: This study seems to have the same patient data as the Boulos 2009 paper.</t>
    </r>
  </si>
  <si>
    <t>Boulos</t>
  </si>
  <si>
    <t>In the eye of the beholder--skin rejuvenation using a light-emitting diode photomodulation device.</t>
  </si>
  <si>
    <t>🧑 Human
📄 Single-arm trial
👥 36 participants
⌛ 8 weeks</t>
  </si>
  <si>
    <t>"Although subjective findings are comparable between studies, we were unable to reproduce the objective results of efficacy previously reported. Patients genuinely believed that several of their facial features had improved, even though there was no detectable objective change. Our data therefore suggest that the LED photomodulation treatment from the device tested is a placebo."</t>
  </si>
  <si>
    <t>Sommer &amp; Zhu</t>
  </si>
  <si>
    <t>Germany
(Ulm)</t>
  </si>
  <si>
    <t>Green tea and red light--a powerful duo in skin rejuvenation.</t>
  </si>
  <si>
    <t>"Rejuvenated skin, reduced wrinkle levels, and juvenile complexion, previously realized in 10 months of light treatment alone were realized in 1 month."</t>
  </si>
  <si>
    <t>A study to determine the efficacy of a novel handheld light-emitting diode device in the treatment of photoaged skin.</t>
  </si>
  <si>
    <t>🧑 Human
📄 Single-arm trial
👥 22 participants
⌛ 4-week treatment / 3-month study</t>
  </si>
  <si>
    <t>Omnilux device
LED phototherapy</t>
  </si>
  <si>
    <t>0.070
0.055</t>
  </si>
  <si>
    <t>126
66</t>
  </si>
  <si>
    <t>"Seventy-four percent of the subjects reported a visible improvement in fine lines and wrinkles at 8 weeks posttreatment. Combination red and near-infrared LED therapy delivered from a small portable handheld unit represents an effective and acceptable method of photo rejuvenation."</t>
  </si>
  <si>
    <t>Stirling &amp; Haslam</t>
  </si>
  <si>
    <t>A self-reported clinical trial investigates the efficacy of 1072 nm light as an anti-ageing agent.</t>
  </si>
  <si>
    <t>🧑 Human
🎲 Randomized trial, double-blind, self-controlled
👥 50 participants
⌛6-8 weeks</t>
  </si>
  <si>
    <t>540
(?)</t>
  </si>
  <si>
    <t>42-
56
/ 6-8 weeks
(daily irradiation)</t>
  </si>
  <si>
    <t>"Between 52% and 57% of volunteers were able to accurately identify an improvement in the fine lines and wrinkles of the treated areas of skin. Fewer volunteers, between 37% and 46%, observed an improvement in the bags under the treated eye or eyes, albeit with an emphatic statistical significance."
"Regular application of a non-thermal quantity of 1072nm light around the eyes demonstrated efficacy as an anti-ageing agent."
Comment: Dose parameters were not reported.
Comment: According to abstract, duration was 6-8 weeks and according to full text, it was 8-10 weeks</t>
  </si>
  <si>
    <t>Results interpretation:
- More participants receiving active treatment (13/25) than placebo treatment (5/25) noticed subjective improvement in the complexion of skin or fine lines around their eyes
- More participants receiving active treatment (11/24) than placebo treatment (1/24) noticed subjective improvement in the bags under their eyes
Regarding the treatment groups: "Volunteers received one of the following: two identical active Restorelite devices, two identical placebo Restorelite devices, or one active and one placebo device (each clearly labelled according to randomization either left or right). The active and placebo units were manufactured and paired, either two active, two placebo, or one active and one placebo, before being randomized according to a standard computer-generated randomization table."
Regarding blinding success: "From Table VII it can be seen that 21 (75%) of the volunteers thought that they could identify a difference between the left and right sides, whereas in fact 16 (57%) were correct in identifying the improved side as the one which received active treatment."</t>
  </si>
  <si>
    <t>Clinical experience with 630 nm lightemitting diode (LED) photomodulation for sun-induced aging or environmentally damaged skin</t>
  </si>
  <si>
    <t>🧑 Human
📄 Single-arm trial
👥 15 participants
⌛ 10-week treatment / 11-week study</t>
  </si>
  <si>
    <t>2.93</t>
  </si>
  <si>
    <t>10
/ 10 weeks
(?)</t>
  </si>
  <si>
    <t>"Two independent observers assessed the photographs and the data. Results showed the improvement of signs of sun-induced aging or environmental damaged skin. No side effects were noted."</t>
  </si>
  <si>
    <t>Baez &amp; Reilly</t>
  </si>
  <si>
    <t>The use of light-emitting diode therapy in the treatment of photoaged skin.</t>
  </si>
  <si>
    <t>🧑 Human
📄 Single-arm trial
👥 13 participants
⌛ 5-week treatment / 12-week study</t>
  </si>
  <si>
    <t>LED phototherapy
Omnilux LED device</t>
  </si>
  <si>
    <t>125
+
66</t>
  </si>
  <si>
    <t>9
/ 5 weeks</t>
  </si>
  <si>
    <t>"The majority of subjects displayed "moderate" (50%) or "slight" (25%) response to treatment at investigator assessment. Treatment of the periorbital region was reported more effective than the nasolabial region. At 12-week follow-up, 91% of subjects reported improved skin tone, and 82% reported enhanced smoothness of skin in the treatment area."</t>
  </si>
  <si>
    <t>A prospective, randomized, placebo-controlled, double-blinded, and split-face clinical study on LED phototherapy for skin rejuvenation: clinical, profilometric, histologic, ultrastructural, and biochemical evaluations and comparison of three different treatment settings.</t>
  </si>
  <si>
    <t>🧑 Human
🎲 Randomized trial, double-blind, self-controlled
👥 76 participants
⌛ 4-week treatment / 4-month study</t>
  </si>
  <si>
    <t>Skin rejuvenation (wrinkles etc)
LED phototherapy
Wavelength comparison</t>
  </si>
  <si>
    <t>830
633
or
both</t>
  </si>
  <si>
    <t>66
126</t>
  </si>
  <si>
    <t>"Our study results showed that LED phototherapy is an effective treatment for skin rejuvenation through objectively measured data and histological and ultrastructural bodies of evidence of increased collagen and elastic fibers as well as clinical photographs and double-blinded assessment of the investigators and the subjects."</t>
  </si>
  <si>
    <t>Results interpretation:
- Severity in wrinkles (average roughness; R3 value) decreased 25-35% in intervention groups and was unchanged in sham group
- Elasticity of the skin (net elasticity; R2 value) increased 14-19% in intervention groups and was unchanged in sham group
- Melanin levels decreased in 633 nm group but not other groups
- Investigator-assessed improvement in wrinkles was approximately 2.00-2.40 in treated groups and 0.10-0.35 in sham group (-1 = "worsening", 0 = "no change", 1 = "mild improvement", 2 = "moderate improvement", 3 = "marked improvement")
- Subjects' satisfaction was mostly "excellent" in treatment groups and mostly "no change" in sham group
Groups:
(1) 830 nm
(2) 633 nm
(3) both wavelengths
(4) sham group
Device: Omnilux Revive (consisting of 420 LEDs)</t>
  </si>
  <si>
    <t>Trelles</t>
  </si>
  <si>
    <t>Facial rejuvenation and light: our personal experience.</t>
  </si>
  <si>
    <t>"Then, the new generation of quasimonochromatic LEDs and tunable plasma lights offered us another very versatile tool, but they, too, work best when used in the combined wavelength approach, and also when used as adjunctive wound healing accelerants or pain controllers in combination with other modalities. But particularly with phototherapy devices, typically associated with lower incident intensities, a thorough knowledge of photobiological principals is absolutely mandatory to achieve the result we are looking for."</t>
  </si>
  <si>
    <t>Trelles MA</t>
  </si>
  <si>
    <t>Phototherapy in anti-aging and its photobiologic basics: a new approach to skin rejuvenation.</t>
  </si>
  <si>
    <t>"A new generation of light-emitting diodes (LEDs) has appeared as the result of a spin-off from the US NASA Space Medicine Program, which are much more powerful than the previous generation with quasimonochromatic outputs. These LEDs can offer target specificity to achieve photobiomodulated enhanced action potentials of the skin cells, in particular mast cells, macrophages, endotheliocytes, and fibroblasts, plus increases in local blood and lymphatic flow, in a noninvasive, athermal manner. New phototherapeutic LED-based systems have appeared to meet the need for a less-expensive but clinically useful light source to enable photoantiaging as a reality in clinical practice. Some studies proving the efficacy of LED therapy have already appeared, and based on their results LED therapy represents a potential new approach to prevention in anti-aging, so that further studies are warranted to prove its efficacy."</t>
  </si>
  <si>
    <t>Fournier</t>
  </si>
  <si>
    <t>France
(Clapiers)</t>
  </si>
  <si>
    <t>Use of nonthermal blue (405- to 420-nm) and near-infrared light (850- to 900-nm) dual-wavelength system in combination with glycolic acid peels and topical vitamin C for skin photorejuvenation.</t>
  </si>
  <si>
    <t>🧑 Human
📄 Non-randomized study, controlled
👥 27 participants
⌛ 4-week treatment / 4-month study</t>
  </si>
  <si>
    <t>405-
420
+
850-
900</t>
  </si>
  <si>
    <t>900
cm2</t>
  </si>
  <si>
    <t>"Patients from [PBM group] found an improvement in four criteria after the last treatment, with a steady result 3 months after the last treatment (4-month followup). One month after the last treatment (2-month follow-up), 80% of patients thought that they were improved on skin radiance, 85% on pore size, 50% on rhytids, and 75% on skin tone. Beside that, the independent observer noticed on photography that 75% of patients improved on skin radiance, 75% on pore size, and 40% on rhytids at 2 months (...)
The improvement of these four criteria was far less noticeable in control group B. Patients found that skin tone, rhytids, and pore size were not improved. All patients of this group noticed that their radiance was better just after the last session. This improvement was maintained for only three patients at 2-month follow-up, and only one patient reported an improvement at 4-month follow-up. The independent observer noted a radiance increase in three patients just after the last session. On digital pictures, the independent observer did not notice any improvement of radiance at 2- and at 4-month follow-up"</t>
  </si>
  <si>
    <t>Regarding the groups: According to the paper, patients were "divided" to groups without mention of randomization. The intervention group had 20 participants and control group (without light) had 7 participants. The intervention was multifactorial but the difference between the two groups was the light irradiation.</t>
  </si>
  <si>
    <t>Comparison of biophysical properties of skin measured by using non-invasive techniques in the KM mice following 595 nm pulsed dye, 1064 nm Q-Switched Nd:YAG and 1320 nm Nd:YAG laser non-ablative rejuvenation.</t>
  </si>
  <si>
    <t>595
1064
1320</t>
  </si>
  <si>
    <t>12
2.5
22</t>
  </si>
  <si>
    <t>4
4
4</t>
  </si>
  <si>
    <t>"Our data showed the 1064 nm Q-switched Nd:YAG laser treatment was most effective in improving the skins' mechanical properties, while the 1320 nm Nd:YAG laser can enhance greatly the skin barrier function and the water-holding capacity."
Comment: The laser power output or light intensity is not given. It's not clear whether the treatment is given as a "short pulse" or in a similar way as in LLLT studies. The authors do not use words "low-level" or "photobiomodulation" in this paper.</t>
  </si>
  <si>
    <t>Bhat</t>
  </si>
  <si>
    <t>A single-blinded randomised controlled study to determine the efficacy of Omnilux Revive facial treatment in skin rejuvenation</t>
  </si>
  <si>
    <t>🧑 Human
🎲 Randomized trial, self-controlled
👥 23 participants
⌛ 4-week treatment / 3-month study</t>
  </si>
  <si>
    <t>"Ninety-one percent of the volunteers reported visible changes to their skin. Blinded photographic evaluation reported a clinical response in 59% of the subjects. 
Objective analysis failed to show statistically significant changes in skin hydration or elasticity."</t>
  </si>
  <si>
    <t>Device: Omnilux revive
Results interpretation:
- Patients were apparently satisfied with the treatment, eg. over 90% felt improvement in overall appearance of skin
- Gross elasticity didn't seem to change significantly between the sides (treatment vs control)</t>
  </si>
  <si>
    <t>Clinical trial of a novel non-thermal LED array for reversal of photoaging: clinical, histologic, and surface profilometric results.</t>
  </si>
  <si>
    <t>🧑 Human
📄 Single-arm trial
👥 90 participants
⌛ 4-week treatment / 12-month study</t>
  </si>
  <si>
    <t>"Skin textural improvement by digital imaging and surface profilometry is accompanied by increased collagen I deposition with reduced MMP-1 (collagenase) activity in the papillary dermis. This technique is a safe and effective non-painful non-ablative modality for improvement of photoaging."</t>
  </si>
  <si>
    <t>Ultrastructural observations of human skin following irradiation with visible red light-emitting diodes (leds): a preliminary in vivo report</t>
  </si>
  <si>
    <t>🧑 Human
📄 Single-arm trial
👥 6 participants
⌛ 8 weeks</t>
  </si>
  <si>
    <t>"Mild athermally-mediated inflammation was seen together with an increased fibroblast count and enhanced metabolism, which could be related to the enhanced synthesis of collagen and which in facial skin would probably result in an improved skin appearance."</t>
  </si>
  <si>
    <t>Device: Omnilux revive</t>
  </si>
  <si>
    <t>Russell</t>
  </si>
  <si>
    <t>USA
(Beaverton, OR)</t>
  </si>
  <si>
    <t>A study to determine the efficacy of combination LED light therapy (633 nm and 830 nm) in facial skin rejuvenation.</t>
  </si>
  <si>
    <t>🧑 Human
📄 Single-arm trial
👥 31 participants</t>
  </si>
  <si>
    <t>"Key profilometry results Sq, Sa, Sp and St showed significant differences at week 12 follow-up; 52% of subjects showed a 25%-50% improvement in photoaging scores by week 12; 81% of subjects reported a significant improvement in periorbital wrinkles on completion of follow-up."</t>
  </si>
  <si>
    <t>A novel non-thermal non-ablative full panel LED photomodulation device for reversal of photoaging: digital microscopic and clinical results in various skin types.</t>
  </si>
  <si>
    <t>🧑 Human
📄 Single-arm trial
👥 93 participants</t>
  </si>
  <si>
    <t>Gentlewaves device
LED phototherapy</t>
  </si>
  <si>
    <t>"Results showed improvement of signs of photoaging in 90%. The majority of patients demonstrated improvement in peri-ocular wrinkles, reduction in Fitzpatrick photoaging classification, global skin texture and background erythema, and pigmentation. No side effects were noted. LED photomodulation is a safe and effective non-painful non-ablative modality for improvement of photoaging."</t>
  </si>
  <si>
    <t>Strawberry hemangioma</t>
  </si>
  <si>
    <t>Ohshiro &amp; Chen</t>
  </si>
  <si>
    <t>Japan
(Kojimachi)</t>
  </si>
  <si>
    <t>Low Reactive-level 830 Nm Diode Laser Therapy (LLLT) Successfully Accelerates Regression Of Strawberry Haemangioma In The Infant: Case Reports</t>
  </si>
  <si>
    <t>🧑 Human
📄 Case series
👥 20 cases</t>
  </si>
  <si>
    <t>"The results have been excellent in 20 cases treated exclusively with LLLT to date, with speedy regression, restoration of normal colour and configuration, and return to a normal skin texture. Although most strawberry haemangiomata regress spontaneously within 7 years, especially in the larger lesions there is a strong possibility of some remaining colour and configurational abnormality, coupled with abnormal skin texture. Using LLLT, the authors have found that full regression is usually obtained within approximately 4 years maximum, with little or no remaining colour and configurational abnormality."</t>
  </si>
  <si>
    <t>Stretch marks</t>
  </si>
  <si>
    <t>Hafez</t>
  </si>
  <si>
    <t>Photobiomodulation versus fractional carbon dioxide laser for stria alba in phototype III-IV: a randomized controlled study</t>
  </si>
  <si>
    <t>🧑 Human
⚔  Comparison study, randomized
👥 25 participants
⌛ 4-6 week treatment -&gt; 3-month follow-up</t>
  </si>
  <si>
    <t>🌀 Spin warning
⚔ PBM vs CO2 vs combination</t>
  </si>
  <si>
    <t>"The efficacy of LLLT was statistically comparable to FCO2, despite numerical superiority of the latter. The combined group had the least numerical values in all efficacy outcomes. Patients in LLLT group did not experience any downtime. LLLT is effective in the management of stria alba comparable to the FCO2 laser. "</t>
  </si>
  <si>
    <t>Verdelli</t>
  </si>
  <si>
    <t>Medicina (Kaunas)</t>
  </si>
  <si>
    <t>Striae Distensae: Clinical Results and Evidence-Based Evaluation of a Novel 675 nm Laser Wavelength</t>
  </si>
  <si>
    <t>🧑 Human
📄 Single-arm trial
👥 32 participants
⌛ 2-month treatment -&gt; 6-month follow-up</t>
  </si>
  <si>
    <t>3
with 1 month between sessions</t>
  </si>
  <si>
    <t>"In our research, three treatment sessions with the non-invasive 675 nm laser led to a positive effect on SD management. This non-ablative laser system emits a 675 nm wavelength through a 13 × 13 mm scanning system capable of generating sub-ablative microzones on the skin with selective thermal damage, reaching a depth of more than 1 mm, inducing minimal thermal effects."
"The total mean Manchester Scar Scale score significantly diminished from 14.16 (±1.30) to 10.06 (±1.32) at 6M FU (p &lt; 0.01). The clinical photographs showed promising aesthetic SD improvement."</t>
  </si>
  <si>
    <t>Telangiectasia</t>
  </si>
  <si>
    <t>Dudelzak</t>
  </si>
  <si>
    <t>Vascular-specific laser wavelength for the treatment of facial telangiectasias.</t>
  </si>
  <si>
    <t>🧑 Human
📄 Single-arm trial
👥 12 participants</t>
  </si>
  <si>
    <t>"A new 980-nm diode laser effectively treats facial telangiectasias without any observed complications."</t>
  </si>
  <si>
    <t>Tissue engineering</t>
  </si>
  <si>
    <t>Brazli
(São Carlos)</t>
  </si>
  <si>
    <t>J Biomater Appl</t>
  </si>
  <si>
    <t>Red light accelerates the formation of a human dermal equivalent.</t>
  </si>
  <si>
    <t>UV skin damage and erythema</t>
  </si>
  <si>
    <t>Curr Issues Mol Biol</t>
  </si>
  <si>
    <t>Protective Effect of Red Light-Emitting Diode against UV-B Radiation-Induced Skin Damage in SKH:HR-2 Hairless Mice</t>
  </si>
  <si>
    <t>2/day for 5 days</t>
  </si>
  <si>
    <t>"We found that pre-treating with LED improved skin morphological and histopathological conditions compared to those only exposed to UVB irradiation. In our study, histological evaluation of collagen and elastic fibers after LED treatment prior to UVB irradiation showed that this pretreatment significantly enhanced the quality of fibers, which were otherwise poor in density and irregularly arranged due to UV exposure alone."</t>
  </si>
  <si>
    <t>Korea
(Sejong)</t>
  </si>
  <si>
    <t>Irradiation with 590-nm yellow light-emitting diode light attenuates oxidative stress and modulates UVB induced change of dermal fibroblasts</t>
  </si>
  <si>
    <t>0.038</t>
  </si>
  <si>
    <t>34.2</t>
  </si>
  <si>
    <t>"LED irradiation significantly attenuated UVB-induced reactive oxygen species generation and UVB-induced phosphorylation of JNK, c-Fos, and c-Jun.
In addition, the procollagen levels were recovered significantly, and MMP-9 levels were significantly suppressed after LED irradiation. 
The UVB-induced phosphorylation levels of NF-κB and pro-inflammatory enzyme COX-2 also significantly decreased."</t>
  </si>
  <si>
    <t>Neves</t>
  </si>
  <si>
    <t>Lycium barbarum polysaccharide fraction associated with photobiomodulation protects from epithelium thickness and collagen fragmentation in a model of cutaneous photodamage</t>
  </si>
  <si>
    <t>"Taken together, we have shown that the LBPF and PBM promote a photoprotective effect in hairless mice skin against epidermal thickening and low collagen density. Both strategies, singly and combined, can be used to reduce the UVR-induced cutaneous photoaging."</t>
  </si>
  <si>
    <t>Brazil
(Säo Carlos)</t>
  </si>
  <si>
    <t>Polysaccharide-rich Hydrogel Formulation Combined With Photobiomodulation Repairs UV-induced Photodamage in Mice Skin</t>
  </si>
  <si>
    <t>PBM vs Lycium barbarum (polysaccharide-rich fraction) hydrogel</t>
  </si>
  <si>
    <t>6.72
(6p)</t>
  </si>
  <si>
    <t>"Here we developed a topical hydrogel formulation from a polysaccharide-rich fraction of Lycium barbarum fruits (LBP). This formulation was associated with PBM (red laser) to evaluate whether the isolated and combined treatments would reduce the UVR-mediated photodamage in mice skin. Hairless mice were photoaged for 6 weeks and then treated singly or in combination with LBP and PBM."
"The combined regimen inhibited UVR-induced skin thickening, decreased the expression of c-Fos and c-Jun, as well as MMP-1, -2, and -9 and concomitantly increased the levels of collagen I, III, and FGF2.
The PBM in combination with LBP treatment is a promising strategy for the repair of photodamaged skin, presenting potential clinical application in skin rejuvenation."</t>
  </si>
  <si>
    <t>Hyun Soo</t>
  </si>
  <si>
    <t>Transcriptomic analysis of human dermal fibroblast cells reveals potential mechanisms underlying the protective effects of visible red light against damage from ultraviolet B light.</t>
  </si>
  <si>
    <t>"We observed that visible red light contributes to skin cell protection against UVB by modulating gene expression that enhances the adaptive response to redox and inflammatory balancing and by upregulating genes involved in DNA excision repair processes. We also identified that several key genes in the red light-induced biological network were differentially regulated."
"The upregulation/downregulation patterns of genes were as follows: 
Red group: 176 genes upregulated, 57 genes downregulated; 
UV-1h group: 30 upregulated, 33 downregulated; 
UV-4h group: 180 upregulated, 342 downregulated; 
Pre-Red-1h group: 176 upregulated, 110 downregulated; and 
PreRed-4h group: 358 upregulated, 474 downregulated."</t>
  </si>
  <si>
    <t>A Protective Mechanism of Visible Red Light in Normal Human Dermal Fibroblasts: Enhancement of GADD45A-Mediated DNA Repair Activity.</t>
  </si>
  <si>
    <t>"The protective effect of visible red light on UV-induced DNA damage was identified by several assays in both two-dimensional and three-dimensional cell culture systems. With regard to the protective mechanism of visible red light, our data showed alterations in base excision repair mediated by growth arrest and DNA damage inducible, alpha (GADD45A). We also observed an enhancement of the physical activity of GADD45A and apurinic/apyrimidinic endonuclease 1 (APE1) by visible red light. Moreover, UV-induced DNA damages were diminished by visible red light in an APE1-dependent manner."
"On the basis of the decrease in GADD45A-APE1 interaction in the activating transcription factor-2 (ATF2)-knockdown system, we suggest a role for ATF2 modulation in GADD45A-mediated DNA repair upon visible red light exposure. Thus, the enhancement of GADD45A-mediated base excision repair modulated by ATF2 might be a potential protective mechanism of visible red light."</t>
  </si>
  <si>
    <t>Portantiolo Lettnin</t>
  </si>
  <si>
    <t>Brazil
(Rio Grande)</t>
  </si>
  <si>
    <t>Protective effect of infrared-A radiation against damage induced by UVB radiation in the melan-a cell line.</t>
  </si>
  <si>
    <t>"For UVB exposure, a dose of 0.015J/cm(2), which showed a decrease in viable cell number by approximately 50% in relation to control until 72h, was selected. For IR-A+UVB, cell proliferation recovery was showed, decreasing DNA damage and lipid peroxide content when compared to UVB alone. Besides, the results obtained for ROS and antioxidant capacity showed that the protection observed was probably not related to decreased oxidative stress. 
In conclusion, non-thermal IR-A was capable of protecting the melan-a cells from UVB induced damage."
Comment: Some of the higher wIRA doses than 0.8 J/cm2 seemed to have some negative effects on cell viability and proliferation.</t>
  </si>
  <si>
    <t>LED 590 nm photomodulation reduces UVA-induced metalloproteinase-1 expression via upregulation of antioxidant enzyme catalase.</t>
  </si>
  <si>
    <t>"Pretreating cultured human fibroblasts with 590 nm light attenuated UVA-induced ROS, phosphorylated Jun N-terminal kinases, and MMP-1 expressions in a sequential manner. Pretreatment with potent antioxidant N-acetylcysteine produced similar effect, suggesting enhanced antioxidant capacity induced by 590 nm photomodulation. 
Further experiments demonstrated that 590 nm photomodulation attenuated UVA-induced ROS and MMP-1 expressions via mitochondrial retrograde signaling that augments the antioxidant enzyme expression in a peroxisome proliferators-activated receptor γ coactivator-1α-dependent manner."</t>
  </si>
  <si>
    <t>Höhn</t>
  </si>
  <si>
    <t>Germany
(Nuthetal)</t>
  </si>
  <si>
    <t>Actual Isothermal Effects of Water-Filtered Infrared A-Irradiation.</t>
  </si>
  <si>
    <t>780-</t>
  </si>
  <si>
    <t>0.178</t>
  </si>
  <si>
    <t>"Here, we can definitively show that some of the supposed athermal wIRA-effects may be rather artifacts, since wIRA did not reveal any impact on the above mentioned parameters-as long as the temperature of the exposed cells was carefully maintained. Though, we were able to identify an athermal DNA-protective wIRA-effect, since the induced DNA damage (quantified via 8-Oxo-G-formation) was significantly decreased after a subsequent UVB-exposure."
"Karu suggested a focus on the mitochondrial cytochrome c oxidase, showing four different redox active metal centers: the binuclear CuA, CuB, heme a and heme a3 (32), the specific absorption peaks are 620 nm (reduced CuA), 680 nm (oxidized CuB), 760 nm (reduced CuB) and 820 nm (oxidized CuA), while only the latter two actually found are in the wIRA-range (CuB still absorbs at 780 nm). In the sum, cytochrome c oxidase shows an “overall” absorption in the range from 760–895 nm, thus, being a target of wIRA; on the other hand, mitochondria contribute only a very low amount to the cellular overall wIRA-absorption (33), but may provide more electrons dropping out of the respiratory chain, resulting in an increased cellular ROS formation (32). According to our research, even a slightly increased but chronic ROS formation may result in significant cellular changes over time (34)."</t>
  </si>
  <si>
    <t>Gonzalez</t>
  </si>
  <si>
    <t>Histopathological Analysis of UVB and IR Interaction in Rat Skin.</t>
  </si>
  <si>
    <t>1080</t>
  </si>
  <si>
    <t>"To conclude, infrared radiation exposure after ultraviolet B irradiation increases skin damage without protecting the tissue, while infrared radiation exposure before ultraviolet B irradiation showed a protective effect against ultraviolet skin damage."
Comment: The very high doses might explain the harmful effects.</t>
  </si>
  <si>
    <t>Myakishev-Rempel</t>
  </si>
  <si>
    <t>Red Light Modulates Ultraviolet-Induced Gene Expression in the Epidermis of Hairless Mice.</t>
  </si>
  <si>
    <t>0.008</t>
  </si>
  <si>
    <t>"This is an initial observation that in mouse red light LLLT more often than not causes opposite gene expression changes or reduces those caused by moderate UVA-UVB irradiation."</t>
  </si>
  <si>
    <t>Red light interferes in UVA-induced photoaging of human skin fibroblast cells</t>
  </si>
  <si>
    <t>LED phototherapy
Fibroblasts</t>
  </si>
  <si>
    <t>"Red light irradiation retarded the cumulative low-dose UVA irradiation-induced skin photoaging, decreased the expression of senescence-associated β-galactosidase, upregulated SIRT1 expression, decreased matrix metalloproteinase MMP-1 and the acetylation of p53 expression, reduced the horizon of cell apoptosis and enhanced cell viability. Furthermore, the telomeres in UVA-treated cells were shortened compared to those of cells in the red light groups."</t>
  </si>
  <si>
    <t>Ling</t>
  </si>
  <si>
    <t>Activated ERK/FOXM1 pathway by low-power laser irradiation inhibits UVB-induced senescence through down-regulating p21 expression.</t>
  </si>
  <si>
    <t>"We first report that LPLI can delay UVB-induced cell senescence. The senescence-associated β-galactosidase (SA-β-Gal) activity and p21 expression, hallmarks of senescent cells, were decreased in the Forkhead box transcription factor FOXM1-dependent manner under treatment with LPLI. 
The effect of LPLI was further enhanced with an overexpression of FOXM1, and abolished when FOXM1 was knockdown with short hairpin RNA (shRNA). Furthermore, LPLI activated the extracellular regulated protein kinases (ERK) that was upstream of FOXM1. This led to FOXM1 phosphorylation and nuclear translocation. Nuclear translocation enhanced FOXM1 transcriptional activity and promoted its downstream target gene c-Myc expression that could inhibit p21 expression.
These findings highlight the protective effects of ERK/FOXM1 pathway against UVB-induced cell senescence, suggesting a potential protecting strategy for treating skin aging by LPLI."</t>
  </si>
  <si>
    <t>LED photoprevention: reduced MED response following multiple LED exposures.</t>
  </si>
  <si>
    <t xml:space="preserve">🧑 Human
📄 Non-randomized study, self-controlled
👥 15 participants (13 healthy, 2 with PLE)
⌛ 1-3 week treatment -&gt; UV-irradiation -&gt; 24-hour follow-up </t>
  </si>
  <si>
    <t>0.06</t>
  </si>
  <si>
    <t>5-10
/ 1-3 weeks</t>
  </si>
  <si>
    <t>"Reduction of erythema was considered significant when erythema was reduced by &gt;50% on the LED-treated side as opposed to CONTROL side. A significant LED treatment reduction in UV-B induced erythema reaction was observed in at least one occasion in 85% of subjects, including patients suffering from PLE. Moreover, there was evidence of a dose-related pattern in results. Finally, a sun protection factor SPF-15-like effect and a reduction in post-inflammatory hyperpigmentation were observed on the LED pre-treated side."</t>
  </si>
  <si>
    <t>Ultraviolet-C-induced apoptosis protected by 635-nm laser irradiation in human gingival fibroblasts.</t>
  </si>
  <si>
    <t>Human gingival fibroblasts</t>
  </si>
  <si>
    <t>"In the present study, the number of apoptotic cells declined in the cells that were pretreated with 635-nm light irradiation in a time-dependent manner. In addition, the activities and mRNA expression of caspase-3, caspase-8, and caspase-9 were significantly recovered by pretreatment with 635-nm irradiation."
"These results suggest that 635-nm visible light irradiation may be used as a protective tool to prevent UV-C-induced apoptosis."</t>
  </si>
  <si>
    <t>Frank</t>
  </si>
  <si>
    <t>Infrared radiation induces the p53 signaling pathway: role in infrared prevention of ultraviolet B toxicity.</t>
  </si>
  <si>
    <t>400-
2000</t>
  </si>
  <si>
    <t>162</t>
  </si>
  <si>
    <t>"Here, we show for the first time that p53-deficient SaOs cells are not protected from UVB cytotoxicity by IR preirradiation, suggesting that the response to IR is p53-dependent."</t>
  </si>
  <si>
    <t>Hoffmann &amp; Meffert</t>
  </si>
  <si>
    <t>Apparent contradiction between negative effects of UV radiation and positive effects of sun exposure.</t>
  </si>
  <si>
    <t>Letter to the Editor</t>
  </si>
  <si>
    <t xml:space="preserve">"The apparent contradiction between the well known negative effects of UV radiation on humans and the newly described positive effects of sun exposure (like reduced risk of cancer) is easily solved, when taking into account, that sun exposure ("sunlight") consists of at least three biologically active parts of radiation: ultraviolet radiation (UV), visible light (VIS) und infrared (IR).
Especially infrared-A (780-1400 nm) with adequate irradiation intensity has been shown not only to be harmless to human skin [4], but to have protective abilities against damage caused by UV radiation [5], [6]!"
</t>
  </si>
  <si>
    <t>Danno</t>
  </si>
  <si>
    <t>Infrared radiation suppresses ultraviolet B-induced sunburn-cell formation.</t>
  </si>
  <si>
    <t>"Sunburn cell (SC) formation, a quantifiable measure of epidermal cell injury induced in mouse ear skin by ultraviolet-B (UVB) radiation (290-320 nm), was significantly decreased by pre-exposure to infrared radiation (IR), which elevated the surface temperature of ear lobes to 37-42 degrees C."</t>
  </si>
  <si>
    <t>Vitiligo</t>
  </si>
  <si>
    <t>Mechanisms of repigmentation induced by photobiomodulation therapy in vitiligo</t>
  </si>
  <si>
    <t>"This review shows that He-Ne laser initiated mitochondrial retrograde signalling via a Ca2+ -dependent cascade. The impact on cytochrome c oxidase within the mitochondria, an event that results in activation of CREB (cyclic-AMP response element binding protein)-related cascade, is responsible for the He-Ne laser promoting functional development at different stages of MBs and boosting functional melanocytes. He-Ne laser irradiation induced (a) melanocyte stem cell differentiation; (b) immature outer root sheath MB migration; (c) differentiated outer root sheath MB melanogenesis and migration; and (d) perilesional melanocyte migration and proliferation. These photobiomodulation effects result in perifollocular and marginal repigmentation in vitiligo."</t>
  </si>
  <si>
    <t>A comparative study of the effects of different low-level lasers on the proliferation, viability, and migration of human melanocytes in vitro.</t>
  </si>
  <si>
    <t>Melanocytes
Blue light 🔵
Wavelength comparison</t>
  </si>
  <si>
    <t>"LLLT at low energy densities is able to significantly increase melanocyte viability, proliferation, and migration in vitro, and at higher energy densities, it gives non-stimulatory results. Additionally, the blue laser was the best among the three lasers. These findings might have potential application in vitiligo treatment in future."</t>
  </si>
  <si>
    <t>Noninvasive cutaneous blood flow as a response predictor for visible light therapy on segmental vitiligo: a prospective pilot study.</t>
  </si>
  <si>
    <t>🧑 Human
📄 Single-arm trial
👥 14 participants
⌛ 3 months</t>
  </si>
  <si>
    <t>3.0</t>
  </si>
  <si>
    <t>"The SV lesions showed different blood flow profiles as compared with the contralateral normal skin. At the end of the 3-month study period, seven (50%) patients showed clinical repigmentation of &gt;25%."</t>
  </si>
  <si>
    <t>Seo</t>
  </si>
  <si>
    <t>Kuwait</t>
  </si>
  <si>
    <t>The effect of visible light and near-infrared radiation on constitutive pigment of patients with vitiligo.</t>
  </si>
  <si>
    <t>🧑 Human
📄 Single-arm trial
👥 23 participants
⌛ single session (?)</t>
  </si>
  <si>
    <t>350-
800
(?)</t>
  </si>
  <si>
    <t>0.280</t>
  </si>
  <si>
    <t>"The results show that the normal skin developed a greater skin colour change at the final stage of irradiation. Although the vitiligo-involved site also shows an increase of the area under the curve, the small magnitude of change was not significant to detect pigment formation clinically"</t>
  </si>
  <si>
    <t>Low-energy helium-neon laser induces melanocyte proliferation via interaction with type IV collagen: visible light as a therapeutic option for vitiligo.</t>
  </si>
  <si>
    <t>"In summary, we have demonstrated that the He-Ne laser imparts a growth stimulatory effect on functional melanocytes via mitochondria-related pathways and proposed that other minor pathways including DNA damage may also be inflicted by laser treatment on irradiated cells.
More importantly, we have completed the repigmentation scheme of vitiligo brought about by He-Ne laser light in vitro and provided a solid theoretical basis regarding how the He-Ne laser induces recovery of vitiligo in vivo."</t>
  </si>
  <si>
    <t>Kaohsiung J Med Sci</t>
  </si>
  <si>
    <t>Low-energy helium-neon laser therapy induces repigmentation and improves the abnormalities of cutaneous microcirculation in segmental-type vitiligo lesions.</t>
  </si>
  <si>
    <t>🧑 Human
📄 Single-arm trial
👥 40 participants
⌛ 2+ months</t>
  </si>
  <si>
    <t>Non-interventional control (comparison) group</t>
  </si>
  <si>
    <t>17
on
average
(1-2 per week)</t>
  </si>
  <si>
    <t>"After an average of 17 treatment sessions, initial repigmentation was noticed in the majority of patients. Marked repigmentation (&gt; 50%) was observed in 60% of patients with successive treatments.
Cutaneous blood flow was significantly higher at SV lesions compared with contralateral skin, but this was normalized after He-Ne laser treatment. In addition, the abnormal decrease in cutaneous blood flow in response to clonidine was improved by He-Ne laser therapy."
"Our study showed that He-Ne laser therapy is an effective treatment for SV by normalizing dysfunctions of cutaneous blood flow and adrenoceptor responses in SV patients. Thus, the beneficial effects of He-Ne laser therapy may be mediated in part by a reparative effect on sympathetic nerve dysfunction."</t>
  </si>
  <si>
    <t>Low-energy helium-neon laser induces locomotion of the immature melanoblasts and promotes melanogenesis of the more differentiated melanoblasts: recapitulation of vitiligo repigmentation in vitro.</t>
  </si>
  <si>
    <t>"In conclusion, we have demonstrated that He-Ne laser induced different physiologic changes on MBs at different maturation stages and recapitulated the early events during vitiligo repigmentation process brought upon by He-Ne laser in vitro."</t>
  </si>
  <si>
    <t>Helium-neon laser irradiation stimulates migration and proliferation in melanocytes and induces repigmentation in segmental-type vitiligo.</t>
  </si>
  <si>
    <t>🧑 Human
📄 Non-randomized study, controlled
👥 30 participants
⌛ Unclear, probably up to 2 years (?)
+ 🧪 In vitro</t>
  </si>
  <si>
    <t>0.03
(?)</t>
  </si>
  <si>
    <t>20-
180
(1-2 per week)</t>
  </si>
  <si>
    <t>"The results of this in vitro study revealed a significant increase in basic fibroblast growth factor release from both keratinocytes and fibroblasts and a significant increase in nerve growth factor release from keratinocytes."
"In our study group, 60% of patients (18 in 30) presented more than 50% repigmentation and three patients (10%) showed 100% recovery. For treatment control, 20 previously treated patients with segmental-type vitiligo over head and neck were reevaluated. They were age and sex matched patients  (...) All of them received topical PUVA therapy three times a week. After an average of 19±5 therapeutic sessions, initial repigmentation was mostly perilesional and/or perifollicular. Eleven of 20 (55%) patients showed a better than 50% repigmentation response."
Comment: The dose is surprisingly low. The difference to control group receiving PUVA treatment is small (repigmentation rate 60% with PBM and 55% with PUVA).</t>
  </si>
  <si>
    <t>Photobiomodulation with non-thermal lasers: Mechanisms of action and therapeutic uses in dermatology and aesthetic medicine.</t>
  </si>
  <si>
    <t>"The use of non-thermal laser for body sculpting is supported by three randomized, double-blind, sham-controlled studies (N = 161), one prospective open-label study (N = 54), and two retrospective studies (N = 775). Non-thermal laser application for improving the appearance of cellulite is supported by one randomized, double-blind, sham-controlled study (N = 38). The use of non-thermal laser for the treatment of onychomycosis is supported by an analysis of three non-randomized, open-label studies demonstrating clinical improvement of nails (N = 292)."</t>
  </si>
  <si>
    <t>de Jesus</t>
  </si>
  <si>
    <t>Brazil
(Ribeirao Preto)</t>
  </si>
  <si>
    <t>An ex vivo study of photobiostimulation in the treatment of skin pathologies.</t>
  </si>
  <si>
    <t>Ex vivo</t>
  </si>
  <si>
    <t>Skin explants
LLLT or LLLT+PDT</t>
  </si>
  <si>
    <t>0.67</t>
  </si>
  <si>
    <t>0.07
0.14
0.7</t>
  </si>
  <si>
    <t>".The results indicate that even at the early phase of the treatment (7 days), the LLLT at low doses 70 mJ ∙ cm–2 and 140 mJ ∙ cm–2 promotes the deposition of new collagen, slightly higher for 70 mJ ∙ cm–2, and the continuous irradiation with higher doses (700 mJ ∙ cm–2) increases the production of type I collagen"</t>
  </si>
  <si>
    <t>Opel</t>
  </si>
  <si>
    <t>USA
(Maywood, IL)</t>
  </si>
  <si>
    <t>Light-emitting Diodes: A Brief Review and Clinical Experience.</t>
  </si>
  <si>
    <t>📖 Review + 📄 Case series</t>
  </si>
  <si>
    <t>"The authors’ clinical experience with a specific yellow light-emitting diode device was mixed, depending on the condition being treated, and was likely influenced by the device parameters."</t>
  </si>
  <si>
    <t>Calderhead</t>
  </si>
  <si>
    <t>Adjunctive 830 nm light-emitting diode therapy can improve the results following aesthetic procedures.</t>
  </si>
  <si>
    <t>"A growing body of clinical evidence is showing that applying 830 nm LED-LLLT as soon as possible post-procedure, both invasive and noninvasive, successfully hastens the resolution of sequelae associated with patient downtime in addition to significantly speeding up frank wound healing."</t>
  </si>
  <si>
    <t>Iyomasa</t>
  </si>
  <si>
    <t>Ultrastructure and light microscope analysis of intact skin after a varying number of low level laser irradiations in mice.</t>
  </si>
  <si>
    <t>Biphasic dose response (on collagen type I)</t>
  </si>
  <si>
    <t>3
7
10</t>
  </si>
  <si>
    <t>"Under these experimental conditions (20 J/cm2), three, six, and 10 laser applications provided photobiomodulation effect on intact epidermis and dermis of mice, strain HRS/J, without damage being revealed by electron microscopy. However, 10 laser applications decreased the type I collagen on the dermis. Thus, it is clear that more studies are needed to standardize the energy density and number of applications recommended for therapy of TMD to have a better cost-benefit ratio associated with treatment."</t>
  </si>
  <si>
    <t>USA
(Maryland)</t>
  </si>
  <si>
    <t>Clinical experience with light-emitting diode (LED) photomodulation.</t>
  </si>
  <si>
    <t>🧑 Human
📄 Retrospective study (clinical experience)
👥 900 cases (no statistical analyses)
⌛ 2 years</t>
  </si>
  <si>
    <t>"LED photomodulation has been used alone for skin rejuvenation in over 300 patients but has been effective in augmentation of results in 600 patients receiving concomitant nonablative thermal and vascular treatments such as intense pulsed light, pulsed dye laser, KTP and infrared lasers, radiofrequency energy, and ablative lasers."
"LED photomodulation reverses signs of photoaging using a new nonthermal mechanism. The anti-inflammatory component of LED in combination with the cell regulatory component helps improve the outcome of other thermal-based rejuvenation treatments."</t>
  </si>
  <si>
    <t>Development</t>
  </si>
  <si>
    <t>Chorioallantoic membrane (of embryo)</t>
  </si>
  <si>
    <t>Dourado</t>
  </si>
  <si>
    <t>Arq Bras Oftalmol</t>
  </si>
  <si>
    <t>Antiangiogenic activity of photobiomodulation in experimental model using chorioallantoic embryonic membrane of chicken eggs</t>
  </si>
  <si>
    <t>Embryo chorioallantoic membrane</t>
  </si>
  <si>
    <t>2, 4 or 8</t>
  </si>
  <si>
    <t>"Photo-biomodulation helps reduce vascularization in chorioallantoic embryonic membrane of chicken eggs and changes in the network architecture. Our results open the possibility of future clinical studies on using this therapy in patients with retinal diseases with neovascular components, especially age-related macular degeneration."</t>
  </si>
  <si>
    <t>Gerelli</t>
  </si>
  <si>
    <t>Stimulation of the oxygen consumption by photobiomodulation in the chicken embryo chorioallantoic membrane during hypoxia</t>
  </si>
  <si>
    <t>730
820</t>
  </si>
  <si>
    <t>"Our results showed that PBM applied between 6 and 16 minutes (5 mW/cm2) after the beginning of hypoxia with light at 730 or 820 nm sustains the oxygen consumption in the CAM for more than one hour, an effect that is not observed in control eggs. This may explain the positive effects induced by PBM in hypoxic tissues, including those that are subject to ischemia-reperfusion injuries."</t>
  </si>
  <si>
    <t>Embryogenesis</t>
  </si>
  <si>
    <t>El-Hussein</t>
  </si>
  <si>
    <t>Photobiomodulation of avian embryos by red laser</t>
  </si>
  <si>
    <t>Chicken</t>
  </si>
  <si>
    <t>"[T]hese combined results propose the ability of high laser doses in inducing incurable changes in the embryonic development and consequently such alterations can have potential therapeutic applications through what is known as photobiomodulation."</t>
  </si>
  <si>
    <t>Effect of He-Ne laser irradiation on embryonic development in chicken eggs.</t>
  </si>
  <si>
    <t>0.1
0.2
0.3
1
2
mJ (?)</t>
  </si>
  <si>
    <t>20-
400</t>
  </si>
  <si>
    <t>"Each of the exposed groups revealed some developmental anomalies compared with the respective sham-exposed control group. There was some dose-response evident with the highest incidence of abnormalities being 6/50 or 12% in the 2 mJ/cm2 group."
"Collectively, these results suggest that exposure to the higher doses of laser can provoke irreparable developmental alterations, and may have implications for photobiomodulation therapy."
Comment: The reported dose was extremely low. Therefore it's interesting they reported effects.</t>
  </si>
  <si>
    <t>Buzzá</t>
  </si>
  <si>
    <t>Photostimulation effects on chicken egg development: Perspectives on human newborn treatment.</t>
  </si>
  <si>
    <t>0.000014</t>
  </si>
  <si>
    <t>1.2
/day
12
/study</t>
  </si>
  <si>
    <t>"Comparing several protocols, the experiments show that lower doses of light slowly delivered for 24 h promote higher efficiency in embryo development, increasing on average 25% of its size and more than 70% in weight when compared to the control. This weight difference shows promising results compared to rates of up to 17% found in the literature. 
These results can be a first step to reduce the stay of premature human infants in hospitals because light, when applied in very low doses, can accelerate the natural biological processes without risks."</t>
  </si>
  <si>
    <t>Chernov</t>
  </si>
  <si>
    <t>Influence of wideband visible light with an padding red component on the functional state of mice embryos and embryonic stem cells.</t>
  </si>
  <si>
    <t>"It was shown that under conventional conditions of cultivation, more than 55% of blastocyst cells were in the state of norm. Out of the rest, 25% had membrane breaks and, therefore, were nonviable and 20% had signs of apoptosis. 
Upon irradiation of 2-day embryos with transformed light, the percentage of cells in the state of norm reached 80%. The number of apoptotic and necrotic cells decreased to 20 and 5% respectively."
"In this work, we have demonstrated that the use of transformed light with an evident red component raises the chances of embryos to survive and protect embryonic cells from death "</t>
  </si>
  <si>
    <t>Various LED Wavelengths Affected Myofiber Development and Satellite Cell Proliferation of Chick Embryos via the IGF-1 Signaling Pathway.</t>
  </si>
  <si>
    <t>Chick embryo</t>
  </si>
  <si>
    <t>white
480
560
660</t>
  </si>
  <si>
    <t>"These findings demonstrate green monochromatic photobiomodulation promoted the muscle growth and satellite cell proliferation was related to the IGF-1 signaling pathway in late embryogenesis."</t>
  </si>
  <si>
    <t>Denmark
(Tjele)</t>
  </si>
  <si>
    <t>J Assist Reprod Genet</t>
  </si>
  <si>
    <t>Effect of red light on the development and quality of mammalian embryos.</t>
  </si>
  <si>
    <t>🐁 Mouse embryo
🐖 Pig embryo</t>
  </si>
  <si>
    <t>0.34</t>
  </si>
  <si>
    <t>"Our results indicate that red light (625 nm, 0.34 W/m(2)) used in the time-lapse incubation system does not decrease the development and quality of blastocysts in both mouse zygotes and porcine PA embryos (both zona-intact and zona-free)."</t>
  </si>
  <si>
    <t>USA
(Bloomington, IN)</t>
  </si>
  <si>
    <t>J Biochem Mol Toxicol</t>
  </si>
  <si>
    <t>Attenuation of TCDD-induced oxidative stress by 670 nm photobiomodulation in developmental chicken kidney.</t>
  </si>
  <si>
    <t>"The biochemical indicators of oxidative and energy stress in the kidney were reversed by daily phototherapy, restoring ATP and glutathione contents and increasing antioxidant enzyme activities to control levels. Photobiomodulation also normalized the level of lipid peroxidation increased by TCDD exposure. The results of this study suggest that 670 nm photobiomodulation may be useful as a noninvasive treatment for renal injury resulting from chemically induced cellular oxidative and energy stress."</t>
  </si>
  <si>
    <t>Yeager</t>
  </si>
  <si>
    <t>Brief report: embryonic growth and hatching implications of developmental 670-nm phototherapy and dioxin co-exposure.</t>
  </si>
  <si>
    <t>LED phototherapy
Dioxin</t>
  </si>
  <si>
    <t>500
min</t>
  </si>
  <si>
    <t>0.05
min</t>
  </si>
  <si>
    <t>10
cm2
(beam)</t>
  </si>
  <si>
    <t>"Size and hatching times suggest that the hatching success and preparedness of chicks developmentally exposed to dioxin concentrations above the lethality threshold is improved by 670-nm LED treatment administered throughout the gestation period, but the relationship may be complicated by an LED-oil interaction."</t>
  </si>
  <si>
    <t>670 nanometer light treatment attenuates dioxin toxicity in the developing chick embryo.</t>
  </si>
  <si>
    <t>"Our study demonstrates that 670 nm phototherapy can mitigate the oxidative stress and energy deficit resulting from developmental exposure to TCDD while reducing TCDD-induced embryo mortality. Moreover, LED treatment restores hepatic enzyme activities to control levels in TCDD-exposed embryos. The effective attenuation of TCDD-induced embryo toxicity by LED treatment could extend to mitigating the effects of other teratogens that induce oxidative and energy stress."
Comment: According to the figure, LLLT seemed to increase mortality at some dioxin dosages... I wonder why this isn't mentioned in the abstract.</t>
  </si>
  <si>
    <t>Avila</t>
  </si>
  <si>
    <t>Argentina
(Cordoba)</t>
  </si>
  <si>
    <t>Effects of He-Ne laser irradiation on chick embryo mesonephros.</t>
  </si>
  <si>
    <t>"In controls, the glomeruli were formed by coiled capillaries with a homogeneous basement membrane, the proximal tubules presented a high cubic epithelium with acidophilic cytoplasm and a developed brush border. Distal and collecting segments were lined by cubic epithelium. An alcianophilic and PAS-positive reaction stood out at the membrane coats of the proximal tubules and tubular and glomerular basement membranes. No glomerular alterations were observed during the experiment. However, there was a marked enlargement of the tubular interstitium, with edema and lymphohistiocytic inflammatory infiltration. Some tubular cells desquamated to the lumen. Other cells presented a raveled apical surface. Some nuclei were dispersed out, and mixing with chromatin, formed diminutive granules. Pyknotic nuclei were seen occasionally. Epithelial necrosis and cytoplasmic debris in the lumen were also noted. For mucins, some zones showed brush border coats of the proximal tubules as discontinuous."
Comment: The full text and parameters might be impossible to find.</t>
  </si>
  <si>
    <t>Rev Fac Cien Med Univ Nac Cordoba</t>
  </si>
  <si>
    <t>Structural changes induced by He-Ne laser on the chick embryo ovary.</t>
  </si>
  <si>
    <t>"Disorganization of the tissue structure was well manifest in irradiated gonads, accompanied by negativization of the histochemical reactions. A lymphocytic infiltration was also found. No structural alterations were observed in germ or epithelial cells. It is concluded that laser radiations would act producing decrease of the mucosubstances associated to the plasma membrane and basement membrane. They would also provoke the appearance of an inflammatory mononuclear infiltration."
Comment: The full text and parameters might be impossible to find.</t>
  </si>
  <si>
    <t>Survivorship and mortality implications of developmental 670-nm phototherapy: dioxin co-exposure.</t>
  </si>
  <si>
    <t>"LED therapy decreased the embryonic mortality rate by 41%, resulting in increased embryonic survival and improved hatching success in eggs exposed to 200 ppt dioxin. However, at sub-lethal dioxin concentrations and in oil-treated controls, LED therapy slightly increased mortality."</t>
  </si>
  <si>
    <t>Effects of 670-nm phototherapy on development.</t>
  </si>
  <si>
    <t>"These results indicate that 670-nm phototherapy by itself does not adversely affect developing embryos and may improve the hatching survival rate."</t>
  </si>
  <si>
    <t>Neonatal hypoxic ischemia</t>
  </si>
  <si>
    <t>Effects of prenatal photobiomodulation treatment on neonatal hypoxic ischemia in rat offspring</t>
  </si>
  <si>
    <t>"Prenatal PBM treatment significantly improved the survival rate of neonatal rats and decreased infarct size after HI insult.
Behavioral tests revealed that prenatal PBM treatment significantly alleviated cortex-related motor deficits and hippocampus-related memory and learning dysfunction.
In addition, mitochondrial function and integrity were protected in HI animals treated with PBM.
Additional studies revealed that prenatal PBM treatment significantly alleviated HI-induced neuroinflammation, oxidative stress, and myeloid cell/astrocyte activation."</t>
  </si>
  <si>
    <t>Premature birth</t>
  </si>
  <si>
    <t>Acceleration of newborn rats' development with the use of photobiomodulation and the near possibility of application in human premature babies.</t>
  </si>
  <si>
    <t>"Following a protocol of alternating illumination and mother's presence during the first 13 days, we observed that, in the group that received photobiomodulation, the pups opened their eyes faster, indicating earlier achievement of maturity. The rate of weight gain also indicates faster metabolic activity in the group that was photostimulated. 
This study is the first step toward the use of photobiomodulation for premature newborn human babies."</t>
  </si>
  <si>
    <t>Spina bifida</t>
  </si>
  <si>
    <t>Effect of Photobiomodulation Combined with Physiotherapy on Functional Performance in Children with Myelomeningo-Cele-Randomized, Blind, Clinical Trial</t>
  </si>
  <si>
    <t>🧑 Human
🎲 Randomized trial
👥 25 participants
⌛ 12 weeks</t>
  </si>
  <si>
    <t>100
(25 per point, 4 points)</t>
  </si>
  <si>
    <t>"Neurofunctional physiotherapy with or without PBM improved functional mobility and electrical muscle activity in children with myelomeningocele."</t>
  </si>
  <si>
    <t>Effect of photobiomodulation combined with physical therapy on functional performance in children with myelomeningocele: A protocol randomized clinical blind study</t>
  </si>
  <si>
    <t>"The results of this study can contribute to a better understanding of the effectiveness of PBM on functioning and quality of life in children with myelomeningocele."</t>
  </si>
  <si>
    <t>Sturgeon eggs</t>
  </si>
  <si>
    <t>Plavskiia &amp; Barulin</t>
  </si>
  <si>
    <t>Belarus
(Minsk)</t>
  </si>
  <si>
    <t>J Appl Spectrosc</t>
  </si>
  <si>
    <t>Effect of exposure of sturgeon roe to low-intensity laser radiation on the hardiness of juvenile sturgeon</t>
  </si>
  <si>
    <t>Sturgeon roe</t>
  </si>
  <si>
    <t>Pulsing
Oxygen deprivation</t>
  </si>
  <si>
    <t>"The results obtained suggest that laser radiation in the near IR region of the spectrum (λ = 808 nm), corresponding to the "transparency window of biological tissue," have a pronounced effect on the resistance of standard juvenile sturgeon to oxygen deficiency when the fertilized roe are briefly exposed to radiation."
"We show that the duration of the dark period (pause time) between pulses is the critical parameter determining the dependence of the stimulating effect on the modulation frequency."</t>
  </si>
  <si>
    <t>Telencephalon cells (primary embryonic)</t>
  </si>
  <si>
    <t>Henkel</t>
  </si>
  <si>
    <t>Germany
(Erlangen))</t>
  </si>
  <si>
    <t>J Cell Biochem</t>
  </si>
  <si>
    <t>Light-induced exocytosis in cell development and differentiation.</t>
  </si>
  <si>
    <t>Extraocular light</t>
  </si>
  <si>
    <t>488
(514)</t>
  </si>
  <si>
    <t>"We analyzed the frequency, time course and spatial distribution of exocytotic events. Exocytosis in PC12 cells and telencephalon cells occurs at the periphery or the interface between dividing cells, and the duration of single secretion events varies considerably. Our observation strongly supports the idea that light induced exocytosis is most likely a mechanism for building plasma membrane during differentiation, development and proliferation rather than for calcium-dependent neurotransmitter release."
"The observation that a light sensing mechanisms exists in cells which are located within the body or even the brain, appears somewhat surprising at the first sight. However, there are photosensitive molecules present in the brains of many vertebrates, reaching back to lamprey eel [Yokoyama and Zhang, 1997]. Visible and infrared light (480–900 nm) can penetrate living tissue and even bones [Grinvald et al., 1986; Frostig et al., 1990]. Especially light of more than 700 nm is capable to penetrate even the scull of human babies completely, thou near-infrared light is clinically used for cerebral oxygenation measurements in newborns [Wyatt et al., 1986]. The light-sensitive molecule pinopsin in avian pineal gland is important for regulation of the circadian rhythm [Okano et al., 1994]. Extraocular light perception has also been suggested as the primary regulator of the circadian clock in humans [Czeisler et al., 1995; Cambell and Murphy, 1998]. Since these mechanisms are important for neuronal plasticity, they support a role of light for cell development and growth cone activity."
"In summary, our observations point to a novel mechanism for regulation of cellular development and/or differentiation by visible light."</t>
  </si>
  <si>
    <t>Devices for LLLT</t>
  </si>
  <si>
    <t>At-home devices</t>
  </si>
  <si>
    <t>Israel 
(Jerusalem)</t>
  </si>
  <si>
    <t>Therapeutic Efficacy of Home-Use Photobiomodulation Devices: A Systematic Literature Review</t>
  </si>
  <si>
    <t>"Eleven studies were suitable. Devices were applied for a range of indications, including pain, cognitive dysfunction, wound healing, diabetic macular edema, and postprocedural side effects, and were mostly based on near-infrared, pulsed light-emitting diodes with dosages within WALT recommendations. Regarding efficacy, studies reported mostly positive results."
"Home-use PBM devices appear to mediate effective, safe treatments in a variety of conditions that require frequent applications. Conclusive evaluation of their efficacy requires additional, randomized controlled studies."</t>
  </si>
  <si>
    <t>Hession</t>
  </si>
  <si>
    <t>A Review of Hand-Held, Home-Use Cosmetic Laser and Light Devices</t>
  </si>
  <si>
    <t>"There is a paucity of randomized, double-blind controlled trials to support the use of home-use laser and light devices; smaller, uncontrolled industry-sponsored single-center studies suggest that some of these devices may have modest results."</t>
  </si>
  <si>
    <r>
      <rPr>
        <rFont val="Arial"/>
        <b/>
        <color rgb="FF980000"/>
        <sz val="6.0"/>
      </rPr>
      <t xml:space="preserve">★
</t>
    </r>
    <r>
      <rPr>
        <rFont val="Arial"/>
        <b/>
        <color rgb="FF980000"/>
        <sz val="6.0"/>
      </rPr>
      <t>📷</t>
    </r>
  </si>
  <si>
    <t>Implantable</t>
  </si>
  <si>
    <t>Sheinman</t>
  </si>
  <si>
    <t>Implantable photonic devices for improved medical treatments.</t>
  </si>
  <si>
    <t>"We introduce preliminary clinical trials obtained with an implantable pill and devices that we have developed. The pill and devices are capable of applying in-body phototherapy, low-level laser therapy, blue light (450 nm) for sterilization, and controlled injection of chemicals. The pill is also capable of communicating with an external control box, including the transmission of images from inside the patient’s body. In this work, our pill was utilized for illumination of the sinus-carotid zone in dog and red light influence on arterial pressure and heart rate was demonstrated. Intrabody liver tissue laser ablation and nanoparticle-assisted laser ablation was investigated. Sterilization effect of intrabody blue light illumination was applied during a maxillofacial phlegmon treatment."</t>
  </si>
  <si>
    <t>Laser</t>
  </si>
  <si>
    <t>Valchinov &amp; Pallikarakis</t>
  </si>
  <si>
    <t>Greece
(Patras)</t>
  </si>
  <si>
    <t>Biomed Eng Online</t>
  </si>
  <si>
    <t>Design and testing of low intensity laser biostimulator.</t>
  </si>
  <si>
    <t>Design</t>
  </si>
  <si>
    <t>Timberlake &amp; Enwemeka</t>
  </si>
  <si>
    <t>USA
(Kansas City, KS)</t>
  </si>
  <si>
    <t>An inexpensive, automated instrument for laser irradiation of cultured cells.</t>
  </si>
  <si>
    <t>"Inexpensive and relatively simple devices can be constructed for automated laser irradiation of cultured cells. These devices can eliminate the tedium and errors of manual laser exposure."</t>
  </si>
  <si>
    <t>LED</t>
  </si>
  <si>
    <t>Combinatorial wound healing therapy using adhesive nanofibrous membrane equipped with wearable LED patches for photobiomodulation</t>
  </si>
  <si>
    <t>"Here, adhesive hyaluronic acid-based gelatin nanofibrous membranes integrated with multiple light-emitting diode (LED) arrays are developed as a skin-attachable patch. The nanofibrous wound dressing is expected to mimic the three-dimensional structure of the extracellular matrix, and its adhesiveness allows tight coupling between the wound sites and the flexible LED patch. 
Experimental results demonstrate that our medical device accelerates the initial wound healing process by the synergetic effects of the wound dressing and LED irradiation."</t>
  </si>
  <si>
    <t>Phan</t>
  </si>
  <si>
    <t>Flex Print Electron</t>
  </si>
  <si>
    <t>A flexible, and wireless LED therapy patch for skin wound photomedicine with IoT-connected healthcare application</t>
  </si>
  <si>
    <t>"The flexible LED patch was designed with a high-efficiency performance of thermal stability, device uniformity, and mechanical durability for skin-attachable phototherapies application and clinical use. The application of a smartphone app with an IoT-connected healthcare platform for the flexible LED patch opens tremendous opportunities for the development of a remote healthcare system with cost-effectiveness in the future.
In wound healing test on normal human fibroblasts, the LED light was proven to have no cytotoxic effect with high fibroblast proliferation and fibroblast migration (over 16% compared to control) under various light irradiations. Furthermore, a high association between wavelengths and exposure duration with biologic responses and migration effects was indicated in the study."</t>
  </si>
  <si>
    <t>iScience</t>
  </si>
  <si>
    <t>A wireless optoelectronic skin patch for light delivery and thermal monitoring</t>
  </si>
  <si>
    <t>"Here, we report a wearable optoelectronic patch integrated with a transparent nanowire sensor that provides light delivery and thermal monitoring at the same location. 
We achieve fabrication of a transparent silver nanowire network with &gt;92% optical transmission that provides thermoresistive sensing of skin temperature. 
By integrating the sensor in a wireless optoelectronic patch, we demonstrate closed-loop regulation of light delivery as well as thermal characterization of blood flow. 
This light delivery and thermal monitoring approach may open opportunities for wearable devices in light-based diagnostics and therapies."</t>
  </si>
  <si>
    <t>Cell Press</t>
  </si>
  <si>
    <t>de Jesus Guirro</t>
  </si>
  <si>
    <t>J Med Syst</t>
  </si>
  <si>
    <t>Measurement of Physical Parameters and Development of a Light Emitting Diodes Device for Therapeutic Use.</t>
  </si>
  <si>
    <t>"The objective of this study was to develop a light-emitting device using LED, with proper measurements for application in clinical research."
"It was used 267 LEDs, powered with 12-V voltage and fixed on a plate of ethylene-vinyl acetate (25 × 42 cm), equidistant at 1.0 cm. For the calculation of red and infrared irradiation, a spectrometer was used, and the data were processed in routines implemented in the OriginPro 8.5.0 SR1 Software. The irradiance was determined by the integration of the spectral irradiation in the LED emission region."
"The red LED has a wavelength of 620 ± 10 nm, a power density of 52.86 mW/cm2, power of 6.6 mW, and total power of 1.76 W on the device. The infrared LED has a wavelength of 940 ± 10 nm, power density 33.7 mW/cm2, power of 6 mW, and total power of 1.6 W on the device."
"The LED characterization enables the generation and application of energy with greater precision and reproducibility."</t>
  </si>
  <si>
    <t>Adv Healthc Mater</t>
  </si>
  <si>
    <t>Human Oral Motion-Powered Smart Dental Implant (SDI) for In Situ Ambulatory Photo-biomodulation Therapy</t>
  </si>
  <si>
    <t>615
880</t>
  </si>
  <si>
    <t>"Recently, photo-biomodulation (PBM) therapy that can ecover and regenerate peri-implant soft tissue has attracted considerable attention in dentistry. In this paper, a seamless human oral motion-powered dental implant system (called Smart Dental Implant or SDI) is presented as an ambulatory PBM therapy modality. SDI allows the in situ light delivery, which is enabled by the energy harvesting from dynamic human oral motions (chewing and brushing) via an engineered piezoelectric dental crown, an associated circuit, and micro light emitting diodes (LEDs). The SDI also offers adequate mechanical strength as the clinical standards."</t>
  </si>
  <si>
    <t>Nano Res</t>
  </si>
  <si>
    <t>Wireless phototherapeutic contact lenses and glasses with red light-emitting diodes</t>
  </si>
  <si>
    <t>Design
+ 🐇 Rabbit
+ 🧪 In vitro</t>
  </si>
  <si>
    <t>560-
800</t>
  </si>
  <si>
    <t>"Herein, we report wireless, wearable phototherapeutic devices with red light-emitting diodes for continuous treatments."</t>
  </si>
  <si>
    <t>OLED</t>
  </si>
  <si>
    <t>J Inf Disp</t>
  </si>
  <si>
    <t>A wearable OLED medical device for enhanced cutaneous wound healing and patient comfort: revolutionizing dermatology</t>
  </si>
  <si>
    <t>Design
+ 🧪 In vitro</t>
  </si>
  <si>
    <t>"In conclusion, this study presents a novel body-attached wearable OLED medical device for cutaneous wound healing, offering effective and non-invasive treatment."
"As a result, it was confirmed that a maximum of 23% cell proliferation occurred in the group exposed to light for 30 min compared to the control group without light exposure, as shown in Figure 7."</t>
  </si>
  <si>
    <t>Taylor &amp; Francis</t>
  </si>
  <si>
    <t>Jeon</t>
  </si>
  <si>
    <t>Sandwich-structure transferable free-form OLEDs for wearable and disposable skin wound photomedicine</t>
  </si>
  <si>
    <t>630
650
670
690</t>
  </si>
  <si>
    <t>"This paper presents free-form optoelectronic devices that are not dependent on the shape or material. For medical applications, the transferable OLED (10 μm) is formed in a sandwich structure with an ultra-thin transferable barrier (4.8 μm). The results showed that the fabricated sandwich-structure transferable OLED (STOLED) exhibit the same high-efficiency performance on cylindrical-shaped materials and on materials such as textile and paper. Because the neutral axis is freely adjustable using the sandwich structure, the textile-based OLED achieved both folding reliability and washing reliability, as well as a long operating life (&gt;150 h)."
" When keratinocytes were irradiated with red STOLED light, cell proliferation and cell migration increased by 26 and 32%, respectively. In the skin equivalent model, the epidermis thickness was increased by 39%; additionally, in organ culture, not only was the skin area increased by 14%, but also, re-epithelialization was highly induced."</t>
  </si>
  <si>
    <t>Nature Publishing</t>
  </si>
  <si>
    <t>Adv Mater</t>
  </si>
  <si>
    <t>Organic Light-Emitting Diodes: Pushing toward the Limits and Beyond.</t>
  </si>
  <si>
    <t>"Organic light-emitting diodes (OLEDs) are established as a mainstream light source for display applications and can now be found in a plethora of consumer electronic devices used daily (...) OLEDs with fabric-like form factors and washable encapsulation strategies are also introduced as technologies essential to the success of OLED-based wearable electronics."
"OLEDs in a wearable, patch-type form can be quite useful as point-of-care or personal healthcare becomes plausible. Even in a hospital environment, a patient with a deep wound does not have to move to the place where a PBM light source is located; instead, the patient can stay in his or her bed with a PBM light patch affixed to a wound just like an adhesive bandage."</t>
  </si>
  <si>
    <t>Adv Mater Technol</t>
  </si>
  <si>
    <t>A Wearable Photobiomodulation Patch Using a Flexible Red-Wavelength OLED and Its In Vitro Differential Cell Proliferation Effects</t>
  </si>
  <si>
    <t>"This paper presents a novel wearable PBM patch using a flexible red-wavelength organic light-emitting diode (OLED) surface light source, which can be attached to the human body as a personalized PBM platform."
"The palm-sized wearable PBM patch can be very light (0.82 g) and thin (676 µm). It also has a reasonable operation life (&gt;300 h), flexibility (20 mm bending radius), and low-temperature operation (&lt;40 °C), and it can provide wide and safe application irrespective of location and time."
"The results show that OLEDs may have excellent in vitro wound healing effects because they effectively stimulate fibroblast proliferation (over 58% of control) and enhance fibroblast migration (over 46% of control) under various conditions."</t>
  </si>
  <si>
    <t>QLED</t>
  </si>
  <si>
    <t>Triana</t>
  </si>
  <si>
    <t>USA
(Orlando, FL)</t>
  </si>
  <si>
    <t>J Phys Mater</t>
  </si>
  <si>
    <t>Quantum dot light-emitting diodes as light sources in photomedicine: photodynamic therapy and photobiomodulation</t>
  </si>
  <si>
    <t>"Widespread clinical adoption of photodynamic therapy (PDT) and photobiomodulation (PBM) has been limited due to the lack of a suitable commercial light source. Cost-effective quantum dot light-emitting diodes (QLEDs) promise to be an ideal light source nicely fitting into this niche, not only complying with desired form factors—flexibility, lightweight, and uniform large area illumination—but with narrow emission spectrum and high power density at clinically relevant deep red wavelengths."
"This paper is intended to provide a review on the development of QLEDs as a photomedical light source, specifically, for PDT and PBM. First, we introduce the potential of QLEDs as light sources in the photomedical field, briefly describe the mechanisms and benefits of both PDT and PBM phototherapies, and present the unique features of flexible QLEDs (FQLEDs) over conventional and commercial light sources. Then, the pioneering work and state-of-the-art research using QLEDs and organic light emitting diodes (OLEDs) for photomedicine are presented."</t>
  </si>
  <si>
    <t>µLED</t>
  </si>
  <si>
    <t>Adv Drug Deliv Rev</t>
  </si>
  <si>
    <t>Implantable Micro-Light-Emitting Diode (µLED)-based optogenetic interfaces toward human applications</t>
  </si>
  <si>
    <t>"Soft, flexible and biocompatible systems using µLEDs as a light source have been introduced to realize brain-compatible optogenetic implants, but there are still many technical challenges to overcome before their human applications. In this review, we address progress in the development of implantable µLED probes and recent achievements in (i) device engineering design, (ii) driving power, (iii) multifunctionality and (iv) closed-loop systems. (v) Expanded optogenetic applications based on remarkable advances in µLED implants will also be discussed."
Comment: The review isn't focusing on PBM, but on optogenetics.</t>
  </si>
  <si>
    <t>An optical system via liquid crystal photonic devices for photobiomodulation</t>
  </si>
  <si>
    <t>"In this report, we demonstrate a tunable optical system for photobiomodulation to aid physicians in overcoming the constraints of light due to biphasic dose response. The tunable optical system is based on a white light-emitting diode and four liquid crystal (LC) photonic devices: three LC phase retarders, and one LC lens. The output light of the tunable optical system exhibits electrical tunability for the wavelength, energy density and beam size. The operating principle is introduced, and the experimental results are presented. The proposed concept can be further extended to other electrically tunable photonic devices for different clinical purposes for photobiomodulation."</t>
  </si>
  <si>
    <t>Luminous fabric devices for wearable low-level light therapy.</t>
  </si>
  <si>
    <t>"In vitro experiments demonstrated a significant increase in collagen production in human fibroblast irradiated by the fabric device, compared with the fibroblast without light irradiation."
"A series of tests were conducted for the safety of the fabric for human skin contact according to ISO standard ISO 10993-1:2003. The results showed that there was no potential hazard when the luminous fabrics were in direct contact with human skin."</t>
  </si>
  <si>
    <t>Diabetes mellitus</t>
  </si>
  <si>
    <t>Cellular signalling</t>
  </si>
  <si>
    <t>Photobiomodulation activates the PI3K/AKT pathway in diabetic fibroblast cells in vitro</t>
  </si>
  <si>
    <t>"Irradiated cell models displayed increased activation of PI3K/AKT and downstream mTOR and GSK3β signalling proteins."</t>
  </si>
  <si>
    <t>Glycation</t>
  </si>
  <si>
    <t>Peplow &amp; Baxter</t>
  </si>
  <si>
    <t>Defining a therapeutic window for laser irradiation (810 nm) applied to the inguinal region to ameliorate diabetes in diabetic mice.</t>
  </si>
  <si>
    <t>20.4
40.8</t>
  </si>
  <si>
    <t>"The blood plasma fructosamine level of diabetic mice irradiated with 20.4 J/cm(2) was significantly lower than for nonirradiated controls, whereas that for diabetic mice irradiated with 40.8 J/cm(2) was not significantly different than for nonirradiated controls."</t>
  </si>
  <si>
    <t>Testing infrared laser phototherapy (810 nm) to ameliorate diabetes: irradiation on body parts of diabetic mice.</t>
  </si>
  <si>
    <t>"Irradiation of left inguinal region in diabetic mice with 810 nm laser has potential to ameliorate diabetes as shown by decreased blood plasma fructosamine."
Comment: Irradiation of other parts wasn't helpful. The total effect is probably quite negligible.</t>
  </si>
  <si>
    <t>Glycemia</t>
  </si>
  <si>
    <t>Powner &amp; Jeffery</t>
  </si>
  <si>
    <t>Light stimulation of mitochondria reduces blood glucose levels</t>
  </si>
  <si>
    <t>🧑 Human
🎲 Randomized trial, sham-controlled
👥 30 participants
⌛ single control session -&gt; single intervention session</t>
  </si>
  <si>
    <t>"Here we show, with a glucose tolerance test, that PBM of normal subjects significantly reduces blood sugar levels. A 15 min exposure to 670 nm light reduced the degree of blood glucose elevation following glucose intake by 27.7%, integrated over 2 h after the glucose challenge. Maximum glucose spiking was reduced by 7.5%. Consequently, PBM with 670 nm light can be used to reduce blood glucose spikes following meals."</t>
  </si>
  <si>
    <t>Iranpour</t>
  </si>
  <si>
    <t>An evaluation of photobiomodulation effects on human gingival fibroblast cells under hyperglycemic condition: an in vitro study</t>
  </si>
  <si>
    <t>3.2
6
9.2</t>
  </si>
  <si>
    <t>"No changes were detected in the cell proliferation rate between the high glucose control group and laser-treated cells, while VEGF and IL-6 gene expression levels increased significantly after PBM in the high glucose-treated cells group. ROS level was significantly decreased in the irradiated cells in high-glucose medium compared with the high glucose control group."</t>
  </si>
  <si>
    <t>Sim</t>
  </si>
  <si>
    <t>OLED catheters for inner-body phototherapy: A case of type 2 diabetes mellitus improved via duodenal photobiomodulation</t>
  </si>
  <si>
    <t>PBM device design: (intraduodenal) catheter
LED phototherapy</t>
  </si>
  <si>
    <t>600-
700</t>
  </si>
  <si>
    <t>"We propose an organic light-emitting diode (OLED) catheter as an effective photobiomodulation (PBM) platform useful for tubular organs such as duodenums. A fully encapsulated highly flexible OLED is mounted over a round columnar structure, producing axially uniform illumination without local hotspots. 
The biocompatible and airtight OLED catheter can operate in aqueous environments for extended periods, meeting the essential requirements for inner-body medical applications. 
In a diabetic Goto-Kakizaki (GK) rat model, the red OLED catheter delivering 798 mJ of energy is shown to reduce hyperglycemia and insulin resistance compared to the sham group. 
Results are further supported by the subdued liver fibrosis, illustrating the immense potential of the OLED-catheter-based internal PBM for the treatment of type 2 diabetes and other diseases yet to be identified."</t>
  </si>
  <si>
    <t>Scontri</t>
  </si>
  <si>
    <t>Dose and time-response effect of photobiomodulation therapy on glycemic control in type 2 diabetic patients combined or not with hypoglycemic medicine: A randomized, crossover, double-blind, sham-controlled trial</t>
  </si>
  <si>
    <t>🧑 Human
🎲 Randomized trial, crossover (6 conditions), double-blind
👥 10 participants</t>
  </si>
  <si>
    <t>100
240
/site</t>
  </si>
  <si>
    <t>"Without medication, there was reduction in glycemia after all PBMt doses, with 100 J as the best dose that persisted until 12 h and presented lower area under the curve (AUC). With medication, glycemia decreased similarly among doses. 
No differences between 100 J and sham + medication, but AUC was significantly lower after 100 J, suggesting better glycemic control. 
Low frequency component of HRV increased after sham + medication and 100 J, suggesting higher sympathetic activation.
PBMt showed time- and dose-response effect to reduce glycemia in T2DM patients. Effects on HRV were consistent with glycemic control."</t>
  </si>
  <si>
    <t>Min</t>
  </si>
  <si>
    <t>Duodenal Dual-Wavelength Photobiomodulation Improves Hyperglycemia and Hepatic Parameters with Alteration of Gut Microbiome in Type 2 Diabetes Animal Model</t>
  </si>
  <si>
    <t>LED phototherapy
Wavelength combination</t>
  </si>
  <si>
    <t>630
850
or 
both</t>
  </si>
  <si>
    <t xml:space="preserve">2.22+
3.60
3.85
</t>
  </si>
  <si>
    <t>"A single session of D-LED PBM improved hyperglycemia and hepatic parameters through the change of serum insulin, insulin resistance, insulin expression in the pancreatic β-cells, and gut microbiome in T2DM animal models."
Comment: No much effect for single wavelength groups. Although, they only tested a single session.</t>
  </si>
  <si>
    <t>Powner</t>
  </si>
  <si>
    <t>Systemic glucose levels are modulated by specific wavelengths in the solar light spectrum that shift mitochondrial metabolism</t>
  </si>
  <si>
    <t>Bumblebee</t>
  </si>
  <si>
    <t>Non-diabetic animals
LED phototherapy</t>
  </si>
  <si>
    <t>420
670</t>
  </si>
  <si>
    <t>0.040
0.040</t>
  </si>
  <si>
    <t>1152
36</t>
  </si>
  <si>
    <t>28800
(8h)
900
(15min)</t>
  </si>
  <si>
    <t>"Increasing mitochondrial activity with 670 nm light at the peak of circulating glucose, resulted in a significant 50% reduction in concentration measured. 
Exposure to 420nm light that retards mitochondrial respiration elevated systemic glucose levels by over 50%."
Comment: The paper would be more useful with more data. The two groups are not comparable due to very different irradiation protocols.</t>
  </si>
  <si>
    <t>Bonifacio</t>
  </si>
  <si>
    <t>Effects of photobiomodulation on glucose homeostasis and morphometric parameters in pancreatic islets of diabetic mice</t>
  </si>
  <si>
    <t>0.84
/point</t>
  </si>
  <si>
    <t>"PBM treatment over the pancreas for 4 weeks improved blood glucose in a mouse model of obesity-associated diabetes and avoided the significant insulin intolerance observed only in the untreated group. The results were positive and encourage more investigations on PBM and beta-cell islet function in mouse model resembling human type 2 diabetes."</t>
  </si>
  <si>
    <t>Laakso</t>
  </si>
  <si>
    <t>Effect of Transcutaneous Radial Artery Photobiomodulation on Continuous Measures of Interstitial Glucose in a Single Subject: A Brief Report</t>
  </si>
  <si>
    <t>🧑 Human
📄 Case report
⌛ 12 sessions (on different days)</t>
  </si>
  <si>
    <t>450
520
660
904</t>
  </si>
  <si>
    <t>12
(total)</t>
  </si>
  <si>
    <t>"A single transcutaneous application of PBM at wavelength and dose combinations tested and when applied immediately after a test meal or at peak glucose postprandially did not affect interstitial glucose levels in a woman without DM."</t>
  </si>
  <si>
    <t>Effect of Photobiomodulation on CCC-ESF Reactive Oxygen Species Steady-State in High Glucose Mediums</t>
  </si>
  <si>
    <t>Human embryonic skin fibroblast cells (CCC-ESFs)</t>
  </si>
  <si>
    <t>"First, we measured the cellular proliferation, and the results showed that laser irradiation could promote cellular proliferation. 
Then, we measured the generation of ROS, the activities of total superoxide dismutase (SOD), and total antioxidant capacity (TAC) of the cells; the results showed that high glucose destroyed cells by inducing high concentration of ROS, the balance of oxidation, and antioxidation cause oxidative stress damage to cells. PBM can increase the antioxidant capacity of cells, reducing the high concentration of ROS induced by high glucose.
Finally, we measured the levels of mitochondrial membrane potential (∆ψm) and the secretion of nuclear factor kappa-B (NF-κB), tumor necrosis factor-α (TNF-α), and interleukin-1β (IL-1β); the results showed that PBM can reduce apoptosis and regulate the inflammatory state.
We conclude that PBM can maintain the ROS homeostasis, increase the TAC of cells, and trigger the cellular proliferation, and the response of CCC-ESFs to PBM was dose-dependent."</t>
  </si>
  <si>
    <t>The effect of electric field, magnetic field, and infrared ray combination to reduce HOMA-IR index and GLUT 4 in diabetic model of Mus musculus.</t>
  </si>
  <si>
    <t>LED phototherapy &amp; electric field &amp; magnetic field
Diabetic mice (HFD &amp; Stz)</t>
  </si>
  <si>
    <t xml:space="preserve">"Exposure to combination of magnetic field, electrical field, and infrared resulted in lowering fasting blood glucose level and HOMA-IR index in diabetic mice, indicating reduced insulin resistance."
Comment: There was no group that received PBM only. </t>
  </si>
  <si>
    <t>Low-level laser irradiation modifies the effect of hyperglycemia on adhesion molecule levels.</t>
  </si>
  <si>
    <t>Endothelial cells
Wavelength comparison</t>
  </si>
  <si>
    <t>635
830</t>
  </si>
  <si>
    <t>"We have found an increase in sE-selectin and sVCAM levels in the supernatant of cells cultured under hyperglycemic conditions. This fact confirms detrimental influence of hyperglycemia on vascular endothelial cell cultures. LLLT can modulate the inflammation process. It leads to a decrease in sE-selectin and sVCAM concentration in the supernatant and an increase in the number of endothelial cells cultured under hyperglycemic conditions. The influence of LLLT is greater at the wavelength of 830 nm."</t>
  </si>
  <si>
    <t>Fukuoka</t>
  </si>
  <si>
    <t>Low-power laser irradiation in salivary glands reduces glycemia in streptozotocin-induced diabetic female rats.</t>
  </si>
  <si>
    <t>Irradiation of salivary glands</t>
  </si>
  <si>
    <t>1.13
cm2
area
0.028
cm2
spot</t>
  </si>
  <si>
    <t>"LPLI probably reduced the hyperglycemia in diabetes by improving the insulin resistance in these animals"
Comment: A surprising results. I think it should be repeated.</t>
  </si>
  <si>
    <t>Low-level laser irradiation effect on endothelial cells under conditions of hyperglycemia.</t>
  </si>
  <si>
    <t>"It is considered that adverse effects of hyperglycemia on vascular endothelial cells may be corrected by the action of LLLT, especially with the wavelength of 830 nm. It leads to the reduction of TNF-α concentration in the supernatant and enhancement of cell proliferation."</t>
  </si>
  <si>
    <t>Esmaeelinejad</t>
  </si>
  <si>
    <t>The effects of low-level laser irradiation on cellular viability and proliferation of human skin fibroblasts cultured in high glucose mediums.</t>
  </si>
  <si>
    <t>Human skin fibroblasts</t>
  </si>
  <si>
    <t>0.00066</t>
  </si>
  <si>
    <t>"The LLLT at densities of 0.5 and 1 J/cm(2) had stimulatory effects on the viability and proliferation rate of HSFs cultured in physiologic glucose (5.5 mM/l) medium compared to their control cultures (p = 0.002 and p = 0.046, respectively). All three doses of 0.5, 1, and 2 J/cm(2) had stimulatory effects on the proliferation rate of HSFs cultured in high glucose concentrations when compared to their control cultures (p = 0.042, p = 0.000, and p = 0.000, respectively).
This study showed that HSFs originally cultured for 2 weeks in high glucose concentration followed by culture in physiologic glucose during laser irradiation showed enhanced cell viability and proliferation. Thus, LLLT had a stimulatory effect on these HSFs."</t>
  </si>
  <si>
    <t>Cornejo-Garrido</t>
  </si>
  <si>
    <t>Mexico</t>
  </si>
  <si>
    <t>Antihyperglycaemic effect of laser acupuncture treatment at BL20 in diabetic rats.</t>
  </si>
  <si>
    <t>650
980</t>
  </si>
  <si>
    <t>7
50</t>
  </si>
  <si>
    <t>6.84
6.64</t>
  </si>
  <si>
    <t>0.9
cm2
area
(?)</t>
  </si>
  <si>
    <t>180
60</t>
  </si>
  <si>
    <t>"Stimulation with laser acupuncture at 650 and 980 nm at BL20 in STZ-induced diabetic rats has antihyperglycaemic activity. The results support further evaluation of laser acupuncture as an alternative or complementary treatment for the control of hyperglycaemia."</t>
  </si>
  <si>
    <t>Laser photostimulation (660 nm) of wound healing in diabetic mice is not brought about by ameliorating diabetes</t>
  </si>
  <si>
    <t>"There were no significant differences in body weight and water intake over 22 days between mice in the experimental group and control group. On day 14, the mean blood plasma glucose level was not significantly different between the two groups; glycated hemoglobin A1c was not detected in the samples."
"Conclusion: Irradiation of the left flank in diabetic mice with 660 nm laser system does not have a significant hypoglycemic effect, and the laser-stimulated healing of wounds in diabetic mice is due to cellular and biochemical changes in the immediate wound environment."</t>
  </si>
  <si>
    <t>Layegh</t>
  </si>
  <si>
    <t>Photobiomodulation therapy improves the growth factor and cytokine secretory profile in human type 2 diabetic fibroblasts</t>
  </si>
  <si>
    <t>"The data showed that the PBMT could compensate such impairments occurred in DHDFs in terms of viability, proliferation, and migration."</t>
  </si>
  <si>
    <t>Intravenous irradiation</t>
  </si>
  <si>
    <t>Amjadi</t>
  </si>
  <si>
    <t>Intravenous Laser Wavelength Irradiation Effect on Interleukins: IL-1α, IL-1β, IL6 in Diabetic Rats.</t>
  </si>
  <si>
    <t>450
532
638
808</t>
  </si>
  <si>
    <t>"The results show a decrease in all the above parameters by different laser irradiation in comparison to non-radiated diabetic control ones. More importantly with constant laser energy as the laser wavelength decreases, it affects more efficiently on lowering the above parameters."
"We can conclude from our data on diabetic rats that in intravenous LLLT, with constant laser energy, shorter wavelengths like Blue (λ= 450 nm) is more effective than longer wavelengths such as Red (λ = 638 nm) and IR (λ = 808 nm) lasers to lower the level of interleukins toward non-diabetic ones."</t>
  </si>
  <si>
    <t>Intravenous laser wavelength radiation effect on LCAT, PON1, catalase, and FRAP in diabetic rats.</t>
  </si>
  <si>
    <t>Diabetic rats
Intravenous laser therapy'
Wavelength comparison</t>
  </si>
  <si>
    <t>"The results show an increase in the activity of different enzymes when compare with diabetic non-radiated samples. More importantly, with a constant laser energy, the enzymes' activity increased with decreasing laser wavelength. It is important to note that with a constant laser energy, as the wavelength decreases, the photon energy increases and the number of photons decrease, while the enzyme's activity elevation increases. 
As a result, we can conclude that in intravenous low-level laser therapy, photon energy is more important than the number of photons even if their product, energy, is kept constant."</t>
  </si>
  <si>
    <t>Kazemikhoo</t>
  </si>
  <si>
    <t>Modifying effect of intravenous laser therapy on the protein expression of arginase and epidermal growth factor receptor in type 2 diabetic patients.</t>
  </si>
  <si>
    <t>🧑 Human
📄 Single-arm trial
👥 13 participants
⌛ single session</t>
  </si>
  <si>
    <t>Intravenous laser therapy</t>
  </si>
  <si>
    <t>"In conclusion, laser therapy may have a beneficial effect for diabetic patients via decreasing arginase expression and activation of the NOS/NO pathway which increases NO production and vasodilation, and decreasing EGFR expression which may reduce neuroinflammation and its secondary damages."</t>
  </si>
  <si>
    <t>Metabolic health</t>
  </si>
  <si>
    <t>Bhawal</t>
  </si>
  <si>
    <t>Effects of 830 nm low-power laser irradiation on body weight gain and inflammatory cytokines in experimental diabetes in different animal models</t>
  </si>
  <si>
    <t>"Body weight was significantly lowered in the Zucker- LPLI group compared to control at 10 weeks and this pattern was maintained until 12 weeks of age.
TNF-α, IL-1I and IL-6 levels were significantly decreased (5.1 ± 1.1 vs 3.3 ± 0.5, p &lt; 0.01; 43.6 ± 8.8 vs 27.1 ± 3.8, p &lt; 0.01; 98.3 ± 15.8 vs 62.2 ± 12.1, p &lt; 0.01) in the Zucker- LPLI group compared with the control rats.
The small intestinal transit rates of charcoal meals were significantly decreased (58.1 ± 10.1 vs 73.4 ± 13.3, p &lt; 0.05) in the Zucker-LPLI group compared with the control rats.
Similarly, the serum levels of glucose, cholesterol and triglycerides of LPLI groups were decreased in comparison with that of diabetic control rats."</t>
  </si>
  <si>
    <t>Oxidative stress</t>
  </si>
  <si>
    <t>Tonetto</t>
  </si>
  <si>
    <t>Effects of photobiomodulation on oxidative stress in rats with type 2 diabetes mellitus</t>
  </si>
  <si>
    <t>0.035
cm2</t>
  </si>
  <si>
    <t>36.75
/spot</t>
  </si>
  <si>
    <t>30
/ 6 weeks</t>
  </si>
  <si>
    <t>"These findings suggested that 6 weeks of photobiomodulation in rats with DM2 promoted beneficial adaptations in oxidative stress, with a decrease in parameters of oxidant activity and an increase in antioxidant activity."</t>
  </si>
  <si>
    <t>Device: "diode continuous-wave type InGaAlP (model ENDOPHOTON-LLT-0107; KLD Biossistemas Equipamentos Eletrônicos Ltda., São Paulo, Brazil)"</t>
  </si>
  <si>
    <t>Perrier</t>
  </si>
  <si>
    <t>Diabetes in spotlight: current knowledge and perspectives of photobiomodulation utilization</t>
  </si>
  <si>
    <t>"This review highlights the variability in PBM parameters across studies, hindering consensus on optimal protocols. Standardization of treatment parameters and rigorous clinical trials are needed to unlock PBM's full therapeutic potential."
"87 clinical trials were identified that investigated PBM in diabetes mellitus (with 5,837 patients planned to be treated with PBM). Clinical trials assessing PBM effects on diabetic neuropathy revealed pain reduction and potential quality of life improvement. Studies focusing on wound healing indicated encouraging results, with PBM enhancing angiogenesis, fibroblast proliferation, and collagen density. PBM's impact on diabetic retinopathy remains inconclusive however, requiring further investigation. In glycemic control, PBM exhibits positive effects on metabolic parameters, including glucose tolerance and insulin resistance."</t>
  </si>
  <si>
    <t>Drugs and supplements</t>
  </si>
  <si>
    <t>Mucuna pruriens-related symptoms</t>
  </si>
  <si>
    <t>Lang-Illievich</t>
  </si>
  <si>
    <t>The effect of photobiomodulation on histamine and Mucuna pruriens-induced pruritus, hyperknesis and alloknesis in healthy volunteers: A double-blind, randomized, sham-controlled study</t>
  </si>
  <si>
    <t>🧑 Human
🎲 Randomized trial, double-blind
👥 17 participants
⌛ single session</t>
  </si>
  <si>
    <t>0.175</t>
  </si>
  <si>
    <t>"LLLT effectively reduced histamine-induced pruritus, alloknesis, and hyperknesis; however, LLLT was ineffective against Mucuna pruriens-induced pruritus."</t>
  </si>
  <si>
    <r>
      <rPr>
        <sz val="8.0"/>
      </rPr>
      <t xml:space="preserve">Ears </t>
    </r>
    <r>
      <rPr>
        <sz val="6.0"/>
      </rPr>
      <t>(see also "Hearing")</t>
    </r>
  </si>
  <si>
    <t>Otitis externa</t>
  </si>
  <si>
    <t>Tambella</t>
  </si>
  <si>
    <t>Italy
(Matelica)</t>
  </si>
  <si>
    <t>Management of otitis externa with an led-illuminated gel: a randomized controlled clinical trial in dogs.</t>
  </si>
  <si>
    <t>440-
460
(LED)</t>
  </si>
  <si>
    <t>"[LED-illuminated gel] consists of a topical application of a gel containing chromophores that, when illuminated by a LED lamp, re-emit fluorescent light which can stimulate physiological responses, promoting healing and controlling bacteria."
"All treatment groups showed a positive clinical effect. [LED-illuminated gel] administered twice-a-week was the most favourable protocol of the study."</t>
  </si>
  <si>
    <t>Edema</t>
  </si>
  <si>
    <t xml:space="preserve">Limb ulcer </t>
  </si>
  <si>
    <t>Aging Is a Sticky Business.</t>
  </si>
  <si>
    <t>0.078</t>
  </si>
  <si>
    <t>2
/ 1 week</t>
  </si>
  <si>
    <t>"After the administration of two LED sessions (two per week), lymph leakage stopped concomitant with wound closure and good cicatrization (Fig. 1, inset on the left)."
Note: In this paper, Sommer spends a lot of space criticizing Karu's cytochrome c oxidase theory. Now in 3/2018, I am not very convinced of his speculations.</t>
  </si>
  <si>
    <t>Paw</t>
  </si>
  <si>
    <t>Brazil
(Parnaíba)</t>
  </si>
  <si>
    <t>Photobiomodulation exerts anti-inflammatory effects on the vascular and cellular phases of experimental inflammatory models</t>
  </si>
  <si>
    <t>1
5</t>
  </si>
  <si>
    <t>0.6
cm2
area</t>
  </si>
  <si>
    <t>12
60</t>
  </si>
  <si>
    <t>"Our results showed that PBMT (1 J/cm2) led to an improvement in paw edema induced by the phlogistic agents and further reduced the histological scores. Inhibition of neutrophil migration was observed following the administration of 1 and 5 J/cm2 of PBMT. However, only 1 J/cm2 of PBMT showed beneficial effects on carrageenan-induced edema.
Laser at a dose of 1 J/cm2 showed cellular and vascular effects since it was able to reverse all the inflammatory parameters, and laser at a dose of 5 J/cm2 probably has only cellular effects in the presence of acute inflammation."</t>
  </si>
  <si>
    <t>Chagas</t>
  </si>
  <si>
    <t>Expression of mPGES-1 and IP mRNA is reduced by LLLT in both subplantar and brain tissues in the model of peripheral inflammation induced by carrageenan.</t>
  </si>
  <si>
    <t>Inflammatory paw edema by carrageenan
Hyperalgesia</t>
  </si>
  <si>
    <t>"LLLT was able to reduce both mPGES-1 and IP mRNA expression in subplantar and brain tissues."</t>
  </si>
  <si>
    <t>Prianti</t>
  </si>
  <si>
    <t>Low-level laser therapy (LLLT) reduces the COX-2 mRNA expression in both subplantar and total brain tissues in the model of peripheral inflammation induced by administration of carrageenan.</t>
  </si>
  <si>
    <t>Carrageenan-induced paw edema</t>
  </si>
  <si>
    <t>"LLLT (7.5 J/cm(2)) reduced significantly the COX-2 mRNA expression both in the subplantar (~2.5-fold) and brain (4.84-9.67-fold) tissues. The results show that LLLT is able to reduce COX-2 mRNA expression. It is possible that the mechanism of LLLT decreasing hyperalgesia is also related to its effect in reducing the COX-2 expression in the CNS."</t>
  </si>
  <si>
    <t>Meneguzzo</t>
  </si>
  <si>
    <t>Prevention and treatment of mice paw edema by near-infrared low-level laser therapy on lymph nodes.</t>
  </si>
  <si>
    <t>Inflammatory paw edema
PBM vs diclofenac
LLLT on lymph nodes</t>
  </si>
  <si>
    <t>35</t>
  </si>
  <si>
    <t>"Our results suggest that LLLT was able to produce both anti-inflammatory and pro-inflammatory effects depending on to the site and moment of irradiation."</t>
  </si>
  <si>
    <t>Rev Bras Fisioter</t>
  </si>
  <si>
    <t>Inhibition of carrageenan-induced expression of tissue and plasma prekallikreins mRNA by low level laser therapy in a rat paw edema model.</t>
  </si>
  <si>
    <t>7.9</t>
  </si>
  <si>
    <t>0.2
cm2</t>
  </si>
  <si>
    <t>"A significantly decrease in the edema was observed after laser irradiation. Expression of prekallikreins increased after carrageenan injection. Tissue and plasma prekallikrein mRNA expression significantly decreased after LLLT's 660 nm wavelength."</t>
  </si>
  <si>
    <t>Albertini</t>
  </si>
  <si>
    <t>Cytokine mRNA expression is decreased in the subplantar muscle of rat paw subjected to carrageenan-induced inflammation after low-level laser therapy.</t>
  </si>
  <si>
    <t>Inflammatory paw edema by carrageenan
Wavelength comparison</t>
  </si>
  <si>
    <t>660
684</t>
  </si>
  <si>
    <t>"A pronounced swelling of the rat paw was observed 4 h after treatment with carrageenan in comparison to the control group. Edema formation was decreased by LLLT with wavelengths of both 660 and 684 nm (Fig. 1)."
"Both the 660 nm and 684 nm laser groups had 30%-40% lower mRNA expression for cytokines TNF-alpha, IL-1beta, and IL-6 in the paw muscle tissue than the carrageenan-only control group.
Cytokine measurements were made 3 h after laser irradiation of the paw muscle, and all cytokine differences between the carrageenan-only control group and the LLLT groups were statistically significant (p &lt; 0.001)."
Comment: The results are quite notable and interesting.</t>
  </si>
  <si>
    <t>Bortone</t>
  </si>
  <si>
    <t>Int Immunopharmacol</t>
  </si>
  <si>
    <t>Low level laser therapy modulates kinin receptors mRNA expression in the subplantar muscle of rat paw subjected to carrageenan-induced inflammation.</t>
  </si>
  <si>
    <t>"LLLT of both 660 and 684 nm wavelengths administrated 1 h after carrageenan injection was able to promote the reduction of edema produced by carrageenan."
"Kinin B1 receptor mRNA expression significantly decreased after LLLT's 660 or 684 nm wavelength. Kinin B2 receptor mRNA expression also diminished after both laser irradiations."
"Our results suggest that expression of both kinin receptors is modulated by LLLT, possibly contributing to its anti-inflammatory effect."</t>
  </si>
  <si>
    <t>Inflamm Res</t>
  </si>
  <si>
    <t>COX-2 mRNA expression decreases in the subplantar muscle of rat paw subjected to carrageenan-induced inflammation after low level laser therapy.</t>
  </si>
  <si>
    <t>↓Edema
↓COX-2 mRNA
"Taken together, these results suggest that LLLT may be a new alternative therapy in the treatment of inflammatory disorders, probably activated by a mechanism involving the reduction of COX-2 expression."</t>
  </si>
  <si>
    <t>Anti-inflammatory effects of low-level laser therapy (LLLT) with two different red wavelengths (660 nm and 684 nm) in carrageenan-induced rat paw edema.</t>
  </si>
  <si>
    <t>0.785
cm2
(area)</t>
  </si>
  <si>
    <t>"The 660 nm and 684 nm laser groups developed significantly (p&lt;0.01) less edema (0.58 ml [SE+/-0.17] ml and 0.76 ml [SE+/-0.10] respectively) than the control group (1.67 ml [SE+/-0.19]) at 4h after injections.
Similarly, both laser groups showed a significantly lower number of inflammatory cells in the muscular and conjunctive sub-plantar tissues than the control group.
We conclude that both 660 nm and 684 nm red wavelengths of LLLT are effective in reducing edema formation and inflammatory cell migration when a dose of 7.5 J/cm(2) is used."</t>
  </si>
  <si>
    <t>Effects of different protocol doses of low power gallium-aluminum-arsenate (Ga-Al-As) laser radiation (650 nm) on carrageenan induced rat paw ooedema.</t>
  </si>
  <si>
    <t>Inflammatory paw edema
PBM vs diclofenac</t>
  </si>
  <si>
    <t>1
2.5
(5)</t>
  </si>
  <si>
    <t>"The ED that produced an anti-inflammatory effect were 1 and 2.5 J/cm(2), reducing the oedema by 27% (P&lt;0.05) and 45.4% (P&lt;0.01), respectively. The ED of 2.5 J/cm(2) produced anti-inflammatory effects similar to those produced by the cyclooxigenase inhibitor sodium diclofenac at a dose of 1 mg/kg. In adrenalectomized animals, the laser irradiation failed to inhibit the oedema."</t>
  </si>
  <si>
    <t>Giuliani</t>
  </si>
  <si>
    <t>Int J Tissue React</t>
  </si>
  <si>
    <t>Very low level laser therapy attenuates edema and pain in experimental models</t>
  </si>
  <si>
    <t>35
/p</t>
  </si>
  <si>
    <t>"In our study vLLLT was effective in reducing edema and hyperalgesia in acute and chronic inflammation if administered at the points usually selected for acupuncture.
Moreover, spontaneous pain and thermal hyperalgesia were reduced in CCI rats treated with vLLLT In conclusion, vLLLT reduced edema and induced analgesia in experimental plantar pain in rats."</t>
  </si>
  <si>
    <t>Emergency care</t>
  </si>
  <si>
    <t>Intensive care unit (ICU)</t>
  </si>
  <si>
    <t>Photobiomodulation therapy (red/NIR LEDs) reduced the length of stay in intensive care unit and improved muscle function: A randomized, triple-blind, and sham-controlled trial</t>
  </si>
  <si>
    <t>🧑 Human
🎲 Randomized trial, triple-blind
👥 60 participants
⌛ until discharge (time?)</t>
  </si>
  <si>
    <t>635+
880</t>
  </si>
  <si>
    <t>2074</t>
  </si>
  <si>
    <t>90/site
(10 sites)
= total 15 min</t>
  </si>
  <si>
    <t>daily until discharge</t>
  </si>
  <si>
    <t>"PBMT reduced the average length of stay in the ICU by ~30% (p = 0.028); increased mobility (IMS: 255% vs. 110% p = 0.007), increased muscle strength (MRC: 12% vs. -9% p = 0.001) and HGD (34% vs. -13% p &lt; 0.001), and the SAPS3 score was similar (p &gt; 0.05)."</t>
  </si>
  <si>
    <t>Eyes</t>
  </si>
  <si>
    <t>Age-related macular degeneration</t>
  </si>
  <si>
    <t>Australia
(Adelaide)</t>
  </si>
  <si>
    <t>Exp Eye Res</t>
  </si>
  <si>
    <t>Effects of slit lamp-delivered retinal laser photobiomodulation in a rat model of choroidal neovascularization</t>
  </si>
  <si>
    <t>"Treatment with photobiomodulation was associated with choroidal neovascular membranes that were smaller, had less fluorescein leakage, and a diminished presence of inflammatory cells as compared to sham eyes. These effects were not associated with a statistically significant difference in the level of vascular endothelial growth factor when compared to sham eyes. 
The data shown herein indicate that photobiomodulation attenuates pathological features of choroidal neovascularization in a rodent model by mechanisms that may be independent of vascular endothelial growth factor."</t>
  </si>
  <si>
    <t>Franceschelli</t>
  </si>
  <si>
    <t>Italy
(Chieti)</t>
  </si>
  <si>
    <t>Eur J Ophthalmol</t>
  </si>
  <si>
    <t>Short term effects of extremely low irradiance photobiomodulation on retinal function, in age related macular degeneration</t>
  </si>
  <si>
    <t>🧑 Human
🎲 Randomized trial
👥 (?)
⌛ (?)</t>
  </si>
  <si>
    <t>"Results: no significant differences in the anatomical parameters were observed in the two groups. 
The MP [microperimetry] mean sensitivity and the central visual function both far and near significantly improved in the treated group (respectively p &lt; 0.001, p &lt; 0.001)."</t>
  </si>
  <si>
    <t>Goo</t>
  </si>
  <si>
    <t>Multi-Wavelength Photobiomodulation Ameliorates Sodium Iodate-Induced Age-Related Macular Degeneration in Rats</t>
  </si>
  <si>
    <t>680+
780+
830</t>
  </si>
  <si>
    <t>"In an in vivo rat model of AMD induced by sodium iodate, multi-wavelength PBM effectively protected the retinal layers, reduced retinal apoptosis, and prevented rod bipolar cell depletion. Furthermore, PBM inhibited photoreceptor degeneration and reduced retinal pigment epithelium toxicity."</t>
  </si>
  <si>
    <t>Parodi</t>
  </si>
  <si>
    <t>Retin Cases Brief Rep</t>
  </si>
  <si>
    <t>Acute atrophic evolution of drusenoid pigment epithelium detachment after photobiomodulation</t>
  </si>
  <si>
    <t>PBM-related harm?</t>
  </si>
  <si>
    <t>"A patient with drusenoid pigment epithelium detachment (D-PED) underwent PBM. A few weeks after PBM the D-PED collapsed, resulting in incomplete retinal pigment epithelium and outer retinal atrophy with visual acuity worsening."</t>
  </si>
  <si>
    <t>Fantaguzzi</t>
  </si>
  <si>
    <t>Ophthalmol Ther</t>
  </si>
  <si>
    <t>Shedding Light on Photobiomodulation Therapy for Age-Related Macular Degeneration: A Narrative Review</t>
  </si>
  <si>
    <t>"The available studies on PBM in AMD demonstrated promising but inconsistent results. PBM showed potential in improving best-corrected visual acuity (BCVA) and contrast sensitivity (CS) in patients with AMD. 
Some studies also suggested a reduction in AMD lesions, such as drusen volume. However, the long-term efficacy and optimal treatment parameters of PBM in AMD remained to be fully determined due to the limitations of the available studies. These included variations in irradiation techniques, wavelengths, exposure times, and treatment sessions, making it challenging to generalize the effectiveness of PBM. 
Furthermore, the lack of accurate classification of AMD phenotypes in the available studies hindered the understanding of which phenotypes could truly benefit from this treatment. Finally, the strength of evidence varied among studies, with limited sample sizes, unpublished results, and only three randomized sham-controlled trials."</t>
  </si>
  <si>
    <t>Benlahbib</t>
  </si>
  <si>
    <t>France
(Creteil)</t>
  </si>
  <si>
    <t>Retina</t>
  </si>
  <si>
    <t>Photobiomodulation therapy for large soft drusen and drusenoid pigment epithelial detachment in age-related macular degeneration: a single-center prospective pilot study</t>
  </si>
  <si>
    <t>🧑 Human
📄 Single-arm trial
👥 20 eyes
⌛ 5-week treatment / 6-month study</t>
  </si>
  <si>
    <t>590+
660+
850</t>
  </si>
  <si>
    <t>"BCVA significantly improved at M6 with a mean score gain of 5.5 letters (p = 0.007). Retinal sensitivity (RS) decreased by 0.1 dB (p=0.17). Mean fixation stability increased by 0.45 % (P=0.72). DV decreased by 0.11 mm3 (p=0.03). CDT was reduced by a mean of 17.05 µm (p=0.01). GA area increased by 0.06 mm2 (p=0.01) over a 6 months follow up, quality of life score increased by 3,07 points on average (p=0.05). One patient presented a dPED rupture at M6 after PBM treatment."
"The visual and anatomical improvements in our patients support previous reports on PBM."</t>
  </si>
  <si>
    <t>Device. LumiThera® ValedaTM Light Delivery System</t>
  </si>
  <si>
    <t>Boyer</t>
  </si>
  <si>
    <t>LIGHTSITE III: 13-Month Efficacy and Safety Evaluation of Multiwavelength Photobiomodulation in Nonexudative (Dry) Age-Related Macular Degeneration Using the LumiThera Valeda Light Delivery System</t>
  </si>
  <si>
    <r>
      <rPr>
        <sz val="7.0"/>
      </rPr>
      <t xml:space="preserve">🧑 Human
🎲 Randomized trial, sham-controlled
👥 100 participants (148 eyes)
⌛ 13 months
</t>
    </r>
    <r>
      <rPr>
        <i/>
        <sz val="7.0"/>
      </rPr>
      <t>(13-month analysis)</t>
    </r>
  </si>
  <si>
    <t>9 over 3-5 weeks every 4 months for 24 months</t>
  </si>
  <si>
    <t>"LIGHTSITE III met the primary efficacy BCVA endpoint with a significant difference between PBM (n = 91 eyes) and Sham (n = 54 eyes) groups (Between group difference: 2.4 letters (SE 1.15), CI: -4.7 - -0.1, p = 0.02)(PBM alone: 5.4 letters (SE 0.96), CI: 3.5 - 7.3, p &lt; 0.0001; Sham alone: 3.0 letters (SE 1.13), CI: 0.7 - 5.2, p &lt; 0.0001).
The PBM group showed a significant decrease in new onset GA (p = 0.024, Fisher exact test, odds ratio 9.4). A favorable safety profile was observed."</t>
  </si>
  <si>
    <t>Burton</t>
  </si>
  <si>
    <t>UK
(Great Yarmouth)</t>
  </si>
  <si>
    <t>LIGHTSITE II Randomized Multicenter Trial: Evaluation of Multiwavelength Photobiomodulation in Non-exudative Age-Related Macular Degeneration</t>
  </si>
  <si>
    <t>🧑 Human
🎲 Randomized trial, sham-controlled
👥 44 participants (53 eyes)
⌛ 9 months</t>
  </si>
  <si>
    <t>0.004+
0.065+
0.0006</t>
  </si>
  <si>
    <t>9 / 3-4 weeks
at 0mo, 4mo and again at 8mo</t>
  </si>
  <si>
    <t>"PBM-treated eyes showed statistically significant improvement in BCVA at 9 months (n = 32 eyes, p = 0.02) with a 4-letter gain in the PBM-treated group versus a 0.5-letter gain in the sham-treated group (ns, p &lt; 0.1) for patients that received all 27 PBM treatments (n = 29 eyes). Approximately 35.3% of PBM-treated eyes showed ≥ 5-letter improvement at 9 months. 
Macular drusen volume was not increased over time in the PBM-treated group but did show increases in the sham-treated group. While PBM and sham groups both showed GA lesion growth in the trial period, there was 20% less growth in the PBM group over 10 months, suggesting potential disease-modifying effects. 
No safety concerns or signs of phototoxicity were observed."</t>
  </si>
  <si>
    <t>Kim &amp; Won</t>
  </si>
  <si>
    <t>Korea
(Pohang)</t>
  </si>
  <si>
    <t>Effect of Photobiomodulation in Suppression of Oxidative Stress on Retinal Pigment Epithelium</t>
  </si>
  <si>
    <t>8
/ 4 days</t>
  </si>
  <si>
    <t>"In this study, we confirm the antioxidant effect of PBM in retinal pigment epithelium via an RPE model with hypoxia. The function of RPE is protected by PBM against damage from hypoxia."</t>
  </si>
  <si>
    <t>Pinelli</t>
  </si>
  <si>
    <t>Italy
(Pisa)</t>
  </si>
  <si>
    <t>Arch Ital Biol</t>
  </si>
  <si>
    <t>The neurobiology of nutraceuticals combined with light exposure, a case report in the course of retinal degeneration</t>
  </si>
  <si>
    <t>"After combined treatments the patient with nutraceuticals and PBM had noticeable improvement of retinal tissue with excellent vision for her age and no worsening of corneal guttae, which was present at the time of diagnosis."</t>
  </si>
  <si>
    <t>Muste</t>
  </si>
  <si>
    <t>USA
(Cleveland, OH)</t>
  </si>
  <si>
    <t>Clin Ophthalmol</t>
  </si>
  <si>
    <t>Photobiomodulation Therapy for Age-Related Macular Degeneration and Diabetic Retinopathy: A Review</t>
  </si>
  <si>
    <t>"Despite notable methodological differences between studies, PBT has been reported to treat certain DR and AMD patients. DR patients with center involving DME and VA ≥ 20/25 have demonstrated response to treatment. AMD patients at Age-Related Eye Disease Study Stages 2-4 with VA ≥20/200 have also shown response to treatment. Results of major clinical trials are pending."
"PBT remains an emergent therapy with possible applications in DR and AMD. Further, high powered studies monitored by a neutral party with standard devices, treatment delivery and treatment timing are needed."</t>
  </si>
  <si>
    <t>Brazil
(São Jose do Rio Preto)</t>
  </si>
  <si>
    <t>Short-Term Results of Photobiomodulation Using Light-Emitting Diode Light of 670 nm in Eyes with Age-Related Macular Degeneration</t>
  </si>
  <si>
    <t>🧑 Human
📄 Single-arm trial
👥 10 participants
⌛ (?) / Follow-up 16 weeks after therapy</t>
  </si>
  <si>
    <t>"The BCVA significantly improved, from an average of 1.1 to 0.98 LogMAR (p = 0.01). The visual field examination, according to the parameters of mean deviation, standard deviation, and index of deviation of background perimeter, showed a significant improvement of -12.6% to -10.6%, 10.54% to 9.89%, and 56% to 60%, respectively (p = 0.02, 0.03, and 0.02, respectively). No participant had an adverse effect during the follow-up period; neither did any participant experience abnormalities in OCT, ERG, FR, and AF findings."</t>
  </si>
  <si>
    <t>Henein &amp; Steel</t>
  </si>
  <si>
    <t>UK
(Newcastle)</t>
  </si>
  <si>
    <t>Cochrane Database Syst Rev</t>
  </si>
  <si>
    <t>Photobiomodulation for non-exudative age-related macular degeneration</t>
  </si>
  <si>
    <t>"Currently there remains uncertainty whether PBM treatment is beneficial in slowing progression of non-exudative macular degeneration. There is a need for further well-designed controlled trials assessing dosimetry, powered for both effectiveness and safety outcomes. Consideration should be given to the adoption of agreed clinical outcome measures and patient-based outcome measures for AMD."</t>
  </si>
  <si>
    <t>Curr Opin Ophthalmol</t>
  </si>
  <si>
    <t>Photobiomodulation therapy in age-related macular degeneration</t>
  </si>
  <si>
    <t>"PBT might be used in treating nonexudative AMD. Limited evidence suggests that exudative AMD may also benefit from PBT."
"The optimal device would deliver doses of 60 J/cm2 or more with a multiwavelength composition through the pupil over short treatment intervals. Safe upper limits have not been established. More studies are needed to evaluate the efficacy of PBT in treating exudative and nonexudative AMD."</t>
  </si>
  <si>
    <t>Grewal</t>
  </si>
  <si>
    <t>A Pilot Study Evaluating the Effects of 670 nm Photobiomodulation in Healthy Ageing and Age-Related Macular Degeneration</t>
  </si>
  <si>
    <t>🧑 Human
📄 Single-arm trial
👥 31 cases, 11 healthy controls
⌛ 12 months</t>
  </si>
  <si>
    <t>daily
for
1 year</t>
  </si>
  <si>
    <t>"In normal ageing, there was an improvement in scotopic thresholds in the group with no AMD by 1.77dB (p = 0.03) and no other parameters showed any clinically significant change.
In eyes with intermediate AMD, there was no significant improvement in any functional or structural changes at any time point up to 12 months although the compliance was good.
This pilot study shows that photobiomodulation with 670 nm has no effect in patients who have already progressed to intermediate AMD."</t>
  </si>
  <si>
    <t>Shinhmar</t>
  </si>
  <si>
    <t>Optically Improved Mitochondrial Function Redeems Aged Human Visual Decline</t>
  </si>
  <si>
    <t>🧑 Human
📄 Single-arm trial
👥 24 participants
⌛ 2 weeks</t>
  </si>
  <si>
    <t>LED phototherapy
Two patient age groups (young, old)</t>
  </si>
  <si>
    <t>"Here we use 670nm light to improve photoreceptor performance and measure this psychophysically in those aged 28 to 72 years. Rod and cone performance declined significantly after approximately 40 years of age.
670nm light had no impact in younger individuals, but in those around 40 years and over, significant improvements were obtained in colour contrast sensitivity for the blue visual axis (tritan) known to display mitochondrial vulnerability.
The red visual axis (protan) improved but not significantly. Rod thresholds also improved significantly in those &gt;40 years. Using specific wavelengths to enhance mitochondrial performance will be significant in moderating the ageing process in this metabolically demanding tissue."
Comment: The subjects were healthy with no diagnosis of age-related macular degeneration.</t>
  </si>
  <si>
    <t>Markowitz</t>
  </si>
  <si>
    <t>A double-masked, randomized, sham-controlled, single-center study with photobiomodulation for the treatment of dry age-related macular degeneration.</t>
  </si>
  <si>
    <t>🧑 Human
🎲 Randomized trial, double-blind
👥 30 participants, 46 eyes
⌛ 3-4 week treatment (Month 0) 
-&gt; 3-4 week treatment (Month 6)
-&gt; Follow-up until Month 12</t>
  </si>
  <si>
    <t>590
+
660
+
850</t>
  </si>
  <si>
    <t>0.005
+
0.065
+
0.008</t>
  </si>
  <si>
    <t>250
total
in
4 
phases</t>
  </si>
  <si>
    <t xml:space="preserve">9-12
/ 3-4 weeks
(Month 0)
+
9-12
/ 3-4 weeks
(Month 6)
</t>
  </si>
  <si>
    <t>"Photobiomodulation-treated subjects showed a best-corrected visual acuity mean letter score gain of 4 letters immediately after each treatment series at Month 1 (M1) and Month 7 (M7). Approximately 50% of PBM-treated subjects showed improvement of ≥5 letters versus 13.6% in sham-treated subjects at M1. 
High responding subjects (≥5-letter improvement) in the PBM-treated group showed a gain of 8 letters after initial treatment (P &lt; 0.01) and exhibited earlier stages of age-related macular degeneration disease. 
Statistically significant improvements in contrast sensitivity, central drusen volume, central drusen thickness, and quality of life were observed (P &lt; 0.05). No device-related adverse events were reported."
Comment: Many of the statistical comparisons were within-the-group, not between-the-groups. This study might have been somewhat underpowered to detect between-the-groups differences.</t>
  </si>
  <si>
    <t>Sivapathasuntharam</t>
  </si>
  <si>
    <t>Improving mitochondrial function significantly reduces the rate of age related photoreceptor loss.</t>
  </si>
  <si>
    <t>"Control mice suffered an approximate 30% decrease in photoreceptor outer segments and in the thickness of the retinal layer containing their nuclei compared to 2 month old mice. But in aged mice exposed to 670 nm over 8 month, reductions in outer segments were only &lt;15% and reductions in their nuclear layer were only &lt;10%. Hence, improving mitochndrial function reduces the impact of aged cell loss."</t>
  </si>
  <si>
    <t>Koev</t>
  </si>
  <si>
    <t>CONFERENCE PAPER: Journal of Physics</t>
  </si>
  <si>
    <t>Five-year follow-up of low-level laser therapy (LLLT) in patients with age-related macular degeneration (AMD)</t>
  </si>
  <si>
    <t>🧑 Human
📄 Non-randomized study, controlled, follow-up
👥 33 participants
⌛ 12-day treatment / 5-year follow-up</t>
  </si>
  <si>
    <t>6
/ 12 days</t>
  </si>
  <si>
    <t>"The visual acuity remained unchanged in all patients in the control group. There was a statistically significant increase in the visual acuity (p&lt;0.001, end of study versus baseline) for AMD patients for the period of five years after the treatment. The edema and hemorrhage in the patients with progressive, exudative AMD significantly decreased. No side effects were observed during the therapy. The prevalence of metamorphopsia, scotoma in AMD group was reduced."</t>
  </si>
  <si>
    <t>Aging retinal function is improved by near infrared light (670 nm) that is associated with corrected mitochondrial decline.</t>
  </si>
  <si>
    <t>"Significant age-related declines were measured in the photoreceptor generated a-wave and the postreceptoral b-wave. Seven- and 12-month-old mice were exposed to 670 nm for 15 minutes daily over 1 month. These showed significant improved retinal function in both waves of approximately 25% but did not reach levels found in 2-month-old animals.
Our data suggest, 670 nm light can significantly improve aged retinal function, perhaps by providing additional adenosine triphosphate production for photoreceptor ion pumps or reduced aged inflammation. This may have implications for the treatment of retinal aging and age-related retinal disease, such as macular degeneration."</t>
  </si>
  <si>
    <t>Merry</t>
  </si>
  <si>
    <t>Acta Ophthalmol</t>
  </si>
  <si>
    <t>Photobiomodulation reduces drusen volume and improves visual acuity and contrast sensitivity in dry age-related macular degeneration.</t>
  </si>
  <si>
    <t>🧑 Human
📄 Single-arm trial
👥 24 participants, 42 eyes
⌛ 3-week treatment / 3-month study</t>
  </si>
  <si>
    <t>Dry age-related macular degeneration
LED phototherapy (Warp10 + Gentlewaves)</t>
  </si>
  <si>
    <t>670
+
590
+
790</t>
  </si>
  <si>
    <t>?
+
4
+
0.6</t>
  </si>
  <si>
    <t>0.05-
0.08</t>
  </si>
  <si>
    <t>4.00-
7.68
+
0.1</t>
  </si>
  <si>
    <t>88
+
35
+
35</t>
  </si>
  <si>
    <t>"Significant improvement in mean BCVA of 5.90 letters (p &lt; 0.001) was seen on completion of the 3-week treatment and 5.14 letters (p &lt; 0.001) after 3 months. Contrast sensitivity improved significantly (log unit improvement of 0.11 (p = 0.02) at 3 weeks and 3 months (log unit improvement of 0.16 (p = 0.02) at three cycles per degree. Drusen volume decreased by 0.024 mm3 (p &lt; 0.001) and central drusen thickness was significantly reduced by a mean of 3.78 μm (p &lt; 0.001), while overall central retinal thickness and retinal volume remained stable."
"This is the first study demonstrating improvements in functional and anatomical outcomes in dry AMD subjects with PBM therapy. These findings corroborate an earlier pilot study that looked at functional outcome measures. The addition of anatomical evidence contributes to the basis for further development of a non-invasive PBM treatment for dry AMD."
Some extra data on the methods (not written in the actual article):
"Subjects had their eyes open for the yellow pulsed but closed for the red, perceived by patients as a comfortable glow with their eyes closed and red penetrates well through the closed lids. The red is gently rested on the eyelid/orbit rim so may touch the lid or be very close to it without any pressure."</t>
  </si>
  <si>
    <t>Calaza</t>
  </si>
  <si>
    <t>Mitochondrial decline precedes phenotype development in the complement factor H mouse model of retinal degeneration but can be corrected by near infrared light.</t>
  </si>
  <si>
    <t>LED phototherapy
Age-related macular degeneration (complement factor H deficiency)</t>
  </si>
  <si>
    <t>"Near infrared (NIR) increases ATP and reduces inflammation. [...] In summary, we provide evidence for a mitochondrial basis for this disease in mice and correct this with simple light exposure known to improve mitochondrial function."</t>
  </si>
  <si>
    <t>Gkotsi</t>
  </si>
  <si>
    <t>Recharging mitochondrial batteries in old eyes. Near infra-red increases ATP.</t>
  </si>
  <si>
    <t>LED phototherapy
Age-related macular degeneration</t>
  </si>
  <si>
    <t xml:space="preserve">"When 12 month old mice were exposed to 670 nm for 90 s 7 times spaced over 84 h at an energy level of 40 mW/cm2 there was significant increase in retinal ATP of just under 20% from around 14,000 to 17,000 pm/mg (P &lt; 0.05. Fig. 1B)."
"In light of all these factors, it is likely that this treatment will benefit retinal disease. But this need not be confined to the eye, as declining ATP is a feature of all ageing tissues."
</t>
  </si>
  <si>
    <t>Kokkinopoulos</t>
  </si>
  <si>
    <t>UK (London)</t>
  </si>
  <si>
    <t>Age-related retinal inflammation is reduced by 670 nm light via increased mitochondrial membrane potential.</t>
  </si>
  <si>
    <t>"Aged mice were exposed to only five 90-second exposures over 35 hours. This significantly increased mitochondrial membrane polarization and significantly reduced macrophage numbers and tumor necrosis factor (TNF)-alpha levels, a key proinflammatory cytokine. Three additional inflammatory markers were assessed; complement component 3d (C3d), a marker of chronic inflammation and calcitonin, and a systemic inflammatory biomarker were significantly reduced. Complement component 3b (C3b), a marker of acute inflammation, was not significantly altered."
"These results provide a simple route to combating inflammation in an aging population with declining visual function and may be applicable to clinical conditions where retinal inflammation is a key feature."</t>
  </si>
  <si>
    <t>Begum</t>
  </si>
  <si>
    <t>Treatment with 670 nm light up regulates cytochrome C oxidase expression and reduces inflammation in an age-related macular degeneration model.</t>
  </si>
  <si>
    <t>LED phototherapy
Age-related macular degeneration (complement factor H deficiency)
Red light as ambient light</t>
  </si>
  <si>
    <t>"Exposed animals had significant increase in cytochrome c oxidase (COX), which is a mitochondrial enzyme regulating oxidative phosphorylation.
There was a significant reduction in complement component C3, an inflammatory marker in the outer retina.
Vimetin and glial fibrillary acidic protein (GFAP) expression, which reflect retinal stress in Muller glia, were also significantly down regulated.
There were also significant changes in outer retinal macrophage morphology."
Comment: Table 2 seems to be contradictory with the body text, since the body text claims that the light sources produced 20 mW/cm2 intensity, but in Table 2 they report measurements suggesting the intensity of 19 W/m2 while the animals face the light source directly. That would be 1.9 mW/cm2, which is much less than the 20 mW/cm2.</t>
  </si>
  <si>
    <r>
      <rPr>
        <sz val="6.0"/>
      </rPr>
      <t xml:space="preserve">"Mice were exposed to 670 nm for 6 minutes twice a day for 14 days </t>
    </r>
    <r>
      <rPr>
        <i/>
        <sz val="6.0"/>
      </rPr>
      <t>in the form of supplemented environmental light.</t>
    </r>
    <r>
      <rPr>
        <sz val="6.0"/>
      </rPr>
      <t>"</t>
    </r>
  </si>
  <si>
    <t>Kokkinopoulos I</t>
  </si>
  <si>
    <t>670 nm LED ameliorates inflammation in the CFH−/− mouse neural retina</t>
  </si>
  <si>
    <t>Retinal inflammation (complement factor H deficiency)
LED phototherapy</t>
  </si>
  <si>
    <t>"These regimes significantly reduced activated macrophage number, TNF-alpha and MIF protein expression levels. Immuno-reactivity to C3, C3b and calcitonin, all markers of inflammatory status were also altered. Finally, innate immune proteins, TLR 2 and 4, showed a marked decrease in protein expression."</t>
  </si>
  <si>
    <t>Rutar</t>
  </si>
  <si>
    <t>Australia (Canberra)</t>
  </si>
  <si>
    <t>670-nm light treatment reduces complement propagation following retinal degeneration.</t>
  </si>
  <si>
    <t>"Our data indicate that 670-nm light pretreatment reduces lipid peroxidation and complement propagation in the degenerating retina. These findings have relevance to the cellular events of complement activation underling the pathogenesis of AMD, and highlight the potential of 670-nm light as a non-invasive anti-inflammatory therapy."</t>
  </si>
  <si>
    <r>
      <rPr>
        <rFont val="Arial"/>
        <b/>
        <color rgb="FF980000"/>
        <sz val="9.0"/>
      </rPr>
      <t xml:space="preserve">★
</t>
    </r>
    <r>
      <rPr>
        <rFont val="Arial"/>
        <b/>
        <color rgb="FF980000"/>
        <sz val="6.0"/>
      </rPr>
      <t>📷</t>
    </r>
  </si>
  <si>
    <t>Gopalakrishnan S</t>
  </si>
  <si>
    <t>DISSERTATION
(University of Wisconsin-Milwaukee)</t>
  </si>
  <si>
    <t>Photobiomodulation in Inherited Retinal Degeneration</t>
  </si>
  <si>
    <t>P23H transgenic
Wavelength comparison</t>
  </si>
  <si>
    <t>830
670</t>
  </si>
  <si>
    <t>830 nm PBM exerted a robust retinoprotective effect compared to 670 nm PBM in the P23H transgenic rat model.
Star: The dissertation contains a lot of details and photographs. Worth a read.</t>
  </si>
  <si>
    <t>Two year follow-up of low-level laser therapy (LLLT) in patients with age-related macular degeneration (AMD)
[ABSTRACT]</t>
  </si>
  <si>
    <t>🧑 Human
🎲 Randomized trial (?)
👥 54 participants
⌛12-day treatment / 2-year follow-up
(Abstract only)</t>
  </si>
  <si>
    <t>AMD</t>
  </si>
  <si>
    <t>0.0001
(?)</t>
  </si>
  <si>
    <t>"Visual acuity remained unchanged in all patients in the control group. There was a statistically significant increase in visual acuity (p&lt;0.001, end of study versus baseline) for AMD patients for the period of 2 years after the treatment. The edema and hemorrhage in the patients with progressive, exudative AMD significantly decreased. No side effects were observed during the therapy. The prevalence of metamorphopsia, scotoma in AMD group was reduced."
Comment: The results are quite similar to Ivandic's. The dose seems very low. Parameters are incompletely reported.</t>
  </si>
  <si>
    <t>Ivandic &amp; Ivandic</t>
  </si>
  <si>
    <t>Low-level laser therapy improves vision in patients with age-related macular degeneration.</t>
  </si>
  <si>
    <t>🧑 Human
📄 Retrospective study, sham-controlled (partially)
👥 203 participants, 348 eyes
⌛ 2-week treatment / 3-36 week follow-up</t>
  </si>
  <si>
    <t>d =
3 mm</t>
  </si>
  <si>
    <t xml:space="preserve">LLLT improved visual acuity in 162/182 (95%) of eyes with cataracts and 142/146 (97%) of eyes without cataracts. The prevalence of metamorphopsia, scotoma, and dyschromatopsia was reduced. In patients with wet AMD, edema and bleeding improved. The improved vision was maintained for 3-36 mo after treatment. No adverse effects were observed . </t>
  </si>
  <si>
    <t>Not a RCT.</t>
  </si>
  <si>
    <t>Amblyopia</t>
  </si>
  <si>
    <t>Paiva &amp; Fonseca</t>
  </si>
  <si>
    <t>Laser Phys Lett</t>
  </si>
  <si>
    <t>Low-power lasers on amblyopia</t>
  </si>
  <si>
    <t>"Low-power lasers are devices emitting laser beams with power from 1 up to 100 mW and wavelengths ranging between red and near-infrared radiation. These lasers are widely used in regenerative medicine for modulation of wound healing, anti-inflammatory action and pain, but they are also considered for treatment of retinal diseases, stroke, neurotrauma, neurodegeneration, memory and mood disorders, as well as cognitive impairment. However, few data are available about their clinical applications for treatment of amblyopia. Experimental models for amblyopia could be used to determine the adequate laser irradiation conditions, and important results could be obtained, thus confirming and providing a scientific basis for a therapeutic protocol for amblyopia based on low-power lasers."</t>
  </si>
  <si>
    <t>Low-level laser therapy improves visual acuity in adolescent and adult patients with amblyopia.</t>
  </si>
  <si>
    <t>🧑 Human
📄 Retrospective study, sham-controlled (partially)
👥 178 participants
⌛ 2-week treatment / data over 7 years (incl. follow-up)</t>
  </si>
  <si>
    <t>Amblyopia
Small control group (20 patients)
Large sample size RCT (&gt;150)</t>
  </si>
  <si>
    <t>0.77</t>
  </si>
  <si>
    <t>3-4
/ 2 weeks</t>
  </si>
  <si>
    <t>"Visual acuity improved in ∼90% of the eyes treated with LLLT (p&lt;0.001), increasing by three or more lines in 56.2% and 53.6% of the eyes with amblyopia caused by ametropia and strabismus, respectively. The treatment effect was maintained for at least 6 months. The mean M-VEP amplitude increased by 1207 nV (p&lt;0.001) and mean latency was reduced by 7 msec (p=0.14). No changes were noted in the control group."
"LLLT led to a significant improvement in visual acuity in adolescent and adult patients with amblyopia caused by ametropia or strabismus."</t>
  </si>
  <si>
    <t>Blepharitis</t>
  </si>
  <si>
    <t>Cornea</t>
  </si>
  <si>
    <t>Effect of 808-nm Laser Photobiomodulation Treatment in Blepharitis Rat Model</t>
  </si>
  <si>
    <t>"Laser PBM at 808 nm was effective in alleviating ocular signs and controlling inflammation in blepharitis rat model. The in vivo results suggest that PBM has the potential to be used in treating blepharitis patients."
"Tear volume and TBUT increased with PBM intervention, and with improved eyelid swelling, corneal staining, telangiectasia, and meibomian gland secretion scores increased. Hematoxylin and eosin staining showed no structural abnormalities of meibomian gland caused by blepharitis induction. Immunohistochemistry revealed that the levels of inflammatory cytokines interleukin-1β and tumor necrosis factor-α were lowered with PBM treatment in both eyelid and conjunctiva. Terminal deoxynucleotidyl transferase dUTP nick end labeling staining showed no retinal damage."</t>
  </si>
  <si>
    <t>Chalazia</t>
  </si>
  <si>
    <t>Stonecipher &amp; Potvin</t>
  </si>
  <si>
    <t>USA
(Greensboro, NC)</t>
  </si>
  <si>
    <t>Low level light therapy for the treatment of recalcitrant chalazia: a sample case summary.</t>
  </si>
  <si>
    <t>🧑 Human
📄 Retrospective study
👥 22 participants, 26 eyes
⌛ individual (max. 3 months)</t>
  </si>
  <si>
    <t>"After a single 15 min LLLT treatment, followed by a standard pharmaceutical regimen, 46% of eyes (12/26) showed resolution of their chalazia. Resolution was noted from 3 days to one-month post-treatment. With a second treatment, the chalazia resolved in 92% of eyes (24/26). Only two eyes of the 26 (8%) required incision and curettage after LLLT treatment."
Comment: Parameters not reported.</t>
  </si>
  <si>
    <t>Chorioretinopathy</t>
  </si>
  <si>
    <t>Sachdev A</t>
  </si>
  <si>
    <t>UK
(Macclesfield)</t>
  </si>
  <si>
    <t>Improvement in Central Serous Chorioretinopathy Following Multiwavelength Photobiomodulation Treatment - Case Report</t>
  </si>
  <si>
    <t>"The patient presented with blurred vision and a BCVA score of 65 letters in the left eye. After 3 weeks of observation, the patient's vision had further declined two lines on the Early Treatment Diabetic Retinopathy Study (ETDRS) chart to 55 letters. Fluorescein angiography was performed, confirming CSCR diagnosis, and PBM was initiated. 
PBM treatment improved BCVA and fluid build-up in the RPE within 1 week of treatment (three treatment sessions). Following the full series of treatment (nine PBM treatment sessions), fluid was completely resolved and BCVA scored at 80 letters. 
The patient had a repeat PBM treatment series ~ 6 months later and has shown stable vision and no fluid present on OCT scan. The patient was seen again ~ 1 year later with continued stable vision and no fluid detection."</t>
  </si>
  <si>
    <t>Colour contrast sensitivity</t>
  </si>
  <si>
    <t>Weeklong improved colour contrasts sensitivity after single 670 nm exposures associated with enhanced mitochondrial function</t>
  </si>
  <si>
    <t>🧑 Human
📄 Single-arm trial
👥 24 participants
⌛ single treatment -&gt; 1-week follow-up</t>
  </si>
  <si>
    <t>Morning PBM vs afternoon PBM
Timing of PBM
LED phototherapy</t>
  </si>
  <si>
    <t>"We show here that single 3 min 670 nm exposures, at much lower energies than previously used, are sufficient to significantly improve for 1 week cone mediated colour contrast thresholds (detection) in ageing populations (37–70 years) to levels associated with younger subjects. But light needs to be delivered at specific times."
"Time of exposure is critical, as 670 nm light is only effective in the morning. This time dependent effect is likely due to the demonstrated shift in mitochondrial function across the day, and light exposure is likely only effective when synchronised to an aspect of this process."</t>
  </si>
  <si>
    <t>Conjunctival sac stenosis</t>
  </si>
  <si>
    <t>China
(Nanchang))</t>
  </si>
  <si>
    <t>Biological role of postoperative low level laser therapy in preventing hydroxyapatite orbital implantation exposure: A case report</t>
  </si>
  <si>
    <t>🧑 Human
📄 Case series
👥 10 cases
⌛ 6-week follow-up
+ 🐇 Rabbit</t>
  </si>
  <si>
    <t>2-3
/ 1 week
(humans)
5
/ 5 days
(rabbits)</t>
  </si>
  <si>
    <t>"Overall, the present study demonstrated that LLLT promoted the survival of conjunctival grafts, stimulated conjunctival incision healing and promoted early vascularization of HA implants."</t>
  </si>
  <si>
    <t>Contracted sockets: scleral graft transplantation</t>
  </si>
  <si>
    <t>China
(Jiangxi)</t>
  </si>
  <si>
    <t>BMC Ophthalmol</t>
  </si>
  <si>
    <t>Low-level laser therapy combined with scleral graft transplantation in the treatment of contracted socket: a clinical study</t>
  </si>
  <si>
    <t>🧑 Human
🎲 Randomized trial, double-blind
👥 39 participants
⌛ 7-day treatment -&gt; 6-month follow-up</t>
  </si>
  <si>
    <t>"The laser group presented a significantly increased speed of conjunctival vascularisation compared with the control group (P = 0.003). The fornice depth of contraction percentage was more apparent in the control group than that in the laser group (P = 0.000)."
"LLLT accelerates conjunctival vascularisation, stimulates conjunctival incision healing within a short period, shortens the tissue repair process, reduces the local inflammatory response, and causes no significant shrinkage of the conjunctival sac."</t>
  </si>
  <si>
    <t>Corneal injury</t>
  </si>
  <si>
    <t>The effect of photobiomodulation with 830-nm LED on corneal alkali burnt rat model</t>
  </si>
  <si>
    <t>LED phototherapy
PBM-related harm (?)</t>
  </si>
  <si>
    <t>300
600</t>
  </si>
  <si>
    <t>"In conclusion, the results suggest that PBM may have a beneficial effect on the initial stages of wound closure in corneal alkali burns. 
However, the development of cataracts and increased neovascularization and corneal opacity in the PBM treatment groups raises concerns regarding the potential adverse effects of PBM treatment. Further investigations are needed to understand the underlying mechanisms and determine the optimal duration and power output of PBM treatment to minimize the risk of these adverse effects."</t>
  </si>
  <si>
    <t>Uysal</t>
  </si>
  <si>
    <t>Investigation of healing strategies in a rat corneal opacity model with polychromatic light and stem cells injection</t>
  </si>
  <si>
    <t>"On day 30, the corneal opacity score, neovascularization grade, and corneal thickness in all treatment groups were significantly lower in comparison with the untreated injured corneas.
The TEM imaging and H&amp;E staining together clearly revealed a significant enhancement in corneal regeneration with improved corneal microenvironment and reduced vascularization in the combined administration of PBM and ADMSCs compared to treatment of PBM and ADMSCs alone. 
In addition, the IHC staining, and RT-PCR analysis supported our hypothesis that combining ADMSCs therapy with PBM alleviated the inflammatory response, and significantly decreased scar formation compared to either ADMSCs or PBM alone during the corneal wound healing."</t>
  </si>
  <si>
    <t>Núñez-Álvarez &amp; Osborne</t>
  </si>
  <si>
    <t>Spain
(Asturias)</t>
  </si>
  <si>
    <t>Enhancement of corneal epithelium cell survival, proliferation and migration by red light: Relevance to corneal wound healing.</t>
  </si>
  <si>
    <t>HCE-2 cells</t>
  </si>
  <si>
    <t>"Compared with cultures maintained in the dark, low intensity blue light, such as that emitted from computer screens, reduced the proliferation rate of HCE-2 cells and caused cell death at greater intensities in a dose-dependent manner. In contrast, red light at high intensity slightly enhanced the proliferation rates of HCE-2 cells and importantly blunted the negative influence of blue light on cell survival when delivered after the insult. 
The toxic influence of blue light on HCE-2 cells involves mitochondrial dysfunction and the activation of AIF, p38-MAPK and HO-1. Importantly, red light blocks the effects caused by blue light and enhances mitochondrial function when delivered independently. 
The mechanism of action of red light is to directly stimulate mitochondrial function, suggested by staining with JC-1, which results in the activation of multiple biochemical mechanisms and the ability to blunt a variety of death pathways. As a consequence, even sodium azide-induced toxicity to HCE-2 cells in culture is blunted by red light. 
We interpret our studies on HCE-2 cell cultures to suggest that red light can be used prophylactically to protect the corneal epithelial in situ and is also able to counteract a variety of potential environmental insults to the tissue that includes blue light."</t>
  </si>
  <si>
    <t>Núñez-Álvarez</t>
  </si>
  <si>
    <t>Near infra-red light attenuates corneal endothelial cell dysfunction in situ and in vitro.</t>
  </si>
  <si>
    <t>625-
635</t>
  </si>
  <si>
    <t>0.00165
(= 3000 lux)</t>
  </si>
  <si>
    <t>"This damage was clearly attenuated when red light was focused through the pupil during the insult of raised IOP. Moreover, staining of endothelium with JC-1 dye showed mitochondria to be activated by both elevated IOP and red light but the activation of mitochondria persisted longer for red light. 
We interpret this finding to suggest that raised IOP causes apoptosis of endothelial cells and that their mitochondria are activated in the initial stages of the process. In contrast, red light activates mitochondria to induce a protective mechanism to counteract the negative influence of raised IOP on endothelial cells. Evidence is provided to support this notion by the finding that red light stimulates mitochondrial cytochrome oxidase IV (COX IV). 
Moreover, mitochondria in corneal endothelial cell cultures are activated by red light, revealed by staining with JC-1, that results in an increased rate of proliferation and are also able to counteract toxic insults (sodium azide or cobalt chloride) to the cultures. The present studies therefore show that a non-toxic level of red light attenuates damage to the corneal endothelium both in situ and in vitro through action on COX IV located in mitochondria that results in an enhancement of a cell's survival mechanisms. 
The study provides proof of principle for the non-invasive use of red-light therapy to attenuate any dysfunctions associated with the corneal endothelium and so preserve maximum visual acuity."</t>
  </si>
  <si>
    <t>Rezaei Kanavi</t>
  </si>
  <si>
    <t>Short-term effects of extremely low-frequency pulsed electromagnetic field and pulsed low-level laser therapy on rabbit model of corneal alkali burn.</t>
  </si>
  <si>
    <t>"The defect area was significantly less in the ELF, LLLT, and ELF + LLLT groups than in the control group (P &lt; 0.005), and was comparable with that of the [medical therapy] group."
"However, the histopathological results showed that LLLT was superior to magnetic therapy in terms of lower intensity of corneal inflammation, and LLLT had a lower rate of keratocyte loss than medical treatment."
"Short-term LLLT is a noninvasive and safe treatment method that effectively improves the healing of corneas with alkali burns."
Comment: Parameters were insufficiently reported.</t>
  </si>
  <si>
    <t>Proc SPIE</t>
  </si>
  <si>
    <t>He-Ne low level laser therapeutic applications for treatment of corneal trauma
[Proceedings article]</t>
  </si>
  <si>
    <t>🧑 Human
📄 Non-randomized study, controlled
👥 80 participants, 80 eyes
⌛ single irradiation / follow-up until healed (~1 day)</t>
  </si>
  <si>
    <t>Foreign body in the cornea (corneal trauma)</t>
  </si>
  <si>
    <t>"For irradiated eyes by LLLT, we have found that the healing period is shortened significantly by 42 % (p&lt;0,001). Our results revealed that LLLT application is appropriate and perspective for recovery therapy after corpus alienum corneae extraction."</t>
  </si>
  <si>
    <t>Diabetic macular edema</t>
  </si>
  <si>
    <t>Kaymak</t>
  </si>
  <si>
    <t>Non-Invasive Treatment of Early Diabetic Macular Edema by Multiwavelength Photobiomodulation with the Valeda Light Delivery System</t>
  </si>
  <si>
    <t>🧑 Human
📄 Retrospective study (?)
👥 19 patients (30 eyes)
⌛ 3-4 week treatment -&gt; 3-month followup (and 16-month safefy follow-up)</t>
  </si>
  <si>
    <t>0.004+
0.0006+
0.065</t>
  </si>
  <si>
    <t>9
/ 3-4 weeks</t>
  </si>
  <si>
    <t>"Reductions in central retinal thickness (CRT), resolution of intraretinal fluid (IRF) and improvement in diabetic retinopathy severity scale scores were observed following PBM treatment in select patients. Baseline BCVA remained stable over the follow-up observation period of 3 months post-PBM. Approximately 64% of patients reported subjective improvements in their ocular condition and decreased influence in everyday life. Detailed OCT evaluations confirmed no safety issues related to phototoxicity up to 16 months."</t>
  </si>
  <si>
    <t>Adv Ophthalmol Pract Res</t>
  </si>
  <si>
    <t>A preliminary observation on rod cell photobiomodulation in treating diabetic macular edema</t>
  </si>
  <si>
    <t>🧑 Human
📄 Single-arm trial
👥 12 participants, 20 eyes
⌛ 1 year</t>
  </si>
  <si>
    <t>"No fundus complication was observed during follow-up checks. 
In baseline and 12-month follow-up checks, the best-corrected visual acuity was 71.75 ​± ​12.47 and 79.50 ​± ​10.85, maximal retinal thickness in macular area was 390.95 ​± ​77.12 ​μm and 354.13 ​± ​55.03 ​μm, average retinal thickness in macular area was 334.25 ​± ​36.45 ​μm and 314.31 ​± ​33.28 ​μm, foveal thickness was 287.00 ​± ​46.79 ​μm and 265.63 ​± ​67.14 ​μm. 
The best-corrected visual acuity, average retinal thickness in macular area in consecutive follow-up results except that in the 1st month showed significant difference compared with baseline results."
"Obvious improvement could be observed in retinal fundus fluorescein angiography images."
"PBM is a safe and effective treatment of DME, which deserves further investigation."
Comment: Parameters not reported.</t>
  </si>
  <si>
    <t>Ahadi</t>
  </si>
  <si>
    <t>Long-Term Outcome of Photobiomodulation for Diabetic Macular Edema: A Case Report</t>
  </si>
  <si>
    <t>🧑 Human
📄 Case report
⌛ 16-month follow-up</t>
  </si>
  <si>
    <t>LED phototherapy (?)</t>
  </si>
  <si>
    <t>"After PBM, his vision improved and macular edema resolved on optical coherence tomography (OCT) findings without adverse events. In 16 months follow-up, visual acuity remained stable and OCT showed no evidence of recurrence of edema."</t>
  </si>
  <si>
    <t>Becker</t>
  </si>
  <si>
    <t>Investigative Ophthalmology &amp; Visual Science
[ARVO Annual Meeting Abstract]</t>
  </si>
  <si>
    <t>Non-invasive Treatment of Early Diabetic Macular Edema by Multi-Wavelength Photobiomodulation with the Valeda Light Delivery System</t>
  </si>
  <si>
    <t>🧑 Human
📄 Single-arm trial
👥 18 participants, 28 eyes
⌛ 1-month treatment / 6-month study</t>
  </si>
  <si>
    <t>"A total of 28 eyes from 18 DME patients (67% male; 57.3±14.0 yrs) with good vision but OCT evidence of macula edema were assessed for functional (BCVA), anatomical (CRT, RV, presence of IRF, SRF and HE), and safety outcomes (integrity of EZ, IZ, ELM and RPE) following one series of PBM treatments (3x per week for 3-4 weeks) with the Valeda Light Delivery System."
"After initial treatment with PBM, 28.6 % and 40 % eyes showed a resolution of inner retinal fluid and hard exudates, respectively. Retinal thickness (CRT) remained stable, from 302±58 µm at BL to 296±47 µm after 9th treatment. In all eyes, photoreceptors and RPE remained intact during the treatment and up to 6 months follow-up. At the same time, visual acuity remained stable at 0.1±0.1 logMAR. 
Most patients noted a considerable improvement in their subjective vision and reported less problems in everyday life and were more confident and more positively biased towards the development of the disease even up to 6 months."</t>
  </si>
  <si>
    <t>USA
(WI)</t>
  </si>
  <si>
    <t>Ophthalmol Retina</t>
  </si>
  <si>
    <t>A Randomized Trial of Photobiomodulation Therapy for Center-Involved Diabetic Macular Edema with Good Visual Acuity (Protocol AE)</t>
  </si>
  <si>
    <t>🧑 Human
📄 Retrospective study (?)
👥 315 participants
⌛ 4 months</t>
  </si>
  <si>
    <t>PBM eye patch</t>
  </si>
  <si>
    <t xml:space="preserve">90
(2x/day)
</t>
  </si>
  <si>
    <t>twice
daily
for
4 months</t>
  </si>
  <si>
    <t>"PBM as given in this study, while safe and well tolerated, was not found to be effective for the treatment of CI-DME in eyes with good vision."
"There were eight adverse events possibly related to the PBM device, and two adverse events possibly related to the placebo device. None were serious."
"Thus, results from this trial do not support a future Phase 3 study or clinical use of PBM at this dosing frequency for treatment of DME."</t>
  </si>
  <si>
    <t>Diabetologia</t>
  </si>
  <si>
    <t>Preclinical and clinical studies of photobiomodulation therapy for macular oedema</t>
  </si>
  <si>
    <t>🧑 Human
📄 Single-arm trial
👥 21 participants
⌛5-week treatment / 6-month follow-up
+ 🐁 Mouse
+ 🐀 Rat
+ 🧪 In vitro</t>
  </si>
  <si>
    <t>0.025
0.100
0.200</t>
  </si>
  <si>
    <t>12
/ 5 weeks</t>
  </si>
  <si>
    <t>"LED-delivered PBM enhanced photoreceptor mitochondrial membrane potential, protected Müller cells and photoreceptors from damage and reduced retinal vascular leakage resulting from induced Müller cell disruption in transgenic mice.
PBM delivered via the retinal laser enhanced mitochondrial function and protected against oxidative stress in cultured Müller cells.
Laser-delivered PBM did not damage the retina in pigmented rat eyes at 100 mW/cm2.
The completed clinical trial found a significant reduction in [central macular thickness] at 2 months by 59 ± 46 μm (p = 0.03 at 200 mW/cm2) and significant reduction at all three settings at 6 months (25 mW/cm2: 53 ± 24 μm, p = 0.04; 100 mW/cm2: 129 ± 51 μm, p &lt; 0.01; 200 mW/cm2: 114 ± 60 μm, p &lt; 0.01). Laser-delivered PBM was well tolerated in humans at settings up to 200 mW/cm2 with no significant side effects."</t>
  </si>
  <si>
    <t>Br J Ophthalmol</t>
  </si>
  <si>
    <t>Photobiomodulation in the treatment of patients with non-center-involving diabetic macular oedema.</t>
  </si>
  <si>
    <t>🧑 Human
📄 Case series
👥 4 cases
⌛ 2-9 months</t>
  </si>
  <si>
    <t>LED phototherapy
Diabetic macular edema</t>
  </si>
  <si>
    <t>25
(?)
(closed 
eye)</t>
  </si>
  <si>
    <t>60+</t>
  </si>
  <si>
    <t>"Daily PBM treatment for only 80 s per treatment twice daily caused a significant reduction in focal retinal thickening in all 4 treated eyes. No adverse effects attributable to therapy were noted by the patients or study investigators during the study period."</t>
  </si>
  <si>
    <t>Diabetic retinopathy</t>
  </si>
  <si>
    <t>Smart Wireless Near-Infrared Light Emitting Contact Lens for the Treatment of Diabetic Retinopathy</t>
  </si>
  <si>
    <t>PBM device design: contact lens
LED phototherapy</t>
  </si>
  <si>
    <t>"Here, a noninvasive smart wireless far red/near-infrared (NIR) light emitting contact lens developed successfully for the repeated treatment of diabetic retinopathy with significantly improved compliance."
"After in vitro characterization, it is confirmed that the retinal vascular hyper-permeability induced by diabetic retinopathy in rabbits is reduced to a statistically significant level by simply repeated wearing of smart far red/NIR LED contact lens for 8 weeks with 120 µW light irradiation for 15 min thrice a week."</t>
  </si>
  <si>
    <t>García</t>
  </si>
  <si>
    <t>Chile
(Valparaíso)</t>
  </si>
  <si>
    <t>Evaluation of Photobiomodulation and Boldine as Alternative Treatment Options in Two Diabetic Retinopathy Models</t>
  </si>
  <si>
    <t>🧪 In vitro (retinal explants)</t>
  </si>
  <si>
    <t>0.00018</t>
  </si>
  <si>
    <t>continuously
for 4 days</t>
  </si>
  <si>
    <t>"In our study, we were able to demonstrate that exposure to high glucose caused changes in the mitochondrial morphology within photoreceptor inner segments and triggered significantly higher rates of cell death in photoreceptors, which was related to an increase in nitrosative stress. Treatment with boldine was capable of preventing alterations caused by high glucose. In addition, retinal explants treated with PBM displayed an improvement in mitochondrial oxidation, but this effect was insufficient to improve retinal structural damage related to high glucose conditions."
Comment: Green light (525 nm) was used as the control treatment.
Comment: Interesting dosing, 4 days of continous irradiation with 180 µW/cm2 irradiance.</t>
  </si>
  <si>
    <t>Lofald AG</t>
  </si>
  <si>
    <t xml:space="preserve">USA
</t>
  </si>
  <si>
    <t>THESIS at University of Wisconsin-Milwaukee</t>
  </si>
  <si>
    <t>Effect of 670 Nm Photobiomodulation on Angiogenic and Inflammatory Signaling Pathways in an in Vitro Model of Diabetic Retinopathy</t>
  </si>
  <si>
    <t>"We found that high glucose mildly, if at all, affects TSP-1 expression within and secreted by Müller cells (MCs). In addition, 670 nm PBM tends to increase expression of TSP-1 within and secreted by MCs. These findings suggest trends but lack significance (p&lt;0.05). We were unable to visualize TGF-β due to serum interference. Similarly, unanticipated assay limitations prevented quantification of IL-1β, IL-6, IL-10, and TNF-α in Müller cell conditioned media as sample concentration measurements failed to fall within the standard curves."</t>
  </si>
  <si>
    <t>UWM</t>
  </si>
  <si>
    <t>Mahmoud</t>
  </si>
  <si>
    <t>Oman J Ophthalmol</t>
  </si>
  <si>
    <t>Mitigation of photoreceptors abnormalities after low-level laser therapy and chia seeds supplementation in experimental diabetic retinopathy</t>
  </si>
  <si>
    <t>"LLLT improved the degeneration of the photoreceptors after 6 weeks of treatment, while LLLT+ chia seeds supplementation showed early photoreceptors improvement after 2 weeks."
Comment: The journal articles are indexed in PubMed with a slight delay.</t>
  </si>
  <si>
    <t>OJO</t>
  </si>
  <si>
    <t>J Curr Ophthalmol</t>
  </si>
  <si>
    <t>Low-Level Laser Therapy with 670 nm Alleviates Diabetic Retinopathy in an Experimental Model</t>
  </si>
  <si>
    <t>"LLLT could modulate retinal proteins such as NSE and NFs, improve the RGCs, photoreceptors, and reduce the oxidative stress that originated in the retina from diabetes-induced DR."</t>
  </si>
  <si>
    <t>Abdelkawi</t>
  </si>
  <si>
    <t>J Arab Soc Med Res</t>
  </si>
  <si>
    <t>The combined effect of photobiomodulation therapy and chia seeds supplementation for the treatment of diabetic retinopathy in experimental rats</t>
  </si>
  <si>
    <t>PBM vs chia seeds</t>
  </si>
  <si>
    <t>"DR group showed a progressive decrease (P&lt;0.05) in a-wave and b-wave of the ERG and retinal protein, in addition to distinct change in the amide I region during 6 weeks, whereas treatment with PBM showed improvement in ERG (a-wave and b-wave, P&lt;0.05), protein content (P&lt;0.05), and in the amide I region (P&lt;0.05). However, the group treated with PBM and chia seeds showed better improvement in the a/b ratio of ERG, retinal protein, and in structural component of amide I region compared with the control (α-helix: 37 vs. 34.3%, β-sheet first peak was 12.6 vs. 14.39%, and β-sheet second peak was 20 vs. 20.36%)."
Comment: The journal is not indexed by PubMed.</t>
  </si>
  <si>
    <t>Diabetes</t>
  </si>
  <si>
    <t>Photobiomodulation Inhibits Long-term Structural and Functional Lesions of Diabetic Retinopathy.</t>
  </si>
  <si>
    <t>LED phototherapy
Diabetic nephropathy</t>
  </si>
  <si>
    <t>8mo</t>
  </si>
  <si>
    <t>"We administered photobiomodulation (PBM) therapy daily for 8 months to streptozotocin-diabetic mice, and assessed effects of PBM on visual function, retinal capillary permeability, and capillary degeneration using published methods. Vitamin D receptor and Cyp24a1 transcripts were quantified by qRT-PCR, and the abundance of c-Kit+ stem cells in blood and retina were assessed.
Long-term daily administration of PBM significantly inhibited the diabetes-induced leakage and degeneration of retinal capillaries, and significantly inhibited also the diabetes-induced reduction in visual function. PBM also inhibited diabetes-induced reductions in retinal Cyp24a1 mRNA levels and numbers of circulating stem cells (CD45-/c-Kit+), but these effects may not account for the beneficial effects of PBM on the retinopathy.
PBM significantly inhibits the functional and histopathologic features of early DR, and these effects likely are mediated via multiple mechanisms."</t>
  </si>
  <si>
    <t>Saliba</t>
  </si>
  <si>
    <t>USA
(Ohio &amp; Michigan)</t>
  </si>
  <si>
    <t>Photobiomodulation Mitigates Diabetes-Induced Retinopathy by Direct and Indirect Mechanisms: Evidence from Intervention Studies in Pigmented Mice.</t>
  </si>
  <si>
    <t>LED phototherapy
Diabetic eye
Systemic effects</t>
  </si>
  <si>
    <t>0.0203</t>
  </si>
  <si>
    <t>4.86</t>
  </si>
  <si>
    <t>670nm light protected against retinopathy (in streptozotocin-induced diabetes).
"PBM acted in part remotely from the retina because the beneficial effects were achieved even with the head shielded from the light therapy"</t>
  </si>
  <si>
    <t>USA
(Ohio)</t>
  </si>
  <si>
    <t>Invest Ophthalmol Vis Sci</t>
  </si>
  <si>
    <t>Low-intensity far-red light inhibits early lesions that contribute to diabetic retinopathy: in vivo and in vitro.</t>
  </si>
  <si>
    <t>LED phototherapy
Diabetic eye
Dose response (daily vs 3x/week)</t>
  </si>
  <si>
    <t>30
or
70</t>
  </si>
  <si>
    <t>Red light ameliorated lesions of diabetic retinopathy in vivo and reduced oxidative stress and cell death in vitro.</t>
  </si>
  <si>
    <t>Dry eyes</t>
  </si>
  <si>
    <t>The Anti-Inflammatory Effect of Multi-Wavelength Light-Emitting Diode Irradiation Attenuates Dry Eye Symptoms in a Scopolamine-Induced Mouse Model of Dry Eye</t>
  </si>
  <si>
    <t>"First, we showed that multi-wavelength LED irradiation was non-toxic to human corneal epithelial cells and improved cell viability. 
We then used a scopolamine-induced mouse model of dry eye to assess the effects of multi-wavelength LED irradiation on various clinical parameters. This treatment increased the tear volume and reduced corneal irregularity, thus improving dry eye. 
Histological analysis revealed that multi-wavelength LED irradiation protected against corneal epithelial damage and the associated reduction in epithelial thickness and would thus improve the corneal health of dry eye patients. 
Multi-wavelength LED irradiation significantly reduced the corneal levels of pro-inflammatory cytokines IL-6, IL-1β, and TNF-α; the treatment was thus anti-inflammatory."</t>
  </si>
  <si>
    <r>
      <rPr>
        <sz val="7.0"/>
      </rPr>
      <t xml:space="preserve">Dry eyes </t>
    </r>
    <r>
      <rPr>
        <sz val="6.0"/>
      </rPr>
      <t>(prevention)</t>
    </r>
  </si>
  <si>
    <t>Giannaccare</t>
  </si>
  <si>
    <t>Italy
(Catanzaro)</t>
  </si>
  <si>
    <t>Outcomes of low-level light therapy before and after cataract surgery for the prophylaxis of postoperative dry eye: a prospective randomised double-masked controlled clinical trial</t>
  </si>
  <si>
    <t>🧑 Human
🎲 Randomized trial, double-blind
👥 153 participants
⌛ single sessions</t>
  </si>
  <si>
    <t>"Two sessions of LLLT performed before and after cataract surgery were effective in ameliorating tear film stability and ocular discomfort symptoms."</t>
  </si>
  <si>
    <t>D'Souza</t>
  </si>
  <si>
    <t>India
(Bangalore)</t>
  </si>
  <si>
    <t>Indian J Ophthalmol</t>
  </si>
  <si>
    <t>A randomized controlled study evaluating outcomes of intense pulsed light and low-level light therapy for treating</t>
  </si>
  <si>
    <t>🧑 Human
🎲 Randomized trial, sham-controlled
👥 100 participants (200 eyes)
⌛ 30-day treatment / 3-month study</t>
  </si>
  <si>
    <t>IPL + PBM combination</t>
  </si>
  <si>
    <t>3
(15 days between sessions)</t>
  </si>
  <si>
    <t>"The study group showed significant improvement in OSDI scores (P &lt; 0.0001) compared to the control group and a significant improvement in TBUT (P &lt; 0.005) compared to the control group. There was no change in schirmer’s test and an improvement in the meibomian gland expression but not significant."</t>
  </si>
  <si>
    <t>Pang</t>
  </si>
  <si>
    <t>Therapeutic effects of low-color-temperature light-emitting diodes on dry eye</t>
  </si>
  <si>
    <t>🧑 Human
🎲 Randomized trial
👥 24 participants
⌛ single sessions
+ 🐀 Rat
+ 🐇 Rabbit</t>
  </si>
  <si>
    <t>Groups: 1900K vs 4000K color temperature</t>
  </si>
  <si>
    <t>0.00015
(521 lux)</t>
  </si>
  <si>
    <t>3 hours
of reading
text</t>
  </si>
  <si>
    <t>"Low-color-temperature light-emitting-diodes prolonged tear film breakup time in patients with dry eye. Moreover, it increased tear secretion, decreased fluorescein sodium staining scores, corneal and conjunctival cell apoptosis, and inflammatory factor expression in rabbits and rats with dry eye."
"Low-color-temperature light-emitting-diodes phototherapy can be used as an effective treatment for dry eye, reducing its symptoms and related ocular surface damage in humans, rabbits and rats. This article is protected by copyright. All rights reserved."</t>
  </si>
  <si>
    <t>Castro</t>
  </si>
  <si>
    <t>Comparison of Light-Based Devices in the Treatment of Meibomian Gland Dysfunction</t>
  </si>
  <si>
    <t>🧑 Human
📄 Prospective, observational study
👥 176 eyes</t>
  </si>
  <si>
    <t>"Adding LLLT to IPL appears to have an additional long-term beneficial effect as well as positive effects on the lacrimal gland."
Comment: PBM parameters were inadequately reported</t>
  </si>
  <si>
    <t>Device (LLLT): "my-mask® (Espansione Marketing S.p.A., Bologna, Italy)"</t>
  </si>
  <si>
    <t>Antwi</t>
  </si>
  <si>
    <t>Clin Exp Optom</t>
  </si>
  <si>
    <t>Thermal effect on eyelid and tear film after low-level light therapy and warm compress</t>
  </si>
  <si>
    <t>🧑 Human
🎲 Randomized trial
👥 40 participants
⌛ single sessions</t>
  </si>
  <si>
    <t>Thermal effects
LED phototherapy</t>
  </si>
  <si>
    <t>"A single treatment of low-level light therapy increased eyelid temperature immediately after treatment, but the increase was not significantly different from warm compress. This suggests that thermal effects may in part contribute to the therapeutic mechanism of low-level light therapy."</t>
  </si>
  <si>
    <t>Benyoussef</t>
  </si>
  <si>
    <t>J Fr Ophthalmol</t>
  </si>
  <si>
    <t>3-month post-procedural evaluation of a combined intense pulsed light and photo-biomodulation system in the treatment of meibomian gland dysfunction</t>
  </si>
  <si>
    <t>🧑 Human
📄 Retrospective study
👥 37 patients (74 eyes)</t>
  </si>
  <si>
    <t>"We found a significant improvement in OSDI scores at 1 month (-17.32; 95% CI (-25.84; -8.79), P&lt;0.0001) and 3 months (-16.95; 95% CI (-25.26; -8.64), P&lt;0.0001). The SPEED score, BUT, Oxford score, Meibomian gland atrophy and NIBUT were also statistically significantly improved. Tolerance to treatment was very good despite two cases of herpetic keratitis, which resolved on treatment."
"Treatment with the Eye-Light® in three sessions every two weeks significantly reduced symptoms and ocular surface damage in patients with MGD."</t>
  </si>
  <si>
    <t>Ballesteros-Sánchez</t>
  </si>
  <si>
    <t>Spain
(Seville)</t>
  </si>
  <si>
    <t>Eye Contact Lens</t>
  </si>
  <si>
    <t>Intense Pulse Light Combined With Low-Level Light Therapy in Dry Eye Disease: A Systematic Review</t>
  </si>
  <si>
    <t>"The search provided a total of 393 articles, of which six were included. 
Significant decreases in the Ocular Surface Disease Index (OSDI) score, meibomian gland dysfunction (MGD) score, MGD grade, and meiboscore and increases in tear film stability, lipid layer thickness, and loss area of the meibomian gland have been reported. 
Concerning tear volume, tear meniscus height, and Schirmer test remained unchanged. 
In relation to tear osmolarity and corneal fluorescein staining, contradictory outcomes were found."
"Intense pulse light combined with LLLT for the treatment of dry eye improves OSDI, tear film stability, and meibomian gland function; thus, this treatment may be recommended for DED patients due to MGD."</t>
  </si>
  <si>
    <t>Serial Sessions of a Novel Low-Level Light Therapy Device for Home Treatment of Dry Eye Disease</t>
  </si>
  <si>
    <t>🧑 Human
📄 Single-arm trial
👥 17 participants
⌛ 2-5 treatment sessions -&gt; 3-5 week follow-up</t>
  </si>
  <si>
    <t>PBM device design: toothbrush</t>
  </si>
  <si>
    <t>0.035</t>
  </si>
  <si>
    <t>4
(every other day)</t>
  </si>
  <si>
    <t>"One week of serial sessions of a newly developed LLLT device for home use significantly improved tear film production and stability along with ocular discomfort symptoms in patients with DED owing to MGD. These findings open up a new scenario for patients with MGD who can enjoy the unique benefits of LLLT at home."</t>
  </si>
  <si>
    <t>Italy
(Ferrara)</t>
  </si>
  <si>
    <t>Low-Level Light Therapy Versus Intense Pulsed Light for the Treatment of Meibomian Gland Dysfunction: Preliminary Results From a Prospective Randomized Comparative Study</t>
  </si>
  <si>
    <t>🧑 Human
⚔ Comparison study, randomized
👥 40 participants (40 eyes)
⌛ 4-week treatment -&gt; 2-week follow-up</t>
  </si>
  <si>
    <t>PBM vs IPL</t>
  </si>
  <si>
    <r>
      <rPr>
        <rFont val="Arial"/>
        <sz val="6.0"/>
      </rPr>
      <t xml:space="preserve">"All patients completed regularly all the scheduled sessions, and no adverse events were reported in any of the groups. 
The Standard Patient Evaluation of Eye Dryness score significantly decreased after both LLLT and IPL (P &lt; 0.001) although the improvement was significantly greater in the LLLT compared with the IPL group (-9.9 ± 3.2 vs. -6.75 ± 4.5; P = 0.014). 
Patients in the LLLT group showed a significantly higher increase in tear meniscus height compared with those in the IPL group (0.06 ± 0.10 mm vs. -0.01 ± 0.014; P = 0.040). 
In both groups, the noninvasive break-up time, redness score, meiboscore, and meibomian gland loss did not vary significantly after treatment (all P &gt; 0.05)."
Comment: A letter with some methodological critique was published by Ballesteros-Sánchez et al: </t>
    </r>
    <r>
      <rPr>
        <rFont val="Arial"/>
        <color rgb="FF1155CC"/>
        <sz val="6.0"/>
        <u/>
      </rPr>
      <t>https://pubmed.ncbi.nlm.nih.gov/37405869/</t>
    </r>
  </si>
  <si>
    <t>Low-Level Light Therapy in Association with Intense Pulsed Light for Meibomian Gland Dysfunction</t>
  </si>
  <si>
    <t>🧑 Human
📄 Prospective observational study (??)
👥 62 subjects
⌛ 3-6 week treatment -&gt; 3-week follow-up (?)</t>
  </si>
  <si>
    <t>IPL+LLLT vs IPL</t>
  </si>
  <si>
    <t>21-45
days (?)</t>
  </si>
  <si>
    <t>"Intense pulsed light seems effective and safe for the treatment of meibomian gland dysfunction, improving symptoms and the tear film lipid layer. This study shows no strong evidence of the benefit of low-level light therapy, but it shows weak evidence that it may further improve aqueous tear production."
Comment: Parameters not reported?</t>
  </si>
  <si>
    <t>El Shami</t>
  </si>
  <si>
    <t>Optimized combined low level light therapy and intense pulsed light therapy for the treatment of dry eye syndrome caused by Meibomian glands dysfunction</t>
  </si>
  <si>
    <t>🧑 Human
📄 Single-arm trial
👥 ?? participants, 52 eyes
⌛ 2-5 treatment sessions -&gt; 3-5 week follow-up</t>
  </si>
  <si>
    <t>"A significant improvement in objective clinical signs was found, with an increase in TBUT from 6.98±1.41s. to 9.27±1.25s. (P&lt;0.001) and a decrease in ME-CHECK-meiboscale (P&lt;0.001). A reduction of severity level on the ME-CHECK-meiboscale classification was observed in 90%, along with a significant improvement in subjective clinical signs on the ME-CHECK questionnaire (P&lt;0.001). No ocular or facial adverse events were noted."</t>
  </si>
  <si>
    <t>Meduri</t>
  </si>
  <si>
    <t>Italy
(Messina)</t>
  </si>
  <si>
    <t>Combined intense pulsed light and low-level light therapy for the treatment of refractory Meibomian gland dysfunction</t>
  </si>
  <si>
    <t>🧑 Human
📄 Non-randomized study, controlled (?)
👥 70 participants
⌛ Three treatment sessions / 6-month study</t>
  </si>
  <si>
    <t>IPL+PBM combination vs hyaluronate</t>
  </si>
  <si>
    <t>"This study confirmed the efficacy and safety of combined IPL and LLLT demonstrating its superiority compared to topical treatment."</t>
  </si>
  <si>
    <t>Effect of low-level light therapy in patients with dry eye: a prospective, randomized, observer-masked trial</t>
  </si>
  <si>
    <t>🧑 Human
🎲 Randomized trial, sham-controlled
👥 40 participants
⌛ 3-week treatment / 4-week study</t>
  </si>
  <si>
    <t>0.00005
+
0.100</t>
  </si>
  <si>
    <t>0.050
+
60</t>
  </si>
  <si>
    <t>60
+
600</t>
  </si>
  <si>
    <t>"The primary endpoint, the mean FCS score change (SD) at week 4 in the LLLT and placebo groups showed significant differences, being − 1.10 (1.07) and − 0.40 (1.16) respectively (p = 0.028), having a medium effect size (0.627)."
"The LLLT group showed greater decrease in TBUT, lid debris, lid swelling, lid telangiectasia, meibomian gland quality, meibomian gland expressibility, and lower eyelid meibography score changes did not show significant differences."</t>
  </si>
  <si>
    <t>Clinical and Molecular Outcomes After Combined Intense Pulsed Light Therapy With Low-Level Light Therapy in Recalcitrant Evaporative Dry Eye Disease With Meibomian Gland Dysfunction</t>
  </si>
  <si>
    <t>🧑 Human
📄 Single-arm trial
👥 47 participants, 94 eyes
⌛ single treatment / 6-month study</t>
  </si>
  <si>
    <t>"Combined light therapy (IPL + LLLT) demonstrated a marked improvement in the clinical metrics studied. Three months after treatment, Ocular Surface Disease Index showed a significant reduction in 95.6% (P &lt; 0.0001), tear breakup time increased in 72.3% (P &lt; 0.0001), and meibomian gland expressibility scoring increased in 80.8% (P &lt; 0.0001) of the eyes."</t>
  </si>
  <si>
    <t>Di Marino</t>
  </si>
  <si>
    <t>J Ophthalmol</t>
  </si>
  <si>
    <t>Combined Low-Level Light Therapy and Intense Pulsed Light Therapy for the Treatment of Dry Eye in Patients with Sjögren's Syndrome</t>
  </si>
  <si>
    <t>🧑 Human
📄 Single-arm trial
👥 20 participants
⌛ 1-month treatment / 3-month study</t>
  </si>
  <si>
    <t>"BUT test showed an increase in tear film breakup time in patients with DED 1 month after the beginning of the treatment (T0 vs T1: p=0,01). This increase was even more statistically significant after 3 months of the IPL and LLLT treatment (T0 vs T3: p &lt; 0.0001). Schirmer test values increased too, but there was not statistically significance between values at T0 and T1 or T3. The patients perceived an improvement in their condition, which resulted in a lower score on the OSDI survey. The OSDI score was lower at T1 than T0 (T0 vs T1: p=0.0003), while it tended to increase again after 3 months although it was still lower than baseline (T0 vs T3: p=0.02). No facial or ocular side effects were reported."
"The use of combined IPL/LLLT for the treatment of DED in patients affected by Sjögren's syndrome appears to be beneficial."</t>
  </si>
  <si>
    <t>Marta</t>
  </si>
  <si>
    <t>Portugal
(Oporto)</t>
  </si>
  <si>
    <t>Intense Pulsed Plus Low-Level Light Therapy in Meibomian Gland Dysfunction</t>
  </si>
  <si>
    <t>🧑 Human
📄 Single-arm trial
👥 31 participants, 62 eyes
⌛ 3-week treatment / 6-month study</t>
  </si>
  <si>
    <t>"IPL combined with LLL was effective and safe, improving the lipid layer thickness in MGD and decreasing the level of symptoms."</t>
  </si>
  <si>
    <t>Solomos</t>
  </si>
  <si>
    <t>Meibomian Gland Dysfunction: Intense Pulsed Light Therapy in Combination with Low-Level Light Therapy as Rescue Treatment</t>
  </si>
  <si>
    <t>🧑 Human
📄 Retrospective study
👥 11 participants, 22 eyes
⌛ 4-week treatment / 6-week study</t>
  </si>
  <si>
    <t>600+
633</t>
  </si>
  <si>
    <t>"Combined light therapy improved several ocular surface outcome measures in our patients. This study demonstrates that this adjunctive treatment significantly improves the ocular surface and quality of life of patients with dry eye disease and meibomian gland dysfunction."</t>
  </si>
  <si>
    <t>Pérez-Silguero</t>
  </si>
  <si>
    <t>Spain
(Canary Islands)</t>
  </si>
  <si>
    <t>Combined Intense Pulsed Light and Low-Level Light Therapy for the Treatment of Dry Eye: A Retrospective Before-After Study with One-Year Follow-Up</t>
  </si>
  <si>
    <t>🧑 Human
📄 Retrospective study
👥 156 participants
⌛ 3-month treatment -&gt; 12-month follow-up</t>
  </si>
  <si>
    <t>4
/ 3 months</t>
  </si>
  <si>
    <t>"Purpose: To assess the effectiveness of a combination of intense pulsed light and low-level light therapy (IPL/LLLT) for the treatment of dry eye."
"IPL/LLLT is safe and produces an important reduction in symptoms and signs of dry eye disease, still relevant one year after the end of treatment in a sample with high symptoms' severity. Therefore, it represents a promising treatment option for patients who do not improve with conventional treatment. Randomized trials are needed to determine the added benefit provided by LLLT."</t>
  </si>
  <si>
    <t>Markoulli</t>
  </si>
  <si>
    <t>Photobiomodulation (low-level light therapy) and dry eye disease</t>
  </si>
  <si>
    <t>"This work aims to review the available literature on the efficacy and safety of photobiomodulation in meibomian gland dysfunction and dry eye disease, as well as what is currently known about its mechanism of action."</t>
  </si>
  <si>
    <t>Medical Lasers; Engineering, Basic Research, and Clinical Application</t>
  </si>
  <si>
    <t>Effects of Low-level Light Therapy at 740 nm on Dry Eye Disease In Vivo</t>
  </si>
  <si>
    <t>"The [dry eye disease] mouse model showed significant deterioration in the overall eye condition. After [740 nm photobiomodulation], the amount of tear volume was increased, and corneal surface irregularities were restored. Also, the number of neutrophils and the level of inflammatory cytokines significantly decreased as well."
Comment: The journal is not indexed by PubMed. However, the article quality seems adequate.</t>
  </si>
  <si>
    <t>Stonecipher</t>
  </si>
  <si>
    <t>Combined low level light therapy and intense pulsed light therapy for the treatment of meibomian gland dysfunction.</t>
  </si>
  <si>
    <t>🧑 Human
📄 Retrospective study
👥 230 participants, 460 eyes
⌛ (?)</t>
  </si>
  <si>
    <t>10-16
(?)</t>
  </si>
  <si>
    <t>"A total of 460 eyes of 230 patients were identified for inclusion in the data set. 
Mean OSDI scores were significantly lower after treatment; 70.4% of patients had pretreatment OSDI scores indicative of dry eye; this dropped to 29.1% of patients after treatment. 
A 1-step or greater reduction in MGD grading was observed in 70% of eyes, with 28% of eyes having a 2-step or greater reduction. 
Tear breakup time was ≤6 seconds in 86.7% of eyes pretreatment, dropping to 33.9% of eyes after treatment. 
There were no ocular or facial adverse events or side effects related to the combined light treatment."
"The use of combined IPL/LLLT for the treatment of severe MGD appears to be beneficial in patients who have failed topical and/or systemic therapy."
Comment: Parameters not reported.</t>
  </si>
  <si>
    <t>Device: EPI-C Plus</t>
  </si>
  <si>
    <t>Brankovic</t>
  </si>
  <si>
    <t>Serbia
(Nis)</t>
  </si>
  <si>
    <t>Acta Medica Medianae</t>
  </si>
  <si>
    <t>Bioptron light therapy to dry eye caused by long-term topically applied antiglaucoma drug with benzalkonium-chloride</t>
  </si>
  <si>
    <t>🧑 Human
📄 Non-randomized study, controlled
👥 36 participants
⌛ 4 weeks</t>
  </si>
  <si>
    <t>1-
2.4
(??)</t>
  </si>
  <si>
    <r>
      <rPr>
        <rFont val="Arial"/>
        <sz val="6.0"/>
      </rPr>
      <t xml:space="preserve">[Group 2 received Hylo-gel solution + Bioptron light therapy. This group also had the highest improvement of symptoms, compared to Hylo-gel group and control group]
Comment: The authors don't report the parameters properly, and they erraneously use the mW (milliwatts) unit to describe power density... However, entirely another article using the same device states: </t>
    </r>
    <r>
      <rPr>
        <rFont val="Arial"/>
        <i/>
        <sz val="6.0"/>
      </rPr>
      <t>"The physical parameters of the light output from this optical medical device were as follows: wavelength 480–3400 nm, light spot size 254 cm2 , and specific power density 40 mW/cm2 . During active light exposure, the energy output of the device (energy density) was 2.4 J/cm2 /min (that is, 24 J/cm2 /10 min session)."</t>
    </r>
  </si>
  <si>
    <t>Eyelids</t>
  </si>
  <si>
    <t>Majlesi G</t>
  </si>
  <si>
    <t>Iran
(Esfahan)</t>
  </si>
  <si>
    <t>GaAs laser treatment of bilateral eyelid ptosis due to complication of botulinum toxin type A injection.</t>
  </si>
  <si>
    <t>🧑 Human
📄 Case report
⌛ ~3-week treatment -&gt; follow-up (no quantitative data)</t>
  </si>
  <si>
    <t>8.8
(8p)</t>
  </si>
  <si>
    <t>240
(8p)</t>
  </si>
  <si>
    <t>10
(3-4 per week)</t>
  </si>
  <si>
    <t>"The result was complete recovery from ptosis after 10 sessions, but the cosmetic results persisted for several months. It appears that if this procedure has similar results in other case series, it will be an effective therapeutic option to treat this complication."</t>
  </si>
  <si>
    <t>Natoli</t>
  </si>
  <si>
    <t>Mol Vis</t>
  </si>
  <si>
    <t>Gene and noncoding RNA regulation underlying photoreceptor protection: microarray study of dietary antioxidant saffron and photobiomodulation in rat retina.</t>
  </si>
  <si>
    <t>In this study, they also investigated the effects of LLLT on gene expression.</t>
  </si>
  <si>
    <t>Glaucoma</t>
  </si>
  <si>
    <t>Ahn</t>
  </si>
  <si>
    <t>The Potential Effects of Light Irradiance in Glaucoma and Photobiomodulation Therapy</t>
  </si>
  <si>
    <t>"In recent years, excessive light exposure has been suggested as contributing to the rise in glaucoma among the younger generation. Blue light induces mitochondrial apoptosis in retinal ganglion cells, causing optic damage; red light increases cytochrome c oxidase activity in the electron transport system, reducing inflammation and increasing antioxidant reactions to promote cell regeneration. In conclusion, the minimization of blue light exposure and the general application of red light treatment strategies are anticipated to show synergistic effects with existing treatments for retinal disease and glaucoma and should be considered a necessary prospect for the future. This review introduces the recent studies that support the relationship between light exposure and the onset of glaucoma and discusses new treatments, such as photobiomodulation therapy."</t>
  </si>
  <si>
    <t>Effects of Photobiomodulation Therapy on Patients with Primary Open Angle Glaucoma: A Pilot Study.
[RETRACTED ARTICLE]</t>
  </si>
  <si>
    <t>🧑 Human
🎲 Randomized trial, sham-controlled
👥 38 pts, 63 eyes
⌛~2-3 weeks
[Retracted]</t>
  </si>
  <si>
    <t>Small control group (20 eyes)</t>
  </si>
  <si>
    <t>10
limbus
+
90
bulbus</t>
  </si>
  <si>
    <t>30
+
90</t>
  </si>
  <si>
    <t>2-4
/ ~2 weeks</t>
  </si>
  <si>
    <t>"Poor visual acuity (≤ 20/25), initially found in 24 of 63 eyes (38.1%), improved in 17 (70.8%) eyes and did not change in 7 eyes (29.2%)."
"Mean IOP dropped from 24.9 ± 14.9 to 15.0 ± 6.5 mm Hg (-39.7%, p &lt; 0.001)."
"Visual fields were either fully restored, improved by at least 10 degrees, or remained unchanged in 32, 29, and 2 of 63 eyes (51%, 46%, and 3%), respectively."
"Mean M-VEP latency was reduced by 13.5 msec (-8%, p &lt; 0.001); mean amplitude increased by +677 nV (+14%, p &lt; 0.001). Adverse effects were not observed. No changes were noted in control eyes."
"This first small series of cases indicated that photobiomodulation might be a safe approach to lower IOP and to improve visual acuity and fields in eyes with POAG."
RETRACTION NOTICE:
"The second author of the article, Dr. Tomislav Ivandic, notified the Journal that inaccuracies in the reported parameters were discovered after publication of the article as a consequence of the information being translated from German (the authors' native language) into English. As a very serious repercussion of this error, Dr. Ivandic states that, 'Further studies or application based on these false doses would probably harm the eye.'
The first-named author of the article, Dr. Boris Ivandic, disagrees with this declaration and states that, 'there is no mistake in the dose calculations using the parameters 10 mW power, 3 mm2 beam spot area as well as 30 or 90 sec time of irradiation, respectively.'
Photomedicine and Laser Surgery is dedicated to upholding the integrity of the science it publishes. As a result of this irreconcilable dispute between the authors, the editorial leadership of the Journal is officially retracting this article from the literature in an effort to reduce any potential for iatrogenic injury in the event that the erroneous information was used to study or treat other patients.
The authors regret this very unfortunate circumstance."</t>
  </si>
  <si>
    <t>Roberts</t>
  </si>
  <si>
    <t>USA
(Columbus, OH)</t>
  </si>
  <si>
    <t>Curr Eye Res</t>
  </si>
  <si>
    <t>Effect of low fluence diode laser irradiation on the hydraulic conductivity of perfused trabecular meshwork endothelial cell monolayers.</t>
  </si>
  <si>
    <t>0.262 -
0.857</t>
  </si>
  <si>
    <t>"Low-fluence diode laser irradiation increases hydraulic conductivity in viable perfused TM cell monolayers when compared to baseline values or simultaneous nonirradiated controls while decreasing hydraulic conductivity in nonviable monolayers."
Comment. These authors are apparently unaware of photobiomodulation research, though their experiment could be categorized as PBM.</t>
  </si>
  <si>
    <t>Rodríguez-Santana &amp; Santana-Blank</t>
  </si>
  <si>
    <t>Venezuela
(Caracas)</t>
  </si>
  <si>
    <t>Laser photobiomodulation as a potential multi-hallmark therapy for age-related macular degeneration.</t>
  </si>
  <si>
    <t>"[N]ew research is needed to ascertain whether it may improve the lives of millions of people who currently have or will develop AMD."</t>
  </si>
  <si>
    <t>Inclusion conjunctivitis</t>
  </si>
  <si>
    <t>Inic-Kanada</t>
  </si>
  <si>
    <t>Water-filtered Infrared A and visible light (wIRA/VIS) treatment reduces Chlamydia caviae-induced ocular inflammation and infectious load in a Guinea pig model of inclusion conjunctivitis</t>
  </si>
  <si>
    <t>Guinea pig</t>
  </si>
  <si>
    <t>0.210</t>
  </si>
  <si>
    <t>"wIRA/VIS reduced the clinical pathology score on days 7 and 14 pi and the conjunctival chlamydial load on days 2, 4, 7, and 14 pi in comparison with C. caviae-infected, not irradiated, controls.
Furthermore, numbers of chlamydial inclusions were decreased in wIRA/VIS treated C. caviae-infected guinea pigs on day 21 pi compared to C. caviae-infected, non-irradiated, controls.
Double treatment with wIRA/VIS (days 2 and 4 pi) was more efficient than a single treatment on day 2 pi. wIRA/VIS treatment did neither induce macroscopic nor histologic changes in ocular tissues."</t>
  </si>
  <si>
    <t>BMB Rep</t>
  </si>
  <si>
    <t>Photobiomodulation therapy activates YAP and triggers proliferation and dedifferentiation of Müller glia in mammalian retina</t>
  </si>
  <si>
    <t>LED phototherapy
Cell signalling</t>
  </si>
  <si>
    <t>"Here, we showed that photobiomodulation with 670 nm light stimulates Müller glia cell cycle re-entry and dedifferentiation into a progenitor-like state in both uninjured and injured retina. We also found that 670 nm light treatment inhibits the Hippo pathway, which is activated in Müller glia following NaIO3-induced retinal injury. YAP, a major downstream effector of the Hippo signaling pathway was translocated into nucleus of Müller glia along with YAP dephosphorylation in retina treated with 670 nm light. Deficiency of YAP attenuated Müller glia cell cycle re-entry and dedifferentiation. 
Our data reveal the Hippo-YAP signaling pathway is associated with the photostimulatory effect on regenerative response in mammalian retina and suggest a potential therapeutic strategy for retinal degenerative diseases."</t>
  </si>
  <si>
    <t>Nonarath</t>
  </si>
  <si>
    <t>670nm photobiomodulation modulates bioenergetics and oxidative stress, in rat Müller cells challenged with high glucose</t>
  </si>
  <si>
    <t>"In this study, we used an in vitro model system of rat Müller glial cells grown under normal (5 mM) or high (25 mM) glucose conditions and treated with a 670 nm light emitting diode array (LED) (4.5 J/cm2) or no light (sham) daily."
"We report that a single 670 nm light treatment diminished reactive oxygen species (ROS) production and preserved mitochondrial integrity in this in vitro model of early [diabetic retinopathy]. Furthermore, treatment for 3 days in culture reduced NFκB activity to levels observed in normal glucose and prevented the subsequent increase in ICAM-1."</t>
  </si>
  <si>
    <t>Núñez‐Álvarez</t>
  </si>
  <si>
    <t>Blue light exacerbates and red light counteracts negative insults to retinal ganglion cells in situ and R28 cells in vitro.</t>
  </si>
  <si>
    <t>Blue light 🔵 vs red light 🔴
LED phototherapy
Wavelength comparison</t>
  </si>
  <si>
    <t>(470)
630</t>
  </si>
  <si>
    <t>"Here we demonstrate that short wavelength visual blue light negatively affects mitochondrial function, causing oxidative stress and decreased cell survival. 
In contrast, long wavelength red light enhances mitochondrial function to increase survival of cultured R28 cells and reduce the effects of blue light. 
Induction of retinal ischemia for 60 min in dark conditions caused a reduction in ATP levels accompanied by decreased RGC numbers in all areas of the retina."</t>
  </si>
  <si>
    <t>Blue light negatively affects the survival of ARPE19 cells through an action on their mitochondria and blunted by red light.</t>
  </si>
  <si>
    <t>Retinal pigment epithelial cells (ARPE19)
LED phototherapy</t>
  </si>
  <si>
    <t>0.00065
(=950 lux)</t>
  </si>
  <si>
    <t>~28 (?)</t>
  </si>
  <si>
    <t>"In conclusion, our studies show that the exposure of RPE cell mitochondria to blue light causes mitochondrial malfunction and oxidative stress and suggest that such a chronic influence is associated with the pathogenesis of AMD. 
Importantly, we show that red light delivered after a negative effect of blue light attenuates this process, thereby supporting the mass of other experimental data for the use of red or infrared light therapy, also known as photomodulation, as a noninvasive procedure to target RPE dysfunction in AMD."</t>
  </si>
  <si>
    <t>Effects of low-level laser irradiation on proliferation and functional protein expression in human RPE cells</t>
  </si>
  <si>
    <t>0.998</t>
  </si>
  <si>
    <t>"A dose of 8 J/cm(2) of LLLI significantly increased proliferation and promoted cell cycle progression while upregulating the transcription of CDK4 and CCND1 and decreasing the transcription of CDKN2A, CDKN2C, and CDKN1B in human ARPE-19 cells. Additionally, LLLI enhanced the expression of ZO-1 and CRALBP in human ARPE-19 cells."
"In conclusion, LLLI could enhance the proliferative ability of human ARPE-19 cells by modulating cyclin D1, CDK4, and a group of cyclin-dependent kinase inhibitors."</t>
  </si>
  <si>
    <t>Fuma</t>
  </si>
  <si>
    <t>Photobiomodulation with 670 nm light increased phagocytosis in human retinal pigment epithelial cells.</t>
  </si>
  <si>
    <t>🧪 In vitro (🧑 Human)</t>
  </si>
  <si>
    <t>"Photobiomodulation reduced ROS production but did not affect cell viability or mitochondrial membrane potential."</t>
  </si>
  <si>
    <t>Lavey</t>
  </si>
  <si>
    <t>SPIE Proc vol 8569</t>
  </si>
  <si>
    <t>The response of human retinal pigmented epithelial cells in vitro to changes in nitric oxide concentration stimulated by low levels of red light</t>
  </si>
  <si>
    <t>Mechanisms
Wavelength comparison</t>
  </si>
  <si>
    <t>637
671</t>
  </si>
  <si>
    <t>"Exposure to 2.88 J/cm2 of 671-nm and 637-nm light shows a two-fold increase in NO immediately after exposure, and a 56% increase in ATP measured at ~5 h post exposure. Levels of NF-κB mRNA and protein were measured at six and 24 h, respectively, and found to increase six fold, correlating with increases in NO levels.
Light-stimulated increased levels of NO also correlated with an 11-fold increase in Bcl-2 and a 70% decrease in Bax mRNA levels, relative to controls. NF-κB promotes cell growth and Bcl-2 is an apoptosis suppressor protein. Bax is a positive apoptotic effector protein. 
hese results support the hypothesis that light-induced changes in the intracellular levels of NO play a role in the beneficial effects of low-level light photobiomodulation"</t>
  </si>
  <si>
    <t>Iridocyclitis</t>
  </si>
  <si>
    <t>Acta Medica Bulgarica</t>
  </si>
  <si>
    <t>He-Ne low level laser therapeutic applications for treatment of acute iridocyclitis</t>
  </si>
  <si>
    <t>🧑 Human
📄 Non-randomized study, controlled
👥 40 eyes
⌛ (?)</t>
  </si>
  <si>
    <t>"For irradiated eyes by LLLT, we have found that the healing period is shortened signicantly by 40 % (p&lt;0,001)"
Comment: The parameters were very poorly reported. Even treatment time is unknown.</t>
  </si>
  <si>
    <t>Device: Mediray 04</t>
  </si>
  <si>
    <t>Light-induced damage</t>
  </si>
  <si>
    <t>Nie</t>
  </si>
  <si>
    <t>More light components and less light damage on rats' eyes: evidence for the photobiomodulation and spectral opponency</t>
  </si>
  <si>
    <t>484+
511+
664</t>
  </si>
  <si>
    <t>"In this study, based on the conventional phosphor-coated white LED, we added azure (484 nm), cyan (511 nm), and red (664 nm) light to fabricate the low-hazard light source"
"With the same correlated color temperature (CCT), the low-hazard light source results in significantly less damage on the retinal function and photoreceptors, even if it has two times illuminance and blue-light hazard-weighted irradiance ([Formula: see text]) than conventional white LED."</t>
  </si>
  <si>
    <t>Paolo</t>
  </si>
  <si>
    <t>Sequential PBM-Saffron Treatment in an Animal Model of Retinal Degeneration</t>
  </si>
  <si>
    <t>4,0-
4.5</t>
  </si>
  <si>
    <t>"Results confirm that PBM and saffron alone cope with retinal neurodegenerative processes, preserving retinal thickness and gliosis and microglia invasion in a differential way. However, the synergistic effect of the combined treatment was restricted to the early neuroinflammation, even when provided sequentially."</t>
  </si>
  <si>
    <t>Mansouri</t>
  </si>
  <si>
    <t>Neuroprotective Properties of Photobiomodulation in Retinal Regeneration in Rats: Perspectives From Interaction Levels</t>
  </si>
  <si>
    <t>🐀 Rat (secondary analysis) (?)</t>
  </si>
  <si>
    <t>"The 78 produced [differentially expressed genes] by light-damage in the rat retina were protected via PBM pretreatment action."</t>
  </si>
  <si>
    <t>Heinig</t>
  </si>
  <si>
    <t>Photobiomodulation Mediates Neuroprotection against Blue Light Induced Retinal Photoreceptor Degeneration</t>
  </si>
  <si>
    <t>LED phototherapy (red light, not NIR)</t>
  </si>
  <si>
    <t>670
810</t>
  </si>
  <si>
    <t>32.4
32.4</t>
  </si>
  <si>
    <t>"Here, we demonstrate a comprehensive cellular, molecular, and functional characterization of neuroprotective effects of 670 nm RL and 810 nm near-infrared light (NIRL) on blue light damaged murine primary photoreceptors.
We show that respiratory chain complexes I and II are additional PBM targets, besides complex IV, leading to enhanced mitochondrial energy metabolism.
Accordingly, our study identified mitochondria related RL- and NIRL-triggered defense mechanisms promoting photoreceptor neuroprotection. The observed improvement of mitochondrial and extramitochondrial respiration in both inner and outer segments is linked with reduced oxidative stress including its cellular consequences and reduced mitochondria-induced apoptosis.
Analysis of regulatory mechanisms using gene expression analysis identified upregulation α-crystallins that indicate enhanced production of proteins with protective functions that point to the rescued mitochondrial function. 
The results support the hypothesis that energy metabolism is a major target for retinal light therapy."</t>
  </si>
  <si>
    <t>Zielinska-Dabkowska KM</t>
  </si>
  <si>
    <t>Make lighting healthier.</t>
  </si>
  <si>
    <t>"Independent research — beyond the lighting industry — is needed into the health and environmental impacts of LED sources, including those with adjustable spectral characteristics, intensity, timing and duration based on the time of the day, evening or night. Emissions outside the visible range must be considered, such as near-infrared radiation (750–950 nm) that is present in daylight and incandescent lamps but not LEDs. Research shows that there needs to be a balance — the use of these light frequencies can repair damaged retinal cells11 and are necessary. "</t>
  </si>
  <si>
    <t>ARPE19 cells
LED phototherapy
Wavelength comparison
Blue light 🔵</t>
  </si>
  <si>
    <t>"Blue light affects mitochondrial function and also the development tight junctions between ARPE19 cells, which results in a loss of cell viability. Importantly, red light delivered after a blue light insult is significantly blunted. These findings argue for the therapeutic use of red light as a noninvasive procedure to attenuate insults caused by blue light and other insults to retinal pigment epithelial cell mitochondria that are likely to occur in age-related macular degeneration."</t>
  </si>
  <si>
    <t>Australia
(Canberra)</t>
  </si>
  <si>
    <t>670nm light treatment following retinal injury modulates Müller cell gliosis: Evidence from in vivo and in vitro stress models</t>
  </si>
  <si>
    <t>"We showed that early treatment with 670 nm light after PD reduced MC activation, lowering the retinal expression of GFAP and FGF-2. 670 nm light treatment mitigated the production of MC-related pro-inflammatory cytokines (including IL-1β), and reduced microglia/macrophage (MG/MΦ) recruitment into the outer retina following PD. This subsequently decreased photoreceptor loss, slowing the progression of retinal degeneration.
In vitro, we showed that 670 nm light directly modulated MC activation, reducing rates of area coverage by suppressing cellular proliferation and spreading. 
This study indicates that 670 nm light treatment post-injury may have therapeutic benefit when administered shortly after retinal damage, and could be useful for retinal degenerations where MC gliosis is a feature of disease progression.</t>
  </si>
  <si>
    <t>Photobiomodulation with 670 nm light ameliorates Müller cell-mediated activation of microglia and macrophages in retinal degeneration.</t>
  </si>
  <si>
    <t>"The present study has demonstrated that treatment with 670 nm light mitigates Ccl2 and Il-1β expression in the retina in vivo, and in primary Müller cells in vitro. Further, we found that 670 nm light-treated Müller cells were able to mitigate MG/MΦ activation. This indicates that 670 nm light targets the expression of pro-inflammatory cytokines and chemokines by Müller cells. Previous studies have found that 670 nm light resulted in reduced activation and recruitment of MG/MΦ in retinal damage in vivo (...), but to our knowledge, this is the first report that demonstrated the direct effect of 670 nm light on Müller cells and its downstream effect of reduced MG/MΦ activation."</t>
  </si>
  <si>
    <t>Chu-Tan</t>
  </si>
  <si>
    <t>Efficacy of 670 nm Light Therapy to Protect against Photoreceptor Cell Death Is Dependent on the Severity of Damage</t>
  </si>
  <si>
    <t>LED phototherapy
Light-induced damage
Dose response
Biphasic dose response</t>
  </si>
  <si>
    <t>9
18
36
90</t>
  </si>
  <si>
    <t>180
360
720
1800</t>
  </si>
  <si>
    <t>"670 nm light exhibited a biphasic response in its amelioration of cell death in light-induced degeneration in vivo. Lower light damage intensities required lower doses of 670 nm light to reduce TUNEL cell death. At higher damage intensities, the highest dose of 670 nm light showed protection. In vitro, the Seahorse XFe96 Extracellular Flux Analyzer revealed that 670 nm light directly influences mitochondrial metabolism by increasing the spare respiratory capacity of mitochondria in 661 W photoreceptor-like cells in light damaged conditions. Our findings further support the use of 670 nm light as an effective treatment against retinal degeneration as well as shedding light on the mechanism of protection through the increase of the mitochondrial spare respiratory capacity."</t>
  </si>
  <si>
    <t>LED phototherapy
Light-induced damage
Preconditioning
Wavelength comparison (not equal energy densities)</t>
  </si>
  <si>
    <t>670
830</t>
  </si>
  <si>
    <t>3.4
2.7</t>
  </si>
  <si>
    <t>670nm (red light) had better effect on retina than 830nm (near-infrared).</t>
  </si>
  <si>
    <t>Di Marco</t>
  </si>
  <si>
    <t>Combining neuroprotectants in a model of retinal degeneration: no additive benefit.</t>
  </si>
  <si>
    <t>LED phototherapy
Light-induced damage
PBM vs saffron</t>
  </si>
  <si>
    <t>4-4.5</t>
  </si>
  <si>
    <t>[PBM protected eyes from light-induced retinal damage.]</t>
  </si>
  <si>
    <t>Ahamed Basha</t>
  </si>
  <si>
    <t>Ann Anat</t>
  </si>
  <si>
    <t>Protective effect of light emitting diode phototherapy on fluorescent light induced retinal damage in Wistar strain albino rats.</t>
  </si>
  <si>
    <t xml:space="preserve">LED phototherapy
Light-induced damage
</t>
  </si>
  <si>
    <t>"Animals of the FL group showed a significant reduction in the outer nuclear layer thickness and cell count in addition to the total thickness of the retina. LL group which were exposed to 670 nm LED prior to exposure to fluorescent light showed a significant decrease in the degree of damage."</t>
  </si>
  <si>
    <t>Marco</t>
  </si>
  <si>
    <t>Am J Neurodegener Dis</t>
  </si>
  <si>
    <t>The time course of action of two neuroprotectants, dietary saffron and photobiomodulation, assessed in the rat retina.</t>
  </si>
  <si>
    <t>LED phototherapy
Light-induced damage
Preconditioning
PBM vs saffron</t>
  </si>
  <si>
    <t>"Preconditioning the retina with saffron or PBM reduced photoreceptor death, preserved the population of surviving photoreceptors and reduced the upregulation of GFAP in Müller cells. At the daily dose of saffron used (1 mg/kg), protection was detectable at 2 d, increasing to 10 d. At the daily dose of PBM used (5 J/cm(2) at 670 nm) protection was detectable at 5 d, increasing to 7-10 d."</t>
  </si>
  <si>
    <t>Albarracin</t>
  </si>
  <si>
    <t>670 nm light mitigates oxygen-induced degeneration in C57BL/6J mouse retina.</t>
  </si>
  <si>
    <t>LED phototherapy
Oxygen-induced damage</t>
  </si>
  <si>
    <t>"Pretreatment with 670 nm red light reduced expression of markers of oxidative stress and C3, and slowed, but did not prevent, photoreceptor loss over the time course of hyperoxia exposure."</t>
  </si>
  <si>
    <t>Albarracin &amp; Valter</t>
  </si>
  <si>
    <t>670 nm red light preconditioning supports Müller cell function: evidence from the white light-induced damage model in the rat retina.</t>
  </si>
  <si>
    <t>Red light pretreatment ameliorated the light-induced alterations in the expression of Müller-cell specific markers for structure, stress, metabolism and inflammation.</t>
  </si>
  <si>
    <t>Treatment with 670-nm light protects the cone photoreceptors from white light-induced degeneration.</t>
  </si>
  <si>
    <t>LED phototherapy
Light-induced damage</t>
  </si>
  <si>
    <t>Damaging effects of white light on the photoreceptor population, function and structure were ameliorated by red light.</t>
  </si>
  <si>
    <t>In most of 670nm eye studies, LED devices “Warp 10” and “Warp 75” by Quantum Devices were used.</t>
  </si>
  <si>
    <t>Photobiomodulation protects the retina from light-induced photoreceptor degeneration.</t>
  </si>
  <si>
    <t>Red light attenuated histopathological alterations and abolished microglial invasion of the retina.</t>
  </si>
  <si>
    <t>China (Sichuan)</t>
  </si>
  <si>
    <t>Near-infrared light protect the photoreceptor from light-induced damage in rats.</t>
  </si>
  <si>
    <t>A red LED was protective against light-induced retinal damage.</t>
  </si>
  <si>
    <t>Kaynezhad</t>
  </si>
  <si>
    <t>Optical monitoring of retinal respiration in real time: 670 nm light increases the redox state of mitochondria.</t>
  </si>
  <si>
    <t>"Retinae of aged rats exposed to 670 nm for 5 mins showed consistent progressive increases in oxidation of COX 5 mins post exposure."</t>
  </si>
  <si>
    <t>Methanol toxicity</t>
  </si>
  <si>
    <t>Eells</t>
  </si>
  <si>
    <t>Proc Natl Acad Sci U S A</t>
  </si>
  <si>
    <t>Therapeutic photobiomodulation for methanol-induced retinal toxicity.</t>
  </si>
  <si>
    <t>Methanol toxicity
LED phototherapy</t>
  </si>
  <si>
    <t>"Our studies document a significant recovery of rod- and cone-mediated function in LED-treated, methanol-intoxicated rats. We further show that LED treatment protected the retina from the histopathologic changes induced by methanol-derived formate. These findings provide a link between the actions of monochromatic red to near-IR light on mitochondrial oxidative metabolism in vitro and retinoprotection in vivo."</t>
  </si>
  <si>
    <t>Myopia</t>
  </si>
  <si>
    <t>Shang</t>
  </si>
  <si>
    <t>Transl Vis Sci Technol</t>
  </si>
  <si>
    <t>Comparison of Changes in Retinal Vascular Density and Thickness After Using Low-Level Red Light and 0.01% Atropine in Premyopic Children</t>
  </si>
  <si>
    <t>🧑 Human (pediatric)
🎲 Randomized trial
👥 69 participants
⌛ 6 months</t>
  </si>
  <si>
    <t>0.85</t>
  </si>
  <si>
    <t>180
/session</t>
  </si>
  <si>
    <t>twice daily</t>
  </si>
  <si>
    <t>"SRVD increased similarly in the RLRL and 0.01% atropine groups, whereas DRVD increased only in the former group. There were no significant RT changes in either group after six months of treatment in premyopic schoolchildren."</t>
  </si>
  <si>
    <t>Taiwan J Ophthalmol</t>
  </si>
  <si>
    <t>The impact of light properties on ocular growth and myopia development</t>
  </si>
  <si>
    <t>"This review was performed by searching research articles and reviews utilizing the terms "myopia," "light therapy," "axial length," "refractive error," and "emmetropization" in PubMed datasets. The review was finalized in December 2023. 
In the animal studies, high lighting brightness, illumination periods aligning with circadian rhythm, and color contrast signals including multiple wavelengths all help regulate ocular growth against myopia. Long wavelengths have been found to induce myopia in chicks, mice, fish, and guinea pigs, whereas shorter wavelengths lead to hyperopia. In contrast, red light has been observed to have a protective effect against myopia in tree shrews and rhesus monkeys."</t>
  </si>
  <si>
    <t>Ophthalmology</t>
  </si>
  <si>
    <t>Repeated Low-Level Red-Light Therapy for Myopia Control in High Myopia Children and Adolescents: A Randomized Clinical Trial</t>
  </si>
  <si>
    <t>🧑 Human (pediatric)
🎲 Randomized trial
👥 192 participants
⌛ 12 months</t>
  </si>
  <si>
    <t>"After 12 months, the adjusted mean change in axial length was -0.06 mm (95% confidence interval [CI]: -0.10 to -0.02 mm) and 0.34 mm (95% CI: 0.30 to 0.39 mm) in the intervention and control groups, respectively."
"There were 48 participants (50.3%) of the intervention group were still experiencing axial shortening more than 0.05mm at 12-month follow-up. Furthermore, the mean spherical equivalent refraction change after 12 months was 0.11 D (95% CI: 0.02 to 0.19 D) and -0.75 D (95% CI: -0.88 to -0.62 D) in the intervention and control groups, respectively."
"RLRL demonstrates much stronger treatment efficacy among high myopia, with 50.3% experience substantial axial shortening. RLRL provides an excellent solution for the management of high myopia progression, a significant challenge in ophthalmology practice."</t>
  </si>
  <si>
    <t>Xiong</t>
  </si>
  <si>
    <t>Myopia Control Effect of Repeated Low-Level Red-Light Therapy Combined with Orthokeratology: A Multicenter Randomized Controlled Trial</t>
  </si>
  <si>
    <t>🧑 Human (pediatric)
🎲 Randomized trial
👥 47 participants
⌛ 12 months</t>
  </si>
  <si>
    <t>"A total of 47(97.9%) children were included in the analysis (30 in the RCO group and 17 in the Ortho-k group). The mean axial elongation rate before the trial was 0.60mm/year in the RCO group and 0.61mm/year in the Ortho-k group. After 12 months following the intended intervention, the adjusted mean AL changes were -0.02mm(95% CI, -0.08 to +0.03 mm) in the RCO group and 0.27mm(0.19-0.34 mm) in the Ortho-k group."
"The percentage of children achieving an uncorrected visual acuity greater than 20/25 was similar in the RCO (64.3%) and Ortho-k (65.5%) groups (Chi2 test, P=0.937)."
"Combining RLRL therapy with Ortho-k may offer a promising approach to optimize axial elongation control among myopic children. This approach also potentially allows children to achieve satisfactory visual acuity, reducing the daytime dependence on corrective eyewear."</t>
  </si>
  <si>
    <t>Qiu</t>
  </si>
  <si>
    <t>Australia &amp; China</t>
  </si>
  <si>
    <t>A retrospective study of cumulative absolute reduction in axial length after photobiomodulation therapy</t>
  </si>
  <si>
    <t>🧑 Human
📄 Retrospective study
👥 342 participants
⌛ 6-12 month treatment</t>
  </si>
  <si>
    <t>"342 myopic children were included with mean age 8.64 ± 2.20 years and baseline mean axial length of 24.41 ± 1.17 mm. There were 85.40%, 46.30%, 71.20% and 58.30% children with axial length shortening recorded at follow-up for 1 month, 3 months, 6 months and 12 months, respectively. With respect to the axial length shortened eyes, the mean axial length difference (standard deviation) was - 0.039 (0.11) mm, -0.032 (0.11) mm, -0.037 (0.12) mm, -0.028 (0.57) mm at 1, 3, 6, and 12-month follow-up, respectively. Greater AL shortening was observed among the older group who had longer baseline axial lengths than the younger group (P &lt; 0.001)."</t>
  </si>
  <si>
    <t>Efficacy of repeated low-level red-light therapy in the prevention and control of myopia in children</t>
  </si>
  <si>
    <t>🧑 Human
📄 Single-arm study
👥 336 participants
⌛ 3 months</t>
  </si>
  <si>
    <t>twice daily for 3 months</t>
  </si>
  <si>
    <t>"Following three months of treatment, the average axial length of the eyes decreased by 0.031 mm. 
The condition was better for the boys than for girls, but the difference was not statistically significant. As age increased (F = 8.112, P = 0.000) or as the absolute value of baseline myopia degree increased (F = 10.51, P = 0.000), axial lengths of the eyes tended to decrease. The spherical equivalent refraction (SER) of children decreased by an average of 0.012 ± 0.355D. The condition was better for the boys than for girls, but the difference was not statistically significant. SER increased in the direction of hyperopic drift as age increased (F = 2.48, P=0.031), or as the absolute value of baseline myopia degrees increased (F = 6.835, P = 0.000). There were no obvious side effects following the treatment."
"This study showed that RLRL therapy is a potential efficient, easily operable, and practically feasible method for the prevention and control of myopia."</t>
  </si>
  <si>
    <t>Safety of Repeated Low-level Red-Light Therapy for Children with Myopia</t>
  </si>
  <si>
    <t>🧑 Human
📄 Non-randomized study, controlled
👥 108 participants
⌛ 12 months</t>
  </si>
  <si>
    <t>"Based on retinal function follow-up, RLRLT was safe within 12 months. However, rEZR and rPOSR increased, the effects of this phenomenon requires further observation."</t>
  </si>
  <si>
    <t>Amaral</t>
  </si>
  <si>
    <t>Clinics (Sao Paulo)</t>
  </si>
  <si>
    <t>Low-level red-light therapy for myopia control in children: A systematic review and meta-analysis</t>
  </si>
  <si>
    <t>"A total of 5 final studies were included (4 RCTs, and 1 observational), in which 685 total patients were analyzed. The mean age was 9.7 ± 0.66 years, with 48,2% female patients. The number of eyes in the LRLL arm is 714 and, in the control, arm is 656. LLRL showed better results in SER and AL mean change (OR = 0.58; 95% CI 0.33 to 0.83; p &lt; 0.00001, and MD -0.33; 95% CI -0.52 to -0.13; p = 0.001, respectively), in comparison to the control group. There was no significant difference in adverse effects between groups (MD = 5.76; 95% CI 0.66 to 50.14; p = 0.11)."
"LLRL therapy is a non-invasive, effective, and safe short-term treatment option; however, long-term evaluation, particularly in comparison to other therapies, requires additional investigation."</t>
  </si>
  <si>
    <t>Cao</t>
  </si>
  <si>
    <t>JAMA Ophthalmol</t>
  </si>
  <si>
    <t>Daily Low-Level Red Light for Spherical Equivalent Error and Axial Length in Children With Myopia: A Randomized Clinical Trial</t>
  </si>
  <si>
    <t>🧑 Human (pediatric)
🎲 Randomized trial
👥 336 participants
⌛ 12 months</t>
  </si>
  <si>
    <t>twice daily for 12 months</t>
  </si>
  <si>
    <t>"Mean (SD) changes in SER were 0.15 (0.16) D and -0.26 (0.21) D for the LLRL group and the control group, respectively (difference, -0.41 D; 95% CI, -0.48 to -0.34 D; P &lt; .001), at 6 months and 0.24 (0.27) D and -0.65 (0.33) D for the LLRL group and the control group, respectively (difference, -0.89 D; 95% CI, -0.95 to -0.83 D; P &lt; .001), at 12 months. 
Mean (SD) changes in AL were -0.06 (0.08) mm and 0.13 (0.12) mm for the LLRL group and control group, respectively (difference, 0.19 mm; 95% CI, 0.16 to 0.22 mm; P &lt; .001), at 6 months and -0.11 (0.10) mm and 0.26 (0.16) mm for the LLRL group and control group, respectively (difference, 0.37 mm; 95% CI, 0.34 to 0.40 mm; P &lt; .001). 
Masked fundus photograph review did not identify retinal changes in either group."</t>
  </si>
  <si>
    <t>Eppenberger</t>
  </si>
  <si>
    <t>Ophtalmol Ther</t>
  </si>
  <si>
    <t>Myopia Control: Are We Ready for an Evidence Based Approach?</t>
  </si>
  <si>
    <t>"Since retinal photoreceptor cells contain many mitochondria, the idea arose to apply RLRL to the eye and thereby specifically to control myopia. However, the mechanism behind RLRL in controlling myopia remains unclear [202, 204]. 
Currently, limited evidence is available, as only a few clinical studies have been conducted. So far three groups from China have published results on RCTs in which red-light for myopia control was investigated (...) Supplementary Table 6): Jiang et al. and Xiong et al. tested a red-light (wavelength of 650 nm) desktop light device and showed effective AL elongation reduction at 12- and 24-month follow-up visits for the group undergoing red-light treatment. The overall axial elongation was the smallest in the continuous RLRL treatment group (0.16 ± 0.37 mm), and highest in the SV spectacles group (0.64 ± 0.29 mm; p &lt; 0.001) after 24 months [205, 206]. Similarly, Tian et al. also found a significant effect on the median 6-month changes in AL of the red-light and control groups: − 0.06 mm (IQR − 0.15, 0) and 0.14 mm (IQR 0.07, 0.22; p &lt; 0.001) [207]. A third, smaller study by Chen et al. showed an effect on AL with RLRL treatment [208]. 
All three aforementioned RCTs did not report any structural changes by means of optical coherence tomography (OCT) or significant severe adverse events during and after the red-light treatment [205, 206, 208]. Nevertheless, caution is advised regarding the safety of RLRL, because the reported RCTs did not involve any independent safety monitoring. Well-designed and larger RCTs with longer follow-up periods are necessary [209]. One case reported by Liu et al. raised some further uncertainty: a 12-year-old girl experienced bilateral vision loss over 2 weeks following 5 months of repeated exposure to RLRL treatment for moderate myopia in both eyes. In addition to the vision loss, her fundus showed darkened foveae and OCT revealed disruptions in the foveal ellipsoid and interdigitation zone. After 3 months without RLRL therapy, there was partial recovery of bilateral outer retinal damage, and visual acuity improved [210]. The case was discussed and a genetic evaluation was recommended, as the possibility was expressed that the girl may have preclinical Stargardt disease [211].
(...) Meanwhile, over a dozen trial registrations have been identified for ongoing investigations on efficacy and safety of RLRL treatment [215,216,217,218,219,220,221,222,223,224,225,226,227,228,229,230]."</t>
  </si>
  <si>
    <t>Swiatczak &amp; Schaeffel</t>
  </si>
  <si>
    <t>Switzerland
(Basel)</t>
  </si>
  <si>
    <t>Ophthalmic Physiol Opt</t>
  </si>
  <si>
    <t>Effects of short-term exposure to red or near-infrared light on axial length in young human subjects</t>
  </si>
  <si>
    <t>🧑 Human
📄 Non-randomized study (?), controlled
👥 30 participants</t>
  </si>
  <si>
    <t>620
875</t>
  </si>
  <si>
    <t>"Incoherent narrow-band red light at 620 nm induced axial shortening in 77% of non-myopic and 41% of myopic eyes. NIR light did not induce any significant changes in AL in either refractive group, suggesting that the beneficial effect of red laser light therapy on myopia progression requires visible stimulation and not simply thermal energy."</t>
  </si>
  <si>
    <t>Schaeffel &amp; Wildsoet</t>
  </si>
  <si>
    <t>Red light therapy for myopia: Merits, risks and questions</t>
  </si>
  <si>
    <t>"In closing, we leave readers with eight key questions related to the RLRL therapy that need to be addressed before its widespread adoption:
(1) Is coherent (laser) light more effective than incoherent (LED) light, when irradiances are matched? 
(2) Do we need such intense, localised energy or would exposure to red room lighting be sufficient? 
(3) How long must individual stimulation sessions be, how often should treatments be repeated within a day and what is the optimal spacing? 
(4) Can the effect be achieved without stimulating the fovea? Would a Maxwellian view also work? 
(5) In relation to the underlying mechanisms, that is, as to whether the effect is visual or metabolic, must visible red light be used or would near-infrared light also work? 
(6) What is the mechanism driving this inhibitory eye growth response and if driven by a retinal signal, is there something special about stimulating the L/M cone system alone, with little input from the blue cone system, given that the generated red laser patch contains minimal spatial information that could be used to analyse the image? 
(7) Why does RLRL therapy-induced choroidal thickening develop more slowly than reported for other myopia control interventions, yet is less enduring upon termination of this therapy? 
(8) What is a suitable battery of appropriately sensitive techniques for monitoring visual function and retinal/choroidal structure, as critical to establishing the shorter and long-term safety of the RLRL therapy?"
"In conclusion, while there is considerable evidence that stimulation with long wavelength light slows eye growth in humans, rhesus monkeys and tree shrews, there remain many important unresolved questions, with those listed above being just a few examples. Before ‘low-intensity red laser light (LRLR) therapy’ for myopia control can be considered safe for long-term use in children, answers to such questions are needed."</t>
  </si>
  <si>
    <t>Youssef</t>
  </si>
  <si>
    <t>Egypt
(Beni Suef)</t>
  </si>
  <si>
    <t>Efficacy of Repeated Low-Level Red Light (RLRL) therapy on myopia outcomes in children: a systematic review and meta-analysis</t>
  </si>
  <si>
    <t>"Five randomized controlled trials (RCTs) were included in our meta-analysis with a total of 833 patients, 407 in treatment group and 426 in control group. 
At a 3 month follow up period, pooled studies show a statistical difference in AL between RLRL and SVS group (MD = -0.16; 95% CI [-0.19, -0.12], SER (MD = 0.33; 95% CI [0.27, 0.38]), and SFCT (MD = 43.65; 95% CI [23.72, 45.58]). 
At a 6 month follow up period, pooled studies show a statistical difference in AL between RLRL and SVS group (MD = -0.21; 95% CI [-0.28, -0.15]), SER (MD = 0.46; 95% CI [0.26, 0.65]), and SFCT (MD = 25.07; 95% CI [18.18, 31.95]). 
At a 12 month follow up period, pooled studies show a statistical difference in AL between RLRL and SVS group (MD = -0.31; 95% CI [-0.42, -0.19]) and SER (MD = 0.63; 95% CI [0.52, 0.73])."
"This is the first systematic review and meta-analysis investigating only RCTs evidence supporting the efficacy of 650 nm RLRL for myopia control in the short term of 3, 6, and 12 months follow up. The present review revealed the clinical significance of RLRL as a new alternative treatment for myopia control with good user acceptability and no documented functional or structural damage. However, the effect of long-term RLRL treatment and the rebound effect after cessation require further investigations."</t>
  </si>
  <si>
    <t>Kiu</t>
  </si>
  <si>
    <t>Effects of repeated low-level red-light therapy on macular retinal thickness and microvascular system in children with myopia</t>
  </si>
  <si>
    <t>🧑 Human (pediatric)
📄 Single-arm study
👥 40 paritcipants (80 eyes)</t>
  </si>
  <si>
    <t>0.25
/pupil</t>
  </si>
  <si>
    <t>2/day for 6 months</t>
  </si>
  <si>
    <t>"LLLT therapy was safe. The school-aged children exhibited macular thickening after LLLT therapy, which had no significant effect on macular microcirculation."</t>
  </si>
  <si>
    <t>Biswas</t>
  </si>
  <si>
    <t>UK &amp; Lebanon &amp; Singapore</t>
  </si>
  <si>
    <t>J Physiol Anthropol</t>
  </si>
  <si>
    <t>The influence of the environment and lifestyle on myopia</t>
  </si>
  <si>
    <t>"On the other end of the visible light spectrum, several randomized clinical trials (6–24 months of follow-up) have shown great promise that repeated low red light (RLRL) (640 nm) administered for 3 min twice a day can slow myopia progression in children aged 7–15 years old [113, 114]. The strength of evidence for RLRL was, however, low, with large rebound effects reported after its discontinuation [115]. Furthermore, there have been safety concerns associated with RLRL, including reports of an isolated case of retinal damage that may potentially be linked to the procedure [116]."
Comment: This review is focusing mostly on other factors than photobiomodulation, but also shortly meantions PBM (or "RLRL").</t>
  </si>
  <si>
    <t>Zaabaar</t>
  </si>
  <si>
    <t>Light exposure therapy for myopia control: a systematic review and Bayesian network meta-analysis</t>
  </si>
  <si>
    <t>"When all clinical studies were included in the Bayesian NMA (12 studies), only red-light significantly slowed AL elongation, MD (95% CrI), -0.38 mm (-0.59 mm to -0.16 mm)/year and SE refraction progression, 0.72D (0.35D to 1.10D)/year compared with controls. It remained the only significant intervention when effect sizes from only RCTs (eight studies) were separately combined, (-0.28 mm (-0.40 mm to -0.15 mm)/year and 0.57D (0.22D to 0.92D)/year, for AL and SE refraction, respectively)."
"Myopia control efficacy varied among different wavelengths of light, with red light ranked as the most effective."</t>
  </si>
  <si>
    <t>The Effects of Repeated Low-Level Red-Light Therapy on the Structure and Vasculature of the Choroid and Retina in Children with Premyopia</t>
  </si>
  <si>
    <t>🧑 Human (pediatric)
🎲 Randomized trial
👥 94 participants
⌛ 12 months</t>
  </si>
  <si>
    <t>2/day for 12 months</t>
  </si>
  <si>
    <t>"Our study demonstrated a significant increase in CT and flow in the RLRL-treated eyes throughout the 12-months of the study. Combined with its reduction in spherical equivalent progression and axial elongation, RLRL could be used as an effective therapy for preventing progression in premyopes."</t>
  </si>
  <si>
    <t>China
(Luzhou)</t>
  </si>
  <si>
    <t>A meta-analysis of randomized controlled trials evaluating the effectiveness and safety of the repeated low-level red light therapy in slowing the progression of myopia in children and adolescents</t>
  </si>
  <si>
    <t>"A total of 141 articles were retrieved, and finally, six randomized controlled trials met the inclusion and exclusion criteria, including 820 eyes (RLRL group: 411 eyes, control group: 409 eyes). 
The meta-analysis results showed that the RLRL group was significantly better than the control group in controlling AL, and the difference between the two groups was statistically significant (mean difference [MD] = -0.22, 95% confidence interval [CI] [ - 0.28, -0.16]; P &lt; 0.001). The RLRL group was also better than the control group in terms of SE, and the difference between the two groups was statistically significant (MD = 0.46, 95% CI [0.32, 0.6]; P &lt; 0.001). 
Five studies reported adverse reactions in the RLRL group, and two cases stopped treatment due to the feeling of too bright light, while the others had no significant side effects in the short term."</t>
  </si>
  <si>
    <t>Agyekum</t>
  </si>
  <si>
    <t>Cost-Effectiveness Analysis of Myopia Progression Interventions in Children</t>
  </si>
  <si>
    <t>Cost-effectiveness analysis</t>
  </si>
  <si>
    <t>"Outdoor activity, atropine (0.05%), red light therapy, HALs, and orthokeratology were cost-effective. 
The ICER of atropine, 0.05%, was US $220/SER reduction; red light therapy, US $846/SER reduction; and HALs, US $448/SER reduction. 
Outdoor activity yielded a savings of US $5/SER reduction and US $8/AL reduction. 
Orthokeratology resulted in an ICER of US $2376/AL reduction."</t>
  </si>
  <si>
    <t>Salzano</t>
  </si>
  <si>
    <t>Optom Vis Sci</t>
  </si>
  <si>
    <t>Repeated Low-level Red-light Therapy: The Next Wave in Myopia Management?</t>
  </si>
  <si>
    <t>"Exposure to long-wavelength light has been proposed as a potential intervention to slow myopia progression in children. 
This article provides an evidence-based review of the safety and myopia control efficacy of red light and discusses the potential mechanisms by which red light may work to slow childhood myopia progression.The spectral composition of the ambient light in the visual environment has powerful effects on eye growth and refractive development.
Studies in mammalian and primate animal models (macaque monkeys and tree shrews) have shown that daily exposure to long wavelength (red or amber) light promotes slower eye growth and hyperopia development and inhibits myopia induced by form deprivation or minus lens wear. 
Consistent with these results, several recent randomized controlled clinical trials in Chinese children have demonstrated that exposure to red light for three minutes twice a day significantly reduces myopia progression and axial elongation. 
These findings have collectively provided strong evidence for the potential of using red light as a myopia control intervention in clinical practice. However, several questions remain unanswered. 
In this article, we review the current evidence on the safety and efficacy of red light as a myopia control intervention, describe potential mechanisms, and discuss some key unresolved issues that require consideration before red light can be broadly translated into myopia control in children."</t>
  </si>
  <si>
    <t>Wnękowicz-Augustyn</t>
  </si>
  <si>
    <t>Poland
(Katowice)</t>
  </si>
  <si>
    <t>Preventing the Progression of Myopia in Children-A Review of the Past Decade</t>
  </si>
  <si>
    <t>"The growing incidence of myopia worldwide justifies the search for efficient methods of myopia prevention. Numerous pharmacological, optical, and lifestyle measures have already been utilized, but there remains a need to explore more practical and predictable methods for myopia control. This paper presents a review of the most recent studies on the prevention of myopia progression using defocus-incorporated multiple-segment spectacle lenses (DIMSsl), repeated low-level red-light (RLRL) therapy, and a combination of low-dose atropine (0.01%) with orthokeratology lenses."</t>
  </si>
  <si>
    <t>Int J Ophthalmol</t>
  </si>
  <si>
    <t>Axial length shortening in myopic children with Stickler syndrome after repeated low-level red-light therapy</t>
  </si>
  <si>
    <t>🧑 Human (pediatric)
📄 Case series
👥 3 children with Stickler syndrome</t>
  </si>
  <si>
    <t>"At the initiation of the RLRL therapy, the spherical equivalent (SE) of 6 eyes from 3 patients ranged from -3.75 to -20.38 D, axial length (AL) were from 23.88 to 30.68 mm, and BCVA were from 0.4 to 1.0 (decimal notation). Myopia progression of all six eyes slowed down after RLRL therapy. AL in five out of the six eyes shortened -0.07 to -0.63 mm. No side effects were observed."
"Three cases of STL whose progression of myopic shift and AL elongation are successfully reduced and even reversed after RLRL therapy."</t>
  </si>
  <si>
    <t>Repeated Low-Level Red-Light Therapy for Controlling Onset and Progression of Myopia-a Review</t>
  </si>
  <si>
    <t>"Recent evidence has also suggested that RLRL may inhibit myopia progression by inhibiting spherical equivalent refraction (SER) progression and axial elongation without adverse effects. In this review, we provide scientific evidence for RLRL therapy as a unique paradigm to control myopia and support the theory that targeting neuronal energy metabolism may constitute a major target for the neurotherapeutics of myopia, with emphasis on its molecular, cellular, and nervous tissue levels, and the potential benefits of RLRL therapy for myopia."</t>
  </si>
  <si>
    <t>Efficacy of different powers of Low-level Red Light in Children Myopia Control</t>
  </si>
  <si>
    <t>🧑 Human (pediatric)
🎲 Randomized trial
👥 200 participants
⌛ 6 months</t>
  </si>
  <si>
    <t>0.37
0.60
1.20</t>
  </si>
  <si>
    <t>twice daily for 6 months</t>
  </si>
  <si>
    <t>"LRL effectively controlled myopia progression at 0.37 mW, 0.60 mW, and 1.20 mW. Despite no significant power differences, a trend indicates higher power's potential effectiveness."</t>
  </si>
  <si>
    <t>Device: "ky-n1201; Beijing Ming Ren Shi Kang Science &amp; Technology Co., Ltd. Beijing, China"</t>
  </si>
  <si>
    <t>Repeated Low-Level Red Light Therapy for the Control of Myopia in Children: A Meta-Analysis of Randomized Controlled Trials</t>
  </si>
  <si>
    <t>"A total of seven RCTs involving 1,031 children with myopia, aged 6 to 16 years, were included in the meta-analysis.
Compared with control treatment without RLRL, treatment with RLRL was associated with a significantly reduced AL (mean difference [MD]: -0.25 mm, 95% confidence interval [CI]: -0.32 to -0.17, P&lt;0.001; I2=13%) and a significantly increased cycloplegic SER (MD: 0.60 D, 95% CI: 0.44-0.76, P&lt;0.001; I2=20%)."</t>
  </si>
  <si>
    <t>She</t>
  </si>
  <si>
    <t>The effects of ambient narrowband long-wavelength light on lens-induced myopia and form-deprivation myopia in tree shrews</t>
  </si>
  <si>
    <t>Tree shrew</t>
  </si>
  <si>
    <t>624
634</t>
  </si>
  <si>
    <t>"Here we examine the effects of ambient red light on lens-induced myopia and diffuser-induced myopia in tree shrews, small diurnal mammals closely related to primates."
"As with previous studies in rhesus monkeys, the ability of red light to promote hyperopia appears to correlate with its ability to retard lens-induced myopia and form-deprivation myopia, the latter of which might be related to non-visual ocular mechanisms."
Comment: The author info claims the country is UK but apparently it's some kind of a mistake, and the authors are from Birmingham in Alabama (United States).</t>
  </si>
  <si>
    <t>Gawne</t>
  </si>
  <si>
    <t>The effects of intensity, spectral purity and duty cycle on red light-induced hyperopia in tree shrews</t>
  </si>
  <si>
    <t>"There have recently been several clinical studies suggesting that brief periods of exposure to red light (repeated low-level red light, 'RLRL') may produce a dramatic anti-myopia effect, calling for further investigations into its therapeutic parameters. Unfortunately, many experimental species used in refractive studies develop myopia in response to this wavelength. Tree shrews are the only animal model other than rhesus monkeys that consistently exhibit hyperopic responses to ambient red light. Here, tree shrews were used to study the influence of the spectral purity, duty cycle and intensity of red light on its anti-myopic effect."
"The pro-hyperopia effect of ambient red light was greatly reduced by even small amounts of concurrent white light 'contamination', but remained robust if 2-s periods of pure white light alternated with 2 s of red. Finally, the hyperopic effect of red light was maintained at reduced luminance levels in the 50-100 lux range and only failed at 5 lux."
" These results have implications for understanding the mechanisms by which ambient red light affects refractive development, and possibly also for clinical therapies using RLRL. Nevertheless, it remains to be determined if the mechanism of the current clinical RLRL therapy is the same as that operating on tree shrews in ambient red light."</t>
  </si>
  <si>
    <t>Effect of red-light therapy on retinal and choroidal blood perfusion in myopic children</t>
  </si>
  <si>
    <t>🧑 Human (pediatric)
📄 Non-randomized study, controlled
👥 67 participants
⌛ 4 weeks</t>
  </si>
  <si>
    <t>180
twice
a day</t>
  </si>
  <si>
    <t>daily
(twice a day)</t>
  </si>
  <si>
    <t>"After 4 weeks of treatment, a significant increase in SFCT was observed in the RLRLT group, with an average increase of 14.5 μm (95% confidence interval [CI]: 9.6-19.5 μm), compared with a decrease of -1.7 μm (95% CI: -9.1 to 5.7 μm) in the control group (p &lt; 0.0001). 
However, no significant changes in retinal thickness or VD% were observed in either group (all p &gt; 0.05). In the OCT images from the RLRLT group, no abnormal retinal morphology related to photodamage was observed."</t>
  </si>
  <si>
    <t>Asia Pac J Ophthalmol (Phila)</t>
  </si>
  <si>
    <t>Longitudinal Changes in Choroidal Structure Following Repeated Low-Level Red-Light Therapy for Myopia Control: Secondary Analysis of a Randomized Controlled Trial</t>
  </si>
  <si>
    <r>
      <rPr>
        <sz val="7.0"/>
      </rPr>
      <t xml:space="preserve">🧑 Human (pediatric)
📄 Post-hoc analysis
👥 143 children
⌛ 12 months
</t>
    </r>
    <r>
      <rPr>
        <i/>
        <sz val="7.0"/>
      </rPr>
      <t xml:space="preserve">secondary publication
</t>
    </r>
  </si>
  <si>
    <t>"Following RLRL therapy, the choroidal thickening was found to be accompanied by increases in both the vessel LA and SA, with the increase in LA being greater than that of SA. In the control group, with myopia progression, both the LA and SA decreased over time."</t>
  </si>
  <si>
    <t>He</t>
  </si>
  <si>
    <t>Effect of Repeated Low-level Red Light on Myopia Prevention Among Children in China With Premyopia: A Randomized Clinical Trial</t>
  </si>
  <si>
    <t>🧑 Human (pediatric)
🎲 Randomized trial
👥 278 participants
⌛ 12 months</t>
  </si>
  <si>
    <t>"In this randomized clinical trial, RLRL therapy was a novel and effective intervention for myopia prevention, with good user acceptability and up to 54.1% reduction in incident myopia within 12 months among children with premyopia."</t>
  </si>
  <si>
    <t>Am J Ophthalmol</t>
  </si>
  <si>
    <t>Efficacy of repeated low-level red-light therapy for slowing the progression of childhood myopia: A systematic review and meta-analysis</t>
  </si>
  <si>
    <t>"This analysis included thirteen studies (eight randomized controlled trials, three non-randomized controlled trials, and two cohort studies) involving 1857 children and adolescents. 
Eight studies met the meta-analysis criteria, and the WMD for myopia progression between RLRL and the control group was 0.68 D per 6 months (95%CI, 0.38 to 0.97 D; I2=97.7%; P&lt;0.001) for SER change, -0.35mm per 6 months (95%CI, -0.51 to -0.19 mm; I2=98.0%; P&lt;0.001) for AL elongation and 36.04 μm per 6 months (95%CI, 19.61 to 52.48 μm; I2=89.6%; P&lt;0.001) for SFChT change."
"Our meta-analysis shows that RLRL therapy may be effective for delaying the progression of myopia. The evidence is low-certainty and larger and better RCTs with 2-year follow-ups are needed to improve the existing state of knowledge to inform medical guidelines more comprehensively."</t>
  </si>
  <si>
    <t>Axial Shortening in Myopic Children after Repeated Low-Level Red-Light Therapy: Post Hoc Analysis of a Randomized Trial</t>
  </si>
  <si>
    <t>🧑 Human (pediatric)
📄 Post-hoc analysis
👥 264 (eyes?)
⌛ 12 months</t>
  </si>
  <si>
    <t>"Nearly a quarter of children had &gt; 0.05 mm AL shortening following 12 months of RLRL therapy, whereas AL shortening rarely occurred among controls."</t>
  </si>
  <si>
    <t>China</t>
  </si>
  <si>
    <t>Ophthalmic Res</t>
  </si>
  <si>
    <t>A study on the effectiveness of a 650-nm red-light feeding instrument in the control and slow the progression of myopia</t>
  </si>
  <si>
    <t>🧑 Human (pediatric)
📄 Non-randomized study, controlled
👥 164 participants
⌛ ~2 month time to return-visit</t>
  </si>
  <si>
    <t>PBM vs single-vision spectacle</t>
  </si>
  <si>
    <t>"41 were enrolled in the mild-to-moderate myopia group that received red-light feeding (RLMM group), 65 were enrolled in the mild-to-moderate myopia group that received single-vision spectacle treatment (SVSMM group), and 58 were included in the severe-myopia group that received red-light feeding (RLS group)."
"As the primary outcome, the axial length changes in the right eye of the SVSMM group (0.08 ± 0.40 mm), the RLMM group (-0.03 ± 0.11 mm), and the RLS group (-0.07 ± 0.11 mm) were compared and showed a statistical result of P &lt; 0.001."
"The study results verified that red light had a noticeable effect on the control of myopia and that low-level red-light therapy played a vital role in the treatment of severe myopia."</t>
  </si>
  <si>
    <t>China
(Ningbo)</t>
  </si>
  <si>
    <t>Photobiomodulation therapy retarded axial length growth in children with myopia: evidence from a 12-month randomized controlled trial evidence</t>
  </si>
  <si>
    <t>🧑 Human (pediatric)
🎲 Randomized trial
👥 50 participants
⌛ 12 months</t>
  </si>
  <si>
    <t>0.00035</t>
  </si>
  <si>
    <t>twice a day</t>
  </si>
  <si>
    <t>"The mean difference in AL growth between the two groups at 12 months was 0.50 mm (PBM vs. Control, - 0.02 mm ± 0.11 vs. 0.48 mm ± 0.16, P &lt; 0.001), and the mean difference in cycloplegic SER at 12 months was + 1.25 D (PBM vs. Control, + 0.28 D ± 0.26 vs. - 0.97 D ± 0.25, P &lt; 0.001). There were no significant differences in any of the other parameters (including SFChT, ACD, and CCP) between the two groups at any time point."
"PBM therapy is an effective intervention for slightly decreasing the AL to control myopia in children."</t>
  </si>
  <si>
    <t>Suppressive effects of violet light transmission on myopia progression in a mouse model of lens-induced myopia</t>
  </si>
  <si>
    <t>🟣 Violet light (blue light)</t>
  </si>
  <si>
    <t>360-
400</t>
  </si>
  <si>
    <t>"In this study, the extent of the preventive effect of myopia was affected by the transmittance and intensity of the VL in the LIM in a murine model. Because the lens of the mouse has very high VL transmission, we divided them into groups with three different transmissions (40%, 70%, and 100%). The 100% transmission lens group exhibited a myopia-suppressive effect, whereas the 40% transmissive lens group exhibited a weak myopia-inhibitory effect. Our results suggest a minimum effective VL dose for myopia suppression."
"For clinical treatment, further validation of the exposure timing of VL in humans is needed since mice are nocturnal animals. Furthermore, mice have different photoreceptors from humans, such as short-wavelength cones, and different light transmittances in their eyes. Additionally, the mechanisms underlying the suppression of myopia caused by VL have not yet been elucidated. By overcoming these limitations, we propose a standard clinical application to prevent and treat myopia progression caused by VL."</t>
  </si>
  <si>
    <t>Axial Length Shortening and Choroid Thickening in Myopic Adults Treated with Repeated Low-Level Red Light</t>
  </si>
  <si>
    <t>🧑 Human (pediatric)
🎲 Randomized trial
👥 98 participants
⌛ 4-week treatment -&gt; 4-week follow-up</t>
  </si>
  <si>
    <t>Illuminance level 1600 lux through the pupil</t>
  </si>
  <si>
    <t>twice daily for 4 weeks</t>
  </si>
  <si>
    <t>"A linear mixed-effects model showed that the AL of the subjects in RLRL decreased from 24.63 ± 1.04 mm to 24.57 ± 1.04 mm, and the SChT thickened by 18.34 μm. CVI had a slight but significant increase in the 0–6 zone. However, all the anterior segment parameters did not change after RLRL treatment."
"Our study showed that the choroid's thickening is insufficient to explain the axial length shortening. The unchanged anterior segment and improved choroid blood flow suggest that the AL shortening in this study is mainly related to changes in the posterior segment."</t>
  </si>
  <si>
    <t>Clinically Significant Axial Shortening in Myopic Children After Repeated Low-Level Red Light Therapy: A Retrospective Multicenter Analysis</t>
  </si>
  <si>
    <t>🧑 Human (pediatric)
📄 Retrospective study
👥 434 patients
⌛ at least 12 months</t>
  </si>
  <si>
    <t>"More than a quarter of children had AL shortening &gt; 0.05 mm following RLRL therapy, and the overall mean AL change was -0.142 mm/year. Further studies should explore the mechanisms underlying AL shortening."</t>
  </si>
  <si>
    <t>Investigation of the Efficacy and Safety of 650 nm Low-Level Red Light for Myopia Control in Children: A Randomized Controlled Trial</t>
  </si>
  <si>
    <t>🧑 Human (pediatric)
🎲 Randomized trial
👥 224 participants
⌛ 6 months</t>
  </si>
  <si>
    <t>"650 nm LLRL significantly slowed down the myopia progression in children aged 6-12 years, and there was no observable side effect in the short term."</t>
  </si>
  <si>
    <t>Device: "Product Name: Myopia and Amblyopia Treatment Apparatus. Product Model: YF020A. The Medical Device Registration No. 20212162067. Manufacturer: Hunan EnVan Technology Co.,Ltd. The details are available in Supplementary Material), which is a patented technology of Beijing Tongren Hospital (patent number ZL202022533301.4)"</t>
  </si>
  <si>
    <t>Low-intensity red-light therapy in slowing myopic progression and the rebound effect after its cessation in Chinese children: a randomized controlled trial</t>
  </si>
  <si>
    <t>🧑 Human (pediatric)
⚔  Comparison study, randomized
👥 102 participants
⌛ 12 months</t>
  </si>
  <si>
    <t>⚔ PBM vs single-focus spectacles</t>
  </si>
  <si>
    <t>2 per day
for 12 months</t>
  </si>
  <si>
    <t>"LRL is an effective measure for preventing and controlling myopia, and it may also have the ability to improve the accommodative function. There may be a slight myopic rebound after its cessation. The effect of long-term LRL therapy needs to be further explored."</t>
  </si>
  <si>
    <t>Efficacy Comparison of Repeated Low-Level Red Light and Low-Dose Atropine for Myopia Control: A Randomized Controlled Trial</t>
  </si>
  <si>
    <t>🧑 Human (pediatric)
⚔  Comparison study, randomized
👥 62 participants
⌛ 12 months</t>
  </si>
  <si>
    <t>⚔ PBM vs atropine</t>
  </si>
  <si>
    <t>180
twice
daily
= 360</t>
  </si>
  <si>
    <t>daily for 12 months</t>
  </si>
  <si>
    <t>"The mean 1-year change in AL was 0.08 mm (95% confidence interval [CI], 0.03-0.14) in the RLRL group and 0.33 mm (95% CI, 0.27-0.38) in the LDA group"
"In this study, RLRL was more effective for controlling AL and myopia progression over 12 months of use compared with 0.01% atropine eye drops."</t>
  </si>
  <si>
    <t>Device: "Eyerising; Suzhou Xuanjia Optoelectronics Technology, Jiangsu, China" 
Device description: "The device emits red light at 650 ± 10 nm from semiconductor laser diodes at an illuminance level of 1600 lux from pupil to fundus."</t>
  </si>
  <si>
    <t>Longitudinal changes and predictive value of choroidal thickness for myopia control following repeated low-level red-light therapy</t>
  </si>
  <si>
    <r>
      <rPr>
        <sz val="7.0"/>
      </rPr>
      <t xml:space="preserve">🧑 Human
</t>
    </r>
    <r>
      <rPr>
        <i/>
        <sz val="7.0"/>
      </rPr>
      <t>(secondary analysis from Jiang 2021 data)</t>
    </r>
  </si>
  <si>
    <t>0.29
through
pupil</t>
  </si>
  <si>
    <t xml:space="preserve">2x
180
</t>
  </si>
  <si>
    <t>daily
during
weekdays
for
12 months</t>
  </si>
  <si>
    <t>"This analysis from a multicenter RCT found RLRL therapy induced sustained choroidal thickening over the full course of treatment. Macular CT changes at 3 months alone can predict 12-month myopia control efficacy with reasonable accuracy."</t>
  </si>
  <si>
    <t>China
(Baotou)</t>
  </si>
  <si>
    <t>Myopia Control Effect of Repeated Low-Level Red-Light Therapy in Chinese Children: A Randomized, Double-Blind, Controlled Clinical Trial</t>
  </si>
  <si>
    <t>🧑 Human (pediatric)
🎲 Randomized trial, double-blind
👥 112 participants
⌛ 6 months</t>
  </si>
  <si>
    <t>red</t>
  </si>
  <si>
    <t>0.29
active
0.03
sham
entering the 4mm pupil</t>
  </si>
  <si>
    <t>"The mean SER change over 6 months was 0.06±0.30 D in the RLRL group and -0.11±0.33 D in the sham device control group (P=0.003), with respective mean increases in AL of 0.02±0.11 mm and 0.13±0.10 mm (P&lt;0.001)."
"In myopic children, RLRL therapy in 100% power significantly reduced myopia progression over 6 months compared with those treated with a sham device of 10% original power. RLRL treatment was well tolerated without a treatment-related adverse effect."</t>
  </si>
  <si>
    <t>Device: "The RLRL group received a desktop red light therapy device (Eyerising, Suzhou Xuanjia Optoelectronics Technology, Jiangsu, China), which has been widely used for amblyopia treatment in China over the past few decades."</t>
  </si>
  <si>
    <t>Clin Exp Ophthalmol</t>
  </si>
  <si>
    <t>Sustained and rebound effect of repeated low-level red-light therapy on myopia control: A 2-year post-trial follow-up study</t>
  </si>
  <si>
    <t>🧑 Human (pediatric)
📄 Randomized trial follow-up
👥 114 patients (analysed)
⌛ 1-year follow-up after 12-month study</t>
  </si>
  <si>
    <t>2/day,
5 days/wk,
over 2 years</t>
  </si>
  <si>
    <t>"Continued RLRL therapy sustained promising efficacy and safety in slowing myopia progression over 2 years. A modest rebound effect was noted after treatment cessation."</t>
  </si>
  <si>
    <t>Red light irradiation as an intervention for myopia</t>
  </si>
  <si>
    <t>"Based on a thorough review of the available literature, we conclude that red light irradiation can produce hyperopia, resulting in myopia prevention and control. Further, we suggest that red light irradiation may be a powerful tool for myopia prevention and control in the future. At the same time, red light has a protective effect on the cornea and retina at the cellular level, suggesting that red light irradiation may be a safe and effective modality for delaying myopia."</t>
  </si>
  <si>
    <t>Low-intensity, long-wavelength red light slows the progression of myopia in children: an Eastern China-based cohort</t>
  </si>
  <si>
    <t>🧑 Human (pediatric)
📄 Retrospective study
👥 105 participants
⌛ 9 months</t>
  </si>
  <si>
    <t>2x
180</t>
  </si>
  <si>
    <t>daily
(?)</t>
  </si>
  <si>
    <t>"At 9 months, the mean SER in the LLRT group was -2.87 ± 1.89 D, significantly greater than that of the control group (-3.57 ± 1.49 D, p &lt; 0.001)."
"Repetitive exposure to LLRT therapy was associated with slower myopia progression and reduced axial growth after short durations of treatment. These results require further validation in randomised controlled trials."
Comment: The output power in PBM treatment was very low, but it is possible that all of the output light goes inside pupil to the retina. The device design is not shown in the paper, though.
Comment: Though it is not clearly stated, it seems that during the 9-month period, patients were using the device twice every day. The treatment is similar to the Jiang et al. 2021 study.</t>
  </si>
  <si>
    <t>Effect of Repeated Low-Level Red-Light Therapy in Myopia Control in Children: A Multicenter Randomized Controlled Trial</t>
  </si>
  <si>
    <t>🧑 Human (pediatric)
🎲 Randomized trial, double-blind
👥 264 participants
⌛ 12 months</t>
  </si>
  <si>
    <t>Large sample size RCT (&gt;150)</t>
  </si>
  <si>
    <t>"The RLRL treatment was provided by a desktop light therapy device which emits red light of 650 nm in wavelength, at an illuminance level of approximately 1600 lux and a power of 0.29 mW for a 4-mm pupil (Class I Classification), and was administered at home under supervision of parents, 3 minutes per session, twice per day with a minimum interval of 4-hours, five days per week."
"Among 264 randomized participants, 246 (93.2%) children were included in the analysis (n = 117 in the RLRL and n = 129 in the SVS group).
Adjusted 12-month axial elongation and SER progression were 0.13 mm (95% CI: 0.09 to 0.17) and -0.20 D (95% CI: -0.29 to -0.11) for RLRL treatment, 0.38 mm (95% CI: 0.34 to 0.42) and -0.79 D (95%CI, -0.88 to -0.69) for SVS. The difference in axial elongation and SER progression were 0.26 mm (95% CI: 0.20 to 0.31) and -0.59 D (95% CI: -0.72 to -0.46) between the RLRL and SVS groups.
No severe adverse events (sudden vision loss by 2 lines or scotoma developed), functional visual loss indicated by BCVA, or structural damage seen on optical coherence tomography scans were observed."</t>
  </si>
  <si>
    <t>Muralidharan</t>
  </si>
  <si>
    <t>Ther Adv Ophthalmol</t>
  </si>
  <si>
    <t>Light and myopia: from epidemiological studies to neurobiological mechanisms</t>
  </si>
  <si>
    <t>"Overall, available data from humans and experimental animal models suggest that high-intensity light even in discontinuous patterns is capable of preventing myopia onset. These findings support the need for well-devised outdoor programmes in children, especially in countries where myopia is prevalent. Nevertheless, less intense light levels (~500 lux) delivered in classrooms or using light delivery wearables may also be protective against myopia. Similarly, the spectro-temporal tuning of such moderate light levels has shown promise for myopia control, especially in animal models.
However, the development of tailored light-therapy strategies for myopia control in humans remains challenging given the gaps in understanding the synergetic impact of light parameters within other environmental features."</t>
  </si>
  <si>
    <t>Taiwan
(Yunlin)</t>
  </si>
  <si>
    <t>Effect of Low-Level Laser Irradiation on Accommodation and Visual Fatigue</t>
  </si>
  <si>
    <t>🧑 Human
📄 Single-arm study (pre-post) (2 phases: active and control)
👥 49 participants
⌛2 sessions, 1-week interval</t>
  </si>
  <si>
    <t>0.1
cm2
beam
area</t>
  </si>
  <si>
    <t>"In a 30-min break, all participants underwent two tests of with (experimental group) and without (control group) low-level laser irradiation on the auricular points. Then, refractive error tests were conducted to evaluate the participants' eye accommodation."
"The results revealed that with treatment of the auricular points with and without low-level laser irradiation, the refractive error of the participants' binocular left and right eyes decreased by -0.12 D (-0.18 D) in the experimental grou and by -0.05 D (-0.02D) in the control group. For the amplitudes of accommodation (AA) examination, the AA of the participants' binocular in the experimental group became 7.98 ± 1.35 D (7.65 ± 1.37 D). The AA of participants' binocular can recover to the level before the class."
"The results indicated that low-level laser irradiation at auricular points restored the eye accommodation faster than did natural closing of the eyes."</t>
  </si>
  <si>
    <t>Orthokeratology and Low-Intensity Laser Therapy for Slowing the Progression of Myopia in Children</t>
  </si>
  <si>
    <t>🧑 Human
🎲 Randomized trial
👥 229 participants
⌛ 6 months</t>
  </si>
  <si>
    <t>180+
180
per day</t>
  </si>
  <si>
    <t>twice
daily
for
6 months
(?)</t>
  </si>
  <si>
    <t>"Changes in axial length (AL) were 0.23 ± 0.06 mm for children wearing spectacles, 0.06 ± 0.15 mm for children wearing OK lens, and -0.06 ± 0.15 mm for children treated with LLLT for 6 months. Changes in subfoveal choroidal thickness (SFChT) observed at the 6-month examination were -16.84 ± 7.85 μm, 14.98 ± 22.50 μm, and 35.30 ± 31.75 μm for the control group, OK group, and LLLT group, respectively."
"Slightly better myopia control was observed with LLLT treatment than with overnight OK lens-wearing."
("Orthokeratology (OK) is widely used to slow the progression of myopia.")</t>
  </si>
  <si>
    <t>China
(Changsha)</t>
  </si>
  <si>
    <t>Effects of the long wavelength-filtered continuous spectrum on natural refractive development in juvenile guinea pigs.</t>
  </si>
  <si>
    <t>"After 6wk of exposure, high-intensity lighting enhanced hyperopic shift; medium- and low-intensity lighting enhanced myopic shift (P&lt;0.05)."
"Under medium- and low-intensity lighting, filtering out the long wavelength inhibits axial growth in juvenile guinea pigs."</t>
  </si>
  <si>
    <t>Germany
(Tuebingen)</t>
  </si>
  <si>
    <t>Effects of Light of Different Spectral Composition on Refractive Development and Retinal Dopamine in Chicks.</t>
  </si>
  <si>
    <t>375
470
620</t>
  </si>
  <si>
    <t>"Red, blue, and UV lighting all stimulated the release of retinal DA, but there were wavelength-dependent differences in DA release and metabolism. Less deprivation myopia developed in UV and blue lighting, compared to white and red light. 
The application of these findings to humans is limited by the fact that, different from chicks, humans have very low sensitivity in the near-UV region of the spectrum."</t>
  </si>
  <si>
    <t>Hung</t>
  </si>
  <si>
    <t>Narrow-band, long-wavelength lighting promotes hyperopia and retards vision-induced myopia in infant rhesus monkeys.</t>
  </si>
  <si>
    <t>Rhesus monkey
(Illumination by red light in order to prevent myopia development)</t>
  </si>
  <si>
    <t>"[Our] observations in monkey and those in tree shrews would suggest [that] (...) to reduce the risk for myopia or myopia progression, efforts should be made to increase the prevalence of long-wavelengths in the environment."</t>
  </si>
  <si>
    <t>The wavelength composition and temporal modulation of ambient lighting strongly affect refractive development in young tree shrews.</t>
  </si>
  <si>
    <t>464
626</t>
  </si>
  <si>
    <t>"We hypothesized that narrow-band red light should signal that the eye is becoming too long and inhibit eye growth, and that flickering blue light should signal that the eye is too short and stimulate eye growth. We tested this hypothesis on infant tree shrews (a diurnal mammal closely related to primates) by raising them in red or blue ambient light that was either steady or flickering. "
"The substantial hyperopia produced by the long-wavelength LEDs might eventually prove useful as a counter-measure against myopia. Interestingly, we recently have found that the red-light treatment can produce hyperopia in adolescent tree shrews that have completed normal emmetropization (Norton et al., 2016). Also, in young tree shrews, presenting the red light for as little as 2 hours per day slows the decrease in refraction toward emmetropia (Gawne et al., 2016). Conversely, the myopiagenic effect of the specific short-wavelength flicker used here raises the possibility that there may be similar stimuli present in some artificial lighting that should be avoided."</t>
  </si>
  <si>
    <t>Vision Res</t>
  </si>
  <si>
    <t>Long-wavelength (red) light produces hyperopia in juvenile and adolescent tree shrews.</t>
  </si>
  <si>
    <t>624 /
636</t>
  </si>
  <si>
    <t>"Although plus lenses do not restrain eye growth in juvenile tree shrews, the red light-induced slowed growth and hyperopia in juvenile and adolescent tree shrews demonstrates that the emmetropization mechanism is still capable of restraining eye growth at these ages."</t>
  </si>
  <si>
    <t>Dolgin E</t>
  </si>
  <si>
    <t>USA
(Somerville, MA)</t>
  </si>
  <si>
    <t>The myopia boom.</t>
  </si>
  <si>
    <t>News feature</t>
  </si>
  <si>
    <t>"Short-sightedness is reaching epidemic proportions. Some scientists think they have found a reason why."</t>
  </si>
  <si>
    <t>Myopia (progressive)</t>
  </si>
  <si>
    <t>Shurygina &amp; Khadzhieva</t>
  </si>
  <si>
    <t>[Effect of infrared low-intensity laser therapy on orbital blood circulation in children with progressive short sightedness].
[Article in Russian]</t>
  </si>
  <si>
    <t>🧑 Human
📄 Single-arm trial
👥 88 participants
⌛ (?)</t>
  </si>
  <si>
    <t>Single treatment arm (with two different patient populations)</t>
  </si>
  <si>
    <t>"The study group (group 1) comprised 66 children with moderately severe progressive myopia (112 eyes), the control one (group 2) included 22 patients without visual disturbances (44 eyes). Patients of group 1 received physiotherapy for the treatment of significantly deteriorated hemodynamics in the orbital region. Indirect action of LIIRR on the orbital region promoted stabilization of short-handedness in 78.8% of the treated patients."
Comment: I think some of the Russian research on photobiomodulation and eyes isn't done by irradiation of eyes directly, but instead by irradiation of other parts of the head (transcranial photobiomodulation). This should be verified.</t>
  </si>
  <si>
    <t>Occipital cortex</t>
  </si>
  <si>
    <t>Biomed Pharmacother</t>
  </si>
  <si>
    <t>Light-Emitting Diode (LED) therapy improves occipital cortex damage by decreasing apoptosis and increasing BDNF-expressing cells in methanol-induced toxicity in rats.</t>
  </si>
  <si>
    <t>LED phototherapy
Brain (occipital cortex)</t>
  </si>
  <si>
    <t>"LED therapy significantly reduced RGC death, in comparison to the methanol group. In addition, the number of BDNF positive cells was significantly higher in the visual cortex of LED-treated group, in comparison to methanol-intoxicated and control groups. Moreover, LED therapy caused a significant decrease in cell death (caspase 3+ cells) and a significant reduction in the NO levels, both in serum and brain tissue, in comparison to methanol-intoxicated rats.
Overall, LED therapy demonstrated a number of beneficial effects in decreasing oxidative stress and in functional recovery of RGCs and visual cortex. Our data suggest that LED therapy could be a potential condidate as a non-invasive approach for treatment of retinal damage, which needs further clinical studies."</t>
  </si>
  <si>
    <t>Ocular hypertension</t>
  </si>
  <si>
    <t>Dimitrova</t>
  </si>
  <si>
    <t>Macedonia
(Skopje)</t>
  </si>
  <si>
    <t>The effect of infra-red light on intraocular pressure.</t>
  </si>
  <si>
    <t>🧑 Human
📄 Non-randomized study, controlled
👥 34 participants
⌛ single session</t>
  </si>
  <si>
    <t>heat
lamp
(?)</t>
  </si>
  <si>
    <t>"In [irradiation group] IOP from the second measurement (mean 15.27 mmHg; SD 1.87 mmHg) was significantly decreased than the IOP from the first measurement (mean 16.67 mmHg; SD 2.38 mmHg; p=0.03)."
"In [control group] IOP from the second measurement (mean 15.21 mmHg; SD 3.26 mmHg) was not significantly diffe rent than the IOP from the first measurement (mean 15.71 mmHg; SD 2.42 mmHg; p=0.46)"</t>
  </si>
  <si>
    <t>Device: 150 W IRL bulb (General Electric E27 that emits mixed IRL with mainly shorter wavelengths (mid IRL, near IRL and visible red light)) on a distance of 40 cm</t>
  </si>
  <si>
    <t>Del Olmo-Aguado</t>
  </si>
  <si>
    <t>Red light of the visual spectrum attenuates cell death in culture and retinal ganglion cell death in situ.</t>
  </si>
  <si>
    <t>🐀 Rat
(in vivo)</t>
  </si>
  <si>
    <t>Retinal ischemia</t>
  </si>
  <si>
    <t>"Low, non-toxic levels of red light focussed on the retina for a short period of time are sufficient to attenuate an insult of raised IOP to the rat retina. Since mitochondrial dysfunctions are thought to play a major role in ganglion cell death in glaucoma, we propose the potential use of red light therapy for the treatment of the disease."</t>
  </si>
  <si>
    <t>Ivandic</t>
  </si>
  <si>
    <t>Early diagnosis of ocular hypertension using a low-intensity laser irradiation test.</t>
  </si>
  <si>
    <t>🧑 Human
📄 Case series
👥 123 patients, 211 eyes
⌛ single session</t>
  </si>
  <si>
    <t>"In this study of a case series we examined the potential use of LILI as a tool to determine the individual physiological IOP. The aim was to differentiate between normoand hypertensive eyes by classifying changes in IOP after irradiation of the limbus area of the eye with a weak laser."
"We report here for the first time that LILI of the limbus area of the eye may lower the IOP. The laser power used here does not cause thermal damage and may well reach the ciliary body and the trabecular meshwork as previously shown."
"A study limitation is the lack of long-term observations after LILI. It is currently unknown, how long the effects of a single LILI treatment last."
"The largest decrease in IOP (_x0001_26%) was observed in eyes with a pathological baseline IOP of &gt;21 mm Hg which exhibited ocular hypertension without damage. However, LILI also decreased IOP in most eyes (73%) with a 'normotensive' baseline IOP reaching a mean level of 14.1 mm Hg in this group, which is in agreement with the accepted population-based normative IOP."
"The diagnostic 'LILI test' introduced here, may be particularly useful to detect latent ocular hypertension in eyes with apparently ‘‘normotensive’’ but potentially nonphysiological IOP, if ocular hypertension is associated with an open angle. Eyes with ocular hypertension may be at risk of developing glaucoma later on. Untreated ocular hypertension leads to glaucoma in 9.5% of cases."</t>
  </si>
  <si>
    <t>Optic nerve injury</t>
  </si>
  <si>
    <t>Beirne</t>
  </si>
  <si>
    <t>Red Light Irradiation In Vivo Upregulates DJ-1 in the Retinal Ganglion Cell Layer and Protects against Axotomy-Related Dendritic Pruning</t>
  </si>
  <si>
    <t>"In vivo 670 nm light pretreatment inhibited the RGC dendropathy observed in untreated wild-type retinas over 16 h ex vivo and inhibited dendropathy in ON-center RGCs in wild-type but not Opa1+/- retinas. Immunohistochemistry revealed that aged Opa1+/- RGCs exhibited increased nitrosative damage alongside significantly lower activation of NF-κB and upregulation of DJ-1.
PBM restored NF-κB activation in Opa1+/- RGCs and enhanced DJ-1 expression in both genotypes, indicating a potential molecular mechanism priming the retina to resist future oxidative insult. 
These data support the potential of PBM as a treatment for diseases involving RGC degeneration."</t>
  </si>
  <si>
    <t>Red Light Treatment in an Axotomy Model of Neurodegeneration.</t>
  </si>
  <si>
    <t>Ex vivo (🐁 Mouse)</t>
  </si>
  <si>
    <t>LED phototherapy
Optic nerve injury (axotomy)</t>
  </si>
  <si>
    <t>31.7</t>
  </si>
  <si>
    <t>"The results demonstrate the ability of 670 nm light to partially prevent ex vivo dendropathy in the mouse retina, suggesting that it is worth exploring as a treatment option for dendropathy-associated neurodegenerative diseases, including glaucoma and Alzheimer's disease."</t>
  </si>
  <si>
    <t>So</t>
  </si>
  <si>
    <t>Effects of low level laser treatment on the survival of axotomized retinal ganglion cells in adult Hamsters.</t>
  </si>
  <si>
    <t>"The effect was most apparent in the first week with a short period of treatment time (5 minutes) in which 65-66% of retinal ganglion cells survived the optic nerve axotomy whereas 45-47% of retinal ganglion cells did so in optic nerve axotomy controls. We also found that single dose and early commencement of laser irradiation were important in protecting retinal ganglion cells following optic nerve axotomy. These findings thus convincingly show that appropriate laser treatment may be neuroprotective to retinal ganglion cells."</t>
  </si>
  <si>
    <t>Szymanski</t>
  </si>
  <si>
    <t>Australia
(Crawley)</t>
  </si>
  <si>
    <t>Paranode Abnormalities and Oxidative Stress in Optic Nerve Vulnerable to Secondary Degeneration: Modulation by 670 nm Light Treatment.</t>
  </si>
  <si>
    <t>LED phototherapy
Partial optic nerve transection
Cytochrome oxidase</t>
  </si>
  <si>
    <t>"When assessed following 3 months of 670 nm light treatment after injury, cytochrome c oxidase activity remained significantly increased compared to normal and PT handled ON (ON including both the dorsal injury site and the ventral region, p = 0.004, dF = 2, Fig. 4e, representative images in Fig. 4f)."
"As expected, there was a significant decrease in numbers of retrogradely labelled RGCs in central and ventral retina following injury (PT handled compared to handled normal, ventral retina, p = 0.012, dF = 2, Fig. 8a). However, there was no significant loss of RGCs in central or ventral retinae following injury when animals were treated with the 670 nm light (PT 670 nm compared to handled normal, p&gt;0.05)."
"Importantly, preservation of RGCs was associated with improvements in visual function outcomes. Long – term 670 nm light treatment significantly increased numbers of smooth pursuit responses in the optokinetic nystagmus test of visual reflex, compared to injured control animals (p = 0.0156, dF = 2, Fig. 8b), and both smooth pursuit and fast reset responses in 670 nm light treated animals were not different to responses by normal handled animals (p&gt;0.05)."
"Long term (3 month) administration of 670 nm light preserves retinal ganglion cells vulnerable to secondary degeneration and maintains visual function, as assessed by the optokinetic nystagmus visual reflex. Light at a wavelength of 670 nm may serve as a therapeutic intervention for treatment of secondary degeneration following neurotrauma."</t>
  </si>
  <si>
    <t>Near infrared light reduces oxidative stress and preserves function in CNS tissue vulnerable to secondary degeneration following partial transection of the optic nerve.</t>
  </si>
  <si>
    <t>0.0252</t>
  </si>
  <si>
    <t>"In this study, we show that diffuse transcranial irradiation of the injury site with far red to near infrared (NIR) light (WARP 10 LED array, center wavelength 670 nm, irradiance 252 W/m(-2), 30 min exposure), as opposed to perception of light at this wavelength, reduced oxidative stress in areas of the ON vulnerable to secondary degeneration following partial injury. The WARP 10 NIR light treatment also prevented increases in NG-2-immunopositive oligodendrocyte precursor cells (OPCs) that occurred in ventral ON as a result of partial ON transection.
Importantly, normal visual function was restored by NIR light treatment with the WARP 10 LED array, as assessed using optokinetic nystagmus and the Y-maze pattern discrimination task.
To our knowledge, this is the first demonstration that 670-nm NIR light can reduce oxidative stress and improve function in the CNS following traumatic injury in vivo."</t>
  </si>
  <si>
    <t>Neuroprotective effects of near-infrared light in an in vivo model of mitochondrial optic neuropathy.</t>
  </si>
  <si>
    <t>Optic neuropathy
(rotenone)
LED phototherapy
Cytochrome oxidase
Dose response (treatment sessions)</t>
  </si>
  <si>
    <t>d =
4.4 cm
(?)</t>
  </si>
  <si>
    <t>"Rotenone induced a decrease in visual function, as determined by changes in the dark-adapted illuminance sensitivity threshold, escape latency and rate of successful trials in a two-choice visual task, compared with vehicle-treated controls. Behavioral impairment correlated with a decrease in retinal and visual pathway metabolic activity, retinal nerve fiber layer thickness and ganglion cell layer cell density.
These changes were prevented by NIL treatments in a dose-dependent manner. Whole-brain cytochrome oxidase and superoxide dismutase activities were also increased in NIL-treated subjects in a dose-dependent manner, suggesting an in vivo transcranial effect of NIL. In whole-brain membrane isolates, NIL prevented the rotenone-induced decrease in cell respiration.
The results show that NIL treatment can effectively prevent the neurotoxic effects of rotenone and that it might be used in the treatment of neurodegenerative disorders associated with mitochondrial dysfunction."</t>
  </si>
  <si>
    <t>Rosner</t>
  </si>
  <si>
    <t>Dose and temporal parameters in delaying injured optic nerve degeneration by low-energy laser irradiation.</t>
  </si>
  <si>
    <t>LLLT vs "noncoherent 904nm light" (?)
Coherence</t>
  </si>
  <si>
    <t>120-
180</t>
  </si>
  <si>
    <t>"Irradiation with a 10.5 mW helium-neon laser for 2 and 3 min once a day for 14 consecutive days resulted in maximal preservation of action potentials (1.78 +/- 0.72 and 1.95 +/- 0.71 mV, respectively). Irradiations beginning immediately prior to the injury were as effective as irradiations beginning soon after it."
"Irradiations for longer than 3 min or twice a day aggravated the damage. Noncoherent infrared light was ineffective or adversely affected the injured nerves."
"Our experiments suggest that optimal delay of posttraumatic optic nerve degeneration in rats is attainable with 10.5 mW helium-neon laser irradiations for 2 or 3 min once a day for 14 consecutive days."</t>
  </si>
  <si>
    <t>Assia</t>
  </si>
  <si>
    <t>Temporal parameters of low energy laser irradiation for optimal delay of post-traumatic degeneration of rat optic nerve.</t>
  </si>
  <si>
    <t>"Two weeks of irradiation begun immediately after injury and continued daily thereafter, resulted in a compound action potential which was significantly higher (mean +/- S.E.M. 1856 +/- 535 microV) than that of non-irradiated injured nerves (351 +/- 120 microV). The effect was temporary and subsided within a week. This two-week irradiation was slightly more effective than a treatment lasting one week (1406 +/- 225 microV) and was significantly more effective than 4 days of irradiation (960 +/- 133 microV). The number of treatments is therefore important."
"The time at which the treatment commences relative to the injury is also critical. Irradiation initiated two hours after the crush was about half as effective as immediate irradiation (810 +/- 42 microV). No apparent effect was evident when the laser was applied for the first time 5 h, or longer, after the crush."</t>
  </si>
  <si>
    <t>Schwartz</t>
  </si>
  <si>
    <t>Effects of low-energy He-Ne laser irradiation on posttraumatic degeneration of adult rabbit optic nerve.</t>
  </si>
  <si>
    <t>8-
14</t>
  </si>
  <si>
    <t>"Low-power He-Ne irradiation may prevent some of the consequences of mammalian CNS injury. Such prevention is manifested in the promotion of axonal sur- vival after injury. This conclusion is based on the mor- phological analyses of repeated transcutaneous irradiation of crushed rabbit optic nerves."</t>
  </si>
  <si>
    <t>Orbital implants</t>
  </si>
  <si>
    <t>Helium-neon laser therapy in the treatment of hydroxyapatite orbital implant exposure: A superior option.</t>
  </si>
  <si>
    <t>🧑 Human
⚔  Comparison study, randomized
👥 70 participants
⌛ 10-day treatment /  follow-up up to 40 months
+ 🐇 Rabbit</t>
  </si>
  <si>
    <t>⚔  PBM vs drugs+surgery</t>
  </si>
  <si>
    <t>10
/ 10 days</t>
  </si>
  <si>
    <t>"In the human experiment, the rates for conjunctival wound healing were 97.14% in group A and 74.29% in group B, with a significant difference between the groups (χ2=5.71, P&lt;0.05)."
"Patients with mild exposure were healed after 7.22±2.11 days of helium-neon laser therapy and 14.33±3.20 days of drugs plus surgery."
"Patients with moderate to severe exposure were healed after 18.19±2.12 days of helium-neon laser therapy and 31.25±4.21 days of drugs plus surgery."
"These results, combined with pathological findings in animals, which showed that a helium-neon laser promoted vascularization and had anti-inflammatory effects, suggest that helium-neon laser irradiation is an effective method for treating hydroxyapatite orbital implant exposure, thereby avoiding secondary surgery."</t>
  </si>
  <si>
    <t>Fang</t>
  </si>
  <si>
    <t>Immediate effect in retina and choroid after 650 nm low-level red light therapy in children</t>
  </si>
  <si>
    <t>🧑 Human
🎲 Randomized trial, self-controlled
👥 25 participants
⌛ single session</t>
  </si>
  <si>
    <t>"Although LLRLT has no effect on the choroid, it may cause a short-term transient increase in [retinal fovea perfusion density]. It will provide theoretical support for the role of LLRLT in myopia control."</t>
  </si>
  <si>
    <t>Oxygen-induced retinopathy (RoP)</t>
  </si>
  <si>
    <t>Eldaiem</t>
  </si>
  <si>
    <t>Light-Emitting Diode Laser Therapy for Hyperoxia-Induced Retinal Abnormalities</t>
  </si>
  <si>
    <t>"The results of the present study showed fragmentation of the photoreceptors of the OS and edema of the IPL and GCL with a thickened endothelial lining layer after exposure to hyperoxia for three days (...) In contrast, low-level LED laser therapy after three days, one week, and two weeks of hyperoxia revealed no significant changes in retinal histology compared with the control."</t>
  </si>
  <si>
    <t>Kent</t>
  </si>
  <si>
    <t>USA &amp; Australia</t>
  </si>
  <si>
    <t>Pediatr Res</t>
  </si>
  <si>
    <t>A pilot randomised clinical trial of 670 nm red light for reducing retinopathy of prematurity.</t>
  </si>
  <si>
    <t>🧑 Human
🎲 Randomized trial
👥 86 participants
⌛ 1+ month</t>
  </si>
  <si>
    <t>daily
until
34wk
age
average
36
sessions</t>
  </si>
  <si>
    <t>"Survival in 670 nm red light treatment group was 100% (41/41) vs 89% (40/45) in untreated infants (p = 0.057)."
"Randomisation to receive 670 nm red light within 24-48 h after birth is feasible. Although no improvement in ROP or survivability was observed, further testing into the dosage and delivery for this potential therapy are required."</t>
  </si>
  <si>
    <t>J Perinatol</t>
  </si>
  <si>
    <t>A safety and feasibility study of the use of 670 nm red light in premature neonates.</t>
  </si>
  <si>
    <t>🧑 Human
📄 Single-arm trial
👥 21 participants
⌛ 1+ month</t>
  </si>
  <si>
    <t>daily
until
34wk
age
average
~40
sessions</t>
  </si>
  <si>
    <t>"There were no skin burns or other documented adverse events. Entry into the study was readily achieved and treatment was well accepted by parents and nursing staff."
"670 nm red light appears to be a safe and feasible treatment for further research in respect to [retinopathy of prematurity]"
[There was 100% (21/21) survival of neonates with gestational age of 27-29 weeks.]</t>
  </si>
  <si>
    <t>Integral-geometry characterization of photobiomodulation effects on retinal vessel morphology.</t>
  </si>
  <si>
    <t>"Using this enhanced [morphological image analysis] we quantify the extent of vaso-obliteration in oxygen-induced retinopathic vascular growth, the preventative effect (by photobiomodulation) of exposure during tissue development to near-infrared light (NIR, 670 nm), and the lack of adverse effects due to exposure to NIR light."</t>
  </si>
  <si>
    <t>670nm photobiomodulation as a novel protection against retinopathy of prematurity: evidence from oxygen induced retinopathy models.</t>
  </si>
  <si>
    <t>🐁 Mouse &amp; 🐀 Rat</t>
  </si>
  <si>
    <t>LED phototherapy
Oxygen-induced damage &amp; Lung damage</t>
  </si>
  <si>
    <t>7
/
18</t>
  </si>
  <si>
    <t>"670 nm light reduced neovascularisation, vaso-obliteration and abnormal peripheral branching patterns of retinal vessels in OIR. The neural retina was also protected against OIR by 670 nm light exposure. OIR-exposed animals had severe lung pathology, including haemorrhage and oedema, that was significantly reduced in 670 nm+OIR light-exposed animals."
"670nm red light appears to reduce the mortality rate from 27% in controls (n=27) to 15% in the 670nm (n=21) exposed animals"</t>
  </si>
  <si>
    <t>Preconditioning</t>
  </si>
  <si>
    <t>China (Shanghai)</t>
  </si>
  <si>
    <t>Pre-exposure to low-power diode laser irradiation promotes cytoprotection in the rat retina.</t>
  </si>
  <si>
    <t>(Preconditioning)</t>
  </si>
  <si>
    <t>34.27</t>
  </si>
  <si>
    <t>"Pre-exposure to a 60-mW (34.27 J/cm(2) on the retina) power laser irradiation stimulates a hyperexpression of Hsp70 together with a hypoexpression of cleaved caspase 3 in rat retina, which may suggest a cellular protective effect."
Higher-power laser induced some apoptosis but no other injury: "No retinal hemorrhage, necrosis, atrophy, or detachment was observed microscopically with HES staining 20 h after irradiation of 80 mW (44.88 J/cm2 on the retina)."</t>
  </si>
  <si>
    <t>Reticular Pseudodrusen (RPD)</t>
  </si>
  <si>
    <t>Le</t>
  </si>
  <si>
    <t>Effects of Photobiomodulation in Patients Presenting with Reticular Pseudodrusen: A Retrospective Observational Case Series Study</t>
  </si>
  <si>
    <t>🧑 Human
📄 Retrospective study
👥 5 cases
⌛ 6-week treatment / 6 month study</t>
  </si>
  <si>
    <t>215
(incl. 3 phases)</t>
  </si>
  <si>
    <t>"Changes in RPD distribution were observed before and after treatment with photobiomodulation. The number of stage 3 reticular pseudodrusen decreased while number of stage 1 reticular pseudodrusen increased after treatment."</t>
  </si>
  <si>
    <t>Device: LumiThera® Valeda™ Light Delivery System</t>
  </si>
  <si>
    <t>Retinal blood flow</t>
  </si>
  <si>
    <t>Mii</t>
  </si>
  <si>
    <t>Increases in central retinal artery blood flow in humans following carotid artery and stellate ganglion irradiation with 0.6 to 1.6 microm irradiation.</t>
  </si>
  <si>
    <t>🧑 Human
🎲 Randomized trial, treatment comparison, crossover, sham-controlled
👥 10 participants
⌛ three sessions within ~1 week</t>
  </si>
  <si>
    <t>Polychromatic light 🌈
⚔ PBM to stellate ganglion (SG) vs PBM to common carotid artery (CCA)</t>
  </si>
  <si>
    <t>3
(one
of
each
condition)</t>
  </si>
  <si>
    <t>"Irradiation to the [common carotid artery] produced a stronger effect than that to the SG in the ophthalmic artery (p=0.007) and central retinal artery (p=0.031)."</t>
  </si>
  <si>
    <t>Device: "subjects received 0.6 to 1.6 µm linearly polarized light irradiation generated by a SuperLizer® HA-2200 (Tokyo Iken Co., Ltd., Tokyo, Japan) using a “safety program” attached to the instrument. Polarized light irradiation was administered for 600 seconds via a 7.0-mm-diameter applicator, with 0.92-W output power and 1-second- on 1-second-off duty cycle."</t>
  </si>
  <si>
    <t>Retinitis pigmentosa (RP)</t>
  </si>
  <si>
    <t>Luque-Mialdea &amp; Molina-Seoane</t>
  </si>
  <si>
    <t>Arch Soc Esp Oftalmol (Engl Ed)</t>
  </si>
  <si>
    <t>Retinitis pigmentosa: significant improvement with photobiomodulation</t>
  </si>
  <si>
    <t>"We describe the case of a 38-year-old patient with retinitis pigmentosa. Diagnosed at the age of 20, she presented a progressive decrease in visual acuity and visual field, until she developed a shotgun barrel campimetry. 
After starting a photobiomodulation treatment of 9 sessions every other day, the patient reported improvement in visual acuity, night vision and quality of life. Clinical evaluation showed a visual acuity of 10/10 in both eyes and a substantial improvement in visual field."</t>
  </si>
  <si>
    <t>Casson</t>
  </si>
  <si>
    <t>Clin Transl Med</t>
  </si>
  <si>
    <t>Cone photoreceptor preservation with laser photobiomodulation in murine and human retinal dystrophy</t>
  </si>
  <si>
    <t>🧑 Human
⚔ Comparison study
👥 12 participants
⌛ 4-week treatment / 6-month study
+ 🐁 Mouse</t>
  </si>
  <si>
    <t>0.025
0.100</t>
  </si>
  <si>
    <t>90
90</t>
  </si>
  <si>
    <t>"Combining groups, patients recovered a mean of 5.4 letters (SD 5.5) at the 8-week time point (4 weeks after completion of treatment, Figure 3A). "
"Cone-derived photopic flicker responses were almost completely abolished in all participants with a large within- subject and between-subject variance (Figure 3B). No significant change in electroretinogram amplitude was observed (Figure 3D, F), but responses were essentially unrecordable in these patients due to advanced disease."
"The procedure had no significant effect on any of the measured ophthalmic parameters. There was a suggestion that the effect on visual acuity was tapering by 6 months (Figure 3E)."</t>
  </si>
  <si>
    <t>Device: "The PBM laser system comprised a custom-designed, slit lamp microscope-mounted Integre near-infrared laser (Ellex Medical Lasers, Adelaide, South Australia, Australia) incorporating a 670-nm light source emitting a beam 4.5 mm in diameter with a flat-top profile."</t>
  </si>
  <si>
    <t>Gopalakrishnan</t>
  </si>
  <si>
    <t>Photobiomodulation preserves mitochondrial redox state and is retinoprotective in a rodent model of retinitis pigmentosa</t>
  </si>
  <si>
    <t>"These findings demonstrate for the first time a direct effect of NIR PBM on retinal mitochondrial redox status in a well-established model of retinal disease. They show that chronic proteotoxic stress disrupts retinal bioenergetics resulting in mitochondrial dysfunction, and retinal degeneration and that therapies normalizing mitochondrial metabolism have considerable potential for the treatment of retinal degenerative disease."</t>
  </si>
  <si>
    <t>Koev K</t>
  </si>
  <si>
    <t>Acta Ophthalmologica</t>
  </si>
  <si>
    <t>Aplication of low-level Laser therapy (LLLT) in patients with Retinitis Pigmentosa (RP)
[Abstract]</t>
  </si>
  <si>
    <t>🧑 Human
📄 Case series
👥 14 cases
⌛ 3 years</t>
  </si>
  <si>
    <t>"There was a statistically significant increase in visual acuity (p &lt; 0.001, end of study versus baseline) for RP patients for the period of 3 years after the LLLT. The mid-peripheral absolute concentric scotoma in RP was reduced after LLLT. No side effects were observed during the therapy."
"This study shows that LLLT may be a novel long-lasting therapeutic option for RP. This is highly effective treatment that improves visual acuity for a long time."</t>
  </si>
  <si>
    <t>Low-level laser therapy improves vision in a patient with retinitis pigmentosa.</t>
  </si>
  <si>
    <t>🧑 Human
📄 Case report
⌛ 7 years</t>
  </si>
  <si>
    <t>Retinitis pigmentosa</t>
  </si>
  <si>
    <t>0.333</t>
  </si>
  <si>
    <t>"After four initial treatments of LLLT, visual acuity increased to 20/20 in each eye. Visual fields normalized except for a mid-peripheral absolute concentric scotoma. Five years after discontinuation of LLLT, a relapse was observed. LLLT was repeated (another four treatments) and restored the initial success. During the next 2 years, 17 additional treatments were performed on an "as needed" basis, to maintain the result."
"LLLT was shown to improve and maintain vision in a patient with RP, and may thereby have contributed to slowing down blindness."</t>
  </si>
  <si>
    <t>Siqueira RC</t>
  </si>
  <si>
    <t>Photobiomodulation Using Light-Emitting Diode (LED) for Treatment of Retinal Diseases</t>
  </si>
  <si>
    <t>"LEDs are advantageous compared to lasers due to their ability to treat large areas at a lower cost, lack of tissue damage potential in humans, and reduced risk of eye-related accidents. The ophthalmology community has recently taken interest in PBM as a promising novel approach for managing various retinal conditions such as age-related macular degeneration, retinopathy of prematurity, retinitis pigmentosa, diabetic retinopathy, Leber's hereditary optic neuropathy, amblyopia, methanol-induced retinal damage, and potentially others. This review critically assesses the existing body of research on PBM applications in the retina, focusing on elucidating the underlying mechanisms of action and evaluating the clinical outcomes associated with this therapeutic modality."</t>
  </si>
  <si>
    <t>Considerations for the Use of Photobiomodulation in the Treatment of Retinal Diseases</t>
  </si>
  <si>
    <t>"In this study, we conducted a narrative review of the published literature on PBM for treating retinal diseases and summarized the key illumination parameters used in PBM."</t>
  </si>
  <si>
    <t>Zadorozhnyy</t>
  </si>
  <si>
    <t>Ukraine
(Odesa)</t>
  </si>
  <si>
    <t>J Ophthalmol (Ukraine)</t>
  </si>
  <si>
    <t>Photobiomodulation therapy in ophthalmology</t>
  </si>
  <si>
    <t>"The paper reviews the experience of implementing (a) PBM in different fields of medicine (e.g., ophthalmology) and (b) the known mechanisms of PBM-induced effects on cells and tissues."</t>
  </si>
  <si>
    <t>Ferrington</t>
  </si>
  <si>
    <t>USA
(Minneapolis, MN)</t>
  </si>
  <si>
    <t>Trends Mol Med</t>
  </si>
  <si>
    <t>Mitochondrial Defects Drive Degenerative Retinal Diseases</t>
  </si>
  <si>
    <t>"In addition to chemical modulators of the mitochondria, far-red to near-infrared light (590–850 nm), referred to as photobiomodulation, has also demonstrated beneficial effects in multiple retinal degenerative models and patients with DR or AMD [11,57]. Photobiomodulation targets mitochondrial cytochrome oxidase C, a protein that modulates the transfer of electrons between ETC complexes, increasing mitochondrial membrane potential and ATP synthesis [57]. In streptozotocin-diabetic mice, treatment with 670 nm light inhibited the diabetes-induced leakage of retinal capillaries and reduction in vision [58]. In aged mice and an AMD mouse model with a genetic disruption of complement factor H, photobiomodulation significantly increased retinal mitochondrial function and reduced signs of inflammation [59,60]. These studies provide insight into the molecular basis for the beneficial effects of photobiomodulation."
"Clinical studies have also reported positive results after photobiomodulation for patients with DR. In a non-randomized, consecutive, case study of four type 2 diabetic patients with DME, photobiomodulation treatment caused a significant reduction in macular thickness [61]. A pilot study evaluating photobiomodulation therapy for DME, initiated in 2019, will evaluate macular thickness, mean change in retinal volume, and visual acuity from baseline to four months of treatment ()V. This randomized, sham-controlled, quadruple-masked trial anticipates 134 participants.
Multiple clinical studies treating AMD patients with photobiomodulation have also produced promising results (...)"</t>
  </si>
  <si>
    <t>Near Infrared (NIR) Light Therapy of Eye Diseases: A Review</t>
  </si>
  <si>
    <t>"In this review, we highlight the value of NIR therapy as a novel paradigm for treatment of visual and neurological conditions, and provide scientific evidence to support the use of NIR therapy with emphasis on molecular and cellular mechanisms in eye diseases."</t>
  </si>
  <si>
    <t>Buch &amp; Hammond</t>
  </si>
  <si>
    <t>USA
(Jacksonville, FL)</t>
  </si>
  <si>
    <t>Photobiomodulation of the Visual System and Human Health</t>
  </si>
  <si>
    <t>Comment: This paper doesn't really feature almost any of the PBM research related to diseases of visual systems.</t>
  </si>
  <si>
    <t>Waugh</t>
  </si>
  <si>
    <t>UK
(Coventry)</t>
  </si>
  <si>
    <t>BOOK: Treatments for dry age-related macular degeneration and Stargardt disease: a systematic review</t>
  </si>
  <si>
    <t>Physical treatments for age-related macular degeneration</t>
  </si>
  <si>
    <t>📖 Review (book chapter)</t>
  </si>
  <si>
    <t>This review mentions a PBM study that is probably not accessible anywhere elsewhere: 
"One small study by Scalinci and colleagues from Bologna, Milan and Rome reported that photobiomodulation with a device called mnemosline (Mnemosline, Vicenza, Italy), which provided pulsed light at 650 nm for 10 minutes twice a day, 5 days a week for 3 months, was associated with modest improvements in BCVA, pattern ERG and retinal sensitivity. Only an abstract is available and no statistical significance analysis is provided. The authors call for a larger trial."</t>
  </si>
  <si>
    <t>Ao</t>
  </si>
  <si>
    <t>Retinal pigment epithelium in the pathogenesis of age-related macular degeneration and photobiomodulation as a potential therapy?</t>
  </si>
  <si>
    <t>"Age-related macular degeneration (AMD) is the leading cause of blindness in developed countries. Dysfunction of the RPE has been associated with the pathogenesis of AMD in relation to increased oxidative stress, mitochondrial destabilization and complement dysregulation. Photobiomodulation or near infrared light therapy which refers to non-invasive irradiation of tissue with light in the far-red to near-infrared light spectrum (630-1000 nm), is an intervention that specifically targets key mechanisms of RPE dysfunction that are implicated in AMD pathogenesis. The current evidence for the efficacy of photobiomodulation in AMD is poor but its safety profile and proposed mechanisms of action motivate further research as a novel therapy for AMD."</t>
  </si>
  <si>
    <t>Protective treatments and their target retinal ganglion cells in diabetic retinopathy.</t>
  </si>
  <si>
    <t>"Photobiomodulation (PBM) may be used as adjunctive therapy in protective treatment of RGCs. In this review, we highlight and discuss protective treatments and their targets which have shown great promise for treatment of RGC injury in DR."</t>
  </si>
  <si>
    <t>Photostimulation of mitochondria as a treatment for retinal neurodegeneration.</t>
  </si>
  <si>
    <t>"Potent neuroprotective effects have been demonstrated in various models of retinal damage, by red/NIR light, with limited data from human studies showing its ability to improve visual function. Improved neuronal mitochondrial function, increased blood flow to neural tissue, upregulation of cell survival mediators and restoration of normal microglial function have all been proposed as potential underlying mechanisms of red/NIR light."</t>
  </si>
  <si>
    <t>Gueven</t>
  </si>
  <si>
    <t>Australia
(Hobart)</t>
  </si>
  <si>
    <t>Targeting mitochondrial function to treat optic neuropathy.</t>
  </si>
  <si>
    <t>"Far-red to near-infrared (FR/NIR) light therapy aims to directly alter mitochondrial function non-invasively by light exposure, typically applied by a laser diode with a defined wavelength."
"Thus, in light of the limited but encouraging evidence from comparatively small studies, larger studies are currently planned or ongoing to establish the therapeutic potential of this therapy."</t>
  </si>
  <si>
    <t>Roy</t>
  </si>
  <si>
    <t>Mechanistic Insights into Pathological Changes in the Diabetic Retina: Implications for Targeting Diabetic Retinopathy</t>
  </si>
  <si>
    <t>"Significantly, laboratory studies show that increasing the normal amount of natural red light reaching rat RGC mitochondria in situ, subjected to ischemia, proved to be beneficial. A challenge now is to test whether extra red light delivered to the human retina can slow-down RGC loss in glaucoma. Such a methodology has also the advantage of being non-invasive. One very exciting possibility might be in the production of a lens where solar UV light is converted to add to the amount of natural red light entering the eye."</t>
  </si>
  <si>
    <t>Geneva (Ivayla)</t>
  </si>
  <si>
    <t>USA
(Syracuse, NY)</t>
  </si>
  <si>
    <t>Photobiomodulation for the treatment of retinal diseases: a review.</t>
  </si>
  <si>
    <t>"The literature supports the conclusion that the low-cost and non-invasive nature of PBM, coupled with the first promising clinical reports and the numerous preclinical-studies in animal models, make PBM well-poised to become an important player in the treatment of a wide range of retinal disorders.
Nevertheless, large-scale clinical trials will be necessary to establish the PBM therapeutic ranges for the various retinal diseases, as well as to gain a deeper understanding of its mechanisms of action."</t>
  </si>
  <si>
    <t>Near-Infrared Photobiomodulation in Retinal Injury and Disease.</t>
  </si>
  <si>
    <t>Retinal injury</t>
  </si>
  <si>
    <t>"Investigations in rodent models of methanol-induced ocular toxicity, light damage, retinitis pigmentosa and age-related macular degeneration have demonstrated the PBM attenuates photoreceptor cell death, protects retinal function and exerts anti-inflammatory actions."</t>
  </si>
  <si>
    <t>Osborne</t>
  </si>
  <si>
    <t>Eur J Pharmacol</t>
  </si>
  <si>
    <t>Glaucoma: Focus on mitochondria in relation to pathogenesis and neuroprotection.</t>
  </si>
  <si>
    <t>"Red-light therapy represents another therapeutic alternative for enhancing RGC mitochondrial functions and has the advantage of being both non-toxic and non-invasive."</t>
  </si>
  <si>
    <t>Visual light effects on mitochondria: The potential implications in relation to glaucoma.</t>
  </si>
  <si>
    <t>Drug Discov Today</t>
  </si>
  <si>
    <t>Targeting mitochondrial dysfunction as in aging and glaucoma.</t>
  </si>
  <si>
    <t>"A large body of evidence actually exists in support of the beneficial effects of tissue exposure to high intensity (more than 10 000 lx) red light at wavelengths between the far-red to nearinfrared (NR) spectrum of light (from 600 to 900 nm). This process, which is also known as photobiomodulation or NR phototherapy, has been shown to promote wound healing [101,102], cause complement propagation [103], attenuate cell death in various types of cell cultures [104–107] and improve recovery rates of soft tissue injuries and myocardial infarction [108,109].
The underlying mechanism behind the positive effects of NIR therapy is that it acts on mitochondrial cytochrome oxidase [101,107,110,111], enhancing mitochondrial function so as to elicit beneficial effects that include reducing oxidative stress, inflammation and cell death (Fig. 6). Most importantly, long-wavelength NR at high intensity has the ability to penetrate deeply through soft tissues, and has even been shown to ameliorate traumatic brain injury [112,113]. In the case of the eye, NR has been shown to protect against photoreceptor death in situ [114–116] as well as mitigate oxygen-induced degeneration [117]. Moreover, NR induces nerve generation [118] and brain neuronal damage [119,120] in situ. Thus, utilisation of NR therapy to influence RGC mitochondria in the eye in situ is not restricted by its entry through the pupil as occurs for blue light. The possible therapeutic use of NR treatment in this way (Fig. 3) through the soft tissues of the external eye therefore provides a viable way to attenuate RGC death in glaucoma and other retinal diseases."</t>
  </si>
  <si>
    <t>Belkin &amp; Schwartz</t>
  </si>
  <si>
    <t>Surv Ophthalmol</t>
  </si>
  <si>
    <t>Ophthalmic effects of low-energy laser irradiation.</t>
  </si>
  <si>
    <t>"This review outlines the reported effects of low-energy laser irradiation on nonophthalmological tissues and organs, including those of the nervous system, with special emphasis on the optic nerve. It also details the ophthalmic phenomena induced by low-energy laser irradiation and examines claims of its therapeutic efficacy in several eye diseases, such as keratitis, glaucoma and macular degeneration."</t>
  </si>
  <si>
    <t>Safety</t>
  </si>
  <si>
    <t>Ostrin &amp; Schill</t>
  </si>
  <si>
    <t>Red light instruments for myopia exceed safety limits</t>
  </si>
  <si>
    <t>Device optical power measurements</t>
  </si>
  <si>
    <t>"Two LLRL devices, a Sky-n1201a and a Future Vision, were examined. Optical power measurements were made using an integrating sphere radiometer through a 7-mm diameter aperture, in accordance with ANSI Z136.1-2014, sections 3.2.3-3.2.4. Retinal spot sizes of the devices were obtained using a model eye and high-resolution beam profiler. Corneal irradiance, retinal irradiance and MPE were calculated for an eye positioned at the oculars of each device."
"Both devices were confirmed to be Class 1 laser products (...)
Sky-n1201a delivers laser light as a point source with a 654-nm wavelength, 0.2 mW power (Ø 7 mm aperture, 10-cm distance), 1.17 mW/cm2 corneal irradiance and 7.2 W/cm2 retinal irradiance (Ø 2 mm pupil). The MPE for photochemical damage is 0.55-7.0 s for 2-7 mm pupils and for thermal damage is 0.41-10 s for 4.25-7 mm pupils. 
Future Vision delivers the laser as an extended source subtending 0.75 × 0.325°. It has a 652-nm wavelength, 0.06 mW power (Ø 7 mm aperture, 10 cm distance), 0.624 mW/cm2 corneal irradiance and 0.08 W/cm2 retinal irradiance (Ø 2 mm pupil). MPE for photochemical damage is 50-625 s for 2-7 mm pupils."</t>
  </si>
  <si>
    <t>Safety Profile of Slit-Lamp-Delivered Retinal Laser Photobiomodulation</t>
  </si>
  <si>
    <t>"In non-pigmented rats, no adverse events were identified at any irradiances up to 500 mW/cm2.
In pigmented rats, no adverse events were identified at irradiances of 25 or 100 mW/cm2; however, approximately one-third of rats that received 500 mW/cm2 displayed very localized photoreceptor damage in the peripapillary region, typically adjacent to the optic nerve head."</t>
  </si>
  <si>
    <t>Gea</t>
  </si>
  <si>
    <t>J Toxicol Environ Health A</t>
  </si>
  <si>
    <t>Cytotoxicity and genotoxicity of light emitted by incandescent, halogen, and LED bulbs on ARPE-19 and BEAS-2B cell lines</t>
  </si>
  <si>
    <t>"The aim of this study was to assess cytotoxicity and genotoxicity of light emitted by different commercial light bulbs: incandescent, halogen, and two LED bulbs with different correlated color temperatures. "
"Moreover, our findings indicate that among the four bulbs, cold LED caused the highest cytotoxic effect on ARPE-19 and the highest genotoxic and oxidative effect on BEAS-2B. Cold LED is probably able to cause more cellular damage because it contains more high-energy radiations (blue)."</t>
  </si>
  <si>
    <t>Spaceflight associated neuro-ocular syndrome (SANS)</t>
  </si>
  <si>
    <t>Waisberg</t>
  </si>
  <si>
    <t>Eye (Lond)</t>
  </si>
  <si>
    <t>Near infrared/ red light therapy a potential countermeasure for mitochondrial dysfunction in spaceflight associated neuro-ocular syndrome (SANS)</t>
  </si>
  <si>
    <t>Stargardt disease</t>
  </si>
  <si>
    <t>Scalinci</t>
  </si>
  <si>
    <t>Effects of Photo-Biomodulation in Stargardt Disease</t>
  </si>
  <si>
    <t>🧑 Human
📄 Single-arm trial
👥 45 participants, 90 eyes
⌛ 12 months</t>
  </si>
  <si>
    <t>twice
daily
for
1 year</t>
  </si>
  <si>
    <t>"BCVA improved from 0.7 [interquartile range (IQR)=0.6-0.9)] to 0.4 (IQR=0.2-0.5)] after treatment (95% CI=-0.3, -0.35; p=&lt;0.001) and PERG negative wave at 35 ms (N35)-positive wave at 50 ms (P50) amplitude improved from 0.9 (IQR=0.74-1.21) to 2.12 (95% CI=1.11, 1.28; p&lt;0.001).
MP-1 Microperimetry improved from 26.5% (IQR=16.75-40) of median preferred retinal loci (PRL) within an area of 2° of diameter to 38% (IQR=29-50.25; 95% CI=10.50, 14.50; p=&lt;0.001); on the other hand, PRL within 4° of diameter raised from 72% (IQR=51.5-80) to 80% (IQR=76-87) after photo-biomodulation (95% CI=4.50, 7.50; p&lt;0.001).
Also, patients with an improvement of more than 1.205 PERG N35-P50 ratio amplitude at 3 months and more than 1.29 at 6 months tended to present an improvement of more than 0.2 logMar in BCVA at 12 months (p=0.28, AUC=0.630; p=0.30, AUC=0.636)."
"BCVA, PERG, and MP-1 significantly improved 1 year after treatment. Also, improvement of PERG N35-P50 amplitude at 3 and 6 months was correlated to BCVA improvement at 1 year, suggesting that PERG could be useful in predicting visual outcome after photo-biomodulation."</t>
  </si>
  <si>
    <t>Trabeculectomy</t>
  </si>
  <si>
    <t>Influence and mechanism of He-Ne laser on scar formation of filtration canal after trabeculectomy in rabbit.</t>
  </si>
  <si>
    <t>"Pretreating the filtration area with 200mW/cm(2) He-Ne laser may be helpful in preventing scar formation after trabeculectomy in rabbit, possibly due to downregulation of the expression of CTGF and collagen synthesis in fibroblasts. He-Ne laser may be developed into a new scar preventing method in filtration surgery."</t>
  </si>
  <si>
    <t>The influence of He-Ne laser on scar formation after trabeculectomy in rabbits.</t>
  </si>
  <si>
    <t>"Pretreating the filtration area with 200mW/cm(2) (120J/cm(2)) of He-Ne laser irradiation may be helpful in preventing scar formation after trabeculectomy, possibly due to the downregulation of the expression of PCNA, CTGF and collagen synthesis in fibroblasts."</t>
  </si>
  <si>
    <t>Prokof'eva</t>
  </si>
  <si>
    <t>Vestn Oftalmol</t>
  </si>
  <si>
    <t>[Effects of low-intensity infrared laser irradiation on the eye (an experimental study)].
[Article in Russian]</t>
  </si>
  <si>
    <t>890?</t>
  </si>
  <si>
    <t xml:space="preserve">"An increase of intraocular pressure was recorded at a dose of 0.1 J/cm2 (4.5 min) and higher; morphological study showed dilated, well-filled and newly formed vessels in the ciliary body and iris, as well as edema and destruction of the external layers of the retina. Exposure to a dose of 0.05 J/cm2 and lower did not lead to destruction of ocular structures and increase of intraocular pressure."
Comment: They reported harmful effects with a suspiciously low dose... </t>
  </si>
  <si>
    <t>Naveh</t>
  </si>
  <si>
    <t>Low-energy laser irradiation--a new measure for suppression of arachidonic acid metabolism in the optic nerve.</t>
  </si>
  <si>
    <t>Optic nerve</t>
  </si>
  <si>
    <t>"LEL irradiation per se had no effect in vitro on PGE2 production by the optic nerve; however, LEL irradiation of eyes with crushed optic nerve inhibited the enhanced production of PGE2 and leukotriene B4 in vitro by 55% and 75% during the late and immediate phase after trauma, respectively."
"Our findings of the suppressive effect of LEL irradiation on arachidonic acid metabolism are reminiscent of the actions of steroidal and nonsteroidal anti-inflammatory drugs, and might indicate, for the first time, the possible biochemical mechanisms associated with the clinical anti-inflammatory effects of LEL irradiation."</t>
  </si>
  <si>
    <t>Sokolovskii</t>
  </si>
  <si>
    <t>Oftalmol Zh</t>
  </si>
  <si>
    <t>[The stimulating effect of helium-neon laser radiation on rabbit eyes].
[Article in Russian]</t>
  </si>
  <si>
    <t>Comment: Very low dose was used... Is it even possible to see such a low-power laser ray?</t>
  </si>
  <si>
    <t>Kiselev</t>
  </si>
  <si>
    <t>[Laser irradiation: study of general and local mechanisms of its action in irradiation of the eyeball. An experimental study. 3].
[Article in Russian]</t>
  </si>
  <si>
    <t>"The findings evidence that irradiation of the eyeball results in reduced lipid peroxidation activity and elevated antiradical defense enzymes activity not only in ocular tissues but in the corresponding brain hemisphere and blood, which fact appears to be due to direct effect of laser radiation on the blood and brain via the optic nerve that may be a light conductor for a certain wavelength."</t>
  </si>
  <si>
    <t>Shmyreva</t>
  </si>
  <si>
    <t>[The mechanism of action of laser stimulation of the eye].
[Article in Russian]</t>
  </si>
  <si>
    <t>🧑 Human
📄 (?)
👥 15 participants, 26 eyes
⌛ (?)</t>
  </si>
  <si>
    <t>"The mechanism of action of helium-neon laser stimulation has been studied in 26 eyes of 15 patients with dystrophic diseases of the eye and on the ground of 63 lymphangiographic investigations of the same patients.
It was found that low-energy helium-neon laser stimulation (0.05-0.5 mWt/cm2) has a positive effect on restoration of visual functions. Lymphangiographic investigations have revealed a new biological phenomenon--activation of disturbed lymphatic flow under the action of a specially organized laser radiation. The results obtained confirm the earlier hypothesis (M. M. Krasnov et al., 1982) that under the action of laser radiation a normal physiologic system purifying the retina from disintegrated products is engaged into action."</t>
  </si>
  <si>
    <t>Fluorescent lamps</t>
  </si>
  <si>
    <t>Romeo</t>
  </si>
  <si>
    <t>Fluorescent light induces neurodegeneration in the rodent nigrostriatal system but near infrared LED light does not.</t>
  </si>
  <si>
    <t>"We investigated the effects of continuous artificial light exposure on the mouse substantia nigra (SN). A three month exposure of C57Bl/6J mice to white fluorescent light induced a 30% reduction in dopamine (DA) neurons in SN compared to controls, accompanied by a decrease of DA and its metabolites in the striatum. After six months of exposure, neurodegeneration progressed slightly, but the level of DA returned to the basal level, while the metabolites increased with respect to the control. Three month exposure to near infrared LED light (∼710nm) did not alter DA neurons in SN, nor did it decrease DA and its metabolites in the striatum."
Comment: Not an actual photobiomodulation study, but still related to the effects of visible and NIR light on brain.</t>
  </si>
  <si>
    <t>Ahamed</t>
  </si>
  <si>
    <t>India</t>
  </si>
  <si>
    <t>Effect of LED photobiomodulation on fluorescent light induced changes in cellular ATPases and Cytochrome c oxidase activity in Wistar rat.</t>
  </si>
  <si>
    <t>whole
animal
(?)</t>
  </si>
  <si>
    <t>"This study demonstrates the protective effect of 670 nm LED pre exposure on cellular enzymes against fluorescent light induced change."
Note: See also the another paper from this group, in the Eyes-category.</t>
  </si>
  <si>
    <t>Gastroenterology</t>
  </si>
  <si>
    <t>Anal fistula</t>
  </si>
  <si>
    <t>Arq Bras Cir Dig</t>
  </si>
  <si>
    <t>Efficacy Of Low-level Laser Therapy On Fistula-in-ano Treatment</t>
  </si>
  <si>
    <t>"There was no complete closure of the tract in any of the animals. The mean area of the remaining tract was 847.2 µm2 in the CG and 248.5 µm2 in the LG (p=0.001). The mean inflammatory infiltrate score was 2.4 in the CG and 1.3 in the LG (p=0.0285), while in the evaluation of vascular congestion, 1.6 was observed in the CG and 0.6 in the LG (p=0.031)."
"Low-level laser therapy was able to reduce the area of the fistulous tracts as well as decrease the inflammatory process and local vascular congestion."</t>
  </si>
  <si>
    <t>Anal sphincter injury</t>
  </si>
  <si>
    <t>Sarveazad</t>
  </si>
  <si>
    <t>BMC Gastroenterol</t>
  </si>
  <si>
    <t>Combined application of chondroitinase ABC and photobiomodulation with low-intensity laser on the anal sphincter repair in rabbit</t>
  </si>
  <si>
    <t>"The present study depicted that following the anal sphincter injury, immediate co-application of ChABC and photobiomodulation with LIL improve sphincter function by promoting myogenesis and angiogenesis. This protocol is more efficient than laser and ChABC treatment alone."</t>
  </si>
  <si>
    <t>Combination of laser and human adipose-derived stem cells in repair of rabbit anal sphincter injury: a new therapeutic approach.</t>
  </si>
  <si>
    <t>"The combination of laser and hADSCs appears more effective than either treatment alone for promoting myogenesis, angiogenesis, and functional recovery after anal sphincterotomy."
Comment: The parameters were very poorly reported.</t>
  </si>
  <si>
    <t>Device: Heltschl ME-TL10000-SK</t>
  </si>
  <si>
    <t>Atrophic gastritis</t>
  </si>
  <si>
    <t>China
(Zhangjiakou)</t>
  </si>
  <si>
    <t>Sheng Wu Yi Xue Gong Cheng Xue Za Zhi</t>
  </si>
  <si>
    <t>[Effects of He-Ne laser on gastric mucosa in rat with chronic atrophic gastritis].
[Article in Chinese]</t>
  </si>
  <si>
    <t>"Compared with untreated group, the gastric mucosa of 3.36J x cm(-2) He-Ne laser group was significantly thicker (P &lt; 0.01), the inflammatory cells of gastric mucosa were decreased (P &lt; 0.05), the morphology, structure and volume of the cells were restored or nearly normal and the expressions of cyclinD1 were higher (P &lt; 0.05). In a word, small dose He-Ne laser (3.36 J x cm(-2)) has a good adjuvant therapeutic effect on rat's CAG."</t>
  </si>
  <si>
    <t>Shao</t>
  </si>
  <si>
    <t>World J Gastroenterol</t>
  </si>
  <si>
    <t>Effects of He-Ne laser irradiation on chronic atrophic gastritis in rats.</t>
  </si>
  <si>
    <t>3.36
4.80
6.24</t>
  </si>
  <si>
    <t>420
600
780</t>
  </si>
  <si>
    <t>"After 3.36 J/cm(2) dose of He-Ne laser treatment for 20 d, the secretion of gastric acid was increased (P&lt;0.05), the thickness of gastric mucosa was significantly thicker than that in model control group (P&lt;0.01), the gastric mucosal inflammation cells were decreased (P&lt;0.05). Morphology, structure and volume of the parietal cells all recuperated or were closed to normal."
Comment: In higher dose groups, no benefit was noted.</t>
  </si>
  <si>
    <t>Colitis</t>
  </si>
  <si>
    <t>Bitencourt</t>
  </si>
  <si>
    <t>Effects of photobiomodulation in the experimental acetic acid-induced colitis: comparison between male and female</t>
  </si>
  <si>
    <t>0.0357</t>
  </si>
  <si>
    <t>5.35</t>
  </si>
  <si>
    <t>2.8 cm2 area</t>
  </si>
  <si>
    <t>150
/point
(3 points)</t>
  </si>
  <si>
    <t>"PBM reduces DAI score, MPO activity, and mast cell degranulation while increased mucous production in both females and males. Moreover, PBM reduced histopathological score as well as the levels of IL-6 and IL-4 in the bowel only in males. We also showed reduced levels of IL-1beta and TNF-alpha after PBM in both males and females, while the levels of IL-10 and IFN-gamma were increased. 
In conclusion, despite our study has shown some differences between males and females, PBM attenuated the biomarkers of UC in both genders constituting a potential combined treatment that is non-invasive and low cost."</t>
  </si>
  <si>
    <t>Rodrigues</t>
  </si>
  <si>
    <t>Comparison between local abdominal and transcutaneous tail vein photobiomodulation in experimental rat model of ulcerative colitis</t>
  </si>
  <si>
    <t>LED phototherapy
Vascular PBM vs local PBM</t>
  </si>
  <si>
    <t>"The findings indicated that local PBM but not VPBM reduced intestinal histological scores. 
Both local and VPBM increased mucus production, decreased mast cell degranulation, and modulated TNF-α and IL-1 β levels in the intestines. 
Local PBM also affected the expression of the mRNAs for IL-6, TNF-α, and IFN-γ. 
In conclusion, we suggest that local PBM appears to be more promising than VPBM for treating UC. However, further research is needed to fully understand the mechanisms and to optimize the parameters of PBM for UC treatment."</t>
  </si>
  <si>
    <t>Paula-Silva</t>
  </si>
  <si>
    <t>Red light-emitting diode treatment improves tissue recovery in DSS-induced colitis in mice</t>
  </si>
  <si>
    <t>"LED treatment decreased the amount of crypt dysplasia/edema, inflammatory infiltrates and ulcers, attenuated apoptosis and increased proliferation of crypt cells. Also, LED treatment induced expression of annexin A1 in the damaged epithelium, preserved the organization of claudin-1 and skewed cytokine profiling towards a more anti-inflammatory status. 
Thus, LED treatment promotes structural protection and modulates the inflammatory response, constituting a potential non-invasive and low-cost combined therapy to help patients achieve disease remission."</t>
  </si>
  <si>
    <t>Belém</t>
  </si>
  <si>
    <t>Light-emitting diodes at 940nm attenuate colitis-induced inflammatory process in mice.</t>
  </si>
  <si>
    <t>LED phototherapy
LLLT vs prednisolone
Acetic acid-induced colitis</t>
  </si>
  <si>
    <t>64.8</t>
  </si>
  <si>
    <t>4.05</t>
  </si>
  <si>
    <t>"Colitis-induced intestinal transit delay was inhibited by LED therapy. Colitis caused an increase of colon dimensions (length, diameter, total area) and colon weight (edema), which were inhibited by LED therapy. LED therapy also decreased colitis-induced tissue gross lesion, myeloperoxidase activity, microscopic tissue damage score and the presence of inflammatory infiltrate in all intestinal layers. Furthermore, LED therapy inhibited colitis-induced IL-1β, TNF-α, and IL-6 production. 
We conclude LED therapy at 940nm inhibited experimental colitis-induced colon inflammation in mice, therefore, rendering it a promising therapeutic approach that deserves further investigation."</t>
  </si>
  <si>
    <t>Zigmond</t>
  </si>
  <si>
    <t>Low-level light therapy induces mucosal healing in a murine model of dextran-sodium-sulfate induced colitis.</t>
  </si>
  <si>
    <t>Biphasic dose response
LED phototherapy
Wavelength comparison</t>
  </si>
  <si>
    <t>440
660
850</t>
  </si>
  <si>
    <t>"The three wavelengths used demonstrated efficacy, and a clear dose-response curve was observed for one of the wavelengths (850 nm). On day 11, colonoscopic scoring in the sham-treated mice increased from 7.9±1.3 to 12.2±2.2, while activity in all treated groups remained stable."
Note: In another study (J Gastroenterol Hepatol 2014 Apr;29(4):749-56), bright light therapy with 1000lux alleviated colitis compared to 200lux light, while 2500lux didn't have a beneficial effect.</t>
  </si>
  <si>
    <t>Hiratsuka</t>
  </si>
  <si>
    <t>J Gastroenterol Hepatol</t>
  </si>
  <si>
    <t>Phototherapy with artificial light suppresses dextran sulfate sodium-induced colitis in a mouse model.</t>
  </si>
  <si>
    <t>Fluorescent lamp (high intensity)
Biphasic dose response
Polychromatic light 🌈</t>
  </si>
  <si>
    <t>"Artificial light phototherapy suppressed DSS-induced colitis in mice by suppression of pro-inflammatory cytokines and promotion of anti-inflammatory cytokines."
Comment: In this study, the control group got 2.76 J/cm2 of light daily. The active groups got 14.45 J/cm2 (LL) or 36.13 J/cm2 (LH). Only the LL group got clearly beneficial results, suggesting a possible bi-phasic dose response. In the LH group, benefits were much smaller but active vitamin D3 levels were higher, suggesting that it's not all about vitamin D3 metabolism, when it comes to light and digestive system.
Comment: Many humans are only getting less then 0.5J/cm2 light from their bedroom lighting. This study used a 1000lux or 2500lux lamp, while many family living rooms are only 50-100lux.</t>
  </si>
  <si>
    <t>Colon anastomoses</t>
  </si>
  <si>
    <t>Asencio-Arana</t>
  </si>
  <si>
    <t>Dis Colon Rectum</t>
  </si>
  <si>
    <t>Endoscopic enhancement of the healing of high-risk colon anastomoses by low-power helium-neon laser. An experimental study.</t>
  </si>
  <si>
    <t>1.9
6.4</t>
  </si>
  <si>
    <t>"Our results show that repeated helium-neon laser irradiation (1.9 J/cm2) increases the bursting strength of the anastomoses by almost 100% on the fourth postoperative day. This effect is not observed by increasing the radiation dose (6.4 J/cm2). Differences in collagen (hydroxyproline) concentration did not reach statistical significance."</t>
  </si>
  <si>
    <t>Histological effects of He:Ne laser on the healing of experimental colon anastomoses in the rat.</t>
  </si>
  <si>
    <t>"Recent studies suggest that the use of low-energy lasers may enhance wound healing in different tissues in a selective, nondestructive manner. Based on these findings we have attempted to provide experimental background on the histological effects of He:Ne laser during the early stages of healing in 70 colonic anastomoses performed on rats.
The irradiation of the anastomoses by two doses of 3.6 J/cm2 produces an increase in the populations of round cells and fibroblasts of the scar tissue, an increase in new vessel formation, and a significant improvement in epithelialization. This suggests that the irradiation of colonic wounds with He:Ne lasers can result in an enhancement of healing."</t>
  </si>
  <si>
    <t>Asencio-Arana &amp; Martinez-Soriano</t>
  </si>
  <si>
    <t>Br J Surg</t>
  </si>
  <si>
    <t>Stimulation of the healing of experimental colon anastomoses by low-power lasers.</t>
  </si>
  <si>
    <t>"Recent studies suggest that helium-neon (He-Ne) lasers at specific energy densities can be used to enhance wound healing in different tissues. In this experimental study we have tested the strength of end-to-end anastomosis of the rat colon irradiated by He-Ne laser by measuring bursting pressures and bursting wall tensions at 2, 4 and 7 days after operation. The study shows that He-Ne laser radiation induces a significant increase in colonic strength at the anastomosis. The laser does not cause the luminal narrowing observed in non-irradiated specimens."</t>
  </si>
  <si>
    <t>Colonic motility dysfunction</t>
  </si>
  <si>
    <t>Ali</t>
  </si>
  <si>
    <t>Canada
(Hamilton)</t>
  </si>
  <si>
    <t>Modulation of the autonomic nervous system by one session of spinal low-level laser therapy in patients with chronic colonic motility dysfunction</t>
  </si>
  <si>
    <t>🧑 Human
📄 Single-arm study
👥 41 participants
⌛ single session</t>
  </si>
  <si>
    <t>660+
840
(LED)
+
825
(laser)</t>
  </si>
  <si>
    <t>"In conclusion, a single session of LLLT markedly affects autonomic nervous system activity reflected in changes in HRV which is only possible by generating activity in the spinal autonomic nerves. These results warrant a study into the effects of LLLT on restoring autonomic dysfunction in chronic refractory colonic motility disorders."</t>
  </si>
  <si>
    <t>Diarrhea</t>
  </si>
  <si>
    <t>He J</t>
  </si>
  <si>
    <t>Clinical observation on 500 cases of diarrhoea in children treated with two helium-neon laser ‘light needles’</t>
  </si>
  <si>
    <t>🧑 Human
📄 Retrospective study
👥 500 cases (laser acupuncture), 120 control cases
⌛ data obtained since 1977</t>
  </si>
  <si>
    <t>"A study is presented involving 500 cases of infant diarrhoea treated by needleless acupuncture using two HeNe laser ‘light needles’, compared with 120 cases treated with conventional needle acupuncture."
"The ‘light needles’ method gave an overall effective rate of 95.6% , compared with 97.5% for the smaller needle acupuncture group."
Comment: China is a country with top1 statistics in research misconduct (1). There has been also some confusion about the fact that in China, 99% of the acupuncture studies have been positive (2) while other countries like USA report positive results in ~50% of the studies. Therefore I recommend being somewhat critical about the research published in China.
(1) PMID 26987749 or DOI 10.1007/s11948-016-9766-1
(2) PMID 9551280</t>
  </si>
  <si>
    <t>Dysphagia</t>
  </si>
  <si>
    <t>El Mobadder</t>
  </si>
  <si>
    <t>Belgium
(Liége)</t>
  </si>
  <si>
    <t>Dent J (Basel)</t>
  </si>
  <si>
    <t>Photobiomodulation Therapy in the Treatment of Chronic Dysphagia Post Hormonal Therapy in a Breast Cancer Patient.</t>
  </si>
  <si>
    <t>🧑 Human
📄 Case report
⌛ 5-day treatment / 15-day study</t>
  </si>
  <si>
    <t>d = 320 µm</t>
  </si>
  <si>
    <t>10
/p
(8p)</t>
  </si>
  <si>
    <t>"In this case report, the protocol of PBM was proposed by experts in supportive care in cancer. Functional outcome swallowing scale for staging oropharyngeal dysphagia was used to assess the effectiveness of the treatment in pre-operative, per and post-operative stage. 
This case reports that PBM is effective in the management of dysphagia, a side effect of hormonal therapy in a cancer patient."</t>
  </si>
  <si>
    <t>Hoffmann G</t>
  </si>
  <si>
    <t>Water-filtered infrared-A (wIRA) overcomes swallowing disorders and hypersalivation - a case report.</t>
  </si>
  <si>
    <t>"Within 2 days with wIRA (one day with 4 to 5 hours with irradiation with wIRA at home) salivation decreased markedly and quality of life clearly improved: For the first time the patient slept without interruption and without the need for sleep-inducing medication. After 5 days with wIRA the patient could eat his first soft dumpling although drinking of fluids was still not possible. After 2½ weeks with wIRA the patient could eat his first minced schnitzel (escalope). Following the commencement of wIRA (with typically approximately 90-150 minutes irradiation with wIRA per day) the patient had 8 months with good quality of life with only small amounts of liquid saliva and mucus and without the necessity to spit out. During this period the patient was able to sleep during the night."
"The five main clinical effects of wIRA are: wIRA decreases pain, inflammation and exudation/hypersecretion, and promotes infection defense and regeneration, all in a cross-indication manner. Therefore there is a wide range of indications for wIRA."</t>
  </si>
  <si>
    <t>Inflammatory bowel disease (and lungs)</t>
  </si>
  <si>
    <t>de Souza</t>
  </si>
  <si>
    <t>Repercussion of inflammatory bowel disease on lung homeostasis: The role of photobiomodulation</t>
  </si>
  <si>
    <t>150
/point</t>
  </si>
  <si>
    <t>"Our results showed that IBD altered pulmonary homeostasis, since we observed an increase in the histopathological score, in myeloperoxidase activity (MPO), in mast cell degranulation, and in the release and gene expression of cytokines. We also showed that PBM treatment reduced biomarkers of IBD and reverted all augmented parameters in the lung, restoring its homeostasis. Thus, we confirm experimentally the important gut-lung axis and the role of PBM as a promising therapy."</t>
  </si>
  <si>
    <t>Inflammatory bowel disease</t>
  </si>
  <si>
    <t>Ewais</t>
  </si>
  <si>
    <t>Protocol for a Single-Arm Feasibility Study of Photobiomodulation for Fatigue, Depression, and Pain in Inflammatory Bowel Disease</t>
  </si>
  <si>
    <t>Intestinal injury</t>
  </si>
  <si>
    <t>Kirkby</t>
  </si>
  <si>
    <t>USA
(Kirkland, WA)</t>
  </si>
  <si>
    <t>The effects of low-level laser therapy in a rat model of intestinal ischemia-reperfusion injury.</t>
  </si>
  <si>
    <t>Ischemia-reperfusion
Systemic effects (?)</t>
  </si>
  <si>
    <t>"At the dose and parameters used, low-level laser did not protect against intestinal IRI in the acute phase of injury. However, laser did provide protection against distant organ injury."
Comment: LLLT made the intestinal injury worse but protected lungs.</t>
  </si>
  <si>
    <t>Microbiome</t>
  </si>
  <si>
    <t>A Narrative Review on Oral and Periodontal Bacteria Microbiota Photobiomodulation, through Visible and Near-Infrared Light: From the Origins to Modern Therapies</t>
  </si>
  <si>
    <t>"The visible and near-infrared wavelengths can affect bacterial growth. Limits in number and perspective of the literature do not allow tracking an unequivocal mode of action. However, the history of life on Earth supports the mechanism of light-cell interaction."
"Therefore, also in bacteria, PBM can affect cellular metabolism, homeostasis, defense to stress, and life-and-death mechanisms. Preliminary data do not allow determining reliable therapies, but stress the needing for further knowledge on light-bacteria interaction and microbiota management in health and illness patients through PBM."</t>
  </si>
  <si>
    <t>Microbiome Changes in Humans with Parkinson's Disease after Photobiomodulation Therapy: A Retrospective Study</t>
  </si>
  <si>
    <t xml:space="preserve">🧑 Human
📄 Single-arm trial
👥 12 participants
⌛ 12-week treatment </t>
  </si>
  <si>
    <t>32.4
abdomen
+
7.6
neck
+
240
brain
+ 
15
nose</t>
  </si>
  <si>
    <t>12
/ 4 weeks
-&gt;
8
/ 4 weeks
-&gt;
4
/ 4 weeks</t>
  </si>
  <si>
    <t>"Specifically, we have observed changes in the microbiome of Parkinson's patients after a 12-week treatment regimen with photobiomodulation to the abdomen, neck, head and nose. Noted were positive changes in the Firmicutes to Bacteroidetes (F:B) ratio, which is often interpreted as a proxy for gut health."</t>
  </si>
  <si>
    <t>Modifying the Microbiome as a Potential Mechanism of Photobiomodulation: A Case Report</t>
  </si>
  <si>
    <t>🧑 Human
📄 Case report
⌛ 11 weeks (?)</t>
  </si>
  <si>
    <t>33
/ 11 weeks</t>
  </si>
  <si>
    <t xml:space="preserve">"The microbiome of the participant showed significant changes in diversity after PBM treatment, but not after cancer therapy, with an increase in the number of known beneficial bacteria (Akkermansia, Faecalibacterium, and Roseburia) and decrease in the number of potentially pathogenic genera."							</t>
  </si>
  <si>
    <t>Anatomical location: abdomen</t>
  </si>
  <si>
    <t>Ailioaie &amp; Litscher</t>
  </si>
  <si>
    <t>Romania
(Iasi)</t>
  </si>
  <si>
    <t>Probiotics, Photobiomodulation, and Disease Management: Controversies and Challenges</t>
  </si>
  <si>
    <t>"Coupled complex PBM and probiotic interventions can control the microbiome, improve the activity of the immune system, and save the lives of people with immune imbalances. There is an urgent need to seek and develop innovative treatments to successfully interact with the microbiota and the human immune system in the coronavirus crisis. In the near future, photobiomics and metabolomics should be applied innovatively in the SARS-CoV-2 crisis (to study and design new therapies for COVID-19 immediately), to discover how bacteria can help us through adequate energy biostimulation to combat this pandemic, so that we can find the key to the hidden code of communication between RNA viruses, bacteria, and our body."</t>
  </si>
  <si>
    <t>Zanotta</t>
  </si>
  <si>
    <t>Biomarkers</t>
  </si>
  <si>
    <t>Photobiomodulation modulates inflammation and oral microbiome: a pilot study</t>
  </si>
  <si>
    <t>🧑 Human
📄 Single-arm trial
👥 4 participants
⌛ 4-day treatment / 11-day study</t>
  </si>
  <si>
    <t>Oral mucositis
Oral microbiome</t>
  </si>
  <si>
    <t>"Most of the pro-inflammatory cytokines were reduced, whereas anti-inflammatory cytokines resulted up-regulated by PBM. In addition, PBM influenced the composition of oral microbiome, by decreasing the amount of pathogenic species and promoting the growth of commensal bacteria. These changes were even more evident when separately analysing patients who clinically responded to PBM and the only patient who did not respond."
"PBM reduces inflammatory burden in patients affected by OM and positively influences the composition of the oral microbiome."</t>
  </si>
  <si>
    <t>Australia
(Wahroonga)</t>
  </si>
  <si>
    <t>"Photobiomics": Can Light, Including Photobiomodulation, Alter the Microbiome?</t>
  </si>
  <si>
    <t>"Recent work by our research group has demonstrated that PBM (red and NIR light) delivered to the abdomen in mice, can alter the gut microbiome in a potentially beneficial way. This has also now been demonstrated in human subjects."
"In consideration of the known effects of PBM on metabolomics, and the now demonstrated effects of PBM on the microbiome, as well as other effects of light on the microbiome, including modulating circadian rhythms, the present perspective introduces a new term "photobiomics" and looks forward to the application of PBM to influence the microbiome in humans. Some mechanisms by which this phenomenon might occur are considered."</t>
  </si>
  <si>
    <t>Photobiomodulation of the microbiome: implications for metabolic and inflammatory diseases.</t>
  </si>
  <si>
    <t>"There was a significant (p &lt; 0.05) difference in microbial diversity between PBM- and sham-treated mice. One genus of bacterium (Allobaculum) significantly increased (p &lt; 0.001) after infrared (but not red light) PBM by day 14."
"Despite being a preliminary trial with small experimental numbers, we have demonstrated for the first time that PBM can alter microbiome diversity in healthy mice and increase numbers of Allobaculum, a bacterium associated with a healthy microbiome. This change is most probably a result of PBMt affecting the host, which in turn influenced the microbiome."
Comment: A blog text has been published in Splice-bio.com, describing this study: https://splice-bio.com/illuminating-the-microbiome/ ("Surprisingly, they found that the levels of a bacteria called Allobaculum stercoricanis was at least 400-fold higher in mice treated with multiple doses of infrared compared to untreated mice.")</t>
  </si>
  <si>
    <t>Perianal abscess</t>
  </si>
  <si>
    <t>Campos</t>
  </si>
  <si>
    <t>Antimicrobial photodynamic and photobiomodulation adjuvant therapies for the treatment of perianal abscess</t>
  </si>
  <si>
    <t>"Considering the debate on the role of postoperative antibiotic therapy for patients with perianal abscess and the significant discomfort caused by the infection, the present study aimed to report a clinical case in which antimicrobial photodynamic therapy (aPDT) and photobiomodulation therapy (PBMT) were used after incision and drainage of a simple perianal abscess. Within 5 days, there was no sign or symptom of both infection and inflammation, and after 3 months, no fistulous pathways or perianal collections were present. According to the current case report, the combination of aPDT and PBMT following incision and drainage of perianal abscess may be a smart strategy for infection resolution and prevention of late complications."</t>
  </si>
  <si>
    <t>Radiation-induced enteropathy</t>
  </si>
  <si>
    <t>Photobiomodulation Enhances the Angiogenic Effect of Mesenchymal Stem Cells to Mitigate Radiation-Induced Enteropathy.</t>
  </si>
  <si>
    <t>Stem cell therapy + PBM
LED phototherapy</t>
  </si>
  <si>
    <t>"In a mouse model of radiation-induced enteropathy, treatment with PBM-preconditioned MSCs alleviated mucosal destruction, improved crypt cell proliferation and epithelial barrier functions, and significantly attenuated the loss of microvascular endothelial cells in the irradiated intestinal mucosa. This treatment also significantly increased angiogenesis in the lamina propria. 
Together, we suggest that PBM enhances the angiogenic potential of MSCs, leading to improved therapeutic efficacy for the treatment of radiation-induced enteropathy."</t>
  </si>
  <si>
    <t>Rectal ulcer</t>
  </si>
  <si>
    <t>Imtiaz</t>
  </si>
  <si>
    <t>Pakistan
(Nilore)</t>
  </si>
  <si>
    <t>Effective Treatment of Solitary Rectal Ulcer Syndrome by Using Photobiomodulation Therapy: A Case Report</t>
  </si>
  <si>
    <t>"A 29-year Asian women, diagnosed for SRUS of 0.57 cm diameter, was treated by a laser at 635 nm through seven sessions. Laser fluence of 85 J/cm2 was delivered to ulcer lesion during each session for 10 min. Clinical results were valued by physician with sigmoid probe throughout PBMT sessions and no medicines were prescribed to the patient."
"After seven sessions, the lesion was completely healed with 100% clinical response. In follow-up, patient did not respond to any additional/recurring abnormality, and no side effects were observed."</t>
  </si>
  <si>
    <t>Smooth muscle function</t>
  </si>
  <si>
    <t>Xenodochidis</t>
  </si>
  <si>
    <t>The Photobiomodulation of MAO-A Affects the Contractile Activity of Smooth Muscle Gastric Tissues</t>
  </si>
  <si>
    <t>Ex vivo (rat smooth muscle tissues from stomach corpus)</t>
  </si>
  <si>
    <t>LED phototherapy (lasers with some wavelengths)</t>
  </si>
  <si>
    <t xml:space="preserve">254
350
365
470
532
660
808
</t>
  </si>
  <si>
    <t>"We found that exposure of these tissues to lamps, emitting light with wavelengths of 254 nm and 350 nm, lasers, emitting light with 532 nm and 808 nm, and light-emitting diodes (LEDs) with ER at a wavelength of 660 nm, increased the 5-HT effect on the contractility. On the other hand, LEDs at 365 nm and 470 nm reduced it."</t>
  </si>
  <si>
    <t>Surgery</t>
  </si>
  <si>
    <t>Redkin</t>
  </si>
  <si>
    <t>Russia
(Voronezh)</t>
  </si>
  <si>
    <t>Reduce Adverse Effects of Laparoscopic Cholecystectomy with Pulse Width Modulated LED Light (625 nm, 76 Hz, 23% Duty Cycle).</t>
  </si>
  <si>
    <t>🧑 Human
🎲 Randomized trial
👥 263 participants
⌛ single treatment --&gt; 3-day follow-up</t>
  </si>
  <si>
    <t>LED phototherapy
Svetozar-PRO device
Large sample size RCT (&gt;150)</t>
  </si>
  <si>
    <t>0.015-
0.030</t>
  </si>
  <si>
    <t>0.9-
1.8</t>
  </si>
  <si>
    <t>"The test group revealed significant reduction in postsurgery gain of levels of ALT, AST, and ESR compared with the control group."
"Treatment of the removed gallbladder bed and porta hepatis by red LED PWM radiation during LCE significantly reduces the adverse effects of surgery while increasing its time insignificantly and does not affect the surgical best practices deployed."</t>
  </si>
  <si>
    <t>Ulcerative colitis</t>
  </si>
  <si>
    <t>Dubinkin &amp; Mimrikova</t>
  </si>
  <si>
    <t>Complex treatment of non-specific ulcerative colitis with low-level HeNe laser used transanally</t>
  </si>
  <si>
    <r>
      <rPr>
        <sz val="7.0"/>
      </rPr>
      <t xml:space="preserve">🧑 Human
📄 Single-arm trial
👥 81 participants
⌛ (?)
</t>
    </r>
    <r>
      <rPr>
        <i/>
        <sz val="7.0"/>
      </rPr>
      <t>[No English full text]</t>
    </r>
  </si>
  <si>
    <t>["81 patients (average age 42) with non-specific ulcerous colitis were treated with trans-anal HeNe laser. After 10-12 sessions 72% of the patients noted a reduction of pain and the stool became rare. Coloscopy showed that the mucous membrane regenerated repidly with an increased vascular picture."]</t>
  </si>
  <si>
    <t>Fibroblast</t>
  </si>
  <si>
    <t>Transcriptome analysis of the effects of polarized photobiomodulation on human dermal fibroblasts</t>
  </si>
  <si>
    <t>"A total of 71 Differentially Expressed Genes (DEGs) are described. All DEGs were found in the polarized PBM group (P-PBM), relative to the control group (PC). Of the 71 DEGs, 10 genes were upregulated and 61 were downregulated. Most DEGs were either mitochondrial or extracellular matrix (ECM)-related."
"The P-PBM DEGs were almost always down regulated compared to the comparator groups. This may be explained by the P-PBM treatment conditions decreasing the amount of cellular stress, hence causing a decreased mitochondria and ECM protective response."</t>
  </si>
  <si>
    <t>"Pathway enrichment and transcription factor analysis revealed regulation of extracellular matrices, proliferation, and cellular responses to oxygen-containing compounds following RL phototherapy. Specifically, RL phototherapy increased the expression of MMP1, which codes for matrix metalloproteinase-1 (MMP-1) and is responsible for remodeling extracellular collagen. Differential regulation of MMP1 was confirmed with RT-qPCR and ELISA. Additionally, RL upregulated PRSS35, which has not been previously associated with skin activity, but has known anti-fibrotic functions. 
Our results suggest that RL may benefit patients by altering fibrotic gene expression."</t>
  </si>
  <si>
    <t>Szezerbaty</t>
  </si>
  <si>
    <t>The effect of low-level laser therapy (660 nm) on the gene expression involved in tissue repair.</t>
  </si>
  <si>
    <t>L929 fibroblast cells.
Dose response</t>
  </si>
  <si>
    <t>"The LLLT (660 nm) at the dose of 5 J/cm2 should modulate cellular viability, upregulated VEGF, and downregulated IL6 expression of messenger RNA in culture of L929 fibroblast cells."</t>
  </si>
  <si>
    <t>Orthod Craniofac Res</t>
  </si>
  <si>
    <t>Visible red and infrared light alters gene expression in human marrow stromal fibroblast cells</t>
  </si>
  <si>
    <t>633
830</t>
  </si>
  <si>
    <t>0.5
1.0
1.5
2.0
0.5
1.0
1.5
2.0</t>
  </si>
  <si>
    <t>"These studies demonstrate differential gene expression with different wavelengths, energy densities and cell types. These differences in gene expression have the potential to be exploited for therapeutic purposes and can help explain contradictory results in the literature when wavelengths, energy densities and cell types differ."</t>
  </si>
  <si>
    <t>Expression of genes in normal fibroblast cells (WS1) in response to irradiation at 660nm.</t>
  </si>
  <si>
    <t>"This study aimed to profile 84 genes in response to irradiation at 660nm."
"A total of 76 genes were regulated by laser irradiation, 43 genes were up-regulated while 33 genes were down-regulated.
Irradiation of WS1 cells at 660nm modulates the expression of genes involved in collagen production, cellular adhesion, remodelling and spreading, the cytoskeleton, inflammatory cytokines and chemokines, growth factors and molecules involved in signal transduction."</t>
  </si>
  <si>
    <t>Masha</t>
  </si>
  <si>
    <t>Low-intensity laser irradiation at 660 nm stimulates transcription of genes involved in the electron transport chain.</t>
  </si>
  <si>
    <t>Human skin fibroblast</t>
  </si>
  <si>
    <t>"LILI upregulated cytochrome c oxidase subunit VIb polypeptide 2 (COX6B2), cytochrome c oxidase subunit VIc (COX6C), and pyrophosphatase (inorganic) 1 (PPA1) in diabetic wounded cells;
COX6C, ATP synthase, H+transporting, mitochondrial Fo complex, subunit B1 (ATP5F1), nicotinamide adenine dinucleotide (NADH) dehydrogenase (ubiquinone) 1 alpha subcomplex, 11 (NDUFA11), and NADH dehydrogenase (ubiquinone) Fe-S protein 7 (NDUFS7) in wounded cells;
and ATPase, H+/K+ exchanging, beta polypeptide (ATP4B), and ATP synthase, H+ transporting, mitochondrial Fo complex, subunit C2 (subunit 9) (ATP5G2) in ischemic cells."
"LILI at 660 nm stimulates the upregulation of genes coding for subunits of enzymes involved in complexes I and IV and ATP synthase."</t>
  </si>
  <si>
    <t>Calles</t>
  </si>
  <si>
    <t>Infrared A radiation influences the skin fibroblast transcriptome: mechanisms and consequences.</t>
  </si>
  <si>
    <t>Primary human skin fibroblasts
Polychromatic light 🌈</t>
  </si>
  <si>
    <t>"Microarray analysis revealed 599 IRA-regulated transcripts. The IRA-induced transcriptome differed from changes known to be induced by UV. IRA-responsive genes include the categories extracellular matrix, calcium homeostasis, stress signaling, and apoptosis. Selected results were confirmed by real-time PCR experiments analyzing 13 genes representing these four categories. By means of chemical inhibitors of known signaling pathways, we showed that ERK1/2, the p38-, JNK-, PI3K/AKT-, STAT3-, and IL-6 as well as the calcium-mediated signaling pathways, are functionally involved in the IRA gene response and that a major part of it is triggered by mitochondrial and, to a lesser extent, non-mitochondrial production of reactive oxygen species. 
Our results identify IRA as an environmental factor with relevance for skin homeostasis and photoaging."</t>
  </si>
  <si>
    <t>McDaniel</t>
  </si>
  <si>
    <t>USA
(Virginia beach, VA)</t>
  </si>
  <si>
    <t>Varying ratios of wavelengths in dual wavelength LED photomodulation alters gene expression profiles in human skin fibroblasts.</t>
  </si>
  <si>
    <t>590
870
590+
870</t>
  </si>
  <si>
    <t>"Overall, there was an average (in an 80 gene array) of 6% expression difference in up or downregulation between the arrays. The greatest increase in collagen I and decrease in collagenase (MMP-1) was observed with 75/25% ratio of 590/870 nm. The addition of increasing proportions of IR wavelengths causes alteration in gene expression profile. The ratios of the wavelengths caused variation in magnitude of expression."
"Cell metabolism and gene expression can be altered by simultaneous exposure to multiple wavelengths of low energy light. Varying the ratios of specific wavelength intensity in both visible and near infrared light therapy can strongly influence resulting fibroblast gene expression patterns."</t>
  </si>
  <si>
    <t>Low-power therapeutic lasers on mRNA levels</t>
  </si>
  <si>
    <t>"Data showed that mRNA levels have been evaluated by RT-qPCR for a variety of genes related to molecular, cellular, and systemic processes after low-power violet-orange, red, and infrared laser exposure. Results from gene expression have increased the understanding of the mechanisms involved in photobiomodulation, and they can be useful to increase the efficacy and safety of clinical applications based on low-power lasers."</t>
  </si>
  <si>
    <t>Canuto</t>
  </si>
  <si>
    <t>Low-level lasers affect uncoupling protein gene expression in skin and skeletal muscle tissues</t>
  </si>
  <si>
    <t>"UCP2 and UCP3 mRNA expression was differently altered in skin and skeletal muscle tissues exposed to lasers in a wavelength-dependent effect, with the UCP3 mRNA expression dose-dependent."</t>
  </si>
  <si>
    <t>Fonseca</t>
  </si>
  <si>
    <t>Low intensity infrared laser affects expression of oxidative DNA repair genes in mitochondria and nucleus</t>
  </si>
  <si>
    <t>"Skin and muscle tissue of Wistar rats exposed to laser radiation show different expression of POLγ and APEX2 mRNA depending of the fluence and time after exposure.
Our study suggests that a low intensity infrared laser affects expression of genes involved in repair of oxidative lesions in mitochondrial and nuclear DNA."</t>
  </si>
  <si>
    <t>Low-intensity red and infrared lasers on XPA and XPC gene expression</t>
  </si>
  <si>
    <t>"Data obtained show that laser radiation alters the expression of XPA and XPC mRNA differently in skin and muscle tissue of Wistar rats, depending on physical (fluence and wavelength) and biological (tissue) parameters.
Laser light could modify expression of genes related to the nucleotide excision repair pathway at fluences and wavelengths used in clinical protocols."</t>
  </si>
  <si>
    <t>Laser photobiomodulation of gene expression and release of growth factors and cytokines from cells in culture: a review of human and animal studies.</t>
  </si>
  <si>
    <t>"A total of 17 relevant papers were included in the review, comprising studies on a variety of cell types. Considerable variation occurred in research design, methodology, and irradiation parameters employed, limiting comparison of research findings between studies."
"Results demonstrated that laser irradiation at green, red, or infrared wavelengths at a range of dosage parameters can cause significant changes in the cellular gene expression and release of these mediators, and that such effects depend upon wavelength and radiant exposure."</t>
  </si>
  <si>
    <t>ATM and pt3</t>
  </si>
  <si>
    <t>Guedes de Almeida</t>
  </si>
  <si>
    <t>TP53 and ATM mRNA expression in skin and skeletal muscle after low-level laser exposure.</t>
  </si>
  <si>
    <t>"Our data showed that relative TP53 mRNA expression was not significantly altered in both tissues exposed to lasers. For ATM, relative mRNA expression in skin tissue was not significantly altered, but in muscle tissue, laser exposure increased relative ATM mRNA expression."</t>
  </si>
  <si>
    <t>Effects of low-level laser irradiation on mesenchymal stem cell proliferation: a microarray analysis.</t>
  </si>
  <si>
    <t>"This procedure identified 119 differentially expressed genes. 
Real-time PCR confirmed that the expression levels of v-akt murine thymoma viral oncogene homolog 1 (Akt1), the cyclin D1 gene (Ccnd1) and the phosphatidylinositol 3-kinase, catalytic alpha polypeptide gene (Pik3ca) were upregulated after LLLI, whereas those of protein tyrosine phosphatase non-receptor type 6 (Ptpn6) and serine/threonine kinase 17b (Stk17b) were downregulated. 
cDNA microarray analysis revealed that after LLLI the expression levels of various genes involved in cell proliferation, apoptosis and the cell cycle were affected. Five genes, including Akt1, Ptpn6, Stk17b, Ccnd1 and Pik3ca, were confirmed and the PI3K/Akt/mTOR/eIF4E pathway was identified as possibly playing an important role in mediating the effects of LLLI on the proliferation of MSCs."</t>
  </si>
  <si>
    <t>DNA repair</t>
  </si>
  <si>
    <t>Low-intensity red and infrared lasers affect mRNA expression of DNA nucleotide excision repair in skin and muscle tissue.</t>
  </si>
  <si>
    <t>660
880</t>
  </si>
  <si>
    <t>25
50
100
25
50
100</t>
  </si>
  <si>
    <t>"Data show that ERCC1 and ERCC2 mRNA expressions decrease in skin (p &lt; 0.001) exposed to near-infrared laser, but increase in muscle tissue (p &lt; 0.001). ERCC1 mRNA expression does not alter (p &gt; 0.05), but ERCC2 mRNA expression decreases in skin (p &lt; 0.001) and increases in muscle tissue (p &lt; 0.001) exposed to red laser."
"Our results show that ERCC1 and ERCC2 mRNA expression is differently altered in skin and muscle tissue exposed to low-intensity lasers depending on wavelengths and fluences used in therapeutic protocols."</t>
  </si>
  <si>
    <t>de Souza da Fonseca</t>
  </si>
  <si>
    <t>DNA repair gene expression in biological tissues exposed to low-intensity infrared laser.</t>
  </si>
  <si>
    <t>"Data obtained show that laser radiation alters the expression of APE1 and OGG1 mRNA differently in skin and muscle tissues of Wistar rats depending of the fluence, frequency, and time after exposure. Our study suggests that low-intensity infrared laser affects expression of genes involved in repair of DNA lesions by base excision repair pathway."</t>
  </si>
  <si>
    <t>Epithelium / Defensins</t>
  </si>
  <si>
    <t>Protein and Peptide Letters</t>
  </si>
  <si>
    <t>Effect of Laser Therapy on Defensins' Gene Expression in TR146 Epithelial Cell Line</t>
  </si>
  <si>
    <t>"In this cellular model LT decreased mRNA defensins' expression 30 minutes after irradiation but not 24 hours later, suggesting that LT is able to influence β -defensins production immediately after treatment, while its efficacy decreases over time."</t>
  </si>
  <si>
    <t>Extracellular matrix</t>
  </si>
  <si>
    <t>Laser Irradiation Alters the Expression Profile of Genes Involved in the Extracellular Matrix In Vitro</t>
  </si>
  <si>
    <t>"Real-time reverse transcription (RT) quantitative polymerase chain reaction (qPCR) was used to determine the expression of 84 genes in a PCR array. 
There was a significant upregulation of 29 genes in the normal cells, 32 genes in the normal wounded cells, and 18 genes in the diabetic wounded cells as well as a downregulation of 19 genes (normal), 6 genes (normal wounded), and 31 genes (diabetic wounded). 
Low intensity laser irradiation (LILI) stimulates gene expression in various cell adhesion molecules (CAMs) and extracellular proteins at 660 nm in wounded fibroblasts in vitro."</t>
  </si>
  <si>
    <t>Synoviocytes</t>
  </si>
  <si>
    <t>Heat Shock Protein Is Associated with Inhibition of Inflammatory Cytokine Production by 630 nm Light-Emitting Diode Irradiation in Fibroblast-Like Synoviocytes Based on RNA Sequencing Analysis</t>
  </si>
  <si>
    <t>"Taken together, our results revealed the correlation between HSP70 and the inhibition of inflammation caused by 630 nm LED irradiation. These findings suggested that HSP may be a novel target of 630 nm LED irradiation to alleviate inflammation in the treatment of RA."</t>
  </si>
  <si>
    <t>Web Crawling and mRNA Sequencing Analyze Mechanisms of Photobiomodulation</t>
  </si>
  <si>
    <t>Web crawling
+ 🧪 In vitro (?)</t>
  </si>
  <si>
    <t>"Using web crawling, bioinformatics analysis, and mRNA sequence, we obtained 9 key genes and 12 important pathways about PBM. Importantly, we demonstrated the anti-inflammatory effect of 630 nm LED red light by RT-qPCR."</t>
  </si>
  <si>
    <t>Pilar</t>
  </si>
  <si>
    <t>Modulation of gene expression in skin wound healing by photobiomodulation therapy: A systematic review in vivo studies</t>
  </si>
  <si>
    <t>"Eleven studies were included in this review and the expression of 186 genes was evaluated. PBMT modified the expression of several targets genes studied, such as down-regulation of genes related to extracellular matrix proteases (MMP2 and MMP9) and pro-inflammatory cytokines (IL10 and IL6) and up-regulation of DNMT3A and BFGF."</t>
  </si>
  <si>
    <t>Gene therapy</t>
  </si>
  <si>
    <t>Adenoviral gene transduction</t>
  </si>
  <si>
    <t>Photobiomodulation promotes adenoviral gene transduction in auditory cells.</t>
  </si>
  <si>
    <t>"These findings suggest that PBM may enhance the gene delivery of Ad-mediated viral transduction, and the combination of the two may be a promising tool for gene therapy for sensorineural hearing loss."</t>
  </si>
  <si>
    <t>Transfection efficiency</t>
  </si>
  <si>
    <t>Australia
(Herston)</t>
  </si>
  <si>
    <t>Impact of photobiomodulation using four diode laser wavelengths of on cationic liposome gene transfection into pre-osteoblast cells</t>
  </si>
  <si>
    <t>445
685
810
970</t>
  </si>
  <si>
    <t>0.105
0.105
0.105
0.105</t>
  </si>
  <si>
    <t>"PBM using 810 nm and 970 nm lasers significantly enhanced transfection efficiency for GFP, indicating more efficient uptake of plasmid DNA. Conversely, laser irradiation at 445 nm and 685 nm wavelengths reduced the GFP transfection efficiency."
"Treatment using 685, 810, and 970 nm lasers at 12 J maintained cell viability and prevented toxicity of cationic liposomes."</t>
  </si>
  <si>
    <t>General</t>
  </si>
  <si>
    <t>Home-use devices</t>
  </si>
  <si>
    <t>Gavish &amp; Houreld</t>
  </si>
  <si>
    <t>Therapeutic Efficacy of Home-Use Photobiomodulation Devices: A Systematic Literature Review.</t>
  </si>
  <si>
    <t>Austria (Graz)</t>
  </si>
  <si>
    <t>Medicines</t>
  </si>
  <si>
    <t>Definition of Laser Acupuncture and All Kinds of Photo Acupuncture.</t>
  </si>
  <si>
    <t>Definition of laser acupuncture developed at WALT 2018 (Nice): “Photonic stimulation of acupuncture points and areas to initiate therapeutic effects similar to that of needle acupuncture and related therapies together with the benefits of PhotoBioModulation (PBM)”                                                                                                                                                                                                               It is also appropriate to indicate that WALT guidelines will be coming out shortly (Summer 2019) on the current state of knowledge with primarily human treatment studies specifically, but also evidence from lab studies.</t>
  </si>
  <si>
    <t>Whittaker P</t>
  </si>
  <si>
    <t>USA
(Worcester, MA)</t>
  </si>
  <si>
    <t>Laser acupuncture: past, present, and future.</t>
  </si>
  <si>
    <t>Ohshiro T</t>
  </si>
  <si>
    <t>Acupuncture, laser acupuncture, and LLLT</t>
  </si>
  <si>
    <t>"Low reactive-Level Laser Therapy, LLLT, is not acupuncture, or laser acupuncture. It originally owes its roots to the more anatomically-based Western medical form."</t>
  </si>
  <si>
    <t>Low-Level Laser Therapy: Potential and Complications</t>
  </si>
  <si>
    <t>"In the present study [review], it is attempted to elucidate the benefits and possible disadvantages of laser therapy in the clinical fields."</t>
  </si>
  <si>
    <t>The Use of Low-Level Energy Laser Radiation in Basic and Clinical Research.</t>
  </si>
  <si>
    <t xml:space="preserve">  </t>
  </si>
  <si>
    <t>"Areas in which LLLT is used are: regenerative medicine (for healing wounds and ulcers); aesthetic medicine (to improve appearance of scars); dentistry (to accelerate healing of implants); physiotherapy (to reduce chronic pain syndromes), orthopedics (in bone healing) and cardiology (as a prevention of restenosis after percutaneous coronary intervention).
This paper discusses the medical applications of LLLT which are used in daily clinical practice as well as those used in basic science."</t>
  </si>
  <si>
    <t>Rep Prog Phys</t>
  </si>
  <si>
    <t>Lasers in medicine</t>
  </si>
  <si>
    <t>"Although LEDs cannot be used in the applications required for a highly collimated beam, they offer an effective alternative to laser treatments where large areas are targeted [81–90]. For example, LED-based low-level therapy (LEDLLT) can produce a biostimulative effect to promote wound healing [84–86, 91] and reversal of photoaging [92, 93]."
Comment: A high-impact journal in physics.</t>
  </si>
  <si>
    <t>Babapour</t>
  </si>
  <si>
    <t>Low-energy laser systems</t>
  </si>
  <si>
    <t>"L ow-energy laser is one that is capable of producing an energy density so low that any biologic alterations are the result of direct irradiation effect, not thermal events (...)"</t>
  </si>
  <si>
    <t>BOOK: Light-Emitting Diodes</t>
  </si>
  <si>
    <t>Light-Emitting Diodes for Healthcare and Well-being</t>
  </si>
  <si>
    <t>"With the rapid development of semiconductors both in materials and technologies in recent years, LED has taken on a new look: higher luminous intensity, more stable peak wavelength, narrower half-wave bandwidth, better monochromaticity and orientation, and a nearly full coverage of the whole spectrum. In addition, LED devices are small in size, easy to operate and carry, and low in cost. They can be used to form complicated geometric figures so as to form point, line, and surface light sources and even flexible soft light source adaptable to the shape of a treatment area to realize evener illumination. For these reasons, LED light sources are now more and more popular in clinical practice. 
In this chapter, the mechanisms and indications of LED phototherapy and the status quo of the research on and development of LED phototherapy devices are introduced."</t>
  </si>
  <si>
    <t>Oh &amp; Jeong</t>
  </si>
  <si>
    <t>Therapeutic application of light emitting diode: Photo-oncomic approach.</t>
  </si>
  <si>
    <t>LED phototherapy
Cancer</t>
  </si>
  <si>
    <t>"This review provides general information on therapeutic applications of blue, green, yellow, red, and infrared LED in medical treatments for various physical abnormalities and on bio-imaging."
"The author's photo-oncomic experiments using a specific blue light emitting diode were introduced, showing that blue LED possessed anti-proliferative and anti-metastatic abilities in cancer cells and mice."</t>
  </si>
  <si>
    <t>Dong &amp; Xiong</t>
  </si>
  <si>
    <t>China
(Suzhou)</t>
  </si>
  <si>
    <t>Applications of Light Emitting Diodes in Health Care.</t>
  </si>
  <si>
    <t>"Despite the fast advances in both LED technologies and their applications, few reviews have been seen to link the controllable emission properties of LEDs to these applications. The objective of this paper is to bridge this gap by reviewing the main control techniques of LEDs that enable creating enhanced lighting patterns for imaging and generating effective photon doses for photobiomodulation. This paper also provides the basic mechanisms behind the effective LED therapies in treating cutaneous and neurological diseases. The emerging field of optogenetics is also discussed with a focus on the application of LEDs. The multidisciplinary topics reviewed in this paper can help the researchers in LEDs, imaging, light therapy and optogenetics better understand the basic principles in each other's field; and hence to stimulate the application of LEDs in health care."</t>
  </si>
  <si>
    <r>
      <rPr>
        <b/>
        <color rgb="FF980000"/>
        <sz val="9.0"/>
      </rPr>
      <t xml:space="preserve">★
</t>
    </r>
    <r>
      <rPr>
        <b/>
        <color rgb="FF980000"/>
        <sz val="6.0"/>
      </rPr>
      <t>📷</t>
    </r>
  </si>
  <si>
    <t>Calderhead &amp; Tanaka</t>
  </si>
  <si>
    <t>BOOK: Photomedicine - Advances in Clinical Practice</t>
  </si>
  <si>
    <t>Photobiological Basics and Clinical Indications of Phototherapy for Skin Rejuvenation</t>
  </si>
  <si>
    <t>"Photobiological basics and light/tissue interaction underlying the process will be examined, together with the importance of treatment parameters."</t>
  </si>
  <si>
    <t>Taiwan
(Pitou/Peetou)</t>
  </si>
  <si>
    <t>Renew Sust Energy Rev</t>
  </si>
  <si>
    <t>Light-emitting diodes׳ light qualities and their corresponding scientific applications</t>
  </si>
  <si>
    <t>"This paper reviews the studies that use LEDs based on their light qualities. The reviewed fields include agriculture, aquaculture, phototherapy, biomedical research, biomass production, and environmental applications. The review leads to the conclusion that (1) the most versatile and effective wavelengths are centralized in red, blue, and infrared segments; (2) UV range LEDs, while generally used for sterilization and disinfection, are sometimes applied in biomedical treatments. With the low power output that makes long exposure necessary to induce significant effect, UV LEDs are expected to be used more widely for bacteria inactivation when their higher output versions are available; and (3) orange, yellow, and green LEDs are less used as the primary light sources except for being employed in sensing device. Nevertheless, green and yellow LEDs are sometimes used to enhance the production or certain functions of non-chlorophyll based plants."</t>
  </si>
  <si>
    <t>Lim S</t>
  </si>
  <si>
    <t>J Soc Inf Disp</t>
  </si>
  <si>
    <t>Phototherapy and the benefits of LEDs</t>
  </si>
  <si>
    <t>"Radiation from LEDs have been reported beneficial for treating many kinds of minor diseases in our body. UV, blue, green, red, and IR radiation from LEDs has been found effective in curing skin diseases such as psoriasis, vitiligo, atopic dermatitis (eczema), reducing pain, generating collagen and elastics cells, killing acne bacteria, treating hair growth, etc"</t>
  </si>
  <si>
    <t>BOOK: Basics in Dermatological Laser Applications</t>
  </si>
  <si>
    <t>Light-Emitting Diode</t>
  </si>
  <si>
    <t>"Light-emitting diode (LED) photomodulation has become a recognized player in the world of lasers and light sources. It is used to treat a variety of clinical entities, including photorejuvenation, erythema-induced injury following laser and other cosmetic procedures, and acne vulgaris. Its use has increased and will increase further as our understanding of LED devices deepens."
Comment: Quite a short review.</t>
  </si>
  <si>
    <t>Taiwan
(Pitou / Peetou)</t>
  </si>
  <si>
    <t>Light-emitting diodes—Their potential in biomedical applications</t>
  </si>
  <si>
    <t>"This paper provides a general review on red, green, blue, ultraviolet LED applications in photo rejuvenation and medical treatments of a variety of physical abnormalities, as well as the relief of stress, circadian rhythm disorders, and seasonal affective disorder. The review, concentrated in the papers published after 1990, intends to show that LEDs are well qualified to succeed its more energy demanding counterparts in the named areas and beyond."</t>
  </si>
  <si>
    <t>Kontoes</t>
  </si>
  <si>
    <t>Greece &amp; Spain &amp; Japan</t>
  </si>
  <si>
    <t>Phototherapy: medicine for the new millennium</t>
  </si>
  <si>
    <t>"Perhaps an even greater potential for LED therapy exists in its being incorporated into our conventional clinical practice as an adjunctive treatment to improve our already good results, particularly when the cost-effectiveness of these systems is considered. Some of the mechanisms by which this athermal and atraumatic light source can beneficially affect targeted tissues have already been elucidated, but much more work awaits before we can unlock the full scientific potential behind the good clinical results. There is no doubt that LED therapy has arrived, but its impact remains to be maximized."</t>
  </si>
  <si>
    <t>Desmet</t>
  </si>
  <si>
    <t>Clinical and experimental applications of NIR-LED photobiomodulation.</t>
  </si>
  <si>
    <t>"NIR-LED light treatment stimulates the photoacceptor cytochrome c oxidase, resulting in increased energy metabolism and production.
NIR-LED light treatment accelerates wound healing in ischemic rat and murine diabetic wound healing models, attenuates the retinotoxic effects of methanol-derived formic acid in rat models, and attenuates the developmental toxicity of dioxin in chicken embryos.
Furthermore, NIR-LED light treatment prevents the development of oral mucositis in pediatric bone marrow transplant patients.
The experimental results demonstrate that NIR-LED light treatment stimulates mitochondrial oxidative metabolism in vitro, and accelerates cell and tissue repair in vivo.
NIR-LED light represents a novel, noninvasive, therapeutic intervention for the treatment of numerous diseases linked to mitochondrial dysfunction."</t>
  </si>
  <si>
    <t>Light in medicine</t>
  </si>
  <si>
    <t>Light exposure and its applications in human health</t>
  </si>
  <si>
    <t>"Light exposure has been proven to have a significant impact on human health. As a result, researchers are increasingly exploring its potential benefits and drawbacks. With advancements in understanding light and the manufacturing of light sources, modern health lighting has become widely utilized in daily life and plays a critical role in the prevention and treatment of various illnesses. The use of light in healthcare is a global trend, with many countries actively promoting the development and application of relevant scientific research and medical technology. This field has gained worldwide attention and support from scientists and doctors alike. In this review, we examine the application of lighting in human health and recent breakthroughs in light exposure related to pathology, therapeutic strategies, molecular changes, and more. Finally, we also discuss potential future developments and areas of application."</t>
  </si>
  <si>
    <t>Nat Rev Mater</t>
  </si>
  <si>
    <t>Multifunctional materials for implantable and wearable photonic healthcare devices</t>
  </si>
  <si>
    <t>Azeemi</t>
  </si>
  <si>
    <t>Pakistan
(Lahore)</t>
  </si>
  <si>
    <t>Complement Med Ther</t>
  </si>
  <si>
    <t>The mechanistic basis of chromotherapy: Current knowledge and future perspectives.</t>
  </si>
  <si>
    <t>"Chromotherapy is a method of treatment that uses wavelengths in the visible region for curing different diseases and medical conditions. Recent advances in photobiology and the speciality of Photobiomodulation are uncovering the cellular and molecular effects of visible range electromagnetic radiation. We discuss the reported effects of visible range radiation on cells (in vitro and in vivo) and the attempted explanations of the underlying processes with regard to therapeutic effects. Some of the important advances in this area are reviewed, especially the effects of visible light on bacteria, enzymes and the use of visible light for wound healing and treatment of psychiatric diseases for the purpose of explaining the therapeutic implications of chromotherapy. We highlight the correlation of wavelengths used between recently uncovered mechanisms of photobiology and conventional chromotherapy. "
Comment: A review with slightly an unconventional narrative to photomedicine.</t>
  </si>
  <si>
    <t>Shen &amp; Tower</t>
  </si>
  <si>
    <t>Effects of light on aging and longevity.</t>
  </si>
  <si>
    <t>"In conclusion, light is a ubiquitous and important regulator that affects aging. Further research on the detailed mechanisms of light would be helpful for researchers to set optimal consensus lighting conditions for research, and to develop noninvasive lighting therapies for aging-related diseases."
Comment: Quite a short mini-review about some studies related to blue light, sunlight and photobiomodulation.</t>
  </si>
  <si>
    <t>Yun &amp; Kwok</t>
  </si>
  <si>
    <t>Nat Biomed Eng</t>
  </si>
  <si>
    <t>Light in diagnosis, therapy and surgery.</t>
  </si>
  <si>
    <t>"Light and optical techniques have made profound impacts on modern medicine, with numerous lasers and optical devices being currently used in clinical practice to assess health and treat disease. Recent advances in biomedical optics have enabled increasingly sophisticated technologies - in particular those that integrate photonics with nanotechnology, biomaterials and genetic engineering. In this Review, we revisit the fundamentals of light-matter interactions, describe the applications of light in imaging, diagnosis, therapy and surgery, overview their clinical use, and discuss the promise of emerging light-based technologies."</t>
  </si>
  <si>
    <t>Light, lighting and health</t>
  </si>
  <si>
    <t>Could Photobiomodulation Be Incorporated into Indoor Lighting?</t>
  </si>
  <si>
    <t>Boyce PR</t>
  </si>
  <si>
    <t>UK
(Kent)</t>
  </si>
  <si>
    <t>Lightning Res Technol</t>
  </si>
  <si>
    <t>Light, lighting and human health</t>
  </si>
  <si>
    <t>"Light can impact human health via the visual and non-visual systems originating in the retina of the eye or as optical radiation falling on eye or skin. This paper provides a summary of what is known about these impacts. Topics covered include aspects of lighting likely to cause eyestrain and headaches; increase the risk of falls; induce circadian disruption; enhance sleep; mitigate Alzheimer’s disease and depression; produce tissue damage; alleviate diseases through phototherapy and inactivate viruses through germicidal irradiation."</t>
  </si>
  <si>
    <t>Raja</t>
  </si>
  <si>
    <t>Tailoring photobiomodulation to enhance tissue regeneration</t>
  </si>
  <si>
    <t>"Photobiomodulation (PBM), the use of biocompatible tissue-penetrating light to interact with intracellular chromophores to modulate the fates of cells and tissues, has emerged as a promising non-invasive approach to enhancing tissue regeneration. Unlike photodynamic or photothermal therapies that require the use of photothermal agents or photosensitizers, PBM treatment does not need external agents. With its non-harmful nature, PBM has demonstrated efficacy in enhancing molecular secretions and cellular functions relevant to tissue regeneration. 
The utilization of low-level light from various sources in PBM targets cytochrome c oxidase, leading to increased synthesis of adenosine triphosphate, induction of growth factor secretion, activation of signaling pathways, and promotion of direct or indirect gene expression. When integrated with stem cell populations, bioactive molecules or nanoparticles, or biomaterial scaffolds, PBM proves effective in significantly improving tissue regeneration. 
This review consolidates findings from in vitro, in vivo, and human clinical outcomes of both PBM alone and PBM-combined therapies in tissue regeneration applications. It encompasses the background of PBM invention, optimization of PBM parameters (such as wavelength, irradiation, and exposure time), and understanding of the mechanisms for PBM to enhance tissue regeneration. The comprehensive exploration concludes with insights into future directions and perspectives for the tissue regeneration applications of PBM."</t>
  </si>
  <si>
    <t>Greben</t>
  </si>
  <si>
    <r>
      <rPr>
        <b/>
        <sz val="7.0"/>
      </rPr>
      <t xml:space="preserve">[Low level laser therapy: molecular mechanisms of anti-inflammatory and regenerative effects]
</t>
    </r>
    <r>
      <rPr>
        <b/>
        <i/>
        <sz val="7.0"/>
      </rPr>
      <t>[Article in Russian]</t>
    </r>
  </si>
  <si>
    <t>"Laser therapy has certain variety of advantages, among which: non-invasiveness and availability, long-term service of equipment, stable intensity of light radiation and the ability to use in various wavelength ranges. The technique efficacy was proven for a large number of diseases. However, for the successful application of photobiomodulation in clinical practice in current evidence-based medicine, additional investigations are necessary to determine the best dosimetric radiation parameters, as well as further study of action mechanisms on various human cells and tissues."</t>
  </si>
  <si>
    <t>Evaluation of Efficacy of Low-Level Laser Therapy</t>
  </si>
  <si>
    <t>"Four categories of diseases, including brain-related diseases, skin-related diseases, cancers, and bone-related disorders, which were treated by LLLT were identified and introduced. The various types of LLLT regarding the studied diseases were discussed."</t>
  </si>
  <si>
    <t>BOOK: Technology in Practical Dermatology</t>
  </si>
  <si>
    <t>Biophotonic Therapy Induced Photobiomodulation</t>
  </si>
  <si>
    <t>"Biophotonics—the interdisciplinary field marrying photonics and biology—has had a profound impact on modern medicine, supporting the diagnosis, management and treatment of disease. Learning from evolutionary mechanisms of photon absorption by chromophores coupled with our growing knowledge of light–tissue interactions has uncovered a niche area of phototherapy—photobiomodulation (PBM). PBM is the capacity of non-ionizing forms of light to induce photochemical and photophysical biological reactions. Now widely applied in various fields to restore function, stimulate and aid healing, its role in medical and cosmetic dermatology is dominating. In this chapter, we discuss the current knowledge of PBM and introduce a novel induction of PBM using fluorescent light energy (FLE)."</t>
  </si>
  <si>
    <t>Dompe</t>
  </si>
  <si>
    <t>UK &amp; Poland &amp; Brazil</t>
  </si>
  <si>
    <t>Photobiomodulation—Underlying Mechanism and Clinical Applications</t>
  </si>
  <si>
    <t>"The purpose of this study is to explore the possibilities for the application of laser therapy in medicine and dentistry by analyzing lasers’ underlying mechanism of action on different cells, with a special focus on stem cells and mechanisms of repair. The interest in the application of laser therapy in medicine and dentistry has remarkably increased in the last decade. There are different types of lasers available and their usage is well defined by different parameters, such as: wavelength, energy density, power output, and duration of radiation. 
Laser irradiation can induce a photobiomodulatory (PBM) effect on cells and tissues, contributing to a directed modulation of cell behaviors, enhancing the processes of tissue repair. Photobiomodulation (PBM), also known as low-level laser therapy (LLLT), can induce cell proliferation and enhance stem cell differentiation. Laser therapy is a non-invasive method that contributes to pain relief and reduces inflammation, parallel to the enhanced healing and tissue repair processes. 
The application of these properties was employed and observed in the treatment of various diseases and conditions, such as diabetes, brain injury, spinal cord damage, dermatological conditions, oral irritation, and in different areas of dentistry."</t>
  </si>
  <si>
    <t>Baxter &amp; Nussbaum</t>
  </si>
  <si>
    <t>New Zealand &amp; Canada</t>
  </si>
  <si>
    <t>BOOK: Electrophysical Agents: Evidence-Based Practice (13th edition)</t>
  </si>
  <si>
    <t>Laser/Photobiomodulation</t>
  </si>
  <si>
    <t>Wickenheisser</t>
  </si>
  <si>
    <t>Curr Allergy Asthma Rep</t>
  </si>
  <si>
    <t>Laser Light Therapy in Inflammatory, Musculoskeletal, and Autoimmune Disease.</t>
  </si>
  <si>
    <t>"LLLT is a promising therapeutic, particularly for those diseases of skin and joints because they are most accessible to treatment. Indeed, the known mechanisms of LLLT support its use for anti-inflammatory purposes, as well as stimulation of tissue growth and repair. 
Although the standard of care for the majority of inflammatory diseases is immunosuppressive agents such as corticosteroids with undesirable toxicities, LLLT offers a unique approach by being non-invasive and incurring minimal side effects. It is also relatively inexpensive and accessible and even has the possibility to be patient directed at home. 
There is evidence that LLLT is able to modulate the immune system at the skin and joint, and it has been shown to be efficacious in humans by affecting bacterial colonization as it may pertain to chronic rhinosinusitis. However, there is variability in the methods of laser application as well as a lack of evidence for laser type, dose-ranging studies, and wavelength selection that create barriers to the implementation of LLLT without further more rigorous and standardized study. The heterogeneity makes it difficult to draw strong conclusions about the efficacy of LLLT and its mechanisms."</t>
  </si>
  <si>
    <t>Mussttaf</t>
  </si>
  <si>
    <t>UK
(Plymouth)</t>
  </si>
  <si>
    <t>Assessing the impact of low level laser therapy (LLLT) on biological systems: a review</t>
  </si>
  <si>
    <t>"It is envisaged that underlying mechanisms of beneficial impact of lasers to patients involves biological processes at the cellular and molecular levels. The biological impact or effects of LLLT at the cellular and molecular level could include cellular viability, proliferation rate, as well as DNA integrity and the repair of damaged DNA. This review summarizes the available information in the literature pertaining to cellular and molecular effects of lasers. "
"Conclusions: It is suggested that a change in approach is required to understand how to exploit the potential therapeutic modality of lasers whilst minimizing its possible detrimental effects. "</t>
  </si>
  <si>
    <t>Shanks &amp; Leisman</t>
  </si>
  <si>
    <t>USA &amp; Israel</t>
  </si>
  <si>
    <t>Perspective on Broad-Acting Clinical Physiological Effects of Photobiomodulation.</t>
  </si>
  <si>
    <t>"Research into photobiomodulation reveals beneficial effects of light therapy for a rapidly expanding list of medical conditions and illnesses. Although it has become more widely accepted by the mainstream medicine, the effects and mechanisms of action appear to be poorly understood. The therapeutic benefits of photobiomodulation using low-energy red lasers extend far beyond superficial applications, with a well-described physics allowing an understanding of how red lasers of certain optimum intensities may cross the cranium. We now have a model for explaining potential therapeusis for applications in functional neurology that include stroke, traumatic brain injury, and neurodegenerative conditions in addition to the currently approved functions in lipolysis, in onychomycosis treatment, and in pain management."</t>
  </si>
  <si>
    <t>Reddy GK</t>
  </si>
  <si>
    <t>Photobiological basis and clinical role of low-intensity lasers in biology and medicine</t>
  </si>
  <si>
    <t xml:space="preserve">"The purpose of this article is to provide a comprehensive review on the clinical role of low intensity laser therapy (laser photostimulation) in biology and medicine."
Comment: This paper has 137 refs to various reviews and experimental studies on LLLT. </t>
  </si>
  <si>
    <t>Hair</t>
  </si>
  <si>
    <t>Alopecia areata</t>
  </si>
  <si>
    <t>Photobiomodulation With a Continuous Wave Red Laser (660 nm) as Monotherapy for Adult Alopecia Areata: A Case Presentation</t>
  </si>
  <si>
    <t>🧑 Human
📄 Case report
⌛ 21-day treatment -&gt; 4-month follow-up</t>
  </si>
  <si>
    <t>0.4
/point
(12 points)
(total 4.8 J)</t>
  </si>
  <si>
    <t>0.04
cm2
beam
area</t>
  </si>
  <si>
    <t>10
/point
(12 points)</t>
  </si>
  <si>
    <t>"[T]he present paper aimed to report the first case in which photobiomodulation therapy (PBMT) with a continuous wave red laser (660 nm) was used as monotherapy for AA."
"An isolated round area of complete hair loss was subjected to daily PBMT sessions, resulting in significant regrowth (hair of normal coloration and thickness) within 7 days. On the 21st day, the patient's aesthetic concern was completely resolved."</t>
  </si>
  <si>
    <t>Laser and light therapy combined with topical minoxidil for alopecia areata: a systematic review and meta-analysis of randomized controlled trials</t>
  </si>
  <si>
    <t>"Whether fractional CO2 laser (RR=1.29, 95% CI [1.14, 1.46], P&lt;0.0001), 308-nm excimer laser/light (RR=1.32, 95% CI [1.12, 1.55], P=0.001), He-Ne laser (RR=1.69, 95% CI [1.07, 2.69], P=0.03), or NB-UVB (RR=1.35, 95% CI [1.07,1.70], P=0.01) combined with topical minoxidil may improve the treatment response rate, comparing with topical minoxidil only. The recurrence rate of laser and light combined with topical minoxidil was lower than that of the minoxidil alone group (RR=0.54, 95% CI [0.31, 0.93], P=0.03) when follow-up time was 1 year."</t>
  </si>
  <si>
    <t>Darwin</t>
  </si>
  <si>
    <t>A review of monochromatic light devices for the treatment of alopecia areata.</t>
  </si>
  <si>
    <t>"One clinical trial and two case reports demonstrated hair regrowth with LLLT."
"More data is needed to determine the efficacy of LLLT and fractional laser therapy in the treatment of AA."</t>
  </si>
  <si>
    <t>Yamazaki</t>
  </si>
  <si>
    <t>Linear polarized infrared irradiation using Super Lizer is an effective treatment for multiple-type alopecia areata.</t>
  </si>
  <si>
    <t>🧑 Human
🎲 Randomized trial, self-controlled
👥 15 participants, 30 lesions
⌛ 2-month treatment (on average)</t>
  </si>
  <si>
    <t>Alopecia areata
Super Lizer™
Polychromatic light 🌈</t>
  </si>
  <si>
    <t>once
every
1 or 2 weeks</t>
  </si>
  <si>
    <t>For irratiated lesions, the success was 7/15. For non-irratiated, 0/15.
[See additional info for details about Super Lizer]</t>
  </si>
  <si>
    <t>Super Lizer™ (SL) (Tokyo Iken, Tokyo, Japan), a medical instrument operating on polarized linear light, provides a high output (1.8 W) of infrared radiation (600–1600 nm) capable of penetrating into deep subcutaneous tissue. It was designed and manufactured in Japan, and has been used to good effect in orthopedics and anesthesiology for the treatment of arthralgia and neuralgia.5–7 Some dermatologists have recently begun treating skin ulcers in a similar way.8 In this study, we evaluated SL as an alternative to drug therapy in the treatment of AA.</t>
  </si>
  <si>
    <t>Wikramanayake</t>
  </si>
  <si>
    <t>Effects of the Lexington LaserComb on hair regrowth in the C3H/HeJ mouse model of alopecia areata.</t>
  </si>
  <si>
    <t>"After 6 weeks of LaserComb treatment, hair regrowth was observed in all the mice in group I (laser-treated) but none in group II (sham-treated). On histology, increased number of anagen hair follicles was observed in laser-treated mice. On the other hand, sham-treated mice demonstrated hair follicles in the telogen phase with no hair shaft.
LaserComb seems to be an effective and convenient device for the treatment of AA in the C3H/HeJ mouse model. Human studies are required to determine the efficacy and safety of this device for AA therapy."</t>
  </si>
  <si>
    <t>Androgenetic alopecia</t>
  </si>
  <si>
    <t>Rosenthal</t>
  </si>
  <si>
    <t>Management of androgenic alopecia: a systematic review of the literature</t>
  </si>
  <si>
    <t>"Using the Preferred Reporting Items for Systematic Reviews and Meta-Analyses guidelines, a systematic review of the National Library of Medicine was performed. Overall, 141 unique studies met our inclusion criteria. 
We demonstrate that many over the counter (e.g. topical minoxidil, supplements, low-level light treatment), prescription (e.g. oral minoxidil, finasteride, dutasteride), and procedural (e.g. platelet-rich plasma, fractionated lasers, hair transplantation) treatments successfully promote hair growth, highlighting the superiority of a multifaceted and individualized approach to management."</t>
  </si>
  <si>
    <t>The impact of monotherapies for male androgenetic alopecia: A network meta-analysis study</t>
  </si>
  <si>
    <t>"As per both outcomes, the effect of the regimens with microneedling, PRP, LLLT and Botox did not significantly (p ≥ 0.05) vary from those of all other active comparators."</t>
  </si>
  <si>
    <t>Higher percentage of CD34+ stem cells and elevated efficacy in androgenetic alopecia treatment observed in CGF prepared from 640 nm laser-pretreated blood: A preliminary study</t>
  </si>
  <si>
    <t>🧑 Human
📄 Non-randomized study (?), self-controlled
👥 10 participants
⌛ single treatment -&gt; 1-month follow-up</t>
  </si>
  <si>
    <t>PBM as an adjunct to concentrated growth factor (CGF)</t>
  </si>
  <si>
    <t>"All 10 (100%) patients participated in the follow-up visit, and a higher quantity of new hairs was observed on the side injected with 640CGF than N640CGF (p = 0.019). Additionally, fewer malnourished hairs were observed on the 640CGF pretreated side (p = 0.015). No serious adverse events were reported."</t>
  </si>
  <si>
    <t>Novel Application of 1064-nm Picosecond Nd:YAG Laser for Male Androgenetic Alopecia Treatment</t>
  </si>
  <si>
    <t>🧑 Human
📄 Single-arm study
👥 5 participants
⌛ 3-month treatment -&gt; 1-month follow-up</t>
  </si>
  <si>
    <t>"The fractional picosecond laser (FPL), a novel non-thermal technology utilizing laser-induced optical breakdown (LIOB),14 is for skin rejuvenation and acne scar treatment to maintain epidermal integrity and generate microscopic intradermal lesions. It also prompts a wound healing response, new collagen formation, and subsequent skin remodeling, with rejuvenation effects and no open wounds. Whereas, the prevailing laser devices rely on selective photo thermolysis and linear absorption by skin constituents."
"This study aimed to investigate the potential of fractional picosecond laser (FPL) therapy for promoting hair regrowth.
"Clinical improvement was observed at 1 to 4 months after treatment, with a significant increase in expert panel assessment scores (p&lt;0.001). Patient satisfaction with hair density and thickness also improved significantly at 1 and 4 months (p=0.038 and p=0.007, respectively). Adverse effects were minimal and resolved within a week. Dermoscopic analysis showed minimal petechiae with no hair shaft damage."
Comment: Not purely PBM, because it causes some minimal damage and a wound healing response?</t>
  </si>
  <si>
    <t>Comparative efficacy of 2% minoxidil alone against combination of 2% minoxidil and low-level laser therapy in female pattern hair loss-A randomized controlled trial in Chinese females</t>
  </si>
  <si>
    <t>🧑 Human
🎲 Randomized trial
👥 79 participants
⌛ 24 weeks</t>
  </si>
  <si>
    <t>"In midscalp area, the combination group showed a lower increase in intermediate hair percentage than 2 % minoxidil group, which was statistically significant. Besides, the combination group had statistically significant increase than 2 % minoxidil group in mean hair diameter. 
Reported relative adverse events included slightly hair loss (27.8 %), desquamation (19.0 %), pruritus (15.2 %), seborrhea (2.5 %) and hypertrichosis (2.5 %)."</t>
  </si>
  <si>
    <t>Device: "The Nutralla laser hamlet (BELLA MEDICAL TECHNOLOGY (SUZHOU) CO, LTD, China) is a helmet-shaped device consisting of 256 laser diodes, which emits at the wavelength of 655 nm with a maximum power 5 mW of individual diode detected by Laser tester."</t>
  </si>
  <si>
    <t>Paiewonsky</t>
  </si>
  <si>
    <t>Photobiomodulation and alopecia: a crowdsourced survey study on patient preferences</t>
  </si>
  <si>
    <t>"Sixty participants responded to the 21-question survey. 
The majority of participants had never used a photobiomodulation device (n = 50; 86.2%). 
Most respondents (n = 40; 67.8%) felt the efficacy of the device was the most important aspect to consider when selecting a photobiomodulation device. 
Additionally, a majority of participants thought 15 (n = 22; 37.3%) or 20 minutes (n = 17; 28.8%) would be a reasonable treatment duration and would prefer a hand-free device (n = 51; 86.4%). 
Of the eight participants who had used a photobiomodulation device, only one was dissatisfied with the device and discontinued treatment."</t>
  </si>
  <si>
    <t>Panchaprateep R</t>
  </si>
  <si>
    <t>Medical Treatment for Androgenetic Alopecia</t>
  </si>
  <si>
    <t>"Effective standard medical treatments available are topical minoxidil 2-5%, oral finasteride, oral dutasteride, and hair transplantation.1 However, some patients do not achieve favorable results with standard treatments. For these reasons, other novel treatments have been developed, including new medications, regenerative medicines (autologous platelet-rich plasma (PRP), adipose derived stem cells, micrograft generation and exosome) and low-level laser therapy (LLLT)."</t>
  </si>
  <si>
    <t>Assessment of Effects of Low-Level Light Therapy on Scalp Condition and Hair Growth</t>
  </si>
  <si>
    <t>🧑 Human
📄 Single-arm study
👥 50 participants
⌛ 24 weeks</t>
  </si>
  <si>
    <t>630-
690
+
820-
880
+
910-
970</t>
  </si>
  <si>
    <t>"After 24 weeks of treatment, hair density and hair thickness were found to have significantly increased (P &lt;.01 and P =0.013, respectively) and sebum secretion of vertex area had decreased significantly (P &lt;.01). Of 49 participants, 73.47% of the participants showed improvement in the overall appearance of the scalp (n = 36)."</t>
  </si>
  <si>
    <t>Bajoria</t>
  </si>
  <si>
    <t>India
(Gandhinagar)</t>
  </si>
  <si>
    <t>Comparing Current Therapeutic Modalities of Androgenic Alopecia: A Literature Review of Clinical Trials</t>
  </si>
  <si>
    <t>"Non-pharmacological approaches, including LLLT and PRP therapy, have shown promise in stimulating hair growth and improving the overall condition of the scalp. Nevertheless, more rigorous clinical trials are required to determine the potency of these treatments and refine the most-effective treatment protocols."</t>
  </si>
  <si>
    <t>Kaiser</t>
  </si>
  <si>
    <t>Treatment of Androgenetic Alopecia: Current Guidance and Unmet Needs</t>
  </si>
  <si>
    <t>"Traditionally, topical minoxidil and oral finasteride have been the standard of care yielding mixed results. New treatments such as Low-Level Laser Therapy (LLLT), microneedling, platelet-rich plasma (PRP), and others have been extensively studied in the literature, and the purpose of this review is to provide a comprehensive discussion of the latest treatment methods and their efficacy in treating AGA."
"While there has been a great increase in the treatments available for AGA, the quality of evidence varies greatly and there is still a great need for randomized double blinded clinical trials to adequately assess the clinical efficacy of some treatments. While PRP and LLLT have demonstrated encouraging results, standardized treatment protocols are needed to adequately inform clinicians on how to use such therapies. Given the abundance of new therapeutic options, clinicians and patients must weigh the benefits and risks of each treatment option for AGA."
"A more recent meta-analysis by Liu et al found that in 11 randomized double blinded controlled trials patients treated with LLLT demonstrated a statistically significant improvement in hair density compared to placebo device.73 Additionally, increased hair growth was observed in males and females as well as in both short- and long-term follow-up."</t>
  </si>
  <si>
    <t>Sondagar</t>
  </si>
  <si>
    <t>India
(Bhavnagar)</t>
  </si>
  <si>
    <t>Int J Trichology</t>
  </si>
  <si>
    <t>Efficacy of Low-Level Laser Therapy in Androgenetic Alopecia - A Randomized Controlled Trial</t>
  </si>
  <si>
    <t>🧑 Human
🎲 Randomized trial
👥 54 participants
⌛ 12-week treatment, 16-week study</t>
  </si>
  <si>
    <t>Minoxidil vs minoxidil+PBM</t>
  </si>
  <si>
    <t>"After 16 weeks, improvement in hair density of 14.78% ± 10.93% in Group A was recorded compared to 11.43% ± 6.43% in Group B. However, while comparing both means, P value was 0.45 which was not significant. The physician global assessment and patient satisfaction score revealed no significant difference between both the groups."</t>
  </si>
  <si>
    <t>Device: Hairmax Ultima 9 (laser comb)</t>
  </si>
  <si>
    <t>Italia
(Milano)</t>
  </si>
  <si>
    <t>Experience of Novelty Laser Therapy Emission with 675 nm Wavelength for the Treatment of Androgenetic Alopecia in Male and Female Patients: A Case Series Study</t>
  </si>
  <si>
    <t>🧑 Human
📄 Case series</t>
  </si>
  <si>
    <t>"The results verified at epiluminescence stage, and at the third month of follow-up and at the end of treatment, showed a significant increase in the density of the hair shafts and a reduction of yellow dots and telangiectasias characteristic of alopecia androgenetica."
"The 675 nm laser showed excellent outcomes resulting in a 60% reduction of the miniaturization process in the treated areas without side effect."</t>
  </si>
  <si>
    <t>Skin Appendage Disord</t>
  </si>
  <si>
    <t>Low-Level Light Therapy and Minoxidil Combination Treatment in Androgenetic Alopecia: A Review of the Literature</t>
  </si>
  <si>
    <t>"Five RCTs compared LLLT with minoxidil (2% or 5%) to 5% minoxidil treatment or LLLT treatment. 
One study showed combination therapy of LLLT, and 5% minoxidil improved hair density more than monotherapy. Another found combination LLLT with 2% minoxidil induced hair regrowth equivalent to 5% minoxidil. Similarly, another study described LLLT with 5% minoxidil versus minoxidil monotherapy to increase the number of hairs with no statistical difference between groups. One trial found that combination group increased hair regrowth in the first 2 months. The last study found a statistically significant increase in hair density with combined therapy compared to monotherapy."
"The studies describe either superiority or equivalence of combination therapy to minoxidil monotherapy for AGA. Early outcomes appear to support the superiority of combination therapy, but this advantage wanes at the end of the study periods."</t>
  </si>
  <si>
    <t>Feldman</t>
  </si>
  <si>
    <t>Canada &amp; other countries</t>
  </si>
  <si>
    <t>Hair regrowth treatment efficacy and resistance in androgenetic alopecia: A systematic review and continuous Bayesian network meta-analysis</t>
  </si>
  <si>
    <t>📚 Systematic review &amp; network meta-analysis</t>
  </si>
  <si>
    <t>"Some TH regrowth can be expected from most AGA treatments with less variability in women than men. Responses to drug treatments were rapid, showing strong early efficacy followed by the greatest resistance effects from flatlining to loss of regrowth after 12-16 weeks. Finasteride, Minoxidil 2% and Viviscal in men were not statistically different from Placebo. LLLT appeared more efficacious than pharmaceuticals. The natural product formulation ALRV5XR showed better efficacy in all tested parameters without signs of treatment resistance (see Graphical abstract)."</t>
  </si>
  <si>
    <t>Choi &amp; Park</t>
  </si>
  <si>
    <t>The efficacy and safety of the combination of photobiomodulation therapy and pulsed electromagnetic field therapy on androgenetic alopecia</t>
  </si>
  <si>
    <t>🧑 Human
🎲 Randomized trial, double-blind
👥 80 participants
⌛ 20-week treatment / 24-week study</t>
  </si>
  <si>
    <t>PBM+PEMF vs control</t>
  </si>
  <si>
    <t>40.1</t>
  </si>
  <si>
    <t>12
/ 12 weeks
-&gt;
4
/ 8 weeks</t>
  </si>
  <si>
    <t>"The baseline hair density was 114.57 (±28.75)/cm2 and 113.31 (±30.07)/cm2 in both treatment and control groups. 
After 24 weeks of treatment, the mean hair density increased to 139.37 (±31.4)/cm2 in the treatment group but only to 119.78 (±31.92)/cm2 in the control group."
Comment: Parameters were inadequately described.</t>
  </si>
  <si>
    <t>Device: "The combination therapy of PBMT and PEMF (A-GATE®, Innogene, Seoul, Republic of Korea) (...)"</t>
  </si>
  <si>
    <t>Scarpim</t>
  </si>
  <si>
    <t>Photobiomodulation Effectiveness in Treating Androgenetic Alopecia</t>
  </si>
  <si>
    <t>🧑 Human
📄 Single-arm study
👥 25 participants
⌛ 10 weeks</t>
  </si>
  <si>
    <t>3/point</t>
  </si>
  <si>
    <t>30/point</t>
  </si>
  <si>
    <t>"The hair density evaluation showed a significant increase in hair count between T1 and T2 (p = 0.0004) and between T1 and T3 (p = 0.0285), however between T2 and T3 no statistical difference was found (p &gt; 0.05)."
"PBM provides a stimulus for hair density in 5 weeks. After this period, we observed that after five extra sessions, it does not increase hair density in the treated region. This study showed that the PBM is effective and promoted safe results with a reduced number of sessions for the AGA treatment."</t>
  </si>
  <si>
    <t>Photobiomodulation Therapy With Different Wavebands for Hair Loss: A Systematic Review and Meta-Analysis</t>
  </si>
  <si>
    <t>"Thirty-six studies (966 patients) were included. Two to 4 meta-analyses with different indices were performed separately on 4 groups of studies to test the effectiveness of the following hair loss treatments: ultraviolet light for alopecia areata (AA), red light for androgenetic alopecia (AGA), infrared light for AA, and infrared light for AGA."
"All meta-analyses showed that treatments were superior to control (p &lt; .05)."
"The meta-analyses strongly suggested that photobiomodulation therapies with ultraviolet and infrared light were effective for treating [alopecia areata], and photobiomodulation therapies with red light and infrared light were effective for treating [androgenetic alopecia]."</t>
  </si>
  <si>
    <t>Pillai &amp; Mysore</t>
  </si>
  <si>
    <t>India
(Mumbai)</t>
  </si>
  <si>
    <t>Role of Low-Level Light Therapy (LLLT) in Androgenetic Alopecia</t>
  </si>
  <si>
    <t>"Fifteen studies were found to be strongly relevant and were analyzed. Studies have shown that LLLT stimulated hair growth in both men and women. Studies with largest randomized controlled trials demonstrated statistically significant hair regrowth by terminal hair count in both males and females. One study also showed that LLLT and minoxidil had similar efficacy in hair growth and that combination therapy was even more effective."
"LLLT represents a non-invasive, safe, and potentially effective treatment option for patients with AGA who do not respond or are not tolerant to standard treatment of AGA. Moreover, combining LLLT with topical minoxidil solution and oral finasteride may act synergistic to enhance hair regrowth. However, the level of evidence of the studies is still low and hence more controlled large studies are needed."</t>
  </si>
  <si>
    <t>Efficacy assessment for low-level laser therapy in the treatment of androgenetic alopecia: a real-world study on 1383 patients</t>
  </si>
  <si>
    <t>🧑 Human
📄 Observational study
👥 1383 participants
⌛ ~140 sessions on average during ~40 weeks</t>
  </si>
  <si>
    <t>1000
(5 per diode)</t>
  </si>
  <si>
    <t>133-142
(áverage)
 / 38-40 weeks</t>
  </si>
  <si>
    <t>"The efficacy was assessed by participants first, double-checked by doctors with trichoscopy."
"The overall clinical effectiveness was nearly 80%. 
PSM analysis revealed that gender (P = 0.002), use period (P = 0.068), scalp conditions with dandruff, rash, and itchy symptoms were associated with the grading of efficacy assessment. 
Male users (ordinal OR: 1.35, CI: (1.01, 1.79)); use for more than 180 times or use period for 1 year (ordinal OR: 1.40, CI: (1.11, 1.96)); and those with scalp dandruff (ordinal OR: 1.34, CI: (1.01, 1.87)), rash (ordinal OR: 1.47, CI: (1.04, 2.07)), and itchy symptoms (ordinal OR: 1.51, CI: (1.12, 2.03)) had better efficacy assessments."</t>
  </si>
  <si>
    <t>Device: iHelmet</t>
  </si>
  <si>
    <t>Ring</t>
  </si>
  <si>
    <t>Lasers, lights, and compounds for hair loss in aesthetics</t>
  </si>
  <si>
    <t>"We have reviewed the current literature about the efficacy of these treatments, including topical agents (finasteride, latanoprost, spironolactone, caffeine, and metformin), oral minoxidil, nutraceuticals, platelet-rich plasma, low-level laser therapy, fractional lasers, and laser-assisted drug delivery.
In addition, several debates related to these treatments have been discussed, including post-finasteride syndrome, effects of biotin supplementation on laboratory testing, standardization of platelet-rich plasma and low-level laser therapy, and combination treatment to enhance hair transplantation."
"The efficacy of LLLT has been demonstrated in several studies. A recent systematic review and meta-analysis of randomized controlled trials showed a significant increase in hair density in those treated by LLLT compared with sham devices.67 LLLT increased hair growth in both men and women using comb and helmet type devices for short- and long-term treatment durations. Subgroup analysis additionally demonstrated a more significant increase in hair growth with low-frequency LLLT than high-frequency LLLT versus sham device. Limitations included the limited number of trials with large sample sizes, variability of wavelengths, and subject heterogeneity."
"The suggested optimal dose appears to be 4 J/cm2 regardless of light source; however, future studies are needed to evaluate the most effective dose and wavelength.61"</t>
  </si>
  <si>
    <t>Lueangarun</t>
  </si>
  <si>
    <t>Thailand
(Pathum Thani)</t>
  </si>
  <si>
    <t>A Systematic Review and Meta-analysis of Randomized Controlled Trials of United States Food and Drug Administration-Approved, Home-use, Low-Level Light/Laser Therapy Devices for Pattern Hair Loss: Device Design and Technology</t>
  </si>
  <si>
    <t>"The meta-analysis comprised seven double-blinded, randomized, controlled trials. The overall quantitative analysis yielded a significant increase in hair density in those treated by LLLT versus sham groups (SMD: 1.27, 95% confidence interval [CI]: 0.993-1.639)."
"LLLT is potentially effective for PHL treatment. Nonetheless, the long-term follow-up study in patients with severe PHL with combined standard treatment and comparison between LLLT devices and energy sources is recommended."</t>
  </si>
  <si>
    <t>USA
(Florida)</t>
  </si>
  <si>
    <t>Treatment options for androgenetic alopecia: Efficacy, side effects, compliance, financial considerations, and ethics</t>
  </si>
  <si>
    <t>"Although topical minoxidil, oral finasteride, and low-level light therapy are the only FDA-approved therapies to treat AGA, they are just a fraction of the treatment options available, including other oral and topical modalities, hormonal therapies, nutraceuticals, PRP and exosome treatments, and hair transplantation."</t>
  </si>
  <si>
    <t>Gentile &amp; Garcovich</t>
  </si>
  <si>
    <t>Facial Plast Surg Aesthet Med</t>
  </si>
  <si>
    <t>The Effectiveness of Low-Level Light/Laser Therapy on Hair Loss</t>
  </si>
  <si>
    <t>"Systematic reviews were excluded, and only seven articles were analyzed as RCTs."
"All the articles selected and analyzed reported a positive effect of LLLT for MPHL and/or FPHL treatment without side effects."</t>
  </si>
  <si>
    <t>Pathoulas</t>
  </si>
  <si>
    <t>Dermatol Clin</t>
  </si>
  <si>
    <t>Energy-based Devices for Hair Loss</t>
  </si>
  <si>
    <t>"Photobiomodulation (PBM), or low-level laser light, has been well studied as a treatment of androgenetic alopecia and several devices have received FDA clearance. There is sufficient evidence to recommend PBM as a treatment for androgenetic alopecia (AGA) but the devices are not typically covered by insurance."</t>
  </si>
  <si>
    <t>Treatment of androgenetic alopecia with 5-aminolevulinic acid photodynamic therapy: A randomized, placebo-controlled, split-scalp study of efficacy and safety</t>
  </si>
  <si>
    <t>🧑 Human
⚔ Comparison study, self-controlled
👥 7 participants
⌛ 12-week treatment -&gt; 12-week follow-up</t>
  </si>
  <si>
    <t>PDT vs PBM
LED phototherapy</t>
  </si>
  <si>
    <t>6
/ 12 wks</t>
  </si>
  <si>
    <t>"It is needed to be mentioned that the red light treated side also showed a decreased tendency in hair density at 1 week and 12 weeks after the last treatment, which seems to be different from other studies about red light therapy.
Recently, low-level light therapy (LLLT) has been applied to promote hair regrowth in AGA patients by its photobiomodulatory effect [17–19]. In those studies, the wavelengths of light resources ranged from 500 to 1100 nm, the power density varied from 3 to 90 mW/cm2 , and the light dose was about 1 to 4 J/cm2. The red light illumination in our study was applied at a power density of 90 mW/cm2 and a light dose of 60 J/cm2 with two weeks interval for twelve weeks.
Therefore, the light dose in our study was much higher than that of traditional LLLT, but the treatment frequency was much lower. This might explain the contradictory outcomes of the red light illumination in our study and the LLLT in other studies."</t>
  </si>
  <si>
    <t>Ferrara</t>
  </si>
  <si>
    <t>Efficacy of Minoxidil Combined With Photobiomodulation for the Treatment of Male Androgenetic Alopecia. A Double-Blind Half-Head Controlled Trial</t>
  </si>
  <si>
    <t>🧑 Human
📄 Non-randomized study, self-controlled
👥 21 participants
⌛ 6 months</t>
  </si>
  <si>
    <t>PBM + minoxidil
LED phototherapy</t>
  </si>
  <si>
    <t>495
(99 * 5mW)</t>
  </si>
  <si>
    <t>5.5
/day</t>
  </si>
  <si>
    <t>720
(1440 daily)</t>
  </si>
  <si>
    <t>twice
daily
for
6 months</t>
  </si>
  <si>
    <t>"The photobiomodulation devices were modified such that the left half emitted light, and the right half did not."
"No statistically significant differences were detected between sides (P &gt; 0.05)."
"Additional improvement was not observed with the association of photobiomodulation to topical minoxidil in male AGA. Differences from previous studies that might have influenced our result include non-collimated light source, higher dosimetry, and a cohort with darker skin phototype and more severe alopecia."
Comment: Self-controlled studies might underestimate the treatment efficacy because of the possible systemic PBM effects.</t>
  </si>
  <si>
    <t>Device: " a cap‐shaped photobiomodulation device (Capellux®, Every Eletroeletronica Imp. EXp. Ltda, Mauá, São Paulo, Brazil)"</t>
  </si>
  <si>
    <t>Lodi</t>
  </si>
  <si>
    <t>Blue light-emitting diodes in hair regrowth: the first prospective study</t>
  </si>
  <si>
    <t>🧑 Human
📄 Single-arm trial
👥 20 participants
⌛ 10-week treatment -&gt; 1-month follow-up</t>
  </si>
  <si>
    <t>"An increase in hair density and hair shaft width was recorded in 90% of patients after 10 weeks. Photographic improvement was noted in 80% of the patients."
" The only side effect consisted in a darkening of the hair, perhaps due to melanic stimulation due to blue light in 2 patients."</t>
  </si>
  <si>
    <t>Mahe</t>
  </si>
  <si>
    <t>France
(Aulnay-sous-Bois)</t>
  </si>
  <si>
    <t>Low-Level Light Therapy Downregulates Scalp Inflammatory Biomarkers in Men With Androgenetic Alopecia and Boosts Minoxidil 2% to Bring a Sustainable Hair Regrowth Activity</t>
  </si>
  <si>
    <t>🧑 Human
📄 Single-arm trial
👥 64 participants
⌛ 3 days
🧑 Human
🎲 Randomized trial
👥 135 participants
⌛ 6 months</t>
  </si>
  <si>
    <t>PBM + minoxidil
No "PBM only" group in this study
Study 2: PBM+Minoxidil vs Minoxidil vs Control
🌀 Spin warning</t>
  </si>
  <si>
    <t>590+
870</t>
  </si>
  <si>
    <t xml:space="preserve">3
/ 3 days
(study 1)
twice daily
for 5 days a week for 6 months
(study 2)
</t>
  </si>
  <si>
    <t>"In the first clinical study, whole-genome analysis of treated scalp biopsies showed downregulation of scalp inflammatory biomarkers, such as AP1/FOSB messenger RNA (mRNA) and mir21, together with the disappearance of CD69 mRNA, specific to scalp-infiltrating T cells of about 50% of the studied volunteers prior to the LLLT/GentleWaves® treatment.
In the second clinical study, we observed that LLLT/GentleWaves® was able to boost the hair regrowth activity of a Minoxidil 2% lotion to the extent of the highest concentration (5%) in terms of efficacy, number of responders, and perceived performance."
Comment: In the second study, it is quite clear from the results that GentleWaves didn't provide additional benefits. The positive conclusions by authors should possibly be labeled as spin.</t>
  </si>
  <si>
    <t>Device: GentleWaves</t>
  </si>
  <si>
    <t>Amer</t>
  </si>
  <si>
    <t>Egypt
(Zagazig)</t>
  </si>
  <si>
    <t>Results of low-level laser therapy in the treatment of hair growth: An Egyptian Experience</t>
  </si>
  <si>
    <t>🧑 Human
📄 Single-arm trial
👥 20 participants (13 FPHL + 7 TE)
⌛ 16-week treatment / 28-week study</t>
  </si>
  <si>
    <t>Two conditions:
- androgenetic alopecia (FPHL)
- telogen effluvium (TE)</t>
  </si>
  <si>
    <t>32
/ 16 weeks</t>
  </si>
  <si>
    <t>"FPHL patients baseline hair counts were 222.3 ± 33.5 (N = 13), in TE patients baseline hair counts were 271.2 ± 39.0 (N = 7).
Post-treatment hair counts were 255.3 ± 30.4 (N = 13) In FPHL patients (P = 0.007), and 294.2 ± 38.1 (N = 7) in TE patients (P = 0.143)."</t>
  </si>
  <si>
    <t>iGrow (TOPHAT655) device</t>
  </si>
  <si>
    <t>Torres &amp; Lim</t>
  </si>
  <si>
    <t>Photobiomodulation for the management of hair loss</t>
  </si>
  <si>
    <t>"Photobiomodulation, otherwise known as low-level laser (or light) therapy, is an emerging modality for the management of hair loss. Several randomized trials have demonstrated that it is safe and potentially effective on its own or in combination with standard therapies.
These devices come in many forms including wearable caps or helmets that afford hands-free and discreet use. Models with light-emitting diodes (LEDs) are less expensive compared to laser-based devices and do not require laser safety considerations, thus facilitating ease of home use.
Limitations include cost of the unit, risk of information bias, and lack of standardized protocols. Finally, as with any hair loss treatment, patients' expectations with regards to therapeutic outcomes must be managed."</t>
  </si>
  <si>
    <t>Comparison of low-level light therapy and combination therapy of 5% minoxidil in the treatment of female pattern hair loss</t>
  </si>
  <si>
    <t>🧑 Human
🎲 Randomized trial
👥 90 participants
⌛ 6 months</t>
  </si>
  <si>
    <t>PBM vs minoxidil
Groups:
(1) PBM
(2) Minoxidil
(3) Combination</t>
  </si>
  <si>
    <t>every other day</t>
  </si>
  <si>
    <t>"The effectiveness of reducing oil-secretion in LLLT group and combination group was higher than minoxidil group (P &lt; 0.05). For improving hair diameter and hair density, combination group was better than LLLT and minoxidil groups."</t>
  </si>
  <si>
    <t>Egger</t>
  </si>
  <si>
    <t>Examining the Safety and Efficacy of Low-Level Laser Therapy for Male and Female Pattern Hair Loss: A Review of the Literature</t>
  </si>
  <si>
    <t>"Based on our review of the literature, LLLT appears to be effective for treating pattern hair loss in both men and women. These laser devices have good safety profiles, with only minor adverse effects reported. However, physicians should be cautious when drawing conclusions as some studies included have a relationship with industry."</t>
  </si>
  <si>
    <t>The shifting preferences of patients and physicians in nonsurgical hair loss treatment</t>
  </si>
  <si>
    <t>📖 Review (analysis of survey statistics)</t>
  </si>
  <si>
    <t>"Low-level laser therapies (LLLT), both at home and in office, were prescribed at about the same levels as nutritionals and haircare products by ISHRS members (Figure 5A). However, LLLT products were the least-searched hair loss therapies on Google, suggesting patients are less familiar with these products, and clinicians may need to discuss these options at greater length with their patients. That being said, searches for these products increased following FDA approval dates, meaning patients may be more aware of LLLT options during that time (Figure 5A)"</t>
  </si>
  <si>
    <t>Proposed mechanisms of low-level light therapy in the treatment of androgenetic alopecia</t>
  </si>
  <si>
    <t>"A review of published literature which is associated with keywords LLLT, photobiomodulation, AGA, treatment, hair growth, and mechanism was performed to elucidate the proposed mechanism of LLLT in the treatment of AGA. The present study shows that LLLT can accelerate hair growth in AGA patients.
The proposed mechanism of LLLT in treating AGA may vary among different specialists. But we can summarize the consensual mechanisms as follows; low-level light absorbed by chromophores can lead to the production of nitric oxide (NO) and the modulation of reactive oxygen species (ROS). These mobilized molecules subsequently activate redox-related signaling pathways in hair follicle cells and perifollicular cells. Finally, these activated cells participate in the regrowth of hair follicle.
Even though the efficacy of LLLT in the treatment of AGA in both men and women has already been confirmed, the present studies focusing on discovering LLLT are still inadequate and unsystematic."</t>
  </si>
  <si>
    <t>Gupta &amp; Bamimore</t>
  </si>
  <si>
    <t>Factors influencing the effect of photobiomodulation in the treatment of androgenetic alopecia: a systematic review and analyses of summary-level data</t>
  </si>
  <si>
    <t>"An increase in the per-session energy fluence by 1 J/cm2 is significantly associated with an increase in hair density by 0.23 hairs/cm2 (95% CI: 0.21 hairs/cm2 , 0.25 hairs/cm2 ).
The number of laser or light-emitting diodes is not significantly associated with change in hair density. Increasing the total duration of exposure to treatment is associated with a significant increase in hair density (β = 0.53, P &lt; 0.05). 
Switching from continuous to pulse irradiation was associated with a significant increase in hair density (β = 10.11, P &lt; 0.01). 
Energy fluence, irradiation session duration, and light pulsing has a significant therapeutic effect on AGA, while the number of diodes does not."</t>
  </si>
  <si>
    <t>Gentile</t>
  </si>
  <si>
    <t>Expert Opin Biol Ther</t>
  </si>
  <si>
    <t>A randomized blinded retrospective study: the combined use of micro-needling technique, low-level laser therapy and autologous non-activated platelet-rich plasma improves hair re-growth in patients with androgenic alopecia</t>
  </si>
  <si>
    <t>🧑 Human
📄 Retrospective study
👥 23 participants
⌛ 24-week treatment</t>
  </si>
  <si>
    <t>platelet-rich plasma + PBM + micro-needling
At-home device</t>
  </si>
  <si>
    <t>423-
640
+
infrared</t>
  </si>
  <si>
    <t>48
/ 24 weeks</t>
  </si>
  <si>
    <t>"Interesting outcomes represented by a hair density increase of 81 ± 5 hairs/cm2 and 57 ± 7 hairs/cm2 respectively at T1 and T2 compared with baseline (173 ± 5 hairs/cm2 at T1 and 149 ± 9 hairs/cm2 at T2 versus 92 ± 2 hairs/cm2 at baseline) were observed using computerized trichograms."
Comment: Dose parameters not reported. Also, the study reporting in general seems difficult to interpret.</t>
  </si>
  <si>
    <t>Device: Hair Gentron</t>
  </si>
  <si>
    <t>Low-level light therapy using a helmet-type device for the treatment of androgenetic alopecia: A 16-week, multicenter, randomized, double-blind, sham device-controlled trial</t>
  </si>
  <si>
    <t>🧑 Human
🎲 Randomized trial, double-blind
🗺 Multicenter
👥 60 participants
⌛ 16 weeks</t>
  </si>
  <si>
    <t>LED phototherapy (21 laser diodes + 30 LEDs)</t>
  </si>
  <si>
    <t>~75</t>
  </si>
  <si>
    <t>0.0024</t>
  </si>
  <si>
    <t>56
/ 16 weeks
(= every other day)</t>
  </si>
  <si>
    <t>"Comparing the results at baseline and week 16, the experimental group showed an increase in hair density of 41.90 hairs/cm and an increase in hair thickness of 7.50 μm, whereas the control group showed an increase of 0.72 hairs/cm and a decrease of 15.03 μm, respectively (P &lt; .001).
No adverse events or side effects occurred."
"LLLT showed a significant effect on increasing hair density in patients with androgenetic alopecia. LLLT could be a safe and effective treatment for androgenetic alopecia in both sexes."</t>
  </si>
  <si>
    <t>Device: "A new helmet-type LLLT model (HAIRUP; Y &amp; J Bio, Seoul, Korea) that combines laser diodes (LDs) and light-emitting diodes (LEDs) at a wave length of 655 nm has been developed."</t>
  </si>
  <si>
    <t>The Effectiveness of Combination Therapies for Androgenetic Alopecia: A Systematic Review and Meta-Analysis</t>
  </si>
  <si>
    <t>"Fifteen studies met the inclusion criteria involving a total of 1172 AGA patients. We conducted meta-analysis for 3 groups of combined treatment separately, and all were superior to monotherapy in terms of global photographic assessment (p&lt;0.05). Combination of LLLT or microneedling with minoxidil also showed significant increase in hair count (p&lt;0.05) compared to monotherapy."
"The present study suggests that combination therapy could be an effective, safe and promising option for the treatment of AGA. However, more RCTs are needed to further investigate and confirm the efficacy of combined treatment. This article is protected by copyright. All rights reserved."</t>
  </si>
  <si>
    <t>Efficacy of non-surgical treatments for androgenetic alopecia in men and women: a systematic review with network meta-analyses, and an assessment of evidence quality.</t>
  </si>
  <si>
    <t>📊 Meta-analysis (network 📊 Meta-analysis)</t>
  </si>
  <si>
    <t>"The networks for male and female AGA included 30 and 10 RCTs, respectively. 
We identified the following treatments for male AGA in decreasing rank of efficacy: platelet-rich plasma (PRP), low-level laser therapy (LLLT), 0.5 mg dutasteride, 1 mg finasteride, 5% minoxidil, 2% minoxidil, and bimatoprost. For female AGA the following were identified in decreasing rank of efficacy: LLLT, 5% minoxidil, and 2% minoxidil.
The evidence quality of the highest ranked therapies, for male and female AGA, was judged to be low."
"While newer treatments like LLLT may be more efficacious than more traditional therapies like 5% minoxidil, the efficacy of the more recent treatment modalities needs to be further validated by future RCTs."</t>
  </si>
  <si>
    <t>Galadari</t>
  </si>
  <si>
    <t>United Arab Emirates</t>
  </si>
  <si>
    <t>Low-level laser therapy and narrative review of other treatment modalities in androgenetic alopecia.</t>
  </si>
  <si>
    <t>"Low-level laser light therapy is a promising new treatment modality for AGA. The RCTs reviewed in this study highlights these benefits. It has proved to improve hair thickness and density with very few tolerable side effects. In addition, patients were satisfied with the results. There is a need for larger RCTs, especially comparing it to the standard treatment modalities like finasteride and minoxidil.""</t>
  </si>
  <si>
    <t>York</t>
  </si>
  <si>
    <t>Australia
(East Melbourne)</t>
  </si>
  <si>
    <t>Expert Opin Pharmacother</t>
  </si>
  <si>
    <t>Treatment review for male pattern hair-loss.</t>
  </si>
  <si>
    <t>"A metanalysis on the effect of photobiomodulation for AGA found it to be an effective modality for the treatment of AGA."</t>
  </si>
  <si>
    <t>Gupta &amp; Carviel</t>
  </si>
  <si>
    <t>Meta-analysis of photobiomodulation for the treatment of androgenetic alopecia.</t>
  </si>
  <si>
    <t>"Using hair density (hairs/cm2) as a measure of efficacy, the standardized mean difference (SMD) was 1.02 (95% CI: 0.68, 1.36) in favor of treatment over control (15 studies, pooled N = 795, p &lt; .00001). 
Subgroup analysis comparing comb-style devices versus helmet/hat-style devices did not reveal a significant difference (p = .08). 
A second subgroup analysis suggested that laser treatment was significantly more effective (p = .009) than a combination of laser/LED treatment although the combination treatment was still significantly better than control treatment."</t>
  </si>
  <si>
    <t>Photobiomodulation for the management of alopecia: mechanisms of action, patient selection and perspectives.</t>
  </si>
  <si>
    <t>"At the present time, several different PBM devices are marketed to assist with hair regrowth in alopecia patients. This review covers the three main types of alopecia (androgenetic, areata, and chemotherapy-induced), and discusses the mechanism of action of PBM for each disease. The different devices used (mostly low powered red laser diodes), dosimetry, animal models, and clinical trials are summarized."</t>
  </si>
  <si>
    <t>da Silveira</t>
  </si>
  <si>
    <t>The role of photobiomodulation when associated with microneedling in female pattern hair loss: A randomized, double blind, parallel group, three arm, clinical study protocol.</t>
  </si>
  <si>
    <t>Panchaprateep</t>
  </si>
  <si>
    <t>Quantitative proteomic analysis of dermal papilla from male androgenetic alopecia comparing before and after treatment with low-level laser therapy.</t>
  </si>
  <si>
    <t>🧑 Human
📄 Single-arm trial
👥 4 participants
⌛ 24 weeks</t>
  </si>
  <si>
    <t>255
(?)</t>
  </si>
  <si>
    <t>90
/ 24 weeks
(= every other day)</t>
  </si>
  <si>
    <t>"Proteomic analysis revealed 11 statistically significant up-regulated and 2 down-regulated proteins in LLLT treated DP compared with baseline (P &lt; 0.05)."
"We identified the proteome set of DP proteins of male patients with AGA treated with LLLT which implicates the role of LLLT in promoting hair growth and reversing of miniaturization process of AGA by enhancing DP cell function."</t>
  </si>
  <si>
    <t>Device: "The LLLT system used in this study is a commercial available, helmet type device containing 21, 5 mW diode lasers (655  5 nm) and 30 LEDS (655  20 nm)."</t>
  </si>
  <si>
    <t>Taiwan
(New Taipei City)</t>
  </si>
  <si>
    <t>Comparative effectiveness of low-level laser therapy for adult androgenic alopecia: a system review and meta-analysis of randomized controlled trials.</t>
  </si>
  <si>
    <t>"The meta-analysis included 8 studies comprising a total of 11 double-blinded randomized controlled trials. 
The quantitative analysis showed a significant increase in hair density for those treated by LLLT versus sham group (SMD 1.316, 95% confidence interval, CI 0.993 to 1.639). The subgroup analysis demonstrated that LLLT increases hair growth in both genders, in both comb- and helmet-type devices, and in short- and long-term treatment course. 
The subgroup analysis also showed a more significant increase of hair growth for the LLLT versus sham in the low-frequency treatment group (SMD 1.555, 95% CI 1.132 to 1.978) than in the high-frequency group (SMD 0.949, 95% CI 0.644 to 1.253). 
The review was limited by the heterogeneity of included trials. 
LLLT significantly increased hair density in AGA. The meta-analysis suggests that low treatment frequency by LLLT have a better hair growth effect than high treatment frequency. LLLT represents a potentially effective treatment for AGA in both male and female. The types of LLLT devices and LLLT treatment course duration did not affect the effectiveness in hair growth."</t>
  </si>
  <si>
    <t>Suchonwanit</t>
  </si>
  <si>
    <t>Low-level laser therapy for the treatment of androgenetic alopecia in Thai men and women: a 24-week, randomized, double-blind, sham device-controlled trial.</t>
  </si>
  <si>
    <t>🧑 Human
🎲 Randomized trial, double-blind
👥 40 participants
⌛ 24 weeks</t>
  </si>
  <si>
    <t>1120
(?)</t>
  </si>
  <si>
    <t>"Thirty-six subjects (19 in the laser group and 17 in the sham group) completed the study. At week 24, the laser helmet was significantly superior to the sham device for increasing hair density and hair diameter (p = 0.002 and p = 0.009, respectively) and showed a significantly greater improvement in global photographic assessment by investigators and subjects. Reported side effects included temporary hair shedding and scalp pruritus. 
In conclusion, the novel helmet-type LLLT device appears to be an effective treatment option for AGA in both male and female patients with minimal adverse effects. However, the limitations of this study are small sample size, no long-term follow-up data, and use of inappropriate sham devices, which do not reflect the true negative control."
Comment: They used LEDs (with 10-fold smaller power output) as the sham devices. Authors apparently assumed LEDs would be ineffective: "Regarding the light source, laser is selected over LED since laser beams are collimated and less divergent, supposing to have better light transmission to intended targets under the scalp surface."</t>
  </si>
  <si>
    <t>Device: "RAMACAP, a helmet-type portable LLLT device containing 224 red diode laser bulbs (660 nm)"</t>
  </si>
  <si>
    <t>Mai-Yi</t>
  </si>
  <si>
    <t>Efficacy and Safety of a Low-Level Light Therapy for Androgenetic Alopecia: A 24-Week, Randomized, Double-Blind, Self-Comparison, Sham Device-Controlled Trial.</t>
  </si>
  <si>
    <t>🧑 Human
🎲 Randomized trial, double-blind, self-controlled
👥 100 participants
⌛ 24 weeks</t>
  </si>
  <si>
    <t>LLLT+LED phototherapy</t>
  </si>
  <si>
    <t>650
(laser)
+
660
(LED)</t>
  </si>
  <si>
    <t>"A significant increase in hair coverage from baseline was observed for the LLLT-treated side after a 24-week treatment (p &lt; .001). 
In contrast, the control side showed a decrease in hair coverage from baseline at the 24-week visit (p = .002)"
Comment: Self-controlled studies might show less efficacy because of possible PBM systemic effects.</t>
  </si>
  <si>
    <t xml:space="preserve">Device: "The iRestore ID-520 (WELLMIKE Technology Corp., New Taipei City, Taiwan) is a helmet-type LLLT device with a light source consisting of light-emitting diodes (LEDs) array emitting wavelengths of 660 6 5 nm (≤22 mW/cm2, 27 LED, AL-513UR2C) and a laser diode array emitting 650 6 10 nm (≤4.6 mW, 27 pieces, TA520)."
Self-controlled study methodology: "The iRestore phototherapy system used as the light source for this study was modified such that a 650/660 nm light was emitted to half of the head and the contralateral side was exposed to non-LLLT sham light from LED bulbs, which were coated with red paint to resemble the red irradiating light of the therapeutic light source"
</t>
  </si>
  <si>
    <t>Manabe</t>
  </si>
  <si>
    <t>Japan
(Akita)</t>
  </si>
  <si>
    <t>J Dermatol</t>
  </si>
  <si>
    <t>Guidelines for the diagnosis and treatment of male-pattern and female-pattern hair loss, 2017 version.</t>
  </si>
  <si>
    <t>📖 Review (Guideline)</t>
  </si>
  <si>
    <t>"As described above, with regard to the hair growth effects of LED and low-level lasers, sufficient evidence supports their efficacy, and their adverse reactions are relatively mild. Therefore, use of appropriate instruments is recommended when performing irradiation by LED and low-level lasers."</t>
  </si>
  <si>
    <t>Efficacy of non-surgical treatments for androgenetic alopecia: a systematic review and network meta-analysis.</t>
  </si>
  <si>
    <t>"A network meta-analysis (NMA) was conducted of the available literature of the six most common non-surgical treatment options for treating androgenetic alopecia in both men and women; dutasteride 0.5 mg, finasteride 1 mg, low-level laser therapy (LLLT), minoxidil 2%, minoxidil 5% and platelet-rich plasma (PRP). 
Seventy-eight studies met the inclusion criteria, and 22 studies had the data necessary for a network meta-analysis. Relative effects show LLLT as the superior treatment."</t>
  </si>
  <si>
    <t>The effectiveness of adding low-level light therapy to minoxidil 5% solution in the treatment of patients with androgenetic alopecia.</t>
  </si>
  <si>
    <t>🧑 Human
🎲 Randomized trial
👥 50 participants
⌛ 24-week treatment / 12-month study</t>
  </si>
  <si>
    <t>PBM + minoxidil</t>
  </si>
  <si>
    <t>10-50</t>
  </si>
  <si>
    <t>48-
72
/ 24 weeks</t>
  </si>
  <si>
    <t>"The percentage of recovery from androgenetic alopecia and the patients' satisfaction with their treatment were significantly higher in the case group compared to the control group.
The patients' mean hair density and diameter were found to be higher in the case group after the intervention compared to the control group."</t>
  </si>
  <si>
    <t>Device: LDU 8024PN/8024BN, made in Germany</t>
  </si>
  <si>
    <t>New-Generation Therapies for the Treatment of Hair Loss in Men.</t>
  </si>
  <si>
    <t>"Hair loss affects millions of people worldwide and can have devastating effects on an individual's psychoemotional well-being. Today hair restoration technologies through hair transplantation have advanced with the use of robots and follicular unit extraction/grafting that can offer patients excellent clinical results. Adjuvant modalities, such as platelet-rich plasma injections, lasers, and stem cells, can further enhance durability, health, and appearance of hair transplants."</t>
  </si>
  <si>
    <t>Low-level laser therapy for the treatment of androgenic alopecia: a review.</t>
  </si>
  <si>
    <t>"Ten of 11 trials demonstrated significant improvement of androgenic alopecia in comparison to baseline or controls when treated with LLLT. In the remaining study, improvement in hair counts and hair diameter was recorded, but did not reach statistical significance.
Two trials did not include statistical analysis, but showed marked improvement by hair count or by photographic evidence. Two trials showed efficacy for LLLT in combination with topical minoxidil. One trial showed efficacy when accompanying finasteride treatment. LLLT appears to be a safe, alternative treatment for patients with androgenic alopecia. Clinical trials have indicated efficacy for androgenic alopecia in both men and women. It may be used independently or as an adjuvant of minoxidil or finasteride.
More research needs to be undertaken to determine the optimal power and wavelength to use in LLLT as well as LLLT's mechanism of action."</t>
  </si>
  <si>
    <t>Delaney &amp; Zhang</t>
  </si>
  <si>
    <t>Systematic review of low-level laser therapy for adult androgenic alopecia.</t>
  </si>
  <si>
    <t>"Double-blinded randomized controlled trials were selected and analyzed quantitatively (meta-analysis) and qualitatively (quality of evidence, risk of bias). Low-level laser therapy appears to be a promising noninvasive treatment for AA in adults that is safe for self-administration in the home.
Although shown to effectively stimulate hair growth when compared to sham devices, these results must be interpreted with caution. Further studies with larger samples, longer follow-up, and independent funding sources are necessary to determine the clinical effectiveness of this novel therapy."</t>
  </si>
  <si>
    <t>Dodd</t>
  </si>
  <si>
    <t>Photobiomodulation therapy for androgenetic alopecia: a clinician's guide to home-use devices cleared by the Federal Drug Administration.</t>
  </si>
  <si>
    <t>📖 Review / Guide</t>
  </si>
  <si>
    <t>"Photobiomodulation therapy devices have an excellent safety profile and mounting evidence supporting their efficacy. However, long term, high quality studies comparing these devices in diverse populations are lacking. As these devices become increasingly popular, dermatologists should be familiar with this treatment modality to add to their therapeutic armamentarium."</t>
  </si>
  <si>
    <t>Barikbin</t>
  </si>
  <si>
    <t>Comparison of the effects of 665 nm low level diode Laser Hat versus and a combination of 665 nm and 808nm low level diode Laser Scanner of hair growth in androgenic alopecia.</t>
  </si>
  <si>
    <t>🧑 Human
🎲 Randomized trial
👥 90 participants
⌛ 4 months</t>
  </si>
  <si>
    <t>Groups:
(1) Laser hat
(2) Laser scanner
(3) Sham laser</t>
  </si>
  <si>
    <t>655
(hat)
655+
808
(scan)</t>
  </si>
  <si>
    <t>3
2+
1</t>
  </si>
  <si>
    <t>3 / week
for
maximum
of 
4 months</t>
  </si>
  <si>
    <t xml:space="preserve">"Patients in laser scanner group had better results and showed a higher increase in terminal hair density compared with laser hat group (mean of 9.61 versus 9.16 per cm2). We found significant decrease in terminal hair density from baseline in control group (mean -1.8 per cm2, p&lt;0.0001)."
</t>
  </si>
  <si>
    <t>Esmat</t>
  </si>
  <si>
    <t>Low level light-minoxidil 5% combination versus either therapeutic modality alone in management of female patterned hair loss: A randomized controlled study.</t>
  </si>
  <si>
    <t>🧑 Human
🎲 Randomized trial
👥 45 participants
⌛ 4 months</t>
  </si>
  <si>
    <t>iGrow device
Groups: 
(1) Minoxidil
(2) PBM
(3) Combined</t>
  </si>
  <si>
    <t>every
other
day for
4 months</t>
  </si>
  <si>
    <t>"LLLT is an effective and safe tool with comparable results to minoxidil 5% in the treatment of FPHL. Owing to the significantly better results of combination therapy, its usage is recommended to hasten hair regrowth."</t>
  </si>
  <si>
    <t>Device: "iGROW helmet device (21 Lasers Diodes and 30 LEDs, 655 nm red laser with output &lt;5 mW CW and LED wave length range from 650 to 670 nm)"</t>
  </si>
  <si>
    <t>Adil &amp; Godwin</t>
  </si>
  <si>
    <t>Canada
(Newfoundland)</t>
  </si>
  <si>
    <t>The effectiveness of treatments for androgenetic alopecia: A systematic review and meta-analysis.</t>
  </si>
  <si>
    <t>"This meta-analysis strongly suggests that minoxidil, finasteride, and low-level laser light therapy are effective for promoting hair growth in men with androgenetic alopecia and that minoxidil is effective in women with androgenetic alopecia."</t>
  </si>
  <si>
    <t>Friedman &amp; Schnoor</t>
  </si>
  <si>
    <t>Novel Approach to Treating Androgenetic Alopecia in Females With Photobiomodulation (Low-Level Laser Therapy).</t>
  </si>
  <si>
    <t>🧑 Human
🎲 Randomized trial, sham-controlled
🗺 Multicenter
👥 44 participants
⌛ 17-week treatment</t>
  </si>
  <si>
    <t>Laser diode array (272)
Handi-Dome Laser device</t>
  </si>
  <si>
    <t>1360
(=272 diodes)</t>
  </si>
  <si>
    <t>0.00234</t>
  </si>
  <si>
    <t>582
cm2</t>
  </si>
  <si>
    <t>60
/ 17 weeks</t>
  </si>
  <si>
    <t>"The study demonstrates that low-level laser treatment of the scalp every other day for 17 weeks using the HANDI-DOME LASER device is a safe and effective treatment for androgenetic alopecia in healthy females between the ages of 18 to 60 with Fitzpatrick skin Types I to IV and Ludwig-Savin Baldness Scale I-2 to II-2 baldness patterns.
Subjects receiving LLLT at 650 nm achieved a 51% increase in hair counts as compared with sham-treated control patients in this multicenter randomized controlled trial."</t>
  </si>
  <si>
    <t>Keene</t>
  </si>
  <si>
    <t>Illuminating current pitfalls in optimal photobiomodulation device development and assessment for treating hair loss.</t>
  </si>
  <si>
    <t>"Photobiomodulation has been established as a credible treatment modality for a variety of medical conditions including hair loss. Despite recently published RCT’s, there is reason to believe optimal wavelengths and dosing have yet to be identified. Addressing the identified challenges will hopefully achieve the full potential of PBM for hair loss patients. In the meantime, recommendation of PBM devices to treat hair loss may be premature."</t>
  </si>
  <si>
    <t>UK &amp; Netherlands</t>
  </si>
  <si>
    <t>Photobiomodulation devices for hair regrowth and wound healing: a therapy full of promise but a literature full of confusion.</t>
  </si>
  <si>
    <t>"The aim of this review was to seek greater clarity and rationality specifically for the selection of optical parameters for studies on hair regrowth and wound healing. Our investigation of 90 reports published between 1985 and 2015 revealed major inconsistencies in optical parameters selected for clinical applications."
"Furthermore, special attention needs to be paid when conducting studies for hair regrowth, aiming for double-blind, placebo-controlled randomized clinical trials as the gold standard for quantifying hair growth."</t>
  </si>
  <si>
    <t>Gupta &amp; Foley</t>
  </si>
  <si>
    <t>Canada
(Toronto &amp; London, Ontario)</t>
  </si>
  <si>
    <t>A Critical Assessment of the Evidence for Low-Level Laser Therapy in the Treatment of Hair Loss.</t>
  </si>
  <si>
    <t>Hair loss treatment</t>
  </si>
  <si>
    <t>"There are a number of unanswered questions about the optimum treatment regimen, including maintenance treatment and the long-term consequences of LLLT use."</t>
  </si>
  <si>
    <t>Afifi</t>
  </si>
  <si>
    <t>USA (Miami, FL)</t>
  </si>
  <si>
    <t>Low-level laser therapy as a treatment for androgenetic alopecia.</t>
  </si>
  <si>
    <t>"The majority of studies covered in this review found an overall improvement in hair regrowth, thickness, and patient satisfaction following LLLT therapy. Although we should be cautious when interpreting these findings, LLLT therapy seems to be a promising monotherapy for AGA and may serve as an effective alternative for individuals unwilling to use medical therapy or undergo surgical options."</t>
  </si>
  <si>
    <t>Jimenez</t>
  </si>
  <si>
    <t>Efficacy and safety of a low-level laser device in the treatment of male and female pattern hair loss: a multicenter, randomized, sham device-controlled, double-blind study.</t>
  </si>
  <si>
    <t>🧑 Human
🎲 Randomized trial, double-blind
🗺 Multicenter (4 separate RCTs)
👥 269 participants
⌛ 26 weeks</t>
  </si>
  <si>
    <t xml:space="preserve">Large sample size RCT (&gt;150)
</t>
  </si>
  <si>
    <t>655
635+
655</t>
  </si>
  <si>
    <t>78
/ 26 weeks</t>
  </si>
  <si>
    <t>"We observed a statistically significant difference in the increase in terminal hair density between lasercomb- and sham-treated subjects. No serious adverse events were reported. Our results suggest that low-level laser treatment may be an effective option to treat pattern hair loss in both men and women. Additional studies should be considered to determine the long-term effects of low-level laser treatment on hair growth and maintenance, and to optimize laser modality."</t>
  </si>
  <si>
    <t>Device: HairMax Lasercomb, 2 different models used</t>
  </si>
  <si>
    <t>Munck</t>
  </si>
  <si>
    <t>Brazil &amp; Switzerland</t>
  </si>
  <si>
    <t>Use of low-level laser therapy as monotherapy or concomitant therapy for male and female androgenetic alopecia.</t>
  </si>
  <si>
    <t>🧑 Human
📄 Retrospective study
👥 32 participants
⌛ 2-24 month treatment / 24-month follow-up</t>
  </si>
  <si>
    <t>3 times
weekly
for
2-24 
months</t>
  </si>
  <si>
    <t>"LLLT represents a potentially effective treatment for both male and female AGA, either as monotherapy or concomitant therapy."</t>
  </si>
  <si>
    <t>Device: HairMax Laser Comb(®)</t>
  </si>
  <si>
    <t>Lanzafame</t>
  </si>
  <si>
    <t>The growth of human scalp hair in females using visible red light laser and LED sources.</t>
  </si>
  <si>
    <t>🧑 Human (♀)
🎲 Randomized trial, double-blind
👥 47 participants
⌛ 16 weeks</t>
  </si>
  <si>
    <t>Androgenetic alopecia
TOPHAT655 device</t>
  </si>
  <si>
    <t>67</t>
  </si>
  <si>
    <t>60
/ 16 weeks</t>
  </si>
  <si>
    <t>"LLLT of the scalp at 655 nm significantly improved hair counts in women with androgenetic alopecia at a rate similar to that observed in males using the same parameters."</t>
  </si>
  <si>
    <t>Device: "The active group received a "TOPHAT655" unit containing 21, 5 mW diode lasers (655 ± 5 nm) and 30 LEDS (655 ± 20 nm), in a bicycle-helmet like apparatus."</t>
  </si>
  <si>
    <t>Blum</t>
  </si>
  <si>
    <t>BMC Res Notes</t>
  </si>
  <si>
    <t>"Cold" X5 Hairlaser™ used to treat male androgenic alopecia and hair growth: an uncontrolled pilot study</t>
  </si>
  <si>
    <t>🧑 Human
📄 Single-arm trial
👥 70 participants (48 completed)
⌛ ?-duration treatment / 26-week study</t>
  </si>
  <si>
    <t>15 sec
/point
total
10-15
mins</t>
  </si>
  <si>
    <t>"A statistically significant positive trend in hair growth was observed from this pilot study, to evaluate the efficacy of the novel cold X5 hairlaser device for treating male androgenic alopecia. From the repeated measures analysis of variance, difference in mean hair counts over time was statistically significant (F = 7.70; p-value &lt; 0.0001)."</t>
  </si>
  <si>
    <t>Study protocol change: "The primary objective of the study was to prove the efficacy and safety of the X5 hairlaser device for treating male AGA through comparison to the control. However, due to a problem in the implementation of the proposed protocol, whereby after evaluation of the entire study the sham device unbeknown to us constituted a laser type lighting effect. This light affected subsequent analysis on this report. While we are cognizant of the impact of the loss of sham control data we decided to conduct pilot data from the treatment group only, excluding the data from the control placebo group."</t>
  </si>
  <si>
    <t>Gupta &amp; Daigle</t>
  </si>
  <si>
    <t>The use of low-level light therapy in the treatment of androgenetic alopecia and female pattern hair loss.</t>
  </si>
  <si>
    <t>Low-level laser (light) therapy (LLLT) for treatment of hair loss.</t>
  </si>
  <si>
    <t>Hair loss</t>
  </si>
  <si>
    <t>LLLT for hair growth in both men and women appears to be both safe and effective. The optimum wavelength, coherence and dosimetric parameters remain to be determined.</t>
  </si>
  <si>
    <t>Nusbaum</t>
  </si>
  <si>
    <t>USA
(Coral Gables, FL)</t>
  </si>
  <si>
    <t>Facial Plast Surg Clin North Am</t>
  </si>
  <si>
    <t>Nonsurgical therapy for hair loss.</t>
  </si>
  <si>
    <t>"The optimal frequency, power, and duration for treating pattern hair loss with low-level light therapy has yet to be determined and current treatment protocols are determined on an empiric basis. Theoretically, it is possible that too high a dose could result in a reversal of therapeutic benefit and more well-controlled studies are needed to determine optimal wavelength, power, treatment frequency, and duration, as well as whether benefits can be maintained long term."</t>
  </si>
  <si>
    <t>The growth of human scalp hair mediated by visible red light laser and LED sources in males.</t>
  </si>
  <si>
    <t xml:space="preserve">🧑 Human (♂)
🎲 Randomized trial, double-blind
👥 44 participants
⌛ </t>
  </si>
  <si>
    <t>"LLLT of the scalp at 655 nm significantly improved hair counts in males with androgenetic alopecia."</t>
  </si>
  <si>
    <t>Device: TOPHAT655</t>
  </si>
  <si>
    <t>Low-level light therapy for androgenetic alopecia: a 24-week, randomized, double-blind, sham device-controlled multicenter trial.</t>
  </si>
  <si>
    <t>630+
650+
660</t>
  </si>
  <si>
    <t xml:space="preserve">0.061+
0.115+
0.183+
</t>
  </si>
  <si>
    <t>47.90</t>
  </si>
  <si>
    <t>daily for
24 weeks
(?)</t>
  </si>
  <si>
    <t>"After 24 weeks of treatment, the LLLT group showed significantly greater hair density than the sham device group. Mean hair diameter improved statistically significantly more in the LLLT group than in the sham device group. 
Investigator global assessment showed a significant difference between the two groups, but that of the subject did not."</t>
  </si>
  <si>
    <t>Device: "The Oaze (Won Technology, Daejeon, Korea) is a helmet-type 3R LLLT device with a light source consisting of light-emitting diodes (LEDs) emitting wavelengths of 630 nm (3.5 mW, 24 units, L-513EC-A) and 660 nm (2.5 mW, 18 units, L-513LRC) and laser diodes (LDs) emitting 650 nm (4 mW, 27 units, DL3147–060; Figure 1).""</t>
  </si>
  <si>
    <t>Ghanaat M</t>
  </si>
  <si>
    <t>South Med J</t>
  </si>
  <si>
    <t>Types of hair loss and treatment options, including the novel low-level light therapy and its proposed mechanism.</t>
  </si>
  <si>
    <t>"There are several theories and minimal clinical evidence of the safety and efficacy of LLLT, although most experts agree that it is safe. More in vitro studies are necessary to elucidate the mechanism and effectiveness at the cellular level, and more controlled studies are necessary to assess the role of this new treatment in the general population."</t>
  </si>
  <si>
    <t>Leavitt</t>
  </si>
  <si>
    <t>USA
(Maitland, FL)</t>
  </si>
  <si>
    <t>Clin Drug Investig</t>
  </si>
  <si>
    <t>HairMax LaserComb laser phototherapy device in the treatment of male androgenetic alopecia: A randomized, double-blind, sham device-controlled, multicentre trial.</t>
  </si>
  <si>
    <t>🧑 Human
🎲 Randomized trial, double-blind
🗺 Multicenter
👥 123 participants
⌛ 26 weeks</t>
  </si>
  <si>
    <t>"The results of this study suggest that the HairMax LaserComb is an effective, well tolerated and safe laser phototherapy device for the treatment of AGA in males."</t>
  </si>
  <si>
    <t>Avram &amp; Rogers</t>
  </si>
  <si>
    <t>The use of low-level light for hair growth: part I.</t>
  </si>
  <si>
    <t>🧑 Human
📄 Single-arm trial
👥 7 participants
⌛ 3-6 months</t>
  </si>
  <si>
    <t>twice per
week for 
3-6 months</t>
  </si>
  <si>
    <t>"A total of seven patients were exposed to LLLT twice weekly for 20 minutes each time over a period of 3-6 months."
"The results indicate that on average patients had a decrease in the number of vellus hairs, an increase in the number of terminal hairs, and an increase in shaft diameter. However, paired i-testing indicated that none of these changes was statistically significant. Also, blinded evaluation of global images did not support an improvement in hair density or caliber."
"LLLT may be a promising treatment option for patients who do not respond to either finasteride or minoxidil, and who do not want to undergo hair transplantation. This technology appears to work better for some people than for others. Factors predicting who will most benefit are yet to be determined. Larger, longer-term placebo-controlled studies are needed to confirm these findings, and demonstrate statistical significance, or refute them altogether."</t>
  </si>
  <si>
    <t>Avram</t>
  </si>
  <si>
    <t>The current role of laser/light sources in the treatment of male and female pattern hair loss.</t>
  </si>
  <si>
    <t>"Despite aggressive marketing and centers claiming great success in the treatment of hair loss there is little scientific data supporting laser/light sources in hair loss."
"The authors believe that, while seemingly safe, there are no controlled, peer-reviewed studies validating current devices for hair loss and that all patients should be medically evaluated for any hair loss by a physician specialist to rule out other underlying medical conditions or the etiology of hair loss."
Note: This was written in 2007, before the randomized trials started appearing in the literature.</t>
  </si>
  <si>
    <t>Cell differentiation</t>
  </si>
  <si>
    <t>Farivar</t>
  </si>
  <si>
    <t>Gene Expression Analysis of Chondrogenic Markers in Hair Follicle Dermal Papillae Cells Under the Effect of Laser Photobiomodulation and the Synovial Fluid.</t>
  </si>
  <si>
    <t>"It was monitored that treating cells with laser irradiation can accelerate the rate of proliferation of cells."
"Based on the gene expression levels and the morphological changes, we concluded that the synovial fluid can have the potential to make the dermal papilla cells to most likely mimic the chondrogenic and/or osteogenic differentiation, although this process seems to be augmented by the irradiation of the low-level laser."</t>
  </si>
  <si>
    <t>Chemotherapy-induced alopecia</t>
  </si>
  <si>
    <t>Taiwan
(Keelung)</t>
  </si>
  <si>
    <t>The effect of a helmet type, home-use low-level light therapy device for chemotherapy-induced alopecia: study protocol for a randomized controlled trial</t>
  </si>
  <si>
    <t>Lodewijckx</t>
  </si>
  <si>
    <t>The use of photobiomodulation therapy for the management of chemotherapy-induced alopecia: a randomized, controlled trial (HAIRLASER trial)</t>
  </si>
  <si>
    <t>🧑 Human
🎲 Randomized trial
👥 32 participants
⌛ 12 weeks (after chemotherapy)</t>
  </si>
  <si>
    <t>1.03</t>
  </si>
  <si>
    <t>"Significantly higher NRS scores were observed in the PBM group at 1-month post-chemotherapy compared to baseline, whereas they remained constant in the control group. Patients allocated to the PBM group scored their global health significantly higher at all time points compared to the control."
Comment: The difference in hair growth was significant at month 1 but not month 2 or month 3. Slight benefit may be possible? 
Comment: Interesting to see simultaneous improvement in global health.</t>
  </si>
  <si>
    <r>
      <rPr>
        <rFont val="Arial"/>
        <b/>
        <color rgb="FF980000"/>
        <sz val="9.0"/>
      </rPr>
      <t xml:space="preserve">★
</t>
    </r>
    <r>
      <rPr>
        <rFont val="Arial"/>
        <b/>
        <color rgb="FF980000"/>
        <sz val="6.0"/>
      </rPr>
      <t>☹</t>
    </r>
  </si>
  <si>
    <t>Low-level laser treatment accelerated hair regrowth in a rat model of chemotherapy-induced alopecia (CIA).</t>
  </si>
  <si>
    <t>Chemotherapy-induced
alopecia</t>
  </si>
  <si>
    <t>"Taken together, our results demonstrated that LLL treatment significantly accelerated hair regrowth after CIA without compromising the efficacy of chemotherapy in our rat model."
Star: Results are very interesting, and a photograph is supplied.
Comment: Parameters were poorly reported.</t>
  </si>
  <si>
    <t>Eyebrow loss</t>
  </si>
  <si>
    <t>Gerkowicz</t>
  </si>
  <si>
    <t>Poland
(Lublin)</t>
  </si>
  <si>
    <t>Novel Application of Light-Emitting Diode Therapy in the Treatment of Eyebrow Loss in Frontal Fibrosing Alopecia</t>
  </si>
  <si>
    <t>🧑 Human
📄 Single-arm trial
👥 16 participants
⌛ 10-week treatment -&gt; 6-month follow-up</t>
  </si>
  <si>
    <t>0.068</t>
  </si>
  <si>
    <t>"After 10 irradiations, the total eyebrow hair count increased significantly, as did the number of thick hairs and mid-thick hairs (p = 0.002, p = 0.002, and p = 0.044, respectively). During the follow-up visit, the total number of eyebrow hairs remained significantly higher than before treatment (p = 0.002)."</t>
  </si>
  <si>
    <t>Hair follicle organoids</t>
  </si>
  <si>
    <t>Roets B</t>
  </si>
  <si>
    <t>Mater Today Bio</t>
  </si>
  <si>
    <t>Potential application of PBM use in hair follicle organoid culture for the treatment of androgenic alopecia</t>
  </si>
  <si>
    <t>"Photobiomodulation is a form of light therapy that stimulates endogenous chromophores. PBM has been shown to improve cell viability, proliferation, migration, differentiation and gene expression in dermal papilla cells and hair follicle stem cells. Therefore, photobiomodulation is a potential adjunct to hair follicle organoid culture to improve the proliferation and inductive capacity of cells."</t>
  </si>
  <si>
    <t>📷
☹</t>
  </si>
  <si>
    <t>Hair follicle transplantation</t>
  </si>
  <si>
    <t>Tabaie</t>
  </si>
  <si>
    <t>The Effect of One Session Low Level Laser Therapy of Extracted Follicular Units on the Outcome of Hair Transplantation</t>
  </si>
  <si>
    <t>🧑 Human
🎲 Randomized trial, double-blind
👥 10 participants
⌛ single session (before hair transpl.)</t>
  </si>
  <si>
    <t>Ex vivo irradiation of hair follicles</t>
  </si>
  <si>
    <t>"All patients had 100% hair growth at 3 and 6 months follow-up except one who had hair growth of 20% at three months of transplantation, which changed to 100% at sixth months. There was no significant difference between the groups regarding hair growth (P &gt; 0.8)."
Comment: Dose parameters insufficiently reported.</t>
  </si>
  <si>
    <t>Hair growth</t>
  </si>
  <si>
    <t>The synergistic effect of phototherapy and active substances on hair growth</t>
  </si>
  <si>
    <t>"In this study, we found that each of arginine (Arg), arterial extract (AE) or biotin tripeptide-1 (BT-1), when combined with low level light therapy (LLLT, at 630 nm, 2 J/cm2), showed the efficacy in enhancing mitochondrial functions, cell proliferation and collagen synthesis in fibroblasts. 
Additionally, CARRIPOWER (the complexes of AE, BT-1, Arg, and Diaminopyrimidine derivatives), in conjunction with LLLT (630 nm, 2 J/cm2), showed promising results in dermal papilla cells (DPCs). 
The promising results contained not also inflammatory cytokines (IL-1β and IL-6) and cell pro apoptotic factor (TGF-β2) reduction, but also Wnt pathway inhibition by decreasing DKK1 level, and pro-hair growth factors (vascular endothelial growth factor (VEGF) and β-catenin) increase."</t>
  </si>
  <si>
    <t>Effects of photobiomodulation at various irradiances on normal and dihydrotestosterone-treated human hair dermal papilla cells in vitro</t>
  </si>
  <si>
    <t>"Androgenetic alopecia (AGA) is the most common type of hair loss caused by dihydrotestosterone (DHT) binding to androgen receptors in dermal papilla cells (DPCs). Photobiomodulation (PBM) is a promising treatment for AGA but suffers from inconsistent outcomes and inconsistent effective light parameters.. This study investigated the impact of red light at various irradiances on normal and DHT-treated DPCs. 
Our results suggested that red light at 8 mW/cm2 was most effective in promoting DPCs growth. Furthermore, a range of irradiances from 2 to 64 mW/cm2 modulated key signaling pathways, including Wnt, FGF, and TGF, in normal and DHT-treated DPCs. Interestingly, 8 mW/cm2 had a greater impact on these pathways in DHT-treated DPCs and altered the Shh pathway, suggesting that the effect of PBM varies with the cellular environment."</t>
  </si>
  <si>
    <t>Kittigul</t>
  </si>
  <si>
    <t>The efficacy of LED microneedle patch on hair growth in mice</t>
  </si>
  <si>
    <t>Blue light 🔵
Green light 🟢</t>
  </si>
  <si>
    <t>465
513
629</t>
  </si>
  <si>
    <t>28
/28</t>
  </si>
  <si>
    <t>"A significant increase in hair growth was observed in the green light, moderate in the red light, and the lowest in the blue light group. The addition of the microneedle patch to LED irradiation enhanced greater and faster anagen entry in all the groups. Histopathology showed an apparent increase in the number of hair follicles, collagen bundles in the dermis, angiogenesis, and mononuclear cell infiltration after treatment with the green-light LED microneedle patches."</t>
  </si>
  <si>
    <t>Enhanced hair growth effects through low-level vortex beams radiation: An experimental animal study</t>
  </si>
  <si>
    <t>4.25</t>
  </si>
  <si>
    <t>"The results indicated that low-level vortex beam irradiation led to better stimulation of hair growth than the Gaussian beams, which might be related to deeper penetration. The underlying biological mechanisms are discussed in terms of the activation of Wnt/β-catenin/sonic hedgehog pathway. 
Our results suggest that low-level vortex beam irradiation is advantageous to the treatment of hair loss because it is technically feasible, convenient and effective."</t>
  </si>
  <si>
    <t>Hair Growth Promoting Effects of 650 nm Red Light Stimulation on Human Hair Follicles and Study of Its Mechanisms via RNA Sequencing Transcriptome Analysis</t>
  </si>
  <si>
    <t>Ex vivo
+ 🧪 In vitro</t>
  </si>
  <si>
    <t>"Low-level 650 nm red light promoted the proliferation of human hair follicles in the experimental cultured-tissue model.
Consistently, 650 nm red light significantly delayed the transition of hair cycle from anagen to catagen in vitro.
RNA-seq analysis and gene clustering for the differentially expressed genes suggests that leukocyte transendothelial migration, metabolism, adherens junction and other biological process maybe involved in stimulation of hair follicles by 650-nm red light treatment."</t>
  </si>
  <si>
    <t>Photobiomodulation promotes hair regeneration in injured skin by enhancing migration and exosome secretion of dermal papilla cells</t>
  </si>
  <si>
    <t>"Compared with control, the hair coverage level was significantly enhanced after PBM treatment. Sox9+ and PCNA+ cells in hair follicle were obviously observed in PBM-treated group, but not in control."</t>
  </si>
  <si>
    <t>Stem Cell J</t>
  </si>
  <si>
    <t>Photobiomodulation therapy for hair regeneration: A synergetic activation of β-CATENIN in hair follicle stem cells by ROS and paracrine WNTs</t>
  </si>
  <si>
    <t>"In mouse, the second telogen in back skin lasts about 6 weeks starting from the seventh week of life (Müller-Röver et al., 2001). To test whether PBMT affected HF regeneration, daily PBMT (635 nm, 6.67 mW/cm2 for 20 min, the dose reaching the epidermis was 8 J/cm2) stimulation to the back skin was initiated on postnatal day 50 for 14 consecutive days (Figure 1A). New anagen phase activation, characterized prominent darkening of the mice back skin due to pigmentation in HFs during the anagen (Müller-Röver et al., 2001), was observed between 7 and 14 days after PBMT. On the seventh day after PBMT, the skin color of the mice in the PBMT group was changed from pink to gray, indicating that the HFs were transforming from telogen to anagen (Figure 1B). The HFs in the PBMT group were significantly longer than those in the control group on days 7 and 14 (Figure 1C)."
"Collectively, our work suggests that PBMT promotes hair regeneration through synergetic activation of β-CATENIN in HFSCs by ROS and paracrine WNTs by SKPs."</t>
  </si>
  <si>
    <t>Paus R</t>
  </si>
  <si>
    <t>Shining a (blue) light on hair follicle chronobiology and photobiomodulation</t>
  </si>
  <si>
    <t>"In their study, Buscone et al.44 (2021) now report that the exposure of human scalp HFs to blue light (453 nm) leads to an intrafollicular accumulation of CRY1 protein. This CRY1 stimulation prolongs anagen, while CRY1 silencing promotes catagen development ex vivo. The authors also find CRY1 protein to be prominently expressed in human scalp HFs during anagen, notably including in epithelial stem/progenitor cells.44 This is in line with the concept that the previously reported hair growth stimulation by blue light48 is mediated, at least in part, by CRY1—inviting the direct targeting of CRY1 expression/activity in the future management of both, hair loss (alopecia, effluvium) and unwanted hair growth (hirsutism, hypertrichosis)."
"Thus, the Buscone et al.44 (2021) study challenges investigative dermatology to broaden its horizon from a long‐standing focus on ultraviolet light and its many facets in skin physiology, carcinogenesis, ageing and phototherapy11, 57-65 to the photobiomodulation of skin and its appendages in health and disease by visible light,52 well beyond photodynamic therapy65 and hair growth applications of blue light treatment.44, 48"</t>
  </si>
  <si>
    <t>Buscone</t>
  </si>
  <si>
    <t>England &amp; The Netherlands</t>
  </si>
  <si>
    <t>Cryptochrome 1 is modulated by blue light in human keratinocytes and exerts positive impact on human hair growth</t>
  </si>
  <si>
    <t>🧪 In vitro
+ ex vivo</t>
  </si>
  <si>
    <t>Hair growth
Blue light 🔵</t>
  </si>
  <si>
    <t>"Here, we show that 453 nm blue light induces cryptochrome 1 (CRY1) accumulation in human keratinocytes and the hair follicle. CRY1 is prominently expressed in the human anagen hair follicle, including epithelial stem cells. Specific silencing of CRY1 promotes catagen, while stimulation of CRY1 by KL001 prolongs anagen ex vivo by altering the expression of genes involved in apoptosis and proliferation."
"Together, our study identifies a role for CRY1 in sustaining human hair growth. Previously we demonstrated positive effects of 453 nm blue light on hair growth ex vivo. Taken all together, our study suggests that CRY1 might mediate blue light dependent positive effects on hair growth."</t>
  </si>
  <si>
    <t>Trichogenic Photostimulation Using Monolithic Flexible Vertical AlGaInP Light-Emitting Diodes.</t>
  </si>
  <si>
    <t>LED device development (flexible microscale LED)
LED phototherapy
PBM vs minoxidil</t>
  </si>
  <si>
    <t>"The photostimulated mice exhibited a wider hair-regrowth area (59.76% in 1×1 cm2) than those of other groups (36.16% in negative control group and 42.78% in positive control group)."
"The 183.2 µm length of the photostimulated mouse hair was remarkably longer than 103.6 µm of the positive control group. Red light with a wavelength of ~650 nm is known to accelerate the proliferation and anagen entry of hair follicle cells, which are closely related with hair regrowth."
"Mouse hair follicles proliferated more in the light-treated skin compared with the control groups, as presented in Figure 5d-i and Figure 5e-i."
"As shown in Figure 5f-ii, the β-catenin protein was prominently expressed in the experimental group compared to the control groups"
"These results demonstrate that the red light of f-VLED successfully accelerated the Wnt/β-catenin signal, enabling the proliferation of hair follicle cells and enhancing anagen entry of mouse dorsal hair."
"In summary, we demonstrated a skin-attachable trichogenic photostimulator using high-performance AlGaInP f-VLEDs."</t>
  </si>
  <si>
    <t>Activation of Wnt/β-catenin signaling is involved in hair growth-promoting effect of 655-nm red light and LED in in vitro culture model.</t>
  </si>
  <si>
    <t>"The 655-nm red light + LED not only enhanced hair shaft elongation, but also reduced catagen transition in human hair follicle organ culture, with the greatest effectiveness observed at 5 min (0.839 J/cm2). Additionally, 655-nm red light + LED enhanced the expression of β-catenin, p-GSK3β, and Lef1, signaling molecules of the Wnt/β-catenin pathway, in the hair matrix. 
Activation of Wnt/β-catenin signaling is involved in hair growth-promoting effect of 655-nm red light and LED in vitro and therefore may serve as an alternative therapeutic option for alopecia."</t>
  </si>
  <si>
    <t>Wnt/β-catenin and ERK pathway activation: A possible mechanism of photobiomodulation therapy with light-emitting diodes that regulate the proliferation of human outer root sheath cells</t>
  </si>
  <si>
    <t>LED phototherapy
Blue light 🔵</t>
  </si>
  <si>
    <t>415
525
660
830</t>
  </si>
  <si>
    <t>"These results demonstrate that LED light irradiation induced hORSC proliferation and migration and inhibited apoptosis in vitro. The growth-promoting effects of LEDs on hORSCs appear to be associated with direct stimulation of the Wnt5a/β-catenin and ERK signaling pathway."</t>
  </si>
  <si>
    <t>Joo</t>
  </si>
  <si>
    <t>Various Wavelengths of Light-Emitting Diode Light Regulate the Proliferation of Human Dermal Papilla Cells and Hair Follicles via Wnt/β-Catenin and the Extracellular Signal-Regulated Kinase Pathways.</t>
  </si>
  <si>
    <t>Human dermal papilla cells (hDPCs)
Human hair follicles (HFs)
Wavelength comparison
Blue light 🔵</t>
  </si>
  <si>
    <t>415
660
830</t>
  </si>
  <si>
    <t>"The most potent wavelength in promoting the hDPC proliferation is 660 nm and 830 nm promoted hDPC proliferation to a lesser extent than 660 nm. Various wavelengths significantly increased β-catenin, Axin2, Wnt3a, Wnt5a and Wnt10b mRNA expression. LED irradiation significantly increased β-catenin and cyclin D expression, and the phosphorylation of MAPK and extracellular signal-regulated kinase (ERK)."
"HFs irradiated with 415 nm and 660 nm grew longer than control."
"Our result suggests that LED has a potential to stimulate hDPC proliferation via the activation of Wnt/β-catenin signaling and ERK pathway. To our best knowledge, this is the first report which investigated that the effect of various wavelengths of LED on hDPC proliferation and the underlying mechanisms."</t>
  </si>
  <si>
    <t>Jampa-Ngern</t>
  </si>
  <si>
    <t>Effect of laser diode light irradiation on growth capability of human hair follicle dermal papilla cells.</t>
  </si>
  <si>
    <t>0.5
1
2.5
4
6</t>
  </si>
  <si>
    <t>"Higher specific growth rates were observed in the cells exposed to laser at doses higher than 0.5 J/cm2. The effect of the laser light treatment on several gene markers, specifically for dermal papilla cells, was evaluated using real-time polymerase chain reaction (qPCR). Our result shows that collagen type 1 (Col1), alkaline phosphatase (Alp), and versican (Vcan) did not increase when the cells were irradiated by the laser light. Interestingly, sex determining region y-box 2 (Sox2) gene was up-regulated when 0.5 J/cm2, and 1 J/cm2 light was used, while an increase in the level of fibroblast growth factor 7 (Fgf7) gene was observed with light irradiation at 0.5 J/cm2, 1 J/cm2, 2.5 J/cm2, and 4 J/cm2. Too high irradiation dose was shown to yield no effect on the gene expression of dermal papilla cells."</t>
  </si>
  <si>
    <t>A new path in defining light parameters for hair growth: Discovery and modulation of photoreceptors in human hair follicle.</t>
  </si>
  <si>
    <t>Ex vivo (human hair follicles)</t>
  </si>
  <si>
    <t>Blue light 🔵
Wavelength comparison
⚙️ Mechanisms: opsins</t>
  </si>
  <si>
    <t>453
689</t>
  </si>
  <si>
    <t>3.2
3.2</t>
  </si>
  <si>
    <t>"Treatment with 3.2 J/cm2 of blue light with 453 nm central wavelength significantly prolonged anagen phase in hair follicles ex vivo that was correlated with sustained proliferation in the light-treated samples. In contrast, hair follicle treatment with 3.2 J/cm2 of 689 nm light (red light) did not significantly affect hair growth ex vivo."
"We provide the first evidence that (i) OPN2 and OPN3 are expressed in human hair follicle, and (ii) A 453 nm blue light at low radiant exposure exerts a positive effect on hair growth ex vivo, potentially via interaction with OPN3."</t>
  </si>
  <si>
    <t>Low-level laser treatment stimulates hair growth via upregulating Wnt10b and β-catenin expression in C3H/HeJ mice.</t>
  </si>
  <si>
    <t>HairMax LaserComb device</t>
  </si>
  <si>
    <t>635
+
655</t>
  </si>
  <si>
    <t>"Hair follicle number in both groups showed no difference; however, the hair follicle length presented a significant difference. Wnt10b protein was detected on the second day in hair matrix cells in the LLLT group but not in the control group. PCR and western blot results both illustrated that expression of Wnt10b and β-catenin was significantly higher in the LLLT group than in the control group. 
Our study illustrated that low-level laser treatment can promote hair regrowth by inducing anagen phase of hair follicles via initiating the Wnt10b/β-catenin pathway."
Comment: The follicle length was actually shorter in the photobiomodulation group compared to control group at 20 days. The authors appeared to downplay this negative result.</t>
  </si>
  <si>
    <t>Sheen</t>
  </si>
  <si>
    <t>Visible red light enhances physiological anagen entry in vivo and has direct and indirect stimulative effects in vitro.</t>
  </si>
  <si>
    <t>Anagen entry</t>
  </si>
  <si>
    <t>"These results suggest that hair follicles respond to visible light in vivo. Red light may promote physiological telogen to anagen transition by directly stimulating outer root sheath keratinocytes and indirectly by enhancing epithelial-mesenchymal interaction in vitro."</t>
  </si>
  <si>
    <t>Fushimi</t>
  </si>
  <si>
    <t>Narrow-band red LED light promotes mouse hair growth through paracrine growth factors from dermal papilla.</t>
  </si>
  <si>
    <t>"Our data here suggest that red LED stimulates hair growth in mice and induces several potential mediators to stimulate hair growth from human dermal papilla cells. Therefore, red LED is a hopeful therapeutic modality for hair loss diseases. In addition, although LED light and low level laser share some characteristics, LED light source is more cost efficient and portable, can irradiate more surface area and produces less heat than LLLT. Therefore, LED therapy can be a convenient and safe strategy for hair growth from aspect of clinical practice."</t>
  </si>
  <si>
    <t>Hair loss (not AGA)</t>
  </si>
  <si>
    <t>Gentile P</t>
  </si>
  <si>
    <t>Preliminary Investigation on Micro-Needling with Low-Level LED Therapy and Growth Factors in Hair Loss Related to COVID-19</t>
  </si>
  <si>
    <t>🧑 Human
📄 Single-arm trial
👥 10 participants
⌛ 20 weeks</t>
  </si>
  <si>
    <t>Intervention: PBM + microneedling
Patients: People with COVID19-related hair loss</t>
  </si>
  <si>
    <t>423+
640</t>
  </si>
  <si>
    <t>40
/ 20 weeks</t>
  </si>
  <si>
    <t>"In the targeted area computerized trichograms showed encouraging results with a hair density increase of 11 ± 2 hairs/cm2 at T1 after 20 wks (20 wks vs. 0 wks) compared with baseline (58 ± 2 hairs/cm2 at T1 versus 47 ± 2 hairs/cm2 at baseline) with a not quite statistically significant difference in HR-G (p = 0.0690)."
Comment: Parameters inadequately reported.</t>
  </si>
  <si>
    <t>Device: "Hairgen Booster® (DTS MG Co., Ltd., Seoul, Korea, #B108-147)"</t>
  </si>
  <si>
    <t>Lichen Planopilaris</t>
  </si>
  <si>
    <t>Randolph</t>
  </si>
  <si>
    <t>Lichen Planopilaris and Low-Level Light Therapy: Four Case Reports and Review of the Literature About Low-Level Light Therapy and Lichenoid Dermatosis.</t>
  </si>
  <si>
    <t>🧑 Human
📄 Case series
⌛ 6-18 months</t>
  </si>
  <si>
    <t>650
660</t>
  </si>
  <si>
    <t>(mostly
daily)</t>
  </si>
  <si>
    <t>"We report here four patients with LPP who show a dramatic response to LLLT, including a reduction of inflammation, disappearance of symptoms, and evident hair regrowth with no side effects. We review the possible role of LLLT in LPP and other lichenoid conditions."</t>
  </si>
  <si>
    <t>Fonda-Pascual</t>
  </si>
  <si>
    <t>Effectiveness Of Low-Level Laser Therapy In Lichen Planopilaris.</t>
  </si>
  <si>
    <t>🧑 Human
📄 Case series
⌛ 6 months</t>
  </si>
  <si>
    <t>900
/d
for
6mo</t>
  </si>
  <si>
    <t>"All patients responded with a global reduction of symptoms, erythema and perifollicular hyperkeratosis (Fig. 1a, Fig. 1b), with a mean decrease of 0.87 in LPPAI-score after six months of intervention (p=0.012) but not in the follow-up visit at three months. Terminal hair thickness after three months was greater than in the baseline (111.0 µm, p=0.018) as well as after six months (82.4 µm; p=0.035)."</t>
  </si>
  <si>
    <t>Noninflammatory alopecia</t>
  </si>
  <si>
    <t>Olivieri</t>
  </si>
  <si>
    <t>Italy (Spilamberto)</t>
  </si>
  <si>
    <t>Efficacy of low-level laser therapy on hair regrowth in dogs with noninflammatory alopecia: a pilot study.</t>
  </si>
  <si>
    <t>Alopecia, non-inflammatory</t>
  </si>
  <si>
    <t>470
+
685
+
830</t>
  </si>
  <si>
    <t>208
200
800</t>
  </si>
  <si>
    <t>25
cm2
(area)</t>
  </si>
  <si>
    <t>"By morphometry, the area occupied by hair follicles was 18% in the treated sample and 11% in the untreated one (11%)"
"Haired follicles were (per area) 93% in the treated sample and only 9% in the control sample."
Comment: Article has some nice photographs of the LLLT device/treatment and the effects.</t>
  </si>
  <si>
    <t>Scarring alopecia &amp; CCCA</t>
  </si>
  <si>
    <t>Cook</t>
  </si>
  <si>
    <t>Use of low-level light therapy in management of central centrifugal cicatricial alopecia: A case series of four patients</t>
  </si>
  <si>
    <r>
      <rPr>
        <sz val="7.0"/>
      </rPr>
      <t xml:space="preserve">🧑 Human
📄 Case series
</t>
    </r>
    <r>
      <rPr>
        <i/>
        <sz val="7.0"/>
      </rPr>
      <t>(published as a letter)</t>
    </r>
  </si>
  <si>
    <t>Application of superluminescent diodes (sLED) in the treatment of scarring alopecia - a pilot study.</t>
  </si>
  <si>
    <t>🧑 Human
📄 Single-arm trial
👥 8 FFA + 8 LPP
⌛ 10 weeks</t>
  </si>
  <si>
    <t>LED phototherapy (sLED)
Frontal fibrosing alopecia (FFA)
Lichen planopilaris (LPP)</t>
  </si>
  <si>
    <t>44.45</t>
  </si>
  <si>
    <t>10
/
10wk</t>
  </si>
  <si>
    <t>"The therapy was well tolerated. Both Lichen Planopilaris Activity Index (LPPAI) and Frontal Fibrosing Alopecia Severity Score (FFASS) were significantly reduced after the therapy (p = 0.012, p = 0.017 respectively). Within the treated area, the number of thick hairs significantly increased after the therapy (p = 0.009), whereas the number of medium-sized hairs and thin hairs did not change significantly (p = 0.836, p = 0.675 respectively)."</t>
  </si>
  <si>
    <t>Telogen effluvium in long COVID</t>
  </si>
  <si>
    <t>Ann Agric Environ Med</t>
  </si>
  <si>
    <t>Red LED light therapy for telogen effluvium in the course of long COVID in patients with and without androgenetic alopecia</t>
  </si>
  <si>
    <t>🧑 Human
📄 Non-randomized trial, controlled
👥 140 participants
⌛ 12 weeks</t>
  </si>
  <si>
    <t>"After 12 weeks, cessation of hair loss and a negative hair pull test were more common in TE LED+ and TE+AGA LED+ in comparison to the patients without LED therapy (p&lt;0.001, p=0.035, respectively). An increased number of thick hairs and an increased number of hairs within follicular units were more common in patients treated with LED irradiation, regardless of the type of alopecia, compared to the patients without LED therapy."</t>
  </si>
  <si>
    <t>AAEM</t>
  </si>
  <si>
    <t>Hearing</t>
  </si>
  <si>
    <t>Auditory neuropathy</t>
  </si>
  <si>
    <t>Korea (Cheonan)</t>
  </si>
  <si>
    <t>Stem Cells Int</t>
  </si>
  <si>
    <t>Photobiomodulation Can Enhance Stem Cell Viability in Cochlea with Auditory Neuropathy but Does Not Restore Hearing</t>
  </si>
  <si>
    <t>"This study confirmed that the combined treatment with mESC and PBM could not improve hearing or increase the response of the auditory nerve. Nevertheless, it is noteworthy in this study that the cells are distributed in most cochlear tissues and the proliferation of stem cells was very active in animals irradiated with PBM compared to other groups wherein the stem cells had disappeared immediately after transplantation or existed for only a short period of time."</t>
  </si>
  <si>
    <r>
      <rPr>
        <rFont val="Arial"/>
        <b/>
        <color rgb="FF980000"/>
        <sz val="9.0"/>
      </rPr>
      <t xml:space="preserve">★
</t>
    </r>
    <r>
      <rPr>
        <rFont val="Arial"/>
        <b/>
        <color rgb="FF980000"/>
        <sz val="6.0"/>
      </rPr>
      <t>📷</t>
    </r>
  </si>
  <si>
    <t>Photobiomodulation by laser therapy rescued auditory neuropathy induced by ouabain.</t>
  </si>
  <si>
    <t>Gerbil</t>
  </si>
  <si>
    <t>Ouabain-induced auditory neuropathy</t>
  </si>
  <si>
    <t>0.909</t>
  </si>
  <si>
    <t>3272</t>
  </si>
  <si>
    <t>"Ouabain application increased the ABR thresholds increase, while the use of ouabain plus laser produced lower threshold compared to the ouabain group.
Hematoxylin and Eosin staining of cochlea mid-modiolar sections in animals treated with ouabain showed damaged spiral ganglion cells, neurofilaments, and post synaptic puncta. Ouabain plus laser group showed higher number of spiral ganglion cells, higher density of neurofilaments, and higher number post synaptic puncta counts compared with ouabain application group."
Star: Parameters were well reported, and a good-quality photograph was supplied.</t>
  </si>
  <si>
    <t>Enhanced mitochondrial membrane potential and ATP synthesis by photobiomodulation increases viability of the auditory cell line after gentamicin-induced intrinsic apoptosis.</t>
  </si>
  <si>
    <t>"We tried to characterize the downstream process by PBM, and the process that triggered the increased cell viability of auditory cells. As a result, the effects of PBM against GM-induced ototoxicity by increasing ATP levels and mitochondrial membrane potential was confirmed. These results suggest a theory to explain the therapeutic effects and support the use of PBM for aminoglycoside-induced hearing loss."</t>
  </si>
  <si>
    <t>Hearing loss</t>
  </si>
  <si>
    <t>Williams</t>
  </si>
  <si>
    <t>Examining the utility of near infrared light as pre-exposure therapy to mitigate temporary noise-induced hearing loss in humans</t>
  </si>
  <si>
    <t>🧑 Human
🎲 Randomized trial, crossover
👥 30 participants
⌛ (see full text) (~2 days per phase, active and sham phase)</t>
  </si>
  <si>
    <t>"In this study, locally administered NIR prior to noise exposure did not induce a significant protective effect in mitigating noise-induced TTS. Further exploration is needed to implement effective dosage and administration for this promising otoprotective therapy."
Comment: The claimed energy density is 3.3 J/cm2 but if the claimed irradiance is 58 mW/cm2 and irradiation lasts 1800 seconds, it should be 104.4 J/cm2 based on these parameters.</t>
  </si>
  <si>
    <t>Nikookam</t>
  </si>
  <si>
    <t>Clin Otolaryngol</t>
  </si>
  <si>
    <t>The effect of photobiomodulation on hearing loss: A systematic review</t>
  </si>
  <si>
    <t>"Hearing outcomes following PBMT appear to be superior to no PBMT for subjects with hearing loss, although higher level evidence is required to verify this. PBMT enables concentrated, focused delivery of light therapy to the inner ear through a non-invasive manner with minimal side effects. As a result of heterogeneity in reporting PBMT parameters and outcomes across the included studies, direct comparison is challenging."</t>
  </si>
  <si>
    <t>Rhee &amp; Chang</t>
  </si>
  <si>
    <t>Combination photobiomodulation/N-acetyl-L-cysteine treatment appears to mitigate hair cell loss associated with noise-induced hearing loss in rats</t>
  </si>
  <si>
    <t>PBM + N-acetylcysteine
PBM - acetyl-L-carnitine</t>
  </si>
  <si>
    <t>0.165</t>
  </si>
  <si>
    <t>356-
428</t>
  </si>
  <si>
    <t>"In a model of noise-induced hearing loss (NIHL), low-level laser photobiomodulation (PBM) at a near-infrared wavelength significantly improved auditory brainstem response (ABR) thresholds. In addition, both N-acetyl-L-cysteine (NAC) and acetyl-L-carnitine (ALCAR) attenuated NIHL, reducing the effects of noise trauma in the cochlea and the central auditory system."
"Here, we combined PBM with antioxidants to explore hearing threshold recovery and morphological hair cell changes after rats were exposed to noise. The average auditory brainstem response thresholds after PBM/NAC combination treatment were reduced from the apex to the basal turn at all of 8, 16, and 32 kHz compared to the noise-only group. The PBM/NAC combination treated group exhibited intact outer hair cells in all turns, and significantly greater hair cell numbers in the middle and basal cochlear turns, than did controls. Thus, PBM/NAC treatment may prevent hearing dysfunction caused by NIHL."</t>
  </si>
  <si>
    <t>Basta</t>
  </si>
  <si>
    <t>PeerJ</t>
  </si>
  <si>
    <t>Near-infrared-light Pre-Treatment Attenuates Noise-Induced Hearing Loss in Mice</t>
  </si>
  <si>
    <t>0.312</t>
  </si>
  <si>
    <t>300
600
1200
2400
3600
4800</t>
  </si>
  <si>
    <t xml:space="preserve">"Two weeks after noise exposure, the ABR threshold shifts of NIR-treated animals were significantly lower (p &lt; 0.05) than those of the control animals. The significance was at three frequencies for the 5-minute pre-treatment group and across the entire frequency range for all other treatment groups. Due to NIR light, the amplitude of wave four deteriorates significantly less after noise exposure than in controls."
"Our results suggest that a single NIR pre-treatment induces a very effective protection of cochlear structures from noise exposure. Pre-exposure of 10 min seems to emerge as the optimal dosage for our experimental setup."
</t>
  </si>
  <si>
    <t>Applications of photobiomodulation in hearing research: from bench to clinic</t>
  </si>
  <si>
    <t>"Efforts to use PBM to improve hearing have been ongoing for several decades. Initial in vitro studies using cell lines and ex vivo culture techniques have now been supplanted by in vivo studies in animals; PBM protects the sensory epithelium and triggers neural regeneration. Many reports have used PBM to treat tinnitus. In this brief review, we introduce PBM applications in hearing research, helpful protocols, and relevant background literature."</t>
  </si>
  <si>
    <t>Photobiomodulation using low level 808 nm diode laser rescues cochlear synaptopathy after acoustic overexposure in rat.</t>
  </si>
  <si>
    <t>Noise-induced hearing loss</t>
  </si>
  <si>
    <t>"These results indicate that PBM rescued peak wave 1 amplitude and maintained the auditory temporal processing ability resulting from a loss of synaptic ribbons after acoustic overexposure."</t>
  </si>
  <si>
    <t>Tamura</t>
  </si>
  <si>
    <t>Photobiomodulation rescues the cochlea from noise-induced hearing loss via upregulating nuclear factor κB expression in rats.</t>
  </si>
  <si>
    <t>d =
2 mm</t>
  </si>
  <si>
    <t>"These data suggest that PBM activates NF-κB to induce protection against inducible nitric oxide synthase-triggered oxidative stress and caspase-3-mediated apoptosis that occur following noise-induced hearing loss."</t>
  </si>
  <si>
    <t>Treatment of peripheral vestibular dysfunction using photobiomodulation</t>
  </si>
  <si>
    <t>Gentamicin-induced hearing loss</t>
  </si>
  <si>
    <t>"Laser treatment minimized the damage resulting from gentamicin treatment as shown by SHA asymmetry and recovered gain in the treated ear. Histology results reflected the functional results, showing increased hair cell density and epifluorescence intensity in laser-treated cupulae."</t>
  </si>
  <si>
    <t>Simultaneous bilateral laser therapy accelerates recovery after noise-induced hearing loss in a rat model.</t>
  </si>
  <si>
    <t>2700</t>
  </si>
  <si>
    <t>"Both bilateral and unilateral laser therapy decreased the hearing threshold after noise overstimulation in the rat model. The bilateral laser therapy group showed faster functional recovery at all tested frequencies compared with the unilateral laser therapy group."
Star: Parameters were well reported in a table.</t>
  </si>
  <si>
    <t>Low-level laser therapy for prevention of noise-induced hearing loss in rats.</t>
  </si>
  <si>
    <t>0.110
0.165</t>
  </si>
  <si>
    <t>"Our findings suggest that LLLT has cytoprotective effects against NIHL via the inhibition of iNOS expression and apoptosis."</t>
  </si>
  <si>
    <t>Effect of low-level laser treatment on cochlea hair-cell recovery after ototoxic hearing loss.</t>
  </si>
  <si>
    <t>35.6-
42.8</t>
  </si>
  <si>
    <t>162-
194</t>
  </si>
  <si>
    <t>"Hearing was significantly improved by laser irradiation. After LLLT treatment, both the hearing threshold and hair-cell count significantly improved."
Star: Parameters were well reported, and some photographic material was supplied.</t>
  </si>
  <si>
    <t>Tunér &amp; Hode</t>
  </si>
  <si>
    <t>Sweden
(Grängesberg)</t>
  </si>
  <si>
    <t>ISRN Otolaryngol</t>
  </si>
  <si>
    <t>Low-level laser on hearing: is there an effect?</t>
  </si>
  <si>
    <t>"In the study by Goodman et al., the cochlea is reported to be one of the targets of the irradiation. The negative outcome of the study is therefore obvious in that few, if any, photons reached this area or any area of the brain. The combined energy of the two lasers was 15 mW and the energy density was considerably decreased by using a line-generated beam. With an irradiation time of 225 seconds, the total energy was 3.4 J. Given the large area of irradiation, this energy is insufficient even at the surface and at a homeopathic level beneath the bony areas.
Tinnitus and hearing impairment are common conditions and no conventional effective therapies are available. LLLT appears to have a potential for these conditions, even though the literature is scant and ambiguous. The investigation by Goodman et al. is ambitious and is of high methodological quality. Unfortunately, the chosen treatment parameters are inadequate and we would be happy to see future research by this group but in cooperation with qualified advisors in the field of laser phototherapy."
Note: This article is mainly a commentary on the Goodman's article.</t>
  </si>
  <si>
    <t>Goodman</t>
  </si>
  <si>
    <t>USA
(Iowa city, IA)</t>
  </si>
  <si>
    <t>The effect of low-level laser therapy on hearing.</t>
  </si>
  <si>
    <t>🧑 Human
🎲 Randomized trial, double-blind
👥 33 participants
⌛ 7-10 days</t>
  </si>
  <si>
    <t>635
532</t>
  </si>
  <si>
    <t>7.5+
7.5</t>
  </si>
  <si>
    <t>3
/ 7-10 days</t>
  </si>
  <si>
    <t>"No statistically significant differences were found between groups for any of the auditory tests. Additionally, no clinically significant differences were found in any individual subjects."
Comment: Parameters were poorly reported.</t>
  </si>
  <si>
    <t>Effect of low-level laser treatment on cochlea hair-cell recovery after acute acoustic trauma.</t>
  </si>
  <si>
    <t>0.1-
0.165</t>
  </si>
  <si>
    <t>"Our findings suggest that low-level laser irradiation promotes recovery of hearing thresholds after acute acoustic trauma."
Comment: Parameters were insufficiently reported.</t>
  </si>
  <si>
    <t>Meniere's disease</t>
  </si>
  <si>
    <t>Teggi</t>
  </si>
  <si>
    <t>Efficacy of low-level laser therapy in Ménière's disease: a pilot study of 10 patients.</t>
  </si>
  <si>
    <t>🧑 Human
⚔ Comparison study, randomized
👥 10 participants
⌛ 6 months</t>
  </si>
  <si>
    <t>LLLT vs betahistine</t>
  </si>
  <si>
    <t>6
@
tymp.
memb</t>
  </si>
  <si>
    <t>daily
/  6 months</t>
  </si>
  <si>
    <t>"In our experience, LLLT seems to prevent vertigo spells in MD, although results indicate that it has a slower action than betahistine. Dose-dependent therapeutic effects could explain the last result. In our opinion, increased blood flow in the inner ear is the main mechanism leading to the therapeutic results."</t>
  </si>
  <si>
    <t>Chang &amp; Lee</t>
  </si>
  <si>
    <t>Photobiomodulation with a wavelength &gt; 800 nm induces morphological changes in stem cells within otic organoids and scala media of the cochlea</t>
  </si>
  <si>
    <t>🧪 In vitro
+ Guinea pig</t>
  </si>
  <si>
    <t>808
(in vivo)
850
(in vitro)</t>
  </si>
  <si>
    <t>"These results suggest that &gt; 800-nm light affected the morphology of mESCs within otic organoids and SM of the cochlea. Based on our results, light energy could be used to enhance otic sensory differentiation, despite the structural complexity of the inner ear and limited survival time of SCs within the cochleae."</t>
  </si>
  <si>
    <t>Tinnitus</t>
  </si>
  <si>
    <t>Photobiomodulation therapy in improvement of harmful neural plasticity in sodium salicylate-induced tinnitus</t>
  </si>
  <si>
    <t>99</t>
  </si>
  <si>
    <t>"In PBMT group, a significant increase in the GIN value, a significant decrease in the ABR threshold and BTT, and also significant reduction of DCX expression in the DG were observed. Based on our findings, PBMT has the potential to be used in the management of SS-induced tinnitus."</t>
  </si>
  <si>
    <t>J Laryngol Otol</t>
  </si>
  <si>
    <t>The effect of Photobiomodulation on Tinnitus: A Systematic Review</t>
  </si>
  <si>
    <t>Iraq
(Erbil)</t>
  </si>
  <si>
    <t>The effectiveness of two types of low-level laser therapy in patients with persistent tinnitus</t>
  </si>
  <si>
    <t>🧑 Human
📄 Single-arm study
👥 9 participants
⌛ 1 month</t>
  </si>
  <si>
    <t>650+
660</t>
  </si>
  <si>
    <t>"Two types of low-level laser therapy (LLLT) devices were used for patients. The first tool, a soft laser called a Tinnitool, has a wavelength of 660 nm and a power of 100 mW. The second tool is a Tinnitus Pen, which has a wavelength of 650 nm and a power of 5 mW. Seven females (77.7%) and two males (22.2%) participated in this study during one month."
"There was a significant improvement in the comparison of both types of therapy low-level laser before and after treatment, which reduced the tinnitus level among patients from 70% before treatment to 59% and 65.50%, respectively, after one month of treatment."</t>
  </si>
  <si>
    <t>Devices: Tinnitool and Tinnitus Pen</t>
  </si>
  <si>
    <t>Panhóca</t>
  </si>
  <si>
    <t>Effects of Red and Infrared Laser Therapy in Patients with Tinnitus: A Double-Blind, Clinical, Randomized Controlled Study Combining Light with Ultrasound, Drugs and Vacuum Therapy</t>
  </si>
  <si>
    <t>🧑 Human
🎲 Randomized trial
👥 107 participants
⌛ 4-week treatment -&gt; 15-day follow-up</t>
  </si>
  <si>
    <t>🌀 Spin warning
Groups:
(1) negative ctrl
(2) LLLT + vacuum
(3) LLLT + vacuum + flunarizine
(4) flunarizine
(5) LLLT + ultrasound
(6) LLLT (auriculotherapy) 6min
(7) LLLT (auric.) + gingko biloba
(8) ginkgo biloba
(9) LLLT (auric.) 15min
(10) laser acupuncture</t>
  </si>
  <si>
    <t>660
660+
808</t>
  </si>
  <si>
    <t>"Our study has shown that LLLT was effective for the treatment of tinnitus."
Comment: Based on Figure 5, it seems that the efficacy is far from clear.</t>
  </si>
  <si>
    <t>The effects of photobiomodulation therapy in individuals with tinnitus and without hearing loss</t>
  </si>
  <si>
    <t xml:space="preserve">🧑 Human
🎲 Randomized trial, sham-controlled
👥 20 participants
⌛ </t>
  </si>
  <si>
    <t>"There was no statistical difference as to group and point in time for the high-frequency audiometry and acuphenometry outcomes."
Comment: The treatment protocol is somewhat unclearly reported in the full text.</t>
  </si>
  <si>
    <t>Eladl</t>
  </si>
  <si>
    <t>Saudi Arabia</t>
  </si>
  <si>
    <t>Medicine
(Baltimore)</t>
  </si>
  <si>
    <t>Effect of adding a supervised physical therapy exercise program to photobiomodulation therapy in the treatment of cervicogenic somatosensory tinnitus: A randomized controlled study</t>
  </si>
  <si>
    <t>🧑 Human
⚔  Comparison study, randomized
👥 40 participants
⌛ 8 weeks</t>
  </si>
  <si>
    <t>⚔ PBM vs PBM + physical therapy exercise</t>
  </si>
  <si>
    <t>"Adding a supervised physical therapy exercise program to PBMT showed positive and beneficial effects in the treatment of CST using VAS, THI, and Cervical ROM assessment tools."
Note: No negative control group. Both groups received PBM.</t>
  </si>
  <si>
    <t>Talluri</t>
  </si>
  <si>
    <t>Eur Ann Otorhinolaryngol Head Neck Dis</t>
  </si>
  <si>
    <t>Efficacy of photobiomodulation in the management of tinnitus: A systematic review of randomized control trials</t>
  </si>
  <si>
    <t>"Ten RCTs (2 single-blinded and 8 double-blinded) were included. One study reported 30% and 100% resolution of tinnitus using diode and Neodymium-doped Yttrium Aluminum Garnet lasers; respectively. One study reported that PBM was effective in relieving tinnitus for up to 3 months. Eight studies reported that PBM was ineffective in the management of chronic tinnitus.
The risk of bias was high; medium and low in 4; 5 and 1 studies; respectively. 
The effectiveness of PBM in the management of tinnitus remains debatable. Further power-adjusted and well-designed RCTs with long-term follow-up are needed."</t>
  </si>
  <si>
    <t>J Speech Lang Hear Res</t>
  </si>
  <si>
    <t>Effects of Low-Level Laser Therapy as a Therapeutic Strategy for Patients With Tinnitus: A Systematic Review</t>
  </si>
  <si>
    <t>"All the seven selected studies found different degrees of significant results regarding tinnitus severity; however, there was no consensus among the results. Conclusion Even though the LLLT showed positive effects in the tinnitus severity in some studies, it is not possible yet to make any recommendation over its uses for the treatment of tinnitus severity."</t>
  </si>
  <si>
    <t>Efficacy of Low-Level Laser Therapy for Tinnitus: A Systematic Review with Meta-Analysis and Trial Sequential Analysis</t>
  </si>
  <si>
    <t>"Overall, 11 studies involving 670 patients were included. No significant difference in the overall effect according to the THI score (mean difference (MD), -2.85; 95% CI, -8.99 to 3.28; p = 0.362; I2 = 0%) and the rating scale score improvement rate (risk ratio (RR), 1.35; 95% CI, 0.81 to 2.27; p = 0.250; I2 = 67%) was demonstrated between patients receiving LLLT and those receiving a placebo. None of the subgroup analyses showed significant differences, regardless of underlying sensorineural hearing loss, the number of irradiation sessions or the wavelength used."
"Our meta-analysis suggests that the value of LLLT in controlling the severity of tinnitus remains unclear, in part due to the relatively small number of patients and underlying heterogeneity. More large-scale investigations of LLLT for tinnitus related to inner ear disease are required to further elucidate the therapeutic effects."</t>
  </si>
  <si>
    <t>Int J Tinnitus</t>
  </si>
  <si>
    <t>A preliminary study on the efficacy and safety of low level light therapy in the management of cochlear tinnitus: A single blind randomized clinical trial.</t>
  </si>
  <si>
    <t>🧑 Human
🎲 Randomized trial, sham-controlled
👥 38 participants
⌛ 2-week treatment -&gt; 2-week follow-up</t>
  </si>
  <si>
    <t>"The NRS measuring duration of tinnitus and psychoacoustical matches of tinnitus loudness significantly decreased over times in the TINI group (p&lt;0.05). However, post-hoc analysis revealed that there was no significant decrease of tinnitus among different time points (baseline, during LLLT, immediately after LLLT, and two weeks after LLLT). There was no placebo effect in the Sham group."</t>
  </si>
  <si>
    <t>Japan
(Fukushima)</t>
  </si>
  <si>
    <t>Change of Tinnitus with Xenon Phototherapy of the Stellate Ganglion.</t>
  </si>
  <si>
    <t>🧑 Human
📄 Non-randomized study, controlled, sham-controlled
👥 61 participants
⌛ 3 months</t>
  </si>
  <si>
    <t>Polychromatic light 🌈
Stellate ganglion irradiation</t>
  </si>
  <si>
    <t>260-
1100</t>
  </si>
  <si>
    <t>weekly
for
24</t>
  </si>
  <si>
    <t>"In conclusion, we demonstrated statistically significant improvements of both THI and NRS scores after XPSG for 3 months in patients with subjective tinnitus. Severe cases with high THI or NRS score showed greater improvements. On the other hand, no significant difference was observed between before and after sham treatment in non-XPSG group. XPSG is a possible treatment modality for patients with tinnitus."</t>
  </si>
  <si>
    <t>Alterations in Auditory Electrophysiological Responses Associated With Temporary Suppression of Tinnitus Induced by Low-Level Laser Therapy: A Before-After Case Series.</t>
  </si>
  <si>
    <t>🧑 Human
📄 Single-arm study
👥 20 participants
⌛ 6 weeks</t>
  </si>
  <si>
    <t>630
ear
canal
+
808
mastoid</t>
  </si>
  <si>
    <t>90
mastoid
+
30
ear
canal</t>
  </si>
  <si>
    <t>900
mastoid
+
300
ear
canal</t>
  </si>
  <si>
    <t>"LLL irradiation could cause a significant decrease in subjective tests scores consisting of VAS for loudness, PMT, P-TQ, P-THI, but did not result in a significant improvement of objective evaluating parameters except for compound action potential (CAP) amplitude."
"LLLT might be a subjectively effective treatment for short-term improvement of tinnitus. Defining a new protocol for optimizing LLLT parameters may be an option to improve parameters of objective tests."</t>
  </si>
  <si>
    <t>Demirkol</t>
  </si>
  <si>
    <t>Turkey
(Gaziantep)</t>
  </si>
  <si>
    <t>Efficacy of Low-Level Laser Therapy in Subjective Tinnitus Patients with Temporomandibular Disorders.</t>
  </si>
  <si>
    <t>🧑 Human
🎲 Randomized trial, sham-controlled
👥 46 participants
⌛ 2-week treatment -&gt; 1-month follow-up</t>
  </si>
  <si>
    <t>Fidelis Plus III (Fotona) device 1064nm
XD-2 Diode (Fotona) device 810nm</t>
  </si>
  <si>
    <t>810
1064</t>
  </si>
  <si>
    <t>8
8</t>
  </si>
  <si>
    <t>9
20</t>
  </si>
  <si>
    <t>"The percentage improvement in tinnitus severity scores, according to the VAS and based on the median values, was 100% (group Nd:YAG), 30% (group diode), and 0% (placebo)"
Comment: The baseline VAS was higher in the diode group, so the actual effect could have been less than 30% if the baseline had been same. 
Comment: The 100% effect of Nd:YAG group is very interesting. Some experimental studies have shown that long wavelength photobiomodulation (with 980nm) might have good effects with quite low dosages compared to shorter wavelengths (810nm). [Biochim Biophys Acta. 2017 Feb;1861(2):441-449.]
Comment: Read further information about LLLT and tinnitus here: http://www.laserannals.com/2012/03/11/is-laser-therapy-a-useful-tool-for-treating-tinnitus/</t>
  </si>
  <si>
    <t>Thabit</t>
  </si>
  <si>
    <t>Egypt
(Sohag)</t>
  </si>
  <si>
    <t>Neurorehabil Neural Repair</t>
  </si>
  <si>
    <t>Combined central and peripheral stimulation for treatment of chronic tinnitus: a randomized pilot study.</t>
  </si>
  <si>
    <t>🧑 Human
⚔ Comparison study
👥 30 participants
⌛20-day treatment -&gt; 4-week follow-up</t>
  </si>
  <si>
    <t>⚔ PBM vs rTMS (repetitive transcranial magnetic stimulation) vs combination</t>
  </si>
  <si>
    <t>every other day for 10 sessions</t>
  </si>
  <si>
    <t>"We found that combined stimulation was effective in tinnitus treatment. This effect remained for 4 weeks after the end of the treatment. However, each of rTMS and LLLT alone had no significant effect."
"Combined central rTMS and peripheral LLLT is more beneficial as a new method for management of tinnitus rather than these two used separately."</t>
  </si>
  <si>
    <t>Dehkordi</t>
  </si>
  <si>
    <t>Iran
(Mashhad)</t>
  </si>
  <si>
    <t>Ear Nose Throat J</t>
  </si>
  <si>
    <t>Effect of low-level laser therapy in the treatment of cochlear tinnitus: a double-blind, placebo-controlled study.</t>
  </si>
  <si>
    <t>🧑 Human
🎲 Randomized trial, double-blind
👥 66 participants
⌛ 4 weeks</t>
  </si>
  <si>
    <t>"We conclude that 5-mV laser therapy with a wavelength of 650 nm is no better than placebo for improving hearing thresholds overall or for treating tinnitus with regard to age, sex, environmental noise level, and the duration of tinnitus."
Jan Tunér: "Not arguing against the results of this paper, but a problem with most studies trying to treat tinnitus with laser light is the lack of proper diagnosis of the patients. Quite a few of these have a somatosensory background (the problem is basicly muscular). Irradiation into the ear will then have no effect."
[See additional info for Tunér's references]</t>
  </si>
  <si>
    <t>References by Tunér:
Bjorne A, Agerberg G. Reduction in sick leave and costs to society of patients with Ménière´s disease after treatment of temporomandibular and cervical spine disorders: A controlled 6-year cost-benefit study. Cranio. 2003; 21 (2): 136-143.
Bernhardt O, Gesch D, Schwahn C, Bitter K et al. Signs of temporomandibular disorders in tinnitus patients and in a population-based group of volunteers: results of the Study of Health in Pomerania. J Oral Rehabil. 2004; 31 (4): 311-319.
Levine RA, Abel M, Cheng H. CNS somatosensory-auditory interactions elicit or modulate tinnitus. Exp Brain Res. 2003; 153 (4): 643-648.
Tullberg M, Ernberg M. Long-term effect on tinnitus by treatment of temporomandibular disorders: a two-year follow-up by questionnaire. Acta Odontol Scand. 2006; 64 (2): 89- 96.
Comment: Read further information about LLLT and tinnitus here: http://www.laserannals.com/2012/03/11/is-laser-therapy-a-useful-tool-for-treating-tinnitus/</t>
  </si>
  <si>
    <t>Mirvakili</t>
  </si>
  <si>
    <t>Iran
(Yazd)</t>
  </si>
  <si>
    <t>Low level laser effect in treatment of patients with intractable tinnitus due to sensorineural hearing loss.</t>
  </si>
  <si>
    <t>🧑 Human
🎲 Randomized trial, sham-controlled
👥 120 participants
⌛ 7-week treatment -&gt; 3-month follow-up</t>
  </si>
  <si>
    <t>20
/ 7 weeks</t>
  </si>
  <si>
    <t>"The VAS and THI mean differences after the treatment were statistically significant between the two groups but not statistically significant after 3 months of completion the study."</t>
  </si>
  <si>
    <t>Device: "A low-level laser device (TINNImed, made in Switzerland) with intensity of 5 mW and wavelength of 650 nm was used."</t>
  </si>
  <si>
    <t>Ngao</t>
  </si>
  <si>
    <t>Eur Arch Otorhinolaryngol</t>
  </si>
  <si>
    <t>The effectiveness of transmeatal low-power laser stimulation in treating tinnitus.</t>
  </si>
  <si>
    <t>🧑 Human
🎲 Randomized trial, double-blind
👥 48 participants
⌛ 10 weeks</t>
  </si>
  <si>
    <t>twice daily
for 10 weeks</t>
  </si>
  <si>
    <t>"Transmeatal low-power laser stimulation did not demonstrate significant efficacy as a therapeutic measure in treating tinnitus."</t>
  </si>
  <si>
    <t>Dejakum</t>
  </si>
  <si>
    <t>Austria
(Kufstein)</t>
  </si>
  <si>
    <t>Medium-level laser in chronic tinnitus treatment.</t>
  </si>
  <si>
    <t>🧑 Human
🎲 Randomized trial, double-blind
👥 48 participants
⌛ 4-week treatment / 10-week study</t>
  </si>
  <si>
    <t>"The results did show only very moderate temporary improvement of tinnitus. Moreover, no statistically relevant differences between laser and placebo group could be found. We conclude that medium-level laser therapy cannot be regarded as an effective treatment of chronic tinnitus in our therapy regime considering the limited number of patients included in our study."</t>
  </si>
  <si>
    <t>Mollasadeghi</t>
  </si>
  <si>
    <t>ScientificWorldJournal</t>
  </si>
  <si>
    <t>Efficacy of low-level laser therapy in the management of tinnitus due to noise-induced hearing loss: a double-blind randomized clinical trial.</t>
  </si>
  <si>
    <t>🧑 Human
🎲 Randomized trial, double-blind
👥 89 participants
⌛ 40-day treatment -&gt; 3-month follow-up</t>
  </si>
  <si>
    <t>20
every
other
day</t>
  </si>
  <si>
    <t>"This study found low-level laser therapy to be effective in alleviating tinnitus in patients with noise-induced hearing loss, although this effect has faded after 3 months of follow-up."</t>
  </si>
  <si>
    <t>Device: TINNImed, Switzerland</t>
  </si>
  <si>
    <t>Trans-canal laser irradiation reduces tinnitus perception of salicylate treated rat.</t>
  </si>
  <si>
    <t>High dose LLLT</t>
  </si>
  <si>
    <t>"Therapeutic effect of LLLT is demonstrated in animal tinnitus model by means of GPIAS. Further experimental studies are needed to find possible mechanisms and better methods to improve LLLT efficacy."
Comment: Parameters were poorly reported.</t>
  </si>
  <si>
    <t>Salahaldin</t>
  </si>
  <si>
    <t>Low-level laser therapy in patients with complaints of tinnitus: a clinical study.</t>
  </si>
  <si>
    <t>🧑 Human
📄 Single-arm trial
👥 65 participants, 101 ears
⌛ 3 months</t>
  </si>
  <si>
    <t>daily
for 3 months</t>
  </si>
  <si>
    <t>"Over half of the patients (56.9%) had some form of improvement in their tinnitus symptoms. Mild improvement was reported in 33.8% of patients, moderate improvement was reported in 16.9%, and full improvement was reported in 6.15%."</t>
  </si>
  <si>
    <t>Okhovat</t>
  </si>
  <si>
    <t>J Res Med Sci</t>
  </si>
  <si>
    <t>Low-level laser for treatment of tinnitus: a self-controlled clinical trial</t>
  </si>
  <si>
    <t>🧑 Human
📄 Single-arm trial
👥 61 participants
⌛ 20 days</t>
  </si>
  <si>
    <t>20
/ 20 days</t>
  </si>
  <si>
    <t>"The VAS mean difference before and after the treatment was statistically significant (p &lt; 0.0001). The best treatment effect was in the youngest group and there were significant differences between this group and the middle age and older groups (p = 0.018 and 0.001, respectively)."
Comment: The study claims to be "self-controlled", but they are just referring to pre- and post-testing instead of actually using a controlled design.</t>
  </si>
  <si>
    <t>Audiol Neurootol</t>
  </si>
  <si>
    <t>Transmeatal low-level laser therapy for chronic tinnitus with cochlear dysfunction.</t>
  </si>
  <si>
    <t>🧑 Human
🎲 Randomized trial, double-blind
👥 60 participants
⌛ 3 months</t>
  </si>
  <si>
    <t>"Soft laser therapy demonstrated no efficacy as a therapeutic measure for tinnitus."</t>
  </si>
  <si>
    <t>"TinniTool (Adisma©) is a diode laser delivering continuous-wave laser light with a wavelength of 650 nm."</t>
  </si>
  <si>
    <t>Hahn</t>
  </si>
  <si>
    <t>Czech Republic
(Prague)</t>
  </si>
  <si>
    <t>Int Tinnitus J</t>
  </si>
  <si>
    <t>Multimodal therapy for chronic tinnitus.</t>
  </si>
  <si>
    <t>🧑 Human
⚔ Comparison study
👥 150 participants
⌛ (?)</t>
  </si>
  <si>
    <t>7 treatment groups</t>
  </si>
  <si>
    <t>"None of the treatment modalities had an objective correlate of improvement, though improvement was reported by a visual analog scale."</t>
  </si>
  <si>
    <t>Groups: "intravenous pentoxifylline, lidocaine, or vinpocetine (Cavinton) and combination of these agents with physiotherapy and soft laser"</t>
  </si>
  <si>
    <t>Cuda &amp; De Caria</t>
  </si>
  <si>
    <t>Italy
(Piacenza)</t>
  </si>
  <si>
    <t>Effectiveness of combined counseling and low-level laser stimulation in the treatment of disturbing chronic tinnitus.</t>
  </si>
  <si>
    <t>🧑 Human
🎲 Randomized trial
👥 46 participants
⌛ 3 months</t>
  </si>
  <si>
    <t>"The THI scores improved in the entire sample after treatment but more significantly in the group receiving low-level laser stimulation. From the point of view of clinical classification, approximately 61% of irradiated patients had tinnitus severity decreased by one class, in comparison to 35% of the placebo group."</t>
  </si>
  <si>
    <t>Gungor</t>
  </si>
  <si>
    <t>Effectiveness of transmeatal low power laser irradiation for chronic tinnitus.</t>
  </si>
  <si>
    <t>🧑 Human
🎲 Randomized trial, double-blind
👥 45 participants, 66 ears
⌛ 1 week</t>
  </si>
  <si>
    <t>"The loudness, duration and degree of annoyance of tinnitus were improved, respectively, in up to 48.8, 57.7 and 55.5 per cent of the patients in the active laser group. No significant improvement was observed in the placebo laser group."
Jan Tunér: "A problem with most studies trying to treat tinnitus with laser light is the lack of proper diagnosis of the patients. Quite a few of these have a somatosensory background (the problem is basicly muscluar). Irradiation into the ear will then have no effect."</t>
  </si>
  <si>
    <t>Tauber</t>
  </si>
  <si>
    <t>Transmeatal cochlear laser (TCL) treatment of cochlear dysfunction: a feasibility study for chronic tinnitus.</t>
  </si>
  <si>
    <t>🧑 Human
⚔ Comparison study
👥 35 participants
⌛ 2-week treatment -&gt; 6-month follow-up</t>
  </si>
  <si>
    <t>7.8
20</t>
  </si>
  <si>
    <t>"After a follow-up period of six months tinnitus loudness was attenuated in 13 of 35 irradiated patients, while two of 35 patients reported their tinnitus as totally absent. Hearing threshold levels and middle ear function remained unchanged."</t>
  </si>
  <si>
    <t>Nakashima</t>
  </si>
  <si>
    <t>Otol Neurotol</t>
  </si>
  <si>
    <t>Transmeatal low-power laser irradiation for tinnitus.</t>
  </si>
  <si>
    <t>🧑 Human
🎲 Randomized trial, double-blind
👥 45 participants pts, 68 ears
⌛ 4 weeks</t>
  </si>
  <si>
    <t>"No significant difference was observed between the active and placebo laser groups with regard to outcome of loudness, duration, quality, and annoyance of tinnitus. In one patient who received active laser treatment, acute hearing deterioration occurred after the third irradiation."
"Transmeatal low-power laser irradiation with 60 mW is not effective for the treatment of tinnitus."</t>
  </si>
  <si>
    <t>Acta Otolaryngol Suppl</t>
  </si>
  <si>
    <t>Combined laser-EGb 761 tinnitus therapy.</t>
  </si>
  <si>
    <t>🧑 Human
📄 Single-arm trial
👥 120 participants
⌛ 3+ weeks</t>
  </si>
  <si>
    <t>10
/ 3+ weeks</t>
  </si>
  <si>
    <t>"EGb 761 was administered 3 weeks before starting soft laser therapy. Patients underwent 10 sessions of laser therapy, each lasting for 10 min. An improvement in tinnitus was audiometrically confirmed in 50.8% of patients: 10 dB in 18; 20 dB in 22; 30 dB in 10; 40 dB in 6; and 50 dB in 5."</t>
  </si>
  <si>
    <t>Device: BTL 10</t>
  </si>
  <si>
    <t>Rogowski</t>
  </si>
  <si>
    <t>Otolaryngol Pol</t>
  </si>
  <si>
    <t>[Low-power laser in the treatment of tinnitus--a placebo-controlled study]. [Article in Polish]</t>
  </si>
  <si>
    <r>
      <rPr>
        <sz val="7.0"/>
      </rPr>
      <t xml:space="preserve">🧑 Human
📄 Non-randomized study (?), sham-controlled
👥 32 participants
⌛ (?)
</t>
    </r>
    <r>
      <rPr>
        <i/>
        <sz val="7.0"/>
      </rPr>
      <t>[No English full text]</t>
    </r>
  </si>
  <si>
    <t>"No significant difference between laser and placebo was found in annoyance or loudness of the tinnitus and in changes of TEOAE amplitude. These results indicate that there is no relationship between the effect of low-power laser and changes in cochlear micromechanics."</t>
  </si>
  <si>
    <t>Mirz</t>
  </si>
  <si>
    <t>Clin Otolaryngol Allied Sci</t>
  </si>
  <si>
    <t>The low-power laser in the treatment of tinnitus.</t>
  </si>
  <si>
    <t>🧑 Human
🎲 Randomized trial, double-blind
👥 49 participants
⌛ 3-week treatment -&gt; 1-month follow-up</t>
  </si>
  <si>
    <t>"The results showed only moderate (18%) subjective improvement with no statistically significant differences between the effects of the active laser and placebo treatments. Also, there were no statistically significant differences in prepost measurements of tinnitus loudness, VAS scores, THI scores, or TCSQ scores for patients treated with active laser compared with those treated with placebo. We conclude that low-power laser treatment is not indicated in the treatment of tinnitus. Reports of significant benefits of this treatment in previous, mostly uncontrolled or single-blinded studies may be explained by the placebo effect."</t>
  </si>
  <si>
    <t>Shiomi</t>
  </si>
  <si>
    <t>Auris Nasus Larynx</t>
  </si>
  <si>
    <t>Efficacy of transmeatal low power laser irradiation on tinnitus: a preliminary report.</t>
  </si>
  <si>
    <t>🧑 Human
📄 Single-arm trial
👥 38 participants
⌛ 10-30 weeks</t>
  </si>
  <si>
    <t>10-30
(once
per
week)</t>
  </si>
  <si>
    <t>"Although only 26% of the patients had improved duration, loudness and degree of annoyance were relieved in up to 58 and 55%, respectively, without major complication. Laser therapy seemed to be worth trying on patients with intractable tinnitus."</t>
  </si>
  <si>
    <t>Wedel</t>
  </si>
  <si>
    <t>Germany
(Cologne)</t>
  </si>
  <si>
    <t>Adv Otorhinolaryngol</t>
  </si>
  <si>
    <t>Soft-laser/Ginkgo therapy in chronic tinnitus. A placebo-controlled study</t>
  </si>
  <si>
    <t>🧑 Human
🎲 Randomized trial, sham-controlled
👥 155 participants
⌛ (?)</t>
  </si>
  <si>
    <t>633+
904</t>
  </si>
  <si>
    <t>Olivier &amp; Plath</t>
  </si>
  <si>
    <t>Germany
(Recklinghausen)</t>
  </si>
  <si>
    <t>Combined low power laser therapy and extracts of ginkgo biloba in a blind trial of treatment for tinnitus</t>
  </si>
  <si>
    <t>🧑 Human
🎲 Randomized trial, sham-controlled
👥 40 participants
⌛ 8 days</t>
  </si>
  <si>
    <t>12
+
(?)</t>
  </si>
  <si>
    <t>8
/ 8 days</t>
  </si>
  <si>
    <t>"Fifty percent of the experimental group was assessed to have a reduction in tinnitus of more than 10 dB, compared with 5% in the control group in both self-assessment and audiometric findings. Although only a preliminary report, the results are very encouraging, and the authors suggest that this combined photochemotherapy is a promising treatment for tinnitus."</t>
  </si>
  <si>
    <t>Tympanic membrane</t>
  </si>
  <si>
    <t>Maleki</t>
  </si>
  <si>
    <t>Effect of local irradiation with 630 and 860 nm low-level lasers on tympanic membrane perforation repair in guinea pigs.</t>
  </si>
  <si>
    <t>630
+
860</t>
  </si>
  <si>
    <t>30
+
100</t>
  </si>
  <si>
    <t>14.6</t>
  </si>
  <si>
    <t>1.0
cm2</t>
  </si>
  <si>
    <t>"The results show that the combined application of 630 and 860 nm lasers had a significant effect on the healing of tympanic membrane perforation, and on the prevention of thick fibrotic or atelectatic neomembrane formation."</t>
  </si>
  <si>
    <t>Vestibular dysfunction (balance)</t>
  </si>
  <si>
    <t>Treatment of peripheral vestibular dysfunction using photobiomodulation.</t>
  </si>
  <si>
    <t>Gentamicin treatment</t>
  </si>
  <si>
    <t>"Laser treatment was applied to one ear, and function and histopathology were evaluated in both ears. Decreased function was observed in both ears after gentamicin treatment, demonstrated by low gain and no SHA asymmetry. Laser treatment minimized the damage resulting from gentamicin treatment as shown by SHA asymmetry and recovered gain in the treated ear. Histology results reflected the functional results, showing increased hair cell density and epifluorescence intensity in laser-treated cupulae."</t>
  </si>
  <si>
    <t>Bartos</t>
  </si>
  <si>
    <t>Pre-conditioning with near infrared photobiomodulation reduces inflammatory cytokines and markers of oxidative stress in cochlear hair cells.</t>
  </si>
  <si>
    <t>Cochlear hair cells treated with gentamicin or LPS
LED phototherapy</t>
  </si>
  <si>
    <t>"We report a decrease of inflammatory cytokines and stress levels resulting from NIR applied to HEI-OC1 auditory cells before treatment with gentamicin or lipopolysaccharide."</t>
  </si>
  <si>
    <t>Effect of low-level laser therapy on cochlear hair cell recovery after gentamicin-induced ototoxicity.</t>
  </si>
  <si>
    <t>Cochlear hair cells
treated with gentamicin</t>
  </si>
  <si>
    <t>0.48</t>
  </si>
  <si>
    <t xml:space="preserve">"These results suggest that LLLT may promote hair cell survival following gentamicin damage in the cochlea."
Comment: Parameters are contradictory. I guess that fluence is actually 48 J/cm2, not 0.48. </t>
  </si>
  <si>
    <t xml:space="preserve">Heart </t>
  </si>
  <si>
    <t>Arrhythmia</t>
  </si>
  <si>
    <t>Drugova</t>
  </si>
  <si>
    <t>Biophysics</t>
  </si>
  <si>
    <t>Possibilities of Using Low-Intensity Red Light for Modulation of Post-Arrhythmia Processes in the Rat Heart</t>
  </si>
  <si>
    <t>2
cm2
area</t>
  </si>
  <si>
    <t>"Comparative analysis of heart rhythm variability after adrenaline-induced arrhythmia in the two experimental groups revealed normalization of the modes and QT interval by red light against insignificant changes in the heart rate."</t>
  </si>
  <si>
    <t>Arrhythmia, ventricular</t>
  </si>
  <si>
    <t>Nonoguchi</t>
  </si>
  <si>
    <t>Japan
(Mitaka)</t>
  </si>
  <si>
    <t>JACC Clin Electrophysiol</t>
  </si>
  <si>
    <t>Stellate Ganglion Phototherapy Using Low-Level Laser: A Novel Rescue Therapy for Patients With Refractory Ventricular Arrhythmias</t>
  </si>
  <si>
    <t>🧑 Human
📄 Single-arm trial
👥 11 cases, 20 healthy controls
⌛ 4-week treatment / 3-month study</t>
  </si>
  <si>
    <t>400-
1100
600-
1600</t>
  </si>
  <si>
    <t>-
4000
(?)</t>
  </si>
  <si>
    <t>"In healthy participants, serum adrenaline concentration significantly decreased after phototherapy, whereas low-frequency power/high-frequency power significantly decreased during phototherapy."
"In the clinical pilot study, 7 patients had a suppression of ES after SG phototherapy; however, without maintenance therapy, 2 patients had a recurrence of ventricular arrhythmias. Furthermore, it did not control ES in 4 patients."</t>
  </si>
  <si>
    <t>J Cardiovasc Electrophysiol</t>
  </si>
  <si>
    <t>Noninvasive LED therapy: A novel approach for post-infarction ventricular arrhythmias and neuro-immune modulation.</t>
  </si>
  <si>
    <t>"Compared to the AMI group, LED therapy significantly reduced the incidence of AMI-induced VAs (VPB number: 85.08±13.91 vs. 27.5±9.168, P &lt; 0.01; nSVT duration: 34.39±8.562 vs. 9.005±3.442, P &lt; 0.05; nSVT number: 18.92±4.52 vs. 7.583±3.019, P &lt; 0.05; incidence rate of SVT/VF: 58.33% vs. 8.33%, P &lt; 0.05) and reduced the LSG neural activity (P &lt; 0.01) in the AMI+LED group."
"Furthermore, LED significantly attenuated microglial activation and reduced IL-18, IL-1β and NGF expression in the peri-infarct myocardium."
"LED therapy may protect against AMI-induced VAs by suppressing sympathetic neural activity and the inflammatory response."</t>
  </si>
  <si>
    <t>Light-emitting diode therapy protects against ventricular arrhythmias by neuro-immune modulation in myocardial ischemia and reperfusion rat model.</t>
  </si>
  <si>
    <t>"As compared to the I/R group, LED illumination significantly inhibited the LSG neural activity (P &lt; 0.01) and reduced the inducibility of VAs (arrhythmia score 4.417 ± 0.358 vs. 3 ± 0.3257, P &lt; 0.01) in the LED+I/R group. Furthermore, LED significantly attenuated microglial activation and downregulated the expression of inflammatory cytokines and NGF in the peri-infarct myocardium."
"LED therapy may protect against myocardial I/R-induced VAs by central and peripheral neuro-immune regulation."</t>
  </si>
  <si>
    <t>Baroreflex sensitivity</t>
  </si>
  <si>
    <t xml:space="preserve">Milan-Mattos </t>
  </si>
  <si>
    <t xml:space="preserve"> Brazil
(São Carlos)</t>
  </si>
  <si>
    <t>Acute effect of photobiomodulation using light-emitting diodes (LEDs) on baroreflex sensitivity during and after constant loading exercise in patients with type 2 diabetes mellitus</t>
  </si>
  <si>
    <t>🧑 Human
🎲 Randomized trial, double-blind  
👥 11 participants
⌛ 2 sessions with 2-week washout -&gt; 3-month break -&gt; 2 sessions with 2-week washout</t>
  </si>
  <si>
    <t>Diabetes mellitus
LED phototherapy</t>
  </si>
  <si>
    <t>0.375</t>
  </si>
  <si>
    <t>15
30</t>
  </si>
  <si>
    <t>40
80</t>
  </si>
  <si>
    <t>Photobiomodulation with 150 J or 300 J applied previously to a moderate-intensity TECC in DM2 was not able to promote cardiovascular auto- nomic control changes leading to an improvement in BRS.</t>
  </si>
  <si>
    <t>Bradycardia</t>
  </si>
  <si>
    <t>Effect of different LLLT on pituitrin-induced bradycardia in the rabbit.</t>
  </si>
  <si>
    <t>650
10600</t>
  </si>
  <si>
    <t>"The experiment applied 10.6-μm and 650-nm lasers both separately and simultaneously. The results showed that by 30 min after pituitrin injection, heart rates of the laser Neiguan group were higher than those of the model control group, while the recorded heart rates in both laser control and model control groups were significantly lower than those of the normal control group."
Comment: The differences were quite negligible.</t>
  </si>
  <si>
    <t>CABG surgery (exercise capacity)</t>
  </si>
  <si>
    <t>Acute Effects of Low-Level Laser Therapy on Patients' Functional Capacity in the Postoperative Period of Coronary Artery Bypass Graft Surgery: A Randomized, Crossover, Placebo-Controlled Trial.</t>
  </si>
  <si>
    <t>🧑 Human
🎲 Randomized trial, sham-controlled, crossover
👥 15 participants
⌛ 2 sessions, 1-week washout period</t>
  </si>
  <si>
    <t>Leg irradiation (quadriceps)</t>
  </si>
  <si>
    <t>240
(8p)</t>
  </si>
  <si>
    <t>1 active
1 sham</t>
  </si>
  <si>
    <t>"Acute LLLT improved neither functional capacity to exercise nor the markers of oxidation after CABG."</t>
  </si>
  <si>
    <t>CABG surgery</t>
  </si>
  <si>
    <t>Itan
(Tehran)</t>
  </si>
  <si>
    <t>Effects of intravenous and transdermal photobiomodulation on the postoperative complications of coronary artery bypass grafting surgery: a randomized, controlled clinical trial</t>
  </si>
  <si>
    <t>🧑 Human
🎲 Randomized trial
👥 192 participants
⌛ 7 days</t>
  </si>
  <si>
    <t>405+
980</t>
  </si>
  <si>
    <t>1.5+
200</t>
  </si>
  <si>
    <t>?
6</t>
  </si>
  <si>
    <t>1800+
120 (?)</t>
  </si>
  <si>
    <t>8
/ 7 days</t>
  </si>
  <si>
    <t>"Level of LDH and CPK was significantly lower in the PBM group (P &lt; 0.05) in the 4th day postoperatively.
The PBM group also showed significantly lower post-surgery complications, including pericardial effusion, ejection fraction, pathologic ST changes, pathologic Q, rehospitalization, heart failure, and mediastinitis (P &lt; 0.05). Likewise, the VAS pain score after surgery was significantly lower in patients in the laser group (P &lt; 0.05). 
PBM seems a promising, safe, cost-benefit therapeutic modality to reduce postoperative complications of CABG."</t>
  </si>
  <si>
    <t>Kazemi Khoo</t>
  </si>
  <si>
    <t>Application of Low-Level Laser Therapy Following Coronary Artery Bypass Grafting (CABG) Surgery.</t>
  </si>
  <si>
    <t>🧑 Human
🎲 Randomized trial
👥 60 participants
⌛ 3-day treatment / 6-day study</t>
  </si>
  <si>
    <t>"It is concluded that low-level laser irradiation after CABG surgery could decrease cardiac cellular damage and help accelerate the repair of cardiac tissue post-operatively."
Comment: Parameters insufficiently reported.</t>
  </si>
  <si>
    <t>Heart</t>
  </si>
  <si>
    <t>Cardiopulmonary bypass 
(CPB) / Platelets</t>
  </si>
  <si>
    <t>Drohomirecka</t>
  </si>
  <si>
    <t>Poland 
(Warsaw)</t>
  </si>
  <si>
    <t>Low-level light therapy reduces platelet destruction during extracorporeal circulation</t>
  </si>
  <si>
    <t>🐖 Pigs</t>
  </si>
  <si>
    <t>Extracorporeal blood 
Polychromatic light 🌈</t>
  </si>
  <si>
    <t xml:space="preserve">750
-1100 </t>
  </si>
  <si>
    <t>0.128</t>
  </si>
  <si>
    <t xml:space="preserve">" In LLLT group CD62P expression remained quite stable up to the 12th hour of the experiment, whereas in the control group it continuously decreased till the end of observation. The stable P-selectin level for the first 12 hours in the LLLT group indicates the stabilizing effect of R/NIR irradiation on the adhesion molecules on the surface of the PLTs.
Platelets in the control group were more prone to aggregation in the postoperative period than at the beginning of the experiment, whereas platelets in the LLLT group aggregated similarly or less intense."
"Limitation of platelet loss, pattern of aggregation and CD62P expression suggest that LLLT may stabilize platelet function during CPB and diminish the negative effects associated with the interaction of cells with an artificial surface."
Comment: LLLT was applied during the 1 hour  extracorporeal circulation (ECC) </t>
  </si>
  <si>
    <t>Cardiomyocytes</t>
  </si>
  <si>
    <t>Bahr</t>
  </si>
  <si>
    <t>Photobiomodulation improves cell survival and death parameters in cardiomyocytes exposed to hypoxia/reoxygenation</t>
  </si>
  <si>
    <t>"PBM at an intensity of 1 J/cm2 mitigated the alterations in cell survival caused by hypoxia/reoxygenation. Additionally, it significantly increased the expression of proteins Nrf2, HSP70, mTOR, LC3II, LC3II/I, and Caspase-9, while reducing the expression of PGC-1α, SOD2, xanthine oxidase, Beclin-1, LC3I, and Bax."
"PBM at intensities of 1 J/cm2 reverses the changes related to oxidative stress, mitochondrial biogenesis, autophagy, and apoptosis caused by hypoxia and reoxygenation in a culture of cardiomyocytes."</t>
  </si>
  <si>
    <t>China 
(Harbin)</t>
  </si>
  <si>
    <t>Light Emitting Diodes Irradiation Regulates miRNA-877-3p to Promote Cardiomyocyte Proliferation</t>
  </si>
  <si>
    <t>"Taken together, conditioned LED-Red irradiation increased miR-877-3p expression and promoted the proliferation of neonatal CMs by targeting GADD45g. This finding provides a new insight into the role of LED-Red irradiation in neonatal CMs biology and suggests its potential application in myocardial injury repair."</t>
  </si>
  <si>
    <t>Near infrared light protects cardiomyocytes from hypoxia and reoxygenation injury by a nitric oxide dependent mechanism.</t>
  </si>
  <si>
    <t>"Our results demonstrate that exposure to NIR at the time of reoxygenation protects neonatal rat cardiomyocytes and HL-1 cells from injury, as assessed by lactate dehydrogenase release and MTT assay. Similarly, indices of apoptosis, including caspase 3 activity, annexin binding and the release of cytochrome c from mitochondria into the cytosol, were decreased after NIR treatment.
NIR increased NO in cardiomyocytes, and the protective effect of NIR was completely reversed by the NO scavengers carboxy-PTIO and oxyhemoglobin, but only partially blocked by the NO synthase (NOS) inhibitor L-NMMA.
Mitochondrial metabolism, measured by ATP synthase activity, was increased by NIR, and NO-induced inhibition of oxygen consumption with substrates for complex I or complex IV was reversed by exposure to NIR.
Taken together these data provide evidence for protection against hypoxia and reoxygenation injury in cardiomyocytes by NIR in a manner that is dependent upon NO derived from NOS and non-NOS sources."</t>
  </si>
  <si>
    <t>Cold storage of heart</t>
  </si>
  <si>
    <t>Photo-irradiation improved functional preservation of the isolated rat heart.</t>
  </si>
  <si>
    <t>16.8</t>
  </si>
  <si>
    <t>"Photo-irradiation improves functional recovery of the cold-stored rat heart possibly via conservation of ATP and antioxidant enzyme activity."</t>
  </si>
  <si>
    <t>Coronary arteries</t>
  </si>
  <si>
    <t>Plass</t>
  </si>
  <si>
    <t>Ann Thorac Surg</t>
  </si>
  <si>
    <t>Light-induced vasodilation of coronary arteries and its possible clinical implication.</t>
  </si>
  <si>
    <t>LED phototherapy
Dose response
Biphasic dose response
Nitric oxide (NO)</t>
  </si>
  <si>
    <t>680
(laser)
670
(LED)</t>
  </si>
  <si>
    <t>1.5
2.5
5
10</t>
  </si>
  <si>
    <t>"Vessels exposed to either light source showed a remarkable as well as comparable photorelaxation at definite energy densities. This effect is mediated by an intracellular nitric oxide-dependent mechanism. As LED sources are of small size, simple, and inexpensive build-up, they may be used during routine coronary artery bypass surgery to ease suturing of anastomosis by target vessel vasodilation."</t>
  </si>
  <si>
    <t>Low-level-laser irradiation induces photorelaxation in coronary arteries and overcomes vasospasm of internal thoracic arteries.</t>
  </si>
  <si>
    <t>"Macroscopic healthy LAD exposed to [low-level laser irradiation] revealed significant photorelaxation. With the administration of [low-level laser irradiation, 73% of the maximal obtainable effect by an endothelium-dependent vasodilator could be reached. Furthermore, [low-level laser irradiation] has the potential to overcome vasospasms of [internal thoracic arteries."</t>
  </si>
  <si>
    <t>Extracorporeal blood irradiation (CO poisoning)</t>
  </si>
  <si>
    <t>Fischbach</t>
  </si>
  <si>
    <t>Veno-venous extracorporeal blood phototherapy increases the rate of carbon monoxide (CO) elimination in CO-poisoned pigs</t>
  </si>
  <si>
    <t>"The photo-ECMO device was able to fully oxygenate the blood after a single pass through the device. Compared to ventilation with 100% oxygen alone, illumination with red light together with 100% oxygen was twice as efficient in removing CO from blood."</t>
  </si>
  <si>
    <t>Zazzeron</t>
  </si>
  <si>
    <t>Phototherapy and extracorporeal membrane oxygenation facilitate removal of carbon monoxide in rats</t>
  </si>
  <si>
    <t>460
523
623</t>
  </si>
  <si>
    <t>"Inhaled carbon monoxide (CO) displaces oxygen from hemoglobin, reducing the capacity of blood to carry oxygen. Current treatments for CO-poisoned patients involve administration of 100% oxygen; however, when CO poisoning is associated with acute lung injury secondary to smoke inhalation, burns, or trauma, breathing 100% oxygen may be ineffective. 
Visible light dissociates CO from hemoglobin. We hypothesized that the exposure of blood to visible light while passing through a membrane oxygenator would increase the rate of CO elimination in vivo."
"Exposure of the CO photo-remover to red light resulted in greater CO elimination than blue or green phototherapy (Fig. 2C). These results show that phototherapy increases the rate of CO elimination from blood in vitro and that red light is more effective than blue or green light at enhancing the rate of CO removal."</t>
  </si>
  <si>
    <t>Khanna</t>
  </si>
  <si>
    <t>Cardiovasc Radiat Med</t>
  </si>
  <si>
    <t>Augmentation of the expression of proangiogenic genes in cardiomyocytes with low dose laser irradiation in vitro.</t>
  </si>
  <si>
    <t>"We observed that a dose-dependent increase in cardiomyocytes proliferation can be obtained with [low power red laser light] and that there is a significant increase in VEGF and TGF-beta mRNA expression by cardiomyocytes."
"These data may have significant importance leading to the establishment of new methods for myocardial photoangiogenesis and photoregeneration as well as in vitro proliferation of cardiac myocytes."</t>
  </si>
  <si>
    <t>Heart failure</t>
  </si>
  <si>
    <t>Evaluation of Photobiomodulation on myocardial function of patients with advanced ischemic cardiomyopathy, A case series</t>
  </si>
  <si>
    <t>658+
810</t>
  </si>
  <si>
    <t>"The findings from this study were highly promising as they revealed significant improvements in key cardiac evaluation parameters after just 15 sessions of transcutaneous and intravenous Photobiomodulation therapy. These improvements were especially evident in the six-minute walk test, where there was a notable increase in exercise capacity from 54.20±9.98 to 59.90±8.43 (p = 0.013). Although the systolic ejection fraction rate change from 20.75±7.91 to 24.50±9.98 did not reach the statistical significance (p = 0.197), it demonstrated a positive trend towards improving cardiac function. There was also a noteworthy trend towards improvement in the shortness of breath function class, with a change from 2.33±0.71 to 2.00±0.71 (p = 0.083). These results highlight the potential of Photobiomodulation therapy in enhancing patients' overall well-being."</t>
  </si>
  <si>
    <t>Sayed</t>
  </si>
  <si>
    <t>Egypt Heart J</t>
  </si>
  <si>
    <t>Effect of low-level laser physiotherapy on left ventricular function among patients with chronic systolic heart failure</t>
  </si>
  <si>
    <t>🧑 Human
📄 Single-arm trial
👥 27 participants
⌛ single session</t>
  </si>
  <si>
    <t>5-20</t>
  </si>
  <si>
    <t>91</t>
  </si>
  <si>
    <t>"Six-minute walk distance test was performed, and the results showed that the mean of 6MWT was less than 200 m (148.556 ± 39.092) before the study but increased to more than 300 after laser therapy (385.074 ± 61.740), 
left ventricular ejection fraction before laser therapy was 26 ± 7.5 while after laser therapy it became 30 ± 8.6 but diastolic function did not change after low-level laser therapy, 
the mean peak TR pressure was 40.0 ± 9.0 mmHg and 33.0 ± 7.0 before and after laser therapy respectively P &lt; 0.001. 
A significant change was observed in NO level from 4.1 ± 1.4 IU/ml before laser therapy to 5.2 ± 1.7 IU/ml after laser therapy P &lt; 0.001."</t>
  </si>
  <si>
    <t>Front Cardiovasc Med</t>
  </si>
  <si>
    <t>Light Emitting Diodes Photobiomodulation Improves Cardiac Function by Promoting ATP Synthesis in Mice With Heart Failure</t>
  </si>
  <si>
    <t>0.0025</t>
  </si>
  <si>
    <t>"We found that LED-Red (630 nm) was an effective wavelength for the treatment of HF.
Meanwhile, the application of LED-Red therapy to treat HF mice improved cardiac function, ameliorate heart morphology, reduced pulmonary edema, as well as inhibited collagen deposition. Moreover, LED-Red therapy attenuated the extent of perivascular fibrosis.
Besides, LED-Red irradiation promoted calcium transients in cardiomyocytes as well as upregulated ATP synthesis, which may have positive implications for contractile function in mice with HF."</t>
  </si>
  <si>
    <t>Capalonga</t>
  </si>
  <si>
    <t>Can J Physiol Pharmacol</t>
  </si>
  <si>
    <t>Neuromuscular electrical stimulation but not photobiomodulation therapy improves cardiovascular parameters of rats with heart failure</t>
  </si>
  <si>
    <t>3
/p
(2p
per
muscle
group)</t>
  </si>
  <si>
    <t>60
/p</t>
  </si>
  <si>
    <t>40
/8wk</t>
  </si>
  <si>
    <t>"In conclusion, eight-week NMES isolated or associated with PBMT protocol reduced basal heart rate, systolic and mean arterial pressure, without influence on baroreflex sensibility and autonomic control, and no effect of PBMT was seen in rats with HF."</t>
  </si>
  <si>
    <t>Grandinetti</t>
  </si>
  <si>
    <t>Photobiomodulation therapy combined with carvedilol attenuates post-infarction heart failure by suppressing excessive inflammation and oxidative stress in rats.</t>
  </si>
  <si>
    <t>LLLT vs carvedilol
LLLT + carvedilol</t>
  </si>
  <si>
    <t>714</t>
  </si>
  <si>
    <t>200
(3p)</t>
  </si>
  <si>
    <t>"Carvedilol and PBMt had a similar action in normalizing pulmonary congestion and LV end-diastolic pressure, attenuating LV dilation, and improving LV systolic function. Moreover, the application of PBMt to carvedilol-treated rats inhibited myocardial hypertrophy and improved +dP/dt of LV. PBMt alone prevented inflammation with a superior effect than carvedilol. Carvedilol and PBMt normalized 4-hydroxynonenal (a lipoperoxidation marker) levels in the myocardium. However, importantly, the addition of PBMt to carvedilol attenuated oxidized protein content and triggered a high activity of the anti-oxidant catalase enzyme. 
In conclusion, these data show that the use of PBMt plus carvedilol therapy results in a significant additional improvement in HF in a rat model of myocardial infarction. These beneficial effects were observed to be due, at least in part, to decreased myocardial inflammation and oxidative stress."</t>
  </si>
  <si>
    <t>Delacoste</t>
  </si>
  <si>
    <t>Surface electromyography after lower level laser therapy application on skeletal muscles in individuals with heart failure.</t>
  </si>
  <si>
    <t>🧑 Human
🎲 Randomized trial, double-blind, crossover
👥 14 participants
⌛ 3 sessions (1 familiarization, 1 PBM, 1 sham) with interval of 2+ days</t>
  </si>
  <si>
    <t>LLLT cluster</t>
  </si>
  <si>
    <t>5*
200</t>
  </si>
  <si>
    <t>180
/muscle</t>
  </si>
  <si>
    <t>"The muscular fatigue was evaluated with surface electromyography, by the analysis of integral, median frequency, and entropy. Only one application of LLLT is not able to decrease skeletal muscle activation in patients with HF. There was no reduction of muscle fatigue among the proposed protocols. Single LLLT session has no effect on the reduction of skeletal muscle fatigue in patients with HF."</t>
  </si>
  <si>
    <t>Study registration: https://clinicaltrials.gov/ct2/show/NCT02508792
Primary outcome: "Change in muscle torque after a fatigue protocol in HF patients [ Time Frame: 8 days ]"</t>
  </si>
  <si>
    <t>Hentschke</t>
  </si>
  <si>
    <t>2016
epub</t>
  </si>
  <si>
    <t>Maximal oxygen uptake and exercise tolerance are improved in rats with heart failure subjected to low-level laser therapy associated with resistance training.</t>
  </si>
  <si>
    <t>8.33</t>
  </si>
  <si>
    <t>61.25</t>
  </si>
  <si>
    <t>0.012
cm2</t>
  </si>
  <si>
    <t>"LLLT associated with [resistance training] improved oxygen uptake and exercise tolerance compared with [resistance training] alone in [heart failure] rats."</t>
  </si>
  <si>
    <t>Bublitz</t>
  </si>
  <si>
    <t>Acute effects of low-level laser therapy irradiation on blood lactate and muscle fatigue perception in hospitalized patients with heart failure-a pilot study.</t>
  </si>
  <si>
    <t>🧑 Human
🎲 Randomized trial, sham-controlled
👥 20 participants
⌛ 1 session</t>
  </si>
  <si>
    <t>28
(7p)</t>
  </si>
  <si>
    <t>LLLT was associated with decreased perceived exercion, but functional capacity wasn't improved.</t>
  </si>
  <si>
    <t>PBM timing: immediately before 6MWT test</t>
  </si>
  <si>
    <t>Light-emitting diode therapy (LEDT) improves functional capacity in rats with heart failure.</t>
  </si>
  <si>
    <t>"Sham and LEDT-HF groups showed higher relative values than the Control-HF group, respectively, for distance covered (27.7 and 32.5 %), time of exercise test (17.7 and 20.5 %), and speed (13.6 and 12.2 %)."
Note: In this paper, the "sham" group does not refer to sham-therapy, but instead to sham-HF.</t>
  </si>
  <si>
    <t>Biasibetti</t>
  </si>
  <si>
    <t>The influence of low-level laser therapy on parameters of oxidative stress and DNA damage on muscle and plasma in rats with heart failure.</t>
  </si>
  <si>
    <t>Heart failure markers</t>
  </si>
  <si>
    <t>0.571</t>
  </si>
  <si>
    <t>0.21
1.47</t>
  </si>
  <si>
    <t>0.035
cm2
(/p)</t>
  </si>
  <si>
    <t>10.5
73.5
(2p)</t>
  </si>
  <si>
    <t>(?)</t>
  </si>
  <si>
    <t>Low-level laser therapy improves the inflammatory profile of rats with heart failure.</t>
  </si>
  <si>
    <t>5.25
36.8</t>
  </si>
  <si>
    <t>"LLLT showed systemic and skeletal muscle anti-inflammatory effects in rats with HF."</t>
  </si>
  <si>
    <t>Heart rate</t>
  </si>
  <si>
    <t>Intravenous laser blood irradiation, interstitial laser acupuncture, and electroacupuncture in an animal experimental setting: preliminary results from heart rate variability and electrocorticographic recordings</t>
  </si>
  <si>
    <t>Intravenous PBM vs laser acupuncture vs electroacupuncture</t>
  </si>
  <si>
    <t>"HR changed significantly during i.st. laser acupuncture stimulation of Neiguan in anesthetized rats. Total HRV increased insignificantly during i.v. and i.st. laser stimulation. The LF/HF ratio showed significant changes only during i.v. laser blood irradiation. Integrated cortical EEG (electrocorticogram) decreased insignificantly during EA and i.v. laser blood irradiation. Further studies concerning dosage-dependent alterations are in progress."</t>
  </si>
  <si>
    <t>Antonio</t>
  </si>
  <si>
    <t>Examining the impact of varying low-level laser dose on cardiac failure</t>
  </si>
  <si>
    <t>12 
/ 4 weeks</t>
  </si>
  <si>
    <t>"LLLT on 10J and 20J had a similar action in attenuating pulmonary congestion and myocardial fibrosis. 
Moreover, 10J and 20J attenuated LV end-diastolic pressure and improved +dP/dt and -dP/dt. All LLLT groups had lower levels of inflammatory mediators, but only the 10J group had normalized oxidative stress. 
All LLLT doses improved superoxide dismutase levels; however, only the 20J group showed a high content of the catalase. 
There was a lower level of sarcoplasmic/endoplasmic reticulum Ca2+ ATPase 2a in the infarcted myocardium, which it was normalized in the 20J and 40J groups. 
A higher phospholamban content was found in the 10J group. This study supports the beneficial LLLT role post-infarction. Apparently, the 10J and 20J doses show to be chosen for clinical translation."</t>
  </si>
  <si>
    <t>Int J Biol Sci</t>
  </si>
  <si>
    <t>Photobiomodulation Drives MiR-136-5p Expression to Promote Injury Repair after Myocardial Infarction</t>
  </si>
  <si>
    <t>630
(also
470
560
595
in
vitro)</t>
  </si>
  <si>
    <t>"The mice were exposed to LED-Red for 7 days (10 min/day) after left ventricular ligation (...) Echocardiography showed that LVEF and LVFS were significantly improved and LVIDd and LVIDs were decreased in the LED-Red group compared with the MI group (Figure ​(Figure3C-G).3C-G). Furthermore, LVEDV and LVESV were significantly smaller in the LED-Red group than in the MI mice (Figure ​(Figure3H,3H, I)."
"Next, we performed immunofluorescence staining for proliferation markers, including pH3 and ki67, on myocardial tissue from LED-Red+MI mice. Interestingly, the proportion of EdU and pH3 positive CMs at the infarct border was significantly increased after LED-Red, compared with mice in the unirradiated MI group"</t>
  </si>
  <si>
    <t>Photobiomodulation Regulation as One Promising Therapeutic Approach for Myocardial Infarction</t>
  </si>
  <si>
    <t>"Phototherapy is a new treatment which has shown superior efficacy on the nerve, skeletal muscle, skin, and other tissues. Likewise, there is growing evidence that phototherapy also has many positive effects on the heart. Therefore, this article introduces the progress of research on phototherapy as a new therapeutic strategy in the treatment of myocardial infarction."</t>
  </si>
  <si>
    <t>Feliciano</t>
  </si>
  <si>
    <t>Photobiomodulation therapy's effects on cardiac fibrosis activation after experimental myocardial infarction</t>
  </si>
  <si>
    <t>22.5</t>
  </si>
  <si>
    <t>"The results suggest that PBMT, through the modulation of gene transcription and miRNA expressions, can interfere in cardiac fibrosis activation after MI, mainly reversing the signaling pathway of profibrotic genes."</t>
  </si>
  <si>
    <t>Photobiomodulation Therapy on Myocardial Infarction in Rats: Transcriptional and Posttranscriptional Implications to Cardiac Remodeling</t>
  </si>
  <si>
    <t>"Our results evidenced that MI modified mRNA expression of several well-known biomarkers related to detrimental cardiac activity in almost all signaling pathways analyzed. However, PBMT reverted most of these transcriptional changes. More expressively, PBMT provoked a robust decrease in mRNA expression of molecules that participate in post-MI inflammation and ECM composition, such as IL-6, TNF receptor, TGFb1, and collagen I and III. Global microRNA (miRNA) expression analysis revealed that PBMT decreased miR-221, miR-34c, and miR-93 expressions post-MI, which are related to deleterious effects in cardiac remodeling."
"Thus, the identification of transcriptional and post-transcriptional changes induced by PBMT may be used to interfere in the molecular dynamics of cardiac remodeling post-MI."</t>
  </si>
  <si>
    <t>Elbaz-Greener</t>
  </si>
  <si>
    <t>J Interv Cardiol</t>
  </si>
  <si>
    <t>Adjunctive laser-stimulated stem-cells therapy to primary reperfusion in acute myocardial infarction in humans: Safety and feasibility study.</t>
  </si>
  <si>
    <t>🧑 Human
🎲 Randomized trial
👥 24 participants
⌛4-day treatment / 9-month follow-up</t>
  </si>
  <si>
    <t>Tibia irradiation</t>
  </si>
  <si>
    <t>3
/ 4 days</t>
  </si>
  <si>
    <t>"The D2B time was not significantly different between the groups (41 ± 8 vs 48 ± 1 min; P = 0.73). Creatinine Phosphokinase area under the curve, was lower after LLLT (22 ± 10) compared to NLT (49 ± 12), but this was not statistically significant (P = 0.08). Troponin-T was significantly lower after LLLT (2.7 ± 1.4 ng/mL) in comparison to NLT (5.2 ± 1.8 ng/mL. P &lt; 0.05). At 9 months, LVEF improved in both groups without a significant difference between LLLT (55 ± 9%) and NLT (52 ± 9%; P = 0.90)."</t>
  </si>
  <si>
    <t>A Role for Photobiomodulation in the Prevention of Myocardial Ischemic Reperfusion Injury: A Systematic Review and Potential Molecular Mechanisms.</t>
  </si>
  <si>
    <t>📚 Systematic review + review</t>
  </si>
  <si>
    <t>"A growing body of evidence supporting the use of photobiomodulation in myocardial infarct models has implicated multiple molecular interactions. A systematic review was conducted to identify the strength of the evidence for the therapeutic effect of photobiomodulation and to summarise the current evidence as to its mechanisms.
Photobiomodulation in animal models showed consistently positive effects over a range of wavelengths and application parameters, with reductions in total infarct size (up to 76%), decreases in inflammation and scarring, and increases in tissue repair. Multiple molecular pathways were identified, including modulation of inflammatory cytokines, signalling molecules, transcription factors, enzymes and antioxidants.
Current evidence regarding the use of photobiomodulation in acute and planned cardiac intervention is at an early stage but is sufficient to inform on clinical trials."
They also mention the cytochrome oxidase -related mechanism study by Quirk and Whelan: "Recently however, it has been demonstrated that near IR has no effect on isolated COX protein88, which may suggest a more complex interaction between light and the mitochondria, possibly an indirect effect. This was also implied in a study of retinopathy in diabetic mice89 and in diabetic rats90, where there was no evidence found for a PBM effect on mitochondria. Never-the-less, an effect of PBM on the mitochondria was suggested by a number of the studies reviewed here (Fig. 3), with a positive effect of PBM on both mitochondrial respiration and mitochondrial retrograde signalling and major impacts on the regulation of Ca2+ ion channel flux, NO production through COX and increased in ATP levels. These factors ensure the maintenance of mitochondrial retrograde signalling (...)"</t>
  </si>
  <si>
    <t>El Gammal</t>
  </si>
  <si>
    <t>Effect of low-level laser-treated mesenchymal stem cells on myocardial infarction.</t>
  </si>
  <si>
    <t>"In this review, we evaluate the available experimental data on treatment of myocardial infarction using low-level laser. Eligible papers were characterized as in vivo experimental studies that evaluated the use of low-level laser therapy on stem cells in order to attenuate myocardial infarction."
"This approach increased stem cell survival, proliferation, and homing. It has also decreased the infarct size and cell apoptosis, leading to enhanced heart functions. These effects were stable for 6 weeks. However, more studies are still required to assess the effects of low-level laser on the genetic makeup of the cell, the nuclei, and the mitochondria of mesenchymal stromal cells (MSCs)."</t>
  </si>
  <si>
    <t>Manchini</t>
  </si>
  <si>
    <t>Low-Level Laser Application in the Early Myocardial Infarction Stage Has No Beneficial Role in Heart Failure</t>
  </si>
  <si>
    <t>0.37</t>
  </si>
  <si>
    <t>27.3</t>
  </si>
  <si>
    <t>"We showed here that the LLLT improved LV systolic function only 3 days post-infarction, which confirms previous data from our lab (Manchini et al., 2014). On the other hand, we have not reported a cardioprotective LLLT role during evolution to overt HF, as illustrated by the no effect on infarct size, cavity dilation and LV systolic performance at the end of the study."
"It is hard to understand the differences of our findings to previously studies. A key reason may be the randomization, in which we have only included animals with large infarcts. The comparison of experimental groups that have a similar infarct size at baseline is a critical issue to avoid the causality of results and has not been controlled in previous studies. Thus, while it may be understood that the LLLT lead to a lower infarct size, it is possible also that rats with lower infarct sizes have been included in the LLLT-treated group. Moreover, previous investigations have only carried out a cross-sectional analysis (Oron et al., 2001a; Yaakobi et al., 2001; Yang et al., 2011), in which the causality cannot be determined. In this regard, we have analyzed the longitudinal repercussion of LLLT (Table 2) to clarify whether infarct size at baseline (3 days) changed over time as an effect of phototherapy."
"Other issues that show be investigated to understand the differences in our findings for previously studies are (i) the differences in irradiation parameters and (ii) approach to analyzing the infarct size (e.g., histomorphometric or echocardiographic)."
"In summary, our findings illustrate that LLLT improves LV systolic function in the early post-infarction cardiac remodeling. However, this beneficial effect may be dependent on the maintenance of phototherapy. Long-term studies with LLLT application are required to establish whether these effects ultimately translate into improved cardiac remodeling."</t>
  </si>
  <si>
    <t>Blatt</t>
  </si>
  <si>
    <t>Low-Level Laser Therapy to the Bone Marrow Reduces Scarring and Improves Heart Function Post-Acute Myocardial Infarction in the Pig.</t>
  </si>
  <si>
    <t>MI
Systemic effect</t>
  </si>
  <si>
    <t>0.01
(BM)</t>
  </si>
  <si>
    <t>1
(BM)</t>
  </si>
  <si>
    <t>"LLLT application to BM in the porcine model for MI caused a significant reduction in scarring, enhanced angiogenesis and functional improvement both in the acute and long term phase post-MI."</t>
  </si>
  <si>
    <t>Carlos</t>
  </si>
  <si>
    <t>Role of low-level laser therapy on the cardiac remodeling after myocardial infarction: A systematic review of experimental studies.</t>
  </si>
  <si>
    <t>MI</t>
  </si>
  <si>
    <t>"The reduction in infarct size is a major finding. The LLLT cardioprotection may be mediated by several molecular and cellular mechanisms. Although these results are exciting, there are many limitations that must be resolved before LLLT clinical trials."</t>
  </si>
  <si>
    <t>Cardioprotection from ischemia-reperfusion injury by near-infrared light in rats.</t>
  </si>
  <si>
    <t>Ischemia-reperfusion
LED phototherapy
LED cluster</t>
  </si>
  <si>
    <t>0.03
(heart)</t>
  </si>
  <si>
    <t>"NIR application had no effect on the function of the nonischemic isolated heart, and had no effect on infarct size when applied during global ischemia.
In the in vivo model, NIR commencing immediately before reperfusion decreased infarct size by 40%, 33%, 38%, and 77%, respectively, after regional ischemic periods of 30, 20, 15, and 10 min."</t>
  </si>
  <si>
    <t>Karam&amp;Akar</t>
  </si>
  <si>
    <t>Blue LEDs get the Nobel Prize while Red LEDs are poised to save lives</t>
  </si>
  <si>
    <t>"In this issue of the journal, Keszler et al. (2014) focused on a highly innovative non-pharmacological strategy. Specifically, they were able to harness the power of near-infrared (NIR) light-emitting diodes (LEDs) to liberate nitric oxide (NO) in a manner that exerted a potent cardioprotective effect. The findings of Keszler et al. (2014) are exciting on several grounds. Not only did these authors expand our understanding of the mechanism by which NIR elicits cardioprotection, they convincingly documented its utility in the setting of diabetes mellitus."</t>
  </si>
  <si>
    <t>Far red/near infrared light-induced protection against cardiac ischemia and reperfusion injury remains intact under diabetic conditions and is independent of nitric oxide synthase.</t>
  </si>
  <si>
    <t>Diabetic mice
Dose response
LED phototherapy
LED array</t>
  </si>
  <si>
    <t>"Here we tested the hypothesis that NIR elicits protection in a diabetic mouse model where other cardioprotective interventions such as pre- and postconditioning fail, and that the protection is independent of nitric oxide synthase (NOS).
NIR reduced infarct size dose dependently. Importantly, NIR-induced protection was preserved in a diabetic mouse model (db/db) and during acute hyperglycemia, as well as in endothelial NOS(-/-) mice and in wild type mice treated with NOS inhibitor L-NAME."
"Irradiation at 660 nm yields the highest release of NO, while at longer wavelengths a dramatic decrease of NO release can be observed."
"NIR is cardioprotective in the presence of diabetes or hyperglycemia."
"In summary, NIR applied during reperfusion protects the myocardium against infarction in an NO-dependent, but NOS-independent mechanisms, whereby mitochondria may be a target of NO released by NIR, leading to reduced reactive oxygen species generation during reperfusion. This unique mechanism preserves protection even during diabetes where other protective strategies fail."
Comment: Beam area was not reported. According to the paper, LED array was used, so it's likely the area was large.</t>
  </si>
  <si>
    <t>Amelioration of cardiac function and activation of anti-inflammatory vasoactive peptides expression in the rat myocardium by low level laser therapy.</t>
  </si>
  <si>
    <t>"Our data suggest that LLLT diminishes the acute inflammation in the myocardium, reduces infarct size and attenuates left ventricle dysfunction post-MI and increases vasoactive peptides expression and nitric oxide (NO) generation."</t>
  </si>
  <si>
    <t>China (Zhengzhou)</t>
  </si>
  <si>
    <t>Effect of low-level laser irradiation on oxygen free radicals and ventricular remodeling in the infarcted rat heart.</t>
  </si>
  <si>
    <t>0.0076</t>
  </si>
  <si>
    <t>0.96</t>
  </si>
  <si>
    <t>"LLLI could cause OFR accumulation, reduce infarct size, increase ventricular wall thickness, and attenuate the formation of collagen fibers, suggesting the beneficial effects of LLLI on improvement of VR after MI."</t>
  </si>
  <si>
    <t>China (Beijing)</t>
  </si>
  <si>
    <t>Low-level laser irradiation alters cardiac cytokine expression following acute myocardial infarction: a potential mechanism for laser therapy.</t>
  </si>
  <si>
    <t>"Although LLLI did not improve the damaged heart function, it did reduce the infarct area expansion."</t>
  </si>
  <si>
    <t>Monich</t>
  </si>
  <si>
    <t>Low-power light and isolated rat hearts after ischemia of myocardium.</t>
  </si>
  <si>
    <t>Ex vivo (rat heart)</t>
  </si>
  <si>
    <t>"The intensity of red light used in the experiments was too low to cause thermal heating in the zones of treatments. Nevertheless, in the experimental subgroups we observed restoration of the contraction speed (Fig. 3a, subgroups A, C and D), the speed of relaxation (Fig. 3b, subgroups A, C and D) and the developed pressure (Fig. 3c, subgroups A, B and C). The influence of red light exposition on the contractility parameters could be explained by changes in the passive permeability of the cardiac muscle cell membranes for Ca+2 ions and also by reactivation of SOD. Actually, a growth of the calcium flow results in the increase of the cardiac muscle cell action potentials duration and respectively in a duration of the cells refractory period."</t>
  </si>
  <si>
    <t>Tuby</t>
  </si>
  <si>
    <t>Induction of autologous mesenchymal stem cells in the bone marrow by low-level laser therapy has profound beneficial effects on the infarcted rat heart.</t>
  </si>
  <si>
    <t>MI
Systemic effect</t>
  </si>
  <si>
    <t>d =
1.8 cm</t>
  </si>
  <si>
    <t>"Infarct size and ventricular dilatation were significantly reduced (76% and 75%, respectively) in the laser-treated rats 20 minutes post-MI as compared to the control-non-treated rats at 3 weeks post-MI. There was also a significant 25-fold increase in cell density of c-kit+ cells in the infarcted area of the laser-treated rats (20 minutes post-MI) as compared to the non-laser-treated controls."
 [Star: interesting results!]</t>
  </si>
  <si>
    <t>Low level laser irradiation precondition to create friendly milieu of infarcted myocardium and enhance early survival of transplanted bone marrow cells.</t>
  </si>
  <si>
    <t>"After LLLI precondition, increased VEGF and GRP78 expression, as well as the enhanced SOD activity and inhibited MDA production, was observed. Compared with BMSC transplantation and culture media injection group, although there was no difference in the improved heart function and myogenic differentiation, LLLI precondition significantly enhanced early cell survival rate by 2-fold, decreased the apoptotic percentage of implanted BMSCs in infarcted myocardium and thus increased the number of newly formed capillaries. Taken together, LLLI precondition could be a novel non-invasive approach for intraoperative cell transplantation to enhance cell early survival and therapeutic potential."</t>
  </si>
  <si>
    <t>Enhancement of nitric oxide release from nitrosyl hemoglobin and nitrosyl myoglobin by red/near infrared radiation: potential role in cardioprotection.</t>
  </si>
  <si>
    <t>LED phototherapy
PBM vs nitrite</t>
  </si>
  <si>
    <t>0.003
0.06</t>
  </si>
  <si>
    <t>0.5
11</t>
  </si>
  <si>
    <t>"As shown in Figure 5B, exposure of the rabbit cardiac preparation to 60 mW/cm2 (11 J) of 670 nm light, in the absence of nitrite, at the time of reperfusion resulted in a significant reduction in infarct size whereas a lower power radiation (3 mW/cm2, 0.5J) was ineffective. Interestingly, when low dose radiation (3 mW/cm2) was combined with low-dose nitrite (0.4 mg/kg) a synergistic effect was observed suggesting that R/NIR is able to potentiate the cardioprotective effects of nitrite."</t>
  </si>
  <si>
    <t>Implantation of low-level laser irradiated mesenchymal stem cells into the infarcted rat heart is associated with reduction in infarct size and enhanced angiogenesis.</t>
  </si>
  <si>
    <t>MI
MSCs</t>
  </si>
  <si>
    <t>804/810 (?)</t>
  </si>
  <si>
    <t>d = 
1.8 cm
(?)</t>
  </si>
  <si>
    <t>"The findings of the present study provide the first evidence that LLLT can significantly increase survival and/or proliferation of MSCs post-implantation into the ischemic/infarcted heart, followed by a marked reduction of scarring and enhanced angiogenesis. The mechanisms associated with this phenomenon remain to be elucidated in further studies."</t>
  </si>
  <si>
    <t>Malinovskaya</t>
  </si>
  <si>
    <t>Russia
(Nizhniy Novgorod)</t>
  </si>
  <si>
    <t>Effect of low-intensity laser irradiation and wideband red light on experimentally ischemized myocardium.</t>
  </si>
  <si>
    <t>633
(laser)
or
640
±70
(red
light)</t>
  </si>
  <si>
    <t>?
0.005</t>
  </si>
  <si>
    <t>?
d = 3 mm</t>
  </si>
  <si>
    <t>~600
~600</t>
  </si>
  <si>
    <t>"High mortality was noted in control group 2 (100%) and in experimental group 1 (63%), while in experimental group 2 it was only 11%."
"In experimental group 1, HR varied in a wide range, pronounced bradycardia was observed on reperfusion minute 10 (Table 1). Application of the wideband red light restored HR to reperfusion minute 10."
"The exposure of the myocardium to laser or luminescent (wideband) light decreased the level of LPO products in the myocardium (Table 2). The only exclusion was the content of triene conjugates in experimental group 1. The decrease in LPO primary products was more pronounced in experimental group 2 and 1 (26 and 16% from the control, respectively)"
"Thus, our data demonstrated the possibility of modifying functional activity of open heart after ischemia period by irradiation of the myocardium with low-intensity red light. The peculiarities of the effects of laser irradiation can be related to optical effects of coherent light in control myocardial structures, redistribution of radiation intensity, and local overdoses in the regions of interference peaks."</t>
  </si>
  <si>
    <t>Modulations of VEGF and iNOS in the rat heart by low level laser therapy are associated with cardioprotection and enhanced angiogenesis.</t>
  </si>
  <si>
    <t>MI
Angiogenesis</t>
  </si>
  <si>
    <t>0.008
@
heart</t>
  </si>
  <si>
    <t>d =
2 cm</t>
  </si>
  <si>
    <t>"It is concluded that VEGF and iNOS expression in the infarcted rat heart is markedly upregulated by LLLT and is associated with enhanced angiogenesis and cardioprotection."</t>
  </si>
  <si>
    <t>Long-term effect of low energy laser irradiation on infarction and reperfusion injury in the rat heart.</t>
  </si>
  <si>
    <t>0.27
+
0.81</t>
  </si>
  <si>
    <t>1.1
cm2</t>
  </si>
  <si>
    <t>1
+
1</t>
  </si>
  <si>
    <t>LLLT decreased infarct size and increased HSP70 and angiogenesis.
Star: The article was quite extensive, with multiple measurements of infarct sizes at different time points.</t>
  </si>
  <si>
    <t>Attenuation of infarct size in rats and dogs after myocardial infarction by low-energy laser irradiation.</t>
  </si>
  <si>
    <t>🐀 Rat, 🐶 Dog</t>
  </si>
  <si>
    <t>810
(rat)
810
(dog)</t>
  </si>
  <si>
    <t>38
400</t>
  </si>
  <si>
    <t>1.1
cm2
3.0
cm2</t>
  </si>
  <si>
    <t>LLLT protected against myocardial infarction. In rats, a bi-phasic dose response was noted.
Infarct size decrease according to energy densities (in rats)
2.5 mW/cm2 ---&gt; 14 %
6 mW/cm2   -----&gt; 62 % (significant)
20 mW/cm2 ------&gt; 2.8 
(other experiments were also done)</t>
  </si>
  <si>
    <t>Low-energy laser irradiation reduces formation of scar tissue after myocardial infarction in rats and dogs.</t>
  </si>
  <si>
    <t>ATP content in the ischemic zone was 7.6-fold higher in LLLT rats. Infarct size was 52% reduced in dogs. NIR (803nm) was used.</t>
  </si>
  <si>
    <t>Ad &amp; Oron</t>
  </si>
  <si>
    <t>Int J Cardiol</t>
  </si>
  <si>
    <t>Impact of low level laser irradiation on infarct size in the rat following myocardial infarction.</t>
  </si>
  <si>
    <t>"The infarct size (expressed as percent of total left ventricle area) of the LI rats was 10.1+/-5.8, which was significantly lower (65%; P&lt;0.01) than the infarct size of NLI rats which was 28.7+/-9.6."</t>
  </si>
  <si>
    <t>Effects of red light on postischemic myocardium during reperfusion.</t>
  </si>
  <si>
    <t>"Effects of low-intensity red light on lipid peroxidation in isolated rat heart in the postischemic period were studied. It was established that both laser and wideband luminescent irradiation applied during reperfusion reduced the content of lipid peroxidation products in tissues to a near-control level. This effect is possibly associated with reactivation of antioxidant enzymes.2</t>
  </si>
  <si>
    <t>Whittaker &amp; Patterson</t>
  </si>
  <si>
    <t>USA (LA, California)</t>
  </si>
  <si>
    <t>Ventricular remodeling after acute myocardial infarction: effect of low-intensity laser irradiation.</t>
  </si>
  <si>
    <t>"Laser-treated fibroblasts occupied more area than controls. Hearts receiving the 10 mW treatment had smaller volumes than sham hearts. Laser treatment reduced infarct thinning and preserved arterial lumen area; however, collagen was not increased and inflammation was inhibited."</t>
  </si>
  <si>
    <t>Whittaker (Peter)</t>
  </si>
  <si>
    <t>Laser-mediated reversal of cardiac expansion after myocardial infarction.</t>
  </si>
  <si>
    <t>MI
LLLT? (λ = 1320 nm)</t>
  </si>
  <si>
    <t>1320
(?)</t>
  </si>
  <si>
    <t>"Cavity volume was reduced by laser treatment (0.72 +/- 0.07 ml vs. 0.54 +/- 0.05 ml; P= 0.044). In addition, treatment resulted in thicker scars, a leftward shift of the heart's electrical axis, and straightening of collagen fibers."</t>
  </si>
  <si>
    <t>λ = 1320 nm &lt;-- is it LLLT anymore?</t>
  </si>
  <si>
    <t>Georgia/USSR
(Tbilisi)</t>
  </si>
  <si>
    <t>Angiology</t>
  </si>
  <si>
    <t>Intravascular laser therapy of acute myocardial infarction</t>
  </si>
  <si>
    <t>🧑 Human
📄 Single-arm study
👥 295 participants
⌛24 hours (?)</t>
  </si>
  <si>
    <t>"Twenty-four-hour Holter monitoring findings before and after laser irradiation suggested the possibility of preventing sudden death in the acute period of MI owing to the high anti-arrhythmic efficacy of the method with respect to high-grade ventricular arrhythmias. Precodial ECG mapping and serial determination of blood enzyme activities (CPK and MB-CPK) showed that irradiation performed within the first hours of MI development contributed to effective limitation of the infarction area and restricted the spread of the area of myocardial ischemic damage."
Comment: Full text not available.</t>
  </si>
  <si>
    <t>Kardiologiia</t>
  </si>
  <si>
    <t>[Evaluation of the anti-arrhythmic effect of intracardiac laser therapy by 24-hour electrocardiographic monitoring of patients with acute myocardial infarction]. [Article in Russian]</t>
  </si>
  <si>
    <r>
      <rPr>
        <sz val="7.0"/>
      </rPr>
      <t xml:space="preserve">🧑 Human
📄Non-randomized study, controlled
👥 215 participants 
⌛ 3-5 days (?)
</t>
    </r>
    <r>
      <rPr>
        <i/>
        <sz val="7.0"/>
      </rPr>
      <t>[No English full text]</t>
    </r>
  </si>
  <si>
    <t>3-5
/ 3-5 days</t>
  </si>
  <si>
    <t>"Ventricular arrhythmias were studied by Holter's 24-hour ECG monitoring in 215 acute myocardial infarction patients within the first day of the disease. Twenty-five minutes sessions of blood irradiation by a 2-4 mW helium-neon laser (HNL) through a light guide, introduced into the right atrium via the subclavian vein, were conducted for 3-5 days in 180 patients. The HNL therapy showed a marked antiarrhythimic effect in acute myocardial infarction, significant for the prevention and treatment of ventricular arrhythmias. High antiarrhythmic activity was noted in patients with frequent ventricular extrasystoles and high-grade arrhythmias. Control patients showed no significant spontaneous reduction of the rate of ventricular arrhythmias over a comparable period of time."</t>
  </si>
  <si>
    <t>Myocardial injury</t>
  </si>
  <si>
    <t>Bavrina</t>
  </si>
  <si>
    <t>Influence of Low-Intensive Red Light on the Myocardium in Experimental Asphyxia.</t>
  </si>
  <si>
    <t>Asphyxia
LED phototherapy (?)</t>
  </si>
  <si>
    <t>640
± 70</t>
  </si>
  <si>
    <t>"It was shown that low-intensity red light reduced the content of oxidatively modified proteins in rat heart after oxidative stress caused by asphyxia. Exposure to low-intensity red light normalized ECG parameters in rats after asphyxia."
Comment: They describe the light as "broadband" and do not mention laser, so it's likely they were using a light-emitting diode (LED).</t>
  </si>
  <si>
    <t>Myocardium</t>
  </si>
  <si>
    <t>Chin Med J (Engl)</t>
  </si>
  <si>
    <t>Low-power Helium-Neon laser irradiation enhances the expression of VEGF in murine myocardium.</t>
  </si>
  <si>
    <t>60.5</t>
  </si>
  <si>
    <t>"Our study demonstrates that He-Ne laser irradiation (in doses of 60.5 J/cm(2)) increases myocardial capillary permeability and the production of VEGF in myocardial microvessels and in myocardium. Our study provides experimental morphological evidence that myocardial microcirculation can be improved using He-Ne laser irradiation."</t>
  </si>
  <si>
    <t>Myocardium (radiation-affected)</t>
  </si>
  <si>
    <t>Method for Correction of Consequences of Radiation-Induced Heart Disease using Low-Intensity Electromagnetic Emission under Experimental Conditions.</t>
  </si>
  <si>
    <t>630
±20</t>
  </si>
  <si>
    <t>"Effects of successive exposure to ionizing irradiation and low-intensity broadband red light on electrical activity of the heart and myocardium microstructure were studied in rats. Lowintensity red light corrected some ECG parameters, in particular, it normalized QT and QTc intervals and voltage of R and T waves. Changes in ECG parameters were followed by alterations in microstructure of muscle fi laments in the myocardium of treatment group animals comparing to control group."</t>
  </si>
  <si>
    <t>Ganipineni</t>
  </si>
  <si>
    <t>Exploring the Potential of Energy-Based Therapeutics (Photobiomodulation/Low-Level Laser Light Therapy) in Cardiovascular Disorders: A Review and Perspective</t>
  </si>
  <si>
    <t>"The articles included in this review were preclinical and clinical studies investigating the effects of PBMT and LLLT on the heart. 
The article summarizes the findings of nineteen studies investigating the effects of PBMT and LLLT on various parameters related to heart failure (HF) and myocardial infarction (MI), including inflammation, oxidative stress, angiogenesis, cardiac function, and remodeling. The studies suggest that PBMT and LLLT have potential therapeutic benefits for the treatment of cardiovascular diseases and could be used in combination with traditional pharmacological therapies to enhance their effects or as a stand-alone treatment for patients who are not responsive to or cannot tolerate traditional therapies."</t>
  </si>
  <si>
    <t>Liu &amp; Zhang</t>
  </si>
  <si>
    <t>Low-Level Laser Irradiation Precondition for Cardiac Regenerative Therapy.</t>
  </si>
  <si>
    <t>"LLLI preconditioning provides a promising approach to maximize the efficacy of cardiac cell-based therapy. Although many studies have reported possible molecular mechanisms involved in LLLI preconditioning, the exact mechanisms are still not clearly understood."</t>
  </si>
  <si>
    <t>Russian/Polish research</t>
  </si>
  <si>
    <t>Zyciński</t>
  </si>
  <si>
    <t>Kardiol Pol</t>
  </si>
  <si>
    <t>Laser biostimulation in end-stage multivessel coronary artery disease--a preliminary observational study.</t>
  </si>
  <si>
    <t xml:space="preserve">🧑 Human
📄 Single-arm trial
👥 39 participants
⌛ 3 months
</t>
  </si>
  <si>
    <t>6 days
a week
for one
month
--&gt;
1-month
break
--&gt;
another
month</t>
  </si>
  <si>
    <t>"An improvement of functional capacity and less frequent angina symptoms during exercise tests without a significant change in the left ventricular function were observed. Laser biostimulation in short-term observation was a very safe method. These encouraging results should be confirmed in a larger, placebo-controlled study."</t>
  </si>
  <si>
    <t>Moshkovska &amp; Mayberry</t>
  </si>
  <si>
    <t>UK
(Leicester)</t>
  </si>
  <si>
    <t>Postgrad Med J</t>
  </si>
  <si>
    <t>It is time to test low level laser therapy in Great Britain.</t>
  </si>
  <si>
    <t>"Low level laser therapy (LLLT) has been used in Eastern Europe and Asia for the treatment of a wide range of conditions for many years. Its continued acceptance in these populations reflects the efficacy with which it is regarded both by clinicians and their patients. Although there have been a substantial number of reports on its clinical benefit and some practitioners have used the technique in North America and Australasia it has yet to be subjected to detailed assessment through randomised clinical trials."
Comment: An interesting review, focusing especially in Russian studies on LLLT and heart disease. Many of the cited studies seem to be based on intravenous LLLT.</t>
  </si>
  <si>
    <t>Vakhliaev</t>
  </si>
  <si>
    <t>[The effect of transvenous laser therapy on lipid peroxidation function in patients with ischemic heart disease].</t>
  </si>
  <si>
    <r>
      <rPr>
        <sz val="7.0"/>
      </rPr>
      <t xml:space="preserve">🧑 Human
</t>
    </r>
    <r>
      <rPr>
        <i/>
        <sz val="7.0"/>
      </rPr>
      <t>[No English full text]</t>
    </r>
  </si>
  <si>
    <t>"The therapy was highly effective in patients with lower functional classes and persons with normal circulation, resulting in a reduction in lipid peroxidation intensity."</t>
  </si>
  <si>
    <t>Sarcoidosis</t>
  </si>
  <si>
    <t>Tanabe</t>
  </si>
  <si>
    <t>Japan
(Aichi)</t>
  </si>
  <si>
    <t>Successful use of stellate ganglion phototherapy in refractory ventricular tachycardia in a patient with cardiac sarcoidosis</t>
  </si>
  <si>
    <t>"We introduced [stellate ganglion phototherapy] to suppress [refractory ventricular tachycardia] and anti-tachycardia pacing decreased from 371 to 25 events"</t>
  </si>
  <si>
    <t>Device: Super Lizer, (Tokyo Iken Co)</t>
  </si>
  <si>
    <t>Toxins</t>
  </si>
  <si>
    <t>Yaakov</t>
  </si>
  <si>
    <t>Basic Res Cardiol</t>
  </si>
  <si>
    <t>Recovery from sarafotoxin-b induced cardiopathological effects in mice following low energy laser irradiation.</t>
  </si>
  <si>
    <t>"Sarafotoxin-b induced an approximate 2-fold increase in the relative cavity volume of the left ventricle. Low energy laser irradiation of the sarafotoxin-injected mice caused a significant decrease (62%) in the left ventricular dilatation. Electron microscopy of the sarafotoxin-injected mice hearts revealed that the extent of formation of large vacuoles in the cytoplasm of the cardiomyocytes as well as disorganization of the myofibrils were much higher than in the laser irradiated mice."</t>
  </si>
  <si>
    <t>Transplants</t>
  </si>
  <si>
    <t>Lukes</t>
  </si>
  <si>
    <t>Transplant Proc</t>
  </si>
  <si>
    <t>Singlet oxygen energy illumination during moderate cold ischemia prolongs the survival of concordant hamster xeno-heart transplants.</t>
  </si>
  <si>
    <t>"The graft survival of SOE-illuminated ischemic hamster xenografts was 2.34 +/- 0.56 versus 1.15 +/- 0.37 days in the control group (P &lt; .05). All hearts displayed immediate graft function versus 70% in the controls (NS)."
"SOE illumination at lambda 634 nm during moderate cold ischemia (+4 degrees C) can improve the survival of concordant hamster xeno-heart transplants. The exact mechanism(s) are currently unknown, but the effect might in part be exerted by a combination of reduced production of ROS and increased oxidative phosphorylation."</t>
  </si>
  <si>
    <t>Immunity</t>
  </si>
  <si>
    <t>Antibody production</t>
  </si>
  <si>
    <t>Ghaleb</t>
  </si>
  <si>
    <t>Ireland
(Dublin)</t>
  </si>
  <si>
    <t>Cytotechnology</t>
  </si>
  <si>
    <t>Enhancement of monoclonal antibody production in CHO cells by exposure to He-Ne laser radiation.</t>
  </si>
  <si>
    <t>"Compared to untreated cells, the irradiated cells showed a significant increase in antibody production. Moreover, the results showed that laser irradiation did not affect viability and slightly enhanced proliferation rate."</t>
  </si>
  <si>
    <t>Blood (systemic effects)</t>
  </si>
  <si>
    <t>Dolgova</t>
  </si>
  <si>
    <t>Russia
(Ulyanovsk)</t>
  </si>
  <si>
    <t>Anti-inflammatory and cell proliferative effect of the 1270 nm laser irradiation on the BALB/c nude mouse model involves activation of the cell antioxidant system.</t>
  </si>
  <si>
    <t>"Here, we report comprehensive biomolecular studies of the changes in the BALB/c nude mice skin after an exposure to the continuous laser radiation at the 1270 nm wavelength and energy densities of 0.12 and 1.2 J/cm2. Such regime induces both local and systemic PBM effects, presumably due to the short-term increase in ROS levels, which in turn activate the cell antioxidative system."
Comment: No baseline measurements.</t>
  </si>
  <si>
    <t>Cyclo-oxygenase (COX)</t>
  </si>
  <si>
    <t>The anti-inflammatory mechanism of 635 nm light-emitting-diode irradiation compared with existing COX inhibitors.</t>
  </si>
  <si>
    <t>Human gingival fibroblasts
LED phototherapy
LLLT vs ibuprofen vs indomethacin</t>
  </si>
  <si>
    <t>"635 nm irradiation inhibits PGE(2) synthesis like COX inhibitor and appears to be useful as an anti-inflammatory tool."</t>
  </si>
  <si>
    <t>Dendritic cells</t>
  </si>
  <si>
    <t>Carvalho-Costa</t>
  </si>
  <si>
    <t>Light-Emitting Diode at 460 ± 20 nm Increases the Production of IL-12 and IL-6 in Murine Dendritic Cells.</t>
  </si>
  <si>
    <t>Blue light 🔵
("LED phototherapy")</t>
  </si>
  <si>
    <t>3.3
8.2
16.5</t>
  </si>
  <si>
    <t>"These results demonstrate that LED stimulated cytokine production in BMDCs, suggesting a proinflammatory role in the tested conditions and maybe it can increase DC maturation."</t>
  </si>
  <si>
    <t>Effects of 810-nm laser on murine bone-marrow-derived dendritic cells.</t>
  </si>
  <si>
    <t>0.001
0.010
0.100</t>
  </si>
  <si>
    <t>0.3
3
30</t>
  </si>
  <si>
    <t>"LLLT changed the morphology of LPS-stimulated DC, increased their viability, and altered the balance of DC activation markers (major histocompatibility complex [MHC] class 2 up and CD86 down). LLLT reduced IL-12 secretion from DC stimulated by either LPS or CpG. LLLT reduced NF-κB activation in reporter cells stimulated with CpG. There was no obvious light dose response observed."
"Taken together, these data suggest that 810-nm LLLT has an anti-inflammatory effect on activated DC, possibly mediated by cyclic adenosine monophosphate (cAMP) and reduced NF-κB signaling."</t>
  </si>
  <si>
    <t>Endotoxemia</t>
  </si>
  <si>
    <t>Shamloo</t>
  </si>
  <si>
    <t>USA
(Stanford, CA)</t>
  </si>
  <si>
    <t>The anti-inflammatory effects of photobiomodulation are mediated by cytokines: Evidence from a mouse model of inflammation</t>
  </si>
  <si>
    <t>🎚 Pulsing
Systemic PBM</t>
  </si>
  <si>
    <t>"The current study was aimed at evaluating the effects of PBM on LPS-induced peripheral and central inflammation in mice to assess its potential as an anti-inflammatory treatment."
"PBM downregulated LPS induction of key proinflammatory cytokines associated with inflammasome activation, IL-1β and IL-18, and upregulated the anti-inflammatory cytokine, IL-10. RL provided robust anti-inflammatory effects, and the addition of gamma flicker potentiated these effects."</t>
  </si>
  <si>
    <t>Mo</t>
  </si>
  <si>
    <t>South Korea
(Cheonan)</t>
  </si>
  <si>
    <t>Front Immunol</t>
  </si>
  <si>
    <t>NF-κB-mediated anti-inflammatory effects of an organic light-emitting diode (OLED) device in lipopolysaccharide (LPS)-induced in vitro and in vivo inflammation models</t>
  </si>
  <si>
    <t>Mouse pinnae
LED phototherapy (OLED)</t>
  </si>
  <si>
    <t>0.0045
(mice)</t>
  </si>
  <si>
    <t>2
/ 2 days
(mice)</t>
  </si>
  <si>
    <t>"Following LPS injection, we observed inflammatory responses in mouse ear pinnae such as soft tissue thickening, increased blood flow and the recruitment of inflammatory cells. Notably, these responses were reversed or inhibited in mice subjected to OLED treatment."</t>
  </si>
  <si>
    <t>Aguida</t>
  </si>
  <si>
    <t>Commun Integr Biol</t>
  </si>
  <si>
    <t>Infrared light therapy relieves TLR-4 dependent hyper-inflammation of the type induced by COVID-19</t>
  </si>
  <si>
    <t>"Infrared light exposure resulted in a significant decline in NFkB and AP1 activity as measured by the reporter gene assay; decreased expression of inflammatory marker genes IL-6, IL-8, TNF-alpha, INF-alpha, and INF-beta as determined by qPCR gene expression assay; and an 80% decline in secreted cytokine IL6 as measured by ELISA assay in cultured human cells. All of these changes occurred after only 48 hours of treatment. We suggest that an underlying cellular mechanism involving modulation of ROS may downregulate the host immune response after Infrared Light exposure, leading to decrease in inflammation."</t>
  </si>
  <si>
    <t>A Comprehensive Analysis of Near-Contact Photobiomodulation Therapy in the Host-Bacteria Interaction Model Using 3D-Printed Modular LED Platform.</t>
  </si>
  <si>
    <t>Dose response
Pulsing
LED phototherapy</t>
  </si>
  <si>
    <t>0.5 -
3.0 
(mJ/
cm2)</t>
  </si>
  <si>
    <t>"The data show that the irradiation of near-infrared (NIR-LED) significantly improves the viability of inflamed cells. It reveals that NIR-LED inhibits the production of reactive oxygen species by regulating the Nox4-NF-κB pathway. Interestingly, however, high-pulse frequency stimulus causes the collapse of the mitochondrial membrane potential (ΔΨm) of cells, resulting in cell death. These results suggest that the optimized 'PBM condition' is critical to assist the healthy immune system of the host against bacterial invasion."</t>
  </si>
  <si>
    <t>Photobiomodulation in the Metabolism of Lipopolysaccharides-exposed Epithelial Cells and Gingival Fibroblasts.</t>
  </si>
  <si>
    <t>"PBM enhanced cell proliferation and viability in a time-dependent manner for both cell lines exposed or not to LPS, while synthesis of CCL2 by cells exposed to PT decreased over time."</t>
  </si>
  <si>
    <t>Taiwan</t>
  </si>
  <si>
    <t>Low-power laser irradiation suppresses inflammatory response of human adipose-derived stem cells by modulating intracellular cyclic AMP level and NF-κB activity</t>
  </si>
  <si>
    <t>"We showed that the hADSCs expressed Toll-like Receptors (TLR) 1, TLR2, TLR3, TLR4, and TLR6 and that lipopolysaccharide (LPS) significantly induced the production of pro-inflammatory cytokines (Cyclooxygenase-2 (Cox-2), Interleukin-1β (IL-1β), Interleukin-6 (IL-6), and Interleukin-8 (IL-8)). LPLI markedly inhibited LPS-induced, pro-inflammatory cytokine expression at an optimal dose of 8 J/cm²."</t>
  </si>
  <si>
    <t>Modulation of lipopolysaccharide-induced NF-κB signaling pathway by 635 nm irradiation via heat shock protein 27 in human gingival fibroblast cells.</t>
  </si>
  <si>
    <t>"The results showed that 635 nm irradiation led to a decrease in the HSP27 phosphorylation, reactive oxygen species (ROS) generation, I-κB kinase (IKK)/inhibitor of κB (IκB)/NF-κB phosphorylation, NF-κB p65 translocation and a subsequent decrease in the COX-1/2 expression and prostaglandin (PGE(2) ) release in lipopolysaccharide(LPS)-induced human gingival fibroblast cells (hGFs). 
However, in HSP27-silenced hGFs, no obvious changes were observed in ROS generation, IKK/IκB/NF-κB phosphorylation, NF-κB p65 translocation, nor in COX-1/2 expression, or PGE(2) release. 
This could be a mechanism by which 635 nm irradiation modulates LPS-induced NF-κB signaling pathway via HSP27 in inflammation. Thus, HSP27 may play a role in regulating the anti-inflammatory response of LLLT."</t>
  </si>
  <si>
    <t>Effect of 635 nm irradiation on high glucose-boosted inflammatory responses in LPS-induced MC3T3-E1 cells.</t>
  </si>
  <si>
    <t>"LED irradiation of MC3T3-E1 cells stimulated with lipopolysaccharide in a high glucose-containing medium decreased the level of cyclooxygenase gene and protein expression and reduced the level of prostaglandin E2 expression by decreasing the amount of reactive oxygen species generation. LED irradiation also inhibited the osteoclastogenesis in MC3T3-E1 cells by regulating the receptor activator of nuclear factor kappa-B ligand and osteoprotegerin. 
These findings reveal the mechanisms which are important in the pathogenesis of diabetic periodontitis and highlight the beneficial effects of 635 nm LED irradiation in reducing the adverse effects of diabetic periodontitis."</t>
  </si>
  <si>
    <t>Austria
(Klosterneuburg)</t>
  </si>
  <si>
    <t>Effects of low power laser-irradiation on differential blood count and body temperature in endotoxin-preimmunized rabbits.</t>
  </si>
  <si>
    <t>633+
660</t>
  </si>
  <si>
    <t>"These results seem to indicate that a single low power laser irradiation can modulate immune-responses depending on the immunological status of the organism."</t>
  </si>
  <si>
    <t>Ohshiro T (?)</t>
  </si>
  <si>
    <t>Immunological Aspects of LLLT</t>
  </si>
  <si>
    <t>Genah</t>
  </si>
  <si>
    <t>Effect of NIR Laser Therapy by MLS-MiS Source on Fibroblast Activation by Inflammatory Cytokines in Relation to Wound Healing</t>
  </si>
  <si>
    <t>"To study the cellular and molecular events associated with the anti-inflammatory activity of PBMT by a dual-wavelength NIR laser source, human dermal fibroblasts were exposed to a mix of inflammatory cytokines (IL-1β and TNF-α) followed by laser treatment once a day for three days. Inducible inflammatory key enzymatic pathways, as iNOS and COX-2/mPGES-1/PGE2, were upregulated by the cytokine mix while PBMT reverted their levels and activities."</t>
  </si>
  <si>
    <t>Sakurai</t>
  </si>
  <si>
    <t>Eur J Oral Sci</t>
  </si>
  <si>
    <t>Inhibitory effect of low-level laser irradiation on LPS-stimulated prostaglandin E2 production and cyclooxygenase-2 in human gingival fibroblasts.</t>
  </si>
  <si>
    <t>0.95-
6.32</t>
  </si>
  <si>
    <t>"In conclusion, low-level laser irradiation inhibited PGE2 by LPS in hGF cells through a reduction of COX-2 mRNA level.
The findings suggest that low-level laser irradiation may be of therapeutic benefit against the aggravation of gingivitis and periodontitis by bacterial infection."</t>
  </si>
  <si>
    <t>Injection-site reaction</t>
  </si>
  <si>
    <t>Yoo</t>
  </si>
  <si>
    <t>Efficacy of combination light-emitting diode (635 and 830 nm) therapy in treating local injection-site reactions after filler.</t>
  </si>
  <si>
    <t>635+
830</t>
  </si>
  <si>
    <t>"The inflammatory reaction gradually disappeared over the next 7 days (Fig. 1c,d)"</t>
  </si>
  <si>
    <t>Keratinocytes</t>
  </si>
  <si>
    <t>Sá</t>
  </si>
  <si>
    <t>J Oral Biol Craniofac Res</t>
  </si>
  <si>
    <t>Effect of photobiomodulation on inflammatory cytokines produced by HaCaT keratinocytes</t>
  </si>
  <si>
    <t>"HaCaT cells increased the production of inflammatory cytokines when stimulated with infrared laser compared to the control group (IFN-α2, IFN-γ, TNF-α, MCP-1, IL-6, IL-8, IL-10, IL -12p70, IL -17A, IL-23, IL-33), the red laser group (IFN-γ and IL-23) and the group of two lasers used simultaneously (IFN-α2, IFN-γ, IL-6 and IL-8, IL-17A, IL-18 and IL-23) (p &lt; 0.05). The red laser also stimulated an increase in the expression of IFN-α2 by HaCaT cells in relation to the control group (p &lt; 0.05)."</t>
  </si>
  <si>
    <t>Salman</t>
  </si>
  <si>
    <t>France
(Orsay)</t>
  </si>
  <si>
    <t>Photobiomodulation Controls Keratinocytes Inflammatory Response through Nrf2 and Reduces Langerhans Cells Activation</t>
  </si>
  <si>
    <t>520
660</t>
  </si>
  <si>
    <t>"Primary human keratinocytes (KCs) stimulated with 2,4-dinitrochlorobenzene (DNCB) to mimic pro-inflammatory stress were illuminated with two wavelengths: 660 nm or 520 nm. Both lights significantly reduced the mRNA expression of the DNCB-triggered TNF-α, IL-6, and IL-8 cytokines in KCs, while they enhanced Nrf2 pathway activation. PBM-induced Nrf2 is a key regulator of the inflammatory response in KCs since its absence abolished the regulatory effect of light on cytokines production."</t>
  </si>
  <si>
    <t>Leukocytes</t>
  </si>
  <si>
    <t>Sousa</t>
  </si>
  <si>
    <t>Effects of the phenotypic polarization state of human leukocytes on the optical absorbance spectrum</t>
  </si>
  <si>
    <t>"The three types of leukocytes exhibited absorbance in the region from 450 to 900 nm, with greater absorbance at wavelengths lower than 570 nm. Lymphocytes had a second region of greater absorbance between 770 and 900 nm. Inflammatory monocytes and lymphocytes showed increased absorbance of blue, green and yellow wavelengths (monocytes), as well as red and infrared wavelengths (monocytes and lymphocytes)."
"The present findings showed that leukocytes exhibit greater absorbance in regions of the spectrum that have not been much used in photobiomodulation (PBM), and the polarization of these cells can affect their capacity to absorb light. Taken together, these results suggest new perspectives in the use of PBM in the clinical setting depending on the wavelengths and the stage of the inflammatory process."</t>
  </si>
  <si>
    <t>Belotsky</t>
  </si>
  <si>
    <t>Israel
(Ramat-Gan)</t>
  </si>
  <si>
    <t>Visible light affects chemiluminescence of carp (Cyprinus carpio) blood leukocytes.</t>
  </si>
  <si>
    <t>5
12</t>
  </si>
  <si>
    <t>"These data show the inhibitory effect of visible light irradiation on blood leukocyte CL response in fish. These results suggest the prevention of host hyper-response which may occur under natural conditions of fish life. An Electron Paramagnetic Resonance (EPR) study of illuminated carp blood cells reveals the formation of Ascorbate free radicals (AFR) that may explain the decrease in reactive oxygen species (ROS) concentration following irradiation."</t>
  </si>
  <si>
    <t>Klebanov</t>
  </si>
  <si>
    <t>Mechanism of therapeutic effect of low-intensity infrared laser radiation.</t>
  </si>
  <si>
    <t>Polymorphonuclear leukocytes</t>
  </si>
  <si>
    <t>"A dose-dependent priming of polymorphonuclear leukocytes induced by infrared low-intensity laser irradiation was demonstrated."</t>
  </si>
  <si>
    <t>Effects of low-level laser irradiation on human blood lymphocytes in vitro.</t>
  </si>
  <si>
    <t>Whole blood irradiation
Wavelength comparison</t>
  </si>
  <si>
    <t>405
589
780</t>
  </si>
  <si>
    <t>36
54
72
90</t>
  </si>
  <si>
    <t>"At a wavelength of 589 nm and fluence of 72 J/cm2, irradiation of whole blood samples showed a significant increase in CD45 lymphocytes and natural killer (NK) (CD16, CD56) cells, but no significant changes in CD3 T lymphocytes, T-suppressor (CD3, CD8) cells, T-helper (CD3, CD4) cells, and CD19 B lymphocytes when compared with their non-irradiated counterparts. Our results clearly demonstrate that NK cell count is altered by irradiation, which ultimately affects the whole lymphocyte count significantly."</t>
  </si>
  <si>
    <t>Cheong</t>
  </si>
  <si>
    <t>Irradiation of light emitting diode at 850nm inhibits T cell-induced cytokine expression.</t>
  </si>
  <si>
    <t>415-
940</t>
  </si>
  <si>
    <t>"Lower doses of LED irradiation at 850nm inhibited T cell-derived cytokines without inducing cell death in both Jurkat T cells and human T cells. Repeated exposure resulted in a greater increase of inhibitory effects than that observed with a single exposure, and these effects were identified in the NC/Nga AD model."
"Although more remains to be clarified, these results may support the clinical application of LED for immune regulation."</t>
  </si>
  <si>
    <t>Manteifel &amp; Karu</t>
  </si>
  <si>
    <t>Izv Akad Nauk Ser Biol</t>
  </si>
  <si>
    <t>[Loosening of condensed chromatin in human blood lymphocytes exposed to irradiation with a low-energy He-Ne laser]. 
[Article in Russian]</t>
  </si>
  <si>
    <t>"It was shown that, 1 h after irradiation of human blood lymphocytes with a He-Ne laser at 56 J/m2 (5.6 W/m2, 10 s), the relative optical density of condensed chromatin masses observed in ultrathin sections was decreased (p &lt; 0.01); i.e., the condensed chromatin became less compact. Such transition of condensed chromatin to a more "open" state may improve its availability for regulatory proteins and transcriptional factors.
The irradiation also results in dispersion of condensed chromatin clumps in the nucleoplasm and enhancement of their angularity, i.e., in extension of the clump surface. These shifts, correlating with the activation of transcription, may be due to decompaction of the chromatin fibers not only on the periphery of chromatin clusters in the center of the nucleus, but also within the masses of condensed chromatin."</t>
  </si>
  <si>
    <t>The effects of light-emitting diode irradiation at 610 nm and 710 nm on murine T-cell subset populations.</t>
  </si>
  <si>
    <t>610
710</t>
  </si>
  <si>
    <t xml:space="preserve">"The population of CD4+ T cells increased significantly in 710 nm group on day 28 (p &lt; 0.05), but it did not increase in the 610 nm or control group."
</t>
  </si>
  <si>
    <t>The effects of daily irradiation with polychromatic visible polarized light on human lymphocyte populations.</t>
  </si>
  <si>
    <t>🧑 Human
🎲 Randomized trial, double-blind
👥 33 participants
⌛ 28 days</t>
  </si>
  <si>
    <t>540-
780</t>
  </si>
  <si>
    <t>156.9
mm2
front
aperture</t>
  </si>
  <si>
    <t>28
/ 28 days</t>
  </si>
  <si>
    <t>"The absolute count of total lymphocytes, CD3(+) lymphocytes, and CD3(+)CD4(+) lymphocytes increased by 7% (p = 0.023), 9% (p = 0.058), and 13% (p = 0.021), respectively. Yet the absolute count of WBCs, CD3(+)CD8(+), CD19(+), and CD16(+)56(+) lymphocytes did not change significantly."
"The application of polychromatic visible polarized light with the aforementioned features increases the CD3(+)CD4(+) lymphocyte population. It is suggested that this regimen may be useful for the promotion of natural defenses in cell-mediated immunity."
Comment: The power density is reported as "3.0 E-10 W/cm2". That doesn't seem plausible, if that would mean "3.0 * 10^(-10) W/cm". Maybe they mean 0.300 W/cm2 which would be quite likely?</t>
  </si>
  <si>
    <t>Device: "A polychromatic visible polarized light source (Photomedi™, Polaray-750, Seoul, South Korea) was used with the following technical characteristics: wave length 540–780 nm, degree of polarization 68%, power density 3.0 E–10 W/cm2."</t>
  </si>
  <si>
    <t>Dube</t>
  </si>
  <si>
    <t>India
(Indore)</t>
  </si>
  <si>
    <t>He-Ne laser irradiation protects B-lymphoblasts from UVA-induced DNA damage.</t>
  </si>
  <si>
    <t>Dose response
Ultraviolet-induced damage (to DNA)</t>
  </si>
  <si>
    <t>0.5
1.0
1.5
2.0
2.5</t>
  </si>
  <si>
    <t>"He-Ne laser pre-irradiation was observed to result in a dose-dependent decrease in UVA-induced DNA damage. This effect was also found to be dependent on the incubation period between He-Ne laser pre-irradiation and the UVA exposure. Whereas the control cells with a higher DNA damage point to an initial ability of faster repair, both the control and the He-Ne laser pre-irradiated cells subsequently show the same rate of DNA repair. The results suggest that He-Ne laser irradiation protect the cells from UVA-induced DNA damage primarily through an influence on processes that prevent an initial DNA damage."</t>
  </si>
  <si>
    <t>Miyazaki</t>
  </si>
  <si>
    <t>Biosci Biotechnol Biochem</t>
  </si>
  <si>
    <t>Oxidative stress by visible light irradiation suppresses immunoglobulin production in mouse spleen lymphocytes.</t>
  </si>
  <si>
    <t>Spleen lymphocytes
Polychromatic light 🌈 (halogen lamp 300W)</t>
  </si>
  <si>
    <t>broad</t>
  </si>
  <si>
    <t>"Intracellular phosphatidylcholine hydroperoxide (PCOOH) levels and thiobarbituric acid-reactive substances (TBARS) values in culture supernatants were measured as indices of lipid peroxidation and we found that Ig production by mouse spleen lymphocytes was suppressed accompanied with the progress of peroxidation of intracellular phospholipids. Cell membrane fluidity was also significantly decreased, but the intracellular Ig level was not changed in the irradiated cells. These results suggest that the peroxidation of intracellular lipids is a cause of the suppression of Ig production by mouse spleen lymphocytes via lowering cell viability and suppressing Ig synthesis and secretion."</t>
  </si>
  <si>
    <t>Tong</t>
  </si>
  <si>
    <t>Effects of Different Wavelengths of Low Level Laser Irradiation on Murine Immunological Activity and Intracellular Ca2+ in Human Lymphocytes and Cultured Cortical Neurogliocytes</t>
  </si>
  <si>
    <t>Human lymphocytes
Cultured cortical neurogliocytes
Green light 🟢
Wavelength comparison</t>
  </si>
  <si>
    <t>532
633
650
810
1300
1520</t>
  </si>
  <si>
    <t>"Results showed that the ILLLI at wavelengths of 532 nm, 632.8 nm and 650 nm, produced a significant increase in the proliferation of BMC and the NK activity."
"The production of IL-2 was greatly promoted after irradiation at 632.8 nm and 650 nm."
"After irradiation at 532 nm and 650 nm, the murine MLR was evidently enhanced, and MRT was dramatically increased only after irradiation at 632.8 nm."
"In addition, [Ca2+]i in single human lymphocytes and CCN were increased after LLLI at wavelengths of 532 nm, 632.8 nm and 650 nm, respectively, whereas they were not significantly affected by the wavelengths of 810 nm and 1300 nm."
"Our results indicated that LLLI could induce significant and different effects on the immunological activities of the mice and cause an increase in [Ca2+]i in single human lymphocytes and CCN. Furthermore, these effects are dependent on the wavelengths, for example, more positive effects produced by the wavelengths of 532 nm, 632.8 nm and 652 nm than those produced by the wavelengths of 810 nm, 1300 nm and 1520 nm."</t>
  </si>
  <si>
    <t>Stadler</t>
  </si>
  <si>
    <t>In vitro effects of low-level laser irradiation at 660 nm on peripheral blood lymphocytes.</t>
  </si>
  <si>
    <t>Whole blood irradiation</t>
  </si>
  <si>
    <t>0-
5.0</t>
  </si>
  <si>
    <t>"Lymphocyte proliferation was significantly higher (P&lt;0.05) as expressed by a Stimulation Index in samples irradiated in the presence of whole blood compared with lymphocytes irradiated after isolation from whole blood. Free radical and lipid peroxide production also increased significantly when samples were irradiated in the presence of red blood cells."
"The present study supports the hypothesis that one mechanism for the photobiostimulation effect after irradiation at 660 nm is the reaction of light with hemoglobin, resulting in oxygen radical production."</t>
  </si>
  <si>
    <t>Inoue</t>
  </si>
  <si>
    <t>Japan
(Otsu)</t>
  </si>
  <si>
    <t>Clin Exp Rheumatol</t>
  </si>
  <si>
    <t>Altered lymphocyte proliferation by low dosage laser irradiation.</t>
  </si>
  <si>
    <t>"The effect of gallium-aluminum-arsenide laser irradiation on the proliferation of human lymphocytes in culture in response to mitogenic stimulation by phytohemagglutinin was investigated. Mitogenic proliferation was inhibited by the laser irradiation at a low energy fluence and enhanced at a high energy fluence. The results indicate that low-watt laser irradiation can interfere with the immune response in vitro, and similar interference could occur in patients with rheumatoid arthritis subjected to laser therapy, if an appropriate dosage is chosen."</t>
  </si>
  <si>
    <t>Meyers</t>
  </si>
  <si>
    <t>Effects of low-watt helium neon laser radiation on human lymphocyte cultures.</t>
  </si>
  <si>
    <t>1.033</t>
  </si>
  <si>
    <t>0.29</t>
  </si>
  <si>
    <t>d = 0.67 mm</t>
  </si>
  <si>
    <t>"The present report failed to show any increase in DNA production in irradiated lymphocytes or any potentiation of mitogenic effect of phytohemagglutinin. Based on our findings and the reports of others, it appears that any potentiating effect of HeNe lasers on lymhocytes is due to biophysical alteration of cellular subsystems rather than to a stimulation of DNA production or cellular regeneration. It is difficult to draw conclusions about the ultimate clinical usefulness of HeNe immune potentiation based on tissue culture studies. Optimal exposure conditions need to be ascertained. In addition, the role of low-watt biostimulation is clouded by imprecise dosimetry."
Comment: The dose might have been too high.</t>
  </si>
  <si>
    <t>Lymphoid organs</t>
  </si>
  <si>
    <t>Odinokov &amp; Hamblin</t>
  </si>
  <si>
    <t>Hong Kong &amp; USA</t>
  </si>
  <si>
    <t>Aging of lymphoid organs: Can photobiomodulation reverse age-associated thymic involution via stimulation of extrapineal melatonin synthesis and bone marrow stem cells?</t>
  </si>
  <si>
    <t>Macrophage-like cells</t>
  </si>
  <si>
    <t>Photobiomodulation with 660-nm and 780-nm laser on activated J774 macrophage-like cells: Effect on M1 inflammatory markers.</t>
  </si>
  <si>
    <t>15
70</t>
  </si>
  <si>
    <t>7.5
2.6</t>
  </si>
  <si>
    <t>20
1.5</t>
  </si>
  <si>
    <t>"Both lasers were able to reduce TNF-α and iNOS expression, and TNF-α and COX-2 production, although the parameters used for 780 nm laser provided an additional decrease. 660 nm laser parameters resulted in an up-regulation of IL-6 expression and production.
These findings imply a distinct, time-dependent modulation by the two different sets of laser parameters, suggesting that the best modulation may involve more than one combination of parameters."</t>
  </si>
  <si>
    <t>Macrophages (alveolar)</t>
  </si>
  <si>
    <t>Souza</t>
  </si>
  <si>
    <t>Low-level laser therapy suppresses the oxidative stress-induced glucocorticoids resistance in U937 cells: relevance to cytokine secretion and histone deacetylase in alveolar macrophages.</t>
  </si>
  <si>
    <t>"LLLT and dexa inhibited the LPS-stimulated U937 cells cytokines, but dexa effect disappeared with H2O2. With TSA, the LLLT was less effective on H2O2/LPS stimulated- U937 cells cytokines. Dexa failed on H2O2/LPS- induced HDAC, while LLLT restored the HDAC and the dexa effect. LLLT plus prostaglandin E2 (PGE2) increased cyclic adenosine monophosphate (cAMP) and potentiated the laser action on oxidative stress-induced cytokine. LLLT reduced the PI3K and its effects on cytokine and HDAC was suppressed with LY294002.
In situations of corticoid resistance, LLLT acts decreasing the cytokines and HDAC through the activation of the protein kinase A via the inhibition of PI3K."</t>
  </si>
  <si>
    <t>Low-level laser therapy associated to N-acetylcysteine lowers macrophage inflammatory protein-2 (MIP-2) mRNA expression and generation of intracellular reactive oxygen species in alveolar macrophages.</t>
  </si>
  <si>
    <t>"LLLT attenuated the MIP-2 mRNA expression and intracellular ROS generation after LPS or H(2)O(2). When the AM were pretreated with NAC, the laser effect was potentiated. BMS 205820 suppresses the effect of LLLT on MIP-2 mRNA expression and ROS generation, stimulated by LPS or H(2)O(2). On NF-κB transcription factor, both the LLLT and NAC reduced this protein in the AM exposed to LPS or H(2)O(2). The synergistic effect between LLLT and NAC on the reduction the NF-κB was also evidenced."</t>
  </si>
  <si>
    <t>Kumae &amp; Arakawa</t>
  </si>
  <si>
    <t>In vitro effects of therapeutic laser on superoxide generation from rat alveolar macrophage</t>
  </si>
  <si>
    <t>60
80</t>
  </si>
  <si>
    <t>10
15
15</t>
  </si>
  <si>
    <t>"These results indicate that laser photostimulation can modulate AM function, and that the effect does not depend on the total amount of energy applied, i.e., the output power multiplied by the treatment time. Furthermore, our results show that 60 mW is a suitable output power for activating AMS."</t>
  </si>
  <si>
    <t>Macrophages</t>
  </si>
  <si>
    <t>Photobiomodulation activates undifferentiated macrophages and promotes M1/M2 macrophage polarization via PI3K/AKT/mTOR signaling pathway</t>
  </si>
  <si>
    <t>0.5
5.0
10.0</t>
  </si>
  <si>
    <t>"These suggest that 980 nm PBM could activate M0-type macrophages and increase M2/M1 ratio via the PI3K/AKT/mTOR pathway."</t>
  </si>
  <si>
    <t>Anti-Inflammatory Effects Induced by Near-Infrared Light Irradiation through M2 Macrophage Polarization</t>
  </si>
  <si>
    <t>Mechanisms
Biphasic dose response
Polychromatic light 🌈</t>
  </si>
  <si>
    <t>(30)
60
(90)
(120)</t>
  </si>
  <si>
    <t>"The purpose of this study is to elucidate NIR-induced molecular mechanisms on macrophages because macrophages play initial roles in directing immune responses by their M1 or M2 polarizations.
Proteomic analysis revealed that NIR radiation enhanced the expression of mitochondrial respiratory gene citrate synthase. This increased citrate synthase expression was triggered by NIR-induced H3K4 hypermethylation on the citrate synthase gene promoter but not by heat, which led to macrophage M2 polarization and finally resulted in TGFβ1 release from CD4+ cells. These cellular effects were validated in human primary macrophages and abdominal NIR-irradiated mouse experiments.
In a phorbol 12-myristate 13-acetate‒induced inflammatory model on mouse ear, we confirmed that NIR irradiation induced significant anti-inflammatory effects through decreased M1 counts, reduced TNF-α, and increased CCL22 and/or TGFβ1 levels."</t>
  </si>
  <si>
    <t>Golovynska</t>
  </si>
  <si>
    <t>Macrophages Modulated by Red/NIR Light: Phagocytosis, Cytokines, Mitochondrial Activity, Ca 2+ Influx, Membrane Depolarization and Viability</t>
  </si>
  <si>
    <t>"In this study, the effect of red (650 nm) and NIR (808 nm) light on phagocytosis (respiratory burst), cytokine expression, mitochondrial activity, ROS generation, Ca2+ influx and membrane depolarization in macrophages in vitro is investigated.
Both the phagocytic capacity and adhesion of macrophages strongly (˜2.5 times) increased in the first hours after exposure to light in a dose-dependent manner. The light-evoked upregulation of phagocytosis is found to be less efficient than the maximal pharmacologically induced enhancement of ˜3.2 times. 
Also, red/NIR light reduces the production of pro-inflammatory cytokines and activates the secretion of anti-inflammatory cytokines by several times in activated macrophages.
At the same time, the viability shows a biphasic dose response: it increases after irradiation with lower doses (0.3-1 J cm-2 ) and decreases after treatment with higher doses (18-30 J cm-2 ), which is apparently associated with the upregulation of ROS generation, followed by an increase in the mitochondrial activity."</t>
  </si>
  <si>
    <t>Brazil
(Porto Velho)</t>
  </si>
  <si>
    <t>Photobiomodulation induces murine macrophages polarization toward M2 phenotype</t>
  </si>
  <si>
    <t>Bothrops jararacussu venom
LED phototherapy</t>
  </si>
  <si>
    <t>"Here we explored the effects of LED treatment on isolated macrophage under Bothrops jararacussu venom. Results showed that LED induced IL-6 and TNF-α genes down-regulation and, TGF and ARG1 genes up-regulation which indicates a polarization of macrophages to an M2 phenotype contributing to both tissue repair and resolution of inflammation."</t>
  </si>
  <si>
    <t>Attenuation of the inflammatory response and polarization of macrophages by photobiomodulation.</t>
  </si>
  <si>
    <t>LPS + interferon gamma
Dose response
Biphasic dose response</t>
  </si>
  <si>
    <t>"PBM irradiation of classically activated macrophages significantly increased the cell viability and inhibited reactive oxygen species generation. 
PBM suppressed the expression of a marker of classically activated macrophages, inducible nitric oxide synthase; decreased the mRNA expression and secretion of pro-inflammatory cytokines, tumor necrosis factor alpha, and interleukin-1 beta; and increased the secretion of monocyte chemotactic protein 1. 
Exposure to PBM likewise significantly reduced the expression and phosphorylation of NF-κB p65 in classically activated BMDMs.
Taken together, these results suggest that PBM can successfully modulate inflammation and polarization in classically activated BMDMs. The present study provides a theoretical basis to support wider clinical application of PBM in the treatment of SCI."</t>
  </si>
  <si>
    <t>Low-level laser therapy 810-nm up-regulates macrophage secretion of neurotrophic factors via PKA-CREB and promotes neuronal axon regeneration in vitro.</t>
  </si>
  <si>
    <t>"The results showed that LLLT irradiation decreased the expression of M1 macrophage-specific markers, and increased the expression of M2 macrophage-specific markers. Through forward and reverse experiments, we verified that LLLT can promote the secretion of various neurotrophic factors by activating the PKA-CREB pathway in macrophages and finally promote the regeneration of axons."</t>
  </si>
  <si>
    <t>de Brito Sousa</t>
  </si>
  <si>
    <t>Differential expression of inflammatory and anti-inflammatory mediators by M1 and M2 macrophages after photobiomodulation with red or infrared lasers.</t>
  </si>
  <si>
    <t>"The aim of the present study was to evaluate the effects of red and infrared PBM on the mRNA expression of cytokines and chemokines in macrophages polarized to the M1 and M2 phenotypes."
"Although red and infrared PBM were able to modulate and reduce M1/M2a-related markers, infrared laser irradiation promoted a temporal increase in the expression of TGFβ1 in M2 macrophages. 
Thus, depending on the time PBM is used on injured tissue, different parameters can promote optimal results by modulating specific macrophage phenotypes."</t>
  </si>
  <si>
    <t>Photo-enhancement of macrophage phagocytic activity via Rac1-mediated signaling pathway: Implications for bacterial infection.</t>
  </si>
  <si>
    <t>Listeria infection</t>
  </si>
  <si>
    <t>633
(in vitro)
633
(in vivo)</t>
  </si>
  <si>
    <t>0.0033
0.0066
0.0133</t>
  </si>
  <si>
    <t>1
2
4
2
(peritoneal
cavity)</t>
  </si>
  <si>
    <t>300
300
300
300</t>
  </si>
  <si>
    <t>"Here, we demonstrated for the first time that LPLI enhanced the phagocytic activity of macrophages by stimulating the activation of Rac1. The overexpression of constitutively activated Rac1 clearly enhanced LPLI-induced phagocytosis, whereas the overexpression of dominant negative Rac1 exerted the opposite effect. The phosphorylation of cofilin was involved in the effects of LPLI on phagocytosis, which was regulated by the membrane translocation and activation of Rac1.
Furthermore, the photoactivation of Rac1 was dependent on the Src/PI3K/Vav1 pathway. The inhibition of the Src/PI3K pathway significantly suppressed LPLI-induced actin polymerization and phagocytosis enhancement.
Additionally, LPLI-treated mice exhibited increased survival and a decreased organ bacterial load when challenged with Listeria monocytogenes, indicating that LPLI enhanced macrophage phagocytosis in vivo."
"These findings highlight the important roles of the Src/PI3K/Vav1/Rac1/cofilin pathway in regulating macrophage phagocytosis and provide a potential strategy for treating phagocytic deficiency via LPLI."</t>
  </si>
  <si>
    <t>Braz J Phys Ther</t>
  </si>
  <si>
    <t>Effect of low-level laser therapy on the modulation of the mitochondrial activity of macrophages.</t>
  </si>
  <si>
    <t>Mitochondrial activity
Wavelength comparison</t>
  </si>
  <si>
    <t>15
70</t>
  </si>
  <si>
    <t>7.5
3</t>
  </si>
  <si>
    <t>"After 1 day of culture, activated and 780 nm irradiated macrophages showed lower MA than activated macrophages, but activated and 660 nm irradiated macrophages showed MA similar to activated cells. After 3 days, activated and irradiated (660 nm and 780 nm) macrophages showed greater MA than activated macrophages, and after 5 days, the activated and irradiated (660 nm and 780 nm) macrophages showed similar MA to the activated macrophages."</t>
  </si>
  <si>
    <t>Irradiation with 780 nm diode laser attenuates inflammatory cytokines but upregulates nitric oxide in lipopolysaccharide-stimulated macrophages: implications for the prevention of aneurysm progression.</t>
  </si>
  <si>
    <t>"LLLI reduced gene expression of MCP-1, IL-1alpha, IL-10 (P&lt;0.01), IL-1beta, and IL-6 (P&lt;0.05) when cells were stimulated by 1 microg/ml LPS. LLLI reduced LPS-induced secretion of MCP-1 over non-irradiated cells by 17+/-5% and 13+/-5% at 12 hours (0.1 and 1 microg/ml LPS; P&lt;0.01 and P=0.05, respectively), and reduced IL-1beta by 22+/-5% and 25+/-9% at 24 hours (0.1 and 1 microg/ml LPS, P=0.01 and P=0.06, respectively)."
"These properties of LLLI [...] may be of profound therapeutic relevance for arterial diseases such as aneurysm where inflammatory processes and weakening of the matrix structure of the arterial wall are major pathologic components."</t>
  </si>
  <si>
    <t>Modulation of macrophage structure and function by low level He-Ne laser irradiation.</t>
  </si>
  <si>
    <t>"He-Ne laser irradiation was observed to lead to significant changes in all the parameters investigated. While lysozyme activity and spreading of the peripheral membrane were found to increase with the irradiation dose over the dose range investigated, the phagocytotic activity of macrophages, the activity of cathepsin, the observed decease in cell membrane fluidity and the observed increase in NAD(P)H level showed a peak at 200 J m(-2). Possible reasons for and the significance of the observed correlations are discussed."</t>
  </si>
  <si>
    <t>The effect of polarized light on the release of growth factors from the u-937 macrophage-like cell line</t>
  </si>
  <si>
    <t>Polarization</t>
  </si>
  <si>
    <t>1.44
2.88</t>
  </si>
  <si>
    <t>"The proliferative response was greatest in the cultures exposed to supernatants from macrophages treated with the 95% polarized light source. A treatment time of 120 s was more effective than that of 60 s."</t>
  </si>
  <si>
    <t>China
(Inner Mongolia)</t>
  </si>
  <si>
    <t>The activating action of low level helium neon laser radiation on macrophages in the mouse model</t>
  </si>
  <si>
    <t>3.1</t>
  </si>
  <si>
    <t>"The results indicated that the HeNe laser may exert an activating influence upon the immune response of the mononuclear macrophage system both in vivo and in vitro, and that additionally the degree of the influence is dose-related,"</t>
  </si>
  <si>
    <t>Macrophage responsiveness to light therapy with varying power and energy densities</t>
  </si>
  <si>
    <t>"By four days after the addition of medium conditioned by macrophages exposed to an energy density of 2.4 J/cm2, there was a statistically significant difference in fibroblast number between the 400 mW/cm2- and 800 mW/cm2 treatments, 800mW/cm2 producing greater cell proliferation. However. there was no significant difference between the effects of sham irradiation and 400 mW/cm2. In contrast, after the addition of medium conditioned by macrophage exposed to an energy density of 7.2 J/cm2, 400 mW/cm2 treatment produced a significantly greater increase in fibroblast number than sham irradiation. There was no significant difference in cell number between the sham irradiated and 800 mW/cm2 irradiated samples, although there was a significant difference between the 400 mW/cm2 and the 800 mW/cm2. 400 mW/cm2 producing greater cell proliferation."</t>
  </si>
  <si>
    <t>Macrophage responsiveness to light therapy-a dose response study</t>
  </si>
  <si>
    <t>2.4-
9.6</t>
  </si>
  <si>
    <t>"It was found that by 96 h after addition of the macrophage-conditioned medium there was a statistically significant increase in fibroblast proliferation in the cells exposed lo supernatants from sham-irradlatet1 macrophages. The most effective energy density was found to be 7.2J/cm2 and the least effective 9.6 J/cm2."</t>
  </si>
  <si>
    <t>Young</t>
  </si>
  <si>
    <t>Macrophage responsiveness to light therapy.</t>
  </si>
  <si>
    <t>Lasers vs non-coherent
Wavelength comparison</t>
  </si>
  <si>
    <t>660
820
870
880</t>
  </si>
  <si>
    <t>"The results showed that 660-nm, 820-nm, and 870-nm wavelengths encouraged the macrophages to release factors that stimulated fibroblast proliferation above the control levels, whereas the 880-nm wavelength either inhibited the release of these factors or encouraged the release of some inhibitory factors of fibroblast proliferation. These results suggest that light at certain wavelengths may be a useful therapeutic agent by providing a means of either stimulating or inhibiting fibroblast proliferation where necessary. At certain wavelengths coherence is not essential."</t>
  </si>
  <si>
    <t>Mast cells</t>
  </si>
  <si>
    <t>Araújo</t>
  </si>
  <si>
    <t>Effects of Violet and IR LED Light on mast cell degranulation: in vivo study in a murine model</t>
  </si>
  <si>
    <t>405
850</t>
  </si>
  <si>
    <t>"In the superficial connective tissue and muscular tissues, violet LED light caused a significant increase in both total number and degranulated mast cells when compared to the control group immediately after irradiation. 
The degranulation indexes were higher in the groups irradiated with Violet light, both in superficial connective tissue and muscular tissues in relation to the timing. 
Irradiation with IR LED caused immediate increase in the total number and degranulated of mast cells when compared to the control group only in the superficial connective tissue. 
In all times observed, the highest total amount of mast cells was seen immediately after irradiation, except in the muscular tissue, which presented the highest amount after 20-min. 
It was concluded that IR and violet LED light were able to increase the number of mast cells and inducing degranulation in oral mucosa. However, considering that violet LED light can be harmful in periodontal disease, it seems that the use of IR LED light could be the best option in Dentistry."</t>
  </si>
  <si>
    <t>Kouhkheil</t>
  </si>
  <si>
    <t>Impact of Photobiomodulation and Condition Medium on Mast Cell Counts, Degranulation, and Wound Strength in Infected Skin Wound Healing of Diabetic Rats.</t>
  </si>
  <si>
    <t>"On day 15, the PBM+CM, PBM, and CM groups had significantly increased wound strength compared with the control group."
"There was a significant decrease in colony-forming units (CFU) at all time points in the PBM+CM and PBM groups. The PBM+CM and PBM groups had more stable MCs (T1MCs), less significant degranulated MCs (T2MCs), less significant disintegrated MCs (T3MCs), and less significant TOMCs compared with the control group at all time points. "
Comment: The measurements were done on days 4, 7 and 15.</t>
  </si>
  <si>
    <t>Device: Mustang 2000 (Technica Co, Russia)</t>
  </si>
  <si>
    <t>China &amp; Germany</t>
  </si>
  <si>
    <t>TRPV Channels in Mast Cells as a Target for Low-Level-Laser Therapy.</t>
  </si>
  <si>
    <t>"Low-level laser irradiation in the visible as well as infrared range is applied to skin for treatment of various diseases. Here we summarize and discuss effects of laser irradiation on mast cells that leads to degranulation of the cells. This process may contribute to initial steps in the final medical effects. We suggest that activation of TRPV channels in the mast cells forms a basis for the underlying mechanisms and that released ATP and histamine may be putative mediators for therapeutic effects."</t>
  </si>
  <si>
    <t>de Carvalho Monteiro</t>
  </si>
  <si>
    <t>Effect of LED red and IR Photobiomodulation in tongue mast cells in Wistar rats: histological study.</t>
  </si>
  <si>
    <t>850
630</t>
  </si>
  <si>
    <t>21.9</t>
  </si>
  <si>
    <t>"Our results lead us to conclude that both red and IR-LED light caused increased mast cell degranulation and that IR-LED light resulted in a greater number of mast cells."</t>
  </si>
  <si>
    <t>Mitochondrial signaling for histamine releases in laser-irradiated RBL-2H3 mast cells.</t>
  </si>
  <si>
    <t>405
532
633</t>
  </si>
  <si>
    <t>"The action bands of laser irradiations were consistent with the absorption bands of cytochrome c oxidase, suggesting that cytochrome c oxidase is the photoacceptor. After laser irradiation, (1) the cytochrome c releases from mitochondrial to cytosol reflecting an increased permeability of mitochondrial membrane, (2) the cytosolic alkalinization appears, (3) [Ca(2+)](i) increases, and (4) finally the enhancement of histamine release occurs. When Bcl-2 was used to inhibit the permeability of mitochondrial membrane these cellular signaling from (1) to (4) were all suppressed obviously."</t>
  </si>
  <si>
    <t>One mechanism behind led phototherapy for wound healing and skin rejuvenation: key role of the mast cell</t>
  </si>
  <si>
    <t>🧑 Human
📄 Non-randomized, self-controlled
👥 8 participants
⌛ single treatment / 3-day study</t>
  </si>
  <si>
    <t>"Biopsies were taken before and two days after irradiation and routinely prepared for transmission electron microscopy (TEM), and compared between baseline, irradiated and unirradiated tissue. 
The TEM in all postirradiated specimens, while clearly showing no damage to the irradiated tissue with all tissue components essentially morphologically normal, demonstrated a mild inflammatory response 48 hr after 830 nm irradiation with interstitial and perivascular oedema. A number of macrophages and leukocytes had been recruited into the irradiated tissue, and mast cells had increased in number and had either degranulated or were in the process of doing so. The unirradiated control tissue showed no such changes. 
The TEM findings in the present study showed a clearly-visible inflammatory response similar to the first phase of wound healing, a ‘quasi-wound’, but created athermally and atraumatically following a single treatment with 830 nm light, thereby kick-starting the inflammatory stage of the wound healing process which is recognized as absolutely necessary in achieving good subsequent collagen synthesis in the second phase of proliferation, followed by good remodeling in the third phase. 
Good results in skin rejuvenation, both ablative and non-ablative, have been well-linked to establishing the wound healing process. The 830 nm-mediated ‘quasi-wound’ may well be an essential element in light-only LED photorejuvenation."</t>
  </si>
  <si>
    <t>el Sayed &amp; Dyson</t>
  </si>
  <si>
    <t>Effect of laser pulse repetition rate and pulse duration on mast cell number and degranulation.</t>
  </si>
  <si>
    <t>0.800</t>
  </si>
  <si>
    <t>21.6</t>
  </si>
  <si>
    <t>"The total number of mast cells was increased significantly (P &lt; 0.05) by all the frequencies when compared to the sham-irradiated group, but there was no significant difference between frequencies (P &gt; 0.05). However, although the number of degranulated mast cells was higher in all laser-treated wounds, in comparison with the sham-irradiated group, only the 20 Hz (pulse duration 45 ms) and 292 Hz (pulse duration 3 ms) frequencies were significantly effective (P &lt; 0.05)."</t>
  </si>
  <si>
    <t>Comparison of the effect of multi-wavelength light produced by a cluster of semiconductor diodes and of each individual diode on mast cell number and degranulation in intact and injured skin.</t>
  </si>
  <si>
    <t>660
820
870
880
940
950
or
all</t>
  </si>
  <si>
    <t>"In intact skin, the cluster probe irradiation was followed by a statistically significant increase in the total number of mast cells compared to the sham-irradiated group, but the percentage of the degranulated mast cells was not affected. In the partial thickness wound, the cluster probe irradiation was also followed by a statistically significant increase in the total number of mast cells compared to the sham-irradiated group; however, there was, in addition, a significant increase in the percentage of degranulated mast cells.
Concerning the single probes, only the 660, 820, 940, and 950 nm wavelength emitters produced statistically significant increases in both mast cell number and degranulation in partial thickness wounds. However, when intact skin was irradiated with probes emitting these wavelengths, although the total number of mast cells was increased significantly, there was no change in degranulation compared with the sham-irradiated group. The effects observed were less than those of the cluster probe.
No significant differences were found between the 870 and 880 nm wavelength-irradiated, sham-irradiated, and untreated groups in either intact or injured skin."</t>
  </si>
  <si>
    <t>The action of low reactive level laser therapy (LLLT) on mast cells: A possibte pain relief mechanism examined</t>
  </si>
  <si>
    <t>4
15</t>
  </si>
  <si>
    <t>"The irradiated tongue tissue showed a significantly higher histamine level compared with the control. in addition, the level of histamine in the inlerstitial cellular medium and the degree of other histological changes such as vasodilation was significantly higher following a single irradiation with the He-Ne laser at the above settings, The observations from this study may serve as a further indication of a bioactivative effect of Lew reactive level laser therapy, a therapeutic process still not fully understood."</t>
  </si>
  <si>
    <t>MCP-1</t>
  </si>
  <si>
    <t>Fukuda</t>
  </si>
  <si>
    <t>Infrared low-level diode laser on serum chemokine MCP-1 modulation in mice.</t>
  </si>
  <si>
    <t>"There was no significant difference between the three periods in the sham group (p = 0.3). There was a lower concentration of MCP-1 in the laser III group compared to the laser I group (p = 0.05). The infrared LLLT showed a cumulative effect in the modulation of chemokine MCP-1 concentration. Three LLLT exposures were necessary to achieve the MCP-1 modulation."</t>
  </si>
  <si>
    <t>Monocytes</t>
  </si>
  <si>
    <t>Effects of amber LED on inflammatory and regulatory monocytes and lymphocytes</t>
  </si>
  <si>
    <t>"Human leukocytes were polarized with LPS or LPS + IL-4 for 2 h and irradiated after 2 and 6 h with amber LED (590 nm). Cell absorbance spectrum and gene and protein expression of IL-1β, IL-6, IL-10, IL-17, TNF-α and IFNγ determined after 24 h. 
The results showed that irradiation did not significantly alter absorbance of non-polarized monocytes, whereas irradiated polarized monocytes presented reduction in absorbance in 625-850 nm region. 
Irradiated monocytes polarized with LPS + IL-4 presented reduction in absorbance in 600-725 nm region compared to non-irradiated group. 
Irradiated non-polarized lymphocytes presented absorbance peaks between 650 and 820 nm not seen in non-irradiated group.  No difference was found in absorbance pattern of polarized lymphocytes after irradiation. 
Irradiation led to reduction in protein synthesis of IL-6 and TNFα in monocytes polarized to proinflammatory phenotype and increase in production of IL-17 in lymphocytes.
Irradiation reduced production of IL-10 in monocytes and lymphocytes polarized to immunoregulatory phenotype."</t>
  </si>
  <si>
    <t>Brazil
(Alfenas)</t>
  </si>
  <si>
    <t>Photobiomodulation enhances the Th1 immune response of human monocytes</t>
  </si>
  <si>
    <t>660
780</t>
  </si>
  <si>
    <t>200
400
600
200
400
600</t>
  </si>
  <si>
    <t>"PBM increased the expression of TNF-α (P = 0.0302) and the production of NO (P &lt; 0.05) and did not impair monocyte viability. PBM induces a pro-inflammatory Th1-driven response in monocytes and macrophages."</t>
  </si>
  <si>
    <t>Feehan</t>
  </si>
  <si>
    <t>Polarized light therapy: Shining a light on the mechanism underlying its immunomodulatory effects.</t>
  </si>
  <si>
    <t>U937 monocyte cells
Polychromatic light 🌈</t>
  </si>
  <si>
    <t>400-
3400</t>
  </si>
  <si>
    <t>"It was noted that six hours of PLT reduced the expression of the CD14, MHC I and CD11b receptors, and increased the expression of CD86. It was also shown that PLT caused down regulation of the genes IL1B, CCL2, NLRP3 and NOD1, and upregulation of NFKBIA and TLR9.
These findings imply that PLT has the capacity for immunomodulation in human immune cells, possibly exerting an anti-inflammatory effect."</t>
  </si>
  <si>
    <t>Device: Bioptron MedAll PAG-960 lamp (Bioptron, Switzerland)</t>
  </si>
  <si>
    <t>Spoto</t>
  </si>
  <si>
    <t>Effect of low energy light irradiation by light emitting diode on U937 cells.</t>
  </si>
  <si>
    <t>"We demonstrate that LED exposure, in the presence or absence of lipopolysaccharide (LPS), activates cell degranulation, increased expression of Interleukin-8 (IL-8) and modulation of beta galactosidase activity.
Evidence shows that the well-known pro-inflammatory nuclear factor kappa-light-chain-enhancer of activated B cells (NF-kB) and the apoptotic marker (caspase3/cleaved-caspase3 ratio) are up-regulated in response to a proinflammatory biochemical pathway."</t>
  </si>
  <si>
    <t>Mediators Inflamm</t>
  </si>
  <si>
    <t>Effects of low-level laser therapy on M1-related cytokine expression in monocytes via histone modification.</t>
  </si>
  <si>
    <t>U937 monocyte cells</t>
  </si>
  <si>
    <t>"The results showed that LLLT (660 nm) significantly enhanced M1-related cytokine and chemokine expression in mRNA and protein levels. Mitochondrial copy number and mRNA levels of complex I-V protein were increased by LLLT (1 J/cm(2)). Activation of M1 polarization was concomitant with histone modification at TNF-α gene locus and IP-10 gene promoter area.
This study indicates that LLLT (660 nm) enhanced M1-related cytokine and chemokine expression via mitochondrial biogenesis and histone modification, which may be a potent immune-enhancing agent for the treatment of allergic diseases."</t>
  </si>
  <si>
    <t>Mononuclear blood cells</t>
  </si>
  <si>
    <t>Gulsoy</t>
  </si>
  <si>
    <t>The biological effects of 632.8-nm low energy He-Ne laser on peripheral blood mononuclear cells in vitro.</t>
  </si>
  <si>
    <t>"Our results showed that He-Ne laser application enhanced the proliferation significantly. Moreover, laser dose was noted as a significant parameter."</t>
  </si>
  <si>
    <t>Funk</t>
  </si>
  <si>
    <t>Helium-neon laser irradiation induces effects on cytokine production at the protein and the mRNA level.</t>
  </si>
  <si>
    <t>"Results showed that cytokine production of cells stimulated with phytohemagglutinin (PHA), concanavalin A (Con A), or bacterial lipopolysaccharide (LPS) was altered significantly after laser irradiation"</t>
  </si>
  <si>
    <t>Cytokine production after helium-neon laser irradiation in cultures of human peripheral blood mononuclear cells.</t>
  </si>
  <si>
    <t>"When stimulating cells after irradiation, significantly increased levels of all cytokines were detected after 30 min of irradiation (18.9 J cm-2), whereas after 60 min of irradiation (37.8 J cm-2) cytokine levels were found to be significantly decreased."</t>
  </si>
  <si>
    <t>Neutrophils</t>
  </si>
  <si>
    <t>Migliario</t>
  </si>
  <si>
    <t>Near infrared laser irradiation induces NETosis via oxidative stress and autophagy</t>
  </si>
  <si>
    <t>"NETosis is a novel immune defense strategy in which neutrophil activation results in the formation of extracellular DNA/protein network which is able to kill microbial populations. NETosis can be induced in vitro by lipopolysaccharide (LPS) or phorbol myristate acetate (PMA). Due to the importance of NETosis in different physiological and pathological processes, photobiostimulation effect on this neutrophil activation mechanism has been investigated."
"Laser stimulation induced an energy-dependent neutrophil extracellular trap (NET) production in human granulocytes starting from 50-J laser intensity. ROS scavengers and the autophagy inhibitor were able to abrogate both morphological features of NETosis and extracellular DNA production without modifying the basal level of NETosis. Photobiostimulation induced an increase in NET production due to an increase in ROS levels and autophagy activation."</t>
  </si>
  <si>
    <t>Cerdeira</t>
  </si>
  <si>
    <t>Brazil&amp;USA</t>
  </si>
  <si>
    <t>Low-level laser therapy stimulates the oxidative burst in human neutrophils and increases their fungicidal capacity.</t>
  </si>
  <si>
    <t>Dolgushin</t>
  </si>
  <si>
    <t>Russia
(Chelyabinsk)</t>
  </si>
  <si>
    <t>Monitoring of the effect of low-intensity laser radiation with constant pulse generation on neutrophil granulocytes in vitro.</t>
  </si>
  <si>
    <t>"It was found that exposure to low-intensity laser radiation with constant pulse generation enhanced bactericidal activity of neutrophilic granulocytes, which manifested in the increase of the percent of neutrophils forming extracellular neutrophil traps."</t>
  </si>
  <si>
    <t>Yamaya</t>
  </si>
  <si>
    <t>Japan
(Hirosaki)</t>
  </si>
  <si>
    <t>Mechanistic Approach To Gaaias Diode Laser Effects On Production Of Reactive Oxygen Species From Human Neutrophils As A Model For Therapeutic Modality At Cellular Level</t>
  </si>
  <si>
    <t>"These results suggest that LLL irradiation enhances the ROS production activity of human neutrophils by the activation of the superoxide converting system, the active element in which is mainly myeloperoxidase. LLL irradiation enabled a more rapid activation of the superoxide production system, NADPH-oxidase."</t>
  </si>
  <si>
    <t>Nitric oxide synthase</t>
  </si>
  <si>
    <t>In vivo effects of low level laser therapy on inducible nitric oxide synthase.</t>
  </si>
  <si>
    <t>Zymosan-induced inflammation
Transgenic mice (FVB/N-Tg(iNOS-luc))
Wavelength comparison</t>
  </si>
  <si>
    <t>635
660
690
905</t>
  </si>
  <si>
    <t>"Animals younger than 15 weeks showed mostly reduction of iNOS expression, while older animals showed increased iNOS expression for some LLLT protocols. Intensity and time course of inducible nitric oxide expression was found to not only depend on wavelength, but also on the mode of delivery, continuous, or pulsed irradiation."
"LLLT exhibit different effects in induced inflammatory process according to different wavelengths and wave mode. Upregulation of iNOS gene following 905 nm pulsed wave suggests a different mechanism in activating the inflammatory pathway response when compared to the continuous wave."</t>
  </si>
  <si>
    <t>Sepsis</t>
  </si>
  <si>
    <t>Red light exaggerated sepsis-induced learning impairments and anxiety-like behaviors</t>
  </si>
  <si>
    <t>Not PBM</t>
  </si>
  <si>
    <t>"Our results suggested that red light exposure after sepsis in old mice causes gut microbiota dysfunction, thus stimulating signaling through the subdiaphragmatic vagus nerve that induces splenomegaly and aggravates learning impairments and anxiety-like behaviors."
Comment: This is not a PBM study. In this study, the light mice received was filtered by green or red plastic so red light group received roughly the same amount of red light as the control group.</t>
  </si>
  <si>
    <t>Improvement of host response to sepsis by photobiomodulation.</t>
  </si>
  <si>
    <t>d = 
5 cm</t>
  </si>
  <si>
    <t>"LI significantly improved ex-vivo lymphocyte proliferation of cells from septic rats (179.7 +/- 17.2 vs. 129.5 +/- 7.8; P &lt; 0.01) and enhanced survival in septic rats (79% vs. 42%; P &lt; 0.001). LI significantly stimulated lymphocyte proliferation in the presence of mitogenic stimuli and enhanced lymphocyte ATP synthesis (P &lt; 0.05)."
"LI improves the host immune response and survival rate in sepsis in an animal model. Our studies suggest that LI may be useful as an adjuvant therapy for sepsis."</t>
  </si>
  <si>
    <t>Spleen</t>
  </si>
  <si>
    <t>Single session to infrared low level diode laser on TNF-alpha and IL-6 cytokines release by mononuclear spleen cells in mice: a pilot study.</t>
  </si>
  <si>
    <t>1.2
(3p)</t>
  </si>
  <si>
    <t>"[T]here were no differences between the control and LLL group and between the sham and LLL groups (P &gt; 0.07)."</t>
  </si>
  <si>
    <t>Changes in oxidative metabolism of murine spleen following laser and superluminous diode (660-950 nm) irradiation: effects of cellular composition and radiation parameters.</t>
  </si>
  <si>
    <t>660-
950</t>
  </si>
  <si>
    <t>"Chemiluminescence (CL) of splenocytes of A/Sn mice was recorded after irradiation of the cells with various individual laser an superluminous diode probes at wavelengths from 660 to 950 nm (pulse repetition rates varying from 4 to 5,000 Hz) and at various doses. 
Laser radiation was found to increase or suppress the spontaneous CL of splenocytes suspension, the amplitude and the sign of the effect depending on the cellular composition of the samples.
Direct correlations between the effect of laser radiation (per cent in changes of CL when irradiated at 820 nm, 1.1 x 10(3) J/m2, 292 Hz) and per cent of plasmacytes (r = 0.743, P &lt; 0.001), neutrophils (r = 0.650, P &lt; 0.001) as well as myelocytes and metamyelocytes (r = 0.505, P &lt; 0.01) were established.
The correlation with per cent of lymphocytes (r = -0.590, P &lt; 0.001) was found to be a reverse one. Dependence of the irradiation effects on dose, pulse repetition rate, and wavelength are presented."</t>
  </si>
  <si>
    <t>Helium-neon laser-induced respiratory burst of phagocytic cells.</t>
  </si>
  <si>
    <t>Mouse spleen cells</t>
  </si>
  <si>
    <t>0.0007</t>
  </si>
  <si>
    <t>"It was found that laser radiation caused significant enhancement (180-250%) both of spontaneous chemiluminescence and Candida-induced chemiluminescence. The effective dose interval ranges from 100 to 300 J/m2, with a maximum at 200 J/m2. This finding shows that He-Ne laser irradiation can induce the respiratory burst (generation of reactive oxygen species having bactericidal activity) of phagocytic cells."</t>
  </si>
  <si>
    <t>Low level laser (LLL) attenuate LPS-induced inflammatory responses in mesenchymal stem cells via the suppression of NF-κB signaling pathway in vitro.</t>
  </si>
  <si>
    <t>Human adipose derived mesenchymal stem cells (hADSCs)</t>
  </si>
  <si>
    <t>11-16</t>
  </si>
  <si>
    <t>"LLL reduced the secretion of IL-1β, IL-6, IL8, ROS and NO in LPS treated MSCs. Immunofluorescent assay demonstrated the nuclear translocation decrease of NF-κB in LLL treated LPS induced MSCs. Western blot analysis also suggested that LLL suppressed NF-κB activation via regulating the phosphorylation of p65 and IκBα. MSC significantly reduced the expression of activation markers CD25 and CD69 on PHA-stimulated lymphocytes."
"The results indicate that LLL suppressed the activation of NF-κB signaling pathway in LPS treated MSCs through inhibiting phosphorylation of p65 and IκBα, which results in good anti-inflammatory effect. In addition, LLL attenuated activation-associated markers CD25 and CD69 in co-cultures of PBMC and 3 types of treated MSCs."</t>
  </si>
  <si>
    <t>Systemic inflammation</t>
  </si>
  <si>
    <t>Infrared low-level diode laser on inflammatory process modulation in mice: pro- and anti-inflammatory cytokines.</t>
  </si>
  <si>
    <t>Cultured spleen mononuclear cells after in vivo irradiation.</t>
  </si>
  <si>
    <t>"The low-level laser application decreased the TNF-α and IFN-γ release in vivo of spleen mononuclear cells in mice, especially after two exposure sessions. However, there was no modulation of the IL-6 and TGF-β1 release."</t>
  </si>
  <si>
    <t>Zhevago &amp; Samoilova</t>
  </si>
  <si>
    <t>Pro- and anti-inflammatory cytokine content in human peripheral blood after its transcutaneous (in vivo) and direct (in vitro) irradiation with polychromatic visible and infrared light.</t>
  </si>
  <si>
    <t>🧑 Human
🎲 Randomized trial, sham-controlled
👥 62 participants
⌛ 
+ ex vivo</t>
  </si>
  <si>
    <t>Systemic effects
Polychromatic light 🌈</t>
  </si>
  <si>
    <t>12
(or
2.4
ex
vivo)</t>
  </si>
  <si>
    <t>"A dramatic decrease in the level of pro-inflammatory cytokines TNF-alpha, IL-6, and IFN-gamma was revealed: at 0.5 h after exposure of volunteers (with the initial parameters exceeding the norm), the cytokine contents fell, on average, 34, 12, and 1.5 times. The reduced concentrations of TNF-alpha and IL-6 were preserved after four daily exposures, whereas levels of IFN-gamma and IL-12 decreased five and 15 times. 
At 0.5 h and at later times, the amount of anti-inflammatory cytokines was found to rise: that of IL-10 rose 2.7-3.5 times (in subjects with normal initial parameters) and of TGF-beta1 1.4-1.5 times (in the cases of its decreased level). A peculiarity of the light effect was a fast rise of IFN-gamma at 3.3-4.0 times in subjects with normal initial values. The content of IL-1beta, IL-2, IFN-alpha, and IL-4 did not change. "
"Similar regularities of the light effects were recorded after in vitro irradiation of blood, as well as on mixing the irradiated and non-irradiated autologous blood at a volume ratio 1:10 (i.e., at modeling the events in a vascular bed of the exposed person when a small amount of the transcutaneously photomodified blood contacts its main circulating volume)."
"Exposure of a small area of the human body to light leads to a fast decrease in the elevated pro-inflammatory cytokine plasma content and to an increase in the the anti-inflammatory factor concentration, which may be an important mechanism of the anti-inflammatory effect of phototherapy. These changes result from transcutaneous photomodification of a small volume of blood and a fast transfer of the light-induced changes to the entire pool of circulating blood."
"To conclude it should be noted the VIP light spectral range (480–3400 nm) as well as the energy ratio of its visible and IR components are similar to those of the terrestrial Solar radiation without its UV and blue rays. This means that exposures to Sun may result in human blood: a fast and gradual decrease of the elevated amount of pro-inflammatory mediators, and a significant increase of IFN-γ. As to the role of polarization in the biostimulating effects of the laser light, it has already being discussed for many decades, but our studies indicate that with equal power and energy density the polarized and non-polarized VIP lights induce rather similar effects."</t>
  </si>
  <si>
    <t>Vaccine adjuvanting</t>
  </si>
  <si>
    <t>Nanophotonics</t>
  </si>
  <si>
    <t>Brief exposure of skin to near-infrared laser augments early vaccine responses</t>
  </si>
  <si>
    <t>Influenza vaccination (intradermal injection)</t>
  </si>
  <si>
    <t>0.2
cm2
spot
size</t>
  </si>
  <si>
    <t>"The NIR laser adjuvant augmented early antibody responses, while the widely used alum adjuvant induced significantly delayed responses."
Quotes from the Introduction and Discussion parts:
"In the past decade, researchers have consistently reported that skin treatment with near-infrared (NIR) laser activates innate immunity and augments the immune response to the vaccine [31], [32], [33]. Currently, four classes of laser adjuvants have been established; ultra-short pulsed [34], nonpulsed [34], [35], [36], [37], [38], nonablative fractional [39], [40], [41], [42], [43], and ablative fractional [44], [45], [46], [47], [48], [49], [50], [51], [52] lasers. Each laser adjuvant shows a distinct mode of action, but all of them have been shown to stimulate innate responses and show adjuvant effects on vaccines."
"Amongst these laser adjuvants, nontissue damaging, continuous wave (CW) NIR laser holds a promise in clinical translation. Brief exposures of skin with nontissue damaging NIR laser have been reported to augment ID vaccination without applicable side effect [34, 35] and activate innate responses of the cluster of differentiation 103+ (CD103+) migratory dendritic cells (migDCs) in the skin [36, 37], which are pivotal in early and long-term adaptive memory responses [53], [54], [55], [56], [57]."
"There is evidence of diverse effects of exposures with low-power NIR light, which are broadly defined as photobiomodulation (PBM) [75]."</t>
  </si>
  <si>
    <t>T cells</t>
  </si>
  <si>
    <t>Korea
(Goyang-si)</t>
  </si>
  <si>
    <t>Irradiation of light emitting diode at 850 nm inhibits T cell-induced cytokine expression</t>
  </si>
  <si>
    <t>415
530
630
660
830
850
940</t>
  </si>
  <si>
    <t>2/5/10/
20/40</t>
  </si>
  <si>
    <t>"Lower doses of LED irradiation at 850nm inhibited T cell-derived cytokines without inducing cell death in both Jurkat T cells and human T cells. Repeated exposure resulted in a greater increase of inhibitory effects than that observed with a single exposure, and these effects were identified in the NC/Nga AD model."</t>
  </si>
  <si>
    <t>Kimizuka</t>
  </si>
  <si>
    <t>Vaccine</t>
  </si>
  <si>
    <t>Semiconductor diode laser device adjuvanting intradermal vaccine.</t>
  </si>
  <si>
    <t>Influenza vaccination</t>
  </si>
  <si>
    <t>1061
1258
1301</t>
  </si>
  <si>
    <t>"Here we report that we have established a handheld, near-infrared (NIR) laser device using semiconductor diodes emitting either 1061, 1258, or 1301nm light that costs less than $4000, and that this device replicates the adjuvant effect of a DPSSL system in a mouse model of influenza vaccination. Our results also indicate that a broader range of NIR laser wavelengths possess the ability to enhance vaccine immune responses, allowing engineering options for the device design. This small, low-cost device establishes the feasibility of using a laser adjuvant approach for mass-vaccination programs in a clinical setting, opens the door for broader testing of this technology with a variety of vaccines and forms the foundation for development of devices ready for use in the clinic."</t>
  </si>
  <si>
    <t>J Immunol</t>
  </si>
  <si>
    <t>Near-Infrared 1064 nm Laser Modulates Migratory Dendritic Cells To Augment the Immune Response to Intradermal Influenza Vaccine.</t>
  </si>
  <si>
    <t>"We found that a continuous wave (CW) NIR laser adjuvant broadly modulates migratory DC (migDC) populations, specifically increasing and activating the Lang+ and CD11b-Lang- subsets in skin, and that the Ab responses augmented by the CW NIR laser are dependent on DC subsets expressing CCR2 and Langerin. In comparison, a pulsed wave NIR laser adjuvant showed limited effects on the migDC subsets. Our vaccination study demonstrated that the efficacy of the CW NIR laser is significantly better than that of the pulsed wave laser, indicating that the CW NIR laser offers a desirable immunostimulatory microenvironment for migDCs. 
These results demonstrate the unique ability of the NIR laser adjuvant to selectively target specific migDC populations in skin depending on its parameters, and highlight the importance of optimization of laser parameters for desirable immune protection induced by an NIR laser-adjuvanted vaccine."</t>
  </si>
  <si>
    <t>Hum Vaccin Immunother</t>
  </si>
  <si>
    <t>Laser vaccine adjuvants. History, progress, and potential.</t>
  </si>
  <si>
    <t>"The development of new adjuvants with the potential to be both efficacious and safe constitutes a significant need in modern vaccine practice. The use of non-damaging laser light represents a markedly different approach to enhancing immune responses to a vaccine antigen, particularly with intradermal vaccination. This approach, which was initially explored in Russia and further developed in the US, appears to significantly improve responses to both prophylactic and therapeutic vaccines administered to the laser-exposed tissue, particularly the skin. Although different types of lasers have been used for this purpose and the precise molecular mechanism(s) of action remain unknown, several approaches appear to modulate dendritic cell trafficking and/or activation at the irradiation site via the release of specific signaling molecules from epithelial cells. "
"The most recent study, performed by the authors of this review, utilized a continuous wave near-infrared laser that may open the path for the development of a safe, effective, low-cost, simple-to-use laser vaccine adjuvant that could be used in lieu of conventional adjuvants, particularly with intradermal vaccines. In this review, we summarize the initial Russian studies that have given rise to this approach and comment upon recent advances in the use of non-tissue damaging lasers as novel physical adjuvants for vaccines."</t>
  </si>
  <si>
    <t>Near-infrared laser adjuvant for influenza vaccine.</t>
  </si>
  <si>
    <t>0.5 -
6.0</t>
  </si>
  <si>
    <t>up
to
240</t>
  </si>
  <si>
    <t>"We show that non-tissue damaging, near-infrared (NIR) laser light given in short exposures to small areas of skin, without the use of additional chemical or biological agents, significantly increases immune responses to intradermal influenza vaccination without augmenting IgE. The NIR laser-adjuvanted vaccine confers increased protection in a murine influenza lethal challenge model as compared to unadjuvanted vaccine.
We show that NIR laser treatment induces the expression of specific chemokines in the skin resulting in recruitment and activation of dendritic cells and is safe to use in both mice and humans.
The NIR laser adjuvant technology provides a novel, safe, low-cost, simple-to-use, potentially broadly applicable and clinically feasible approach to enhancing vaccine efficacy as an alternative to chemical and biological adjuvants."
Note: The authors do not refer to LLLT/PBM research. However, I think this type of method can be categorized as photobiomodulation.</t>
  </si>
  <si>
    <t>Poland 
(Wrocław)</t>
  </si>
  <si>
    <t>The Effect of Red-to-Near-Infrared (R/NIR) Irradiation on Inflammatory Processes</t>
  </si>
  <si>
    <t xml:space="preserve">"Animal in vivo models demonstrated that R/NIR radiation inhibits neutrophil infiltration and decreases mRNA expression by genes coding pro-inflammatory cytokines, iNOS, and COX-2. Most likely, R/NIR affects the NF-κB signaling pathway. Further, in vivo models also revealed reduction of oxidative stress and increased levels of anti-inflammatory cytokine IL-10. In conclusion, exposure to R/NIR light can be used as an anti-inflammatory treatment in a wide range of medical applications"                          </t>
  </si>
  <si>
    <t>Vilela</t>
  </si>
  <si>
    <t>Influence of the HPA axis on the inflammatory response in cutaneous wounds with the use of 670-nm laser photobiomodulation.</t>
  </si>
  <si>
    <t>"Decreases in the number of CD45-positive inflammatory cells and in the total numbers of CD8- and CD45-positive cells were observed in histological sections of adrenalectomized animals subjected to laser biomodulation at 24h. Similar results were observed for distribution of total lymphocytes in blood (p&lt;0.05). The action of 670 nm laser does not depend exclusively on HPA axis. It is believed that corticosteroid-promoting enzymes liberated in non-adrenal tissues may influence immune response under the influence of this type of phototherapy."</t>
  </si>
  <si>
    <t>Enhancement of cutaneous immune response to bacterial infection after low-level light therapy with 1072 nm infrared light: a preliminary study.</t>
  </si>
  <si>
    <t>"We concluded that 1072 nm infrared light had a photobiomodulation effect which resulted in an enhanced biological immune response to the bacterial infection by MRSA and also increased the expression of VEGF to a significant level."</t>
  </si>
  <si>
    <t>Novoselova</t>
  </si>
  <si>
    <t>Effects of low-power laser radiation on mice immunity.</t>
  </si>
  <si>
    <t>"Low-power laser irradiation showed more effective immunomodulatory effects when applied on the thymus projection area. The rise in IL-2 and Hsp70 production related to a short-term effect of laser application may be reversed after repeating laser treatment. We suggest that for the support of immune system stability, the prolonged laser therapy should be accompanied by supplementary methods."</t>
  </si>
  <si>
    <t>Infections</t>
  </si>
  <si>
    <t>Aeromonas</t>
  </si>
  <si>
    <t>Rutteman</t>
  </si>
  <si>
    <t>Belgium
(Dendermonde)</t>
  </si>
  <si>
    <t>JMM Case Rep</t>
  </si>
  <si>
    <t>Aeromonas wound infection in a healthy boy, and wound healing with polarized light.</t>
  </si>
  <si>
    <t>540
twice
daily</t>
  </si>
  <si>
    <t>"Wound healing was aided with the use of polarized light, and with good effect. To our knowledge, this is the first report on the effect of polarized light on the healing of infectious wounds."</t>
  </si>
  <si>
    <t>Bacteria</t>
  </si>
  <si>
    <t>Kuratli</t>
  </si>
  <si>
    <t>Switzerland
(Zurich)</t>
  </si>
  <si>
    <t>Refinement of water-filtered infrared A (wIRA) irradiations of in vitro acute and persistent chlamydial infections</t>
  </si>
  <si>
    <t>"Irradiances of 150 to 200 mW/cm2, but not 100 mW/cm2, induced anti-chlamydial effects. For persistent infections, wIRA and VIS irradiation showed robust anti-chlamydial activity independent of the infection status (persistent or recovering), persistence inducer (AMX or IFN-γ) or chlamydial strain (serovar B or E)."</t>
  </si>
  <si>
    <t>Lv</t>
  </si>
  <si>
    <t>China
(Anhui)</t>
  </si>
  <si>
    <t>Evaluation of the red &amp; blue LED effects on cutaneous refractory wound healing in male Sprague-Dawley rat using 3 different multi-drug resistant bacteria</t>
  </si>
  <si>
    <t>Red and blue combination
LED phototherapy</t>
  </si>
  <si>
    <t>"RBLL accelerated wound healing, reduced levels of pathogenic bacteria on the wound surface while increasing the blood supply to the wound surface and inhibiting the excessive inflammatory response."</t>
  </si>
  <si>
    <t>Ahmadi</t>
  </si>
  <si>
    <t>Impact of preconditioned diabetic stem cells and photobiomodulation on quantity and degranulation of mast cells in a delayed healing wound simulation in type one diabetic rats</t>
  </si>
  <si>
    <t>Diabetic rats
MRSA</t>
  </si>
  <si>
    <t>"The results showed that, the maximum force in all treatment groups was remarkably greater compared to the control group (all, p = 0.000)."</t>
  </si>
  <si>
    <t>Ebrahimpour-Malekshah</t>
  </si>
  <si>
    <t>BMJ Open Diabetes Res Care</t>
  </si>
  <si>
    <t>Combined therapy of photobiomodulation and adipose-derived stem cells synergistically improve healing in an ischemic, infected and delayed healing wound model in rats with type 1 diabetes mellitus.</t>
  </si>
  <si>
    <t>"All three treatment regimens significantly decreased the amount of microbial flora, significantly increased wound strength and significantly modulated inflammatory response and significantly increased angiogenesis on day 16. 
Microbiological analysis showed that PBM+ADS was significantly better than PBM and ADS alone. In terms of wound closure rate and angiogenesis, PBM+ADS was significantly better than the PBM, ADS and control groups."
"Combination therapy of PBM+ADS is more effective that either PBM or ADS in stimulating skin injury repair, and modulating inflammatory response in an MRSA-infected wound model of rats with DM1."</t>
  </si>
  <si>
    <t>Moradi</t>
  </si>
  <si>
    <t>Photobiomodulation plus Adipose-derived Stem Cells Improve Healing of Ischemic Infected Wounds in Type 2 Diabetic Rats.</t>
  </si>
  <si>
    <t>0.324</t>
  </si>
  <si>
    <t>"There was significantly decreased wound area (Analysis of variance, p = 0.000) in the photobiomodulation + ADS (7.4 ± 1.4 mm2), ADS (11 ± 2.2 mm2), and photobiomodulation (11.4 ± 1.4 mm2) groups compared with the control group (25.2 ± 1.7).
There was a significantly increased tensiometeric property (stress maximal load, Analysis of variance, p = 0.000) in the photobiomodulation + ADS (0.99 ± 0.06 N/cm2), ADS (0.51 ± 0.12 N/cm2), and photobiomodulation (0.35 ± 0.15 N/cm2) groups compared with the control group (0.18 ± 0.04). 
There was a significantly modulated inflammatory response in (Analysis of variance, p = 0.049) in the photobiomodulation + ADS (337 ± 96), ADS (1175 ± 640), and photobiomodulation (69 ± 54) treatments compared to control group (7321 ± 4099)."
"Photobiomodulation + ADS gave significantly better improvements in CFU, wound area, and wound strength compared to photobiomodulation or ADS alone."
"Photobiomodulation, ADS, and their combination significantly hastened healing in ischemic methicillin-resistant Staphylococcus aureus infected delayed healing wounds in rats with DM2. Combined application of photobiomodulation plus ADS demonstrated an additive effect."</t>
  </si>
  <si>
    <t>Front Microbiol</t>
  </si>
  <si>
    <t>Water Filtered Infrared A and Visible Light (wIRA/VIS) Irradiation Reduces Chlamydia trachomatis Infectivity Independent of Targeted Cytokine Inhibition</t>
  </si>
  <si>
    <t>"Chlamydial infectivity after irradiation was significantly reduced, independent of CHX-addition, resulting in remaining chlamydial infectivity of 10.14% (±0.81%) in CHX-containing conditions (p-value &lt; 0.01) and 13.94% (±4.70%) in CHX-free conditions (p-value &lt; 0.01; Figures 2A,B)."</t>
  </si>
  <si>
    <t>The effect of combined pulsed wave low-level laser therapy and mesenchymal stem cell-conditioned medium on the healing of an infected wound with methicillin-resistant Staphylococcal aureus in diabetic rats.</t>
  </si>
  <si>
    <t>"One-way analysis of variance showed that laser and CM alone and/or in combination significantly increases the tensiomerical properties of the repaired wounds compared with control wounds. A combination of PW laser and CM was statistically more effective than other treated groups. 
Two-way analysis of variance showed that laser and CM alone and/or in combination significantly decreases the colony-forming units (CFUs) compared with the control group. The application of hBM-MSC-CM and PWlaser alone and/or together significantly accelerates the wound-healing process in MRSA-infected cutaneous wounds in TI DM in rats. 
Additionally, a combined application of hBM-MSC-CM and PWlaser demonstrates a synergistic effect on the wound-healing process in MRSA-infected cutaneous wounds in Type I DM rats."</t>
  </si>
  <si>
    <t>Barboza</t>
  </si>
  <si>
    <t>Braz J Med Biol Res</t>
  </si>
  <si>
    <t>Low-intensity red and infrared laser effects at high fluences on Escherichia coli cultures.</t>
  </si>
  <si>
    <t>250
500
1000</t>
  </si>
  <si>
    <t>"The results showed that low-intensity red and infrared lasers at high fluences are lethal, induce a filamentation phenotype, and alter the morphology of the E. coli cells. Low-intensity red and infrared lasers have potential to induce adverse effects on cells, whether used at unusually high fluences, or at high doses. Hence, there is a need to reinforce the importance of accurate dosimetry in therapeutic protocols."</t>
  </si>
  <si>
    <t>Petruzzelli</t>
  </si>
  <si>
    <t>New Microbiol</t>
  </si>
  <si>
    <t>Ultra-low power laser stimulation impairs the adhesion of Staphylococcus aureus to primary human cells, and interferes with the expression of staphylococcal pathogenic factors</t>
  </si>
  <si>
    <t>635
(?)</t>
  </si>
  <si>
    <t>0.0023
(?)</t>
  </si>
  <si>
    <t>"Laser stimulation succeeded in impairing the binding of S. aureus to primary human cells in culture and in inhibiting the expression of coagulase, one of the main staphylococcal pathogenic factors."
Comment: The wavelength was not mentioned in the paper, but according to a Google search, Biolite device has 635nm wavelength.</t>
  </si>
  <si>
    <t>Device: Biolite</t>
  </si>
  <si>
    <t>Brazil
(Petrolina)</t>
  </si>
  <si>
    <t>An Bras Dermatol</t>
  </si>
  <si>
    <t>Low level laser therapy (AlGaInP) applied at 5J/cm2 reduces the proliferation of Staphylococcus aureus MRSA in infected wounds and intact skin of rats.</t>
  </si>
  <si>
    <t>"The laser (AlGaInP), with a dose of 5J/cm2 in both intact skin and in wounds of rats infected with Staphylococcus aureus MRSA, is shown to reduce bacterial proliferation."</t>
  </si>
  <si>
    <t>Low-level infrared laser effect on plasmid DNA.</t>
  </si>
  <si>
    <t>"Infrared laser action can differently affect the survival of plasmids in E. coli cells proficient and deficient in DNA repair mechanisms, therefore, laser therapy protocol should take into account fluencies, frequencies and wavelength of laser, as well as tissue conditions and genetic characteristics of cells before beginning treatment."</t>
  </si>
  <si>
    <t>Marti</t>
  </si>
  <si>
    <t>Water-filtered infrared a irradiation in combination with visible light inhibits acute chlamydial infection.</t>
  </si>
  <si>
    <t>Vero &amp; HeLa cells
Polychromatic light 🌈</t>
  </si>
  <si>
    <t>0.062-
0.370</t>
  </si>
  <si>
    <t>"In summary, we demonstrate a non-chemical reduction of chlamydial infection using the combination of water-filtered infrared A and visible light."
"Thermal effects of irradiation are responsible for the reduced chlamydial infectivity"</t>
  </si>
  <si>
    <t>A possible mechanism for the bactericidal effect of visible light.</t>
  </si>
  <si>
    <t>"Phototoxic effects were found to involve induction of high amounts of reactive oxygen species (ROS) by the bacteria while low amounts of ROS may promote their 
"Intense blue light, preferably at 415nm, is better than red light for bacteria killing."</t>
  </si>
  <si>
    <t>Lipovsky</t>
  </si>
  <si>
    <t>Visible light-induced killing of bacteria as a function of wavelength: implication for wound healing.</t>
  </si>
  <si>
    <t>Red light vs blue light 🔵</t>
  </si>
  <si>
    <t>400-
500
500-
800</t>
  </si>
  <si>
    <t>1200-
14400</t>
  </si>
  <si>
    <t>"ROS production following blue (400-500 nm) light illumination was found to be higher than that of red (500-800 nm). Within the blue range, light of 415 nm induced more ROS than 455 nm, which correlated with results obtained for the reduction in colony count of S. aureus and E. coli following illumination using equal intensities of these two wavelengths."</t>
  </si>
  <si>
    <t>A possible mechanism for visible light-induced wound healing.</t>
  </si>
  <si>
    <t>"Illumination with white light, 120 J/cm(2), caused a reduction of 62%, 83%, and 56% in the colony count of E. coli 1313, S. aureus 195 and S. marcescens, respectively, though no reduction in the viability of P. aeruginosa 1316 was demonstrated. The phototoxic effect was found to involve induction of ROS production by the bacteria. It was also found that illumination of S. aureus 195 and E. coli 1313 in the presence of pyocyanin, known to be secreted by P. aeruginosa, had a stronger bactericidal effect compared to illumination alone."</t>
  </si>
  <si>
    <t>Chikungunya Virus</t>
  </si>
  <si>
    <t>Management of Oral Lesions in Chikungunya Virus Disease Using Photobiomodulation Therapy: A Therapy Worth Exploring</t>
  </si>
  <si>
    <r>
      <rPr>
        <sz val="7.0"/>
      </rPr>
      <t xml:space="preserve">🧑 Human
📄 Case report
</t>
    </r>
    <r>
      <rPr>
        <i/>
        <sz val="7.0"/>
      </rPr>
      <t>(published as an editorial)</t>
    </r>
  </si>
  <si>
    <t>0.00357</t>
  </si>
  <si>
    <t>18
(1 per point, 18 points)</t>
  </si>
  <si>
    <t>35.71</t>
  </si>
  <si>
    <t>0.028 cm2</t>
  </si>
  <si>
    <t>"In 2023, Brazil recorded, until July 22, 209,489 cases of the Chikungunya virus disease (CHIKVD) (...) Photobiomodulation therapy (PBMT) may aid the management of oral manifestations of CHIKVD, especially given the negative impact of painful oral lesions (...)
"Against that background, we report the case of a 66-year-old patient with the clinical–epidemiological diagnosis of CHIKVD showing fever (i.e., 38.2°C max.) as well as pruritic maculopapular rash and edema on the trunk and extremities (...) 
Aiming at analgesia and the healing of those lesions, PBMT with a diode laser (...) After 24 h, there was a significant reduction in pain (VAS = 5). In the third session, the patient denied pain (VAS = 0) and was eating solid foods. The ulcers on the oral floor were completely healed, whereas those at other sites showed no significant increase (Fig. 1C, D). On the patient's return 7 days later, remission of the mucocutaneous lesions was observed. Finally, the patient's perspective regarding the treatment received was highly positive, especially concerning pain relief."</t>
  </si>
  <si>
    <t>COVID-19: post-covid symptoms</t>
  </si>
  <si>
    <t>Photobiomodulation, Transmucosal Laser Irradiation of Blood, or B complex as alternatives to treat Covid-19 Related Long-Term Taste Impairment: double-blind randomized clinical trial</t>
  </si>
  <si>
    <t>🧑 Human
🎲 Randomized trial, double-blind
👥 50 participants (39 completed)
⌛ 1 month</t>
  </si>
  <si>
    <t>⚔ Groups:
- PBM 660
- PBM 808
- PBM 660+808
- PBM sublingual 660
- B complex 
- sham PBM
PBM vs vitamin B</t>
  </si>
  <si>
    <t>660
808
660+
808
660</t>
  </si>
  <si>
    <t>100
100
100</t>
  </si>
  <si>
    <t>1.01
(no info for group 4)</t>
  </si>
  <si>
    <t>1
1
0.5</t>
  </si>
  <si>
    <t>10.16
10.16
10.16</t>
  </si>
  <si>
    <t>0.0984 cm2 spot size
3.93 cm2 area irrad. (groups 1-3 ?)
0.59 cm2 area irrad. (group 4 ?)</t>
  </si>
  <si>
    <t>"No intergroup statistical differences were observed at the final evaluation, despite the tendencies of better results with PBM and TLIB observed. PBM, TLIB, and B complex might be treatment options in the management of CRLTTI, despite the lack of total remission of taste and smell perception after 8 sessions (PBM and TLIB) or 30 days of B complex supplementation."</t>
  </si>
  <si>
    <t>Neurosci Bull</t>
  </si>
  <si>
    <t>Photobiomodulation: A Potential Non-invasive Method to Alleviate Neurological Events Following COVID-19 Infection</t>
  </si>
  <si>
    <t>Shabaan</t>
  </si>
  <si>
    <t>Egypt
(Fayoum)</t>
  </si>
  <si>
    <t>BMC Oral Health</t>
  </si>
  <si>
    <t>Diode laser in management of loss of taste sensation in patients with post-COVID syndrome: a randomized clinical trial</t>
  </si>
  <si>
    <t>🧑 Human
🎲 Randomized trial, sham-controlled
👥 36 participants
⌛ 1 month</t>
  </si>
  <si>
    <t>810 or 940 (???)</t>
  </si>
  <si>
    <t>d = 15 mm
(spot size)</t>
  </si>
  <si>
    <t>"The results demonstrated a significant difference between both groups regarding taste restoration after one month (p = 0.041), with Group II having a significantly higher percentage of cases 7 (38.9%) with partial taste restoration. In contrast, a significantly higher proportion of Group I 17 cases (94.4%) had complete taste restoration (p &lt; 0.001)."
Comment: Full text and preregistration claim 940 nm wavelength was used but abstract claims 810 nm. The sham group also received light but the parameters were not reported. In general, the writing quality is poor.</t>
  </si>
  <si>
    <t>Device: EPIC(TM), BIOLASE</t>
  </si>
  <si>
    <t>Bowen &amp; Arany</t>
  </si>
  <si>
    <t>Use of either Transcranial or Whole-Body Photobiomodulation Treatments improves COVID-19 Brain Fog</t>
  </si>
  <si>
    <t>🧑 Human
⚔ Comparison study (PBM vs PBM)
👥 14 participants
⌛ 4 weeks</t>
  </si>
  <si>
    <t>⚔ transcranial vs whole body PBM</t>
  </si>
  <si>
    <t>1070
helmet
660+
850
bed</t>
  </si>
  <si>
    <t>"Each device for PBM delivery was associated with significant improvements in cognitive tests (p &lt; 0.05 and beyond). Changes in WAVi supported the findings."</t>
  </si>
  <si>
    <t xml:space="preserve">Medicine (Baltimore)
</t>
  </si>
  <si>
    <t>The effect of systemic versus local transcutaneous laser therapy on tension-type cephalea and orofacial pain in post-COVID-19 patients: A pragmatic randomized clinical trial</t>
  </si>
  <si>
    <t>COVID-19</t>
  </si>
  <si>
    <t>Photobiomodulation Treatment with a Home-Use Device for COVID-19: A Randomized Controlled Trial for Efficacy and Safety</t>
  </si>
  <si>
    <t>🧑 Human
🎲 Randomized trial
👥 199 participants
⌛ 35-day treatment</t>
  </si>
  <si>
    <t>635
(nasal)
+
810
(chest)</t>
  </si>
  <si>
    <t>2/day for first 5 days -&gt; daily for 30 days</t>
  </si>
  <si>
    <t>"Those with 0-7 days of symptoms at baseline recovered significantly faster with PBMT. The median for Treatment group was 18 days [95% confidence interval (CI), 13-20] versus the Control group 21 days (95% CI, 15-28), p = 0.050. The treatment:control hazard ratio was 1.495 (95% CI, 0.996-2.243), p = 0.054. 
Patients with symptom duration ≥7 days did not show any significant improvement. 
No deaths or severe adverse events (SAEs) occurred in the Treatment group, whereas there was 1 death and 3 SAEs requiring hospitalization in the Control group."</t>
  </si>
  <si>
    <t>Luleka</t>
  </si>
  <si>
    <t>South Africa
(Pretoria)</t>
  </si>
  <si>
    <t>The effects of low-level laser therapy on severe acute respiratory syndrome coronavirus 2 infection in HEK293/ACE2 cells</t>
  </si>
  <si>
    <t>2
4
6
8
10</t>
  </si>
  <si>
    <t>"Irradiated uninfected cells showed no changes in cell viability and cytotoxicity, while there were changes in irradiated infected cells. Furthermore, uninfected irradiated cells showed no luciferase activity while laser irradiation reduced luciferase activity in infected cells. Under SEM, there was a clear difference between the infected and uninfected cells."
"It is observed that high fluences cause more stress to the infected cells, therefore reducing cell viability, leading to low percentage  viability and high amounts of LDH released by the cells during lysis."</t>
  </si>
  <si>
    <t>Stasko</t>
  </si>
  <si>
    <t>Clin Transl Sci</t>
  </si>
  <si>
    <t>A randomized, controlled, feasibility study of RD-X19 in subjects with mild-to-moderate COVID-19 in the outpatient setting</t>
  </si>
  <si>
    <t>🧑 Human
🎲 Randomized trial, double-blind
👥 31 participants
⌛ 4-day treatment</t>
  </si>
  <si>
    <t>Blue light 🔵 (antimicrobial)</t>
  </si>
  <si>
    <t>"At the end of the study (day 8), the mean change in log10 viral load was -3.29 for RD-X19 and -1.81 for sham, demonstrating a treatment benefit of -1.48 logs (95% confidence internal, -2.88 to -0.071, nominal p = 0.040). 
Among the clinical outcome measures, differences between RD-X19 and sham were also observed, with a 57-h reduction of median time to sustained resolution of COVID-19 signs and symptoms (log rank test, nominal p = 0.044)."</t>
  </si>
  <si>
    <t>Near-Infrared Light Exposure Triggers ROS to Downregulate Inflammatory Cytokines Induced by SARS-CoV-2 Spike Protein in Human Cell Culture</t>
  </si>
  <si>
    <t>"We herein investigate whether near-infrared (NIR) light exposure in human primary alveolar and macrophage cells could downregulate inflammatory cytokines triggered by the SARS-CoV-2 spike (S) protein or lipopolysaccharide (LPS), and via what underlying mechanism. Our results showed a dramatic reduction in pro-inflammatory cytokines within days of NIR light treatment, while anti-inflammatory cytokines were upregulated. Mechanistically, NIR light stimulated mitochondrial metabolism, induced transient bursts in reactive oxygen species (ROS) and activated antioxidant gene transcription. These, in turn, downregulated ROS and inflammatory cytokines."
"The wavelength of 730 nm used in this study was selected empirically on the basis of optimal anti-inflammatory effects on cell cultures. However, it is neither widely used nor widely commercially available. This may be because, historically, the PBM action spectra determined for phenomena like RNA synthesis or cell adhesion did not show peaks of effectiveness in the 700–750 nm spectral range [59]. This no doubt discouraged the further use of this wavelength range. However, 730 nm has not only proven highly effective for treating inflammation in culture [32] but has two additional advantages over other wavelengths (...)"</t>
  </si>
  <si>
    <t>Ehsani</t>
  </si>
  <si>
    <t>Iran
(Semnan)</t>
  </si>
  <si>
    <t>Effects of Photobiomodulation Therapy on Lung Function and Inflammatory Factors in Patients with COVID-19 During Acute Stage</t>
  </si>
  <si>
    <t>🧑 Human
🎲 Randomized trial, double-blind
👥 30 participants
⌛ (?)</t>
  </si>
  <si>
    <t>"Findings indicated that the values of ferritin, erythrocyte sedimentation ratio, CRP, IL-6, O2 saturation, and RR were significantly improved after the intervention in both groups (p &lt; 0.05). 
Independent T-test analyses also indicated significant differences in the CRP, IL-6, and O2 saturation in the photobiomodulation group compared with the control group after the five-session intervention (p &lt; 0.05)."
"Application of photobiomodulation is recommended for treatment of respiratory problems in patients with COVID-19 to improve clinical signs and control inflammatory factors."</t>
  </si>
  <si>
    <t>Photobiomodulation Reduces the Cytokine Storm Syndrome Associated with COVID-19 in the Zebrafish Model</t>
  </si>
  <si>
    <t>"Conversely, PBM promotes cellular and tissue repair of injured tissues and significantly increases the survival rate of rSpike-inoculated individuals. Additionally, metabolomics analysis showed that the most-impacted metabolic pathways between PBM and the rSpike treated groups were related to steroid metabolism, immune system, and lipid metabolism."
"Together, our findings suggest that the inflammatory process is an incisive feature of COVID-19 and red PBM can be used as a novel therapeutic agent for COVID-19 by regulating the inflammatory response. Nevertheless, the need for more clinical trials remains, and there is a significant gap to overcome before clinical trials can commence."</t>
  </si>
  <si>
    <t>Panhoca</t>
  </si>
  <si>
    <t>Can photobiomodulation restore anosmia and ageusia induced by COVID-19? A pilot clinical study</t>
  </si>
  <si>
    <t>🧑 Human
⚔ Comparison study (PBM vs PBM)
👥 20 participants
⌛ (?)</t>
  </si>
  <si>
    <t>60
216</t>
  </si>
  <si>
    <t>"Our results showed a significant functionality improvement of both olfactory and gustatory functionality."</t>
  </si>
  <si>
    <t>Brazil
(Itajubá)</t>
  </si>
  <si>
    <t>Cardiopulmonary and hematological effects of infrared LED photobiomodulation in the treatment of SARS-COV2</t>
  </si>
  <si>
    <t>🧑 Human
🎲 Randomized trial, sham-controlled
👥 30 participants
⌛ 7 days</t>
  </si>
  <si>
    <t>PBM device design: vest (300 LEDs)</t>
  </si>
  <si>
    <t>0.0029</t>
  </si>
  <si>
    <t>2.6
(SAEF)</t>
  </si>
  <si>
    <t>2088
cm2
area</t>
  </si>
  <si>
    <t>"Post-treatment, the LED group showed a reduction in hospital discharge time and a statistically significant improvement for the following cardiopulmonary functions: Partial Oxygen Saturation, Tidal Volume, Maximum Inspiratory, and Expiratory Pressures, Respiratory Frequency, Heart Rate, and Systolic Blood Pressure (p &lt; 0.05). 
Regarding blood count, it was observed that post-treatment, the LED group presented with significant differences in the count of leukocytes, neutrophils, and lymphocytes."</t>
  </si>
  <si>
    <t>Effect of near-infrared and blue laser light on vero E6 cells SARS-CoV-2 infection model</t>
  </si>
  <si>
    <t>blue
NIR</t>
  </si>
  <si>
    <t>"The cells receiving the irradiated virus or directly irradiated rescued their viability to level comparable to not treated cells."</t>
  </si>
  <si>
    <t>Hepburn</t>
  </si>
  <si>
    <t>Bahamas &amp; France &amp; Italy</t>
  </si>
  <si>
    <t>A Novel Approach of Combining Methylene Blue Photodynamic Inactivation, Photobiomodulation and Oral Ingested Methylene Blue in COVID-19 Management: A Pilot Clinical Study with 12-Month Follow-Up</t>
  </si>
  <si>
    <t>🧑 Human
📄 Case series
👥 8 participants
⌛ ~4 days</t>
  </si>
  <si>
    <t>LED phototherapy
PDT+PBM combination (w/ methylene blue)</t>
  </si>
  <si>
    <t>122 
per LED
(6 LEDs)
732
total
(see full text for PDT parameters)</t>
  </si>
  <si>
    <t>0.045 cm2
per LED
9 cm2
device
surface
area
(see full text for PDT paramet.)</t>
  </si>
  <si>
    <t>variable
(every 8-24h)</t>
  </si>
  <si>
    <t>"Although our pilot subjects had significant co-morbidities, extremely high viral loads and moderately severe symptoms during the Delta phase of the pandemic, the response to treatment was highly encouraging. Rapid reductions in viral loads were observed and negative PCR tests were documented within a median of 4 days. 
These laboratory findings occurred in parallel with significant clinical improvement, mostly within 12-24 h of commencing the treatment protocol."</t>
  </si>
  <si>
    <t>Miachon</t>
  </si>
  <si>
    <t>Analysis of the Potential of Blood Transvascular Sublingual with Light-Emitting Diode Irradiation in COVID-19 Patients: A Pilot Clinical Study</t>
  </si>
  <si>
    <t>🧑 Human
🎲 Randomized trial, sham-controlled
👥 14 participants
⌛ 7 days</t>
  </si>
  <si>
    <t>15
(5 per LED)</t>
  </si>
  <si>
    <t>2.1</t>
  </si>
  <si>
    <t>1
cm2
spot
size
(per LED?)
(3 LEDs)</t>
  </si>
  <si>
    <t>"The surveillance of clinical improvement in moderate stage indicated that the daily PBMT was able to diminish oxygen supplementation within a short time, besides reducing the hospital stay length in the PBMT group, particularly, when compared with the Placebo group."</t>
  </si>
  <si>
    <t>Device: "LED Cosmedical™"</t>
  </si>
  <si>
    <t>Marashian</t>
  </si>
  <si>
    <t>Photobiomodulation Improves Serum Cytokine Response in Mild to Moderate COVID-19: The First Randomized, Double-Blind, Placebo Controlled, Pilot Study</t>
  </si>
  <si>
    <t>🧑 Human
🎲 Randomized trial, double-blind
👥 52 participants
⌛ 3 days</t>
  </si>
  <si>
    <t>620-
635</t>
  </si>
  <si>
    <t>45.40</t>
  </si>
  <si>
    <t>"During the study period, in PBM group, there was a significant decrease in serum levels of IL-6 (-82.5% +/- 4, P&lt;0.001), IL-8 (-54.4% ± 8, P&lt;0.001), and TNF-α (-82.4% ± 8, P&lt;0.001), although we did not detect a significant change in IL-10 during the study. The IL-6/IL-10 Ratio also improved in PBM group. The Placebo group showed no decrease or even an increase in these parameters. There were no reported complications or sequelae due to PBM therapy throughout the study."</t>
  </si>
  <si>
    <t>Photobiomodulation therapy for treatment olfactory and taste dysfunction COVID-19-related: a case report</t>
  </si>
  <si>
    <t>🧑 Human
📄 Case report
⌛(?)</t>
  </si>
  <si>
    <t>"In the present case report, the patient's olfactory and gustatory functions were re-established after 10 treatment sessions with photobiomodulation. "</t>
  </si>
  <si>
    <t>Tomazoni</t>
  </si>
  <si>
    <t>Multi-Wavelength Photobiomodulation Therapy Combined with Static Magnetic Field on Long-Term Pulmonary Complication after COVID-19: A Case Report</t>
  </si>
  <si>
    <t>🧑 Human
📄 Case report
⌛ 45-day treatment -&gt; 4-month follow-up</t>
  </si>
  <si>
    <t>633+
850+
905</t>
  </si>
  <si>
    <t>252
(8p)</t>
  </si>
  <si>
    <t>33
cm2
device
aperture</t>
  </si>
  <si>
    <t>480
(8p)</t>
  </si>
  <si>
    <t>45
/ 45 days</t>
  </si>
  <si>
    <t>"A 53-year-old Mexican man who presented with decreased peripheral oxygen saturation, massive lung damage, and fibrosis after COVID-19 received PBMT-sMF treatment once a day for 45 days. The treatment was irradiated at six sites in the lower thorax and upper abdominal cavity and two sites in the neck area.
We observed that the patient was able to leave the oxygen support during the treatment, and increase his peripheral oxygen saturation.
In addition, the patient showed improvements in pulmonary severity scores and radiological findings.
Finally, the patient presented with normal respiratory mechanics parameters in the medium-term, indicating total pulmonary recovery."</t>
  </si>
  <si>
    <t>Anatomical location: lower thorax/upper abdominal cavity &amp; neck area</t>
  </si>
  <si>
    <t>A Brazilian multicenter pilot case series on the efficacy of photobiomodulation therapy for COVID-19-related taste dysfunction</t>
  </si>
  <si>
    <t>🧑 Human
📄 Case series
👥 10 participants
⌛ 2-5 weeks</t>
  </si>
  <si>
    <t>26
(13p)</t>
  </si>
  <si>
    <t>5 or 10
/ 2-5 weeks
depending
on group</t>
  </si>
  <si>
    <t>"8 female and 2 male patients sought medical help for taste impairment (either partially or completely) after COVID-19 infection. Photobiomodulation therapy (PBMT) on the tongue mucosa was then proposed but with 3 different protocols. Taste perception at baseline and before every laser session was evaluated using a visual analog scale. Irrespective of the PBMT protocol, taste recovery was noted in all cases but with varying degrees of improvement."</t>
  </si>
  <si>
    <t>Oral care and photobiomodulation protocol for the prevention of traumatic injuries and lip necrosis in critically ill patients with COVID-19: an observational study</t>
  </si>
  <si>
    <t>🧑 Human
📄 Retrospective study
👥 60 cases</t>
  </si>
  <si>
    <t>1
/p</t>
  </si>
  <si>
    <t>11.1</t>
  </si>
  <si>
    <t>0.09
cm2
spot</t>
  </si>
  <si>
    <t>10
/p</t>
  </si>
  <si>
    <t>"We retrospectively analyzed the records of 472 patients with COVID-19 in the ICU from May 2020 to February 2021.
60/472 patients developed traumatic injuries and were managed with the oral care protocol and PBM, to prevent the progress to lip necrosis. When appropriated, in addition to oral care and PBM, other measures were taken to prevent further local trauma (lip hydration, changes in tube fixation).
The proposed oral care protocol associated with PBM successfully prevented the progress of traumatic lesions, ulceration, necrosis, and loss of tissue associated with IOT. The quality of life of patients in the ICU and after their recovery was preserved."</t>
  </si>
  <si>
    <t>Number of irradiated points: "The number of points varied, depending on the size of the area of the injury, with the goal of covering the entire lesion and the immediate surrounded tissues."</t>
  </si>
  <si>
    <t>USA
(Cupertino, CA)</t>
  </si>
  <si>
    <t>Whole-Organ Transdermal Photobiomodulation (PBM) of COVID-19: A 50-Patient Case Study</t>
  </si>
  <si>
    <t>🧑 Human
📄 Case series
👥 50 cases
⌛ up to 3 weeks</t>
  </si>
  <si>
    <t>650+
850</t>
  </si>
  <si>
    <t>1 to 9,
mostly
1 or 2</t>
  </si>
  <si>
    <t>"Acute conditions including fever, body aches, and respiratory distress comprising paroxysmal coughing; lung congestion, dyspnea and hypoxia; sinus congestion; acute eye inflammation; and extreme malaise were eliminated in 41/50 patients within 4-days of commencing PBM treatments with 50/50 patients fully recovering within three-weeks with no supplemental oxygen requirements."</t>
  </si>
  <si>
    <t>Device: "In this study, whole‐organ dynamic PBM therapy was performed using the ABPT1003 phototherapy system specified, designed and manufactured by Applied BioPhotonics Ltd., comprising a software‐based dual‐output controller driving up to six 3D bendable silicone pads containing dense arrays of LEDs (...) Collectively, the system's six lightpads contain an array of over 1,200 LEDs covering up to a total conformal surface area of more than 1,200 cm2."</t>
  </si>
  <si>
    <t>Pelletier-Aouizerate &amp; Zivic</t>
  </si>
  <si>
    <t>Early cases of acute infectious respiratory syndrome treated with photobiomodulation, diagnosis and intervention: Two case reports</t>
  </si>
  <si>
    <t>🧑 Human
📄 Case series
👥 2 cases
⌛ ~1-9 months</t>
  </si>
  <si>
    <t>630+
660</t>
  </si>
  <si>
    <t>1000
cm2</t>
  </si>
  <si>
    <t>"PBMT using 630 + 660 nm wavelengths transcutaneously at 7 cm above chest area irradiating lungs and heart regions of patients with acute, infectious respiratory syndrome alleviated their respiratory symptoms, mitigated pulmonary inflammation and hypoxia. PBMT could prevent more severe respiratory distress requiring emergency care and reduce the strain on healthcare. This case report's clinical experience can be the basis of future research evaluating oxygen saturation levels pre- and post-PBMT."</t>
  </si>
  <si>
    <t>De Marchi</t>
  </si>
  <si>
    <t>Brazil
(Bento Gonçalves)</t>
  </si>
  <si>
    <t>J Inflamm Res</t>
  </si>
  <si>
    <t>Effects of Photobiomodulation Therapy Combined with Static Magnetic Field in Severe COVID-19 Patients Requiring Intubation: A Pragmatic Randomized Placebo-Controlled Trial</t>
  </si>
  <si>
    <t>🧑 Human
🎲 Randomized trial, triple-blind
👥 30 participants
⌛ ~1 month (varying by patient)</t>
  </si>
  <si>
    <t>0.029+
0.071+
0.004</t>
  </si>
  <si>
    <t>189
lower
thorax
+
63
neck</t>
  </si>
  <si>
    <t>264
cm2
treated
area</t>
  </si>
  <si>
    <t>daily
through
ICU
stay</t>
  </si>
  <si>
    <t>"Among severe COVID-19 patients requiring invasive mechanical ventilation, the length of ICU stay was not significantly different between the PBMT-sMF and placebo groups.
In contrast, PBMT-sMF was significantly associated with reduced diaphragm atrophy, improved ventilatory parameters and lymphocyte count, and decreased C-reactive protein levels and hemoglobin count."</t>
  </si>
  <si>
    <t>Intranasal photobiomodulation therapy for COVID-19-related olfactory dysfunction: A Brazilian multicenter case series</t>
  </si>
  <si>
    <t>🧑 Human
📄 Case series
👥 14 cases
⌛ up to 5 weeks</t>
  </si>
  <si>
    <t>180
/nostril</t>
  </si>
  <si>
    <t>"The present study aimed to report a series of cases in which three protocols of intranasal photobiomodulation therapy (PBMT) were used for COVID-19-related olfactory dysfunction. Irrespective of the PBMT protocol, olfaction recovery was noted in all cases but with varying degrees of improvement. Although intranasal PBMT seems to be a promising therapeutic modality, more research is needed to better define effectiveness."</t>
  </si>
  <si>
    <t>Pooam</t>
  </si>
  <si>
    <t>Therapeutic application of light and electromagnetic fields to reduce hyper-inflammation triggered by COVID-19</t>
  </si>
  <si>
    <t>Human embryonic kidney HEK293 cell line</t>
  </si>
  <si>
    <t>"Here we show that daily exposure to two 10-minute intervals of moderate intensity infra-red light significantly lowered the inflammatory response induced via the TLR4 receptor signaling pathway in human cell cultures."</t>
  </si>
  <si>
    <t>Vetrici</t>
  </si>
  <si>
    <t>Canada
(Lethbridge)</t>
  </si>
  <si>
    <t>Evaluation of Adjunctive Photobiomodulation (PBMT) for COVID-19 Pneumonia via Clinical Status and Pulmonary Severity Indices in a Preliminary Trial</t>
  </si>
  <si>
    <t>🧑 Human
🎲 Randomized trial
👥 10 participants
⌛ 4-day treatment / 5-month follow-up</t>
  </si>
  <si>
    <t>1500+
610</t>
  </si>
  <si>
    <t>0.075+
0.031</t>
  </si>
  <si>
    <t>7.18</t>
  </si>
  <si>
    <t>250
cm2
area
on
posterior
thorax</t>
  </si>
  <si>
    <t>"PBMT-treated patients showed rapid recovery, did not require ICU admission or mechanical ventilation, and reported no long-term sequelae at 5 months after treatment.
In the control group, 60% of patients were admitted to the ICU for mechanical ventilation. The control group had an overall mortality of 40%. At a 5-month follow-up, 40% of the control group experienced long-term sequelae."</t>
  </si>
  <si>
    <t>Blue photobiomodulation LED therapy impacts SARS-CoV-2 by limiting its replication in Vero cells</t>
  </si>
  <si>
    <t>450
454
470</t>
  </si>
  <si>
    <t>"A decrement of the viral load was observed when previously infected cells were irradiated with all three tested wavelengths and relevant effects were registered especially at 48 hours post-infection, possibly suggesting that the blue light could interfere with the intracellular viral replication machinery."</t>
  </si>
  <si>
    <t>Sigman</t>
  </si>
  <si>
    <t>USA
(Chelmsford, MA)</t>
  </si>
  <si>
    <t>Can J Respir Ther</t>
  </si>
  <si>
    <t>Adjunct low level laser therapy (LLLT) in a morbidly obese patient with severe COVID-19 pneumonia: A case report</t>
  </si>
  <si>
    <t>🧑 Human
📄 Case report
⌛ 6 weeks</t>
  </si>
  <si>
    <t>"Following LLLT our patient showed improvement over a few days in respiratory indices, radiological findings, inflammatory markers, and patient outcomes. This report suggests that adjunct LLLT can be safely combined with conventional treatment in patients with severe COVID-19 and morbid obesity."</t>
  </si>
  <si>
    <t>Am J Case Rep</t>
  </si>
  <si>
    <t>A 57-Year-Old African American Man with Severe COVID-19 Pneumonia Who Responded to Supportive Photobiomodulation Therapy (PBMT): First Use of PBMT in COVID-19</t>
  </si>
  <si>
    <t>🧑 Human
📄 Case report
⌛ 4-day treatment / 3-week report</t>
  </si>
  <si>
    <t>"This report has presented supportive PBMT in a patient with severe COVID-19 pneumonia. Respiratory indices, radiological findings, oxygen requirements, and patient outcomes improved over several days and without need for a ventilator."</t>
  </si>
  <si>
    <t>COVID-19 / review</t>
  </si>
  <si>
    <t>Light as a Cure in COVID-19: A Challenge for Medicine</t>
  </si>
  <si>
    <t>"This review revealed that PBMT has been successfully applied as adjunct therapy, in combination with conventional medical treatment, and as a pioneering action in SARS-CoV-2 infection, demonstrating significant improvements in airway inflammation and general clinical condition of patients, a faster recovery, avoiding intensive care unit (ICU) hospitalization, mechanical ventilation, mortality, and overcoming long-term sequelae."</t>
  </si>
  <si>
    <t>Kitchen</t>
  </si>
  <si>
    <t>UK &amp; USA</t>
  </si>
  <si>
    <t>Rationale for 1068 nm Photobiomodulation Therapy (PBMT) as a Novel, Non-Invasive Treatment for COVID-19 and Other Coronaviruses: Roles of NO and Hsp70</t>
  </si>
  <si>
    <t>"The purpose of this review is to explore the rationale for using photobiomodulation therapy (PBMT) of the particular wavelength 1068 nm as a therapy for COVID-19, investigating the cellular and molecular mechanisms involved."</t>
  </si>
  <si>
    <t>de Matos</t>
  </si>
  <si>
    <t>Photobiomodulation Therapy as a Possible New Approach in COVID-19: A Systematic Review</t>
  </si>
  <si>
    <t>"Ten articles were included for qualitative synthesis, of which four commentary articles discussed the pathogenesis and the effect of PBMT in COVID-19.
Two in vitro and lab experiments showed the effect of PBMT on prevention of thrombosis and positive results in wound healing during viral infection, using the intravascular irradiation (ILIB) associated with Phthalomethyl D.
Two case reports showed PBMT improved the respiratory indexes, radiological findings, and inflammatory markers in severe COVID-19 patients. One case series reported the clinical improvement after PBMT on 14 acute COVID-19 patients, rehabilitation on 24 patients, and as a preventive treatment on 70 people.
One clinical trial of 30 patients with severe COVID-19 who require invasive mechanical ventilation, showed PBMT-static magnetic field was not statistically different from placebo for the length of stay in the Intensive Care Unit, but improved diaphragm muscle function and ventilation and decreased the inflammatory markers. 
This review suggests that PBMT may have a positive role in treatment of COVID-19. Still, the necessity for more clinical trials remains in this field and there is not sufficient research evidence regarding the effects of PBMT and COVID-19 disease, and there is a large gap."</t>
  </si>
  <si>
    <t>Understanding COVID-19 Pandemic: Molecular Mechanisms and Potential Therapeutic Strategies. An Evidence-Based Review</t>
  </si>
  <si>
    <t>"COVID-19 remains a serious concern, until now, as there are a lack of effective antiviral drugs and the ongoing studies are yet to produce a safe and effective vaccine. Hence, phototherapy could be considered to treat COVID-19, as a therapeutic or preventive treatment modality. The term phototherapy encompasses photobiomodulation therapy (PBMT), including lasers light and laser-emitted diodes (LEDs) and photodynamic therapy (PDT).187,188 It is well-documented in the scientific literature that phototherapy presents a promising noninvasive treatment modality in tissue healing and regeneration, as well in pain management.189–194"</t>
  </si>
  <si>
    <t>Fekrazad &amp; Fekrazad</t>
  </si>
  <si>
    <t>The Potential Role of Photobiomodulation in Long COVID-19 Patients Rehabilitation</t>
  </si>
  <si>
    <t>Litscher &amp; Ailioaie</t>
  </si>
  <si>
    <t>Austria &amp; Romania</t>
  </si>
  <si>
    <t>Comments on New Integrative Photomedicine Equipment for Photobiomodulation and COVID-19</t>
  </si>
  <si>
    <t>"PBM and PDT are very interesting and promising approaches to treating various diseases. However, the literature currently (June 2021) still lacks valid research results on PBM and related methods such as laser acupuncture and COVID-19 [50,51,52,53,54,55]."</t>
  </si>
  <si>
    <t>Moskvin</t>
  </si>
  <si>
    <t>Moscow
(Russia)</t>
  </si>
  <si>
    <t>Rehabil Res Pract</t>
  </si>
  <si>
    <t>Low-Level Laser Therapy in Prevention of the Development of Endothelial Dysfunction and Clinical Experience of Treatment and Rehabilitation of COVID-19 Patients</t>
  </si>
  <si>
    <t>"Low-level laser therapy is a justified treatment method that promotes lung tissue regeneration and mitigates the consequences of the disease. The obtained results confirm that LLLT can be used for the effective prevention and treatment of COVID-19 patients."
Comment: The article presents some Russian clinical findings.</t>
  </si>
  <si>
    <t>Sherafat</t>
  </si>
  <si>
    <t>The Effectiveness of Photobiomudulation Therapy (PBMT) in COVID-19 Infection</t>
  </si>
  <si>
    <t>"Since 1978, the results of different studies have indicated that “PBMT could be used in respiratory tract diseases”. Several experimental studies in humans and animals have demonstrated that PBMT potentially moderate lung inflammation, fibrosis, pneumonia, and acute respiratory disorders.40 PBMT therapy increases microcirculation, lym­phatic drainage, cellular metabolism, healing promotion and tissue regeneration, thereby alleviating many acute and chronic conditions (Table 2)."</t>
  </si>
  <si>
    <t>A Potential Role for Photobiomodulation Therapy in Disease Treatment and Prevention in the Era of COVID-19</t>
  </si>
  <si>
    <t>"One potential treatment option is photobiomodulation (PBM) therapy. PBM has been shown over many years to be a safe, effective, non-invasive and easily deployed adjunctive treatment option for inflammatory conditions, pain, tissue healing and cellular energy. We have also recently demonstrated the effectiveness of PBM to alter the gut microbiome. PBM therapy is worthy of consideration as a potential treatment for those most vulnerable to COVID-19, such as the elderly and those with comorbidities."</t>
  </si>
  <si>
    <t>Soheilifar</t>
  </si>
  <si>
    <t>Photobiomodulation therapy as a high potential treatment modality for COVID-19</t>
  </si>
  <si>
    <t>"Considering the high potential impact of PBM on immune responses, we hypothesized that using PBM could be an effective treatment modality for ARDS management in COVID-19 patients."</t>
  </si>
  <si>
    <t>Surazakov</t>
  </si>
  <si>
    <t>Cyprus
(Nicosia)</t>
  </si>
  <si>
    <t>The bioenergetics of COVID-19 immunopathology and the therapeutic potential of biophysical radiances</t>
  </si>
  <si>
    <t>"A bioenergetics view of COVID-19 immunopathology opens a new biophysical opportunity to enhance impaired immune function via proposed pathways of photomagnetic catalysis of ATP synthesis, regenerative photobiomodulation and the ultrasonic acceleration of cell restructuring."</t>
  </si>
  <si>
    <t>Sabino</t>
  </si>
  <si>
    <t>Light-based technologies for management of COVID-19 pandemic crisis</t>
  </si>
  <si>
    <t>"Light-based technologies have a demonstrable broad range of activity over standard chemotherapeutic antimicrobials and conventional disinfectants, negligible emergence of resistance, and the capability to modulate the host immune response. This perspective article identifies the benefits, challenges, and pitfalls of repurposing light-based strategies to combat the emergence of COVID-19 pandemic."</t>
  </si>
  <si>
    <t>Phototherapy as a Rational Antioxidant Treatment Modality in COVID-19 Management; New Concept and Strategic Approach: Critical Review</t>
  </si>
  <si>
    <t>"This critical review was conducted to understand COVID-19 disease and highlights the prevailing facts that link phototherapy utilisation as a potential treatment modality for SARS-CoV-2 viral infection. The results demonstrated phototherapy's efficacy in regulating cytokines and inflammatory mediators, increasing angiogenesis and enhancing healing in chronic pulmonary inflammatory diseases.
In conclusion, this review answered the following research question. Which molecular and cellular mechanisms of action of phototherapy have demonstrated great potential in enhancing the immune response and reducing host-viral interaction in COVID-19 patients? Therefore, phototherapy is a promising treatment modality, which needs to be validated further for COVID-19 by robust and rigorous randomised, double blind, placebo-controlled, clinical trials to evaluate its impartial outcomes and safety."</t>
  </si>
  <si>
    <t>Fornaini</t>
  </si>
  <si>
    <t>At-Home Photobiomodulation Treatments for Supportive Cancer Care During the COVID-19 Pandemic</t>
  </si>
  <si>
    <t>Nejatifard</t>
  </si>
  <si>
    <t>Cytokine</t>
  </si>
  <si>
    <t>Probable positive effects of the photobiomodulation as an adjunctive treatment in COVID-19: A systematic review</t>
  </si>
  <si>
    <t>"The databases of PubMed, Cochrane library, and Google Scholar were searched to find the relevant studies. Keywords included the PBM and related terms, lung inflammation, and COVID-19 -related signs. Studies were categorized with respect to the target tissue, laser parameters, and their results."
"Seventeen related papers were included in this review. All of them were in animal models. They showed that the PBM could significantly decrease the pulmonary edema, neutrophil influx, and generation of pro-inflammatory cytokines (tumor necrosis factor-α (TNF-α), interleukin 1 beta (IL-1β), interleukin 6 (IL-6), intracellular adhesion molecule (ICAM), reactive oxygen species (ROS), isoform of nitric oxide synthase (iNOS), and macrophage inflammatory protein 2 (MIP-2))."
"Our findings revealed that the PBM could be helpful in reducing the lung inflammation and promoting the regeneration of the damaged tissue. PBM can increase the oxygenation indirectly in order to rehabilitate the affected organs. Thus, the infra-red lasers or light-emitting diodes (LEDs) are recommended in this regard."</t>
  </si>
  <si>
    <t>Mokmeli &amp; Vetrici</t>
  </si>
  <si>
    <t>Canada
(Victoria)</t>
  </si>
  <si>
    <t>Low level laser therapy as a modality to attenuate cytokine storm at multiple levels, enhance recovery, and reduce the use of ventilators in COVID-19</t>
  </si>
  <si>
    <t>"We summarize the effects of LLLT on pulmonary inflammation and we provide a protocol for augmenting medical treatment in COVID-19 patients. LLLT combined with conventional medical therapy has the potential to prevent the progression of COVID-19, minimize the length of time needed on a ventilator, enhance the healing process, and shorten recovery time."</t>
  </si>
  <si>
    <t>Photobiomodulation: Shining Light on COVID-19</t>
  </si>
  <si>
    <t>Rapid communication</t>
  </si>
  <si>
    <t>Based on this premise [of ATP synthesis being stimulated by light], and partial results obtained by our research group with patients exhibiting bacterial pneumonia, for which we obtained a reduction in hospital stay from 7 to 2 days, for 9 out of 10 treated patients.18 We propose to treat patients affected by COVID-19 irradiating their thoracic region daily with R-NIR, with 3 J/cm2 of radiant exposure."</t>
  </si>
  <si>
    <t>Enwemeka</t>
  </si>
  <si>
    <t>Light as a potential treatment for pandemic coronavirus infections: A perspective.</t>
  </si>
  <si>
    <t>"The evidence shows that violet/blue (400-470 nm) light is antimicrobial against numerous bacteria, and that it accounts for Niels Ryberg Finsen's Nobel-winning treatment of tuberculosis. Further evidence shows that blue light inactivates several viruses, including the common flu coronavirus, and that in experimental animals, red and near infrared light reduce respiratory disorders, similar to those complications associated with coronavirus infection. Moreover, in patients, red light has been shown to alleviate chronic obstructive lung disease and bronchial asthma. These findings call for urgent efforts to further explore the clinical value of light, and not wait for another pandemic to serve as a reminder."</t>
  </si>
  <si>
    <t>Domínguez</t>
  </si>
  <si>
    <t>Can Transdermal Photobiomodulation Help Us at the Time of COVID-19?</t>
  </si>
  <si>
    <t>Note: Marcus VL Ferreira published a letter criticizing this article (10.1089/photob.2020.4895), and the author has replied to the criticism (10.1089/photob.2020.4899).</t>
  </si>
  <si>
    <t>Fekrazad R</t>
  </si>
  <si>
    <t>Photobiomodulation and Antiviral Photodynamic Therapy as a Possible Novel Approach in COVID-19 Management.</t>
  </si>
  <si>
    <t>Fungal</t>
  </si>
  <si>
    <t>Grisolia</t>
  </si>
  <si>
    <t>Low-level LASER therapy accelerates fungal lesions cicatrization by increasing the production of Th1 and Th2 cytokines</t>
  </si>
  <si>
    <t>"In animals irradiated with LLLT, the influx of cells to the air pouch was reduced, but they were more activated and produced pro-inflammatory (IL-12, IL-17 and TNF-α) and neutrophil (PMN) activating cytokines (IL-8, GM-CSF and γ-IFN). A better resolution of the infection, evidenced by the reduction in the number of viable fungi with preserved morphology in the air pouch, and an increase in the number of fibrocytes, indicating a healing profile were also observed."
"LLLT decreased the influx of PMN, but those presents were highly activated, with increased fungicidal activity. LLLT irradiation also resulted in earlier cicatrization at the site of infection, leading to a better outcome of the infection. These data are favorable to the use of LLLT as a complementary therapy in PCM."</t>
  </si>
  <si>
    <t>Seyedmousavi</t>
  </si>
  <si>
    <t>Iran (/Netherlands)</t>
  </si>
  <si>
    <t>Effects of low-level laser irradiation on the pathogenicity of Candida albicans: in vitro and in vivo study.</t>
  </si>
  <si>
    <t>Candida
Wavelength comparison</t>
  </si>
  <si>
    <t>LLLT improved the survival of infected mice dose-dependently. both 685nm and 830nm were effective.</t>
  </si>
  <si>
    <t>Nagib</t>
  </si>
  <si>
    <t>Brazil
(Goiania)</t>
  </si>
  <si>
    <t>Effect of HeNe laser irradiation on extracellular matrix deposition and expression of cytokines and chemokines in paracoccidioidomycotic lesions.</t>
  </si>
  <si>
    <t>"Our results showed decreased levels of pro-inflammatory interleukin (IL)-17 and tumor necrosis factor-alpha, and of anti-inflammatory IL-10 cytokines in lesions exposed to HeNe laser irradiation. Chemokines CCL3 and CXCL10 showed decreased levels in laser-treated lesions, but no significant difference was observed in relation to CCL5 expression. We also detected decreased density of fibronectin and laminin in HeNe laser-treated lesions. Data presented herein support the validity of our previous results suggesting positive effects of HeNe laser in accelerating wound healing in this experimental model. 
We believe that HeNe laser is a new nonharmful strategy that may be used as adjuvant and/or alternative therapy for improving treatment of paracoccidioidomycotic lesions."</t>
  </si>
  <si>
    <t>Effect of low intensity helium-neon (HeNe) laser irradiation on experimental paracoccidioidomycotic wound healing dynamics.</t>
  </si>
  <si>
    <t>Paracoccidioidomycotic</t>
  </si>
  <si>
    <t>"Results revealed that laser-treated lesions were lesser extensive than untreated ones, and composed mainly by macrophages and lymphocytes. High IL-1beta expression was shown in the untreated group whereas in laser-treated animals the expression was scarce. On the other hand, the expression of CXCL-10 was found to be reduced in untreated animals and quite intensive and well distributed in the laser-treated ones. Also, untreated lesions presented vascular endothelial growth factor (VEGF) in a small area near the center of the lesion and high immunoreactivity for hypoxia-inducible factor-1 (HIF-1), whereas laser-treated lesions expressed VEGF surrounding blood vessels and little immunoreactivity for HIF-1. Laser-treated lesions presented much more reticular fibers and collagen deposition when compared with the untreated lesion. 
Our results show that laser was efficient in minimizing the local effects observed in paracoccidioidomycosis and can be an efficient tool in the treatment of this infection, accelerating the healing process."</t>
  </si>
  <si>
    <t>Effects of HeNe laser irradiation on experimental paracoccidioidomycotic lesions.</t>
  </si>
  <si>
    <t>"The results showed that laser-treated mice presented reduction of footpad edema, faster cutaneous wound healing, confluent granuloma, diffuse- and more loosely distributed immunolabeling for TNF-alpha, enhanced labeling of IFN-gamma and any P. brasiliensis form detected, whereas multiple viable fungi were seen in diffuse widespread granulomas obtained from non-treated mice foot-pad. Fungi that were harvested from laser-treated animals presented no capability of growth in vitro as compared to those obtained from non-treated mice. 
We conclude that HeNe laser irradiation was able to inhibit the progress of inflammatory local reaction produced by P. brasiliensis infection and influence local cytokines production. We suggest that this treatment modality can be a useful coadjuvant tool to be combined with antifungal agents in the treatment of PCM ulcerations. The mechanisms involved in laser therapy of PCM lesions need further investigation."</t>
  </si>
  <si>
    <t>Leishmaniasis</t>
  </si>
  <si>
    <t>Khan</t>
  </si>
  <si>
    <t>Pakistan
(Swat)</t>
  </si>
  <si>
    <t>Low-level laser therapy for the treatment of early stage cutaneous leishmaniasis: A pilot study</t>
  </si>
  <si>
    <t>🧑 Human
📄 Single-arm trial
👥 53 participants, 123 lesions
⌛ 4-week treatment / 10-month follow-up</t>
  </si>
  <si>
    <t>"Disease assessment at 10 months follow-up revealed complete response in 91% and partial response in 9% patients of [low-grade disease group], while no response was observed in patients of [high-grade disease group]. LLLT offers a promising treatment modality for patients presenting with early-stage (ie, Grade I and II) CL lesions."</t>
  </si>
  <si>
    <t>Leprosy</t>
  </si>
  <si>
    <t>Application of a physiotherapeutic protocol associated with photobiomodulation for the treatment of leprosy patients</t>
  </si>
  <si>
    <t>🧑 Human
🎲 Randomized trial
👥 30 participants
⌛ 4 weeks</t>
  </si>
  <si>
    <t>9
/point</t>
  </si>
  <si>
    <t>"Our results showed when evaluating functional capacity limitations with the SALSA scale, the PLG patients improved from moderate to mild limitations. On the other hand, the PPG remained as moderate limitations. 
Also, the PLG showed a significant reduction in pain on the VAS scale. The neurological assessment showed that PLG improved palpation of the median, radial, and peroneal nerves. In the strength test, PLG patients improved in the 5th finger abduction and ankle dorsiflexion. 
Assessing sensitivity, it was identified an improvement in PLG for the ulnar nerve and tibial nerve. All those changes were statistically significant when compared to the PPG patients. Finally, the PLG patients improved disabilities, identified by the neurological assessment of the eyes, hands, and feet. 
In conclusion, this study demonstrated that combining a physiotherapeutic protocol with PBM treatment effectively improved functional status and reduced pain in leprosy patients."</t>
  </si>
  <si>
    <t>Monkeypox</t>
  </si>
  <si>
    <t>Phototherapies for the management of a large painful facial cutaneous lesion from human monkeypox infection</t>
  </si>
  <si>
    <t>PBM + PDT</t>
  </si>
  <si>
    <t>"A 20-year-old Caucasian man presenting with a large, painful, grayish, rubbery, well-circumscribed, deep-seated, and umbilicated ulcer on his face was treated with four daily sessions of PBMT and two sessions of aPDT every other day."</t>
  </si>
  <si>
    <t>Percival</t>
  </si>
  <si>
    <t>UK
(Liverpool)</t>
  </si>
  <si>
    <t>Future Microbiol</t>
  </si>
  <si>
    <t>Low-level laser therapy as an antimicrobial and antibiofilm technology and its relevance to wound healing.</t>
  </si>
  <si>
    <t>"The biostimulative effect of low-level laser therapy (LLLT) in tissues has been noted in reference to the treatment of various diseases but little information exists on its effectiveness on chronic wounds and biofilm. The scope of this review was to identify literature reporting on LLLT alone, without photodynamic agents, as an antimicrobial/antibiofilm technology and determine its effects on wound healing. Overall the beneficial effects of LLLT in promoting wound healing in animal and human studies has been demonstrated. However, the lack of credible studies using reproducible models and light dosimetry restricts the analysis of current data. Efforts must be addressed to standardize phototherapy procedures as well as to develop suitable in vitro and in vivo biofilm models to test LLLT efficacy in promoting biofilm eradication and wound healing."</t>
  </si>
  <si>
    <t>Staphylococcus</t>
  </si>
  <si>
    <t>Wang &amp; Kim</t>
  </si>
  <si>
    <t>China &amp; Korea</t>
  </si>
  <si>
    <t>The Effect of Photobiomodulation Therapy (660 Nm) on Wound Healing of Rat Skin Infected by Staphylococcus</t>
  </si>
  <si>
    <t>"PBM therapy (660 nm) promoted cell proliferation and collagen synthesis, thereby improving the wound healing response to an S. aureus infection."</t>
  </si>
  <si>
    <t>Antiinflammatory effect of low-level laser therapy on Staphylococcus epidermidis endophthalmitis in rabbits.</t>
  </si>
  <si>
    <t>Endophthalmitis
LLLT vs dexamethasone</t>
  </si>
  <si>
    <t>8
(2)</t>
  </si>
  <si>
    <t>"As an adjunct to vancomycin therapy to treat S. epidermidis endophthalmitis, LLLT has an antiinflammatory effect similar to that of dexamethasone."</t>
  </si>
  <si>
    <t>Tuberculosis</t>
  </si>
  <si>
    <t>Vlassov &amp; MacLehose</t>
  </si>
  <si>
    <t>Low level laser therapy for treating tuberculosis.</t>
  </si>
  <si>
    <t>"One randomized controlled trial (130 participants) conducted in India met the inclusion criteria. This trial was poorly reported, with no information on the generation of allocation sequence or allocation concealment. The trial report did not provide details on the group that each of the participants were randomized into or which group those participants that left the trial were from. This precluded the use of its data on time to sputum conversion and other outcome measures for analysis."
"The use of low level laser therapy for treating tuberculosis is still not supported by reliable evidence. Researchers need to focus on conducting well-designed randomized controlled trials to justify the continued participation of volunteers for studies of this experimental intervention."</t>
  </si>
  <si>
    <t>"We have not identified any well designed trials using low level laser therapy (LLLT) to treat tuberculosis. Therefore, the use of LLLT to treat tuberculosis is not supported by reliable evidence."</t>
  </si>
  <si>
    <t>Virus (Herpes)</t>
  </si>
  <si>
    <t>Moskvin SV</t>
  </si>
  <si>
    <t>Low-Level Laser Therapy for Herpesvirus Infections: A Narrative Literature Review</t>
  </si>
  <si>
    <t>"The reviewed studies confirm that LLLT is a potential prospective treatment method for patients infected with the herpesvirus. However, it is necessary to improve the methodology and optimize the combination of laser action with antiviral medications."</t>
  </si>
  <si>
    <t>Virus (HIV)</t>
  </si>
  <si>
    <t>Lugongolo</t>
  </si>
  <si>
    <t>Biomed J</t>
  </si>
  <si>
    <t>The combination of low level laser therapy and efavirenz drastically reduces HIV infection in TZM-bl cells</t>
  </si>
  <si>
    <t>"Luciferase assay results showed that the combination of LLLT and efavirenz significantly reduced HIV infection in cells, despite the undesirable effects observed in the cells as demonstrated by cell morphology, proliferation and cell integrity assay. Flow cytometry results demonstrated that cell death was mainly through necrosis while fluorescence microscopy showed the production of reactive oxygen species in HIV infected cells."</t>
  </si>
  <si>
    <t>Virus (HIV-1)</t>
  </si>
  <si>
    <t>The effects of low level laser therapy on both HIV-1 infected and uninfected TZM-bl cells.</t>
  </si>
  <si>
    <t>2-
10</t>
  </si>
  <si>
    <t>"Upon data analysis, uninfected irradiated cells showed no changes in cell morphology, viability, proliferation and cytotoxicity, while the infected irradiated cells did. In addition, laser irradiation reduced luciferase activity in infected cells. Finally, laser irradiation had no inhibitory effect in uninfected cells, whereas it induced cell damage in a dose dependent manner in infected cells."</t>
  </si>
  <si>
    <t>Virus (Zika)</t>
  </si>
  <si>
    <t>Photobiomodulation therapy reduces viral load and cell death in ZIKV-infected glioblastoma cell line.</t>
  </si>
  <si>
    <t>0.3
0.3</t>
  </si>
  <si>
    <t>"In both settings, PBM were able to reduce the viral copies either with Blue (setting 1 p = 0.0095, setting 2 p = 0.038 Fig. 1b, c) or with NIR wavelengths (setting 1 p = 0.0095, setting 2 p = 0.038 Fig. 1b, c). 
Moreover, in settings 1 and 2, ZIKV reduced the cell viability (respect to not infected, p &lt; 0.0001, Fig. 1d, e), confirming previous results [4]; we subsequently observed that in setting 2, PBM increased the vitality in irradiated cells with both PBM protocols, showing levels similar to those of not infected cells (p = 0.033 and p = 0.036 for Blue and NIR PBM respectively, Fig. 1e); the same trend, although not statistically significant, was observed in setting 1 with Blue PBM (Fig. 1d)"
Comment: It seems the effect was not dramatic, but good nonetheless.</t>
  </si>
  <si>
    <t>Carrageenan inflammation</t>
  </si>
  <si>
    <t>Honmura</t>
  </si>
  <si>
    <t>Japan
(Atsugi)</t>
  </si>
  <si>
    <t>Therapeutic effect of Ga-Al-As diode laser irradiation on experimentally induced inflammation in rats.</t>
  </si>
  <si>
    <t>Three carrageenan inflammatory models:
(1) air-pouch
(2) paw edema
(3) granuloma</t>
  </si>
  <si>
    <t>31.8
(?)</t>
  </si>
  <si>
    <t>d =
0.2
mm</t>
  </si>
  <si>
    <t>"In all cases, irradiation for less than 10 min was sufficient to inhibit the inflammation by 20-30%.
The inhibitory effect of laser irradiation was not comparable to that of indomethacin (4 mg/kg, i.o.) in the air-pouch model and the paw-edema model, whereas laser irradiation was more potent than that of daily administration of indomethacin (1 mg/kg, i.o.) in the granuloma model.
In future studies of the mechanism of laser effect, it should be noted that irradiating a rat twice, before and after the provocation of inflammation, was essential in order to achieve an effective inhibition of paw-edema."</t>
  </si>
  <si>
    <t>Insect health</t>
  </si>
  <si>
    <t>Improved mitochondrial function corrects immunodeficiency and impaired respiration in neonicotinoid exposed bumblebees</t>
  </si>
  <si>
    <t>LED phototherapy
Imidaclopride toxicity</t>
  </si>
  <si>
    <t>"We reveal that only 1 min of 670nm exposure is sufficient to correct respiratory deficits induced by pesticide and that this also completely repairs damaged immunocompetence measured by haemocyte counts and the antibacterial action of hemolymph. Further, this single 1 min exposure remains effective for 3-6 days. Longer exposures were not more effective."</t>
  </si>
  <si>
    <t>Improving Mitochondrial Function Protects Bumblebees from Neonicotinoid Pesticides.</t>
  </si>
  <si>
    <t>"Bees exposed to insecticide and daily to 670nm light showed corrected ATP levels and significantly improved mobility allowing them to feed. Physiological recordings from eyes revealed that light exposure corrected deficits induced by the pesticide. Overall, death rates in bees exposed to insecticide but also given 670nm light were indistinguishable from controls."
"Treatment with 670nm on control bees also resulted in a significant improvement in survival over controls (P&lt;0.01), similar to data from fruit flies exposed to this light [15]"
"Hence, we show that deep red light exposure that improves mitochondrial function, reverses the sensory and motor deficits induced by Imidacloprid."</t>
  </si>
  <si>
    <t>Shifting patterns of cellular energy production (ATP) over the day and key timings for the effect of optical manipulation</t>
  </si>
  <si>
    <t>Timing of PBM
LED phototherapy</t>
  </si>
  <si>
    <t>"670nm exposures resulted in a significant ATP increases and a shift in the ATP/ADP ratio at 8.00 and 11.00, whilst application at other time points had no effect.
Hence light induced ATP increases appear limited to periods when natural production is high."
"In summary, long wavelength influences on mitochondria are conserved across species from fly to human. Determining times for their administration to improve function in ageing and disease are of key importance."
Comment: The PBM exposure was on 5am, 8am, 11am and 4pm.</t>
  </si>
  <si>
    <t>Weinrich</t>
  </si>
  <si>
    <t>The temporal sequence of improved mitochondrial function on the dynamics of respiration, mobility, and cognition in aged Drosophila.</t>
  </si>
  <si>
    <t>LED phototherapy
Acute effects</t>
  </si>
  <si>
    <t>"We give old flies a single 90-minute 670-nm pulse and measure temporal sequences of changes in respiration, ATP, motor, and cognitive ability. Respiration increased significantly 20 minutes after light initiation and remained elevated for 4 days. Measurable ATP increased at 1 hour, peaking at 3 hours, and then declined rapidly. Respiration improved before ATP increased, which indicates an early ATP sink. Flies explore environments stereotypically, which is lost with aging but is reestablished for 7 hours after light exposure. 
However, again, there are improvements before there are peaks in ATP production. Improved mobility and cognitive function persist after ATP levels return to normal. Hence, elevated ATP in age may initiate independent signaling mechanisms that result in improvements in aged metabolism and function."</t>
  </si>
  <si>
    <t>Improving mitochondrial function significantly reduces metabolic, visual, motor and cognitive decline in aged Drosophila melanogaster.</t>
  </si>
  <si>
    <t>LED phototherapy
Eyes &amp; Retinal function</t>
  </si>
  <si>
    <t>"Exposure significantly increased cytochrome c oxidase activity, whole body energy storage, ATP and mitochondrial DNA content, and reduced reactive oxygen species. Retinal function and memory were also significantly improved to levels found in 2-week-old flies. Mobility improved by 60%."
"The mode of action is likely related to improved energy homeostasis increasing ATP availability for ionic ATPases critical for maintenance of neuronal membrane potentials. 670-nm light exposure may be a simple route for resolving problems of aging."</t>
  </si>
  <si>
    <t>Biol Lett</t>
  </si>
  <si>
    <t>Near-infrared light increases ATP, extends lifespan and improves mobility in aged Drosophila melanogaster.</t>
  </si>
  <si>
    <t>"Here, we expose fruitflies daily to 670 nm radiation, revealing elevated ATP and reduced inflammation with age. Critically, there was a significant increase in average lifespan: 100-175% more flies survived into old age following 670 nm exposure and these had significantly improved mobility."</t>
  </si>
  <si>
    <t>Honeybee</t>
  </si>
  <si>
    <t>Kam</t>
  </si>
  <si>
    <t>UK &amp; France</t>
  </si>
  <si>
    <t>From the Lab to the Field: Translating Applications of Near-Infrared Light from Laboratory to the Field to Improve Honeybee Mitochondrial Function and Hive Health</t>
  </si>
  <si>
    <t>"We show that 670 nm light increases the mitochondrial function and protects bees when they are exposed to imidacloprid in the winter supplementary feed. Hives with 670 nm lights maintained stable temperatures compared with controls in adverse weather conditions."
"This proof-of-principal study opens the door to widespread use of long wavelength light to protect honeybee hives from the increasing threats undermining their physiology that can cause colony collapse."</t>
  </si>
  <si>
    <t>Blood markers</t>
  </si>
  <si>
    <t>Vasconcelos</t>
  </si>
  <si>
    <t>Influence of Intravascular Laser Irradiation of Blood (ILIB) on inflammatory cytokines and nitric oxide in vivo: a systematic review</t>
  </si>
  <si>
    <t>"6 articles were included. An increase in anti-inflammatory cytokines, a decrease in pro-inflammatory cytokines and an increase in NO can be observed. The wavelengths used ranged from 660 to 808 nm when using a low intensity laser and when using a VIP light source 480-3400 nm, they also differed in terms of the light emission pattern. ILIB may be a complementary treatment option for patients who have comorbidities that lead to systemic inflammation."</t>
  </si>
  <si>
    <t>Xiaosong</t>
  </si>
  <si>
    <t>J Xray Sci Technol</t>
  </si>
  <si>
    <t>Light distribution in intravascular low level laser therapy applying mathematical simulation: A comparative study</t>
  </si>
  <si>
    <t>Monte Carlo model</t>
  </si>
  <si>
    <t>"In summary, optical fiber coupled with cylindrical light diffuser is superior to flat end fiber at the aspect of increasing the volume of irradiated blood and decreasing unwanted damage to blood cells during intravascular low level laser therapy."</t>
  </si>
  <si>
    <t>Tomé</t>
  </si>
  <si>
    <t>ILIB (intravascular laser irradiation of blood) as an adjuvant therapy in the treatment of patients with chronic systemic diseases-an integrative literature review</t>
  </si>
  <si>
    <t>"After applying the inclusion and exclusion criteria, 13 articles were selected. Coronary diseases were the most prevalent, followed by type 2 diabetes mellitus, with the coronary artery being the most widely used access route for ILIB application. Despite the varied parameters and protocols for using this kind of therapy, all studies have shown satisfactory results in the patients' clinical condition. ILIB proved to be effective in all organic systems, showing some positive result. 
However, studies on the effect of this therapy on various diseases are still scarce in the literature, and there is a need for more well-designed clinical trials to better understand the role of ILIB in various systemic diseases."</t>
  </si>
  <si>
    <t>Mikhaylov</t>
  </si>
  <si>
    <t>United Arab Emirates
(Dubai)</t>
  </si>
  <si>
    <t>The use of Intravenous Laser Blood Irradiation (ILBI) at 630-640 nm to prevent vascular diseases and to increase life expectancy</t>
  </si>
  <si>
    <t>"The studies and accumulated literature of more than 30 years have proved that the visible red light in the waveband of 630–640 nm have a powerful influence on:
oxygen — 8), 41–47)
blood cells — 8), 9), 11), 14), 15), 57), 99), 100)
blood enzymes — 16–19), 21–24), 26), 28), 101), 102)
blood proteins — 27–30)
blood coagulation system — 8), 31–35)
biological fluids — 27), 39), 40)
vascular wall and microcirculation — 46), 50), 52), 54), 57), 62), 64–68) 70),
neomicrovascularization and neoangiogenesis — 69), 71).
positive effects seen in the treatment of cardiovascular diseases and myocardial ischemia — 11), 48–54), 56), 58–61)
vascular diseases — 30), 52), 72–76), 80), 81), 103)
The same visible red waveband has also demonstrated proven effects on the various systems which contribute to the organism's survival:
lymphatic system — 82), 83)
nervous system — 29), 67), 89), 77), 78), 84–87), 90), 104)
neuro-endocrine system — 64) 86), 91–94), 93), 96)
immune system — 6), 29), 77), 97), 105)"</t>
  </si>
  <si>
    <t>Momenzadeh</t>
  </si>
  <si>
    <t>The intravenous laser blood irradiation in chronic pain and fibromyalgia</t>
  </si>
  <si>
    <t>"In the years after, many, and for the most part Russian studies showed that helium-neon laser had various effects on many organs and on the hematologic and immunologic system. The studies were published mainly in Russian which were little known in the West because of decades of political separation, and were regarded with disapproval. Besides clinical research and application for patients, the cell biological basis was developed by the Estonian cell biologist Tiina Karu at the same time."</t>
  </si>
  <si>
    <t>Case report: Rapid improvement of crossed cerebellar diaschisis after intravascular laser irradiation of blood in a case of stroke.</t>
  </si>
  <si>
    <t>🧑 Human
📄 Case report
⌛ 10-day treatment / ~2-month report</t>
  </si>
  <si>
    <t>Crossed cerebellar diaschisis (CCD)</t>
  </si>
  <si>
    <t>"We found that ILIB helped eliminate CCD, which was previously shown to be an untreatable condition using any intervention during the sub-acute post-stroke stage. Stroke patients could therefore greatly benefit from ILIB."</t>
  </si>
  <si>
    <t>KazemiKhoo &amp; Ansari</t>
  </si>
  <si>
    <t>Blue or red: which intravascular laser light has more effects in diabetic patients?</t>
  </si>
  <si>
    <t>🧑 Human
📄 (Unclear methodology)
👥 24 participants
⌛ 14 days (?)</t>
  </si>
  <si>
    <t>405
633</t>
  </si>
  <si>
    <t>1.5
1.5</t>
  </si>
  <si>
    <t>0.01
cm2
spot</t>
  </si>
  <si>
    <t>7+
7
(??)</t>
  </si>
  <si>
    <t>"Serum [blood sugar] decreased highly significant after ILIB with both red and blue lights (p &lt; 0.0001), but we did not find significant difference between red and blue lights."
Comment: The full text is a little bit hard to understand. It might be that the same group of patients (single arm trial) received an alternating treatment of red or blue light on each session, and the before-after differences were measured on each session.</t>
  </si>
  <si>
    <t>A metabolomic study on the effect of intravascular laser blood irradiation on type 2 diabetic patients.</t>
  </si>
  <si>
    <t>🧑 Human
📄 Single-arm trial
👥 9 participants
⌛ single session</t>
  </si>
  <si>
    <t>"The results showed significant decrease in glucose, glucose 6 phosphate, dehydroascorbic acid, R-3-hydroxybutyric acid, L-histidine, and L-alanine and significant increase in L-arginine level in blood and blood sugar in the patients have reduced significantly (p &lt; 0.05). This study clearly demonstrated a significant positive effect of ILBI on metabolites of blood in diabetic type 2 patients."</t>
  </si>
  <si>
    <t>Joints</t>
  </si>
  <si>
    <t>Ankle joint</t>
  </si>
  <si>
    <t>Abduch</t>
  </si>
  <si>
    <t>Evaluation of metalloproteinases-2, -9, and -13 post photobiomodulation in mice talocrural joint.</t>
  </si>
  <si>
    <t>"Our results indicate that PBM can alter MMP-2 mRNA relative level but cannot alter MMP-9, MMP-13, and TIMP mRNA relative levels. Moreover, both MMP-13 and TIMP-2 proteins were also unaltered after PBM."</t>
  </si>
  <si>
    <t>Ankylosing spondylitis</t>
  </si>
  <si>
    <t>China
(Shandong)</t>
  </si>
  <si>
    <t>Efficacy of wIRA in the treatment of sacroiliitis in male patients with ankylosing spondylitis and its effect on serum VEGF levels.</t>
  </si>
  <si>
    <t>🧑 Human
🎲 Randomized trial, crossover
👥 120 participants
⌛ 5 days -&gt; 1-day washout -&gt; 5 days</t>
  </si>
  <si>
    <t>Polychromatic light 🌈 (water-filtered infrared-A)</t>
  </si>
  <si>
    <t>560-
1400</t>
  </si>
  <si>
    <t>10
/ 5 days
(and
same
for
control
condition)</t>
  </si>
  <si>
    <t>"BASDAI, pain VAS, and morning stiffness VAS scores decreased significantly (P &lt; 0.001) after wIRA treatment and no-wIRA treatment (control group), and the difference between the two groups was significant (P &lt; 0.001). CRP declined and RI increased during the wIRA treatment as compared with the no-wIRA treatment (P &lt; 0.001)."</t>
  </si>
  <si>
    <t>LLLT for the management of patients with ankylosing spondylitis.</t>
  </si>
  <si>
    <t>🧑 Human
🎲 Randomized trial, sham-controlled
👥 48 participants
⌛ 8-week treatment -&gt; 8-week follow-up</t>
  </si>
  <si>
    <t>27
(6p)</t>
  </si>
  <si>
    <t>900
(6p)</t>
  </si>
  <si>
    <t>12
/ 8 weeks</t>
  </si>
  <si>
    <t>"The results suggested that after an 8-week treatment and after a follow-up, the combination of LLLT and passive stretching exercises decreased pain more effectively than placebo LLLT along with the same passive stretching exercises in patients with Αnkylosing spondylitis"</t>
  </si>
  <si>
    <t>Arthritis</t>
  </si>
  <si>
    <t>do Bomfim</t>
  </si>
  <si>
    <t>Photobiomodulation effects on synovial morphology, iNOS gene, and protein expression in a model of acute inflammation</t>
  </si>
  <si>
    <t>0.825</t>
  </si>
  <si>
    <t>0.02 mm2 beam area</t>
  </si>
  <si>
    <t>"It was observed an increase in the thickness of the synovial lining epithelium and inflammatory infiltrate in sham compared to PBM. Gene expression analysis showed higher iNOS expression in PBM, and iNOS protein expression decreased in PBM compared to sham."
"Photobiomodulation decreased inflammation in PBM animals, upregulated iNOS gene expression, however down egulated protein expression compared to sham."</t>
  </si>
  <si>
    <t>Zhang &amp; Qu</t>
  </si>
  <si>
    <t>The Mechanisms and Efficacy of Photobiomodulation Therapy for Arthritis: A Comprehensive Review</t>
  </si>
  <si>
    <t>"PBM's effectiveness in arthritis treatment has been extensively researched in arthritis-specific cells. Despite the positive results of PBM treatment, questions about specific parameters such as wavelength, dose, power density, irradiation time, and treatment site remain. The goal of this comprehensive review is to systematically summarize the mechanisms of PBM in arthritis treatment, the development of animal arthritis models, and the anti-inflammatory and joint function recovery effects seen in these models. The review also goes over the evaluation methods used in clinical trials. Overall, this review provides valuable insights for researchers investigating PBM treatment for arthritis, providing important references for parameters, model techniques, and evaluation methods in future studies."
"Clinical trials examining the therapeutic effects of PBM in the treatment of arthritis have yielded encouraging results, particularly in knee OA and RA. PBM has been shown to reduce pain, swelling, and morning stiffness, indicating its ability to suppress arthritic inflammation [79,151,158,159,160,161,162,163,164,165,166,167,168]. However, it is important to note that some studies have reported no or only partial effects of PBM on arthritis treatment, indicating the need for better-defined treatment parameters and evaluation methods [169,170,171]."
"The efficacy of PBM remains controversial due to variations in operating methods, treatment parameters (such as wavelength, power density, light source type, and arthritis type), evaluation methods, and irradiation sites in each research project."</t>
  </si>
  <si>
    <t>Okur &amp; Okumuş</t>
  </si>
  <si>
    <t>Effects of low-level laser therapy and therapeutic ultrasound on Freund's complete adjuvant-induced knee arthritis model in rats</t>
  </si>
  <si>
    <t>1
cm2
beam
area</t>
  </si>
  <si>
    <t>"Compared to the RA group, serum TNF-α, IL-1β, and RF levels were significantly lower in the treatment groups (p&lt;0.05). The P+TU and P+L group was showed minimal chondrocyte degeneration and cartilage erosion and mild cartilage fibrillation and mononuclear cell infiltration of synovial membrane compared to the P, TU, and L group."
"The LLLT and TU effectively reduced inflammation. In addition, a more effective result was obtained from the use of LLLT and TU combined with intra-articular P. This result may be due to insufficient dose of LLLT and TU, thus further studies should be focus on at higher dose ranges on FCA arthritis model in rats."</t>
  </si>
  <si>
    <t>Retameiro</t>
  </si>
  <si>
    <t>Brazil
(Cascavel)</t>
  </si>
  <si>
    <t>Anat Rec (Hoboken)</t>
  </si>
  <si>
    <t>Resistance exercise and low-level laser therapy improves grip strength and morphological aspects in the ankle joint of Wistar rats with experimental arthritis</t>
  </si>
  <si>
    <t>"LLLT and resistance exercise restored muscle strength and morphological aspects of the ankle joint in rats with experimentally induced RA."</t>
  </si>
  <si>
    <t>Dos Anjos</t>
  </si>
  <si>
    <t>Photobiomodulation effects in metalloproteinases expression in zymosan-induced arthritis</t>
  </si>
  <si>
    <t>"Our results demonstrated PBM could modulate both mRNA relative levels and proteins expression of the MMP-2, -9, -13, -14, and TIMP-2 in joint tissues, decreasing MMP-9 protein expression and increasing TIMP-2 protein expression."</t>
  </si>
  <si>
    <t>Bartoli</t>
  </si>
  <si>
    <t>Brazil 
(Araras)</t>
  </si>
  <si>
    <t>Laser Treatment of Synovial Inflammatory Process in Experimentally Induced Microcrystalline Arthritis in Wistar Rats</t>
  </si>
  <si>
    <t>"InGaAlP-670 nm therapy reduced the inflammatory process and tissue injuries of the synovial membrane in comparison to the untreated group, indicating its potential utilization in clinical studies aiming in the recovery of acute arthritis in patients."</t>
  </si>
  <si>
    <t>Felizatti</t>
  </si>
  <si>
    <t>Effects of low-level laser therapy on the organization of articular cartilage in an experimental microcrystalline arthritis model</t>
  </si>
  <si>
    <t>0.36</t>
  </si>
  <si>
    <t>7
14
21</t>
  </si>
  <si>
    <t>"The AsGa-830 nm therapy preserved the content of glycosaminoglycans, reduced the cellular changes and the inflammatory process compared to the untreated group."</t>
  </si>
  <si>
    <t>Modulation of immune response to induced-arthritis by low-level laser therapy.</t>
  </si>
  <si>
    <t>LLLT vs dexamethasone</t>
  </si>
  <si>
    <t>0.150
1.500</t>
  </si>
  <si>
    <t>"Data showed decrease in all cytokine levels after LLLT and alteration in mRNA relative levels, depending on the energy density used. LLLT was able to increase of immune cell populations analyzed in the lymph node as well as costimulatory proteins expression on macrophages and dendritic cells. Treg TCD4+ and TCD8+ population enrichment was observed in LLLT at 3 Jcm-2 and 30 Jcm-2 groups, respectively. Furthermore, Treg TCD8+ cells expressing higher levels of CD25 were observed at LLLT at 30 Jcm-2 group. Our results indicate that LLLT could change the inflammatory course of arthritis, tending to accelerate its resolution through immune cells photobiostimulation."</t>
  </si>
  <si>
    <t>Trawitzki</t>
  </si>
  <si>
    <t>Low-intensity laser therapy efficacy evaluation in mice subjected to acute arthritis condition.</t>
  </si>
  <si>
    <t>Biphasic dose response
Wavelength comparison</t>
  </si>
  <si>
    <t>660
808
905</t>
  </si>
  <si>
    <t>0.025
0.025
0.025</t>
  </si>
  <si>
    <t>5
5
5</t>
  </si>
  <si>
    <t>200
200
200</t>
  </si>
  <si>
    <t>1
or
2</t>
  </si>
  <si>
    <t>"LILT showed signs of an anti-inflammatory effect when applied once, but promoted increased resorptive area when used for two sessions, indicating the importance of a controlled LILT protocol to reach therapeutic effects."</t>
  </si>
  <si>
    <t>Assis</t>
  </si>
  <si>
    <t>Interleukin-10 and collagen type II immunoexpression are modulated by photobiomodulation associated to aerobic and aquatic exercises in an experimental model of osteoarthritis.</t>
  </si>
  <si>
    <t>1.4
/point</t>
  </si>
  <si>
    <t>0.28
cm2</t>
  </si>
  <si>
    <t>28
/p</t>
  </si>
  <si>
    <t>"These results suggest that PBM associated with aerobic and aquatic exercise training were effective in mediating chondroprotective effects and maintaining the integrity of the articular tissue in the knees of OA rats."</t>
  </si>
  <si>
    <t>Issa</t>
  </si>
  <si>
    <t>Low-intensity laser therapy efficacy evaluation in FVB mice subjected to acute and chronic arthritis.</t>
  </si>
  <si>
    <t>0.38
cm2</t>
  </si>
  <si>
    <t>"Kruskal-Wallis testing indicated no significant differences between knees affected by acute arthritis and treated once with LILT and an injured knee without treatment (p &gt; 0.05) for 660 and 808 nm with some improvements for the 905-nm LILT. Mice receiving two treatments for acute arthritis showed exacerbation of inflammation and articular resorption following therapy with a 660-nm continuous laser (p &lt; 0.05). For chronic inflammation, differences were not noted between LILT treated and untreated injured knee joints (p &gt; 0.05). Among the lasers, the 905 nm tends to show better results for anti-inflammatory effect in acute arthritis, and the 660 nm showed better results in chronic arthritis.
In conclusion, LILT wavelength selection depends on the arthritis condition and can demonstrate anti-inflammatory effects for chronic arthritis and reduced resorption area in this murine model."</t>
  </si>
  <si>
    <t>Apoptosis induced by low-level laser in polymorphonuclear cells of acute joint inflammation: comparative analysis of two energy densities.</t>
  </si>
  <si>
    <t>Zymosan-induced acute inflammation (arthritis)
Dose response
LLLT vs dexamethasone</t>
  </si>
  <si>
    <t>"Data showed an anti-inflammatory effect, DNA fragmentation in polymorphonuclear (PMN) cells and alteration in gene expression of proteins related to apoptosis pathways after LLLT. p53 gene expression increased at both energy densities, Bcl2 gene expression increased at 3 Jcm-2, and Bcl2 tissue expression decreased at 30 Jcm-2. In addition, apoptosis was restricted to PMN cells.
Results suggest that apoptosis in PMN cells comprise part of LLLT anti-inflammatory mechanisms by disbalance promotion between expression of pro-apoptotic (Bax and p53) and anti-apoptotic (Bcl-2) proteins, with pro-apoptotic gene expression selectively in PMN cells."</t>
  </si>
  <si>
    <t>Hsieh</t>
  </si>
  <si>
    <t>The fluence effects of low-level laser therapy on inflammation, fibroblast-like synoviocytes, and synovial apoptosis in rats with adjuvant-induced arthritis.</t>
  </si>
  <si>
    <t>30
80</t>
  </si>
  <si>
    <t>4.5
72</t>
  </si>
  <si>
    <t>30
180
/p</t>
  </si>
  <si>
    <t>10
10</t>
  </si>
  <si>
    <t>"LLLT at a fluence of 4.5 J/cm2 significantly reduced infiltration of inflammatory cells and expressions of TNF-α-, MMP3- and 5B5-like immunoreactivities, as well as resulting in more TUNEL-positive apoptotic cells in the synovium. No significant changes were observed in these biochemicals and inflammation in arthritic animals treated with 72 J/cm2."
"LLLT with low fluence is highly effective in reducing inflammation to sites of injury by decreasing the numbers of FLS, inflammatory cells, and mediators in the CFA-induced arthritic model. These data will be of value in designing clinical trials of LLLT for RA."</t>
  </si>
  <si>
    <t>Protective effect of low-level laser therapy (LLLT) on acute zymosan-induced arthritis.</t>
  </si>
  <si>
    <t>Zymosan-induced
LLLT vs dexamethasone</t>
  </si>
  <si>
    <t>"Treatment with laser significantly inhibited leukocytes influx, the release of IL-1 and IL-6 and also the activity of metalloproteinase-2 and 9, into the joint cavity. In conclusion, laser therapy was effective in reducing inflammation to sites of injury and inhibit activation of proteases (gelatinase) suggesting less degradation of collagen tissue in experimental model of acute arthritis."</t>
  </si>
  <si>
    <t>Power meter: The optical power of the laser was calibrated using a Newport Multifunction Optical Meter (model 1835-C).</t>
  </si>
  <si>
    <t>Pallotta</t>
  </si>
  <si>
    <t>Infrared (810-nm) low-level laser therapy on rat experimental knee inflammation.</t>
  </si>
  <si>
    <t>Acute knee arthritis</t>
  </si>
  <si>
    <t>1
3
6
10</t>
  </si>
  <si>
    <t>50
150
300
500</t>
  </si>
  <si>
    <t>10
30
60
100</t>
  </si>
  <si>
    <t>"This result was corroborated by cell counting showing the reduction of polymorphonuclear cells at the inflammatory site. Vascular extravasation was significantly inhibited at the higher dose of energy of 10 J. Both COX-1 and 2 gene expression were significantly enhanced by laser irradiation while PGE(2) production was inhibited. Low-level laser therapy operating at 810 nm markedly reduced inflammatory signs of inflammation but increased COX-1 and 2 gene expression."</t>
  </si>
  <si>
    <t>de Morais</t>
  </si>
  <si>
    <t>Anti-inflammatory effect of low-level laser and light-emitting diode in zymosan-induced arthritis.</t>
  </si>
  <si>
    <t>LLLT vs LED
LED phototherapy
LLLT vs dexamethasone
Wavelength comparison</t>
  </si>
  <si>
    <t>628
LED
685
830
Laser</t>
  </si>
  <si>
    <t>20
20
20</t>
  </si>
  <si>
    <t>2.5
2.5
2.5</t>
  </si>
  <si>
    <t>0.8
cm2
0.8
0.8
cm2</t>
  </si>
  <si>
    <t>100
100
100</t>
  </si>
  <si>
    <t xml:space="preserve">"Irradiation with 685 nm and 830 nm laser wavelengths significantly inhibited edema formation, vascular permeability, and hyperalgesia. Laser irradiation, averaged over the two wavelengths, reduced the vascular permeability by 24%, edema formation by 23%, and articular incapacitation by 59%. Treatment with LED (628 nm), with the same fluence as the laser, had no effect in zymosan-induced arthritis."
</t>
  </si>
  <si>
    <t>Castano</t>
  </si>
  <si>
    <t>Low-level laser therapy for zymosan-induced arthritis in rats: Importance of illumination time.</t>
  </si>
  <si>
    <t xml:space="preserve">"Biphasic dose response"
</t>
  </si>
  <si>
    <t>0.005
0.05</t>
  </si>
  <si>
    <t>LLLT was highly effective in treating inflammatory arthritis in this model. Longer illumination times were more effective than short times regardless of total fluence or irradiance.</t>
  </si>
  <si>
    <t>Brosseau</t>
  </si>
  <si>
    <t>Canada
(Ontario)</t>
  </si>
  <si>
    <t>Low level laser therapy for osteoarthritis and rheumatoid arthritis: a metaanalysis.</t>
  </si>
  <si>
    <t>"LLLT should be considered for short term relief of pain and morning stiffness in RA, particularly since it has few side effects.
For OA, the results are conflicting in different studies and may depend on the method of application and other features of the LLLT.
Clinicians and researchers should consistently report the characteristics of the LLLT device and the application techniques. New trials on LLLT should make use of standardized, validated outcomes.
Despite some positive findings, this metaanalysis lacked data on how effectiveness of LLLT is affected by 4 factors: wavelength, treatment duration of LLLT, dosage, and site of application over nerves instead of joints. There is a need to investigate the effects of these factors on effectiveness of LLLT for RA and OA in randomized controlled clinical trials."</t>
  </si>
  <si>
    <t>Ulugöl</t>
  </si>
  <si>
    <t>Turkey
(Edirne)</t>
  </si>
  <si>
    <t>Comparison of the effects of tenoxicam and mid-laser irradiation on chronic adjuvant arthritis in rats</t>
  </si>
  <si>
    <t>"All 3 groups showed significantly reduced paw edema compared with the control group. Although the reduction in paw edema in the animals treated with tenoxicam or with tenoxicam+ mid-laser was more significant, mid-laser is proposed as an alternative therapy for symptomatic relief in certain conditions well known to limit the use of NSAIDs."</t>
  </si>
  <si>
    <t>Arthritis (juvenile)</t>
  </si>
  <si>
    <t>Elnaggar</t>
  </si>
  <si>
    <t>Saudi Arabia
(Al-Kharj)</t>
  </si>
  <si>
    <t>Low-energy laser therapy application on knee joints as an auxiliary treatment in patients with polyarticular juvenile idiopathic arthritis: a dual-arm randomized clinical trial</t>
  </si>
  <si>
    <t>🧑 Human
🎲 Randomized trial
👥 60 participants
⌛ 3-month treatment / 6-month study (?)</t>
  </si>
  <si>
    <t>Pediatric patients</t>
  </si>
  <si>
    <t>24
(12
/knee)</t>
  </si>
  <si>
    <t>0.2
cm2
beam
area</t>
  </si>
  <si>
    <t>36
/ 3 months</t>
  </si>
  <si>
    <t>"Per the mixed-model analysis of variance, the LLT group showed a statistically more favorable improvement in pain (P = .003, ηp2 = .014), fatigue perception (P = .004, ηp2 = .015), and functional status (P = .022, ηp2 = .09) across the three assessment occasions, as compared to the [exercise only] control group. However, no significant difference was demonstrated between both groups concerning peak concentric torque (all P &gt; .05).
Incorporation of LLT into the standard physical rehabilitation program for patients with JIA has the potential to induce more conducive improvements in pain, fatigue, and functional performance, but is not effective for improving muscle performance."</t>
  </si>
  <si>
    <t>Innovations and Challenges by Applying Sublingual Laser Blood Irradiation in Juvenile Idiopathic Arthritis</t>
  </si>
  <si>
    <t>🧑 Human
🎲 Randomized trial, sham-controlled
👥 105 participants
⌛ 6-month treatment / 12-month study</t>
  </si>
  <si>
    <t>Sublingual LLLT
Pediatric patients</t>
  </si>
  <si>
    <t>405+
536+
635</t>
  </si>
  <si>
    <t>5+
5+
5</t>
  </si>
  <si>
    <t>21
/ 6 months
(?)</t>
  </si>
  <si>
    <t>"Evaluation was performed using American College of Rheumatology Pediatric criteria (ACR Pedi) at study enrollment and at 8, 16, 24, and 48 weeks. 
At the end of study, there was an improvement of the ACR Pedi 30 by 86.11% in SLBI group compared to only 61.11% in Group II, respectively, and 60.6% in Group III (), with significant statistical differences. 
SLBI has reduced the pain, lowered the number of articulations with movement limitation, increased the quality of life, and made it possible to avoid the administration of biological agents."</t>
  </si>
  <si>
    <t>Chiran</t>
  </si>
  <si>
    <t>Case Rep Med</t>
  </si>
  <si>
    <t>Intravenous laser blood irradiation and tocilizumab in a patient with juvenile arthritis</t>
  </si>
  <si>
    <t>🧑 Human
📄 Case report
⌛ 7-month treatment / 12-month report</t>
  </si>
  <si>
    <t>405+
536+
630</t>
  </si>
  <si>
    <t>3600
(1200 per wavelength)</t>
  </si>
  <si>
    <t>70
(10/month
for
7 months)</t>
  </si>
  <si>
    <t>"ILBI was performed in a 16-year-old male patient, with JIA and transient immunodeficiency. When ILBI was introduced, the patient was receiving disease-modifying drugs, steroids, tocilizumab, and physical therapy. Because the disease was not well controlled, ILBI was applied in addition to other ongoing therapies."
"The outcome was evaluated using Pediatric 50, 70, and 90 responses and compared to initial status, after 3, 6, 9, and 12 months. At the end of study, the titre of IgA and IgG levels returned to normal."</t>
  </si>
  <si>
    <t>Intravenous laser blood irradiation increases efficacy of etanercept in selected subtypes of juvenile idiopathic arthritis: an innovative clinical research approach</t>
  </si>
  <si>
    <t>🧑 Human
🎲 Randomized trial, sham-controlled
👥 23 participants
⌛ 20 weeks</t>
  </si>
  <si>
    <t>405+
536+
630
(10 min of each, 30 min total</t>
  </si>
  <si>
    <t>5 /1 month
-&gt;
7-wk break
-&gt;
5 /1 month
-&gt;
7-wk break
-.&gt;
5 /1 month</t>
  </si>
  <si>
    <t>"Fourteen patients (Group I) received ILBI and 9 patients (Group II) received placebo laser. ILBI was performed in addition to ongoing JIA medication, including etanercept."
"After 10 weeks, 85.7% of the patients in Group I fulfilled Pedi 30 criteria, compared to only 55.6% of the patients in Group II. 
After 20 weeks, all patients in both groups had a Pedi 30 response. In Group I, 92.8% of the subjects met the Pedi 50 response, compared to only 55.6% in the placebo group."</t>
  </si>
  <si>
    <t>Arthrogenic contracture</t>
  </si>
  <si>
    <t>Kaneguchi</t>
  </si>
  <si>
    <t>Low-Level Laser Therapy Prevents Treadmill Exercise-Induced Progression of Arthrogenic Joint Contracture Via Attenuation of Inflammation and Fibrosis in Remobilized Rat Knees.</t>
  </si>
  <si>
    <t>120
(2p)</t>
  </si>
  <si>
    <t>"LLLT suppressed the progression of arthrogenic contracture caused by ambulation and treadmill exercise"</t>
  </si>
  <si>
    <t>Cartilage: epiphyseal</t>
  </si>
  <si>
    <t>Cressoni</t>
  </si>
  <si>
    <t>Effect of GaAlAs laser irradiation on the epiphyseal cartilage of rats</t>
  </si>
  <si>
    <t>5
15</t>
  </si>
  <si>
    <t>"The 830-nm GaAlAs diode laser, within the parameters used in this study, induced changes in the thickness of the epiphyseal cartilage and increased the number of chondrocytes, but this was not sufficient to induce changes in bone length."</t>
  </si>
  <si>
    <t>Cartilage</t>
  </si>
  <si>
    <t>1064nm Nd:YAG laser promotes chondrocytes regeneration and cartilage reshaping by upregulating local estrogen levels</t>
  </si>
  <si>
    <t>🐇 Rabbit (?)</t>
  </si>
  <si>
    <t>"[W]e employed the ear folding models in New Zealand rabbits to confirm whether the 1064nm neodymium-doped yttrium alumrinium garnet (Nd:YAG) laser could promote cartilage reshaping. There was an increase in collagen and aromatase (Cyp19) expression within the ear cartilage after laser treatment. Moreover, we have found that the Cyp19 inhibitor can inhibit the laser's effect on cartilage shaping and reduce collagen and Cyp19 expression."</t>
  </si>
  <si>
    <t>Sakata</t>
  </si>
  <si>
    <t>High-frequency near-infrared diode laser irradiation suppresses IL-1β-induced inflammatory cytokine expression and NF-κB signaling pathways in human primary chondrocytes</t>
  </si>
  <si>
    <t>"These findings indicate that high-frequency low-level diode laser irradiation may reduce the expression of inflammatory cytokines in OA and RA."</t>
  </si>
  <si>
    <t>High-Frequency Near-Infrared Diode Laser Irradiation Attenuates IL-1β-Induced Expression of Inflammatory Cytokines and Matrix Metalloproteinases in Human Primary Chondrocytes.</t>
  </si>
  <si>
    <t>"High-frequency near-infrared diode laser irradiation significantly reduced the IL-1β-induced expression of IL-1β, IL-6, TNF-α, MMP-1, and MMP-3.
Similarly, high-frequency near-infrared diode laser irradiation decreased the IL-1β-induced increase in protein expression and secreted levels of MMP-1 and MMP-3.
These results highlight the therapeutic potential of high-frequency near-infrared diode laser irradiation in [osteoarthritis]."</t>
  </si>
  <si>
    <t>Front Bioeng Biotechnol</t>
  </si>
  <si>
    <t>Promoted Viability and Differentiated Phenotype of Cultured Chondrocytes With Low Level Laser Irradiation Potentiate Efficacious Cells for Therapeutics</t>
  </si>
  <si>
    <t>0.91
cm2</t>
  </si>
  <si>
    <t>60
180
300
480
660
780</t>
  </si>
  <si>
    <t>"Biostimulation of passaging chondrocytes with low level laser irradiation (LLLI) may theoretically produce more functional chondrocytes for cell-based repair of cartilage defects.
Molecular and cellular analyses, cytochemistry, cell cultivation, and microscopy showed that LLLI treatments were found to
(1) increase chondrocyte viability,
(2) promote secretion of matrix proteins,
(3) upregulate expression of chondrogenic genes, and
(4) downregulate gene expression of cell destructive proteases and genes coding for mediators involved in the extrinsic apoptosis signaling pathway. 
Furthermore, LLLI attenuated induction of genes associated with cell death and matrix breakdown induced by IL-1β, some of which was seen at the protein level, with verification of effects on gene expression in the C28/I2 human chondrocyte line. LLLI treatments during culture generated larger numbers of viable chondrocytes compared to untreated cultures. Moreover, LLLI-treated chondrocytes in culture also rectified and simultaneously maintained their differentiated phenotype."</t>
  </si>
  <si>
    <t>Atik &amp; Sezgin</t>
  </si>
  <si>
    <t>Is There a Role for Photobiomodulation in Treating Damaged Articular Cartilage Due to Injury or Degeneration?</t>
  </si>
  <si>
    <t>"In conclusion, PBM has probably positive effects of biostimulation on cartilage tissue. There might be a role for PBM in treating damaged articular cartilage due to injury or degeneration without eventual side effects or complications. Although there are also studies showing opposite results, standardization of parameters in PBM and long-term followup with more patients will lead to better results. Eventually, PBM may be an effective and safe treatment option for traumatic or degenerative cartilage lesions."</t>
  </si>
  <si>
    <t>Alexandrovskaya</t>
  </si>
  <si>
    <t>Mechanisms of laser activation of chondrocytes in osteoarthritis healing</t>
  </si>
  <si>
    <t>670
1560</t>
  </si>
  <si>
    <t>"The chondrocyte activity was monitored by immunohistochemical analysis in normoxic and hypoxic conditions."
"Thermomechanical laser irradiation showed the more pronounced stimulation in both normoxic and hypoxic conditions, while the effect of photo-modulation was inhibited by oxygen concentration increase."</t>
  </si>
  <si>
    <t>Zati</t>
  </si>
  <si>
    <t>Treatment of human cartilage defects by means of Nd:YAG Laser Therapy.</t>
  </si>
  <si>
    <t>🧑 Human
📄 Non-randomized study, controlled
👥 10 participants
⌛ 3-week treatment / 45-60 day study (?)</t>
  </si>
  <si>
    <t>"Ten patients affected by chondral lesions scheduled for ACI procedure, were enrolled into the study. During the chondrocyte expansion for ACI procedure, cartilage from five patients was treated by Nd:YAG High Intensity Laser Therapy (HILT group). No laser treatment was performed in the remaining patients, who were used as controls. (...)
A significant decrease in cartilage depth was noticed in the HILT group at T1. Histological and immunohistochemical evaluations showed some regenerative processes in cartilaginous tissue in terms of high amount of proteoglycans, integration with adjacent articular cartilage and good cellular arrangement in the HILT group. 
By contrast, a not well organized cartilaginous tissue with various fibrous features in the control group at T0 and T1 was observed. 
In conclusion, the use of this new pulsed Nd:YAG HILT resulted promising in the treatment of moderate cartilage lesions markedly in the young patients."</t>
  </si>
  <si>
    <t>Holden</t>
  </si>
  <si>
    <t>The effects of laser irradiation of cartilage on chondrocyte gene expression and the collagen matrix.</t>
  </si>
  <si>
    <t>"Laser irradiation of rabbit septal cartilage using dosimetry parameters similar to those used in laser reshaping does not result in the detection of either collagen I gene expression or immunoreactivity. Only collagen type II was noted after laser exposure in vitro following cell culture, which suggests that the cellular response to laser irradiation is distinct from that observed in conventional wound healing. Laser irradiation of cartilage can leave an intact collagen matrix which likely allows chondrocyte recovery on an intact scaffold."</t>
  </si>
  <si>
    <t>Gan</t>
  </si>
  <si>
    <t>Low-power laser stimulation of tissue engineered cartilage tissue formed on a porous calcium polyphosphate scaffold.</t>
  </si>
  <si>
    <t>1.75
3.0</t>
  </si>
  <si>
    <t>"Short exposures to low-power laser stimulation using a laser diode with 3 J/cm(2) dose improves cartilage tissue formation."</t>
  </si>
  <si>
    <t>Effect of low-level helium-neon laser therapy on histological and ultrastructural features of immobilized rabbit articular cartilage.</t>
  </si>
  <si>
    <t>"Depth of the chondrocyte filopodia in four-week immobilized experiment group, and depth of articular cartilage in seven-week immobilized experiment group were significantly higher than those of relevant control groups (exact Fisher test, p=0.001; student's t-test, p=0.031, respectively). The surfaces of articular cartilages of the experiment group were relatively smooth, while those of the control group were unsmooth."
"It is therefore concluded that low-level helium-neon laser therapy had significantly increased the depth of the chondrocyte filopodia in four-week immobilized femoral articular cartilage and the depth of articular cartilage in seven-week immobilized knee in comparison with control immobilized articular cartilage."</t>
  </si>
  <si>
    <t>Torricelli</t>
  </si>
  <si>
    <t>Laser biostimulation of cartilage: in vitro evaluation.</t>
  </si>
  <si>
    <t>1000
(?)</t>
  </si>
  <si>
    <t>"Neither rabbit nor human cultured chondrocytes showed any damage under a light microscope and immunostaining control following laser treatment. The MTT test results indicated a positive biostimulation effect on cell proliferation with respect to the control group. The increase in viability of irradiated chondrocytes was maintained for five days following the end of the laser treatment. The results obtained with the Ga-Al-As diode laser using the above tested parameters for in vitro biostimulation of cartilage tissues provide a basis for a rational approach to the experimental and clinical use of this device."</t>
  </si>
  <si>
    <t>Device: The device is a portable monoiodic Ga-Al-As laser, class III B, with continuous or pulsating power (M3000 SIMED Srl, distributed by TEAM LASER Srl Padua, Italy), configured in MOCVD with a wavelength of 780 nm and an output power of 2,500 mW.</t>
  </si>
  <si>
    <t>Biostimulation of human chondrocytes with Ga-Al-As diode laser: 'in vitro' research.</t>
  </si>
  <si>
    <t>"The data showed good results in terms of cell viability and levels of Ca and Alkaline Phosphate in the groups treated with laser biostimulation compared to the untreated group. The results obtained confirm our previous positive in vitro results that the Ga-Al-As Laser provides biostimulation without cell damage."</t>
  </si>
  <si>
    <t>Assessment of low-power laser biostimulation on chondral lesions: an "in vivo" experimental study.</t>
  </si>
  <si>
    <t>"The lased condyles have showed no healing of the cartilaginous tissue but we have registered defect filling with fibrous tissue, while in the untreated samples we have observed no changes in the original defect."</t>
  </si>
  <si>
    <t>Acta Biomed Ateneo Parmense</t>
  </si>
  <si>
    <t>[Cartilage cell stimulation with low-power laser: experimental assessment]. [Article in Italian]</t>
  </si>
  <si>
    <t>2500
(?)</t>
  </si>
  <si>
    <t>"The data showed good results in terms of cell viability in the groups treated with laser biostimulation compared to the untreated group. The results obtained with the use of this new low-power diode laser Ga-Al-As device in the biostimulation of the cartilage tissue, permits us to consider the use of this device clinically."</t>
  </si>
  <si>
    <t>In vitro experimental research of rabbit condrocytes biostimulation with diode laser Ga-Al-As: a preliminary study.</t>
  </si>
  <si>
    <t>"At the end of the treatment, all four groups, were evaluated with a MTT test and a cell count of the condrocytes cells. Group III (300 J, 1 Watt, 300 Hz, 10' of exposure time with a pulsating emission) provided the best results in terms of cell viability (MTT test) and for the number of cells found in the dishes when compared to the other treated groups and the control group. The results obtained with the use of this new diode laser Ga-Al-As device in the biostimulation of the cartilage tissue, permits us to consider the use of this device clinically."</t>
  </si>
  <si>
    <t>Spivak</t>
  </si>
  <si>
    <t>Arthroscopy</t>
  </si>
  <si>
    <t>The effect of low-level Nd:YAG laser energy on adult articular cartilage in vitro</t>
  </si>
  <si>
    <t>"These findings indicate that exposure to low-level noncontact Nd:YAG laser energy promotes a significant stimulation of cartilage matrix synthesis. However, a single exposure may not be sufficient to promote a sustained upregulation of cartilage metabolism."</t>
  </si>
  <si>
    <t>Schultz</t>
  </si>
  <si>
    <t>USA
(Valhalla, NY)</t>
  </si>
  <si>
    <t>Effects of varying intensities of laser energy on articular cartilage: a preliminary study.</t>
  </si>
  <si>
    <t>1064
(?)</t>
  </si>
  <si>
    <t>"At 5 weeks, the knees exposed to 25 and 75 J demonstrated a reparative process with chondral proliferation. The knees exposed to 125 J demonstrated fibrotic tissue and tissue necrosis that resulted in fibrosis. In the knees not exposed to laser energy, numerous foci of granulation tissue were present at all stages with the end point of healing being one of fibrosis with disorganized patchy cartilage islands."
Comment: In this study, they used very high power, even though the total energy wasn't that high because of only 5 seconds of radiation. I'm not sure whether this should be called photobiomodulation or some other laser treatment.
Comment: Wavelength was not mentioned but it was a Nd:YAG laser.</t>
  </si>
  <si>
    <t>Chondromalacia patellae</t>
  </si>
  <si>
    <t>Rogvi-Hansen</t>
  </si>
  <si>
    <t>Int Orthop</t>
  </si>
  <si>
    <t>Low level laser treatment of chondromalacia patellae.</t>
  </si>
  <si>
    <t>🧑 Human
🎲 Randomized trial, double-blind
👥 40 participants
⌛ 5-week treatment / 8-12 week follow-up</t>
  </si>
  <si>
    <t>🎚 Pulsing (1000 Hz)</t>
  </si>
  <si>
    <t>600
patella
+
60
femoral
nerve
+
60
peroneal
muscles
(?)</t>
  </si>
  <si>
    <t>8
/ 5 weeks</t>
  </si>
  <si>
    <t>"No statistical difference was found between real and sham use of low level laser for the symptoms of chondromalacia of the patella."</t>
  </si>
  <si>
    <t>Crystalopathy</t>
  </si>
  <si>
    <t>Rubio</t>
  </si>
  <si>
    <t>Argentina (Córdoba)</t>
  </si>
  <si>
    <t>Helium-neon laser reduces the inflammatory process of arthritis.</t>
  </si>
  <si>
    <t>Arthritis, hydroxyapatite + Ca pyrophosphate crystals</t>
  </si>
  <si>
    <t>"Helium-neon laser reduced the intensity of the inflammatory process in the arthritis model induced by hydroxyapatite and calcium pyrophosphate crystals."</t>
  </si>
  <si>
    <t>Inflammatory and oxidative stress markers in experimental crystalopathy: their modification by photostimulation.</t>
  </si>
  <si>
    <t>Arthritis, exp crystalopathy</t>
  </si>
  <si>
    <t>3
5</t>
  </si>
  <si>
    <t>↓↓ fibrinogen
"Inflammatory and oxidative stress markers in experimental crystalopathy are positively modified by photobiostimulation."</t>
  </si>
  <si>
    <t>Crystal arthropathy</t>
  </si>
  <si>
    <t>Soriano</t>
  </si>
  <si>
    <t>Argentina
(Rosario)</t>
  </si>
  <si>
    <t>Photobiomodulation of pain and inflammation in microcrystalline arthropathies: experimental and clinical results.</t>
  </si>
  <si>
    <t>🐀 Rat
🧑 Human (acute gout arthritis)
🎲 Randomized trial
👥 25 participants
⌛ 5-day treatment
🧑 Human (chronic pyrophosph. arthrop.)
🎲 Randomized trial
👥 49 participants
⌛ 21-day treatment
🧑 Human (shoulder apatite deposition)
🎲 Randomized trial
👥 30 participants
⌛ 21-day treatment</t>
  </si>
  <si>
    <t>Crystal arthropathy
Acute gouty arthritis
PBM vs meloxicam
PBM vs diclofenac</t>
  </si>
  <si>
    <t>633
animal
904
human</t>
  </si>
  <si>
    <t>6
40</t>
  </si>
  <si>
    <t>8
4</t>
  </si>
  <si>
    <t>d = 2 mm
150µm
spot
size</t>
  </si>
  <si>
    <t>40
/point</t>
  </si>
  <si>
    <t>3
5-21
/ 5-21 days</t>
  </si>
  <si>
    <t>"Fibrinogen, prostaglandin E(2), and TNF(alpha) concentrations in the rats injected with crystals and treated with laser decreased significantly as compared with the groups injected with crystals without treatment."
"Both laser therapy and diclofenac achieved rapid pain relief in patients with acute gouty arthritis without significant differences in efficacy. Laser therapy was more effective than diclofenac in patients with chronic pyrophosphate arthropathy and in patients with chronic apatite deposition disease."</t>
  </si>
  <si>
    <t>Campana</t>
  </si>
  <si>
    <t>He-Ne laser on microcrystalline arthropathies.</t>
  </si>
  <si>
    <t>"He-Ne laser treatment in the microcrystalline arthropathy induced in rats by DCPP injection might have an antiinflammatory effect, evaluated by fibrinogen plasma levels and TNF-alpha (inflammatory markers) and by the histopathology regressive process."</t>
  </si>
  <si>
    <t>Gouty arthritis</t>
  </si>
  <si>
    <t>Coracini</t>
  </si>
  <si>
    <t>Acute effects of photobiomodulation applied on the dorsal root ganglion in gout model-induced rats</t>
  </si>
  <si>
    <t>"After analysing the results, it was concluded that the therapy favored the reduction of edema and joint incapacity, as well as the increase in the nociceptive threshold and plantar grip strength. Furthermore, PBM stimulated an increase in the inflammatory response (with increased levels of IL-1β and greater recruitment of leukocytes) and greater activation of the antioxidant system."</t>
  </si>
  <si>
    <t>Growth plate</t>
  </si>
  <si>
    <t>Cheetham</t>
  </si>
  <si>
    <t>Histological effects of 820 nm laser irradiation on the healthy growth plate of the rat</t>
  </si>
  <si>
    <t>"Low level laser therapy (LLLT) has been in clinical use in the United Kingdom for over 15 years, Recently, clinicians have expressed concern that if LLLT is used to treat a lesion adjacent to an active growth plate in a child, they may compromise the normal growth and development of that bone."
"The results show that irradiation with low level laser light of wavelength 820 nm and energy density 5 J cm-2 had no significant effect on the healthy growth plates of the rat knee joint."</t>
  </si>
  <si>
    <t>Haemophilic arthropathy</t>
  </si>
  <si>
    <t>El-Shamy &amp; Abdelaal</t>
  </si>
  <si>
    <t>Disabil Rehabil</t>
  </si>
  <si>
    <t>Efficacy of pulsed high-intensity laser therapy on pain, functional capacity, and gait in children with haemophilic arthropathy.</t>
  </si>
  <si>
    <t>🧑 Human
🎲 Randomized trial
👥 30 participants
⌛ 3 months</t>
  </si>
  <si>
    <t>"Children in the laser group showed significant improvement in pain, functional capacity, and gait parameters compared to those in the placebo group (p &lt; 0.05)."
Comment 1: Parameters were somewhat poorly reported. Even wavelength was not mentioned. 
Comment 2: However, results are encouraging. This isn't the first time that Egyptian researchers report very good results for the diseases they are treating with "HILT".</t>
  </si>
  <si>
    <t>Joint immobilization</t>
  </si>
  <si>
    <t>Akai</t>
  </si>
  <si>
    <t>Japan
(Ibaraki)</t>
  </si>
  <si>
    <t>Laser's effect on bone and cartilage change induced by joint immobilization: an experiment with animal model.</t>
  </si>
  <si>
    <t>3.9
5.8</t>
  </si>
  <si>
    <t>"The indentation test revealed preservation of articular cartilage stiffness with 3.9 and 5.8 W/cm2 therapy. Soft laser treatment has a possibility for prevention of biomechanical changes by immobilization."</t>
  </si>
  <si>
    <t>Meniscus</t>
  </si>
  <si>
    <t>Malliaropoulos</t>
  </si>
  <si>
    <t>Greece
(Thessaloniki)</t>
  </si>
  <si>
    <t>Low-level laser therapy in meniscal pathology: a double-blinded placebo-controlled trial.</t>
  </si>
  <si>
    <t>🧑 Human
🎲 Randomized trial, double-blind
👥 64 participants
⌛ 6-week treatment / 1-year study</t>
  </si>
  <si>
    <t>100.8
/knee</t>
  </si>
  <si>
    <t>~1
cm2</t>
  </si>
  <si>
    <t>420
/knee</t>
  </si>
  <si>
    <t>9
/ 6 weeks</t>
  </si>
  <si>
    <t>"The pain decreased approximately by 65 % 4 weeks after LLLT and by 22 % in the placebo group."
"Treatment with LLLT was associated with a significant decrease of symptoms compared to the placebo group: it should be considered in patients with meniscal tears who do not wish to undergo surgery."</t>
  </si>
  <si>
    <r>
      <rPr>
        <rFont val="arial,sans,sans-serif"/>
        <sz val="7.0"/>
      </rPr>
      <t xml:space="preserve">Osteoarthritis </t>
    </r>
    <r>
      <rPr>
        <rFont val="arial,sans,sans-serif"/>
        <sz val="6.0"/>
      </rPr>
      <t>(hand)</t>
    </r>
  </si>
  <si>
    <t>Rahman</t>
  </si>
  <si>
    <t>Bangladesh
(Dhaka)</t>
  </si>
  <si>
    <t>Low-Level Laser Therapy for Thumb Carpometacarpal Joint Osteoarthritis: A Randomized Controlled Trial</t>
  </si>
  <si>
    <t>🧑 Human
🎲 Randomized trial
👥 112 participants
⌛ 4 weeks</t>
  </si>
  <si>
    <t>"LLLT with conventional treatment was not found significantly more effective enough than conventional treatment alone, but more well-designed clinical trials with larger sample sizes are needed to reach a definitive conclusion."
Comment: Parameters inadequately described.</t>
  </si>
  <si>
    <t>Device: "Endolaser 476 (Enraf-Nonius), Delft, Holland"</t>
  </si>
  <si>
    <t>Osteoarthritis</t>
  </si>
  <si>
    <t>Phys Ther</t>
  </si>
  <si>
    <t>Effectiveness of Photobiomodulation in Reducing Pain and Disability in Patients with Knee Osteoarthritis: A Systematic Review with Meta-Analysis</t>
  </si>
  <si>
    <t>"Ten studies were included comprising 542 participants. All studies were judged with unclear to high risk of bias. 
Meta-analysis for pain at rest (6 studies) showed that PBM significantly reduced pain at rest as compared to placebo (-0.7 [95% CI = -1.1 to -0.2]), moderate effect, very low certainty of evidence, whereas for the Timed "Up &amp; Go" Test (3 studies), no significant effect was detected. 
Statistically significantly within-group (PBM) mean improvement was detected for pain, Lequesne Index, and gait performance outcomes, but not always clinically relevant or significant when compared to placebo."
"The findings indicate that photobiomodulation can reduce pain and improve disability in patients with knee osteoarthritis. However, researchers should continue to investigate isolated photobiomodulation intervention versus placebo and extend the dosage guidelines to other types of light emitters."</t>
  </si>
  <si>
    <t>Tanideh</t>
  </si>
  <si>
    <t>Knee</t>
  </si>
  <si>
    <t>The effects of combined and independent low-level laser and mesenchymal stem cell therapy on induced knee osteoarthritis: An animal study</t>
  </si>
  <si>
    <t>"The MSC-treated groups showed better outcomes in terms of all radiological and histological indexes compared with the control, apart from subchondral bone (P &lt; 0.05). Similarly, but to a different extent, the LLLT-treated group showed better results than the controls (P &lt; 0.05). The combination of MSC therapy and LLLT improved the cartilage, surface, matrix, space width, osteophytes, and radiologic OA scores more effectively than each of these methods alone (P &lt; 0.05)."</t>
  </si>
  <si>
    <t>Yetişir &amp; Öztürk</t>
  </si>
  <si>
    <t>Turkey
(Adana)</t>
  </si>
  <si>
    <t>Rev Assoc Med Bras (1992)</t>
  </si>
  <si>
    <t>Effects of low-level laser therapy on acupuncture points on knee pain and function in knee osteoarthritis</t>
  </si>
  <si>
    <t>🧑 Human
⚔ Comparison study, randomized (??), controlled
👥 71 participants
⌛ 3 weeks</t>
  </si>
  <si>
    <t>"The post-treatment Visual Analog Scale activity score and walking and stair climbing test results were statistically significantly lower in the low-level laser therapy (+) group than in the low-level laser therapy (-) group. There was no significant difference in post-treatment Lysholm Knee Scoring Scale scores between the two groups. In both groups, the Visual Analog Scale activity, Lysholm Knee Scoring Scale, and walking and stair climbing test scores statistically significantly decreased after treatment."</t>
  </si>
  <si>
    <t>Zhang &amp; Ji</t>
  </si>
  <si>
    <t>Current advances of photobiomodulation therapy in treating knee osteoarthritis</t>
  </si>
  <si>
    <t>"Photobiomodulation therapy (PBMT), also known as low-level light therapy (LLLT), has attracted widespread attention in treating KOA because it is drug-free, non-invasive, safe and useful with rarely reported side effects. It provides the biological stimulatory effects primarily by enhancing the activity of mitochondrial cytochrome c oxidase. This stimulation, in turn, fosters cell proliferation and tissue regeneration. In addition to this, the paper provides a concise overview of the light parameters and the effectiveness of PBMT when applied in the treatment of KOA patients in clinical settings. It also delves into the experimental evidence supporting the modulatory effects of PBMT and its potential underlying mechanisms in addressing synovitis, cartilage degeneration, and pain resolution."</t>
  </si>
  <si>
    <t>Macrophage polarization in osteoarthritis progression: a promising therapeutic target</t>
  </si>
  <si>
    <t>"Ample evidence has demonstrated the vital roles of macrophages in the progression of OA. Imbalanced M1/M2 ratio is significantly related to OA severity indicating macrophage polarization might be a promising therapeutic target for OA. In this review, we summarized the involvements of polarized macrophages in synovitis, cartilage degradation, osteophyte formation and OA-related chronic pain."
"Photobiomodulation therapy (PBMT), also known as low-level light therapy (LLLT), is an intriguing intervention method using low-intensity laser or light emitting diodes (LEDs) with wavelengths in the range of visible (400–700 nm) or near-infrared (NIR, 700–1,000 nm) (Amaroli et al., 2019). PBM displays great advantages in treating OA because it is totally non-invasive with rarely reported side effects. 
In vivo studies have shown the efficacy of PBM in relieving pain, decreasing synovial inflammatory factors (IL-1β, TNF-α, IL-6 etc.) expression and attenuating joint swelling in OA animals (Alves et al., 2013; da Rosa et al., 2012; Trevisan et al., 2020; Wang et al., 2014; Yamada et al., 2020). In Zhang et al. (2022) latest study, they provided the first in vivo evidence for the efficacy of PBMT in modulating synovial macrophage polarization in collagenase-induced knee OA mice (...) (...) Given this, metabolism reprogramming induced by light irradiation might be a potential cellular mechanism for PBMT in enhancing macrophage polarization and treating OA (Figure 1A). But it still requires further experimental verification in OA animals and patients."</t>
  </si>
  <si>
    <t>Ekici &amp; Ordahan</t>
  </si>
  <si>
    <t>Turkey
(Konya)</t>
  </si>
  <si>
    <t>Evaluation of the effect of high-intensity laser therapy (HILT) on function, muscle strength, range of motion, pain level, and femoral cartilage thickness in knee osteoarthritis: randomized controlled study</t>
  </si>
  <si>
    <t>🧑 Human
🎲 Randomized trial, double-blind
👥 60 participants
⌛ 3-week treatment / 3-month study</t>
  </si>
  <si>
    <t>Exercise+TENS vs Exercise+TENS+PBM</t>
  </si>
  <si>
    <t>120
per every
25 cm2</t>
  </si>
  <si>
    <t>"In conclusion, there was no statistically significant difference between HILT + exercise and placebo laser + exercise observed."</t>
  </si>
  <si>
    <t>Jorge</t>
  </si>
  <si>
    <t>Photobiomodulation does not provide incremental benefits to patients with knee osteoarthritis who receive a strengthening exercises program: a randomized controlled trial</t>
  </si>
  <si>
    <t>🧑 Human
🎲 Randomized trial, double-blind
👥 127 participants
⌛ 8-week treatment / 6-month study (?)</t>
  </si>
  <si>
    <t xml:space="preserve">Exercise vs exercise+PBM vs exercise+shamPBM </t>
  </si>
  <si>
    <t>3.33</t>
  </si>
  <si>
    <t>48
(6 per point, 8 points)</t>
  </si>
  <si>
    <t>0.03
cm2
spot
size</t>
  </si>
  <si>
    <t>"Patients with knee OA who received a strengthening exercises program did not experience incremental benefits regarding pain, physical function, or QoL when adding PBM to their therapeutic exercises."
Comment: Not sure from abstract, whether the total duration is 6 months, or is it 2-month treatment and then 6-month follow-up after that (total 8 months)</t>
  </si>
  <si>
    <t>Device and blinding: "active and inactive (sham or placebo) commercial hand-held diode laser devices (Recover, MMOptics) were used, and randomly labeled "A" and "B" to blind therapists, participants, and evaluators"</t>
  </si>
  <si>
    <t>Ahmad</t>
  </si>
  <si>
    <t>Comparison between Low-Level and High-Intensity Laser Therapy as an Adjunctive Treatment for Knee Osteoarthritis: A Randomized, Double-Blind Clinical Trial</t>
  </si>
  <si>
    <t>🧑 Human
⚔ Comparison study, randomized
👥 34 participants
⌛ 12 weeks</t>
  </si>
  <si>
    <t>⚔ PBM (LLLT) vs PBM (HILT)</t>
  </si>
  <si>
    <t>830
(LLLT)
1064
(HILT)</t>
  </si>
  <si>
    <t>400
5000</t>
  </si>
  <si>
    <t>400
3190</t>
  </si>
  <si>
    <t>10-12
19-150</t>
  </si>
  <si>
    <t>12
/ 12 weeks</t>
  </si>
  <si>
    <t>"Post intervention, both groups showed improvements in their KOOS, NPRS, active knee flexion, and TUG scores compared to baseline (p &lt; 0.01). The mean difference of change in KOOS, NPRS, and active knee flexion scores for the HL + EX group surpassed the minimal clinically important difference threshold. In contrast, the LL + EX group only demonstrated clinical significance for the NPRS scores."
"Incorporating HILT as an adjunct to usual KOA rehabilitation led to significantly higher improvements in pain, physical function, and knee-related disability compared to LLLT applied in scanning mode."</t>
  </si>
  <si>
    <t>The Effects of Photobiomodulation on Knee Function, Pain, and Exercise Tolerance in Older Adults: A Meta-Analysis of Randomized Controlled Trials</t>
  </si>
  <si>
    <t>"The meta-analysis included 14 of the 1864 studies searched in the database.
No statistical differences were found between the treatment and control groups in terms of WOMAC-stiffness (MD = -0.31, 95%CI -0.64 to 0.03), TUG (MD = -0.17, 95%CI -0.71 to 0.38), 6MWT (MD = 32.2, 95%CI -44.62 to 109.01), or muscle strength (SMD = 0.24, 95%CI -0.02 to 0.50).
However, statistically significant differences were found for WOMAC-total (MD = -6.83, 95%CI -12.3 to -1.37), WOMAC-pain (MD = -2.03, 95%CI -4.06 to -0.01), WOMAC-function (MD = -5.03, 95%CI -9.11 to -0.96), VAS/NPRS (MD = -1.24, 95%CI -2.43 to -0.06), knee range of motion (MD = 1.47, 95%CI 0.07 to 2.88)."
"In older adults who exercise regularly, PBMT can potentially provide additional pain relief, improve knee joint function, and increase knee joint range of motion."</t>
  </si>
  <si>
    <t>Elboim-Gabyzon &amp; Nahhas</t>
  </si>
  <si>
    <t>BMC Geriatr</t>
  </si>
  <si>
    <t>Laser therapy versus pulsed electromagnetic field therapy as treatment modalities for early knee osteoarthritis: a randomized controlled trial</t>
  </si>
  <si>
    <t>🧑 Human
⚔ Comparison study
👥 40 participants
⌛ 4 weeks</t>
  </si>
  <si>
    <t>⚔ PBM vs pulsed electromagnetic field therapy (PEMFT)</t>
  </si>
  <si>
    <t>"Six sessions of PEMFT and LLLT had immediate positive effects on pain and physical function in individuals with low-grade KOA, with PEMFT resulting in significantly better results."
Comment: Wavelength not reported.</t>
  </si>
  <si>
    <t>Device: "Both PEMFT and LLLT were administered using a PhysioGo™ 500I device (Astar Company, Poland) with different applicators."</t>
  </si>
  <si>
    <t>Khumaidi</t>
  </si>
  <si>
    <t>Indonesia
(Jakarta)</t>
  </si>
  <si>
    <t>Is low-level laser therapy effective for patients with knee joint osteoarthritis? implications and strategies to promote laser therapy usage</t>
  </si>
  <si>
    <t>"At the length of 785–904 nm, LLLT can be used as non-pharmaceutical and non-surgical treatment modality for KOA patients by combining it with exercises that result in improvement in WOMAC scores, pain, range of motion, and functional status in KOA patients via photobiomodulation (Figure 1). 
Through this critical opinion, the authors argue that there is sufficient evidence of LLLT to be further used and commercialized as a therapeutic option for KOA patients. However, there are variability in laser application research methodology and the lack of laser type data, dose range research and wavelength selection, and without further rigorous and standardized research, strong data may create barriers to the implementation of LLLT. Furthermore, by applying the latest technology, the authors hope and encourage that other researchers continue to develop LLLT technology in a portable manner that is easy and practical to use by the community, with protocols to regulate the use of tool based on sufficient clinical evidence."</t>
  </si>
  <si>
    <t>Intra-Articular Laser Therapy May Be a Feasible Option in Treating Knee Osteoarthritis in Elderly Patients</t>
  </si>
  <si>
    <t>🧑 Human
📄 Single-arm trial
👥 19 participants
⌛ 1-month treatment -&gt; 6-month follow-up</t>
  </si>
  <si>
    <t>658
+
810</t>
  </si>
  <si>
    <t>50
100</t>
  </si>
  <si>
    <t>600
+
1800</t>
  </si>
  <si>
    <t>3
/ 4 weeks
(once every 2 weeks, 3 times)</t>
  </si>
  <si>
    <t>"The results revealed that after 3 LLLT, the Lequesne index significantly decreased, signifying improvement in the knee joint functional status. The volume of suprapatellar SF and SF proteins associated with inflammation also decreased significantly in the SF. These findings lasted up to a period of at least 3 months."</t>
  </si>
  <si>
    <t>Device: "Weberneedle® basic laser device (Weber Medical GmbH, Germany)"</t>
  </si>
  <si>
    <t>Malik</t>
  </si>
  <si>
    <t>Somatosens Mot Res</t>
  </si>
  <si>
    <t>Effect of low-level laser therapy plus exercise therapy on pain, range of motion, muscle strength, and function in knee osteoarthritis - a systematic review and meta-analysis</t>
  </si>
  <si>
    <t xml:space="preserve">"Of the 6307 articles, 14 RCTs (820 patients) met the inclusion criteria. 
The results demonstrated that there was a significant difference in pain immediately after therapy (SMD: -0.58, p = 0.001) and at follow-up (SMD: -1.35, p = 0.05) in LLLT plus ET group. 
There were no significant differences in knee ROM, muscle strength, and knee function outcomes immediately and at follow-up."
"Our findings indicate that LLLT plus ET could be considered to alleviate pain in the KOA. LLLT reduces pain at 4-8J with a wavelength of 640-905nm per point applied for 10-16 sessions at a frequency of 2 sessions/week. An exercise therapy program at prescribed dosage involving major muscle groups might help. However, LLLT plus ET is no more effective than placebo LLLT plus ET in improving ROM, muscle strength, and function in KOA."
</t>
  </si>
  <si>
    <t>Jankaew</t>
  </si>
  <si>
    <t>The effects of low-level laser therapy on muscle strength and functional outcomes in individuals with knee osteoarthritis: a double-blinded randomized controlled trial</t>
  </si>
  <si>
    <t>🧑 Human
🎲 Randomized trial, double-blind
👥 47 participants
⌛ 8-week treatment -&gt; 1-week follow-up</t>
  </si>
  <si>
    <t>"In conclusion, both intervention groups improved muscle strength and functional performance as compared to the control group. The 808 nm wavelength group showed better results in knee extensor strength."</t>
  </si>
  <si>
    <t>Customized Photobiomodulation Modulates Pain and Alters Thermography Pattern in Patients with Knee Osteoarthritis: A Randomized Double-Blind Pilot Study</t>
  </si>
  <si>
    <t>🧑 Human
🎲 Randomized trial, double-blind
👥 31 participants
⌛ 5-week treatment -&gt; 6-week follow-up</t>
  </si>
  <si>
    <t>Individualized dosimetry</t>
  </si>
  <si>
    <t>526-
1402</t>
  </si>
  <si>
    <t>"The PBMT was applied using 850 nm with continuous wave and a total of 526-1402 J each session. Individualized dosimetry was chosen based on each patient's body mass index and skin color."
"Pain scores were reduced significantly in the 4th, 5th, and 10th sessions and remained lower 6 weeks posttherapy in the treatment group when compared to the placebo group. 
Moreover, the treatment group's results were improved in QOL questionnaires score, dopamine level, and in microcirculation."</t>
  </si>
  <si>
    <t>Siriratna</t>
  </si>
  <si>
    <t>Pain Res Manag</t>
  </si>
  <si>
    <t>Short-Term Efficacy of High-Intensity Laser Therapy in Alleviating Pain in Patients with Knee Osteoarthritis: A Single-Blind Randomised Controlled Trial</t>
  </si>
  <si>
    <t>🧑 Human
🎲 Randomized trial, sham-controlled
👥 42 participants
⌛ 4-5 weeks</t>
  </si>
  <si>
    <t>562.50
(8p)</t>
  </si>
  <si>
    <t>22.39</t>
  </si>
  <si>
    <t>3.14
cm2
spot
area</t>
  </si>
  <si>
    <t>10
/ 4-5 weeks</t>
  </si>
  <si>
    <t>"At the end of the study, the overall analysis showed a significant decrease in VAS and T-WOMAC scores in both the groups; a greater decrease in scores was found in the HILT group than in the control group (p &lt; 0.001). The between-group comparison also showed a significant difference in VAS, but not in the T-WOMAC score, favouring HILT (p &lt; 0.05)."
Comment: Only modest differences between the groups. The sham group improved quite significantly (pre-post).</t>
  </si>
  <si>
    <t>Devices: "Mphi laser device (ASA, Arcugnano, Italy) and a multiwave locked system (MLS)"</t>
  </si>
  <si>
    <t>Stausholm</t>
  </si>
  <si>
    <t>Short- and Long-Term Effectiveness of Low-Level Laser Therapy Combined with Strength Training in Knee Osteoarthritis: A Randomized Placebo-Controlled Trial</t>
  </si>
  <si>
    <t>🧑 Human
🎲 Randomized trial, double-blind
👥 50 participants
⌛ 3-week PBM treatment -&gt; 1-year follow-up</t>
  </si>
  <si>
    <t>45
/knee</t>
  </si>
  <si>
    <t>"There were no significant between-group differences in the primary outcomes. 
However, in the laser group there was a significantly reduced number of participants using analgesic and non-steroidal anti-inflammatory drugs and increased performance in the sit-to-stand test versus placebo-control at week 52."</t>
  </si>
  <si>
    <t>Effects of photobiomodulation therapy in chondrocyte response by in vitro experiments and experimental model of osteoarthritis in the knee of rats</t>
  </si>
  <si>
    <t>0.8
1.4</t>
  </si>
  <si>
    <t>"The results of in vitro showed that PBM 1.4 J increased cell proliferation, on days 1 and 5. However, after 3 days was demonstrated a significant increase in cell proliferation in PBM 0.8 J.
The in vivo experiment results demonstrated, on histological analysis, that PBM presented less intense signs of tissue degradation with an initial surface discontinuity at the superficial zone and disorganization of the chondrocytes in the cartilage region when compared to CG, after 4 and 8 weeks.
These findings were confirmed by immunohistochemistry and qRT-PCR analysis which showed that PBM increased IL-4, IL-10, COL-2, Aggrecan, and TGF-β which are anabolic factors and acts on extracellular matrix. Also, PBM reduces the IL1-β, an inflammatory marker that operates as a catabolic factor on articular cartilage."</t>
  </si>
  <si>
    <t>Effects of low-level and high-intensity laser therapy as adjunctive to rehabilitation exercise on pain, stiffness and function in knee osteoarthritis: a systematic review and meta-analysis</t>
  </si>
  <si>
    <t>"Of the 10 retrieved studies, six investigated LLLT+E, three on HILT+E, and one evaluated both. All the studies had high PEDro scores. However, as most of the studies employed a single type of laser therapy, only indirect comparison of LLLT+E and HILT+E was possible. This study found all treatment modalities were effective in reducing KOA symptoms. Interestingly, relative to control, the meta-analysis showed significant improvements in knee pain, stiffness and function for the HILT+E."</t>
  </si>
  <si>
    <t>Vassão</t>
  </si>
  <si>
    <t>Adv Rheumatol</t>
  </si>
  <si>
    <t>Effects of photobiomodulation and a physical exercise program on the expression of inflammatory and cartilage degradation biomarkers and functional capacity in women with knee osteoarthritis: a randomized blinded study</t>
  </si>
  <si>
    <t>🧑 Human
🎲 Randomized trial, sham-controlled
👥 42 participants
⌛ 8 weeks</t>
  </si>
  <si>
    <t>56
/knee</t>
  </si>
  <si>
    <t>0.05
cm2
spot</t>
  </si>
  <si>
    <t>560
/knee
(?)</t>
  </si>
  <si>
    <t>"An increase in the functional capacity was observed in the WOMAC total score for both treated groups (p &lt; 0.001) and ESP presents a lower value compared to CG (p &lt; 0.05) the 8-week post-treatment. "</t>
  </si>
  <si>
    <t>Fakhari</t>
  </si>
  <si>
    <t>A Comparison Between Low-Level Laser Therapy and Intra-articular Ozone Injection in Knee Osteoarthritis Treatment: A Randomized Clinical Trial</t>
  </si>
  <si>
    <t>🧑 Human
⚔ Comparison study
👥 60 participants
⌛ 4 weeks</t>
  </si>
  <si>
    <t>PBM vs ozone therapy</t>
  </si>
  <si>
    <t>0.5
cm2
beam
area</t>
  </si>
  <si>
    <t>150
/p</t>
  </si>
  <si>
    <t>"In the middle and at the end of the treatment period in both groups, the joint pain decreased significantly. The same as pain, the self-administrated WOMAC score and the range of joint motion improved significantly in both groups. All of these variables exposed more improvement in the ozone group patients."</t>
  </si>
  <si>
    <t>Alqualo-Costa</t>
  </si>
  <si>
    <t>Clin Rehabil</t>
  </si>
  <si>
    <t>Interferential current and photobiomodulation in knee osteoarthritis: A randomized, placebo-controlled, double-blind clinical trial</t>
  </si>
  <si>
    <t>🧑 Human
🎲 Randomized trial, sham-controlled
👥 168 participants
⌛ 4-week treatment -&gt; 6-month follow-up (?)</t>
  </si>
  <si>
    <t>27
(9p)</t>
  </si>
  <si>
    <t>0.5
cm2
beam
size
(?)</t>
  </si>
  <si>
    <t>"Photobiomodulation reduced pain intensity at rest compared to placebo at all time points (P &lt; 0.05) and compared to interferential current at six months follow-up (P &lt; 0.05). Photobiomodulation reduced pain intensity during movement compared to placebo at six months follow-up (P &lt; 0.05)."</t>
  </si>
  <si>
    <t>Methods Protoc</t>
  </si>
  <si>
    <t>Effectiveness of Low-Level Laser Therapy Associated with Strength Training in Knee Osteoarthritis: Protocol for a Randomized Placebo-Controlled Trial</t>
  </si>
  <si>
    <t>"We are conducting a randomized placebo-controlled trial to investigate the long-term effectiveness of LLLT combined with strength training (ST) in persons with KOA, since it, to our knowledge, has not been investigated before.
Fifty participants were enrolled. LLLT and ST was performed 3 times per week over 3 and 8 weeks, respectively. In the LLLT group, 3 Joules of 904 nm wavelength laser was applied to 15 spots per knee (45 Joules/knee/session). The primary outcomes are pain during movement, at night and at rest (Visual Analogue Scale) and global pain (Knee injury and Osteoarthritis Outcome Score, KOOS) pain subscale."</t>
  </si>
  <si>
    <t>Association of photobiomodulation therapy (PBMT) and exercises programs in pain and functional capacity of patients with knee osteoarthritis (KOA): a systematic review of randomized trials</t>
  </si>
  <si>
    <t>"This review demonstrates that there is a controversy on the effects PBMT associated with exercises for pain and functional capacity improvement for people with KOA, because there is a heterogeneity between studies in related to PBMT parameters, as dose, number of therapy sessions and the type of PBMT (either LLLT and HILT), and the exercise protocols proposed."</t>
  </si>
  <si>
    <t>Osteoarthritis (in vitro)</t>
  </si>
  <si>
    <t>Salemi</t>
  </si>
  <si>
    <t>Effect of low-level laser irradiation on cytotoxicity of benzene in human normal fibroblast cells</t>
  </si>
  <si>
    <t>"The effect of low-level laser therapy on the viability of the cells was positive at concentrations 0-15 μg/mL but negative at higher concentrations than 15 μg/mL."
"Low-level laser therapy in low concentrations of benzene decreases the cytotoxicity caused by benzene and maintains cell viability. At high concentrations and in the presence of low-level laser therapy, the cell viability decreased compared to dark experiment."</t>
  </si>
  <si>
    <t>Yamada</t>
  </si>
  <si>
    <t>Brazil
(Uruguaiana)</t>
  </si>
  <si>
    <t>Photobiomodulation and Sida tuberculata combination declines the inflammation's markers in knee-induced osteoarthritis</t>
  </si>
  <si>
    <t>PBM vs Sida tuberculata extract</t>
  </si>
  <si>
    <t>"PBMT and S. tuberculata extracts reduced the oxidative stress and inflammation. It is noteworthy that PBMT increased the antioxidant activity in the knee and at sites distant from the lesion, contributing to a more significant decrease in nociception."
"The combination of therapies did not present significant effects on the analyzed parameters. Therefore, it is suggested that PBM is sufficient to minimize the signs and symptoms of the knee OA in our rat model."</t>
  </si>
  <si>
    <t>Photobiomodulation Therapy (Light Emitting Diode 630 nm) Favored the Oxidative Stress and the Preservation of Articular Cartilage in an Induced Knee Osteoarthritis Model</t>
  </si>
  <si>
    <t>"PBM therapy was effective in recovering oxidative stress and preserving the articular cartilage aspects in a knee OA animal model."</t>
  </si>
  <si>
    <t>Stausholm &amp; Bjordal</t>
  </si>
  <si>
    <t>Neglect of relevant treatment recommendations in the conduct and reporting of a laser therapy knee osteoarthritis trial: letter to the editor</t>
  </si>
  <si>
    <t>"Gomes et al. concluded that the low-level laser therapy (LLLT) did not reduce knee osteoarthritis pain when applied as an adjunct to exercise therapy. We argue that Gomes et al. neglected relevant laser treatment recommendations in the conduct and reporting of the trial.Gomes et al. did not state the Joules per treatment spot applied. We calculated the Joules applied from other laser information in the report and found that it is too low of a dose according to the World Association for Laser Therapy (WALT) guidelines. "</t>
  </si>
  <si>
    <t xml:space="preserve">Complement Ther Clin Pract
</t>
  </si>
  <si>
    <t>A randomised controlled trial of laser acupuncture improves early outcomes of osteoarthritis patients' physical functional ability after total knee replacement</t>
  </si>
  <si>
    <t>🧑 Human
🎲 Randomized trial, sham-controlled
👥 82 participants
⌛ 3 days</t>
  </si>
  <si>
    <t>PBM after knee replacement
Laser acupuncture</t>
  </si>
  <si>
    <t>3
/p
(6p?)</t>
  </si>
  <si>
    <t>"ALLLT can facilitate the recovery of physical function, as evidenced by knee joint flexion and stiffness, in patients receiving total knee replacement."</t>
  </si>
  <si>
    <t>The synergistic effects of applying low-level laser therapy plus ultrasound on pain and muscle function in patients with knee osteoarthritis: A protocol of a randomized double-blind study</t>
  </si>
  <si>
    <t>"To our knowledge, only 1 study with limited sample size tried to evaluate the synergistic effects of ultrasound and low-level laser therapy (LLLT) in patients with knee osteoarthritis. Further research is needed to confirm this synergy with larger numbers and better design. Therefore, we will conduct this present randomized double-blind study to evaluate the synergistic effects of simultaneously applying ultrasound plus LLLT on pain and muscle function in patients with knee osteoarthritis."</t>
  </si>
  <si>
    <t>Akaltun</t>
  </si>
  <si>
    <t>Efficacy of high intensity laser therapy in knee osteoarthritis: a double-blind controlled randomized study</t>
  </si>
  <si>
    <t>🧑 Human
🎲 Randomized trial, double-blind
👥 40 participants
⌛ 2-week treatment -&gt; 4-week follow-up</t>
  </si>
  <si>
    <t>300
(first
3 days)
--&gt;
3000
(?)</t>
  </si>
  <si>
    <t>12
(?)
--&gt;
120</t>
  </si>
  <si>
    <t>"No significant differences were detected in the VAS, WOMAC-pain, WOMAC-function, WOMAC-stiffness, and WOMAC-total values of both groups in the comparisons of the two groups at the end of the treatment (in the 2nd week)"
"The VAS, WOMAC-pain, WOMAC-function, WOMACstiffness, and WOMAC-total values were significantly lower in the 6th week in HILT + ET group compared to the PL + ET group (p &lt; 0.05)"</t>
  </si>
  <si>
    <t>USA
(Gaineville, FL)</t>
  </si>
  <si>
    <t xml:space="preserve">J Back Musculoskelet Rehabil
</t>
  </si>
  <si>
    <t>Effectiveness of high-intensity laser therapy in the management of patients with knee osteoarthritis: A systematic review and meta-analysis of randomized controlled trials</t>
  </si>
  <si>
    <t>"Six randomized controlled trials (RCTs) were included in this meta-analysis. For VAS pain, 334 patients from four studies showed that HILT significantly decreased pain compared to the control (MD, -1.18; 95% CI, -1.68 to -0.69). HILT significantly improved WOMAC stiffness (SMD -1.00; 95% CI -1.32, -0.68) and function (SMD, -5.36; 95% CI -7.39 to -3.34) compared to the control."</t>
  </si>
  <si>
    <t>Efficacy of Acupoints Dual-Frequency Low-Level Laser Therapy on Knee Osteoarthritis</t>
  </si>
  <si>
    <t>🧑 Human
🎲 Randomized trial, double-blind
👥 30 participants
⌛ 4-week treatment -&gt; 4-week follow-up</t>
  </si>
  <si>
    <t>780+
830</t>
  </si>
  <si>
    <t>50+
30</t>
  </si>
  <si>
    <t>216
(?)</t>
  </si>
  <si>
    <t>"A total of 30 subjects with two-sided knee OA in both groups completed the experiment. Statistically significant decreases were observed in the Lequesne index (5.27 ± 3.26 vs. 10.83 ± 3.83), conscious VAS 4 weeks after treatment (moving: 2.87 ± 1.13 vs. 5.67 ± 1.72; resting: 0.33 ± 0.62 vs. 2.67 ± 1.29), and the increase was noted in PPT (21.23 ± 1.82 kg vs. 13.02 ± 1.46 kg) in the ALT group compared with the PLT group."
"It appears that the knee OA pain and disability can be decreased after a dual-frequency LLLT applied to acupoints (SP9, SP10, and EX-LE2)."
Comment: The 80mW irradiation for 1500sec should equal to 120J, not the 216J that authors claim.</t>
  </si>
  <si>
    <t>Three acupoints on knee joints: SP9, SP10, and EX-LE2</t>
  </si>
  <si>
    <t>Nambi G</t>
  </si>
  <si>
    <t>Saudi Arabia
(Alkharj)</t>
  </si>
  <si>
    <t>Does low level laser therapy has effects on inflammatory biomarkers IL-1β, IL-6, TNF-α, and MMP-13 in osteoarthritis of rat models-a systemic review and meta-analysis</t>
  </si>
  <si>
    <t>"Two hundred eleven potential articles were identified and 186 articles were excluded based on the selection criteria. The rest of the 25 articles were read and 8 articles were selected for further study.
From the study, it is observed that the laser therapy group had mild to moderate improvement than control group in IL-1β, TNF-α, and MMP-13 (IL-1β; SMD 1.21 [95% CI - 0.278, 2.704], TNF-α; SMD 5.19 [95% CI 2.413, 7.961], and MMP-13 SMD - 1.45 [95% CI - 5.121, 2.211]), while IL-6 [SMD 3.11 (95% CI 0.662, 5.549] did not show any considerable improvement after laser therapy."</t>
  </si>
  <si>
    <t>Chow</t>
  </si>
  <si>
    <t>Australia
(New South Wales)</t>
  </si>
  <si>
    <t>Guidelines versus evidence: what we can learn from the Australian guideline for low-level laser therapy in knee osteoarthritis? A narrative review</t>
  </si>
  <si>
    <t>"This narrative review analyses the Australian Guideline (2018) for the treatment of knee osteoarthritis (KOA) developed using Grading of Recommendations Assessment, Development, and Evaluation (GRADE) methodology. The Guideline recommended against the use low-level laser therapy (LLLT). 
Why this conclusion was reached is discussed in this review in the context of evidence provided in other systematic reviews, the latest of which was published in 2019 and which provided strong support for LLLT for knee OA. 
We evaluated the reference list cited for the recommendation "against" LLLT and compared this with reference lists of systematic reviews and studies published before and after the publication date of the Guideline. Eight randomised controlled trials (RCTs) of LLLT were cited in the Guideline the latest of which was published in 2012. There were seventeen additional RCTs, five of which together with one systematic review were located in the year of publication, 2018. 
The most recent systematic review in 2019 included 22 RCTs in its analysis. Discordance with the levels of evidence and recommendations was identified. Although GRADE methodology is said to be robust for systematically evaluating evidence and developing recommendations, many studies were not identified in the Guideline. In contrast, the latest systematic review and meta-analysis provides robust evidence for supporting the use of LLLT in knee OA. The conflict between guidelines based on opinion and evidence based on meta-analysis is highlighted. 
Given the totality of the evidence, we recommend that the Australian Guideline should be updated immediately to reflect a "for" recommendation."</t>
  </si>
  <si>
    <t>Ganjeh</t>
  </si>
  <si>
    <t>Adv Ther</t>
  </si>
  <si>
    <t>Low Level Laser Therapy in Knee Osteoarthritis: A Narrative Review</t>
  </si>
  <si>
    <t>"All the meta-analyses discussed in the present review were temporally close and supposed to cover the same evidence. Conversely, their results were disparate; thus, it is necessary to design a study to analyze and verify the quality of the available systematic reviews published to date accurately and scientifically."</t>
  </si>
  <si>
    <t>Photobiomodulation Therapy Associated With Supervised Therapeutic Exercises for People With Knee Osteoarthritis: A Randomised Controlled Trial Protocol</t>
  </si>
  <si>
    <t>Barale</t>
  </si>
  <si>
    <t>Preliminary Clinical Experience of Low-Level Laser Therapy for the Treatment of Canine Osteoarthritis-Associated Pain: A Retrospective Investigation on 17 Dogs</t>
  </si>
  <si>
    <t>"Both CBPI and VAS were significantly reduced after the first laser session (9.2 ± 3.8 and 5.2 ± 1.1, respectively) compared to pretreatment values (11.8 ± 3.6 and 7.6 ± 0.9, respectively; and p = 0.018 and p &lt; 0.001, respectively) and continued to decrease over time until the end of the therapy. 
Based on these results and improved function, as assessed by the orthopedic surgeon, the pharmacological analgesic therapy was reduced by the clinician at week 2 in 13 of 17 dogs. Laser-related side effects were not observed."</t>
  </si>
  <si>
    <t>de Paula Gomes</t>
  </si>
  <si>
    <t>Exercise program combined with electrophysical modalities in subjects with knee osteoarthritis: a randomised, placebo-controlled clinical trial.</t>
  </si>
  <si>
    <t>🧑 Human
🎲 Randomized trial, sham-controlled
👥 100 participants
⌛ 8 weeks</t>
  </si>
  <si>
    <t>6
(on 8 points)</t>
  </si>
  <si>
    <t>0.1309
cm
spot</t>
  </si>
  <si>
    <t>"The addition of [interferential current therapy], [shortware diathermy therapy] or [photobiomodulation] into an exercise program for individuals with knee OA is not superior to exercise performed in isolation in terms of clinical benefit."</t>
  </si>
  <si>
    <t>Abramovich</t>
  </si>
  <si>
    <t>Russia
(Irkutsk)</t>
  </si>
  <si>
    <t>Drug Res (Stuttg)</t>
  </si>
  <si>
    <t>The Efficacy of the Comprehensive Use of Naphthalan and Non-Selective Chromotherapy in the Treatment of Patients with Gonarthrosis.</t>
  </si>
  <si>
    <t>🧑 Human
🎲 Randomized trial
👥 64 participants
⌛ 2 weeks</t>
  </si>
  <si>
    <t>1080
per joint</t>
  </si>
  <si>
    <t>"64 patients aged 40-69 years with stage 1-3 knee osteoarthritis were examined and treated. It was shown that the combined use of naphthalan and non-selective chromotherapy in patients with gonarthrosis reduces pain, improves the functional state of the affected knee joints and improves the quality of life of patients in the absence of adverse effects.
A comparative analysis of the study results showed that the efficacy of the combined use of naphthalan and non-selective chromotherapy is superior to the isolated effect of naphthalan."</t>
  </si>
  <si>
    <t>Osteoarthritis (knee)</t>
  </si>
  <si>
    <t>Level of pain, muscle strength and posture: effects of PBM on an exercise program in women with knee osteoarthritis - a randomized controlled trial.</t>
  </si>
  <si>
    <t>🧑 Human
🎲 Randomized trial, sham-controlled
👥 34 participants
⌛ 8 weeks</t>
  </si>
  <si>
    <t>56
(14p)</t>
  </si>
  <si>
    <t>"However, PBM, in the parameters used, did not optimize the effects of the exercise program in women with knee OA."</t>
  </si>
  <si>
    <t>Trevisan</t>
  </si>
  <si>
    <t>Effectiveness Of LED Photobiomodulation Therapy On Treatment With Knee Ostearthritis: An Rat Study.</t>
  </si>
  <si>
    <t>"The results of gait analysis showed no statistical difference between the groups. The histological findings showed that the OAL group presented abnormal chondrocyte orientation, yet with less irregularities along fibrillation and the joint tissue. Thus, it presented a lower degenerative process when evaluated by the OARSI. Likewise, in the immunohistochemical analysis, the OAL group showed higher collagen 2 and TGF-β immunoexpression when compared to the OAC group."</t>
  </si>
  <si>
    <t>Xiang</t>
  </si>
  <si>
    <t>Laser photobiomodulation for cartilage defect in animal models of knee osteoarthritis: a systematic review and meta-analysis.</t>
  </si>
  <si>
    <t>📊 Meta-analysis (of animal studies)</t>
  </si>
  <si>
    <t>"Five hundred eight initial search recordings were identified, of which 14 studies (including 274 animals) were included for quantitative analysis."
"There were considerable variances on laser parameters and irradiation time among those included studies."
"Overall, a moderate level of methodological qualities was determined."
"The synthesis results indicated that the SMD effect size was significantly larger in HHGS (z = 2.61, P = 0.01) and Huang (z = 4.90, P &lt; 0.01) groups. Stratified by irradiance, SMD of low (&lt; 1 W/cm2) but not high (≥ 1 W/cm2) level estimated significant difference (z = 5.62, P &lt; 0.01). Meta-regression identified a significant association for SMDs and irradiation time (P &lt; 0.01). Yet, Egger's test detected small study effect (P &lt; 0.01). No individual study with significant variance was found in homogeneity tests."
"The results demonstrated the positive effect of laser photobiomodulation for cartilage defect in animal models of KOA under proper irradiance and adequate irradiation time."</t>
  </si>
  <si>
    <t>Efficacy of low-level laser therapy on pain and disability in knee osteoarthritis: systematic review and meta-analysis of randomised placebo-controlled trials.</t>
  </si>
  <si>
    <t>"22 trials (n=1063) were meta-analysed. Risk of bias was insignificant. 
Overall, pain was significantly reduced by LLLT compared with placebo at the end of therapy (14.23 mm Visual Analogue Scale (VAS; 95% CI 7.31 to 21.14)) and during follow-ups 1-12 weeks later (15.92 mm VAS (95% CI 6.47 to 25.37)). 
The subgroup analysis revealed that pain was significantly reduced by the recommended LLLT doses compared with placebo at the end of therapy (18.71 mm (95% CI 9.42 to 27.99)) and during follow-ups 2-12 weeks after the end of therapy (23.23 mm VAS (95% CI 10.60 to 35.86)). 
The pain reduction from the recommended LLLT doses peaked during follow-ups 2-4 weeks after the end of therapy (31.87 mm VAS significantly beyond placebo (95% CI 18.18 to 45.56)). 
Disability was also statistically significantly reduced by LLLT. No adverse events were reported."</t>
  </si>
  <si>
    <t>Balbinot</t>
  </si>
  <si>
    <t>Photobiomodulation Therapy Partially Restores Cartilage Integrity and Reduces Chronic Pain Behavior in a Rat Model of Osteoarthritis: Involvement of Spinal Glial Modulation.</t>
  </si>
  <si>
    <t>1.43</t>
  </si>
  <si>
    <t>16
(4p)</t>
  </si>
  <si>
    <t>57.14</t>
  </si>
  <si>
    <t>160
(4p)</t>
  </si>
  <si>
    <t>"PBMT had no effects on overall locomotor activity, but positive effects on weight support (P = 0.001; effect size [ES] = 1.01) and mechanical allodynia (P = 0.032; ES = 0.51). 
Greater optical densitometry of PBMT-treated cartilage was evident in superficial layers (P = 0.020; ES = 1.34), likely reflecting the increase of proteoglycan and chondrocyte contents. In addition, PBMT effects were associated to decreased contribution of spinal glial cells to pain-like behavior (P = 0.001; ES = 0.38)."
"PBMT during the chronic phase of MIA-induced OA promoted cartilage recovery and reduced the progression or maintenance of spinal cord sensitization. Our data suggest a potential role of PBMT in reducing cartilage degradation and long-term central sensitization associated with chronic OA."</t>
  </si>
  <si>
    <t>Photobiomodulation therapy in knee osteoarthritis reduces oxidative stress and inflammatory cytokines in rats.</t>
  </si>
  <si>
    <t>"The effects of the 18 J/cm2 dose of PBM were promising in reducing pain and neutrophil activity in knee samples, together with reducing oxidative stress damage in blood serum and spinal cord samples. PBM improved the antioxidant capacity in blood serum and brainstem, and decreased the knee pro-inflammatory cytokine levels. 
Our study demonstrated that PBM decreased oxidative damage, inflammation and pain. Therefore, this therapy could be an important tool in the treatment of knee OA."</t>
  </si>
  <si>
    <t>Immediate responses of multi-focal low level laser therapy on quadriceps in knee osteoarthritis patients.</t>
  </si>
  <si>
    <t>🧑 Human
📄 Single-arm trial
👥 51 participants
⌛ single session</t>
  </si>
  <si>
    <t>180
/thigh</t>
  </si>
  <si>
    <t>"The multi-focal LLLT significantly improved knee joint pain as measured by the NRS (54% reduction), timed five-chair stands, and walking speed (P &lt; .05). Knee extensor strength also increased in terms of peak torque and force of concentric and eccentric contraction as measured by isokinetic dynamometer (P &lt; .05). 
In conclusion, single-session multi-focal LLLT on quadriceps in knee OA patients has immediate beneficial effect on knee pain reduction, quadriceps strengthening and functional performance recovery. Long-term effect requires further investigation. "</t>
  </si>
  <si>
    <t>Efficacy of high-intensity laser therapy in comparison with conventional physiotherapy and exercise therapy on pain and function of patients with knee osteoarthritis: a randomized controlled trial with 12-week follow up.</t>
  </si>
  <si>
    <t>🧑 Human
⚔ Comparison study
👥 93 participants
⌛ 4-week treatment / 12-week study</t>
  </si>
  <si>
    <t>HILT vs physical therapy vs exercise</t>
  </si>
  <si>
    <t>"HILT was significantly more effective than the other groups in decreasing the VAS, increasing FROM and improving the scores of WOMAC (total and function subscale) both after treatment and after 12 weeks."</t>
  </si>
  <si>
    <t>Prodromos</t>
  </si>
  <si>
    <t>USA
(Glenview, IL)</t>
  </si>
  <si>
    <t>Intra-Articular Laser Treatment Plus Platelet Rich Plasma (PRP) Significantly Reduces Pain in Many Patients Who Had Failed Prior PRP Treatment.</t>
  </si>
  <si>
    <t>🧑 Human
📄 Single-arm trial
👥 30 joints
⌛ single treatment -&gt; 2-year follow-up</t>
  </si>
  <si>
    <t>Treatment-resistant patients
Intra-articular PBM</t>
  </si>
  <si>
    <t>405+
658+
810</t>
  </si>
  <si>
    <t>100
100
100</t>
  </si>
  <si>
    <t>600+
600+
600
(each
color
separately)</t>
  </si>
  <si>
    <t>"Twenty-eight joints were available for re-evaluation: ≥ 40% improvement was seen in 46% (6 months), 32% (12 months) and 32% (24 months) post-treatment. Mean SANE scores improved significantly at 1 and 2 years."
Comment: Difficult to evaluate the effectiveness due to lack of a control group.</t>
  </si>
  <si>
    <t>Photobiomodulation via a cluster device associated with a physical exercise program in the level of pain and muscle strength in middle-aged and older women with knee osteoarthritis: a randomized placebo-controlled trial.</t>
  </si>
  <si>
    <t>🧑 Human
🎲 Randomized trial, sham-controlled
👥 62 participants
⌛ 8 weeks</t>
  </si>
  <si>
    <t>4/p
56
/knee</t>
  </si>
  <si>
    <t>40
/p</t>
  </si>
  <si>
    <t>"The main findings demonstrated that all treated volunteers presented a significant decrease in the level of pain after 8 weeks of intervention compared with the placebo-treated women."
"However, PBM did not have any extra effect along with the effects of exercise in improving the distance walked, the TUG, and the muscle strength of women with knee OA."</t>
  </si>
  <si>
    <t>Ihegihu</t>
  </si>
  <si>
    <t>Nigeria
(Nnewi)</t>
  </si>
  <si>
    <t>Asian Journal of Research in Medical and Pharmaceutical Sciences</t>
  </si>
  <si>
    <t>Efficacy of Quadriceps Muscle Strengthening Exercises and Infrared Radiation Therapy in the Management of Symptomatic Knee Osteoarthritis in a South- Eastern Nigerian Population: A Randomised Clinical Study</t>
  </si>
  <si>
    <t>🧑 Human
🎲 Randomized trial, sham-controlled
👥 64 participants
⌛ 7 weeks</t>
  </si>
  <si>
    <t>poly-
chromatic
heat
lamp</t>
  </si>
  <si>
    <t>150W
heat
lamp</t>
  </si>
  <si>
    <t>21
/ 7 weeks</t>
  </si>
  <si>
    <t>"At the end of the seven weeks, there was a statistically significant reduction in knee joint pain intensity score (p&lt;0.05), 30.4m walking time (p&lt; 0.05) and a significant increase in quadriceps muscle strength (p&lt; 0.05) in the study group. There was no statistically significant change (p&gt;0.05) in any of the outcome measures in the control group."
Comment 1: In intervention group, pain intensity decreased from 7.74 to 4.84, while in the control group it decreased from 7.38 to 7.00. 
Comment 2: Philips Infraphil lamp of 150W was used as the light source.
Comment 3: The journal is not indexed in PubMed.
Comment 4: The irradiation duration is not described. The author refers probably to William J. Shriber's book A Manual of Electrotherapy in the reference 19, but it may be mistyped.</t>
  </si>
  <si>
    <t>de Matos Brunelli Braghin</t>
  </si>
  <si>
    <t>The effect of low-level laser therapy and physical exercise on pain, stiffness, function, and spatiotemporal gait variables in subjects with bilateral knee osteoarthritis: a blind randomized clinical trial.</t>
  </si>
  <si>
    <t>🧑 Human
🎲 Randomized trial, sham-controlled
👥 112 participants, 60 completed
⌛ 2 months</t>
  </si>
  <si>
    <t>56
(10p)</t>
  </si>
  <si>
    <t>560
(10p)</t>
  </si>
  <si>
    <t>15
/ 2 months</t>
  </si>
  <si>
    <t>"The EG showed significant improvement in pain (p = 0.006) and function (p = 0.01) according to WOMAC. Regarding gait variables, in intergroup analysis after 8 weeks all groups receiving intervention showed a significant increase in gait speed: LG versus CG (p = 0.03); EG versus CG (p = 0.04) and LEG versus CG (p = 0.005). Only the group treated with laser + exercise showed a significant increase (p = 0.009) in the cadence and duration of single right limb support (p = 0.04), and only the groups treated with exercise and laser + exercise showed significant decreases in the duration of right limb support (p = 0.035 and p = 0.003, respectively), compared to the CG."
Comment: Study completion rate only 53.58% ?</t>
  </si>
  <si>
    <t>Osteoarthritis (TMJ)</t>
  </si>
  <si>
    <t>Abubakr</t>
  </si>
  <si>
    <t>Dent Med Probl</t>
  </si>
  <si>
    <t>Comparative evaluation of the early effects of the low-level laser therapy versus intra-articular steroids on temporomandibular joint acute osteoarthritis in rats: A histochemical, molecular and imaging evaluation.</t>
  </si>
  <si>
    <t>d = 
300 µm</t>
  </si>
  <si>
    <t>20
/p</t>
  </si>
  <si>
    <t>"Histochemically, Safranin-O staining revealed an obvious reduction in proteoglycans in the untreated osteoarthritic group. However, both of the treated groups showed a moderate increase in glycosaminoglycan (GAG) staining. As for the qRT-PCR results, caspase-3 showed the highest mean value in the untreated OA group, followed by the CS group, while the lowest mean value was recorded in the LLL group. 
Radiographically, the condyle showed erosion, flattening, osteophyte formation, and sclerosis in the untreated group, but there was great improvement in both of the treated groups."</t>
  </si>
  <si>
    <t>Device: Biolase Epic 10</t>
  </si>
  <si>
    <t>Osteoarthritis (elbow)</t>
  </si>
  <si>
    <t>Looney</t>
  </si>
  <si>
    <t>USA
(Woburn, MA)</t>
  </si>
  <si>
    <t>Can Vet J</t>
  </si>
  <si>
    <t>A randomized blind placebo-controlled trial investigating the effects of photobiomodulation therapy (PBMT) on canine elbow osteoarthritis.</t>
  </si>
  <si>
    <t>10-20</t>
  </si>
  <si>
    <t>"Reduction in NSAID dose occurred in 9/11 dogs in the PBMT group, and in 0/9 of group S dogs (P = 0.0003). There was greater improvement in lameness score post PMBT versus S therapy (P = 0.001). A greater reduction in pain score was detected in 9/11 parameters in group PBMT (P &lt; 0.05)."</t>
  </si>
  <si>
    <t>Pain Manag</t>
  </si>
  <si>
    <t>Low-level laser therapy and interferential current in patients with knee osteoarthritis: a randomized controlled trial protocol.</t>
  </si>
  <si>
    <t>"The aim of this study is to investigate the effects of low-level laser therapy and interferential current (IFC) on pain intensity, central sensitization, muscle strength and functional capacity in patients with knee osteoarthritis."</t>
  </si>
  <si>
    <t>Incorporation of photobiomodulation therapy into a therapeutic exercise program for knee osteoarthritis: A placebo-controlled, randomized, clinical trial.</t>
  </si>
  <si>
    <t>🧑 Human
🎲 Randomized trial, sham-controlled
👥 60 participants
⌛ 5 weeks</t>
  </si>
  <si>
    <t>LED phototherapy (with a laser)</t>
  </si>
  <si>
    <t>640
(LED)
+
875
(LED)
+
905
(laser)</t>
  </si>
  <si>
    <t>23.55</t>
  </si>
  <si>
    <t>4
cm2
device
aperture</t>
  </si>
  <si>
    <t>240
(?)</t>
  </si>
  <si>
    <t>"The combination of phototherapy and an exercise program is effective at reducing pain intensity among individuals with knee osteoarthritis than exercise alone or exercise + placebo phototherapy in a short-term protocol."
Comment: The authors claim each session laster approx ~60 minutes. However, they also claim that treatment duration per knee quadrant is 60 seconds. This would imply ~4 minutes of irradiation per session. It could be that the 60 minutes refers to the duration of the exercise session including a brief PBM treatment.</t>
  </si>
  <si>
    <t>Device: "a portable nine-diode cluster device (PainAway/PainCure, Multi Radiance Medical, Solon, OH), with one 905 nm superpulsed diode laser (peak power: 8.5 W; frequency: 1000 Hz; mean power of each diode: 0.9 mW), four 875 nm LED (mean power of each diode: 17.5 mW) and four 640 nm LED (mean power of each diode: 15 mW)."</t>
  </si>
  <si>
    <t>Medina-Porqueres &amp; Cantero-Tellez</t>
  </si>
  <si>
    <t>Spain
(Malaga)</t>
  </si>
  <si>
    <t>Physiother Res Int</t>
  </si>
  <si>
    <t>Class IV laser therapy for trapeziometacarpal joint osteoarthritis: Study protocol for a randomized placebo-controlled trial.</t>
  </si>
  <si>
    <t>"To our knowledge, the results of this study will provide the first double-blinded evidence for Class IV LT in patients with TCMC-OA."</t>
  </si>
  <si>
    <t>Stancker</t>
  </si>
  <si>
    <t>Can photobiomodulation associated with implantation of mesenchymal adipose-derived stem cells attenuate the expression of MMPs and decrease degradation of type II collagen in an experimental model of osteoarthritis?</t>
  </si>
  <si>
    <t>71.2</t>
  </si>
  <si>
    <t>"The use of PBMT alone and the injection of ADSCs resulted in downregulation of pro-inflammatory cytokines and MPs in cartilage compared to the OA group. PBMT and ADSCs caused upregulation of tissue inhibitors of MPs 1 and 2 and mRNA and protein expression of COL2-1 in cartilage compared to the OA group. 
The intra-articular injection of ADSCs and PBMT prevented joint degeneration resulting from COL2-1 degradation and modulated inflammation by downregulating cytokines and MMPs in the OA group."</t>
  </si>
  <si>
    <t>Ultrasound plus low-level laser therapy for knee osteoarthritis rehabilitation: a randomized, placebo-controlled trial.</t>
  </si>
  <si>
    <t>🧑 Human
🎲 Randomized trial, sham-controlled
👥 42 participants
⌛ 3 months</t>
  </si>
  <si>
    <t>400
(á 100)</t>
  </si>
  <si>
    <t>360
/knee</t>
  </si>
  <si>
    <t>7
(?)</t>
  </si>
  <si>
    <t>900
/knee</t>
  </si>
  <si>
    <t>12 (?)
/ 3 months</t>
  </si>
  <si>
    <t>"This study showed reduced pain and increased physical functionality after 3 months of US + LLLT with and without [therapeutic exercises]."</t>
  </si>
  <si>
    <t>Wyszyńska &amp; Bal-Bocheńska</t>
  </si>
  <si>
    <t>Poland
(Rzeszów)</t>
  </si>
  <si>
    <t>Efficacy of High-Intensity Laser Therapy in Treating Knee Osteoarthritis: A First Systematic Review.</t>
  </si>
  <si>
    <t>HILT</t>
  </si>
  <si>
    <t>"Six studies were included. Laser fluence ranged from 0.51 to 120 J/cm2 for one treatment. The total energy transmitted during one treatment ranged from 1250 to 3000 J. All the selected studies found HILT to be beneficial in treatment of knee OA."
"CONSORT-based quality assessment of the selected articles indicated a high risk of bias in four of the six studies."</t>
  </si>
  <si>
    <t>Safety and Effectiveness of Low-Level Laser Therapy in Patients With Knee Osteoarthritis: A Systematic Review and Meta-analysis.</t>
  </si>
  <si>
    <t>"A total of 823 studies, 14 randomized controlled trials (RCTs) were selected after final review. There was a significant difference between LLLT and placebo in pain at rest (P=0.02), pain at activity (P=0.01), total pain (P=0.03), WOMAC function (P=0.01), WOMAC stiffness (P=0.02) and WOMAC total (P&lt;0.0001) in favor of the LLLT. There was no significant difference between LLLT and Placebo in WOMAC pain (P=0.09) and range of motion (P=0.1)."
"In spite of some positive findings, this meta-analysis lacked data on how LLLT effectiveness is affected with important factors: wavelength, energy density, treatment duration, numbers of sessions the treatment, severity of KOA and site of application."</t>
  </si>
  <si>
    <t>Tieppo Francio</t>
  </si>
  <si>
    <t>BOT
(Olveston, Montserrat)</t>
  </si>
  <si>
    <t>Anesth Pain Med</t>
  </si>
  <si>
    <t>Prolotherapy and Low Level Laser Therapy: A Synergistic Approach to Pain Management in Chronic Osteoarthritis.</t>
  </si>
  <si>
    <t>"In clinical studies, LLLT has shown promise in managing Achilles tendonitis (40), neck pain (35) and other chronic musculoskeletal chronic pain disorders (10). A recent 2016 study by Baltzer, Ostapczuk and Stosch gives compelling support for LLLT in the treatment of extremity osteoarthritis; reporting that LLLT exposure to Heberden’s and Bouchard’s OA had very large effects to significantly reduce pain and swelling at the treatment site (36).
Barriers to the implementation of LLLT in treating chronic pain in osteoarthritis involve the high variation in methods of application. From types of lasers to the specific wavelength used, health care providers may find the diverse options available to them intimidating. As per our review, there does not appear to be any distinct wavelength at which healing is optimal, as long as practitioners adhere to the flexible range of 600 - 1000 nm."</t>
  </si>
  <si>
    <t>Sanches</t>
  </si>
  <si>
    <t>Chondroitin sulfate and glucosamine sulfate associated to photobiomodulation prevents degenerative morphological changes in an experimental model of osteoarthritis in rats.</t>
  </si>
  <si>
    <t>PBM vs chondroitin sulphate &amp; glucosamine sulphate</t>
  </si>
  <si>
    <t>1.4
/p</t>
  </si>
  <si>
    <t>"This study showed that [chondroitin sulfate and glucosamine sulfate] associated with PBM was effective in modulating inflammatory process and preventing the articular tissue degradation in the knees OA rats."</t>
  </si>
  <si>
    <t>Alfredo</t>
  </si>
  <si>
    <t>Long-term results of a randomized, controlled, double-blind study of low-level laser therapy before exercises in knee osteoarthritis: laser and exercises in knee osteoarthritis.</t>
  </si>
  <si>
    <r>
      <rPr>
        <sz val="7.0"/>
      </rPr>
      <t xml:space="preserve">🧑 Human
🎲 Randomized trial, double-blind
👥 40 participants
⌛ 3-week treatment -&gt; 8-week exercise -&gt; 6-month follow-up
</t>
    </r>
    <r>
      <rPr>
        <i/>
        <sz val="7.0"/>
      </rPr>
      <t>(Follow-up of Alfredo et al. 2012)</t>
    </r>
  </si>
  <si>
    <t>6-month follow-up after the end of treatment</t>
  </si>
  <si>
    <t>3
/p</t>
  </si>
  <si>
    <t>50
/p</t>
  </si>
  <si>
    <t>"We find that the immediate post-intervention improvements from LLLT plus strengthening exercises were maintained for six months."
"Daily consumption of rescue analgesics (paracetamol) was significantly lower in the LLLT group throughout the follow-up period, ending at a group difference of 0.45 vs. 3.40 units (P &lt; 0.001) at six months follow-up."</t>
  </si>
  <si>
    <t>Efficacy of pulsed Nd:YAG laser in the treatment of patients with knee osteoarthritis: a randomized controlled trial.</t>
  </si>
  <si>
    <t>🧑 Human
🎲 Randomized trial
👥 67 participants
⌛ 6-week treatment -&gt; 3-month follow-up</t>
  </si>
  <si>
    <t>HIRO 3.0 device
HILT</t>
  </si>
  <si>
    <t>3000
total
from
4
phases
(?)</t>
  </si>
  <si>
    <t>1.430+
1.530+
1.780+
15</t>
  </si>
  <si>
    <t>0.2
cm2
spot
200
cm2
total
(?)</t>
  </si>
  <si>
    <t>"Overall, pulsed Nd:YAG laser combined with GCS and exercises was more effective than GCS + EX and exercises alone in the treatment of KOA patients."</t>
  </si>
  <si>
    <t>S</t>
  </si>
  <si>
    <t>Radiological and biochemical effects (CTX-II, MMP-3, 8, and 13) of low-level laser therapy (LLLT) in chronic osteoarthritis in Al-Kharj, Saudi Arabia.</t>
  </si>
  <si>
    <t>🧑 Human
🎲 Randomized trial, sham-controlled
👥 34 participants
⌛ 4-week treatment / 8-week study</t>
  </si>
  <si>
    <t>1
cm2
/p
(8p)</t>
  </si>
  <si>
    <t>"After 4- and 8-week treatment, active laser group shows more significant difference (p &lt; 0.001) in all the parameters than the placebo laser group (p &gt; 0.05). Our results show that low-level laser therapy was more efficient in reducing pain and improving cartilage thickness through biochemical changes."
Star: In this study, the improvement in LLLT versus placebo is huge. Maybe they found some good parameters for the treatment of knee osteoarthritis?</t>
  </si>
  <si>
    <t>Photobiomodulation therapy in the modulation of inflammatory mediators and bradykinin receptors in an experimental model of acute osteoarthritis.</t>
  </si>
  <si>
    <t>Osteoarthritis induced by papain</t>
  </si>
  <si>
    <t>4*</t>
  </si>
  <si>
    <t>"We conclude that photobiomodulation therapy was able to promote the reduction of proinflammatory cytokines such as TNF-α and CINC-1, to reduce the gene and protein expression of the bradykinin receptor (B1 and B2), as well as increasing the stimulus response threshold of pressure in an experimental model of acute osteoarthritis."</t>
  </si>
  <si>
    <t>Osteoarthritis (hand)</t>
  </si>
  <si>
    <t>Baltzer</t>
  </si>
  <si>
    <t>Positive effects of low level laser therapy (LLLT) on Bouchard's and Heberden's osteoarthritis.</t>
  </si>
  <si>
    <t>🧑 Human
⚔ Comparison study
👥 34 participants
⌛ 3-5 week treatment / 3-8 week study</t>
  </si>
  <si>
    <t>Osteoarthritis of hand
PBM: 5 vs 7 vs 10 sessions</t>
  </si>
  <si>
    <t>658
+
785</t>
  </si>
  <si>
    <t>240
+
160</t>
  </si>
  <si>
    <t>0.0016
cm2
(/p)</t>
  </si>
  <si>
    <t>5-10
/ 3-5 weeks</t>
  </si>
  <si>
    <t>"LLLT significantly reduced pain and ring size and increased range of motion after five and seven treatments (all P's &lt; 0.001). The effects were very large (all η(2) 's &gt; 0.14). No further significant change occurred between 7 and 10 treatments. The effects achieved after seven sessions persisted for 8 weeks."
"LLLT is a safe, non-invasive, efficient and efficacious means to reduce pain and swelling and to increase joint mobility in patients suffering from Heberden's and Bourchard's OA."</t>
  </si>
  <si>
    <t>Angelova &amp; Ilieva</t>
  </si>
  <si>
    <t>Bulgaria
(Plovdiv)</t>
  </si>
  <si>
    <t>Effectiveness of High Intensity Laser Therapy for Reduction of Pain in Knee Osteoarthritis.</t>
  </si>
  <si>
    <t>🧑 Human
🎲 Randomized trial
👥 72 participants
⌛ 7-day treatment -&gt; 3-month follow-up</t>
  </si>
  <si>
    <t>300
--&gt;
3000</t>
  </si>
  <si>
    <t>12
(3 days)
-&gt;
120
(4 days)</t>
  </si>
  <si>
    <t>25
cm2
treated
area</t>
  </si>
  <si>
    <t>"Pain levels measured by VAS and dolorimetry decreased significantly in the therapeutic group after seven days of treatment (p&lt; 0,001)"</t>
  </si>
  <si>
    <t>The effects of high intensity laser therapy on pain and function in patients with knee osteoarthritis.</t>
  </si>
  <si>
    <t>🧑 Human
🎲 Randomized trial
👥 20 participants
⌛ 4 weeks</t>
  </si>
  <si>
    <t>"The comparison of the two groups showed that the high intensity laser therapy group had statistically significant lower scores in both the visual analogue scale and the Korean Western Ontario and McMaster Universities Osteoarthritis Index than the conservative physical therapy group."
"High intensity laser therapy is considered an effective non-surgical intervention for reducing pain in patients with knee osteoarthritis and helping them to perform daily activities."
Comment: The important parameters were not reported (wavelength, power output, spot size etc).</t>
  </si>
  <si>
    <t>Osteoarthritis Cartilage</t>
  </si>
  <si>
    <t>Aerobic exercise training and low-level laser therapy modulate inflammatory response and degenerative process in an experimental model of knee osteoarthritis in rats.</t>
  </si>
  <si>
    <t>2.8
(2p)</t>
  </si>
  <si>
    <t>"These results suggest that exercise training and LLLT were effective in preventing cartilage degeneration and modulating inflammatory process induced by knee OA."</t>
  </si>
  <si>
    <t>Saudi Arabia
(Dammam)</t>
  </si>
  <si>
    <t>Effect of Laser Therapy on Chronic Osteoarthritis of the Knee in Older Subjects.</t>
  </si>
  <si>
    <t>🧑 Human
🎲 Randomized trial, sham-controlled
👥 51 participants
⌛ 8 weeks</t>
  </si>
  <si>
    <t>880
904</t>
  </si>
  <si>
    <t>50
60</t>
  </si>
  <si>
    <t>48
27
(8/9 points)</t>
  </si>
  <si>
    <t>6
3</t>
  </si>
  <si>
    <t>?
0.5
cm2
point
area</t>
  </si>
  <si>
    <t>480
450
(8/9 points)</t>
  </si>
  <si>
    <t>"It can be concluded that addition of LLLT to exercise training program is more effective than exercise training alone in the treatment of older patients with chronic knee OA and the rate of improvement may be dose dependent, as with 6 J/cm(2) or 3 J/cm(2)."</t>
  </si>
  <si>
    <t>Isolated and combined effects of photobiomodulation therapy, topical nonsteroidal anti-inflammatory drugs, and physical activity in the treatment of osteoarthritis induced by papain.</t>
  </si>
  <si>
    <t>Osteoarthritis induced by papain
PBM vs NSAID</t>
  </si>
  <si>
    <t>6
/joint</t>
  </si>
  <si>
    <t>214.2</t>
  </si>
  <si>
    <t>0.028
cm2
spot
area</t>
  </si>
  <si>
    <t>60
/joint</t>
  </si>
  <si>
    <t>"The results of this study indicate that PBMT is the most effective therapy in stopping disease progression, and improving inflammatory conditions observed in OA."</t>
  </si>
  <si>
    <t>Effects of photobiomodulation therapy, pharmacological therapy, and physical exercise as single and/or combined treatment on the inflammatory response induced by experimental osteoarthritis.</t>
  </si>
  <si>
    <t>Knee osteoarthritis induced by papain
PBM vs NSAID</t>
  </si>
  <si>
    <t>"The results from the present study indicate that treatment with PBMT is more effective in modulating the inflammatory process underlying OA when compared with the other therapies tested."</t>
  </si>
  <si>
    <t>Synergic effects of ultrasound and laser on the pain relief in women with hand osteoarthritis.</t>
  </si>
  <si>
    <t>🧑 Human
🎲 Randomized trial, sham-controlled
👥 43 participants
⌛ 3 months</t>
  </si>
  <si>
    <t>0.040
(?)</t>
  </si>
  <si>
    <t>360
/hand</t>
  </si>
  <si>
    <t>900
/hand</t>
  </si>
  <si>
    <t>12
/ 3 months
(?)</t>
  </si>
  <si>
    <t>"Grip strength did not differ significantly for any of the groups (p ≥ 0.05). The average PPT between baseline and 3 months shows significant decrease of the pain sensitivity for both the US + LLLT group (∆ = 30 ± 19 N, p˂0.001) and the TE + US + LLLT group (∆ = 32 ± 13 N, p &lt; 0.001). However, there were no significant differences in average PPT for placebo group (∆ = -0.3 ± 9 N). There was no placebo effect. The new prototype that combines US and LLLT reduced pain in women with hand osteoarthritis."</t>
  </si>
  <si>
    <t>Musculoskeletal Atrophy in an Experimental Model of Knee Osteoarthritis: The Effects of Exercise Training and Low-Level Laser Therapy.</t>
  </si>
  <si>
    <t>2.8
(2p)
(?)</t>
  </si>
  <si>
    <t>"These results suggest that exercise training and low-level laser therapy were effective in preventing musculoskeletal alterations related to atrophy caused by the degenerative process induced by knee OA."</t>
  </si>
  <si>
    <t>Short-term efficacy of low-level laser therapy in patients with knee osteoarthritis: a randomized placebo-controlled, double-blind clinical trial.</t>
  </si>
  <si>
    <t>🧑 Human
🎲 Randomized trial, double-blind
👥 47 participants pts, 79 knees
⌛ 3 weeks</t>
  </si>
  <si>
    <t>50
/point</t>
  </si>
  <si>
    <t>"A significant improvement in pain and function was found in all the assessments applied to the laser group. On comparing the laser group with the placebo group, significant differences were found in the VNS-resting and Lequesne evaluations."
"Treatment with LLLT improves pain and function over the short term in patients with knee osteoarthritis."</t>
  </si>
  <si>
    <t>Effectiveness of low-level laser therapy in patients with knee osteoarthritis: a systematic review and meta-analysis.</t>
  </si>
  <si>
    <t>"Based on seven studies, the SMD in visual analog scale (VAS) pain score right after therapy (RAT) (within 2 weeks after the therapy) was not significantly different between LLLT and control (SMD = -0.28 [95% CI = -0.66, 0.10], I(2) = 66%). No significant difference was identified in studies conforming to the World Association of Laser Therapy (WALT) recommendations (four studies) or on the basis of OA severity."
"Our findings indicate that the best available current evidence does not support the effectiveness of LLLT as a therapy for patients with KOA."
Note: A comment was published by a group of researchers, criticizing the meta-analysis for several different reasons. Huang's group also published a reasonable reply.</t>
  </si>
  <si>
    <t>Atik OS</t>
  </si>
  <si>
    <t>Can we treat knee osteoarthritis with photomedicine?</t>
  </si>
  <si>
    <t>"Although many studies using laser therapy have been conducted to decrease pain and improve function, the beneficial effects of photomedicine are still controversial. This is probably because of lacking or heterogeneous data on laser type (HeNe, GaAs, GaAsAl), wavelength (632, 785, 810, 830, 850, 890, 904 nm), laser mode (continuous, pulsed), distance of probe from skin, irradiation points (2–8 points), duration of treatment (20 sec to 7 min), mean power out (30–800 mW), energy density (0.218–48 J cm2 ), irradiation energy per point (0.13–6 J), spot size (0.028– 0.0451 cm2 ), number of sessions, and site of application of photobiomodulation.
On the other hand, until the last decade, the target tissue for the treatment of knee osteoarthritis was cartilage. Recently, this has been changed, because of new data demonstrating that the pathogenesis involves not only cartilage but also subchondral bone and other soft tissues, including synovial tissue in the joints."
"As mentioned by Lanzafame, overselling the attributes and benefits of photobiomodulation must be avoided; our path forward is best paved with careful research and methodical testing of parameters and treatment paradigms, coupled with honest evaluation of the results, both positive and negative.2"</t>
  </si>
  <si>
    <t>Ammar TA</t>
  </si>
  <si>
    <t>Monochromatic Infrared Photo Energy versus Low Level Laser Therapy in Patients with Knee Osteoarthritis.</t>
  </si>
  <si>
    <t>🧑 Human
⚔ Comparison study
👥 60 participants
⌛ 6 weeks</t>
  </si>
  <si>
    <t>LLLT vs LED (SLED)</t>
  </si>
  <si>
    <t>850
(laser)
890
(SLED)</t>
  </si>
  <si>
    <t>100
-</t>
  </si>
  <si>
    <t>-
-</t>
  </si>
  <si>
    <t>25
(5p)
-</t>
  </si>
  <si>
    <t>-
62.4</t>
  </si>
  <si>
    <t>d = 1 mm
180
cm2
total area of LED pads</t>
  </si>
  <si>
    <t>600
(5p)
1800</t>
  </si>
  <si>
    <t>"There were statistically significant improvements in pain intensity and lower extremity functional scale scores (p&lt;0.05) in each group. However, no significant differences were recorded between the groups (p&gt;0.05)."</t>
  </si>
  <si>
    <t>Korea
(Gyeongsan)</t>
  </si>
  <si>
    <t>Therapeutic effect of irradiation of magnetic infrared laser on osteoarthritis rat model.</t>
  </si>
  <si>
    <t>LLLT device with a "constant magnetic field no less than 20 mT"</t>
  </si>
  <si>
    <t>1
2
5</t>
  </si>
  <si>
    <t>1.33
2.66
6.65</t>
  </si>
  <si>
    <t>0.0451
cm2</t>
  </si>
  <si>
    <t>"The OA control exhibited typical symptoms of OA, but 4-week MIL treatment improved the functional movement of knee joint with reduced edematous changes. In addition, cartilage GAGs were detected more in all MIL treatment groups than OA control. It suggests that 4-week MIL irradiation has dose-dependent anti-inflammatory and chondroprotective effects on OA. Histopathological analyses revealed that MIL treatment inhibits the cartilage degradation and enhances chondrocyte proliferation. The fact that MIL has an additional potential for the cartilage formation and no adverse effects can be regarded as great advantages for OA treatment. These suggest that MIL can be useful for OA treatment"</t>
  </si>
  <si>
    <t>Soleimanpour</t>
  </si>
  <si>
    <t>The effect of low-level laser therapy on knee osteoarthritis: prospective, descriptive study.</t>
  </si>
  <si>
    <t>🧑 Human
👥 33 participants, 18 completed
⌛ 4 weeks</t>
  </si>
  <si>
    <t>810
+
890</t>
  </si>
  <si>
    <t>50
30</t>
  </si>
  <si>
    <t>0.05
0.017</t>
  </si>
  <si>
    <t>6
10</t>
  </si>
  <si>
    <t>1 cm2</t>
  </si>
  <si>
    <t>"In the current study, a significant reduction was observed regarding the nocturnal pain, pain on walking and ascending the steps, knee circumference, distance between the hip and heel, and knee to horizontal hip to heel distance at the end of the treatment course."
"In brief, the current study focuses on the fact that LLLT is effective in reducing pain in knee osteoarthritis."</t>
  </si>
  <si>
    <t>Effect of low-level laser therapy on metalloproteinase MMP-2 and MMP-9 production and percentage of collagen types I and III in a papain cartilage injury model.</t>
  </si>
  <si>
    <t>Dose response (same dose, longer exposure; time parameter)</t>
  </si>
  <si>
    <t>1.78
3.5</t>
  </si>
  <si>
    <t>8
(2p)</t>
  </si>
  <si>
    <t>142</t>
  </si>
  <si>
    <t>160
80
(2p)</t>
  </si>
  <si>
    <t>4
7
10</t>
  </si>
  <si>
    <t>"Both laser groups (50 and 100 mW) were effective in tissue repair, decreasing collagen type III expression and increasing type I expression in all experimental periods; however, LLLT at 50 mW reduced metalloproteinase 9 more than at 100 mW in 21 days. LLLT at 50 mW was more efficient in the modulation of matrix MMPs and tissue repair."
Comment: Parameters were well reported.</t>
  </si>
  <si>
    <t>Kheshie</t>
  </si>
  <si>
    <t>High-intensity versus low-level laser therapy in the treatment of patients with knee osteoarthritis: a randomized controlled trial.</t>
  </si>
  <si>
    <t>🧑 Human
🎲 Randomized trial, sham-controlled
👥 53 participants
⌛ 6 weeks</t>
  </si>
  <si>
    <t>HILT vs LLLT vs placebo</t>
  </si>
  <si>
    <t>800
-</t>
  </si>
  <si>
    <t>1250
1250</t>
  </si>
  <si>
    <t>1953
~900</t>
  </si>
  <si>
    <t>"The result showed that HILT and LLLT combined with exercise were effective treatment modalities in decreasing the VAS and WOMAC scores after 6 weeks of treatment. HILT combined with exercises was more effective than LLLT combined with exercises, and both treatment modalities were better than exercises alone in the treatment of patients with KOA."</t>
  </si>
  <si>
    <t>Effects of low-level laser therapy on joint pain, synovitis, anabolic, and catabolic factors in a progressive osteoarthritis rabbit model.</t>
  </si>
  <si>
    <t>"The histological assessment of pain and synovitis showed that at least 6-week intermittent irradiation of LLLT could relief knee pain and control synovium inflammation."
"Gross morphologic inspection and histological evaluation showed that 6 weeks of LLLT could decrease cartilage damage of medical femoral condyle and 8 weeks of LLLT could decrease cartilage damage of medical and lateral femoral condyles and medical tibial plateau."
"Gene expression analysis revealed two results: At least 6 weeks of LLLT could decrease production of catabolic factors, for example, interleukin 1β (IL-1β), inducible nitric oxide synthase (iNOS), and MMP-3, and slow down the loss of anabolic factors, mainly TIMP-1."
"Eight weeks of LLLT treatment could slow down the loss of collagen II, aggrecan, and anabolic factors, mainly transforming growth factor beta (TGF-β)."
"The study suggests that LLLT plays a protective role against cartilage degradation and synovitis in rabbits with progressive OA by virtue of the regulation of catabolic and anabolic factors in the cartilage."
Comment: It seems the results were quite modest.</t>
  </si>
  <si>
    <t>Barabás</t>
  </si>
  <si>
    <t>Hungary
(Budapest)</t>
  </si>
  <si>
    <t>Effects of laser treatment on the expression of cytosolic proteins in the synovium of patients with osteoarthritis.</t>
  </si>
  <si>
    <t>807-
811</t>
  </si>
  <si>
    <t>"Eleven proteins showing altered expression due to laser irradiation were identified. There were three patients whose tissue samples demonstrated a significant increase (P &lt; 0.05) in mitochondrial heat shock 60 kD protein 1 variant 1. The expression of the other proteins (calpain small subunit 1, tubulin alpha-1C and beta 2, vimentin variant 3, annexin A1, annexin A5, cofilin 1, transgelin, and collagen type VI alpha 2 chain precursor) significantly decreased (P &lt; 0.05) compared to the control samples."
"A single diode laser irradiation of the synovial samples of patients with osteoarthritis can statistically significantly alter the expression of some proteins in vitro. These findings provide some more evidence for biological efficacy of LLLT treatment, used for osteoarthritis."</t>
  </si>
  <si>
    <t>In vivo</t>
  </si>
  <si>
    <t>Healing effects and superoxide dismutase activity of diode/Ga-As lasers in a rabbit model of osteoarthritis.</t>
  </si>
  <si>
    <t>808
904</t>
  </si>
  <si>
    <t>"These results indicate that diode and Ga-As lasers are similarly effective in healing and inducing SOD activity for LLT applications in a rabbit model of OA."</t>
  </si>
  <si>
    <t>Al Rashoud</t>
  </si>
  <si>
    <t>UK
(Dundee)</t>
  </si>
  <si>
    <t>Efficacy of low-level laser therapy applied at acupuncture points in knee osteoarthritis: a randomised double-blind comparative trial.</t>
  </si>
  <si>
    <t>🧑 Human
🎲 Randomized trial, double-blind
👥 49 participants
⌛ 9 sessions -&gt; 6-month follow-up</t>
  </si>
  <si>
    <t>Endolaser 476 device (Enraf Nonius, Rotterdam, The Netherlands)</t>
  </si>
  <si>
    <t>6
(5p)</t>
  </si>
  <si>
    <t>9
/ ?</t>
  </si>
  <si>
    <t>"The results demonstrate that short-term application of LLLT to specific acupuncture points in association with exercise and advice is effective in reducing pain and improving quality of life in patients with knee osteoarthritis."</t>
  </si>
  <si>
    <t>dos Santos</t>
  </si>
  <si>
    <t>Comparative analysis of two low-level laser doses on the expression of inflammatory mediators and on neutrophils and macrophages in acute joint inflammation.</t>
  </si>
  <si>
    <t>Papain-induced joint inflammation
Biphasic dose response</t>
  </si>
  <si>
    <t>1.78
1.78</t>
  </si>
  <si>
    <t>71.4
142.8</t>
  </si>
  <si>
    <t>48
80</t>
  </si>
  <si>
    <t>"Both laser modalities were efficient in reducing cellular inflammation and decreasing the expression of IL-1β and IL-6. However, the 2-J treatment led to more reduction in TNF-α than the 4-J treatment. A single application of LLLT with 2 J was more efficient in modulating inflammatory mediators and inflammatory cells."</t>
  </si>
  <si>
    <t>Arthritis Res Ther</t>
  </si>
  <si>
    <t>Effect of low-level laser therapy on the expression of inflammatory mediators and on neutrophils and macrophages in acute joint inflammation.</t>
  </si>
  <si>
    <t>1.78
3.57</t>
  </si>
  <si>
    <t>142.4</t>
  </si>
  <si>
    <t>80
40</t>
  </si>
  <si>
    <t>"Laser treatment with 50 mW was more efficient than 100 mW in reducing cellular inflammation, and decreased the expression of IL-1β and IL-6. However, the 100 mW treatment led to a higher reduction of TNFα compared with the 50 mW treatment."
Star: In this paper, parameters are nicely reported in a table.</t>
  </si>
  <si>
    <t>Efficacy of low level laser therapy associated with exercises in knee osteoarthritis: a randomized double-blind study.</t>
  </si>
  <si>
    <r>
      <rPr>
        <sz val="7.0"/>
      </rPr>
      <t>🧑 Human
🎲 Randomized trial, double-blind
👥 40 participants
⌛ 3-week treatment -&gt; 8-week exercise
(</t>
    </r>
    <r>
      <rPr>
        <i/>
        <sz val="7.0"/>
      </rPr>
      <t>see Alfredo et al. 2017</t>
    </r>
    <r>
      <rPr>
        <sz val="7.0"/>
      </rPr>
      <t xml:space="preserve"> for follow-up)</t>
    </r>
  </si>
  <si>
    <t>"Our findings suggest that low level laser therapy when associated with exercises is effective in yielding pain relief, function and activity on patients with osteoarthritis of the knees."</t>
  </si>
  <si>
    <t>Gworys</t>
  </si>
  <si>
    <t>Poland
(Łódź)</t>
  </si>
  <si>
    <t>Ortop Traumatol Rehabil</t>
  </si>
  <si>
    <t>Influence of various laser therapy methods on knee joint pain and function in patients with knee osteoarthritis.</t>
  </si>
  <si>
    <t>🧑 Human
🎲 Randomized trial, sham-controlled
👥 125 participants
⌛ 2 weeks</t>
  </si>
  <si>
    <t>810
or
808+
905</t>
  </si>
  <si>
    <t>400
1100</t>
  </si>
  <si>
    <t>0.6349</t>
  </si>
  <si>
    <t>8
/p</t>
  </si>
  <si>
    <t>12.7
6.6
12.4</t>
  </si>
  <si>
    <t>"One-wave laser irradiation at a dose of 8 J per point and two-wave laser irradiation with doses of 12.4 J and 6.6 J per point significantly improved knee joint function and relieved knee pain in patients with osteoarthritis."</t>
  </si>
  <si>
    <t>da Rosa</t>
  </si>
  <si>
    <t>Effects of low-level laser therapy at wavelengths of 660 and 808 nm in experimental model of osteoarthritis</t>
  </si>
  <si>
    <t>3.57
3.57</t>
  </si>
  <si>
    <t>"In conclusion, laser therapy, especially at a wavelength of 808 nm, stimulated angiogenesis and reduced the formation of fibrosis in an experimental model of OA."</t>
  </si>
  <si>
    <t>The effect of low-level laser to apoptosis of chondrocyte and caspases expression, including caspase-8 and caspase-3 in rabbit surgery-induced model of knee osteoarthritis</t>
  </si>
  <si>
    <t>"This study revealed that the 810-nm low-level laser can improve cartilage structure, prevent articular cartilage degradation and significantly decrease the expression of caspase-3 in this surgery-induced OA model."</t>
  </si>
  <si>
    <t>J Orthop Sports Phys Ther</t>
  </si>
  <si>
    <t>Therapeutic effects of short-term monochromatic infrared energy therapy on patients with knee osteoarthritis: a double-blind, randomized, placebo-controlled study.</t>
  </si>
  <si>
    <r>
      <rPr>
        <sz val="7.0"/>
      </rPr>
      <t xml:space="preserve">🧑 Human
🎲 Randomized trial, sham-controlled
👥 73 participants
⌛ 2-week treatment / 4-week study
</t>
    </r>
    <r>
      <rPr>
        <i/>
        <sz val="7.0"/>
      </rPr>
      <t>(duplicate data)</t>
    </r>
  </si>
  <si>
    <t>83.2</t>
  </si>
  <si>
    <t>"Short-term MIRE therapy provided no beneficial effects to body functions, activities, participation, and quality of life in patients with knee OA."
Comment: Because of the biphasic dose response, this dose might have been too high. However, this isn't clear and should be investigated.
Comment: The paper includes the same patient data as the other Hsieh 2012 paper (Arch Phys Med Rehabil).</t>
  </si>
  <si>
    <t>Short-term effects of 890-nanometer radiation on pain, physical activity, and postural stability in patients with knee osteoarthritis: a double-blind, randomized, placebo-controlled study.</t>
  </si>
  <si>
    <t>🧑 Human
🎲 Randomized trial, sham-controlled
👥 73 participants
⌛ 2-week treatment / 4-week study</t>
  </si>
  <si>
    <t>41.6
/knee</t>
  </si>
  <si>
    <t>"Short-term 890-nm radiation therapy for patients with knee OA provided no beneficial effect in improving pain, physical activity, and postural stability."
Comment: Because of the biphasic dose response, this dose might have been too high. However, this isn't clear and should be investigated.</t>
  </si>
  <si>
    <t>Oshima</t>
  </si>
  <si>
    <t>Effect of light-emitting diode (LED) therapy on the development of osteoarthritis (OA) in a rabbit model.</t>
  </si>
  <si>
    <t>630
+
870</t>
  </si>
  <si>
    <t>2
+
2.5</t>
  </si>
  <si>
    <t>44
cm2</t>
  </si>
  <si>
    <t>"There was general preservation of the articular surface and decreased levels of inflammation in the osteoarthritic joints with the application of LED therapy. This may provide potential application as a noninvasive treatment."</t>
  </si>
  <si>
    <t>Stiglić-Rogoznica</t>
  </si>
  <si>
    <t>Coll Antropol</t>
  </si>
  <si>
    <t>Analgesic effect of high intensity laser therapy in knee osteoarthritis.</t>
  </si>
  <si>
    <t>"The results showed statistically significant decrease in VAS after the treatment (p &lt; 0.001)."
Comment: No control group.</t>
  </si>
  <si>
    <t>Hegedus</t>
  </si>
  <si>
    <t>Hungary
(Orosháza-Gyopáros)</t>
  </si>
  <si>
    <t>The effect of low-level laser in knee osteoarthritis: a double-blind, randomized, placebo-controlled trial.</t>
  </si>
  <si>
    <t>🧑 Human
🎲 Randomized trial, double-blind
👥 35 participants, 27 completed
⌛ 4-week treatment -&gt; 2-month follow-up</t>
  </si>
  <si>
    <t>6
/p
(8p?)</t>
  </si>
  <si>
    <t>0.5
mm2
beam
size</t>
  </si>
  <si>
    <t>"In the group treated with active LLLT, a significant improvement was found in pain (before treatment [BT]: 5.75; 2 mo after treatment : 1.18); circumference (BT: 40.45; AT: 39.86); pressure sensitivity (BT: 2.33; AT: 0.77); and flexion (BT: 105.83; AT: 122.94). In the placebo group, changes in joint flexion and pain were not significant. Thermographic measurements showed at least a 0.5 degrees C increase in temperature--and thus an improvement in circulation compared to the initial values. In the placebo group, these changes did not occur."
"Our results show that LLLT reduces pain in KOA and improves microcirculation in the irradiated area."
Comment: Placebo was 0.5 mW (100x weaker than PBM)</t>
  </si>
  <si>
    <t>Bjordal</t>
  </si>
  <si>
    <t>Short-term efficacy of physical interventions in osteoarthritic knee pain. A systematic review and meta-analysis of randomised placebo-controlled trials.</t>
  </si>
  <si>
    <t>"Low level laser therapy (LLLT) offered clinically relevant pain relieving effects of [...] 17.7 mm [95% CI: 8.1 to 27.3] (n = 343) on VAS respectively versus placebo control.
In a subgroup analysis of trials with assumed optimal doses, short-term efficacy increased to [...] 24.2 mm [95% CI: 17.3 to 31.3] for LLLT on VAS."</t>
  </si>
  <si>
    <t>Effects of helium-neon laser on the mucopolysaccharide induction in experimental osteoarthritic cartilage.</t>
  </si>
  <si>
    <t>"The density of mucopolysaccharide rose at the initial stage of induced arthritis, and decreased progressively in later stages. The densities of mucopolysaccharide in treated rats increased upon complete laser treatment more than those of the controls, which is closely related with the improvement in histopathological findings, but conversely with the changes in arthritic severity."</t>
  </si>
  <si>
    <t>Yurtkuran</t>
  </si>
  <si>
    <t>Laser acupuncture in knee osteoarthritis: a double-blind, randomized controlled study.</t>
  </si>
  <si>
    <t>🧑 Human
🎲 Randomized trial, double-blind
👥 52 participants
⌛ 2-week treatment -&gt; 10-week follow-up</t>
  </si>
  <si>
    <t>120 or
1200 (??)</t>
  </si>
  <si>
    <t>"Laser acupuncture was found to be effective only in reducing periarticular swelling when compared with placebo laser."</t>
  </si>
  <si>
    <t>Canada
(Ottawa)</t>
  </si>
  <si>
    <t>Randomized controlled trial on low level laser therapy (LLLT) in the treatment of osteoarthritis (OA) of the hand.</t>
  </si>
  <si>
    <t>🧑 Human
🎲 Randomized trial
👥 88 participants
⌛ 6 weeks</t>
  </si>
  <si>
    <t>1.8
(15p)
(?)</t>
  </si>
  <si>
    <t>"Pain relief, morning stiffness, and functional status did not significantly improve for LLLT versus placebo. No significant differences were found in finger range of motion, except carpometacarpal opposition (P = 0.011), grip strength, and patient global assessment which improved for active LLLT participants (P = 0.041)."
"LLLT is no better than placebo at reducing pain, morning stiffness, or improving functional status for OA-hand patients."
Note: Jan Tunér commented on PubMed Commons:
"The conclusion of this study is questionable since only 0.12 J per finger joint was applied. Energy recommendation of the World Association for Laser Therapy for finger arthritis is 4 J, 1-2 points. The discussion also fails to discuss the great differences in dosage and treatment techniques in the references."
Note: Hode&amp;Tunér also published a comment titled "Wrong parameters can give just any results".</t>
  </si>
  <si>
    <t>Can Cochrane Reviews in controversial areas be biased? A sensitivity analysis based on the protocol of a Systematic Cochrane Review on low-level laser therapy in osteoarthritis.</t>
  </si>
  <si>
    <t>📊 Meta-analysis (and a criticism)</t>
  </si>
  <si>
    <t>"The aim of this study was to test if a conclusion in a systematic review of low-level laser therapy (LLLT) for osteoarthritis from the Cochrane Library was valid and robust."
"Only clinicians who had performed LLLT trials with negative results were invited into the review group. Review quality was sound in areas of literature search and methodological assessments, and some of the limitations were mentioned. The statistical analysis held 18 questionable selections such as omissions of trials, data, and subgroup analyses. These selections systematically favored the negative review conclusion.
Without altering the review protocol, the sensitivity analysis of combined results changed to significantly positive for continuous and categorical data when data from all included trials were combined. Further sensitivity analyses with inclusion of valid non-included trials, performance of missing follow-up, and subgroup analyses revealed consistent and highly significant results in favor of active LLLT."</t>
  </si>
  <si>
    <t>Effects of helium-neon laser on levels of stress protein and arthritic histopathology in experimental osteoarthritis.</t>
  </si>
  <si>
    <t>"Helium-neon (632 nm) low-power laser can enhance SP production in arthritic chondrocytes. The extragenic production of SP is well correlated with the therapeutic effect of low-power laser in preserving chondrocytes and the repair of arthritic cartilage in rats."</t>
  </si>
  <si>
    <t>Effect of low-level laser therapy on osteoarthropathy in rabbit.</t>
  </si>
  <si>
    <t>"These results suggest that LLLT was effective in the treatment of chemically-induced OA."
Note: The authors did not report wavelength or dose.</t>
  </si>
  <si>
    <t>Low power laser treatment in patients with knee osteoarthritis.</t>
  </si>
  <si>
    <t>🧑 Human
🎲 Randomized trial, sham-controlled
👥 60 participants
⌛ 2-week treatment / 6-month study</t>
  </si>
  <si>
    <t>1.5
3
/p</t>
  </si>
  <si>
    <t>"With the chosen laser type and dose regimen the results that we obtained in this study, suggest that low-level laser therapy has no effect on pain in patients with knee OA."
Comment: Full text not available,</t>
  </si>
  <si>
    <t>Gur</t>
  </si>
  <si>
    <t>Turkey
(Diyarbakir)</t>
  </si>
  <si>
    <t>Efficacy of different therapy regimes of low-power laser in painful osteoarthritis of the knee: a double-blind and randomized-controlled trial.</t>
  </si>
  <si>
    <t>🧑 Human
🎲 Randomized trial, double-blind
👥 90 participants
⌛ 2-week treatment -&gt; 12-week follow-up</t>
  </si>
  <si>
    <t>Frank Line IR 30 device</t>
  </si>
  <si>
    <t xml:space="preserve">1
cm2
</t>
  </si>
  <si>
    <t>180
300</t>
  </si>
  <si>
    <t>"Statistically significant improvements were indicated in respect to all parameters such as pain, function, and quality of life (QoL) measures in the post-therapy period compared to pre-therapy in both active laser groups (P &lt; 0.01). Improvements in all parameters of the Group I and in parameters, such as pain and WOMAC of the Group II, were more statistically significant when compared with placebo laser group (P &lt; 0.05)."</t>
  </si>
  <si>
    <t>Osteoarthritis (cervical)</t>
  </si>
  <si>
    <t>Monteforte</t>
  </si>
  <si>
    <t>Low-power laser in osteoarthritis of the cervical spine.</t>
  </si>
  <si>
    <t>🧑 Human
📄 Single-arm trial
👥 14 participants
⌛ (?)</t>
  </si>
  <si>
    <t>"Pain improved after the first application of LPL in 9 out of 14 patients, but the difference was not significant. Pain improvement remained stable between the first assessment and the second assessment, which was performed after 20 days. In comparison with the first application, at the second application the number of patients with improved pain after LPL increased to 12 out of 14 (p &lt; 0.01). An appreciable difference in the thickness of the subcutaneous soft tissue layer overlying the two superior trapezia was demonstrated in all patients at the first examination."
Comment: Full text not available.</t>
  </si>
  <si>
    <t>Ozdemir</t>
  </si>
  <si>
    <t>The clinical efficacy of low-power laser therapy on pain and function in cervical osteoarthritis.</t>
  </si>
  <si>
    <t>🧑 Human
🎲 Randomized trial, sham-controlled
👥 60 participants
⌛ 10 days</t>
  </si>
  <si>
    <t>10.8
(12p)</t>
  </si>
  <si>
    <t>d = 1mm
12 points,
1 cm2 each</t>
  </si>
  <si>
    <t>"Pain, paravertebral muscle spasm, lordosis angle, the range of neck motion and function were observed to improve significantly in the LPL group, but no improvement was found in the placebo group. LPL seems to be successful in relieving pain and improving function in osteoarthritic diseases."</t>
  </si>
  <si>
    <t>Baratto</t>
  </si>
  <si>
    <t>Int J Clin Pharmacol Res</t>
  </si>
  <si>
    <t>A new type of very low-power modulated laser: soft-tissue changes induced in osteoarthritic patients revealed by sonography.</t>
  </si>
  <si>
    <t xml:space="preserve">🧑 Human
</t>
  </si>
  <si>
    <t>Soft tissue</t>
  </si>
  <si>
    <t>"Patients with symptomatic osteoarthritis of the cervical spine were studied by ultrasound examination. The region of interest was the soft connective tissue layer above the right and the left superior trapezium that revealed a significant difference in thickness between the left and right side. The aching side was treated with a new type of very low-power, modulated laser for 3 min. Immediately after application, the sonographic examination revealed a significant symmetrization of the subcutaneous tissue."</t>
  </si>
  <si>
    <t>Marks</t>
  </si>
  <si>
    <t>Clinical efficacy of low power laser therapy in osteoarthritis.</t>
  </si>
  <si>
    <t>"Although the overall number of studies was small, this literature review and analysis highlights the relevant controlled clinical trials and related basic research in English-language publications. This review indicates that, despite their shortcomings, the six studies analysed did report post-treatment improvements in a variety of osteoarthritic problems, including pain, mobility, tenderness and function, with few adverse effects. Possible mechanisms documented for the observed results included peripheral nerve stimulation, resolution of inflammation, enhanced chondrocyte proliferation and increased matrix synthesis."
"Not all studies were affirmative and few detailed how reliable their measurements were. Clearly, much more work is needed in this area."</t>
  </si>
  <si>
    <t>Bülow</t>
  </si>
  <si>
    <t>Scand J Rehabil Med</t>
  </si>
  <si>
    <t>Low power Ga-Al-As laser treatment of painful osteoarthritis of the knee. A double-blind placebo-controlled study.</t>
  </si>
  <si>
    <t>🧑 Human
🎲 Randomized trial, double-blind
👥 29 participants
⌛ 9-week study / PBM during weeks 4-6</t>
  </si>
  <si>
    <t>0.28
cm2
irradiation
area</t>
  </si>
  <si>
    <t>"No significant differences in any of the effect variables were found between the two groups before, during or after treatment. With regard to the patients' overall assessment there was a clearly demonstrable positive effect of treatment in both groups. This is likely to be due to a placebo effect."
Comment: In the Laser Phototherapy book by Tunér&amp;Hode, it is mentioned that "[a]lthough reported as negative, a closer analysis of the data submitted reveals a significant short-term effect, which is masked in the text. When these masked facts are revealed, this study presents a significant but short-term effect of [laser phototherapy] for these parameters".
Comment 2: Looking at the full text, the active group pain scores (avg. daily) change 82 -&gt; 61 -&gt; 66 while in placebo group the pain scores change 71 -&gt; 69 -&gt; 61 (pre vs treatment vs post periods).</t>
  </si>
  <si>
    <t>Stelian</t>
  </si>
  <si>
    <t>Israel
(Beer Yaakov)</t>
  </si>
  <si>
    <t>J Am Geriatr Soc</t>
  </si>
  <si>
    <t>Improvement of pain and disability in elderly patients with degenerative osteoarthritis of the knee treated with narrow-band light therapy.</t>
  </si>
  <si>
    <t>🧑 Human
🎲 Randomized trial, sham-controlled
👥 50 participants
⌛ 2-week treatment -&gt; follow-up until retreatment needed (4-6 months on average)</t>
  </si>
  <si>
    <t>Irradiation pattern: 7.5min continuous -&gt; 7.5min pulsed</t>
  </si>
  <si>
    <t>18 -&gt; 7.5
25 -&gt; 2.7</t>
  </si>
  <si>
    <t>10.3
11.3</t>
  </si>
  <si>
    <t>5.1
5.6</t>
  </si>
  <si>
    <t>2
cm2
illumin.
area</t>
  </si>
  <si>
    <t>20
/ 10 days</t>
  </si>
  <si>
    <t>"Low-power light therapy is effective in relieving pain and disability in degenerative osteoarthritis of the knee."</t>
  </si>
  <si>
    <t>Infrared diode laser in low reactive-level laser therapy (lllt) for knee osteoarthrosis</t>
  </si>
  <si>
    <t>🧑 Human
📄 Single-arm trial
👥 40 participants
⌛ 8-week treatment --&gt; 4-month follow-up</t>
  </si>
  <si>
    <t>~3</t>
  </si>
  <si>
    <t>2 mm2
spot
size</t>
  </si>
  <si>
    <t>8*
/ 4 weeks</t>
  </si>
  <si>
    <t>"Thirty-three patients (82%) reported significant removal of pain and recovery of articular joint mobility. The remaining seven patients felt there was no significant effect following LLLT, and returned to their original pretherapy medication. The side effects were minimal, LLLT is concluded to be a safe, effective and noninvasive alternative to conventional surgical and medical treatment modalities for DJD patients."
Comment: According to abstract, there were 16 sessions (2/week for 8 weeks), but according to full text, there were only 8 sessions.</t>
  </si>
  <si>
    <t>Basford</t>
  </si>
  <si>
    <t>Low-energy helium neon laser treatment of thumb osteoarthritis.</t>
  </si>
  <si>
    <t>🧑 Human
🎲 Randomized trial
👥 81 participants
⌛ 3 weeks</t>
  </si>
  <si>
    <t>~180
(?)</t>
  </si>
  <si>
    <t>"We conclude that HeNe laser irradiation at 0.9 mw is safe, but that it is not an effective treatment of osteoarthritis of the thumb."
Comment: Full text not available.</t>
  </si>
  <si>
    <t>Yanik</t>
  </si>
  <si>
    <t>Turkey
(Kahramanmaras)</t>
  </si>
  <si>
    <t>Br J Oral Maxillofac Surg</t>
  </si>
  <si>
    <t>Effects of arthrocentesis and low-level laser therapy on patients with osteoarthritis of the temporomandibular joint</t>
  </si>
  <si>
    <t>🧑 Human
📄 Retrospective study
👥 36 participants
⌛ 10-day treatment (??) --&gt; 6-month follow-up</t>
  </si>
  <si>
    <t>Osteoarthritis of TMJ
Arthrocentesis with or without PBM</t>
  </si>
  <si>
    <t>d = 0.4 mm</t>
  </si>
  <si>
    <t>840
(?)</t>
  </si>
  <si>
    <t>"In conclusion, although both techniques improved joint pain and function, a combination with LLLT seemed to have an additional benefit for myofascial components."</t>
  </si>
  <si>
    <t>Osteoarticular pain</t>
  </si>
  <si>
    <t>The analgesic effect of 904 nm gallium arsenide semiconductor low level laser therapy (LLLT) on osteoarticular pain: a report on 938 irradiated patients</t>
  </si>
  <si>
    <t>🧑 Human
🎲 Randomized trial, sham-controlled
👥 938 subjects
⌛ 4-year patient experience</t>
  </si>
  <si>
    <t>6
(acute
pain)
8-10
(chronic
pain)</t>
  </si>
  <si>
    <t>"The GaAs laser equipment used has a wavelength of 904 nm. The laser is pulsed, pulse width of 200 nsec, pulse frequency 10,000 Hz, a peak power of 20 W and an average power of 40 mW. The patients were treated five times a week on several points with doses of 6-10 J/cm2 on each point in the painful area or areas. The efficacy of the laser treatment at the end of 10 sessions was evaluated using a colour scale with a four grade estimation: excellent, good, little or no effect and poor. Laser efficacy was arrived at by combining the excellent and good responses."
"The overall effectiveness was 74.73%, but considering acute pain it was elevated to 88.20%, and in chronic pain it was 69.27%. "
"In some specific locations such as acute cervical pain, acute lumbar pain and tenosynovitis the major statistical effectiveness was achieved (100%, 88.46% and 84%, respectively). In chronic knee and hip pain the response was poor (38.23% and 35.71%, respectively)."
"These results suggest that GaAs laser therapy at the parameters as reported is an effective, easy to apply and side effect free treatment for osteoarticular pain. From the reported data, the efficacy of 904 nm GaAs LLLT is greater in acute pain therapy compared with chronic pain types, and some anatomical areas tend to respond better to GaAs diode LLLT than others."</t>
  </si>
  <si>
    <t>The use of LED therapy to treat synovial joints disorders: scoping review</t>
  </si>
  <si>
    <t>"After carrying out the definitive search and selection, 47 publications were included: 15 clinical trials, 8 clinical protocols, 12 animal studies, 4 in vitro studies and 8 reviews on the topic. Studies have shown great variability from the device and number of diodes used, to the parameters and dosimetry chosen. Some positive effects were observed: on cell proliferation (in vitro); on anti-inflammatory biomarkers (murine models) and on pain scale (clinical trials - TMD). Although, the cause of non-significant results in clinical trials was rarely discussed: depth of penetration, dosimetry, follow-up time? Thus, future studies should focus on answering more elementary aspects about the LED effect when used alone in different synovial joints."</t>
  </si>
  <si>
    <t>Gendron &amp; Hamblin</t>
  </si>
  <si>
    <t>Applications of Photobiomodulation Therapy to Musculoskeletal Disorders and Osteoarthritis with Particular Relevance to Canada.</t>
  </si>
  <si>
    <t>"We show that the field of PBM to treat [musculoskeletal disorders caused by osteoarthritis] is expanding exponentially over the past 20 years. A trend has emerged over time for more power to achieve better effective treatments, and the understanding of the physiological effect of safe parameters has improved. There is, however, no consensus on the best set of parameters to treat a specific patient indication."</t>
  </si>
  <si>
    <t>Rheumatoid arthritis</t>
  </si>
  <si>
    <t>Du</t>
  </si>
  <si>
    <t>BMP4 up-regulated by 630 nm LED irradiation is associated with the amelioration of rheumatoid arthritis</t>
  </si>
  <si>
    <t>"CCK-8 assay results showed that 630 nm LED irradiation did not affect the cell viability. The qPCR and ELISA results showed that TNF-α stimulation inhibited BMP4 mRNA and protein level and irradiation of 630 nm LED increased the BMP4 mRNA and protein level in MH7A cells. 
In CIA and transgenic hTNF-α mice models, H&amp;E staining showed that irradiation of 630 nm LED decreased the histological scores assessed from inflammation and bone erosion, while BMP4 expression level was up-regulated after 630 nm LED irradiation. 
Pearson correlation analysis shown that BMP4 protein expression was negatively correlated with the histological score of CIA mice and transgenic hTNF-α mice."</t>
  </si>
  <si>
    <t>LED irradiation at 630 nm alleviates collagen-induced arthritis in mice by inhibition of NF-κB-mediated MMPs production</t>
  </si>
  <si>
    <t>"Arthritis clinic scores, histology analysis and micro-CT results show that 630 nm LED irradiation ameliorates collagen-induced arthritis (CIA) in mice with the reduction of the extents of paw swelling, inflammation and bone damage. 
630 nm LED irradiation significantly reduces MMP-3 and MMP-9 levels and inhibits p65 phosphorylation level in the paws of CIA mice. 
Moreover, 630 nm LED irradiation significantly inhibits the mRNA and protein levels of MMP-3 and MMP-9 in TNF-α-treated MH7A cells, a human synovial cell line. 
Importantly, 630 nm LED irradiation reduces TNF-α-induced the phosphorylated level of p65 but not alters STAT1, STAT3, Erk1/2, JNK and p38 phosphorylation levels. 
Immunofluorescence result showed that 630 nm LED irradiation blocks p65 nuclear translocation in MH7A cells. In addition, other MMPs mRNA regulated by NF-κB were also significantly inhibited by LED irradiation in vivo and in vitro."</t>
  </si>
  <si>
    <t>Lourinho</t>
  </si>
  <si>
    <t>Brazil
(Macapá)</t>
  </si>
  <si>
    <t>Effects of low-level laser therapy in adults with rheumatoid arthritis: A systematic review and meta-analysis of controlled trials</t>
  </si>
  <si>
    <t>"Currently available evidence was from 18 RCTs, with a total of 793 participants. 
We found low-quality evidence suggesting there may be no difference between using infrared laser and sham in terms of pain, morning stiffness, grip strength, functional capacity, inflammation, ROM, disease activity and adverse events. 
The evidence is very uncertain about the effects of red laser compared to sham in pain, morning stiffness. 
The evidence is also very uncertain about the effects of laser acupuncture compared to placebo in functional capacity, quality of life, range of motion and inflammation. 
Conclusions: Thus, infrared laser may not be superior to sham in RA patients. There is insufficient information to support or refute the effectiveness of red laser, laser acupuncture and reflexology for treating patients with RA."
Comment: Seems to include some old papers not listed in PubMed.</t>
  </si>
  <si>
    <t>Photobiomodulation ameliorates inflammatory parameters in fibroblast-like synoviocytes and experimental animal models of rheumatoid arthritis</t>
  </si>
  <si>
    <t>Systemic effects (serum cytokines)
PBM vs methotrexate vs both</t>
  </si>
  <si>
    <t>daily for 2 weeks</t>
  </si>
  <si>
    <t>"PBM significantly reduced tumor necrosis factor (TNF)-α-induced increase in proliferation, migration, and invasion in RA-FLSs, and downregulated the activation of nuclear factor-κappa B (NF-κB) and NLRP3 inflammasome by TNF-α. 
Moreover, PBM greatly inhibited the induction and development of CIA, resulting in the inhibition of synovial inflammation and cartilage degradation. PBM therapy decreased the serum levels of pro-inflammatory cytokines, while increasing the anti-inflammatory cytokines."</t>
  </si>
  <si>
    <t>"These results indicates that 630 nm LED irradiation reduces the MMPs levels to ameliorate the development of RA by inhibiting the phosphorylation of p65 selectively, suggesting that 630 nm LED irradiation may be a beneficial adjunct therapy for RA."</t>
  </si>
  <si>
    <t>Low-Level Laser Therapy for Rheumatoid Arthritis: A Review of Experimental Approaches</t>
  </si>
  <si>
    <t>"A literature survey led to a discussion about the immunology of the RA, laser therapy, mechanism of LLLT action, and anti-inflammatory and immunomodulatory properties of LLLT."</t>
  </si>
  <si>
    <t>J Manipulative Physiol Ther</t>
  </si>
  <si>
    <t>Physical Exercise and Low-Level Laser Therapy Systemic Effects on the Ankle Joint in an Experimental Rheumatoid Arthritis Model</t>
  </si>
  <si>
    <t>"Low-level laser therapy and exercise restored functionality, and exercise restored morphological aspects of tissues in experimentally induced RA in rats."</t>
  </si>
  <si>
    <t>Photobiomodulation (λ=808nm) and Platelet-Rich Plasma (PRP) for the Treatment of Acute Rheumatoid Arthritis in Wistar Rats</t>
  </si>
  <si>
    <t>"PBM associated with PRP is better for anti-inflammatory and joint preservation by morphological aspects and NO levels that concern a potential clinical application."</t>
  </si>
  <si>
    <t>Physical exercise and low-level laser therapy on the nociception and leukocyte migration of Wistar rats submitted to a model of rheumatoid arthritis.</t>
  </si>
  <si>
    <t>0.012
(4p)
(actually
1.2 ?)</t>
  </si>
  <si>
    <t>0.06
cm2
spot
area</t>
  </si>
  <si>
    <t>"LLLT, resistance exercise, or a combination of treatments had a positive effect on the modulation of the inflammatory process, reducing the migration of leukocytes, in addition to helping the return of peripheral functionality by reducing joint disability in a model of rheumatoid arthritis induced by CFA in rats."
Comment: The authors claim they gave 0.003 J per point, but if the output power is 30 mW as they claimed, and the irradiation time was 10 seconds per point, then the energy per point should be 0.3 J, not 0.003 J. 
Comment: The authors claim good results, but the paper is hard to read and based on a glance, it seems to me that the effects of lesion+laser group compared to lesion group are not remarkably better, so I suppose the observed benefits were modest at most.</t>
  </si>
  <si>
    <t>El-Shamy</t>
  </si>
  <si>
    <t>Long-Term Effect of Pulsed Nd:YAG Laser in the Treatment of Children with Juvenile Rheumatoid Arthritis: A Randomized Controlled Trial.</t>
  </si>
  <si>
    <t>🧑 Human
🎲 Randomized trial, sham-controlled
👥 30 participants
⌛ 4-week treatment / 12-week study</t>
  </si>
  <si>
    <t>750
/knee</t>
  </si>
  <si>
    <t>60
cm2
scan
area</t>
  </si>
  <si>
    <t>~480</t>
  </si>
  <si>
    <t>"The VAS results significantly decreased post-treatment in the laser group relative to the placebo group and were still improved at the 12-week follow-up. Gait parameters significantly increased in the laser group after 4 weeks of treatment and after 12 weeks compared to the placebo group."
"HILT, when combined with an exercise program, appears to be more effective in children with JRA than a placebo laser procedure with exercises."
Comment: If the average power is 10.5W and treatment time is 8 minutes (480 seconds), the total energy should be 5040 J, but the authors claim it is 1500 J. Therefore, there seems to be something wrong with the parameter reporting. The results are really good, so the authors should focus on writing the paper in the highest possible quality.</t>
  </si>
  <si>
    <t>Device: "The children in the experimental group received active HILT conveyed by a HIRO 3 device (ASA, Arcugnano, Vicenza, Italy). A pulsed Nd:YAG laser gives a wavelength (1064 nm), a high peak power (3000W), an average power (10.5W), fluency range (510–1780 mJ/cm2 ), a pulse duration less than 120 ls, a frequency range (10–30 Hz), a duty cycle of about 0.1%, a probe diameter of 0.5 cm, and a beam area of 0.2 cm2"</t>
  </si>
  <si>
    <t>Photobiomodulation therapy associated with treadmill training in the oxidative stress in a collagen-induced arthritis model.</t>
  </si>
  <si>
    <t>Collagen-induced RA</t>
  </si>
  <si>
    <t>4
8
(2p)</t>
  </si>
  <si>
    <t>80
160
(2p)</t>
  </si>
  <si>
    <t>"With respect to results, we obtained the decreases in the lipid peroxidation and the increases of the antioxidant activities of SOD, GPX and CAT, with physical exercise associated to PBMT in doses of 2 and 4 J. In conclusion, physical exercise associated with PBMT decreases lipid peroxidation and increases antioxidant activity."</t>
  </si>
  <si>
    <t>Imaoka</t>
  </si>
  <si>
    <t>Reduction of IL-20 Expression in Rheumatoid Arthritis by Linear Polarized Infrared Light Irradiation.</t>
  </si>
  <si>
    <t>"Since IL-20 has been identified as an important cytokine in the pathogenesis of RA, the reduction of IL-20 expression by SL irradiation may be one of mechanisms in reduction of inflammation in RA joints by SL irradiation suggesting that SL irradiation may be useful for RA therapy."</t>
  </si>
  <si>
    <t>Kuboyama</t>
  </si>
  <si>
    <t>Anti-inflammatory activities of light emitting diode irradiation on collagen-induced arthritis in mice (a secondary publication).</t>
  </si>
  <si>
    <t>Collagen-induced RA
LED phototherapy
Green light 🟢
Wavelength comparison</t>
  </si>
  <si>
    <t>570
940</t>
  </si>
  <si>
    <t>500
500</t>
  </si>
  <si>
    <t>24
24</t>
  </si>
  <si>
    <t>"In the LED-570 and LED-940 groups at 4 weeks after arthritis induction, the swelling inhibition index was 18.1±4.9 and 29.3±4.0 respectively. Interleukin (IL)-1β, IL-6 and MMP-3 serum levels were significantly lower in the LED-940 group."
"LED irradiation, particularly in the near-infrared was effective for inhibition of the inflammatory reactions caused by RA."</t>
  </si>
  <si>
    <t>Low-level laser therapy in different stages of rheumatoid arthritis: a histological study.</t>
  </si>
  <si>
    <t>0.10</t>
  </si>
  <si>
    <t>1.65
/p</t>
  </si>
  <si>
    <t>0.214
cm2</t>
  </si>
  <si>
    <t>7
14</t>
  </si>
  <si>
    <t>"We observed that LLLT both at early and late RA progression stages significantly improved mononuclear inflammatory cells, exudate protein, medullary hemorrhage, hyperemia, necrosis, distribution of fibrocartilage, and chondroblasts and osteoblasts compared to RA group (p &lt; 0.05). We can conclude that LLLT is able to modulate inflammatory response both in early as well as in late progression stages of RA."</t>
  </si>
  <si>
    <t>Kuboyama &amp; Abiko</t>
  </si>
  <si>
    <t>Reduction of monocyte chemoattractant protein-1 expression in rheumatoid arthritis rat joints with light-emitting diode phototherapy.</t>
  </si>
  <si>
    <t>Collagen-induced RA
LED phototherapy</t>
  </si>
  <si>
    <t>"RT-PCR analysis demonstrated that MCP-1 mRNA levels had increased in CIA animals when compared to controls, and LED irradiation significant reduced the gene expression in CIA rats. Real-time PCR analysis confirmed a significant reduction in MCP-1 gene expression. The immunohistochemical analysis demonstrated strong MCP-1 staining in CIA rat joint synovial membrane tissue, and LED irradiation significantly reduced the staining."
"LED irradiation reduced RA-related inflammation through the reduction of MCP-1 gene expression in CIA rat knee joint synovial tissue."</t>
  </si>
  <si>
    <t>Bálint</t>
  </si>
  <si>
    <t>Ex vivo soft-laser treatment inhibits the synovial expression of vimentin and α-enolase, potential autoantigens in rheumatoid arthritis</t>
  </si>
  <si>
    <t>64-80</t>
  </si>
  <si>
    <t>"In the present study, changes in protein expression in 5 synovial membrane samples from participants with RA were studied after ex vivo LLLT irradiation."
"Laser irradiation (with physical parameters similar to those used previously) resulted in decreases in both α-enolase and vimentin expression in the synovial membrane in RA. Both proteins have been considered to be important autoantigens that are readily citrullinated and drive autoimmunity in RA."</t>
  </si>
  <si>
    <t>Reduction of CXCR4 expression in Rheumatoid Arthritis Rat Joints by low level diode laser irradiation.</t>
  </si>
  <si>
    <t>"CIA significantly increased swelling in the rat hind-paw and LLLI reduced the CIA-induced swelling."
"Decreased CXCR4 expression may be one of the mechanisms in LLLI-mediated reduction of RA inflammation."</t>
  </si>
  <si>
    <t>Araki</t>
  </si>
  <si>
    <t>Reduction of interleukin-6 expression in human synoviocytes and rheumatoid arthritis rat joints by linear polarized near infrared light (Superlizer) irradiation.</t>
  </si>
  <si>
    <t>Collagen-induced RA
Polychromatic light 🌈</t>
  </si>
  <si>
    <t>"SL irradiation reduced IL-6 gene expression in MH7A, and reduced inflammation and IL-6 protein expression in knee joint of CIA rats."</t>
  </si>
  <si>
    <t>Low-level laser irradiation treatment reduces CCL2 expression in rat rheumatoid synovia via a chemokine signaling pathway.</t>
  </si>
  <si>
    <t>"These findings suggest that decreased CCL2 expression may be one of the mechanisms involved in LLLI-mediated RA inflammation reduction."</t>
  </si>
  <si>
    <t>Meireles</t>
  </si>
  <si>
    <t>Assessment of the effectiveness of low-level laser therapy on the hands of patients with rheumatoid arthritis: a randomized double-blind controlled trial.</t>
  </si>
  <si>
    <t>🧑 Human
🎲 Randomized trial, double-blind
👥 82 participants
⌛ 2 months</t>
  </si>
  <si>
    <t>Hand arthritis</t>
  </si>
  <si>
    <t>3
(14p
per
hand)</t>
  </si>
  <si>
    <t>0.06
cm2
spot
size</t>
  </si>
  <si>
    <t>16
/ 2 months</t>
  </si>
  <si>
    <t>"We conclude that low-level aluminum gallium arsenide laser therapy is not effective at the wavelength, dosage, and power studied for the treatment of hands among patients with rheumatoid arthritis."
Note: Jan Tunér and Lars Hode published a comment that noted the authors seemed to use a total dose of 4.68J, which would be lower than the WALT recommendation of ~28 joules. 
The authors of the original paper noted that the total dose was about 8 joules, and mentioned that there are studies in which a lower dose has been beneficial and other studies where higher dose has not been beneficial for hand arthritis.</t>
  </si>
  <si>
    <t>Yamaura</t>
  </si>
  <si>
    <t>Low level light effects on inflammatory cytokine production by rheumatoid arthritis synoviocytes.</t>
  </si>
  <si>
    <t>(human synoviocytes)</t>
  </si>
  <si>
    <t>"Radiation at 810 nm (5 J/cm(2)) given before or after TNF-alpha decreases the mRNA level of TNF-alpha and IL-1beta in RA synoviocytes.
This treatment using 25 J/cm(2) also decreases the intracellular levels of TNF-alpha, IL-1beta, and IL-8 protein but did not affect the levels of seven other cytokines/chemokines.
TNF-alpha-induced activation of NF-kappaB is not altered by 810 nm radiation using 25 J/cm(2)."</t>
  </si>
  <si>
    <t>Ailioaie &amp; Lupusoru-Ailioaie</t>
  </si>
  <si>
    <t>Romania
(Iassy)</t>
  </si>
  <si>
    <t>Beneficial effects of laser therapy in the early stages of rheumatoid arthritis onset</t>
  </si>
  <si>
    <t>🧑 Human
⚔  Comparison study, sham-controlled
👥 59 participants
⌛ 4 months</t>
  </si>
  <si>
    <t>⚔ PBM vs diclofenac</t>
  </si>
  <si>
    <t>2-4</t>
  </si>
  <si>
    <t>32
/ 4 months</t>
  </si>
  <si>
    <t>"The overall efficacy rate in these studies was 86% in the [laser] group, 50% in [placebo] group and 40% in the NSAIDs-treated third group. After four months of treatment, our investigations showed that 830 nm infrared laser therapy promoted the restoration of function, relieved pain and limited the complications of RA."</t>
  </si>
  <si>
    <t>Madrid</t>
  </si>
  <si>
    <t>Argentina</t>
  </si>
  <si>
    <t>Scand J Rheumatol</t>
  </si>
  <si>
    <t>Cortical photostimulation with filtered visible light as a treatment for rheumatoid arthritis</t>
  </si>
  <si>
    <t>🧑 Human
📄 Single-arm trial
👥 7 participants
⌛ 6 weeks</t>
  </si>
  <si>
    <t>Comment: Treatment-related parameters not reported.</t>
  </si>
  <si>
    <t>Goats</t>
  </si>
  <si>
    <t>UK
(Norwich)</t>
  </si>
  <si>
    <t>Low Intensity Laser and Phototherapy for Rheumatoid Arthritis</t>
  </si>
  <si>
    <t>🧑 Human
🎲 Randomized trial, double-blind
👥 35 participants
⌛ 4-week treatment -&gt; 6-month follow-up</t>
  </si>
  <si>
    <t>660-
950
6 wavelengths</t>
  </si>
  <si>
    <t>8.1</t>
  </si>
  <si>
    <t>28
cm2
device
area
0.125 cm2
per diode
(45 diodes)</t>
  </si>
  <si>
    <t>"There were no significant differences observed between the active or placebo cohorts although range of movement at the knee improved slightly in the active treatment group. Combined low intensity laser and phototherapy, used under these conditions, does not appear useful for altering the course of rheumatoid arthritis."</t>
  </si>
  <si>
    <t>Hall</t>
  </si>
  <si>
    <t>Br J Rheumatol</t>
  </si>
  <si>
    <t>Low level laser therapy is ineffective in the management of rheumatoid arthritic finger joints.</t>
  </si>
  <si>
    <t>🧑 Human
🎲 Randomized trial
👥 40 participants
⌛ 4-week treatment -&gt; 3-month follow-up</t>
  </si>
  <si>
    <t>Hand arthritis
Single probe vs cluster probe</t>
  </si>
  <si>
    <t>820
880&amp;
870&amp;
950&amp;
820</t>
  </si>
  <si>
    <t>40
60
total</t>
  </si>
  <si>
    <t xml:space="preserve">0.4
</t>
  </si>
  <si>
    <t>3.6
/joint</t>
  </si>
  <si>
    <t>36
4.5-
27</t>
  </si>
  <si>
    <t>0.1
cm2
0.1
cm2
*
31</t>
  </si>
  <si>
    <t>90
/joint
180
/hand</t>
  </si>
  <si>
    <t>"Using these irradiation parameters the efficacy of LLLT is ineffective."
Star: Parameters were well reported.</t>
  </si>
  <si>
    <t>Amano</t>
  </si>
  <si>
    <t>Japan
(Kanagawa)</t>
  </si>
  <si>
    <t>Histological studies on the rheumatoid synovial membrane irradiated with a low energy laser.</t>
  </si>
  <si>
    <t>🧑 Human
📄 Single-arm trial
👥 14 participants
⌛ 6 days</t>
  </si>
  <si>
    <t>2 mm x
2 mm
laser tip</t>
  </si>
  <si>
    <t>6
/ 6 days</t>
  </si>
  <si>
    <t>"The histological findings of the irradiated synovial membrane showed flattening of epithelial cells, decreased villous proliferation, narrowed vascular lumen, and less infiltration of inflammatory cells compared with those of nonirradiated synovia. The evaluation of slides was done in a blinded manner, and significant differences was seen by Wilcoxon's t-test (P &lt; 0.01). Histological findings suggested that the low energy laser irradiation induced suppression of inflammation in the synovial membrane of RA."</t>
  </si>
  <si>
    <t>Johannsen</t>
  </si>
  <si>
    <t>Low energy laser therapy in rheumatoid arthritis.</t>
  </si>
  <si>
    <t>🧑 Human
🎲 Randomized trial, double-blind
👥 22 participants
⌛ 1 month</t>
  </si>
  <si>
    <t>23.2
(8p)</t>
  </si>
  <si>
    <t>0.07
cm2
spot
size</t>
  </si>
  <si>
    <t>9-12
/ 1 month</t>
  </si>
  <si>
    <t>"A significant effect on pain score was found due to LEL treatment, but when data were corrected for disease variation the effect disappeared. No effect of LEL could be demonstrated on the other assessed variables: grip strength, morning stiffness, flexibility, erythrocyte sedimentation rate (ESR), C-reactive protein (CRP). In conclusion, we did not find that LEL had any clinically relevant effects on RA."
Comment: The authors noted that they originally used a 30mW device that actually had only 3mW output, so they had to switch to another device with 21mW output.</t>
  </si>
  <si>
    <t>Heussler</t>
  </si>
  <si>
    <t>Ann Rheum Dis</t>
  </si>
  <si>
    <t>A double blind randomised trial of low power laser treatment in rheumatoid arthritis.</t>
  </si>
  <si>
    <t>🧑 Human
🎲 Randomized trial, double-blind
Self-controlled
👥 25 participants
⌛ 4-week treatment / 5-week study</t>
  </si>
  <si>
    <t>12
(on
three
joints
of thumb)</t>
  </si>
  <si>
    <t>30
(or
90?)</t>
  </si>
  <si>
    <t>"A total of 72% of patients reported pain relief but this reduction was reported equally in both hands. No significant changes were seen in other clinical, functional, scintigraphic, or laboratory features. Neither patients nor staff were able to detect which hand was treated with the active laser."
"When this specific laser and dose regimen was used, low power laser treatment had no objective effect on patients with rheumatoid arthritis. It did appear to produce analgesia through a powerful placebo effect."
Comment: The self-controlled trial setup might underestimate the true effect because of possible systemic effects of PBM.</t>
  </si>
  <si>
    <t>Asada</t>
  </si>
  <si>
    <t>Clinical application of GaAlAs 830 nm diode laser in treatment of rheumatoid arthritis</t>
  </si>
  <si>
    <t>🧑 Human
📄 Retrospective study
👥 170 participants, 411 joints
⌛ patients from 1988-1990</t>
  </si>
  <si>
    <t>15
per
painful
point</t>
  </si>
  <si>
    <t>"From July 1988 to June 1990, 170 patients with a total of 411 affected joints were treated using a GaAlAs diode laser system (830 nm, 60 mW C/W). Patients mean age was 61 years, with a ratio of males : females of 1:5.25 (16%:84%). 
Effectiveness was graded under three categories: excellent (remarkable improvement), good (clearly apparent improvement), and unchanged (little or no improvement), For pain attenuation, scores were: excellent-59.6% ; good-30,4% ; unchanged-10% , For ROM improvement the scores were: excellent-12.6% ; good-43.7% ; unchanged-43.7%. This gave a total effective rating for pain attenuation of 90%, and for ROM improvement of 56.3%."</t>
  </si>
  <si>
    <t>Palmgren</t>
  </si>
  <si>
    <t>Low-power laser therapy in rheumatoid arthritis</t>
  </si>
  <si>
    <t>3.58</t>
  </si>
  <si>
    <t>"In the laser group the grip strength and finger flexibility improved, the swelling of the joints declined, the morning stiffness and pain decreased. The sedimentation rate and the number of leukocytes showed a fall with a significant trend. In the placebo group there were no changes in these parameters except for the registration of pain, where a significant, less than with the laser, effect was observed. 
Thus, low-power laser therapy, at the chosen wavelength and energy dose, appears to be effective against the classical complaints from rheumatoid arthritis."</t>
  </si>
  <si>
    <t>Oyamada</t>
  </si>
  <si>
    <t>Japan
(Hanamaki)</t>
  </si>
  <si>
    <t>BOOK: LASER Optoelectronics in Medicine</t>
  </si>
  <si>
    <t>A Double Blind Study of Low Power He-Ne Laser Therapy in Rheumatoid Arthritis</t>
  </si>
  <si>
    <t>🧑 Human
📄 Non-randomized study, double-blind
👥 92 participants
⌛ 10 weeks</t>
  </si>
  <si>
    <t>0.2
mm
spot
size
(diameter??)</t>
  </si>
  <si>
    <t>"The general assessment by the doctors showed significant clinical difference (P&lt;0.01) in the intergroup comparison. In the assessment of the patients’ personal impression, significant improvement was recorded too (P&lt;0.01)."</t>
  </si>
  <si>
    <t>Bliddal</t>
  </si>
  <si>
    <t>Denmark
(Glostrup)</t>
  </si>
  <si>
    <t>Soft-laser therapy of rheumatoid arthritis.</t>
  </si>
  <si>
    <t>🧑 Human
🎲 Randomized trial, double-blind, self-controlled
👥 17 participants
⌛ 3-week treatment -&gt; 4-week follow-up</t>
  </si>
  <si>
    <t>0.5
cm2
irradiat.
area
(estimate)</t>
  </si>
  <si>
    <t>"The laser therapy gave some pain relief, but no difference in morning stiffness or joint performance was obtained. It is concluded that the laser therapy is of limited value in rheumatoid arthritis."
Comment: The sham irradiation was given to the other hand of the same person.
Comment: The sham irradiation was given by a red 10W bulb. This might also have a beneficial effect.</t>
  </si>
  <si>
    <t>Goldman</t>
  </si>
  <si>
    <t>Laser therapy of rheumatoid arthritis.</t>
  </si>
  <si>
    <t>🧑 Human
📄 Self-controlled study
👥 30 participants
⌛ 10-week treatment --&gt; 3-month follow-up</t>
  </si>
  <si>
    <t>Q-switch neodymium laser</t>
  </si>
  <si>
    <t>30 nsec</t>
  </si>
  <si>
    <t>"Twenty-one patients noted improvement of both their MCP and PIP joints of both hands during laser therapy. Twenty-seven noted improvement of their PIP joints and 26 noted improvement of the MCP joints during therapy. 
Heat, erythema, pain, swelling, and tenderness all improved with time in both hands, but the lased hand had more significant improvement in erythema and pain. There was also significant improvement in grasp and tip pressure on the lased side. The level of circulating immune complexes as measured by platelet aggregation decreased during lasing.
The improvement may be related to laser exposure. The exact role that laser radiation has upon rheumatoid arthritis and its mechanism of action remain to be elucidated."
Comment: According to the paper it seems the light intensity was very high and the whole 15 J/cm2 dose was given during 30 nanoseconds (??).
Comment: Treatment parameters were poorly reported.</t>
  </si>
  <si>
    <t>Timofeyev</t>
  </si>
  <si>
    <t>Pathophysiology</t>
  </si>
  <si>
    <t>Laser irradiation as a potential pathogenetic method for immunocorrection in rheumatoid arthritis</t>
  </si>
  <si>
    <t>🧑 Human
📄 Single-arm (3 subgroups)
👥 75 participants
⌛ 3-5 weeks</t>
  </si>
  <si>
    <t>Intravascular PBM (ILIB)</t>
  </si>
  <si>
    <t>3-5
/ 3-5 weeks</t>
  </si>
  <si>
    <t>"A well-defined effect was found in patients with a low level of CIC and a normal count of functional-competent T-cells. ILIB provided some symptomatic but unstable relief in patients with a high level of CIC and a high functional activity of T-lymphocytes.
There was no effect in patients with a high level of CIC and decreased number of lymphocytes."</t>
  </si>
  <si>
    <t>Scleroderma</t>
  </si>
  <si>
    <t>Canada
(Quebec)</t>
  </si>
  <si>
    <t>Pulsed versus continuous wave low-level light therapy on osteoarticular signs and symptoms in limited scleroderma (CREST syndrome): a case report.</t>
  </si>
  <si>
    <t>🧑 Human
📄 Case report
⌛ 13 weeks</t>
  </si>
  <si>
    <t>81</t>
  </si>
  <si>
    <t>200
cm2
treatment
area</t>
  </si>
  <si>
    <t>1800
(pulsed)
900
(CW)</t>
  </si>
  <si>
    <t>2-3/wk
for
13 weeks</t>
  </si>
  <si>
    <t>"The patient was treated two to three times a week for 13 weeks using a sequential pulsing mode on one elbow and a CW mode on the other. Efficacy assessments included inflammation, symptoms, pain, health scales, patient satisfaction, clinical global impression, and adverse effects monitoring. Considerable functional and morphologic improvements were observed after LLLT, with the best results seen with the pulsing mode. No adverse effects were noted. Pulsed LLLT represents a treatment alternative for osteoarticular signs and symptoms in limited scleroderma (CREST syndrome)."</t>
  </si>
  <si>
    <t>Septic arthritis
(experimental)</t>
  </si>
  <si>
    <t>Araujo</t>
  </si>
  <si>
    <t>ISRN Rheumatol</t>
  </si>
  <si>
    <t>Effects of Low-Level Laser Therapy, 660 nm, in Experimental Septic Arthritis.</t>
  </si>
  <si>
    <t>"It was found that nociception increases in the right knee. There was a lack of results for the seeding of the synovial fluid. The morphological analysis showed slight recovery areas in the articular cartilage and synovia; however, there was the maintenance of the inflammatory infiltrate."
"The parameters used were not effective in the nociception reduction, even with the slight tissue recovery due to the maintenance of inflammatory infiltrate, but produced no change in the natural history of resolution of the infectious process."</t>
  </si>
  <si>
    <t>Systemic lupus erythematosus</t>
  </si>
  <si>
    <t>Abdel-Aal</t>
  </si>
  <si>
    <t>Efficacy of high-intensity laser therapy on arthropathy of the hands in patients with systemic lupus erythematosus: a double-blinded, randomized controlled trial</t>
  </si>
  <si>
    <t>🧑 Human
🎲 Randomized trial, double-blind
👥 50 participants
⌛ 8 weeks</t>
  </si>
  <si>
    <t>HILT (HIRO 3.0 device)</t>
  </si>
  <si>
    <t>2100
(in three
phases)</t>
  </si>
  <si>
    <t>0.2
cm2
spot
size
60
cm2
treatment
area (?)</t>
  </si>
  <si>
    <t>600
(?)</t>
  </si>
  <si>
    <t>"After eight-weeks of intervention, the mean for handgrip strength, joint swelling counts, joint tenderness count, and pain score was 28.34 kg, 4.4, 5, and 35.6 mm in the study group, and 22.96 kg, 7.36, 9.08, and 58.8 mm in the control group, respectively."
"Adding HILT to the routine physical therapy program might be more effective than routine physical therapy program alone in improving handgrip strength, decreasing joint swelling counts, joint tenderness counts, and pain in patients with arthropathy of the hands."</t>
  </si>
  <si>
    <t>A systematic review of low level laser therapy with location-specific doses for pain from chronic joint disorders.</t>
  </si>
  <si>
    <t>"A literature search identified 88 randomised controlled trials, of which 20 trials included patients with chronic joint disorders. 
Six trials were excluded for not irradiating the joint capsule. Three trials used doses lower than a dose range nominated a priori for reducing inflammation in the joint capsule. These trials found no significant difference between active and placebo treatments. 
The remaining 11 trials including 565 patients were of acceptable methodological quality with an average PEDro score of 6.9 (range 5-9). In these trials, LLLT within the suggested dose range was administered to the knee, temporomandibular or zygapophyseal joints. The results showed a mean weighted difference in change of pain on VAS of 29.8 mm (95% CI, 18.9 to 40.7) in favour of the active LLLT groups. Global health status improved for more patients in the active LLLT groups ( relative risk of 0.52; 95% CI 0.36 to 0.76). 
Low level laser therapy with the suggested dose range significantly reduces pain and improves health status in chronic joint disorders, but the heterogeneity in patient samples, treatment procedures and trial design calls for cautious interpretation of the results."</t>
  </si>
  <si>
    <t>Usuba</t>
  </si>
  <si>
    <t>Effect of low-level laser therapy (LLLT) on viscoelasticity of the contracted knee joint: comparison with whirlpool treatment in rats.</t>
  </si>
  <si>
    <t>40
60</t>
  </si>
  <si>
    <t>"Laser irradiation showed no significant changes except the phase-lag of laser 60 mW. Under the conditions of this study, LLLT stimulation did not provide a significant effect for minimizing the degree of experimental joint contracture over whirlpool treatment."</t>
  </si>
  <si>
    <t>Kidney</t>
  </si>
  <si>
    <t>Acute kidney injury</t>
  </si>
  <si>
    <t>Groves</t>
  </si>
  <si>
    <t>Physiol Rep</t>
  </si>
  <si>
    <t>Effects of photobiomodulation and caffeine treatment on acute kidney injury in a hypoxic ischemic neonatal rat model</t>
  </si>
  <si>
    <t>PBM vs caffeine vs combination</t>
  </si>
  <si>
    <t>600
(1st day)
-&gt;
300
twice
daily</t>
  </si>
  <si>
    <t>1
-&gt;
twice daily for 4 days</t>
  </si>
  <si>
    <t>"Treatments, individually but not in combination, improved HIE-induced reductions in the enzymatic activity of mitochondrial complexes II-III. PBM and caffeine also improved weight gain. PBM and caffeine reduces AKI diagnosed by urinary biomarkers and confirmed by EM findings."</t>
  </si>
  <si>
    <t>Device: "a custom-built clinical light therapy device (Multi Radiance Medical)"</t>
  </si>
  <si>
    <t>Intravenous Laser Therapy in Patients With Acute Kidney Injury: A Randomized Clinical Trial</t>
  </si>
  <si>
    <t>🧑 Human
🎲 Randomized trial, sham-controlled
👥 26 participants
⌛ 5 days</t>
  </si>
  <si>
    <t>Blue light  🔵
Intravenous PBM</t>
  </si>
  <si>
    <t>"All post-treatment parameters, except the hemoglobin value, significantly improved in both groups. Urine NGAL and serum NGAL show declines from the baseline in both groups; however, the reduction slope of these parameters occurred faster in the laser group in a statistically significant manner."</t>
  </si>
  <si>
    <t>Chronic kidney disease</t>
  </si>
  <si>
    <t>Bian</t>
  </si>
  <si>
    <t>Therapeutic Potential of Photobiomodulation for Chronic Kidney Disease</t>
  </si>
  <si>
    <t>"Preliminary studies suggest the benefits of PBM in multiple diseases, including CKD. Hence, this review will provide a concise summary of the underlying action mechanisms of PBM and its potential therapeutic effects on CKD. Based on the findings, PBM may represent a novel, non-invasive and non-pharmacological therapy for CKD, although more studies are necessary before PBM can be widely recommended."</t>
  </si>
  <si>
    <t>Schardong</t>
  </si>
  <si>
    <t>Photobiomodulation therapy increases functional capacity of patients with chronic kidney failure: randomized controlled trial.</t>
  </si>
  <si>
    <t>🧑 Human
🎲 Randomized trial
👥 28 participants
⌛ 8 weeks</t>
  </si>
  <si>
    <t>200
/diode
1000
/cluster</t>
  </si>
  <si>
    <t>6.9
/diode
34.5
/cluster</t>
  </si>
  <si>
    <t>240
/leg
(8p)</t>
  </si>
  <si>
    <t>206.9
/diode
1034.5
/cluster</t>
  </si>
  <si>
    <t>8.5
cm2
cluster
area</t>
  </si>
  <si>
    <t>"As a result, there was an increase in the functional capacity (assessed through the six-minute walk test) for the IG compared with the CG [50.7 m (CI95% 15.63; 85.72), p = 0.01, large effect size, d = 1.12], as well as an improvement on lower limb muscle strength (assessed through the sit-and-stand test) [- 7.4 s (CI95% - 4.54; - 10.37), p = 0.00, large effect size, d = 1.99]. For other outcomes evaluated, no significant difference between-group was observed. 
Finally, PBM applied as monotherapy for 8 weeks in the lower limb improves functional capacity and muscle strength of CKF patients.</t>
  </si>
  <si>
    <t>The Effect of Low-Power Laser Therapy on the TGF/β Signaling Pathway in Chronic Kidney Disease: A Review.</t>
  </si>
  <si>
    <t>"Lasers can be effective in reducing or enhancing inflammatory responses, reducing fibrosis factors, and decreasing reactive oxygen species (ROS) levels in kidney disease and glomerular cell proliferation."</t>
  </si>
  <si>
    <t>Chronic kidney disease (muscle)</t>
  </si>
  <si>
    <t>Macagnan</t>
  </si>
  <si>
    <t>Acute effect of photobiomodulation therapy on handgrip strength of chronic kidney disease patients during hemodialysis.</t>
  </si>
  <si>
    <t>🧑 Human
🎲 Randomized trial, double-blind, crossover
👥 15 participants
⌛ 4 sessions with 1-week washout periods</t>
  </si>
  <si>
    <t>1000
(5 diodes of 200mW)</t>
  </si>
  <si>
    <r>
      <rPr>
        <color rgb="FF38761D"/>
        <sz val="6.0"/>
      </rPr>
      <t>60
90</t>
    </r>
    <r>
      <rPr>
        <sz val="6.0"/>
      </rPr>
      <t xml:space="preserve">
</t>
    </r>
    <r>
      <rPr>
        <color rgb="FF980000"/>
        <sz val="6.0"/>
      </rPr>
      <t xml:space="preserve">120
</t>
    </r>
    <r>
      <rPr>
        <sz val="6.0"/>
      </rPr>
      <t>/ arm</t>
    </r>
  </si>
  <si>
    <t>44.16
cm2
cluster
size</t>
  </si>
  <si>
    <t>60
90
120
/arm</t>
  </si>
  <si>
    <t>1
of
each
condition</t>
  </si>
  <si>
    <t>"Significant strength increases occurred after PBMT application with doses of 60 J/arm (4.85%, p = 0.005, ES = 0.32) and 90 J/arm (4.45%, p = 0.013, ES = 0.25), while no changes were detected with placebo or 120 J/arm."</t>
  </si>
  <si>
    <t>Diabetic kidney</t>
  </si>
  <si>
    <t>Effects of low-level light therapy on streptozotocin-induced diabetic kidney.</t>
  </si>
  <si>
    <t>10.5</t>
  </si>
  <si>
    <t>↑cytochrome oxidase activity, ↑cytochrome oxidase expression, ↓serum BUN, ↓serum creatinine, ↓BUN/creatinine ratio, ↓8-hydroxy-2'-deoxyguanosine in kidney
"LLLT may be broadly applicable to ameliorate kidney complications induced by diabetes that disrupt antioxidant defense mechanisms."</t>
  </si>
  <si>
    <t>O'Connor</t>
  </si>
  <si>
    <t>Mesenchymal Stem Cells Synergize with 635, 532, and 405 nm Laser Wavelengths in Renal Fibrosis: A Pilot Study.</t>
  </si>
  <si>
    <t>405
532
635</t>
  </si>
  <si>
    <t>"Wavelengths 405, 532, and 635 nm all significantly synergized with MSC to enhance mitochondrial activity and reduce apoptosis. Proliferative activity was observed in the renal cortices following combined treatment with the 532 nm laser and MSC; endothelial proliferation increased in response to the 635 nm laser alone and to the combined effects of MSC and the 405 nm wavelength. Reductions of transforming growth factor-β were observed with 532 nm alone and when combined with MSC."</t>
  </si>
  <si>
    <t>Low-level laser therapy decreases renal interstitial fibrosis.</t>
  </si>
  <si>
    <t>UUO --&gt; renal interstitial fibrosis</t>
  </si>
  <si>
    <t>0.75</t>
  </si>
  <si>
    <t>"For the first time, we showed that LLLT had a protective effect regarding renal interstitial fibrosis. It is conceivable that by attenuating inflammation, LLLT can prevent tubular activation and transdifferentiation, which are the two processes that mainly drive the renal fibrosis of the UUO model."
Note: See comment&amp;reply of this paper. They discuss the mechanism a little bit.</t>
  </si>
  <si>
    <t>Glomerulonephritis</t>
  </si>
  <si>
    <t>Yamata</t>
  </si>
  <si>
    <t>Low-level laser therapy improves crescentic glomerulonephritis in rats.</t>
  </si>
  <si>
    <t>Glomerulonephritis
(crescentic)</t>
  </si>
  <si>
    <t>0.88</t>
  </si>
  <si>
    <t>220</t>
  </si>
  <si>
    <t>2.27
cm2</t>
  </si>
  <si>
    <t xml:space="preserve">"Histological observations indicated that LLLT suppressed crescent formation and infiltration of ED1+ macrophages and CD8+ lymphocytes into the glomeruli. LLLT attenuated the levels of IL-1β and TNF-α messenger RNA in the renal cortex.
Externally directed LLLT suppresses the activity of rat anti-GBM crescentic glomerulonephritis in rats. LLLT has the potential to be used for direct treatment of glomerulonephritis."
Star: Parameters were well reported. </t>
  </si>
  <si>
    <t>Asghari</t>
  </si>
  <si>
    <t>Effect of photobiomodulation on ischemia/reperfusion-induced renal damage in diabetic rats.</t>
  </si>
  <si>
    <t>3.2</t>
  </si>
  <si>
    <t>Effects of photobiomodulation: 
↑GSH, ↑SOD, ↑CAT
↓BUN, ↓MDA, ↓MPO, ↓NO, ↓creatinine, ↓histological injury 
"The results of present investigation revealed that PBM attenuated kidney damage induced by renal IR in diabetic rats."</t>
  </si>
  <si>
    <t>Haemodialysis: arteriovenous fistula patency</t>
  </si>
  <si>
    <t>Chunyan</t>
  </si>
  <si>
    <t>J Vasc Access</t>
  </si>
  <si>
    <t>The influence of near-infrared therapy on arteriovenous fistula patency in haemodialysis patients: A multicentre, randomised, controlled clinical trial</t>
  </si>
  <si>
    <t>Meckel syndrome</t>
  </si>
  <si>
    <t>Need for Caution When Applying Photobiomodulation Therapy for Hereditary Diseases.</t>
  </si>
  <si>
    <t>"In that case we must accept that MKS is an example of a disease or condition, which should not have been treated with PBMT. Many hereditary diseases are highly complex, with genetic mutations (even in a single protein) leading to complicated disturbances in a host of biochemical and cellular pathways. Although these disturbances often lead to the occurrence of common pathophysiological alterations that we know can be benefited by PBMT, such as oxidative stress, inflammation, and cellular apoptosis, it cannot be assumed that PBMT will always be beneficial."</t>
  </si>
  <si>
    <t>Nephron Extra</t>
  </si>
  <si>
    <t>Acceleration of the meckel syndrome by near-infrared light therapy.</t>
  </si>
  <si>
    <t>Meckel syndrome
LED phototherapy</t>
  </si>
  <si>
    <t>640-
690</t>
  </si>
  <si>
    <t>"LED phototherapy initiated after the onset of symptoms was detrimental to MKS-induced pathology.
NIR stimulates CCO thereby increasing the kidney's need for oxygen. We hypothesize that cystic compression of the vasculature impairs oxygen availability and the enhanced CCO activity produces more radicals, which are not sufficiently detoxified by the increased CAT activity."
Note: See the above editorial by Hamblin MR (2020).</t>
  </si>
  <si>
    <t>Metabolic syndrome</t>
  </si>
  <si>
    <t>Ucero</t>
  </si>
  <si>
    <t>Laser therapy in metabolic syndrome-related kidney injury.</t>
  </si>
  <si>
    <t>Kidney injury</t>
  </si>
  <si>
    <t>↓ blood pressure
↑ glomerular filtration rate</t>
  </si>
  <si>
    <t>λ = 785 nm (770-795)
"Transcutaneous therapeutic LLLT of kidney tissue"</t>
  </si>
  <si>
    <t>Renal colic</t>
  </si>
  <si>
    <t>Avdoshin</t>
  </si>
  <si>
    <t>Urologiia</t>
  </si>
  <si>
    <t>[Influence of low intensive laser irradiation on ultrastructural changes in kidney tissue in experimental colic].
[Article in Russian]</t>
  </si>
  <si>
    <t>Experimental renal colic</t>
  </si>
  <si>
    <t>"Electronic microscopy showed that single renal colic is associated with marked ultrastructural changes in the proximal tubules. In recurrent colic the edema and destruction were more expressed in all nephron parts. Low intensive laser irradiation suppresses pathological processes in nephrocytes both after a single renal colic and after a recurrent renal colic; has a systemic effect on the body; stimulates compensatory processes in the contralateral kidney."</t>
  </si>
  <si>
    <t>Larynx</t>
  </si>
  <si>
    <t>Reflux laryngitis</t>
  </si>
  <si>
    <t>Marinho</t>
  </si>
  <si>
    <t>Brazil
(São Cristóvão)</t>
  </si>
  <si>
    <t>Potential anti-inflammatory effect of low-level laser therapy on the experimental reflux laryngitis: a preliminary study.</t>
  </si>
  <si>
    <t>Experimental reflux laryngitis
Combined wavelengths</t>
  </si>
  <si>
    <t>105</t>
  </si>
  <si>
    <t>0.04
cm2
(*3p)</t>
  </si>
  <si>
    <t>"In conclusion, we demonstrated that 105-J/cm2 infrared laser irradiation is potentially useful to control reflux laryngitis secondary to nasogastric intubation by reducing the influx of neutrophils to the injured area and improving the reparative collagenization of the laryngeal tissues."
"Therefore, we suggest that low-level laser is a promising therapy to be used in treatment of reflux-induced laryngitis."</t>
  </si>
  <si>
    <t>Potentiated anti-inflammatory effect of combined 780 nm and 660 nm low level laser therapy on the experimental laryngitis.</t>
  </si>
  <si>
    <t>780
or
780+
660</t>
  </si>
  <si>
    <t>70
40</t>
  </si>
  <si>
    <t>1.75
1.00</t>
  </si>
  <si>
    <t>2.1
1.2</t>
  </si>
  <si>
    <t>17.5
10.0</t>
  </si>
  <si>
    <t>0.04
cm2
- || -</t>
  </si>
  <si>
    <t>30
(3p)
- || -</t>
  </si>
  <si>
    <t>"In conclusion, we demonstrated that the combined 17.5 J/cm2 at 780 nm and 10.0 J/cm2 at 660 nm successfully modulated early inflammatory response in experimental model of nasogastric intubation-induced reflux laryngitis. The possible mechanism involves the reduction in neutrophil infiltration, modulation of mast cells degranulation, and improved granulation tissue formation and collagen deposition in the injured area."
[Star: Parameters were very well reported - and the combined wavelength experiment was interesting.]</t>
  </si>
  <si>
    <t>Handayani</t>
  </si>
  <si>
    <t>Indonesia
(Surakarta)</t>
  </si>
  <si>
    <t>Med Acupunct</t>
  </si>
  <si>
    <t>Laserpuncture Increases Serum Concentration of Insulin-Like Growth Factor-1 in Adolescent Rats.</t>
  </si>
  <si>
    <t>"A marked increase in IGF-1 concentration was observed in the ST 36 and GV 20 + ST 36 subgroups after 15 days, compared to the C subgroup (P = 0.001 and P = 0.002, respectively). The GV 20 subgroup had a lower IGF-1 concentration than the C subgroup (P = 0.06) at both 10 and 15 days. Laserpuncture did not influence ghrelin concentrations significantly, compared to the C subgroups."</t>
  </si>
  <si>
    <t>Blood pressure</t>
  </si>
  <si>
    <t>USA
(Chesterfield, MO)</t>
  </si>
  <si>
    <t>J Chiropr Med</t>
  </si>
  <si>
    <t>Effect of laser acupoint treatment on blood pressure and body weight-a pilot study</t>
  </si>
  <si>
    <t>🧑 Human
🎲 Randomized trial
👥 45 participants
⌛ 12 weeks</t>
  </si>
  <si>
    <t>12-24
/ 12 weeks
(?)</t>
  </si>
  <si>
    <t>"The mean systolic blood pressure was 129.6 +/- 14.7 mm Hg before the treatment and was reduced to 122.5 +/- 17.2 mm Hg (P &lt; .001). The mean diastolic blood pressure was 85.6 +/- 8.0 mm Hg before treatment and was reduced to 77.2 +/- 8.7 mm Hg (P &lt; .001)."
"After comparing the 2 groups, subjects in the experimental group that received the actual treatment had a noticeable decrease on their blood pressure measurements."
Comment: Wavelength and many relevant parameters not reported. Also, there were no proper comparisons between the two groups.</t>
  </si>
  <si>
    <t>Dentistry</t>
  </si>
  <si>
    <t>da Silva Mira</t>
  </si>
  <si>
    <t>Effect of low-level laser stimulation of acupuncture points in pediatric dentistry: a systematic review</t>
  </si>
  <si>
    <t>"A total of four studies using LLLT for photobiomodulation were included (n = 4)."
"The LLLT at acupuncture points is associated with positive results on sleep bruxism, preanesthetic pain, and gag reflex in pediatric dentistry."</t>
  </si>
  <si>
    <t>Australia
(Graz)</t>
  </si>
  <si>
    <t>The Future of Laser Acupuncture-Robot-Assisted Laser Stimulation and Evaluation</t>
  </si>
  <si>
    <t>"The procedure from developing the first laser to robot-assisted laser acupuncture is briefly shown. The latter has already become a reality and, in the near future, will be made accessible to a broad group of patients as a home treatment system developed by researchers from Taiwan. The new equipment is based on a smartphone with integrated artificial intelligence methods (e.g., automatic image recognition)."</t>
  </si>
  <si>
    <t>History</t>
  </si>
  <si>
    <t>History of Laser Acupuncture: A Narrative Review of Scientific Literature</t>
  </si>
  <si>
    <t>"A total of 38 listed articles were identified, 7 of which were considered relevant. In addition to a generally recognized definition of laser acupuncture, the beginnings of laser acupuncture and the first clinical applications worldwide, this review also shows the most-important milestones in the development of this discipline. The latter are, of course, the development of laser acupuncture systems, the first clinical studies, the implementation of multichannel laser acupuncture devices with laser-needle technology, and, ultimately, the combination of laser acupuncture with methods from research on photobiomodulation."
"Although considerable progress has been made in evaluating this innovative method of laser acupuncture, further research is needed in the coming years and decades."</t>
  </si>
  <si>
    <t>Muscle</t>
  </si>
  <si>
    <t>Effects of Laser Acupuncture on Delayed Onset Muscle Soreness of the Biceps Brachii Muscle: A Randomized Controlled Trial.</t>
  </si>
  <si>
    <t>🧑 Human
🎲 Randomized trial, double-blind
👥 40 participants
⌛ single session -&gt; 4-day follow-up</t>
  </si>
  <si>
    <t>🎚 Pulsing (10Hz, 0.75ms, peak power 8W)</t>
  </si>
  <si>
    <t>1200
(2p)</t>
  </si>
  <si>
    <t>"Photobiomodulation therapy on Tianquan (PC2) and Chihtseh acupoints (LU5) before the exercise did not significantly decrease DOMS and increase muscle performance. Laser acupuncture as a supplemental therapy seemed to have no effect on DOMS prevention."</t>
  </si>
  <si>
    <t>Obesity</t>
  </si>
  <si>
    <t>Am J Chin Med</t>
  </si>
  <si>
    <t>Clinical observations on laser acupuncture in simple obesity therapy.</t>
  </si>
  <si>
    <t>🧑 Human
📄 Single-arm trial
👥 95 participants
⌛ 4 weeks</t>
  </si>
  <si>
    <t>Handylaser Trion</t>
  </si>
  <si>
    <t>1.75
(7p)</t>
  </si>
  <si>
    <t>"The mean reduction and mean percent reduction in body weight were 3.17 kg and 3.80% (p &lt; 0.0001), respectively. The corresponding values for the body mass index were 1.22 kg/m2 and 3.78% (p &lt; 0.0001), respectively. We concluded that laser acupuncture was found to exert a therapeutic effect on simple obesity by reducing both body weight and body mass index. Moreover, subjects showed good compliance with this comfortable and non-restrictive diet protocol."</t>
  </si>
  <si>
    <t>Austria</t>
  </si>
  <si>
    <t>The Application of Laser Acupuncture in Animal Experiments: A Narrative Review of Biological Aspects</t>
  </si>
  <si>
    <t>"Thus, we conducted an overview of animal experiments in the research field of LA [laser acupuncture] from January 1978 to April 2020. After careful research, 52 studies were included in the work. Among these studies, both single-point and multipoint LA studies have been reported."
To make noninvasive LA better in replacing invasive MA [manual acupuncture] in experimental animal research of acupuncture, further experiments should focus on exploring uniform criteria for selecting laser parameters and revealing the extent to which the curative effect of LA depends on the property of acupuncture points rather than the characteristics of photobiomodulation."</t>
  </si>
  <si>
    <t>Moskvin &amp; Agasarov</t>
  </si>
  <si>
    <t>Laser Acupuncture: 35 Years of Successful Application in Russia (Narrative Review)</t>
  </si>
  <si>
    <t>"Laser acupuncture is a very effective and reproducible technique to treat patients with different diseases. Any specialist can apply this method because of its simplicity, but using the most effective parameters."</t>
  </si>
  <si>
    <t>Effectiveness of Laser Acupuncture in Alleviating Chronic Insomnia: A Single-Blinded Randomized Controlled Trial.</t>
  </si>
  <si>
    <t>🧑 Human
🎲 Randomized trial, sham-controlled
👥 37 participants
⌛ 5 weeks</t>
  </si>
  <si>
    <t>All three groups showed an improved PSQI score. However, only Group A showed a significant reduction in the sleep onset latency and number of awakenings at night and a higher sleep efficiency and ESS score.
Comment 1: No between-group statistical analyses were made. It seems there was no clinically significant improvement in the active groups compared to the control group.
Comment 2: Many relevant PBM parameters (eg. wavelength) not stated in the article.</t>
  </si>
  <si>
    <t>Brockhaus &amp; Elger</t>
  </si>
  <si>
    <t>Germany
(Bonn)</t>
  </si>
  <si>
    <t>Hypalgesic efficacy of acupuncture on experimental pain in man. Comparison of laser acupuncture and needle acupuncture.</t>
  </si>
  <si>
    <t>🧑 Human
⚔ Comparison study, crossover
👥 39 participants
⌛ 2 sessions (1 active, 1 sham)</t>
  </si>
  <si>
    <t>Laser acupuncture vs needle acupuncture</t>
  </si>
  <si>
    <t>10
max</t>
  </si>
  <si>
    <t>"This controlled experimental study proves the analgesic effect of needle acupuncture on painful heat stimuli. Laser acupuncture had no effect on pain threshold in this study."
Comment: Parameters were insufficiently reported.</t>
  </si>
  <si>
    <t>LED development</t>
  </si>
  <si>
    <t>Kohli</t>
  </si>
  <si>
    <t>Int J Opt</t>
  </si>
  <si>
    <t>Design of Programmable LED Based Phototherapy System</t>
  </si>
  <si>
    <t>Hadis</t>
  </si>
  <si>
    <t>Development and application of LED arrays for use in phototherapy research.</t>
  </si>
  <si>
    <t>🧪 In vitro
+ design</t>
  </si>
  <si>
    <t>Human dental pulp cells
Wavelength comparison</t>
  </si>
  <si>
    <t>399
470
527
631
638
655
657
660
677
680
689
777
789
798
806
820
826
831</t>
  </si>
  <si>
    <t>0.003
0.004
0.004
0.003
0.066
0.004
0.009
0.048
0.023
0.004
0.052
0.003
0.126
0.004
0.142
0.067
0.003
0.114</t>
  </si>
  <si>
    <t>"The objective here is to develop, characterise and demonstrate the application of LED arrays in order to progress and improve the effectiveness and accuracy of in vitro photobiomodulation studies. 96-well plate format LED arrays (400-850 nm) were developed and characterised to accurately assess irradiance delivery to cell cultures. Human dental pulp cells (DPCs) were irradiated (3.5-142 mW/cm2 : 15-120 s) and the biological responses were assessed using MTT assays. Array calibration was confirmed using a range of optical and analytical techniques."
Comment: A great device/study design, but the results are confusing, since irradiation time seems to be a greater determinator of the MTT assay results than the actual fluence.</t>
  </si>
  <si>
    <t>Korea
(Chungnam)</t>
  </si>
  <si>
    <t>Mol Cryst Liq Cryst</t>
  </si>
  <si>
    <t>Red/Infrared LED Unit with Moderate Light Intensity and Low Heat Generation for Personal Phototherapy Applications</t>
  </si>
  <si>
    <t>660
840</t>
  </si>
  <si>
    <t>"A new phototherapy unit for personal and home application is developed based on red and infrared LEDs."</t>
  </si>
  <si>
    <t>Ligaments</t>
  </si>
  <si>
    <t>ACL injury</t>
  </si>
  <si>
    <t>Low-level laser therapy prevents degenerative morphological changes in an experimental model of anterior cruciate ligament transection in rats.</t>
  </si>
  <si>
    <t>Ligament transection
Biphasic dose response</t>
  </si>
  <si>
    <t>10
50</t>
  </si>
  <si>
    <t>"Initial signs of tissue degradation were observed in CG. Interestingly, laser-treated animals presented a better tissue organization, especially at the fluence of 10 J/cm(2). Furthermore, laser phototherapy was able of modulating some of the aspects related to the degenerative process, such as the prevention of proteoglycans loss and the increase in cartilage area. However, LLLT was not able of modulating chondrocytes proliferation and the immunoexpression of markers related to inflammatory process (IL-1 and MMP-13).
This study showed that 808 nm laser, at both fluences, prevented features related to the articular degenerative process in the knees of rats after ACLT."</t>
  </si>
  <si>
    <t>Comparison of light-emitting diode wavelength on activity and migration of rabbit ACL cells.</t>
  </si>
  <si>
    <t>Rabbit ACL cells
Blue light 🔵
Green light 🟢
LED phototherapy</t>
  </si>
  <si>
    <t>460
530
630</t>
  </si>
  <si>
    <t>27
9.8
9.5</t>
  </si>
  <si>
    <t>"This study revealed that irradiation with a wavelength of 460 nm (blue LED) is cytotoxic to ACL cells, but irradiation with nontoxic fluencies of 530 (green LED) and 630 nm (red LED) wavelengths induced cell growth in cultured ACL cells."</t>
  </si>
  <si>
    <t>ACL surgery</t>
  </si>
  <si>
    <t>Low-level laser therapy attenuates arthrogenic contracture induced by anterior cruciate ligament reconstruction surgery in rats</t>
  </si>
  <si>
    <t>daily
for
2
weeks (?)</t>
  </si>
  <si>
    <t>"Our results indicate that LLLT after ACL reconstruction could attenuate the formation of arthrogenic contracture through inhibition of inflammation and fibrosis in the joint capsule. Thus, LLLT may become a novel therapeutic approach for ACL reconstruction-induced joint contracture."</t>
  </si>
  <si>
    <t>MCL injury</t>
  </si>
  <si>
    <t>Ng &amp; Fung</t>
  </si>
  <si>
    <t>Combining therapeutic laser and herbal remedy for treating ligament injury: an ultrastructural morphological study.</t>
  </si>
  <si>
    <t>0.0704</t>
  </si>
  <si>
    <t>0.125
cm2</t>
  </si>
  <si>
    <t>"Core mass-averaged diameters of groups L and H were larger than the control groups (LC and HC). Fibril diameter of group LH (combined treatment) was even larger and approaching that of the intact MCL."</t>
  </si>
  <si>
    <t>Delbari</t>
  </si>
  <si>
    <t>Effect of low-level laser therapy on healing of medial collateral ligament injuries in rats: an ultrastructural study.</t>
  </si>
  <si>
    <t>0.01
1.20</t>
  </si>
  <si>
    <t>3.14
mm2</t>
  </si>
  <si>
    <t>1
120</t>
  </si>
  <si>
    <t>"On day 12, the fibril dimension of group 2 and their density were higher than of groups 1 and 3."
"Although we could not find significant difference between density of fibrils of laser groups and other groups, the p value shows a difference almost at the range of significance (p _x0004_= 0.059)."</t>
  </si>
  <si>
    <t>Low-level laser therapy improves early healing of medial collateral ligament injuries in rats.</t>
  </si>
  <si>
    <t>"The ultimate tensile strength (UTS) of group 2 on day 12 was significantly higher than that of groups 1 and 3."
Comment: The dose of 0.01J/cm2 was ineffective, while 1.20J/cm2 was effective. Too small dose does often have no effect.</t>
  </si>
  <si>
    <t>Comparison of single and multiple applications of GaAlAs laser on rat medial collateral ligament repair.</t>
  </si>
  <si>
    <t>Single vs multiple treatments (dose response)</t>
  </si>
  <si>
    <t>31.6</t>
  </si>
  <si>
    <t>1
9</t>
  </si>
  <si>
    <t>"Multiple laser therapy improves the normalized strength and stiffness of repairing rat MCLs at 3 weeks after injury. The multiple treatments seem to be superior to a single treatment when the cumulative dosages are comparable between the two modes of application."</t>
  </si>
  <si>
    <t>Fung</t>
  </si>
  <si>
    <t>Effects of a therapeutic laser on the ultrastructural morphology of repairing medial collateral ligament in a rat model.</t>
  </si>
  <si>
    <t>"Single application of low energy laser therapy increases the collagen fibril size of healing MCLs in rats."</t>
  </si>
  <si>
    <t>Therapeutic low energy laser improves the mechanical strength of repairing medial collateral ligament.</t>
  </si>
  <si>
    <t>31.6
63.2</t>
  </si>
  <si>
    <t>450
900</t>
  </si>
  <si>
    <t>"The UTS of laser and sham groups were comparable."</t>
  </si>
  <si>
    <t>Lighting</t>
  </si>
  <si>
    <t>Daylighting</t>
  </si>
  <si>
    <t>Veto P</t>
  </si>
  <si>
    <t>Lighting Res Technol</t>
  </si>
  <si>
    <t>Correspondence: Daylighting: Why infra-red should be explored</t>
  </si>
  <si>
    <t>Correspondence</t>
  </si>
  <si>
    <t>"Red and near infra-red (NIR) exposure influences eye health, mood and neuropsychological well-being, and has various further clinical effects. While some medical applications aim for short and intense treatments, the most efficient use of red and NIR for health purposes appears to be at low irradiation levels over long durations. These levels are still generally higher than that of daylight NIR irradiance, but the ranges are overlapping. Daylight might also be relevant in longer time frames (e.g. across years), can cover larger surface areas and includes far IR radiation that has possibly similar effects to those of NIR."
"Contemporary lighting places much emphasis on human well-being and the nonvisual effects of light. Despite this, the evergrowing amount of empirical and theoretical knowledge about the physiological effects of various wavelengths around and beyond red has not yet found its place in the conversation about lighting practices. "</t>
  </si>
  <si>
    <t>Liver</t>
  </si>
  <si>
    <t>Chronic viral hepatitis</t>
  </si>
  <si>
    <t>Curcumin and Photobiomodulation in Chronic Viral Hepatitis and Hepatocellular Carcinoma</t>
  </si>
  <si>
    <t>📖 Review (/perspective)</t>
  </si>
  <si>
    <t>"Blue laser light and UltraBioavailable Curcumin could be a new valuable alternative for medical applications in chronic B viral hepatitis and hepatocarcinoma, saving millions of lives."
Comment: Quite a speculative essay, with limited evidence.</t>
  </si>
  <si>
    <t>Effects of low-level light therapy on hepatic antioxidant defense in acute and chronic diabetic rats.</t>
  </si>
  <si>
    <t>14
70</t>
  </si>
  <si>
    <t>"Light treatment was ineffective as an antioxidant therapy in chronic diabetes, but light treatment for 18 days in acutely diabetic rats resulted in the normalization of hepatic glutathione reductase and superoxide dismutase activities and a significant increase in glutathione peroxidase and glutathione-S transferase activities. The results of this study suggest that 670 nm photobiomodulation may reduce, at least in part, acute hepatic oxidative stress by enhancing the antioxidant defense system in the diabetic rat model."
Light therapy also didn't affect blood glucose levels. ATP and CCO activity were increased.</t>
  </si>
  <si>
    <t>Fatty liver</t>
  </si>
  <si>
    <t>The Effect of Laser Therapy Along With Mediterranean Diet Versus Mediterranean Diet Only on Older Adults With Non-alcoholic Fatty Liver Disease: A Randomized Clinical Trial</t>
  </si>
  <si>
    <t>🧑 Human
🎲 Randomized trial
👥 60 participants
⌛ 12 weeks</t>
  </si>
  <si>
    <t>LED phototherapy (4 clusters with 72 diodes each -&gt; 288 LEDs in total)</t>
  </si>
  <si>
    <t>1440
(total)</t>
  </si>
  <si>
    <t>0.071</t>
  </si>
  <si>
    <t>127.8</t>
  </si>
  <si>
    <t>20.4
cm2</t>
  </si>
  <si>
    <t>"Both study and control groups showed a significant reduction in the levels of liver enzymes, serum lipid profile, BMI, and WC (P &lt; 0.001 and P &lt; 0.01 respectively); however, the study group showed more significant results compared to the control group (P &lt; 0.01)."</t>
  </si>
  <si>
    <t>Liver fibrosis</t>
  </si>
  <si>
    <t>Naguib</t>
  </si>
  <si>
    <t>Arab J Gastroenterol</t>
  </si>
  <si>
    <t>Comparative study on the effect of low intensity laser and growth factors on stem cells used in experimentally-induced liver fibrosis in mice</t>
  </si>
  <si>
    <t>Stem cell irradiation</t>
  </si>
  <si>
    <t>"UC-MSCs stimulated by both diode laser and HGF proved to be an effective therapeutic option in experimental liver fibrosis induced by CCl4 in mice."
Comment: It seems there was no negative control group that had CCl4 and stem cells without PBM or HGF. Therefore it seems not possible to evaluate the effectiveness of PBM in this study.</t>
  </si>
  <si>
    <t>Hepatocellular insufficiency</t>
  </si>
  <si>
    <t>Babaev</t>
  </si>
  <si>
    <t>Effect of intravenous low-intensity laser irradiation of the blood on clinical and laboratory parameters of hepatocellular insufficiency.</t>
  </si>
  <si>
    <t>🧑 Human
📄 Controlled study
👥 86 participants
⌛ 7 days</t>
  </si>
  <si>
    <t>Intravenous PBM</t>
  </si>
  <si>
    <t>"Patients with hepatocellular insufficiency received a course of intravenous laser irradiation of the blood. After the treatment, a positive dynamics of clinical and biochemical indices of the major hepatic syndromes was observed: alleviation of the major clinical symptoms and significant positive changes in biochemical parameters (AST, ALT, bilirubin, alkaline phosphatase, lactate dehydrogenase, and total cholesterol)."</t>
  </si>
  <si>
    <t>Device: "Mulat laser appliance (Tekhnika) with semiconductor body"</t>
  </si>
  <si>
    <t>Hepatocytes</t>
  </si>
  <si>
    <t>Japan
(Tokushima)</t>
  </si>
  <si>
    <t>Hepatol Res</t>
  </si>
  <si>
    <t>Photobiomodulation with red light-emitting diodes accelerates hepatocyte proliferation through reactive oxygen species/extracellular signal-regulated kinase pathway.</t>
  </si>
  <si>
    <t>"https://www.ncbi.nlm.nih.gov/pubmed/29710411The red LED irradiation increased hepatocyte proliferation, elevated intracellular ROS levels, and stimulated ERK1/2 activation and cell cycle-related gene expression. The mitosis promoting effect of red LED irradiation could be disturbed by ROS or pERK inhibition. The red LED irradiation promoted hepatocyte proliferation through the ROS/pERK1/2 pathway."
"Red LED irradiation could accelerate hepatocyte proliferation through the ROS/pERK1/2 pathway. Red LED irradiation might be a potential method to increase hepatocyte cell numbers in vitro and support cell-based transplantation in clinical work."</t>
  </si>
  <si>
    <t>Ischemia-reperfusion injury</t>
  </si>
  <si>
    <t>Takhtfooladi</t>
  </si>
  <si>
    <t>The effects of low-intensity laser therapy on hepatic ischemia-reperfusion injury in a rat model.</t>
  </si>
  <si>
    <t>"Serum aminotransferase levels, tumor necrosis factor-alpha (TNF-α) levels, malondialdehyde (MDA), and glutathione (GSH) levels were significantly lower (P &lt; 0.05) in the irradiated group compared to the I/R group during the 6 h after reperfusion. The number of histopathological changes in the hepatic tissues was significantly lower in the treated group (P &lt; 0.05). These observations suggest that LILT applied in transcutaneous manner effectively improves hepatic injuries after ischemia-reperfusion period in rats."</t>
  </si>
  <si>
    <t>Liver cirrhosis</t>
  </si>
  <si>
    <t>Scalon</t>
  </si>
  <si>
    <t>Photobiomodulation intervention improves oxidative, inflammatory, and morphological parameters of skeletal muscle in cirrhotic Wistar rats</t>
  </si>
  <si>
    <t>6/wk
for
30
days</t>
  </si>
  <si>
    <t>"PBM improved the locomotion and the morphology of the muscle fibers, decreasing oxidative stress and inflammation, without causing DNA damage in cirrhotic rats."
"TBARS increased in the liver and muscle tissues in the BDL group and decreased it in the BDL + PBM group."</t>
  </si>
  <si>
    <t>Oliveira-Junior</t>
  </si>
  <si>
    <t>Low-level laser therapy ameliorates CCl4-induced liver cirrhosis in rats.</t>
  </si>
  <si>
    <t>Liver cirrhosis (CCl4)</t>
  </si>
  <si>
    <t>2.5
(?)</t>
  </si>
  <si>
    <t>↓ aspartate aminotransferase (P &lt; 0.001)
↓ alkaline phosphatase (P &lt; 0.001)
↓ gamma-glutamyl transferase (P &lt; 0.001)
↓ lactate dehydrogenase (P &lt; 0.01) activity, as well as
↓ total proteins (P &lt; 0.05) and
↓ globulins (P &lt; 0.01)
↓ number of cirrhotic areas
↓ collagen accumulation
↓ hepatic inflammatory infiltrate
↓ CCl(4)-increased number of Kupffer cells (P &lt; 0.05) and
↓ hepatic stellate cells (P &lt; 
"We conclude that LLLT presents beneficial effects on liver function and structure in an experimental model of CCl(4)-induced cirrhosis."</t>
  </si>
  <si>
    <t>Vilalva</t>
  </si>
  <si>
    <t>Prophylactic application of laser light restores L-FABP expression in the livers of rats submitted to partial ischemia.</t>
  </si>
  <si>
    <t>Partial ischemia</t>
  </si>
  <si>
    <t>0.750</t>
  </si>
  <si>
    <t>150
(5p)</t>
  </si>
  <si>
    <t>"Mitochondrial function decreased in the Partial Ischemia group, especially during adenosine diphosphate-activated respiration (state 3), and the expression of fatty acid binding protein was also reduced. The application of laser light prevented bioenergetic changes and restored the expression of fatty acid binding protein."
"Prophylactic application of laser light to the livers of rats submitted to partial ischemia was found to have a protective effect in the liver, with normalization of both mitochondrial function and fatty acid binding protein tissue expression."</t>
  </si>
  <si>
    <t>Liver injury</t>
  </si>
  <si>
    <t>Mohamed</t>
  </si>
  <si>
    <t>Femtosecond laser attenuates oxidative stress, inflammation, and liver fibrosis in rats: Possible role of PPARγ and Nrf2/HO-1 signaling</t>
  </si>
  <si>
    <t>7.07
cm2
beam
area</t>
  </si>
  <si>
    <t>"In conclusion, LLLT attenuated liver fibrosis by suppressing ECM production and deposition, oxidative injury and inflammation, and upregulating PPARγ and Nrf2/HO-1 signaling."</t>
  </si>
  <si>
    <t>Albuquerque</t>
  </si>
  <si>
    <t>Prophylactic Use of Laser Light and Methylene Blue on Ischemia and Liver Reperfusion Injury.</t>
  </si>
  <si>
    <t>112.5</t>
  </si>
  <si>
    <t>"MB therapy alone showed the capacity of preserving the rate of oxygen consumption in the mitochondrial respiratory state of the group submitted to ischemia compared to the sham group. However, when combined with low-intensity laser therapy, it failed to replicate the relevant protective effects in relation to oxidative phosphorylation or the mitochondrial membrane ischemia/reperfusion injury. "</t>
  </si>
  <si>
    <t>Astuti</t>
  </si>
  <si>
    <t>J Adv Vet Anim Res</t>
  </si>
  <si>
    <t>The effects of laser diode treatment on liver dysfunction of Mus musculus due to carbofuran exposure: An in vivo study.</t>
  </si>
  <si>
    <t>"Carbofuran contamination can lead to inflammation of cells and necrosis. The histology results and the scoring test showed that the liver cells repair with the energy dose of laser diode at 0.5 and 1.0 Joule."</t>
  </si>
  <si>
    <t>Liver regeneration</t>
  </si>
  <si>
    <t>Low-Power Laser Irradiation (LPLI): A Clinical Point of View on a Promising Strategy to Improve Liver Regeneration.</t>
  </si>
  <si>
    <t>"Thus, based on the data in the literature, we presented low-power laser irradiation (LPLI) as a quick, simple, and harmless method to improve liver regeneration after major hepatectomies. This article highlights the current evidence about the effects of LPLI on liver regeneration, and also suggests laser therapy as an important tool for regenerative stimulation in clinical practice."</t>
  </si>
  <si>
    <t>Low-power laser irradiation fails to improve liver regeneration in elderly rats at 48 h after 70 % resection.</t>
  </si>
  <si>
    <t>Hepatectomy</t>
  </si>
  <si>
    <t>0.97</t>
  </si>
  <si>
    <t>d =
1.6 cm</t>
  </si>
  <si>
    <t>"this study demonstrated that the main molecular pathway, i.e.
HGF/Met→Akt and Erk 1/2→PCNA,
involved in the hepatic regeneration process was not improved by LPLI in elderly hepatectomized rats, which in turn rules out LPLI as an adjuvant therapy, as observed in this protocol of liver regeneration evaluation (i.e. at 48 h after 70 % resection), in elderly"</t>
  </si>
  <si>
    <t>Liver regeneration following partial hepatectomy is improved by enhancing the HGF/Met axis and Akt and Erk pathways after low-power laser irradiation in rats.</t>
  </si>
  <si>
    <t>Hepatectomy -&gt; Liver regeneration</t>
  </si>
  <si>
    <t>0.065</t>
  </si>
  <si>
    <t>"Our results show that LPLI can improve liver regeneration as shown by increased HGF protein expression and the phosphorylation levels of Met, Akt, and Erk 1/2 accompanied by higher levels of the PCNA and Ki-67 protein in the remnant livers. In summary, our results suggest that LPLI may play a clinical role as a simple, fast, and easy-to-perform strategy in order to enhance the liver regenerative capacity of a small liver remnant after hepatectomy."</t>
  </si>
  <si>
    <t>Enhanced liver regeneration following acute hepatectomy by low-level laser therapy.</t>
  </si>
  <si>
    <t>804/
810
(?)</t>
  </si>
  <si>
    <t>↑↑ BrdU positive cells per area in the regenerating regions of the livers
↑↑ The density of the newly formed blood vessels and c-kit immunopositive cells in the regenerating area</t>
  </si>
  <si>
    <t>Castro-e-Silva</t>
  </si>
  <si>
    <t>The use of light-emitting diodes to stimulate mitochondrial function and liver regeneration of partially hepatectomized rats</t>
  </si>
  <si>
    <t>Hepatectomy -&gt; Liver regeneration
LED phototherapy vs laser</t>
  </si>
  <si>
    <t>630
590</t>
  </si>
  <si>
    <t>10
140
15</t>
  </si>
  <si>
    <t>180
2400
300</t>
  </si>
  <si>
    <t>"In conclusion, the present results suggest that LED irradiation promotes biological stimulatory effects during the early stage of liver regeneration and that LED is as effective as laser light, independent of the coherence, divergence and cromaticity."</t>
  </si>
  <si>
    <t>The effect of laser on remanescent liver tissue after 90% hepatectomy in rats.</t>
  </si>
  <si>
    <t>"Laser did not cause hepatic injuries additional to the partial hepatectomy and perhaps led to a benefit by stimulating the proliferative activity."
Comment: Parameters were poorly reported.</t>
  </si>
  <si>
    <t>Melo</t>
  </si>
  <si>
    <t>Brazil
(Sergipe)</t>
  </si>
  <si>
    <t>Dig Dis Sci</t>
  </si>
  <si>
    <t>Enhancement of liver regeneration by the association of Hyptis pectinata with laser therapy.</t>
  </si>
  <si>
    <t>"The present study shows that the association of the aqueous extract of Hyptis pectinata leaves at 200 mg/kg with intraoperative laser therapy can stimulate liver regeneration and cause a reduction in liver mitochondrial respiratory function without altering its phosphorylative activity."</t>
  </si>
  <si>
    <t>Spectral response for laser enhancement in hepatic regeneration for hepatectomized rats.</t>
  </si>
  <si>
    <t>70% hepatectomy
Blue light 🔵
Green light 🟢
Wavelength comparison</t>
  </si>
  <si>
    <t>410
470
512
590
630</t>
  </si>
  <si>
    <t>[Blue, green and yellow light had more pronounced effects on State 3 and 4 respiration than the red light, which didn't have a statistically significant effect]</t>
  </si>
  <si>
    <t>de Castro e Silva Júnior</t>
  </si>
  <si>
    <t>Laser enhancement in hepatic regeneration for partially hepatectomized rats.</t>
  </si>
  <si>
    <t>70% hepatectomy</t>
  </si>
  <si>
    <t>Our results show a dramatic increase in the mitochondrial activity for the laser treated group at 24 hours after the hepatectomy.</t>
  </si>
  <si>
    <t>Liver spheroid transplantation</t>
  </si>
  <si>
    <t>Park I-S</t>
  </si>
  <si>
    <t>Synergistic effect of three-dimensional coculture and photobiomodulation therapy on vascularized liver spheroid formation by stem cells</t>
  </si>
  <si>
    <t>"In summary, we found that hASCs in the PBM‐liver spheroid facilitate the formation of compact hepatic liver spheroids, enhance the viability of hepatocytes even during partial hepatectomy, and act like hepatocytes. After implantation, they strongly stimulate angiogenesis. The PBM‐liver spheroids may represent useful sources of human liver transplantation and human hepatocyte cell therapy."
"PBM‐liver spheroids showed higher viability and aggregated more rapidly than liver spheroids (Figure 1d)."</t>
  </si>
  <si>
    <t>Minimal hepatic encephalopathy</t>
  </si>
  <si>
    <t>Low-light-level therapy as a treatment for minimal hepatic encephalopathy: behavioural and brain assessment.</t>
  </si>
  <si>
    <t>LED phototherapy
Cytochrome oxidase</t>
  </si>
  <si>
    <t>"Taking these findings into account, an improvement in the PH + LLLT group due to LLLT treatment should show not only a correct acquisition of the behavioural task, indicated by the behavioural differences between PH and PH + LLLT and their absence when compared to the SHAM group, but also a decrease in C.O., due to an improvement in the enzyme activity produced by the LLLT treatment, and similarities between brain networks."
[For more information, read additional info]</t>
  </si>
  <si>
    <t>"Interestingly, decreases in C.O. activity in the PH + LLLT group, compared to the other groups, were found in most of the evaluated brain structures. How can we explain this decrease when LLLT is said to improve cytochrome c oxidase activity?
Firstly, we are not evaluating a single dose and looking for the peak effect 24 h later [7]. Instead, our aim is to study an accumulative effect of LLLT in order to reproduce the effect of a distributed treatment. Therefore, we expected to observe the beneficial effects of the treatment, rather than a single-event effect.
Secondly, we are studying this treatment based on performance on a behavioural task. It is important to know that under behavioural conditions, previous studies have shown differential metabolic brain activity during the acquisition of a spatial task [12], during different post-task periods [34] and due to contextual changes during the performance of a fear conditioning task [35]. These studies illustrate that as soon as an animal acquires the behavioural criterion, metabolic brain requirements are decreased and tend to spare cortical structures.
Thirdly, it has been shown that the action of the LLLT potentially reaches all brain regions, but will selectively enhance those with higher energy demands due to task-dependent activation. This effect could be due to the previously demonstrated fact that light absorption by cytochrome oxidase is maximized in the presence of a mixed valence enzyme state that is more likely to be found with higher respiratory chain electron flow [7]. In turn, this condition is expected to occur in states of increased energy consumption, such as those of neuronal networks activated during a particular task."</t>
  </si>
  <si>
    <t>Mumic</t>
  </si>
  <si>
    <t>Effect of irradiation with different laser wavelengths on oxidative stress of non-hepatectomized rats.</t>
  </si>
  <si>
    <t>Healthy rats
Wavelength comparison</t>
  </si>
  <si>
    <t>660
780
660+
780</t>
  </si>
  <si>
    <t>60
60
60 or 120?</t>
  </si>
  <si>
    <t>"Although laser light reduced mitochondrial function at 660 nm wavelength and with the combination of 660+780 nm wavelength, it did not interfere in a negative manner with hepatocellular energy state. Additionally, the increase in MDA in [660+780nm group] showed that laser induced an increase in oxidative stress in the liver with a consequent increase in oxygen free radicals."</t>
  </si>
  <si>
    <t>LLLT: past and future</t>
  </si>
  <si>
    <t>Liebert &amp; Kiat</t>
  </si>
  <si>
    <t>The history of light therapy in hospital physiotherapy and medicine with emphasis on Australia: Evolution into novel areas of practice</t>
  </si>
  <si>
    <t>"Historically, light treatment has been used in both medical and physiotherapy practice. From its roots in ancient Egypt, India, and Greece, through to medieval times, the modern renaissance in 'light as therapy ' was begun by Florence Nightingale who, in the 1850s, advocated the use of clean air and an abundance of sunlight to restore health.
Modern light therapy (phototherapy) had a marked uptake in use in medicine in Scandinavia, America, and Australia from 1903, following the pioneering work of Niels Finsen in the late 19th century, which culminated in Dr Finsen receiving the Nobel Prize for Medicine for the treatment of tuberculosis scarring with ultraviolet (UV) light, and treatment of smallpox scarring with red light.
Treatment with light, especially UVB light, has been widely applied by physiotherapists in hospitals for dermatological conditions since the 1950s, particularly in Australia, Scandinavia, USA, England and Canada. In parallel, light treatment in hospitals for hyperbilirubinemia was used for neonatal jaundice. 
Since the 1980s light was also used in the medical specialties of ophthalmology, dermatology, and cardiology. In more recent years in physiotherapy, light was mostly used as an adjunct to the management of orthopedic/rheumatological conditions.
Since the 1990s, there has been global use of light, in the form of photobiomodulation for the management of lymphedema, including in supportive cancer care.
Photobiomodulation in the form of low-level laser has been used by physiotherapists and pain doctors since the 1990s in the management of chronic pain. The use of light as therapy is exemplified by its use in the San Hospital in Sydney, where light therapy was introduced in 1903 (after Dr. John Harvey Kellogg visited Niels Finsen in Denmark) and is practiced by nurses, physiotherapists and doctors until the present day.
The use of light has expanded into new and exciting practices including supportive cancer care, and treatment of depression, oral mucositis, retinopathy of prematurity, and cardiac surgery complications. Light is also being used in the treatment of neurological diseases, such as Parkinson's disease, traumatic brain injury, and multiple sclerosis. The innovative uses of light in physiotherapy treatment would not be possible without the previous experience of successful application of light treatment."
"There has been continuous use of light as a therapy in hospitals in Australia, most particularly the San Hospital in Sydney where it has been in use for almost 120 years."</t>
  </si>
  <si>
    <t>Tunér J</t>
  </si>
  <si>
    <t>Sweden
(Sollentuna)</t>
  </si>
  <si>
    <t>Is Photobiomodulation Therapy Cost Effective?</t>
  </si>
  <si>
    <t>"A promising method of investigating the cost-effectiveness of laser PBMT is under way in the municipality of Skelleftea˚, northern Sweden (Degerman, personal communication). The area of the municipality is 10,000 km2 , which is almost double the area of Rhode Island State but with a population of only 72,000 (...)
Pressure ulcers most commonly develop in persons who are not moving about, such as those who are on chronic bed rest or consistently use a wheelchair. Venous difficultto-heal ulcers and arterial difficult-to-heal ulcers are also frequent in this group of fragile elderly patients. A trial of ambulatory laser PBMT has been implemented for these patients and the outcome at the end of the trial will be compared with RiksSa˚r, the Swedish National Quality Registry for diagnosed hard-to-heal ulcers.
The preliminary cost saving during ulcer treatment is so far ~33% for staff and for transportation, and a reduction in material cost of 86%. Fifty percent of the ulcers healed in 6 weeks of PBM treatment. Under such circumstances, the cost for obtaining devices and staff training seem negligible and the advantages for patients and the environment obvious."</t>
  </si>
  <si>
    <t>Laakso EL</t>
  </si>
  <si>
    <t>Australia
(Gold Coast)</t>
  </si>
  <si>
    <t>What Is the Importance and Status of International Multicenter Photobiomodulation Trials?</t>
  </si>
  <si>
    <t>The editorial refers to this PBM database (!):
"It is encouraging to know that a comprehensive database of PBM publications exists4 and is freely available to those who would wish to learn more about the breadth and depth of publications and research in the PBM field. Equally, the database could be used for the purposes of defining specific gaps in PBM knowledge and research, and identifying global interest and expertise in the field of PBM therapy"</t>
  </si>
  <si>
    <t>Kemper</t>
  </si>
  <si>
    <t>USA
(Columbus)</t>
  </si>
  <si>
    <t>Complementary Therapies in Medicine</t>
  </si>
  <si>
    <t>Let there be light.” Research on phototherapy, light therapy, and photobiomodulation for healing – Alternative therapy becomes mainstream</t>
  </si>
  <si>
    <t xml:space="preserve">"Despite conventional care’s focus on biochemical and surgical treatment strategies, light therapy using the full electromagnetic specrum, originally a highly suspect alternative therapy, has found its way into multiple roles in modern medicine"
"healing with light, a clear example of an alternative therapy that has moved into the mainstream and can be used in combination with therapies still considered complementary to benefit a wide range of human health conditions"
</t>
  </si>
  <si>
    <t>Mester A</t>
  </si>
  <si>
    <t>USA &amp; Hungary</t>
  </si>
  <si>
    <t>The History of Photobiomodulation: Endre Mester (1903-1984).</t>
  </si>
  <si>
    <t>"Endre Mester, M.D. (1903–1984), known as the ‘Father of Photobiomodulation,” discovered the biological effects of low-power lasers 50 years ago and published his findings in 1967.1 (See Supplementary Fig. S1 at www.liebertpub.com/pho) (...)"
"Endre Mester authored over 100 published articles. He had several collaborators during his laser research and clinical work, particularly his two sons Adam Mester, M.D., a radiologist, and Andrew Mester, M.D., an otolaryngologist."</t>
  </si>
  <si>
    <t>Low-Level Laser Therapy in Russia: History, Science and Practice.</t>
  </si>
  <si>
    <t>"In Russia (formerly USSR) study of biomodulation action (BMA) mechanisms of low-intensity laser irradiation (LILI) began in 1964, immediately after the development of lasers. During the period from 1965 to 1972 several dozens of scientific conferences were held, hundreds of studies were published. Generally, secondary mechanisms and results of LILI effect on patients with various diseases were studied. This data was immediately implemented into practical medicine in the fields of oncology, surgery, dermatology and dentistry, and since 1974 low level laser therapy (LLLT) is included in the standard of state medical care. For 50 years no less than 1000 books were published (monographs, collections, methodical and clinical materials), thousands of researches were carried out. Primary mechanism and patterns of interaction of LILI with acceptors within cells can be represented in the following order: absorption of photon's energy - emergence of a local temperature gradient - release of Ca2+ from intracellular stores - stimulating Ca2+-dependent processes."</t>
  </si>
  <si>
    <t>Anders</t>
  </si>
  <si>
    <t>Low-level light/laser therapy versus photobiomodulation therapy.</t>
  </si>
  <si>
    <t>"In summary, photobiomodulation therapy is an accurate and specific term for this effective and important application of light. Universal use of this term would reduce, and potentially eliminate, confusion in the field and in both the scientific and lay literature. This would engender a unified, positive image to showcase the exciting clinical applications photobiomodulation therapy can offer for various medical applications."</t>
  </si>
  <si>
    <t>Moore KC</t>
  </si>
  <si>
    <t>Photomedicine: the early years.</t>
  </si>
  <si>
    <t>"It wasn’t until the mid-1980s that low-powered lasers began to make an impact in the Western world. This was mainly because of the influence of Toshio Ohshiro from the Japan Medical Laser Laboratory (JMLL) in Tokyo, Japan.
Ohshiro was the catalyst who helped develop low-level laser therapy (LLLT), as it was to become known. He described these early years in his own guest editorial for PMLS, with the establishment of the International Laser Therapy Association (ILTA) and the publication of its journal Laser Therapy, and in 1994 the formation of the World Association for Laser Therapy (WALT)."
"Confusing terminology was rife, with different authors referring to their equipment as being 'low power,' 'low dose,' or 'low energy.' Terms such as 'soft laser,' 'mid laser,' and even 'cool laser' further confused the issue."
"It was Ohshiro who focused attention on LLLT, but even then, others still used the terms 'low energy light irradiation (LELI),' 'low intensity light irradiation (LILI),' 'biostimulation,' 'photobio-activation,' and 'photobio-modulation,' before the now currently accepted terms 'laser therapy,' 'light therapy,' and the all-embracing 'photomedicine' became the norm. 'Photobio-activation' was the preferred term in these early years, until it was pointed out that excessive therapy could lead to inhibition, after which ‘‘photobio-modulation’’ became popular."
"Many congress reports in these early days were anecdotal with poor research. Even published articles on clinical trials omitted the full details of dosimetry, thus rendering the trials unable to be reproduced. But even more damaging were claims for therapeutic benefit that was unsubstantiated by experimental and clinical research, which led to health insurers refusing funding and in the United States, the Food and Drug Administration (FDA) remained skeptical. This led to a critical response from some scientific establishments."</t>
  </si>
  <si>
    <t>Arany PR</t>
  </si>
  <si>
    <t>Photobiomodulation: poised from the fringes.</t>
  </si>
  <si>
    <t>Whelan</t>
  </si>
  <si>
    <t>SPIE Newsroom</t>
  </si>
  <si>
    <t>Harnessing the cell's own ability to repair and prevent neurodegenerative disease.</t>
  </si>
  <si>
    <t>Mini-review / 🐁 Mouse / 🧪 In vitro</t>
  </si>
  <si>
    <t>"Taken together, these observations demonstrate the potential clinical applications of near-IR photobiomodulation. The identification of the key mitochondrial component involved in this process, cytochrome oxidase, suggests a plausible mechanism of action whereby near-IR light treatment upregulates energy production, thereby promoting cell survival. 
Furthermore, the ability of near-IR light treatment to attenuate the cytotoxity and dopaminergic cell death in a laboratory model of PD and the clear therapeutic benefit against the acute toxicity of MPTP indicates the potential benefit of this therapy for patients suffering with PD and possibly other neurodegenerative diseases."</t>
  </si>
  <si>
    <t>Smith KC</t>
  </si>
  <si>
    <t>Ten Lectures on Basic Science of Laser Phototherapy</t>
  </si>
  <si>
    <t>Book review</t>
  </si>
  <si>
    <t>"In this book, Dr. Karu not only reviews her own wealth of research, but she also provides an extensive review of the literature on Low Level Light Therapy. Due to the lack of space, I cannot give credit for each result that I report, but they are in the book."
"The magnitude of the Low Level Light Therapy effect is dependent upon the initial redox status of the cells. The response is stronger when the redox potential of the target cells is in a more reduced state. The response to light is weak or absent when the overall redox potential of a cell is optimal or near-optimal for the particular growth conditions. These facts help explain why the results for Low Level Light Therapy may differ from experiment to experiment, and investigator to investigator, and why sometimes the results are negative (cells were in an optimal state)."
"Much of the book is devoted to experiments to determine the optimum use of light, e.g. pulsed vs continuous wave light, coherent vs noncoherent light, polarized vs nonpolarized light, monochromatic vs dichromatic light, single vs consecutive irradiation, dose and intensity effects, optimum techniques for irradiating cells, lasers vs conventional light sources, and of course, the effect of wavelength, by determining action spectra (the relative effectiveness of wavelengths between 600 and 850 nm)."
"Another large section of the book is devoted to identifying the photoreceptor(s) for Low Level Light Therapy, and studying the molecular basis for their action, determining the multiple functions of mitochondria (where cytochrome c oxidase resides), explaining cellular signaling pathways, and studying cell proliferation."</t>
  </si>
  <si>
    <t>World Association of Laser Therapy (WALT)</t>
  </si>
  <si>
    <t>Standards for the design and conduct of systematic reviews with low-level laser therapy for musculoskeletal pain and disorders.</t>
  </si>
  <si>
    <t>Recommendation</t>
  </si>
  <si>
    <t>Consensus agreement on the design and conduct of clinical studies with low-level laser therapy and light therapy for musculoskeletal pain and disorders.</t>
  </si>
  <si>
    <t>Consensus agreement</t>
  </si>
  <si>
    <t>"The surgical, ophthalmological, and dermatological applications of high power lasers are well known and easily understood. What is neither as well known nor as easily understood is that lasers at powers that are orders of magnitude smaller have also been used in the laboratory and clinic for nearly 30 years to modulate cell function, lessen pain, and accelerate healing of soft tissue injuries. This article analyzes the rationale of this approach, examines the utility of laser therapy in its most common clinical applications, reviews and synthesizes the findings, and concludes that although laboratory findings seem authentic, clinical utility remains unestablished."</t>
  </si>
  <si>
    <t>Karu, Pyatibrat &amp; Kalendo</t>
  </si>
  <si>
    <t>Toxicol Lett</t>
  </si>
  <si>
    <t>Donors of NO and pulsed radiation at lambda = 820 nm exert effects on cell attachment to extracellular matrices.</t>
  </si>
  <si>
    <t>3.54</t>
  </si>
  <si>
    <t>8-
120</t>
  </si>
  <si>
    <t>10-
170</t>
  </si>
  <si>
    <t>Nitric oxide donors can prevent the effects of LLLT.</t>
  </si>
  <si>
    <t>J Investig Med</t>
  </si>
  <si>
    <t>Low-intensity laser therapy: a review.</t>
  </si>
  <si>
    <t>"Low-intensity laser radiation is characterized by its ability to induce athermic, nondestructive photobiological processes. Although it has been in use for more than 30 years, this phototherapy is still not an established therapeutic modality. We have summarized the main arguments being brought up against the use of this therapy and have reviewed the literature addressing both its in vitro and in vivo effects. We conclude that low-intensity laser irradiations might be of benefit in selected indications if the existing preliminary data can be confirmed by more prospective and well-controlled studies."</t>
  </si>
  <si>
    <t>27 years of laser treatment: A personal perspective</t>
  </si>
  <si>
    <t>"The author presents a twenty-seven year retrospective overview of his work in laser surgery and, more specifically, laser therapy, during which over 45,000 patients have been treated at the author's clinics as of June 2001. The author traces his laser roots, starting in 1974 with his visit to the laboratory and clinic of the late Professor Leon Goldman at the University of Cincinnati to study the evolution of cutaneous laser treatment. Upon returning to Japan, the author developed and used the new laser technology first in Shizuoka and then in Tokyo. He used the laser to remove congenital and acquired pigmented nevi, hemangiaoma and other cutaneous defects, and by 1978 had treated over 3,000 patients. In the course of these treatments he noted some interesting phenomena associated specifically with laser treatment compared with conventional methodology, such as the ability to treat side effects caused by some of the conventional methods. He also noted that treatment of target lesions with laser often concomitantly treated unassociated painful symptoms such as postherpetic neuralgia, consequently in 1979 the author specifically targeted pain applications using existing and newly developed laser systems. These included the defocused beam of the Nd:YAG, the HeNe laser, and a series of diode lasers developed both at the Japan Medical Laser Laboratory and in conjunction with Matsushita Electric Company. The International Society for Laser Surgery and Medicine (ISLSM) held its fourth meeting in Tokyo in 1981, at which the first commercially-available battery-powered laser therapy system was unveiled. Since then many other systems have been developed and experimentally evaluated. In 1988, the author was one of the founding members and the first President of the International Laser Therapy Association, and was the founding Editor-in-Chief of the journal, Laser Therapy, first published by John Wiley and Sons of Chichester, UK. To date, using laser therapy alone, over 9,000 patients have been treated at the author's clinics, and a further 29,000 have been treated with laser therapy in combination with laser surgery, as part of the author's total treatment concept (TTC). Case reports are presented to illustrate the author's concepts of low reactive level laser therapy (LLLT), high reactive level laser treatment (HLLT), and his latest concept of medium reactive level laser treatment (MLLT)."</t>
  </si>
  <si>
    <t>Tuner &amp; Hode</t>
  </si>
  <si>
    <t>Sweden</t>
  </si>
  <si>
    <t>Spie Proc Vol 4166</t>
  </si>
  <si>
    <t>100 positive double-blind studies: enough or too little?</t>
  </si>
  <si>
    <t>"It may come as a surprise to many critics that there are more than 100 positive double blind studies in the field laser therapy. This is a good base for a further understanding of the effects of low level laser in the clinical setting. We must, however, be as critical as the sceptics themselves in order to obtain a constructive dialogue between 'attorneys' and sceptics."
"Summing up, it can be stated that many of the allegedly negative studies on LLLT have been negative due to improper choice of laser parameters. These studies should not be uncritically used in serious discussions. Having said that, it is fair to take a look at the positive studies and to make a similar critical analysis of them."
"The number of studies for each indication is as follows: pain 41, arthritis/rheumatism 17, wound healing 8, epicondylitis 6, nerve function 5, tendinitis 4, hypersensitive dentin 3, mucositis 3, post herpetic neuralgia 2, TMD2, Herpes simplex 1, Sjögren's syndrome 1, fibrositis 1, allergic rhinitis 1, sinuitis 1, clonus 1, acupuncture 1, microcirculation 1 and trismus 1."
"Although the number of studies in the field of LLLT is reasonably high and the number ofpositive double blind studies is more than 100, the average quality is not very high, as can be seen from the above. This does not necessarily mean that the overall quality ofthe LLLT literature is poor in comparison to other treatment modalities. In a recent meta analysis of the existing literature on the treatment of Whiplash Associated Disorders, more than 10 000 reports were identified - abstracts and anecdotal reports included. Out ofthese, less than 100 (&lt;0.1%) were considered scientifically impeccable."</t>
  </si>
  <si>
    <t>Enwemeka CS</t>
  </si>
  <si>
    <t>LASER PHOTOSTIMULATION: An old mystery metamorphosing into a new millennium marvel</t>
  </si>
  <si>
    <t>The Cochrane analyses - can they be improved?</t>
  </si>
  <si>
    <t>Opinion</t>
  </si>
  <si>
    <t>"The aim of the international Cochrane collaboration is to continuously evaluate new and old medical therapies. The basis for the systematic reviews is the recognition of Randomised Controlled Trials as the “gold standard” for scientific evaluation of small and moderate effects from treatment. A thorough search is made for the available literature and the most “qualified” studies are analysed. The purpose of the analysis is to find out whether or not there is any solid support for a specific medical treatment modality. Such analyses are published in medical journals and extended versions are quarterly updated in the Cochrane Library. Since the Cochrane reviews are influential, it is important that the persons performing them possess a thorough knowledge about all aspects of Low Level Laser Therapy. The aim of the present study is to “analyse the analyses”."</t>
  </si>
  <si>
    <t>Sliney D</t>
  </si>
  <si>
    <t>USA
(Aberdeen Proving, MD)</t>
  </si>
  <si>
    <t>J Laser Appl</t>
  </si>
  <si>
    <t>Low level laser therapy wound treatment update</t>
  </si>
  <si>
    <t>Meeting report</t>
  </si>
  <si>
    <r>
      <rPr>
        <sz val="6.0"/>
      </rPr>
      <t xml:space="preserve">"Dr. David H. Sliney participated in the Laser Therapy Session of the meeting, held in the Pallazzo Le Stelline, Milan, Italy on Friday–Sunday, 18–20 June 1999.
At the conclusion of his Report Dr. Sliney notes: 
</t>
    </r>
    <r>
      <rPr>
        <i/>
        <sz val="6.0"/>
      </rPr>
      <t>‘Attendance at this meeting was quite interesting. Remarkable benefits continue to be claimed for laser, and even incoherent, light for treating wounds. Despite the fact that those who employ these techniques are impressed with their results, a sound understanding of the underlying photobiological mechanisms of LLLT remain elusive. Highly convincing, objective studies of clinical efficacy which meet all of the demands of the skeptics are required."</t>
    </r>
  </si>
  <si>
    <t>AIP Conference Proceedings 458</t>
  </si>
  <si>
    <t>Medical applications of space light-emitting diode technology—space station and beyond</t>
  </si>
  <si>
    <t>🐀 Rat + 🧪 In vitro</t>
  </si>
  <si>
    <t>"Space light-emitting diode (LED) technology has provided medicine with a new tool capable of delivering light deep into tissues of the body, at wavelengths which are biologically optimal for cancer treatment and wound healing. This LED technology has already flown on Space Shuttle missions, and shows promise for wound healing applications of benefit to Space Station astronauts."</t>
  </si>
  <si>
    <t>Karu &amp; Afanas'eva</t>
  </si>
  <si>
    <t>Dokl Akad Nauk</t>
  </si>
  <si>
    <t>[Cytochrome c oxidase as the primary photoacceptor upon laser exposure of cultured cells to visible and near IR-range light].
[Article in Russian]</t>
  </si>
  <si>
    <t>First paper suggesting the importance of cytochrome c oxidase.</t>
  </si>
  <si>
    <t>Basford JR</t>
  </si>
  <si>
    <t>Low intensity laser therapy: still not an established clinical tool.</t>
  </si>
  <si>
    <t>"In 1986, an editorial about laser therapy by this author had the grandiose and alliterative title “Laser Therapy: Hype, Hope or Hokum? At that time I concluded that clinical effective- ness was still unknown, but I hoped that within 5 years we would have definitive information. The definitive answer has not yet appeared, but some progress has been made. Much of the “hype” has dissipated and methodical, dispassionate, reproducible, controlled studies have become more common. Another significant change has been the relative standardization of the field with a commonality of lasers (IR diodes or HeNe) and radiant exposures of 1-4 J/cm2."
Comment: This is a good, yet critical review.</t>
  </si>
  <si>
    <t>Tadakuma T</t>
  </si>
  <si>
    <t>Keio J Med</t>
  </si>
  <si>
    <t>Possible application of the laser in immunobiology.</t>
  </si>
  <si>
    <t xml:space="preserve"> "Although much more research needs to be done, there are enough experimental and clinical data to show that the laser, and LLLT in particular,
 has a possibly exciting role both in immunobiological therapy for diseases of the immune system, and to activate and boost the normal reaction
 of the immune system components against harmful foreign bodies."</t>
  </si>
  <si>
    <t>Light and life: A review of low reactive-level laser therapy, following 13 years’ experience in over 12 000 patients</t>
  </si>
  <si>
    <t>"Laser therapy, or preferably, Low reactive-Level Laser Therapy (LLLT) is now being recognized as a valid medical tool, with the theories advanced from clinical experiences and double-blind trials being backed up by research data. From its beginnings with Professor Endre Mester’s experiments and clinical trials at the end of the 1960's, LLLT has steadily increased in applications to include an increasing number of medical specialties. The historical background of LLLT is given. The author examines the physical basics of LLLT, and demonstrates the differences between photoactivative laser therapy and photodestructive laser surgery. The α-effect phenomenon of simultaneous LLLT which was reported by early workers in conventional high-powered laser surgery is examined, and the development of pure LLLT is discussed. Wavelength-dependency is discussed, and the importance of methodology is demonstrated. The author discusses the importance of the use of correct terminology in writing or discussing LLLT, and the necessity for accurate and consistent reporting of LLLT therapeutic parameters. Some possible pathways of LLLT are examined, Examples are given showing a wide range of practical multispecialty clinical applications of LLLT, gained from the successful diode laser and combined laser therapy of pure and combined LLLT in over 12 000 patients over the past 13 years. Simultaneous LLLT, concomitant with laser surgery, is not included in these figures."</t>
  </si>
  <si>
    <t>Bakeeva</t>
  </si>
  <si>
    <t>Mol Biol (Mosk).</t>
  </si>
  <si>
    <t>[Formation of gigantic mitochondria in human blood lymphocytes under the effect of an He-Ne laser]. 
[Article in Russian]</t>
  </si>
  <si>
    <t>"Reconstruction of mitochondria from ultrathin sections through the whole lymphocyte showed that 1 h after the irradiation the number of mitochondria was reduced to 9-12 compared to 40-45 in the control cells.
In the irradiated lymphocytes 2-4 branching giant mitochondria were revealed instead of small discrete mitochondria in the control cells. Other 6-7 mitochondria were found to retain their shape and volume.
It is suggested that the giant mitochondria are formed by fusion of small mitochondria. Formation of giant mitochondria may reflect the increase in the energy exchange level."</t>
  </si>
  <si>
    <t>Effects of visible and near-infrared lasers on cell cultures.</t>
  </si>
  <si>
    <t>🧪 In vitro (fibroblasts)</t>
  </si>
  <si>
    <t>360
632
780</t>
  </si>
  <si>
    <t>"It is suggested that low-level laser therapy in the visible and in the near-infrared region is due to cell respiration stimulation by either the endogenous porphyrins in the cell, or by the cytochromes."</t>
  </si>
  <si>
    <t>Mendes E</t>
  </si>
  <si>
    <t>A Possible Explanation of the Unusual Influence of Narrow Band Red Light on Living Cells</t>
  </si>
  <si>
    <t>Results of these experiments raise the question of why red light has such an influence, and secondly especially why does it have such an influence on processes that do not need light, or are usually carried out in complete darkness. I propose that answer may lie in the following hypotheses: 
(A) Accumulated genetic information during evolution is stored in the cell, and not usually destroyed. 
(B) The genetic information can be activated if the condition in the past in which the information was stored can be duplicated.
Comment: This papers funnily demonstrates the relative lack of knowledge 25-30 years ago.</t>
  </si>
  <si>
    <t>McKibbin</t>
  </si>
  <si>
    <t>LLLT in Canada</t>
  </si>
  <si>
    <t>National update</t>
  </si>
  <si>
    <t>"In Canada the primary users of LLLT are physiotherapists which constitute 49% of all systems in operation, Other medical professionals such as medical doctors, dentists and chiropractors using LLLT account for 26% with sports medicine at 5%, wholistic medicine at 2%, addiction control at 7% and homecare facilities at 5%. Private individuals and veterinary users report 1%, while acupuncturists account for 5% usage."</t>
  </si>
  <si>
    <t>LLLT in the People's Republic of China</t>
  </si>
  <si>
    <t>"Laser medicine, particularly LLLT is one of the fast-growing fields in China, Ruby, He-Ne, CO2, waveguide CO2, YAG, neodymium glass, nitrogen, He-Cd, dye, argon and GaAlAs laser systems are developed, but He-Ne and CO2 are the main popularized in LLLT. Multi-function, portable CO2 laser system will soon become the most favourite, and spreading throughout China, The photobioactive effects of LLL irradiation and the meridian and acupoints of traditional Chinese medicine as the basis of laser acupuncture opened a very wide field for LLLT in China, LLLT has been applied in different clinical specialties, mainly internal medicine, skin surgery, dermatology, ophthamology, ENT, stomatology, obstetrics and gynecology, plastic surgery, laser acupuncture and veterinary medicine for hundreds of diseases with excellent and good effects."
Comment: It's somewhat sad that LLLT in China was so strongly based on the myths about meridians and acupuncture.</t>
  </si>
  <si>
    <t>Cassar
Galletti
Goepel
McKibbin &amp; Downie
Mester
Moore
Motegi
Enwemeka
Zhou
Kao
Roshal</t>
  </si>
  <si>
    <t>Australia
Italy
France
Canada
Hungary
UK
Japan
USA
China
Taiwan
Soviet union</t>
  </si>
  <si>
    <t>International update in LLLT</t>
  </si>
  <si>
    <t>Abstract series</t>
  </si>
  <si>
    <t>In this paper, several authors report the state of LLLT in their countries.</t>
  </si>
  <si>
    <t>Journal of Laser Applications</t>
  </si>
  <si>
    <t>The Clinical Status of Low Energy Laser Therapy in 1989</t>
  </si>
  <si>
    <t>"Low energy laser therapy has gained varying acceptance as a treatment for a broad range of soft tissue, musculoskeletal and neurological conditions. A controversial, but surprisingly large body of research with cell cultures suggests that laser irradiation can nondestructively alter cellular processes. Unfortunately, animal and human studies are often contradictory and difficult to evaluate due to differing study designs. As a result, the clinical effectiveness of low energy laser therapy remains debatable. Nevertheless, the findings are intriguing and deserve further investigation."</t>
  </si>
  <si>
    <t>Devor M</t>
  </si>
  <si>
    <t>What's in a laser beam for pain therapy?</t>
  </si>
  <si>
    <t>"We publish here 4 papers on the lack of a specific effect produced by a very expensive form of purported therapy. With all the media hype about lasers and their use in surgery, 'Star Wars,' and science-fiction ray guns, it is natural that a certain mystique has built up about the remarkable properties of 'laser radiation.' Indeed, in recent years helium-neon (He-Ne) laser radiation has been advocated for the treatment of a number of intractable medical ailments, notably pain, an application strongly promoted by the manufacturers and vendors of extremely expensive He-Ne laser therapy equipment. What's in a laser beam?
Not everyone is aware that lasers produce light and nothing more. He-Ne lasers produce red light (...)"
"If a red flashlight with mystical labels is as effective as a $10,000 laser instrument, who wins when the laser is purchased?"</t>
  </si>
  <si>
    <t>Katalinic D</t>
  </si>
  <si>
    <t>Germany
(Nürnberg)</t>
  </si>
  <si>
    <t>Science or pseudo-science?</t>
  </si>
  <si>
    <t>"The German medical journal Therapiewoche (publisher Verlag G. Braun, Karlsruhe), one which lays claim to credibility, published an editorial in its issue No. 39, 49 (1989) under a heading which read: `Low-power lasers: Humbug or therapeutic light?' The contents of this article were meant to be an epitaph to LLLT medicine. There was someone who would have that laser light biostimulation does not exist, The intention was to ridicule laser therapy, Various assumptions, presumptions and speculations were said to constitute the true and proper science. Graduate engineer Claus Schwing of Frankfurt, West Germany. is the author of this compendium on laser therapy. The scientific problem appears simple, summarized by him as: Laser therapy is humbug! From a question mark in the heading. the text of the article advances to a statement of fact!
In the following the major passages of Mr Schwing's article are summarized (in translation by the author DK) together with my reply. which unfortunately was not printed in Therapiewoche. I have it to the reader of Laser Therapy to draw their own conclusions."</t>
  </si>
  <si>
    <t>King PR</t>
  </si>
  <si>
    <t>Low level laser therapy: A review</t>
  </si>
  <si>
    <t>"The biological and clinical effects of sub-thermal doses of laser light is an area of some controversy. In this review the published scientific evidence for such effects is examined with particular reference to the physics of the light delivery and dosimetry."
"In discussing the published work on LLLT and photobioactivation it has been shown that many of the shortcomings in the literature available in 1986 are still present, particularly the lack of controls and poor dosimetry. Nonetheless, there are reports of wellconducted experiments and these paint a mixed picture, with some researchers finding a clear effect while others found none. Before LLLT can be accepted as a useful clinical technique, particularly at a time when healthcare resources are so stretched, these discrepancies will have to be resolved."
Comment: This was a very extensive, nice review.</t>
  </si>
  <si>
    <t>Laser biostimulation: a photobiological phenomenon.</t>
  </si>
  <si>
    <t>"In conclusion, I would like to suggest some other terms to be used instead of “laser biostimulation” which is not correct from the scientific point of view. One is “modulation of cellular metabolism by visible light” or “photoregulation of cellular metabolism”, and another, for use in medicine, “red light phototherapy”."</t>
  </si>
  <si>
    <t>Low-energy laser therapy: controversies and new research findings.</t>
  </si>
  <si>
    <t>"In summary, the most convincing evidence for low-energy laserilight stimulation is found at the cellular level. Work done with animals and humans is also suggestive but is too uneven to more than outline areas of future research."</t>
  </si>
  <si>
    <t>Ohshiro &amp; Calderhead</t>
  </si>
  <si>
    <t>The terminology of laser therapy</t>
  </si>
  <si>
    <t>Il Nuovo Cimento D</t>
  </si>
  <si>
    <t>Biostimulation of HeLa cells by low-intensity visible light. V. Stimulation of cell proliferationin vitro by He−Ne Laser irradiation</t>
  </si>
  <si>
    <t>"Autoradiographic experiments, performed with monolayer HeLa cells, show that the irradiation with He-Ne laser (D=100 J/m2) causes an increase in the number of S-phase cells connected with enhanced G1-S transition of a part of the population, as well as an increase in the grain count on the labelled nuclei connected with an enhancement of DNA synthesis in Sphase cells. The irradiation influences the proliferation rate of various subpopulations not in equal degree, as shown analysing the clone size distribution after the irradiation (D=10, 102, 103J/m2). The stimulative effect of irradiation is most noticeable on the proliferation activity of the slowly growing subpopulations."</t>
  </si>
  <si>
    <t>Brunner</t>
  </si>
  <si>
    <t>BOOK(?): Therapeutic Photomedicine</t>
  </si>
  <si>
    <t>Applications of Laser Light of Low Power Density. Experimental and Clinical Investigations</t>
  </si>
  <si>
    <t>"Besides the tissue destructive effects of high-power lasers, photobiological and photochemical effects of low-power lasers have been described [2-6]. Remarkable therapeutic success of low-power lasers in the treatment of burns, chronic radiodermatitis, and leg ulcers via a non-thermal mechanism has been reported mainly from the USSR [7-9]. The clinical studies are based on the work of Iljushin [10] performed at the University of Kasachstan, who investigated the basic cell biological effects of low-power lasers."
"It is clear, however, that further experimental and clinical investigations are necessary to clarify the mechanism of action of the low-power density laser light and to establish its clinical value. "</t>
  </si>
  <si>
    <t>Mayo Clin Proc</t>
  </si>
  <si>
    <t>Low-energy laser treatment of pain and wounds: hype, hope, or hokum?</t>
  </si>
  <si>
    <t>"Research studies of the effects of low-energy laser irradiation on biologic function are growing in number and scope. Although many experiments show alleviation of pain, the quality of the investigations, the number of subjects, and the varied techniques frequently preclude statistical verification. Wound-healing experiments tend to show acceleration of healing, but these findings are often concentrated in the early phases of the healing process and are most pronounced in rodents and rabbits. The evidence in pigs and humans is, at best, unconvincing. Although some investigators have claimed to find "systemic" rather than simply "local" effects, many studies fail to show either local or systemic benefit. Currently, no universally accepted theory has explained the mechanism of either "laser analgesia" or "laser biostimulation." Although a theoretical understanding is unnecessary to establish benefit, the lack of knowledge complicates the evaluation of conflicting results. 
Even though numerous conditions have been treated with these devices, well-proven benefits at the milliwatt levels usually used in the United States have not been published. Currently, the wavelengths, dosage schedules, and appropriate conditions to be treated are not established. Thus, the question of whether these treatments offer hope, or are merely hype and hokum, is unanswered. Because of the large number of positive reports and the innocuous nature of the treatments, further clinical evaluation of laser therapy is warranted."</t>
  </si>
  <si>
    <t>Thiel H</t>
  </si>
  <si>
    <t>J Can Chiropr Assoc</t>
  </si>
  <si>
    <t>Low power laser therapy — an introduction and a review of some biological effects</t>
  </si>
  <si>
    <t>"This report gives a brief introduction to the characteristics of therapeutic low power laser devices. Absorption, tissue penetration and physiological mechanisms of laser irradiation are discussed. The biological effects of low power laser light are reviewed in the areas of collagen metabolism, woundhealing, inflammation and pain control. Contraindications, precautions and side effects of low power laser irradiation are discussed."
"The use of the low power laser as a physical therapy modality is becoming increasingly popular with various centers and practitioners in private practice. Although clinical results seem very promising, and the low power laser fits perfectly into the realm of "high-tech" therapy, one has to be careful not to regard it as a panacea. To this point of time laser has not been able to replace many of the current techniques and physical modalities. However, it can be used on conjunction to improve the health care available to patients and we, as health care providers, need to be aware of its possible uses and versatility."</t>
  </si>
  <si>
    <t>Mester E</t>
  </si>
  <si>
    <t>The biomedical effects of laser application.</t>
  </si>
  <si>
    <t>“This paper briefly reviews the authors' experimental and clinical use of lasers over a 20-year period, during which laser effects on 15 biological systems were studied. Low-energy laser radiation was found to have a stimulating effect on cells, and high-energy radiation had an inhibiting effect. The application of lasers to stimulate wound healing in cases of nonhealing ulcers is recommended.”</t>
  </si>
  <si>
    <t>Lobko, Karu &amp; Letokhov</t>
  </si>
  <si>
    <t>Biofizika</t>
  </si>
  <si>
    <t>[Is the coherence of low-intensity laser light essential for its effect on biological objects?].
[Article in Russian]</t>
  </si>
  <si>
    <t>Coherence</t>
  </si>
  <si>
    <t>“It means that the role of coherent interaction processes is negligible. This conclusion is confirmed by the experimental results obtained with living cells of different types.”</t>
  </si>
  <si>
    <t>Sato</t>
  </si>
  <si>
    <t>Andrologia</t>
  </si>
  <si>
    <t>The effects of laser light on sperm motility and velocity in vitro.</t>
  </si>
  <si>
    <t>0.5
1.0
2.0
4.0
8.0
32</t>
  </si>
  <si>
    <t>80
80
80
80
80
160</t>
  </si>
  <si>
    <t>"Total sperm motility increased after Laser irradiation at 4 J/cm2, 8 J/cm2 and 32 J/cm2 respectively with respect to control. However, no influence on sperm velocity was demonstrated after Laser irradiation. This observation suggests that Laser light stimulates non-motile live spermatozoa."</t>
  </si>
  <si>
    <t>Barnes JF</t>
  </si>
  <si>
    <t>USA
(Paoli, PA)</t>
  </si>
  <si>
    <t>J Craniomandibular Pract</t>
  </si>
  <si>
    <t>Electronic Acupuncture and Cold Laser Therapy as Adjuncts to Pain Treatment</t>
  </si>
  <si>
    <t>"On the whole, electronic acupuncture and cold laser therapy seem to be quite helpful in relieving patients' pain. We have had excellent results with these techniques, and patients generally accept them well."
Comment: This article doesn't have a high scientific quality, but it's still an interesting piece from the '80s.</t>
  </si>
  <si>
    <t>Greguss</t>
  </si>
  <si>
    <t>Low-level laser therapy — reality or myth?</t>
  </si>
  <si>
    <t>""In his paper on ‘Interaction between laser radiation and biological systems' F. Hillenkamp states that the overwhelming majority of the phenomena observed in biomedical laser applications are not laser specific, and most of them have been seen to occur and investigated with thermal light sources as well. Should phenomena. such as wound healing and various types of what is often called biostimulation with low-level laser irradiation LLLI of various wavelengths, be proven beyond scientific doubt, new exotic interaction processes will have to be postulated. The scope of this article is to investigate whether, more than 15 years after the first claims that LLLI has a specific biological effect. the stage of proven beyond scientific doubt has been reached, and what can be expected in the future in this regard."
"In this paper an attempt has been made to find out whether low-level laser therapy is indeed laser specific, and whether it may offer advantages over other physiotherapeutic methods, since, as pointed out by Leon Goldman, the ‘indiscriminate use of lasers jeopardizes the structure of public faith in laser medicine’. 
Based on a comprehensive survey of papers published in physical, chemical, biological and medical journals in English, French, German, Hungarian. Japanese and Chinese. we concluded that
1 low-level laser irradiation. when having a biostimulating effect, is not laser specific
2 low-level laser irradiation has no measurable effect on biological tissue repair
3 low-level laser irradiation may replace the needle or moxa in acupuncture therapy.
These findings, however, are valid only for continuous wave HeNe lasers. and it will be the task of the next investigation to find out what the situation is with other wavelengths - not only low but also middle level, and not only cw lasers, but also pulsed. Qswitched and mode-locked. The author completely agrees with the motto of Goldman who recommended recently to researchers: ‘If you don’t need a laser. don’t use it!‘"
Comment: This was an interesting historical pieces.</t>
  </si>
  <si>
    <t>Kubasova</t>
  </si>
  <si>
    <t>Biological effect of He-Ne laser: investigations on functional and micromorphological alterations of cell membranes, in vitro.</t>
  </si>
  <si>
    <t>"At the same time, the scanning and transmission electron microscopy of laser-irradiated cells did not reveal any micromorphological or ultrastructural alterations. The effect of a 5-J/cm2 dose did not differ from that of 1 J/cm2. It is suggested that laser radiation-induced circumstances on cell surfaces can contribute to the strength of cell-to-cell contacts, i.e., to the stimulation of epithelization experienced in the clinical gynecologic practice."</t>
  </si>
  <si>
    <t>Control of connective tissue metabolism by lasers: recent developments and future prospects.</t>
  </si>
  <si>
    <t>"Various laser modalities are currently in extensive use in dermatology and plastic surgery, particularly for treatment of vascular and pigmented lesions. A relatively new area of laser utilization involves the possible biologic effects of the lasers. In this overview, we are summarizing our recent studies, which indicate that lasers at specific wavelengths and energy densities modulate the connective tissue metabolism by skin fibroblasts both in vitro and in vivo. Specifically, the neodymium-yttrium-aluminum-garnet (Nd: YAG) laser was shown to selectively suppress collagen production both in fibroblast cultures and in normal skin in vivo, thus suggesting that this laser modality may be useful for the treatment of fibrotic conditions such as keloids and hypertrophic scars. Furthermore, two low-energy lasers, helium-neon (He-Ne) and gallium-arsenide (Ga-As), were shown to stimulate collagen production in human skin fibroblast cultures, suggesting that these lasers could be used for enhancement of wound healing processes. These experimental approaches illustrate the future possibilities for applying lasers for the modulation of various biologic functions of cells in tissues and attest to the potential role of lasers in the treatment of cutaneous disorders."</t>
  </si>
  <si>
    <t>Passarella</t>
  </si>
  <si>
    <t>Italy
(Bari)</t>
  </si>
  <si>
    <t>FEBS Lett</t>
  </si>
  <si>
    <t>Increase of proton electrochemical potential and ATP synthesis in rat liver mitochondria irradiated in vitro by helium-neon laser.</t>
  </si>
  <si>
    <t>Rat liver mitochondria</t>
  </si>
  <si>
    <t>First paper showing increased ATP after LLLT irradiation.
"This paper clearly shows that the irradiation of isolated rat liver mitochondria in vitro by low power He-Ne laser causes an increase in membrane potential, proton gradient and ATP synthesis."</t>
  </si>
  <si>
    <t>[Phototherapy of gastric and duodenal peptic ulcer patients based on cell stimulation with low-intensity red light].
[Article in Russian]</t>
  </si>
  <si>
    <t>🧑 Human
📄 (?)
👥 (?)
⌛ (?)</t>
  </si>
  <si>
    <t>LLLT was already being studied in humans in 1984.</t>
  </si>
  <si>
    <t>Biostimulation of Hela cells by low-intensity visible light ["part II"]</t>
  </si>
  <si>
    <t>Blue light 🔵 (near-UV)
Wavelength comparison</t>
  </si>
  <si>
    <t>300-
900</t>
  </si>
  <si>
    <t>"The synthesis of DNA and RNA is stimulated in several spectral intervals with maxima nearby 400, 630, 680, 760 and 820 nm. The stimulation effect is very sensitive to the irradiation duration (light intensity) at a fixed dose. The dose that causes the maximal stimulation is approximately 10 times smaller in the near-UV blue region than in red-IR region."</t>
  </si>
  <si>
    <t>Soviet Journal of Quantum Electronics</t>
  </si>
  <si>
    <t>Biological action of low-intensity visible light on HeLa cells as a function of the coherence, dose, wavelength, and irradiation regime. II.</t>
  </si>
  <si>
    <t>313-
860</t>
  </si>
  <si>
    <t>"An investigation was made of the action of low-intensity cw visible light of wavelengths in the range 313–860 nm on the rate of DNA synthesis in a culture of HeLa cells. It was found that the synthesis of DNA was stimulated in three spectral ranges: 313–450 nm, 600–650 nm, and 750–840 nm. For a fixed dose the stimulation effect was very sensitive to the irradiation time (radiation intensity). The maximum increase in the rate of DNA synthesis occurred in lesssim15 min from the beginning of irradiation and the effect was retained for several hours. The stimulation effect was less in the case of two-wavelength (dichromatic) irradiation of the cells with red and wide-band visible light."</t>
  </si>
  <si>
    <t>Biological action of low-intensity visible light on HeLa cells as a function of the coherence, dose, wavelength, and irradiation regime</t>
  </si>
  <si>
    <t>LLLT vs non-coherent</t>
  </si>
  <si>
    <t>""An investigation was made of the action of λ = 633 nm low-intensity red light (He–Ne laser, incandescent lamp with light filters, dye laser pumped by a copper laser) on the rate of nucleic acid synthesis in HeLa cells 1.5 h after irradiation. It was found that DNA synthesis is stimulated almost equally by irradiation with an He–Ne laser and with a conventional source; the rate of RNA synthesis remains the same in both cases. On exposure to λ = 633 nm pulse-periodic radiation, RNA synthesis is stimulated and DNA synthesis is unaffected. Spectra of the stimulating effect of cw light in the 570–693 nm range on DNA and RNA synthesis are presented.""</t>
  </si>
  <si>
    <t>Biostimulation of HeLa cells by low-intensity visible light</t>
  </si>
  <si>
    <t>633
570-
693</t>
  </si>
  <si>
    <t>"It has been shown that the DNA synthesis is stimulated similarly after irradiation both by the He−Ne laser and by an ordinary source. The RNA synthesis intensity does not alter in both cases. A high-repetition-rate radiation at λ=633 nm acts in the opposite manner: it stimulates the RNA synthesis and the DNA synthesis remains constant. The action spectra of the DNA and RNA synthesis stimulation by continuous light in the range (570÷693) nm are presented."</t>
  </si>
  <si>
    <t>Hillenkamp F</t>
  </si>
  <si>
    <t>BOOK: Lasers in Biology and Medicine</t>
  </si>
  <si>
    <t>Interaction between Laser Radiation and Biological Systems</t>
  </si>
  <si>
    <t>"The interaction mechanisms, discussed in this lecture, are all not laser specific and most of them have been seen to occur and investigated with thermal light sources as well. They can, at least in principle, explain the overwhelming majority of phenomena observed in biomedical laser applications. A few other effects, e.g. wound healing and various types of what is often called biostimulation with low level laser irradiation at various wavelengths do not seem to fit into the discussed frame. This does however not mean that new, exotic interaction processes have to be postulated, based e.g. on the coherency of laser light. An investigation into the basic mechanisms of these so far unexplainable phenomena could be very interesting and fruitful, should the phenomena themselves be proven beyond scientific doubt. Anyone, who endeavours into this field, should however do it with the full knowledge and proper appreciation of the interactions already known to exist and with a scrutiny and care comparable to that employed in the investigations that have led us to our present state of knowledge."</t>
  </si>
  <si>
    <t>Salet</t>
  </si>
  <si>
    <t>Exp Cell Res</t>
  </si>
  <si>
    <t>A study of beating frequency of a single myocardial cell. III. Laser micro-irradiation of mitochondria in the presence of KCN or ATP.</t>
  </si>
  <si>
    <t>An ancient paper showing cellular changes in myocardial cell, after green light irradiation. The authors suspect that the changes might be related to ATP production. The authors discuss the effects of light on animals.
"If our inferences concerning ATP involvement are valid, this emphasizes the similarities between mitochondria and bacteria, especially Halobacteria, which are able to produce ATP on light illumination"
Note: A wavelength of typical LLLT range (600-1100nm) was not used.
[Also see additional info]</t>
  </si>
  <si>
    <t>"The stimulation with visible light of heart in toto is well stablished [20-221. To the best of our knowledge, this point was reported for the first time by Arvanitaki &amp; Chalazonitis who demonstrated that the action spectrum for stimulating Helix pomatia heart has the same shape than the absorption spectrum of mitochondria [20]. Light can also change the beating rate of heart cells in tissue culture, a good model for investigating this effect"</t>
  </si>
  <si>
    <t>★
★</t>
  </si>
  <si>
    <t>Gamaleya NF</t>
  </si>
  <si>
    <t>Ukraine/USSR
(Kiev)</t>
  </si>
  <si>
    <t>BOOK: Laser applications in medicine and biology (Volume 3)</t>
  </si>
  <si>
    <t>Laser Biomedical Research in the USSR</t>
  </si>
  <si>
    <t xml:space="preserve">A 170-page review summarizing the medical laser research in the Soviet Union. A huge collection of interesting data.
"4.3. Laser Biostimulation (...)
[A] new approach in principle to the problem of therapeutic application of lasers can be made on the assumption that the energy of laser radiation can be incorporated into the natural processes of the living organism in much the same way as quanta of light are incorporated into the chain of photosynthetic reactions of plants (...)
In Section 3, experimental data were given to show that radiation from a He-Ne laser with low power density (usually ranging from tenths of a milliwatt to several milliwatts per square centimeter) has a stimulating action on the haeling of skin grafts in rabbits (Korytnyi, 1969), on regeneration of burns of the skin in rats (Makhmudova, 1973) and of the mucous membrane of the tongue in (Korytnyi and Askarova, 1974), on the uniting of fractures in dogs (Chekurov, 1971) and the healing of bone defects in rabbits (Gorpinko and Gavrilov, 1973), and on growth of a somatic nerve (Rakhishev and Tsoi, 1973), and so on. Meanwhile, Sokolova and Boiko (1973), who used a He-Ne laser to irradiate rabbits in which inflammation had been produced by the subcutaneous injection of turpentine, observed aggravation of the course of the inflammation and reduced reactivity of the irradiated animals."
"The impression is thus conveyed that radiation from a He-Ne laser with low power density is not inert in its action on the living organism but has an influence on the course of various metabolic processes; however, whether this influence is favorable or not must evidently depend on the experimental method (the dosage of radiation, the rhythm of exposure, and so on). These experimental studies provided the basis for the attempts, which will be examined below, to use He-Ne-laser radiation in clinical practice. In turn, the experimental and clinical studies were based to some extent on theoretical views developed in the Department of Biophysics of the Kazakh State University (Inyushin, 1972; Inyushin and Chekurov, 1975). These views, largely a development of Gurvich's (1968) concept of the biological field and mitogenetic radiation, and Szent-Gyorgyi's (1968) concept of the role of the electronic state of the cell in processes of vital activity, will be examined in more detail in Section 5, but they can be briefly summarized (...)"
"Helium-neon-laser radiation is considered to have an antiinflammatory, vasodilator, and analgesic action, and to stimulate the regenerative powers of tissues (Chekurov, 1972), and the wide range of indications for the therapeutic use of laser energy include inflammatory conditions, neurogenic diseases, neurovascular trophic disturbances, metabolic disorders, and so on."
"Kovinskii (1973) and Kovinskii et al. (1974) have reported the treatment of patients with severe burns by radiation from a CW He-Ne laser."
Note: See the "Additional info" column for more quotes.
</t>
  </si>
  <si>
    <t>"A number of interesting communications on the action of He-Ne-laser radiation on indolent infected wounds and trophic ulcers have been published. Shchur et al. (1971) and Shchur and Makeeva (1972) used a system consisting of a He-Ne laser (...)"
"Durmanov and Akhmetov (1973) described the treatment of 5 patients with ulcers resulting from X-ray therapy."
"Babayants and coworkers (Babayants et at., 1972, 1974; Devyatkov et at., 1973; Rakcheev, 1973) analyzed the results of treatment of 135 patients with ulcerative conditions of the skin of varied pathogenesis."
"Good immediate results of the treatment of 49 patients with infected wounds and ulcers were recorded by Bogdanovich et at. (1973, 1974)."
"Koshelev et at. (1973), in a brief paper, state that in their investigations, radiation from a He-Ne laser with a power of 2-40 mW and also from an UV N laser (wavelength 337.1 nm, power 2 mW) stimulated the healing of indolent wounds and trophic ulcers in 20 patients and accelerated callus formation in the same number of patients with fractures of the long bones"
"A paper describing the work of Professor Mester and co-workers and published in Hungary (Mester et at., 1973) contains information in agreement with the data on stimulation of healing of trophic ulcers by HeNe-laser radiation described above. In view of the novelty and the lack of solid confirmation that characterized the data on laser biostimulation, and also in view of the obvious unfamiliarity of the Western reader with this work, it seemed advisable to include it within the scope of this examination."
"The Kazakh workers have also published several reports on the treatment of polyarthritis with He-Ne-laser radiation. Chekurov and co-workers (Chekurov, Zav'yalova, et at., 1970) and Zav'yalova (1972) described the treatment of 70 patients by He-Ne-laser radiation with a power density of 0.1-12 mW/cm2"
"Odinets (1972) used radiation from a 20-mW He-Ne laser to treat 30 patients with rheumatoid polyarthritis in whom the disease had lasted from 2 to 20 years."
"Bogdanovich et al. (1973, 1974) published the results of He-Ne-laser treatment of 145 patients with diseases of the locomotor system: 75 with arthritis deformans, 68 with calcanean spurs, 12 with osteochondrosis, and 30 with epicondylitis, periarthritis, and other diseases."
"Chekurov and co-workers (Chekurov, Inyushin, et at., 1970) found good immediate results in 23 patients with endarteritis obliterans as a result of local irradiation and irradiation of reflexogenic zones by a He-Ne laser (...)"
"The favorable results of treatment of 101 patients with primary and secondary radiculitis (Mazo, 1971) and of 21 patients with paralysis following spinal tuberculosis (Chenskikh et at., 1973) have also been reported. "
Note: See the "Additional info 2" column for more quotes.</t>
  </si>
  <si>
    <t xml:space="preserve">"Several papers have dealt with the use of He-Ne-laser radiation for the treatment of periodontosis. Korytnyi and Zazulevskaya (1970) treated 44 patients with the inflammatory-dystrophic form of periodontosis."
"Askarova (1972) used radiation from a 20-mW He-Ne laser to treat 60 patients with an inflammatory-dystrophic form of periodontosis in stages I and II of the disease."
"In papers by Korytnyi (1971) and Baigurina (1972), the treatment of more than 60 patients with chronic recurrent aphthous stomatitis by HeNe-laser radiation with a power of 20-25 mW is described."
"Radiation from a He-Ne laser with power density of 25 mWjcm2 was applied to certain reflexogenic zones and acupuncture points in order to treat patients with an inflammatory condition of the uterine adnexa (Bykhovskii and Khrebtov, 1971; Bykhovskii, 1972)."
"A study of the dynamics of changes in the serum protein fractions of patients with inflammation of the uterine adnexa during laser therapy (Moshcheeva, 1972) showed a gradual restoration of the normal blood protein spectrum, corresponding to disappearance of the clinical manifestations of the disease."
"A number of papers have been published on the treatment of hypertension by He-Ne-laser radiation through its action on reflexogenic zones and acupuncture points. Shchur et at. (1972) irradiated 18 patients with an initial stage of arterial hypertension by means of a He-Ne-laser beam with a power of about 20 mW."
"Ermukhambetov (197.1) gives the results of treatment of 31 patients with stage II hypertension."
"Utemuratova and Sokol ova (1970) treated 118 patients with He-Nelaser radiation and observed normalization of the arterial pressure in 108; in 10 patients, the pressure was unchanged."
"Voronina (1972) and Voronina and Inyushin (1972) treated 21 patients with bronchial asthma by irradition with a He-Ne laser."
"A few papers describe attempts to use He-Ne-laser radiation to treat infantile cerebral palsy (Shakirova and Inyushin, 1971), inflammatory diseases of the spinal cord (Chekurov and Paremskaya, 1972), and certain mental diseases (Kunin and Stolyar, 1973)."
"Nevertheless, that metabolic processes can be stimulated by He-Ne-laser radiation-and perhaps not only by He-Ne, for single cases of the use of the ruby laser (Mester et at., 1973) and the NUV laser (Koshelev et at., 1973) have also been publishednow appears to be sufficiently firmly established by animal experiments and clinical observations. That this is possible could be a pointer to a new type of medical use of lasers-a use that will probably be more rewarding than their use for the destruction or division of tissues."
</t>
  </si>
  <si>
    <t>Mester</t>
  </si>
  <si>
    <t>Hungary</t>
  </si>
  <si>
    <t>Acta Chir Acad Sci Hung</t>
  </si>
  <si>
    <t>Lasers in clinical practice.</t>
  </si>
  <si>
    <t>📖 Review ?</t>
  </si>
  <si>
    <t>Radiobiol Radiother (Berl).</t>
  </si>
  <si>
    <t>[The effect of laser beams on the growth of hair in mice].[Article in German]</t>
  </si>
  <si>
    <t>Langenbecks Arch Chir</t>
  </si>
  <si>
    <t>[Studies on the inhibiting and activating effects of laser beams]. [Article in German]</t>
  </si>
  <si>
    <t>🧪 In vitro &amp; in vivo ??</t>
  </si>
  <si>
    <t>"Laser beams of low energy were tested on four biological systems and were found to promote the cell functions. Higher radiant energy causes inhibition. Repeated small doses of radiation have a cumulative effect. The knowledge of these facts is essential if any therapeutic use is intended."
Original title: "Untersuchungen über die hemmende bzw. fördernde Wirkung der Laserstrahlen"
Comment: It is nice that parameters were considered already in the sixties!</t>
  </si>
  <si>
    <t>Carney</t>
  </si>
  <si>
    <t>Biochim Biophys Acta</t>
  </si>
  <si>
    <t>The effect of light from a ruby laser on the metabolism of skin in tissue culture.</t>
  </si>
  <si>
    <t>🧪 In vitro 
(ex vivo skin)</t>
  </si>
  <si>
    <t>"Split thickness skin (0.15 mm) from albino guinea pigs was exposed to light from a ruby laser. Measurements with a copper cone calorimeter showed that about 40% of the light was absorbed, 40% was transmitted and 20% was reflected. After exposure to energy densities ranging from 0.4 to 2.5 J/mm2 the skin was maintained on a medium containing radioactive isotopes in tracer amounts to enable the synthesis of intracellular substances to be measured. Graded inhibition of sulphate uptake and proline uptake was observed; 50% inhibition of both processes occurred at an incident energy density of about 2.5 J/mm2."</t>
  </si>
  <si>
    <t>Orv Hetil</t>
  </si>
  <si>
    <t>[The use of the laser beam in therapy].
[Article in Hungarian]</t>
  </si>
  <si>
    <t>First scientific paper on LLLT?</t>
  </si>
  <si>
    <t>Congress reports</t>
  </si>
  <si>
    <t>Calderhead RG</t>
  </si>
  <si>
    <t>Meeting Report: Fourth Jalta Meeting, Hokkaido University Sapporo: 4 And 5 July 1992</t>
  </si>
  <si>
    <t>"The fourth annual meeting of the Japan Laser Therapy Association (JaLTA) was held recently on 4 and 5 July in the University of Hokkaido, Sapporo City"</t>
  </si>
  <si>
    <t>ILTA NEWS [International Laser Therapy Association]</t>
  </si>
  <si>
    <t>- 1990 Okinava Proceedings Now Out
- Report on the 3rd Japan Laser Therapy Association (JaLTA) Congress
- London Laser 1992</t>
  </si>
  <si>
    <t>Review of the biostimulation session of the 11th meeting of the American Society for Laser Medicine and Surgery (ASLMS)</t>
  </si>
  <si>
    <t>"Thirteen papers were scheduled for presentation during this session, extended at Dr Anders' request to allow a fuller representation of what is happening in the LLLT world"</t>
  </si>
  <si>
    <t>Meeting Report: Ninth Congress of the International Society for Laser Surgery and Medicine, Anaheim, California USA: 2-6 November 1991</t>
  </si>
  <si>
    <t>Coherence
Parameters</t>
  </si>
  <si>
    <t>""[F]rom a total of 130 papers presented at the entire meeting, 23 papers were presented on LLLT and biostimulatoin""
"Lars Hode, Irradia, Stockholm, Sweden, presented 'The role of coherence in laser biostimulation'. Contrary to the rash of popular 'laser-bashing' in the literature (monochromaticity versus coherence), Dr Hode clearly stated that coherence was of paramount importance, and was not in fact 'lost in the first few microns of living tissue'. He also drew attention to the importance of polarity, summing up that in living organisms, in vivo laser applications, coherence plus polarity were important: however for in vitro work, mainly monochromaticity (of the factors which constitute coherence) plus polarity were important.
Dr Hode discoursed on the importance of the laser speckle phenomenon: each speckle has been proved to be in itself coherent, and polarized. Dr Hode then set up an empty 2 cm deep specimen dish with lid behind which he placed a monochromatic light system and a small HeNe laser. In front of the dish, between the dish and the audience, he placed a sheet of translucent paper. The lights were dimmed, and the two light sources activated. Both red spots were clearly seen, but the laser spot was brighter, with the clearly-visible speckle phenomenon. Dr Hode then replaced the dish with an identical dish packed with Disneyland Hotel-provided raw, fresh minced beef-steak. When the light systems were once again operated, the noncoherent spot was much smaller and fainter, but the laser spot, brighter than the other, still exhibited in the speckle pattern (...)
Dr Hode rested his case, summing up with the conclusion that LLLT action in living tissue is certainly laser specific, but in cells in thin layers in vitro, it is not necessarily so. "
"There were many excellent presentations, one or two outstanding, both in the experimental and clinical fields, and the reviewer feels that none of them could be branded as a 'hokum' paper. However, some papers were marred by incomplete or nonexistant reporting of the parameters used in the experiment or therapy. Without these, as has been said in this journal again and again (and no doubt yet again), repetition of the experiment or procedure will not produce the same results, because it's not the same experiment. Please, whether giving an oral presentation, or submitting a paper to Laser Therapy (preferably), or any other journal, check the accuracy and detail of all your parameters!"</t>
  </si>
  <si>
    <t>Report on Laser 90, Manchester, UK</t>
  </si>
  <si>
    <t>Note: Even in this 1990 paper, the term "photobiomodulation" is mentioned.</t>
  </si>
  <si>
    <t>Report on first ILTA congress and post-congress</t>
  </si>
  <si>
    <t>"The congress was attended by 561 delegates, comprising 132 overseas attendees and 429 attendees from Japan, plus accompanying persons."</t>
  </si>
  <si>
    <t>Laser Ther editorials</t>
  </si>
  <si>
    <t>Light and Life: Looking Forward</t>
  </si>
  <si>
    <t>""I feel strongly that laser therapy will be THE light of 21st Century medicine, and we must strive in these last eight years of the 20th century to make sure that we move forward into the 21st century in full awareness of what laser therapy is, what it can do and why it can do it, but perhaps even more imporatnly we must also recognise that LLLT is not 'magic'. Laser therapy and its bioactivative effects consist of a set of, at the moment, partially understood laser/tissue reactions which are firmly based on well-founded concepts of photophysics and photochemistry.""</t>
  </si>
  <si>
    <t>The Changing Times</t>
  </si>
  <si>
    <t>Light, Life and Mankind</t>
  </si>
  <si>
    <t>""The argument continues on the effectiveness of coherent (i.e. laser) versus noncoherent but monochromatic light sources (Kuvota and Ohshiro, Laser Therapy (3) 127-133), now added to by the nonpolarized versus polarized light sources, the latter being further subdivided into linear-, right-handed- and left-handed polarization.""</t>
  </si>
  <si>
    <t>Light and Life: Light and Time</t>
  </si>
  <si>
    <t>Laser Ther journal</t>
  </si>
  <si>
    <t>"With this issue of Laser Therapy we have come to the end of Volume 3: three years down the line, many lessons have been learned, and the journal is at last back on track, for which I really would like to congratulate the Wiley Production team. A new journal is always a nerve-wracking venture, equally for the publishing, production and editorial teams, and Laser Therapy was no exception."</t>
  </si>
  <si>
    <t>Integrated education for therapists</t>
  </si>
  <si>
    <t>"In previous Editorials, I have briefly touched on the importance of education for LLLT practitioners. As the use of LLLT continues to grow, it is becoming obvious in those regions where LLLT is used icreasingly, that there are just too many laser therapy patients for the currently-available medical doctors to handle. Thus, an integrated and acceptable education programme is needed to produce a corps of trained and competent laser therapists (...)"</t>
  </si>
  <si>
    <t>On the Right Track</t>
  </si>
  <si>
    <t>""biostimulatino is certainly to be preferred to low power laser""</t>
  </si>
  <si>
    <t>At The Dawn Of A New Age</t>
  </si>
  <si>
    <t>"Looking back over the past three volumes, Laser Therapy has published 12 editorials, 63 original papers, six invited review papers, seven shortcommunications, and 20 other articles, including profiles of leaders in the field, company profiles, hardware updates and meeting reports. That gives a total of 108 papers, representing 17 countries."</t>
  </si>
  <si>
    <t>Organizations</t>
  </si>
  <si>
    <t>Dyson M</t>
  </si>
  <si>
    <t>Open Letter From The New ILTA President</t>
  </si>
  <si>
    <t>Lymphatic system</t>
  </si>
  <si>
    <t>Lymphatic drainage and clearance</t>
  </si>
  <si>
    <t>Blokina</t>
  </si>
  <si>
    <t>Photobiomodulation under Electroencephalographic Controls of Sleep for Stimulation of Lymphatic Removal of Toxins from Mouse Brain</t>
  </si>
  <si>
    <t>Study methodology design (?)
+ 🐁 Mouse</t>
  </si>
  <si>
    <t>"This study presents a new portable technology of transcranial photobiomodulation (tPBM) under electroencephalographic (EEG) control of sleep designed to photo-stimulate removal of toxins (e.g., soluble amyloid beta (Aβ)) from the brain of aged BALB/c mice with the ability to compare the therapeutic effectiveness of different optical resources. The technology can be used in the natural condition of a home cage without anesthesia, maintaining the motor activity of mice."</t>
  </si>
  <si>
    <t>Photobiomodulation of lymphatic drainage and clearance: perspective strategy for augmentation of meningeal lymphatic functions.</t>
  </si>
  <si>
    <t>5
10</t>
  </si>
  <si>
    <t>"Our results obtained at optical coherence tomography (OCT) give strong evidence that low PBM doses (5 and 10 J/cm2) stimulate drainage function of the lymphatic vessels via vasodilation (OCT data on the mesenteric lymphatics) and stimulation of lymphatic clearance (OCT data on clearance of gold nanorods from the brain) that was supported by confocal imaging of clearance of FITC-dextran from the cortex via MLVs. 
We assume that PBM-mediated relaxation of the lymphatic vessels can be possible mechanisms underlying increasing the permeability of the lymphatic endothelium that allows molecules transported by the lymphatic vessels and explain PBM stimulation of lymphatic drainage and clearance."</t>
  </si>
  <si>
    <t>Lymphedema</t>
  </si>
  <si>
    <t>Chiu</t>
  </si>
  <si>
    <t>Effect of various photobiomodulation regimens on breast cancer-related lymphedema: A systematic review and meta-analysis</t>
  </si>
  <si>
    <t>"According to these results, LLLT can relieve the symptoms of BCRL by reducing limb swelling and improving QOL (...) However, further rigorous, large-scale studies, including long-term follow-up, are needed to substantiate this regimen."</t>
  </si>
  <si>
    <t>Farhan</t>
  </si>
  <si>
    <t>Health Sci Rep</t>
  </si>
  <si>
    <t>Investigation of the effect of Low-Level Laser Therapy on arm lymphedema in breast cancer patients: A noninvasive treatment for an intractable morbidity</t>
  </si>
  <si>
    <t>🧑 Human
📄 Single-arm trial
👥 12 participants
⌛ 4-week treatment -&gt; 8-week break -&gt; 4-week treatment</t>
  </si>
  <si>
    <t>3/week
for 4 weeks and later, 4 weeks again
(total 24 sessions)</t>
  </si>
  <si>
    <t>"We noted that the average reductions in the circumference and volume of the affected limb, as compared with the unaffected limb, were about 16% and 21.7%, respectively, and improvement in the patient's mental symptoms was about 32%. Another notable observation was the great enthusiasm of most patients to continue their treatment, particularly from the second cycle onward."</t>
  </si>
  <si>
    <t>J Palliat Med</t>
  </si>
  <si>
    <t>Patient Experience of Photobiomodulation Therapy in Head and Neck Chronic Lymphedema</t>
  </si>
  <si>
    <t>🧑 Human
📄 Single-arm trial / survey
👥 12 participants</t>
  </si>
  <si>
    <t>"Among 12 participants who consented for the study, 11 (91.7%) completed the PBM therapy. Participants described positive experiences and unique benefits about the PBM therapy, for example, decreased swelling, reduced tightness, increased range of motion, increased saliva production, and improved ability to swallow. 
Some participants (n = 5, 45.5%) delineated challenges related to traffic, travel time, and distance from study location. Many participants proposed suggestions for future research on PBM therapy, for example, research on internal edema and its relationship with swallowing, and indicated patients with severe lymphedema and fibrosis may be more likely to benefit."</t>
  </si>
  <si>
    <t>Mahmood</t>
  </si>
  <si>
    <t>BMC Cancer</t>
  </si>
  <si>
    <t>Clinical application of low-level laser therapy (Photo-biomodulation therapy) in the management of breast cancer-related lymphedema: a systematic review</t>
  </si>
  <si>
    <t>"Eight clinical trials were analyzed in total. Typically, the included RCTs had good research quality. 
At four weeks, there was a considerable reduction in arm circumference/volume, and this continued with long-term follow-up. 
However, no statistically significant change in shoulder mobility or pain severity was seen between the laser and placebo groups at 0-, 1-, 2-, and 3-month short-term follow-up."</t>
  </si>
  <si>
    <t>China
(Lanzhou)</t>
  </si>
  <si>
    <t>The effectiveness and safety of low-level laser therapy on breast cancer-related lymphedema: An overview and update of systematic reviews</t>
  </si>
  <si>
    <t>📚 Systematic review summary</t>
  </si>
  <si>
    <t>"Seven systematic reviews and ten RCTs met the eligibility criteria. Conflicting results regarding the effectiveness of LLLT were presented by the overview of systematic reviews.
The AMSTAR 2 showed that the methodological quality of included systematic reviews was low or critically low quality due to one or more critical weaknesses. The GRADE and GRADE-CERQual showed that the evidence quality was low to very low for most outcomes.
The updated systematic review showed that LLLT may offer additional benefits as compared to compression therapies (pneumatic compression or compression bandage), placebo laser, or no treatment for patients with BCRL. However, when compared to other types of active interventions, LLLT did not improve outcomes significantly.
None of the treatment-related adverse event was reported. Many trials had a high or unclear risk of bias for two or more items, and our updated systematic review showed low quality of evidence per outcome using GRADE approach.
Due to insufficient data and poor quality of evidence, there is uncertain to reach these conclusions that LLLT is superior to another active or negative intervention and is safe. More RCTs of high methodological quality, with large sample sizes and long-term follow-up, are needed to inform clinical guidelines and routine practice."</t>
  </si>
  <si>
    <t>Integr Cancer Ther</t>
  </si>
  <si>
    <t>Photobiomodulation Therapy in Head and Neck Cancer-Related Lymphedema: A Pilot Feasibility Study</t>
  </si>
  <si>
    <t>🧑 Human
📄 Single-arm trial
👥 12 participants
⌛ 6-week treatment -&gt; 4-week follow-up</t>
  </si>
  <si>
    <t>60
/p
(14 to 25 points)</t>
  </si>
  <si>
    <t>"When comparing the baseline to 4-week post-intervention, we found statistically significant improvements in the severity of external lymphedema, symptom burden, and neck range of motion (all P &lt; .05)."</t>
  </si>
  <si>
    <t>Kozanoglu</t>
  </si>
  <si>
    <t>Lymphat Res Biol</t>
  </si>
  <si>
    <t>Long-Term Effectiveness of Combined Intermittent Pneumatic Compression Plus Low-Level Laser Therapy in Patients with Postmastectomy Lymphedema: A Randomized Controlled Trial</t>
  </si>
  <si>
    <t>🧑 Human
🎲 Randomized trial, sham-controlled
👥 42 participants
⌛ 4-week treatment / 12-month follow-up</t>
  </si>
  <si>
    <t>"Both interventions [compression vs compression+PBM] have positive effects on lymphedema, grip strength, and pain. Long-term effects of combined therapy, especially on pain, are slightly superior to the pneumatic compression alone."</t>
  </si>
  <si>
    <t>Özçete &amp; Eyigör</t>
  </si>
  <si>
    <t>Turk J Phys Med Rehabil</t>
  </si>
  <si>
    <t>Kinesio taping and low-level laser therapy in breast cancer-related lymphedema in an arm with arteriovenous fistula for hemodialysis</t>
  </si>
  <si>
    <t>🧑 Human
📄 Case report
⌛ 4-week treatment -&gt; 3-month follow-up</t>
  </si>
  <si>
    <t>"In this article, we report a 57-year-old female patient with breast cancer-related lymphedema and arteriovenous (AV) fistula for hemodialysis in the same arm. We performed low-level laser therapy treatment for 12 sessions, kinesio taping, and remedial exercises to the patient as the compression part of complex decongestive therapy was contraindicated in the AV fistula. Self-manual lymphatic drainage training and skin care education were also given. The arm volume difference was decreased from 691 mL to 454 mL after the treatments."
"Low-level laser therapy and kinesio taping should be kept in mind as alternative techniques for appropriate cases in the treatment of lymphedema."
Comment: Relevant parameters not reported. Authors claim they use Endolaser 422 device. According to the manufacturer, the device has 808 and 905 wavelengths.</t>
  </si>
  <si>
    <t>Device: Endolaser 422</t>
  </si>
  <si>
    <t>Akgul</t>
  </si>
  <si>
    <t>A Randomized Controlled Trial Comparing Platelet-Rich Plasma, Low-Level Laser Therapy, and Complex Decongestive Physiotherapy in Patients with Lower Limb Lymphedema.</t>
  </si>
  <si>
    <t>🧑 Human
🎲 Randomized trial
👥 49 participants
⌛ 12 weeks</t>
  </si>
  <si>
    <t>every day
for 4 weeks, then
16 / 8 weeks</t>
  </si>
  <si>
    <t>"Significant differences in LYMQOL, LEC, NRS, and TDC values both before and after treatment were found in all groups; however, there were no statistically significant difference in values between the three groups. In the PRP+CDP group, LYMQOL values had a larger effect size than the other two groups. Significant differences in 6MWT values both before and after treatment were found in PRP+CDP and LLLT+CDP groups; however, there was no statistically significant difference in the CDP group."
Comment: Parameters were not reported.</t>
  </si>
  <si>
    <t>Device: Laser BTL-4000, BTL Industries Ltd., Brno, Czech Republic</t>
  </si>
  <si>
    <t>Complement Ther Med</t>
  </si>
  <si>
    <t>Effects of photobiomodualtion therapy on breast cancer-related lymphoedema: A systematic review and meta-analysis of randomised controlled trials.</t>
  </si>
  <si>
    <t>"We reviewed nine RCTs that included 316 patients and six studies for mata-analysis. We found no significant difference in the reduction of the arm circumference or arm volume after treatment, one month, and three month follow-up between the PBMT and control groups. Studies revealed no significant differences in the reduction in grip strength and pain scores at 0, 1, 2, and 3 month between the PBMT and control groups."
"Although PBMT demonstrated a slight improvement in reducing arm circumference and arm volume, the results of our meta-analysis did not show significant benefits in relieving of lymphoedema. Further trials are needed to recruit more participants, and to evaluate the long-term efficacy and safety of PBMT in management of breast cancer-related lymphoedema."</t>
  </si>
  <si>
    <t>📷
☹</t>
  </si>
  <si>
    <t>Kilmartin</t>
  </si>
  <si>
    <t>Complementary low-level laser therapy for breast cancer-related lymphedema: a pilot, double-blind, randomized, placebo-controlled study.</t>
  </si>
  <si>
    <t>🧑 Human
🎲 Randomized trial, double-blind
👥 22 participants
⌛ 4-8 week treatment -&gt; 12-month follow-up</t>
  </si>
  <si>
    <t>600
(10p)</t>
  </si>
  <si>
    <t>8-16
(twice
a week)</t>
  </si>
  <si>
    <t>"In comparison with the placebo group (83.3%), significantly fewer participants in the active laser group (55.6%) reported more than one lymphedema symptom (p = 0.012) at 12 months post-intervention. 
Significantly, more patients in the active laser group (44.4%) reported less than two impaired limb mobility symptoms in comparison with the placebo group (33.3%) at 12 months post-intervention (p = 0.017). 
The active laser group had statistically significant improvements in symptom distress of sadness (p = 0.005) from 73 to 11% and self-perception (p = 0.030) from 36 to 0% over time from baseline to 12-months post-intervention. 
There was no significant reduction in limb volume. 
Findings of the trial demonstrated significant benefits of complementary LLLT for relieving symptoms and improvement of emotional distress in breast cancer patients with lymphedema."
Comment: Parameters were poorly reported.</t>
  </si>
  <si>
    <t>Baxter</t>
  </si>
  <si>
    <t>Low level laser therapy for the management of breast cancer-related lymphedema: A randomized controlled feasibility study.</t>
  </si>
  <si>
    <t>🧑 Human
🎲 Randomized trial
👥 17 participants
⌛ 6-week treatment -&gt; 6-week follow-up</t>
  </si>
  <si>
    <t>810
(20%)
+
980
(80%)</t>
  </si>
  <si>
    <t>5
cm2</t>
  </si>
  <si>
    <t>"Retention rates were 88.9% for the laser group and 100% for the control group at both 6 and 12 weeks post-randomization. All participants who completed LLLT (PBM) treatment indicated that they were satisfied with the treatment. "</t>
  </si>
  <si>
    <t>Low level laser therapy (Photobiomodulation therapy) for breast cancer-related lymphedema: a systematic review.</t>
  </si>
  <si>
    <t>"Eleven clinical trials were identified, of which seven randomized controlled trials (RCTs) were chosen for analysis. Overall, the methodological quality of included RCTs was high, whereas the reporting of treatment parameters was poor. 
Results indicated that there is strong evidence (three high quality trials) showing LLLT (PBM) was more effective than sham treatment for limb circumference/volume reduction at a short-term follow-up. There is moderate evidence (one high quality trial) indicating that LLLT (PBM) was more effective than sham laser for short-term pain relief, and limited evidence (one low quality trial) that LLLT (PBM) was more effective than no treatment for decreasing limb swelling at short-term follow-up."</t>
  </si>
  <si>
    <t>Far infrared ray (FIR) therapy: An effective and oncological safe treatment modality for breast cancer related lymphedema.</t>
  </si>
  <si>
    <t xml:space="preserve">🧑 Human
⚔ Comparison study
👥 63 participants
⌛ 4 weeks
</t>
  </si>
  <si>
    <t>⚔ FIR vs compression bandages
FIR to 42°C temperature</t>
  </si>
  <si>
    <t>6000-
14000</t>
  </si>
  <si>
    <t>"Results demonstrated that after treatment with FIR, tumor marker (CA153, CA125) concentrations in both the FIR and control groups were not elevated. There was no statistically significant difference between FIR and control group marker expression (p&gt;0.05). Furthermore, no patients were diagnosed with lymphadenectasis or newly enlarged lymph nodes in these two groups. Importantly, there were no adverse events in either group. The in vitro experiment indicated that FIR radiation does not affect viability, proliferation, cell cycle and apoptosis of fibroblasts, MCF-7 and MDA-MB-231 cells."
"FIR should be considered as feasible and safe for the treatment of breast cancer related lymphedema patients 5years after mastectomy. FIR does not promote recurrence or metastasis of breast cancer and is a well-tolerated therapy with no adverse reactions."</t>
  </si>
  <si>
    <t>Efficacy and safety of far infrared radiation in lymphedema treatment: clinical evaluation and laboratory analysis.</t>
  </si>
  <si>
    <t>🧑 Human
📄 Case series
👥 32 cases
⌛ 4 weeks
+ 🧪 in vitro</t>
  </si>
  <si>
    <t>Far-infrared (FIR)</t>
  </si>
  <si>
    <t>7200
/d</t>
  </si>
  <si>
    <t>"A total of 32 patients affected by lymphedema in stage II and III were treated between January 2015 and January 2016 at our department. After therapy, a significant decrease of limb circumference measurements was noted and improving of quality of life was registered. Laboratory examination showed the treatment can also decrease the deposition of fluid, fat, hyaluronan, and protein, improving the swelling condition. We believe FIR treatment could be considered as both an alternative monotherapy and a useful adjunctive to the conservative or surgical lymphedema procedures. Furthermore, the real and significant biological effects of FIR represent possible future applications in wide range of the medical field."</t>
  </si>
  <si>
    <t>Storz</t>
  </si>
  <si>
    <t>Germany
(Homburg)</t>
  </si>
  <si>
    <t>Photobiomodulation Therapy in breast cancer-related lymphedema: a randomized placebo-controlled trial.</t>
  </si>
  <si>
    <t>🧑 Human
🎲 Randomized trial, double-blind
👥 40 participants
⌛ 4-week treatment -&gt; 12-week follow-up</t>
  </si>
  <si>
    <t>LED phototherapy
LED array (16)</t>
  </si>
  <si>
    <t>0.00814</t>
  </si>
  <si>
    <t>4.89</t>
  </si>
  <si>
    <t>78.54
cm2</t>
  </si>
  <si>
    <t>"PBMT using a compactly designed treatment regime in combination with a cluster laser device did not significantly improve quality of life, pain scores, grip strength and limb volume over the time course."
"A too high amount of total energy applied per point could be a possible explanation for our results. It’s particularly worth mentioning, that we increased the energy dose in order to cut the total amount of sessions. So it’s hard to determine, whether the applied doses are really too high or whether the amount of sessions is simply insufficient. [...] We assume that in treating chronic conditions such as lymphedema, the application of our chosen energy dose and density simply constituted a too strong stimulus in a too short time frame."
Star: The parameters and treatment methods were exceptionally well reported in a table.</t>
  </si>
  <si>
    <t>Jang</t>
  </si>
  <si>
    <t>Korea
(Incheon &amp; Seoul)</t>
  </si>
  <si>
    <t>Anti-inflammatory and lymphangiogenetic effects of low-level laser therapy on lymphedema in an experimental mouse tail model.</t>
  </si>
  <si>
    <t>0.2
cm2
(/p)</t>
  </si>
  <si>
    <t>600
(10p)</t>
  </si>
  <si>
    <t>"The thickness of the tail rapidly increased until 6 days in the laser and sham groups. The mice in the laser group showed a significantly decreased thickness compared with the sham group at 10 and 12 days. Immunohistochemistry assay revealed that LLLT reduced inflammation and induced new lymphatic vessel growth. qPCR showed that expressions of VEGFR3 were (p = 0.002) increased in the laser group. 
These results suggest that LLLT has anti-inflammatory and lymphangiogenetic effects for the management of lymphedema."</t>
  </si>
  <si>
    <t>Smoot</t>
  </si>
  <si>
    <t>J Cancer Surviv</t>
  </si>
  <si>
    <t>Effect of low-level laser therapy on pain and swelling in women with breast cancer-related lymphedema: a systematic review and meta-analysis.</t>
  </si>
  <si>
    <t>"Moderate-strength evidence supports LLLT in the management of BCRL, with clinically relevant within-group reductions in volume and pain immediately after conclusion of LLLT treatments. Greater reductions in volume were found with the use of LLLT than in treatments without it."</t>
  </si>
  <si>
    <t>Complex decongestive physical therapy and low-level laser therapy for the treatment of pediatric congenital lymphedema: a case report.</t>
  </si>
  <si>
    <t>E Lima</t>
  </si>
  <si>
    <t>Low-level laser therapy in secondary lymphedema after breast cancer: systematic review.</t>
  </si>
  <si>
    <t>"Of the 41 articles identified, four were considered to be of high methodological quality (score ≥ 5).
The low-level laser in the axillary region was performed in all studies. The control group was not similar across studies. The results presented showed that there was a reduction in limb volume in the group subjected to low-power laser when compared with other treatments.
No studies have evaluated the risk of metastasis or relapse in the irradiated areas. Because no studies have included the complex physical therapy as the comparison group, we cannot claim that laser treatment is the best efficacy or effectiveness in lymphedema treatment after breast cancer. No studies have evaluated the hypothesis that the LLLT can increase the risk of recurrence or metastasis. Therefore, the questions about the safety of this procedure in cancer patients remain."</t>
  </si>
  <si>
    <t>Ridner</t>
  </si>
  <si>
    <t>Oncol Nurs Forum</t>
  </si>
  <si>
    <t>A pilot randomized trial evaluating low-level laser therapy as an alternative treatment to manual lymphatic drainage for breast cancer-related lymphedema.</t>
  </si>
  <si>
    <t>🧑 Human
🎲 Randomized trial
👥 46 participants
⌛ (?)</t>
  </si>
  <si>
    <t>Comparison trial</t>
  </si>
  <si>
    <t>10
(average)</t>
  </si>
  <si>
    <t>"No statistically significant between-group differences were found in volume reduction; however, all groups had clinically and statistically significant reduction in volume. 
No group differences were noted in psychological and physical symptoms or QOL; however, treatment-related improvements were noted in symptom burden within all groups. Skin improvement was noted in each group that received LLLT."
"LLLT with bandaging may offer a time-saving therapeutic option to conventional MLD. Alternatively, compression bandaging alone could account for the demonstrated volume reduction."
"Lasers may provide effective, less burdensome treatment for lymphedema."
Comment: Parameters were very poorly reported.</t>
  </si>
  <si>
    <t>Device: "RianCorp LTU 904, FDA-approved, Class 1 laser"</t>
  </si>
  <si>
    <t>Omar</t>
  </si>
  <si>
    <t>A systematic review of the effect of low-level laser therapy in the management of breast cancer-related lymphedema.</t>
  </si>
  <si>
    <t>"There is moderate to strong evidence for the effectiveness of LLLT for the management of BCRL from five small studies of acceptable methodological quality.
A dose of 1-2 J/cm(2) per point applied to several points covering the fibrotic area can reduce limb volume following BCRL.
Further well-designed, large-scale studies are required to determine more precisely how effective LLLT may be in BCRL."</t>
  </si>
  <si>
    <t>Mayrovitz &amp; Davey</t>
  </si>
  <si>
    <t>USA
(Lauderdale, FL)</t>
  </si>
  <si>
    <t>Lymphology</t>
  </si>
  <si>
    <t>Changes in tissue water and indentation resistance of lymphedematous limbs accompanying low level laser therapy (LLLT) of fibrotic skin.</t>
  </si>
  <si>
    <t>🧑 Human
📄 Single-arm study (two subgroups)
👥 76 participants
⌛ single treatment + an additional sham treatment session for 17 participants</t>
  </si>
  <si>
    <t>"A [tissue indentation resistance; TIR] and [tissue dielectric constant; TDC] change-pattern similar to that obtained with the active LLLT was obtained, but sham-related reductions in TIR and TDC immediately post sham-treatment were significantly less than achieved with the prior active LLLT treatment."</t>
  </si>
  <si>
    <t>Dirican</t>
  </si>
  <si>
    <t>USA
(Pittsburgh, PA)</t>
  </si>
  <si>
    <t>The short-term effects of low-level laser therapy in the management of breast-cancer-related lymphedema.</t>
  </si>
  <si>
    <t>🧑 Human
📄 Observational study
👥 17 participants
⌛ 3-week treatment -&gt; 8-week break -&gt; 3-week treatment</t>
  </si>
  <si>
    <t>9
/ 3 weeks
^ twice
with 8wk
break</t>
  </si>
  <si>
    <t>"Patients with BCRL received additional benefits from LLLT when used in conjunction with standard lymphedema treatment. These benefits include reduction in limb circumference, pain, increase in range of motion and scar mobility. Additionally, two cycles of LLLT were found to be superior to one in this study."</t>
  </si>
  <si>
    <t>Device: RianCorp LTU 904</t>
  </si>
  <si>
    <t>Ahmed Omar</t>
  </si>
  <si>
    <t>J Surg Res</t>
  </si>
  <si>
    <t>Treatment of post-mastectomy lymphedema with laser therapy: double blind placebo control randomized study.</t>
  </si>
  <si>
    <t>🧑 Human
🎲 Randomized trial, double-blind
👥 50 participants
⌛ 12 weeks</t>
  </si>
  <si>
    <t>"Laser treatment was found to be effective in reducing the limb volume, increase shoulder mobility, and hand grip strength in approximately 93% of patients with postmastectomy lymphedema."</t>
  </si>
  <si>
    <t>Needham &amp; Martin</t>
  </si>
  <si>
    <t>New Zealand
(Wellington)</t>
  </si>
  <si>
    <t>Therapeutic laser treatment for post mastectomy lymphoedema: a perspective for nurses</t>
  </si>
  <si>
    <t>Nursing perspective</t>
  </si>
  <si>
    <t>"The present article introduces LLLT from a nursing perspective, and in particular examines the benefits of LLLT applied for post-mastectomy lymphoedema."</t>
  </si>
  <si>
    <t>Lau&amp;Cheing</t>
  </si>
  <si>
    <t>Managing postmastectomy lymphedema with low-level laser therapy.</t>
  </si>
  <si>
    <t>🧑 Human
🎲 Randomized trial, sham-controlled
👥 21 participants
⌛ 4 weeks</t>
  </si>
  <si>
    <t>144
cm2</t>
  </si>
  <si>
    <t>"LLLT was effective in the management of PML, and the effects were maintained to the 4 wk follow-up."</t>
  </si>
  <si>
    <t>Efficacy of pneumatic compression and low-level laser therapy in the treatment of postmastectomy lymphoedema: a randomized controlled trial.</t>
  </si>
  <si>
    <t>🧑 Human
🎲 Randomized trial
👥 47 participants
⌛ 4 weeks</t>
  </si>
  <si>
    <t>"Group II had better long-term results than group I. Low-level laser might be a useful modality in the treatment of postmastectomy lymphoedema."
Comment: Parameters were poorly reported.</t>
  </si>
  <si>
    <t>Kaviani</t>
  </si>
  <si>
    <t>Low-level laser therapy in management of postmastectomy lymphedema.</t>
  </si>
  <si>
    <t xml:space="preserve">🧑 Human
🎲 Randomized trial, sham-controlled
👥 8 participants
⌛ 22-week study with two 3-week treatment periods
</t>
  </si>
  <si>
    <t>5
(5p)</t>
  </si>
  <si>
    <t>0.7
cm2
point
area</t>
  </si>
  <si>
    <t>"Reduction in limb circumference was detected in both groups, although it was more pronounced in the laser group up to the end of 22nd week. Desire to continue treatment at each session and baseline score in the laser group was greater than in the sham group in all sessions. Pain reduction in the laser group was more than in the sham group except for the weeks 3 and 9. No substantial differences were seen in other two parameters between the two treatment groups."</t>
  </si>
  <si>
    <t>Carati</t>
  </si>
  <si>
    <t>Cancer</t>
  </si>
  <si>
    <t>Treatment of postmastectomy lymphedema with low-level laser therapy: a double blind, placebo-controlled trial.</t>
  </si>
  <si>
    <t>🧑 Human
🎲 Randomized trial, double-blind, partial crossover (only placebo-to-active)
👥 61 participants
⌛30-week study with two 3-week treatment periods</t>
  </si>
  <si>
    <t>5.1
(17p)</t>
  </si>
  <si>
    <t>"Two cycles of laser treatment were found to be effective in reducing the volume of the affected arm, extracellular fluid, and tissue hardness in approximately 33% of patients with postmastectomy lymphedema at 3 months after treatment."</t>
  </si>
  <si>
    <t>Piller&amp;Thelander</t>
  </si>
  <si>
    <t>Treatment of chronic postmastectomy lymphedema with low level laser therapy: a 2.5 year follow-up.</t>
  </si>
  <si>
    <t>🧑 Human
📄 Case series
👥 10 cases
⌛ up to 36 months</t>
  </si>
  <si>
    <t>16
/ 10 weeks</t>
  </si>
  <si>
    <t>"The data suggest that laser treatment, at least initially, improved most objective and subjective parameters of arm lymphedema."
Comment: Full text not available.</t>
  </si>
  <si>
    <t>Di Gregorio</t>
  </si>
  <si>
    <t>Raman Spectroscopy Reveals Photobiomodulation-Induced α-Helix to β-Sheet Transition in Tubulins: Potential Implications for Alzheimer's and Other Neurodegenerative Diseases</t>
  </si>
  <si>
    <t>"In this study, we employed a Raman spectroscopic analysis of the amide I band of polymerized samples of tubulin exposed to pulsed low-intensity NIR radiation (810 nm, 10 Hz, 22.5 J/cm2 dose). 
Peaks in the Raman fingerprint region (300-1900 cm-1)-in particular, in the amide I band (1600-1700 cm-1)-were used to quantify the percentage of protein secondary structures. Under this band, hidden signals of C=O stretching, belonging to different structures, are superimposed, producing a complex signal as a result. An accurate decomposition of the amide I band is therefore required for the reliable analysis of the conformation of proteins, which we achieved through a straightforward method employing a Voigt profile. This approach was validated through secondary structure analyses of unexposed control samples, for which comparisons with other values available in the literature could be conducted. 
Subsequently, using this validated method, we present novel findings of statistically significant alterations in the secondary structures of polymerized NIR-exposed tubulin, characterized by a notable decrease in α-helix content and a concurrent increase in β-sheets compared to the control samples. 
This PBM-induced α-helix to β-sheet transition connects to reduced microtubule stability and the introduction of dynamism to allow for the remodeling and, consequently, refreshing of microtubule structures."</t>
  </si>
  <si>
    <t>Scanavachi</t>
  </si>
  <si>
    <t>Photobiomodulation of Na,K-ATPase in native membrane fraction and reconstituted in DPPC:DPPE-liposome</t>
  </si>
  <si>
    <t>532
650
780</t>
  </si>
  <si>
    <t>"Interestingly, we show that the PBM on the NKA enzymatic activity has a bell-shaped profile with a stimulation peak (~15% increase) at around 20 J.cm-2 and 6 J.cm-2 for the membrane-bound and the proteoliposome samples, respectively, and are practically wavelength independent. 
Further, by normalizing the enzymatic activity by the NKA enzyme concentration, we show that the PBM response is related to the protein amount with small influence due to protein's environment. The stimulation decays over time reaching the basal level around 6 h after the irradiation for the three lasers and both NKA samples. 
Our results demonstrate the potential of using low-level laser therapy to modulate NKA activity, which may have therapeutic implications and benefits."</t>
  </si>
  <si>
    <t>Mirmiranpour</t>
  </si>
  <si>
    <t>Effect of Low-Level Laser Irradiation on the Function of Glycated Catalase.</t>
  </si>
  <si>
    <t>450
530
638
905</t>
  </si>
  <si>
    <t>"Our results indicated, the decrease in catalase activity as a function of glycation time (weeks) for all samples, and a slight increase on its activity by different laser wavelengths irradiation for any fixed period of glycation time. Finally, the catalase activity has been increased as the laser's photon energy (hυ) intensified. More specifically, the blue laser (λ =450 nm) had the most and the red laser (λ =638 nm) had the least effect, and the green laser (λ =530 nm) had the medium effect on catalase activity as well. Furthermore, pulsed laser had an additional effect by increasing energy dosage."</t>
  </si>
  <si>
    <t>Paschke</t>
  </si>
  <si>
    <t>Biomed Tech (Berl)</t>
  </si>
  <si>
    <t>Red light as a 12-oxo-leukotriene B₄ antagonist: an explanation for the efficacy of intensive red light in the therapy of peripheral inflammatory diseases.</t>
  </si>
  <si>
    <t>Molecular modeling</t>
  </si>
  <si>
    <t>"The power balance demonstrates that intensive red light with a power density of 0.4 W/cm2 transfers sufficient energy to 12-Oxo-LTB4 to render it biologically inactive."</t>
  </si>
  <si>
    <t>Da Silva &amp; Potrich</t>
  </si>
  <si>
    <t>Effect of GaAlAs laser irradiation on enzyme activity.</t>
  </si>
  <si>
    <t>Amylase (CNPG)</t>
  </si>
  <si>
    <t>0.01
0.1
0.5
1.0</t>
  </si>
  <si>
    <t>"Irradiation doses of 0.1 J/cm(2) and 0.5 J/cm(2) led to statistically significant increases in enzyme activity in comparison to the control. The similar curves of the effects of temperature and pH on enzymatic activity observed in this study suggest that laser irradiation also possess an optimum dose to modulate the enzymatic activity. That is, enzymes have an optimum laser dose (or range) at which their activity is maximal, whereas at higher or lower doses activity decreases."</t>
  </si>
  <si>
    <t>Heger</t>
  </si>
  <si>
    <t>Absence of 633-nm laser irradiation-induced effects on glucose phosphorylation by hexokinase.</t>
  </si>
  <si>
    <t>633</t>
  </si>
  <si>
    <t>"No differences in reaction rates between the NROF-irradiated and control groups were found at either temperature."
Note: Amat published a critical comment to this paper.</t>
  </si>
  <si>
    <t>Santos Hde</t>
  </si>
  <si>
    <t>Biostimulation of Na,K-ATPase by low-energy laser irradiation (685 nm, 35 mW): comparative effects in membrane, solubilized and DPPC:DPPE-liposome reconstituted enzyme.</t>
  </si>
  <si>
    <t>Mechanisms ??</t>
  </si>
  <si>
    <t>"The ATPase activity of the membrane fraction was not altered with exposition to irradiation doses between 4 and 24 J/cm(2). However, with irradiation doses ranging from 32 to 40 J/cm(2), a 28% increase on the ATPase activity was observed while when using up to 50 J/cm(2) no additional enhancement was observed. When biostimulation was done using the solubilized and purified enzyme or the DPPC:DPPE-liposome reconstituted enzyme, an increase of about 36-40% on the ATPase activity was observed using only 4-8 J/cm(2). With irradiation above these values (24 J/cm(2)) no additional increase in the activity was observed. 
These studies revealed that the biostimulation of ATPase activity from different forms of the Na,K-ATPase is dose dependent in different ranges of irradiation exposure."</t>
  </si>
  <si>
    <t>Ostuni</t>
  </si>
  <si>
    <t>Photomodulation of glutamate dehydrogenase properties by red light.</t>
  </si>
  <si>
    <t>633
(laser)
650
(LED)</t>
  </si>
  <si>
    <t>"He-Ne laser and diode irradiation were found to differ with regard to their interaction with glutamate dehydrogenase. Interestingly, different effects were also found when an He-Ne laser and a non-coherent Xe-Hg lamp were used to irradiate glutamate dehydrogenase under the same experimental conditions. This confirms that non-coherent light at various power levels affects the isolated glutamate dehydrogenase."</t>
  </si>
  <si>
    <t>Hamblin &amp; Liebert</t>
  </si>
  <si>
    <t>South Africa &amp; Australia</t>
  </si>
  <si>
    <t>Photobiomodulation Therapy Mechanisms Beyond Cytochrome c Oxidase</t>
  </si>
  <si>
    <t>Abrahamse H</t>
  </si>
  <si>
    <t>Photobiomodulation and Oxidative/Nitrosative Stress</t>
  </si>
  <si>
    <t>Lopes-Martins</t>
  </si>
  <si>
    <t>Brazil &amp; Norway</t>
  </si>
  <si>
    <t>Photobiomodulation: Inhibition or Resolution of the Inflammatory Process?</t>
  </si>
  <si>
    <t>"It is already known that COX-2 knockout mice present impaired resolution of the inflammatory process, showing the need for COX-2 for inflammation to resolve. This indicates that strong nonsteroidal anti-inflammatory drug (NSAID) therapy inhibit inflammation but impairs the resolution of the process (...)
During two decades we have collected evidence showing that, or at least suggest that photobiomodulation can act as a therapy resolving inflammation, and not inhibiting the process, which is a huge difference (...)
Concerned with functional aspects we have demonstrated that PBM significantly preserved mechanical behavior of inflamed tendons, whereas NSAIDs did not and PBM significantly accelerated tendon healing, whereas neither diclofenac nor dexamethasone did (...) 
Taken together, the evidence raises the hypothesis that PBM actually resolves and does not inhibit inflammation."</t>
  </si>
  <si>
    <t>Is Photodynamic Therapy Resistance a Special Case of Photobiomodulation?</t>
  </si>
  <si>
    <t>"Many biological processes are said to be affected by PBM, from improved cellular metabolism, antiapoptotic effects, and improvements in disease states. While many mechanisms have been proposed, the greatest consensus seems to revolve around improved cellular energetics caused by an improvement in the kinetics of cytochrome c oxidase (CCO), the terminal enzyme in the electron transfer chain of the mitochondria. In particular, relief of CCO inhibition by NO is seen as a likely candidate.
However, appropriate basic science studies, particularly involving isolated, purified CCO, have been sorely lacking, a deficiency we pointed out in an earlier PMLS editorial in 2011. In that editorial, we laid out a reasonable path forward and called for an increased focus on basic science. 
Having worked some length along this path, current results now appear to contradict this hypothesis, as R-NIR, in our hands, does not show effects on cytochrome c oxidation, oxygen consumption, or NO inhibition of CCO (unpublished results) using isolated CCO. It seems that R-NIR, while undoubtedly showing observable biological effects in complex systems, must be employing other means than simple kinetic enhancement of CCO. These means may or may not ultimately affect CCO activity or expression, but a simple model
where the metal centers in CCO act as photoreceptors, with enhancement of kinetic activity and relief of NO-induced CCO inhibition, appears to be simplistic. The basic molecular mechanism (or mechanisms) still remains unknown."
"Despite our inability so far to demonstrate a PBM effect on isolated CCO, PBM stills appears to be a real phenomenon, as too many studies show positive results for this therapeutic modality to be a phantom. Something is happening, and it may take physiological conditions for it to happen."
"Whatever the ultimate source of NO, the NO signaling antiapoptotic pathways identified in PDT resistance mechanisms10 could also play a role in PBM."</t>
  </si>
  <si>
    <t>Santana-Blank &amp; Rodríguez-Santana</t>
  </si>
  <si>
    <t>Photobiomodulation in Light of Our Biological Clock's Inner Workings.</t>
  </si>
  <si>
    <t>Cytochrome c oxidase
Nitric oxide</t>
  </si>
  <si>
    <t>Stimulation of Cellular Proliferation and Migration: Is It a Viable Measure of Photobiomodulation?</t>
  </si>
  <si>
    <t>"In vitro studies have shown an increase in cellular migration, proliferation, viability, collagen production, ATP, cyclic adenosine monophosphate (cAMP), cytochrome c oxidase activity, nitric oxide, growth factors, mitochondrial membrane potential and gene regulation, and a decrease in matrix metalloproteinases (MMPs) apoptosis and pro-inflammatory cytokines, to name but a few.
Cellular proliferation studies using new, well-researched and established assays including ATP luminescence, MTT assays, trypan blue staining, and a variety of additional measures, have now become a hallmark of analyzing the cellular effects of photobiomodulation, and rightfully so, considering the intricate mechanisms involved in this process.
As a first-level monitoring method to determine the cellular effects of photobiomodulation, viability and proliferation analysis seems perfectly sound. However, caution should be exercised in the inference of this outcome. Proliferation and viability studies should never be used as the only method of monitoring photobiomodulation, and must be accompanied by more sensitive and specific investigation that includes the molecular mechanisms associated with cell growth."</t>
  </si>
  <si>
    <t>Zalevsky &amp; Belkin</t>
  </si>
  <si>
    <t>Coherence and speckle in photomedicine and photobiology.</t>
  </si>
  <si>
    <t>“The use of light emitting diodes (LED) instead of lasers in phototherapy was recently suggested for economical and practical reasons. It has been argued that lasers are not preferred over LEDs, since laser beams lose their coherency once they penetrate into biological tissues. This editorial supports that claim, while providing a brief explanation to non-professionals on the meaning of coherence of light as well as the physics behind the generation of speckle patterns, and the relation of those terms to photomedicine and photobiology”</t>
  </si>
  <si>
    <t>Karu T</t>
  </si>
  <si>
    <t>Mitochondrial mechanisms of photobiomodulation in context of new data about multiple roles of ATP.</t>
  </si>
  <si>
    <t>"It is generally accepted that the mitochondria are the initial site of light action in cells, and cytochrome c oxidase (the terminal enzyme of the mitochondrial respiratory chain) is the responsible molecule. Mixed-valence copper components of cytochrome c oxidase, CuA and CuB, are believed to be the photoacceptors."
"ATP activation of P2 receptors (subtypes P2X and P2Y) can produce different cellular effects. A recent article by Anders et al. 17 demonstrated that P2Y2 and P2Y11 receptors were expressed in the irradiated at l ¼ 810-nm normal human neural progenitor cells in vitro. It appeared that the irradiation could be used as a replacement for growth factors. This line of research opens a new understanding of the complicated mechanisms of LLLT."</t>
  </si>
  <si>
    <t>The place of coherence in light induced tissue repair and pain modulation.</t>
  </si>
  <si>
    <t>"Indeed, evidence from specially designed studies indicate that coherent and noncoherent light of identical wavelength, intensity, and irradiation dose provide the exact same biological response,3 an observation which continues to gain support from recent studies.4–6"
"Coherence may influence light distribution in tissue, and it can be demonstrated that lasers produce light speckles or pockets of intense light within tissues; noncoherent monochromatic and polychromatic lights do not.7 However, this physical difference has not been shown to produce any additional benefits in favor of treatment with lasers."
"All said, at least for now, the conclusion must be drawn that we lack the scientific evidence needed to support the assertion that coherence plays a role in producing the benefits derived from therapeutic light."</t>
  </si>
  <si>
    <t>Harris DM</t>
  </si>
  <si>
    <t>USA
(Evanston, IL)</t>
  </si>
  <si>
    <t>Biomolecular Mechanisms of Laser Biostimulation</t>
  </si>
  <si>
    <t>📰 Editorial comment</t>
  </si>
  <si>
    <t>Original research</t>
  </si>
  <si>
    <t>Joniová</t>
  </si>
  <si>
    <t>France
(Thoiry)</t>
  </si>
  <si>
    <t>Study and optimization of the photobiomodulation effects induced on mitochondrial metabolic activity of human cardiomyocytes for different radiometric and spectral conditions</t>
  </si>
  <si>
    <t>Biphasic dose response
Propoporphyrin IX</t>
  </si>
  <si>
    <t>635
652
689
730
808
850</t>
  </si>
  <si>
    <t>"Prior researches have provided strong evidence suggesting that mitochondria play a central role in the response to PBM [1]. Therefore, our study was designed to investigate whether PBM could influence the endogenous PpIX production, considering that PpIX is generated directly within mitochondria [29]."
"Notably, a biphasic behavior, akin to the Arndt-Schultz law, was observed at all wavelengths except 730 nm (Fig. 3A). This biphasic response is consistent with numerous other studies in the PBM field [3,6]."
"Essentially, our results strongly suggest the existence of negative feedback mechanisms that hinder stronger PBM effects when the light dose and/or irradiance are too high. Apart from 689 nm, Fig. 3A also indicates the potency of other wavelengths. Indeed, in our conditions, all the studied wavelengths exhibited significant PBM effects, except for 730 nm, which did not induce any PBM effect at all examined irradiances. These findings align with other studies that report the action spectra of the primary photo-acceptor in the realm of PBM, CcO [3,17,18,26]. The lack of any observable PBM effect at 730 nm confirms it as an “off” wavelength, consistent with previous reports [3,17,18]. "
"An extensive set of PBM illumination conditions (wavelengths, irradiances, illumination duration, light doses) has been examined in this study. We have identified the most potent wavelength among this set, and several hot spots (localized in the 2D space defined by the illumination time and the irradiance) at 689 nm with the most significant effects on the endogenous PpIX production, Ψ, pO2, Rhod 123 fluorescence lifetime as well as mitochondrial network and morphology in HCM cells."</t>
  </si>
  <si>
    <t>Kam &amp; Mitrofanis</t>
  </si>
  <si>
    <t>Glucose Improves the Efficacy of Photobiomodulation in Changing ATP and ROS Levels in Mouse Fibroblast Cell Cultures</t>
  </si>
  <si>
    <t>"In this study, we tested the idea that photobiomodulation-the application of red to near infrared light (~λ = 600-1300 nm) to body tissues-is more effective in influencing cell metabolism when glucose is readily available. 
To this end, we used a mouse fibroblast (L-929) cell culture model and had two sets of conditions: non-stressed (10% FBS (foetal bovine serum)) and stressed (1% FBS), both either with or without glucose. We treated (or not) cells with photobiomodulation using an 810 nm laser at 15 mW/cm2 (~7.2 J/cm2). 
Our results showed that photobiomodulation was neither cytotoxic nor effective in enhancing measures of cell viability and proliferation, together with protein levels in any of the cell cultures. 
Photobiomodulation was, however, effective in increasing adenosine triphosphate (ATP) and decreasing reactive oxygen species (ROS) levels and this was-most importantly-only in conditions where glucose was present; corresponding cultures that did not contain glucose did not show these changes. 
In summary, we found that the benefits of photobiomodulation, in particular in changing ATP and ROS levels, were induced only when there was glucose available. Our findings lay a template for further explorations into the mechanisms of photobiomodulation, together with having considerable experimental and clinical implications."</t>
  </si>
  <si>
    <t>Cervetto</t>
  </si>
  <si>
    <t>Italy
(Genova)</t>
  </si>
  <si>
    <t>Photons Induce Vesicular Exocytotic Release of Glutamate in a Power-Dependent Way</t>
  </si>
  <si>
    <t>0.100
1.000</t>
  </si>
  <si>
    <t>"We previously observed that photobiomodulation could stimulate glutamate release. Here, we investigate mechanisms potentially involved in the glutamate-releasing effect of photons from adult mouse cerebrocortical nerve terminals.
We report evidence of photon ability to induce an exocytotic vesicular release of glutamate from the terminals of glutamatergic neurons in a power-dependent way."</t>
  </si>
  <si>
    <t>Pope &amp; Denton</t>
  </si>
  <si>
    <t>Differential effects of 808-nm light on electron transport chain enzymes in isolated mitochondria: Implications for photobiomodulation initiation</t>
  </si>
  <si>
    <t>"We conducted low-power PBM-type light exposures of isolated mitochondria to 808 nm NIR light, at a number of irradiances. NIR exposure was found to enhance the activity of complex IV, depress the activity of complex III, and had no effect on the activity of complex II. Further, examining the dose-response of complex IV we found NIR enhancement did not exhibit irradiance reciprocity, indicating the effect on complex IV may not have direct photochemical basis. 
In summary, this research presents a novel method to interrogate the earliest stages of PBM in the mitochondria, and a unique window into the corresponding molecular mechanism(s) of induction."</t>
  </si>
  <si>
    <t>Comparing the Impact of NIR, Visible and UV Light on ROS Upregulation via Photoacceptors of Mitochondrial Complexes in Normal, Immune and Cancer Cells</t>
  </si>
  <si>
    <t xml:space="preserve">380
450
530
650
808
1064 </t>
  </si>
  <si>
    <t>"Light of 650/808 nm at 10-100 mW/cm2 generates a physiological ROS level about 20% of a basal concentration, which enhance mitochondrial activity and cell survival. While, 1064 nm light does not show any distinguished effects. 
Further, ROS generation induced by low-intensity red/NIR light is compared in neurons, immune and cancer cells. Red light seems to more rapidly stimulate ROS production, mitochondrial activity, and cell survival than 808 nm. 
At the same time, different cell lines demonstrate slightly various rates of ROS generation, peculiar for their cellular physiology."</t>
  </si>
  <si>
    <t>Changes in Cytochrome C Oxidase Redox State and Hemoglobin Concentration in Rat Brain During 810 nm Irradiation Measured by Broadband Near-Infrared Spectroscopy</t>
  </si>
  <si>
    <t>"PBM with 810 nm LED (50 mW/cm2) increased cerebral oxygenation and blood volume as expected. However, oxidized CCO concentration was decreased, which was contrary to most previous studies. The two pathways of PBM effects on mitochondria and the inhibition of complex I by isoflurane were suggested to explain the decreased delta(oxCCO) during PBM, but further study is required for the verification."</t>
  </si>
  <si>
    <t>Photobiomodulation at Different Wavelengths Boosts Mitochondrial Redox Metabolism and Hemoglobin Oxygenation: Lasers vs. Light-Emitting Diodes In Vivo</t>
  </si>
  <si>
    <t>🧑 Human
🎲 Randomized trial, sham-controlled. crossover
👥 10 participants (Study 1)
⌛ single session
+
🧑 Human
🎲 Randomized trial, self-controlled, crossover
👥 10 participants (Study 2)
⌛ single session</t>
  </si>
  <si>
    <t>Wavelength comparison
LLLT vs LED</t>
  </si>
  <si>
    <t>800
(laser)
810
(LED)
850
(laser)
1064
(laser)</t>
  </si>
  <si>
    <t>0.310
0.135</t>
  </si>
  <si>
    <t>"Our results showed that
(i) lasers at all three wavelengths enabled significant increases in Δ[HbO] and Δ[oxCCO] of the human forearm while the 1064 nm laser sustained the increases longer, and that 
(ii) the 810-nm LED with a moderate irradiance (≈135 mW/cm2) induced measurable and significant rises in Δ[HbO] and Δ[oxCCO] with respect to the sham stimulation on the human forearm."</t>
  </si>
  <si>
    <t>PBM application: right forearm</t>
  </si>
  <si>
    <t>USA
(College Station, TX)</t>
  </si>
  <si>
    <t>Transient absorption spectroscopy to explore cellular pathways to photobiomodulation</t>
  </si>
  <si>
    <t>450
635
808</t>
  </si>
  <si>
    <t>"This study presents a novel approach to studying low irradiance light exposures on individual proteins and/or protein complexes by combining a continuous wave (CW) laser diode with femtosecond transient absorption spectroscopy (TAS), coined here as CW-TAS, and tests the system on reduced cytochrome c (Cyt c) for proof of principle."
"No new electronic transient signals were observed beyond the background when testing Cyt c with the CW exposures. Kinetic analysis confirmed that existing transients did not deviate beyond uncertainty. Global time constants for Cyt c were calculated to be 0.25 ± 0.03 ps and 5.1 ± 0.3 ps for the control study, and the time constants for the CW exposed Cyt c were not significantly different.
This study concludes that CW irradiation, at doses delivered, does not alter the transient absorption data of Cyt c."
"The CW-TAS method provides a new tool for studying PBM effects in other proteins and protein complexes that might respond to the CW wavelengths, such as Complex IV, in future studies."</t>
  </si>
  <si>
    <t>Quirk &amp; Whelan</t>
  </si>
  <si>
    <t>Effect of Red-to-Near Infrared Light and a Nitric Oxide Donor on the Oxygen Consumption of Isolated Cytochrome c Oxidase</t>
  </si>
  <si>
    <t>670
830</t>
  </si>
  <si>
    <t>"Kinetics constants for oxygen consumption with or without R-NIR showed no significant differences with either wavelength at any substrate concentration. The NO donor showed significant inhibition that was not relieved by irradiation."
"This lack of effect by R-NIR calls into question both the CCO activity model and the NO inhibition relief model of PBM."</t>
  </si>
  <si>
    <t>Lausanne
(Switzerland)</t>
  </si>
  <si>
    <t>Stimulation and homogenization of the protoporphyrin IX endogenous production by photobiomodulation to increase the potency of photodynamic therapy</t>
  </si>
  <si>
    <t>Protoporphyrin IX production</t>
  </si>
  <si>
    <t>"Since photobiomodulation, which is based on the illumination of the tissues with sub-thermal radiometric conditions in the red or near-infrared, is known to stimulate the cell metabolism, we have optimized these conditions in vitro. Some of them lead to the homogenization and strong stimulation of the PpIX [Protoporphyrin IX] endogenous production.
Interestingly, combined sequentially, PBM enhanced significantly the potency of PpIX-based PDT in vitro and in vivo in tumors grown on the chicken embryo chorioallantoic membrane. These results are in excellent agreement with other assays based on measurements of the cell survival/death, the production of reactive oxygen species, including singlet oxygen, and the mitochondrial membrane potential."</t>
  </si>
  <si>
    <t>Fuchs</t>
  </si>
  <si>
    <t>Photobiomodulation Response From 660 nm is Different and More Durable Than That From 980 nm</t>
  </si>
  <si>
    <t>Keratinocyte
Fibroblast
Wavelength comparison</t>
  </si>
  <si>
    <t>660
980</t>
  </si>
  <si>
    <t>"Keratinocytes and fibroblasts responded differently to exposures at 660 nm (red) and 980 nm (NIR). Although 980 nm required much lower fluence for cell stimulation, the resulting increase in ATP levels was short-term, whereas 660 nm stimulation elevated ATP levels for at least 24 hours. 
COX-1 protein levels were increased following 660 nm treatment but were unaffected by 980 nm. In fibroblasts, SDH-A levels were affected by both wavelengths, whereas in keratinocytes only 660 nm light impacted SDH-A levels.
Inhibition of ATP synthase nearly completely abolished the effects of both wavelengths on ATP synthesis. Interestingly, inhibiting cytochrome c oxidase did not prevent the rise in ATP levels in response to PBM treatment."
"To the best of our knowledge, this is the first demonstration of differing kinetics in response to PBM therapy at red versus NIR wavelength. We also found cell-type-specific differences in PBM therapy response to the two wavelengths studied.
These findings confirm that different response pathways are involved after 660 and 980 nm exposures and suggest that 660 nm causes a more durable response."</t>
  </si>
  <si>
    <t>Wang &amp; Pollack</t>
  </si>
  <si>
    <t>USA
(Seattle, WA)</t>
  </si>
  <si>
    <t>Colloids Interface Sci Commun</t>
  </si>
  <si>
    <t>Effect of infrared radiation on interfacial water at hydrophilic surfaces</t>
  </si>
  <si>
    <t>mid-IR</t>
  </si>
  <si>
    <t>"After irradiation for 5 min by mid-IR light, EZ size increased with an expansion ratio of 1.41. A significant expansion was also found in the size of PZ, equivalent to an increment of about 1.39 × 1016 molecules of hydronium ions.
Thus, IR radiation not only builds EZ, but at the same time drives release of protons from the growing EZ to bulk water. Near-IR illumination also showed expansion of EZ and PZ water. 
These results imply that incident IR light not only promotes the build-up of interfacial water at the hydrophilic surface, but also provides a driving force for charge separation."</t>
  </si>
  <si>
    <t>Red and near-infrared light evokes Ca 2+ influx, endoplasmic reticulum release and membrane depolarization in neurons and cancer cells</t>
  </si>
  <si>
    <t>Endoplasmic reticulum</t>
  </si>
  <si>
    <t>650
808
1064</t>
  </si>
  <si>
    <t>"The obtained results show that 650 and 808 nm light promotes intracellular Ca2+ elevation regardless of cell type, but with different dynamics due to the specificities of Ca2+ regulation in neurons and cancer cells."
"Two origins responsible for Ca2+ elevation are determined to be: influx of exogenous Ca2+ ions into cells and Ca2+ release from endoplasmic reticulum."
"In contrast to the irradiation with 650 and 808 nm light, no effects are observed under 1064 nm irradiation."</t>
  </si>
  <si>
    <t>Russia &amp; Italy</t>
  </si>
  <si>
    <t>Photobiomodulation and Oxidative Stress: 980 nm Diode Laser Light Regulates Mitochondrial Activity and Reactive Oxygen Species Production</t>
  </si>
  <si>
    <t>Bovine liver isolated mitochondria
Dose response
Biphasic dose response</t>
  </si>
  <si>
    <t>"In our work, bovine liver isolated mitochondria were irradiated for 60 sec, in continuous wave mode with 980 nm and powers from 0.1 to 1.4 W (0.1 W increment at every step) to generate energies from 6 to 84 J, fluences from 7.7 to 107.7 J/cm2, power densities from 0.13 to 1.79 W/cm2, and spot size 0.78 cm2. The control was equal to 0 W."
"The activity of the mitochondria's complexes, Krebs cycle enzymes, ATP production, oxygen consumption, generation of ROS, and oxidative stress were detected. Lower powers (0.1-0.2 W) showed an inhibitory effect; those that were intermediate (0.3-0.7 W) did not display an effect, and the higher powers (0.8-1.1 W) induced an increment of ATP synthesis."
"Results showed that 0.1 W uncoupled the respiratory chain and induced higher oxidative stress and drastic inhibition of ATP production. Conversely, 0.8 W kept mitochondria coupled and induced an increase of ATP production by increments of Complex III and IV activities. An augmentation of oxidative stress was also observed, probably as a consequence of the increased oxygen consumption and mitochondrial isolation experimental conditions. No effect was observed using 0.5 W, and no effect was observed on the enzymes of the Krebs cycle."</t>
  </si>
  <si>
    <t>Benson</t>
  </si>
  <si>
    <t>Elucidating the Time Course of the Transcriptomic Response to Photobiomodulation Through Gene Co-Expression Analysis</t>
  </si>
  <si>
    <t>Gene expression
LED phototherapy</t>
  </si>
  <si>
    <t>"The findings suggest that PBM induces distinct early phase (up to 8 h post-PBM) and late phase (24 h post-PBM) intracellular responses. 
The early intracellular response features enrichment of pathways relating to transcriptional regulation and cellular stress responses, while the late intracellular response demonstrates a physiological shift to enrichment of downstream pathways such as cell death and DNA damage. 
These findings provide support for the hypothesis that PBM acts as a transient stressful stimulus, activating endogenous stress response pathways that in turn enhance cellular resilience. 
Further, the study introduces a novel method for retaining the richness of the temporal component when analysing transcriptomic time course data sets."</t>
  </si>
  <si>
    <t>Light-emitting Diode Irradiation Using 660 Nm Promotes Human Fibroblast HSP90 Expression and Changes Cellular Activity and Morphology</t>
  </si>
  <si>
    <t>Heat shock proteins</t>
  </si>
  <si>
    <t>"After LED irradiation, cellular viability and morphology changed. Of the several HSPs analyzed, the HSP90 level increased significantly, suggesting that this protein played roles in the morphological and cellular changes."
Comment: According to PubPeer comments, this paper might have image duplication issues and could be unreliable.</t>
  </si>
  <si>
    <t>Ravera</t>
  </si>
  <si>
    <t>1064 nm Nd:YAG laser light affects transmembrane mitochondria respiratory chain complexes</t>
  </si>
  <si>
    <t>0.50
0.75
1.00
1.25
1.50</t>
  </si>
  <si>
    <t>30
45
60
75
90</t>
  </si>
  <si>
    <t>"Our results show the effect of laser light on the transmembrane mitochondrial complexes I, III, IV and V (adenosine triphosphate synthase) (window effects), but not on the extrinsic mitochondrial membrane complex II and mitochondria matrix enzymes. The effect is not due to macroscopical thermal change. An interaction of this wavelength with the Fe-S proteins and Cu-centers of respiratory complexes and with the water molecules could be supposed."</t>
  </si>
  <si>
    <t>Lunova</t>
  </si>
  <si>
    <t>Cell Mol Life Sci</t>
  </si>
  <si>
    <t>Light-induced modulation of the mitochondrial respiratory chain activity: possibilities and limitations.</t>
  </si>
  <si>
    <t>Green light 🟢
Blue light 🔵</t>
  </si>
  <si>
    <t>398
505
650</t>
  </si>
  <si>
    <t>"We demonstrated that despite blue and red laser irradiation results in similar apoptotic death, cellular signaling and kinetic of biochemical responses are distinct. Based on our data, we concluded that blue laser irradiation inhibited cytochrome c oxidase activity in electron transport chain of mitochondria. Contrary, red laser triggered cytochrome c oxidase excessive activation. Moreover, we showed that Bcl-2 protein inhibited laser-induced toxicity by stabilizing mitochondria membrane potential. Thus, cells that either overexpress or have elevated levels of Bcl-2 are protected from laser-induced cytotoxicity."
Comment: The information on parameters seems very limited. The authors state their power output (eg. 50 µW) at some situations, but the irradiance (mW/cm2) is not revealed, making the whole paper difficult to interpret. However, the authors appear to state they used an optical fiber of 15µm diameter, so according to my calculations [0.050 mW / (0.00075 cm * 0.00075 cm * 3,1415)], the power output would be 28300 mW/cm2, which is much higher than used in PBM reseach usually.</t>
  </si>
  <si>
    <t>A day in the life of mitochondria reveals shifting workloads.</t>
  </si>
  <si>
    <t>0.040
cm2</t>
  </si>
  <si>
    <t>"In our experiments, exposure to 670 nm light improved fly respiration in the mornings but not in the afternoon. This is consistent with mitochondria having reduced spare capacity later in the day when they likely have a heavy workload due to animal activity as reflected in elevated respiration."</t>
  </si>
  <si>
    <t>1064 nm Nd:YAG laser light affect transmembrane mitochondria respiratory chain complexes.</t>
  </si>
  <si>
    <t>"Our results show the effect of laser light on the transmembrane mitochondrial complexes I, III, IV and V (ATP-synthase) (window effects), but not on the extrinsic mitochondrial membrane complex II and mitochondria matrix enzymes. The effect is not due to macroscopical thermal change. 
An interaction of this wavelength with the Fe-S proteins and Cu-centers of respiratory complexes and with the water molecules, could be supposed."</t>
  </si>
  <si>
    <t>Lima</t>
  </si>
  <si>
    <t>USA
(Miami)</t>
  </si>
  <si>
    <t>Photobiomodulation enhancement of cell proliferation at 660 nm does not require cytochrome c oxidase.</t>
  </si>
  <si>
    <t>Cytochrome c oxidase</t>
  </si>
  <si>
    <t>0.07
0.1
0.16</t>
  </si>
  <si>
    <t>2.4
3.21
5.35</t>
  </si>
  <si>
    <t>2
3
5</t>
  </si>
  <si>
    <t>"Cox10 KO line had an increase in ATP levels after PBM"
"In most of the conditions tested, increased cell proliferation was associated with PBM in both control and CCO negative cells, demonstrating that CCO is not required for PBM enhancement of cellular proliferation. Additional experiments showed that PBM increased both ATP levels and citrate synthase activity and levels. These results showed that although metabolic changes are associated with PBM, CCO is not required for its cell proliferation enhancing effect."</t>
  </si>
  <si>
    <t>China
( Shenzhen)</t>
  </si>
  <si>
    <t>J Cell Physiol.</t>
  </si>
  <si>
    <t>Red and near-infrared light induces intracellular Ca2+ flux via the activation of glutamate N-methyl-D-aspartate receptors.</t>
  </si>
  <si>
    <t>NMDA / Calcium ions
Wavelength comparison</t>
  </si>
  <si>
    <t>650
808</t>
  </si>
  <si>
    <t>1
10
100
300</t>
  </si>
  <si>
    <t>"The laser light was found to elevate Ca2+ influx into cell cytoplasm in a dose‐dependent manner without changes of the NMDAR functioning. Furthermore, the light of both wavelengths demonstrated the ability to elevate Ca2+influx under the pharmacological blockade of NMDARs and also might partially abolish the blockade enhancing Ca2+ influx after selective stimulation of the receptors with NMDA. Simultaneously, the light at moderate doses demonstrated a photobiostimulating effect on cells."
"Based on our experiments and data reported in the literature, we suggest that the low‐power visible and NIR light can instigate a cell membrane depolarization via nonthermal activation, resulting in the fast induction of Ca2+ influx into cells."</t>
  </si>
  <si>
    <t>★
📷</t>
  </si>
  <si>
    <t>Serrage</t>
  </si>
  <si>
    <t>Differential Responses of Myoblasts and Myotubes to Photobiomodulation are associated with Mitochondrial Number.</t>
  </si>
  <si>
    <t>Blue light🔵
(Green light 🟢)
Wavelength comparison</t>
  </si>
  <si>
    <t>400
450
525
660
740
810
830
+
white
light</t>
  </si>
  <si>
    <t>"Myotubes exhibited mtDNA levels 86% greater than myoblasts (p&lt;0.001). Irradiation of myotubes at 400nm, 450nm or 810nm induced 53%, 29% and 47% increases (relative to non-irradiated-control) in maximal respiratory rates respectively (p&lt;0.001). Conversely, irradiation of myoblasts at 400nm or 450nm had no significant effect on maximal respiratory rates."
"This study suggests that mitochondrial content may influence cellular responses to PBM and as such explain the variability of PBM responses seen in the literature. This article is protected by copyright. All rights reserved."</t>
  </si>
  <si>
    <t>Dontsov</t>
  </si>
  <si>
    <t>Pathological Physiology and Experimental Therapy [title translated from Russian]</t>
  </si>
  <si>
    <t>Photoactivation of cytochrome c-oxidase activity of mitochondria of the liver of Japanese quail with therapeutic doses of blue and red LED irradiation [Russian article]</t>
  </si>
  <si>
    <t>Isolated liver mitochondria from Japanese quail
LED phototherapy
Blue light 🔵 &amp; Biphasic dose response
Wavelength comparison</t>
  </si>
  <si>
    <t>450
630</t>
  </si>
  <si>
    <t>["It was shown that irradiation of mitochondria with blue light with energy exposures not exceeding 4 J / cm² causes about 5–15 percent stimulation of cytochrome c oxidase activity, and doses greater than 5 J / cm² lead to inhibition of enzyme activity. 
Irradiation of mitochondria with red light also has a stimulating effect (10–20%) on cytochrome c-oxidase activity compared to unirradiated samples. 
Conclusion It is assumed that low-dose irradiation with blue light may have a therapeutic effect similar to red light during photobiomodulation."]</t>
  </si>
  <si>
    <t>★
☹</t>
  </si>
  <si>
    <t>Red light-emitting diode irradiation regulates oxidative stress and inflammation through SPHK1/NF-κB activation in human keratinocytes.</t>
  </si>
  <si>
    <t>LED phototherapy
Keratinocyte</t>
  </si>
  <si>
    <t>(425)
625</t>
  </si>
  <si>
    <t>4.5
(?)</t>
  </si>
  <si>
    <t>0.0045
(?)</t>
  </si>
  <si>
    <t>1800/
3600</t>
  </si>
  <si>
    <t>Comment: The parameters are poorly reported. The authors wrote that the intensity was 4.5 mW. I assume they probably meant 4.5 mW/cm2. Therefore the 30min exposure would equal 8.1 J/cm2 and 60min exposure would equal 16.2 J/cm2.</t>
  </si>
  <si>
    <t>Photobiomodulation with red light emitting diodes accelerates hepatocytes proliferation through reactive oxygen species /extracellular signal-regulated kinase pathway.</t>
  </si>
  <si>
    <t>LED phototherapy
Mouse primary hepatocytes</t>
  </si>
  <si>
    <t>"The red LED irradiation increased hepatocyte proliferation, elevated intracellular ROS levels and stimulated ERK1/2 activation and cell cycle-related genes expression. The mitosis promoting the effect of red LED irradiation could be disturbed by ROS or pERK inhibition. The red LED irradiation promoted hepatocyte proliferation through the ROS/pERK1/2 pathway."</t>
  </si>
  <si>
    <t>Lynnyk</t>
  </si>
  <si>
    <t>Manipulating the mitochondria activity in human hepatic cell line Huh7 by low-power laser irradiation.</t>
  </si>
  <si>
    <t>Hepatic cell line Huh7</t>
  </si>
  <si>
    <t>"Our data demonstrate that high dose laser irradiation exhibited the highest levels of total reactive oxygen species production, leading to cyclophilin D-related necrosis via the mitochondrial permeability transition. On the contrary, low dose laser irradiation resulted in the nuclear accumulation of superoxide and apoptosis execution. 
Our findings offer a novel insight into laser-induced cellular responses, and reveal distinct cell death pathways triggered by laser irradiation. The observed link between mitochondria depolarization and triggering ROS could be a fundamental phenomenon in laser-induced cellular responses."
Comment: Even at the minimal dose, the intensity was 800W/cm2, which is super high and not comparable to PBM/LLLT.</t>
  </si>
  <si>
    <t>Impact of heat on metabolic and hemodynamic changes in transcranial infrared laser stimulation measured by broadband near-infrared spectroscopy.</t>
  </si>
  <si>
    <t>Athermal effects</t>
  </si>
  <si>
    <t>"According to the broadband NIRS readings on the same subjects, significant differences in hemodynamic and metabolic responses (i.e., ΔHbO, ΔHbT, ΔHbD, and ΔCCO) were observed between the heat-induced and laser-induced effects on human foreheads."
"We concluded that the observed effects of [transcranial infrared laser stimulation] on cerebral hemodynamics and metabolism are not induced by heating the skin."</t>
  </si>
  <si>
    <r>
      <rPr>
        <b/>
        <color rgb="FF980000"/>
        <sz val="9.0"/>
      </rPr>
      <t xml:space="preserve">★
</t>
    </r>
    <r>
      <rPr>
        <b/>
        <color rgb="FF980000"/>
        <sz val="8.0"/>
      </rPr>
      <t>📷</t>
    </r>
  </si>
  <si>
    <t>Brazil
(Araranguá)</t>
  </si>
  <si>
    <t>Photobiomodulation Therapy Improves Acute Inflammatory Response in Mice: the Role of Cannabinoid Receptors/ATP-Sensitive K+ Channel/p38-MAPK Signalling Pathway.</t>
  </si>
  <si>
    <t>Dose response
Signaling pathways
CB1, CB2</t>
  </si>
  <si>
    <t>0.06
0.6
3
6
9
12</t>
  </si>
  <si>
    <t>1
10
50
100
150
200</t>
  </si>
  <si>
    <t>0.06
cm2</t>
  </si>
  <si>
    <t>2
20
100
200
300
400</t>
  </si>
  <si>
    <t>"Here, we reported that PBM (660 nm, 30 mW, 0.06 cm2, 50 J/cm2, plantar irradiation) significantly inhibited carrageenan-induced paw oedema, but not noxious thermal response, through positive modulation to both CB1 and CB2 cannabinoid receptors.
The use of CB1 antagonist AM281 or CB2 antagonist AM630 significantly reversed the anti-inflammatory effect of PBM. Analysis of signalling pathway downstream of cannabinoid receptors activation reveals that anti-inflammatory effects of PBM depend, in great extent, on its ability to activate ATP-dependent K+ channels and p38 mitogen-activated protein kinase. Moreover, PBM therapy significantly reduced the levels of pro-inflammatory cytokine IL-6 in both paw and spinal cord, and restored the reduction of the level of anti-inflammatory cytokine IL-10 in spinal cord after carrageenan injection. Unlike the potent cannabinoid receptor agonist (WIN 55212-2), PBM did not exert any CNS-mediated effects in the tetrad assay.
Finally, PBM does not reduce inflammation and noxious thermal response induced by LPS and zymosan, a TLR4 and TLR2/dectin-1 ligand, respectively.
Thus, cannabinoid receptors and, possibly, the endocannabinoid system, represent an important site of action of PBM that opens the possibility of complementary and nonpsychotropic therapeutic interventions in clinical practice."</t>
  </si>
  <si>
    <t>Photobiomodulation of human dermal fibroblasts in vitro: decisive role of cell culture conditions and treatment protocols on experimental outcome.</t>
  </si>
  <si>
    <t>Parameters
Blue light 🔵
Green light 🟢
In vitro research methods
Wavelength comparison</t>
  </si>
  <si>
    <t>450
(500)
(530)
(590)
(655)
850</t>
  </si>
  <si>
    <t>"Here we interrogate the appropriateness of a range of previously-reported treatment parameters, including light wavelength, irradiance and radiant exposure, as well as cell culture conditions (e.g., serum concentration, cell confluency, medium refreshment, direct/indirect treatment, oxygen concentration, etc.), in primary cultures of normal human dermal fibroblasts exposed to visible and near infra-red (NIR) light. 
Apart from irradiance, all study parameters impacted significantly on fibroblast metabolic activity. Moreover, when cells were grown at atmospheric O2 levels (i.e. 20%) short wavelength light inhibited cell metabolism, while negligible effects were seen with long visible and NIR wavelength. By contrast, NIR stimulated cells when exposed to dermal tissue oxygen levels (approx. 2%)."
"The implications of our study findings are that we recommend that confluency, serum- and environmental oxygen concentration should ideally be much lower than those currently used and reported worldwide in conventional dermal fibroblast culture protocols"</t>
  </si>
  <si>
    <t>USA (Texas)</t>
  </si>
  <si>
    <t>Up-regulation of cerebral cytochrome-c-oxidase and hemodynamics by transcranial infrared laser stimulation: A broadband near-infrared spectroscopy study.</t>
  </si>
  <si>
    <t>🧑 Human
📄 Non-randomized study, sham-controlled
👥 11 participants
⌛ single session</t>
  </si>
  <si>
    <t>3400
active
100
sham</t>
  </si>
  <si>
    <t>187
/cycle
8 cycles</t>
  </si>
  <si>
    <t>13.75
/cycle</t>
  </si>
  <si>
    <t>55
/cycle
8 cycles</t>
  </si>
  <si>
    <t>1 sham
(5min) -&gt;
1 active</t>
  </si>
  <si>
    <t>"With respect to the placebo readings, we observed
(1) significant increases in cerebral concentrations of oxidized CCO (Δ[CCO]; &gt;0.08 µM; p &lt; 0.01), oxygenated hemoglobin (Δ[HbO]; &gt;0.8 µM; p &lt; 0.01), and total hemoglobin (Δ[HbT]; &gt;0.5 µM; p &lt; 0.01) during and after TILS, and
(2) linear interplays between Δ[CCO] versus Δ[HbO] and between Δ[CCO] versus Δ[HbT].
Ratios of Δ[CCO]/Δ[HbO] and Δ[CCO]/Δ[HbT] were introduced as TILS-induced metabolic-hemodynamic coupling indices to quantify the coupling strength between TILS-enhanced cerebral metabolism and blood oxygen supply.
This study provides the first demonstration that TILS causes up-regulation of oxidized CCO in the human brain, and contributes important insight into the physiological mechanisms."</t>
  </si>
  <si>
    <t>Device: "An FDA-cleared 1064-nm continuous wave laser device (HD Laser Model CG-5000, Cell Gen Therapeutics LLC, Dallas, TX)"</t>
  </si>
  <si>
    <t>Interplay between up-regulation of cytochrome-c-oxidase and hemoglobin oxygenation induced by near-infrared laser.</t>
  </si>
  <si>
    <t>"For the first time, we demonstrated that 1064 nm laser can induce significant increases of CCO and HbO concentrations in a dose-dependent manner over time, as compared with placebo treatment. In addition, Δ[CCO] and Δ[HbO] displayed a clear linear relationship as the dose of LLLT increased. "
"These results demonstrate the tremendous potential of broadband NIRS as a non-invasive, in vivo means to study mechanisms of photobiomodulation and perform treatment evaluations of LLLT. "</t>
  </si>
  <si>
    <t>An 808-nm Diode Laser with a Flat-Top Handpiece Positively Photobiomodulates Mitochondria Activities.</t>
  </si>
  <si>
    <t>Bovine liver mitochondria
Flat-top handpiece</t>
  </si>
  <si>
    <t>"Our data show for the first time that even the higher fluences (64 J/cm2-1 W), similar to the low fluences, can photobiostimulate the mitochondria respiratory chain without uncoupling them and can induce an increment in the ATP production.
These results suggest that the negative effects of higher fluences observed to date are not unequivocally due to higher fluence per se but might be a consequence of the irradiation carried by handpieces with a Gaussian profile."</t>
  </si>
  <si>
    <t>Photobiomodulation of human adipose-derived stem cells using 810nm and 980nm lasers operates via different mechanisms of action.</t>
  </si>
  <si>
    <t>Stem cells
980nm --&gt; calcium channels, TRPV1, TRPC
Wavelength comparison</t>
  </si>
  <si>
    <t>810
980</t>
  </si>
  <si>
    <t>0.03
0.3
1
3
5
10
20</t>
  </si>
  <si>
    <t>"The use of NIR wavelengths such as 810nm is reasonably well accepted to stimulate mitochondrial activity and ATP production via absorption of photons by cytochrome c oxidase. However, the mechanism of action of 980nm is less well understood."
[See additional info]</t>
  </si>
  <si>
    <t>"Both wavelengths showed a biphasic dose response, but 810nm had a peak dose response at 3J/cm2 for stimulation of proliferation at 24h, while the peak dose for 980nm was 10-100 times lower at 0.03 or 0.3J/cm2. Moreover, 980nm (but not 810nm) increased cytosolic calcium while decreasing mitochondrial calcium. The effects of 980nm could be blocked by calcium channel blockers (capsazepine for TRPV1 and SKF96365 for TRPC channels), which had no effect on 810nm.
To test the hypothesis that the chromophore for 980nm was intracellular water, which could possibly form a microscopic temperature gradient upon laser irradiation, we added cold medium (4°C) during the light exposure, or pre-incubated the cells at 42°C, both of which abrogated the effect of 980nm but not 810nm. We conclude that 980nm affects temperature-gated calcium ion channels, while 810nm largely affects mitochondrial cytochrome c oxidase."</t>
  </si>
  <si>
    <t>USA (Bethesda, MD)</t>
  </si>
  <si>
    <t>J Periodontal Res</t>
  </si>
  <si>
    <t>Laser-activated transforming growth factor-β1 induces human β-defensin 2: implications for laser therapies for periodontitis and peri-implantitis.</t>
  </si>
  <si>
    <t>TGF-β1
Periodontium &amp; peri-implantitis</t>
  </si>
  <si>
    <t>1
2.5
4
5.5
7.5</t>
  </si>
  <si>
    <t>"Laser-activated TGF-β1 signaling and induced expression of HBD-2, both of which are individually capable of promoting healing in tissues adjacent to high-power surgical laser applications."</t>
  </si>
  <si>
    <t>Effect of Red-to-Near Infrared Light on the Reaction of Isolated Cytochrome c Oxidase with Cytochrome c.</t>
  </si>
  <si>
    <t>660
670
830</t>
  </si>
  <si>
    <t>"The oxidation of cytochrome c by isolated CCO has not been shown to be affected by R-NIR irradiation, whether applied prior to or concurrently with the enzymatic assays. This lack of effect by R-NIR calls into question the CCO activity model of R-NIR photobiomodulation."
"There could still be a role for CCO in R-NIR-PBM. Although the activity may not be affected, it may be possible that R-NIR reception by CCO in some manner results in increased expression of the same enzyme. It is difficult, however, to envision how such a result could be achieved. Perhaps CCO modulation by R-NIR does not affect the rate of cytochrome c oxidation, but rather increases its efficiency by increasing the proton pumping rate per electron transferred, as argued in a study of isolated rat liver mitochondria. This could improve the production of adenosine triphosphate (ATP), with all of the implied cellular benefits."
"We have only studied one part of the CCO reaction. In this work, the other substrate, oxygen, is considered to be saturating and not rate limiting. It is possible that the kinetics of the reduction of oxygen by CCO may be affected by R-NIR even if the cytochrome c oxidation may not. It is our intention to study oxygen uptake in a respiration chamber using the Clark electrode technique."
Comment: Still, the in vitro setting with isolated CCO, instead of a living cell, could possibly explain these results. Hopefully we get some clarity about the mechanism during the following years.</t>
  </si>
  <si>
    <t>Measuring the dynamics of cyclic adenosine monophosphate level in living cells induced by low-level laser irradiation using bioluminescence resonance energy transfer.</t>
  </si>
  <si>
    <t>cAMP
Wavelength comparison</t>
  </si>
  <si>
    <t>658
785
830</t>
  </si>
  <si>
    <t>"Several studies demonstrated that the cyclic adenosine monophosphate (cAMP), an important second messenger, is involved in the mechanism of low-level laser irradiation (LLLI) treatment. However, most of these studies obtained the cAMP level in cell culture extracts or supernatant. 
In this study, the cAMP level in living cells was measured with bioluminescence resonance energy transfer (BRET). The effect of LLLI on cAMP level in living cells with adenosine receptors blocked was explored to identify the role of adenosine receptors in LLLI. 
The results showed that LLLI increased the cAMP level. Moreover, the rise of cAMP level was light dose dependent but wavelength independent for 658-, 785-, and 830-nm laser light. The results also exhibited that the adenosine receptors, a class of G protein-coupled receptor (GPCR), modulated the increase of cAMP level induced by LLLI. The cAMP level increased more significantly when the A3 adenosine receptors (A3R) were blocked by A3R antagonist compared with A1 adenosine receptor or A2a adenosine receptor blocked in HEK293T cells after LLLI, which was in good agreement with the adenosine receptors’ expressions. 
All these results suggested that measuring the cAMP level with BRET could be a useful technique to study the role of GPCRs in living cells under LLLI."</t>
  </si>
  <si>
    <t>Stylianou &amp; Yova</t>
  </si>
  <si>
    <t>Atomic force microscopy investigation of the interaction of low-level laser irradiation of collagen thin films in correlation with fibroblast response</t>
  </si>
  <si>
    <t>661</t>
  </si>
  <si>
    <t>"The results demonstrated that LLRL induced small alterations in fluorescence emission and had a negligible effect on the topography of collagen thin films.
However, fibroblasts cultured on LLRL-irradiated collagen thin films responded to LRLL."</t>
  </si>
  <si>
    <t>Sikka</t>
  </si>
  <si>
    <t>Melanopsin mediates light-dependent relaxation in blood vessels</t>
  </si>
  <si>
    <t>380-
495
blue
495-
570
green
620-
750
red</t>
  </si>
  <si>
    <t xml:space="preserve">"Melanopsin (opsin4; Opn4), a non-image-forming opsin, has been linked to a number of behavioral responses to light, including circadian photo-entrainment, light suppression of activity in nocturnal animals, and alertness in diurnal animals. We report a physiological role for Opn4 in regulating blood vessel function, particularly in the context of photorelaxation."
"Using PCR, we demonstrate that Opn4 (a classic G protein-coupled receptor) is expressed in blood vessels. Force-tension myography demonstrates that vessels from Opn4(-/-) mice fail to display photorelaxation, which is also inhibited by an Opn4-specific small-molecule inhibitor."
"Vasorelaxation was initially observed in response to cold white light. We next examined vasorelaxation responses to a range of wavelengths with diodes that emit red (620–750 nm), green (495–570 nm), or blue (380–495 nm) light (RGB). The vessels did not respond to red or green light but displayed maximal vasorelaxation at low-intensity blue light (Fig. 2 A and B). Next, using a monochromator, we determined the precise peak wavelength spectral sensitivity by changing the wavelength at 30-nm intervals and measuring the vasorelaxant response."
"Photorelaxation does not involve endothelial-, nitric oxide-, carbon monoxide-, or cytochrome p450-derived vasoactive prostanoid signaling but is associated with vascular hyperpolarization, as shown by intracellular membrane potential measurements."
</t>
  </si>
  <si>
    <t>Buravlev</t>
  </si>
  <si>
    <t>Effects of low-level laser therapy on mitochondrial respiration and nitrosyl complex content.</t>
  </si>
  <si>
    <t>Nitric oxide
Blue light 🔵</t>
  </si>
  <si>
    <t>442</t>
  </si>
  <si>
    <t>"It was shown that mitochondrial respiration in State 3 (V3) and State 4 (V4), according to Chance, dramatically decreased in the presence of 3 mM NO, but laser radiation (λ = 442 nm, 30 J/cm(2)) restored the respiration rates virtually to the initial level."</t>
  </si>
  <si>
    <t>Photobiomodulation on KATP Channels of Kir6.2-Transfected HEK-293 Cells</t>
  </si>
  <si>
    <t>808</t>
  </si>
  <si>
    <t>"Results. Obvious openings of KATP channels of Kir6.2-transfected HEK-293 cells and excised patches were recorded during and after low intensity 808 nm laser irradiation. Compared with the channels that did not undergo irradiation, open probability, current amplitude, and dwell time of KATP channels after irradiation improved. 
Conclusions. Low intensity 808 nm laser irradiation may activate membrane KATP channels of Kir6.2-transfected HEK-293 cells and in excised patches."</t>
  </si>
  <si>
    <t>Effects of laser and LED radiation on mitochondrial respiration in experimental endotoxic shock.</t>
  </si>
  <si>
    <t>Blue light 🔵
Green light 🟢
LED phototherapy</t>
  </si>
  <si>
    <t>442
532
650</t>
  </si>
  <si>
    <t>"It was found that low-level laser therapy and LED radiation dramatically affected the rate of mitochondrial respiration in third and fourth states both in LPS-treated animals and in control experiments. The maximal increase of the mitochondrial respiration rate (of about 40 %) in LPS-treated animals was observed when blue laser was applied at the dose of 6 J/cm(2)."</t>
  </si>
  <si>
    <t>Low-intensity laser irradiation at 660 nm stimulates cytochrome c oxidase in stressed fibroblast cells.</t>
  </si>
  <si>
    <t>Fibroblast
ATP
Dose response / Biphasic dose response / Irregular dose response ???</t>
  </si>
  <si>
    <t>660</t>
  </si>
  <si>
    <t>"Irradiated diabetic mitochondria at a fluence of 15 J/cm(2) showed a significant decrease in complex III activity (P &lt; 0.05). Normal (P &lt; 0.01) and diabetic (P &lt; 0.05) mitochondria irradiated at either 5 or 15 J/cm(2) showed a significant increase in complex IV activity. ATP results showed a significant increase in irradiated normal cells (5 J/cm(2); P &lt; 0.05) and diabetic cells (15 J/cm(2); P &lt; 0.01). There was a higher accumulation of active mitochondria in irradiated cells than non-irradiated cells."
"Irradiation at 660 nm has the ability to influence mitochondrial enzyme activity, in particular cytochrome c oxidase. This leads to increased mitochondrial activity and ATP synthesis."</t>
  </si>
  <si>
    <t>Lavi</t>
  </si>
  <si>
    <t>The plasma membrane is involved in the visible light-tissue interaction.</t>
  </si>
  <si>
    <t>Polychromatic light 🌈 (visible light)
Blue light 🔵
Wavelength comparison</t>
  </si>
  <si>
    <t>400-
800
w/
filters:
400-
505
blue
600-
800
red</t>
  </si>
  <si>
    <t>"Visible-light-induced oxyradicals were detected in isolated sperm membranes. Blue light was found to be more effective than red. Illuminated denatured membranes produced the same amount of ROS as non-denatured membranes."</t>
  </si>
  <si>
    <t>Asimov &amp; Thanh</t>
  </si>
  <si>
    <t>Belarus &amp; Vietnam</t>
  </si>
  <si>
    <t>Opt Spectrosc</t>
  </si>
  <si>
    <t>Laser-induced photodissociation of oxyhemoglobin: Optical method of elimination of hypoxia (oxygen deficiency in biotissue)</t>
  </si>
  <si>
    <t>🧪 In vitro
+ 🧑 Human (?)
📄.</t>
  </si>
  <si>
    <t>"We proposed and developed an optical method of elimination of local hypoxia, which is based on the laser-induced photodissociation of oxyhemoglobin in blood vessels and capillaries.
We showed that the optical properties of the cutaneous tissue considerably narrow the spectral range of action of the laser radiation on blood oxyhemoglobin in vivo. We found that, upon the excitation of oxyhe moglobin into the maximum of the band at a wavelength of 585 nm of the action spectrum, the efficient extraction of molecular oxygen from the complex as a result of its photodissociation is achieved."</t>
  </si>
  <si>
    <t>Sommer</t>
  </si>
  <si>
    <t>J Phys Chem Lett</t>
  </si>
  <si>
    <t>Breathing Volume into Interfacial Water with Laser Light</t>
  </si>
  <si>
    <t>🧪 In vitro
(physics)</t>
  </si>
  <si>
    <t>670</t>
  </si>
  <si>
    <t>"The molecular structure of nanoscopic interfacial water layers is changed by irradiation with 670 nm laser light, a wavelength to which bulk water is practically transparent. Whereas the phenomenon was confirmed in several experimental studies, its intrinsic cause was not clear. We use X-ray spectroscopy to analyze nanoscopic interfacial water layers on nanocrystalline diamond films and demonstrate that the structural change is due to collective hydrogen bond excitation in the water layers.
K-edge X-ray fluorescence yield reveals a change in H2O···H2O orbital hybridization upon light exposure. The corresponding electronic picture is indicative of a density drop in the condensed-phase layer.
The associated volume expansion is relevant to systems involving nanoconfined liquids and may inspire innovative design principles both in nanotechnology and nanomedicine."</t>
  </si>
  <si>
    <t>ACS</t>
  </si>
  <si>
    <t>Ball</t>
  </si>
  <si>
    <t>USA
(Boulder, CO)</t>
  </si>
  <si>
    <t>Low intensity light stimulates nitrite-dependent nitric oxide synthesis but not oxygen consumption by cytochrome c oxidase: Implications for phototherapy.</t>
  </si>
  <si>
    <t>Nitric oxide (NO)</t>
  </si>
  <si>
    <t>590</t>
  </si>
  <si>
    <t>"By using a series of bandpass filters and light emitting devices (LEDs) we have determined that maximal stimulation of Cco/NO activity is achieved by exposure to light whose central wavelength is 590 ± 14 nm. This wavelength of light stimulates Cco/NO synthesis at physiological nitrite concentrations.
These findings raise the interesting possibility that low intensity light exerts a beneficial effect on cells and tissues by increasing NO synthesis catalyzed by Cco and offer a new explanation for the increase in NO bioavailability experienced by tissue exposed to light."</t>
  </si>
  <si>
    <t>Inhibition of mitochondria-dependent apoptosis by 635-nm irradiation in sodium nitroprusside-treated SH-SY5Y cells.</t>
  </si>
  <si>
    <t>635</t>
  </si>
  <si>
    <t>"Cell survival was reduced to approximately 40% of control levels by SNP treatment, and this reduction was increased to 60% by low-level light irradiation. Apoptotic cells were observed in the SNP-treated group, but the frequency of these was reduced in the irradiation group. NO, O(2)(-), total ROS, and ONOO(-) levels were increased after SNP treatment, but O(2)(-), total ROS, and ONOO(-) levels were decreased after irradiation, despite the high NO concentration induced by SNP treatment."</t>
  </si>
  <si>
    <t>IEEE J Sel Top Quantum Electron</t>
  </si>
  <si>
    <t>Light Supports Neurite Outgrowth of Human Neural Progenitor Cells In Vitro: The Role of P2Y Receptors</t>
  </si>
  <si>
    <t>810</t>
  </si>
  <si>
    <t>150</t>
  </si>
  <si>
    <t>0.05
0.10</t>
  </si>
  <si>
    <t>0.2
0.2</t>
  </si>
  <si>
    <t>4
2</t>
  </si>
  <si>
    <t>"The data presented here establish the neuritogenic potential of light on NHNPCs in a growth factor and serum-free environment. Based on these findings, we propose that the light caused an increase in ATP that acted through P2Y receptors and downstream signaling pathways leading to neurite outgrowth."
Note: A correction has been published. The Figure 4 (especially images D, E and F) was incorrect.</t>
  </si>
  <si>
    <t>"For the preliminary experiments, NHNPCs were plated on slides and treated with light once a day for three days and grown for a total of seven days in three separate experiments using the following laser parameters:
 1) wavelengths: 458.6, 477, 488.7, 515, 646, 660, 780, 807, 810, and 975 nm;
 2) doses (810 nm light, at 50 mW/cm2 ): 0.005, 0.01, 0.02, 0.05, 0.1, 0.2, 0.5, 1, 2, 4, and 6 J/cm2 ; and
 3) power density (810 nm light): 1, 3, 10, 30, 50, and 100 mW/cm2 .
For each of the three experiments, the diameter of the laser(s) spot size was 10 mm corresponding to an area of 0.785 cm2"</t>
  </si>
  <si>
    <t>Absorption measurements of cell monolayers relevant to mechanisms of laser phototherapy: reduction or oxidation of cytochrome c oxidase under laser radiation at 632.8 nm.</t>
  </si>
  <si>
    <t>"The experimental results of our work demonstrate that irradiation at 632.8 nm causes either a (transient) relative reduction of the photoacceptor, putatively cytochrome c oxidase, or its (transient) relative oxidation, depending on the initial redox status of the photoacceptor. The maximum in the bell-shaped dose-dependence curve or the minimum of the reverse curve is the turning point between the prevailing of oxidation or reduction processes. Our results are evidence that the bell-shaped dose dependences recorded for various cellular responses are characteristic also for redox changes in the photoacceptor, cytochrome c oxidase."</t>
  </si>
  <si>
    <t>Langmuir</t>
  </si>
  <si>
    <t>Tuning Nanoscopic Water Layers on Hydrophobic and Hydrophilic Surfaces with Laser Light</t>
  </si>
  <si>
    <t>"The evolutional function of ordered interfacial water near solid surfaces was postulated by Szent-Györgyi:  'Life actually, may have started with building these water structures.' 
Here we report their tunability with laser light on both hydrophobic and hydrophilic surfaces. On the former, the light caused their depletionon the latter, an increase in fluidityas measured by atomic force acoustic microscopy. 
Interfacial water layers play a key role in cellular recognition. Their tunability promises to revolutionize various fields in biomedical engineering and life sciences."</t>
  </si>
  <si>
    <t>Hashieh</t>
  </si>
  <si>
    <t>Helium-neon laser irradiation is not a stressful treatment: a study on heat-shock protein (HSP70) level.</t>
  </si>
  <si>
    <t>L929 fibroblasts</t>
  </si>
  <si>
    <t>1.5
3.0</t>
  </si>
  <si>
    <t>"He-Ne treatment does not induce heat shock protein synthesis in human desmodontal nor in mouse fibroblasts at the energy densities used in this study."
"These results indicate that the treatment is not stressful at the cellular level."</t>
  </si>
  <si>
    <t>A reasonable mechanism for visible light-induced skin rejuvenation.</t>
  </si>
  <si>
    <t>24-
72</t>
  </si>
  <si>
    <t>"We irradiated collagen in vitro with a broadband of visible light (400-800 nm, 24-72 J/cm(2)) and used the spin trapping coupled with electron paramagnetic resonance spectroscopy to detect ROS. Irradiated collagen resulted in hydroxyl radicals formation. We propose, as a new concept, that visible light at the energy doses used for skin rejuvenation (20-30 J/cm(2)) produces high amounts of ROS, which destroy old collagen fibers, encouraging the formation of new ones. On the other hand, at inner depths of the skin, where the light intensity is much weaker, low amounts of ROS are formed, which are well known to stimulate fibroblast proliferation."
Comment: This Lubart's group has a long history of suggesting alternative mechanism hypotheses to Tiina Karu's cytochrome c oxidase theory of photobiomodulation primary mechanism.</t>
  </si>
  <si>
    <t>Eichler</t>
  </si>
  <si>
    <t>Red light-induced redox reactions in cells observed with TEMPO.</t>
  </si>
  <si>
    <t>"Shorter wavelengths have a considerably stronger effect than longer wavelengths, although red light has some effect. Creation of reactive oxygen species by red light was confirmed with the spin trap 5,5-dimethyl-1-pyrroline-N-oxide (DMPO)."
"Red light can induce redox reactions in illuminated cells. However, shorter wavelengths are more efficient in this regard. In addition, TEMPO was found to be a more sensitive probe than DMPO for detecting light-induced cellular redox reactions."</t>
  </si>
  <si>
    <t>Cellular response to infrared radiation involves retrograde mitochondrial signaling.</t>
  </si>
  <si>
    <t>"Infrared A radiation (IRA) is a major component of sunlight. Similar to ultraviolet (UV) B and UVA, IRA induces gene transcription. In contrast to the UV response very little is known about the IRA response. In the present study, IRA-induced expression of matrix metalloproteinase-1 (MMP-1) was found to be mediated by the formation of intracellular reactive oxygen species (ROS). Staining of IRA-irradiated cells with MitoSox revealed an increase in mitochondrial superoxide anion production and treatment of fibroblasts with the mitochondrial targeted antioxidant MitoQ completely abrogated the IRA, but not the UVB or UVA1, response. 
ROS relevant for IRA-induced signaling originated from the mt electron transport chain, because 
(i) chemical inhibition of the electron transport chain prevented IRA, but not UVB or UVA1, radiation-induced MMP-1 expression, 
(ii) rho0 fibroblasts specifically failed to increase MMP-1 expression in response to IRA, and 
(iii) peroxisome proliferator-activated receptor gamma coactivator-1 (PGC-1) overexpressing fibroblasts with increased electron transport chain content were hypersensitive to IRA radiation-induced gene expression. 
Thus, IRA, in contrast to UV, elicits a retrograde signaling response in human skin."
"The present study indicates that retrograde mitochondrial signaling processes in human dermal fibroblasts contribute to actinic damage of human skin. The observation that this exogenously triggered signaling cascade is mediated by ROS derived from the mtETC suggests that administration of proper antioxidants to human skin may protect against IRA radiation-induced skin damage."
Comment: There was a comment published to this paper by Piazena&amp;Kelleher. They note that the irradiance used by Schroeder was many-fold higher than sunlight.</t>
  </si>
  <si>
    <t>Arany</t>
  </si>
  <si>
    <t>Activation of latent TGF-beta1 by low-power laser in vitro correlates with increased TGF-beta1 levels in laser-enhanced oral wound healing.</t>
  </si>
  <si>
    <t>904</t>
  </si>
  <si>
    <t>"Low-power laser irradiation is capable of activating the latent TGF-beta1 complex in vitro and its expression pattern in vivo suggests that TGF-beta play a central role in mediating the accelerated healing response."</t>
  </si>
  <si>
    <t>Kassák</t>
  </si>
  <si>
    <t>Slovakia
(Bratislava)</t>
  </si>
  <si>
    <t>Gen Physiol Biophys</t>
  </si>
  <si>
    <t>Mitochondrial alterations induced by 532 nm laser irradiation.</t>
  </si>
  <si>
    <t>532</t>
  </si>
  <si>
    <t>"[MTT] assay products were significantly higher (by 8%) in irradiated B-14 cells as compared to non-irradiated controls."
"Mitochondrial transmembrane potential of B-14 cells, measured by means of a fluorescent probe 3,3'-dihexyloxacarbocyanine iodide (DiOC6(3)), significantly increased (by 13%) after exposure to green laser irradiation. 
Another MTT assay was used for isolated mitochondria suspensions in order to examine the effect of green laser irradiation on stimulation of processes related to oxidative phosphorylation. It revealed 31.3%-increase in MTT assay products in irradiated mitochondria as compared to controls. 
Laser irradiation of isolated mitochondria suspension did not significantly change 1,6-diphenyl-1,3,5-hexatriene (DPH) fluorescence anisotropy, indicating that mitochondrial membrane fluidity was not affected by laser light. 
Fluorescence emission spectra of irradiated as well as non-irradiated mitochondria suspensions showed fluorescence maximum at 635 nm, corresponding to emission of Protoporphyrin IX, which was significantly lower (by 20.7%) in irradiated sample."</t>
  </si>
  <si>
    <t>Flavins are source of visible-light-induced free radical formation in cells.</t>
  </si>
  <si>
    <t>400-
500</t>
  </si>
  <si>
    <t>"Oxyradicals were created solely by the 400-500 nm range of visible light. The endogenous photosensitizer is found predominantly in the cytosol and is smaller than 12 kD. Flavin mononucleotide produces the same signal at concentrations consistent with reported intracellular free flavin concentrations."</t>
  </si>
  <si>
    <t>Exact action spectra for cellular responses relevant to phototherapy.</t>
  </si>
  <si>
    <t>"The peak positions are between 613.5 and 623.5 nm (in one spectrum, at 606 nm), in the red maximum.
The far-red maximum has exact peak positions between 667.5 and 683.7 nm in different spectra.
Two near infrared maxima have peak positions in the range 750.7-772.3 nm and 812.5-846.0 nm, respectively."</t>
  </si>
  <si>
    <t>Absorption measurements of a cell monolayer relevant to phototherapy: reduction of cytochrome c oxidase under near IR radiation.</t>
  </si>
  <si>
    <t>"The absorption measurements have revealed that the 710- to 790-nm spectral region is characteristic of a relatively reduced photoacceptor, while the 650- to 680-nm one characterizes a relatively oxidized photoacceptor. The ratio between the peak intensities at 760 and 665 nm is used to characterize the redox status of cytochrome c oxidase. By this criterion, the irradiation of the cellular monolayers with light at lambda=830 nm (D=6.3 x 10(3)J/m(2)) causes the reduction of the photoacceptor. A similarity is established between the peak positions at 616, 665, 760, 813, and 830 nm in the absorption spectra of the cellular monolayers and the action spectra of the long-term cellular responses (increase in the DNA synthesis rate and cell adhesion to a matrix)."</t>
  </si>
  <si>
    <t>Amat</t>
  </si>
  <si>
    <t>Spain
(Reus)</t>
  </si>
  <si>
    <t>Modification of the intrinsic fluorescence and the biochemical behavior of ATP after irradiation with visible and near-infrared laser light.</t>
  </si>
  <si>
    <t>🧪 In vitro
ATP irradiation</t>
  </si>
  <si>
    <t>655
830</t>
  </si>
  <si>
    <t>"In conclusion, visible and near-infrared light modifies the biochemical behavior of ATP in the hexokinase reaction and the fluorescence intensity of the molecule thus altering the Mg2+ binding strength to the oxygen atoms in the phosphate group."
Note: Heger et al published a paper which claimed to disprove these findings. However, they used different parameters (9-fold lower irradiance), which could explain the different results.</t>
  </si>
  <si>
    <t>Cryst Growth Des</t>
  </si>
  <si>
    <t>Controlling Arrangement of 60 nm Nanospheres in Evaporating Sessile Drops with Low Level Laser Light</t>
  </si>
  <si>
    <t>"Here, it is demonstrated that laser light, applied at intensities as low as 1000 W m-2, has a manifest impact on the attachment and self-organization of 60 nm particles on wet substrates. Results indicate that the physical state of water layers attached to substrates can be modulated by low level laser light even in an aqueous milieu, and imply the subaquatic persistence of an ordered interlayer formed by molecules with less degrees of freedom, as compared to those in the bulk liquid.
Low level laser light has already been shown to change the height of nanoscopic water layers on substrates in air. Nanoscopic water layers are not only important in determining the arrangement of nanoparticles into two-dimensional crystals, they also control the lifetime of scanning near-field optical microscopy sensors, adhesion processes on biochips, nonspecific interactions at biomaterial/cell interfaces, charge transfer between ice crystals and graupel pellets in thunderclouds, and presumably the attachment of nanobacteria and proteins to tissues in blood."</t>
  </si>
  <si>
    <t>Karu TI</t>
  </si>
  <si>
    <t>A novel mitochondrial signaling pathway activated by visible-to-near infrared radiation.</t>
  </si>
  <si>
    <t>"The number of cells attached to glass substratum increases if HeLa cell suspension is irradiated with monochromatic visible-to-near infrared radiation before plating (the action spectrum with maxima at 619, 657, 675, 700, 740, 760, 800, 820, 840 and 860 nm). Treating of cell suspension with sodium azide (2 x 10(-5) M), sodium nitroprusside (5 x 10(-5) M), ouabain (1 x 10(-6) M) or amiloride (1.7 x 10(-5) M) before irradiation significantly modifies the spectrum of cell attachment enhancement. A light-induced mitochondrial signaling pathway can be regulated by small ligands directly binding to the catalytic center of cytochrome c oxidase (N(3), NO) as well as by chemicals specifically binding to plasma membrane enzymes (ouabain, amiloride). 
The comparative analysis of action spectra allows the conclusions that first, Cu(A) and Cu(B) chromophores of cytochrome c oxidase could be involved as photoacceptors and second, various signaling pathways (reaction channels) between cytochrome c oxidase and cell attachment regulation are at work."</t>
  </si>
  <si>
    <t>Bortoletto</t>
  </si>
  <si>
    <t>Mitochondrial membrane potential after low-power laser irradiation.</t>
  </si>
  <si>
    <t>Hep-2 cells</t>
  </si>
  <si>
    <t>100
150
200</t>
  </si>
  <si>
    <t>"It was observed that the fluorescence intensity for all the irradiated cases was larger than non-irradiated cells, indicating an increase in ATP synthesis."</t>
  </si>
  <si>
    <t>Temperature-controlled 830-nm low-level laser therapy of experimental pressure ulcers.</t>
  </si>
  <si>
    <t>LLLT improved wound healing compared to control. The effect was noted also in the temperature-controlled group, so the benefit isn't caused by the thermal effects of LLLT.</t>
  </si>
  <si>
    <t>Sommer &amp; Franke</t>
  </si>
  <si>
    <t>Nano Lett</t>
  </si>
  <si>
    <t>Modulating the Profile of Nanoscopic Water Films with Low Level Laser Light</t>
  </si>
  <si>
    <t>"Here we demonstrate how the profile of nanoscopic water films could be modulated by laser light and simultaneously visualized by near-field optical analysis. Most importantly, the intensity and the energy density of the modulating laser light were at low levels shown to increase the survival rate of stressed cells, in vitro and in vivo, and to accelerate the healing of wounds in low intensity laser activated biostimulation."</t>
  </si>
  <si>
    <t>Low energy visible light induces reactive oxygen species generation and stimulates an increase of intracellular calcium concentration in cardiac cells.</t>
  </si>
  <si>
    <t>"Low energy visible light (LEVL) irradiation has been shown to exert some beneficial effects on various cell cultures. For example, it increases the fertilizing capability of sperm cells, promotes cell proliferation, induces sprouting of neurons, and more. To learn about the mechanism of photobiostimulation, we studied the relationship between increased intracellular calcium ([Ca2+]i) and reactive oxygen species production following LEVL illumination of cardiomyocytes. 
We found that visible light causes the production of O2. and H2O2 and that exogenously added H2O2 (12 microm) can mimic the effect of LEVL (3.6 J/cm2) to induce a slow and transient increase in [Ca2+]i. This [Ca2+]i elevation can be reduced by verapamil, a voltage-dependent calcium channel inhibitor. The kinetics of [Ca2+]i elevation and morphologic damage following light or addition of H2O2 were found to be dose-dependent. For example, LEVL, 3.6 J/cm2, which induced a transient increase in [Ca2+]i, did not cause any cell damage, whereas visible light at 12 J/cm2 induced a linear increase in [Ca2+]i and damaged the cells. The linear increase in [Ca2+]i resulting from high energy doses of light could be attenuated into a non-linear small rise in [Ca2+]i by the presence of extracellular catalase during illumination. 
We suggest that the different kinetics of [Ca2+]i elevation following various light irradiation or H2O2 treatment represents correspondingly different adaptation levels to oxidative stress. The adaptive response of the cells to LEVL represented by the transient increase in [Ca2+]i can explain LEVL beneficial effects."</t>
  </si>
  <si>
    <t>Alexandratou</t>
  </si>
  <si>
    <t>Human fibroblast alterations induced by low power laser irradiation at the single cell level using confocal microscopy.</t>
  </si>
  <si>
    <t>647</t>
  </si>
  <si>
    <t>"Laser stimulation of the cells was performed using the 647 nm line of the confocal laser through the objective lens of the microscope. Mitochondrial membrane potential (delta psi(m)), intracellular pH, calcium alterations and generation of reactive oxygen species (ROS) were monitored using specific fluorescent vital probes. The induced effects were quantified using digital image processing techniques. 
After laser irradiation, a gradual alkalinization of the cytosolic pH and an increase in mitochondrial membrane potential were observed. Recurrent spikes of intracellular calcium concentration were also triggered by laser. Reactive oxygen species were generated as a result of biostimulation. No such effects were monitored in microscopic fields other than the irradiated ones."
[Karu 2008: "Measurements at the single fibroblast level demonstrated that the alkalization of 0.21 (...) units occurred 6 min after a 15 s irradiation at 647 nm. After 15 min, the pH(i) returned to its resting level (47)."
"At the level of a single cell and during real-time recording, a maximal increase in mitochondrial membrane potential 30% of its basal value was observed at 2 min after a 15 s irradiation at 647 nm (aoubt 165 mV compared with the control value of 140 mV). Then Δψ(m) decreased gradually back to the basal level 4 min later (47).]</t>
  </si>
  <si>
    <t>Greco</t>
  </si>
  <si>
    <t>Helium-Neon laser irradiation of hepatocytes can trigger increase of the mitochondrial membrane potential and can stimulate c-fos expression in a Ca2+-dependent manner.</t>
  </si>
  <si>
    <t>Isolated hepatocytes
Isolated liver mitochondria</t>
  </si>
  <si>
    <t>"As a result of irradiation, increase of the mitochondrial membrane potential was found to occur in irradiated hepatocytes both in the presence or in the absence of CaCl2. The hyperpolarization of the mitochondrial membrane is assumed to cause an increase in mitochondrial Ca2+ uptake that was measured in isolated mitochondria. Finally, an increase in c-fos expression was found in irradiated hepatocytes when incubated in the presence of CaCl2."
"This paper gives additional information on the mechanism by which He-Ne laser light, either directly or in a cascade-like effect dependent on increase in cell Ca2+, can cause cell stimulation."</t>
  </si>
  <si>
    <t>Cell attachment modulation by radiation from a pulsed light diode (lambda = 820 nm) and various chemicals.</t>
  </si>
  <si>
    <t>Dose responses</t>
  </si>
  <si>
    <t>820</t>
  </si>
  <si>
    <t>"It has been found that cell-glass adhesion increases in a dose-dependent manner after irradiation. The treatment of the cells with antioxidants (free radical scavengers), e.g., mannitol, melatonin, ethanol, and ascorbic acid, as well as with the ionophore DNP, eliminated the light effect. The respiratory chain inhibitors rotenone and azide strongly modified the light effect, depending on the dose. The oxidative agents hydrogen peroxide (in a low concentration) and methylene blue increased the cell adhesion. Superoxide dismutase did not modify the light effect. The effect of the catalase (stimulative or suppressive) was dependent on its concentration and treatment sequence. Preirradiation was found to decrease (or normalize to the control level) the suppressive effects of some chemicals."
"The results obtained are evidence that first, pulsed IR radiation with certain parameters modulates the cell-matrix attachment. second, free radical and redox processes are involved in the cell-matrix interaction, probably at some stage(s) of the photosignal transduction. Third, both types of the primary reactions in the respiratory chain, namely, the increase of the electron flow and production of the reactive oxygen species, cause a transient oxidative stress in the cytoplasm."</t>
  </si>
  <si>
    <t>Irradiation with a diode at 820 nm induces changes in circular dichroism spectra (250-780 nm) of living cells</t>
  </si>
  <si>
    <t>"A sensitive method for measuring the circular dichroism (CD) of living HeLa cells in the visible-near infrared (IR) region is developed. 
The changes in CD spectra from 250 to 780 nm of HeLa cell suspension after the first and second irradiation at 820 nm in dose 9 J/cm/sup 2/ are investigated. The CD spectrum of the intact cells is well structured and characterized by a positive signal in the UV (250-290 nm) and visible-near IR (500-780 nm) regions as well as by a negative signal in 300-450 nm region. Distinct maxima in the visible-near IR region are recorded at 566, 634, 680, 712, and 741 nm. 
As a rule, the peak circular dichroism signals decrease in the irradiated cells except of the area 750-770 nm. Peak positions (except the peak at 680 nm) shift as a rule to the long-wavelength direction. The most remarkable changes in peak positions as well as in CD signals are recorded in the region 750-770 nm: an appearance of the new peak at 767 nm after the first irradiation and its shift to 752 nm after the second irradiation. The peaks at 712 and 741 nm disappear after the irradiation. A new peak appears at 601 nm. 
It is assumed that the changes in the degree of oxidation of the chromophores of cytochrome c oxidase caused by the irradiation are accompanied by conformational changes in their vicinity. It can be suggested that these changes are occurring in Cu/sub B/ environment."</t>
  </si>
  <si>
    <t>Changes in absorbance of monolayer of living cells induced by laser radiation at 633, 670, and 820 nm</t>
  </si>
  <si>
    <t>633
670
820</t>
  </si>
  <si>
    <t>"Redox absorbance changes in living cells (monolayer of HeLa cells) under laser irradiation at 633, 670, and 820 nm have been studied by the method of multichannel recording in spectral range 530-890 nm. It has been found that the irradiation causes changes in the absorption spectrum of the cells in two regions, near 754-795 nm (maxima at 757, 775, and 795 nm) and near 812-873 nm (maxima at 819, 837, 858, and 873 nm). Changes occur in band parameters (peak positions, width, and integral intensity). Virtually no changes occur in the red spectral region and a few changes are recorded in the green region near 556-565 nm. 
The results obtained evidence that cytochrome c oxidase becomes more oxidized (which means that the oxidative metabolism is increased) due to irradiation at all wavelengths used. The results of present experiment support the suggestion (Karu, Lasers Life Sci., 2:53, 1988) that the mechanism of low-power laser therapy at the cellular level is based on the electronic excitation of chromophores in cytochrome c oxidase which modulates /spl alpha/ redox status of the molecule and enhances its functional activity."</t>
  </si>
  <si>
    <t>Pastore</t>
  </si>
  <si>
    <t>Italy
(Campobasso)</t>
  </si>
  <si>
    <t>Int J Radiol Biol</t>
  </si>
  <si>
    <t>Specific helium-neon laser sensitivity of the purified cytochrome c oxidase.</t>
  </si>
  <si>
    <t>"Cytochrome c oxidation catalysed by COX was affected by He-Ne laser irradiation of the purified enzyme."
"This study shows that purified COX is a specific target of He-Ne laser light; therefore, COX may be considered to be a mitochondrial photo-acceptor."</t>
  </si>
  <si>
    <t>Borutaite</t>
  </si>
  <si>
    <t>UK
(Cambridge)</t>
  </si>
  <si>
    <t>Reversal of nitric oxide-, peroxynitrite- and S-nitrosothiol-induced inhibition of mitochondrial respiration or complex I activity by light and thiols.</t>
  </si>
  <si>
    <t>broadband
OR
390-
480</t>
  </si>
  <si>
    <t>"We find that the NO-induced inhibition of respiration in isolated mitochondria due to inhibition of cytochrome oxidase is acutely reversible by light [from 150 W lamp].
Light also acutely reversed the inhibition of respiration within iNOS-expressing macrophages, and this reversal was partly due to light-induced breakdown of NO, and partly due to reversal of the NO-induced inhibition of cytochrome oxidase."
"Inhibition by these reagents was reversed by light, dithiothreitol or glutathione-ethyl ester, either partially or completely, depending on the reagent used."
"We did not systematically investigate the wavelength dependence of the reversal, but we found that illumination with a bandpass filter with maximum transmittance at 425 nm (removing light &lt;390 nm and &gt;480 nm) was also highly effective at reversing the NO-induced inhibition of respiration."</t>
  </si>
  <si>
    <t>Photobiostimulation as a function of different wavelengths</t>
  </si>
  <si>
    <t>Sperm cells
Wavelength comparison</t>
  </si>
  <si>
    <t>360
630
660
830
400-
800</t>
  </si>
  <si>
    <t>"To confirm ROS formation by various light sources, we used the electron paramagnetic resonance (EPR) associated with spin trapping techniques. All wavelengths used (360, 630, 660, 830nm), including a broad band in the visible range (400-800nm), stimulated hydroxyl radical formation in sperm cells. Measuring the amount of OH radicals as a function of the irradiating wavelength shows that shorter wavelengths might be more effective on the cell than longer ones."</t>
  </si>
  <si>
    <t>Changes in calcium transport in mammalian sperm mitochondria and plasma membranes caused by 780 nm irradiation.</t>
  </si>
  <si>
    <t>Sperm</t>
  </si>
  <si>
    <t>780</t>
  </si>
  <si>
    <t>"780 nm light inhibits Ca2+ uptake by sperm mitochondria and enhances Ca2+ binding to sperm plasma membranes."</t>
  </si>
  <si>
    <t>Photomodulation of oxidative metabolism and electron chain enzymes in rat liver mitochondria.</t>
  </si>
  <si>
    <t>Isolated liver mitochondria</t>
  </si>
  <si>
    <t>0.6
1.2
1.8
2.4
4.8</t>
  </si>
  <si>
    <t>"Photoirradiation significantly increased oxygen consumption (0.6 J/cm2 and 1.2 J/cm2, P &lt; 0.05), phosphate potential, and the energy charge (1.8 J/cm2 and 2.4 J/cm2, P &lt; 0.05) of rat liver mitochondria and enhanced the activities of NADH: ubiquinone oxidoreductase, ubiquinol: ferricytochrome C oxidoreductase and ferrocytochrome C: oxygen oxidoreductase (0.6 J/cm2, 1.2 J/cm2, 2.4 J/cm2 and 4.8 J/cm2, P &lt; 0.05).
The activities of succinate ubiquinone oxidoreductase, ATPase, and lactate dehydrogenase were not affected by photoirradiation."
Note: A highly cited article (238 in Google Scholar in 10/2016).</t>
  </si>
  <si>
    <t>Nonmonotonic behavior of the dose dependence of the radiation effect on cells in vitro exposed to pulsed laser radiation at lambda = 820 nm.</t>
  </si>
  <si>
    <t>Splenocyte
Kariocyte
Blood
HeLa cells
Dose responses (!)</t>
  </si>
  <si>
    <t>"Within the wide exposure dose range used we obtained seven maxima in the dose vs. biological effect curves: at fluences near 20, 1 x 10(2), 3 x 10(2), 8 x 10(2), 3 x 10(3), 1 x 10(4), and 3 x 10(4) J/m2. The peaks coincided for all four models."
"The dose curves obtained with different cellular systems are of the same type and are characterized by seven peaks in the dose interval studied (7 J/m2 to 5 x 10(5) J/m2)."</t>
  </si>
  <si>
    <t>Vacca</t>
  </si>
  <si>
    <t>Biochem Mol Biol Int</t>
  </si>
  <si>
    <t>The irradiation of hepatocytes with He-Ne laser causes an increase of cytosolic free calcium concentration and an increase of cell membrane potential, correlated with it, both increases taking place in an oscillatory manner.</t>
  </si>
  <si>
    <t>Isolated hepatocytes</t>
  </si>
  <si>
    <t>"Irradiation resulted in an enhancement in cytosolic free Ca2+ concentration that requires the presence of Ca2+ in the phase outside hepatocytes; consistently an increase in cell membrane potential was measured correlated with it."</t>
  </si>
  <si>
    <t>Manteifel</t>
  </si>
  <si>
    <t>Ultrastructural changes in chondriome of human lymphocytes after irradiation with He-Ne laser: appearance of giant mitochondria.</t>
  </si>
  <si>
    <t>0.056</t>
  </si>
  <si>
    <t>"Three-dimensional reconstruction of mitochondria from ultrathin sections trough the whole lymphocyte showed that the number of mitochondria was reduced to 9-12 in the irradiated cells compared with 40-45 in the control cells. In the irradiated lymphocytes, 2-4 giant branching mitochondria were also observed among small discrete mitochondria."</t>
  </si>
  <si>
    <t>The effect of HeNe laser (633 nm) radiation on intracellular Ca2+ concentration in fibroblasts</t>
  </si>
  <si>
    <t>"In the present communication we show that at the doses appropriate for enhanced fibroblast proliferation, HeNe irradiation produces transiently increasing calcium concentration in the target cells. Fibroblasts were irradiated with 1, 3 and 5 J/cm2 HeNe (633 nm) laser and intracellular Ca2+ concentration ([Ca2+]i) in single cells was analyzed by Fluo-3/AM using a dynamic video imaging system with frame-grabbing software. Such observations can explain photobiostimulation because of the well-known vital rôle played by calcium in important biological processes such as proliferation and exocytosis."</t>
  </si>
  <si>
    <t>Gagliardi</t>
  </si>
  <si>
    <t>A novel property of adenine nucleotides: sensitivity to helium-neon laser in mitochondrial reactions.</t>
  </si>
  <si>
    <t>"While no change in ATP synthase kinetics was observed as a result of ADP irradiation, adenine nucleotides proved to be sensitive to He-Ne laser irradiation when their interaction with ADP/ATP carrier and adenylate kinase was considered."</t>
  </si>
  <si>
    <t>Increase in cytosolic and mitochondrial protein synthesis in rat hepatocytes irradiated in vitro by He-Ne laser.</t>
  </si>
  <si>
    <t>Isolated hepatocytes
Coherence</t>
  </si>
  <si>
    <t>0.007
0.012</t>
  </si>
  <si>
    <t>"Both cytosolic and mitochondrial protein synthesis increased as a result of irradiation, as demonstrated by the measurement of hepatocytes previously treated with chloramphenicol and cycloheximide respectively.
An initial investigation showed that stimulation of protein synthesis also occurred in hepatocytes irradiated with a non-coherent radiation source (fluence, 0.24 J cm(-2))."</t>
  </si>
  <si>
    <t>Biostimulation of photosensitized fibroblasts by low incident levels of visible light energy</t>
  </si>
  <si>
    <t>Porphyrins as photoacceptors
Fibroblasts
Wavelength comparison</t>
  </si>
  <si>
    <t>633
940</t>
  </si>
  <si>
    <t>"Since these two radiation regions differ dramatically in their photochemical and photophysical properties, we share the opinion that visible light starts the cascade of metabolic events after being absorbed by endogenous porphyrins in the mitochondria, whereas infrared radiation starts the cascade of metabolic events by activating enzymes in the membranes. In order to examine our hypothesis that biostimulation in the visible is a photosensitization process, we measured the proliferation rate of fibroblasts enriched with very small amounts of hematoporphyrin derivatives (HPD) after HeNe (633 nm) irradiation and 940 nm irradiation. We have found that the effect of HeNe light on fibroblast proliferation was dependent on exogenous HPD while that of 940 nm was not. "</t>
  </si>
  <si>
    <t>O'Kane</t>
  </si>
  <si>
    <t>Northern Ireland
(Jordanstown)</t>
  </si>
  <si>
    <t>Low intensity laser irradiation inhibits tritiated thymidine incorporation in the hemopoietic cell lines HL-60 and U937.</t>
  </si>
  <si>
    <t>1.0-
11.5</t>
  </si>
  <si>
    <t>"Analysis by two-way analysis of variance (ANOVA) for unrelated groups showed that laser irradiation at all energy densities &gt; or = 5.8 J/cm2 produced a significant decrease in 3H-TdR incorporation (P &lt; 0.05) into HL-60 cells. 
In U937 cells, irradiation at energy densities of 5.8, 7.2, and 11.5 J/cm2 caused a similar reduction in 3H-TdR incorporation (P &lt; 0.01), although not at 8.6 and 9.6 J/cm2. The temperature of each cell suspension was recorded both during and immediately postirradiation, and no significant thermal changes were observed. 
These findings demonstrate a direct photobiological effect of laser irradiation on these two cell lines. The precise mechanism for this effect is unknown but may have significance in understanding the biological action of laser's known therapeutic effectiveness in promoting wound repair."</t>
  </si>
  <si>
    <t>Increase in &lt;--H+/e- ratio of the cytochrome c oxidase reaction in mitochondria irradiated with helium-neon laser.</t>
  </si>
  <si>
    <t>"A low, but statistically significant increase in the oxygen uptake was found, as polarographically measured, in the presence of rotenone and antimycin A, with ascorbate and TMPD used as substrate pair. Measurements were also made both of the electron transfer and of proton pumping activity: as a result of a major stimulation in the proton pumping activity, about 55% increase of &lt;--H+/e- ratio was found in irradiated mitochondria."</t>
  </si>
  <si>
    <t>Activation of mitochondrial DNA replication by He-Ne laser irradiation.</t>
  </si>
  <si>
    <t>"These data show that He-Ne laser stimulates the replication of mitochondrial DNA in both intact organelles and soluble matrix fraction, thus suggesting an interaction of laser light with matrix soluble molecule/s."</t>
  </si>
  <si>
    <t>Suppression of human blood chemiluminescence by diode laser irradiation at wavelengths 660, 820, 880 or 950 nm</t>
  </si>
  <si>
    <t>Peripheral blood (from a single donor)
Wavelength comparison</t>
  </si>
  <si>
    <t>660
820
880
950</t>
  </si>
  <si>
    <t>"Chemiluminescence (CL) of peripheral blood from the same donor was recorded after irradiation with various individual laser and superluminous diodes (660, 820, 880 and 950 nm, pulse repetition rates 16, 292 and 5000 Hz) during two periods of acute viral respiratory illness and in normal conditions of health. It was found that precise and statistically significant effects of laser radiation on CL (suppression of the CL) depend on wavelength, pulse repetition rate and dose and can be recorded only in the period of acute illness (i.e. at a certain immunological status of the organism) and there are practically no effects of laser radiation when the blood of a healthy donor is irradiated. The optimal irradiation parameters for suppression of free radical processes in human blood were as follows: dose range 103-104 J/m2, pulse repetition rate 292 and 5000 Hz (16 Hz was ineffective), All wavelengths under study had the effect but λ = 660 nm was found to be most effective (65% of CL was suppressed)."</t>
  </si>
  <si>
    <t>Mol Biol (Mosk)</t>
  </si>
  <si>
    <t>[A comparative study of chromatin from lymphocyte nuclei upon activation of transcription by irradiation from an He-Ne-laser or phytohemagglutinin]. 
[Article in Russian]</t>
  </si>
  <si>
    <t>0.0056
(?)</t>
  </si>
  <si>
    <t>"n the irradiated cells the following insignificant changes were revealed: decrease in the relative area of the nucleoplasmic chromatin, increase in the relative area of decondensation zones as well as increase in the number of clumps of nucleoplasmic chromatin and relative length at their boundary with nucleoplasma. The tendency of these morphological changes may be interpreted as functional activation of extranucleolar RNA synthesis in response to irradiation by red laser light."
Comment: They call the changes "insignificant" - I wonder if this is a translation mistake.</t>
  </si>
  <si>
    <t>[The effect of irradiation by a He-Ne laser and phytohemagglutinin on lymphocyte mitochondria]. 
[Article in Russian]</t>
  </si>
  <si>
    <t>"[Irradiation] of lymphocytes with He-Ne-laser (lambda = 632.8 nm) in dose 56 J/m2 which does not cause the G0----C1 transition, results in the increase in the number of mitochondria per cellular section (20%) but not increase in the total area of mitochondria per cell section. The last finding indicates to some modification of space configuration of the mitochondria without any changes in their mass. The increase in the quantity of mitochondria per cellular section after the irradiation could be related with the increase in electrochemical proton gradient and in phosphorylating activity of mitochondria. He-Ne-laser radiation as well as mitogen PHA cause some deaggregation of mitochondria (this is more pronounced in case of PHA) which may be related to their functional activation."</t>
  </si>
  <si>
    <t>Helium-neon laser irradiation of rat liver mitochondria gives rise to a new subpopulation of mitochondria: isolation and first biochemical characterization.</t>
  </si>
  <si>
    <t>In the irradiated sample, two bands were observed, one corresponding to normal mitochondria and the other to atypical mitochondria.</t>
  </si>
  <si>
    <t>Towards a mechanism of low energy phototherapy</t>
  </si>
  <si>
    <t>NIH fibroblastic cells
Porphyrins as photoacceptors</t>
  </si>
  <si>
    <t>360
632</t>
  </si>
  <si>
    <t>"An electron microscopy study of NIH fibroblastic cells irradiated with 632 nm and 360 nm light in the presence or absence of exogeneous porphyrins suggests that porphyrins are responsible for light-tissue interaction, A mechanism for phototherapy is considered."</t>
  </si>
  <si>
    <t>A possible mechanism of low level laser-living cell interaction</t>
  </si>
  <si>
    <t>"A qualirative E.P.R. (Electron Paramagnetic Resonance) study has been performed to determine the action of Low Level Lasers on living cells, Singlet oxygen (1O2) was found to be generated by Friend Erythroleukaemic Cells (FELC) after irradiating them with a HeNe laser. The production of 1O2 in the cell during irradiation was proved by an E.P.R. technique. No singlet oxygen is photoproduced by irradiating either cytochrome C or hemin.
Singlet oxygen, in small amounts, is very significant in biochemical processes and hence can be important in biostimulation. 
It is proposed that singlet oxygen is photoproduced by the natural porphyrins in the cell."</t>
  </si>
  <si>
    <t>Labbe</t>
  </si>
  <si>
    <t>Laser photobioactivation mechanisms: in vitro studies using ascorbic acid uptake and hydroxyproline formation as biochemical markers of irradiation response.</t>
  </si>
  <si>
    <t>0.007
(?)</t>
  </si>
  <si>
    <t>"Clinical investigations of laser photobioactivation, or biostimulation, might be differently designed and more fruitful if knowledge of basic biochemical mechanisms were better understood. In this investigation, biochemical events identified as responses to 904 nm irradiation included increased ascorbic acid uptake by fibroblasts. These cells also showed increased hydroxyproline formation, and this was increased several-fold by the addition of proline to the medium. Maximum biochemical responses were observed at a pulse frequency of 67 Hz and a pulse width of 150 nsec with an energy density of approximately 7 mJ/cm2 per exposure. Elements in the mitochondrial cytochrome system are proposed as the radiation absorbing chromophore(s). Hypothetically, the energy generated is linked to ascorbic acid uptake, which in turn stimulates collagen synthesis."</t>
  </si>
  <si>
    <t>[Activation of transcription function in lymphocytes after irradiation with He-Ne-laser].
[Article in Russian]</t>
  </si>
  <si>
    <t>"After 1 h irradiation a well-expressed reaction of the nucleolus was observed in 70% of the lymphocytes under examination. Changes consist in the appearance of a wrong-shaped fibrillar center or in its fragmentation, the increase of RNP-containing fibrillar and granular components, and also in expansion of vacuoli. In a number of irradiated lymphocytes nucleoli with several fibrillar centres and with a strand-like organization of RNP part were observed. The size of these nucleoli increases. Following the accepted functional interpretations the observed changes can be connected with the intensification of RNA metabolism including the synthesis, processing of pre-rRNA and preribosome transport from the nucleolus. Similar rearrangements of the nucleoli were revealed in parallel experiments with phytohemagglutinin-treated lymphocytes. They were observed 1 h after the stimulation of lymphocytes. 
Taking into account the absence of mitogenic action of He-Ne-laser irradiation on lymphocytes, the ultrastructural changes of nucleoli under the action of irradiation are considered as functional activation of rRNA synthesis in the Go-period."</t>
  </si>
  <si>
    <t>Increase in RNA and protein synthesis by mitochondria irradiated with helium-neon laser.</t>
  </si>
  <si>
    <t>"Following mitochondrial irradiation, both the rate and amount of incorporation of alpha-[32P]UTP and L-[35S]methionine, used to monitor RNA and protein synthesis respectively, proved to increase. Electrophoretic analysis made of the synthesis products clearly shows that He-Ne laser irradiation stimulates the synthesis of all mitochondrial transcription and translation products."</t>
  </si>
  <si>
    <t>Vladimirov</t>
  </si>
  <si>
    <t>Photoreactivation of superoxide dismutase by intensive red (laser) light.</t>
  </si>
  <si>
    <t>"It was found that incubation during 2 hours at pH 5.9 led to inactivation of the enzyme. The subsequent illumination of SOD by [HeNe laser] brought about the enzyme reactivation."</t>
  </si>
  <si>
    <t>Increase in the ADP/ATP exchange in rat liver mitochondria irradiated in vitro by helium-neon laser.</t>
  </si>
  <si>
    <t>"As a result of experiments carried out with mitochondria loaded with either ATP or ADP, the increase in the activity of the ADP/ATP translocator is here proposed to depend on the increase in the electrochemical proton gradient which occurs owing to irradiation of mitochondria."</t>
  </si>
  <si>
    <t>Original research (micro organisms)</t>
  </si>
  <si>
    <t>Biol Bull</t>
  </si>
  <si>
    <t>Structure of Mitochondria and Activity of Their Respiratory Chain in Successive Generations of Yeast Cells Exposed to He-Ne Laser Light</t>
  </si>
  <si>
    <t>📖 Review (Yeast)</t>
  </si>
  <si>
    <t xml:space="preserve">"The data on the aftereffect of He-Ne laser light (λ = 632.8 nm) on mitochondria of yeasts in late log phase were reviewed. 
The quantitative analysis of the ultrathin cell sections demonstrated a nonuniform thickness of the giant branched mitochondria typical for budding yeasts. Exposure to a dose of 460 J/m2 (accelerating cell proliferation and activating respiratory chain enzymes, cytochrome c oxidase and NADH dehydrogenase), changed the macrostructure of the giant mitochondria—much of the narrow regions of the mitochondrial tube with profiles ≤0.06 µm2 were expanded (while no signs of organelle damage were observed). Such mitochondria are characterized by increased relative surface area of the cristae, which can be due to the activation of their respiration and ATP synthesis. 
The number of associations between mitochondria and endoplasmic reticulum increased in irradiated cells in early log phase, which reflects the increased capacity of mitochondria to uptake Ca2+. Altered giant mitochondria configuration can increase the efficiency of both energy transfer and Ca2+ propagation through the cytoplasm."
Comment: The 'discussion' part of this review has a brief summary of the article content. </t>
  </si>
  <si>
    <t>Tsitologiia</t>
  </si>
  <si>
    <t>[Increase in the number of contacts of endoplasmic reticulum with mitochondria and plasma membrane in yeast cells stimulated to division with He-Ne laser light]. 
[Article in Russian]</t>
  </si>
  <si>
    <t>Yeast (Torulopsis sphaerica)</t>
  </si>
  <si>
    <t>"The cells from irradiated cultures are characterized by the following features: 
1) the length of cortical ER membranes in relation to cellular perimeter, and the length of perinuclear ER membranes in relation to nuclear perimeter increase, resp., by 21 and 79%; 
2) the number of ER-PM associations per cellular section, and that per unit of PM length increase, resp., by 26 and 41%; 
3) the number of ER-M association in relation to the total mitochondrial perimeter, and to perimitochondrial ER increase by 80 and 87%, resp. The latter may be associated with Ca2+ uptake by mitochondria associated with ER, which results in activation of respiration and ATP production."</t>
  </si>
  <si>
    <t>[Morphometric study of yeast cells of Torulopsis sphaerica after He-Ne-laser irradiation]. 
[Article in Russian]</t>
  </si>
  <si>
    <t>0.046</t>
  </si>
  <si>
    <t>Evidences of stimulation of cell proliferation were found, including decrease in the areas of cell and chondriome profiles, decrease in the number of mitochondria on sections, elongation of cells and mitochondria, and increased variability of cell parameters. In addition, cells of irradiated cultured were characterized by the increase in the number of mitochondria contacting the endoplasmic reticulum (in this case the outer mitochondrial membrane presumably associates with the ER membrane), which may suggest the activation of ATP synthesis. Thus, He-Ne laser irradiation activates cell metabolism even at the early stage of culture growth.</t>
  </si>
  <si>
    <t>Original research (plants)</t>
  </si>
  <si>
    <t>Stimulation of ATP synthesis via oxidative phosphorylation in wheat mitochondria irradiated with helium-neon laser.</t>
  </si>
  <si>
    <t>Wheat (Triticum durum Desf.)</t>
  </si>
  <si>
    <t>"As a result of irradiation, an increase in the rate of ATP synthesis was found, as continuously monitored via luciferine/luciferase, moreover the mitochondrial ATP and ADP endogenous contents were found to increase and decrease, respectively with a 1:1 stoichiometry, as revealed by HPLC measurements. Consistently, an increase in mitochondrial rate of delta psi generation was found as measured by using the fluorescent probe safranine. Thus, this paper gives a first evidence of a novel property of plant mitochondria: the direct light sensitivity of ATP synthesis via oxidative phosphorylation."</t>
  </si>
  <si>
    <t>Hoh Kam &amp; Mitrofanis</t>
  </si>
  <si>
    <t>Does photobiomodulation require glucose to work effectively?</t>
  </si>
  <si>
    <t>"In conclusion, we suggest that photobiomodulation is most effective when glucose is readily available and that its efficacy lessens when glucose levels are low, that is, during periods of fasting (Figure 1B and C). Our hypothesis, if correct, has considerable experimental and clinical implications; for optimal beneficial outcomes for the treatment of ailments across the body, from the brain to the musculoskeletal system and from the microbiome to the heart, scientists in the laboratory and medical and allied health professionals in the clinic should apply photobiomodulation soon after meals. Our hypothesis awaits experimental and clinical validation."</t>
  </si>
  <si>
    <t>Jordan
(Amman)</t>
  </si>
  <si>
    <t>Mitochondrial solar sensitivity: evolutionary and biomedical implications.</t>
  </si>
  <si>
    <t>"Since the primordial atmosphere of the Earth contained both H2O and O2, it seems far from speculative to assume that the disruption of the electron flow between CYTc and COX is a phenomenon caused by adaptation to the spectral solar irradiance—in which the wavelengths 750 and 950 nm were virtually absent or at least minimal. Since in nature mitochondria were never exposed to these two wavelengths, exposure to 750 and 950 nm artificial light could either result in an overreaction or no reaction, when compared to the rest of the R-NIR part of the solar spectrum. Interestingly, we see an overreaction as manifestation of a perturbation of the electron flow between CYTc and COX."
"These aspects make the response of mitochondria to 750 and 950 nm light appear in a special light."</t>
  </si>
  <si>
    <t>Santana-Blank</t>
  </si>
  <si>
    <t>Photobiomodulation of aqueous interfaces: finding evidence to support the exclusion zone in experimental and clinical studies.</t>
  </si>
  <si>
    <t>Rapid Communication</t>
  </si>
  <si>
    <t>The author suggests that some of the effects of photobiomodulation might happen by increasing "EZ water" in the cells.</t>
  </si>
  <si>
    <t>Rao &amp; Xue</t>
  </si>
  <si>
    <t>Nat Metab</t>
  </si>
  <si>
    <t>Circadian-independent light regulation of mammalian metabolism</t>
  </si>
  <si>
    <t>"The daily light-dark cycle is a key zeitgeber (time cue) for entraining an organism's biological clock, whereby light sensing by retinal photoreceptors, particularly intrinsically photosensitive retinal ganglion cells, stimulates the suprachiasmatic nucleus of the hypothalamus, a central pacemaker that in turn orchestrates the rhythm of peripheral metabolic activities. 
Non-rhythmic effects of light on metabolism have also been long known, and their transduction mechanisms are only beginning to unfold. 
Here, we summarize emerging evidence that, in mammals, light exposure or deprivation profoundly affects glucose homeostasis, thermogenesis and other metabolic activities in a clock-independent manner. Such light regulation could involve melanopsin-based, intrinsically photosensitive retinal ganglion cell-initiated brain circuits via the suprachiasmatic nucleus of the hypothalamus and other nuclei, or direct stimulation of opsins expressed in the hypothalamus, adipose tissue, blood vessels and skin to regulate sympathetic tone, lipolysis, glucose uptake, mitochondrial activation, thermogenesis, food intake, blood pressure and melanogenesis. 
These photic signalling events may coordinate with circadian-based mechanisms to maintain metabolic homeostasis, with dysregulation of this system underlying metabolic diseases caused by aberrant light exposure, such as environmental night light and shift work."</t>
  </si>
  <si>
    <t>Maghfour</t>
  </si>
  <si>
    <t>Photobiomodulation CME Part I: Overview and Mechanism of Action</t>
  </si>
  <si>
    <t>"Photons from RL and NIR are absorbed by endogenous photoreceptors including mitochondrial cytochrome C oxidase (COX). Activation of COX leads to the following changes: modulation of mitochondrial adenosine triphosphate (ATP), generation of reactive oxygen species (ROS), and alterations in intracellular calcium levels. The associated modulation of ATP, ROS and calcium levels promotes the activation of various signaling pathways (e.g., insulin-like growth factors, phosphoinositide 3-kinase pathways), which contribute to downstream effects on cellular proliferation, migration and differentiation. Effective PBM therapy is dependent on treatment parameters (e.g., fluence, treatment duration and output power). PBM is generally well-tolerated and safe with erythema being the most common and self-limiting adverse cutaneous effect."</t>
  </si>
  <si>
    <t>A study of the biological effects of low-level light</t>
  </si>
  <si>
    <t>"In this paper, we have summarized the research into PBM over the past two decades, to identify the important mechanisms of the biological effects of PBM from the perspective of molecular mechanisms, cellular levels, and tissue changes. We hope our study provide a theoretical basis for future investigations into the underlying mechanisms."
Comment: A brief review, not taking the literature into account in a very broad manner.</t>
  </si>
  <si>
    <t>USA
(New Orleans, LA)</t>
  </si>
  <si>
    <t>J Photochem Photobiol</t>
  </si>
  <si>
    <t>Role of opsins and light or heat activated transient receptor potential ion channels in the mechanisms of photobiomodulation and infrared therapy</t>
  </si>
  <si>
    <t>"In recent years, much knowledge has been gained about the mechanism of action underlying these treatments, which will be summarized in this review. 
There are three broad classes of primary chromophores, which have so far been identified. 
One is mitochondrial cytochromes (including cytochrome c oxidase), another is opsins and light or heat-sensitive calcium ion channels, and a third is nanostructured water clusters. 
Light sensitive ion channels are activated by the absorption of light by the chromophore proteins, opsin-3 and opsin-4, while mitochondrial chromophores are activated by red or near-infra red (NIR) light up to about 850 nm.  However NIR light at 980 nm or longer wavelengths can activate transient receptor potential (TRP) ion channels, probably after being absorbed by nanostructured water clusters. Heat-activated TRP channels undergo a conformational change triggered by only small temperature changes. 
Here we will discuss the role of opsins and light or heat activated TRP channels in the mechanism of photobiomodulation and infrared therapy."</t>
  </si>
  <si>
    <t>Karthikeyan</t>
  </si>
  <si>
    <t>Sweden
(Umeå)</t>
  </si>
  <si>
    <t>Non-image-forming functional roles of OPN3, OPN4 and OPN5 photopigments</t>
  </si>
  <si>
    <t>"Although avian studies from the 1930s suggested the presence of deep brain photoreceptors that could respond to seasonal changes in the light/dark cycle, it was only a few decades ago that photopigments other than those found in the visual system (i.e. rods and cones) were identified as functional photoreceptors. It is now established that several classes of non-visual photoreceptors and the photopigments they express, in lower vertebrates to higher mammals alike, can regulate a plethora of mechanisms that function outside of vision. These include the synchronization of light/dark cycles with biological/cellular rhythms of the body (i.e. photoentrainment); melanogenesis in dermal tissues; thermoregulation in adipose tissue; embryonic eye development; smooth muscle relaxation; and the development of certain cancers. These and other mechanisms have been shown, in part at least, to be controlled by the expression of three important non-visual opsin genes, namely OPN3, OPN4 and OPN5, although other vertebrate opsin classes exist, many with unknown or unclear functional roles assigned to them presently. Specifically, these three opsins have been shown to be expressed during early embryogenesis and throughout adulthood, which will be discussed here. Moreover, this review highlights recent studies that focus on several key non-image-forming functional roles of OPN3, OPN4 and OPN5, and in particular those that impact photoreception in developing structures and pathways, as well as in adulthood."
"Non-image-forming functional roles of OPN3, OPN4 and OPN5 in normal physiology and pathogenesis.
OPN3
- Acoustic startle reflex (Mouse)
- Cancer (Human)
- Cell proliferation and apoptosis (Human)
- Immunological processes (Human)
- Melanogenesis (Human)
- Metabolism (Mouse)
- Muscle relaxation (Mouse, rat, human)
- Thermogenesis (Mouse)
- Wound healing (Human)
OPN4
- Cell proliferation (Mouse)
- Circadian rhythms (Zebrafish, mouse, human)
- Learning (Mouse)
- Melanogenesis and melanoma (Mouse)
- Mood (Mouse, human)
- Motor activity (Zebrafish)
- Myopia (Mouse)
- Pupillary light reflex (Mouse, human)
- Thermosensation (Mouse, human)
- Vascular development (Mouse)
- Vasorelaxation (Mouse)
OPN5        
- Melanogenesis (Human)
- Myopia (Mouse)
- Photoentrainment (Mouse)
- Photoperiodism (Canary, quail)
- Thermoregulation (Mouse)
- Vascular development (Mouse)"
[refs omitted from the text]</t>
  </si>
  <si>
    <t>Laakso &amp; Ewais</t>
  </si>
  <si>
    <t>A Holistic Perspective on How Photobiomodulation May Influence Fatigue, Pain, and Depression in Inflammatory Bowel Disease: Beyond Molecular Mechanisms</t>
  </si>
  <si>
    <t>"In this paper, we have proposed that PBM may positively affect the key components and pathways within the IBD interactome such as the microbiome, inflammasome, and microbiome–gut–brain axis, as well as common IBD symptoms of fatigue, pain, and depression. We expect that PBM application is needed at multiple sites to obtain benefits across multiple systems affected by IBD (Figure 1). We are investigating this expectation in a current study of young adults with IBD."
"We have reviewed the literature that potentially supports our perspective, notably, the contribution of inflammatory cytokines such as TNF-α, IL-1β, TGF-β, and IL-6 to local peripheral, regional, central, and systemic symptomology."
"This paper demonstrates that there is more than one single mechanism of PBM—it is multifactorial, including machine and causal mechanisms that are likely to have holistic beneficial effects in conditions expressing inflammation. The holistic benefits are likely to include HRQoL and other psychosocial impacts, but these would need to be studied in greater detail."
"We propose that the use of PBM directed at the abdomen to down-regulate the local inflammatory response (either through the activation of the microbiome–gut–brain axis, the HPA axis, or a direct effect on mucosal neurons) and at the large muscles of the legs to up-regulate muscle performance and increase physical activity (by mitigating muscle degeneration from disuse or improving muscle performance characteristics) shall reduce the inflammatory effects of IBD and reduce peripheral fatigue. By reducing inflammation and reducing peripheral fatigue, we propose that the related centrally mediated effects of inflammation, these being depression and central fatigue, will be ameliorated via the direct effect of PBM at the local level or through the neuroimmune system."</t>
  </si>
  <si>
    <t>Kalra</t>
  </si>
  <si>
    <t>All Lit Up: Exploring the Photophysical Properties of Protein Polymers</t>
  </si>
  <si>
    <t>"We also review the literature reporting the response of microtubules and actin filaments to infrared light, illustrating the potential of these polymers to these polymers serve as targets for photobiomodulation."</t>
  </si>
  <si>
    <t>Photobiomodulation at molecular, cellular, and systemic levels</t>
  </si>
  <si>
    <t>"Our aim was to review the molecular, cellular, and systemic effects involved in PBM to elucidate the levels of biological complexity. PBM occurs as a consequence of photon-photoacceptor interactions, which lead to the production of trigger molecules capable of inducing signaling, effector molecules, and transcription factors, which feature it at the molecular level. These molecules and factors are responsible for cellular effects, such as cell proliferation, migration, differentiation, and apoptosis, which feature PBM at the cellular level. Finally, molecular and cellular effects are responsible for systemic effects, such as modulation of the inflammatory process, promotion of tissue repair and wound healing, reduction of edema and pain, and improvement of muscle performance, which features PBM at the systemic level."</t>
  </si>
  <si>
    <t>Low-Intensity Visible and Near-Infrared Light-Induced Cell Signaling Pathways in the Skin: A Comprehensive Review</t>
  </si>
  <si>
    <t>"A comprehensive description of chromophores, primary and secondary effectors is provided in addition to a visual representation of known and putative cell signaling mechanisms involved in such complex light-skin interactions. Also, a summary of clinical indications of skin PBM, key light parameters, and promising skin applications (local and systemic) are mentioned."
"In PBM, skin cells are the first to absorb photons, triggering specific cell-signaling pathways through primary and secondary effectors, leading to enhanced cell repair and survival, notably in hypoxic or stressed cells. A better understanding of the mechanisms of action will help us optimize known indications and discover new ones."</t>
  </si>
  <si>
    <t>de Lauro Castrucci</t>
  </si>
  <si>
    <t>Brazil &amp; USA &amp; Germany</t>
  </si>
  <si>
    <t>Opsins as main regulators of skin biology</t>
  </si>
  <si>
    <t>"Currently, opsins are considered light as well as thermosensors in the skin. However, additional regulatory functions, in a light and thermo-independent fashion, mostly likely via protein-protein interaction have set a new field of study. The goal of this review is to critically revise the literature on the role of opsins in skin physiology as well as in melanoma cancer."</t>
  </si>
  <si>
    <t>Loh &amp; Reiter</t>
  </si>
  <si>
    <t>USA
(Marble Falls, TX)</t>
  </si>
  <si>
    <t>Light, Water, and Melatonin: The Synergistic Regulation of Phase Separation in Dementia</t>
  </si>
  <si>
    <t>Alternative ideas</t>
  </si>
  <si>
    <t>"Light, water, and melatonin constitute an ancient synergy that ensures adequate protein hydration to prevent aberrant phase separation. The 670 nm visible red wavelength found in sunlight and employed in photobiomodulation reduces interfacial and mitochondrial matrix viscosity to enhance ATP production via increasing ATP synthase motor efficiency. Melatonin is a potent antioxidant that lowers viscosity to increase ATP by scavenging excess reactive oxygen species and free radicals."
Comment: This can still be considered as a speculative viewpoint at 2023 with quite limited data on the PBM &amp; mitochondrial viscocity.</t>
  </si>
  <si>
    <t>Photophysical Mechanisms of Photobiomodulation Therapy as Precision Medicine</t>
  </si>
  <si>
    <t>"Herein, we propose a number of mechanisms of PBM that do not depend on cytochrome c oxidase. These include the photophysical aspects of PBM and the interactions with biophotons and mechanotransductive processes. These hypotheses are contingent on the effect of light on ion channels and the cytoskeleton, the production of biophotons, and the properties of light and biological molecules. Specifically, the processes we review are supported by the resonant recognition model (RRM). This previous research demonstrated that protein micro-oscillations act as a signature of their function that can be activated by resonant wavelengths of light. We extend this work by exploring the local oscillatory interactions of proteins and light because they may affect global body circuits and could explain the observed effect of PBM on neuro-cortical electroencephalogram (EEG) oscillations."</t>
  </si>
  <si>
    <t xml:space="preserve">Arranz-Paraíso </t>
  </si>
  <si>
    <t>Mitochondria and light: An overview of the pathways triggered in skin and retina with incident infrared radiation</t>
  </si>
  <si>
    <t>"In this article we analyse the role of mitochondria in the supposed effects of infrared light based on the published literature. It is claimed that ATP synthesis is stimulated, which has a positive effect on the skin by increasing fibroblast proliferation, anchorage and production of collagen fibres, procollagen, and various cytokines responsible for the wound healing process, such as keratinocyte growth factor."</t>
  </si>
  <si>
    <t>Calabrese</t>
  </si>
  <si>
    <t>USA
(Amherst, MA)</t>
  </si>
  <si>
    <t>Pharmacol Res</t>
  </si>
  <si>
    <t>Hormesis: Wound healing and keratinocytes</t>
  </si>
  <si>
    <t>Wound healing
Hormesis</t>
  </si>
  <si>
    <t>"Hormetic dose responses (i.e., a biphasic dose/concentration response characterized by a low dose stimulation and a high dose inhibition) are shown herein to be commonly reported in the dermal wound healing process, with the particular focus on cell viability, proliferation, and migration of human keratinocytes in in vitro studies. 
Hormetic responses are induced by a wide range of substances, including endogenous agents, numerous drug and nanoparticle preparations and especially plant derived extracts, including many well-known dietary supplements as well as physical stressor agents, such as low-level laser treatments. 
Detailed mechanistic studies have identified common signaling pathways and their cross-pathway communications that mediate the hormetic dose responses. These findings suggest that the concept of hormesis plays a fundamental role in wound healing, with important potential implications for agent screening and evaluation, as well as clinical strategies."</t>
  </si>
  <si>
    <t>"This review covers the relationship between the mitochondrial membrane potential (ΔΨm) and ROS production. We also discuss physiological mechanisms that couple mitochondrial energy production to cellular energy demand, focusing on serine 47 dephosphorylation of cytochrome c (Cytc) in the brain during ischemia, which contributes to ischemia-reperfusion injury. 
Finally, we discuss the use of near infrared light (IRL) to treat stroke. IRL can both stimulate or inhibit mitochondrial activity depending on the wavelength. We emphasize that the use of the correct wavelength is crucial for outcome: inhibitory IRL, applied early during reperfusion, can prevent the ROS burst from occurring,"</t>
  </si>
  <si>
    <t>Lipko NB</t>
  </si>
  <si>
    <t>USA
(Beachwood, OH)</t>
  </si>
  <si>
    <t>Photobiomodulation: Evolution and Adaptation</t>
  </si>
  <si>
    <t>Evolutionary perspective</t>
  </si>
  <si>
    <t>"Photobiomodulation (PBM) can be described as the intentional use of low-power laser or light-emitting diode light in the visible and near-infrared light spectra as a medical treatment to living biological tissues. This article describes the evolution of photochemical reactions on Earth, the mitochondria, and their implications in PBM; the science of light and energy (necessary to understand the mechanisms of PBM); and the clinical science of light as therapeutic medicine. Finally, selected reviews of current treatment protocols and ongoing research regarding the possibilities for the use of PBM in the human body are examined."</t>
  </si>
  <si>
    <t>Photobiomodulation-Activated Latent Transforming Growth Factor-β1: A Critical Clinical Therapeutic Pathway and an Endogenous Optogenetic Tool for Discovery</t>
  </si>
  <si>
    <t>"Over the past two decades, our work has focused on outlining a direct molecular mechanism involving PBM-generated redox-mediated activation of endogenous latent TGF-β1."</t>
  </si>
  <si>
    <t>A Perspective on the Potential of Opsins as an Integral Mechanism of Photobiomodulation: It's Not Just the Eyes</t>
  </si>
  <si>
    <t>"This review was examined the influence of neuropsin (also known as kallikrein 8), encephalopsin, and melanopsin specifically on ion channel function, and more broadly on the central and peripheral nervous systems. The relationship between opsins 3, 4, and 5 and photobiomodulation mechanisms was evaluated, along with a proposed role of photobiomodulation through opsins and light-sensitive organelles as potential alleviators of symptoms and accelerators of beneficial regenerative processes. The potential clinical implications of this in musculoskeletal conditions, wounds, and in the symptomatic management of neurodegenerative disease was also examined."</t>
  </si>
  <si>
    <t xml:space="preserve">Quirk &amp; Whelan </t>
  </si>
  <si>
    <t>What Lies at the Heart of Photobiomodulation: Light, Cytochrome C Oxidase, and Nitric Oxide-Review of the Evidence</t>
  </si>
  <si>
    <t>"Summary Points and Conclusions: 
(1) Most published CCO light effects are not reproducible or not relevant (too short wavelength, for example).
(2) Internal electron transfers in CCO are not light affected.
(3) Cardioprotection appears to be non-NOS–mediated NO production related.
(4) NO is produced by (non-NOS) nitrite reduction to NO by CCO or Mb/Hb in a low oxygen environment and (in the case of CCO) high reductive pressure (high metabolic demand). Pathological conditions favor NO production.
(5) The 590 nm light disassociates NO from CCO (or Mb/Hb), enhancing NO production and effects. Increasing NO off rate increases NO production.
(6) Most epiphenomenon PBM studies seem to be problematic. Particularly so are the wide variety of wavelengths and power and dose applications reported. Some studies may be subject to wishful thinking, selective data analysis, small effect sizes, small sample sizes, or high variability. Also questionable, but not necessarily intrinsically false, are notions of delayed effects (preirradiation) and the idea of 'best dose': that is, lower and higher doses are detrimental, not beneficial. Pulsing may also be questionable. None of these ideas have any solid mechanistic or theoretical basis.
(...)
(9) Therefore, we propose that the major effect of light (PBM) may be enhanced NO production by CCO or Mb/Hb by reducing nitrite to NO. This enhancement is due to the increased disassociation of the NO from the ferrous–nitrosyl active site. Increasing the off rate will shift the equilibrium more in favor of the product (NO). NO may then have various downstream prosurvival actions, such as metabolic regulation, increased oxygen availability, antiapoptotic effects, and other types of signaling.
produced."</t>
  </si>
  <si>
    <t>Suh</t>
  </si>
  <si>
    <t>The Expression of Opsins in the Human Skin and Its Implications for Photobiomodulation: A Systematic Review</t>
  </si>
  <si>
    <t>Opsins</t>
  </si>
  <si>
    <t>"Dermal opsins have been identified across many non-human animals and humans. Current evidence suggests that opsins have biological significance beyond light reception. In non-human animals, opsins are involved in behaviors that are critical for survival. In humans, opsins are involved in various functions of the skin although the underlying molecular mechanisms remain unclear. Future investigation on elucidating the mechanism of dermal opsins will be crucial to expand the therapeutic benefits of photobiomodulation for various skin disorders."</t>
  </si>
  <si>
    <t>Quantum biology in low level light therapy: death of a dogma.</t>
  </si>
  <si>
    <t>"[W]e present the effect of R-NIR photons on nanoscopic interfacial water layers in mitochondria and cells as a novel understanding of the biomedical effects R-NIR light. The novel paradigm is in radical contrast to the theory that COX is the main absorber for R-NIR photons and responsible for the increase in ATP synthesis, a dogma propagated for more than 20 years."</t>
  </si>
  <si>
    <t>Kumar Rajendran</t>
  </si>
  <si>
    <t>The Influence of Light on Reactive Oxygen Species and NF-кB in Disease Progression.</t>
  </si>
  <si>
    <t>"Photobiomodulation (PBM) uses light to stimulate cellular mechanisms and facilitate the removal of oxidative stress. Photodynamic therapy (PDT) generates ROS to induce selective tumor destruction. The regulatory roles of PBM via crosstalk between ROS and nuclear factor kappa-light-chain-enhancer of activated B cells (NF-кB) are substantial for the appropriate management of various conditions."</t>
  </si>
  <si>
    <t>Mitochondrial cytochrome c oxidase is not the primary acceptor for near infrared light-it is mitochondrial bound water: the principles of low-level light therapy.</t>
  </si>
  <si>
    <t>📖 Review (📰 Editorial)</t>
  </si>
  <si>
    <t>"The instant increase in cellular ATP levels upon irradiation with R-NIR LED light reported by Quirk et al. (13)—an effect comparable to the behavior of a race engine upon fuel supplementation—supports the idea that its cause is a physical effect (instant decrease in IWL viscosity) rather than a slow chemical process."
"By assuming that the root cause for light-induced upregulation of mitochondrial ATP is not absorption by CCO but simply a physical process involving the reduction in IWL viscosity in the irradiated mitochondria we are led to a paradigm shift in LLLT."</t>
  </si>
  <si>
    <t>Germany
(Baden-Württemberg)</t>
  </si>
  <si>
    <t>Revisiting the Photon/Cell Interaction Mechanism in Low-Level Light Therapy</t>
  </si>
  <si>
    <t>"A systematical analysis covering both the theory that CCO is the primary acceptor for R-NIR light and of its use to interpret differences between the biological effect of pulsed light and CW casts doubt on the general validity of the CCO-based hypothesis. Instead, they offered a simple and conflict-free model accounting for both ATP upregulation and superiority of the pulsed mode in LLLT, which is in agreement with the results of recent laboratory experiments."
"CCO is not the primary acceptor for R-NIR light"
Comment: It might be good to note that Andrei Sommer is one of very few opponents of the common CCO model of PBM primary mechanism.</t>
  </si>
  <si>
    <t>Antognazza</t>
  </si>
  <si>
    <t>Italy
(Milano)</t>
  </si>
  <si>
    <t>Use of Exogenous and Endogenous Photomediators as Efficient ROS Modulation Tools: Results and Perspectives for Therapeutic Purposes.</t>
  </si>
  <si>
    <t>"In this review, we report the state of the art, as well as recent developments, in the field of photostimulation of oxidative stress, from photobiomodulation (PBM) mediated by naturally expressed light-sensitive proteins to the most recent optogenetic approaches, and finally, we describe the main methods of exogenous stimulation, in particular highlighting the new insights based on optically driven ROS modulation mediated by polymeric materials."</t>
  </si>
  <si>
    <t>Photobiomodulation Affects Key Cellular Pathways of all Life-forms: Considerations on Old and New Laser Light-targets and the Calcium Issue.</t>
  </si>
  <si>
    <t xml:space="preserve">"Concerning the cytochrome c oxidase (complex IV) it is important to point out that under normal physiological conditions, complex IV acts as the rate limiting step of respiratory chain and its incremented activity is able to increase the production of ATP, without necessarily inducing an increment of complex I, II, III activities (6). In this way, complex IV stimulation by PBM quickens the presence of electrons for the reduction of oxygen molecules, increases the potential of mitochondrial membrane and leads to ATP increment, without necessarily inducing the unbalance in the tricky mitochondria system. Therefore, the complex IV is really the perfect mitochondria target to induce a PBM at the cellular level."
</t>
  </si>
  <si>
    <t>Non-mammalian Hosts and Photobiomodulation: Do All Life-forms Respond to Light?</t>
  </si>
  <si>
    <t>"The conclusion is that red or NIR light does indeed have significant biological effects conserved over many different kingdoms, and perhaps it is true that 'all life-forms respond to light'."</t>
  </si>
  <si>
    <t>Note: I am the third author of this paper (Hamblin, Huang, Heiskanen).</t>
  </si>
  <si>
    <t>Near infrared low level laser therapy and cell proliferation: the emerging role of redox sensitive signal transduction pathways.</t>
  </si>
  <si>
    <t>"Low level lasers operating in the red/near infrared portion of the light spectra are generally used for biostimulation purposes, a particular therapeutic application based on the radiant energy ability to induce non-thermal responses in living cells. Biostimulation process generally promotes cell survival and proliferation. Emerging evidences support a low level laser stimulation mediated increase in "good" ROS (reactive oxygen species), able to activate redox sensitive signal transduction pathways such as Nrf-2, NF-kB, ERK which act as key redox checkpoints."</t>
  </si>
  <si>
    <t>Mechanisms and Mitochondrial Redox Signaling in Photobiomodulation.</t>
  </si>
  <si>
    <t>"Photobiomodulation (PBM) involves the use of red or near-infrared light at low power densities to produce a beneficial effect on cells or tissues. PBM therapy is used to reduce pain, inflammation, edema, and to regenerate damaged tissues such as wounds, bones, and tendons. The primary site of light absorption in mammalian cells has been identified as the mitochondria and, more specifically, cytochrome c oxidase (CCO). It is hypothesized that inhibitory nitric oxide can be dissociated from CCO, thus restoring electron transport and increasing mitochondrial membrane potential. 
Another mechanism involves activation of light or heat-gated ion channels. This review will cover the redox signaling that occurs in PBM and examine the difference between healthy and stressed cells, where PBM can have apparently opposite effects. PBM has a marked effect on stem cells, and this is proposed to operate via mitochondrial redox signaling. PBM can act as a preconditioning regimen and can interact with exercise on muscles."</t>
  </si>
  <si>
    <t>AIMS Biophysics</t>
  </si>
  <si>
    <t>Mechanisms and applications of the anti-inflammatory effects of photobiomodulation</t>
  </si>
  <si>
    <t>"Photobiomodulation (PBM) also known as low-level level laser therapy is the use of red and near-infrared light to stimulate healing, relieve pain, and reduce inflammation.
The primary chromophores have been identified as cytochrome c oxidase in mitochondria, and calcium ion channels (possibly mediated by light absorption by opsins). Secondary effects of photon absorption include increases in ATP, a brief burst of reactive oxygen species, an increase in nitric oxide, and modulation of calcium levels. Tertiary effects include activation of a wide range of transcription factors leading to improved cell survival, increased proliferation and migration, and new protein synthesis.
There is a pronounced biphasic dose response whereby low levels of light have stimulating effects, while high levels of light have inhibitory effects. It has been found that PBM can produce ROS in normal cells, but when used in oxidatively stressed cells or in animal models of disease, ROS levels are lowered. PBM is able to up-regulate anti-oxidant defenses and reduce oxidative stress. It was shown that PBM can activate NF-kB in normal quiescent cells, however in activated inflammatory cells, inflammatory markers were decreased.
One of the most reproducible effects of PBM is an overall reduction in inflammation, which is particularly important for disorders of the joints, traumatic injuries, lung disorders, and in the brain. PBM has been shown to reduce markers of M1 phenotype in activated macrophages. Many reports have shown reductions in reactive nitrogen species and prostaglandins in various animal models. PBM can reduce inflammation in the brain, abdominal fat, wounds, lungs, spinal cord."</t>
  </si>
  <si>
    <t>Remote tissue conditioning - an emerging approach for inducing body-wide protection against diseases of ageing.</t>
  </si>
  <si>
    <t>"The systemic mechanisms underlying remote PBM have been less widely studied, and it remains unclear what circulating factors are released or mobilized, presumably into the bloodstream, and how they stimulate protection of distal tissues such as the brain (Johnstone et al., 2015). Several ideas have been proposed."
"A series of pioneering studies by Oron and colleagues demonstrated that PBM induces the proliferation of bone marrow-derived c-kit+ cells, both in culture and in vivo in the rat  (...)"
"A second mechanism proposed to underlie the remote actions of PBM is modulation of the immune system, since PBM downregulates pro-inflammatory cytokines (interferon-γ, tumor necrosis factor-α) and upregulates anti-inflammatory cytokines (interleukin-4, interleukin-10) (Muili et al., 2012) and regulates immune cell invasion and activation at sites of CNS damage (Byrnes et al., 2005). Other humoral factors may also be involved; for example, the recently discovered yet poorly characterised class of circulating molecules termed ‘mitokines’ (e.g. FGF21), which are released following low-level mitochondrial stress in one tissue and activate stress-response systems in distal tissues (Durieux et al., 2011 ;  Kim et al., 2013)."
"Although the mechanisms of remote PBM remain unclear, the phenomenon seems likely to offer a safe and non-invasive therapeutic option for protecting vital organs, such as the brain, heart and kidney, against the stress of ischemia or disease (...) Given the wide literature reporting the beneficial effects of ‘direct’ PBM on tissue structure and function and even organism longevity (Begum et al., 2015), there is reason for optimism that remote PBM will provide resilience and protection to many tissues in many ageing-related conditions."</t>
  </si>
  <si>
    <t>Freitas &amp; Hamblin</t>
  </si>
  <si>
    <t>Proposed Mechanisms of Photobiomodulation or Low-Level Light Therapy</t>
  </si>
  <si>
    <t>"Photobiomodulation also known as low-level laser (or light) therapy (LLLT), has been known for almost 50 years but still has not gained widespread acceptance, largely due to uncertainty about the molecular, cellular, and tissular mechanisms of action. However, in recent years, much knowledge has been gained in this area, which will be summarized in this review."
See additional information (on the right).</t>
  </si>
  <si>
    <t>"One of the most important chromophores is cytochrome c oxidase (unit IV in the mitochondrial respiratory chain), which contains both heme and copper centers and absorbs light into the near-infrared region. The leading hypothesis is that the photons dissociate inhibitory nitric oxide from the enzyme, leading to an increase in electron transport, mitochondrial membrane potential, and adenosine triphosphate production.
Another hypothesis concerns light-sensitive ion channels that can be activated allowing calcium (Ca2+) to enter the cell.
After the initial photon absorption events, numerous signaling pathways are activated via reactive oxygen species, cyclic AMP, NO, and Ca2+, leading to activation of transcription factors. These transcription factors can lead to increased expression of genes related to protein synthesis, cell migration and proliferation, anti-inflammatory signaling, anti-apoptotic proteins, and antioxidant enzymes. Stem cells and progenitor cells appear to be particularly susceptible to LLLT."</t>
  </si>
  <si>
    <t>J Dent Res</t>
  </si>
  <si>
    <t>Craniofacial Wound Healing with Photobiomodulation Therapy: New Insights and Current Challenges.</t>
  </si>
  <si>
    <t>"Despite significant volumes of scientific literature from clinical and laboratory studies noting the phenomenological evidence for this innovative therapy, limited mechanistic insights have prevented rigorous and reproducible PBM clinical protocols. This article briefly reviews current evidence and focuses on gaps in knowledge to identify potential paths forward for clinical translation with PBM therapy with an emphasis on craniofacial wound healing. PBM offers a novel opportunity to examine fundamental nonvisual photobiological processes as well as develop innovative clinical therapies, thereby presenting an opportunity for a paradigm shift from conventional restorative/prosthetic approaches to regenerative modalities in clinical dentistry."</t>
  </si>
  <si>
    <t>A mechanism for ultrasound/light-induced biostimulation.</t>
  </si>
  <si>
    <t>(📖 Review)</t>
  </si>
  <si>
    <t>1) Sommer critisizes Karu's research: [See additional info]
2) Sommer suggests LLLT and ultrasound have similar mechanisms
3) Sommer suggests that LLLT improves the rotation of ATPase by reducing the viscosity of the nanoscopic interfacial water layers within and around the ATP synthase.</t>
  </si>
  <si>
    <t>Sommer: "In our opinion, the “cytochrome enzyme mechanism” is not capable to explain the enhancement of the action of the ATP synthase. First, red or near-infrared (NIR) light is practically not absorbed by the chromophore of cytochrome c oxidase (it is a porphyrin ring with an absorption maximum at 550 nm). [...] There exist experiments showing that the concentration of cytochrome c oxidase increases slightly upon illumination with NIR light. However, these results are not understood and they do not prove any connection between cytochrome c oxidase and ATP synthase."
However, in 2004, Karu had already mentioned that “Recent experimental absorption studies in the red-NIR region (27–29) do not contradict the suggestions made by Karu and Afanasyeva (26).”]   &lt;--- [Photochem Photobiol. 2004 Sep-Oct;80(2):366-72.]</t>
  </si>
  <si>
    <t>Tuning the mitochondrial rotary motor with light.</t>
  </si>
  <si>
    <t>📖 Review (?)</t>
  </si>
  <si>
    <t>Biphasic dose response (review, speculation)</t>
  </si>
  <si>
    <t>Sommer offers some unique thoughts on LLLT mechanisms, pulsing, dose response, etc... However, his views haven't been commented by other researchers in the LLLT/PBM field.</t>
  </si>
  <si>
    <t>Passarella &amp; Karu</t>
  </si>
  <si>
    <t>Italy &amp; Russia</t>
  </si>
  <si>
    <t>Absorption of monochromatic and narrow band radiation in the visible and near IR by both mitochondrial and non-mitochondrial photoacceptors results in photobiomodulation.</t>
  </si>
  <si>
    <t>"We describe whether and how mitochondria can interact with monochromatic and narrow band radiation in the red and near IR optical regions with dissection of both structural and functional effects likely leading to photobiostimulation. Moreover we also report that a variety of biomolecules localized in mitochondria and/or in other cell compartments including cytochrome c oxidase, some proteins, nucleic acids and adenine nucleotides are light sensitive with major modifications in their biochemistry.
All together the reported investigations show that the elucidation of the mechanism of the light interaction with biological targets still remains to be completed, this needing further research, however the light sensitivity of a variety of molecules strongly suggests that photobiomodulation could be used in both in photomedicine and in biotechnology."</t>
  </si>
  <si>
    <t>Hong P Kim</t>
  </si>
  <si>
    <t>Biomol Ther (Seoul)</t>
  </si>
  <si>
    <t>Lightening up Light Therapy: Activation of Retrograde Signaling Pathway by Photobiomodulation</t>
  </si>
  <si>
    <t>Biological effects of low level laser therapy.</t>
  </si>
  <si>
    <t>Agrawal</t>
  </si>
  <si>
    <t>Dose Response</t>
  </si>
  <si>
    <t>Pre-conditioning with low-level laser (light) therapy: light before the storm.</t>
  </si>
  <si>
    <t xml:space="preserve">  Recently it has become apparent that LLLT can also be effective if delivered to normal cells or tissue before the actual insult or trauma, in a 
  pre-conditioning mode. Muscles are protected, nerves feel less pain, and LLLT can protect against a subsequent heart attack.</t>
  </si>
  <si>
    <t>Tuner has also written about this topic http://www.laserannals.com/2015/09/05/preconditioning-laser-phototherapy/</t>
  </si>
  <si>
    <t>Wu &amp; Xing</t>
  </si>
  <si>
    <t>Laser Photon Rev</t>
  </si>
  <si>
    <t>Intracellular signaling cascades following light irradiation</t>
  </si>
  <si>
    <t>"Low-level light therapy (LLLT) using red to near-infrared (NIR) (630–1000 nm) light has gained attention in recent years as a therapy in ophthalmology, neurology, dermatology, dentology, and regenerative medicine[...]"</t>
  </si>
  <si>
    <t>Rojas &amp; Gonzalez-Lima</t>
  </si>
  <si>
    <t>Neurological and psychological applications of transcranial lasers and LEDs</t>
  </si>
  <si>
    <t xml:space="preserve"> Includes an interesting comparison of LLLT and methylene blue.</t>
  </si>
  <si>
    <t>USA (Washington)</t>
  </si>
  <si>
    <t>Mechanisms of action for light therapy: a review of molecular interactions.</t>
  </si>
  <si>
    <t>Med Hypotheses</t>
  </si>
  <si>
    <t>Protein conformational modulation by photons: a mechanism for laser treatment effects.</t>
  </si>
  <si>
    <t>Regulation of miRNA expression by low-level laser therapy (LLLT) and photodynamic therapy (PDT).</t>
  </si>
  <si>
    <t>Jung &amp; Grune</t>
  </si>
  <si>
    <t>Ann N Y Acad Sci</t>
  </si>
  <si>
    <t>Experimental basis for discriminating between thermal and athermal effects of water-filtered infrared A irradiation.</t>
  </si>
  <si>
    <t>Polychromatic light 🌈 (water-filtered infrared A; 780-1400 nm)</t>
  </si>
  <si>
    <t>"Considering the widespread application of water-filtered infrared A (wIRA) irradiation in medicine, cosmetics, and wellness, we have conluded that the biological effects of this electromagnetic spectrum, ranging from 780 nm to 1400 nm, have become an important focus of experimental research. Two main effects of wIRA on single cells are discussed: thermal effects, caused by absorption of energy by cellular water and the aqueous medium surrounding the irradiated sample that result in warming, and supposed athermal effects that result from a direct interaction of wIRA with cellular molecules/structures excluding water. In the following, we discuss different experimental setups and highlight some cellular responses to thermal and athermal wIRA effects, as well as the experimental problems in differentiating between them."</t>
  </si>
  <si>
    <t>The nuts and bolts of low-level laser (light) therapy.</t>
  </si>
  <si>
    <t xml:space="preserve"> A highly-cited LLLT overview.</t>
  </si>
  <si>
    <t>Kreslavski</t>
  </si>
  <si>
    <t>J Photochem Photobiol C</t>
  </si>
  <si>
    <t>Red and near infra-red signaling: Hypothesis and perspectives</t>
  </si>
  <si>
    <t>"The review covers some of the proposed cellular photoreceptors responsible for the effect of red and near infra-red (NIR) light on mammalian cells, including cytochrome-c-oxidase, photoactive porphyrins, flavoproteins, and molecular oxygen. We do not discuss the clinical studies but consider animal models, especially fibroblasts. Several key hypotheses such as mitochondria signaling and free-radical conception of the effects of red light and NIR light based on the changes in redox properties of photoreceptor molecules as well as membrane conception are examined. Special attention is paid to common mechanisms of light signaling in mammalian and plant organisms."</t>
  </si>
  <si>
    <t>Eye Brain</t>
  </si>
  <si>
    <t>Low-level light therapy of the eye and brain.</t>
  </si>
  <si>
    <t>"This paper describes the mechanisms of action of LLLT at the molecular, cellular, and nervous tissue levels. Photoneuromodulation of cytochrome oxidase activity is the most important primary mechanism of action of LLLT. Cytochrome oxidase is the primary photoacceptor of light in the red to near-infrared region of the electromagnetic spectrum. It is also a key mitochondrial enzyme for cellular bioenergetics, especially for nerve cells in the retina and the brain. Evidence shows that LLLT can secondarily enhance neural metabolism by regulating mitochondrial function, intraneuronal signaling systems, and redox states. Current knowledge about LLLT dosimetry relevant for its hormetic effects on nervous tissue, including noninvasive in vivo retinal and transcranial effects, is also presented. Recent research is reviewed that supports LLLT potential benefits in retinal disease, stroke, neurotrauma, neurodegeneration, and memory and mood disorders."</t>
  </si>
  <si>
    <t>Near-infrared irradiation photobiomodulation: the need for basic science.</t>
  </si>
  <si>
    <t>"One thing that is missing in all of these pre-clinical and clinical studies is a proper investigation into the basic science of the NIR-PBM phenomenon. Although there is much discussion of the uses of NIR, there is very little on how it actually works. As far as explaining what really happens, we are basically left to resort to saying “light enters, then a miracle happens, and good things come out!” Clearly, this is insufficient, if for no other reason than our own intellectual curiosity. But beyond that, we can not hope to truly develop this extremely promising treatment to its highest potential without some understanding of what is actually happening inside the 'black box'"
[See additional info for more quotes]</t>
  </si>
  <si>
    <t>"At the heart of the matter is the question of enzyme kinetics. As it is generally agreed that the cellular target for the NIR is the enzyme CCO, an understanding of how the light affects its kinetic properties is the most logical place to start. At this point, there appears to be only one study directly addressing this question. An increase in the observed kinetic constant for the reaction of CCO with cytochrome c was observed at high enzyme/substrate ratios when the enzyme was irradiated with 630-nm laser light. In contrast, a lowering of the kinetic constant occurred at low enzyme/substrate ratios. A mechanistic interpretation of these results was not offered."
"In sum, we feel that the time is right to move aside from limiting ourselves to studying only the downstream results of NIR-PBM, and aggressively pursue avenues leading to a basic understanding of the underlying science."</t>
  </si>
  <si>
    <t>Poyton &amp; Ball</t>
  </si>
  <si>
    <t>USA
(Colorado)</t>
  </si>
  <si>
    <t>Discov Med</t>
  </si>
  <si>
    <t>Therapeutic photobiomodulation: nitric oxide and a novel function of mitochondrial cytochrome c oxidase.</t>
  </si>
  <si>
    <t xml:space="preserve">  "Although early studies identified mitochondrial cytochrome c oxidase as an endogenous photoreceptor for photobiomodulation, the cellular and
   molecular mechanisms underlying photobiomodulation have not been clear.
  Three recent findings provide important new insight: [See additional info]
  From these findings, we propose that cytochrome c oxidase functions in photobiomodulation by producing nitric oxide, a signaling molecule which
  can then function in both intra- and extracellular signaling pathways. We also propose that the effectiveness of photobiomodulation is under the 
  control of tissue oxygen and nitrite levels."</t>
  </si>
  <si>
    <t>"First, nitric oxide has been implicated.
Second, cytochrome c oxidase, an enzyme known to reduce oxygen to water at the end of the mitochondrial respiratory chain, has been shown to have a new enzymatic activity--the reduction of nitrite to nitric oxide. This nitrite reductase activity is elevated under hypoxic conditions but also occurs under normoxia.
And third, low intensity light enhances nitric oxide synthesis by cytochrome c oxidase without altering its ability to reduce oxygen."</t>
  </si>
  <si>
    <t>Karu &amp; Pyatibrat</t>
  </si>
  <si>
    <t>IUBMB Life</t>
  </si>
  <si>
    <t>Gene expression under laser and light-emitting diodes radiation for modulation of cell adhesion: Possible applications for biotechnology.</t>
  </si>
  <si>
    <t>"Cell adhesion and proliferation can be increased by irradiation with light of certain wavelengths (maxima in action spectrum are 619, 675, 740, 760, and 820 nm) or decreased when the activity of photoacceptor (cytochrome c oxidase in mitochondrial respiratory chain) is inhibited by chemicals before the irradiation. This modality allows controlling the number of attached and/or proliferating cells. Possible biotechnology applications of this method are outlined."</t>
  </si>
  <si>
    <t>Biphasic dose response in low level light therapy - an update.</t>
  </si>
  <si>
    <t xml:space="preserve"> Shows preliminary evidence that too high dose might inhibit the beneficial effects of LLLT.</t>
  </si>
  <si>
    <t>Theoretic, experimental, clinical bases of the water oscillator hypothesis in near-infrared photobiomodulation</t>
  </si>
  <si>
    <t>"The objective of this review is to propose and document a role for the water oscillator in near-infrared (NIR) photobiomodulation. Greater understanding of the role of the water oscillator may add to a more-coherent description of central effects of NIR light on redox centers and key transmembrane enzymes such as cytochrome c oxidase (CcO). In addition, water provides a complementary pathway for absorption and transportation of NIR energy in photobiomodulation. Because of its unexpected potential, we propose terming it the "water oscillator paradox." Photobiologic mechanisms involved in the treatment of complex diseases are discussed in light of the present state of the art."</t>
  </si>
  <si>
    <t>Tafur</t>
  </si>
  <si>
    <t>Biophoton detection and low-intensity light therapy: a potential clinical partnership.</t>
  </si>
  <si>
    <t>Multiple Roles of Cytochrome c Oxidase in Mammalian Cells Under Action of Red and IR-A Radiation</t>
  </si>
  <si>
    <t xml:space="preserve"> The evidence linking LLLT to cytochrome c oxidase function.</t>
  </si>
  <si>
    <t>Hashmi</t>
  </si>
  <si>
    <t>PM R</t>
  </si>
  <si>
    <t>Role of low-level laser therapy in neurorehabilitation.</t>
  </si>
  <si>
    <t xml:space="preserve"> A highly-cited article on LLLT.</t>
  </si>
  <si>
    <t>Laser and LED photobiology</t>
  </si>
  <si>
    <t xml:space="preserve">📖 Review / Commentary </t>
  </si>
  <si>
    <t>(Coherence)</t>
  </si>
  <si>
    <t>“Phototherapy, whether using low intensity radiation of the proper wavelength from a laser, an LED, or a filtered incandescent lamp, can be beneficial in a munber of clinical situations, from pain remission to wound healing.”</t>
  </si>
  <si>
    <t>"Low power laser irradiation (LPLI) promotes proliferation of multiple cells, which (especially red and near infrared light) is mainly through the activation of mitochondrial respiratory chain and the initiation of cellular signaling.
Recently, the signaling proteins involved in LPLI-induced proliferation merit special attention, some of which are regulated by mitochondrial signaling." [Also see additional info]
Note: A highly cited article (279 on Google Scholar in 10/2016).</t>
  </si>
  <si>
    <t>"Hepatocyte growth factor receptor (c-Met), a member of tyrosine protein kinase receptors (TPKR), is phosphorylated during LPLI-induced proliferation, but tumor necrosis factor alpha (TNF-alpha) receptor has not been affected.
Activated TPKR could activate its downstream signaling elements, like Ras/Raf/MEK/ERK, PI3K/Akt/eIF4E, PI3K/Akt/eNOS and PLC-gamma/PKC pathways. 
Other two pathways, DeltaPsim/ATP/cAMP/JNK/AP-1 and ROS/Src, are also involved in LPLI-induced proliferation. LPLI-induced cell cycle progression can be regulated by the activation or elevated expressions of cell cycle-specific proteins.
Furthermore, LPLI induces the synthesis or release of many molecules, like growth factors, interleukins, inflammatory cytokines and others, which are related to promotive effects of LPLI."</t>
  </si>
  <si>
    <t>Tafur &amp; Mills</t>
  </si>
  <si>
    <t>Low-intensity light therapy: exploring the role of redox mechanisms.</t>
  </si>
  <si>
    <t>"The mitochondrial electron transport chain has been shown to be photosensitive to red and near-infrared (NIR) light. Although the underlying mechanisms have not yet been clearly elucidated, mitochondrial photostimulation has been shown to increase ATP production and cause transient increases in reactive oxygen species (ROS). In some cells, this process appears to participate in reduction/oxidation (redox) signaling."</t>
  </si>
  <si>
    <t>Mitochondrial signaling in mammalian cells activated by red and near-IR radiation. K</t>
  </si>
  <si>
    <t>"Experimental data about modulation of elements of mitochondrial retrograde signaling by the irradiation (mitochondrial membrane potential DeltaPsi(m), reactive oxygen species ROS, Ca(2+), NO, pH(i), fission-fusion homeostasis of mitochondria) are reviewed. The terminal enzyme of the mitochondrial respiratory chain cytochrome c oxidase is considered as the photoacceptor. Functions of cytochrome c oxidase as a signal generator as well as a signal transducer in irradiated cells are outlined."
Comment: An easy-to-read review, very well written.</t>
  </si>
  <si>
    <t>The photobiological basics behind light-emitting diode (LED) phototherapy</t>
  </si>
  <si>
    <t>"The early light-emitting diodes (LEDs) were unsuitable for clinical applications because of low unstable output powers, broad wavebands and very high angles of divergence. In the late 1990’s, the Space Medicine Programme in the United States National Aeronautics and Space Administration (NASA), developed the ‘NASA LED’ with much higher output powers, a much narrower divergence and quasimonochromatic output. With the ability to mount multiple LEDs in planar arrays, large areas of tissue can be irradiated in one hands-off session, unlike the time-consuming and therapist-intensive punctal application with laser diodes. These arrays deliver almost laser-like wavelength specificity and with clinically useful penetration depths and intensities, three of the most important considerations when considering cellular targets in the light of the first law of photobiology which states that without absorption, there can be no reaction."</t>
  </si>
  <si>
    <t>USA
(IN)</t>
  </si>
  <si>
    <t>Melatonin as a principal component of red light therapy.</t>
  </si>
  <si>
    <t>Melatonin</t>
  </si>
  <si>
    <t>Photochemistry and photobiology of light absorption by living cells.</t>
  </si>
  <si>
    <t>"In this review, we summarize a part of our research concerning photobiostimulative effects on cardiomyocytes, sperm cells, and nerve cells. We concentrate on results demonstrating that photobiostimulation can be described by the Arndt-Schultz (A.S.) curve. Results monitoring an increase in reactive oxygen species (ROS) concentration following visible light irradiation describe the ascending part of the A.S. curve, whereas those that describe the antioxidant role of photobiostimulation represent the descending part of the curve."
Comment: This group suspects that Karu's idea of absorption by cytochrome oxidase is not true: "It has to be noted that, although photobiological effects in the near-IR are ascribed to light absorption of mitochondrial cytochrome c oxidase, its low absorbance in this region makes us doubt if this is the case, and we are of the opinion that other mechanisms have to be considered."
However, Karu had already written in 2004 that "[r]ecent experimental absorption studies in the red-NIR region (27–29) do not contradict the suggestions made by Karu and Afanasyeva (26) (review [5])". This was mentioned by Karu in (Photochem Photobiol. 2004 Sep-Oct;80(2):366-72).</t>
  </si>
  <si>
    <t>Lane N</t>
  </si>
  <si>
    <t>Cell biology: power games.</t>
  </si>
  <si>
    <t>News feature
(📖 Review)</t>
  </si>
  <si>
    <t xml:space="preserve"> Nick Lane’s news article in Nature journal. An interesting piece of news focusing on cytochrome oxidase.</t>
  </si>
  <si>
    <t>The electric field induced by light can explain cellular responses to electromagnetic energy: a hypothesis of mechanism.</t>
  </si>
  <si>
    <t>Low-energy laser irradiation promotes cellular redox activity.</t>
  </si>
  <si>
    <t>"Low-energy visible light (LEVL) has been shown to stimulate cell functions. This is called "photobiostimulation" and has been used successfully over the last three decades for treating a range of conditions, including soft tissue injuries, severe wounds, chronic pain, and more. Nevertheless, the mechanism of photobiostimulative processes is still being debated. It is obvious that, in order to interact with the living cell, light has to be absorbed by intracellular chromophores. In a search for chromophores responsible for photobiostimulation, endogenous porphyrins, mitochondrial and membranal cytochromes, and flavoproteins were found to be suitable candidates. 
The above-mentioned chromophores are photosensitizers that generate reactive oxygen species (ROS) following irradiation. As the cellular redox state has a key role in maintaining the viability of the cell, changes in ROS may play a significant role in cell activation. In the present review, we summarize evidence demonstrating that various ROS and antioxidants are produced following LEVL illumination. We found that very little evidence for NO formation in illuminated non-vascular smooth muscle cells exists in the literature. We suggest that the change in the cellular redox state which plays a pivotal role in maintaining cellular activities leads to photobiostimulative processes."</t>
  </si>
  <si>
    <t>Photo-infrared pulsed bio-modulation (PIPBM): a novel mechanism for the enhancement of physiologically reparative responses.</t>
  </si>
  <si>
    <t>"Major strides have been taken in recent years towards scientifically acceptable clinical applications of low-energy lasers. Nevertheless, challenges still abound. For instance, the range of potential target tissues for laser therapy in medicine has been, until now, limited by the optical penetration of the beam or to sites accessible by fiberoptics. In addition, much needs to be learned about the action mechanisms of pulsed lasers, which can induce unique biological effects."
"The studies reviewed suggest that the PIPBM enhances physiologically reparative processes in a non-toxic and selective manner through the activation and modulation of chaotic dynamics in water. These, in turn, lead not only to local, but also long-distance (systemic) effects."
Comment: This group has really strange/exotic viewpoints...</t>
  </si>
  <si>
    <t>Biochemistry (Mosc)</t>
  </si>
  <si>
    <t>Photobiological principles of therapeutic applications of laser radiation.</t>
  </si>
  <si>
    <t>"Laser therapy based on the stimulating and healing action of light of low-intensity lasers (LIL), along with laser surgery and photodynamic therapy, has been lately widely applied in the irradiation of human tissues in the absence of exogenous photosensitizers. Besides LIL, light-emitting diodes are used in phototherapy (photobiostimulation) whose action, like that of LIL, depends on the radiation wavelength, dose, and distribution of light intensity in time but, according to all available data, does not depend on the coherence of radiation."</t>
  </si>
  <si>
    <t>Cellular and Molecular Mechanisms of Photobiomodulation (Low-Power Laser Therapy)</t>
  </si>
  <si>
    <t>"Monochromatic (laser) and quasimonochromatic (LED) radiation in the red-to-near infrared optical region both in CW and pulsed modes is used to treat in a nondestructive fashion various soft-tissue and neurologic conditions. Cytochrome c oxidase, the terminal enzyme of mitochondrial respiratory chain, is considered as the photoacceptor. The mechanisms of photobiomodulation on cellular level are based on the electronic excitation of CuA and CuB chromophores in cytochrome c oxidase molecule. As the result, the redox status of cytochrome c oxidase molecule as well as its functional activity is modulated. 
The primary reactions in mitochondria switch on a set of secondary biochemical reactions (light-sensitive retrograde mitochondrial signaling) with endpoint as gene expression in the nucleus. Also, two specific topics are discussed and reviewed: patch-clamp studies in connection with optical stimulation of nerves and differences in CW and pulsed light action mechanisms when biological objects are irradiated."</t>
  </si>
  <si>
    <t>Mitochondrial signal transduction in accelerated wound and retinal healing by near-infrared light therapy.</t>
  </si>
  <si>
    <t xml:space="preserve"> An old, yet good, review on LLLT.</t>
  </si>
  <si>
    <t>BOOK: Biomedical Photonics Handbook</t>
  </si>
  <si>
    <t>Low-Power Laser Therapy</t>
  </si>
  <si>
    <t>"The photobiological action mechanism via activation of the respiratory chain is a universal mechanism. Primary photoacceptors are terminal oxidases (cytochrome c oxidase in eukaryotic cells and, for example, cytochrome bd complex in the prokaryotic cell of E. coli) as well as NADH-dehydrogenase (for the blue-to-red spectral range). 
Primary reactions in or with a photoacceptor molecule lead to photobiological responses at the cellular level through cascades of biochemical homeostatic reactions (cellular signaling or photosignal transduction and amplification chain). Crucial events of this type of cell metabolism activation occur due to a shift of cellular redox potential in the direction of greater oxidation. 
Cell-metabolism activation via the respiratory chain occurs in all cells susceptible to light irradiation. Susceptibility to irradiation and capability for activation depend on the physiological status of irradiated cells; cells whose overall redox potential is shifted to a more reduced state (e.g., certain pathological conditions) are more sensitive to irradiation."</t>
  </si>
  <si>
    <t>Lubart &amp; Breitbart</t>
  </si>
  <si>
    <t>Drug Dev Res</t>
  </si>
  <si>
    <t>Biostimulative effects of low-energy lasers and their implications for medicine</t>
  </si>
  <si>
    <t>"In a recent review, Karu [1999] discussed at length the possibility of cytochrome C oxidase as the main photoacceptor for visible and near UV light. We suggest that NADPH oxidase, which has been found recently to exist in nonblood cells [Meier et al., 1991] and possesses a flavoprotein, can also be a target of light"
Comment: Lubart's group has a long history of providing alternative hypotheses of LLLT primary mechanisms. They usually suggest that the effects are related to ROS, and tend to interestingly ignore Karu's group's efforts related to cytochrome c oxidase research.</t>
  </si>
  <si>
    <t>★
★
★</t>
  </si>
  <si>
    <t>Primary and secondary mechanisms of action of visible to near-IR radiation on cells.</t>
  </si>
  <si>
    <t>A highly cited LLLT review (965 in Google Scholar in 10/2016). A very good summary of LLLT basic mechanism research until 1999. Worth reading to everybody interested in PBM/LLLT.
"Conventional light sources generating the appropriate wavelength can also be used (...) Laser sources are just handy tools providing many practical advantages (e.g., efficient fiber-optic coupling to irradiate interior body parts, high monochromaticity and easy wavelength tunability, simplicity of use and electrical safety in the case of semiconductor lasers."
"Analysis of the band shapes in the action spectra (Fig. 2) and the line intensity ratios enables us to conclude that cytochrome c oxidase cannot be considered as a primary photoacceptor when it is fully oxidized or fully reduced, but only when it is in one of the intermediate forms (partially reduced, or mixed valence enzyme)."
"It is known that the action spectrum is roughly the same shape as the absorption spectrum of the photoacceptor [38]. Therefore, the bands in the action spectra were identified by analogy with the metal-ligand system absorption spectra characteristic of this spectral range [42-44]. The regions 400-450 and 620-680 nm are characterized by the bands pertaining to complexes with charge transfer in a metal-ligand system, and within 760-830 nm, these are d-d transitions in metals. The region 400-420 nm is typical of pi-pi* transitions in a porphyrin ring [45]."
"By irradiating cells with wide-band visible light of λ &gt; 400 nm, the enhancement of the activity of ATP-synthase was observed [105]."
"It was shown that cells with a lower than normal intracellular pH, in which the redox state was shifted in the reduced direction, were more sensitive to the stimulative action of light as compared to cells in which the respective parameters were optimal or near optimal."
See the "Additional info" (on the right side) for more quotes.</t>
  </si>
  <si>
    <t>"Comparative analysis of spectral data for transition metals and their complexes on one hand, and biomolecules participating in the regulation of cellular metabolism on the other, allows us to suggest that multinuclear enzymes containing Cu(II) may be participating [12,44,45]. Analysis of the electron excitation transitions of participating molecules containing Cu(II) [46-49] shows that metal-ligand transitions in the range 400-450 nm correspond to the N(imidazole) --&gt; Cu transition, at 620 nm, to the S(cysteine) --&gt; Cu transition, and at 680 nm to the S(methionine) --&gt; Cu transition."
"Comparing the lines of possible d-d- transitions and charge-transfer complexes of Cu [44,47-50] with our action spectrum (Fig. 2) allows us to assume that the photoacceptor molecule has different types of centers containing Cu(II) in the ranges 420-450 and 760-830 nm (...) At 330 nm, a center of type III may be present, and in the range 760- 820 nm centers of types I and III coexist. Within 620-680 nm, there is a center of type I and a combination of centers of different types is unlikely."
"In the catalytic cycle of cytochrome c oxidase electrons are transferred sequentially from water-soluble cytochrome c to CuA, then to heme (a) and to the binuclear center (a3)-CuB, where oxygen is reduced to water"
"Generally speaking, the cytochrome c oxidase can be fully oxidized (four redox-active metal centers: CuA, CuB, and iron in hemes a and u3, are in their common higher oxidation state; 3+ for iron and 2+ for copper), or fully reduced (four metal centers are in their common lower oxidation state; 2+ for iron and 1+ for copper). A partially reduced enzyme, usually called a mixed-valence enzyme, has some metal centers in their higher oxidation state and the remainder in their lower oxidation state."
"[It] was suggested [61] that the 825 nm band belongs to the oxidized CuA, the 760 nm band to the reduced CuB, the 680 nm band to the oxidized CuB, and the 620 band to the reduced CuA"
"It was suggested, for example, that irradiation shifts the cytochromes to more reduced forms, which naturally promote electron transport [74] (...) Recent developments clearly show that photoinduced electron-transfer reaction can initiate the folding of protein, as it was demonstrated for reduced cytochrome c [76,77]."
"It was proposed in Section 3 that positive effects of irradiation connected with improvement of cell viability and metabolism are due to a shift in the overall cellular redox state to a more oxidized direction."
"[Methylene blue] was also tested in our experiments. The treatment of cells in the dark with this artificial electron acceptor significantly stimulated DNA synthesis, i.e., methylene blue in the dark affected the cells in a similar way to He-Ne laser irradiation [4]. One should recall that methylene blue has been used in medical and laboratory practice during the last century for various purposes. The following are only a few examples: for pain relief [133] and treating malaria [134]; for fertilization of marine eggs [135]; to stimulate oxygen consumption [136]; to improve the therapeutic index of toxic oxidative drugs like doxorubicin and other anthracylins and to prevent ethanol-induced hypoxic injury [137]; to protect from sublethal radiation damage [138]. In most of these cases the action mechanism of methylene blue is believed to be due to its affect on the concentration of intracellular reducing agents."</t>
  </si>
  <si>
    <t>[Bioelectromagnetism 1998 conference]</t>
  </si>
  <si>
    <t>Basics of the action of monochromatic visible and near IR (laser) radiation on cells</t>
  </si>
  <si>
    <t>Conference paper (short review)</t>
  </si>
  <si>
    <t>"The terminal respiratory chain oxidases in eukaryotic cells (cytochrome c oxidase) and in the prokaryotic cells of the bacterium Escherichia coli (cyt bd and cyt bo complexes) are believed to be photoacceptor molecules for red-to-near-IR radiation."</t>
  </si>
  <si>
    <t>Wilden &amp; Karthein</t>
  </si>
  <si>
    <t>Germany
(Bad Füssing)</t>
  </si>
  <si>
    <t>Import of radiation phenomena of electrons and therapeutic low-level laser in regard to the mitochondrial energy transfer.</t>
  </si>
  <si>
    <t>"Low level laser from the red and the near infrared region corresponds well with the characteristic energy and absorption levels of the relevant components of the respiratory chain. This laser stimulation vitalizes the cell by increasing the mitochondrial ATP(adenosine-tri-phosphate)-production."
"With regard to radiation phenomena and its inhanced electron flow in the cellular energy transfer (respiratory chain), it is possible to explain the experimentally found increase of ATP-production by means of low-level laser light on a cellular level. Intense research for this biostimulative effect is still necessary."</t>
  </si>
  <si>
    <t>Friedmann &amp; Lubart</t>
  </si>
  <si>
    <t>Photobiostimulation by light-induced cytosolic calcium oscillations</t>
  </si>
  <si>
    <t>Nonlinear photobiostimulation: The mechanism of visible and infrared laser-induced stimulation and reduction of neural excitability and growth</t>
  </si>
  <si>
    <t>"Non-linearity in photobiostimulation is described as a process where linear optical absorption produces active chemicals such as cytoplasmic H+ and Ca2+ which participate in chemical reactions whose reaction rates depend non-linearly on the concentration of these photoproduced active chemicals, thus allowing very sensitive light control of non-linear biological reactions. Important contributions to neural excitability and growth include photostimulation of ATP production which fuels the action potential and fills the synaptic ATP vesicles. As was recently shown, the synaptic ATP plays the important role of an extracellular neurotransmitter. The importance of this effect on the possibility of systemic laser therapy of nervous disoders by photostimulation of ATP release by migrating macrophages is mentioned. The connection between light-enhanced electrical activity of the nerve and neurite growth is also analysed."</t>
  </si>
  <si>
    <t>Factors affecting Low Level Laser Therapy.</t>
  </si>
  <si>
    <t xml:space="preserve"> A very old, yet good, review on LLLT.</t>
  </si>
  <si>
    <t>Derepression Of The Genome After Irradiation Of Human Lymphocytes With He-Ne Laser</t>
  </si>
  <si>
    <t>"Our experiments have shown that the chromatin of human lymphocytes irradiated with red light at wavelength of 632.8 nm at first minutes and then hours after the irradiation was subjected to changes similar to those observed following mitogenic stimulation with [phytohemagglutinin]"</t>
  </si>
  <si>
    <t>Kitchen &amp; Partridge</t>
  </si>
  <si>
    <t>A Review of Low Level Laser Therapy: Part I: Background, Physiological Effects and Hazards</t>
  </si>
  <si>
    <t>Effects of visible radiation on cultured cells.</t>
  </si>
  <si>
    <t>Structure:
1. Introduction / 2. Historical Perspective / 3. Action on Proliferative Activity / 4. Action Spectrum / 5. Which Point in the Cell Cycle is Affected? / 6. Controversy stimulation-inhibition / 7. Controversy stimulation-indifference / 8. Normal cells-malignant cells</t>
  </si>
  <si>
    <t>Health Phys</t>
  </si>
  <si>
    <t>Photobiology of low-power laser effects.</t>
  </si>
  <si>
    <t>"Quantitative studies have been performed to determine the action of low-intensity visible monochromatic light on various cells (E. coli, yeasts, HeLa, Chinese hamster fibroblasts and human lymphocytes); also irradiation conditions (wavelength, dose and intensity) conducive to vital activity stimulation have been examined.
Respiratory chain components are discussed as primary photoacceptors. The possible ways for photosignal transduction and amplification are discussed. It is proposed that enhanced wound healing due to irradiation with low-intensity visible laser light (He-Cd, He-Ne and semiconductor lasers) is due to the increasing proliferation of cells."</t>
  </si>
  <si>
    <t>New biological phenomena associated with laser radiation.</t>
  </si>
  <si>
    <t>"Low-energy laser irradiation produces significant bioeffects. These effects are manifested in biochemical, physiological and proliferative phenomena in various enzymes, cells, tissues, organs and organisms.
Examples are given of the effect of He-Ne laser irradiation in preventing the post-traumatic degeneration of peripheral nerves and the postponement of degeneration of the central nervous system. The damage produced by similar radiant exposures to the corneal epithelium and endothelium is also described.
It is suggested that the mechanism of laser/tissue interaction at these low levels of radiant exposure is photochemical in nature, explaining most of the characteristics of these effects. These low-energy laser bioeffects are of importance on a basic scientific level, from a laser safety aspect and as a medical therapeutic modality."</t>
  </si>
  <si>
    <t>Passarella S</t>
  </si>
  <si>
    <t>He-Ne laser irradiation of isolated mitochondria.</t>
  </si>
  <si>
    <t>News&amp;Views</t>
  </si>
  <si>
    <t>"We feel that some progress in understanding the effects induced by low energy laser irradiation of mitochondria could be achieved through investigations using simple well-controlled processes. In a series of studies carried out according to these criteria we have so far reached the following conclusions:
(1) The optical properties of mitochondria are influenced by He-Ne laser irradiation [2].
(2) The mitochondrial electrochemical proton gradient is increased byirradiation [3,4].
(3) ATP extrasynthesis occurs in mitochondria following He-Ne laser irradiation [4].
(4) ADP/ATP carrier activity is increased by irradiation owing to increase in the electrochemical potential [5].
(5) Laser irradiation generates new mitochondrial conformations as revealed by electron microscopy studies [6].
(6) The rate of DNA, RNA and protein synthesis by mitochondria appears to be enhanced by laser irradiation as judged by measuring the incorporation of labelled molecules [7]."
"A number of problems are now evident and a lot of experimental work is required. The most urgently needed information would appear to be:
(a) action spectra for the photoinduced changes of specific mitochondrial parameters;
(b) identification of the chromophores responsible for trapping light and the discovery of the molecular interactions giving rise to biostimulation;
(c) definition of the effect of the laser on the synthetic pathways of mitochondrial biogenesis, as well as on mitochondrial protein degradation;
(d) the tissue specificity of the effect;
(e) simultaneous/subsequent irradiation with light of different wavelength."</t>
  </si>
  <si>
    <t>Lasers Life Sci</t>
  </si>
  <si>
    <t>Molecular Mechanism of the Therapeutic Effect of Low-Intensity Laser Radiation</t>
  </si>
  <si>
    <t>"Renewed interest in the effects of visible light action on biological objects occurred in the sixties after appearance of the first lasers, particularly the He-Ne laser. The He-Ne laser was the first widely accessible source of coherent light. No wonder that the stimulating effect of light, red in particular, was rediscovered with the use of the coherent light source. Recent literature suggest experiments on the action of incoherent light on biological objects performed in the twenties and the thirties [6-8] were either forgotten or were not known. So, the observed effects were attributed to a unique property of the He-Ne laser light, coherence of of its radiation. Actually there were no physical grounds for such a conclusion [2]."
"The oxidizing agent methylene blue stimulated DNA synthesis in HeLa cells in the dark, i.e., mimicked the action of red light [24]."</t>
  </si>
  <si>
    <t>Laser biostimulation of healing wounds: specific effects and mechanisms of action.</t>
  </si>
  <si>
    <t>"The literature reviewed suggests that biostimulation with lasers:
1) accelerates the inflammatory phase of wound healing by altering the levels of various prostaglandins,
2) increases ATP synthesis by enhancing electron transfer in the inner membrane of mitochondria,
3) quickens protein (collagen) synthesis by quickening DNA and RNA synthesis,
4) augments fibroplasia by a mechanism that is still being explored, and
5) enhances the ability of immune cells to combat invading pathogens.
Although these findings were made in vitro and in vivo in various animal models, their clinical implications are quite clear. Laser biostimulation is potentially a useful tool in the treatment of wounds, particularly those cutaneous and subcutaneous wounds that are either complicated by infection or inherently require a prolonged period of time to heal."</t>
  </si>
  <si>
    <t>Laser Chem</t>
  </si>
  <si>
    <t>Biostimulating Action of Low-Intensity Monochromatic Visible Light: Is it Possible?</t>
  </si>
  <si>
    <t>"The quantitative studies with organisms of different complexity (HeLa cells, yeast organisms, E coli bacteria) to prove or disprove the stimulating action of low-intensity visible light are presented. The stimulation of DNA synthesis in HeLa cells was observed for four spectral intervals with maxima at near 400, 620, 680 and 760 nm. The red light stimulates the growth of yeast (Saccharomycodes ludwigii) and E coli in exponential growth phase. The action spectrum of monochromatic light on the growth of these organisms in the red region is very similar to that for HeLa cells."</t>
  </si>
  <si>
    <t>Kertesz</t>
  </si>
  <si>
    <t>Optics &amp; Laser Technology</t>
  </si>
  <si>
    <t>Hypothetical physical model for laser biostimulation</t>
  </si>
  <si>
    <t>"Coherent and polarized laser light has a special, and until now unexplained, effect on biological systems. This has been called biostimulation. A hypothetical model based on experimental facts to explain this effect is proposed. The substance of this model is that the polarized light reorders the polar heads of the lipid bilayer in the cell membrane, the lipid bilayer being near phase transition. This change in the quality of the cell membrane influences all the processes closely connected with it. These process modifications may yield an explanation for biostimulation."
Comment: This shows how much improvement has happened since the early 80's.</t>
  </si>
  <si>
    <t>Photobiology and photomedicine: the future is bright.</t>
  </si>
  <si>
    <t xml:space="preserve"> History of light therapy. Not related to PBM/LLLT.</t>
  </si>
  <si>
    <t>Lane (Nick)</t>
  </si>
  <si>
    <t>(none)</t>
  </si>
  <si>
    <t>Are mitochondria the alpha and omega of retinal disease?</t>
  </si>
  <si>
    <t>Retinal diseases</t>
  </si>
  <si>
    <t>Insulin resistance</t>
  </si>
  <si>
    <t>Magalhães</t>
  </si>
  <si>
    <t>Photobiomodulation Therapy on the Treatment of Insulin Resistance: A Narrative Review</t>
  </si>
  <si>
    <t>"In this narrative review, we focus on the available literature related to the effects of PBMT on IR."
"n fact, recent in vitro and in vivo studies have demonstrated improvements in IR in skeletal muscle, adipose tissue, and hepatic cells mediated by PBMT. Further, there is evidence that PBMT can potentiate exercise-induced improvement in IR through ameliorating mitochondrial dysfunction, reducing inflammation, and modulating oxidative stress. Moreover, reduced adiposity and altered gut microbiota also appear to mediate PBMT effects on IR."
"Although these results are exciting, randomized clinical trials are urgently needed to confirm the clinical relevance of PBMT in the treatment of IR."
"Finally, studies on PBMT parameters (e.g., dosimetry, wavelengths, single-point vs. full-body irradiation) are also necessary for the appropriate prescription of PBMT for the treatment of IR."</t>
  </si>
  <si>
    <t>Photobiomodulation therapy ameliorates hyperglycemia and insulin resistance by activating cytochrome c oxidase-mediated protein kinase B in muscle</t>
  </si>
  <si>
    <t>43.3</t>
  </si>
  <si>
    <t>"PBMT accelerated adenosine triphosphate (ATP) and reactive oxygen species (ROS) generation by elevating cytochrome c oxidase (CcO) activity. ROS-induced activation of phosphatase and tensin homolog (PTEN)/ protein kinase B (AKT) signaling after PBMT promoted glucose transporter GLUT4 translocation and glycogen synthase (GS) activation, accelerating glucose uptake and glycogen synthesis in skeletal muscle. CcO subunit III deficiency, ROS elimination, and AKT inhibition suppressed the PBMT effects of glucose metabolism in skeletal muscle.
This study indicated amelioration of glucose metabolism after PBMT in diabetic mouse models and revealed the metabolic regulatory effects and mechanisms of PBMT on skeletal muscle."</t>
  </si>
  <si>
    <t>Photobiomodulation reduces hepatic lipogenesis and enhances insulin sensitivity through activation of CaMKKβ/AMPK signaling pathway</t>
  </si>
  <si>
    <t>High-fat diet (HFD)
Dose response</t>
  </si>
  <si>
    <t>"We detected that eight-week daily administration of PBM ameliorated HFD-induced gain weight, hyperlipidemia, and hyperglycemia, but also protected against diet-induced hepatic steatosis and insulin resistance.
Furthermore, PBM increased AMP-activated protein kinase (AMPK) activation, lowered nuclear translocation of sterol regulatory element binding protein 1 (SREBP1), decreased aberrant lipogenesis, and enhanced insulin sensitive in HFD-induced mice livers.
We also observed that Ca2+/calmodulin-dependent protein kinase kinase β (CaMKKβ) activation was responsible for AMPK activation in insulin-resistant HepG2 cells exposed to PBM."</t>
  </si>
  <si>
    <t>Insulin resistance is improved in high-fat fed mice by photobiomodulation therapy at 630 nm.</t>
  </si>
  <si>
    <t>LED phototherapy
High-fat diet (HFD)</t>
  </si>
  <si>
    <t>31.19</t>
  </si>
  <si>
    <t>0.385
cm2
spot
size</t>
  </si>
  <si>
    <t>200
(5p)</t>
  </si>
  <si>
    <t>"In HFD-fed mice, PBMT improved glucose tolerance, insulin resistance, and fasting hyperinsulinemia. PBMT also reduced adiposity and inflammatory infiltrate in adipose tissue. 
Phosphorylation of Akt in epididymal adipose tissue and rectus femoralis muscle was improved by PBMT. In epididymal fat PBMT reversed the reduced phosphorylation of AS160 and the reduced Glut4 content. In addition, PBMT reversed the alterations caused by HFD in rectus femoralis muscle on proteins involved in mitochondrial dynamics and β-oxidation. 
In conclusion, PBMT at red spectrum improved insulin resistance and glucose metabolism in HFD-fed mice."</t>
  </si>
  <si>
    <t>Lipids</t>
  </si>
  <si>
    <t>Sena</t>
  </si>
  <si>
    <t>Can the use of photobiomodulation for localized fat reduction induce changes in lipid profile? A critical integrative review</t>
  </si>
  <si>
    <t>"A total of 15 articles were critically analyzed. The wavelength used ranged from 532 nm (green) to 956 nm (near infrared), and many authors failed to describe dosimetric parameters properly, as well as other important characteristics for the reproducibility of those found. Although it is not fully clear about the PBM interference level on the lipid profile, in general, there was no significant difference in lipid parameters when PBM was used alone, and when associated with techniques that promote beta-oxidation, there was an improvement in these biochemical variables. 
PBM use for localized fat reduction do not affect lipid serum levels."</t>
  </si>
  <si>
    <t>Brazil
(Montes Claros)</t>
  </si>
  <si>
    <t>Light-emitting diode (LED) photobiomodulation regulates thermogenesis and lipogenesis markers in adipose tissue and improves anthropometric and metabolic parameters in obese mice</t>
  </si>
  <si>
    <t>0.0481</t>
  </si>
  <si>
    <t>5.77</t>
  </si>
  <si>
    <t>6
/ 21 days</t>
  </si>
  <si>
    <t>"There was a 33.3% and 23.8% reduction in epidydimal adipose tissue weight and a 25% and 10.7% in the visceral adiposity for the LED + I and LED + A groups, respectively, when compared with HCD. 
There was a decreased accumulation of fat droplets in adipose tissue in LED + A and LED + I groups. 
Additionally, LED irradiation was associated with increased mRNA expression of uncoupling protein 1 (UCP1) in the brown adipose tissue (ST: 2.27 ± 0.19; HCD: 1.54 ± 0.12; LED + I: 2.44 ± 0.22; p = 0.014) and decreased fatty acid synthetase (FAS) expression in epidydimal adipose tissue (ST: 0.79 ± 0.13; HCD: 1.59 ± 0.13; LED + A: 0.85 ± 0.04; p = 0.0008). 
LED treatment improved anthropometric parameters, possibly associated with the histological alterations, thermogenesis and lipogenesis markers in white adipose tissue, and expression modulation in brown adipose tissue."</t>
  </si>
  <si>
    <t>Weight loss</t>
  </si>
  <si>
    <t>Elsayed</t>
  </si>
  <si>
    <t>Effect of laser biostimulation and a low-calorie diet vs. a low-calorie diet alone on insulin resistance, inflammatory biomarkers, and depression among obese postmenopausal women: a randomized controlled trial</t>
  </si>
  <si>
    <t>🧑 Human
🎲 Randomized trial
👥 66 participants
⌛ 12 weeks</t>
  </si>
  <si>
    <t>"Using an intention-to-treat analysis for 60 women who completed the study, the body weight average reduction was -13.14% for the experimental group (p&lt;0.001) vs. -6.36% for the control group (p&lt;0.001). BMI, IR, inflammatory markers, and depression levels were also similarly changed."
Comment: Parameters not reported anywhere in the full text.</t>
  </si>
  <si>
    <t>Device: "The experimental group received LB via a non-invasive laser watch that radiated photobiology infrared laser waves through bilateral nasal probes and specific wrist acupuncture point stimulation without registering any identified hazards after the intervention, which was operated according to the parameters shown in Table I."</t>
  </si>
  <si>
    <t>Micro-organisms</t>
  </si>
  <si>
    <t>Amoeba: Dictyostelium discoideum</t>
  </si>
  <si>
    <t>Ferrando</t>
  </si>
  <si>
    <t>The 808 nm and 980 nm infrared laser irradiation affects spore germination and stored calcium homeostasis: A comparative study using delivery hand-pieces with standard (Gaussian) or flat-top profile.</t>
  </si>
  <si>
    <t>Amoeba (Dictyostelium discoideum)</t>
  </si>
  <si>
    <t>Mechanisms
Stored calcium</t>
  </si>
  <si>
    <t>808
980</t>
  </si>
  <si>
    <t>"For many years the concept of photobiomodulation and its outcome has been based upon a belief that the sole receptor within the cell was the mitochondrion and only the action of light at a low intensity and fluence would affect the cells"
"When amoebae are in a spore status, they have an almost-inactive filamentous mitochondrion and the spore germination pathway is characterized by a modulation of intracellular Ca2+ homeostasis."
"The 808 nm and 980 nm infrared laser light, at the energy tested directly affect the stored Ca2+ homeostasis, independent of the mitochondrial respiratory chain activities. From an organism perspective, the effect on Ca2+-dependent signal transduction as the regulator of spore germination in Dictyostelium, demonstrates how a cell can respond quickly to the correct laser photonic stimulus through a different cellular pathway than the known light-chromophore(mitochondria) interaction."
Comment: This might be an important paper because mechanisms independent of cytochrome oxidase are being investigated.</t>
  </si>
  <si>
    <t>Low-power lasers on bacteria: stimulation, inhibition, or effectless?</t>
  </si>
  <si>
    <t>"There are experimental data suggesting exposure to radiations emitted by low-power lasers either induces stimulation, inhibition, or it is effectless on bacterial cultures. Thus, this review aimed to carry out a review of studies and to propose a hypothesis to explain why exposure to low-power lasers could stimulate, inhibit, or have no effect on bacteria."
"The experimental data suggest that keys for determining laser-induced effects on bacteria are specific physical laser and biological parameters. Final consequence on bacterial cells could depend on exposure to low-power laser which could either cause more stimulation of endogenous photoacceptors, more excitation of endogenous photosensitizers, or a balance between such effects."</t>
  </si>
  <si>
    <t>J Periodontal Implant Sci</t>
  </si>
  <si>
    <t>In vitro investigation of the antibacterial and anti-inflammatory effects of LED irradiation</t>
  </si>
  <si>
    <t>Bacteria
+ 🧪 In vitro</t>
  </si>
  <si>
    <t>470
525
590
630
850</t>
  </si>
  <si>
    <t>"LED irradiation at 470 nm showed bactericidal effects, while LED irradiation at 525 and 630 nm showed preventive and treatment effects on LPS-induced RAW 264.7 inflammation."</t>
  </si>
  <si>
    <t>Bacteria: A faecalis</t>
  </si>
  <si>
    <t>Chemosphere</t>
  </si>
  <si>
    <t>Mutant AFM 2 of Alcaligenes faecalis for phenol biodegradation using He-Ne laser irradiation.</t>
  </si>
  <si>
    <t>Bacteria (A. faecalis)</t>
  </si>
  <si>
    <t>Mutagenic red light irradiation</t>
  </si>
  <si>
    <t>5-
25</t>
  </si>
  <si>
    <t>"The results showed that the survival rate changed regularly with the variety of irradiation dose, and high positive mutation frequency was determined by both the energy density and the output power. The mutant strain AFM 2 was obtained."</t>
  </si>
  <si>
    <t>Bacteria: E aerogenes</t>
  </si>
  <si>
    <t>Int J Hydrog Energy</t>
  </si>
  <si>
    <t>Effect of He–Ne laser irradiation on hydrogen production by Enterobacter aerogenes</t>
  </si>
  <si>
    <t>Bacteria (E. aerogenes)</t>
  </si>
  <si>
    <t>""Low-power He–Ne laser irradiation becomes an attractive and preferable method to mutate the microorganisms [21,22].""
"Upon the optimum irradiation dosage (18 mW for 22.2 min), a stable positive mutant strain E. aerogenes HB-5M was obtained."</t>
  </si>
  <si>
    <t>Bacteria: E coli</t>
  </si>
  <si>
    <t>da Fonseca Iwahar</t>
  </si>
  <si>
    <t>Low-Power Red and Infrared Laser Effects on Cells Deficient in DNA Repair.</t>
  </si>
  <si>
    <t>Bacteria (E. coli)</t>
  </si>
  <si>
    <t>"Laser irradiation: (i) did not affect cell viability of non-mutant and lexA - cells but decreased viability in recA - cultures; (ii) altered morphology of wild type and lexA, depending on the energy density, power, emission mode, and wavelength. "</t>
  </si>
  <si>
    <t>Teixeira</t>
  </si>
  <si>
    <t>Low-level lasers and mRNA levels of reference genes used in Escherichia coli</t>
  </si>
  <si>
    <t>"Although mRNA levels from arcA, gyrA or rpoA genes presented no significant variations trough a traditional statistical analysis, Excel-based tools revealed that these reference genes are not suitable for E. coli cultures exposed to lasers. Our data showed that exposure to low-level red and infrared lasers at different fluences alter the mRNA levels from arcA, gyrA and rpoA in E. coli cells."</t>
  </si>
  <si>
    <t>Roos</t>
  </si>
  <si>
    <t>The effects of a low-intensity red laser on bacterial growth, filamentation and plasmid DNA</t>
  </si>
  <si>
    <t>"A low-intensity red laser at the low fluences used in phototherapy has no effect on growth, but induces filamentation and alters the topological forms of plasmid DNA in E. coli cultures depending on the DNA repair mechanisms."</t>
  </si>
  <si>
    <t>Kohli &amp; Gupta</t>
  </si>
  <si>
    <t>Irradiance dependence of the He-Ne laser-induced protection against UVC radiation in E. coli strains.</t>
  </si>
  <si>
    <t>Ultraviolet radiation</t>
  </si>
  <si>
    <t>"He-Ne laser pre-irradiation-induced protection against UVC damage was investigated in wild-type E. coli K12 strain AB1157 and its isogenic DNA repair mutant strains."</t>
  </si>
  <si>
    <t>Induction of phr gene expression in E. coli strain KY706/pPL-1 by He-Ne laser (632.8 nm) irradiation.</t>
  </si>
  <si>
    <t>"We have observed that He-Ne laser irradiation of E. coli strain KY706/pPL-1 leads to induction of photolyase gene, phr. The magnitude of induction was found to depend on the He-Ne laser fluence, fluence rate and post-irradiation incubation period in the nutrient medium."
"Photoreactivation studies carried out after UVC exposure of both the He-Ne laser-exposed as well as unexposed cells showed a larger surviving fraction in the He-Ne laser pre-irradiated cells."</t>
  </si>
  <si>
    <t>Lage</t>
  </si>
  <si>
    <t>Non-coherent visible and infrared radiation increase survival to UV (254 nm) in Escherichia coli K12.</t>
  </si>
  <si>
    <t>Ultraviolet radiation
Wavelength comparison</t>
  </si>
  <si>
    <t>446
466
570
685</t>
  </si>
  <si>
    <t>"Pre-illumination with non-coherent monochromatic 446, 466, 570 and 685 nm radiation, as well as with polychromatic red and IR radiation at room temperature, leads to increased cell survival after a subsequent irradiation with UV light. In the thermic range of the spectrum (red and IR), IR but not red light pre-treatment is able to increase cell survival to a subsequent lethal heat (51 degrees C) challenge, suggesting that increased UV survival may be due to IR-induced heat-shock response. On the other hand, visible-light-induced resistance may be due to a different mechanism, possibly involved with unknown bacterial light receptors."</t>
  </si>
  <si>
    <t>Radiat Res</t>
  </si>
  <si>
    <t>Helium-neon laser preirradiation induces protection against UVC radiation in wild-type E. coli strain K12AB1157.</t>
  </si>
  <si>
    <t>Ultraviolet-induced damage</t>
  </si>
  <si>
    <t>"We have observed that preirradiation with a helium-neon laser (632.8 nm) induces protection against UVC radiation in wild-type E. coli strain K12AB1157. The magnitude of protection was found to depend on the helium-neon laser irradiance, exposure time, and period of incubation between helium-neon laser exposure and subsequent UVC irradiation. The optimum values for dose, irradiance and interval between the two exposures were found to be 7 kJ/m(2), 100 W/m(2) and 1 h, respectively. The possible involvement of singlet oxygen in the helium-neon laser-induced protection is also discussed."</t>
  </si>
  <si>
    <t>Role of ground and excited singlet state oxygen in the red light-induced stimulation of Escherichia coli cell growth.</t>
  </si>
  <si>
    <t>"Irradiation of selected Escherichia coli defective strains with red-light induces a stimulation of the cell growth rate. Such effect is wavelength-dependent and is accompanied by a transient increase of the cell volume and some enzymic activities. The presence of oxygen appears to be essential for the occurrence of a significant photostimulatory effect. The results obtained upon irradiation in the presence of quenchers (tryptophan, histidine, azide) or enhancers (deuterium oxide) of singlet oxygen (1O2) strongly suggest that this activated oxygen derivative is generated by excitation of endocellular chromophores (possibly cytochromes). The reaction of 1O2 with nearby cellular targets could induce a sublethal cell damage which in turn promotes an accelerated cell metabolism."
Comment: The discussion section provides a good overview on the suggested mechanisms.</t>
  </si>
  <si>
    <t>Two different mechanisms of low-intensity laser photobiological effects on Escherichia coli.</t>
  </si>
  <si>
    <t>633
1066
1286</t>
  </si>
  <si>
    <t>"Bacterial suspensions in a phosphate buffer were irradiated at wavelengths lambda of 632.8, 1066 and 1286 nm, incubated in Hottinguer broth for 60 min and assayed for viability by the standard surface-plating technique. The difference between the number of viable cells in the irradiated culture and the control was termed growth stimulation. Irradiation of the bacteria with an He-Ne laser (632.8 nm) or semiconductor lasers at 1066 and 1286 nm at various intensities and irradiation times produced two maxima in the growth stimulation vs. dose curve. The first maximum, in all cases, occurred near 50 J m-2, and the reciprocity law was obeyed. The second maximum occurred at an irradiation time of 100 s irrespective of the particular radiation intensity, and the reciprocity law was not obeyed. It is assumed that two different mechanisms are responsible for these two maxima in the growth stimulation vs. dose curve."</t>
  </si>
  <si>
    <t>Daniels &amp; Quickenden</t>
  </si>
  <si>
    <t>Australia
(Nedlands)</t>
  </si>
  <si>
    <t>Does low-intensity He-Ne laser radiation produce a photobiological growth response in Escherichia coli?</t>
  </si>
  <si>
    <t>"Bacterial growth in irradiated and control cultures was monitored during a growth period of ca 2 h using a viable count technique after inocula in the early exponential phase had been diluted with fresh growth medium.
These results do not provide support for the work of Karu et al. (1983, Nuov. Cim. 2D, 1138-1144), and Tiphlova and Karu (1988, Photochem. Photobiol. 48, 467-471), which appear to show substantial enhancement of E. coli growth under these conditions."</t>
  </si>
  <si>
    <t>Bertoloni</t>
  </si>
  <si>
    <t>Biochemical and morphological changes in Escherichia coli irradiated by coherent and non-coherent 632.8 nm light</t>
  </si>
  <si>
    <t>"Irradiation of Escherichia coli cells with either coherent or non-coherent 632.8 nm light (4 J cm−2) causes a transient acceleration of cell proliferation, which is maximal about 60 min after the end of the phototreatment. The stimulatory effect is dose dependent and is especially evident in the case of defective E. coli strains which are in the logarithmic phase of growth, while it becomes less important when cells are exposed to non-coherent 600–700 nm light. Stimulated cells exhibit biochemical and morphological changes, such as an intensified synthesis of cytoplasmic membrane proteins, increased cell volume and ribosomal content, which are suggestive of an enhanced cell metabolism."</t>
  </si>
  <si>
    <t>Comparison of the effects of visible femtosecond laser pulses and continuous wave laser radiation of low average intensity on the clonogenicity of Escherichia coli.</t>
  </si>
  <si>
    <t>620
633</t>
  </si>
  <si>
    <t>"The irradiation dose required to produce a similar biological effect (a 160%-190% increase in the clonogenic activity of the irradiated cells compared with the non-irradiated controls) is a factor of about 10(3) lower for pulsed radiation than for CW radiation (3.3 X 10(-1) and 7.8 X 10(2) J cm-2 respectively)."
"The minimum size of the microregions transiently heated on irradiation with femtosecond laser pulses is estimated to be about 10 Å, which corresponds to the size of the chromophores of hypothetical primary photoacceptors—respiratory chain components."</t>
  </si>
  <si>
    <t>Tiphlova &amp; Karu</t>
  </si>
  <si>
    <t>Crit Rev Biomed Eng</t>
  </si>
  <si>
    <t>Action of low-intensity laser radiation on Escherichia coli.</t>
  </si>
  <si>
    <t>"The review deals with quantitative laws of monochromatic visible light action on the cellular level, as well as with the primary photoacceptors and possible light signal transduction chains in bacterial cell Escherichia coli WP2 trp-. Experiments described in this paper are a part of experimental work performed for explaining the molecular mechanism of low-intensity laser therapy. The existence of certain parameters of light (dose, intensity, pulse repetition rate, monochromaticity within the absorbtion bandwidth of biomolecules) for stimulation of E. coli WP2 metabolism has been established. The necessity for a certain physiological state of bacteria cells sensitive to irradiation has been shown. The sensitivity of bacteria to irradiation with monochromatic visible light has been proposed to be a delta pH-dependent genetic process."</t>
  </si>
  <si>
    <t>Role of primary photoacceptors in low-power laser effects: action of He-Ne laser radiation on bacteriophage T4-Escherichia coli interaction.</t>
  </si>
  <si>
    <t>"The effect of He-Ne laser radiation (lambda = 632.8 nm) on bacteriophage T4-Escherichia coli WP2 interactions was studied. Irradiation of bacteria having respiratory chain components as primary photoacceptors accelerated their division in a dose-dependent manner, but irradiation had no effect on the properties of the phage (measured as its ability to infect host cells). At the same time, exposure of bacteria to stimulating doses of He-Ne laser radiation (from 10(3) to 6 x 10(4) J/m2) increased their ability to promote the growth of unexposed phages. These results clearly indicate that low-power laser effects require primary photoacceptors (phage contains no chromophores for red light)."</t>
  </si>
  <si>
    <t>Stimulation of Escherichia coli division by low-intensity monochromatic visible light.</t>
  </si>
  <si>
    <t>Incoherent light (except 633)
Wavelength comparison</t>
  </si>
  <si>
    <t>364
404
434
454
484
520
560
570
599
619
630
633
640
693
730
750</t>
  </si>
  <si>
    <t>"Bacterial suspensions in a phosphate buffer were irradiated at 364, 404, 434, 454. 484, 520, 560. 570, 599, 619, 630, 633, 640, 693, 730 and 750 nm, incubated in Hottinguer broth, and assayed for viability by the standard surface plating technique. When irradiated at 404, 454, 560, 619, and 750 nm. the cells started dividing more rapidly, the growth stimulation effect reaching 170-180% 60 min after irradiation. The shape of the action spectrum and the reduced-minus-oxidized difference spectrum of the bacterial suspensions suggest that respiratory chain components of the bacterium such as dehydrogenases and cyt d might be the photoacceptors involved. The growth stimulation effect is believed to be due to the ability of the irradiation-activated respiratory chain to produce the necessary pH gradient more rapidly, thus enabling the cells to start dividing earlier."</t>
  </si>
  <si>
    <t>"Radiation at 484, 520, 560, 570, 619, 630, 640, 6Y3, and 750 2 50 nm was obtained from a t50-W iodine incandescent lamp placed in combination with interference filters, as described elsewhere (Karu er al., 1981), so that the bandwidth was from 5 to 18 nm full width half maximum. Radiation at 632.8 nm was obtained from a He-Ne laser (Spectra Physics model 125 A). The hence rates were measured using a power meter (Spectra Physics model 404). "</t>
  </si>
  <si>
    <t>Tiflova &amp; Karu</t>
  </si>
  <si>
    <t>Mikrobiologiia</t>
  </si>
  <si>
    <t>[The effect of low-intensity light from the red and far red regions of the spectrum on Escherichia coli]. [Article in Russian]</t>
  </si>
  <si>
    <t>"The effect of red and far red light having a low intensity on Escherichia coli growth was studied. The growth accelerated when the culture was irradiated with the light at a dose of 1--4 X 10(3) J/m2. When the light of the two spectral regions was used together, the effect depended on the dose and order of the irradiation. It is possible that receptors for red light and for far red light interact in E. coli cells."</t>
  </si>
  <si>
    <t>Karu &amp; Tiflova</t>
  </si>
  <si>
    <t>[Effect of low-intensity monochromatic visible light on the growth of Escherichia coli cultures]. [Article in Russian]</t>
  </si>
  <si>
    <t>404
454
520-
560
633
700-
750</t>
  </si>
  <si>
    <t>"The goal of this work was to study the effect of monochromatic visible light having a low intensity on Escherichia coli WP2 growth. The growth was accelerated by violet light (lambda = 404 nm) at a dose of 10--100 J/m2 and by blue (lambda = 454 nm), green (lambda = 520 to 560 nm), red (lambda = 633 nm) and far red light (lambda = 700 to 750 nm) at a dose of 10(3)--10(4) J/m2). 
The components of E. coli respiration chain may be primary photoreceptors in the cells."</t>
  </si>
  <si>
    <t>Stimulation of E. coli growth by laser and incoherent red light</t>
  </si>
  <si>
    <t>"The effect of low-intensity He−Ne laser radiation (λ=632.8 nm) and incoherent red light on DNA synthesis and cell division in Escherichia coli has been studied. It has been shown that the radiations of He−Ne laser (λ=632.8 nm) and filament lamp (λ=(631±4) nm) stimulate DNA synthesis and cell growth at doses of 103 to 104 J/m2. The highest level of DNA synthesis is observed 10 min after irradiation and the difference in the numbers of irradiated and control cells is maximum 1 or 2 h after irradiation. The action spectrum of visible light on the growth rate of E. coli cells (from 560 nm to 640 nm) has been measured. The action spectrum has its maximum at (620±7) nm."</t>
  </si>
  <si>
    <t>Bacteria: Multiple strains</t>
  </si>
  <si>
    <t>Assunção</t>
  </si>
  <si>
    <t>Inhibition of bacterial growth through LED (light-emitting diode) 465 and 630 nm: in vitro</t>
  </si>
  <si>
    <t>Bacteria (S aureus; P aeruginosa; E coli)</t>
  </si>
  <si>
    <t>"We conclude that different bacterial strains were reduced into colony-forming units after LED irradiation."</t>
  </si>
  <si>
    <t>Red and infrared laser therapy inhibits in vitro growth of major bacterial species that commonly colonize skin ulcers.</t>
  </si>
  <si>
    <t>Bacteria (E coli; P aeruginosa; S aureus)</t>
  </si>
  <si>
    <t>660
830
904</t>
  </si>
  <si>
    <t>"Laser irradiation inhibited the growth of S. aureus at all wavelengths and fluences higher than 12 J/cm(2), showing a strong correlation between increase in fluence and bacterial inhibition. However, for P. aeruginosa, LLLT inhibited growth at all wavelengths only at a fluence of 24 J/cm(2). E. coli had similar growth inhibition at a wavelength of 830 nm at fluences of 3, 6, 12, and 24 J/cm(2). At wavelengths of 660 and 904 nm, growth inhibition was only observed at fluences of 12 and 18 J/cm(2), respectively. 
LLLT inhibited bacterial growth at all wavelengths, for a maximum of 72 h after irradiation, indicating a correlation between bacterial species, fluence, and wavelength."</t>
  </si>
  <si>
    <t>In vitro bactericidal effects of 625, 525, and 425 nm wavelength (red, green, and blue) light-emitting diode irradiation.</t>
  </si>
  <si>
    <t>Bacteria (E coli; S aureus; P gingivalis)</t>
  </si>
  <si>
    <t>Wavelength comparison
Blue light 🔵
Green light 🟢</t>
  </si>
  <si>
    <t>425
525
625</t>
  </si>
  <si>
    <t>"Irradiation at 625 nm light was not bactericidal to S. aureus, E. coli, and P. gingivalis, whereas wavelengths of 425 and 525 nm had bactericidal effects. S. aureus was also killed at 525 nm."</t>
  </si>
  <si>
    <t>Dadras</t>
  </si>
  <si>
    <t>Curr Microbiol</t>
  </si>
  <si>
    <t>Different photoresponses of Staphylococcus aureus and Pseudomonas aeruginosa to 514, 532, and 633 nm low level lasers in vitro.</t>
  </si>
  <si>
    <t>Bacteria (S aureus; P aeruginosa)</t>
  </si>
  <si>
    <t>Wavelength comparison
Green light 🟢</t>
  </si>
  <si>
    <t>514
532
633</t>
  </si>
  <si>
    <t>"All energy densities of Ar ion laser showed a proliferative effect on Pseudomonas aeruginosa and inhibitory effect on Staphylococcus aureus. Similarly, SHG Nd:YAG and He-Ne lasers with chosen energy densities were again proliferating for Pseudomonas aeruginosa and inhibitory for Staphylococcus aureus and SHG Nd:YAG was more effective than He-Ne in both cases."</t>
  </si>
  <si>
    <t>Nussbaum</t>
  </si>
  <si>
    <t>Effects of low-level laser therapy (LLLT) of 810 nm upon in vitro growth of bacteria: relevance of irradiance and radiant exposure.</t>
  </si>
  <si>
    <t>"LLLT effects varied significantly with species. 
P.aeruginosa growth decreased overall dependent on an interaction of irradiance and radiant exposure; greatest inhibition was produced using high irradiance delivering radiant exposures in the range of 1-20 J/cm2 (p = 0.001-0.04). 
In contrast, E. coli growth increased overall (p = 0.01), regardless of irradiance; greatest effects were produced using low radiant exposures (1-20 J/cm2). 
There was a main effect for irradiance (p = 0.03) on S. aureus growth; however, growth was not different compared with controls. 
Additional analysis showed that there were differences in growth of P.aeruginosa when comparing samples that were matched by exposure times (66, 329, 658, 1316, 1974, and 2632 sec) rather than radiant exposure; this suggests that irradiance rather than exposure time was the significant factor in P. aeruginosa inhibition."</t>
  </si>
  <si>
    <t>Effects of 810 nm laser irradiation on in vitro growth of bacteria: comparison of continuous wave and frequency modulated light.</t>
  </si>
  <si>
    <t>"Bacterial growth increased overall, independent of species, using continuous mode laser, significantly so at 1 J/cm(2) (P = 0.02). Analysis of individual species demonstrated that laser-mediated growth of S. aureus and E. coli was dependent on pulse frequency; for S. aureus, however, there was no effect for different radiant exposures. Further tests to examine the radiant exposure effects on E. coli showed that growth increased at a frequency of 1000 Hz (2 J/cm(2); P = 0.03). P. aeruginosa growth increased up to 192% using pulsed irradiation at 1000-3800 Hz; whereas 26-292 Hz laser produced only a growth trend."</t>
  </si>
  <si>
    <t>Effects of 630-, 660-, 810-, and 905-nm laser irradiation delivering radiant exposure of 1-50 J/cm2 on three species of bacteria in vitro.</t>
  </si>
  <si>
    <t>630
660
810
905</t>
  </si>
  <si>
    <t>1-
50</t>
  </si>
  <si>
    <t>"There were interactions between wavelength and species (p = 0.0001) and between wavelength and radiant exposure (p = 0.007) in the overall effects on bacterial growth; therefore, individual wavelengths were analyzed. Over all types of bacteria, there were overall growth effects using 810- and 630-nm lasers, with species differences at 630 nm. Effects occurred at low radiant exposures (1-20 J/cm(2)). Overall effects were marginal using 660 nm and negative at 905 nm. Inhibition of P. aeruginosa followed irradiation using 810 nm at 5 J/cm(2) (-23%; p = 0.02). Irradiation using 630 nm at 1 J/cm(2) inhibited P. aeruginosa and E. coli (-27%). Irradiation using 810 nm (0.015 W/cm(2)) increased E. coli growth, but with increased irradiance (0.03 W/cm(2)) the growth was significant (p = 0.04), reaching 30% at 20 J/cm(2) (p = 0.01). S. aureus growth increased 27% following 905-nm irradiation at 50 J/cm(2)."</t>
  </si>
  <si>
    <t>Activation of Metabolism of Nonphotosynthesizing Microorganisms with Monochromatic Visible (Laser) Light: A Critical Review</t>
  </si>
  <si>
    <t>"The light-growth responses of Escherichia coli WP2 tip- and yeasts Torulopsis sphearica, Saccharomycodes ludwigii,Saccharomyces cerevisiae 14, Candida mallosa, Candida boidinii, and Endomyces magnusii have been reviewed. The photosensitivity of these nonphotosynthesizing microorganisms to monochromatic bands of visible light depends on light parameters (wavelength, intensity, dose, pulse repetition rate) as well as on metabolic state of the cells. Irradiation with a He-Ne laser (λ = 632.8 nm) was also found to increase the number of germinated and outgrown endospores of Anaerobacter polyendosporus.</t>
  </si>
  <si>
    <t>Bacteria: Pantoea agglomerans</t>
  </si>
  <si>
    <t>Thomé</t>
  </si>
  <si>
    <t>Dichromatic and monochromatic laser radiation effects on antibiotic resistance, biofilm formation, and division rate of Pantoea agglomerans</t>
  </si>
  <si>
    <t>Bacteria (Pantoea agglomerans)</t>
  </si>
  <si>
    <t>"The data showed no changes in the areas of the colonies, but dichromatic laser radiation decreased biofilm formation, while a monochromatic red laser at low dose increased biofilm formation and infrared at high dose decreased antibiotic resistance to ampicillin. LLLT modulates antibiotic resistance and biofilm formation of P. agglomerans, but these depend on the laser irradiation parameters, since dichromatic laser radiation induces biological effects that differ from those induced by monochromatic laser radiation."</t>
  </si>
  <si>
    <t>Bacteria: S aureus</t>
  </si>
  <si>
    <t>In vitro analysis of bacterial morphology by atomic force microscopy of low level laser therapy 660, 830 and 904 nm.</t>
  </si>
  <si>
    <t>Bacteria (S aureus)</t>
  </si>
  <si>
    <t>"LLLT reduced the growth of S. aureus with 830 and 904 nm wavelengths, particularly with 904 nm at a fluence of 3 J/cm(2), where the greatest topographical changes of the cell structure occurred."</t>
  </si>
  <si>
    <t>Bacteria: S mutans</t>
  </si>
  <si>
    <t>Kisuk</t>
  </si>
  <si>
    <t>Effects of low incident energy levels of infrared laser irradiation on the proliferation of streptococcus mutans</t>
  </si>
  <si>
    <t>Bacteria (S mutans)</t>
  </si>
  <si>
    <t>"Conclusions based on the results for this study were as follows: (l) Gallium-arsenide laser irradiation at LLLT levels stimulated the increase of bacterial growth. (2) The rate of increase of bacteria did not coincide with that of laser fluence and the biostimulative effect of LLLT on bacterial cells was most effective when the energy fluence was at 337.0 mJ at the parameters in this study."</t>
  </si>
  <si>
    <t>Protozoa: Paramecium</t>
  </si>
  <si>
    <t>Eur J Protistol</t>
  </si>
  <si>
    <t>Short-pulse neodymium:yttrium-aluminium garnet (Nd:YAG 1064nm) laser irradiation photobiomodulates mitochondria activity and cellular multiplication of Paramecium primaurelia (Protozoa).</t>
  </si>
  <si>
    <t>Protozoa</t>
  </si>
  <si>
    <t>500
750
1000
1250
1500</t>
  </si>
  <si>
    <t>"Our results suggest that only the parameter 0.5W, 10Hz, 100msp, 30J/cm2 positively photobiomodulates the Paramecium cells inducing an increment in oxygen consumption, endogenous ATP synthesis and fission rate rhythm. 
Applying the laser energy with parameters of 1.25W, 10Hz, 100msp, 75J/cm2 and 1.50W, 10Hz, 100msp, 90J/cm2, induce adverse effect on the Paramecium cells, which protect themselves through the increase in Heat Shock Protein-70 (HSP70). 
The data presented in our work support our assumption that, when using appropriate parameters of irradiation, the 1064nm Nd:YAG laser with flat-top handpiece could be a valuable aid for effective clinical application of PBM."</t>
  </si>
  <si>
    <t>Photobiomodulation by Infrared Diode-Laser: Effects on Intracellular Calcium Concentration and Nitric Oxide Production of Paramecium.</t>
  </si>
  <si>
    <t>Calcium release by 980nm
Wavelength comparison</t>
  </si>
  <si>
    <t>808
980</t>
  </si>
  <si>
    <t>6.4
32
64
96</t>
  </si>
  <si>
    <t>"Lastly, the 980nm and 64J/cm2 or 96J/cm2 were the only parameters to induce a release of stored calcium."</t>
  </si>
  <si>
    <t>808-nm laser therapy with a flat-top handpiece photobiomodulates mitochondria activities of Paramecium primaurelia (Protozoa).</t>
  </si>
  <si>
    <t>"Our results suggest that thanks to flat-top handpiece we used, high fluences by high-powered laser have to be reconsidered as an effective and non-invasive therapy. Possible associated benefits of deeper tissue penetration would increase treatment effectiveness and reduced irradiation time."</t>
  </si>
  <si>
    <t>Altern Lab Anim</t>
  </si>
  <si>
    <t>The protozoan, Paramecium primaurelia, as a non-sentient model to test laser light irradiation: The effects of an 808nm infrared laser diode on cellular respiration.</t>
  </si>
  <si>
    <t>808nm LLLT increased oxygen consumption of protozoa by 40%.</t>
  </si>
  <si>
    <t>Paramecium: a promising non-animal bioassay to study the effect of 808 nm infrared diode laser photobiomodulation.</t>
  </si>
  <si>
    <t>64</t>
  </si>
  <si>
    <t>"The 808 nm infrared diode laser light, at the irradiation parameters used in our work, results in a precocious fission rate in P. primaurelia cells, probably through an increase in metabolic activity, secondary to an energy transfer."</t>
  </si>
  <si>
    <t>Effect of 808 nm Diode Laser on Swimming Behavior, Food Vacuole Formation and Endogenous ATP Production of Paramecium primaurelia (Protozoa).</t>
  </si>
  <si>
    <t>"(1) the 808 nm laser stimulates the P. primaurelia without a thermal effect,
(2) the laser effect is demonstrated by an increase in swimming speed and in food vacuole formation,
(3) the laser treatment affects endogenous adenosine triphosphate (ATP) production in a positive way,
(4) the effects of irradiation dose suggest an optimum exposure time of 50 s (64 J cm(-2) of fluence) to stimulate the Paramecium cells; irradiation of 25 s shows no effect or only mild effects and irradiation up to 100 s does not increase the effect observed with 50 s of treatment,
(5) the increment of endogenous ATP concentration highlights the positive photobiomodulating effect of the 808 nm laser and the optimal irradiation conditions by the flat-top handpiece."</t>
  </si>
  <si>
    <t>Koutna</t>
  </si>
  <si>
    <t>Czech Republic
(Brno)</t>
  </si>
  <si>
    <t>Effects of low-power laser irradiation on cell locomotion in protozoa.</t>
  </si>
  <si>
    <t>Cell locomotion
Wavelength comparison</t>
  </si>
  <si>
    <t>650
830</t>
  </si>
  <si>
    <t>"Exposure to laser light, regardless of the wavelength, resulted in increased cell velocity in both species (P &lt;0.001).
Exposure to 650 nm produced an equal increase in median cell velocity in both E. gracilis (19.0%) and T. thermophila (18.2%), and some increase persisted in the postirradiation 30 s period. Irradiation by the 830 nm laser resulted in a markedly higher response in Tetrahymena (29.4%) than in Euglena (15.2%), and the two median values remained increased after irradiation was discontinued.
Different reactions found in the species studied and some mechanisms underlying the response of cells to radiation are discussed."</t>
  </si>
  <si>
    <t>Yeast</t>
  </si>
  <si>
    <t>Fedoseyeva</t>
  </si>
  <si>
    <t>Effect of the He-Ne Laser Radiation on the Reproduction Rate and Protein Synthesis of the Yeast</t>
  </si>
  <si>
    <t>Yeast (Endomyces magnusii &amp; Torulopsis sphaerica)</t>
  </si>
  <si>
    <t>"The synthesis of protein in E. magnusii was activated in dose range from 0.42 to 0.84 J/cm2 with maximum at 0.63 J/cm2. In T. sphaerica the maximal activation took place at 0.42 J/cm2. The lag-period was not changed, but the exponential period of the growth was reduced by 1.5 hours for irradiated cells."</t>
  </si>
  <si>
    <t>Yeast: Candida</t>
  </si>
  <si>
    <t>Clemente</t>
  </si>
  <si>
    <t>Italy
(Firenze)</t>
  </si>
  <si>
    <t>Eur J Clin Microbiol Infect Dis</t>
  </si>
  <si>
    <t>Effects of near-infrared laser radiation on the survival and inflammatory potential of Candida spp. involved in the pathogenesis of chemotherapy-induced oral mucositis.</t>
  </si>
  <si>
    <t>Yeast (Candida species)</t>
  </si>
  <si>
    <t>"Laser treatment altered the survival and inflammatory potential of pathogenic Candida spp. These data provide experimental support to the use of NIR laser radiation as a co-adjuvant of antifungal therapy in patients with oral mucositis (OM) complicated by Candida infections."</t>
  </si>
  <si>
    <t>Yeast: Candida albicans</t>
  </si>
  <si>
    <t>Grzech-Leśniak</t>
  </si>
  <si>
    <t>Effects of Nd:YAG laser irradiation on the growth of Candida albicans and Streptococcus mutans: in vitro study.</t>
  </si>
  <si>
    <t>Yeast (Candida albicans)</t>
  </si>
  <si>
    <t>"Macroscopic and microscopic analyses revealed a reduction in cell number and a significant decrease of cell metabolism after laser application for both C. albicans and S. mutans."</t>
  </si>
  <si>
    <t>Spie Proc Vol 9695 [Conference proceedings]</t>
  </si>
  <si>
    <t>Effect of Low-Level Laser therapy on the fungal proliferation of Candida albicans</t>
  </si>
  <si>
    <t>"Six Candida albicans strains that had been isolated from immunosuppressed patients were divided into a control group and experimental groups, which received eight sessions of laser therapy (InGaAlP, λ685nm, P = 30mW, CW, Φ~6 mm and GaAlAs, λ830nm, P = 40mW, CW, Φ~6 mm) using dosimetries of 6J/cm2, 8J/cm2, 10J/cm2 and 12J/cm2 for each wavelength and power. The results were not statistically significant (Kruskal Wallis, p &gt; 0.05), although the proliferation of Candida albicans was lower in some of the experimental groups. The dosimetry of 6J/cm2 (GaAlAs, λ830nm, P = 40mW) provided lower mean scores than the other groups for the growth of Candida. Further studies are required to confirm whetehr laser therapy is a viable option in the treatment of fungal infections."</t>
  </si>
  <si>
    <t>Effects of low incident energy levels of infrared laser irradiaton on the proliferation of candida albicans. Part III: A study on the interirradiation interval</t>
  </si>
  <si>
    <t>(Biphasic dose response?)</t>
  </si>
  <si>
    <t>"It is, therefore, concluded that frequent irradiation sessions using a short interirradiation interval with LLLT on cells do not induce any significant biostimulation effect on the cell growth at optimal dose or even at low doses of LLLT, and that an appropriate irradiation interval is required for the acceleration of cell growth."</t>
  </si>
  <si>
    <t>Effect of low incident energy levels of infrared laser irradiation on the proliferation of candida albicans. Part II: A short term study during cell growth</t>
  </si>
  <si>
    <t>"It was found that there was no statistically significant difference between the control and any of the groups irradiated at the two-hourly interval."</t>
  </si>
  <si>
    <t>Effects of low incident energy levels of infrared laser irradiation on the proliferation of candida albicans. Part I: A long term study on pulse types</t>
  </si>
  <si>
    <t>"An increase in the number of cells was markedly stimulated with laser irradiation in P7 and P9 groups, and inhibited in CW, P1, and P15 groups, compared with the controls. It is, therefore, suggested that specific laser pulses could be recommended to have a biostimulative effect on specific tissue or cells, while the biostimulative effect is dose dependent."</t>
  </si>
  <si>
    <t>Yeast: Candida tropicalis</t>
  </si>
  <si>
    <t>Appl Environ Microbiol</t>
  </si>
  <si>
    <t>A study on the interirradiation interval</t>
  </si>
  <si>
    <t>Yeast (Candida tropicalis)</t>
  </si>
  <si>
    <t>"The He-Ne laser-induced technique was successfully applied in an environmental microorganism. A mutant strain, CTM 2, that had a higher phenol-degrading capacity than its parent strain was obtained. The gene cloning and heterogenous expression experiments indicated that four amino acids were mutated, and the activity of phenol hydroxylase increased after irradiation with a laser, which led to the higher capacity for phenol biodegradation."</t>
  </si>
  <si>
    <t>Yeast: Candida utilis</t>
  </si>
  <si>
    <t>Ann Microbiol</t>
  </si>
  <si>
    <t>He-Ne laser irradiation of folate-producing Candida utilis and optimization of culture conditions under submerged fermentation</t>
  </si>
  <si>
    <t>Yeast (Candida utilis)</t>
  </si>
  <si>
    <t>"The aim of our study was to enhance the yield of folate from the strain of C. utilis by using He-Ne laser irradiation technology and to optimize fermentation conditions. Mutan Y3.636 was obtained with the proper output power and exposure time and subsequently screened as a promising microbial producer which can effectively produce folate."</t>
  </si>
  <si>
    <t>Yeast: Saccharomyces cerevisiae</t>
  </si>
  <si>
    <t>Quickenden &amp; Daniels</t>
  </si>
  <si>
    <t>Australia
(Perth)</t>
  </si>
  <si>
    <t>Attempted biostimulation of division in Saccharomyces cerevisiae using red coherent light.</t>
  </si>
  <si>
    <t>Yeast (Saccharomyces cerevisiae)</t>
  </si>
  <si>
    <t>"Contrary to the expectations of Karu et al. (e.g. Karu, 1988, Lasers Life Sci. 2, 53-74) no growth enhancement was found in the irradiated cultures, but a mild inhibitory effect was observed."</t>
  </si>
  <si>
    <t>Mitochondrial disease</t>
  </si>
  <si>
    <t>Baskerville</t>
  </si>
  <si>
    <t>UK
(Oxford)</t>
  </si>
  <si>
    <t>The Effect of Photobiomodulation on the Treatment of Hereditary Mitochondrial Diseases</t>
  </si>
  <si>
    <t>"No studies regarding photobiomodulation in hereditary mitochondrial disease were identified. However, in other clinical conditions featuring acquired mitochondrial impairment, we identified studies that suggested improved function, although sample sizes were small in number and statistical power."</t>
  </si>
  <si>
    <t>Action potential</t>
  </si>
  <si>
    <t>Comelekoglu</t>
  </si>
  <si>
    <t>Electrophysiologic effect of gallium arsenide laser on frog gastrocnemius muscle.</t>
  </si>
  <si>
    <t>Frog</t>
  </si>
  <si>
    <t>"This study revealed that at the different repetition rate and exposure time, low energy GaAs laser does not have any significant effect on frog gastrocnemius action potential."</t>
  </si>
  <si>
    <t>Atrophy</t>
  </si>
  <si>
    <t>Bertin</t>
  </si>
  <si>
    <t>Effect of Photobiomodulation on Denervation-Induced Skeletal Muscle Atrophy and Autophagy: A Study in Mice</t>
  </si>
  <si>
    <t>Muscle denervation</t>
  </si>
  <si>
    <t>5
14</t>
  </si>
  <si>
    <t>"PBM attenuated the tibialis anterior muscle atrophy induced by sciatic nerve transection in the mice after at least 5 and 14 days of muscle denervation, without affecting autophagy. The transient protective effect of PBM was observed as early as 5 days after the of complete nerve lesion."</t>
  </si>
  <si>
    <t>Rochkind &amp; Shainberg</t>
  </si>
  <si>
    <t>Protective effect of laser phototherapy on acetylcholine receptors and creatine kinase activity in denervated muscle.</t>
  </si>
  <si>
    <t>"In the early stages of muscle atrophy, laser phototherapy may preserve the denervated muscle by maintaining CK activity and the amount of AChR."</t>
  </si>
  <si>
    <t>Botulinum toxin-related muscle paralysis</t>
  </si>
  <si>
    <t>2022</t>
  </si>
  <si>
    <t>Muscle Function Recovery Following Botulinum Toxin Type A Facial Injections: A Case Managed With Photobiomodulation Therapy</t>
  </si>
  <si>
    <t>🧑 Human
📄 Case report
⌛ 9 weeks</t>
  </si>
  <si>
    <t>3
(30 points)</t>
  </si>
  <si>
    <t>daily
for
9 weeks</t>
  </si>
  <si>
    <t>"A fast improvement in both facial asymmetry and muscle function was noted within a few weeks. After nine weeks, almost complete recovery was achieved."</t>
  </si>
  <si>
    <t>Cachexia (cancer)</t>
  </si>
  <si>
    <t>2024</t>
  </si>
  <si>
    <t>Photobiomodulation therapy moderates cancer cachexia-associated muscle wasting through activating PI3K/AKT/FoxO3a pathway</t>
  </si>
  <si>
    <t>"Here, we found PBMT alleviated the atrophy of myotube diameter induced by cancer cells in vitro, and prevented cancer-associated muscle atrophy in mice bearing tumor. 
Mechanistically, the alleviation of muscle wasting by PBMT was found to be involved in inhibiting E3 ubiquitin ligases MAFbx and MuRF-1. In addition, transcriptomic analysis using RNA-seq and GSEA revealed that PI3K/AKT pathway might be involved in PBMT-prevented muscle cachexia. 
Next, we showed the protective effect of PBMT against muscle cachexia was totally blocked by AKT inhibitor in vitro and in vivo. Moreover, PBMT-activated AKT promoted FoxO3a phosphorylation and thus inhibiting the nucleus entry of FoxO3a. 
Lastly, in cisplatin-treated muscle cachexia model, PBMT had also been shown to ameliorate muscle atrophy through enhancing PI3K/AKT pathway to suppress MAFbx and MuRF-1 expression. 
These novel findings revealed that PBMT could be a promising therapeutic approach in treating muscle cachexia induced by cancer."</t>
  </si>
  <si>
    <t>Device: "635 nm semiconductor laser (NL-FBA-2.0–635, Light Photonics Corporation, Vancouver, WA; Laser Technology Application Research Institute, Guangzhou, China)"</t>
  </si>
  <si>
    <t>Cachexia (burn)</t>
  </si>
  <si>
    <t>2015</t>
  </si>
  <si>
    <t>Low-level laser therapy modulates musculoskeletal loss in a skin burn model in rats.</t>
  </si>
  <si>
    <t>1.44</t>
  </si>
  <si>
    <t>d =
0.028 mm
(?)</t>
  </si>
  <si>
    <t>"Low-level laser therapy had positive effects on gastrocnemius muscle, improving tissue muscle morphology, increasing cross sectional area and MyoD immunoexpression."</t>
  </si>
  <si>
    <t>Cell viability</t>
  </si>
  <si>
    <t>Brochado</t>
  </si>
  <si>
    <t>Effects of different protocols of defocused high-power laser on the viability and migration of myoblasts-a comparative in vitro study</t>
  </si>
  <si>
    <t>Scratch wound</t>
  </si>
  <si>
    <t>810
980</t>
  </si>
  <si>
    <t>"In conclusion, the diverse PBMT protocols used in this study accelerated the C2C12 myoblasts migration, with 2-W dual-wavelength outstanding as the most effective protocol tested. Benefits from treating muscle injuries with PBMT appear to be related to its capacity to induce cell migration without notable impact on cell viability."</t>
  </si>
  <si>
    <t>Low-level laser irradiation modulates cell viability and creatine kinase activity in C2C12 muscle cells during the differentiation process.</t>
  </si>
  <si>
    <t>C2C12 myoblasts</t>
  </si>
  <si>
    <t>"An increase in cell viability was found in the laser group in comparison to the control group at all evaluation times. CK activity was significantly increased in the laser group at 72 h. Myogenin messenger RNA (mRNA) demonstrated a tendency toward an increase in the laser group, but the difference in comparison to the control group was non-significant.
 In conclusion, LLLI was able to modulate cell viability and CK activity in C2C12 myoblasts during the differentiation process."</t>
  </si>
  <si>
    <t>2009</t>
  </si>
  <si>
    <t>Effect of low-energy gallium-aluminum-arsenide and aluminium gallium indium phosphide laser irradiation on the viability of C2C12 myoblasts in a muscle injury model.</t>
  </si>
  <si>
    <t>3.8/3.8
6.3/10
10/17.5</t>
  </si>
  <si>
    <t>"Laser phototherapy did not improve C2C12 viability under regular or nutrient-deficient (muscle injury model) conditions using the above parameters."</t>
  </si>
  <si>
    <t>Cervical spine / cervical straightening</t>
  </si>
  <si>
    <t>Rabie</t>
  </si>
  <si>
    <t>Short-term effects of low-level laser versus ultrasound therapy on children’s neck posture after long-term use of electronic devices</t>
  </si>
  <si>
    <t>"Low-level laser therapy is the most effective method in treatment of straight neck syndrome and decreasing pain."</t>
  </si>
  <si>
    <t>Device: "EME brand, model; LIS 1050"</t>
  </si>
  <si>
    <t>Compensatory hypertrophy</t>
  </si>
  <si>
    <t>Martinelli</t>
  </si>
  <si>
    <t>Vascular photobiomodulation increases muscle fiber diameter and improves the gait during compensatory hypertrophy of plantar muscle in rats</t>
  </si>
  <si>
    <t>"In conclusion, both PBM, vascular and local, were able to improve the muscle size and gait during the CH process with more pronounced effects when irradiation was performed systemically (VPBM)."</t>
  </si>
  <si>
    <t>Photobiomodulation Modulates the Expression of Inflammatory Cytokines During the Compensatory Hypertrophy Process in Skeletal Muscle</t>
  </si>
  <si>
    <t>"Based on findings in the present study, it is concluded that PBM was able to modulate pro-inflammatory cytokines that are essential for the compensatory hypertrophy process. However, it has not shown a modulation effect directly in MMP-2 activity during the same period evaluated."</t>
  </si>
  <si>
    <t>2014</t>
  </si>
  <si>
    <t>Effect of near-infrared light exposure on mitochondrial signaling in C2C12 muscle cells.</t>
  </si>
  <si>
    <t>808
+
980</t>
  </si>
  <si>
    <t>8.14
14.85
22.8
29.6</t>
  </si>
  <si>
    <t>"Repeated NIR light exposure (4 days) appeared to elevate oxidative stress and increase the upstream mitochondrial regulatory proteins AMPK (3.1-fold), p38 (2.8-fold), PGC-1α (19.7%), Sirt1 (26.8%), and reduced RIP140 (23.2%), but downstream mitochondrial regulation/content (Tfam, NRF-1, Sirt3, cytochrome c, ETC subunits) was unaltered.
Our data indicates that NIR light alters mitochondrial biogenesis signaling and may represent a mechanistic link to the clinical benefits."</t>
  </si>
  <si>
    <t>Hayworth</t>
  </si>
  <si>
    <t>2010</t>
  </si>
  <si>
    <t>In vivo low-level light therapy increases cytochrome oxidase in skeletal muscle.</t>
  </si>
  <si>
    <t>Cytochrome oxidase
LED phototherapy
LED cluster (149x)</t>
  </si>
  <si>
    <t>10.8
21.6
32.4</t>
  </si>
  <si>
    <t>1200
2400
3600</t>
  </si>
  <si>
    <t>"The findings showed for the first time that in vivo LLLT induced a dose- and fiber type-dependent increase in cytochrome oxidase in muscle fibers. LLLT was particularly effective at enhancing the aerobic capacity of intermediate and red fibers.
The findings suggest that LLLT may enhance the oxidative energy metabolic capacity of different types of muscle fibers, and that LLLT may be used to enhance the aerobic potential of skeletal muscle."</t>
  </si>
  <si>
    <t>Ferraresi</t>
  </si>
  <si>
    <t>Low-level laser (light) therapy increases mitochondrial membrane potential and ATP synthesis in C2C12 myotubes with a peak response at 3-6 h.</t>
  </si>
  <si>
    <t>C2C12 myotubes</t>
  </si>
  <si>
    <t>630
+
850</t>
  </si>
  <si>
    <t>"LEDT employed a cluster of LEDs with 20 red (630 ± 10 nm, 25 mW) and 20 near-infrared (850 ± 10 nm, 50 mW) delivering 28 mW cm(2) for 90 s (2.5 J cm(2)) with analysis at 5 min, 3 h, 6 h and 24 h post-LEDT.
LEDT-6 h had the highest MMP, followed by LEDT-3 h, LEDT-24 h, LEDT-5 min and Control with significant differences.
The same order (6 h &gt; 3 h &gt; 24 h &gt; 5 min &gt; Control) was found for ATP with significant differences. A good correlation was found (r = 0.89) between MMP and ATP.
These data suggest an optimum time window of 3-6 h for LEDT stimulate muscle cells."
Comment: The increase in ATP levels at 6h was quite huge. Interesting.</t>
  </si>
  <si>
    <t>Albuquerque-Pontes</t>
  </si>
  <si>
    <t>Effect of pre-irradiation with different doses, wavelengths, and application intervals of low-level laser therapy on cytochrome c oxidase activity in intact skeletal muscle of rats.</t>
  </si>
  <si>
    <t>Biphasic dose response (?)
Wavelength comparison</t>
  </si>
  <si>
    <t>660
830
905</t>
  </si>
  <si>
    <t>50
50
50</t>
  </si>
  <si>
    <t>1/3/10
1/3/10
1/3/10</t>
  </si>
  <si>
    <t>20/
60/
200</t>
  </si>
  <si>
    <t>"Our results show that LLLT increased (p &lt; 0.05) cytochrome c oxidase expression mainly with the following wavelengths and doses: 660 nm with 1 J, 830 nm with 3 J, and 905 nm with 1 J at all time points."
"We conclude that LLLT can increase cytochrome c oxidase activity in intact skeletal muscle and that it contributes to our understanding of how LLLT can enhance performance and protect skeletal muscles against fatigue development and tissue damage."
Comment: At some time points, the Cox expression was lower than in control group. It doesn't seem the result is as straightforward as the abstract makes it seem...</t>
  </si>
  <si>
    <t>Larkin-Kaiser</t>
  </si>
  <si>
    <t>Canada
(Calgary)</t>
  </si>
  <si>
    <t>Near-infrared light therapy to attenuate strength loss after strenuous resistance exercise.</t>
  </si>
  <si>
    <t>🧑 Human
🎲 Randomized trial, double-blind, crossover
👥 39 participants
⌛ 2 sessions (1 active, 1 sham)</t>
  </si>
  <si>
    <t>800
+
970</t>
  </si>
  <si>
    <t>1 active +
1 sham</t>
  </si>
  <si>
    <t>"Applied to skeletal muscle before resistance exercise, NIR light therapy effectively attenuated strength loss. Therefore, NIR light therapy may be a beneficial, noninvasive modality for improving muscle function during rehabilitation after musculoskeletal injury. However, future studies using higher treatment doses are warranted."</t>
  </si>
  <si>
    <t>Evaluation of mitochondrial respiratory chain activity in muscle healing by low-level laser therapy.</t>
  </si>
  <si>
    <t>"Our results showed that the activities of complex II and succinate dehydrogenase after 5days of muscular lesion were significantly increased when compared to the control group. Moreover, our results showed that LLLT significantly increased the activities of complexes I, II, III, IV and succinate dehydrogenase, when compared to the group of injured muscle without treatment."
"These results suggest that the treatment with low-level laser may induce an increase in ATP synthesis, and that this may accelerate the muscle healing process."</t>
  </si>
  <si>
    <t>Low-intensity laser irradiation improves the mitochondrial dysfunction of C2C12 induced by electrical stimulation.</t>
  </si>
  <si>
    <t>0.33
1.338
2.646
5.358
8.22
11.22
14.16</t>
  </si>
  <si>
    <t>"Our data (as shown in Fig. 2) suggest that doses of 0.33–8.22 J/cm2 do no harm to the mitochondrial function of normal cells, while doses of 11.22–14.16 J/cm2 are beyond the point at which PBM is beneficial, and such doses can actually worsen cellular function (p _x0004_ 0.01), a finding consistent with that of the study done by Lavi et al.
Our current research also showed that LIL irradiation at doses of 0.33–8.22 J/cm2 had a photobiomodulating effect on C2C12 myotubes, as manifested by the improvement of mitochondrial function compared with 75 min of electrical stimulation (p _x0004_ 0.01), and that LIL doses of 0.33 and 1.338 J/cm2 reversed the dysfunctional state induced by the electrical stimulation, as shown in Fig. 2."</t>
  </si>
  <si>
    <t>Exercise: Aerobic exercise</t>
  </si>
  <si>
    <t>Kamel</t>
  </si>
  <si>
    <t>J Burn Care Res</t>
  </si>
  <si>
    <t>Response of Aerobic Capacity to Low-Level Laser Therapy in Burned Patients</t>
  </si>
  <si>
    <t>288
per lower limb 
(24 per site, 12 sites)</t>
  </si>
  <si>
    <t>480
per
lower
limb</t>
  </si>
  <si>
    <t>"There was a statistically significant rise in the mean values of maximum oxygen usage and time to fatigue after 12 weeks of treatment in both groups. However, after comparison, the improvements in the study group were statistically significant than those in the control group with (p &lt; 0.01), (p &lt; 0.05) respectively."
"Low-level laser therapy has a beneficial therapeutic impact on promoting aerobic capacity, improving maximum oxygen consumption, and increasing treadmill time in burned cases when preceding aerobic exercises."</t>
  </si>
  <si>
    <t>Patients: lower limb second-degree thermal burn patients with burned body surface area (BBSA) of 20-40%
Device: "a multi-diode cluster (with four diode spots; Polaris 2, manufactured by Astar ABR, Poland)"</t>
  </si>
  <si>
    <t>de Paiva</t>
  </si>
  <si>
    <t>BMC Sports Sci Med Rehabil</t>
  </si>
  <si>
    <t>Does the combination of photobiomodulation therapy (PBMT) and static magnetic fields (sMF) potentiate the effects of aerobic endurance training and decrease the loss of performance during detraining? A randomised, triple-blinded, placebo-controlled trial.</t>
  </si>
  <si>
    <t>🧑 Human
🎲 Randomized trial, double-blind
👥 60 participants
⌛ 12 weeks (PBM or placebo) -&gt; 4 weeks (PBM or placebo) (detraining period)</t>
  </si>
  <si>
    <t>LED phototherapy (with lasers)</t>
  </si>
  <si>
    <t>510
total
dose
per
limb</t>
  </si>
  <si>
    <t>3.8 +
4.43 +
0.16</t>
  </si>
  <si>
    <t>20
cm2
device
aperture</t>
  </si>
  <si>
    <t>36
/ 12 weeks
AND/OR
12
/ 4 weeks
(detraining
period)</t>
  </si>
  <si>
    <t>"The percentage of change in time until exhaustion and in maximum oxygen consumption was higher in the PBMT/sMF + PBMT/sMF group than in the Placebo+Placebo group at all time-points (p &lt; 0.05). Moreover, the percentage of decrease in body fat at the 16th week was higher in the PBMT/sMF + PBMT/sMF group than in the Placebo+Placebo group (p &lt; 0.05)."
"PBMT/sMF can potentiate the effects of aerobic endurance training and decrease performance loss after a 4-week detraining period. Thus, it may prove to be an important tool for both amateur and high-performance athletes as well as people undergoing rehabilitation."</t>
  </si>
  <si>
    <t>Exercise: Crossfit</t>
  </si>
  <si>
    <t>Photobiomodulation Therapy Combined with a Static Magnetic Field Applied in Different Moments Enhances Performance and Accelerates Muscle Recovery in CrossFit® Athletes: A Randomized, Triple-Blind, Placebo-Controlled Crossover Trial</t>
  </si>
  <si>
    <t>🧑 Human
🎲 Randomized trial, crossover,  double-blind
👥 12 participants
⌛ 4 sessions (-&gt; 48h follow-up) with 1-week washout periods</t>
  </si>
  <si>
    <t>"PBMT-sMF enhanced the performance of functional tests, decreased the levels of biochemical markers of muscle damage and inflammation, decreased oxidative stress, and increased antioxidant activity in CrossFit® athletes when applied before or after WOD."</t>
  </si>
  <si>
    <t>PBM timing: before and/or after exercise</t>
  </si>
  <si>
    <t>Exercise: Cycling</t>
  </si>
  <si>
    <t>Lanferdini</t>
  </si>
  <si>
    <t>J Funct Morphol Kinesiol</t>
  </si>
  <si>
    <t>Effects of Photobiomodulation Therapy on Performance in Successive Time-to-Exhaustion Cycling Tests: A Randomized Double-Blinded Placebo-Controlled Trial</t>
  </si>
  <si>
    <t>🧑 Human
🎲 Randomized trial, crossover,  double-blind
👥 16 participants
⌛ 3 PBM&amp;test sessions per phase with 72h washout period between the two phases</t>
  </si>
  <si>
    <t>670+
850+
880+
950</t>
  </si>
  <si>
    <t>135
/thigh</t>
  </si>
  <si>
    <t>"The PBMT applied before three successive TTE increased performance of the first and second TTE (~10-12%) tests, speed of VO2 and HHb kinetics during the first test, and increased peripheral muscle oxygenation (increase in HHb and tHb) in the first and second exhaustion tests. However, the PBMT effects were attenuated in the third TTE, as performance and all the other outcomes were similar to the ones from the PLA intervention."</t>
  </si>
  <si>
    <t>Flores</t>
  </si>
  <si>
    <t>Brazil
(Marechal Cândido Rondon)</t>
  </si>
  <si>
    <t>Photobiomodulation does not improve anaerobic performance in well-trained cyclists</t>
  </si>
  <si>
    <t>🧑 Human
🎲 Randomized trial, crossover,  double-blind
👥 15 participants
⌛ 2 sessions with 48h washout</t>
  </si>
  <si>
    <t>6
/point
(16 points)</t>
  </si>
  <si>
    <t>4,6</t>
  </si>
  <si>
    <t>1 PBM
+
1 placebo</t>
  </si>
  <si>
    <t>"We conclude that irradiation with red light, under a low energy density, does not promote ergogenic effects on the anaerobic performance of cycling athletes."
Comment: I wonder whether this acute effect intervention with short washout period is suitable for studying the potential benefits of PBM for exercise. Long-term studies may be needed as well.</t>
  </si>
  <si>
    <t>Forsey</t>
  </si>
  <si>
    <t>USA
(Morgantown, WV)</t>
  </si>
  <si>
    <t>Whole-body photobiomodulation improves post-exercise recovery but does not affect performance or physiological response during maximal anaerobic cycling</t>
  </si>
  <si>
    <t>🧑 Human
🎲 Randomized trial, crossover, sham-controlled
👥 48 participants
⌛ 2 sessions with 1-week washout period</t>
  </si>
  <si>
    <t>"Implementing 20 min of wbPBM immediately prior to maximal bouts of anaerobic cycling did not improve performance (i.e., power output) or physiological responses (e.g., lactate). However, wbPBM elicited the ability to work at a higher heart rate throughout testing and seemed to enhance recovery through improved HRV the following morning."</t>
  </si>
  <si>
    <t>PBM timing: before exercise</t>
  </si>
  <si>
    <t>Dutra</t>
  </si>
  <si>
    <t>Photobiomodulation 30 min or 6 h Prior to Cycling Does Not Alter Resting Blood Flow Velocity, Exercise-Induced Physiological Responses or Time to Exhaustion in Healthy Men</t>
  </si>
  <si>
    <t>🧑 Human
🎲 Randomized trial, crossover
👥 15 participants
⌛ single session</t>
  </si>
  <si>
    <t>0.006
+
0.075</t>
  </si>
  <si>
    <t>760
(5p)</t>
  </si>
  <si>
    <t>0.4
+
4.95
=
5.35</t>
  </si>
  <si>
    <t>330
(5p)</t>
  </si>
  <si>
    <t>"PBMT at 152 J applied 30 min or 6 h before cycling at severe-intensity did not alter resting plasma nitrite and blood flow velocity in the femoral artery, exercise-induced physiological responses, or time to exhaustion in healthy untrained men."</t>
  </si>
  <si>
    <t xml:space="preserve">Device: " a flexible multi-diode array InLight (Wellness Systems, United States) (...) multi-diode array (20 × 38 cm) was composed of 144 infraed diodes and 120 red diodes, each with an area of 0.2 cm2"
PBM timing: 6 hours or 30 minutes before exercise
Application: skin contact
</t>
  </si>
  <si>
    <t>Acute Photobiomodulation by LED Does Not Alter Muscle Fatigue and Cycling Performance.</t>
  </si>
  <si>
    <t>🧑 Human
🎲 Randomized trial*, crossover
👥14 participants (Study 1)
⌛ 6 visits within 2 weeks incl. 3 treatment sessions (260J vs 130J vs placebo)
🧑 Human
🎲 Randomized trial*, crossover
👥 13 participants (Study 2)
⌛ 6 visits within 2 weeks incl. 3 treatment sessions (260J vs 130J vs placebo)</t>
  </si>
  <si>
    <t>1250+
2000</t>
  </si>
  <si>
    <t>130/
260</t>
  </si>
  <si>
    <t>0.82/
1.65</t>
  </si>
  <si>
    <t>684
cm2
array
157
cm2
effective
irradiat.</t>
  </si>
  <si>
    <t>40/
80</t>
  </si>
  <si>
    <t>1
per
crossover
phase</t>
  </si>
  <si>
    <t>"Based on our findings, the PBMT at 260 J and 130 J doses does not have a beneficial effect on muscle fatigue, cycling performance, metabolic parameters and muscle activity in male recreational cyclists."
Comment: The wording for the randomization process was: "Two separate studies were performed, both in a pseudorandomized and balanced, crossover design."</t>
  </si>
  <si>
    <t xml:space="preserve">Application: skin contact
</t>
  </si>
  <si>
    <t>Photobiomodulation by light emitting diode applied sequentially does not alter performance in cycling athletes.</t>
  </si>
  <si>
    <t>🧑 Human
🎲 Randomized trial, double-blind
👥 48 participants
⌛ 3-day treatment -&gt; 1-week follow-up</t>
  </si>
  <si>
    <t>LED phototherapy
PBM device design: blanket</t>
  </si>
  <si>
    <t>620
940
620+
940</t>
  </si>
  <si>
    <t>180
180
180
/quadri
ceps</t>
  </si>
  <si>
    <t>"Photobiomodulation, when not associated with training, was not able to produce a cumulative effect on the performance of cycling athletes. However, the association of two wavelengths seems to be better for increased performance."</t>
  </si>
  <si>
    <t>Low-level laser therapy improves the VO2 kinetics in competitive cyclists.</t>
  </si>
  <si>
    <r>
      <rPr>
        <sz val="7.0"/>
      </rPr>
      <t xml:space="preserve">🧑 Human
🎲 Randomized trial, crossover, double-blind
👥 20 participants
⌛ 5 sessions (4 treatment sessions) with 3-day intervals
</t>
    </r>
    <r>
      <rPr>
        <i/>
        <sz val="7.0"/>
      </rPr>
      <t xml:space="preserve">(Note: Apparently same patients as in the other Lanferdini 2017 study)
</t>
    </r>
  </si>
  <si>
    <t>1000
(á 200)</t>
  </si>
  <si>
    <t>135
270
405
/thigh</t>
  </si>
  <si>
    <t>0.029
cm2
spot
size
(of each
diode ?)</t>
  </si>
  <si>
    <t>1 of each
condition
(4 conditions)</t>
  </si>
  <si>
    <t>"LLLT decreases tau and O2 deficit during time-to-exhaustion tests in competitive cyclists, and these changes in VO2 kinetics response can be one of the possible mechanisms to explain the ergogenic effect induced by LLLT."</t>
  </si>
  <si>
    <t>Device: "a THOR DD2 Control Unit (THOR®— London, UK), with a near-infrared laser cluster consisting of five 810-nm diodes, each one with 200 mW of output power"</t>
  </si>
  <si>
    <t>Int J Sports Physiol Perform</t>
  </si>
  <si>
    <t>Low-Level Laser Therapy Improves Performance and Reduces Fatigue in Competitive Cyclists.</t>
  </si>
  <si>
    <t>🧑 Human
🎲 Randomized trial, crossover, double-blind
👥 20 participants
⌛ 5 sessions (4 treatment sessions) with 3-day intervals</t>
  </si>
  <si>
    <t>135
270
405</t>
  </si>
  <si>
    <t>"Increased performance in time-to-exhaustion tests was observed with the LLLT-135J (~22 s; p&lt;0.01), LLLT-270J (~13 s; p=0.03) and LLLT-405J (~13 s; p=0.02) compared to placebo (149 ±23 s). Although LLLT-270J and LLLT-405J did not show significant differences in muscle activation compared to placebo, LLLT-135J led to an increased high-frequency content compared to placebo in both limbs at the end of the exhaustion test (p≤0.03). In conclusion, LLLT increased time-to-exhaustion in competitive cyclists, suggesting this intervention as a possible non-pharmacological ergogenic agent in cycling. Among the different dosages, LLLT-135J seems to promote the best effects."</t>
  </si>
  <si>
    <t>Device: THOR DD2 Control Unit , THOR® – London, UK</t>
  </si>
  <si>
    <t>Teles</t>
  </si>
  <si>
    <t>J Strength Cond Res</t>
  </si>
  <si>
    <t>Comparison between whole-body vibration, light-emitting diode, and cycling warm-up on high-intensity physical performance during sprint bicycle exercise.</t>
  </si>
  <si>
    <t>🧑 Human
🎲 Randomized trial, crossover
👥 10 participants
⌛ 5 days (1 of each intervention)</t>
  </si>
  <si>
    <t>LED phototherapy
LED cluster (191 diodes)</t>
  </si>
  <si>
    <t>2292
(?)</t>
  </si>
  <si>
    <t>0.17</t>
  </si>
  <si>
    <t>13.37
/p</t>
  </si>
  <si>
    <t>106.96
cm2
irradiated
area</t>
  </si>
  <si>
    <t>180
(?)</t>
  </si>
  <si>
    <t>1 of
each
condition
(5 conditions)</t>
  </si>
  <si>
    <t>"The findings of this study confirmed the effectiveness of a warm-up as a preparatory activity and demonstrated that LED + WBV and WBV were as effective as WU in improving cyclist performance during a sprint bicycle exercise."
Comment: LED alone didn't seem to have any effects, but it seemed to modestly augment the effects of whole-body vibration (WBV). The relevance appears unclear.
Star: Parameters were nicely reported.</t>
  </si>
  <si>
    <t>Correa</t>
  </si>
  <si>
    <t>Ergogenic Effects of Photobiomodulation on Performance in the 30-Second Wingate Test: A Randomized, Double-Blind, Placebo-Controlled, Crossover Study</t>
  </si>
  <si>
    <t>🧑 Human
🎲 Randomized trial, double-blind, crossover
👥 16 participants
⌛ 3 sessions (2 treatment: 1 active, 1 sham) with 48h intervals</t>
  </si>
  <si>
    <t>96
(16p)</t>
  </si>
  <si>
    <t>4.6</t>
  </si>
  <si>
    <t>"We concluded that phototherapy improves performance in Wingate anaerobic exercise, possibly due to large effects on the anaerobic alactic metabolism."</t>
  </si>
  <si>
    <t>Exercise: High-intensity</t>
  </si>
  <si>
    <t>Front Sports Act Living</t>
  </si>
  <si>
    <t>Innovative integration: optimizing performance through warm-up and photobiomodulation in high-intensity test</t>
  </si>
  <si>
    <t>🧑 Human (♀)
🎲 Randomized trial, double-blind, crossover
👥 12 participants
⌛ 4 sessions (1 per phase)</t>
  </si>
  <si>
    <t>"The performance in YYIIR1 was superior (p = 0.02) in the WU + PBMT condition (440.0 ± 59.0 m) compared to the WU + Placebo (353.3 ± 94.7 m), and placebo alone (no warm-up) (325.0 ± 67.2 m)."
Comment: There was also a statistically non-significant slight improvement with PBM-only compared to placebo alone.</t>
  </si>
  <si>
    <t>Santos Junior</t>
  </si>
  <si>
    <t>Int J Exerc Sci</t>
  </si>
  <si>
    <t>Effects of Photobiomodulation on High-Intensity Intermittent Anaerobic Performance of Lower Limbs in Brazilian Jiu-Jitsu Athletes: A Randomized, Crossover, Double-Blind Clinical Trial</t>
  </si>
  <si>
    <t>🧑 Human
🎲 Randomized trial, double-blind, crossover
👥 11 participants
⌛ 3 sessions with 48h washout intervals</t>
  </si>
  <si>
    <t>4.5
9.1</t>
  </si>
  <si>
    <t>"No differences were observed between treatments in SJ height, Wingate performance, HR, and RPE (p&gt;0.05; for all comparisons). The Wingate test session promoted a reduction in anaerobic capacity in the second and third sets in all conditions, indicating fatigue (p&lt;0.05)."
"Treatment with PBM did not produce a dose-dependent ergogenic response in high-intensity intermittent performance in BJJ athletes."</t>
  </si>
  <si>
    <t>Brazil
(Aparecida)</t>
  </si>
  <si>
    <t>Effects of light-emitting diode therapy on cardiovascular and salivary nitrite responses in postmenopausal women submitted to a single bout of high-intensity interval training</t>
  </si>
  <si>
    <t>🧑 Human
🎲 Randomized trial, double-blind, crossover
👥 16 participants
⌛ 2 sessions (1 active, 1 sham) with 14-day interval</t>
  </si>
  <si>
    <t>228.48
/limb</t>
  </si>
  <si>
    <t>3.1
cm2
beam
size</t>
  </si>
  <si>
    <t>1632
/limb</t>
  </si>
  <si>
    <t>"LEDT did not improve physiological performance during HIIT and did not accelerate the recovery of BP and autonomic modulation or change the NO release after exercise in postmenopausal women."</t>
  </si>
  <si>
    <t>Int J Environ Res Public Health</t>
  </si>
  <si>
    <t>Acute Photobiomodulation Does Not Influence Specific High-Intensity and Intermittent Performance in Female Futsal Players</t>
  </si>
  <si>
    <t>🧑 Human
🎲 Randomized trial, sham-controlled, crossover
👥 13 participants
⌛ 2 sessions (1 active, 1 sham) with a 7-day interval</t>
  </si>
  <si>
    <t>Countermovement jump &amp; agility run</t>
  </si>
  <si>
    <t>0.053</t>
  </si>
  <si>
    <t>44.2
cm2
cluster
area</t>
  </si>
  <si>
    <t>900
(5 points
per leg,
2 legs)</t>
  </si>
  <si>
    <t>"The acute application of PBMT prior to a physical testing battery does not influence high-intensity and intermittent exercises performance, neither physiological nor perceptual responses in amateur female futsal players."</t>
  </si>
  <si>
    <t xml:space="preserve">Application: "complete cluster contact with the skin"
PBM timing: 30 seconds before the first test </t>
  </si>
  <si>
    <t>Exercise: Jump</t>
  </si>
  <si>
    <t>Orssatto</t>
  </si>
  <si>
    <t>Photobiomodulation Therapy Does Not Attenuate Fatigue and Muscle Damage in Judo Athletes: A Randomized, Triple-Blind, Placebo-Controlled Trial.</t>
  </si>
  <si>
    <t>🧑 Human
🎲 Randomized trial, double-blind, self-controlled
👥 16 participants
⌛ single treatment -&gt; 48-hour follow-up</t>
  </si>
  <si>
    <t>450
total</t>
  </si>
  <si>
    <t>"No differences were observed between photobiomodulation therapy and placebo at any time points for any variables (p &gt; 0.05), indicating no positive effect favoring photobiomodulation therapy."</t>
  </si>
  <si>
    <t>Exercise: Mixed</t>
  </si>
  <si>
    <t>D'Amico</t>
  </si>
  <si>
    <t>USA
(Salem, MA)</t>
  </si>
  <si>
    <t>Int J Sports Phys Ther</t>
  </si>
  <si>
    <t>The Influence of Phototherapy on Recovery From Exercise-Induced Muscle Damage</t>
  </si>
  <si>
    <t>🧑 Human
📄 Non-randomized study, controlled
👥 33 participants
⌛ 2-week study (single treatment on the beginning of week 2?)</t>
  </si>
  <si>
    <t>40+
1000</t>
  </si>
  <si>
    <t>"Calf soreness was lower in PhT compared to CON (p = 0.02), but no other significant differences were observed between groups for vertical jump, agility, quadriceps, hamstring, and overall soreness (p &gt; 0.05)."</t>
  </si>
  <si>
    <t>Exercise: Plyometric exercise</t>
  </si>
  <si>
    <t>Padoin</t>
  </si>
  <si>
    <t>Phototherapy Improves Muscle Recovery and Does Not Impair Repeated Bout Effect in Plyometric Exercise</t>
  </si>
  <si>
    <t>🧑 Human
🎲 Randomized trial, double-blind
👥 28 participants
⌛ single treatment -&gt; 72-hour follow-up -&gt; additional control session after 2 weeks</t>
  </si>
  <si>
    <t>LED phototherapy
Wavelength comparison
Drop-jump (100 repetitions)</t>
  </si>
  <si>
    <t>630
940</t>
  </si>
  <si>
    <t>97
114</t>
  </si>
  <si>
    <t>4.6
4.6</t>
  </si>
  <si>
    <t>"The LEDT 630-nm group showed a significant increase in SJ [squat jump] at 24 hours (P &lt; 0.05), whereas, at 48 hours, the LEDT 940 nm showed a significant increase compared with the placebo group (P &lt; 0.05). The 2-way analysis of variance revealed an effect for treatment in the SJ (F = 7.12; P = 0.001). No differences were found between groups for DOMS and CMJ after the first bout. After the second bout of exercise, there was no effect of treatment. The results suggest that treatment with LEDT 630 nm and LEDT 940 nm before eccentric exercise attenuates [exercise-induced muscle damage] without impairing [repeated bout effect]."</t>
  </si>
  <si>
    <t>***</t>
  </si>
  <si>
    <t>Exercise: Resistance exercise</t>
  </si>
  <si>
    <t>Crow</t>
  </si>
  <si>
    <t>Therapeutic Photobiomodulation Before Strenuous Exercise Attenuates Shoulder Muscle Fatigue</t>
  </si>
  <si>
    <t>🧑 Human
🎲 Randomized trial, crossover, sham-controlled
👥 20 participants
⌛ two sessions with 72-hour washout</t>
  </si>
  <si>
    <t>80 - 120 cm2 treatment area</t>
  </si>
  <si>
    <t>1 PBM +
1 sham</t>
  </si>
  <si>
    <t>"During the last block of exercise (sets 9-12), all performance measures for the active PBMT condition were 6.2% to 10% greater than the sham PBMT values (p &lt; 0.02 to 0.001)."</t>
  </si>
  <si>
    <t>Low-Level Laser Therapy Facilitates Post-Contraction Recovery with Ischemic Preconditioning</t>
  </si>
  <si>
    <t>🧑 Human
🎲 Randomized trial (?)
👥 40 participants
⌛ (?)</t>
  </si>
  <si>
    <t>"At T2, the LLL group exhibited a higher normalized MVC (T2/T0) (86.22 ± 12.59%) than that of the sham group (71.70 ± 13.56%)(p = .001)."
"Low-level laser expedites post-contraction recovery with ischemic preconditioning, manifesting as superior force generation capacity and force precision control for activation of MUs with a higher recruitment threshold and lower discharge variability."</t>
  </si>
  <si>
    <t>Effects of Photobiomodulation and Low-Intensity Stretching on Delayed-Onset Muscle Soreness: A Randomized Control Trial</t>
  </si>
  <si>
    <t>🧑 Human
🎲 Randomized trial
👥 54 participants
⌛ 3-day treatment / 5-day study (treatment on days 2-4)</t>
  </si>
  <si>
    <t>Eccentric exercise</t>
  </si>
  <si>
    <t>"PBM or low-intensity stretching did not affect DOMS and functional performance in untrained individuals. The combination of PBM and low-intensity stretching increased pain sensitivity and did not relieve soreness. The DOMS was not associated with either muscle function or functional performance."</t>
  </si>
  <si>
    <t>Aleixo-Junior</t>
  </si>
  <si>
    <t>Immediate effects of photobiomodulation therapy combined with a static magnetic field on the subsequent performance: a preliminary randomized crossover triple-blinded placebo-controlled trial</t>
  </si>
  <si>
    <t>🧑 Human
🎲 Randomized trial, triple-blind, crossover
👥 12 participants
⌛ 2 sessions (1 active, 1 sham) with 7-day washout</t>
  </si>
  <si>
    <t>Concentric knee flexion and extension</t>
  </si>
  <si>
    <t>3.8
4.43
0.162</t>
  </si>
  <si>
    <t>20
cm2</t>
  </si>
  <si>
    <t>"PBMT-sMF decreased the fatigue index compared to the placebo PBMT-sMF at second set of the exercise protocol (MD = -6.08, 95% CI -10.49 to -1.68).
in addition, PBMT-sMF decreased the blood lactate levels post-intervention, and after the second set of the exercise protocol compared to placebo (p&lt;0.05).
There was no difference between PBMT-sMF and placebo in the remaining outcomes tested."</t>
  </si>
  <si>
    <t>Device: "Multi Radiance Medical Super Pulsed Laser MR4 console (Solon, Ohio, USA) with a LaserShower cluster probe as emitter."
Application: Skin contact, slight pressure</t>
  </si>
  <si>
    <t>Using a single dose of photobiomodulation (laser + LED) to improve performance of lower limbs in functional test: Randomized clinical trial</t>
  </si>
  <si>
    <t>🧑 Human
🎲 Randomized trial, sham-controlled
👥 60 participants
⌛ single treatment -&gt; 24-48h follow-up</t>
  </si>
  <si>
    <t>Resistance exercise (knee extension, plantar flexion)</t>
  </si>
  <si>
    <t>617+
830</t>
  </si>
  <si>
    <t>9/p
4p/KE
4p/PF</t>
  </si>
  <si>
    <t>60/p</t>
  </si>
  <si>
    <t>"A PBM single dose irradiation may improve motor performance and there is specificity of the irradiated muscle group, although it does not depend on the moment."</t>
  </si>
  <si>
    <t>Device: "Fluence (HTM®, Amparo/SP, Brasil)"
Application: "The applicator was positioned on the spot to be irradiated with a 90 angle."</t>
  </si>
  <si>
    <t>Azuma</t>
  </si>
  <si>
    <t>Photobiomodulation Therapy at 808 nm Does Not Improve Biceps Brachii Performance to Exhaustion and Delayed-Onset Muscle Soreness in Young Adult Women: A Randomized, Controlled, Crossover Trial</t>
  </si>
  <si>
    <t>🧑 Human
🎲 Randomized trial, double-blind, crossover
👥 13 participants
⌛ 2 sessions (1 active, 1 sham) with 7-day washout -&gt; 72h follow-up after session</t>
  </si>
  <si>
    <t>Elbow flexion (biceps brachii)
Acute effects</t>
  </si>
  <si>
    <t>35.7</t>
  </si>
  <si>
    <t>28
/arm
(4p)</t>
  </si>
  <si>
    <t>70
/p
(4p)</t>
  </si>
  <si>
    <t>"There was a significant (time, p &lt; 0.05) reduction in the number of repetitions performed and an increase in RPE over six sets, with no statistical differences between placebo and active laser conditions (treatment × time, p &gt; 0.05)."</t>
  </si>
  <si>
    <t>Timing: Irradiation 20 minutes before exercise
Application: Stationary in skin contact</t>
  </si>
  <si>
    <t>Samborowski</t>
  </si>
  <si>
    <t>The influence of photobiomodulation on the temperature of the brachial biceps during muscle fatigue protocol</t>
  </si>
  <si>
    <t>🧑 Human
🎲 Randomized trial, double-blind, crossover
👥 14 participants
⌛ 2 sessions (1 active, 1 sham) with 15-day washout</t>
  </si>
  <si>
    <t>Biceps brachii</t>
  </si>
  <si>
    <t>"The laser group presented a less accentuated decrease in muscle strength, evidencing a lower rate of muscle fatigue (p &gt; 0.05) in relation to the other groups. In the temperature analysis, the control group exhibited the highest average temperature, with a significant difference only for the placebo. The results indicate that the control displayed the greatest physical degeneration and the PMB group had a positive effect on MF attenuation and body thermoregulation."</t>
  </si>
  <si>
    <t>Application: "[C]luster was applied to 1 cm of the skin in order not to promote changes in the skin temperature"
Timing (time between PBM and exercise): unknown
Washout: 15 days</t>
  </si>
  <si>
    <t>J Geriatr Phys Ther</t>
  </si>
  <si>
    <t>Effects of Photobiomodulation/Laser Therapy Combined With Resistance Training on Quadriceps Hypertrophy and Strength, and Postural Balance in Older Women: A Randomized, Triple-Blinded, Placebo-Controlled Study</t>
  </si>
  <si>
    <t>🧑 Human
🎲 Randomized trial, triple-blind
👥 22 participants
⌛ 10 weeks</t>
  </si>
  <si>
    <t>Unilateral leg extension</t>
  </si>
  <si>
    <t>"Significance statistical analysis revealed a similar improvement (time P = .003) from pre- to posttraining for muscle hypertrophy and strength, and postural balance between active and placebo laser conditions. However, clinical interpretation for muscle hypertrophy showed a moderate effect (effect size [ES] = 0.58) for the active laser and a small effect (ES = 0.38) for the placebo laser. Clinical difference was not noticed between conditions for other analyzed variables."</t>
  </si>
  <si>
    <t>Subjects: Older women (avg age 67 years)</t>
  </si>
  <si>
    <t>Rossato</t>
  </si>
  <si>
    <t>Brazil
(Florianópolis)</t>
  </si>
  <si>
    <t>Dose-Response Effect of Photobiomodulation Therapy on Muscle Performance and Fatigue During a Multiple-Set Knee Extension Exercise: A Randomized, Crossover, Double-Blind Placebo-Controlled Trial</t>
  </si>
  <si>
    <t>🧑 Human
🎲 Randomized trial, double-blind, crossover
👥 18 participants
⌛ 6 sessions (PBM&amp;placebo on sessions 2-5) with 1-week washout</t>
  </si>
  <si>
    <t>Knee extension</t>
  </si>
  <si>
    <t>670+
850+
880+
950+</t>
  </si>
  <si>
    <t>135/
270/
540
/quad
riceps</t>
  </si>
  <si>
    <t>30.2
cm2</t>
  </si>
  <si>
    <t>16/
32/
64
per
point
per
session
(9p)</t>
  </si>
  <si>
    <t>2
before
each
training
session</t>
  </si>
  <si>
    <t>"The knee extension exercise performance (total work performed during exercise) was not affected by PBMT (135, 270, and 540 J) compared with placebo treatment. However, all PBMT treatments (135, 270, and 540 J) led to lower percentage drop compared with placebo and control conditions on isometric peak torque (IPT), concentric peak torque (CPT), and concentric work (W). All PBMT doses led to possibly positive or likely positive effects on IPT, CPT, and W compared with placebo."</t>
  </si>
  <si>
    <t>Washout periods: 7 days (minimum) between training sessions
Timing: 6 hours before exercise + immediately before exercise
Application: skin contact, light pressure</t>
  </si>
  <si>
    <t>Photobiomodulation Before Eccentric Fatigue Protocol in the Control of Pain and Muscle Damage Markers: A Double-Blind, Randomized Controlled Study</t>
  </si>
  <si>
    <t>🧑 Human
🎲 Randomized trial, crossover, double-blind, comparison study
👥 37 participants
⌛2 sessions (1 active, 1 sham) with at least 1-week washout</t>
  </si>
  <si>
    <t>LED phototherapy + laser
Knee extension
⚔ PBM before vs after fatigue</t>
  </si>
  <si>
    <t>670+
850+
950</t>
  </si>
  <si>
    <t>0.0553</t>
  </si>
  <si>
    <t>181.2
(6p)</t>
  </si>
  <si>
    <t>7.5
cm2
cluster
area</t>
  </si>
  <si>
    <t>"The PBM applied before eccentric fatigue protocol showed no significant results on DOMS, although there was a positive effect to control muscle damage."</t>
  </si>
  <si>
    <t>PBM timing: "PBM (active/placebo) was performed 5 min before the start of the fatigue protocol [group 1] [or] immediately after the fatigue protocol [group 2]"</t>
  </si>
  <si>
    <t>Acute Photobiomodulation Effects Through a Cluster Device on Skeletal Muscle Fatigue of Biceps Brachii in Young and Healthy Males: A Randomized Double-Blind Session</t>
  </si>
  <si>
    <t>🧑 Human
🎲 Randomized trial, double-blind
👥 32 participants
⌛ single session</t>
  </si>
  <si>
    <t>1400
(100/
diode)</t>
  </si>
  <si>
    <t>28
(7p)</t>
  </si>
  <si>
    <t>0.05
cm2
spot
size</t>
  </si>
  <si>
    <t>"There was no difference between red and infrared PBM in reduction of biceps brachii fatigue. However, the EMGFI delta value was greater in the IPG compared with the CG, suggesting that infrared can be more effective in reducing biceps brachii fatigue."
Comment: The 100mW/diode * 14 diodes * 40 seconds equals 56J. This does not match the claimed 24 joules.</t>
  </si>
  <si>
    <t>Timing: PBM after exercise</t>
  </si>
  <si>
    <t>de Souza Abreu</t>
  </si>
  <si>
    <t>Time-Response of Photobiomodulation Therapy by Light-Emitting Diodes on Muscle Torque and Fatigue Resistance in Young Men: Randomized, Double-Blind, Crossover and Placebo-Controlled Study</t>
  </si>
  <si>
    <t>🧑 Human
🎲 Randomized trial, double-blind, crossover
👥 34 participants
⌛ 4 sessions with 7-day washouts</t>
  </si>
  <si>
    <t>LED phototherapy
Elbow flexion
⚔ PBM 5 min or 1/3/6h before exercise</t>
  </si>
  <si>
    <t>166.75
cm2
irrad.
surface</t>
  </si>
  <si>
    <t>"PBMT was not effective to increase muscle performance and decrease fatigue to demonstrate the possible time-response in humans."</t>
  </si>
  <si>
    <t>Device: flexible (soft) LED pad (InLight Medical)
PBM timing: 5min, 1h, 3h or 6h before exercise</t>
  </si>
  <si>
    <t>Ghigiarelli</t>
  </si>
  <si>
    <t>USA
(Garden City, NY)</t>
  </si>
  <si>
    <t>The Effects of Whole-Body Photobiomodulation Light-Bed Therapy on Creatine Kinase and Salivary Interleukin-6 in a Sample of Trained Males: A Randomized, Crossover Study</t>
  </si>
  <si>
    <t>🧑 Human
🎲 Randomized trial, crossover
👥 12 participants
⌛ 2 sessions with 10-day washout</t>
  </si>
  <si>
    <t>Resistance exercise (bench press, chin-up, repeated sprints)
Whole-body PBM</t>
  </si>
  <si>
    <t>0.017</t>
  </si>
  <si>
    <t>473+
400</t>
  </si>
  <si>
    <t>"As such, whole-body PBMT does not significantly reduce the activity of salivary IL-6 or CK concentration during the 24 to 72-h recovery post-high-intensity resistance training."</t>
  </si>
  <si>
    <t>Device: NovoTHOR (2800 LEDs)</t>
  </si>
  <si>
    <t>Machado</t>
  </si>
  <si>
    <t>Does photobiomodulation therapy combined to static magnetic field (PBMT-sMF) promote ergogenic effects even when the exercised muscle group is not irradiated? A randomized, triple-blind, placebo-controlled trial</t>
  </si>
  <si>
    <t>🧑 Human
🎲 Randomized trial, triple-blind
👥 30 participants
⌛ single session -&gt; 3-day follow-up</t>
  </si>
  <si>
    <t>Systemic effects (not observed here)
PBM + static magnetic field (35 mT) (both from same device)
Knee extensions</t>
  </si>
  <si>
    <t>13.42+
15.96+
0.285
/p
total
~180
(6p)</t>
  </si>
  <si>
    <t>3.8 +
4.43 +
0.162</t>
  </si>
  <si>
    <t>"Ten volunteers were randomized per group and analysed for all outcomes. Compared to the placebo and non-local groups, irradiation with PBMT-SMF led to statistically significant improvement (p &lt; 0.05) with regard to all variables in the local group. The outcomes observed in the non-local group were similar to those in the placebo group with regard to all variables.The volunteers did not report any adverse effects."
"Our results support the current evidence that local irradiation of all exercised muscles promotes ergogenic effects. PBMT-sMF improved performance and reduced muscle fatigue only when applied locally to muscles involved in physical activity."</t>
  </si>
  <si>
    <t>Device: "device manufactured by Multi Radiance Medical®, Solon - OH, USA"
PBM timing: 3 minutes before exercise
Application: "Cluster probe held stationary in skin contact with a 90-degree angle and slight pressure"</t>
  </si>
  <si>
    <t>Gobbi</t>
  </si>
  <si>
    <t>Acute application of photobiomodulation does not bring important gains for the muscular performance and functionality of diabetic individuals</t>
  </si>
  <si>
    <t>🧑 Human
🎲 Randomized trial, double-blind
👥 63 participants
⌛ 3-day treatment (days 2-4) / 5-day study</t>
  </si>
  <si>
    <t>Diabetic subjects
PBM device design: blanket
Ankle flexor/extensor</t>
  </si>
  <si>
    <t>620
904
620+
904</t>
  </si>
  <si>
    <t>1880
1710
2001</t>
  </si>
  <si>
    <t>180
180
180</t>
  </si>
  <si>
    <t>96
106
90</t>
  </si>
  <si>
    <t>3
3
3</t>
  </si>
  <si>
    <t>"The PBMT applied for a short period does not bring important gains for the muscular performance and functionality of diabetic individuals."</t>
  </si>
  <si>
    <t>Device info: LED blanket 285 diodes per device (red or NIR); 320 diodes per device (red+NIR)</t>
  </si>
  <si>
    <t>Leal-Junior</t>
  </si>
  <si>
    <t>What is the optimal time-response window for the use of photobiomodulation therapy combined with static magnetic field (PBMT-sMF) for the improvement of exercise performance and recovery, and for how long the effects last? A randomized, triple-blinded, placebo-controlled trial</t>
  </si>
  <si>
    <t>🧑 Human
🎲 Randomized trial, triple-blind
👥 60 participants
⌛ single session -&gt; exercise -&gt; 48h follow-up</t>
  </si>
  <si>
    <t>Knee extension
PBM combined with static magnetic field (sMF)</t>
  </si>
  <si>
    <t>200+
320+
5</t>
  </si>
  <si>
    <t>23+
36.8+
0.576</t>
  </si>
  <si>
    <t>115
/site
(3 sites)</t>
  </si>
  <si>
    <t>"Sixty patients were randomized and analyzed to each sequence. The outcomes in absolute values show that all active PBMT-sMF groups increased (p &lt; 0.05) MVC from immediately after to 1 h after eccentric exercise, and decreased (p &lt; 0.05) CK activity at all time points. However, PBMT-sMF 5 mins, 3 h and 6 h groups showed better results in MVC and CK analysis from 24 h to 48 h, and also to DOMS (p &lt; 0.05) at all time points. Participants did not report any adverse events."
"PBMT-sMF can be used from 5 min to 6 h before exercise, and the effects can last up to 54 h after treatment. However, the effects start to decrease when a 1-day (24 h) time-response window is used."</t>
  </si>
  <si>
    <t>PBM timing: 5min, 3h, 6h or 1 day after baseline test
Application: "Cluster probe held stationary in skin contact with a 90-degree angle and slight pressure"</t>
  </si>
  <si>
    <t>Effects of photobiomodulation therapy combined to static magnetic field in strength training and detraining in humans: protocol for a randomised placebo-controlled trial.</t>
  </si>
  <si>
    <t>The study will be a randomised, triple-blind, placebo-controlled clinical trial (...) The muscular strength and the structural properties of quadriceps will be analysed.</t>
  </si>
  <si>
    <t>Acute Effects Using Light-Emitting Diode Therapy (LEDT) for Muscle Function during Isometric Exercise in Asthma Patients: A Pilot Study.</t>
  </si>
  <si>
    <t>🧑 Human
🎲 Randomized trial, double-blind, crossover
👥 11 participants
⌛ two sessions with 72h interval (1 active, 1 sham)</t>
  </si>
  <si>
    <t>LED phototherapy
LED array (n=50)
Asthma patients
Knee extension</t>
  </si>
  <si>
    <t>2500
(50
LEDs)</t>
  </si>
  <si>
    <t>75
total</t>
  </si>
  <si>
    <t>0.2
cm2
spot
size
per
LED,
total
50
LEDs</t>
  </si>
  <si>
    <t>"There were no statistically significant differences between groups at the time of contraction (before 41±14 versus 44±16; after 46±12 versus 45±20 s) during the isometric contraction test and inflammatory markers before and after a single LEDT application. 
A single application of LEDT in the parameters and dose according to the equipment used in the study were not able to promote differences in the time of contraction and the fatigue response in asthmatic patients. However, the chronic effects of LEDT application for improving muscle performance in these patients are unknown and may present different responses during applications for a long time."</t>
  </si>
  <si>
    <t>Almeida</t>
  </si>
  <si>
    <t>Effects of photobiomodulation on muscle strength in post-menopausal women submitted to a resistance training program</t>
  </si>
  <si>
    <t>🧑 Human
🎲 Randomized trial, triple-blind
👥 34 participants
⌛ 8 weeks</t>
  </si>
  <si>
    <t>Post-menopausal women
Resistance training protocol (leg press, front lat pulldown, leg curl, chest press, squat)</t>
  </si>
  <si>
    <t>700+
700</t>
  </si>
  <si>
    <t>168
per
limb</t>
  </si>
  <si>
    <t>120
per
limb</t>
  </si>
  <si>
    <t>Both groups increased muscle strength (p &lt; 0.001) for all exercises, without group differences (p = 0.651). Quality of life (p = 0.015) and balance (p = 0.006) increased only in the RTG. The results suggest that PBM were not able for inducing additional benefits to RT to improve muscle strength in post-menopausal women.
Comment: Parameters insufficiently reported</t>
  </si>
  <si>
    <t>Application: "The PBM was applied in a stationary technique in perpendicular contact to the skin, before the RT "
PBM timing: prior to the exercise sessions (16 exercise sessions)</t>
  </si>
  <si>
    <t>Fritsch</t>
  </si>
  <si>
    <t>Are the ergogenic effects of photobiomodulation therapy age-dependent? A randomized double-blinded placebo-controlled trial.</t>
  </si>
  <si>
    <t>🧑 Human
🎲 Randomized trial, double-blind, crossover
👥 23 participants (12 young, 11 elderly)
⌛ 4 sessions (assessment + sham + 120J + 240J) with 7-day intervals</t>
  </si>
  <si>
    <t>120
240
(per
leg)</t>
  </si>
  <si>
    <t>0.029
cm2
spot
size
per
diode
(5 diodes)</t>
  </si>
  <si>
    <t>30
60
(/point)
(8 points per leg)</t>
  </si>
  <si>
    <t>1
(per
crossover
phase)</t>
  </si>
  <si>
    <t>"The main finding of the study was that the application of PBMT dose of 120 J generated a clinically relevant ergogenic effect on the number of repetitions in young women, but not in elderly women; while 240 J dose did not change exercise performance in any group."
Comment: The only observed effect (120J in young women) was very modest.</t>
  </si>
  <si>
    <t>Application: "The probe was held stationary in skin contact at 90° angle with light skin pressure."
PBM timing: 5 min after warmup, 1 minute before the exercise</t>
  </si>
  <si>
    <t>Photobiomodulation Therapy Effects on Resistance Training Volume and Discomfort in Well-Trained Adults: A Randomized, Double-Blind, Placebo-Controlled Trial</t>
  </si>
  <si>
    <t xml:space="preserve">🧑 Human
🎲 Randomized trial, double-blind, crossover
👥 14 participants
⌛ 3 sessions (baseline + PBM + sham) with 7-day intervals
</t>
  </si>
  <si>
    <t>"The PBMT was not effective for increasing volume and reducing discomfort during resistance training performed to concentric failure by well-trained men and women."</t>
  </si>
  <si>
    <t>Exercise: Running</t>
  </si>
  <si>
    <t>do Nascimento</t>
  </si>
  <si>
    <t>A Meta-Analysis of Randomized Controlled Trials on the Effects of Photobiomodulation Therapy on Running Performance</t>
  </si>
  <si>
    <t>"Twelve studies fulfilled the inclusion criteria. No significant effects in favor of PBM were found (SMD = 0.13; p = 0.11). There was no effect considering the presence (SMD = 0.16; p = 0.38) and absence (SMD = 0.11; p = 0.25) of training, and there was no dose-response effect (p = 0.82)."
"Our findings indicate that PBM alone or combined with a training program does not improve running performance in terms of time-trial and time-to-exhaustion testing. More studies involving PBM plus training and doses higher than 1000 J are needed to determine if PBM is effective in improving running performance."</t>
  </si>
  <si>
    <t>Brazil
(Jacarezinho)</t>
  </si>
  <si>
    <t>Acute dose-response effect of photobiomodulation therapy on 5-km running performance in trained runners: a randomized, double-blind, placebo-controlled, crossover study</t>
  </si>
  <si>
    <t xml:space="preserve">🧑 Human
🎲 Randomized trial, double-blind, crossover
👥 18 participants
⌛ 4 sessions (placebo / 300J / 900J / 1260J) with 2-week intervals
</t>
  </si>
  <si>
    <t>300
900
1260</t>
  </si>
  <si>
    <t>"In conclusion, acute PBMT with LEDs at doses of 300, 900, and 1260 J is not recommended for improving endurance performance and RPE in the 5-km running trial in recreational runners."</t>
  </si>
  <si>
    <t>PBM timing: 60 minutes before running test</t>
  </si>
  <si>
    <t>Rotoly</t>
  </si>
  <si>
    <t>Influence of photobiomodulation therapy on the physical performance of women during the follicular phase of the menstrual cycle: A double-blind Sham-controlled randomized clinical trial</t>
  </si>
  <si>
    <t>🧑 Human
🎲 Randomized trial, double-blind
👥 27 participants
⌛ single session</t>
  </si>
  <si>
    <t>Running (treadmill)
LED phototherapy
Acute effects</t>
  </si>
  <si>
    <t>3900+
6500</t>
  </si>
  <si>
    <t>"PBM did not improve muscle performance, resistance to fatigue, perceived exertion, and blood lactate concentrations during a predominantly anaerobic test in healthy women during the FF of the menstrual cycle."</t>
  </si>
  <si>
    <t>PBM timing: 10 minutes before running test</t>
  </si>
  <si>
    <t>Giovanini</t>
  </si>
  <si>
    <t>Preconditioning Effects of Photobiomodulation on Repeated-Sprint Ability of Professional Basketball Players</t>
  </si>
  <si>
    <t>🧑 Human (professional basketball players)
🎲 Randomized trial, crossover, double-blind
👥 10 participants
⌛ 2 sessions (PBM, sham)</t>
  </si>
  <si>
    <t>83.4
/point
(10 points)</t>
  </si>
  <si>
    <t>"We concluded that the LED condition could not improve the repeated-sprint ability of professional basketball players."</t>
  </si>
  <si>
    <t>PBM timing: before the sprint test</t>
  </si>
  <si>
    <t>J Sports Sci</t>
  </si>
  <si>
    <t>Effect of photobiomodulation therapy on performance and running economy in runners: A randomized double-blinded placebo-controlled trial</t>
  </si>
  <si>
    <t>🧑 Human
🎲 Randomized trial, double-blind, crossover
👥 20 participants
⌛ Two 2-day phases (PBM + sham) with 3-day interval</t>
  </si>
  <si>
    <t>LED phototherapy
Running (3000m)</t>
  </si>
  <si>
    <t>5012
(from
152
LEDs)</t>
  </si>
  <si>
    <t>0.244</t>
  </si>
  <si>
    <t>"The PBMT pre- and post-conditioning enhanced the 3000 m running performance and improved RE 24 h following the 3000 m test. However, no changes on ratings of perceived exertion and metabolic cost with the application of PBMT."</t>
  </si>
  <si>
    <t>Participants: male athletes (runners/triathletes)
Device: LEAP spots pod (flexible LED mesh, in skin contact)</t>
  </si>
  <si>
    <t>Dellagrana</t>
  </si>
  <si>
    <t>Effect of Photobiomodulation Therapy in the 1500 m Run: An Analysis of Performance and Individual Responsiveness</t>
  </si>
  <si>
    <t>🧑 Human
🎲 Randomized trial, double-blind, crossover
👥 19 participants
⌛4 phases (incl. PBM and sham phases) with 7-day intervals</t>
  </si>
  <si>
    <t>Running (1500m)</t>
  </si>
  <si>
    <t>0.005
1.666
0.020
0.012</t>
  </si>
  <si>
    <t>840
(28p)</t>
  </si>
  <si>
    <t>0.9933</t>
  </si>
  <si>
    <t>30.2
cm2
area</t>
  </si>
  <si>
    <t>"PBMT applied immediately before running in noncontrolled environment was not able to improve the 1500 m performance of recreationally trained runners. However, responders to PBMT presented higher aerobic capacity than nonresponders."</t>
  </si>
  <si>
    <t>Device: "a mixed wavelength device (33 diodes: 5 LASERs of 850 nm, 12 LEDs of 670 nm, 8 LEDs of 880 nm, and 8 LEDs with 950 nm)"
Participants: recreationally trained runners
PBM timing: "immediately before time trial run"
***</t>
  </si>
  <si>
    <t>Peserico</t>
  </si>
  <si>
    <t>Brazil
(Maringá)</t>
  </si>
  <si>
    <t>Does Previous Application of Photobiomodulation Using Light-Emitted Diodes at Different Energy Doses Modify the Peak Running Velocity and Physiological Parameters? A Randomized, Crossover, Double-Blind, and Placebo-Controlled Study</t>
  </si>
  <si>
    <t>🧑 Human
🎲 Randomized trial, double-blind
Crossover
👥 15 participants</t>
  </si>
  <si>
    <t>560+
1440</t>
  </si>
  <si>
    <t>0.050+
0.150</t>
  </si>
  <si>
    <t>300/
1200/
1800</t>
  </si>
  <si>
    <t>1.5+
4.5</t>
  </si>
  <si>
    <t>46.3
cm2
cluster
(5 sites
per leg)</t>
  </si>
  <si>
    <t>75/
300/
450
per
leg
(?)</t>
  </si>
  <si>
    <t>"We concluded that the application of different doses of PBM using LEDs did not modify Vpeak and physiological and perceptual parameters."</t>
  </si>
  <si>
    <t xml:space="preserve">PBM timing: 5 minutes before running tests
Participants: physically active males
Application: "the probe was held stationary on skin contact"
</t>
  </si>
  <si>
    <t>Exercise: Swimming</t>
  </si>
  <si>
    <t>Effect of Photobiomodulation on Critical Swimming Velocity: A Randomized, Crossover, Double-Blind, and Placebo-Controlled Study</t>
  </si>
  <si>
    <t>🧑 Human
🎲 Randomized trial, double-blind, crossover
👥 15 participants
⌛ (?)</t>
  </si>
  <si>
    <t>Front crawl (100, 200 and 400 m)</t>
  </si>
  <si>
    <t>"A PBM application prior to front crawl swimming test did not significantly modify the CV, ST, physiological factors of metabolic fatigue, perceptual, and front crawl stroke efficiency parameters in competition swimmers covering distances of 100, 200, and 400 m."</t>
  </si>
  <si>
    <t>Garcez</t>
  </si>
  <si>
    <t>Res Sports Med</t>
  </si>
  <si>
    <t>Effects of photobiomodulation on sport performance in swimming para-athletes - a case series</t>
  </si>
  <si>
    <t>🧑 Human
📄 Case series, crossover, sham-controlled
👥 10 cases
⌛ single session</t>
  </si>
  <si>
    <t>"All athletes improved time in 50 ms swimming. On average, time decreased 4 s after PBM and 1.5 s after placebo. Also, the peak heartbeat was 10% lower after PBM.
A muscular pre-conditioning using PBM with an infrared LED could modulate upper musculature and cardio-respiratory function, leading to better swimming performance in parathletes."</t>
  </si>
  <si>
    <t>Exercise: Uncategoried (sprint + jump)</t>
  </si>
  <si>
    <t>Brazil
(Presidente Prudente)</t>
  </si>
  <si>
    <t>Photobiomodulation therapy applied during an exercise-training program does not promote additional effects in trained individuals: A randomized placebo-controlled trial</t>
  </si>
  <si>
    <t>🧑 Human
🎲 Randomized trial, sham-controlled
👥 39 participants
⌛ 2 sessions (active, sham) with 1-week washout</t>
  </si>
  <si>
    <t>180
total
dose</t>
  </si>
  <si>
    <t>228
per
site
6 sites on leg</t>
  </si>
  <si>
    <t>12
/ 6 weeks</t>
  </si>
  <si>
    <t>"The addition of PBM to a combined training performed for six weeks in previously trained individuals did not result in additional benefits compared to placebo or no additional intervention."</t>
  </si>
  <si>
    <t>Exercise: Water polo</t>
  </si>
  <si>
    <t>Zagatto</t>
  </si>
  <si>
    <t>Full Body Photobiomodulation Therapy to Induce Faster Muscle Recovery in Water Polo Athletes: Preliminary Results</t>
  </si>
  <si>
    <t>🧑 Human
🎲 Randomized trial, double-blind
👥 13 participants
⌛ 3 treatment sessions with 24h interval</t>
  </si>
  <si>
    <t>Full-body PBM
LED phototherapy</t>
  </si>
  <si>
    <t>3.82+
3.10</t>
  </si>
  <si>
    <t>"The parameters of the full body PBMT of this study did not induce faster recovery of inflammatory, muscle damage (excepting LDH), testosterone, cortisol, HRV, and neuromuscular responses during repeated days of water polo matches."</t>
  </si>
  <si>
    <t>Device: Joovv
PBM timing: after water polo match
***</t>
  </si>
  <si>
    <t>Exercise</t>
  </si>
  <si>
    <t>Tsuk</t>
  </si>
  <si>
    <t>Israel
(Netanya)</t>
  </si>
  <si>
    <t>J Hum Kinet</t>
  </si>
  <si>
    <t>Does Photobiomodulation Therapy Enhance Maximal Muscle Strength and Muscle Recovery?</t>
  </si>
  <si>
    <t>🧑 Human
🎲 Randomized trial, crossover, double-blind
⌛ 2 sessions with 1-week interval</t>
  </si>
  <si>
    <t>84.5</t>
  </si>
  <si>
    <t>~150
(50.7 on 3 points)</t>
  </si>
  <si>
    <t>11.3</t>
  </si>
  <si>
    <t>"Applying photobiomodulation for 10 min immediately before exercise did not improve muscle function or muscle recovery after fatigue."</t>
  </si>
  <si>
    <t>Device: B-Cure Laser</t>
  </si>
  <si>
    <t>da Cunha</t>
  </si>
  <si>
    <t>Photobiomodulation therapy and NMES improve muscle strength and jumping performance in young volleyball athletes: a randomized controlled trial study in Brazil.</t>
  </si>
  <si>
    <t>🧑 Human
🎲 Randomized trial
👥 36 participants
⌛ 6-week treatment -&gt; 2-week follow-up</t>
  </si>
  <si>
    <t>PBM vs neuromuscular electric stimulation (NMES)</t>
  </si>
  <si>
    <t>36
(6p)</t>
  </si>
  <si>
    <t>240
(6p)</t>
  </si>
  <si>
    <t>18 
/ 6 weeks</t>
  </si>
  <si>
    <t>"This study found that, for volleyball athletes, photobiomodulation therapy and NMES both promoted benefits in terms of muscle-strength gain. In addition, these benefits were maintained for 2 weeks even after training was interrupted.
Dominant lower limb strength improved in the NMES group compared to the control group. Non-dominant lower limb strength increased in both the photobiomodulation therapy group and the NMES group compared to the control group, but the NMES group improved significantly more than the photobiomodulation therapy group; the NMES group also improved in global impression of jumps compared to the control group."</t>
  </si>
  <si>
    <t>Follow-up 6-8 weeks</t>
  </si>
  <si>
    <t>Effects of photobiomodulation therapy in aerobic endurance training and detraining in humans: Protocol for a randomized placebo-controlled trial.</t>
  </si>
  <si>
    <t>"Despite the increasing body of evidence for the use of PBMT as an ergogenic agent, several aspects remain unknown. The findings of this study will contribute to the advance of knowledge in this field regarding clinical applications."</t>
  </si>
  <si>
    <t>Norway &amp; Brazil</t>
  </si>
  <si>
    <t>Infrared Low-Level Laser Therapy (Photobiomodulation Therapy) before Intense Progressive Running Test of High-Level Soccer Players: Effects on Functional, Muscle Damage, Inflammatory, and Oxidative Stress Markers-A Randomized Controlled Trial.</t>
  </si>
  <si>
    <t>🧑 Human
🎲 Randomized trial, crossover, double-blind
👥 22 participants
⌛ 2 sessions (1 active, 1 sham) with 14-day washout</t>
  </si>
  <si>
    <t>100
per
diode
(5 diodes)</t>
  </si>
  <si>
    <t>850
per
lower
limb</t>
  </si>
  <si>
    <t>275</t>
  </si>
  <si>
    <t>0.0364 
cm2
spot
size
per diode
(5 diodes)
9.6
cm2
cluster
area</t>
  </si>
  <si>
    <t>"PBMT increased the VO2 max (both relative and absolute values-p &lt; 0.0467 and p &lt; 0.0013, respectively), time until exhaustion (p &lt; 0.0043), time (p &lt; 0.0007) and volume (p &lt; 0.0355) in which anaerobic threshold happened, and volume in which aerobic threshold happened (p &lt; 0.0068). 
Moreover, PBMT decreased CK (p &lt; 0.0001) and LDH (p &lt; 0.0001) activities. Regarding the cytokines, PBMT decreased only IL-6 (p &lt; 0.0001). 
Finally, PBMT decreased TBARS (p &lt; 0.0001) and carbonylated protein levels (p &lt; 0.01) and increased SOD (p &lt; 0.0001)and CAT (p &lt; 0.0001) activities. 
The findings of this study demonstrate that preexercise PBMT acts on different functional aspects and biochemical markers. Moreover, preexercise PBMT seems to play an important antioxidant effect, decreasing exercise-induced oxidative stress and consequently enhancing athletic performance and improving postexercise recovery."</t>
  </si>
  <si>
    <t>PBM application: "Cluster in stationary position with slight pressure and direct contact with skin"</t>
  </si>
  <si>
    <t>Effects of Endurance Running Training Associated With Photobiomodulation on 5-Km Performance and Muscle Soreness: A Randomized Placebo-Controlled Trial.</t>
  </si>
  <si>
    <t>🧑 Human
🎲 Randomized trial, sham-controlled
👥 30 participants
⌛10 weeks (PBM on weeks 2-5 and 7-10)</t>
  </si>
  <si>
    <t>2000
total</t>
  </si>
  <si>
    <t>300
/leg</t>
  </si>
  <si>
    <t>46.3
cm2
cluster
size
0.2
cm2
LED spot
size
(104 diodes)</t>
  </si>
  <si>
    <t>12
/ 4 weeks
(wk 2-5)
--&gt;
12
/ 4 weeks
(wk 7-10)</t>
  </si>
  <si>
    <t>"[N]o significant difference were found between PBMG and PLA interventions"</t>
  </si>
  <si>
    <t>Brazil
(Santa Catarina)</t>
  </si>
  <si>
    <t>Photobiomodulation Therapy on Physiological and Performance Parameters During Running Tests: Dose-Response Effects.</t>
  </si>
  <si>
    <t>🧑 Human
🎲 Randomized trial, crossover, double-blind
👥 15 participants
⌛ 5 sessions with 1-week washout (control / sham / PBM15 / PBM30 / PBM45)</t>
  </si>
  <si>
    <t xml:space="preserve">LED phototherapy (w/ also some laser diodes)
(Biphasic dose response)
</t>
  </si>
  <si>
    <t>670
(LED)
+
850
(laser)
+
880
(LED)
+
950
(LED)</t>
  </si>
  <si>
    <t>210
420
840
(14p)</t>
  </si>
  <si>
    <t>"All PBMT doses positively affected physiological and/or performance parameters; however magnitude-based inference reported that PBMT applied with 30 J led to more beneficial effects than 15 J and 60 J."</t>
  </si>
  <si>
    <t>Dose-response effect of photobiomodulation therapy on neuromuscular economy during submaximal running.</t>
  </si>
  <si>
    <t>🧑 Human
🎲 Randomized trial, crossover, double-blind
👥 18 participants
⌛5 sessions with maximum of 1-week of washout (control / sham / PBM15 / PBM30 / PBM60)</t>
  </si>
  <si>
    <t>LED phototherapy (28 LED diodes; 5 laser diodes)
Biphasic dose response</t>
  </si>
  <si>
    <t>670
+
850
+
880
+
950</t>
  </si>
  <si>
    <t>15
30
60
/ site
(14 sites)</t>
  </si>
  <si>
    <t>"According to magnitude-based inference, PBMT with dose of 15 J per site showed possibly and likely beneficial effects on neuromuscular economy during running at 8 and 9 km h-1, respectively. On other hand, PBMT with doses of 30 and 60 J per site showed possible beneficial effects only during running at 9 km h-1. We concluded that PBMT improve neuromuscular economy and the best PBMT dose was 15 J per site (total dose of 420 J)."</t>
  </si>
  <si>
    <t>Device: "Chatanooga Intelect Mobile Laser 2779 system (Chatanooga Group, Guildford Surrey, UK)"</t>
  </si>
  <si>
    <t>Malta Ede</t>
  </si>
  <si>
    <t>Brazil
(Rio Claro)</t>
  </si>
  <si>
    <t>Acute LED irradiation does not change the anaerobic capacity and time to exhaustion during a high-intensity running effort: a double-blind, crossover, and placebo-controlled study : Effects of LED irradiation on anaerobic capacity and performance in running.</t>
  </si>
  <si>
    <t>🧑 Human
🎲 Randomized trial, crossover, double-blind
👥 15 participants
⌛ 2 treatment sessions (1 active, 1 sham) with 48h washout</t>
  </si>
  <si>
    <t>LED phototherapy 
LED cluster (104 diodes)</t>
  </si>
  <si>
    <t>660
+
850</t>
  </si>
  <si>
    <t>300
/leg
(2 legs)</t>
  </si>
  <si>
    <t>69
cm2
LED
spot
size</t>
  </si>
  <si>
    <t>"In summary, LEDT after a high-intensity running effort did not alter the MAODALT, metabolic energy pathways, or high-intensity running performance."</t>
  </si>
  <si>
    <t>Device: "The LEDT (THOR-LX2, Thor Photomedicine Ltd, London, UK) was performed using a cluster multi-diode containing 104 LEDs."</t>
  </si>
  <si>
    <t>Brazil
(Caxias do Sul)</t>
  </si>
  <si>
    <t>Low-level laser therapy (LLLT) in human progressive-intensity running: effects on exercise performance, skeletal muscle status, and oxidative stress.</t>
  </si>
  <si>
    <t>🧑 Human
🎲 Randomized trial, double-blind, crossover
👥 22 participants
⌛ 2 sessions (1 active, 1 sham), washout time unknown (?)</t>
  </si>
  <si>
    <t>360
/ lower
limb</t>
  </si>
  <si>
    <t>30
/point</t>
  </si>
  <si>
    <t>"Compared to placebo, active LLLT significantly increased exercise performance (VO(2 max) p = 0.01; time to exhaustion, p = 0.04) without changing the aerobic and anaerobic thresholds. LLLT also decreased post-exercise lipid (p = 0.0001) and protein (p = 0.0230) damages, as well as the activities of SOD (p = 0.0034), CK (p = 0.0001) and LDH (p = 0.0001) enzymes. LLLT application was not able to modulate CAT activity.
The use of LLLT before progressive-intensity running exercise increases exercise performance, decreases exercise-induced oxidative stress and muscle damage, suggesting that the modulation of the redox system by LLLT could be related to the delay in skeletal muscle fatigue observed after the use of LLLT."</t>
  </si>
  <si>
    <t>PBM timing: 5 minutes before exercise</t>
  </si>
  <si>
    <t>Tucci</t>
  </si>
  <si>
    <t>Quadriceps femoris performance after resistance training with and without photobiomodulation in elderly women: a randomized clinical trial.</t>
  </si>
  <si>
    <t xml:space="preserve">🧑 Human
🎲 Randomized trial, sham-controlled
👥 45 participants
⌛ 8 weeks
</t>
  </si>
  <si>
    <t>700
(7 diodes)</t>
  </si>
  <si>
    <t>112
(??)</t>
  </si>
  <si>
    <t>120
(??)</t>
  </si>
  <si>
    <t>"Quadriceps femoris performance of older women was not improved when photobiomodulation was associated to the proposed quadriceps femoris resistance training, when compared to training without photobiomodulation and a sedentary group."
Comment: The text says they used 808 nm device but Figure 1 says 850 nm. There are also other dosage inconsistencies, eg. claiming 40s irradiation per application but also claiming four applications totaling 120s (instead of 160s), or 4J per application but 112J per four applications.</t>
  </si>
  <si>
    <t>Effects of Light-Emitting Diode Therapy on the Performance of Biceps Brachii Muscle of Young Healthy Males After 8 Weeks of Strength Training: A Randomized Controlled Clinical Trial.</t>
  </si>
  <si>
    <t>"Our findings suggest that photobiomodulation does not have an effect on muscle performance and resistance to fatigue of the biceps brachii in untrained young males who undergo an 8-week strength training program. This result was not expected, since previous studies had shown efficacy of LLLT on reducing muscle fatigue and improving muscle performance (3,12,40)."</t>
  </si>
  <si>
    <t>Malta</t>
  </si>
  <si>
    <t>Photobiomodulation by Led Does Not Alter Muscle Recovery Indicators and Presents Similar Outcomes to Cold-Water Immersion and Active Recovery.</t>
  </si>
  <si>
    <t>🧑 Human
🎲 Randomized trial, double-blind, crossover (??)
👥 12 participants (PBM part of study)
⌛ 2 sessions with 5-day washout (crossover?)</t>
  </si>
  <si>
    <t>LED phototherapy
LED cluster</t>
  </si>
  <si>
    <t>60
/p
300
/leg</t>
  </si>
  <si>
    <t>"In part-I, there were no interactions between PBMT and placebo conditions for any blood markers (P ≥ 0.313), DOMS (P = 0.052), and CMJ (P = 0.295)."
"The conflicting results in the literature may be explained by the different doses or energy used. In this way, many authors have made efforts to clarify the dose response effect of PBMT on exercise performance and muscle recovery indices, however, the optimal dose is still unclear. In the present investigation a dose of 600 J was applied, which is higher than other recent studies. However, considering that several lower limb muscles are active during cycling, and that several application points were required to radiate the entire area, our doses were high mainly due to the application area. Therefore, when the dose per diode irradiation area was relativized the values were ≈ 1.5–4.5 J/cm2 , close to the dose proposed by Ferraresi et al. (2012) for decreasing muscle damage (≈ 1.0–2.5 J/cm2 )."
"In summary, PBMT had no effect on inflammation, muscle damage, CMJ performance, or DOMS after two consecutive sprint interval training sessions compared to placebo, CWI, and AR strategies."</t>
  </si>
  <si>
    <t>Rigby &amp; Hagan</t>
  </si>
  <si>
    <t>USA
(San Marcos, TX)</t>
  </si>
  <si>
    <t>J Sport Rehabil</t>
  </si>
  <si>
    <t>A Novel Blue-Red Photobiomodulation Therapy Patch Effects on a Repetitive Elbow Flexion Fatigue Task.</t>
  </si>
  <si>
    <t>🧑 Human
🎲 Randomized trial, sham-controlled
👥 34 participants
⌛ 2 sessions (1 treatment session)</t>
  </si>
  <si>
    <t>450+
645</t>
  </si>
  <si>
    <t>"Overall, fatigue occurred between the two exercise bouts (pre-treatment= 44.1 ± 12.3 and post-treatment= 37.4 ± 9.6 repetitions, P= 0.015). However, less fatigue was noted in the number of participants of the active treatment group over the sham treatment group. 29.4% of participants in the active treatment group improved during the post-treatment fatigue task compared to 0% in the sham treatment (P= 0.045)."
"Nearly 30% of participants had an increase benefit during a repeated bout fatigue task due to the blue/red LED photobiomodulation light patch."</t>
  </si>
  <si>
    <t>Dornelles</t>
  </si>
  <si>
    <t>Brazil 
(Porto Alegre)</t>
  </si>
  <si>
    <t>Photobiomodulation therapy as a tool to prevent hamstring strain injuries by reducing soccer-induced fatigue on hamstring muscles.</t>
  </si>
  <si>
    <t>🧑 Human
🎲 Randomized trial, double-blind, crossover
👥 12 participants
⌛ 2 sessions (1 active, 1 sham) with at least 7-day interval</t>
  </si>
  <si>
    <t>LED phototherapy
LED array (152 diodes)</t>
  </si>
  <si>
    <t>5000
(33
per
diode)</t>
  </si>
  <si>
    <t>0.243
or
0.020
????</t>
  </si>
  <si>
    <t>300
/thigh</t>
  </si>
  <si>
    <t>252
cm2</t>
  </si>
  <si>
    <t>"Players had lower reductions on hamstring eccentric peak torque [4.85% (ES = 0.31) vs. 8.72% (ES = 0.50)], hamstring-to-quadriceps torque ratio [3.60% (ES = 0.24) vs. 7.75% (ES = 0.50)], and CMJ height [1.77% (ES = 0.09) vs. 5.47% (ES = 0.32)] when treated with PBMT compared to placebo."
"In conclusion, PBMT applied before a simulated soccer match proved to be effective in attenuating the hamstrings' muscle fatigue. These findings support PBMT as a promising tool to prevent hamstring strain injury in soccer players."</t>
  </si>
  <si>
    <t>Exercise: Reviews</t>
  </si>
  <si>
    <t>Can pre-exercise photobiomodulation improve muscle endurance and promote recovery from muscle strength and injuries in people with different activity levels? A meta-analysis of randomized controlled trials</t>
  </si>
  <si>
    <t>"Thirty-four RCTs were included based on the article inclusion and exclusion criteria. 
Statistical results showed that PBMT significantly improved muscle endurance (standardized mean difference [SMD] = 0.31, 95%CI 0.11, 0.51, p &lt; 0.01), indicating a moderate effect size. 
It also facilitated the recovery of muscle strength (SMD = 0.24, 95%CI 0.10, 0.39, p &lt; 0.01) and CK (mean difference [MD] = -77.56, 95%CI -112.67, -42.44, p &lt; 0.01), indicating moderate and large effect sizes, respectively. 
Furthermore, pre-application of PBMT significantly improved muscle endurance, recovery of muscle strength and injuries in physically inactive individuals and athletes (p &lt; 0.05), while there was no significant benefit for physically active individuals. 
Pre-application of PBMT improves muscle endurance and promotes recovery from muscle strength and injury (includes CK and LDH) in athletes and sedentary populations, indicating moderate to large effect sizes, but is ineffective in physically active populations. This may be due to the fact that physically active people engage in more resistance training, which leads to a decrease in the proportion of red muscle fibres, thus affecting photobiomodulation."</t>
  </si>
  <si>
    <t>Bezerra</t>
  </si>
  <si>
    <t>Effects of photobiomodulation therapy on the functional performance of healthy individuals: a systematic review with meta-analysis</t>
  </si>
  <si>
    <t>"Sixteen studies were included, totaling 340 individuals (183 males and 157 women). 
Most articles presented a low risk of bias. 
Variability was observed in device types and application domains, including wavelengths (655-905 nm), power (10-200 nW), energy (0.6-30 J per point), and time (30-100 s per point). 
PBMT improved fatigue recovery (mean difference: 5.87; 95% CI 3.83, 7.91). 
There was no enhancement in strength (peak torque: mean difference 12.40; 95% CI -5.55, 30.55; one-repetition maximum test: mean difference 39.97, 95% CI -2.44, 82.38; isometric and isokinetic strength: mean difference 2.77, 95% CI -14.90, 20.44) nor improvement in short-term (mean difference 0.67, 95% CI -0.58, 1.91) and long-term (mean difference 18.44, 95% CI -55.65, 92.54) functional capacity. 
PBMT may aid in favoring fatigue recovery in healthy individuals; however, there's no evidence to support PBMT enhancing strength or improving functional capacity."</t>
  </si>
  <si>
    <t>Driller &amp; Leabeater</t>
  </si>
  <si>
    <t>Sports (Basel)</t>
  </si>
  <si>
    <t>Fundamentals or Icing on Top of the Cake? A Narrative Review of Recovery Strategies and Devices for Athletes</t>
  </si>
  <si>
    <t>"The sport and athletic performance industry has seen a plethora of new recovery devices and technologies over recent years, and it has become somewhat difficult for athletes, coaches, and practitioners to navigate the efficacy of such devices or whether they are even required at all. With the increase in recovery devices and tools, it has also become commonplace for athletes to overlook more traditional, well-established recovery strategies. 
In this narrative review, we discuss recovery strategies in relation to the hierarchy of scientific evidence, classifying them based on the strength of the evidence, ranging from meta-analyses through to case studies and reports. 
We report that foam rolling, compression garments, cryotherapy, photobiomodulation, hydrotherapy, and active recovery have a high level of positive evidence for improved recovery outcomes, while sauna, recovery boots/sleeves, occlusion cuffs, and massage guns currently have a lower level of evidence and mixed results for their efficacy. 
Finally, we provide guidance for practitioners when deciding on recovery strategies to use with athletes during different phases of the season."
"In contrast to the previously discussed recovery strategies, photobiomodulation (PBMT) is a recovery strategy that has received less attention in the professional athletic setting, despite numerous studies on the topic in the past 10 years. PBMT is a form of low-level, non-invasive light-emitting diode or laser therapy that proposes to modulate the biological processes of cells at the mitochondrial level, increasing oxygen consumption and the production of adenosine triphosphate (ATP) [53]. Meta-analyses on the topic have generally reported positive findings for PBMT, especially in relation to reducing muscle fatigue and increases in both muscular strength and endurance performance [54,55,56]. Further, the most recent meta-analysis suggested that PBMT might be more effective than various methods of cryotherapy (cold water immersion or ice-pack application) [57]. Conversely, it is worth noting that there is a high risk of bias and a small sample size within PBMT studies [54], with many of the studies coming from the same research group. However, at this stage, PBMT does seem to have sufficient support as a recovery strategy for athletes and is largely accessible and relatively affordable."</t>
  </si>
  <si>
    <t>González-Muñoz</t>
  </si>
  <si>
    <t>Spain
(Melilla)</t>
  </si>
  <si>
    <t>Appl Sci</t>
  </si>
  <si>
    <t>Effects of Photobiomodulation in Sports Performance: A Literature Review</t>
  </si>
  <si>
    <t>📚 Systematic review (papers 2017-2022)</t>
  </si>
  <si>
    <t>"The included randomized clinical trials were in English, conducted on humans and published since 2016.
"A total of 15 randomized clinical trials were included, 4 of which found an improvement in oxygen volume after an aerobic stress test, while 2 showed no change. Muscle damage decreased in five studies, however, in two of them muscle damage did not change. Blood lactate concentration decreased in two of the studies, while in three of them there was no difference. Muscle soreness was lower in three studies, however, in four of the articles no change was demonstrated. 
All selected studies were of good methodological quality. On the IVS, six RCTs had a high internal quality and nine of them moderate. 
Photobiomodulation therapy has a positive effect on sports performance. Scientific studies on the subject are limited and more research in this line is needed."</t>
  </si>
  <si>
    <t>Can Photobiomodulation Therapy (PBMT) Minimize Exercise-Induced Oxidative Stress? A Systematic Review and Meta-Analysis</t>
  </si>
  <si>
    <t>"Low to moderate certainty evidence shows that PBMT is a resource that can reduce oxidative damage and increase enzymatic antioxidant activity post exercise. We found evidence to support that one session of PBMT can modulate the redox metabolism."</t>
  </si>
  <si>
    <t>Sports Med</t>
  </si>
  <si>
    <t>Deconstructing the Ergogenic Effects of Photobiomodulation: A Systematic Review and Meta-analysis of its Efficacy in Improving Mode-Specific Exercise Performance in Humans</t>
  </si>
  <si>
    <t>"A total of 37 individual studies, employing 78 exercise performance measurements in 586 participants, were included in the analyses. 
In single-joint exercises, PBMT improved muscle endurance performance (SMD 0.27, 95% CI 0.12-0.41; p &lt; 0.01) but not muscle strength performance (p = 0.92). 
In cycling, PBMT improved time to exhaustion performance (SMD 0.35, 95% CI 0.10-0.59; p &lt; 0.01) but had no effect on all-out sprint performance (p = 0.96). 
Similarly, PBMT had no effect on time to exhaustion (p = 0.10), time-trial (p = 0.61), or repeated-sprint (p = 0.37) performance in running and no effect on time-trial performance in swimming (p = 0.81)."
"PBMT improves muscle endurance performance in single-joint exercises and time to exhaustion performance in cycling but is not effective for muscle strength performance in single-joint exercises, running, or swimming performance metrics."</t>
  </si>
  <si>
    <t>Photobiomodulation and Sports: Results of a Narrative Review</t>
  </si>
  <si>
    <t>"In the present research, PBM has been shown to have valuable protective and ergogenic effects in 25 human studies, being the key to success for high performance and recovery, facts supported also by 22 animal studies. PBM applied creatively and targeted depending on sport and size of the level of physical effort could perfectly modulate the mitochondrial activity and thus lead to remarkable improvements in performance.
PBM with no conclusive results or without effects from this review (14 studies from a total of 39 on humans) was analyzed and we found the motivations of the authors from the perspective of multiple causes related to technological limitations, participants, the protocols for physical activity, the devices, techniques and PBM parameters.
In the near future, dose-response experiments on physical activity should be designed and correlated with PBM dose-response studies, so that quantification of PBM parameters to allow the energy, metabolic, immune, and neuro-endocrine modulation, perfectly coupled with the level of training."</t>
  </si>
  <si>
    <t>Taiwan
(Taiwan)</t>
  </si>
  <si>
    <t>Sports Health</t>
  </si>
  <si>
    <t>Effects of Low-Level Laser Therapy on Muscular Performance and Soreness Recovery in Athletes: A Meta-analysis of Randomized Controlled Trials</t>
  </si>
  <si>
    <t>"A total of 24 studies were included. LLLT application before exercise significantly improved lower-limb muscle strength in 24-hour, 48-hour, 96-hour, and 8-week follow-up groups. Furthermore, decreased soreness index, serum creatine kinase concentrations, interleukin-6, and thiobarbituric acid reactive substance concentrations and a trend toward the improvement of contract repetition number and VO2 kinetic outcomes were observed."</t>
  </si>
  <si>
    <t>Ferlito</t>
  </si>
  <si>
    <t>Comparison between cryotherapy and photobiomodulation in muscle recovery: a systematic review and meta-analysis</t>
  </si>
  <si>
    <t>" Four articles (66 participants) with a high to low risk of bias were included. The certainty of evidence was classified as moderate to very low.
PBMT was estimated to improve the muscle strength (SMD = 1.73, CI 95% 1.33 to 2.13, I2 = 27%, p &lt; 0.00001), reduce delayed onset muscle soreness (MD: - 25.69%, CI 95% - 34.42 to - 16.97, I2 = 89%, p &lt; 0.00001), and lower the concentration of biomarkers of muscle damage (SMD = - 1.48, CI 95% - 1.93 to - 1.03, I2 = 76%, p &lt; 0,00,001) when compared with CRT.
There was no difference in oxidative stress and inflammatory levels.
Based on our findings, the use of PBMT in muscle recovery after high-intensity exercise appears to be beneficial, provides a clinically important effect, and seems to be the best option when compared to CRT."</t>
  </si>
  <si>
    <t>Ferraresi C</t>
  </si>
  <si>
    <t>Use of Photobiomodulation Therapy in Exercise Performance Enhancement and Postexercise Recovery: True or Myth?</t>
  </si>
  <si>
    <t>"Although many positive effects of PBMT reported previously, it is not unusual to read RCTs that reported no effects of PBMT on exercise performance enhancement or postexercise recovery. The most common argument for the lack of positive results is the PBMT dose–response, although previous therapeutic windows regarding the light energy (J) were identified previously. These contradictory results may put in check those therapeutics windows based only on energy (J) applied. At this point, it is very important to highlight that the same energy (J) can be delivered/ applied through different ways: with high or low power (W) of the light, and with short or long time of irradiation (sec), respectively. However, the best combination between both parameters depends on the characteristics of the photobiomodulation devices that may affect the results."
"[T]he literature brings up several studies with vastly different devices.2,7,8 We can read studies using laser probes, LED probes, cluster of LEDs, cluster of LEDs plus laser diodes, cluster of laser diodes, arrays of LEDs displayed as a blanket, and cluster of LEDs plus laser diodes combined with magnetic field therapy."</t>
  </si>
  <si>
    <t>Bettleyon &amp; Kaminski</t>
  </si>
  <si>
    <t>Does Low-Level Laser Therapy Decrease Muscle-Damaging Mediators After Performance in Soccer Athletes Versus Sham Laser Treatment? A Critically Appraised Topic</t>
  </si>
  <si>
    <t>PBM treatment before vs after exercise</t>
  </si>
  <si>
    <t>"In each article, BL and CK showed a significant decrease (P &lt; .05) when performed either preperformance or postperformance versus the control group. The greatest decrease in these mediators was noticed when postperformance laser therapy was performed."
"All 3 articles obtained a Physiotherapy Evidence Database score of ≥8/10."</t>
  </si>
  <si>
    <t>Revista CEFAC</t>
  </si>
  <si>
    <t>Immediate effects of photobiomodulation with low-level laser therapy on muscle performance: an integrative literature review</t>
  </si>
  <si>
    <t>"The final sample consisted of 27 articles published between 2008 and 2017. The sample size in the studies ranged from 8 to 60 individuals, aged from 17 to 70 years. A greater use of infrared wavelength, with punctual applications carried out in the path of the muscle, was observed. Regarding the dose, there was a variation from 0.24 to 50 joules per point. Of the total, only 5 (18.5%) studies had not found significant answers for the considered variables.
"Most of the studies pointed out that low-level laser can improve muscle performance. The methodology used in the work was diversified, rendering data compilation difficult, being impossible to set the ideal parameters for this purpose."</t>
  </si>
  <si>
    <t>Clinical and scientific recommendations for the use of photobiomodulation therapy in exercise performance enhancement and post-exercise recovery: current evidence and future directions.</t>
  </si>
  <si>
    <t>📖 Review / Recommendation</t>
  </si>
  <si>
    <t>Exercise performance
Muscle recovery</t>
  </si>
  <si>
    <t>"It was evidenced that 75% of doses that presented positive results for performance enhancement in large muscle groups were between 60 J and 300 J, and that 85% of doses that presented positive results for performance enhancement in small muscle groups were between 20 J and 60 J (Fig. 1)."
"Despite the growing body of evidence supporting the use of PBMT for performance enhancement and to accelerate post-exercise recovery, the quality of evidence needs to be improved. The recent systematic reviews with meta-analysis in this field14,22 showed low to moderate quality of evidence to the main outcomes, demonstrating that further research is needed to be confident about the effects. We attribute this quality level of evidence mainly to the risk of bias category and the imprecision of the results due the small sample size and wide confidence intervals observed in the outcomes."</t>
  </si>
  <si>
    <t>Fisher</t>
  </si>
  <si>
    <t>Photobiomodulation Therapy is More Effective than Cryotherapy for Skeletal Muscle Recovery: A Critically Appraised Topic.</t>
  </si>
  <si>
    <t>"Three moderate- to high quality double-blinded, randomized placebo-controlled trials and two low- to moderate quality translational studies performed on rats were included in this CAT. 
All 5 studies supported the use of PBMT over cryotherapy as a treatment for post-exercise muscle recovery following exercise. PBMT was superior in reducing creatine kinase, inflammation markers, and blood lactate compared to cryotherapy following strenuous/high intensity aerobic or strength muscular exercise. PBMT was also shown to improve post-exercise muscle performance and function more than cryotherapy."</t>
  </si>
  <si>
    <t>Clin J Sport Med</t>
  </si>
  <si>
    <t>Phototherapy on Management of Creatine Kinase Activity in General Versus Localized Exercise: A Systematic Review and Meta-Analysis.</t>
  </si>
  <si>
    <t>"Fourteen studies were included for review. The results revealed that phototherapy has a more positive effect than control condition in management of CK activity [SMD = 0.77, 95% CI (0.32 to 1.22); P = 0.0007; I = 72%]. In exploratory analysis, the results showed that phototherapy was effective only in the exercise protocol with localized exercise with large effect size [localized exercise: SMD = 0.89, 95% CI (0.26 to 1.51); P = 0.0002; I = 76%; general exercise: SMD = 0.61, 95% CI (-0.05 to 1.26); P = 0.07; I = 67%]."
"The available evidence suggest that phototherapy has beneficial effects on the management of CK activity and demonstrate a possible relationship based on damage caused by exercise, providing a greater effect in studies that used localized exercise."</t>
  </si>
  <si>
    <t>Vanin</t>
  </si>
  <si>
    <t>Photobiomodulation therapy for the improvement of muscular performance and reduction of muscular fatigue associated with exercise in healthy people: a systematic review and meta-analysis.</t>
  </si>
  <si>
    <t>" Analyses of risk of bias and quality of evidence of the included trials were performed, and authors were contacted to obtain any missing or unclear information. We included 39 trials (861 participants). Data were reported descriptively through tables, and 28 trials were included in meta-analysis comparing outcomes to placebo. Meta-analysis was performed for the variables: time until reach exhaustion, number of repetitions, isometric peak torque, and blood lactate levels showing a very low to moderate quality of evidence and some effect in favor to phototherapy. Further investigation is required due the lack of methodological quality, small sample size, great variability of exercise protocols, and phototherapy parameters.
In general, positive results were found using both low-level laser therapy and light-emitting diode therapy or combination of both in a wavelength range from 655 to 950 nm.
Most of positive results were observed with an energy dose range from 20 to 60 J for small muscular groups and 60 to 300 J for large muscular groups and maximal power output of 200 mW per diode."</t>
  </si>
  <si>
    <t>Nampo</t>
  </si>
  <si>
    <t>Effect of low-level phototherapy on delayed onset muscle soreness: a systematic review and meta-analysis.</t>
  </si>
  <si>
    <t>"We identified 15 studies involving 317 participants. Meta-analyses were limited by substantial heterogeneity.
Compared to the placebo group, reduction in CK levels was only observed when LASERtherapy was applied before an exercise protocol (standardized mean difference = -0.66; 95 % CI = -1.30, -0.02).
No between-group difference in edema, range of movement and strength were detected when phototherapy was applied before or after exercise.
Evidence from this review suggests that low-level phototherapy may not have substantial effect in the treatment of skeletal muscle injury and pain caused by exercise. Definitive conclusions are limited due to the small number of included studies in each meta-analysis, disparities across the included studies and small sample sizes."</t>
  </si>
  <si>
    <r>
      <rPr>
        <rFont val="Arial"/>
        <b/>
        <color rgb="FF980000"/>
        <sz val="6.0"/>
      </rPr>
      <t>★</t>
    </r>
    <r>
      <rPr>
        <rFont val="Arial"/>
        <b/>
        <color rgb="FF980000"/>
        <sz val="9.0"/>
      </rPr>
      <t xml:space="preserve">
</t>
    </r>
    <r>
      <rPr>
        <rFont val="Arial"/>
        <b/>
        <color rgb="FF980000"/>
        <sz val="6.0"/>
      </rPr>
      <t>📷</t>
    </r>
  </si>
  <si>
    <t>Photobiomodulation in human muscle tissue: an advantage in sports performance?</t>
  </si>
  <si>
    <t>Parameters
Optimal Dose</t>
  </si>
  <si>
    <t>"This review covers the effects of PBM on human muscle tissue in clinical trials in volunteers related to sports performance and in athletes. The parameters used were categorized into those with positive effects or no effects on muscle performance and recovery."
"Searches retrieved 533 studies, of which 46 were included in the review (n = 1045 participants). Studies used single laser probes, cluster of laser diodes, LED clusters, mixed clusters (lasers and LEDs), and flexible LED arrays. Both red, NIR, and red/NIR mixtures were used. PBM can increase muscle mass gained after training, and decrease inflammation and oxidative stress in muscle biopsies. We raise the question of whether PBM should be permitted in athletic competition by international regulatory authorities."
Comment: The review also has some photos and interesting figures related to studied light doses in different trials.</t>
  </si>
  <si>
    <t>Effect of phototherapy (low-level laser therapy and light-emitting diode therapy) on exercise performance and markers of exercise recovery: a systematic review with meta-analysis.</t>
  </si>
  <si>
    <t>"From 13 RCTs with acceptable methodological quality (≥6 of 10 items), 12 RCTs irradiated phototherapy before exercise, and 10 RCTs reported significant improvement for the main outcome measures related to performance.
The time until exhaustion increased significantly compared to placebo by 4.12 s (95% CI 1.21-7.02, p &lt; 0.005) and the number of repetitions increased by 5.47 (95% CI 2.35-8.59, p &lt; 0.0006) after phototherapy.
Heterogeneity in trial design and results precluded meta-analyses for biochemical markers, but a quantitative analysis showed positive results in 13 out of 16 comparisons.
The most significant and consistent results were found with red or infrared wavelengths and phototherapy application before exercises, power outputs between 50 and 200 mW and doses of 5 and 6 J per point (spot).
We conclude that phototherapy (with lasers and LEDs) improves muscular performance and accelerate recovery mainly when applied before exercise."</t>
  </si>
  <si>
    <t>Borsa</t>
  </si>
  <si>
    <t>Does phototherapy enhance skeletal muscle contractile function and postexercise recovery? A systematic review.</t>
  </si>
  <si>
    <t>"In total, 12 randomized controlled trials met the inclusion criteria. However, we excluded data from 2 studies, leaving 32 data sets from 10 studies."
"Exposing skeletal muscle to single-diode and multidiode laser or multidiode LED therapy was shown to positively affect physical performance by delaying the onset of fatigue, reducing the fatigue response, improving postexercise recovery, and protecting cells from exercise-induced damage."</t>
  </si>
  <si>
    <t>da Costa Santos</t>
  </si>
  <si>
    <t>Effects of photobiomodulation applied at different times on functional performance and ergogenic response of rugby athletes: Randomized clinical trial</t>
  </si>
  <si>
    <t>🧑 Human (rugby athletes)
🎲 Randomized trial, crossover
👥 18 participants
⌛ 4 phases (control, pre-exercise PBM, PBM during exercise and post-exercise PBM)</t>
  </si>
  <si>
    <t>"No differences were found between groups in CK, lactate, and performance in the functional tests between groups and times. Only the PBpre presented improved performance in the first Yoyo-1R1 test (p &lt; 0.01), while the PBint improved in the second Yoyo-IR1 test and BST (p &lt; 0.05)."
"The PBM did not change muscle damage markers or performance in the functional tests. For an ergogenic response, photobiomodulation applied before exercise improves performance, which can be maintained when PBM is performed in the exercise interval."</t>
  </si>
  <si>
    <t>Serighelli</t>
  </si>
  <si>
    <t>Can photobiomodulation improve quadriceps strength and endurance outcomes in asymptomatic adults? A double-blind randomized controlled trial</t>
  </si>
  <si>
    <t>🧑 Human (elderly ♂)
🎲 Randomized trial, double-blind
👥 28 participants
⌛ 4 days</t>
  </si>
  <si>
    <t>830
+
amber (590 ?)</t>
  </si>
  <si>
    <t>"There was no difference between photobiomodulation compared to sham in maximum isometric torque (mean difference (95% CI) = 0.008 (-0.29 to 0.31) and endurance torques (mean difference (95% CI) = 0.04 (-0.03 to 0.12). The mean difference was lower than the minimal detectable change for the maximum isometric torque (1.02 Nm.kg-1) and endurance torque (0.49 Nm.kg-1)."
"Photobiomodulation does not improve quadriceps strength and endurance outcomes in asymptomatic adults."
Comment: The full text says amber LED is 90 nm but I suppose it is actually 590 nm.</t>
  </si>
  <si>
    <t>Eur J Appl Physiol.</t>
  </si>
  <si>
    <t>Effects of photobiomodulation therapy associated with resistance training in elderly men: a randomized double-blinded placebo-controlled trial.</t>
  </si>
  <si>
    <t xml:space="preserve">🧑 Human (elderly ♂)
🎲 Randomized trial, double-blind
👥 24 participants
⌛ 12 weeks </t>
  </si>
  <si>
    <t>240
/leg</t>
  </si>
  <si>
    <t>"Different than previously evidenced in young subjects, PBMT with the parameters used in this study did not provide any additional benefits in comparison to placebo application on muscle mass, strength and functional capacity of healthy elderly men engaged in a resistance training program."
Note: Eight sites of the quadriceps muscle were defined by palpation and treated: two at vastus lateralis, three at vastus medialis, and three at rectus femoris</t>
  </si>
  <si>
    <t>Chattanooga Corp., Chattanooga, USA</t>
  </si>
  <si>
    <t>Brazil
(Caxias do Sul))</t>
  </si>
  <si>
    <t>Photobiomodulation therapy before futsal matches improves the staying time of athletes in the court and accelerates post-exercise recovery.</t>
  </si>
  <si>
    <t>🧑 Human
🎲 Randomized trial, double-blind, crossover
👥 6 participants
⌛ 2 sessions (1 active, 1 sham) with 2-week crossover</t>
  </si>
  <si>
    <t>LED phototherapy
LLLT+LED</t>
  </si>
  <si>
    <t>640
(LED)
+
875
(LED)
+
905
laser</t>
  </si>
  <si>
    <t>60
+
70
+
1.25</t>
  </si>
  <si>
    <t>510
/ lower
limb</t>
  </si>
  <si>
    <t>"PBMT significantly increased the time of staying in the pitch and a significant improvement in all the biochemical markers evaluated. No statistically significant difference was found for the distance covered. 
Pre-exercise PBMT can enhance performance and accelerate recovery of high-level futsal players."</t>
  </si>
  <si>
    <t>Beltrame</t>
  </si>
  <si>
    <t>Canada &amp; Brazil</t>
  </si>
  <si>
    <t>Light-emitting diode therapy (photobiomodulation) effects on oxygen uptake and cardiac output dynamics during moderate exercise transitions: a randomized, crossover, double-blind, and placebo-controlled study.</t>
  </si>
  <si>
    <t>🧑 Human
🎲 Randomized trial, double-blind, crossover
👥 8 participants
⌛ single session</t>
  </si>
  <si>
    <t>630
+
830</t>
  </si>
  <si>
    <t>1500
+
3000</t>
  </si>
  <si>
    <t>540
/limb</t>
  </si>
  <si>
    <t>"Comparisons revealed no statistical (p &gt; 0.05) differences between LEDT and placebo, suggesting no significant changes in aerobic system dynamics. These results challenge earlier publications that reported changes in pulmonary O2 uptake during incremental exercise until exhaustion after LEDT. Perhaps, increments in peak pulmonary O2 uptake after LEDT may be a consequence of higher exercise tolerance caused by non-aerobic-related factors as opposed to an improved aerobic response."</t>
  </si>
  <si>
    <t>Toma</t>
  </si>
  <si>
    <t>Photobiomodulation (PBM) therapy at 904 nm mitigates effects of exercise-induced skeletal muscle fatigue in young women.</t>
  </si>
  <si>
    <t>🧑 Human
🎲 Randomized trial, crossover, double-blind
👥 18 participants
⌛ 2 sessions (1 active, 1 sham) with 1-week washout</t>
  </si>
  <si>
    <t>720
(12 
lasers)</t>
  </si>
  <si>
    <t>129.6</t>
  </si>
  <si>
    <t>6.0
cm2</t>
  </si>
  <si>
    <t>1 ?</t>
  </si>
  <si>
    <t>"Compared to placebo, LASER photobiomodulation significantly reduced muscle fatigue across a range of indicators including reduced ratings of perceived exertion (P = 0.0139), and increased electromyographic fatigue index (EFI) (P = 0.005). The isokinetic dynamometer performance analysis demonstrated that LASER photobiomodulation increased peak torque (P = 0.04), time to peak torque (P = 0.042), total work (P = 0.032), average power (P = 0.0007), and average peak torque (P = 0.019) between both experimental conditions. 
No significant difference was observed for work fatigue index (P = 0.29) or for lactate concentration (P &gt; 0.05). 
Photobiomodulation at 904 nm was effective in reducing fatigue levels and increasing muscle performance in young active women but had no effect on lactate levels."</t>
  </si>
  <si>
    <t>Time Response of Photobiomodulation Therapy on Muscular Fatigue in Humans.</t>
  </si>
  <si>
    <t xml:space="preserve">🧑 Human
🎲 Randomized trial, crossover, sham-controlled
👥 19 participants
⌛ ~5-week study </t>
  </si>
  <si>
    <t>120+
500+
200+
120</t>
  </si>
  <si>
    <t>270
(9p)</t>
  </si>
  <si>
    <t>30.2
cm2
cluster
size</t>
  </si>
  <si>
    <t>288
(9p)</t>
  </si>
  <si>
    <t>"For MIVC there was no treatment*time interaction for all variables. Time effect was observed for peak torque (PT), RMS, and MF. While treatment effect was identified for MIVC, which the 6h before + immediately before presented higher PT pre than control (p=0.004) and placebo (p=0.044). The immediately before presented higher PT values than control (p=0.047). Regarding PT post, 6h before + immediately before presented higher values than control (p=0.001) and placebo (p=0.004). PT during MIVC (pre to post) was reduced in 6h before + immediately before treatment (26%) compared to control (33%), placebo (29%), and immediately before (32%). 
The application of PBMT 6h + immediately before and immediately before exercise protocol is able to reduce the fatigue."</t>
  </si>
  <si>
    <t>Hemmings</t>
  </si>
  <si>
    <t>USA
(Statesboro, GA)</t>
  </si>
  <si>
    <t>Identifying Dosage Effect of Light-Emitting Diode Therapy on Muscular Fatigue in Quadriceps.</t>
  </si>
  <si>
    <t>🧑 Human
🎲 Randomized trial, crossover, sham-controlled
👥 34 participants
⌛ 4 sessions  (1 of each condition) with 4-week washouts</t>
  </si>
  <si>
    <t>30/p
(trial 1)
60/p
(trial 2)
120/p
(trial 3)</t>
  </si>
  <si>
    <t>"There was significant increase in the number of repetitions performed between the placebo treatment and 60 seconds (p = 0.023), as well as placebo and 120 seconds (p = 0.004) of irradiation on each point. There were no significant differences in blood lactate levels between any of the 4 trials. In conclusion, LEDT had a positive effect on performance when irradiating 6 points on the superficial quadriceps for 60 and 120 seconds before an eccentric leg extension."</t>
  </si>
  <si>
    <t>Effect of Low-Level Laser Therapy and Strength Training Protocol on Hand Grip by Dynamometry.</t>
  </si>
  <si>
    <t>🧑 Human
🎲 Randomized trial
👥 45 participants
⌛ 4 weeks</t>
  </si>
  <si>
    <t>12
12
(10p)</t>
  </si>
  <si>
    <t>20
10</t>
  </si>
  <si>
    <t>0.06
0.13
cm2</t>
  </si>
  <si>
    <t>"In conclusion, LLLT (904 nm) applied before resistance training was effective in gaining grip strength when compared to LLLT (660 nm) and isolated strength training after 4 weeks."</t>
  </si>
  <si>
    <t>Effect of low-level laser therapy (LLLT) and light-emitting diodes (LEDT) applied during combined training on performance and post-exercise recovery: protocol for a randomized placebo-controlled trial.</t>
  </si>
  <si>
    <t>"This will be the first trial to include phototherapy during training. We believe that this strategy will combine the ergogenic and prophylactic effects in the same session. Furthermore, an application protocol performed after primary adaptation may reflect the real effect of the technique."</t>
  </si>
  <si>
    <t>Ferreira Junior</t>
  </si>
  <si>
    <t>Brazil
(Ponta Grossa)</t>
  </si>
  <si>
    <t>Cardiac autonomic responses and number of repetitions maximum after LED irradiation in the ipsilateral and contralateral lower limb.</t>
  </si>
  <si>
    <t>🧑 Human
🎲 Randomized trial, sham-controlled (?)
👥 12 participants
⌛ 4 sessions (1 ipsilateral PBM, 1 contralateral PBM, 2 sham) with 48h washout periods</t>
  </si>
  <si>
    <t>340
+
1050</t>
  </si>
  <si>
    <t>41.7
/p
(total 834J per session)</t>
  </si>
  <si>
    <t>55
cm2
total
area
irradiated</t>
  </si>
  <si>
    <t>"It was observed that active LEDI promoted an increase in maximal number of repetitions (LEDI = 44.4 ± 9.0 vs placebo = 39.9 ± 11.4; p &lt; 0.05) and decreases the fatigue index (LEDI = 34.3 ± 21.8% vs placebo = 50.0 ± 26.6%; p &lt; 0.05) comparing to placebo situation, only in the ipsilateral application. There were no differences on [Lac] and in HRV parameters comparing LEDI vs placebo on post-exercise recovery in both applications (p &gt; 0.05).
The LEDI improves performance only in the ipsilateral application, but there were no differences on [Lac] and cardiac autonomic responses after exercise for both the applications."</t>
  </si>
  <si>
    <t>Miranda</t>
  </si>
  <si>
    <t>When is the best moment to apply photobiomodulation therapy (PBMT) when associated to a treadmill endurance-training program? A randomized, triple-blinded, placebo-controlled clinical trial.</t>
  </si>
  <si>
    <t>🧑 Human
🎲 Randomized trial, double-blind
👥 77 participants
⌛ 12 weeks</t>
  </si>
  <si>
    <t>LED phototherapy (w/ 905nm laser diode)
Treadmill training</t>
  </si>
  <si>
    <t>640
+
875
+
905</t>
  </si>
  <si>
    <t>36 or 72
/ 12 weeks
(= before or after exercise or both, 3 times a week)</t>
  </si>
  <si>
    <t>"Our outcomes show that PBMT applied before and after endurance-training exercise sessions lead to improvement of endurance three times faster than exercise only."
Comment: The results are very remarkable. However, it's interesting that the results were published in such a moderate-impact journal (2.5).
Note: "Professor Ernesto Cesar Pinto Leal-Junior received research support from Multi Radiance Medical (Solon, OH, USA), a laser device manufacturer. The remaining authors declare that they have no conflict of interest."</t>
  </si>
  <si>
    <t>Nausheen</t>
  </si>
  <si>
    <t>J Pain Res</t>
  </si>
  <si>
    <t>Preconditioning by light-load eccentric exercise is equally effective as low-level laser therapy in attenuating exercise-induced muscle damage in collegiate men.</t>
  </si>
  <si>
    <t>🧑 Human
⚔ Comparison study, randomized
👥 36 participants
⌛ single treatment</t>
  </si>
  <si>
    <t>4
(4p)</t>
  </si>
  <si>
    <t>"The muscle soreness was reduced in both groups (p = 0.024); however, soreness was attenuated more in LLLT group at 48 hours (33.5 vs. 42.7, p = 0.004). There was no significant difference between the effect of 10% EEC and LLLT groups on other markers of muscle damage like a maximum voluntary isometric contraction (p = 0.47), range of motion (p = 0.16), upper arm circumference (p = 0.70), creatine kinase (p = 0.42), and lactate dehydrogenase (p = 0.08). Within-group analysis showed both interventions provided similar protection over time."
"This study indicated that light-load eccentric exercise confers similar protective effect against subsequent maximal eccentric exercise as LLLT. Both the treatments could be used reciprocally based on the patient preference, costs, and feasibility of the equipment."
Comment: Parameters were poorly reported.</t>
  </si>
  <si>
    <t>Effects of light-emitting diode irradiation on time to exhaustion at maximal aerobic speed.</t>
  </si>
  <si>
    <t>🧑 Human
🎲 Randomized trial, crossover, sham-controlled
👥 12 participants
⌛ 2 sessions (1 active, 1 sham) with at least 24h washout</t>
  </si>
  <si>
    <t>LED phototherapy
LED cluster (34+35)</t>
  </si>
  <si>
    <t>208.5
per
lower
limb
(?)</t>
  </si>
  <si>
    <t>69
cm2
area irradiated
per lower limb 
(total 138 cm2)</t>
  </si>
  <si>
    <t>300
total</t>
  </si>
  <si>
    <t>"In this study, it was observed that after applying LED irradiation, there was a tendency to an increase on Tlim and the smallest worthwhile changes presented a high chance of a beneficial effect (82.1%). Furthermore, the LED irradiation improved the HR response during the constant load exercise in comparison with the placebo situation."</t>
  </si>
  <si>
    <t>Phototherapy for Improvement of Performance and Exercise Recovery: Comparison of 3 Commercially Available Devices.</t>
  </si>
  <si>
    <t>🧑 Human
🎲 Randomized trial, double-blind
👥 40 participants
⌛ single session</t>
  </si>
  <si>
    <t>Comparison trial
Biphasic dose response (same energy, different power)!</t>
  </si>
  <si>
    <t>905
(Laser)
+
640
(LED)
+
875
(LED)
810
980</t>
  </si>
  <si>
    <t>1.25
+
60
+
70
1000
9000</t>
  </si>
  <si>
    <t>0.0007
+
0.0166
+
0.0194
5.495
0.566</t>
  </si>
  <si>
    <t>1.71
+
82.06
+
95.76
180
180</t>
  </si>
  <si>
    <t>0.162
+
3.8
+
4.43
164.85
11.32</t>
  </si>
  <si>
    <t>20
cm2
spot
0.182
cm2
spot
(5p)
15.90
cm2</t>
  </si>
  <si>
    <t>1368
180
20</t>
  </si>
  <si>
    <t>"Low-powered pulsed laser/light demonstrated better results than either low-powered continuous laser/light or high-powered continuous laser/light in all outcome measures when compared with placebo."
Comment: The low-powered groups had very good results, but the last group (980nm, 9000mW) had worse outcome than the placebo group. This finding clearly requires further investigation to avoid bad outcomes.
Since the second group had a decent result even with very high power density and energy density, the negative result cannot be explained solely by these parameters. Since 980nm wavelength has been shown to have its' effect via calcium channels (TRPV1 / TRPC) instead of cytochrome c oxidase, this could explain the different results in the muscular performance. Also, it might be safer to aim for a lower power density and longer treatment time.</t>
  </si>
  <si>
    <t>Does photobiomodulation therapy is better than cryotherapy in muscle recovery after a high-intensity exercise? A randomized, double-blind, placebo-controlled clinical trial.</t>
  </si>
  <si>
    <t>🧑 Human
🎲 Randomized trial, double-blind, comparison study
👥 40 participants
⌛ single treatment / 4-day study</t>
  </si>
  <si>
    <t>LED phototherapy
LED cluster (34+35)
⚔ PBM vs cryotherapy</t>
  </si>
  <si>
    <t>41.7</t>
  </si>
  <si>
    <t>13.8
cm2
(0.2
/LED)</t>
  </si>
  <si>
    <t>↓DOMS, ↓CK (serum), ↓TBARS (serum), ↓oxidative damage (serum), ↑MVC (post-exercise)
"The clinical impact of these findings is clear because they demonstrate that the use of phototherapy is more effective than the use of cryotherapy for muscle recovery, additionally cryotherapy decreases PBMT efficacy."</t>
  </si>
  <si>
    <t>What is the best moment to apply phototherapy when associated to a strength training program? A randomized, double-blinded, placebo-controlled trial : Phototherapy in association to strength training.</t>
  </si>
  <si>
    <t>🧑 Human
🎲 Randomized trial, double-blind
👥 48 participants
⌛ 12 weeks</t>
  </si>
  <si>
    <t>LED phototherapy
LED+LLLT cluster
PBM before and/or after exercise</t>
  </si>
  <si>
    <t>24 or 48
/ 12 weeks
(= PBM before and/or after exercise twice per week)</t>
  </si>
  <si>
    <t>"Volunteers from group treated with phototherapy before and placebo after training sessions showed significant (p &lt; 0.05) changes in MVC and 1-RM tests for both exercises (leg extension and leg press) when compared to other groups.
With an apparent lack of side effects and safety due to no thermal damage to the tissue, we conclude that the application of phototherapy yields enhanced strength gains when it is applied before exercise"</t>
  </si>
  <si>
    <t>Pre-Exercise Infrared Low-Level Laser Therapy (810 nm) in Skeletal Muscle Performance and Postexercise Recovery in Humans, What Is the Optimal Dose? A Randomized, Double-Blind, Placebo-Controlled Clinical Trial.</t>
  </si>
  <si>
    <t>🧑 Human
🎲 Randomized trial, double-blind
👥 28 participants
⌛ single treatment -&gt; 4-day follow-up</t>
  </si>
  <si>
    <t>Dose response
Biphasic (or TRIphasic) dose response???</t>
  </si>
  <si>
    <t>60
180
300</t>
  </si>
  <si>
    <t>"Pre-exercise LLLT, mainly with 50 J dose, significantly increases performance and improves biochemical markers related to skeletal muscle damage and inflammation."
"However, LLLT had no effect in decreasing DOMS. No differences (p &gt; 0.05) were found for 30 J dose in any of the outcomes measured."
Comment: Since six sites were irradiated, 50J group refers to the 300J total dose.
Comment: In the investigation of MVC, the 10J and 50J groups had a positive effect, while the middle group with 30J had a negative result (worse than placebo)!</t>
  </si>
  <si>
    <t>Effects of low-level laser therapy applied before or after plyometric exercise on muscle damage markers: randomized, double-blind, placebo-controlled trial.</t>
  </si>
  <si>
    <t>🧑 Human
🎲 Randomized trial, double-blind
👥 24 participants
⌛ single treatment / 4-day study</t>
  </si>
  <si>
    <t>LED phototherapy
LED cluster (5)
⚔ PBM before vs after exercise</t>
  </si>
  <si>
    <t>"In summary, the LLLT protocol used in this study had no effect on strength fall induced by muscle damage; then, caution is needed for recommending phototherapy to reduce this functional impairment. However, LLLT applied both before and after plyometric exercise was able to reduce the muscular echo intensity, indicating a reduced inflammatory response mediated by phototherapy. In addition, our findings suggest a slight effect (not statistically significant) on muscle soreness, which might seem too small for most individuals but can make a crucial difference for high-performance athletes."</t>
  </si>
  <si>
    <r>
      <rPr>
        <rFont val="Arial"/>
        <b/>
        <color rgb="FF980000"/>
        <sz val="9.0"/>
      </rPr>
      <t xml:space="preserve">★
</t>
    </r>
    <r>
      <rPr>
        <rFont val="Arial"/>
        <b/>
        <color rgb="FF980000"/>
        <sz val="6.0"/>
      </rPr>
      <t>📷</t>
    </r>
  </si>
  <si>
    <t>Effects of Light-Emitting Diode Therapy on Muscle Hypertrophy, Gene Expression, Performance, Damage, and Delayed-Onset Muscle Soreness: Case-control Study with a Pair of Identical Twins.</t>
  </si>
  <si>
    <t>🧑 Human
🎲 Randomized trial, twin study
👥 2 participants (monozygotic twins)
⌛ 12 weeks</t>
  </si>
  <si>
    <t>LED phototherapy
Identical twins</t>
  </si>
  <si>
    <t>"Compared with placebo, LEDT increased the maximal load in exercise and reduced fatigue, creatine kinase, and visual analog scale.
Gene expression analyses showed decreases in markers of inflammation (interleukin 1β) and muscle atrophy (myostatin) with LEDT. 
Protein synthesis (mammalian target of rapamycin) and oxidative stress defense (SOD2 [mitochondrial superoxide dismutase]) were up-regulated with LEDT, together with increases in thigh muscle hypertrophy."
"Light-emitting diode therapy can be useful to reduce muscle damage, pain, and atrophy, as well as to increase muscle mass, recovery, and athletic performance in rehabilitation programs and sports medicine."</t>
  </si>
  <si>
    <t>Effect of pre-exercise phototherapy applied with different cluster probe sizes on elbow flexor muscle fatigue.</t>
  </si>
  <si>
    <t>🧑 Human
🎲 Randomized trial, crossover, double-blind
👥 10 participants
⌛ 4 sessions (1 of each condition) with at least 48h washouts</t>
  </si>
  <si>
    <t>LED phototherapy
LED cluster (33 or 9)
⚔ Small vs large cluster</t>
  </si>
  <si>
    <t>670
+
880
+
950</t>
  </si>
  <si>
    <t>60
/muscle</t>
  </si>
  <si>
    <t>"In both large and small cluster probes (according parameters tested in this study) led to reduced fatigue in elbow flexor muscles, without difference between them."</t>
  </si>
  <si>
    <t>Photobiomodulation delays the onset of skeletal muscle fatigue in a dose-dependent manner.</t>
  </si>
  <si>
    <t>🧑 Human
🎲 Randomized trial, crossover, sham-controlled
👥 9 participants
⌛ 3 sessions (sham, 240J, 480J) with 48h washouts</t>
  </si>
  <si>
    <t>2000
4000</t>
  </si>
  <si>
    <t>240
480</t>
  </si>
  <si>
    <t>20
40</t>
  </si>
  <si>
    <t>1.72
cm2
spot</t>
  </si>
  <si>
    <t>"The 240-J dose significantly extended TTF by 26 % (p = 0.032) compared with the sham dose. TTF for the 240-J dose was strongly associated with a decrease in muscle fatigue (R (2) = 0.54, p = 0.024). Our findings show that a 240-J dose of NIR light therapy is efficacious in delaying the onset and extent of muscle fatigue during submaximal isometric positioning tasks. Our findings suggest that NIR light therapy may be used as an ergogenic aid during functional tasks or post-injury rehabilitation."
Comment: The 480J dose was less effective.</t>
  </si>
  <si>
    <t>Effects of low-level laser therapy on performance, inflammatory markers, and muscle damage in young water polo athletes: a double-blind, randomized, placebo-controlled study.</t>
  </si>
  <si>
    <t>🧑 Human
🎲 Randomized trial, double-blind
👥 20 participants
⌛ 5-day treatment -&gt; 2-day follow-up</t>
  </si>
  <si>
    <t>30
/p
(18p)</t>
  </si>
  <si>
    <t>"In conclusion, LLLT resulted in a non-significant, but small to moderate effect on inflammatory and muscle damage markers and a moderate effect on performance in water polo players. In addition, the lack of positive results could be due to the small area covered by irradiation and this should be considered in future studies."</t>
  </si>
  <si>
    <t>Using Pre-Exercise Photobiomodulation Therapy Combining Super-Pulsed Lasers and Light-Emitting Diodes to Improve Performance in Progressive Cardiopulmonary Exercise Tests.</t>
  </si>
  <si>
    <t>🧑 Human
🎲 Randomized trial, crossover, double-blind
👥 20 participants
⌛ 2 sessions (active, sham) with 1 week washout</t>
  </si>
  <si>
    <t>LED phototherapy (w/ laser)</t>
  </si>
  <si>
    <t>510
/limb
30
/site</t>
  </si>
  <si>
    <t>228
/site</t>
  </si>
  <si>
    <t>"The combination of lasers and LEDs increased the time, distance, and pulmonary ventilation and decreased the score of dyspnea during a cardiopulmonary test."</t>
  </si>
  <si>
    <t>Low level laser therapy associated with a strength training program on muscle performance in elderly women: a randomized double blind control study.</t>
  </si>
  <si>
    <t>🧑 Human | elderly women
🎲 Randomized trial, double-blind
👥 48 participants
⌛ 8 weeks</t>
  </si>
  <si>
    <t>Muscle performance</t>
  </si>
  <si>
    <t>70
/p
(8 points)</t>
  </si>
  <si>
    <t>LLLT seemed a little bit better than the control, but is it clinically/statistically relevant (between-the-group)?</t>
  </si>
  <si>
    <t>PBM application: contact
PBM timing: after each training session</t>
  </si>
  <si>
    <t>Photobiomodulation Therapy Improves Performance and Accelerates Recovery of High-Level Rugby Players in Field Test: A Randomized, Crossover, Double-Blind, Placebo-Controlled Clinical Study.</t>
  </si>
  <si>
    <t>🧑 Human | high-level rugby players
🎲 Randomized trial, crossover double-blind
👥 12 participants
⌛ 2 sessions (1 active, 1 sham) with 1-week washout</t>
  </si>
  <si>
    <t>640
LED
+
875
LED
+
905
laser</t>
  </si>
  <si>
    <t>"Photobiomodulation therapy significantly (p ≤ 0.05) improved the average time of sprints and fatigue index in BST. Photobiomodulation therapy significantly decreased percentage of change in blood lactate levels (p ≤ 0.05) and perceived fatigue (p ≤ 0.05).
Pre-exercise PBMT with the combination of super-pulsed laser (low-level laser), red LEDs, and infrared LEDs can enhance performance and accelerate recovery of high-level rugby players in field test.
This opens a new avenue for wide use of PBMT in real clinical practice in sports settings."</t>
  </si>
  <si>
    <t>Photobiomodulation therapy (PBMT) and/or cryotherapy in skeletal muscle restitution, what is better? A randomized, double-blinded, placebo-controlled clinical trial.</t>
  </si>
  <si>
    <t>🧑 Human
🎲 Randomized trial, double-blind
👥 50 participants
⌛ single session -&gt; 4-day follow-up</t>
  </si>
  <si>
    <t>Restitution after exercise
GameDay™ device</t>
  </si>
  <si>
    <t>905
laser
+
875
LED
+
640
LED</t>
  </si>
  <si>
    <t>40
/site
(6 sites)</t>
  </si>
  <si>
    <t>300
/site
(6 sites)</t>
  </si>
  <si>
    <t>"We conclude that PBMT used as single treatment is the best modality for enhancement of post-exercise restitution, leading to complete recovery to baseline levels from 24 h after high-intensity eccentric contractions."</t>
  </si>
  <si>
    <t>Francisco Cde</t>
  </si>
  <si>
    <t>Evaluation of acute effect of light-emitting diode (LED) phototherapy on muscle deoxygenation and pulmonary oxygen uptake kinetics in patients with diabetes mellitus: study protocol for a randomized controlled trial.</t>
  </si>
  <si>
    <t>Diabetic patients
LED phototherapy</t>
  </si>
  <si>
    <t>"The main objective of this study is to evaluate the acute effects of muscular pre-conditioning using LED phototherapy on pulmonary oxygen uptake, muscle oxygenation, heart rate, and arterial pressure dynamics during dynamic moderate exercise. We hypothesize that phototherapy may be beneficial to optimize aerobic fitness in the DM population."</t>
  </si>
  <si>
    <t>Light-emitting diode therapy (LEDT) before matches prevents increase in creatine kinase with a light dose response in volleyball players.</t>
  </si>
  <si>
    <t>🧑 Human
🎲 Randomized trial, crossover (?), double-blind
👥 12 participants
⌛ 4 sessions (1 of each condition?)</t>
  </si>
  <si>
    <t>630
1260
1890</t>
  </si>
  <si>
    <t>1
of each
condition?</t>
  </si>
  <si>
    <t>"LEDT prevented significant increases of CK in blood in athletes when applied before official matches with a light dose response of 210-315 J, suggesting athletes might consider applying LEDT before competition."
Nampo et al published a brief criticism of this paper:
"Due to the fragilities we pointed above, we agreed that the validity of this paper does not allow safe conclusions. To produce valid and meaningful results, we recommend to increase sample size, evaluate functional outcomes to establish clinical relevance, evaluate better established indicators of muscle damage (i.e., imaging), and do better data reporting."</t>
  </si>
  <si>
    <t>Muscular pre-conditioning using light-emitting diode therapy (LEDT) for high-intensity exercise: a randomized double-blind placebo-controlled trial with a single elite runner.</t>
  </si>
  <si>
    <t>🧑 Human
🎲 Randomized trial, crossover
👥 1 participant
⌛ 3 sessions (1 active, 2 sham) with 7-day washout periods</t>
  </si>
  <si>
    <t>37.5</t>
  </si>
  <si>
    <t>"LEDT improved the speed of the muscular VO2 adaptation (∼-9 s), decreased O2 deficit (∼-10 L), increased the VO2 from the slow component phase (∼+348 ml min(-1)), and increased the time limit of exercise (∼+589 s)."
Note: A photograph is supplied, but it is black-and-white.</t>
  </si>
  <si>
    <t>Kakihata</t>
  </si>
  <si>
    <t>Einstein (Sao Paulo)</t>
  </si>
  <si>
    <t>Influence of low-level laser therapy on vertical jump in sedentary individuals.</t>
  </si>
  <si>
    <t>🧑 Human
🎲 Randomized trial
👥 22 participants
⌛ (?)</t>
  </si>
  <si>
    <t>6
/ 6 days
10 
/ 10 days</t>
  </si>
  <si>
    <t>"The low intensity laser on the triceps surae, in sedentary individuals, had no significant effects on the variables evaluated."</t>
  </si>
  <si>
    <t>Borges</t>
  </si>
  <si>
    <t>Brazil
(Jequie)</t>
  </si>
  <si>
    <t>Light-emitting diode phototherapy improves muscle recovery after a damaging exercise.</t>
  </si>
  <si>
    <t>🧑 Human
🎲 Randomized trial, double-blind
👥 17 participants
⌛ single session -&gt; 4-day follow-up</t>
  </si>
  <si>
    <t>1.77
cm2</t>
  </si>
  <si>
    <t>"Our results showed that the muscle soreness, muscle strength loss, and ROM impairments were significantly reduced up to 96 h after a damaging eccentric exercise bout for the LEDT group compared with the PLACEBO group.
A single LEDT (630 nm) intervention immediately after a damaging eccentric exercise bout was effective in terms of attenuating the muscle soreness and muscle strength loss and ROM impairments."</t>
  </si>
  <si>
    <t>dos Santos Maciel</t>
  </si>
  <si>
    <t>Brazil
(São Jose dos Campos)</t>
  </si>
  <si>
    <t>Phototherapy effect on the muscular activity of regular physical activity practitioners.</t>
  </si>
  <si>
    <t>🧑 Human
📄 Non-randomized study, double-blind
👥 12 participants
⌛ single session (incl. sham and active interventions)</t>
  </si>
  <si>
    <t>23.49
(~29p)</t>
  </si>
  <si>
    <t>4.0</t>
  </si>
  <si>
    <t>27
/p
(~29 points)</t>
  </si>
  <si>
    <t>"It was observed that 
(a) a significant torque increase (p &lt; 0.05) post-LLLT compared to the values after placebo therapy at the beginning of resistance exercise, 
(b) both muscle torque (isokinetic) and median frequency (EMG) showed a faster decay of the signals collected after placebo and laser treatment when compared to control values, 
(c) no significant change in torque in the strength test of five repetitions, 
(d) a significant muscle activity decrease (p &lt; 0.05) after laser therapy compared to control values, and 
(e) an increase in lactate levels post-LLLT (p &lt; 0.05) after 30 min of exercise. 
It is concluded that the LLLT increased the muscle torque at the beginning of the exercise and maintained the levels of lactate after resistance exercise. Therefore, the LLLT with the parameters used in this study can be utilized in rehabilitation to improve muscle performance in elite athletes."</t>
  </si>
  <si>
    <t>de Brito Vieira</t>
  </si>
  <si>
    <t>Use of low-level laser therapy (808 nm) to muscle fatigue resistance: a randomized double-blind crossover trial.</t>
  </si>
  <si>
    <t>🧑 Human
🎲 Randomized trial, crossover, double-blind
👥 7 participants
⌛ 2 study weeks (active, sham) and a 1-week washout between the study weeks</t>
  </si>
  <si>
    <t>"LLLT group increased RM (52%; p=0.002) with a small EFI for the vastus medialis (p=0.004) and rectus femoris (p=0.004)."</t>
  </si>
  <si>
    <t>Dos Reis</t>
  </si>
  <si>
    <t>Effects of pre- or post-exercise low-level laser therapy (830 nm) on skeletal muscle fatigue and biochemical markers of recovery in humans: double-blind placebo-controlled trial.</t>
  </si>
  <si>
    <t>🧑 Human
🎲 Randomized trial, double-blind
👥 27 participants
⌛ two sessions with 1-week interval</t>
  </si>
  <si>
    <t>360
(6 *
60)</t>
  </si>
  <si>
    <t>"The number of repetitions (p=0.8965), RM (p=0.9915), and duration of fatigue (p=0.8424) were similar among the groups. Post-fatigue laser treatment significantly decreased the serum lactate concentration relative to placebo treatment (p&lt;0.01) and also within the group over time (after 5 min vs. after 10 and 15 min, p&lt;0.05 both). The CK level was lower in the post-fatigue laser group (p&lt;0.01)."</t>
  </si>
  <si>
    <t>Climacteric</t>
  </si>
  <si>
    <t>Phototherapy during treadmill training improves quadriceps performance in postmenopausal women.</t>
  </si>
  <si>
    <r>
      <rPr>
        <sz val="7.0"/>
      </rPr>
      <t>🧑 Human
🎲 Randomized trial
👥 45 participants
⌛ 6 months
(</t>
    </r>
    <r>
      <rPr>
        <i/>
        <sz val="7.0"/>
      </rPr>
      <t>apparently a secondary publication, see. Paolillo et al. 2013 with apparently identical patient population)</t>
    </r>
  </si>
  <si>
    <t>0.039</t>
  </si>
  <si>
    <t>twice a week
for 6 months
(52 sessions?)</t>
  </si>
  <si>
    <t>"Peak torque did not differ amongst the groups. However, the results showed significantly higher values of power and total work for the LED group (∆ = 21 ± 6 W and ∆ = 634 ± 156 J, p &lt; 0.05) when compared to both the exercise group (∆ = 13 ± 10 W and = 410 ± 270 J) and the sedentary group (∆ = 10 ± 9 W and ∆ = 357 ± 327 J). Fatigue was also significantly lower in the LED group (∆ = -7 ± 4%, p &lt; 0.05) compared to both the exercise group (∆ = 3 ± 8%) and the sedentary group (∆ = -2 ± 6%)."
"Infrared-LED during treadmill training may improve quadriceps power and reduce peripheral fatigue in postmenopausal women."
Comment: A high 33% dropout rate (30 of 45 participants were analyzed), reasons were reported in Figure 1.</t>
  </si>
  <si>
    <t>da Silva Alves</t>
  </si>
  <si>
    <t>Acute effects of low-level laser therapy on physiologic and electromyographic responses to the cardiopulmonary exercise testing in healthy untrained adults.</t>
  </si>
  <si>
    <t>🧑 Human
🎲 Randomized trial, double-blind, crossover
👥 18 participants
⌛ 2 sessions (1 active, 1 sham) with 1-week washout</t>
  </si>
  <si>
    <t>100
/diode</t>
  </si>
  <si>
    <t>14
/site</t>
  </si>
  <si>
    <t>20
/site</t>
  </si>
  <si>
    <t>"The LLLT acutely increases exercise performance in healthy untrained adults probably due to increased O2 extraction by peripheral muscles without causing a significant impact on muscle fatigue."</t>
  </si>
  <si>
    <t>Felismino</t>
  </si>
  <si>
    <t>Effect of low-level laser therapy (808 nm) on markers of muscle damage: a randomized double-blind placebo-controlled trial.</t>
  </si>
  <si>
    <t>🧑 Human
🎲 Randomized trial, double-blind
👥 22 participants
⌛ single treatment -&gt; 3-day follow-up</t>
  </si>
  <si>
    <t>1
/point</t>
  </si>
  <si>
    <t>357.14</t>
  </si>
  <si>
    <t>"In conclusion, the LLLT attenuated CK activity 72 h after the muscle damage protocol but did not have a positive effect on the recovery of strength performance."</t>
  </si>
  <si>
    <t>Baroni</t>
  </si>
  <si>
    <t>Eur J Appl Physiol</t>
  </si>
  <si>
    <t>Effect of low-level laser therapy on muscle adaptation to knee extensor eccentric training.</t>
  </si>
  <si>
    <t>🧑 Human
🎲 Randomized trial
👥 30 participants
⌛ 8 weeks</t>
  </si>
  <si>
    <t>Muscle growth
LLLT cluster</t>
  </si>
  <si>
    <t>1000
(5 *
200)</t>
  </si>
  <si>
    <t>30
/p
(8p)</t>
  </si>
  <si>
    <t>14
/ 8 weeks</t>
  </si>
  <si>
    <t>"Subjects from [training + LLLT group] reached significantly higher percent changes compared to subjects from [training group] for sum of muscles' thicknesses (15.4 vs. 9.4%), isometric peak torque (20.5 vs. 13.7%), and eccentric peak torque (32.2 vs. 20.0%)."
Star: Interesting results. A topic worth investigating.
Comment: LLLT spot size or energy density was not reported.</t>
  </si>
  <si>
    <t>What is the ideal dose and power output of low-level laser therapy (810 nm) on muscle performance and post-exercise recovery? Study protocol for a double-blind, randomized, placebo-controlled trial.</t>
  </si>
  <si>
    <t>"Our intention, is to determine optimal laser therapy application parameters capable of slowing down the physiological muscle fatigue process, reducing injuries or micro-injuries in skeletal muscle stemming from physical exertion and accelerating post-exercise muscle recovery."</t>
  </si>
  <si>
    <t>Antonialli</t>
  </si>
  <si>
    <t>Phototherapy in skeletal muscle performance and recovery after exercise: effect of combination of super-pulsed laser and light-emitting diodes.</t>
  </si>
  <si>
    <t>Muscle performance and recovery
LED phototherapy
LED cluster</t>
  </si>
  <si>
    <t>905
+
875
+
670</t>
  </si>
  <si>
    <t>"Pre-exercise phototherapy with combination of low-level laser and LEDs, mainly with 30 J dose, significantly increases performance, decreases DOMS, and improves biochemical marker related to skeletal muscle damage."
Comment: The parameters are quite complex in this study - read the full text for further information.
Star: An interesting paper with parameters well reported and good outcome!</t>
  </si>
  <si>
    <t>Gomes</t>
  </si>
  <si>
    <t>Efficacy of pre-exercise low-level laser therapy on isokinetic muscle performance in individuals with type 2 diabetes mellitus: study protocol for a randomized controlled trial.</t>
  </si>
  <si>
    <t>"The purpose of this randomized clinical trial is to evaluate the efficacy of pre-exercise LLLT on the performance of the quadriceps muscle (peak torque, total muscle work, maximum power and fatigue index - normalized by body mass) in individuals with DM-2. The study will support the practice of evidence-based to the use of LLLT in improving muscle performance in Individuals with DM-2. Data will be published after the study is completed."</t>
  </si>
  <si>
    <t>Higashi</t>
  </si>
  <si>
    <t>Effects of low-level laser therapy on biceps braquialis muscle fatigue in young women.</t>
  </si>
  <si>
    <t>🧑 Human
🎲 Randomized trial, crossover
👥 20 participants
⌛ 2 sessions (1 active, 1 sham) with a 1-week washout</t>
  </si>
  <si>
    <t>Biceps braquialis</t>
  </si>
  <si>
    <t>7
/p
(8p)</t>
  </si>
  <si>
    <t>"No statistical differences were found for eletromyographic fatigue and blood lactate values between groups. Mean numbers of elbow flexion-extension repetitions were 22.6 ± 7.58 after placebo, and 25.1 ± 9.89 after active LLLT group, but these differences were not statistically significant (p=0.342)."</t>
  </si>
  <si>
    <t>Infrared LED irradiation applied during high-intensity treadmill training improves maximal exercise tolerance in postmenopausal women: a 6-month longitudinal study.</t>
  </si>
  <si>
    <t>🧑 Human
🎲 Randomized trial
👥 45 participants
⌛ 6 months</t>
  </si>
  <si>
    <t>"As expected, no significant differences were found in the sedentary group (p ≥ 0.05). The maximal time of tolerance (Tlim), metabolic equivalents (METs) and Bruce stage reached significantly higher values in the LED group and the exercise group (p &lt; 0.01). Furthermore, the HR, double product and Borg score at isotime were significantly lower in the LED group and in the exercise group (p &lt; 0.05). 
However, the time of recovery showed a significant decrease only in the LED group (p = 0.003). Moreover, the differences between before and after training (delta values) for the Tlim, METs and HR at isotime were greater in the LED group than in the exercise group with a significant intergroup difference (p &lt; 0.05). 
Therefore, the infrared LED irradiation during treadmill training can improve maximal performance and post-exercise recovery in postmenopausal women."
Comment: It seems the Paolillo et al. 2014 paper is a secondary publication with the same patient population as in this study.</t>
  </si>
  <si>
    <t>Effect of 808 nm low-level laser therapy in exercise-induced skeletal muscle fatigue in elderly women.</t>
  </si>
  <si>
    <t>🧑 Human
🎲 Randomized trial, triple-blind, crossover
👥 24 participants
⌛ 2 sessions (1 active, 1 sham) with a 1-week washout</t>
  </si>
  <si>
    <t>"The results showed no difference in the slope comparing placebo LLLT and active LLLT groups (p = 0.293). However, a significant difference was observed in the number of repetitions between groups, after active LLLT, subjects demonstrated significantly higher number of repetitions (p = 0.047). In this study,
LLLT was efficient in increasing the mean number of repetitions during knee flexion-extension exercise, although results have not shown delay electromyographic fatigue."</t>
  </si>
  <si>
    <t>Thermography applied during exercises with or without infrared light-emitting diode irradiation: individual and comparative analysis.</t>
  </si>
  <si>
    <t>🧑 Human
🎲 Randomized trial
👥 18 participants
⌛ single session</t>
  </si>
  <si>
    <t>Microcirculation
LED phototherapy
LED array (2000 LEDs)</t>
  </si>
  <si>
    <t>"The LED group showed an increased cutaneous thigh temperature during the exercise (from 33.5±0.8°C to 34.6±0.9°C, p=0.03), whereas the exercise group showed a reduced cutaneous temperature (from 33.5±0.6 to 32.7±0.7°C, p=0.02). The difference between the groups was significant (p&lt;0.05) at t=35, t=45, and t=50."
"These data indicate an improved microcirculation, and can explain one possible mechanism of action of phototherapy associated with physical exercises."</t>
  </si>
  <si>
    <t>Assessing the Therapeutic Effect of 630 nm Light-Emitting Diodes Irradiation on the Recovery of Exercise-Induced Hand Muscle Fatigue with Surface Electromyogram</t>
  </si>
  <si>
    <t>🧑 Human
🎲 Randomized trial
👥 10 participants
⌛ single session</t>
  </si>
  <si>
    <t>0.048</t>
  </si>
  <si>
    <t>57.6</t>
  </si>
  <si>
    <t>"Our experimental results showed that active LEDT induced smaller increasing rate of ARV and decreasing rate of FD than passive rest over sustained contraction time during the refatigue task, which suggests that active LEDT recovers the muscle fatigue faster than passive rest. In the future, we will conduct a larger-scale study involving more subjects and search for other useful electrophysiological parameters."</t>
  </si>
  <si>
    <t>Red (660 nm) and infrared (830 nm) low-level laser therapy in skeletal muscle fatigue in humans: what is better?</t>
  </si>
  <si>
    <t xml:space="preserve">🧑 Human
🎲 Randomized trial, crossover, double-blind
👥 10 participants
⌛ 2 sessions (1 active, 1 sham) with a 1-week washout
</t>
  </si>
  <si>
    <t xml:space="preserve">17.85
</t>
  </si>
  <si>
    <t>20
/
muscle</t>
  </si>
  <si>
    <t>"The mean peak force was significantly greater (p &lt; 0.05) following red (12.14%) and infrared LLLT (14.49%) than following placebo LLLT, and the mean average force was also significantly greater (p &lt; 0.05) following red (13.09%) and infrared LLLT (13.24%) than following placebo LLLT. There were no significant differences in mean average force or mean peak force between red and infrared LLLT.
We conclude that both red than infrared LLLT are effective in delaying the development skeletal muscle fatigue and in enhancement of skeletal muscle performance."</t>
  </si>
  <si>
    <t>Effects of low-level laser therapy (808 nm) on isokinetic muscle performance of young women submitted to endurance training: a randomized controlled clinical trial.</t>
  </si>
  <si>
    <t>🧑 Human
🎲 Randomized trial
👥 45 participants
⌛ 9 weeks</t>
  </si>
  <si>
    <t>360
(6 * 60)</t>
  </si>
  <si>
    <t>18
/limb</t>
  </si>
  <si>
    <t>27
/ 9 weeks</t>
  </si>
  <si>
    <t>"The results suggest that an endurance training program combined with LLLT leads to a greater reduction in fatigue than an endurance training program without LLLT. This is relevant to everyone involved in sport and rehabilitation."</t>
  </si>
  <si>
    <t>Effects of infrared-LED illumination applied during high-intensity treadmill training in postmenopausal women.</t>
  </si>
  <si>
    <t>🧑 Human
🎲 Randomized trial
👥 20 participants
⌛ 3 months</t>
  </si>
  <si>
    <t>0.031</t>
  </si>
  <si>
    <t>55.8</t>
  </si>
  <si>
    <t>twice
a week
for 3 months</t>
  </si>
  <si>
    <t>"Both groups improved the time of tolerance limit (Tlim) (p&lt;0.05) during submaximal constant-speed testing. The peak torque did not differ between groups. However, the results showed significantly higher values of power [from 56±10 to 73±8 W (p=0.002)] and total work [from 1,537±295 to 1,760±262 J (p=0.006)] for the LED group when compared to the control group [power: from 58±14 to 60±15 W (p≥0.05) and total work: from 1,504±404 to 1,622±418 J (p≥0.05)]. The fatigue significantly increased for the control group [from 51±6 to 58±5 % (p=0.04)], but not for the LED group [from 60±10 to 60±4 % (p≥0.05)]. No significant differences in body composition were observed for either group."
"Infrared-LED illumination associated with treadmill training can improve muscle power and delay leg fatigue in postmenopausal women."</t>
  </si>
  <si>
    <t>Leal Junior</t>
  </si>
  <si>
    <t>Comparison between cold water immersion therapy (CWIT) and light emitting diode therapy (LEDT) in short-term skeletal muscle recovery after high-intensity exercise in athletes--preliminary results.</t>
  </si>
  <si>
    <t>🧑 Human
🎲 Randomized trial, crossover, double-blind
👥 6 participants
⌛ 3 sessions (1 PBM, 1 sham, 1 cold water) with 1-week washout periods</t>
  </si>
  <si>
    <t>660+
850
(69 diodes)</t>
  </si>
  <si>
    <t>208.5
/ lower limb</t>
  </si>
  <si>
    <t>1.5
red
4.5
infrared</t>
  </si>
  <si>
    <t>69
cm2
area
per
lower
limb</t>
  </si>
  <si>
    <t>150
/ lower limb</t>
  </si>
  <si>
    <t>"There were no significant differences in the work performed during the three Wingate tests (p &gt; 0.05). All biochemical parameters increased from baseline values (p &lt; 0.05) after the three exercise tests, but only active LEDT decreased blood lactate levels (p = 0.0065) and CK activity (p = 0.0044) significantly after treatment. There were no significant differences in CRP values after treatments."</t>
  </si>
  <si>
    <t>Effects of low level laser therapy (808 nm) on physical strength training in humans.</t>
  </si>
  <si>
    <t>🧑 Human
🎲 Randomized trial
👥 36 participants
⌛ 12 weeks</t>
  </si>
  <si>
    <t>21.42</t>
  </si>
  <si>
    <t>50.4</t>
  </si>
  <si>
    <t>214.3</t>
  </si>
  <si>
    <t>0.028
cm2
beam
(?)</t>
  </si>
  <si>
    <t>"The TLG subjects showed an increase of 55% in the 1RM leg-press test, which was significantly higher than the increases in the TG subjects (26%, P = 0.033) and in the CG subjects (0.27%, P &lt; 0.001).
The TLG was the only group to show an increase in muscle performance in the isokinetic dynamometry test compared with baseline.
The increases in thigh perimeter in the TLG subjects and TG subjects were not significantly different (4.52% and 2.75%, respectively; P = 0.775).
Strength training associated with LLLT can increase muscle performance compared with strength training only."
Comment: In the paper they report beam area as 0.0028 cm2, but since many other papers from Brazil have been 0.028, it is possible that they are misreporting something here.</t>
  </si>
  <si>
    <t>Demura</t>
  </si>
  <si>
    <t>Effect of linear polarized near-infrared light irradiation and light exercise on muscle performance.</t>
  </si>
  <si>
    <t>🧑 Human
📄 Non-randomized study, crossover (??)
👥 10 participants
⌛ 2 sessions (?)</t>
  </si>
  <si>
    <t>Super Lizer™
Polychromatic light 🌈</t>
  </si>
  <si>
    <t>"In conclusion, skin and muscle temperatures increased significantly with the active and passive warm-ups selected in this study. However, muscle strength, muscle power, and controlled force-exertion performance did not improve with either warm-up."
Comment: Dose parameters not reported.</t>
  </si>
  <si>
    <t>Low level laser therapy before eccentric exercise reduces muscle damage markers in humans.</t>
  </si>
  <si>
    <t>🧑 Human
🎲 Randomized trial, sham-controlled
👥 36 participants
⌛ single treatment -&gt; 2-day follow-up</t>
  </si>
  <si>
    <t>LLLT cluster (5 diodes)</t>
  </si>
  <si>
    <t>180
/ quadriceps muscle</t>
  </si>
  <si>
    <t>0.029
cm2
per diode</t>
  </si>
  <si>
    <t>"In conclusion, LLLT treatment before eccentric exercise was effective in terms of attenuating the increase of muscle proteins in the blood serum and the decrease in muscle force."</t>
  </si>
  <si>
    <t>Effect of light-emitting diodes therapy (LEDT) on knee extensor muscle fatigue.</t>
  </si>
  <si>
    <t>🧑 Human
🎲 Randomized trial, crossover, double-blind
👥 17 participants
⌛ 2 sessions (1 active, 1 sham) with at least 72h between the sessions</t>
  </si>
  <si>
    <t>LED cluster (34+35)</t>
  </si>
  <si>
    <t>125.1
/muscle</t>
  </si>
  <si>
    <t>0.2
cm2
spot
size
(per diode)</t>
  </si>
  <si>
    <t>"LEDT treatment produced a smaller maximal isometric torque decrease after high-intensity concentric isokinetic exercise, which is consistent with an increase in performance."</t>
  </si>
  <si>
    <t>PBM device: Thor DD2 Control Unit with a LED multidiode cluster probe (34 diodes of 660nm and 35 diodes of 850nm)</t>
  </si>
  <si>
    <t>Effects of low-level laser therapy (LLLT) in the development of exercise-induced skeletal muscle fatigue and changes in biochemical markers related to postexercise recovery.</t>
  </si>
  <si>
    <t>🧑 Human
🎲 Randomized trial, crossover, double-blind
👥 9 participants
⌛ 2 sessions  (1 active, 1 sham) with 7-day washout</t>
  </si>
  <si>
    <t>LLLT cluster (5)</t>
  </si>
  <si>
    <t>200
/diode</t>
  </si>
  <si>
    <t>60
total
energy</t>
  </si>
  <si>
    <t>"Active LLLT increased the number of repetitions by 14.5% (mean +/- SD, 39.6 +/- 4.3 versus 34.6 +/- 5.6; P = .037) and the elapsed time before exhaustion by 8.0% (P = .034), when compared to the placebo treatment.
The biochemical markers also indicated that recovery may be positively affected by LLLT, as indicated by postexercise blood lactate levels (P&lt;.01), creatine kinase activity (P = .017), and C-reactive protein levels (P = .047), showing a faster recovery with LLLT application prior to the exercise."</t>
  </si>
  <si>
    <t>Effect of cluster multi-diode light emitting diode therapy (LEDT) on exercise-induced skeletal muscle fatigue and skeletal muscle recovery in humans.</t>
  </si>
  <si>
    <t>"Active LEDT increased the number of biceps humeri contractions by 12.9% (38.60 [SD +/-9.03] vs. 34.20 [SD +/-8.68], P = 0.021) and extended the elapsed time to perform contractions by 11.6% (P = 0.036) versus placebo.
In addition, post-exercise levels of biochemical markers decreased significantly with active LEDT: Blood Lactate (P = 0.042), Creatine Kinase (P = 0.035), and C-Reative Protein levels (P = 0.030), when compared to placebo LEDT."</t>
  </si>
  <si>
    <t>Comparison between single-diode low-level laser therapy (LLLT) and LED multi-diode (cluster) therapy (LEDT) applications before high-intensity exercise.</t>
  </si>
  <si>
    <t>🧑 Human
🎲 Randomized trial, double-blind, crossover
👥 8 participants
⌛ 3 sessions (1 laser probe, 1 LED cluster, 1 sham) with 1-week washout periods</t>
  </si>
  <si>
    <t>LLLT vs LED
LED phototherapy
LED cluster</t>
  </si>
  <si>
    <t>810
vs
660+
850</t>
  </si>
  <si>
    <t>"In this experimental set-up, only the active LEDT probe decreased post-exercise CK levels after the Wingate cycle test. Neither performance nor blood lactate levels were significantly affected by this protocol of pre-exercise LEDT or LLLT."</t>
  </si>
  <si>
    <t>Effect of 830 nm low-level laser therapy applied before high-intensity exercises on skeletal muscle recovery in athletes.</t>
  </si>
  <si>
    <t>🧑 Human
🎲 Randomized trial, crossover, double-blind
👥 20 participants
⌛ 2 sessions (1 active, 1 sham) with a 1-week washout</t>
  </si>
  <si>
    <t>0.0028
cm2
(?)</t>
  </si>
  <si>
    <t>"LLLT irradiation before the Wingate test seemed to inhibit an expected post-exercise increase in CK level and to accelerate post-exercise lactate removal without affecting test performance."</t>
  </si>
  <si>
    <t>Effect of 830 nm low-level laser therapy in exercise-induced skeletal muscle fatigue in humans.</t>
  </si>
  <si>
    <t>🧑 Human
🎲 Randomized trial, double-blind, crossover
👥 10 participants
⌛ 2 sessions (1 active, 1 sham) with a 1-week washout</t>
  </si>
  <si>
    <t>"After active LLLT the mean number of repetitions was significantly higher than after placebo irradiation [mean difference 4.5, standard deviation (SD) +/- 6.0, P = 0.042], the blood lactate levels increased after exercises, but there was no significant difference between the treatments.
We concluded that 830 nm LLLT can delay the onset of skeletal muscle fatigue in high-intensity exercises, in spite of increased blood lactate levels."</t>
  </si>
  <si>
    <t>Effect of 655-nm low-level laser therapy on exercise-induced skeletal muscle fatigue in humans.</t>
  </si>
  <si>
    <t>🧑 Human
🎲 Randomized trial, double-blind
👥 12 participants
⌛ 2 sessions (1 active, 1 sham) with a 1-week washout</t>
  </si>
  <si>
    <t>"Compared to the first session (on day 1), the mean number of repetitions increased significantly by 8.5 repetitions (+/- 1.9) in the active LLLT group at the second session (on day 8), while in the placebo LLLT group the increase was only 2.7 repetitions (+/- 2.9) (p = 0.0001)."</t>
  </si>
  <si>
    <t>J Hum Ergol (Tokyo)</t>
  </si>
  <si>
    <t>Effect of linear polarized near-infrared light irradiation on muscle fatigue recovery after repeated handgrip exercise.</t>
  </si>
  <si>
    <t>🧑 Human
🎲 Randomized trial, double-blind, crossover
👥 20 participants
⌛ 2 sessions on different days</t>
  </si>
  <si>
    <t>"It is inferred that PL-irradiation maintains a high skin temperature and blood flow, but it may not contribute to recover muscle contraction performance in muscle fatigue."
Comment: Full text available via ResearchGate</t>
  </si>
  <si>
    <t>Pain reduction by infrared light-emitting diode irradiation: a pilot study on experimentally induced delayed-onset muscle soreness in humans.</t>
  </si>
  <si>
    <t>🧑 Human
🎲 Randomized trial, sham-controlled
👥 32 participants
⌛ 4 days</t>
  </si>
  <si>
    <t>18
cm2</t>
  </si>
  <si>
    <t>"Statistical analysis (a general linear model followed by post hoc least significant difference) revealed no apparent significant analgesic effects of LED at the above-described light parameters and treatment procedure for none of the three outcome measures. However, as the means of all VAS and MPT variables disclose a general analgesic effect of LED irradiation in favour of the experimental group, precaution should be taken in view of any clinical decision on LED. Future research should therefore focus on the investigation of the mechanisms of LED action and on the exploration of the analgesic effects of LED in a larger randomised clinical trial and eventually in more clinical settings."</t>
  </si>
  <si>
    <t>Douris</t>
  </si>
  <si>
    <t>USA
(Old Westbury, NY)</t>
  </si>
  <si>
    <t>Effect of phototherapy on delayed onset muscle soreness.</t>
  </si>
  <si>
    <t>🧑 Human
🎲 Randomized trial, double-blind
👥 27 participants
⌛ 5 days</t>
  </si>
  <si>
    <t>SLED phototherapy
Active vs sham vs no treatment</t>
  </si>
  <si>
    <t>660+
880</t>
  </si>
  <si>
    <t>"The experimental group exhibited a significant decrease in pain associated with DOMS compared to the control (p=0.01) and sham groups (p=0.03) based upon the VAS at the 48-h period. The McGill Pain Questionnaire showed a significant difference in pain scores at the 48-h period between the experimental and the sham groups (p=0.01). There were no significant differences day to day and between the groups with respect to girth and RANG."
"The results of this study provide scientific evidence that phototherapy as used in this study provides a beneficial effect to patients who may experience DOMS after a novel exercise session."</t>
  </si>
  <si>
    <t>Glasglow</t>
  </si>
  <si>
    <t>UK
(Jordanstown, Northern Ireland)</t>
  </si>
  <si>
    <t>Low intensity monochromatic infrared therapy: a preliminary study of the effects of a novel treatment unit upon experimental muscle soreness.</t>
  </si>
  <si>
    <t>🧑 Human
🎲 Randomized trial, double-blind
👥 24 participants
⌛ 5 days</t>
  </si>
  <si>
    <t>Active vs sham vs no treatment</t>
  </si>
  <si>
    <t>25
cm2
array
area</t>
  </si>
  <si>
    <t>5
/ 5 days
(?)</t>
  </si>
  <si>
    <t>"Despite trends in favour of the Treatment group, analysis failed to show any significant differences between the LIMIRT treatment and Placebo groups for all variables except mechanical pain threshold points 3-6 on day 2."
"The results of the current study suggest that LIMIRT is ineffective in the management of DOMS at the parameters investigated."</t>
  </si>
  <si>
    <t>Pulsing: 1 kHz</t>
  </si>
  <si>
    <t>Craig</t>
  </si>
  <si>
    <t>Lack of effect of combined low intensity laser therapy/phototherapy (CLILT) on delayed onset muscle soreness in humans.</t>
  </si>
  <si>
    <t>🧑 Human
🎲 Randomized trial, double-blind
👥 36 participants
⌛ 5 consecutive days -&gt; 2 days on following week</t>
  </si>
  <si>
    <t>5 + 2
/ 2 weeks</t>
  </si>
  <si>
    <t>"CLILT failed to show any beneficial treatment effect on DOMS, at least at the parameters used here. These results therefore provide no evidence for the claimed biostimulating effects of such therapy."</t>
  </si>
  <si>
    <t>Delayed-onset muscle soreness: lack of effect of combined phototherapy/low-intensity laser therapy at low pulse repetition rates.</t>
  </si>
  <si>
    <t>🧑 Human
🎲 Randomized trial, double-blind
👥 60 participants
⌛ 3 days</t>
  </si>
  <si>
    <t>"Analysis of results using repeated measures and one-factor analysis of variance with relevant post hoc tests showed significant changes in ranges of movement accompanied by increases in subjective pain and tenderness for all groups over time (p = 0.0001); however, such analysis failed to show any significant differences between groups on any of the days. These results thus provide no convincing evidence for any putative hypoalgesic effect of CLILT upon DOMS at the parameters used here."</t>
  </si>
  <si>
    <t>Exercise (preclinical)</t>
  </si>
  <si>
    <t>Sunemi</t>
  </si>
  <si>
    <t>Post-resistance exercise photobiomodulation therapy has a more effective antioxidant effect than pre-application on muscle oxidative stress</t>
  </si>
  <si>
    <t>142.8</t>
  </si>
  <si>
    <t>"Therefore, PBMt application after a RE section has a more potent antioxidant effect than previous PBMt. Rats submitted to post-RE PBMt illustrated prevention of increased lipoperoxidation and protein oxidation as well as increased SOD activity. The photobiomodulation can attenuate oxidative stress induced by resistance exercise."</t>
  </si>
  <si>
    <t>Cold water immersion or LED therapy after training sessions: effects on exercise-induced muscle damage and performance in rats.</t>
  </si>
  <si>
    <t>"LED therapy and cryotherapy, in addition to the training, did not alter performance in the swimming exercise when applied daily after the training sessions, in relation to the passive recovery group. 
However, LED therapy and CWI were effective in preventing muscle injury and inflammatory reactions."</t>
  </si>
  <si>
    <t>Guaraldo</t>
  </si>
  <si>
    <t>The effect of low-level laser therapy on oxidative stress and functional fitness in aged rats subjected to swimming: an aerobic exercise.</t>
  </si>
  <si>
    <t>12
(3p)</t>
  </si>
  <si>
    <t>120
(3p)</t>
  </si>
  <si>
    <t>"In the current study, there was an improvement in the antioxidant defense system in the gastrocnemius of aged animals that received irradiation with LLLT and aerobic training compared to that in the other groups (exercise, LLLT, and aged-control groups).
These results indicate that regular physical exercise plus LLLT could be an important strategy to reduce the supra physiological production of ROS, as its levels increase antioxidant enzyme activity and reduce lipid peroxidation in the gastrocnemius."</t>
  </si>
  <si>
    <t>Aquino</t>
  </si>
  <si>
    <t>Low-level laser therapy (LLLT) combined with swimming training improved the lipid profile in rats fed with high-fat diet.</t>
  </si>
  <si>
    <t>Blood lipids, cholesterol</t>
  </si>
  <si>
    <t>9.4
(2p)</t>
  </si>
  <si>
    <t>"LLLT decreased the total cholesterol (p &lt; 0.05), triglycerides (p &lt; 0.01), low-density lipoprotein cholesterol (p &lt; 0.05), and relative mass of fat tissue (p &lt; 0.05), suggesting increased metabolic activity and altered lipid pathways. The combination of exercise and LLLT increased the benefits of exercise alone. However, LLLT without exercise tended to increase body weight and fat content."</t>
  </si>
  <si>
    <t>Sussai</t>
  </si>
  <si>
    <t>Low-level laser therapy attenuates creatine kinase levels and apoptosis during forced swimming in rats.</t>
  </si>
  <si>
    <t>Swimming</t>
  </si>
  <si>
    <t>"There was a significant difference in CK levels between groups (P &lt; 0.0001) as well as between the 24 h and 48 h levels in the control group, whereas there was no significant intra-group difference in the LLLT group at the same evaluation times."</t>
  </si>
  <si>
    <t>Photobiomodulation Therapy Modulates Muscle Gene Expression and Improves Performance of Rats Subjected to a Chronic Resistance Exercise Protocol</t>
  </si>
  <si>
    <t>"The EXL performed more climbing (7.1 ± 0.91) compared to EX (4.4 ± 0.63). PBM promoted increased expression of lactate dehydrogenase enzyme, mammalian target of rapamycin protein, and androgen receptor (p &lt; 0.05) but not the myosin heavy chain (p = 0.43)."
"PBM therapy increases the expression of performance-related muscle mass gain genes besides improving the resistance training performance."</t>
  </si>
  <si>
    <t>de Souza Malta</t>
  </si>
  <si>
    <t>Effect of 12 Weeks of Endurance Training Combined With Creatine Supplement, Photobiomodulation Therapy, or Both on Performance and Muscle Damage in Rats</t>
  </si>
  <si>
    <t xml:space="preserve">PBM vs creatine </t>
  </si>
  <si>
    <t>3
(/p ?)</t>
  </si>
  <si>
    <t>"We conclude that PBMT alone or in conjunction with Cr supplement during a 12-week training program resulted in significantly better muscle performance and lower levels of CK, a biochemical marker of muscle damage."</t>
  </si>
  <si>
    <t>de Souza Oliveira</t>
  </si>
  <si>
    <t>Low-level laser therapy prevents muscle apoptosis induced by a high-intensity resistance exercise in a dose-dependent manner.</t>
  </si>
  <si>
    <t>3.57
3.57
3.57</t>
  </si>
  <si>
    <t>71.4
142.8
285.6</t>
  </si>
  <si>
    <t>"This study conducted in animals reveals that muscular apoptosis is induced by a high-intensity ER session. The antiapoptotic effect by the LLLT was dose-dependent, with evident benefits only in 4-J-irradiated rats."</t>
  </si>
  <si>
    <t>Low-level laser therapy prevents muscle oxidative stress in rats subjected to high-intensity resistance exercise in a dose-dependent manner.</t>
  </si>
  <si>
    <t>Dose response (?) (not very pronounced)</t>
  </si>
  <si>
    <t>4
8
12</t>
  </si>
  <si>
    <t>"All doses resulted in the prevention of increased lipoperoxidation; however, LLLT prevented protein oxidation only in rats that were pretreated with 8 J and 12 J of energy by LLLT. [Resistance exercise] and LLLT did not change catalase activity. However, [resistance exercise] resulted in lower superoxide dismutase activity, and the opposite was observed in the LLLT group. 
These data indicate that LLLT prior to RE can prevent muscle oxidative stress."</t>
  </si>
  <si>
    <t>Frigero</t>
  </si>
  <si>
    <t>Effect of photobiomodulation therapy on oxidative stress markers of gastrocnemius muscle of diabetic rats subjected to high-intensity exercise.</t>
  </si>
  <si>
    <t>"CAT, SOD, and GPx activities were significantly higher in the diabetic PBMT fatigue group (p &lt; 0.05) than in the diabetic fatigue group. Outcomes for the diabetic PBMT fatigue group were similar to those of the control group (p &gt; 0.05), while their antioxidant enzymes were significantly higher than those of the diabetic fatigue group. PBMT mitigated the TBARS concentration (p &gt; 0.05). 
PBMT may reduce oxidative stress and be an alternative method of maintaining physical fitness when subjects are unable to perform exercise. However, this finding requires further testing in clinical studies."</t>
  </si>
  <si>
    <t>Protective effects of photobiomodulation against resistance exercise-induced muscle damage and inflammation in rats.</t>
  </si>
  <si>
    <t>Dose response
Biphasic dose response</t>
  </si>
  <si>
    <t>"Prior LLLT did not induce climbing performance improvement, but exposure to 4J irradiation resulted in lower blood lactate levels post-exercise. The 4J dose decreased creatine kinase and lactic dehydrogenase levels post-exercise regardless of the time of application. Moreover, 4-J irradiation exposure significantly attenuated tumor necrosis factor alpha, interleukin-6, interleukin-1β, cytokine-induced neutrophil chemoattractant-1, and monocyte chemoattractant protein-1. There was minor macrophage muscle infiltration in 4J-exposed rats. 
These data indicate that LLLT prior to or post resistance exercise can reduce muscle damage and inflammation, resulting in muscle recovery improvement. We attempted to determine an ideal LLLT dose for suitable results, wherein 4J irradiation exposure showed a significant protective role."
Comment: The effect was good but the optimal dose range was very narrow...</t>
  </si>
  <si>
    <t>Photobiomodulation Leads to Reduced Oxidative Stress in Rats Submitted to High-Intensity Resistive Exercise</t>
  </si>
  <si>
    <t>"LLLT prior to RE avoided the increase of the lipid peroxidation levels. Similar results were also notified for oxidation protein assays. The GPx and FRAP activities did not reduce instantly or 24 h after RE. SOD increased 24 h after RE, while CAT activity did not change with RE or LLLT. 
In conclusion, LLLT prior to RE reduced the oxidative stress markers, as well as, avoided reduction, and still increased the antioxidant capacity."</t>
  </si>
  <si>
    <t>Photobiomodulation increases mitochondrial citrate synthase activity in rats submitted to aerobic training</t>
  </si>
  <si>
    <t>0.0375</t>
  </si>
  <si>
    <t xml:space="preserve">1.2
(8p)
</t>
  </si>
  <si>
    <t>26?</t>
  </si>
  <si>
    <t>"This study investigated the effects of photobiomodulation by low-laser laser therapy (LLLT) on the activities of citrate synthase (CS) and lactate dehydrogenase (LDH) and the anaerobic threshold (AT) in rats submitted to treadmill exercise."
"The CS activity (μmol/protein) in ELG (16.02 and 0.49) was significantly greater (P &lt; 0.05) than RCG (2.34 and 0.24), RLG (6.25 and 0.17), and ECG (6.76 and 0.26) in the cardiac and soleus muscles, respectively. The LDH activity (in 1 Mm/protein) in soleus muscle was smaller (P &lt; 0.05) for ELG (0.33) compared to ECG (0.97), RLG (0.79), and RCG (1.07). For cardiac muscle, the LDH activity was smaller (P &lt; 0.05) in ELG (1.38) compared to ECG (1.91) and RCG (2.55). The ECG and ELG showed increases in the maximum speed and a shift of the AT to higher effort levels after the training period, but no differences occurred between the exercised groups."
"In conclusion, the aerobic treadmill training combined with LLLT promotes an increase of oxidative capacity in this rat model, mainly in muscles with greater aerobic capacity."</t>
  </si>
  <si>
    <t>Perini</t>
  </si>
  <si>
    <t>Long-term low-level laser therapy promotes an increase in maximal oxygen uptake and exercise performance in a dose-dependent manner in Wistar rats.</t>
  </si>
  <si>
    <t>"The 61.2 J/cm(2)-LLLT group increased VO2basal (~40 %), VO2max (~24 %), VCO2max (~17 %), and distance covered (~34 %) after LLLT application on the skeletal muscle. No significant results were found comparing before and after conditions for the studied variables considering P-LLLT and 8.7 J/cm(2)-LLLT groups.
The LLLT promoted in a dose-dependent manner an increase in oxygen consumption uptake and a performance increment of male Wistar rats."
Comment: Parameters were well reported.</t>
  </si>
  <si>
    <t>Time response of increases in ATP and muscle resistance to fatigue after low-level laser (light) therapy (LLLT) in mice.</t>
  </si>
  <si>
    <t>500
+
1000</t>
  </si>
  <si>
    <t>0.08
(skin)</t>
  </si>
  <si>
    <t>45
cm2
cluster</t>
  </si>
  <si>
    <t>"LEDT-6 h was the subgroup with the highest ATP content in soleus and gastrocnemius compared to all subgroups (P &lt; 0.001). In addition, mice in LEDT-6 h group performed more repetitions in the fatigue test (P &lt; 0.001) compared to all subgroups: LEDT-sham and LEDT-5 min (~600 %), LEDT-3 h (~200 %), and LEDT-24 h (~300 %). A high correlation between the fatigue test repetitions and the ATP content in soleus (r = 0.84) and gastrocnemius (r = 0.94) muscles was observed.
LEDT increased ATP content in muscles and fatigue resistance in mice with a peak at 6 h. Although the time response in mice and humans is not the same, athletes might consider applying LEDT at 6 h before competition."</t>
  </si>
  <si>
    <r>
      <rPr>
        <rFont val="Arial"/>
        <b/>
        <color rgb="FF980000"/>
        <sz val="9.0"/>
      </rPr>
      <t xml:space="preserve">★
</t>
    </r>
    <r>
      <rPr>
        <rFont val="Arial"/>
        <b/>
        <color rgb="FF980000"/>
        <sz val="6.0"/>
      </rPr>
      <t>📷</t>
    </r>
  </si>
  <si>
    <t>Light-emitting diode therapy in exercise-trained mice increases muscle performance, cytochrome c oxidase activity, ATP and cell proliferation.</t>
  </si>
  <si>
    <t>LED phototherapy
LED cluster
Wavelength comparison</t>
  </si>
  <si>
    <t>630
850</t>
  </si>
  <si>
    <t>7.3</t>
  </si>
  <si>
    <t>"Six bi-daily training sessions LEDT-After and LEDT-Before-After regimens more than doubled muscle performance and increased ATP more than tenfold. The effectiveness of LEDT on improving muscle performance and recovery suggest applicability for high performance sports and in training programs."
Star: Parameters are well reported. Results are interesting. A photograph is supplied.</t>
  </si>
  <si>
    <t>Amadio</t>
  </si>
  <si>
    <t>The action of pre-exercise low-level laser therapy (LLLT) on the expression of IL-6 and TNF-α proteins and on the functional fitness of elderly rats subjected to aerobic training.</t>
  </si>
  <si>
    <t>"These results suggest that laser therapy in conjunction with aerobic training may provide a therapeutic approach for reducing the inflammatory markers (IL-6 and TNF-α), however, LLLT without exercise was not able to improve physical performance of aged rats."
Comment: Exercise was beneficial, but the importance of LLLT seems unclear/minimal.</t>
  </si>
  <si>
    <t>Effect of low-level laser therapy (808 nm) on skeletal muscle after endurance exercise training in rats.</t>
  </si>
  <si>
    <t>"Both trained groups showed significant increase in speed compared to the CG. The TLG demonstrated a significantly reduced lactate level, increased tibialis anterior (TA) fiber cross-section area, and decreased TA fiber density."</t>
  </si>
  <si>
    <t>LED therapy or cryotherapy between exercise intervals in Wistar rats: anti-inflammatory and ergogenic effects.</t>
  </si>
  <si>
    <t>0.0095</t>
  </si>
  <si>
    <t>"The [passive rest] group presented a high frequency of necrosis, but the LED group had fewer necrotic areas. Edema formation was prevented, and fewer areas of inflammatory cells were observed in the LED group. The time to exhaustion was greater in both the LED and Cryo groups, without differences in CK levels. CRP was decreased in LED animals. We conclude that LED therapy and cryotherapy can improve performance, although LED therapy is more efficient in preventing muscle damage and local and systemic inflammation."
Comment: Results are very interesting. Parameters weren't well reported, though.</t>
  </si>
  <si>
    <t>Effects of light emitting diode (LED) therapy and cold water immersion therapy on exercise-induced muscle damage in rats.</t>
  </si>
  <si>
    <t>"The results demonstrated that the LED group presented fewer areas of muscle damage and inflammatory cell infiltration and lower levels of CK activity than the E group. Fewer areas of damaged muscle fiber were observed in the LED group than in CWI. CWI and LED did not reduce edema areas. Hematological analysis showed no significant effect of either treatment on leukocyte counts. 
The results suggest that LED therapy is more efficient than CWI in preventing muscle damage and local inflammation after exercise."</t>
  </si>
  <si>
    <t>Effects of pre-irradiation of low-level laser therapy with different doses and wavelengths in skeletal muscle performance, fatigue, and skeletal muscle damage induced by tetanic contractions in rats.</t>
  </si>
  <si>
    <t>"Several LLLT doses showed some positive effects on peak force and time to decay for one or more contractions, but in terms of total work, only 3 J/660 nm and 1 J/905 nm wavelengths prevented significantly (p &lt; 0.05) the development of skeletal muscle fatigue"
"Optimal doses of LLLT significantly delayed the development skeletal muscle performance and protected skeletal muscle tissue against damage. Our findings also demonstrate that optimal doses are partly wavelength specific and, consequently, must be differentiated to obtain optimal effects on development of skeletal muscle fatigue and tissue preservation.
Our findings also lead us to think that the combined use of wavelengths at the same time can represent a therapeutic advantage in clinical settings."</t>
  </si>
  <si>
    <t>Low-level laser therapy associated with high intensity resistance training on cardiac autonomic control of heart rate and skeletal muscle remodeling in wistar rats.</t>
  </si>
  <si>
    <t>0.15
/p</t>
  </si>
  <si>
    <t>"The main results of the present study found that LLLT in conjunction with HIT increased MMP-2 gene expression and some HRV indices. It also appears LLLT has independent positive effects on HRV."</t>
  </si>
  <si>
    <t>Patrocinio</t>
  </si>
  <si>
    <t>Effect of low-level laser therapy (808 nm) in skeletal muscle after resistance exercise training in rats.</t>
  </si>
  <si>
    <t>"Analysis demonstrated that TGL demonstrated significantly reduced resting lactate level and decreased muscle glycogen depletion than the animals that were exercised only, and significantly increased the cross-section area of TA muscle fibers compared with thoseo in the other groups."</t>
  </si>
  <si>
    <t>Low-level laser therapy improves skeletal muscle performance, decreases skeletal muscle damage and modulates mRNA expression of COX-1 and COX-2 in a dose-dependent manner.</t>
  </si>
  <si>
    <t>Electrical stimulation of muscle
Dose response
Biphasic dose response</t>
  </si>
  <si>
    <t>1.0
3.0</t>
  </si>
  <si>
    <t>"The 1.0 and 3.0 J groups showed significant enhancement (P &lt; 0.01) in total work performed in six tetanic contractions compared with control group.
All laser groups, except the 3.0 J group, presented significantly lower post-exercise CK activity than control group.
Additionally, 1.0 J group showed increased COX-1 and decreased COX-2 mRNA expression compared with control group and 0.1, 0.3 and 3.0 J laser groups (P &lt; 0.01)."
Comment: Parameters were reported in a nice way.</t>
  </si>
  <si>
    <t>Effect of low-level laser therapy (GaAs 904 nm) in skeletal muscle fatigue and biochemical markers of muscle damage in rats.</t>
  </si>
  <si>
    <t>0.1
0.3
1.0
3.0</t>
  </si>
  <si>
    <t>"We conclude that pre-exercise irradiation with a laser dose of 1.0 J and 904 nm wavelength significantly delays muscle fatigue and decreases post-exercise blood lactate and CK in this rat model."
Note: The first author is from Brazil. The last author is from Norway. Maybe this was some kind of collaboration project.</t>
  </si>
  <si>
    <t>J Appl Physiol (1985)</t>
  </si>
  <si>
    <t>Effect of low-level laser (Ga-Al-As 655 nm) on skeletal muscle fatigue induced by electrical stimulation in rats.</t>
  </si>
  <si>
    <t>0.5
1.0
2.5</t>
  </si>
  <si>
    <t>"Laser groups receiving 0.5 and 1.0 J/cm2 showed significant increases in mean performed work compared with both the control group and their first contraction values."</t>
  </si>
  <si>
    <t>Exercise-related health improvements</t>
  </si>
  <si>
    <t>Abdelaal</t>
  </si>
  <si>
    <t>Sauri Arabia
(Makkah)</t>
  </si>
  <si>
    <t>Obesity Indices and Ventilatory Function Responses to High-Level Laser Therapy in Subjects with Abdominal Obesity</t>
  </si>
  <si>
    <t>🧑 Human
🎲 Randomized trial
👥 37 participants
⌛ 12 weeks</t>
  </si>
  <si>
    <t>"Utilizing the pulsed Nd:YAG HILT as an adjunctive therapeutic modality proved to be effective in improving the anthropometric indices and ventilatory functions in subjects with AO."</t>
  </si>
  <si>
    <t>Effect of exercise training with laser phototherapy on homeostasis balance resistant to hypercoagulability in seniors with obesity: a randomized trial</t>
  </si>
  <si>
    <t>🧑 Human
🎲 Randomized trial
👥 76 participants
⌛ 3 months</t>
  </si>
  <si>
    <t>PBM device design: wristwatch</t>
  </si>
  <si>
    <t>8.64</t>
  </si>
  <si>
    <t>288</t>
  </si>
  <si>
    <t>"So, in comparison to aerobic exercise alone, combined aerobic exercise and laser phototherapy had superior positive effects on coagulation biomarkers and decreased the risk of thromboembolism throughout a three-month intervention period in senior obese persons. Therefore, we suggest adopting laser phototherapy for individuals with a greater risk of hypercoagulability."</t>
  </si>
  <si>
    <t>Contemp Clin Trials Commun</t>
  </si>
  <si>
    <t>Effects of the association of different volumes of strength training with photobiomodulation therapy on insulin resistance: A protocol for a randomized, triple-blind, placebo-controlled trial</t>
  </si>
  <si>
    <t>"This study will determine the effects of different ST volumes on IR and whether the addition of PBMt potentiates the effects of ST."</t>
  </si>
  <si>
    <t>Francisco</t>
  </si>
  <si>
    <t>Effects of light-emitting diode therapy (LEDT) on cardiopulmonary and hemodynamic adjustments during aerobic exercise and glucose levels in patients with diabetes mellitus: A randomized, crossover, double-blind and placebo-controlled clinical trial.</t>
  </si>
  <si>
    <t>🧑 Human
🎲 Randomized trial, crossover, double-blind
👥 16 patients
⌛ 4 treatment days -&gt; 14-day washout -&gt; 4 treatment days (?)</t>
  </si>
  <si>
    <t>LED phototherapy
Diabetic patients</t>
  </si>
  <si>
    <t>75
/diode
(50
diodes)</t>
  </si>
  <si>
    <t>300
/lower limb</t>
  </si>
  <si>
    <t>15
(per
diode)</t>
  </si>
  <si>
    <t>"The LEDT decreased the glucose levels after the exercise compared with values before LEDT (173.7±61.0 to 143.5±53.5 mg/dl, P=0.02) and it did not affect the cardiopulmonary and hemodynamic adjustments in exercise, as well as lactate levels in both groups. 
In conclusion, the LEDT in combination with moderate exercise acutely decreased the glucose levels in men with T2DM."</t>
  </si>
  <si>
    <t>da Silveira Campos</t>
  </si>
  <si>
    <t>The effects of exercise training associated with low-level laser therapy on biomarkers of adipose tissue transdifferentiation in obese women.</t>
  </si>
  <si>
    <t>🧑 Human
📄 Non-randomized trial, sham-controlled
👥 49 participants
⌛ 4 months</t>
  </si>
  <si>
    <t>6144
(96 per point)
(128 points)
(?)</t>
  </si>
  <si>
    <t>3/week
for
4 months</t>
  </si>
  <si>
    <t>"Only the Phototherapy group showed a reduction in interleukin-6 and an increase in WNT5 signaling. In addition, it was possible to observe a higher magnitude change for the fat mass, insulin, HOMA-IR, and FGF-21 variables in the Phototherapy group. In the present investigation, it was demonstrated that exercise training associated with LLLT promotes an improvement in body composition and inflammatory processes as previously demonstrated. The Phototherapy group especially presented positive modifications of WNT5 signaling, FGF-21, and ANP, possible biomarkers associated with browning adiposity processes. This suggests that this kind of intervention promotes results applicable in clinical practice to control obesity and related comorbidities."</t>
  </si>
  <si>
    <t>Effects of Phototherapy Plus Physical Training on Metabolic Profile and Quality of Life in Postmenopausal Women.</t>
  </si>
  <si>
    <r>
      <rPr>
        <sz val="7.0"/>
      </rPr>
      <t>🧑 Human
🎲 Randomized trial, sham-controlled
👥 45 participants (-&gt; 30 completed)
⌛ 6 months
(</t>
    </r>
    <r>
      <rPr>
        <i/>
        <sz val="7.0"/>
      </rPr>
      <t>secondary publication to the Paolillo et al. 2013 paper)</t>
    </r>
  </si>
  <si>
    <t>LED phototherapy
LED array</t>
  </si>
  <si>
    <t>2/week
for
6 months</t>
  </si>
  <si>
    <t>"Physical training with or without phototherapy may improve metabolic profile. In addition, phototherapy together with treadmill training prevented an increase in subcutaneous fat and facilitated improved quality of life in postmenopausal women."
Comment: This appears to be a secondary publication with same patients as in two other papers, but this is not explicitly mentioned in this paper (?).</t>
  </si>
  <si>
    <t>Sene-Fiorese</t>
  </si>
  <si>
    <t>The potential of phototherapy to reduce body fat, insulin resistance and "metabolic inflexibility" related to obesity in women undergoing weight loss treatment.</t>
  </si>
  <si>
    <t>🧑 Human
🎲 Randomized trial, sham-controlled
👥 64 participants
⌛ 5 months</t>
  </si>
  <si>
    <t>60
/ 20 weeks</t>
  </si>
  <si>
    <t>"Comparing the magnitude of effects between groups (ET-PHOTO vs. ET-SHAM), we observed that physical training plus phototherapy was more effective than physical training in reducing the delta of percentage of fat mass (%; -5.60 ± 1.59 vs. -4.33 ± 1.5; P &lt; 0.04); fat mass (kg; -11.26 ± 2.82 vs. -5.80 ± 2.82; P &lt; 0.0002); HOMA-IR index (-38.08 ± 9.23 vs. -20.91 ± 14.42; P &lt; 0.0001). In addition, we observed an increase in delta (%) of total skeletal muscle mass (kg; 0.60 ± 1.09 vs. -1.38 ± 1.70; P &lt; 0.003), adiponectin concentration (ng/ml; 1.08 (0.04-3.62) vs. -0.42 (-3.15 to 2.26); P &lt; 0.03) in the same comparison."
"Our results demonstrated for the first time that phototherapy enhances the physical exercise effects in obese women undergoing weight loss treatment promoting significant changes in inflexibility metabolic profile."</t>
  </si>
  <si>
    <t>Can low-level laser therapy (LLLT) associated with an aerobic plus resistance training change the cardiometabolic risk in obese women? A placebo-controlled clinical trial.</t>
  </si>
  <si>
    <t>🧑 Human
🎲 Randomized trial, double-blind
👥 64 participants
⌛ 16 weeks</t>
  </si>
  <si>
    <t>48
/ 16 weeks</t>
  </si>
  <si>
    <t>"LLLT associated with aerobic plus resistance training was effective in decrease neck (P=0.0003) and waist circumferences (P=0.02); percentual of fat (P=0.04); visceral fat area (P=0.02); HOMA-IR (P=0.0009); Leptin (P=0.03) and ICAM (P=0.03). Also, the reduction in leptin (P=0.008) and ICAM-1 (0, 05) was much more expressive in the phototherapy group in comparison to placebo group when analyzed by delta values."
"LLLT associated with concurrent exercise (aerobic plus resistance training) potentiates the exercise effects of decreasing the cardiometabolic risk factors in obese woman.
These results suggest the LLLT associated with exercises as a new therapeutic tool in the control of obesity and its comorbidities for obese people, targeting to optimize the strategies to control the cardiometabolic risk factors in these populations."
Comment: Abstract reports that the energy (per treatment) was only 50J. This is in disagreement with the full text.</t>
  </si>
  <si>
    <t>Can low-level laser therapy when associated to exercise decrease adipocyte area?</t>
  </si>
  <si>
    <t>Exercise+LLLT</t>
  </si>
  <si>
    <t>35.36</t>
  </si>
  <si>
    <t>1.66</t>
  </si>
  <si>
    <t>d =
0.6 mm
spot</t>
  </si>
  <si>
    <t>47
(/p?)</t>
  </si>
  <si>
    <t>"We conclude that the combined use of exercise and phototherapy increases the activity of the enzyme citrate synthase and decreases the white adipocyte area epididymal, retroperitoneal and visceral in obese rats, enhancing the effects of exercise."
Comment: They also noticed that LLLT increased the adipocyte area in the sedentary groups.</t>
  </si>
  <si>
    <t>New treatment of cellulite with infrared-LED illumination applied during high-intensity treadmill training.</t>
  </si>
  <si>
    <t>🧑 Human
📄 Non-randomized study, controlled
👥 20 participants
⌛ 3 months</t>
  </si>
  <si>
    <t>106</t>
  </si>
  <si>
    <t>2/week
for
3 months</t>
  </si>
  <si>
    <t>"The current study combines the benefi ts of physical training with the therapeutic effects of phototherapy. These positive effects lead to an improvement of body aesthetics with a reduction of saddlebag and thigh circumference as well as the treatment of cellulite, possibly due to the increased metabolic activity as observed in the thermal images, as well as also preventing the increase of body fat in both young and middle-aged women."</t>
  </si>
  <si>
    <t>Glycogen</t>
  </si>
  <si>
    <t>Can photobiomodulation therapy (PBMT) control blood glucose levels and alter muscle glycogen synthesis?</t>
  </si>
  <si>
    <t>LED phototherapy
Biphasic dose response (triphasic)</t>
  </si>
  <si>
    <t>"The PBMT groups had the greatest increase in muscle glycogen (10 J/cm2 &gt; 60 J/cm2 &gt; 30 J/cm2 &gt; sham), characterizing a triphasic dose-response of PBMT.
There was a strong negative correlation between blood glucose variability over 6 h and muscle glycogen concentration for 10 J/cm2 group (r = -0.94; p &lt; .001) followed by 30 J/cm2 group (r = -0.84; p &lt; .001) and 60 J/cm2 group(r = -0.73; p &lt; .006).
These results suggest that PBMT can play a very important role in the control of blood glucose levels, and its possible mechanism of action is the induction of greater muscle glycogen synthesis independently of physical exercise."</t>
  </si>
  <si>
    <t>Handgrip strength</t>
  </si>
  <si>
    <t>Florianovicz</t>
  </si>
  <si>
    <t>Effects of Photobiomodulation Therapy and Restriction of Wrist Extensor Blood Flow on Grip: Randomized Clinical Trial</t>
  </si>
  <si>
    <t>🧑 Human
🎲 Randomized trial
👥 58 participants
⌛ 4 weeks</t>
  </si>
  <si>
    <t>35
32</t>
  </si>
  <si>
    <t>0.700
0.317</t>
  </si>
  <si>
    <t>18.9
17.2</t>
  </si>
  <si>
    <t>42
19</t>
  </si>
  <si>
    <t>0.05
0.101
cm2
beam
area</t>
  </si>
  <si>
    <t>60
60
/point
(9 points)</t>
  </si>
  <si>
    <t>"A statistically significant increase was obtained for handgrip strength for the 660 nm group [27.36 ± 2.61 kilogram force (kgF)] compared with the 830 nm group (23.04 ± 3.06 kgF) (p = 0.010) and for wrist extensor strength in the 660 nm (7.77 ± 0.58 kgF) and BFR (7.54 ± 0.92 kgF) groups compared with the control group (5.33 ± 0.61 kgF) (p = 0.001 and p = 0.004, respectively). The RMS value for the 660 nm group was significantly higher than control (p &lt; 0.0001), BFR (p &lt; 0.0001), and the 830 nm group (p = 0.0009)."
"The association of PBMT (660 nm) and BFR was effective for increasing handgrip strength of the wrist extensors, associated with an increase in RMS."</t>
  </si>
  <si>
    <t>Hypoxia</t>
  </si>
  <si>
    <t>Acute physiological responses to combined blood flow restriction and low-level laser.</t>
  </si>
  <si>
    <t>🧑 Human
🎲 Randomized trial, crossover, sham-controlled
👥 15 participants
⌛ 3 sessions (1 active, 1 sham, 1 control) with at least 72h washout periods</t>
  </si>
  <si>
    <t>30
/site
(2 sites)</t>
  </si>
  <si>
    <t>LLLT pre-conditioning can minimize the [blood flow restriction]-related decline in muscle oxygen saturation, leading to force gradation and [motor unit] discharge in a cost-effective and complex manner.</t>
  </si>
  <si>
    <t>Mirahmadi</t>
  </si>
  <si>
    <t>Cell Mol Biol (Noisy-le-grand)</t>
  </si>
  <si>
    <t>Hypoxia and laser enhance expression of SDF-1 in muscles cells</t>
  </si>
  <si>
    <t>"Targeted homing of transplanted mesenchymal stem cells (MSCs) is a decades old discussion in regenerative medicine. It has been proved that stromal cell-derived factor-1 (SDF-1α) is a potent chemoattractant of MSCs. Therefore, different strategies have been used to increase secretion of SDF-1α in damaged tissues to elevate targeted homing of MSCs."
"It can be concluded that hypoxia and laser treatments may recruit MSCs and applied as a useful strategy for the further targeted stem cell homing."</t>
  </si>
  <si>
    <t>Muscle activity</t>
  </si>
  <si>
    <t>Sarilho de Mendonça</t>
  </si>
  <si>
    <t>Muscle fiber conduction velocity and EMG amplitude of the upper trapezius muscle in healthy subjects after low-level laser irradiation: a randomized, double-blind, placebo-controlled, crossover study.</t>
  </si>
  <si>
    <t>🧑 Human
🎲 Randomized trial, double-blind
👥 20 participants
⌛ 2 sessions (1 active, 1 sham) with a 1-week washout period</t>
  </si>
  <si>
    <t>67
(/point?)
(9 points)</t>
  </si>
  <si>
    <t>"In conclusion, the 820 nm LLLT, with energy total of 18 J, did not alter the [muscle fiber conduction velocity] but significantly reduced the sEMG signal amplitude of the upper trapezius muscle in healthy subjects to a level of up to 30% of maximal voluntary contraction."</t>
  </si>
  <si>
    <t>Effects of photobiomodulation on the fatigue level in elderly women: an isokinetic dynamometry evaluation.</t>
  </si>
  <si>
    <t>🧑 Human
🎲 Randomized trial, crossover, double-blind
👥 30 participants
⌛ 2 sessions (1 active, 1 sham) with a 1-week washout period</t>
  </si>
  <si>
    <t>7
/point</t>
  </si>
  <si>
    <t>"Muscle performance was evaluated using an isokinetic dynamometer. The results showed that photobiomodulation was able of reducing muscle fatigue by a significant increase of electromyographic fatigue index (EFI) (p = 0.047) and decreasing significantly lactate concentration 6 min after the performance of the fatigue protocol (p = 0. 0006) compared the placebo laser session. However, the photobiomodulation was not able of increasing muscle performance measured by the isokinetic dynamometer."</t>
  </si>
  <si>
    <t>Kelencz</t>
  </si>
  <si>
    <t>Brazil
(Paraiba)</t>
  </si>
  <si>
    <t>Effect of low-power gallium-aluminum-arsenium noncoherent light (640 nm) on muscle activity: a clinical study.</t>
  </si>
  <si>
    <t>🧑 Human
⚔ Comparison study, randomized
👥 30 participants
⌛ single session</t>
  </si>
  <si>
    <t>LED phototherapy
⚔ comparison of 3 different doses</t>
  </si>
  <si>
    <t>1.044
2.088
3.132
/point</t>
  </si>
  <si>
    <t>0.522
cm2</t>
  </si>
  <si>
    <t>72
144
216</t>
  </si>
  <si>
    <t>"It was concluded that LED can be used as a clinical tool to increase muscle activity (1.044 J per point) and to prevent fatigue (2.088 J per point), without change in the muscle force."</t>
  </si>
  <si>
    <t>Muscle atrophy</t>
  </si>
  <si>
    <t>Bidirectional myofiber transition through altering the photobiomodulation condition</t>
  </si>
  <si>
    <t>"Our data suggested the existence of at least two different populations of Pax7+ve SC which possess distinct sensitivities towards PBM."</t>
  </si>
  <si>
    <t>Andreo</t>
  </si>
  <si>
    <t>2020
epub</t>
  </si>
  <si>
    <t>Effects of photobiomodulation with low-level laser therapy on muscle repair following a peripheral nerve injury in Wistar rats.</t>
  </si>
  <si>
    <t>"The effects of PBM were favorable on muscle morphology and gene expression of calcineurin, myogenin and acetylcholine receptors."</t>
  </si>
  <si>
    <t>Kou</t>
  </si>
  <si>
    <t>A transient protective effect of low-level laser irradiation against disuse-induced atrophy of rats.</t>
  </si>
  <si>
    <t>"On one hand, transiently, LLL was able to postpone the progression of atrophy for 1 week through a reduction of apoptosis in Pax7-veMyoD+ve (myocyte) population. Simultaneously, a significant enhancement was observed in Pax7+veMyoD+ve population; however, most of the increased cells underwent apoptosis since the second week, which suggested an impaired maturation of the population. On the other hand, in normal control rats with LLL irradiation, a significant increase in Pax7+veMyoD+ve cells and a significant decrease of apoptosis were observed. As a result, a strengthened muscle contraction was observed."
"Our data showed the capability of LLL in postponing the progression of disuse-induced atrophy for the first time. Furthermore, the result of normal rats with LLL irradiation showed the effectiveness of LLL to strengthen muscle contraction in healthy control."</t>
  </si>
  <si>
    <t>Korea
(Gangwon-do)</t>
  </si>
  <si>
    <t>Int J Precis Eng Man</t>
  </si>
  <si>
    <t>Therapeutic Effects of Multimodal Biophysical Stimulation on Muscle Atrophy in a Mouse Model</t>
  </si>
  <si>
    <t>"As expected, sciatic nerve neurectomy led to a decrease in muscle volume in all groups at 1st week. However, the area became wider at 3rd week after applying 2 weeks of MILNS, LIPUS, PVS, and multimodal biophysical stimulation, compared to that of group C.""</t>
  </si>
  <si>
    <t>Muniz</t>
  </si>
  <si>
    <t>Properties of the tibialis anterior muscle after treatment with laser therapy and natural latex protein following sciatic nerve crush.</t>
  </si>
  <si>
    <t>1.8</t>
  </si>
  <si>
    <t>"We observed a subsequent improvement in atrophy that was most prominent after 4 weeks in the groups that received P1 protein, but which also was present after 8 weeks in the groups that received LLLT."
"Treatment using only P1 proved most efficient, revealing a negative interaction between P1 and LLLT."
Comment: Parameters were well reported.</t>
  </si>
  <si>
    <t>Silva-Couto</t>
  </si>
  <si>
    <t>Effects of low-level laser therapy after nerve reconstruction in rat denervated soleus muscle adaptation.</t>
  </si>
  <si>
    <t>Nerve injury
Wavelength comparison</t>
  </si>
  <si>
    <t>"LLLT applied to the nerve post-reconstruction was ineffective in delaying degenerative changes to the slow-twitch denervated muscles and in functional recovery in rats."</t>
  </si>
  <si>
    <t>Nakano</t>
  </si>
  <si>
    <t>Japan
(Nagasaki)</t>
  </si>
  <si>
    <t>Exp Physiol</t>
  </si>
  <si>
    <t>Low-level laser irradiation promotes the recovery of atrophied gastrocnemius skeletal muscle in rats.</t>
  </si>
  <si>
    <t>0.3
cm2</t>
  </si>
  <si>
    <t>180
(60p)</t>
  </si>
  <si>
    <t>"After 2 weeks, myofibre diameters of irradiated muscle increased in comparison with those of untreated muscle, but did not recover back to normal levels. Additionally, in the superficial region of the irradiated muscle, the number of capillaries and fibroblast growth factor levels exhibited significant elevation relative to those of untreated muscle. In the deep region of irradiated muscle, BrdU-positive nuclei of satellite cells and/or myofibres increased significantly relative to those of the untreated muscle.
The results of this study suggest that LLL irradiation can promote recovery from disuse muscle atrophy in association with proliferation of satellite cells and angiogenesis."</t>
  </si>
  <si>
    <t>Muscle fatigue</t>
  </si>
  <si>
    <t>Fatigue Alleviation by Low-Level Laser Pre-Exposure in Ischemic Neuromuscular Electrical Stimulation</t>
  </si>
  <si>
    <t>🧑 Human
📄 Non-randomized study (??)
👥 36 participants</t>
  </si>
  <si>
    <t>"The LLLT group exhibited a smaller normalized difference in MVC decrement (-4.01 ± 4.88%) than the control group (-23.85 ± 7.12%) (P &lt; .001). The LLLT group demonstrated a smaller decrease in muscle stiffness of the ECRL compared to the control group, characterized by the smaller normalized changes in frequency (P = .002), stiffness (P = .002), and relaxation measures (P = .011) of mechanical oscillation waves."
"LLLT pre-exposure reduces fatigue after combined NMES and BFR, preserving force generation, muscle stiffness, and force scaling. The functional benefits are achieved through fatigue-resistant activation strategies of motor unit recruitment and rate coding."</t>
  </si>
  <si>
    <t>Brazil
(Belo Horisonte)</t>
  </si>
  <si>
    <t>Codas</t>
  </si>
  <si>
    <t>Immediate effects of red (660 nm) and infrared (808 nm) photobiomodulation therapy on fatigue of the orbicularis oris muscle: a randomized clinical study</t>
  </si>
  <si>
    <t>🧑 Human (♀)
🎲 Randomized trial, sham-controlled
👥 60 participants
⌛ single session</t>
  </si>
  <si>
    <t>Red vs NIR vs sham vs untreated</t>
  </si>
  <si>
    <t>4/p
4/p
(4 points)</t>
  </si>
  <si>
    <t>133.3
133.3</t>
  </si>
  <si>
    <t>"Photobiomodulation with the parameters investigated in this study had no immediate effect on orbicular oris fatigue."</t>
  </si>
  <si>
    <t>Sawada</t>
  </si>
  <si>
    <t>Japan
(Takarazuka)</t>
  </si>
  <si>
    <t>The Effect on Muscle Hardness of Acupuncture Stimulation Using Low-reactive Level Laser Therapy and Silver Spike Point Therapy, along with Stretching</t>
  </si>
  <si>
    <t>"As a result, a combined use of stretching and SSP therapy was effective on muscle hardness, while LLLT alone had no immediate lowering of muscle hardness. In addition, only the laser stretching group demonstrated a significant decrease in the pennation angle."</t>
  </si>
  <si>
    <t>Analysis of the effects of low-level laser therapy on muscle fatigue of the biceps brachii muscle of healthy individuals and spastic individuals: Study protocol for a single-center, randomized, double-blind, and controlled clinical trial.</t>
  </si>
  <si>
    <t>Laser Therapy and Muscle Fatigue: A Promising Research Area.</t>
  </si>
  <si>
    <t>Low-level laser therapy reduces the fatigue index in the ankle plantar flexors of healthy subjects.</t>
  </si>
  <si>
    <t>🧑 Human
🎲 Randomized trial, sham-controlled
👥 60 participants
⌛ single session</t>
  </si>
  <si>
    <t>Active vs sham vs untreated</t>
  </si>
  <si>
    <t>25
(5p)</t>
  </si>
  <si>
    <t>49
/p</t>
  </si>
  <si>
    <t>"The group receiving the laser application showed significantly lower dynamometric fatigue index (p = 0.036) when compared to control and placebo groups. In relation to the median frequency during the fatigue test, there was a decrease in all groups, however with no differences between them. We suggest that LLLT being applied prior to exercise can reduce the fatigue index in the ankle plantar flexors of healthy subjects."</t>
  </si>
  <si>
    <t>Yonezu &amp; Kogure</t>
  </si>
  <si>
    <t>The effect of low-level laser irradiation on muscle tension and hardness compared among three wavelengths.</t>
  </si>
  <si>
    <t>Green light 🟢
Wavelength comparison</t>
  </si>
  <si>
    <t>405
532
808</t>
  </si>
  <si>
    <t>0.3571</t>
  </si>
  <si>
    <t>5.34</t>
  </si>
  <si>
    <t>"405 nm LLLI did not influence either muscle tension or hardness. 532 nm LLLI significantly improved the maintenance of muscle tension compared with the 808 nm group (P&lt;0.05). In contrast, 808 nm LLLI significantly improved the recovery from muscle hardness compared with the other groups (P&lt;0.05)."</t>
  </si>
  <si>
    <t>Gorgey</t>
  </si>
  <si>
    <t>The effect of low-level laser therapy on electrically induced muscle fatigue: a pilot study.</t>
  </si>
  <si>
    <t>🧑 Human
🎲 Randomized trial, crossover
👥 5 participants
⌛ 3 sessions (LLLT+NMES, LLLT+NMES and NMES) with 2-day washout periods</t>
  </si>
  <si>
    <t>3
7</t>
  </si>
  <si>
    <t>"LLLT did not attenuate muscle fatigue evoked by NMES, but this needs to be further addressed in human studies and clinical settings. The lack of significant findings could be explained by the small sample size and the selection of LLLT parameters."</t>
  </si>
  <si>
    <t>Muscle inflammation</t>
  </si>
  <si>
    <t>Carvalho</t>
  </si>
  <si>
    <t>The low-level laser on acute myositis in rats.</t>
  </si>
  <si>
    <t>"The low-level laser therapy was efficient in the reduction of the inflammatory process, increase of the fibroblastic proliferation and the reduction of the edema."</t>
  </si>
  <si>
    <t>Mantineo</t>
  </si>
  <si>
    <t>Portugal
(Coimbra)</t>
  </si>
  <si>
    <t>Low-level laser therapy on skeletal muscle inflammation: evaluation of irradiation parameters.</t>
  </si>
  <si>
    <t>Cytokine-induced muscle inflammation
Pulsing vs continuous
Biphasic dose response
Wavelength comparison</t>
  </si>
  <si>
    <t>830
980</t>
  </si>
  <si>
    <t>10
20
30
40
50</t>
  </si>
  <si>
    <t>"Our results show treatment effects, particularly for irradiation with the 830-nm laser.
At day 6, the concentration of all measured proinflammatory cytokines in the 30 and 40 mW groups was significantly lower than for the control group. IL-6 concentration was reduced for all treatment groups and TNF-α for all but the 50-mW group.
The number of inflammatory cells in muscle tissue samples was also significantly lower in all treatment groups when compared to the control animals"</t>
  </si>
  <si>
    <t>Muscle injury</t>
  </si>
  <si>
    <t>Malavazzi</t>
  </si>
  <si>
    <t>Preventive and therapeutic vascular photobiomodulation decreases the inflammatory markers and enhances the muscle repair process in an animal model</t>
  </si>
  <si>
    <t>"The use of intravascular blood irradiation using LLL, initially designed for the treatment of systemic diseases [[37], [38], [39]], has been refined to allow non-invasive application over large-caliber blood vessels (arteries and veins), referred to as vascular photobiomodulation (VPBM) [40,41]. Due to the constant search for resources that can optimize the treatment and functional recovery after muscle injuries, especially in conditions where such injuries are frequent and sometimes extensive, VPBM emerges as an interesting therapeutic possibility."
"In conclusion, VPBM effectively modulated hematological parameters, circulating leukocytes, the protein expression of the chemokine MCP-1, and the proinflammatory cytokines TNF-α and IL-1β, ultimately influencing the inflammatory process. This modulation resulted in a reduction of myonecrosis, restoration of tissue architecture, increased formation of newly and immature muscle fibers, and enhanced neovascularization, with more pronounced effects when VPBM was applied prior to the muscle injury."</t>
  </si>
  <si>
    <r>
      <rPr>
        <sz val="7.0"/>
      </rPr>
      <t xml:space="preserve">Muscle injury </t>
    </r>
    <r>
      <rPr>
        <sz val="6.0"/>
      </rPr>
      <t>(contusion)</t>
    </r>
  </si>
  <si>
    <t>Wells</t>
  </si>
  <si>
    <t>Pulsed Red and Blue Photobiomodulation for the Treatment of Thigh Contusions and Soft Tissue Injury: A Randomized Controlled Trial</t>
  </si>
  <si>
    <t>🧑 Human
🎲 Randomized trial, sham-controlled
👥 46 participants
⌛ single treatment -&gt; 3-day follow-up (?)</t>
  </si>
  <si>
    <t>Wavelength combination (red and blue light 🔵)</t>
  </si>
  <si>
    <t>"We found the active photobiomodulation treatment significantly increased over the placebo group, quadriceps peak torque during the 180°/s test (P = .030), and average power during both the 60°/s (P = .041) and 180°/s (P ≤ .001) assessments. The mean peak torque and average power of 180°/s, at day 4, exceeded the baseline levels by 8.9% and 16.8%, respectively."
"The red and blue photobiomodulation light patch improved muscle strength and power during the acute healing phase of a human thigh contusion injury model."</t>
  </si>
  <si>
    <t>Photobiomodulation therapy on skeletal muscles exposed to diabetes mellitus: a systematic review of animal studies</t>
  </si>
  <si>
    <t>"Most of the seven included studies focus on decompensated T1DM rats with acute muscle injury (cryoinjury or contusion). In these five studies, PBMT improved muscle regeneration, by reducing inflammation and stimulating factors pro-angiogenesis and pro-myogenesis. Some positive effects could also be observed in two studies on muscles without acute injury: control of oxidative stress (T1DM) and reduction of myosteatosis (T2DM). 
Although infrared laser applied locally appears to be a promising approach, optimal parameters are undefined due to the heterogeneity of outcomes and high risk of bias, which prevented a quantitative synthesis. 
Several aspects of this growing field have yet to be investigated, particularly regarding the DM model (e.g., aged animals, T2DM), intervention (e.g., comparison with LED), and outcomes (e.g., muscle mass, strength, and function). Future research should aim to improve the internal validity by following guidelines for animal studies and enhance the translatability to clinical trials by using animal models that closely mimic patients with DM in rehabilitation settings."</t>
  </si>
  <si>
    <t>Lopez</t>
  </si>
  <si>
    <t>Histological and biochemical effects of preventive and therapeutic vascular photobiomodulation on rat muscle injury</t>
  </si>
  <si>
    <t>"Preventive and therapeutic VPBM [vascular photobiomodulation] led to decreased inflammatory infiltrate, edema, and myonecrosis but with an increase in immature muscle fibers. CK, AST and lactate levels were lower in the groups treated with VPBM (lowest concentrations in preventive VPBM application). Preventive and therapeutic VPBM were capable of exerting a positive effect on acute muscle injury repair, with more accentuated results when preventive VPBM was administered."</t>
  </si>
  <si>
    <t>Shepherd</t>
  </si>
  <si>
    <t>Effects of Photobiomodulation Therapy on Regulation of Myogenic Regulatory Factor mRNA Expression In Vivo: A Systematic Review</t>
  </si>
  <si>
    <t>"Web of Science, PubMed, Scopus and Cochrane databases were systematically searched and identified 1,459 studies, of which ten met the inclusion criteria. MyoD was most consistently regulated in response to PBMT treatment, and the expression of remaining MRFs was heterogenous. All studies exhibited a high risk of bias, primarily due to lack of blinding in PBMT application and MRF analysis. Our review suggests that the current evidence base for MRF expression from PBMT is highly variable."</t>
  </si>
  <si>
    <t>Effects of photobiomodulation therapy on functional recovery, angiogenesis and redox status in denervated muscle of rats</t>
  </si>
  <si>
    <t>"Photobiomodulation therapy accelerated the functional recovery, increased angiogenesis and reduced lipid peroxidation in the denervated muscle at 2 days after injury."</t>
  </si>
  <si>
    <t>Almog</t>
  </si>
  <si>
    <t>On-Site Laser Photobiomodulation Treatment of Crushed Muscle Due to Prolonged Pressure in Rats</t>
  </si>
  <si>
    <t>1019</t>
  </si>
  <si>
    <t>1
3
7</t>
  </si>
  <si>
    <t>"The laser photobiomodulation treatment showed a significant electrophysiological and functional recovery of the gastrocnemius muscle during the first 3 days after injury, in comparison with the untreated hindlimb."</t>
  </si>
  <si>
    <t>Yan</t>
  </si>
  <si>
    <t>Carbon Arc Lamp Therapy Enhances the Repair Potential of Chronic Soft Tissue Injury in Rats Compared with the Ability of Photobiomodulation Therapy</t>
  </si>
  <si>
    <t>"Treatment by PBMT and CALT significantly accelerated the proliferation and migration of HUVECs. Moreover, significant decreases in the contents of MDA and PGE2 were observed in the PBMT and CALT groups, while SOD activity was increased. The histological assessment shows that the content of inflammatory cells and apoptotic cells significantly decreased in the CALT group. However, the microvascular density, VEGF content, and actin content were increased in the CALT group."
"The results demonstrate that CALT has a stronger effect on promoting chronic soft tissue injury repair in comparison with PBMT."</t>
  </si>
  <si>
    <t>Beasi</t>
  </si>
  <si>
    <t>Effects of photobiomodulation and swimming on gene expression in rats with the tibialis anterior muscle injury</t>
  </si>
  <si>
    <t>180</t>
  </si>
  <si>
    <t>"The cryoinjury increased the expression of genes related to muscle regeneration-MyoD, Myogenin, and TGF-β-compared to the control group (p &lt; 0.05); the photobiomodulation increased the expression of these genes at day 7 (p &lt; 0.05), decreasing until day 21; and the aquatic exercise increases the expression of the three genes over time. When the two treatments were combined, the expression of the analyzed genes also increased over time."
"In summary, the results of our study suggest that photobiomodulation (LLLT), when applied alone in cryoinjury, is able to increase the gene expression of MyoD, Myogenin, and TGF-β at the acute phase, while when combined with aquatic exercises, there is an increase in expression of these genes specially at the long-term treatment."</t>
  </si>
  <si>
    <t>The effects of photobiomodulation on inflammatory infiltrate during muscle repair in advanced-age rats.</t>
  </si>
  <si>
    <t>"The muscles treated with PBM exhibited a smaller number of neutrophils after one day of treatment and a greater number of both M1 and M2 macrophages after three days of treatment. The irradiated tissues exhibited a smaller amount of both macrophage phenotypes after seven days of treatment. 
PBM produced temporal alterations in the phenotype of the inflammatory cells during muscle repair process in advanced-age animals, indicating that these mechanisms may contribute to the beneficial effects of this therapy in the treatment of muscle injuries."</t>
  </si>
  <si>
    <t>Pharmacokinetic and Pharmacodynamics of Sodium Diclofenac (Topical and IM) Associated with Laser Photobiomodulation on Skeletal Muscle Strain in Rats</t>
  </si>
  <si>
    <t>PBM vs diclofenac</t>
  </si>
  <si>
    <t>"Here, we observed that laser therapy is still the best treatment to delay the time to fatigue. Rats in the lesion group showed a decrease in fatigue resistance in all protocols, while in the laser-treated group prior to the application of topical and intramuscular diclofenac demonstrated an increase in this parameter."</t>
  </si>
  <si>
    <t>Cespedes</t>
  </si>
  <si>
    <t>Braz Arch Biol Technol</t>
  </si>
  <si>
    <t>Effects of Low-level Laser Therapy on Muscle Repair in Rats with Chronic Alcohol Intake</t>
  </si>
  <si>
    <t>1.4</t>
  </si>
  <si>
    <t>0.0079
cm2</t>
  </si>
  <si>
    <t>"Morphological features in the injured areas were similar with or without alcohol intake (IC and AI); however, LLLT promoted a decrease in the number of inflammatory cells and destroyed zones, as well as improved tissue organization (AIL). 
In general, alcohol intake caused a decrease in myogenic regulatory factors (MyoD and myogenin) and vascular endothelial growth factor in the AI group. Moreover, LLLT promoted recovery of these factors to the same level as in animals without alcohol intake (IC and AIL)."</t>
  </si>
  <si>
    <t>Tissue Cell</t>
  </si>
  <si>
    <t>Fractal dimension in the evaluation of different treatments of muscular injury in rats.</t>
  </si>
  <si>
    <t>31.85</t>
  </si>
  <si>
    <t>d = 1
mm</t>
  </si>
  <si>
    <t>"Both treatments [LLLT and platelet-rich plasma] were able to accelerate injury repair, and the association of both presented better results than the isolated applications."</t>
  </si>
  <si>
    <t>Ramos</t>
  </si>
  <si>
    <t>Brazil
(Guarapari)</t>
  </si>
  <si>
    <t>Characterization of Skeletal Muscle Strain Lesion Induced by Stretching in Rats: Effects of Laser Photobiomodulation.</t>
  </si>
  <si>
    <t>1
3
6
9</t>
  </si>
  <si>
    <t>"Plasma extravasation of groups treated with different doses of laser energy, lesion +1 J (2.61 ± 0.46), lesion +3 J (2.33 ± 0.13), lesion +6 J (2.92 ± 0.91), and lesion +9 J (2.80 ± 0.55), shows a significant reduction of extravasation when compared with the injury group (5.46 ± 1.09). 
Laser therapy was able to significantly reduce CRP and cytokine levels (TNF-α, IL-1β, IL-6, and IL-10)."</t>
  </si>
  <si>
    <t>PBMT and topical diclofenac as single and combined treatment on skeletal muscle injury in diabetic rats: effects on biochemical and functional aspects.</t>
  </si>
  <si>
    <t>Diabetic rats
LLLT vs diclofenac</t>
  </si>
  <si>
    <t>107.1</t>
  </si>
  <si>
    <t>"Our results demonstrated that PBMT + diclofenac, and PBMT alone reduced the gene expression of cyclooxygenase-2 (COX-2) at all assessed times as compared to the injury and diclofenac groups (p &lt; 0.05 and p &lt; 0.01 respectively). 
The diclofenac alone showed reduced levels of COX-2 only in relation to the injury group (p &lt; 0.05). Prostaglandin E2 levels in blood plasma demonstrated similar results to COX2. 
In addition, we observed that PBMT + diclofenac and PBMT alone showed significant improvement compared with injury and diclofenac groups in functional analysis at all time points. 
The results indicate that PBMT alone or in combination with diclofenac reduces levels of inflammatory markers and improves gait of diabetic rats in the acute phase of muscle injury."</t>
  </si>
  <si>
    <t>Low power infrared laser in pulsed emission mode modulates mRNA levels from pro-inflammatory and anti-inflammatory cytokines favoring repair process in injured muscle</t>
  </si>
  <si>
    <t>25
75</t>
  </si>
  <si>
    <t xml:space="preserve">"Our results showed that laser modulates the mRNA levels from pro-inflammatory (IL-6 and IL-1β) as well as the anti-inflammatory (IL-4) cytokine gene. IL-10 mRNA was not observed in any of the analyzed groups. In conclusion, laser exposure modulates the mRNA levels from pro-inflammatory and anti-inflammatory cytokine genes during the muscle repair process and this can be one of the beneficial effects of low power lasers that favor muscle repair process."
Comment: LLLT seemed to greatly increase the expression of pro-inflammatory cytokines. </t>
  </si>
  <si>
    <t>da Silva Neto Trajano</t>
  </si>
  <si>
    <t>Photobiomodulation effects on mRNA levels from genomic and chromosome stabilization genes in injured muscle.</t>
  </si>
  <si>
    <t>3
3</t>
  </si>
  <si>
    <t>"Data show that photobiomodulation reduces the mRNA levels from ATM and p53, as well reduces mRNA levels from TRF1 and TRF2 at 25 and 75 mW in injured skeletal muscle. In conclusion, photobiomodulation alters mRNA relative levels from genes related to genomic and telomere stabilization in injured skeletal muscle."</t>
  </si>
  <si>
    <t>De Lima Rodrigues</t>
  </si>
  <si>
    <t>Effect of prior application with and without post-injury treatment with low-level laser on the modulation of key proteins in the muscle repair process.</t>
  </si>
  <si>
    <t>3.2
(8p)</t>
  </si>
  <si>
    <t>80
(8p)</t>
  </si>
  <si>
    <t>"In conclusion, different protocols of photobiomodulation can modulate the expression of the different isoforms of MyHC, CaN, and myostatin during the repair process. It is noteworthy that the combination of the prior and post-injury irradiation was the protocol that most promoted changes in the final phase of the repair process."</t>
  </si>
  <si>
    <t>Effects of myogenic precursor cells (C2C12) transplantation and low-level laser therapy on muscle repair.</t>
  </si>
  <si>
    <t>3.2
(8p
?)</t>
  </si>
  <si>
    <t>"Cell transplantation combined with PBMT led to an increase in the number of blood vessels, a reduction in myonecrosis and total inflammatory cells as well as better organization of collagen fibers during the skeletal muscle repair process."</t>
  </si>
  <si>
    <t>Effects of Photobiomodulation Therapy on Oxidative Stress in Muscle Injury Animal Models: A Systematic Review.</t>
  </si>
  <si>
    <t>📚 Systematic review
(animal studies)</t>
  </si>
  <si>
    <t>"Eight studies were selected from 68 original articles targeted on laser irradiation and oxidative stress. Articles were critically assessed by two independent raters with a structured tool for rating the research quality. Although the small number of studies limits conclusions, the current literature indicates that photobiomodulation therapy can be an effective short-term approach to reduce oxidative stress markers (e.g., thiobarbituric acid-reactive) and to increase antioxidant substances (e.g., catalase, glutathione peroxidase, and superoxide dismutase). However, there is a nonuniformity in the terminology used to describe the parameters and dose for low-level laser treatment."</t>
  </si>
  <si>
    <t>de Brito</t>
  </si>
  <si>
    <t>Effect of photobiomodulation on connective tissue remodeling and regeneration of skeletal muscle in elderly rats.</t>
  </si>
  <si>
    <t>Cryoinjury</t>
  </si>
  <si>
    <t>80
(8p)</t>
  </si>
  <si>
    <t>"In the histomorphological analysis, the treated group exhibited a significant decrease in inflammatory infiltrate (p &lt; 0.001) as well as an increase immature fibers and new blood vessels at 7 days compared to the untreated group (p &lt; 0.05). Furthermore, treatment induced a better collagen distribution and organization at 7 days in comparison to the untreated group (p &lt; 0.05). 
In conclusion, LLLT demonstrated a modulatory effect on the muscle repair process in elderly animals with regard to the collagen remodeling and morphological aspects of muscle tissue."</t>
  </si>
  <si>
    <t>Effects of photobiomodulation therapy and topical non-steroidal anti-inflammatory drug on skeletal muscle injury induced by contusion in rats-part 2: biochemical aspects.</t>
  </si>
  <si>
    <t>(Biphasic dose response)
PBM vs diclofenac</t>
  </si>
  <si>
    <t>1
3
9</t>
  </si>
  <si>
    <t>35.7
107.1
321.4</t>
  </si>
  <si>
    <t>10
30
90</t>
  </si>
  <si>
    <t>1
1
1</t>
  </si>
  <si>
    <t>"Our results demonstrated that PBMT, 1 J (35.7 J/cm2), 3 J (107.1 J/cm2), and 9 J (321.4 J/cm2) reduced the expression of tumor necrosis factor alpha (TNF-α) and cyclooxygenase-2 (COX-2) genes at all assessed times as compared to the injury and diclofenac groups (p &lt; 0.05). The diclofenac group showed reduced levels of COX-2 only in relation to the injury group (p &lt; 0.05). COX-2 protein expression remained unchanged with all therapies except with PBMT at a 3-J dose at 12 h (p &lt; 0.05 compared to the injury group).
In addition, PBMT (1, 3, and 9 J) effectively reduced levels of cytokines TNF-α, interleukin (IL)-1β, and IL-6 at all assessed times as compared to the injury and diclofenac groups (p &lt; 0.05). 
hus, PBMT at a 3-J dose was more effective than other doses of PBMT and topical NSAIDs in the modulation of the inflammatory process caused by muscle contusion injuries."</t>
  </si>
  <si>
    <t>Effects of photobiomodulation therapy and topical non-steroidal anti-inflammatory drug on skeletal muscle injury induced by contusion in rats-part 1: morphological and functional aspects.</t>
  </si>
  <si>
    <t>Dose response
(Biphasic dose response)
PBM vs diclofenac</t>
  </si>
  <si>
    <t>"Morphological analysis (histology) and functional analysis (muscle work) were performed, 6, 12, and 24 h after induction of the injury. PBMT, with all doses tested, improved morphological changes caused by trauma; however, the 9 J (321.4 J/cm2) dose was the most effective in organizing muscle fibers and cell nuclei. On the other hand, the use of diclofenac sodium produced only a slight improvement in morphological changes. Moreover, we observed a statistically significant increase of muscle work in the PBMT 3 J (107.1 J/cm2) group in relation to the injury group and the diclofenac group (p &lt; 0.05).
The results of the present study indicate that PBMT, with a dose of 3 J (107.1 J/cm2), is more effective than the other doses of PBMT tested and NSAIDs for topical use as a means to improve morphological and functional alterations due to muscle injury from contusion."</t>
  </si>
  <si>
    <t>Histological analysis of the association of low level laser therapy and platelet-rich plasma in regeneration of muscle injury in rats.</t>
  </si>
  <si>
    <t>3.18</t>
  </si>
  <si>
    <t>d =
1 mm</t>
  </si>
  <si>
    <t>"The association of low level laser therapy with platelet rich plasma produced better results on muscle injury compared to the isolated use of these therapies. Furthermore, none of the treatments could modulate the collagen deposition in relation to injury group."</t>
  </si>
  <si>
    <t>Morais</t>
  </si>
  <si>
    <t>Strength training prior to muscle injury potentiates low-level laser therapy (LLLT)-induced muscle regeneration.</t>
  </si>
  <si>
    <t>Muscle regeneration</t>
  </si>
  <si>
    <t>4.9
(?)</t>
  </si>
  <si>
    <t>"Cryolesion induced massive muscle degeneration associated with inflammatory infiltrate. Prior ST improved skeletal regeneration 14-days after cryolesion and potentiated the regenerative response to LLLT."</t>
  </si>
  <si>
    <t>Falcai</t>
  </si>
  <si>
    <t>Biomechanical and histological analysis of the gastrocnemius in rats subjected to muscle injury and treatment with low-level laser therapy</t>
  </si>
  <si>
    <t>"The mean values for the maximum force were: 35.70 (...) N in [control group], 31.77 (...) N in [muscle lesion group] and 34.36 (...) N in group [muscle lesion + laser group], with a statistically significant difference between [control and muscle lesion groups] (p &lt; 0.05)."
"Laser therapy had a positive effect on the regeneration process of the muscle injury."</t>
  </si>
  <si>
    <t>2015
epub</t>
  </si>
  <si>
    <t>The effect of low-level laser therapy (LLLT) applied prior to muscle injury.</t>
  </si>
  <si>
    <t>3.2
(8p)</t>
  </si>
  <si>
    <t>"LLLT applied prior to muscle injury led to a reduction in myonecrosis and inflammatory cells, an increase of blood vessels and immature muscle fibers. An increase in MMP-2 activity and a decrease in collagen deposition were also found, with a better collagen organization and distribution."
"LLLT applied immediately prior to injury had positive effects during the muscle regeneration process."
Star: Parameters were well reported!</t>
  </si>
  <si>
    <t>Comparative effects of low-level laser therapy pre- and post-injury on mRNA expression of MyoD, myogenin, and IL-6 during the skeletal muscle repair.</t>
  </si>
  <si>
    <t>"Significant increases were found in the expression of MyoD mRNA at 3 and 7 days as well as the expression of myogenin mRNA at 14 days in the post-injury LLLT group in comparison to injury group. A significant reduction was found in the expression of IL-6 mRNA at 3 and 7 days in the pre-injury LLLT and post-injury LLLT groups. A significant increase in IL-6 mRNA was found at 14 days in the post-injury LLLT group in comparison to the injury group.
LLLT administered following muscle injury modulates the mRNA expression of MyoD and myogenin. Moreover, the both forms of LLLT administration were able to modulate the mRNA expression of IL-6 during the muscle repair process."</t>
  </si>
  <si>
    <t>Free Radic Res</t>
  </si>
  <si>
    <t>Low-level laser therapy attenuates the acute inflammatory response induced by muscle traumatic injury.</t>
  </si>
  <si>
    <t>0.400</t>
  </si>
  <si>
    <t>0.3
0.5
/p
(5p?)</t>
  </si>
  <si>
    <t>0.10
cm2
spot
2.0
cm2
total
area</t>
  </si>
  <si>
    <t>9
12</t>
  </si>
  <si>
    <t>"All the oxidant markers investigated, namely thiobarbituric acid-reactive substance, carbonyl, superoxide dismutase, glutathione peroxidase, and catalase, were increased as soon as 2 h after muscle injury and remained increased up to 24 h. These alterations were prevented by LLLT at a 3 J/cm(2) dose given 2 h after the trauma.
Similarly, LLLT prevented the trauma-induced proinflammatory state characterized by IL-6 and IL-10. In parallel, trauma-induced reduction in BDNF and VEGF, vascular remodeling and fiber-proliferating markers, was prevented by laser irradiation. In order to test whether the preventive effect of LLLT was also reflected in muscle functionality, we tested the locomotor activity, by measuring distance traveled and the number of rearings in the open field test.
LLLT was effective in recovering the normal locomotion, indicating that the irradiation induced biostimulatory effects that accelerated or resolved the acute inflammatory response as well as the oxidant state elicited by the muscle trauma."</t>
  </si>
  <si>
    <t>Ozaki</t>
  </si>
  <si>
    <t>Analysis of photobiomodulation associated or not with platelet-rich plasma on repair of muscle tissue by Raman spectroscopy.</t>
  </si>
  <si>
    <t>"It is concluded that either PBM or PRP, and the association of both, was able to reduce the oxidative stress promoted by injury and modulate collagen production at the site of the injury. Furthermore, although both treatments individually were effective for repairing the damage caused by muscle injury, the association of both demonstrated a better histological aspect."</t>
  </si>
  <si>
    <t>Light-emitting diode therapy increases collagen deposition during the repair process of skeletal muscle.</t>
  </si>
  <si>
    <t>Cryoinjury
LED phototherapy</t>
  </si>
  <si>
    <t>"LED therapy at 850 nm induced a significant reduction in inflammation, decreased MMP-2 activity, and increased the amount of immature muscle and collagen fibers during the muscle repair process following acute injury."</t>
  </si>
  <si>
    <t>Red and Infrared Low-Level Laser Therapy Prior to Injury with or without Administration after Injury Modulate Oxidative Stress during the Muscle Repair Process.</t>
  </si>
  <si>
    <t>"The administration of red and infrared laser therapy at different times positively modulates the activity of antioxidant enzymes and reduces stress markers during the muscle repair process."</t>
  </si>
  <si>
    <t>Evaluation of low-level laser therapy on skeletal muscle ischemia-reperfusion in streptozotocin-induced diabetic rats by assaying biochemical markers and histological changes.</t>
  </si>
  <si>
    <t>Muscle injury
Diabetes</t>
  </si>
  <si>
    <t>"LLLT has a beneficial effect on the IR muscle injury treatment in the diabetic rats"</t>
  </si>
  <si>
    <t>Effects of light-emitting diode (LED) therapy on skeletal muscle ischemia reperfusion in rats.</t>
  </si>
  <si>
    <t>2?</t>
  </si>
  <si>
    <t>"The extent of muscle damage in the IR + LED group was significantly lower than that in the IR group (P &lt; 0.05). In comparison with other groups, tissue malondialdehyde (MDA) levels in the IR group were significantly increased (P &lt; 0.05). The muscle tissue glutathione (GSH), superoxide dismutases (SOD), and catalase (CAT) levels in the IR group were significantly lower than those in the subjects in other groups. From the histological and histochemical perspective, the LED therapy has alleviated the metabolic injuries in the skeletal muscle ischemia reperfusion in this experimental model."</t>
  </si>
  <si>
    <t>High Final Energy of Low-Level Gallium Arsenide Laser Therapy Enhances Skeletal Muscle Recovery without a Positive Effect on Collagen Remodeling.</t>
  </si>
  <si>
    <t>4.8
(2p)</t>
  </si>
  <si>
    <t>69</t>
  </si>
  <si>
    <t>"The Injured/LLLT group presented a higher number of regenerating fibers and fewer degenerating fibers (P &lt; 0.05) without changes in the collagen remodeling. In addition, the Injured/LLLT group presented a significant decrease in the expression of TNF-α and myogenin compared to the injured group (P &lt; 0.05).
The results suggest that the GaAs laser, using a high final energy after cryoinjury, promotes muscle recovery without changing the collagen remodeling in the muscle extracellular matrix."</t>
  </si>
  <si>
    <t>Effects of low-level laser therapy on skeletal muscle repair: a systematic review.</t>
  </si>
  <si>
    <t>"Seventeen of the 36 original articles on LLLT and muscle injuries met the inclusion criteria and were critically evaluated.
The main effects of LLLT were a reduction in the inflammatory process, the modulation of growth factors and myogenic regulatory factors, and increased angiogenesis. The studies analyzed demonstrate the positive effects of LLLT on the muscle repair process, which are dependent on irradiation and treatment parameters.
The findings suggest that LLLT is an excellent therapeutic resource for the treatment of skeletal muscle injuries in the short-term."</t>
  </si>
  <si>
    <t>What is the best treatment to decrease pro-inflammatory cytokine release in acute skeletal muscle injury induced by trauma in rats: low-level laser therapy, diclofenac, or cryotherapy?</t>
  </si>
  <si>
    <t>Muscle trauma
Inflammation
Biphasic dose response
PBM vs diclofenac</t>
  </si>
  <si>
    <t>1.67</t>
  </si>
  <si>
    <t>17
50
100
150</t>
  </si>
  <si>
    <t>"LLLT with 1 J dose significantly decreased (p &lt; 0.05) IL-1β, IL-6, and TNF-α levels compared to non-treated injured group as well as diclofenac and cryotherapy groups."
For inflammation marker reduction, the 1J dose was the most efficient (a biphasic dose response)!</t>
  </si>
  <si>
    <t>Morphological aspects and Cox-2 expression after exposure to 780-nm laser therapy in injured skeletal muscle: an in vivo study.</t>
  </si>
  <si>
    <t>(Dose response?)</t>
  </si>
  <si>
    <t>"Laser therapy at both fluencies stimulated muscle repair through the formation of new muscle fiber, increase in collagen synthesis, and down-regulation of Cox-2 expression."</t>
  </si>
  <si>
    <t>Brunelli</t>
  </si>
  <si>
    <t>The effects of 780-nm low-level laser therapy on muscle healing process after cryolesion.</t>
  </si>
  <si>
    <t>"The G10 and G50 during the 7 days showed a significant reduction (p &lt; 0.05) of lesion area compared to the CG, without differences between groups treated for 14 and 21 days.
The G10 showed an increase of the amount of vessels after 14 days compared to the G50, but not in relation to controls. With regard to the immunohistochemical analyses of the MyoD factor, the G10 and G50 during the 7 days showed higher concentrations of immunomarkers than controls."</t>
  </si>
  <si>
    <t>Modulating effect of low level-laser therapy on fibrosis in the repair process of the tibialis anterior muscle in rats.</t>
  </si>
  <si>
    <t>"The results revealed that LLLT induced a reduction in inflammatory infiltrate and myonecrosis after 1 day, an increase in the number of blood vessels after 3 and 7 days as well as an increase in the number of immature muscle fibers and MMP-2 gelatinase activity after 7 days.
In conclusion, LLLT has a positive effect on the inflammatory process, MMP2 activity and collagen organization and distribution in the repair process of rat skeletal muscle."</t>
  </si>
  <si>
    <t>Effects of low-level laser therapy (GaAs) in an animal model of muscular damage induced by trauma.</t>
  </si>
  <si>
    <t>2.5
(5p)</t>
  </si>
  <si>
    <t>0.10
cm2
spot</t>
  </si>
  <si>
    <t>"LLLT accelerated the muscular healing by significantly decreasing superoxide anion production, TBARS levels, the activity of SOD, and hydroxyproline content.
The data strongly indicate that increased ROS production and augmented collagen synthesis are elicited by traumatic muscular injury, effects that were significantly decreased by LLLT."</t>
  </si>
  <si>
    <t>Effects of low-level laser therapy on ROS homeostasis and expression of IGF-1 and TGF-β1 in skeletal muscle during the repair process.</t>
  </si>
  <si>
    <t>0.0175</t>
  </si>
  <si>
    <t>"The results showed that LLLT markedly promoted the regeneration of muscle and reduced scar formation.
LLLT also significantly enhanced muscle SOD activity and significantly decreased muscle MDA levels 1, 2, and 3 days after injury."</t>
  </si>
  <si>
    <t>de Paiva Carvalho</t>
  </si>
  <si>
    <t>Effects of low-level laser therapy (LLLT) and diclofenac (topical and intramuscular) as single and combined therapy in experimental model of controlled muscle strain in rats.</t>
  </si>
  <si>
    <t>"LLLT showed better effects than TD and ID regarding PGE2 levels and walking track analysis (P &lt; 0.05)."
"We can conclude that LLLT has more efficacy than topical and intramuscular diclofenac in treatment of muscle strain injury in acute stage."</t>
  </si>
  <si>
    <t>França</t>
  </si>
  <si>
    <t>Effect of laser therapy on skeletal muscle repair process in diabetic rats.</t>
  </si>
  <si>
    <t>10
/point</t>
  </si>
  <si>
    <t>"On day 14, the LLLT group was in the remodeling phase; the D group was still in the proliferative phase, with fibrosis, chronic inflammation, and granulation tissue; and the D-LLLT group was in an intermediary state in relation to the two previous groups.
Under polarized light, on day 14, the LLLT and D-LLLT groups had organized collagen bundles in the perimysium, whereas the diabetic groups exhibited fibrosis."</t>
  </si>
  <si>
    <t>Low-level laser therapy and sodium diclofenac in acute inflammatory response induced by skeletal muscle trauma: effects in muscle morphology and mRNA gene expression of inflammatory markers.</t>
  </si>
  <si>
    <t>"LLLT with all doses improved morphological aspects of muscle tissue, showing better results than injury and diclofenac groups."
"All LLLT doses also decreased (P &lt; 0.05) COX-2 compared to injury group at all time points, and to diclofenac group at 24 h after trauma. In addition, LLLT decreased (P &lt; 0.05) TNF-α compared both to injury and diclofenac groups at all time points. LLLT mainly with dose of 9 J is better than topical application of diclofenac in acute inflammation after muscle trauma."
For inflammation marker reduction, the 1J dose was the most efficient (a biphasic dose response)!</t>
  </si>
  <si>
    <t>Low-level laser therapy (LLLT) (660nm) alters gene expression during muscle healing in rats.</t>
  </si>
  <si>
    <t>"Irradiated groups presented less inflammatory process than control group after 14 and 21 days.
Cox-2 levels were downregulated in all irradiated groups after 7, 14 and 21 days.
On day 7, both treated groups had a downregulation of Vegf levels, and an upregulation after 14 and 21 days, mainly with 50J/cm(2).
The MyoD levels were upregulated with high dose in all periods and with low dose after 21 days.
Myogenin expression was downregulated in both treated groups after 7 days, and was upregulated with 10J/cm(2) after 21 days."</t>
  </si>
  <si>
    <t>Low-level laser therapy (808 nm) contributes to muscle regeneration and prevents fibrosis in rat tibialis anterior muscle after cryolesion.</t>
  </si>
  <si>
    <t>Cryolesion</t>
  </si>
  <si>
    <t>0.785
mm2</t>
  </si>
  <si>
    <t>"LLLT significantly reduced the lesion percentage area in the injured muscle (p&lt;0.05), increased mRNA levels of the transcription factors MyoD and myogenin (p&lt;0.01) and the pro-angiogenic vascular endothelial growth factor (p&lt;0.01).
Moreover, LLLT decreased the expression of the profibrotic transforming growth factor TGF-β mRNA (p&lt;0.01) and reduced type I collagen deposition (p&lt;0.01).
These results suggest that LLLT could be an effective therapeutic approach for promoting skeletal muscle regeneration while preventing tissue fibrosis after muscle injury."</t>
  </si>
  <si>
    <t>Effect of photobiomodulation on expression of IL-1β in skeletal muscle following acute injury.</t>
  </si>
  <si>
    <t>Acute injury</t>
  </si>
  <si>
    <t>"In conclusion, LLLT was able to decrease IL-1β expression during the skeletal muscle repair following an acute injury."</t>
  </si>
  <si>
    <t>Effects of 660 nm low-level laser therapy on muscle healing process after cryolesion.</t>
  </si>
  <si>
    <t>"Histopathological findings revealed a lower inflammatory process in the laser-treated groups after 7 d. After 14 d, irradiated animals at both fluences showed higher granulation tissue, new muscle fibers, and organized muscle structure. After 21 d, full tissue repair was observed in all groups. Moreover, irradiated animals at both fluences showed smaller necrosis area in the first experimental period evaluated."</t>
  </si>
  <si>
    <t>Vatansever</t>
  </si>
  <si>
    <t>Photonics &amp; Lasers in Medicine</t>
  </si>
  <si>
    <t>Low intensity laser therapy accelerates muscle regeneration in aged rats</t>
  </si>
  <si>
    <t>0.87</t>
  </si>
  <si>
    <t>0.0028 cm2</t>
  </si>
  <si>
    <t>"The results showed significant elevation (p&lt;0.05) in MyoD and VEGF genes expression levels. Moreover, capillary blood count was more prominent in elderly rats in laser irradiated groups when compared to young animals."
"In conclusion, LILT increased the maturation of satellite cells into myoblasts and myotubes, enhancing the regenerative process of aged rats irradiated with laser."</t>
  </si>
  <si>
    <t>Pertille</t>
  </si>
  <si>
    <t>Evaluation of muscle regeneration in aged animals after treatment with low-level laser therapy.</t>
  </si>
  <si>
    <t>(Sarcopenia)</t>
  </si>
  <si>
    <t>"Considering the morphological and molecular analyzes performed, as well as the parameters used, it may be concluded that low-level laser therapy affects muscle regeneration of aged animals through its anti-inflammatory effects alone, as the results did not demonstrate an effect on the contents of the proteins studied."
Comment: The results suggest that LLLT increased the recovery of cross sectional area of muscles quite markedly, but the authors claim there was no difference. Maybe it's a matter of statistical significance.</t>
  </si>
  <si>
    <t>GaAs 904-nm laser irradiation improves myofiber mass recovery during regeneration of skeletal muscle previously damaged by crotoxin.</t>
  </si>
  <si>
    <t>Crotoxin</t>
  </si>
  <si>
    <t>"GaAs laser at a dose of 3 J, but not 1.5 J, significantly increased the CSA of regenerating myofibers and reduced the PIMA and the area density of intramuscular connective tissue of CTX-injured muscles."
"Our results suggest that GaAs laser treatment at a dose of 3 J improves skeletal muscle regeneration by accelerating the recovery of myofiber mass."</t>
  </si>
  <si>
    <t>Low-level laser therapy (808 nm) reduces inflammatory response and oxidative stress in rat tibialis anterior muscle after cryolesion.</t>
  </si>
  <si>
    <t>0.0038</t>
  </si>
  <si>
    <t>"LLLT reduced oxidative and nitrative stress in injured muscle, decreased lipid peroxidation, nitrotyrosine formation and NO production, probably due to reduction in iNOS protein expression.
Moreover, LLLT increased SOD gene expression, and decreased the inflammatory response as measured by gene expression of NF-kβ and COX-2 and by TNF-α and IL-1β concentration."</t>
  </si>
  <si>
    <t>Phototherapy with low-level laser affects the remodeling of types I and III collagen in skeletal muscle repair.</t>
  </si>
  <si>
    <t>0.0005
(?)</t>
  </si>
  <si>
    <t>"InGaAlP diode laser within the power parameters and conditions tested had a biostimulatory effect at the regenerative and fibrotic phases of the skeletal muscle repairs, by promoting angiogenesis, reducing myonecrosis, and inducing types I and III collagen synthesis, following cryoinjury in rat."</t>
  </si>
  <si>
    <t>Rennó</t>
  </si>
  <si>
    <t>Comparative effects of low-intensity pulsed ultrasound and low-level laser therapy on injured skeletal muscle.</t>
  </si>
  <si>
    <t>1.41</t>
  </si>
  <si>
    <t>"LLLT-treated animals presented minor degenerative changes of muscle tissue. Exposure to US reduced tissue injuries induced by cryolesion, but less effectively than LLLT. A large number of COX-2 positive cells were found in untreated injured rats, whereas COX-2 immunoexpression was lower in both LLLT- and US-treated groups."</t>
  </si>
  <si>
    <t>Baptista</t>
  </si>
  <si>
    <t>Influence of laser photobiomodulation on collagen IV during skeletal muscle tissue remodeling after injury in rats.</t>
  </si>
  <si>
    <t>"It was demonstrated that LLLT promotes an increase in collagen IV immunolabeling in skeletal muscle in the first 7 days after acute trauma caused by cryoinjury, but does not modify the duration of the tissue-repair process.
Even with LLLT, the injured muscle tissue needs ∼21 days to achieve the same state of organization as that in the noninjured muscle."</t>
  </si>
  <si>
    <t>Effects of low-level laser therapy on expression of TNF-α and TGF-β in skeletal muscle during the repair process.</t>
  </si>
  <si>
    <t>"LLLT caused a decrease in TNF-α mRNA expression at 1 and 7 days following injury and in TGF-β mRNA expression at 7 days following cryoinjury in comparison to the control group."</t>
  </si>
  <si>
    <t>Protective effects of therapeutic cold and heat against the oxidative damage induced by a muscle strain injury in rats.</t>
  </si>
  <si>
    <t>broadband</t>
  </si>
  <si>
    <t>"Figure 6A and 6B illustrate that therapeutic heat modulated the increase in oxidized dichlorofluoresceine and thiobarbituric acid reactive substances induced by the lesion only after 5 days of treatment (P ≤ 0.05). Catalase activity was modulated by the heat treatment only after 10 days of treatment (Figure 6C; P ≤ 0.05), but no significant effects were observed for superoxide dismutase activity (Figure 6D). The increase in myeloperoxidase activity was also significantly modulated by the heat treatment (Figure 2C; P ≤ 0.05), although the control value was not reached."
"Figure 7A and 7B show that the therapeutic heat treatment decreased plasma and cellular blood fraction oxidized dichlorofluoresceine levels only after 10 days of treatment (P ≤ 0.05). However, the increase in whole-blood thiobarbituric acid reactive substances was not significantly modulated by the heat treatment (Figure 6C). Plasma creatine kinase activity was also significantly modulated by the heat treatment (Figure 6D; P ≤ 0.05), although the control value was not reached."
"Although heat and cold alone and in combination decreased the muscle and blood oxidative damage, the therapeutic cold treatment seems to be more effective in preventing the damage induced by a strain injury. "</t>
  </si>
  <si>
    <t>Device: INFRAPHIL PAR38E 230 V, 150 W, Philips, Netherlands</t>
  </si>
  <si>
    <t>Lakyová</t>
  </si>
  <si>
    <t>Slovakia
(Kosõice)</t>
  </si>
  <si>
    <t>Low-level laser therapy for protection against skeletal muscle damage after ischemia-reperfusion injury in rat hindlimbs.</t>
  </si>
  <si>
    <t>"LLLT confers a protective effect against early inflammatory tissue response, further atrophy, and necrosis of the muscle and it stimulates neovascularization after I/R injury."</t>
  </si>
  <si>
    <t>China
(Wuman)</t>
  </si>
  <si>
    <t>Effects of low-level laser irradiation on rat skeletal muscle injury after eccentric exercise.</t>
  </si>
  <si>
    <t>Exercise-induced muscle injury
Dose response</t>
  </si>
  <si>
    <t>12
28
43</t>
  </si>
  <si>
    <t>"He-Ne laser irradiation at 43 J/cm2 inhibited muscle inflammation, significantly enhanced muscle SOD activity and significantly reduced serum CK activity and muscle MDA level at both 24 and 48 h after exercise, whereas the irradiation at 12 or 28 J/cm2 slightly inhibited muscle inflammation and significantly reduced serum CK activity at 48 h after exercise only (P&lt;0.05)."
"The photobiomodulation was dose-dependent, and the 43 J/cm2 dose was the most efficient among the doses used."</t>
  </si>
  <si>
    <t>The effects of a 785-nm AlGaInP laser on the regeneration of rat anterior tibialis muscle after surgically-induced injury.</t>
  </si>
  <si>
    <t>Surgically induced injury</t>
  </si>
  <si>
    <t>"Quantitative data showed that the number of both polymorphonuclear and mononuclear leukocytes in the inflammatory infiltrate at the injury site was smaller in the ILI(1), ILI(2), and ILI(4) subgroups compared with their respective control subgroups (IN(1), IN(2), and IN(4)) for sessions 1, 2, and 4, respectively (p &lt; 0.05)."
"With regard to the regeneration of muscle fibers following injury, only after the fourth treatment session was it possible to find muscle precursor cells such as myoblasts and some myotubes in the ILI(4) subgroup."</t>
  </si>
  <si>
    <t>Oron U</t>
  </si>
  <si>
    <t>Photoengineering of tissue repair in skeletal and cardiac muscles</t>
  </si>
  <si>
    <t>"It is concluded that phototherapy using the correct parameters and timing has a markedly beneficial effect on repair processes after injury or ischemia in skeletal and heart muscles. This phenomenon may have clinical applications."</t>
  </si>
  <si>
    <t>Bulyakova &amp; Azarova</t>
  </si>
  <si>
    <t>Minim Invasive Ther Allied Technol</t>
  </si>
  <si>
    <t>Regeneration of skeletal muscles and state of thymus in gamma-irradiated rats under laser therapy of the area of muscle trauma.</t>
  </si>
  <si>
    <t>Gamma irradiation</t>
  </si>
  <si>
    <t>4.5-
5.4</t>
  </si>
  <si>
    <t>"The gamma-irradiation of adult rats with a semi-lethal dose (6 Gy) suppressed the posttraumatic regeneration of skeletal muscles and brought about considerable destructive changes in the thymus. The effect of He-Ne laser radiation at a total dose 4.5-5.4 J/cm2 at each operated leg in irradiated rats stimulated the regenerative capacity of skeletal muscle tissue, the healing of skin-muscle wound, and the processes of postradiation recovery in thymus cells (a decrease of chromosome aberrations). The histological structure of regenerates had more muscle pattern."</t>
  </si>
  <si>
    <t>Effects of low-level laser therapy (LLLT) on the nuclear factor (NF)-kappaB signaling pathway in traumatized muscle.</t>
  </si>
  <si>
    <t>d =
0.7 mm</t>
  </si>
  <si>
    <t>"Histological abnormalities with increase in collagen concentration, and oxidative stress were observed after trauma. This was accompanied by activation of NF-kappaB and upregulation of iNOS expression, whereas protein concentration of I kappa B alpha decreased. These effects were blocked by LLLT."</t>
  </si>
  <si>
    <t>Avni</t>
  </si>
  <si>
    <t>Protection of skeletal muscles from ischemic injury: low-level laser therapy increases antioxidant activity.</t>
  </si>
  <si>
    <t>"It was found that laser irradiation markedly protects skeletal muscles from degeneration following acute I-R injury. This was evident by significantly (p &lt; 0.05) higher content of creatine phosphokinase activity and lower (p &lt; 0.05) activity of acid phosphatase in the LLLT-treated muscles relative to the injured non-irradiated ones.
The content of antioxidants and heat shock proteins was also higher (p &lt; 0.05) in the LLLT-treated muscles relative to that of injured non-irradiated muscles."</t>
  </si>
  <si>
    <t>GaAs (904-nm) laser radiation does not affect muscle regeneration in mouse skeletal muscle</t>
  </si>
  <si>
    <t>3
10</t>
  </si>
  <si>
    <t>"Doses of 3 and 10 J/cm(2) of GaAs laser were not efficient to promote significant morphological changes in the regenerated skeletal muscle, but the dose of 10 J/cm(2) promoted significant gain of body weight."</t>
  </si>
  <si>
    <t>Muscular trauma treated with a ga-Al-as diode laser: in vivo experimental study.</t>
  </si>
  <si>
    <t>150
250
800</t>
  </si>
  <si>
    <t>"Analysis of the results showed a better qualitative and quantitative healing process in traumatised muscles treated with Ga-Al-As diode laser therapy than in spontaneously healed ones. The results obtained with laser therapy were confirmed as haematic, histoenzymatic and histomorphometric values. According to these results, there is a positive relationship between the biostimulation properties of the laser and the healing of traumatised muscular tissue."</t>
  </si>
  <si>
    <t>Bibikova &amp; Oron</t>
  </si>
  <si>
    <t>Anat Rec</t>
  </si>
  <si>
    <t>Regeneration in denervated toad (Bufo viridis) gastrocnemius muscle and the promotion of the process by low energy laser irradiation.</t>
  </si>
  <si>
    <t>Toad</t>
  </si>
  <si>
    <t>"The process of regeneration in denervated muscles can be markedly enhanced if the muscle is irradiated by low energy laser prior to injury, probably by activation (stimulation of proliferation and/or differentiation) cells in the muscles that are "recruited" and participate in the process of regeneration."</t>
  </si>
  <si>
    <t>Attenuation of the process of muscle regeneration in the toad gastrocnemius muscle by low energy laser irradiation.</t>
  </si>
  <si>
    <t>"The volume fraction (percent of total injured area) of mononucleated cells, myotubes and degenerated fibers was 10 +/- 1%, 0%, and 4 +/- 1%, respectively, in the HeNe laser irradiated muscles (5 irradiations every alternate day, beginning on the 4th day after injury), whereas in the control nonirradiated muscles, these values were significantly higher comprising 57 +/- 2% (P &lt; 0.01), 11 +/- 1% and 10 +/- 2% (P &lt; 0.05), respectively. The volume fraction of young myofibers in injured areas that were subjected to the same laser irradiation regime was 8.6-fold significantly higher (P &lt; 0.01) than their volume fraction in control muscles. The histomorphometric results were the same for injured zones of muscles that were laser irradiated only once, on the 9th day postinjury, and for those that received five consecutive irradiations every alternate day. Muscle regeneration was equally promoted by single Ga-As-diode laser or HeNe irradiation. Multiple irradiations of Ga-As-diode laser caused some pathological changes in the newly formed muscular structures. 
It is concluded that the process of skeletal muscle regeneration is markedly promoted by low energy laser irradiations, but that the effect depends on the number, timing, and frequency of irradiations and the type of laser used."</t>
  </si>
  <si>
    <t>Bibikova</t>
  </si>
  <si>
    <t>Anat Embryol (Berl).</t>
  </si>
  <si>
    <t>Enhancement of angiogenesis in regenerating gastrocnemius muscle of the toad (Bufo viridis) by low-energy laser irradiation.</t>
  </si>
  <si>
    <t>Red light (632.8nm) promotes angiogenesis in the injured zone.</t>
  </si>
  <si>
    <t>Promotion of muscle regeneration in the toad (Bufo viridis) gastrocnemius muscle by low-energy laser irradiation.</t>
  </si>
  <si>
    <t>Muscle injury regeneration</t>
  </si>
  <si>
    <t>“Young myofibers in the laser-irradiated muscles populated 15.5% +/- 7.9% and 65.0% +/- 9.5% of the injured area at 9 and 14 days of muscle regeneration, respectively, while in control muscles these structures were not evident at 9 days and made up only 5.3% +/- 2.9% of the traumatized area at 14 days postinjury.”</t>
  </si>
  <si>
    <t>Weiss &amp; Oron</t>
  </si>
  <si>
    <t>Enhancement of muscle regeneration in the rat gastrocnemius muscle by low energy laser irradiation.</t>
  </si>
  <si>
    <t>“It is concluded that He-Ne laser irradiation during the regeneration process promotes muscle maturation in the injured zone following partial excision of the rat gastrocnemius muscle.”</t>
  </si>
  <si>
    <t>Muscle strain</t>
  </si>
  <si>
    <t>Li XH</t>
  </si>
  <si>
    <t>Laser in the department of traumatology</t>
  </si>
  <si>
    <t>🧑 Human
📄 Retrospective
👥 60 cases
⌛ not reported</t>
  </si>
  <si>
    <t>632
10600</t>
  </si>
  <si>
    <t>"This paper presents the results of a study on soft tissue injury treated with laser therapy. Sixty patients (40 males and 20 females. whose ages range 32-68 years) with sacrospinal muscle strain, external humeral epicondylitis, or lumbar muscle strain were selected for this study. After laserr therapy was received in these patients. their condition all bud an improvement immediately The results showed that the rate of recovery, very good, and good were 50%, 31.7%, and 15% respectively. We believe that the laser therapy for some soft tissue injury is an effective treatment."</t>
  </si>
  <si>
    <t>Muscle weakness</t>
  </si>
  <si>
    <t>Mahran HG</t>
  </si>
  <si>
    <t>Effect of photobiomodulation therapy on trunk flexor performance after incisional hernia repair: a randomized controlled trial</t>
  </si>
  <si>
    <t>🧑 Human
🎲 Randomized trial, sham-controlled
👥 45 participants
⌛ 4 weeks</t>
  </si>
  <si>
    <t>17.85</t>
  </si>
  <si>
    <t>0.6
/p</t>
  </si>
  <si>
    <t>214.28</t>
  </si>
  <si>
    <t>"After 4 weeks, pre-and post-fatigue trunk flexor strengths in both laser groups were significantly increased compared to pre-and post-fatigue trunk flexor strength in the placebo group, respectively, and there was no significant difference between the two laser groups."</t>
  </si>
  <si>
    <t>Myogenic cells / myogenesis</t>
  </si>
  <si>
    <t>Yan &amp; Wu</t>
  </si>
  <si>
    <t>Low-level light pre-conditioning promotes C2C12 myoblast differentiation under hypoxic conditions</t>
  </si>
  <si>
    <t>"We found that hypoxia, a condition following anaerobic exercise, significantly impeded myotube differentiation from myoblasts. However, this adverse effect was blunted greatly by pre-exposure of myoblast cells to a 980 nm laser at 0.1 J/cm2 , resulting in almost nearly normal myotube differentiation.
LLL pre-treatment enhanced myotube formation by 80%, with a tubular diameter of 4.28±0.11 μm on average, representative of a 53.4% increase over sham light treatment. 
The normalized myoblast differentiation concurred with 68% more mitochondrial mass and myogenin expression over controls. Moreover, LLL-pretreatment appeared to enhance glucose uptake, prevent energy metabolic switch from oxidative phosphorylation to glycolysis, and diminish lactate production under hypoxic conditions."</t>
  </si>
  <si>
    <t>Effect of Photobiomodulation on C2C12 Myoblasts Cultivated in M1 Macrophage-conditioned Media.</t>
  </si>
  <si>
    <t>C2C12 myoblasts
Inflammation
Nitric oxide</t>
  </si>
  <si>
    <t>"PBM induced a decrease in the synthesis of NO on undifferentiated and differentiation-induced myoblasts. PBM was able to reduce the level of proinflammatory protein and markers, which are important to allow the differentiation of myoblasts during the muscle repair process."</t>
  </si>
  <si>
    <t>Low-level laser irradiation induces a transcriptional myotube-like profile in C2C12 myoblasts.</t>
  </si>
  <si>
    <t>C2C12 myoblasts
Gene expression</t>
  </si>
  <si>
    <t>"Here, we described global gene expression profiling analysis in C2C12 myoblasts after LLLI that identified 514 differentially expressed genes (DEG). Gene ontology and pathway analysis of the DEG revealed transcripts among categories related to cell cycle, ribosome biogenesis, response to stress, cell migration, and cell proliferation."
"In conclusion, we demonstrate for the first time that LLLI regulates a set of mRNAs that control myoblast proliferation and differentiation into myotubes. Importantly, this set of mRNAs revealed a myotube-like transcriptional profile in LLLI myoblasts and provide new insights to the understanding of the molecular mechanisms underlying the effects of LLLI on skeletal muscle cells."</t>
  </si>
  <si>
    <t>Stimulative Effects of Low Intensity He-Ne Laser Irradiation on the Proliferative Potential and Cell-Cycle Progression of Myoblasts in Culture</t>
  </si>
  <si>
    <t>"Immunohistochemical and flow cytometric analysis revealed that laser irradiation could increase the expression of cellular proliferation marker and the amount of cell subpopulations in the proliferative phase as compared with the nonirradiated control group. Meanwhile, the expressions of cell-cycle regulatory proteins in the laser-treated myoblasts were markedly upregulated as compared to the unirradiated cells, indicating that LILI could promote the reentry of quiescent myoblasts into the cell division cycle."</t>
  </si>
  <si>
    <t>Effect of Low Power Laser Irradiation on the Ability of Cell Growth and Myogenic Differentiation of Myoblasts Cultured In Vitro</t>
  </si>
  <si>
    <t>0.36
1.08
3.6</t>
  </si>
  <si>
    <t>60
180
600</t>
  </si>
  <si>
    <t>"It was found that LPLI at a certain fluence could increase the cell growth potential for myoblasts and further induce more cells entering into S phase of the mitotic cycle as indicated by high levels of bromodeoxyuridine (BrdU) incorporation, while at the same time inhibiting their in vitro differentiation and decreasing the expression of myogenic regulatory genes to a certain extent."</t>
  </si>
  <si>
    <t>Shefer</t>
  </si>
  <si>
    <t>Israel
(Rehovot)</t>
  </si>
  <si>
    <t>Skeletal muscle cell activation by low-energy laser irradiation: a role for the MAPK/ERK pathway.</t>
  </si>
  <si>
    <t>d = 1.8 mm</t>
  </si>
  <si>
    <t>"In normal skeletal muscle, satellite cells remain in a quiescent state most of the time. Following muscle injury, satellite cells are activated and recruited as precursors for new muscle formation, thereby playing an essential role in muscle repair. The evidence that LELI promotes the activation and proliferation of quiescent satellite cells and delays their differentiation may explain the enhanced rate of skeletal muscle regeneration by LELI in vivo (...) During the delay in differentiation caused by LELI, higher numbers of activated satellite cells accumulate in the regenerative zone and eventually fuse to excited fibers or develop more newly formed muscle fibers. The results of the present study postulate that the mechanism by which LELI leads to this phenomenon is via specific activation of MAPK/ERK, and not JNK or p38 MAPK."</t>
  </si>
  <si>
    <t>Primary myogenic cells see the light: improved survival of transplanted myogenic cells following low energy laser irradiation.</t>
  </si>
  <si>
    <t>Primary myogenic cells</t>
  </si>
  <si>
    <t>"In this study, we show that laser irradiated donor primary myogenic cells not only survive, but also fuse with host myoblasts to form a host-donor syncytium."
"Our data show that the use of low energy laser irradiation (LELI), a non-surgical tool, is a promising means to enhance both the survival and functionality of transplanted primary myogenic cells."</t>
  </si>
  <si>
    <t>Myopathy</t>
  </si>
  <si>
    <t>LEDT and Idebenone treatment modulate autophagy and improve regenerative capacity in the dystrophic muscle through an AMPK-pathway</t>
  </si>
  <si>
    <t>"LEDT and IDE treatment modulate autophagy by increasing autophagy markers (SQSTM1/p62, Beclin and Parkin) and signaling pathways (AMPK and TGF-β). Concomitantly, the treatments prevented muscle degeneration by reducing the number of IgG-positive fibers and the fibers with a central nucleus; decreasing the fibrotic area; up-regulating the myogenin and MCH-slow levels; and down-regulating the MyoD and MHC-fast levels."</t>
  </si>
  <si>
    <t>da Rocha</t>
  </si>
  <si>
    <t>Antioxidant effects of LEDT in dystrophic muscle cells: involvement of PGC-1α and UCP-3 pathways</t>
  </si>
  <si>
    <t>420
470
660
850</t>
  </si>
  <si>
    <t>"The mdx muscle cells treated with LEDT showed a significant reduction of H2O2 production and 4-HNE, catalase, SOD-2, and GR levels. 
Upregulation of UCP3 was observed with all wavelengths while upregulation of PGC-1α and a slight upregulation of electron transport chain complexes III and V was only observed following 850 nm LEDT. 
In addition, the mitochondrial membrane potential and mitochondrial mass mostly tended to be increased following LEDT, while parameters like O2·- production tended to be decreased."</t>
  </si>
  <si>
    <t>Cell Stress Chaperones</t>
  </si>
  <si>
    <t>LED therapy plus idebenone treatment targeting calcium and mitochondrial signaling pathways in dystrophic muscle cells</t>
  </si>
  <si>
    <t>PBM vs idebenone</t>
  </si>
  <si>
    <t>"LEDT and idebenone treatment showed no cytotoxic effects on the dystrophic muscle cells. 
Regarding the calcium pathways, after LEDT and idebenone treatment, a significant reduction in intracellular calcium content, calpain-1, calsequestrin, and sarcolipin levels, was observed. 
In addition, a significant reduction in oxidative stress level markers, such as H2O2, and 4-HNE levels, was observed. Regarding mitochondrial signaling pathways, a significant increase in oxidative capacity (by OCR and OXPHOS levels) was observed. 
In addition, the PGC-1α, SIRT-1, and PPARδ levels were significantly higher in the LEDT plus idebenone treated-dystrophic muscle cells. 
Together, the findings suggest that LEDT and idebenone treatment, alone or in conjunction, can modulate the calcium and mitochondrial signaling pathways, such as SLN, SERCA 1, and PGC-1α, contributing towards the improvement of the dystrophic phenotype in mdx muscle cells. 
In addition, data from the LEDT plus idebenone treatment showed slightly better results than those of each separate treatment in terms of SLN, OXPHOS, and SIRT-1."</t>
  </si>
  <si>
    <t>Covatti</t>
  </si>
  <si>
    <t>Low-Level Photobiomodulation Therapy Modulates H2O2 Production, TRPC-6, and PGC-1α Levels in the Dystrophic Muscle</t>
  </si>
  <si>
    <t>0.6
5</t>
  </si>
  <si>
    <t>"The dystrophic muscle cells treated with PBMT (0.6 J and 5 J) showed no cytotoxicity and significantly lower levels in hydrogen peroxide (H2O2) production. We also demonstrated, for the first time, the capacity of PBMT, at a low dose (0.6 J), in reducing the TRPC-6 content and in raising the peroxisome proliferator-activated receptor γ coactivator-1α (PGC-1α) content in the dystrophic gastrocnemius muscle."</t>
  </si>
  <si>
    <t>Photobiomodulation Therapy for Muscular Dystrophy: Time for a Trial?</t>
  </si>
  <si>
    <t>Ankan</t>
  </si>
  <si>
    <t>Effects of moderate aerobic exercise, low-level laser therapy, or their combination on muscles pathology, oxidative stress and irisin levels in the mdx mouse model of Duchenne muscular dystrophy</t>
  </si>
  <si>
    <t>"When LLLT was applied in addition to exercise, muscle strength, skeletal muscle utrophin levels increased, and skeletal and diaphragmatic muscle degeneration and inflammation decreased. In addition, it was determined that only LLLT application increased the level of skeletal muscle irisin."</t>
  </si>
  <si>
    <t>Multiple LEDT wavelengths modulate the Akt signaling pathways and attenuate pathological events in mdx dystrophic muscle cells</t>
  </si>
  <si>
    <t>"The LEDT, at multiple wavelengths, treated-mdx muscle cells showed no cytotoxic effect and significant lower levels in [Ca2 +]i. 
The mdx muscle cells treated with LEDT showed a significant reduction of TRPC-1, NF-κB, TNF-α and MyoD levels and a significant increase of Myogenin, MHC-slow, p-AKT, p-mTOR, p-FoxO1 levels, and VEGF levels."</t>
  </si>
  <si>
    <t>Can photobiomodulation therapy be an alternative to pharmacological therapies in decreasing the progression of skeletal muscle impairments of mdx mice?</t>
  </si>
  <si>
    <t>LED phototherapy (laser + LED)
PBM vs prednisone</t>
  </si>
  <si>
    <t>"Both treatments with prednisone and PBMT applied alone or combined, were effective in preserving muscular morphology. In addition, the treatments with PBMT (p = 0.0005), PBMT plus prednisone (p = 0.0048) and PBMT plus NSAID (p = 0.0021) increased dystrophin gene expression compared to placebo-control group. 
However, in the functional performance the PBMT presented better results compared to glucocorticoids (p&lt;0.0001). In contrast, the use of NSAIDs did not appear to add benefits to skeletal muscle tissue in mdx mice."
"We believe that the promising and optimistic results about the PBMT in skeletal muscle of mdx mice may in the future contribute to this therapy to be considered a safe alternative for patients with Duchenne Muscular Dystrophy (DMD) in a washout period (between treatment periods with glucocorticoids), allowing them to remain receiving effective and safe treatment in this period, avoiding at this way periods without administration of any treatment."</t>
  </si>
  <si>
    <t>Macebo</t>
  </si>
  <si>
    <t>Photobiomodulation Therapy for Attenuating the Dystrophic Phenotype of Mdx Mice.</t>
  </si>
  <si>
    <t>LLLT vs prednisolone</t>
  </si>
  <si>
    <t>"The mdxLA group showed a degenerative and regenerative area reduction simultaneously with a MyoD level increase; ROS production and inflammatory marker reduction and up-regulation in the VEGF factor. In addition, PBMT presented similar effects to prednisolone treatment in most of the parameters analyzed. 
In conclusion, our results indicate that PBMT in the parameters selected, attenuated the dystrophic phenotype of mdx mice, improving skeletal muscle regeneration; reducing the oxidative stress and inflammatory process; and up-regulating the angiogenic marker."</t>
  </si>
  <si>
    <r>
      <rPr>
        <b/>
        <color rgb="FF980000"/>
        <sz val="8.0"/>
      </rPr>
      <t>★</t>
    </r>
    <r>
      <rPr>
        <b/>
        <color rgb="FF980000"/>
        <sz val="10.0"/>
      </rPr>
      <t xml:space="preserve">
</t>
    </r>
    <r>
      <rPr>
        <b/>
        <color rgb="FF980000"/>
        <sz val="6.0"/>
      </rPr>
      <t>📷</t>
    </r>
  </si>
  <si>
    <t>Photobiomodulation therapy protects skeletal muscle and improves muscular function of mdx mice in a dose-dependent manner through modulation of dystrophin.</t>
  </si>
  <si>
    <t>Mdx mice
LED phototherapy (w/ 905nm laser diode)
Dose response (a strong one!)</t>
  </si>
  <si>
    <t>"We conclude that PBMT can mainly preserve muscle morphology and improve muscular function of mdx mice through modulation of gene and protein expression of dystrophin.
Furthermore, since PBMT is a non-pharmacological treatment which does not present side effects and is easy to handle, it can be seen as a promising tool for treating Duchenne's muscular dystrophy."</t>
  </si>
  <si>
    <t>Servetto</t>
  </si>
  <si>
    <t>Argentina
(Córdoba)</t>
  </si>
  <si>
    <t>Histomorphologic and ultrastructural recovery of myopathy in rats treated with low-level laser therapy.</t>
  </si>
  <si>
    <t>Adrenaline-induced myopathy
Wavelength comparison</t>
  </si>
  <si>
    <t>0.16
0.2</t>
  </si>
  <si>
    <t>9.5
9.5</t>
  </si>
  <si>
    <t>0.2
0.28
cm2</t>
  </si>
  <si>
    <t>60
47</t>
  </si>
  <si>
    <t>7
7</t>
  </si>
  <si>
    <t>"LLLT in experimental myopathy caused significant muscular and mitochondrial morphologic recovery."</t>
  </si>
  <si>
    <t>Pissulin</t>
  </si>
  <si>
    <t>Low-level laser therapy (LLLT) accelerates the sternomastoid muscle regeneration process after myonecrosis due to bupivacaine</t>
  </si>
  <si>
    <t>Bupivacaine</t>
  </si>
  <si>
    <t>4.8
(2p?)</t>
  </si>
  <si>
    <t>48
(/p?)</t>
  </si>
  <si>
    <t>"The LLLT reduced myonecrosis, characterized by a decrease in muscle CK levels, inflammation, necrosis, and atrophy, as well as the number of central nuclei in the muscle fibers and the percentage of collagen. TNFα values remained constant."
"LLLT, at the dose used, reduced fibrosis and myonecrosis in the sternomastoid muscle triggered by bupivacaine, accelerating the muscle regeneration process."</t>
  </si>
  <si>
    <t>Low-Level Laser Therapy (LLLT) in Dystrophin-Deficient Muscle Cells: Effects on Regeneration Capacity, Inflammation Response and Oxidative Stress.</t>
  </si>
  <si>
    <t>Mdx muscle cells</t>
  </si>
  <si>
    <t>"Together, these results suggest that the laser treatment improved regenerative capacity and decreased inflammatory response and oxidative stress in dystrophic muscle cells, indicating that LLLT could be a helpful alternative therapy to be associated with other treatment for dystrophinopathies."</t>
  </si>
  <si>
    <t>Pre-exercise low-level laser therapy improves performance and levels of oxidative stress markers in mdx mice subjected to muscle fatigue by high-intensity exercise.</t>
  </si>
  <si>
    <t>Mdx mice</t>
  </si>
  <si>
    <t>"The mdx mice treated with LLLT showed significantly lower levels of creatine kinase (CK) and oxidative stress than mdx mice that underwent forced high-intensity exercise on a treadmill.
The activities of the antioxidant enzyme superoxide dismutase (SOD) were higher in control mdx mice than in WT mice.
LLLT also significantly reduced the level of this marker. LLLT had a beneficial effect also on the skeletal muscle performance of mdx mice."</t>
  </si>
  <si>
    <r>
      <rPr>
        <rFont val="Arial"/>
        <b/>
        <color rgb="FF980000"/>
        <sz val="9.0"/>
      </rPr>
      <t xml:space="preserve">★
</t>
    </r>
    <r>
      <rPr>
        <rFont val="Arial"/>
        <b/>
        <color rgb="FF980000"/>
        <sz val="6.0"/>
      </rPr>
      <t>📷</t>
    </r>
  </si>
  <si>
    <t>Brazil &amp; UK &amp; Norway</t>
  </si>
  <si>
    <t>Superpulsed low-level laser therapy protects skeletal muscle of mdx mice against damage, inflammation and morphological changes delaying dystrophy progression.</t>
  </si>
  <si>
    <t>1.005</t>
  </si>
  <si>
    <t>5.025</t>
  </si>
  <si>
    <t>0.2
cm2
(area)</t>
  </si>
  <si>
    <t>"Irradiation of superpulsed LLLT on successive days five times per week for 14 weeks decreased morphological changes, skeletal muscle damage and inflammation in mdx mice. This indicates that LLLT has potential to decrease progression of Duchenne muscular dystrophy."
Star: The parameters were well reported, and the article was well written. A photograph of LLLT treatment was included.</t>
  </si>
  <si>
    <t>Dávila</t>
  </si>
  <si>
    <t>Low level laser therapy on experimental myopathy.</t>
  </si>
  <si>
    <t>Experimental myopathy
Wavelength comparison</t>
  </si>
  <si>
    <t>"In the present work, LLLT caused great changes in inflammatory biomarkers, with decreased levels of NO in rats with experimental myopathies and significant muscle recovery."
Comment: Parameters were reported incompletely.</t>
  </si>
  <si>
    <t>Evaluation of inflammatory biomarkers associated with oxidative stress and histological assessment of low-level laser therapy in experimental myopathy.</t>
  </si>
  <si>
    <t>"LLLT caused significant changes in inflammatory biomarkers and oxidative stress: decreased levels of fibrinogen, L-citrulline and SOD as opposed to the increase of NO in rats with experimental myopathies and significant muscle recovery."
Comment: Parameters were reported incompletely. Laser spot size wasn't reported. However, results are interesting.</t>
  </si>
  <si>
    <t>Neuromuscular electrical stimulation -induced impairments</t>
  </si>
  <si>
    <t>Jówko</t>
  </si>
  <si>
    <t>Poland
(Biała Podlaska)</t>
  </si>
  <si>
    <t>The effect of low level laser irradiation on oxidative stress, muscle damage and function following neuromuscular electrical stimulation. A double blind, randomised, crossover trial.</t>
  </si>
  <si>
    <t>🧑 Human
🎲 Randomized trial, crossover, double-blind
👥 24 participants
⌛ 2 sessions (1 active, 1 sham) (with 96h postintervention measurements) (?) with 8-day washout periods</t>
  </si>
  <si>
    <t>"LLLT may protect from impairments in enzymatic antioxidant system and may shorten inflammation induced by a single NMES session in moderately active, healthy men. However, the effects of LLLT on redox state and inflammatory processes do not seem to affect muscle damage and recovery of muscle function after NMES."</t>
  </si>
  <si>
    <t>Protein synthesis</t>
  </si>
  <si>
    <t>Low-energy laser irradiation enhances de novo protein synthesis via its effects on translation-regulatory proteins in skeletal muscle myoblasts.</t>
  </si>
  <si>
    <t>"Taken together, these results suggest that LELI induces protein translation via the PI3K/Akt and Ras/Raf/ERK pathways."</t>
  </si>
  <si>
    <t>Leal-Junior EC</t>
  </si>
  <si>
    <t>Photobiomodulation therapy in skeletal muscle: from exercise performance to muscular dystrophies.</t>
  </si>
  <si>
    <t>"On the other hand, skeletal muscle performance and exercise recovery are novel and recent areas of research in the photobiomodulation field. Since the first clinical trial was published in 20083 several studies have reported positive effects of photobiomodulation with red3,4 and infrared wavelengths4–8 and both with low-level laser therapy (LLLT)3–8 and light emitting diode therapy (LEDT).9–12 Interestingly, different kinds of exercises were employed in these studies, such as: repeated contractions,3,5,6,8,10 isometric sustained contraction,4,11,12 cycling,9 and running.7 These reports increase the evidence supporting use of photobiomodulation therapy for improvement of performance and also to accelerate recovery of functional and biochemical markers related to exercise restitution."</t>
  </si>
  <si>
    <t>Sarcopenia / Muscle function in aging</t>
  </si>
  <si>
    <t>Fisioterapia em Movimento</t>
  </si>
  <si>
    <t>Photobiomodulation and physical exercise on strength, balance and functionality of elderly women</t>
  </si>
  <si>
    <t>🧑 Human
🎲 Randomized trial, double-blind
👥 27 participants
⌛ 8 weeks</t>
  </si>
  <si>
    <t>56
(8p)</t>
  </si>
  <si>
    <t>0.028
cm2 
spot
size</t>
  </si>
  <si>
    <t>"In Figure 2, data analysis demonstrated that both groups showed a significant increase of 21.7% (PG) and 24.8% (AG) in 1-MR after the strength-training program (p = 0.001). However, there was no significant difference between the experimental groups (p = 0.633)."
"After the experimental period, the intragroup evaluation demonstrated a significant increase of 26.6% (PG) and 40.3% (AG) in the distance walked in 6MWT (p = 0.001). However, post-training program evaluations showed no significant difference between the groups (p = 0.175) (Figure 3A)."
Comment: The trend is positive for active vs placebo, but there's no statistical significance.</t>
  </si>
  <si>
    <t>Photobiomodulation on Bax and Bcl-2 Proteins and SIRT1/PGC-1α Axis mRNA Expression Levels of Aging Rat Skeletal Muscle</t>
  </si>
  <si>
    <t>0.125</t>
  </si>
  <si>
    <t>"Gastrocnemius muscle weights, gastrocnemius mass/body mass, Bcl-2/BAX ratio, Bcl-2 protein, IGF-1 protein, and the mRNA contents in SIRT1, PGC-1α, NRF1, TMF, and SOD2 were significantly increased by LLLI"
"However, levels of BAX protein and caspase 3 mRNA were significantly attenuated by LLLI compared to CON group."
"LLLI at 810 nm inhibits sarcopenia associated with upregulation of Bcl-2/BAX ratio and IGF-1 and SIRT1/PGC-1α axis mRNA expression in aged rats. This indicates that LLLI has potential to decrease progression of myocyte apoptosis in sarcopenic muscles."</t>
  </si>
  <si>
    <t>Corazza</t>
  </si>
  <si>
    <t>Phototherapy and resistance training prevent sarcopenia in ovariectomized rats.</t>
  </si>
  <si>
    <t>Ovaryectomized rats</t>
  </si>
  <si>
    <t>"Significant increases (p &lt; 0.05) were noted for the muscle volume of the T (68.1 ± 19.7%), the L (74.1 ± 5.1%), and the LT (68.2 ± 11.5%) groups compared to the C group (60.4 ± 5.5%).
There were also significant increases in the concentrations of IGF-1, IL-1, and TNF-α in the muscles of the treated groups (p &lt; 0.05)."</t>
  </si>
  <si>
    <t>Satellite cells</t>
  </si>
  <si>
    <t>J Cell Sci</t>
  </si>
  <si>
    <t>Low-energy laser irradiation promotes the survival and cell cycle entry of skeletal muscle satellite cells.</t>
  </si>
  <si>
    <t>d = 1.8</t>
  </si>
  <si>
    <t>"We show that LELI stimulates cell cycle entry and the accumulation of satellite cells around isolated single fibers grown under serum-free conditions and that these effects act synergistically with the addition of serum. Moreover, for the first time we show that LELI promotes the survival of fibers and their adjacent cells, as well as cultured myogenic cells, under serum-free conditions that normally lead to apoptosis. 
In both systems, expression of the anti-apoptotic protein Bcl-2 was markedly increased, whereas expression of the pro-apoptotic protein BAX was reduced. In culture, these changes were accompanied by a reduction in the expression of p53 and the cyclin-dependent kinase inhibitor p21, reflecting the small decrease in viable cells 24 hours after irradiation. 
These findings implicate regulation of these factors as part of the protective role of LELI against apoptosis. Taken together, our findings are of critical importance in attempts to improve muscle regeneration following injury."</t>
  </si>
  <si>
    <t>Ben-Dov</t>
  </si>
  <si>
    <t>Low-energy laser irradiation affects satellite cell proliferation and differentiation in vitro.</t>
  </si>
  <si>
    <t>"In light of these data, the promoting effect of laser irradiation on skeletal muscle regeneration in vivo may be due to its effect on the activation of early cell-cycle regulatory genes in satellite cells, leading to increased proliferation and to a delay in cell differentiation."</t>
  </si>
  <si>
    <t>Spasticity</t>
  </si>
  <si>
    <t>das Neves</t>
  </si>
  <si>
    <t>Brazil
(São José Dos Campos)</t>
  </si>
  <si>
    <t>Effects of photobiomodulation on pain, lactate and muscle performance (ROM, torque, and EMG parameters) of paretic upper limb in patients with post-stroke spastic hemiparesis-a randomized controlled clinical trial</t>
  </si>
  <si>
    <t xml:space="preserve">🧑 Human
🎲 Randomized trial
👥 27 participants
⌛ </t>
  </si>
  <si>
    <t>64
(16 points)</t>
  </si>
  <si>
    <t>127.4</t>
  </si>
  <si>
    <t>0.0314 cm2 spot size</t>
  </si>
  <si>
    <t>10
(3 per week)</t>
  </si>
  <si>
    <t>"In conclusion, Photobiomodulation (PBM) demonstrated significant improvements in muscle performance, reducing fatigue and pain levels, and enhancing range of motion in post-stroke patients with spastic hemiparesis."</t>
  </si>
  <si>
    <t>Transcranial photobiomodulation therapy associated with cardiorespiratory rehabilitation in spastic subjects</t>
  </si>
  <si>
    <t>🧑 Human
🎲 Randomized trial
👥 15 participants
⌛ 12 weeks</t>
  </si>
  <si>
    <t>680+
808</t>
  </si>
  <si>
    <t>"In conclusion, both CR and tPBMG demonstrated improvements in ET. However, tPBMG specifically showed promising effects on HRV modulation and peripheral muscle electrical activity, providing additional benefits compared to CR alone."</t>
  </si>
  <si>
    <t>Stamborowski</t>
  </si>
  <si>
    <t>A Comprehensive Review on the Effects of Laser Photobiomodulation on Skeletal Muscle Fatigue in Spastic Patients</t>
  </si>
  <si>
    <t>"It could be concluded that LLLT may contribute to an increased range of muscle motion and fiber recruitment and increased strength to increase signal conduction on spastic muscle fibers in spastic patients. However, further studies are needed to understand how fatigued fibers behave in these patients, since clinical studies used different laser wavelengths and numerous illumination parameters, which influence the determination of different biological parameters."</t>
  </si>
  <si>
    <t>Long-term analyses of spastic muscle behavior in chronic poststroke patients after near-infrared low-level laser therapy (808 nm): a double-blinded placebo-controlled clinical trial.</t>
  </si>
  <si>
    <t>🧑 Human
📄 Non-randomized study, double-blinded
👥 12 participants
⌛ 4 phases with 4-week washout periods (??)</t>
  </si>
  <si>
    <t>159.24</t>
  </si>
  <si>
    <t>"We could observe significant increases in range of elbow motion after PBMT from 57.7 ± 14 to 84.3 ± 27.6 degrees (p &lt; 0.001). The root mean square (RMS) values also increased after PBMT + exoskeleton from 23.2 ± 15 to 34.9 ± 21 μV (p = 0.0178). Our results suggest that the application of PBMT may contribute to an increased range of elbow motion and muscle fiber recruitment, increases in muscle strength, and, hence, to increase signal conduction on spastic muscle fibers in spastic patients."</t>
  </si>
  <si>
    <t>Effects of low-level laser therapy (LLLT 808 nm) on lower limb spastic muscle activity in chronic stroke patients.</t>
  </si>
  <si>
    <t>🧑 Human
📄 Non-randomized study, double-blind
👥 15 participants
⌛ 3 sessions (1 untreated, 1 placebo, 1 active) with 7-day washout periods</t>
  </si>
  <si>
    <t>Stroke patients</t>
  </si>
  <si>
    <t>127.39</t>
  </si>
  <si>
    <t>"After the real LLLT intervention, we observed significant reduction in the visual analogue scale for pain intensity (p = 0.0038), increased time to onset of muscle fatigue (p = 0.0063), and increased torque peak (p = 0.0076), but no significant change in the root mean square (RMS) value (electric signal in the motor unit during contraction, as obtained with surface electromyography).
Our results suggest that the application of LLLT may contribute to increased recruitment of muscle fibers and, hence, to increase the onset time of the spastic muscle fatigue, reducing pain intensity in stroke patients with spasticity, as has been observed in healthy subjects and athletes."</t>
  </si>
  <si>
    <t>dos Reis</t>
  </si>
  <si>
    <t>Brazil
(Urbanova)</t>
  </si>
  <si>
    <t>Immediate effects of low-intensity laser (808 nm) on fatigue and strength of spastic muscle.</t>
  </si>
  <si>
    <t>🧑 Human
📄 Non-randomized study, double-blind
👥 15 participants
⌛3 sessions (1 untreated, 1 placebo, 1 active) with 7-day washout periods</t>
  </si>
  <si>
    <t>"After application of LILT, we found increased torque as well as decreased in lactate level in patients with spasticity."</t>
  </si>
  <si>
    <t>Ushigome</t>
  </si>
  <si>
    <t>Effects of low level laser therapy (LLLT) on spasticity caused by cerebral vascular accidents (CVAS)</t>
  </si>
  <si>
    <t>🧑 Human
📄 Single-arm study
👥 15 participants
⌛ 1 week</t>
  </si>
  <si>
    <t>0.670</t>
  </si>
  <si>
    <t>20.1</t>
  </si>
  <si>
    <t>"At the end of the week, we recognized LLLT effects in 11 cases out of 15. The other 4 patients had little or no effect but were in their fifties, and had successive bouts of ankle clonus. 
LLLT is a promising medical treatment for the attenuation of CVA-related spasticity of the triceps surae muscle spasticity, and facilitate voluntary movements in such patients. Further studies are warranted to elucidate the mechanisms by which LLLT can attenuate spasticity."</t>
  </si>
  <si>
    <t>Sports injuries</t>
  </si>
  <si>
    <t>Morgan</t>
  </si>
  <si>
    <t>USA
(Eagan, MN)</t>
  </si>
  <si>
    <t>Effects of Photobiomodulation on Pain and Return to Play of Injured Athletes: A Systematic Review and Meta-analysis</t>
  </si>
  <si>
    <t>"Six RCTs, representing 205 competitive and recreational athletes with a mean age of 24 years, were included in the analysis. There were 6 intervention groups using standard physical therapy (n = 1), placebo PBM (n = 4), and aloe gel (n = 1) lasting between 10 minutes and 8 weeks in duration. The level of significance set for the study was p &lt; 0.05. 
Overall, the use of PBM indicated a positive effect on pain reduction for PBM vs. control groups, standardized mean differences = 1.03, SE = 0.22, 95% confidence intervals = [0.43-1.63], p = 0.0089, but the 2 RCTs found evaluating the effect of PBM on time to return to play after injury in athletes do not support a benefit. 
Allied healthcare professionals may use PBM to reduce pain, thus allowing an athlete to return to their normal biomechanical movement faster; however, limited evidence suggests that PBM does not reduce time to return to play after an injury."</t>
  </si>
  <si>
    <t>Foley</t>
  </si>
  <si>
    <t>USA
(Bethlehem, PA)</t>
  </si>
  <si>
    <t>830 nm light-emitting diode (led) phototherapy significantly reduced return-to-play in injured university athletes: a pilot study.</t>
  </si>
  <si>
    <t>🧑 Human
📄 Single-arm (retrospective?)
👥 65 participants
⌛ ~1-2 weeks per patient</t>
  </si>
  <si>
    <t>HEALITE II device
LED phototherapy</t>
  </si>
  <si>
    <t>3-6
on
average</t>
  </si>
  <si>
    <t>"Over a 15-month period, a total of 395 injuries including sprains, strains, ligament damage, tendonitis and contusions were treated"
"The average LED-mediated RTP in the 65 subjects was significantly shorter at 9.6 days, compared with the mean anticipated RTP of 19.23 days (p = 0.0066, paired two-tailed Student's t-test). 
"A subjective satisfaction survey was carried out among the 112 students with injuries incurred from January to May, 2015. Eighty-eight (78.5%) were either very satisfied or satisfied, and only 8 (7.2%) were dissatisfied."</t>
  </si>
  <si>
    <t>Five-day, low-level laser therapy for sports-related lower extremity periostitis in adult men: a randomized, controlled trial.</t>
  </si>
  <si>
    <t>🧑 Human
🎲 Randomized trial
👥 54 participants
⌛ 5 days</t>
  </si>
  <si>
    <t xml:space="preserve">LED phototherapy (with some laser diodes)
Periostitis
</t>
  </si>
  <si>
    <t>850
(laser)
+
670
(LED)
+
880
(LED)
+
950
(LED)</t>
  </si>
  <si>
    <t>1000
+
120
+
200
+
120</t>
  </si>
  <si>
    <t>43.2</t>
  </si>
  <si>
    <t>31.2
cm2</t>
  </si>
  <si>
    <t>15
/ 5 days</t>
  </si>
  <si>
    <t>"Balance function, including postural stability testing (PST) and limits of stability (LOS), was also performed to evaluate the function outcome. Patients experienced a significant improvement in pain by day 2 or day 5 after starting LLLT, but here was no significant difference in pain scale between the measurements before (baseline) and after LLLT. Comparing the PST, the group differences of dynamic vs. static testings ranged from -18.54 to -50.22 (compared 12, 8, 4, 3, 2, 1 to 0, all p &lt; 0.0001), and the PST after LLLT were 3.73 units (p = 0.0258) lower than those of before LLLT. Comparing the LOS, the group differences of dynamic vs. static testing were similar to those in PST, and the relationship between LOS and groups only varied with the direction control during dynamic testing in direction at backward/right vs. right (p &lt; 0.0001). 
LLLT had a positive effect on proprioception in patients with lower limb periostitis. Larger, better controlled studies are needed to determine what specific effects LLLT has on the function of proprioception."</t>
  </si>
  <si>
    <t>Morimoto</t>
  </si>
  <si>
    <t>Low level laser therapy for sports injuries.</t>
  </si>
  <si>
    <t>🧑 Human
📄 Retrospective data (?)
👥 41 cases
⌛ ~4 weekly sessions on average</t>
  </si>
  <si>
    <t>~4</t>
  </si>
  <si>
    <t>"A score of 2 to 5 after treatment was regarded as very good, 6 to 8 as good, and 9 to 10 as poor. A PRS score of less than 5 was regarded as effective. RESULTS: The rate of effectiveness (PRS of 5 or less) after LLLT was 65.9% (27/41 patients)."</t>
  </si>
  <si>
    <t>Ireland</t>
  </si>
  <si>
    <t>A near-infrared LED-based rehabilitation system: initial clinical experience</t>
  </si>
  <si>
    <t>🧑 Human
📄 Retrospective data (?)
👥 28 participants
⌛ (?)</t>
  </si>
  <si>
    <t>0.180</t>
  </si>
  <si>
    <t>"Twenty-eight subjects were enrolled in the study with a variety of conditions: Joint Pain and Dysfunction (n=8), Tendinopathies (n=7), Muscle Pain and Dysfunction (n=4), and Back Pain (n=9). 
In 17 of the 28 subjects the results were excellent, and varied in the others. 
However, prudent doses of 54 and 108 J/cm2 (5 and 10 min exposure times, respectively) were chosen. Higher doses may give better effects. 
Both acute and chronic pain types responded well to IR LED therapy. There were no adverse side effects, and all subjects were happy with the treatment. 
Practitioners were also pleased with the ease of use of the system, and found it safe and effective."</t>
  </si>
  <si>
    <t>Device: Omnilux Rehabilitation System</t>
  </si>
  <si>
    <t>Sprain injuries</t>
  </si>
  <si>
    <t>Effectiveness of photobiomodulation therapy in the treatment of patients with an ankle sprain: a systematic review and meta-analysis</t>
  </si>
  <si>
    <t>"Six studies (598 patients) were included in the review and five studies in the meta-analysis. 
There were two fair-quality and four good-quality studies, with a moderate level of evidence on pain, and a low level of evidence on oedema and function. 
The meta-analysis revealed a significant overall effect of PBMT on pain with high ES [SMD - 0.88 (-1.76, -0.00), p = 0.05], with a non-significant effect on oedema and function with a medium ES [SMD - 0.70 (-1.64, 0.24), p = 0.14] on oedema and low ES on function [SMD - 0.22 (-0.69, 0.24), p = 0.35]. 
Significant heterogeneity was observed in all measured outcomes with high heterogeneity (I2 &gt; 75%) in pain and oedema and moderate heterogeneity in function."
"PBMT is quite effective for patients with an ankle sprain. PBMT showed high effect size with a moderate level of evidence on pain intensity. The lack of significant effects of PBMT on function and edema with low level of evidence limit the confidence to the current results and recommend further large high-quality studies with higher PBMT intensity and fluency for standardisation of the irradiation parameters and treatment protocol."</t>
  </si>
  <si>
    <t>Fractionated irradiation in photobiomodulation therapy of ankle sprain.</t>
  </si>
  <si>
    <t>🧑 Human
🎲 Randomized trial
👥 19 participants
⌛ 6 sessions on 3 consecutive days -&gt; 6-week follow-up</t>
  </si>
  <si>
    <t>4.5 +
9.0</t>
  </si>
  <si>
    <t>"Reflectance data analysis showed significant changes in group 1 (p = 0.027). There was also an ankle function score improvement more in group 1 than in group 2, with a significant short-term effect (p = 0.011) but without significant long-term effects (p = 0.178). Compared with group 2, group 1 had an immediate effect on pain reduction, but no long-term effect (p = 0.074)."
"Combined with standard treatment, fractionated irradiation photobiomodulation therapy has been shown to have favorable short-term effects on the recovery of patients with ankle sprains, but its long-term effects should be improved."
Note: This single study seems to have two PubMed entries for some reason, possibly because of a mistake! (The other one: https://www.ncbi.nlm.nih.gov/pubmed/31318750 )</t>
  </si>
  <si>
    <t>de Moraes Prianti</t>
  </si>
  <si>
    <t>Evaluation of the therapeutic effects of led (λ627 ± 10 nm) on the initial phase of ankle sprain treatment: a randomised placebo-controlled clinical trial.</t>
  </si>
  <si>
    <t>🧑 Human
🎲 Randomized trial, sham-controlled
👥 40 participants
⌛ 6 days</t>
  </si>
  <si>
    <t>100
(10p)</t>
  </si>
  <si>
    <t>1.3
cm2</t>
  </si>
  <si>
    <t>1670
(10p)</t>
  </si>
  <si>
    <t>"The group treated with LED showed statistically decreased pain compared to the placebo group in both the VAS (85.79 vs 55.73%) and McGill questionnaire (83.33 vs 52.52%). The reduction of oedema in the LED group on the 3rd and 6th days after therapy was statistically superior to that in the placebo (p &lt; 0.0001). 
Based on the results of this study, treatment with LED, using the tested dose, is effective for pain and oedema in the initial phase of ankle sprains."</t>
  </si>
  <si>
    <t>Cyprus &amp; Greece</t>
  </si>
  <si>
    <t>The use of Bioptron light (polarized, polychromatic, non-coherent) therapy for the treatment of acute ankle sprains</t>
  </si>
  <si>
    <t>🧑 Human
🎲 Randomized trial, sham-controlled
👥 50 participants
⌛ 5 days</t>
  </si>
  <si>
    <t>Cryotherapy vs cryotherapy+PBM
Polychromatic light 🌈</t>
  </si>
  <si>
    <t>254
cm2
spot</t>
  </si>
  <si>
    <t>"The test group showed the largest magnitude of improvement for all evaluations at treatment five, and the between-group differences observed were statistically significant (p &lt; 0.0005 for each)."
"These data provide preliminary evidence of the efficacy of Bioptron light therapy supplemented with cryotherapy for the treatment of acute ankle sprains; however, larger studies are required to confirm these results."</t>
  </si>
  <si>
    <t>Conforti &amp; Fachinetti</t>
  </si>
  <si>
    <t>Muscles Ligaments Tendons J</t>
  </si>
  <si>
    <t>High power laser therapy treatment compared to simple segmental physical rehabilitation in whiplash injuries (1° and 2° grade of the Quebec Task Force classification) involving muscles and ligaments</t>
  </si>
  <si>
    <t>🧑 Human
🎲 Randomized trial
👥 135 participants
⌛ 6 weeks</t>
  </si>
  <si>
    <t>780
(?)</t>
  </si>
  <si>
    <t>5/week
for 6 weeks
(??)</t>
  </si>
  <si>
    <t>"Final VAS score was 20 for [PBM group] and 34.8 for [control group] (...) Patients of [PBM group] were able to go back to work after 54.2 days from the accident, versus 82.0 days for [control group]"
Comment: Great results, but the parameters are very inadequately (and strangely) reported...</t>
  </si>
  <si>
    <t>Device: "HPLT- FP3 System®. It’s a class IV laser therapy, which main characteristics are: Pins. = 12,0 Watt ± 10%, power density measured on the skin up to P = 6,5 Watt/cm2 ± 10%, triple wavelength radiations included in the therapeutic window: λ= 780 ÷ 1100 nm"</t>
  </si>
  <si>
    <t>Stergioulas A</t>
  </si>
  <si>
    <t>Greece
(Attica)</t>
  </si>
  <si>
    <t>Low-level laser treatment can reduce edema in second degree ankle sprains.</t>
  </si>
  <si>
    <t>🧑 Human
🎲 Randomized trial, double-blind
👥 47 participants
⌛ 3 days</t>
  </si>
  <si>
    <t>"A three by three repeated measures ANOVA with a follow up post hoc test revealed that the group treated with the RICE and an 820-nm GaA1As diode laser presented a statistically significant reduction in the volume of the edema after 24 h (40.3 +/- 2.4 mL, p &lt; 0.01), 48 h (56.4 +/- 3.1 mL, p &lt; 0.002), and 72 h (65.1 +/- 4.4 mL, p &lt; 0.001)."</t>
  </si>
  <si>
    <t>de Bie</t>
  </si>
  <si>
    <t>Netherlands
(Maastricht)</t>
  </si>
  <si>
    <t>Low-level laser therapy in ankle sprains: a randomized clinical trial.</t>
  </si>
  <si>
    <t>🧑 Human
🎲 Randomized trial, double-blind
👥 217 participants
⌛ 4-week treatment -&gt; 1-year follow-up</t>
  </si>
  <si>
    <t>Uniphy Phyaction 740 device
PBM-related harm (placebo better than active)</t>
  </si>
  <si>
    <t>1000
1000
(?)</t>
  </si>
  <si>
    <t>0.5
5.0</t>
  </si>
  <si>
    <t>1
cm2
area</t>
  </si>
  <si>
    <t>200
200
(?)</t>
  </si>
  <si>
    <t>12
12
/ 4 weeks</t>
  </si>
  <si>
    <t>"Neither high- nor low-dose laser therapy is effective in the treatment of lateral ankle sprains."
Comment: This is one of the few studies where placebo fared better than the active group. Although, the actual differences are mostly extremely small between the groups.</t>
  </si>
  <si>
    <t>Synergist ablation</t>
  </si>
  <si>
    <t>Infrared Laser Improves Collagen Organization in Muscle and Tendon Tissue During the Process of Compensatory Overload.</t>
  </si>
  <si>
    <t>9.6</t>
  </si>
  <si>
    <t>"Infrared laser irradiation induces an improvement in collagen organization in tendons and a reduction in the total area of collagen in muscles during compensatory atrophy following the ablation of synergist muscles."</t>
  </si>
  <si>
    <t>Russia
(Nighny Novgorod)</t>
  </si>
  <si>
    <t>Modification in oxidative processes in muscle tissues exposed to laser- and light-emitting diode radiation.</t>
  </si>
  <si>
    <t>980
laser
640
LED</t>
  </si>
  <si>
    <t>"High-intensity red and infrared laser radiation provokes oxidative stress in the treated skeletal muscles. The processes of protein oxidative molecular modifications develop for more than 3 days after the event of irradiation. Low-intensity red wide-band light treatments of the affected zone of the muscle tissues lead to the statistically significant restoration of the oxidative process level and a subsequent therapeutic effect in the thigh muscle."</t>
  </si>
  <si>
    <t>Bengtson</t>
  </si>
  <si>
    <t>Indian J Dent Res</t>
  </si>
  <si>
    <t>Histological and radiographic evaluation of the muscle tissue of rats after implantation of bone morphogenic protein (rhBMP-2) in a scaffold of inorganic bone and after stimulation with low-power laser light.</t>
  </si>
  <si>
    <t>"The present study histologically and radiologically evaluates the muscle tissue of rats after implantation of bone morphogenic protein (rhBMP-2) in a natural inorganic bone mineral scaffold from a bull calf femur and irradiation with low-power light laser."
"Under these conditions, the inductive capacity of rhBMP-2 for cell differentiation was inhibited. There was a slight acceleration in tissue healing in the group that received irradiation with low-power laser light."</t>
  </si>
  <si>
    <t>Nervous system</t>
  </si>
  <si>
    <t>Acromegaly-related neuropathy</t>
  </si>
  <si>
    <t>Newton &amp; Marshall</t>
  </si>
  <si>
    <t>Effects of anodyne treatment on local blood flow and cutaneous sensation of the foot in a patient with peripheral neuropathy secondary to acromegaly</t>
  </si>
  <si>
    <t>🧑 Human
📄 Case report
⌛ 5-week treatment --&gt; 3-week follow-up</t>
  </si>
  <si>
    <t>"We report here of a 48-year-old male with a defined diagnosis of acromegaly and surgical excision of a pituitary adenoma 20 years ago. Recently he reports feet stepping on, and not feeling, objects under foot and balance problems starting 10 years ago. This study used a single-subject A-B-A design to show that behavioral changes are evident only in the presence of an intervention."</t>
  </si>
  <si>
    <t>Amyotrophic lateral sclerosis (ALS)</t>
  </si>
  <si>
    <t>Biomedicine (Taipei)</t>
  </si>
  <si>
    <t>A brief literature review of low-level laser therapy for treating amyotrophic lateral sclerosis and confirmation of its effectiveness</t>
  </si>
  <si>
    <t>"Based on the results of several studies and many years of successful experience with low-level laser therapy in Russia we conclude that a LLLT technique, including intravenous laser blood illumination (ILBI), noninvasive laser blood illumination (NLBI), and local exposure, is a promising treatment method for ALS."</t>
  </si>
  <si>
    <t>Moges</t>
  </si>
  <si>
    <t>Light therapy and supplementary Riboflavin in the SOD1 transgenic mouse model of familial amyotrophic lateral sclerosis (FALS)</t>
  </si>
  <si>
    <t>1.4 cm2 spot area</t>
  </si>
  <si>
    <t>"There was no difference in survival between groups. Motor function was not significantly improved with the exception of the rotarod test which showed significant improvement in the Light group in the early stage of the disease. Immunohistochemical expression of the astrocyte marker, glial fibrilary acidic protein, was significantly reduced in the cervical and lumbar enlargements of the spinal cord as a result of LT. There was no difference in the number of motor neurons in the anterior horn of the lumbar enlargement between groups."</t>
  </si>
  <si>
    <t>Autonomic nervous system</t>
  </si>
  <si>
    <t>Shan</t>
  </si>
  <si>
    <t>A System Based on Photoplethysmography and Photobiomodulation for Autonomic Nervous System Measurement and Adjustment</t>
  </si>
  <si>
    <t>Device design and pilot testing (2 participants)</t>
  </si>
  <si>
    <t>LED phototherapy
PBM combined w/ monitoring or imaging: photoplethysmography (PPG)
🎚 Pulsing (10 or 40 Hz, duty cycle 50%)</t>
  </si>
  <si>
    <t>"Many people have high tension when the sympathetic nervous system is hyperactive or low attention when the parasympathetic nervous system is hyperactive. To improve autonomic imbalance, a feasible and integrated system was proposed to measure and affect the ANS status."
"The proposed system consists of a signal-processing module, an LED stimulation module, a photoplethysmography (PPG) sensor and an LCD display. The heart rate variability (HRV) and ANS status can be analyzed from PPG data. To confirm HRV analysis from PPG data, an electrocardiogram (ECG) device was also used to measure HRV..
"Two subjects were tested with the developed system. HRV metrics were discussed in the time domain and frequency domain."
"The test results show that stimulating the Neiguan (PC6) acupoint can inhibit the SNS. In contrast, stimulating the Shenmen (HT7) acupoint can activate the SNS."</t>
  </si>
  <si>
    <t>Brachial plexus injury</t>
  </si>
  <si>
    <t>Photobiomodulation After Neurotization (Oberlin Procedure) in Brachial Plexus Injury: A Randomized Control Trial.</t>
  </si>
  <si>
    <t>🧑 Human
🎲 Randomized trial
👥 14 participants
⌛ 2-week treatment -&gt; 6-month follow-up</t>
  </si>
  <si>
    <t>"After 3 months postoperatively, more patients in the PBM group had demonstrated signs of reinnervation and the mean muscle power was significantly higher in the PBM group. No adverse effects resulted from the administration of PBM."
"PBM is a treatment modality that can improve nerve regeneration after neurotization with the Oberlin Procedure."</t>
  </si>
  <si>
    <t>Ashworth</t>
  </si>
  <si>
    <t>Comparative assessment of phototherapy protocols for reduction of oxidative stress in partially transected spinal cord slices undergoing secondary degeneration.</t>
  </si>
  <si>
    <t>Spinal cord slices
Blue light 🔵
Green light 🟢
Wavelength comparison</t>
  </si>
  <si>
    <t>450
510
660
860</t>
  </si>
  <si>
    <t>"Our results indicate that R/NIR-LT is an effective antioxidant therapy, and indicate that effective wavelengths and ranges of intensities of treatment can be adapted for a variety of CNS injuries and conditions, depending upon the transmission properties of the tissue to be treated."</t>
  </si>
  <si>
    <t>CNS: Bell's palsy</t>
  </si>
  <si>
    <t>Laser acupuncture and photobiomodulation therapy in Bell's palsy with a duration of greater than 8 weeks: a randomized controlled trial</t>
  </si>
  <si>
    <t>🧑 Human
🎲 Randomized trial
👥 84 participants
⌛ 24 weeks</t>
  </si>
  <si>
    <t>"After treatment, House-Brackmann facial nerve grading system (OR, 0.11; 95% CI, 0.04-0.30; P &lt; 0.001), and the pathologic numbers of electroneuronography were statistically different between the laser acupuncture group and control group, including orbicularis oculi (OR,0.08; 95% CI, 0.02-0.21; P &lt; 0.001), Frontalis muscle (OR,0.14; 95% CI, 0.05-0.39; P &lt; 0.001), Orbicularis oris (OR,0.13; 95% CI, 0.04-0.36; P &lt; 0.001), Ala nasi muscle (OR,0.06; 95% CI, 0.02-0.18; P &lt; 0.001)."
"The findings suggest that laser acupuncture relieve symptoms for patients with Bell's palsy with a duration of greater than 8 weeks."</t>
  </si>
  <si>
    <t>CNS: Bell's palsy (and other paralyses)</t>
  </si>
  <si>
    <t>Gjurin</t>
  </si>
  <si>
    <t>Efficacy of 1064 nm Photobiomodulation Dosimetry Delivered with a Collimated Flat-Top Handpiece in the Management of Peripheral Facial Paralysis in Patients Unresponsive to Standard Treatment Care: A Case Series</t>
  </si>
  <si>
    <t>🧑 Human
📄 Case series
👥 3 cases</t>
  </si>
  <si>
    <t>6 cm2</t>
  </si>
  <si>
    <t>Case 1: "The results showed an improvement in facial muscles' functionality (FMF) by week two, whereas significant improvement was observed after 11 weeks of PBM, after which the House-Brackmann grading scale (HBGS) of facial nerve palsy dropped to 8 from 13 prior to the treatment."
Case 2: "Significant improvements in FMF and sustainability over a 6-month follow-up were observed."
Case 3: "By week 12, the patient showed a significant FMF improvement, and by week 20, complete FMF had been restored."</t>
  </si>
  <si>
    <t>A Nonrandomized Trial of the Effects of Near-Infrared Photobiomodulation Therapy on Bell's Palsy with a Duration of Greater Than 8 Weeks</t>
  </si>
  <si>
    <t>🧑 Human
📄 Non-randomized study, controlled
👥 54 participants
⌛ 24 weeks</t>
  </si>
  <si>
    <t>1000+
200</t>
  </si>
  <si>
    <t>8.35</t>
  </si>
  <si>
    <t>"After 6 months, the House-Brackmann grading system [risk difference, -0.59, confidence interval (95% CI), -0.81 to -0.38, relative risk, 0.27, 95% CI, 0.13-0.56, p &lt; 0.001], Sunnybrook facial grading system (21.14, 95% CI, 11.71-30.58; p &lt; 0.001), and FaCE (-0.20, 95% CI, 0.41-0.02; p = 0.07) had significant difference between the two groups."
"Latency of ala nasi muscle (10.92, 95% CI, 5.58-16.27; p &lt; 0.001) was not statistically significant after treatment compared with the control group; however, most of the electrophysiological examinations have significant difference between the two groups, respectively."
"The results of this study suggest that PBMT may relieve symptoms for patients with Bell's palsy with a duration of greater than 8 weeks."</t>
  </si>
  <si>
    <t>Saudi Arabia
(Makkah)</t>
  </si>
  <si>
    <t>Effectiveness of multiwave locked system laser on the treatment of patients with idiopathic Bell's palsy: a randomized double-blind placebo controlled trial</t>
  </si>
  <si>
    <t>🧑 Human
🎲 Randomized trial, double-blind
👥 60 participants
⌛ 6 weeks</t>
  </si>
  <si>
    <t>500+
54</t>
  </si>
  <si>
    <t>500
80</t>
  </si>
  <si>
    <t>10
?</t>
  </si>
  <si>
    <t>50 cm2
area
3.14
cm2
spot size</t>
  </si>
  <si>
    <t>"Scanning technique combined with facial massage and exercises had a more significant effect than the point application group or the placebo group in improving FDI and HBS scores after 3 and 6 weeks of treatment."</t>
  </si>
  <si>
    <t>Shoman</t>
  </si>
  <si>
    <t>ORL J Otorhinolaryngol Relat Spec</t>
  </si>
  <si>
    <t>A Study on the Effect of 850 nm Low-Level Diode Laser versus Electrical Stimulation in Facial Nerve Regeneration for Patients with Bell's Palsy</t>
  </si>
  <si>
    <t>🧑 Human
⚔ Comparison study, sham-controlled
👥 45 participants
⌛ (?)</t>
  </si>
  <si>
    <t>⚔ PBM vs electrical stimulation vs control</t>
  </si>
  <si>
    <t>"There was statistically significant difference between the three groups in favor of the LLLT group regarding the nerve action potential amplitude and latency, in addition to signs of nerve regeneration and improved SBGS."</t>
  </si>
  <si>
    <t>Case Rep Neurol Med</t>
  </si>
  <si>
    <t>"At-Home" Photobiomodulation: A New Approach for Bell's Palsy Treatment</t>
  </si>
  <si>
    <t>🧑 Human
📄 Case report
⌛ 2 weeks (?)</t>
  </si>
  <si>
    <t>4.5
cm2
irradiated
area</t>
  </si>
  <si>
    <t>2/day
for
2 weeks
(?)</t>
  </si>
  <si>
    <t>"Two weeks after PBM treatment, performed at home twice a day by the patient herself without any kind of pharmacological therapy, the complete disappearing of the disease was noticed with no side effects."</t>
  </si>
  <si>
    <t>Device: B-Cure Laser Pro (Good Energies Ltd., Haifa, Israel)</t>
  </si>
  <si>
    <t>Ton</t>
  </si>
  <si>
    <t>China
(Taichung)</t>
  </si>
  <si>
    <t>Effects of Laser Acupuncture Therapy for Patients With Inadequate Recovery From Bell's Palsy: Preliminary Results From Randomized, Double-Blind, Sham-Controlled Study</t>
  </si>
  <si>
    <t>🧑 Human
🎲 Randomized trial, sham-controlled
👥 17 participants
⌛ 6 weeks</t>
  </si>
  <si>
    <t>0.03
cm2
probe
aperture</t>
  </si>
  <si>
    <t>"A significant difference was shown in the HB score (P=0.0438) between baseline and week 3 and borderline significance was observed in both SB and stiffness scores from baseline to week 6 (P=0.0598 and P=0.0980 respectively). There was no significant difference in the FDI score between baseline and week 6."</t>
  </si>
  <si>
    <t>Pasquale</t>
  </si>
  <si>
    <t>Recovery from Idiopathic Facial Paralysis (Bell’s Palsy) Using Photobiomodulation in Patients Non-Responsive to Standard Treatment: A Case Series Study</t>
  </si>
  <si>
    <t>🧑 Human
📄 Single-arm trial
👥 14 participants
⌛ 6-20 sessions (every 2 days) -&gt; follow-up at 12 months</t>
  </si>
  <si>
    <t>every
2
days
until
resolution</t>
  </si>
  <si>
    <t>"Eleven patients out of 14, who experienced BP a maximum of 6 months, completely recovered through PBM. The three patients that did not show improvement were those who had experienced BP for years."</t>
  </si>
  <si>
    <t>Kandakurti</t>
  </si>
  <si>
    <t>United Arab Emirates
(Ajman)</t>
  </si>
  <si>
    <t>Int J Surg Protoc</t>
  </si>
  <si>
    <t>The effectiveness of low-level laser therapy combined with facial expression exercises in patients with moderate-to-severe Bell's palsy: A study protocol for a randomised controlled trial</t>
  </si>
  <si>
    <t>"Based on the dearth of evidence for the effective treatment of moderate to severe bell's palsy, we framed a most appropriate LLLT dosage along with facial expression exercises. Our study's intervention protocol designed with equal duration and number of interventions for all three groups."</t>
  </si>
  <si>
    <t>Aghamohamdi</t>
  </si>
  <si>
    <t>The Efficacy of Low-Level Laser Therapy in the Treatment of Bell's Palsy in Diabetic Patients</t>
  </si>
  <si>
    <t>🧑 Human
📄 Single-arm trial
👥 30 participants
⌛ 1-month treatment / 3-month study</t>
  </si>
  <si>
    <t>830 or 980 (??)</t>
  </si>
  <si>
    <t>"In the present study, 30 cases with poorly controlled diabetes mellitus (18 females and 12 males) were studied. After 12 sessions of low-level laser therapy (LLLT), we could observe complete recovery in 18 patients and partial recovery in 6 patients after 3 months."</t>
  </si>
  <si>
    <t>Rodriguez</t>
  </si>
  <si>
    <t>Photobiomodulation Therapy to Treat Facial Paralysis of 8 Years: Case Report</t>
  </si>
  <si>
    <t>🧑 Human
📄 Case report
⌛ 8 weeks</t>
  </si>
  <si>
    <r>
      <rPr>
        <sz val="6.0"/>
      </rPr>
      <t xml:space="preserve">"The House-Brackmann and electroneuromyography tests showed improvements in the movement of the facial muscles when tested in the middle and at the end of the treatment with LLL."
Note: </t>
    </r>
    <r>
      <rPr>
        <i/>
        <sz val="6.0"/>
      </rPr>
      <t>The facial paralysis in this case might not be related to Bell's Palsy. Categorized to the Bell's Palsy section in the spreadsheet because of probable similarity between the conditions.</t>
    </r>
  </si>
  <si>
    <t>Javaherian</t>
  </si>
  <si>
    <t>Efficacy of low-level laser therapy on management of Bell's palsy: a systematic review.</t>
  </si>
  <si>
    <t>"Four studies (out of 259) had met our inclusion criteria involving 171 patients and were entered to the systematic review. Full texts of the selected studies were retrieved and critically appraised using Physiotherapy Evidence Database (PEDro) scale. The patients of all trials were in sub-acute (less than 1 week) stage.
Both of LLLT and control groups showed significant improvement after trials. Two authors reported significant differences between the groups after 6 weeks of laser application (830 nm, 100 mW). In converse, two other authors did not identify any effectiveness following 4 weeks and 15 days of LLLT application with 670 and 830 nm wavelength, sequentially.
There is clear lack of information lead to get and evidence-based suggestion for the LLLT application on Bells' palsy; however, the LLLT irradiation with 830 nm and 100 mW power for a period of 6 weeks might be beneficial on recovery for the patients with sub-acute Bell's palsy. There were no reported adverse effects during treatment and/or follow-up sessions."</t>
  </si>
  <si>
    <t>Tanganeli</t>
  </si>
  <si>
    <t>Case Rep Dent</t>
  </si>
  <si>
    <t>Complete and Fast Recovery from Idiopathic Facial Paralysis Using Laser-Photobiomodulation.</t>
  </si>
  <si>
    <t>🧑 Human
📄 Case report
⌛ ~1.5 years</t>
  </si>
  <si>
    <t>33
(10p)</t>
  </si>
  <si>
    <t>100
(10p)</t>
  </si>
  <si>
    <t>5 sessions every 24h -&gt; two weekly sessions until remission)</t>
  </si>
  <si>
    <t>"After the fifth session, the patient's recovery was remarkable, and she was both cooperative and satisfied. It should be pointed out that no other form of therapy was performed."
Comment: The reported power output (100 mW) and energy per point (3.3 J from 10 seconds of irradiation) do not match. With 100 mW output, 10 seconds of irradiation should only yield 1 joule of energy, not 3.3 joules.</t>
  </si>
  <si>
    <t>Efficacy of laser acupuncture for patients with chronic Bell's palsy: A study protocol for a randomized, double-blind, sham-controlled pilot trial.</t>
  </si>
  <si>
    <t>Poloni</t>
  </si>
  <si>
    <t>Brazil (Alfenas)</t>
  </si>
  <si>
    <t>Int J Paediatr Dent</t>
  </si>
  <si>
    <t>Bell's palsy treated with photobiomodulation in an adolescent: Rare case report and review of the published literature</t>
  </si>
  <si>
    <t>🧑 Human
📄 Case report
⌛ 3 years</t>
  </si>
  <si>
    <t>13 year old girl</t>
  </si>
  <si>
    <t>"The patient presented complete regression of paralysis, improvement of speech and chewing, and absence of muscular pain."
"Photobiomodulation was effective to treat Bell's palsy in a pediatric patient, being a true noninvasive approach and with no side effects, although there is still no established definitive protocol."</t>
  </si>
  <si>
    <t>Ordahan &amp; Karahan</t>
  </si>
  <si>
    <t>Role of low-level laser therapy added to facial expression exercises in patients with idiopathic facial (Bell's) palsy.</t>
  </si>
  <si>
    <t>🧑 Human
🎲 Randomized trial
👥 46 participants
⌛ 6 weeks</t>
  </si>
  <si>
    <t>Facial exercise+LLLT</t>
  </si>
  <si>
    <t>10
(to 8p)</t>
  </si>
  <si>
    <t>"Improvements in FDI scores were significantly greater at weeks 3 and 6 in the laser group than those in the exercise group (p &lt; 0.05). Our findings indicate that combined treatment with low-level laser therapy (LLLT) and exercise therapy is associated with significant improvements in FDI when compared with exercise therapy alone."
Comment: Not sure whether the follow-up weeks 3 and 6 are during the 6-week PBM treatment regimen or after it.</t>
  </si>
  <si>
    <t>Ng &amp; Chu</t>
  </si>
  <si>
    <t>Treatment of Bell's Palsy Using Monochromatic Infrared Energy: A Report of 2 Cases.</t>
  </si>
  <si>
    <t>🧑 Human
📄 Case series
👥 2 cases
⌛ 6 weeks &amp; 9 months</t>
  </si>
  <si>
    <t>Bell's palsy
MIRE treatment with "Anodyne" LED pad device
LED phototherapy</t>
  </si>
  <si>
    <t>19
45</t>
  </si>
  <si>
    <t>"The acute case received 19 treatments in 6 weeks. He reported an improvement of 95%. The chronic case received a total of 45 treatments in 9 months. She rated an improvement of 50%."
"These 2 patients seemed to respond to a different degree to the MIRE therapy. As 71% of patients with Bell's palsy recover uneventfully without any treatment, the present study describes the course of care but cannot confirm the effectiveness of MIRE therapy in the management of Bell's palsy."</t>
  </si>
  <si>
    <t>Efficacy of high and low level laser therapy in the treatment of Bell's palsy: a randomized double blind placebo-controlled trial.</t>
  </si>
  <si>
    <t>🧑 Human
🎲 Randomized trial
👥 48 participants
⌛ 6-week treatment -&gt; 6-week follow-up</t>
  </si>
  <si>
    <t>Bell's palsy
HILT vs LLLT
Wavelength comparison</t>
  </si>
  <si>
    <t>80
80</t>
  </si>
  <si>
    <t>1000
56</t>
  </si>
  <si>
    <t>"The result showed that both HILT and LLLT significantly improved the recovery of patients with Bell's palsy. Moreover, HILT was the most effective treatment modality compared to LLLT and massage with exercises."
Comment: In this study it seems there is 6-week treatment and then a 6-week follow-up period and the measurements are on the 3th and 6th week of the follow-up period (?).</t>
  </si>
  <si>
    <t>Rubis</t>
  </si>
  <si>
    <t>USA
(Joliet, IL)</t>
  </si>
  <si>
    <t>Chiropractic management of Bell palsy with low level laser and manipulation: a case report.</t>
  </si>
  <si>
    <t>🧑 Human
📄 Case report
⌛ 2 PBM sessions -&gt; 4-year follow-up</t>
  </si>
  <si>
    <t>476
(?)</t>
  </si>
  <si>
    <t>"The patient was treated with low-level laser therapy and chiropractic manipulation 2 times in 4 days. The laser was applied along the course of the facial nerve for 30 seconds at each point and for 1 minute at the stylomastoid foramen. The laser used was a GaAs class 4 laser with a wavelength of 910 nm. The patient perceived a 70% to 80% improvement of facial movement after the first treatment. After the second treatment, the patient reported full control of his facial movements."</t>
  </si>
  <si>
    <t>Fontana &amp; Bagnato</t>
  </si>
  <si>
    <t>Low-level laser therapy in pediatric Bell's palsy: case report in a three-year-old child.</t>
  </si>
  <si>
    <t>660+
780</t>
  </si>
  <si>
    <t>11
/ 3 weeks</t>
  </si>
  <si>
    <t>"The three-year-old boy recovered completely from BP after 11 sessions of LLLT."</t>
  </si>
  <si>
    <t>A preliminary clinical study comparing the effect of low level laser therapy (LLLT) and corticosteroid therapy in the treatment of facial palsy</t>
  </si>
  <si>
    <t>🧑 Human
📄 Non-randomized study, controlled
👥 24 participants
⌛ ~5-9 weeks on average</t>
  </si>
  <si>
    <t>PBM vs hydrocortisone vs combination
Bell's palsy and Hunt's syndrome</t>
  </si>
  <si>
    <t>36
+
10.8
+
18</t>
  </si>
  <si>
    <t>127.4
+
38.2
+
63.7</t>
  </si>
  <si>
    <t>600
+
180
+
300
(3 areas)</t>
  </si>
  <si>
    <t>"Those patients who had received LLLT showed a very similar overall recovery from the palsy when compared to those treated with corticosteroid, however those patients who had received the combination therapy showed the best recovery in the shortest period. No clinically significant adverse effect resulting from the LLLT was noted. 
Our results suggest that LLLT would be a suitable alternative treatment for those facial palsy patients for whom corticosteroid is not manageable, and furthermore that LLLT would be an ideal adjunctive treatment for those facial palsy patients for whom corticosteroid therapy is manageable."
Comment: No negative control group. The combination group had somewhat faster healing than other groups.</t>
  </si>
  <si>
    <t>Bernal G</t>
  </si>
  <si>
    <t>Costa Rica
(San Jose)</t>
  </si>
  <si>
    <t>Helium Neon And Diode Laser Therapy Is An Effective Adjunctive Therapy For Facial Paralysis</t>
  </si>
  <si>
    <t>🧑 Human
📄 Case series / retrospective data
👥 17 cases</t>
  </si>
  <si>
    <t>15
+
?</t>
  </si>
  <si>
    <t>d = 0.8 mm</t>
  </si>
  <si>
    <t>4/week</t>
  </si>
  <si>
    <t>"Based on our experience, the patients who are more inclined to attend treatment sessions are those who have been suffering from paralysis for more that a month and who have submitted to other kinds of treatments with negative results. They were even offered surgery. For these patients, we have required up to a maximum of 30 sessions and we have achieved 100% recovery, even with patients who have had the lesion for three or six months.
Patients who attended therapy within two weeks after suffering the paralysis recovered 100% with no additional medication-only laser therapy. With these patients we needed a maximum of 15 sessions.
LLLT is presented as a safe, noninvasive, easy to apply and comparatively side-effect-free modality offering a complementary and effective tool in the treatment of facial paralysis."</t>
  </si>
  <si>
    <t>Murakami</t>
  </si>
  <si>
    <t>Diode low reactive level laser therapy and stellate ganglion block compared in the treatment of facial palsy</t>
  </si>
  <si>
    <t>🧑 Human
📄 Non-randomized study
👥 52 cases
⌛ Follow-up of 30+ days</t>
  </si>
  <si>
    <t>PBM vs stellate ganglion block vs both</t>
  </si>
  <si>
    <t>"Those patients who received only LLLT or the combination of LLLT with SGB showed a similar overall recovery from the paralysis compared to those treated with SGB alone. The group who received LLLT only also demonstrated a slightly better initial improvement in paralysis scores. No serious side effects were reported in the LLLT group, Taking the above data into consideration, the authors recommend diode laser therapy as a suitable single or adjunctive therapy for facial paralysis which is relatively easy and painless to apply, requires less technical skill, compared with SGB, and has no side-effects."</t>
  </si>
  <si>
    <t>CNS injury</t>
  </si>
  <si>
    <t>Sensory-motor and cardiorespiratory sensory rehabilitation associated with transcranial photobiomodulation in patients with central nervous system injury: Trial protocol for a single-center, randomized, double-blind, and controlled clinical trial.</t>
  </si>
  <si>
    <t>Cranial nerves: Facial nerve (repair with biopolymer)</t>
  </si>
  <si>
    <t>de Souza Bueno</t>
  </si>
  <si>
    <t>Delayed repair of the facial nerve and its negative impacts on nerve and muscle regeneration</t>
  </si>
  <si>
    <t>2.32</t>
  </si>
  <si>
    <t>93.02</t>
  </si>
  <si>
    <t>0.043 cm2 beam area</t>
  </si>
  <si>
    <t>once per week</t>
  </si>
  <si>
    <t>"We demonstrated that delayed repair of BBFN is possible with HFB, but with worse results compared to immediate repair, and that PBM has a positive influence on nerve regeneration results in immediate repair."</t>
  </si>
  <si>
    <t>Cranial nerves: Facial nerve</t>
  </si>
  <si>
    <t>Pharmaceuticals (Basel)</t>
  </si>
  <si>
    <t>Morphofunctional Improvement of the Facial Nerve and Muscles with Repair Using Heterologous Fibrin Biopolymer and Photobiomodulation</t>
  </si>
  <si>
    <t>12
(3 points)</t>
  </si>
  <si>
    <t>120
(3 points)</t>
  </si>
  <si>
    <t>"We show that HFB and PBM had positive effects on the morphological and functional stimulation of the buccal branch of the facial nerve, being an alternative and favorable for the regeneration of severe injuries."</t>
  </si>
  <si>
    <t>Er-Rouassi</t>
  </si>
  <si>
    <t>Efficacy of LED Photobiomodulation for Functional and Axonal Regeneration After Facial Nerve Section-Suture</t>
  </si>
  <si>
    <t>32
(?)</t>
  </si>
  <si>
    <t>"We found that whisker movements recovery was significantly faster in treated than in control mice. 
A complete disappearance of nasal deviation was observed at 2 weeks in infrared-treated lesioned mice and at 5 weeks in controls. 
Complete eyelid closure was observed 3 weeks after surgery in treated animals and 6 weeks after surgery in controls. 
Finally, normal fluorogold labeling of the facial nuclei complex was restored 30 days after surgery in the treated animals, but no such restoration was ever observed in control animals."</t>
  </si>
  <si>
    <t>Photobiomodulation at a wavelength of 633 nm leads to faster functional recovery than 804 nm after facial nerve injury</t>
  </si>
  <si>
    <t>Wavelengths comparison</t>
  </si>
  <si>
    <t>633
780
804</t>
  </si>
  <si>
    <t>"Injured rats treated with 633-nm light had better facial palsy scores, larger axon diameter and higher expression of Schwann cells compared with the [facial nerve damage] group. No positive results were observed in rats irradiated at 804-nm light."</t>
  </si>
  <si>
    <t>Li &amp; Wang</t>
  </si>
  <si>
    <t>Photobiomodulation enhances facial nerve regeneration via activation of PI3K/Akt signaling pathway-mediated antioxidant response</t>
  </si>
  <si>
    <t>0.89
1.77
3.54</t>
  </si>
  <si>
    <t>26.5
53
106</t>
  </si>
  <si>
    <t>"The results showed that photobiomodulation improved axonal regeneration and functional recovery, and also promoted proliferation, and inhibited apoptosis of SCs, both of these were considered as the most effective parameters in 250mW group. In addition, the neuroprotective effects of photobiomodulation (500mW) were likely associated with oxidative stress-induced SC apoptosis via activation of the PI3K/Akt signaling pathway."</t>
  </si>
  <si>
    <t>Yuca</t>
  </si>
  <si>
    <t>The efficiency of ozone therapy and low-level laser therapy in rat facial nerve injury.</t>
  </si>
  <si>
    <t>"Although the LLLT group revealed a better healing process than the control group, the outcome was not statistically significant in terms of branching of nerve fibers (p = 0.6804), nerve fiber diameters (p = 0.7424), nerve fiber areas (p = 0.7048), and axon numbers (p = 0.7588)."</t>
  </si>
  <si>
    <t>Stimulation of morphofunctional repair of the facial nerve with photobiomodulation, using the end-to-side technique or a new heterologous fibrin sealant.</t>
  </si>
  <si>
    <t>0.26</t>
  </si>
  <si>
    <t>2.16</t>
  </si>
  <si>
    <t>"A statistically significant difference was observed in the fiber nerve area between the EFG and EFLG (57.49±3.13 and 62.52±3.56μm2, respectively). For the area of the axon, fiber diameter, axon diameter, myelin sheath area and myelin sheath thickness no statistically significant differences were found (p&lt;0.05). The functional recovery of whisker movement occurred faster in the ESLG and EFLG, which were associated with PBMT, with results closer to the CG. Therefore, PBMT accelerated morphological and functional nerve repair in both techniques."</t>
  </si>
  <si>
    <r>
      <rPr>
        <b/>
        <color rgb="FF980000"/>
        <sz val="9.0"/>
      </rPr>
      <t xml:space="preserve">★
</t>
    </r>
    <r>
      <rPr>
        <b/>
        <color rgb="FF980000"/>
        <sz val="6.0"/>
      </rPr>
      <t>📷</t>
    </r>
  </si>
  <si>
    <t>Efficacy of Laser Photobiomodulation on Morphological and Functional Repair of the Facial Nerve.</t>
  </si>
  <si>
    <t>n. facialis</t>
  </si>
  <si>
    <t>0.116
spot</t>
  </si>
  <si>
    <t>tri</t>
  </si>
  <si>
    <t>"Laser therapy resulted in a significant increase in the number and density of regenerated axons. The LSEG and LFEG presented better scores in functional analysis in comparison with the SEG and FEG."
"LLLT enhanced axonal regeneration and accelerated functional recovery of the whiskers, and both repair techniques allowed the growth of axons."</t>
  </si>
  <si>
    <t>The new heterologous fibrin sealant in combination with low-level laser therapy (LLLT) in the repair of the buccal branch of the facial nerve.</t>
  </si>
  <si>
    <t>72
(3p)</t>
  </si>
  <si>
    <t>"LLLT exhibited satisfactory results on facial nerve regeneration, being therefore a useful technique to stimulate axonal regeneration process."</t>
  </si>
  <si>
    <t>Snyder</t>
  </si>
  <si>
    <t>Quantitation of calcitonin gene-related peptide mRNA and neuronal cell death in facial motor nuclei following axotomy and 633 nm low power laser treatment.</t>
  </si>
  <si>
    <t>Axotomy</t>
  </si>
  <si>
    <t>"These findings demonstrate that 633 nm laser light upregulates CGRP mRNA and support the theory that laser irradiation increases the rate of regeneration, target reinnervation, and neuronal survival of the axotomized neuron."</t>
  </si>
  <si>
    <t>Low power laser irradiation alters the rate of regeneration of the rat facial nerve.</t>
  </si>
  <si>
    <t>Nerve injury
n. facialis
Wavelength comparison</t>
  </si>
  <si>
    <t>361
457
514
633
720
1064</t>
  </si>
  <si>
    <t>8.5
-
40</t>
  </si>
  <si>
    <t>780
-
7200</t>
  </si>
  <si>
    <t>7
-
9</t>
  </si>
  <si>
    <t>"The most effective laser parameters for the low power treatment included daily irradiation with a helium-neon (HeNe) or argon pumped tunable dye laser a wavelength of 633 nm, with a power of 8.5 mW for 90 minutes (45.9 J, 162.4 J/cm2)."
"These data indicate that transcutaneous low power irradiation with the lasers and parameters involved in this study increased the rate of regeneration of rat facial nerve following crush injury."</t>
  </si>
  <si>
    <t>Cranial nerves: Zygomatic trauma</t>
  </si>
  <si>
    <t>Bashiri</t>
  </si>
  <si>
    <t>The effect of delayed photobiomodulation on neurosensory disturbance recovery after zygomatic trauma: A parallel controlled clinical trial</t>
  </si>
  <si>
    <t>🧑 Human
📄 Single-arm (2 subgroups)
👥 71 participants (36 cases, 35 ctrls)
⌛ 6-week treatment -&gt; 3-month follow-up</t>
  </si>
  <si>
    <t>"In this study, Photobiomodulation with a wavelength of 810 nm and energy density of 27 J/cm2 accelerated the improvement of VAS scale general sensibility, pain discrimination, and two-point discrimination in patients with ZMC fractures with a sustained neural disturbance. "
Comment: The changes in symptom scores seem almost identical in both groups. I'm not sure whether the effect is real, even though the authors claim the result is positive.</t>
  </si>
  <si>
    <t>Degenerative Myelopathy</t>
  </si>
  <si>
    <t>Miller</t>
  </si>
  <si>
    <t>USA
(New Castle, DE)</t>
  </si>
  <si>
    <t>Retrospective Observational Study and Analysis of Two Different Photobiomodulation Therapy Protocols Combined with Rehabilitation Therapy as Therapeutic Interventions for Canine Degenerative Myelopathy.</t>
  </si>
  <si>
    <t>904
980</t>
  </si>
  <si>
    <t>0.5
6-12</t>
  </si>
  <si>
    <t>The data reviewed show significantly slower disease progression-longer survival times-for patients in the PTCL-B group [980 nm, 6-12 W] than those in the PTCL-A group [904 nm, 0.5 W] or published historical data.</t>
  </si>
  <si>
    <t>Diabetic neuropathy</t>
  </si>
  <si>
    <t>Korada</t>
  </si>
  <si>
    <t>Curr Diabetes Rev</t>
  </si>
  <si>
    <t>Effectiveness of Photobiomodulation Therapy on Neuropathic Pain, Nerve Conduction and Plantar Pressure Distribution in Diabetic Peripheral Neuropathy - A Systematic Review</t>
  </si>
  <si>
    <t>"This systematic review included eight studies in which photobiomodulation therapy showed improvement in neuropathic pain and nerve conduction velocity. It also reduces plantar pressure distribution, which is a high risk for developing foot ulcers."
"We conclude that photobiomodulation therapy is an effective, non-invasive, and costefficient means to improve neuropathic pain and altered plantar pressure distribution in diabetic peripheral neuropathy."</t>
  </si>
  <si>
    <t>Ebadi</t>
  </si>
  <si>
    <t>Effects of Photobiomodulation With Two Wavelengths of 630 and 810 nm on Diabetic Neuropathy</t>
  </si>
  <si>
    <t>🧑 Human
📄 Single arm study (see comments)
👥 30 participants (LLLT group)
⌛ 4 weeks</t>
  </si>
  <si>
    <t>Pulsing (35 Hz, 7% duty cycle)</t>
  </si>
  <si>
    <t>630+
819</t>
  </si>
  <si>
    <t>32.08</t>
  </si>
  <si>
    <t>0.196
cm2
spot
area</t>
  </si>
  <si>
    <t>"This study showed that the visible and infra-red LLLT significantly improved the symptoms of diabetic neuropathy without any side effects.2
Comment: The paper claims this is a randomized study, but since the results of control group are not shown and full text only contains pre-post analyses of PBM group, I describe the paper as a single-arm study including 30 participants (would be 60  if control group is included too).</t>
  </si>
  <si>
    <t>Anti-hyperalgesic effects of photobiomodulation therapy (904 nm) on streptozotocin-induced diabetic neuropathy imply MAPK pathway and calcium dynamics modulation</t>
  </si>
  <si>
    <t>0.001
cm2
output
1 cm2
treated
area</t>
  </si>
  <si>
    <t>29
/point</t>
  </si>
  <si>
    <t>"We verified the pain relief potential of PBMT in streptozotocin (STZ)-induced diabetic neuropathic rats and its influence on the MAPK pathway regulation and calcium (Ca2+) dynamics. We then observed that PBMT applied to the L4-L5 dorsal root ganglion (DRG) region reduced the intensity of hyperalgesia, decreased TNF-α and IL-1β levels, and p38-MAPK mRNA expression in DRG of diabetic neuropathic rats. 
DN induced the activation of phosphorylated p38 (p-38) MAPK co-localized with TRPV1+ neurons; PBMT partially prevented p-38 activation."</t>
  </si>
  <si>
    <t>Low level light therapy/photobiomodulation for diabetic peripheral neuropathy: protocol of a systematic review and meta-analysis</t>
  </si>
  <si>
    <t>Study protocol (for a systematic review)</t>
  </si>
  <si>
    <t>10.6-μm infrared laser as adjuvant therapy for diabetic peripheral neuropathy: study protocol for a double-blind, randomized controlled trial</t>
  </si>
  <si>
    <t>Karkada</t>
  </si>
  <si>
    <t>Cell Biochem Biophys</t>
  </si>
  <si>
    <t>Effect of Photobiomodulation Therapy on Oxidative Stress Markers in Healing Dynamics of Diabetic Neuropathic Wounds in Wistar Rats</t>
  </si>
  <si>
    <t>655+
808</t>
  </si>
  <si>
    <t>"Photobiomodulation therapy of dosage 4 J/cm2 enhanced the overall wound healing dynamics of the diabetes-induced neuropathic wound and optimised the oxidative status of the wound, thereby facilitating a faster healing process."</t>
  </si>
  <si>
    <t>Syst Rev</t>
  </si>
  <si>
    <t>Effectiveness and safety of low-level laser therapy in diabetic peripheral neuropathy: a protocol for a systematic review and meta-analysis</t>
  </si>
  <si>
    <t>"This study will integrate RCTs and analyze data to provide a detailed summary of the evidence relating to the effects and safety of LLLT in patients with DPN. LLLT will be compared with sham LLLT, no (specific) treatment, or active conventional medical treatments, especially in terms of neurological function, quality of life, and adverse events. In conclusion, this systematic review will generate evidence regarding the use of LLLT to treat DPN, in terms of both its efficacy and safety."</t>
  </si>
  <si>
    <t>Effect of photobiomodulation on mitochondrial dynamics in peripheral nervous system in streptozotocin-induced type 1 diabetes in rats</t>
  </si>
  <si>
    <t>6.23</t>
  </si>
  <si>
    <t>"In conclusion, our data demonstrate that photobiomodulation exhibits an efective and reliable role in mitochondrial dynamics through the modulation of mitofusin-2 and dynamin-related protein 1 in an animal model of diabetic peripheral neuropathy.
According to our results, photobiomodulation may protect dorsal root ganglia neurons and peripheral nerve fbers from the deleterious efects of chronic hyperglycemia. Photobiomodulation may have the ability to restore the balance between mitochondrial fusion and fssion in the DRG neurons in a toxic environment (hyperglycemia)."</t>
  </si>
  <si>
    <t>Anju</t>
  </si>
  <si>
    <t>Diabetes Metab Syndr</t>
  </si>
  <si>
    <t>Effect of Photobiomodulation on Serum Neuron Specific Enolase (NSE) Among Patients With Diabetic Peripheral Neuropathy - A Pilot Study</t>
  </si>
  <si>
    <t>🧑 Human
📄 Single-arm trial
👥 50 participants
⌛ 10-day treatment / 4-week study</t>
  </si>
  <si>
    <t>633+
660+
850</t>
  </si>
  <si>
    <t xml:space="preserve">10
/ 10 days
</t>
  </si>
  <si>
    <t>"A significant reduction in serum NSE levels (0.006) after 4 weeks of laser therapy was observed in 42 patients when compared with baseline. A significant reduction in the vibration perception threshold (p = 0.003) and Numeric pain rating scale (p = 0.004) were observed."
Comment: Dose parameters very insufficiently reported (only in abstract).</t>
  </si>
  <si>
    <t>da Silva Leal</t>
  </si>
  <si>
    <t>Effect of Modified Laser Transcutaneous Irradiation on Pain and Quality of Life in Patients with Diabetic Neuropathy.</t>
  </si>
  <si>
    <t>🧑 Human
🎲 Randomized trial, sham-controlled
👥 30 participants
⌛ Three 10-day treatment phases with 20-day intervals between phases</t>
  </si>
  <si>
    <t>ILIB vs sham ILIB vs control</t>
  </si>
  <si>
    <t>1.666</t>
  </si>
  <si>
    <t>10
/ 10 days
thrice
with
20-day
interval
between
the stages</t>
  </si>
  <si>
    <t>"The ILIB group presented significantly lower pain levels and a better quality of life compared with the control and SILIB groups."</t>
  </si>
  <si>
    <t>Chatterjee</t>
  </si>
  <si>
    <t>Effect of deep tissue laser therapy treatment on peripheral neuropathic pain in older adults with type 2 diabetes: a pilot randomized clinical trial.</t>
  </si>
  <si>
    <t>🧑 Human
🎲 Randomized trial, sham-controlled
👥 40 participants
⌛ 12 weeks</t>
  </si>
  <si>
    <t>Systemic effects (cytokines measured --&gt; no clear effects)</t>
  </si>
  <si>
    <t>8
/ 4 weeks
-&gt;
8
/ 8 weeks</t>
  </si>
  <si>
    <t>"Deep tissue laser therapy significantly reduced pain and improved the quality of life of older patients with painful diabetic peripheral neuropathy."</t>
  </si>
  <si>
    <t>Raman spectroscopy of dorsal root ganglia from streptozotocin (STZ)-induced diabetic neuropathic rats submitted to photobiomodulation therapy.</t>
  </si>
  <si>
    <t>2.03</t>
  </si>
  <si>
    <t>0.001
cm2
beam
1
cm2
area</t>
  </si>
  <si>
    <t>"DRG from hyperalgesic rats showed an increased normalized intensity of 2704 cm-1, 2850 cm-1, 2885 cm-1, and 3160 cm-1. These same peaks had their normalized intensity reduced after PBMT treatment, accompanied by an antihyperalgesic effect."</t>
  </si>
  <si>
    <t>Effect of Low Level Laser Therapy on serum vitamin D and magnesium levels in patients with diabetic peripheral neuropathy - A pilot study.</t>
  </si>
  <si>
    <t>🧑 Human
📄 Single-arm trial
👥 40 participants
⌛ 10-day treatment / 4-week study</t>
  </si>
  <si>
    <t>633
+
660+
850</t>
  </si>
  <si>
    <t>3.1
+
3.4</t>
  </si>
  <si>
    <t>10
/ 10 days
(?)</t>
  </si>
  <si>
    <t>"There was a significant increase in Vitamin D and Magnesium levels after LLLT. We observed a considerable improvement in the quality of life after LLLT demonstrated by a decrease in VPT and MNSI and a reduction in NPRS in DPN patients."
Comment: A single-arm study</t>
  </si>
  <si>
    <t>Diabetes &amp; Metabolic Syndrome: Clinical Research &amp; Reviews</t>
  </si>
  <si>
    <t>Low level laser therapy for the patients with painful diabetic peripheral neuropathy - A systematic review</t>
  </si>
  <si>
    <t>"After the exclusion criteria (duplicate, animal studies, LLLT for treating other neuralgias) 6 studies were included in the study. The outcome measure that were considered were the difference in pain score and nerve conduction velocity test and quality of life questionnaire."
"The evidence obtained shows LLLT has a positive effect in controlling diabetic neuropathic pain."</t>
  </si>
  <si>
    <t>da Silva de Oliveira</t>
  </si>
  <si>
    <t>Photobiomodulation induces antinociception, recovers structural aspects and regulates mitochondrial homeostasis in peripheral nerve of diabetic mice.</t>
  </si>
  <si>
    <t>"PBM induced antinociception in neuropathic-pain mice that was dependent on central opioids release. After 21 consecutive applications, PBM increased nerve growth factor levels and induced structural recovery increasing mitochondrial content and regulating Parkin in the sciatic nerve of [diabetic peripheral neuropathy]-mice."</t>
  </si>
  <si>
    <t>Abdel-Wahhab</t>
  </si>
  <si>
    <t>Appl Biochem Biotechnol</t>
  </si>
  <si>
    <t>Efficiencies of Low-Level Laser Therapy (LLLT) and Gabapentin in the Management of Peripheral Neuropathy: Diabetic Neuropathy.</t>
  </si>
  <si>
    <t>LLLT vs gabapentin
Cholesterol levels</t>
  </si>
  <si>
    <t>24
/8wk</t>
  </si>
  <si>
    <t>"In the current study, the latency of hind-paw lick decreased significantly when DNP are treated with gabapentin or LLLT. The Morris water maze test showed that LLLT treatment improved memory that deteriorated in DNP more than gabapentin do. 
The results of the biochemical study revealed that LLLT could not affect the level of beta-endorphin that decreased in DNP but significantly decreased S100B that rose in DNP. PGE2 and cytokines IL-1β, IL-10, and TNF-α showed significant increase in DNP compared with control group. The gabapentin administration or LLLT application significantly reversed the levels of the mentioned markers towards the normal values of the controls. 
Levels of serum MDA and nitric oxide increased significantly in the DNP but rGSH showed significant decrease. These markers were improved significantly when the DNP were treated with gabapentin or LLLT. 
The treatment with gabapentin or LLLT significantly decreased the raised level in total cholesterol in DNP but could not decrease the elevated level of triglycerides, while LDL cholesterol decreased significantly in DNP treated with gabapentin but not affected by LLLT. 
Values of serum alanine aminotransferase (ALAT), aspartate aminotransferase (ASAT), urea, and creatinine increased significantly in the DPN and diabetic rats without peripheral neuropathy (PN) compared with control group. The treatment of DNP with gabapentin induced significant increases in ALAT and ASAT activities but LLLT treatment induced significant decreases in ALAT and ASAT activities as compared with DNP group. Neither gabapentin nor LLLT could improve the elevated levels of serum urea and creatinine in the DNP. 
It could be concluded that LLLT is more safe and effective than gabapentin in the management of neuropathy in diabetic rats."</t>
  </si>
  <si>
    <t>Fallah</t>
  </si>
  <si>
    <t>Clinical effectiveness of low-level laser treatment on peripheral somatosensory neuropathy.</t>
  </si>
  <si>
    <t>"There are 35 articles among which 10 articles had the intended and required criteria. 1, 3, and 6 articles study the patients with diabetes, neuropathy caused by trauma, and carpal tunnel syndrome, respectively. 
In six studies, laser led to a reduction in sensory impairment and improvement of the physiological function of the sensory nerves. In these articles, lasers (Diode, GaAlAs, He-Ne) had wavelength range 660-860 nm, radiation power 20-250 mW, energy density 0.45-70 J/cm2. The intervention sessions range was 6-21 times and patient follow-up was 0-6 months.
According to the results of these studies, low-level laser therapy can improve sensory function in patients with peripheral somatosensory neuropathy, although little research have not been done, laser treatment regimens are varied and do not recommend a specific treatment protocol. It seems it requires more research to sum up better, particularly in relation to diabetes."</t>
  </si>
  <si>
    <t>Robinson</t>
  </si>
  <si>
    <t>Effects of monochromatic infrared phototherapy in patients with diabetic peripheral neuropathy: a systematic review and meta-analysis of randomized controlled trials.</t>
  </si>
  <si>
    <t>"Of 2549 records identified, six studies met the selection criteria, with 304 patients (594 feet) randomized."
"There was limited evidence that MIRE results in short-term improvement of tactile sensitivity probably not sustained over time. Limited evidence also suggested that MIRE does not provide relief for neuropathic pain. As quality of evidence is low, further studies are likely to change the estimated effect."</t>
  </si>
  <si>
    <t>Cg</t>
  </si>
  <si>
    <t>Efficacy of low level laser therapy on painful diabetic peripheral neuropathy.</t>
  </si>
  <si>
    <t>🧑 Human
📄 Single-arm study
👥 19 participants
⌛ 10 days</t>
  </si>
  <si>
    <t>633
+
660
+
850</t>
  </si>
  <si>
    <t>3.1
3.4</t>
  </si>
  <si>
    <t>"The result analysis showed significant reduction in Pain using VAS scale (6.47 ± 0.84 to 1.21 ± 0.78 (p&lt;0.001), MNSI (5.52 ± 1.26 to 2.71 ± 0.97 (reduction in Vibration perception threshold (32.68 ± 6.08 to 24.84 ± 4.29 (&lt;0.001) and a significant increase in the temperature from baseline to post intervention (30.01 ± 2.11 to 31.75 ± 1.03 (p&lt;0. 001)."
Comment: Parameters were inadequately reported. The article had interesting results but wasn't very well written...
Comment: The first authors surname might be "Kumar" instead of "Cg".</t>
  </si>
  <si>
    <t>Bashiri H</t>
  </si>
  <si>
    <t>Acta Med Iran</t>
  </si>
  <si>
    <t>Evaluation of low level laser therapy in reducing diabetic polyneuropathy related pain and sensorimotor disorders.</t>
  </si>
  <si>
    <t>🧑 Human
📄 Non-randomized study (?)
👥 60 participants
⌛ 4-week treatment -&gt; 4-week follow-up (?)</t>
  </si>
  <si>
    <t>(780?)</t>
  </si>
  <si>
    <t>"Laser therapy resulted in improved neuropathy outcomes in diabetic patients who received it relative to the group that received sham therapy, evaluating before and after LLLT assessments."
Comment: A poorly written paper.</t>
  </si>
  <si>
    <t>Yamany &amp; Sayed</t>
  </si>
  <si>
    <t>J Adv Res</t>
  </si>
  <si>
    <t>Effect of low level laser therapy on neurovascular function of diabetic peripheral neuropathy</t>
  </si>
  <si>
    <t>"Pain was significantly decreased (p ⩽ 0.05) and electrophysiological parameters and foot skin microcirculation were significantly improved (p ⩽ 0.05) in the laser group, while no significant change was obtained in the control group.
Low level laser therapy within the applied parameters and technique could be an effective therapeutic modality in reducing pain and improving neurovascular function in patients with diabetic polyneuropathy."
Comment: The parameters were poorly reported. The other parts of paper seem fine.</t>
  </si>
  <si>
    <t>Nawfar &amp; Yacob</t>
  </si>
  <si>
    <t>Malaysia
(Kota Bharu)</t>
  </si>
  <si>
    <t>Singapore Med J</t>
  </si>
  <si>
    <t>Effects of monochromatic infrared energy therapy on diabetic feet with peripheral sensory neuropathy: a randomised controlled trial.</t>
  </si>
  <si>
    <t>🧑 Human
🎲 Randomized trial, sham-controlled
👥 24 participants (30 feet)
⌛ 12 days</t>
  </si>
  <si>
    <t>12
/ 12 days</t>
  </si>
  <si>
    <t>"No improvement of neuropathy was observed following MIRE treatment in the neuropathic feet of diabetic patients."</t>
  </si>
  <si>
    <t>Khamseh</t>
  </si>
  <si>
    <t>Diabetic distal symmetric polyneuropathy: effect of low-intensity laser therapy.</t>
  </si>
  <si>
    <t>🧑 Human
📄 Single-arm trial
👥 17 participants
⌛ ~3 weeks</t>
  </si>
  <si>
    <t>"At the end of the study, the subjects showed a significant increase in neural potential amplitudes (p &lt; 0.05). This study clearly demonstrated a significant positive effect of LILT on improvement of nerve conduction velocity on diabetic distal symmetric polyneuropathy (DSP)."
Comment: The parameters were insufficiently reported.</t>
  </si>
  <si>
    <t>Swislocki</t>
  </si>
  <si>
    <t>USA
(Martinez, CA)</t>
  </si>
  <si>
    <t>J Pain Symptom Manage</t>
  </si>
  <si>
    <t>A randomized clinical trial of the effectiveness of photon stimulation on pain, sensation, and quality of life in patients with diabetic peripheral neuropathy.</t>
  </si>
  <si>
    <t>🧑 Human
🎲 Randomized trial
👥 121 participants
⌛ ~5 days</t>
  </si>
  <si>
    <t>350
per LED
(32 LEDs)</t>
  </si>
  <si>
    <t>1800
per
lower
extremity</t>
  </si>
  <si>
    <t>420
per
lower
extremity</t>
  </si>
  <si>
    <t>4
/ ~5 days</t>
  </si>
  <si>
    <t>"No differences, over time, in any pain intensity scores (i.e., pain intensity immediately post-treatment, average pain, worst pain) or pain relief scores were found between the placebo and treatment groups."
"Four treatments with photon stimulation resulted in significant improvements in some pain qualities, sensation, and QOL outcomes in a sample of patients with a significant amount of pain and disability from their diabetes. A longer duration study is needed to further refine the photon stimulation treatment protocol in these chronically ill patients and to evaluate the sustainability of its effects."
Comment: Parameters were quite shortly reported. These studies on diabetic neuropathy weren't done by "photobiomodulation" researchers.</t>
  </si>
  <si>
    <t>Lavery</t>
  </si>
  <si>
    <t>Diabetes Care</t>
  </si>
  <si>
    <t>Does anodyne light therapy improve peripheral neuropathy in diabetes? A double-blind, sham-controlled, randomized trial to evaluate monochromatic infrared photoenergy.</t>
  </si>
  <si>
    <t>🧑 Human
🎲 Randomized trial, double-blind
👥 69 participants
⌛ 3 months</t>
  </si>
  <si>
    <t>MIRE treatment with "Anodyne" LED pad device
LED phototherapy
At-home device</t>
  </si>
  <si>
    <t>52
(1.3 per minute for 
40 min)</t>
  </si>
  <si>
    <t>90
/ 90 days</t>
  </si>
  <si>
    <t>"Anodyne MIRE therapy was no more effective than sham therapy in the treatment of sensory neuropathy in individuals with diabetes."</t>
  </si>
  <si>
    <t>Franzen-Korzendorfer</t>
  </si>
  <si>
    <t>USA
(Norwalk, CT)</t>
  </si>
  <si>
    <t>Ostomy Wound Manage</t>
  </si>
  <si>
    <t>The effect of monochromatic infrared energy on transcutaneous oxygen measurements and protective sensation: results of a controlled, double-blind, randomized clinical study</t>
  </si>
  <si>
    <t>🧑 Human
🎲 Randomized trial, double-blind, self-controlled
👥 18 participants
⌛ 3-5 weeks</t>
  </si>
  <si>
    <t>45
(1.5 per minute for 30 min)</t>
  </si>
  <si>
    <t>12
/ 3-5 weeks</t>
  </si>
  <si>
    <t>"No statistically significant differences were noted between the active and sham groups for changes in sensation (P = 0.4) or pain (P = 0.4) (see Table 3)."</t>
  </si>
  <si>
    <t>Perić Z</t>
  </si>
  <si>
    <t>Serbia</t>
  </si>
  <si>
    <t>Srp Arh Celok Lek</t>
  </si>
  <si>
    <t>[Influence of low-intensity laser therapy on spatial perception threshold and electroneurographic finding in patients with diabetic polyneuropathy].
[Article in Serbian]</t>
  </si>
  <si>
    <t>🧑 Human
📄 Non-randomized study, controlled
👥 45 patients
⌛ 12 weeks</t>
  </si>
  <si>
    <t>PBM vs vitamin therapy</t>
  </si>
  <si>
    <t>"In this study we registered significant decrease of SPT and increase of NMMCV after LILT and that indicated a favourable effect of this treatment in analysed patients with painful DPN. In our opinion these results need further investigation."</t>
  </si>
  <si>
    <t>Powell</t>
  </si>
  <si>
    <t>USA
(Springdale, AR)</t>
  </si>
  <si>
    <t>Age Ageing</t>
  </si>
  <si>
    <t>Reversal of diabetic peripheral neuropathy with phototherapy (MIRE) decreases falls and the fear of falling and improves activities of daily living in seniors.</t>
  </si>
  <si>
    <t>🧑 Human
📄 Retrospective study
👥 252 patients
⌛ 1 year</t>
  </si>
  <si>
    <t>Risk of falls after PBM treatment of DPN</t>
  </si>
  <si>
    <t>"Incidence of falls and fear of falling decreased within 1 month after reversal of peripheral neuropathy and remained low after 1 year. Likewise, improved ADL were evident soon after reversal of peripheral neuropathy and showed further improvement after 1 year. Overall, reversal of peripheral neuropathy in a clinician's office and subsequent use of MIRE at home was associated with a 78% reduction in falls, a 79% decrease in balance-related fear of falling and a 72% increase in ADL (P &lt; 0.0002 for all results)."
Comment: Parameters were not reported at all.</t>
  </si>
  <si>
    <t>Arnall</t>
  </si>
  <si>
    <t>USA
(Johnson City, TN)</t>
  </si>
  <si>
    <t>Acta Diabetol</t>
  </si>
  <si>
    <t>The restorative effects of pulsed infrared light therapy on significant loss of peripheral protective sensation in patients with long-term type 1 and type 2 diabetes mellitus.</t>
  </si>
  <si>
    <t>🧑 Human
🎲 Randomized trial, self-controlled
👥 22 participants
⌛ 8 weeks</t>
  </si>
  <si>
    <t>650+
880</t>
  </si>
  <si>
    <t>"PILT improved peripheral protective sensation (PPS) even in patients with long-standing chronic neuropathies whose initial pre-study sensation was not measurable with a 200-g SWM. PILT significantly improves PPS.
While the exact mechanism of action is not understood, infrared light may improve peripheral neuropathies by improving foot perfusion by stimulating nitric oxide production."
Comment: Parameters were inadequately reported.</t>
  </si>
  <si>
    <t>Clifft</t>
  </si>
  <si>
    <t>USA
(Memphis, TN)</t>
  </si>
  <si>
    <t>The effect of monochromatic infrared energy on sensation in patients with diabetic peripheral neuropathy: a double-blind, placebo-controlled study.</t>
  </si>
  <si>
    <t>🧑 Human
🎲 Randomized trial, double-blind
👥 43 participants (73 lower extremities)
⌛ 4-week treatment -&gt; 4-week follow-up</t>
  </si>
  <si>
    <t>"Thirty minutes of active MIRE applied 3 days per week for 4 weeks was no more effective than placebo MIRE in increasing sensation in subjects with diabetic peripheral neuropathy. Clinicians should be aware that MIRE may not be an effective modality for improving sensory impairments in patients with diabetic neuropathy."
Note: A comment to this study was published by Burke, who argued that the negative result could be due the selected parameters and other methodological factors.</t>
  </si>
  <si>
    <t>Zinman</t>
  </si>
  <si>
    <t>Low-intensity laser therapy for painful symptoms of diabetic sensorimotor polyneuropathy: a controlled trial.</t>
  </si>
  <si>
    <t>🧑 Human
🎲 Randomized trial, double-blind
👥 50 participants
⌛ 4 weeks</t>
  </si>
  <si>
    <t>0-60</t>
  </si>
  <si>
    <t>300
/site</t>
  </si>
  <si>
    <t>"Although an encouraging trend was observed with LILT, the study results do not provide sufficient evidence to recommend this treatment for painful symptoms of DSP."
Jan Tuner's comment: "Unfortunately, this study cannot be evaluated since the documentation of the actual laser parameters is poor. The only information given about these essential facts is "The LILT device had a wavelength of 905 nm and an average power of 0-60 mW. All LILT treatments were for 5 min per site." Which output was actually used? Pulse repetition rate? Dose? Power density?"</t>
  </si>
  <si>
    <t>Adv Skin Wound Care</t>
  </si>
  <si>
    <t>Reversal of diabetic peripheral neuropathy and new wound incidence: the role of MIRE.</t>
  </si>
  <si>
    <t>🧑 Human
📄 Retrospective study (questionnaire)
👥 64 participants</t>
  </si>
  <si>
    <t>"After reversal of diabetic peripheral neuropathy following treatment with monochromatic near infrared photo energy, only 1 of 68 patients developed a new diabetic foot wound, for an incidence of 1.5%. Comparatively, the incidence previously reported in the Medicare-aged population with diabetes was 7.3%."
Comment: Parameters were not reported at all.</t>
  </si>
  <si>
    <t>Leonard</t>
  </si>
  <si>
    <t>USA
(Clearwater, FL)</t>
  </si>
  <si>
    <t>Restoration of sensation, reduced pain, and improved balance in subjects with diabetic peripheral neuropathy: a double-blind, randomized, placebo-controlled study with monochromatic near-infrared treatment.</t>
  </si>
  <si>
    <t>🧑 Human
🎲 Randomized trial, double-blind, self-controlled
👥 18 participants
⌛ 2 weeks active and sham -&gt; 2 weeks active</t>
  </si>
  <si>
    <t>3/week
for
2 weeks
(active and sham)
--&gt;
2 weeks
(acitve)</t>
  </si>
  <si>
    <t>"ATS treatments improve sensation in the feet of subjects with DPN, improve balance, and reduce pain."</t>
  </si>
  <si>
    <t>Kochman</t>
  </si>
  <si>
    <t>USA
(Aurora, CO)</t>
  </si>
  <si>
    <t>J Am Podiatr Med Assoc</t>
  </si>
  <si>
    <t>Symptomatic reversal of peripheral neuropathy in patients with diabetes.</t>
  </si>
  <si>
    <t>🧑 Human
📄 Single-arm trial
👥 42 participants
⌛ 1 month</t>
  </si>
  <si>
    <t>"On the basis of Semmes-Weinstein monofilament values, 48 subjects (98%) exhibited improved sensation after 6 treatments, and all subjects had improved sensation after 12 treatments. Therefore, MIRE may be a safe, drug-free, noninvasive treatment for the consistent and predictable improvement of sensation in diabetic patients with peripheral neuropathy of the feet."
Comment: Parameters were not reported.</t>
  </si>
  <si>
    <t>Electrical activity</t>
  </si>
  <si>
    <t>Evidence of changes in sural nerve conduction mediated by light emitting diode irradiation.</t>
  </si>
  <si>
    <t>🧑 Human
🎲 Randomized trial
👥 64 participants
⌛ single session</t>
  </si>
  <si>
    <t>"Statistical analysis (general regression nodel for repeated measures) of NCV and NPL difference scores, revealed a significant interactive effect for both NCV (P=0.003) and NPL (P=0.006). Further post hoc LSD analysis showed a time-related statistical significant decreased NCV and an increased NPL in the experimental group and a statistical significant difference between placebo and experimental group at various points of time."
"Based on these results, it can be concluded that LED irradiation, applied to intact skin at the described irradiation parameters, produces an immediate and localized effect upon conduction characteristics in underlying nerves. Therefore, the outcome of this in vivo experiment yields a potential explanation for pain relief induced by LED."
NCV = nerve conduction velocity
NPL = negative peak latency</t>
  </si>
  <si>
    <t>Cambier</t>
  </si>
  <si>
    <t>The Influence of Low Intensity Infrared Laser Irradiation on Conduction Characteristics of Peripheral Nerve: A Randomised, Controlled, Double Blind Study on the Sural Nerve</t>
  </si>
  <si>
    <t>🧑 Human
🎲 Randomized trial
👥 15 participants
⌛ 4 sessions (?)</t>
  </si>
  <si>
    <t>30
140
400</t>
  </si>
  <si>
    <t>0.5/p
1.0/p
1.5/p</t>
  </si>
  <si>
    <t>2.55
5.1
7.65</t>
  </si>
  <si>
    <t>"One way analysis of variation with repeated measurements of the data collected within 15 min postirradiation showed a significant decrease in conduction velocity and increase in negative peak latency in treatment B. Those results could explain possible laser-mediated pain relief."</t>
  </si>
  <si>
    <t>Ito</t>
  </si>
  <si>
    <t>Aichi Gakuin Dent Sci</t>
  </si>
  <si>
    <t>Effects of Nd: YAG low power laser irradiation on the ulnar nerve.</t>
  </si>
  <si>
    <t>🧑 Human
📄 Single-arm study
👥 5 participants
⌛ single session</t>
  </si>
  <si>
    <t>"In our previous study, we have shown that low power laser irradiation of the stellate ganglion produces a rise in temperature in the bilateral facial skin. To clarify the mechanism behind this phenomenon, irradiation was performed on the ulnar nerve at the elbow joint. The sensation felt during irradiation was reported by the subjects. Changes in temperature of the hand dorsum were thermographically recorded. The evoked peripheral autonomic surface potentials (PASP) were also recorded. 77.3% of the subjects reported sensation changes in the hand; the temperature rose in both hands in 3 out of 5 subjects. The PASPs did not show marked changes in latency or amplitude. It is suggested that the effects of the irradiation are brought about mainly through the stimulation of the central nervous system."</t>
  </si>
  <si>
    <t>Snyder-Mackler &amp; Bork</t>
  </si>
  <si>
    <t>Effect of helium-neon laser irradiation on peripheral sensory nerve latency.</t>
  </si>
  <si>
    <t>"The Laser Group showed a statistically significant increase in latency that corresponded to a decrease in sensory nerve conduction velocity. Short-duration He-Ne laser application significantly increased the distal latency of the superficial radial nerve. This finding provides information about the mechanism of the reported pain-relieving effect of the He-Ne laser."</t>
  </si>
  <si>
    <t>Acta Neurochir (Wien)</t>
  </si>
  <si>
    <t>The in-vivo-nerve response to direct low-energy-laser irradiation.</t>
  </si>
  <si>
    <t>0.3
17</t>
  </si>
  <si>
    <t>"We found that the 0.3 mW laser significantly boosts the electrical activity in both the injured and non-injured nerves."</t>
  </si>
  <si>
    <t>Kao</t>
  </si>
  <si>
    <t>Neurite growth induced by red light-caused intracellular reactive oxygen species production through cytochrome c oxidase activation</t>
  </si>
  <si>
    <t>620
680
760</t>
  </si>
  <si>
    <t>"In the present work we used a focused red-light spot to illuminate the junction of the longest neurite and the soma of a neuroblastoma cell (N2a), and demonstrated enhanced neurite growth at 620 nm and 760 nm with adequate illumination energy fluences. In contrast, 680 nm light showed no effect on neurite growth."
"The neurite growth was accompanied with the increase of intracellular reactive oxygen species (ROS). Using Trolox to reduce the ROS level, this red light-induced neurite growth was hindered. Suppressing the activities of cytochrome c oxidase (CCO) by using either a small-molecule inhibitor or siRNA abrogated the red light-induced neurite growth. 
These results suggest that red light-induced ROS production through the activation of CCO could be beneficial for neurite growth."</t>
  </si>
  <si>
    <t>Neurite growth of trigeminal ganglion neurons in vitro with near-infrared light irradiation</t>
  </si>
  <si>
    <t>"We found that PBM could promote neurite growth of TG neurons, and it works at relatively low energy densities at 1 and 2 J/cm2. The irradiation group in the pulsed wave mode with the frequency of 10 Hz was found to be the most effective when compared to other frequencies."</t>
  </si>
  <si>
    <t>Low-level laser therapy (810 nm) protects primary cortical neurons against excitotoxicity in vitro.</t>
  </si>
  <si>
    <t>Primary cortical neurons
Excitotoxicity
Glutamate / NMDA / kainate</t>
  </si>
  <si>
    <t>"Although the prevention of cell death was modest but significant, LLLT (3 J/cm(2) delivered at 25 mW/cm(2) over 2 min) gave highly significant benefits in increasing ATP, raising mitochondrial membrane potential, reducing intracellular calcium concentrations, reducing oxidative stress and reducing nitric oxide.
The action of LLLT in abrogating excitotoxicity may play a role in explaining its beneficial effects in diverse central nervous system pathologies."</t>
  </si>
  <si>
    <t>Burland</t>
  </si>
  <si>
    <t>Neurite growth acceleration of adult Dorsal Root Ganglion neurons illuminated by low-level Light Emitting Diode light at 645 nm.</t>
  </si>
  <si>
    <t>"Although the axotomized neurons were naturally already in a rapid regeneration process, an enhancement was found to occur while irradiating with the LED light, which may be promising for therapy applications."</t>
  </si>
  <si>
    <t>BMC Complement Altern Med</t>
  </si>
  <si>
    <t>Low infra red laser light irradiation on cultured neural cells: effects on mitochondria and cell viability after oxidative stress.</t>
  </si>
  <si>
    <t>0.45 *
10^-3</t>
  </si>
  <si>
    <t>"These data suggest that red light radiation protects the viability of cell culture in case of oxidative stress, as indicated by MMP measurement and MTT assay. It also stimulates neurite outgrowth, and this effect could also have positive implications for axonal protection."</t>
  </si>
  <si>
    <t>Ignatov</t>
  </si>
  <si>
    <t>Russia
(Saint-Petersburg)</t>
  </si>
  <si>
    <t>Neurosci Behav Physiol</t>
  </si>
  <si>
    <t>Effects of helium-neon laser irradiation and local anesthetics on potassium channels in pond snail neurons.</t>
  </si>
  <si>
    <t>"Combined application of laser irradiation at a dose of 0.7 x 10(-3) J increased the blocking effect of 10 microM bupivacaine on the slow potassium current, while an irradiation dose of 0.7 x 10(-4) J weakened the effect of bupivacaine."</t>
  </si>
  <si>
    <t>Nerve growth factors</t>
  </si>
  <si>
    <t>Effect of helium/neon laser irradiation on nerve growth factor synthesis and secretion in skeletal muscle cultures.</t>
  </si>
  <si>
    <t>"It was found that there is a transient elevation of intracellular calcium in the myotubes immediately after irradiation (P&lt;0.001)." 
"In addition, helium/neon irradiation augmented the level of NGF mRNA fivefold and increased NGF release to the medium of the myotubes. Thus, it is speculated that transient changes in calcium caused by light can modulate NGF release from the myotubes and also affect the nerves innervating the muscle.
The NGF is probably responsible for the beneficial effects of low-level light."</t>
  </si>
  <si>
    <t>Neural activity / stimulation or inhibition</t>
  </si>
  <si>
    <t>Ishibashi</t>
  </si>
  <si>
    <t>Japan
(Toyama)</t>
  </si>
  <si>
    <t>Photobiomodulation transiently increases the spontaneous firing in the superficial layer of the rat spinal dorsal horn</t>
  </si>
  <si>
    <t>0.790 cm2 beam area</t>
  </si>
  <si>
    <t>"Our results show that direct laser irradiation of 1000 mW/cm2 to the sciatic nerve transiently increases the frequency of spontaneous firing in the superficial layer without affecting the deep layer of the spinal dorsal horn, and this effect reverses to pre-irradiation levels after irradiation. Interestingly, laser irradiation at 1000 mW/cm2, which led to an increase in spontaneous firing, did not prompt escape behavior. 
Furthermore, a significant reduction in the time to initiate escape behavior was observed only at 9500 mW/cm2 compared to 15, 510, 1000, and 4300 mW/cm2. 
This suggests that 1000 mW/cm2, the laser intensity at which an increase in spontaneous firing was observed, corresponds to a stimulus that did not cause pain. It is expected that a detailed understanding of the risks and mechanisms of PBM from a neurophysiological perspective will lead to safer and more effective use of PBM."</t>
  </si>
  <si>
    <t>Uta</t>
  </si>
  <si>
    <t>Photobiomodulation inhibits neuronal firing in the superficial but not deep layer of a rat spinal dorsal horn</t>
  </si>
  <si>
    <t>"The vFF-evoked firing frequencies were not altered after the PBM for any of the vFFs. The inhibition rate for 26.0 g vFF-evoked firing was approximately 13 % in the deep layers and 70 % in the superficial layers. This suggests that PBM selectively inhibits the transmission of pain information without affecting the sense of touch. PBM has the potential to alleviate pain while preserving the sense of touch."</t>
  </si>
  <si>
    <t>Relationship between Laser Intensity at the Peripheral Nerve and Inhibitory Effect of Percutaneous Photobiomodulation on Neuronal Firing in a Rat Spinal Dorsal Horn</t>
  </si>
  <si>
    <t>"We previously reported that the direct laser irradiation of the exposed sciatic nerve inhibited firing in the rat spinal dorsal horn evoked by mechanical stimulation, corresponding to the noxious stimulus. However, percutaneous laser irradiation is used in clinical practice, and it is unclear whether it can inhibit the firing of the dorsal horn. In this study, we investigated whether the percutaneous laser irradiation of the sciatic nerve inhibits firing."
"Our findings show that percutaneous laser irradiation inhibited 26.0 g vFF-evoked firing, which corresponded to the noxious stimulus, but did not inhibit 0.6 g and 8.0 g vFF-evoked firing."
"A photodiode sensor implanted in the sciatic nerve showed that the power density reaching the sciatic nerve percutaneously was attenuated to approximately 10% of that on the skin."
"The power density at the nerve was 95.1 ± 6.89 mW/cm2 compared to a power density of 1000 mW/cm2 at the skin surface (Figure 4b). The distance from the skin surface to the sciatic nerve was 6.3 ± 0.34 mm."</t>
  </si>
  <si>
    <t>Near-Infrared Photobiomodulation of the Peripheral Nerve Inhibits the Neuronal Firing in a Rat Spinal Dorsal Horn Evoked by Mechanical Stimulation</t>
  </si>
  <si>
    <t>"Laser irradiation selectively inhibited 15.0 and 26.0 g vFF-evoked firing, which corresponded to nociceptive stimuli. Histopathological evaluation revealed no damage to the sciatic nerve due to laser irradiation. These results indicate that neuronal firing is inhibited in lamina II of the spinal dorsal horn, suggesting that laser irradiation inhibits Aδ and/or C fibers that conduct nociceptive stimuli."</t>
  </si>
  <si>
    <t>Fekete</t>
  </si>
  <si>
    <t>Infrared neuromodulation:a neuroengineering perspective</t>
  </si>
  <si>
    <t>"In this review, recent applications and present knowledge on the effects of [infrared neuromodulation] on cellular activity are summarized, and an overview of the technical approaches to deliver infrared light to cells and to interrogate the optically evoked response is provided."</t>
  </si>
  <si>
    <t>Moreau</t>
  </si>
  <si>
    <t>France
(Limoges)</t>
  </si>
  <si>
    <t>Infrared neural stimulation induces intracellular Ca2+ release mediated by phospholipase C.</t>
  </si>
  <si>
    <t>Mechanism
HT22 mouse hippocampal neurons
U87 human glioblastoma cells</t>
  </si>
  <si>
    <t>"Fluorescence recordings of Fluo-4 demonstrated that infrared stimulation induced an instantaneous intracellular Ca2+ transient with similar dose-response characteristics in hippocampal neurons and glioblastoma cells (half-maximal effective energy density EC50 of around 58 J.cm-2 ). For both type of cells, the source of the infrared-induced Ca2+ transients was found to originate from intracellular stores and to be mediated by phospholipase C and IP3 -induced Ca2+ release from the endoplasmic reticulum. 
The activation of phosphoinositide signaling by IR light is a new mechanism of interaction relevant to infrared neural stimulation that will also be widely applicable to nonexcitable cell types. The prospect of infrared optostimulation of the PLC/IP3 cell signaling cascade has many potential applications including the development of optoceutical therapeutics."</t>
  </si>
  <si>
    <t>Hou</t>
  </si>
  <si>
    <t>Annu Int Conf IEEE Eng Med Biol Soc</t>
  </si>
  <si>
    <t>Optical stimulation of visual cortex with pulsed 620-nm red light</t>
  </si>
  <si>
    <t>"To explore the optical neural stimulation with visible light, 620-nm red light pulse emitted by LED was used to stimulate the left primary visual cortex of adult rat. The neural response in right primary visual cortex was recorded with a flexible microelectrode. By synchronized averaging the raw signal, optical evoked potentials (OEPs) were observed a negative wave and positive wave after optical stimuli. Furthermore, the amplitude and occurrence of the negative and positive wave were modulated by the strength and pulse width of the optical stimulus. The preliminary experiment suggested that, beyond the infrared laser, the pulse of visible light (e.g. red light) can modulate the neural activity in central nervous system."</t>
  </si>
  <si>
    <t>Yoda</t>
  </si>
  <si>
    <t>Pain Research [J-STAGE]</t>
  </si>
  <si>
    <t>Suppressive effects of low-power laser on cytosolic calcium ion changes elicited by bradykinin in cultured murine dorsal root ganglion neurons</t>
  </si>
  <si>
    <t>Cultured murine dorsal root ganglion neurons</t>
  </si>
  <si>
    <t>49</t>
  </si>
  <si>
    <t>"The elevation of the calcium ion concentration elicited by bradykinin was suppressed by the irradiation with a Ga-Al-As diode laser (wave length: 830 nm, output power: 16.2 mW, irradiation energy: 49 J/cm2). The suppression was reversible. The laser irradiation does not block the binding of bradykinin to B2 receptor but may interfere with cell membrane components by which action potentials and calcium ion flux might be brought out."</t>
  </si>
  <si>
    <t>Jimbo</t>
  </si>
  <si>
    <t>Japan
(Numazu)</t>
  </si>
  <si>
    <t>Suppressive effects of low-power laser irradiation on bradykinin evoked action potentials in cultured murine dorsal root ganglion cells.</t>
  </si>
  <si>
    <t>"The action potentials elicited by bradykinin (BK) in the cell body were reversibly suppressed by the irradiation of laser light. The laser irradiation may block the conduction of nociceptive signals in primary afferent neurons. The present experimental method offers a simple and easy to use procedure for studying the pain relief effects by laser irradiation."</t>
  </si>
  <si>
    <t>Kasai</t>
  </si>
  <si>
    <t>Effect of low-power laser irradiation on impulse conduction in anesthetized rabbits.</t>
  </si>
  <si>
    <t>(633)
(?)</t>
  </si>
  <si>
    <t>"Our data suggest that low-power laser acts as a reversible direct suppressor of neuronal activity."</t>
  </si>
  <si>
    <t>Effects of low-power laser irradiation on multiple unit discharges induced by noxious stimuli in the anesthetized rabbit.</t>
  </si>
  <si>
    <t>"Responding to a pinch stimulation of plantar skin, transitory increase of neuronal discharges was induced in the sural nerve. This was reduced within a minute, and persistent increases, which continued during a period of the stimulation, occurred. These increases became significantly smaller than the control value during a low-power laser irradiation that was applied to the exposed sural nerve distal to the recording site. These results suggested an inhibitory effect of low-power laser irradiation on the impulse conduction within a peripheral nerve. Possible analgesic effects of low-power irradiation are discussed."</t>
  </si>
  <si>
    <t>Yosaku</t>
  </si>
  <si>
    <t>Practica Oto-Rhino-Laryngologica</t>
  </si>
  <si>
    <t>Effect of Low Power LASER Irradiation on Inner Ear</t>
  </si>
  <si>
    <t>Cochlea</t>
  </si>
  <si>
    <t>"In all guinea pigs, the amplitude of CAP fell to 60-80% immediately after the beginning of the irradiation and returned to the original level soon after the end of the irradiation. This phenomenon was more apparent with 8kHz sound stimuli and 10dB SPL above the threshold. The amplitude of CM changed somewhat during LASER irradiation, but no definite tendency was detected. Some different mechanisms, including activation of the efferent system, are thought to be working in the cochlea simultaneously during LASER irradiation."</t>
  </si>
  <si>
    <t>Lowe</t>
  </si>
  <si>
    <t>Effect of low intensity laser (830 nm) irradiation on skin temperature and antidromic conduction latencies in the human median nerve: relevance of radiant exposure.</t>
  </si>
  <si>
    <t>🧑 Human
🎲 Randomized trial
👥 80 participants
⌛ single session</t>
  </si>
  <si>
    <t>1.5
3.0
6.0
9.0
12.0</t>
  </si>
  <si>
    <t>"Analysis of variance (ANOVA) in negative peak latency difference scores (NPLDs) and skin temperature over a 20 min period post-irradiation demonstrated a significant decrease in skin temperature following irradiation at the lowest radiant exposure (1.5 J/cm2) coupled with a significant increase in NPLDs (P &lt; 0.05). While no such (significant) changes were found in the other laser groups, it was found that observed changes (increases and decreases) in NPLDs were inversely related to changes in skin temperature. 
These findings demonstrate measurable peripheral neurophysiological effects of laser radiation concomitant with changes in skin temperature; however, further studies are indicated to establish the precise relationship between the observed effects on skin temperature and nerve conduction."</t>
  </si>
  <si>
    <t>Effects of low intensity infrared laser irradiation upon conduction in the human median nerve in vivo.</t>
  </si>
  <si>
    <t>🧑 Human
🎲 Randomized trial, sham-controlled
👥 27 participants (study 1), 16 participants (study 2)
⌛ see full text (two short studies)</t>
  </si>
  <si>
    <t>1.2
/p</t>
  </si>
  <si>
    <t>"Analysis of negative peak latency differences using analysis of variance showed small (approximately 0.4 ms) but significant increases in latencies as a result of direct laser irradiation, and, where two-site recording was used, distal to the site of irradiation. No such differences were seen in the other experimental groups. These results show that laser irradiation applied to intact skin at the parameters used here may produce a direct, localized effect upon conduction in underlying nerves."</t>
  </si>
  <si>
    <t>Kono</t>
  </si>
  <si>
    <t>Cord dorsum potentials suppressed by low power laser irradiation on a peripheral nerve in the cat.</t>
  </si>
  <si>
    <t>Cat</t>
  </si>
  <si>
    <t>"These evoked CDP were significantly suppressed (25.6 +/- 2.5%, p less than 0.01) during low-power laser irradiation. It is suggested that the analgesic effects of low power laser irradiation is based on the decrease of ascending signals from the spinal cord to the higher central nervous system. The suppressive effect of low power laser irradiation upon the impulse transmission of nerve fibers is discussed."</t>
  </si>
  <si>
    <t>Balaban</t>
  </si>
  <si>
    <t>Russia
(Moscow region)</t>
  </si>
  <si>
    <t>He-Ne laser irradiation of single identified neurons.</t>
  </si>
  <si>
    <t>🧪 In vitro (snail neurons; Helix pomatia)</t>
  </si>
  <si>
    <t>"When the spontaneously active neurons generating spikes every 7-10 min were irradiated in between their spontaneous spikes, the depolarization of membrane and generation of action potentials occurred as a function of light intensity, I. The probability of spike generation increased until the intensity reached 1 W/cm2, and when I = 4 W/cm2 was equal to 1. The depolarization of the membrane had a threshold at I = 0.1 W/cm2, then increased with increasing the intensity, and reached a plateau at I = 0.7 W/cm2 (depolarization rate 0.18 mV/s). Duration of the latent period decreased from 28 s to 17 s when the intensity was increased from 0.05 to 0.3 W/cm2."</t>
  </si>
  <si>
    <t>Neural activity / stimulation</t>
  </si>
  <si>
    <t>A light source for phototherapy</t>
  </si>
  <si>
    <t>Porphyrins as photoacceptors
Wavelength comparison</t>
  </si>
  <si>
    <t>540
632
940</t>
  </si>
  <si>
    <t>"The effects of red (632 nm), green (540 nm) and infrared (904 nm) light sources on the peripheral nervous system were examined. Only the red and green wavelengths have an effect on the Compound Action Potential (CAP) of the nerve. This agrees with our hypothesis that porphyrins absorb the irradiated light. A light source which meets the requirements and specifications of our research is being built."</t>
  </si>
  <si>
    <t>Does low‐Intensity helium‐Neon laser irradiation alter sensory nerve active potentials or distal latencies?</t>
  </si>
  <si>
    <t>"No differences in action potential amplitudes, distal latencies, or forearm skin temperatures were found between the treated and control groups either at the time of irradiation or at subsequent evaluations 15 and 30 minutes later. As a result, we are unable to confirm reports that low‐energy lasers of this power and wavelength alter nerve function."</t>
  </si>
  <si>
    <t>Greathouse</t>
  </si>
  <si>
    <t>Effects of clinical infrared laser on superficial radial nerve conduction.</t>
  </si>
  <si>
    <t>🧑 Human
🎲 Randomized trial
👥 20 participants
⌛ single session</t>
  </si>
  <si>
    <t>100
600
(5 skin segments)</t>
  </si>
  <si>
    <t>"No significant change was noted in the distal sensory latency or amplitude of the evoked sensory potential in either experimental or control groups as a result of the applications of the infrared laser radiation treatment. This study demonstrates that infrared laser used at clinically applied intensities does not alter conduction of sensory nerves nor does it elevate the subcutaneous temperature."
Comment: Dose parameters not reported.</t>
  </si>
  <si>
    <t>Neuritogenesis</t>
  </si>
  <si>
    <t>Luisa</t>
  </si>
  <si>
    <t>Photobiomodulation therapy at different wavelength impacts on retinoid acid-dependent SH-SY5Y differentiation.</t>
  </si>
  <si>
    <t>"Being aware of in vitro model limitations, our results possibly indicate that PBM at different wavelengths is able to induce neuritogenesis and differentiation of SH-SY5Y cells with a conceivable influence on oxidative stress and ATP levels, thus suggesting the feasible use of PBM at both blue and NIR laser wavelengths for facilitating nerve repair and neuronal network establishment."</t>
  </si>
  <si>
    <t>Neuromuscular junction</t>
  </si>
  <si>
    <t>GaAs laser therapy reestablishes the morphology of the NMJ and nAChRs after injury due to bupivacaine</t>
  </si>
  <si>
    <t>Anesthetics-induced NMJ injury (bupivacaine)</t>
  </si>
  <si>
    <t>"These results demonstrate that LLLT at the dose used in this study reduced structural alterations in the NMJ and molecular changes in nAChRs triggered by bupivacaine, providing important data supporting the use of LLLT in therapeutic protocols for injuries triggered by local anesthetics."</t>
  </si>
  <si>
    <t>Nicolau</t>
  </si>
  <si>
    <t>Effect of low power 655 nm diode laser irradiation on the neuromuscular junctions of the mouse diaphragm.</t>
  </si>
  <si>
    <t>This study showed that LLLT (655 nm) in these doses has no detectable physiological effect on the motor end-plate neurotransmitter release in mice.</t>
  </si>
  <si>
    <t>Neuronal growth</t>
  </si>
  <si>
    <t>Increase of neuronal sprouting and migration using 780 nm laser phototherapy as procedure for cell therapy.</t>
  </si>
  <si>
    <t>10
30
50
110
160
200
250</t>
  </si>
  <si>
    <t>60
240
420</t>
  </si>
  <si>
    <t>"780 nm laser phototherapy of embryonic rat brain cultures embedded in hyaluronic acid-laminin gel and attached to positively charged cylindrical MCs, stimulated migration and fiber sprouting of neuronal cells aggregates, developed large size neurons with dense branched interconnected network of neuronal fibers and, therefore, can be considered as potential procedure for cell therapy of neuronal injury or disease."</t>
  </si>
  <si>
    <t>Peripheral neuropathy</t>
  </si>
  <si>
    <t>Unay &amp; Bilgin</t>
  </si>
  <si>
    <t>Turkey
(Aydin)</t>
  </si>
  <si>
    <t>Investigation of effects of quercetin and low-level laser therapy in cisplatin-induced in vitro peripheral neuropathy model</t>
  </si>
  <si>
    <t>PBM vs quercetin vs ctrl</t>
  </si>
  <si>
    <t>"Our results indicated that cisplatin increased apoptosis (24,210 ± 2189, 46,504 ± 8246) cells, mitochondrial dysfunction (44,312 ± 0.751, 68,788 ± 1271), and LDH activity (62,821 ± 8245, 87,838 ± 8116). Furthermore, it decreased cell viability (42,447 ± 1780, 36,140 ± 3682) and inhibited GAP-43 and Synapsin I genes in undifferentiated and differentiated PC12 cells. 
However, apoptosis, the alterations in mitopotential, and lactate dehydrogenase activity decreased by applications of quercetin and LLLT."
"It has been recommended that quercetin and low-level laser therapy roles on cisplatin-induced peripheral neuropathy should be investigated in vivo, and the relationship between quercetin and low-level laser therapy should be molecular."</t>
  </si>
  <si>
    <t>Mannaa</t>
  </si>
  <si>
    <t>Biochim Biophys Rep</t>
  </si>
  <si>
    <t>Effectiveness of low-power laser therapy in improvement of the peripheral neuropathy induced by xenobiotics in rats</t>
  </si>
  <si>
    <t>PBM vs gabapentin</t>
  </si>
  <si>
    <t>"Our results showed that treatment with LPLT is more efficient than gabapentin in ameliorating the peripheral neuropathy induced by xenobiotics."
Comment: Parameters very poorly reported</t>
  </si>
  <si>
    <t>PNS: Fibular nerve</t>
  </si>
  <si>
    <t>Lack of effectiveness of laser therapy applied to the nerve course and the correspondent medullary roots.</t>
  </si>
  <si>
    <t>Fibular nerve</t>
  </si>
  <si>
    <t>10.34</t>
  </si>
  <si>
    <t>"According to the statistical analysis there was no significant difference among groups and the authors conclude that low intensity laser irradiation has little or no influence on nerve regeneration and functional recovery."</t>
  </si>
  <si>
    <t>Sene</t>
  </si>
  <si>
    <t>Effects of laser therapy in peripheral nerve regeneration.</t>
  </si>
  <si>
    <t>Fibular nerve (common)</t>
  </si>
  <si>
    <t>0.02
cm2</t>
  </si>
  <si>
    <t>"The low power AsGaAl laser irradiation did not accelerate nerve recovery with any of the doses used."</t>
  </si>
  <si>
    <t>PNS: In vitro</t>
  </si>
  <si>
    <t>Yazdani</t>
  </si>
  <si>
    <t>Effects of low level laser therapy on proliferation and neurotrophic factor gene expression of human schwann cells in vitro.</t>
  </si>
  <si>
    <t>1
4</t>
  </si>
  <si>
    <t>"Our results demonstrate that low level laser therapy stimulate human schwann cell proliferation and NGF gene expression in vitro."</t>
  </si>
  <si>
    <t>PNS: Median nerve function</t>
  </si>
  <si>
    <t>Effects of 830 nm continuous wave laser diode irradiation on median nerve function in normal subjects.</t>
  </si>
  <si>
    <t>🧑 Human
🎲 Randomized trial, double-blind
👥 33 participants
⌛ single treatment</t>
  </si>
  <si>
    <t>"Analysis of the results reveals that motor and sensory distal latencies were decreased in the treated limbs of the laser-treated group relative to the control group by 3-4% (P &lt; .016 and .046, respectively, rank sum test). No significant differences in these quantities were found between the limbs within either group. Similarly, no alterations of action potential amplitudes, action potential areas, forearm conduction velocities, or skin temperatures were detected within or between the groups."</t>
  </si>
  <si>
    <t>PNS: Median nerve injury</t>
  </si>
  <si>
    <t>Lamas</t>
  </si>
  <si>
    <t>Effects of Photobiomodulation Therapy (LED 630 nm) on Muscle and Nerve Histomorphometry after Axonotmesis</t>
  </si>
  <si>
    <t>LED phototherapy
Median nerve</t>
  </si>
  <si>
    <t>"The number of myelinated fibers was greater in the distal segment of the LEDG (p ≤ 0.05). The area, circumference and diameter of the muscle fibers were larger in the LEDG than in the IG (p ≤ 0.05). The PBMT protocol used favored axonal regeneration and muscle recovery."</t>
  </si>
  <si>
    <t>Functional and morphometric differences between the early and delayed use of phototherapy in crushed median nerves of rats.</t>
  </si>
  <si>
    <t>"In the early group, the first laser treatment started immediately after surgery, and in the delayed group, after 7 days."
"The untreated, early, and delayed groups presented a 50, 57, and 81% degree of functional recovery, respectively, at 21 days after injury, with a significant difference between the untreated and delayed groups.
The results suggest that the nerves irradiated with low-power laser exhibit myelinated fibers of greater diameter and a better recovery of function."</t>
  </si>
  <si>
    <t>Gigo-Benato</t>
  </si>
  <si>
    <t>Italy
(Orbassano)</t>
  </si>
  <si>
    <t>Low-power laser biostimulation enhances nerve repair after end-to-side neurorrhaphy: a double-blind randomized study in the rat median nerve model.</t>
  </si>
  <si>
    <t>808
905
808+
905</t>
  </si>
  <si>
    <t>"Results showed that laser biostimulation induces:
(1) a statistically significant faster recovery of the lesioned function;
(2) a statistically significant faster recovery of muscle mass;
(3) a statistically significant faster myelination of the regenerated nerve fibers.
From comparison of the three different types of laser emissions, it turned out that the best functional outcome was obtained by means of pulsed-continuous-combined laser biostimulation."</t>
  </si>
  <si>
    <t>PNS: Peripheral nerve injuries</t>
  </si>
  <si>
    <t>Laser phototherapy (780 nm), a new modality in treatment of long-term incomplete peripheral nerve injury: a randomized double-blind placebo-controlled study.</t>
  </si>
  <si>
    <t>🧑 Human
🎲 Randomized trial, double-blind
👥 18 participants
⌛ 21-day treatment -&gt; 6-month follow-up</t>
  </si>
  <si>
    <t>5h
(??)</t>
  </si>
  <si>
    <t>"The analysis of motor function during the 6-month follow-up period compared to baseline showed statistically significant improvement (p = 0.0001) in the laser-treated group compared to the placebo group. No statistically significant difference was found in sensory function. Electrophysiological analysis also showed statistically significant improvement in recruitment of voluntary muscle activity in the laser-irradiated group (p = 0.006), compared to the placebo group."</t>
  </si>
  <si>
    <t>Midamba &amp; Haanaes</t>
  </si>
  <si>
    <t>Low reactive-level 830 nm gaalas diode laser therapy (lllt) successfully accelerates regeneration of peripheral nerves in human</t>
  </si>
  <si>
    <t>🧑 Human
📄 Retrospective data
👥 40 participants
⌛ varying (10-20 sessions)</t>
  </si>
  <si>
    <t>"This was an uncontrolled clinical study of LLLT on perioral nerve injuries and demonstrated the effectiveness of GaAlAs laser on the nerve involved when applied to the nerve trunk and terminal endings."</t>
  </si>
  <si>
    <t>Morphogen Regen</t>
  </si>
  <si>
    <t>Stimulation effect of laser energy on the regeneration of traumatically injured peripheral nerves. (Morphogen Regen 1978;83:25-27)</t>
  </si>
  <si>
    <t>PNS: Peroneal nerve</t>
  </si>
  <si>
    <t>In vitro and in vivo optimization of infrared laser treatment for injured peripheral nerves.</t>
  </si>
  <si>
    <t>🧪 In vitro &amp;
🐇 Rabbit</t>
  </si>
  <si>
    <t>Nerve injury</t>
  </si>
  <si>
    <t>(810)
980</t>
  </si>
  <si>
    <t>10^-6
-
5</t>
  </si>
  <si>
    <t>"In vitro, 980 nm wavelength light at 10 mW/cm(2) significantly improved neurite elongation at energy densities between 2 and 200 mJ/cm(2) ."
"In vivo penetration of the infrared light measured in anesthetized rabbits showed that on average, 2.45% of the light applied to the skin reached the depth of the peroneal nerve."
"The in vivo pilot study data revealed that the 4 W parameters inhibited nerve regeneration while the 2 W parameters significantly improved axonal regrowth."
"For the final set of experiments, the irradiated group performed significantly better in the toe spread reflex test compared to the control group from week 7 post-injury, and the average length of motor endplates returned to uninjured levels."
Star: An exceptionally thorough study, with a huge amount of interesting data!</t>
  </si>
  <si>
    <t>Promotion of regenerative processes in injured peripheral nerve induced by low-level laser therapy.</t>
  </si>
  <si>
    <t>16
cm2</t>
  </si>
  <si>
    <t>"This experiment affirms the beneficial effect of LLLT on nerve regeneration, since LLLT produced a significant amount of structural and cellular change. The results of the present study suggest that laser therapy may be a viable approach for nerve regeneration, which may be of clinical relevance in scheduled surgery or microsurgery."</t>
  </si>
  <si>
    <t>PNS: Radial nerve palsy</t>
  </si>
  <si>
    <t>Low Level Laser Therapy for Radial Nerve Palsy Patients : Our Experience.</t>
  </si>
  <si>
    <t>🧑 Human
📄 Case series
👥 13 cases
⌛ 3-month treatment</t>
  </si>
  <si>
    <t>24
/ 3 months</t>
  </si>
  <si>
    <t>"The present study demonstrated that LLLT was an effective form of treatment for radial nerve palsy. In addition, patients were advised to avoid any incorrect posture which might induce radial nerve palsy."</t>
  </si>
  <si>
    <t>PNS: Radial nerve conduction</t>
  </si>
  <si>
    <t>Telemeco &amp; Schrank</t>
  </si>
  <si>
    <t>USA
(Winchester, VA)</t>
  </si>
  <si>
    <t>The Effect of Light Therapy on Superficial Radial Nerve Conduction Using a Clustered Array of Infrared Super luminous Diodes and Red Light Emitting Diodes.</t>
  </si>
  <si>
    <t>🧑 Human
🎲 Randomized trial, sham-controlled
👥 32 participants
⌛ single session</t>
  </si>
  <si>
    <t>Nerve conduction
LED phototherapy
LED cluster</t>
  </si>
  <si>
    <t>880
+
660</t>
  </si>
  <si>
    <t>60
(2p)</t>
  </si>
  <si>
    <t>"Light irradiation using a cluster probe containing infrared super luminous and red light emitting diodes does not impact the neurophysiological properties of the superficial radial nerve."</t>
  </si>
  <si>
    <t>Walsh</t>
  </si>
  <si>
    <t>Lack of effect of pulsed low-intensity infrared (820 nm) laser irradiation on nerve conduction in the human superficial radial nerve.</t>
  </si>
  <si>
    <t>50
(peak)</t>
  </si>
  <si>
    <t>3.6
(3p)</t>
  </si>
  <si>
    <t>9.55</t>
  </si>
  <si>
    <t>"This study has demonstrated that laser irradiation at the radiant exposure and pulsing parameters indicated did not produce any specific neurophysiologic effects in this model of nerve function."</t>
  </si>
  <si>
    <t>PNS: Sciatic nerve injury</t>
  </si>
  <si>
    <t>Dias</t>
  </si>
  <si>
    <t>Effects of Low-Level Laser Therapy and Purified Natural Latex ( Hevea brasiliensis) Protein on Injured Sciatic Nerve in Rodents: Morpho-Functional Analysis</t>
  </si>
  <si>
    <t>"The treatments applied revealed improvements in morphometric/ultrastructural parameters compared to the injured group. Sensory analyses suggested that the improvements observed were associated with time progression and not influenced by the treatments. Motor analyses revealed significant improvements in grip strength from the 7th day in the LLLT group and in gait from the 56th day in all treated groups. We concluded that even though the morphological analyses showed improvements with the treatments, they did not influence sensory recovery, and LLLT improved motor recovery."</t>
  </si>
  <si>
    <t>Brazil 
(São Paulo)</t>
  </si>
  <si>
    <t>Effects of systemic vascular photobiomodulation using LED or laser on sensory-motor recovery following a peripheral nerve injury in Wistar rats</t>
  </si>
  <si>
    <t>40
40</t>
  </si>
  <si>
    <t>3.2
3.2</t>
  </si>
  <si>
    <t>"VPBM with both light sources (LED and LLL) positively modulated functioning and neuromuscular recovery following sciatic nerve injury in rats, with more pronounced results when using LLL."</t>
  </si>
  <si>
    <t>Mangueira</t>
  </si>
  <si>
    <t>Raman spectroscopy and sciatic functional index (SFI) after low-level laser therapy (LLLT) in a rat sciatic nerve crush injury model</t>
  </si>
  <si>
    <t>133</t>
  </si>
  <si>
    <t>"In the axonotmesis-type lesion model presented herein, the 660 nm laser was more efficient in neurofunctional recovery, and the Raman spectra of lipid and protein properties were attributed to the basic biochemical composition of the sciatic nerve."</t>
  </si>
  <si>
    <t>Photobiomodulation promotes neural regeneration when compared to simvastatin treatment in a sciatic nerve crush model</t>
  </si>
  <si>
    <t>PBM vs simvastatin</t>
  </si>
  <si>
    <t>"The PBM group presented better results in the SFI analysis (p &lt; 0.001) on the 21st postoperative day compared to the control group. This benefit was maintained when compared to the Simvastatin (p &lt; 0.001) and PBM/Simv groups (p &lt; 0.01). The results of the thermal and mechanical hyperalgesia and thermography analyses were not significant (p &gt; 0.05)."</t>
  </si>
  <si>
    <t>Malanotte</t>
  </si>
  <si>
    <t>Low-Level Laser Effect on Peripheral Sciatic Regeneration Under the Systemic Inflammatory Condition of Periodontal Disease.</t>
  </si>
  <si>
    <t>"As for the used parameters, the low-level laser was not effective in increasing the nociceptive threshold, but it contributed to the regeneration of nerve fibers, although the inflammation was still present in the site. However, the treatment was effective in protecting cells against oxidative damage due to increased SOD and increased protein, although the decrease in GST demonstrates the inhibition of this stage of the antioxidant system."</t>
  </si>
  <si>
    <t>Dose-dependent effect of the pulsed Nd:YAG laser in the treatment of crushed sciatic nerve in Wister rats: an experimental model.</t>
  </si>
  <si>
    <t>4
10
50</t>
  </si>
  <si>
    <t>58
144
720</t>
  </si>
  <si>
    <t>"The pulsed Nd:YAG laser applied with energy densities 4, 10, and 50 J/cm2 significantly decreased the SFI and increased the CMAP and MNCV of the crushed sciatic nerve in Wister rats. Among laser doses, the difference in the rate of recovery in the electrophysiology was found after two weeks while in the SFI after three weeks. The improvement after the nerve injury was time and dose dependent."</t>
  </si>
  <si>
    <t>Low-Level Laser Therapy in Different Wavelengths on the Tibialis Anterior Muscle of Wistar Rats After Nerve Compression Injury</t>
  </si>
  <si>
    <t>"The laser treatment at different wavelengths showed no improvement in the tibialis anterior muscle of Wistar rats within the morphological and functional aspects evaluated."</t>
  </si>
  <si>
    <t>Al-Shammari</t>
  </si>
  <si>
    <t>Egypt J Neurol Psychiatr Neurosurg</t>
  </si>
  <si>
    <t>Use of low-power He-Ne laser therapy to accelerate regeneration processes of injured sciatic nerve in rabbit.</t>
  </si>
  <si>
    <t>~20</t>
  </si>
  <si>
    <t>0.125
cm2
area</t>
  </si>
  <si>
    <t>"Compared to the control group, significant variations in regeneration were observed, including thicker nerve fibers, and more regular myelin layers in the treated group."</t>
  </si>
  <si>
    <t>Growth factors expression and ultrastructural morphology after application of low-level laser and natural latex protein on a sciatic nerve crush-type injury.</t>
  </si>
  <si>
    <t>"In summary, these results and our previous studies indicated that F1 and LLLT may favorably influence the healing of nerve crush injury. Four weeks after nerve injury F1 group showed the best results suggesting recovery acceleration; at 8th week F1 and LLLT&amp;F1 groups presented better features and higher vascularization that could be associated with VEGF maintenance."</t>
  </si>
  <si>
    <t>Effects of Photobiomodulation on Functionality in Wistar Rats with Sciatic Nerve Injury.</t>
  </si>
  <si>
    <t>LLLT nerve
LLLT muscle 
LLLT nerve + muscle</t>
  </si>
  <si>
    <t>10
(muscle)
20 
(nerve)</t>
  </si>
  <si>
    <t>10 
(muscle)
20
(nerve)</t>
  </si>
  <si>
    <t>"LLLT improve functional aspects related to gait, mechanical sensitivity and muscle mass, with better results regarding motor aspects and muscle mass when administered over the injured nerve and better results regarding sensory aspects when administered over the muscle."
Comment: The benefits at the last time point (4 weeks) are modest at best.</t>
  </si>
  <si>
    <t>de Almeida Melo Maciel Mangueira</t>
  </si>
  <si>
    <t>Biochemical changes in injured sciatic nerve of rats after low-level laser therapy (660 nm and 808 nm) evaluated by Raman spectroscopy.</t>
  </si>
  <si>
    <t>133
133</t>
  </si>
  <si>
    <t>30
30</t>
  </si>
  <si>
    <t>"The RS was effective in identifying the biochemical differences in the SN after the crush injury, and LASER 660 nm was more efficient than the LASER 808 nm in cell proliferation and repair of the injured SN."</t>
  </si>
  <si>
    <t>Comparative effect of photobiomodulation associated with dexamethasone after sciatic nerve injury model.</t>
  </si>
  <si>
    <t>"In functional and static analysis, all groups presented significant differences when compared to the injured group. In the analysis of the SSI results, the group treated with both LLLT and dexamethasone was more effective in improving the values of this parameter, and in the SFI, the laser-treated group obtained better results. In the evaluation through the open field and the Hargreaves, there was no difference. 
The application of LLLT and dexamethasone was effective in nerve regeneration according to the results and was more effective when LLLT was associated with dexamethasone than in LLLT alone for the SSI."</t>
  </si>
  <si>
    <t>Mashhoudi Barez</t>
  </si>
  <si>
    <t>Stimulation Effect of Low Level Laser Therapy on Sciatic Nerve Regeneration in Rat.</t>
  </si>
  <si>
    <t>"The results of the current study suggest that laser phototherapy at 780 nm exactly could accelerate the regeneration process of injured peripheral nerves tissue."</t>
  </si>
  <si>
    <t>Andraus</t>
  </si>
  <si>
    <t>LLLT actives MMP-2 and increases muscle mechanical resistance after nerve sciatic rat regeneration.</t>
  </si>
  <si>
    <t>35
70
140
280</t>
  </si>
  <si>
    <t>"The present study demonstrated that injury of the sciatic nerve, with consequent muscle denervation, are benefited by the laser therapy, which restores neuromuscular function, active MMP-2 and increases the maximum breaking strength."</t>
  </si>
  <si>
    <t>Ziago</t>
  </si>
  <si>
    <t>Analysis of the variation in low-level laser energy density on the crushed sciatic nerves of rats: a morphological, quantitative, and morphometric study.</t>
  </si>
  <si>
    <t>"Groups L0, L4, L10, and L50 exhibited diminished values of all the quantitative and morphometric parameters in comparison to the control group. The morphological, quantitative, and morphometric data revealed improvement after injury in groups L4, L10, and L50 (irradiated groups) compared to the injured-only group (L0); the best results, in general, were observed for the L10 group after 15 days of nerve injury."</t>
  </si>
  <si>
    <t>Yang &amp; Huang</t>
  </si>
  <si>
    <t>Synergistic effects of low-level laser and mesenchymal stem cells on functional recovery in rats with crushed sciatic nerves.</t>
  </si>
  <si>
    <t>"The MSCLLLT group showed a greater recovery in SFI, VA and AA, with significant difference from MSC, LLLT and control groups (p &lt; 0.05). Moreover, markedly enhanced electrophysiological function and expression of S100 immunoreactivity, as well as fewer inflammatory cells and less vacuole formation were also demonstrated after nerve crush injury in the MSCLLLT group when compared with the groups receiving a single treatment (p &lt; 0.05).
MSC transplantation combined with LLLT could achieve better results in functional recovery than a conventional treatment of MSC or LLLT alone. LLLT has a synergistic effect in providing greater functional recovery with MSC transplantation after nerve crush injury."</t>
  </si>
  <si>
    <t>Mandelbaum-Livnat</t>
  </si>
  <si>
    <t>Photobiomodulation Triple Treatment in Peripheral Nerve Injury: Nerve and Muscle Response.</t>
  </si>
  <si>
    <t>"In the present study, the effectiveness of triple treatment laser phototherapy, namely, applied simultaneously at three areas: injured area of the peripheral nerve, corresponding segments of the spinal cord, and corresponding denervated muscle (triple treatment), was evaluated for the treatment of incomplete PNI in rats with the ultimate goal of achieving improved limb function."
"The present study and our previous investigations showed that the laser phototherapy increases biochemical activity and improves morphological recovery in muscle and, thus, could have direct therapeutic applications on muscle, especially during progressive atrophy resulting from PNI."</t>
  </si>
  <si>
    <t>J Neurol Sci</t>
  </si>
  <si>
    <t>Morphometric and high resolution scanning electron microscopy analysis of low-level laser therapy and latex protein (Hevea brasiliensis) administration following a crush injury of the sciatic nerve in rats.</t>
  </si>
  <si>
    <t>LLLT vs latex protein</t>
  </si>
  <si>
    <t>0.04
cm2
spot
0.12
total</t>
  </si>
  <si>
    <t>"LLLT and F1 resulted in structural nerve improvements after 4 or 8 weeks of injury."
"In general only F1 protein was more effective compared to LLLT and LLLT + F1"</t>
  </si>
  <si>
    <t>Effect of low-level laser therapy (685 nm, 3 J/cm(2)) on functional recovery of the sciatic nerve in rats following crushing lesion.</t>
  </si>
  <si>
    <t>"The SFI and SSI results were significant when comparing two groups on the 14th and 21st postoperative days (p &lt; 0.05). There were intra-group differences detected in laser group in different periods (p &lt; 0.05). Low-level laser irradiation, with the parameters used in the present study, accelerated and improved sciatic nerve function in rats after crushing injury."</t>
  </si>
  <si>
    <t>Takhtfooladi &amp; Sharifi</t>
  </si>
  <si>
    <t>A comparative study of red and blue light-emitting diodes and low-level laser in regeneration of the transected sciatic nerve after an end to end neurorrhaphy in rabbits.</t>
  </si>
  <si>
    <t>Nerve injury
LLLT vs LED
Blue light 🔵</t>
  </si>
  <si>
    <t>680
650
450</t>
  </si>
  <si>
    <t>10
2.4
2.4</t>
  </si>
  <si>
    <t>4
mm2
1.5
cm2
1.5
cm2</t>
  </si>
  <si>
    <t>600
600
600</t>
  </si>
  <si>
    <t>14
14
14</t>
  </si>
  <si>
    <t>In LLLT group (680nm), increase in Schwann cells, large myelinic axons and neurons was noted, compared to other groups.
Red LED (650nm) treatment wasn't beneficial in this study.</t>
  </si>
  <si>
    <t>The parameters were slightly different in the LLLT vs LED groups. Cytochrome oxidase action spectrum could also explain why 680nm was more beneficial than 650nm.</t>
  </si>
  <si>
    <t>Low-level laser irradiation improves functional recovery and nerve regeneration in sciatic nerve crush rat injury model.</t>
  </si>
  <si>
    <t>Nerve injury
Sciatic nerve
Biphasic dose response</t>
  </si>
  <si>
    <t>3
8
15</t>
  </si>
  <si>
    <t>3.8
cm2</t>
  </si>
  <si>
    <t>67
179
336</t>
  </si>
  <si>
    <t>"Taken together, these results suggest that 808-nm LLLT at a low energy density (3 J/cm(2) and 8 J/cm(2)) is capable of enhancing sciatic nerve regeneration following a crush injury."</t>
  </si>
  <si>
    <t>Low-Level Laser-Accelerated Peripheral Nerve Regeneration within a Reinforced Nerve Conduit across a Large Gap of the Transected Sciatic Nerve in Rats</t>
  </si>
  <si>
    <t>0.1
cm2
beam</t>
  </si>
  <si>
    <t>10
/10 days</t>
  </si>
  <si>
    <t>"Motor function, electrophysiological reactions, muscular reinnervation, and histomorphometric assessments all demonstrate that the proposed therapy accelerated the repair of transected peripheral nerves bridged using a GGT nerve conduit."</t>
  </si>
  <si>
    <t>Application of a low-level laser therapy and the purified protein from natural latex (Hevea brasiliensis) in the controlled crush injury of the sciatic nerve of rats: a morphological, quantitative, and ultrastructural study.</t>
  </si>
  <si>
    <t>"The application of LLLT and/or P1 improved the recovery from the nerve crush injury, and in the long term, the P1 protein was the better treatment used, since only the application of LLLT has not reached the same results, and these treatments applied together did not potentiate the recovery."</t>
  </si>
  <si>
    <t>Neural regeneration in a novel nerve conduit across a large gap of the transected sciatic nerve in rats with low-level laser phototherapy.</t>
  </si>
  <si>
    <t>"Histomorphometric assessments showed that the EGT/LS group had undergone more rapid nerve regeneration than the EGT group. Therefore, motor function, electrophysiological reaction, muscular reinnervation, and histomorphometric assessments demonstrate that LLL therapy can accelerate the repair of a 15-mm transected peripheral nerve in rats after being bridged with the EGT nerve conduit."</t>
  </si>
  <si>
    <t>Alcântara</t>
  </si>
  <si>
    <t>Effect of low-level laser therapy (LLLT) on acute neural recovery and inflammation-related gene expression after crush injury in rat sciatic nerve.</t>
  </si>
  <si>
    <t>Sciatic nerve</t>
  </si>
  <si>
    <t>"The current study showed that LLLT increased MMPs activity, mainly MMP-9, and TNF-α protein level during the acute phase of nerve injury, modulating inflammation.
Based on these results, it is recommended that LLLT should be started as soon as possible after peripheral nerve injury."</t>
  </si>
  <si>
    <t>Cidral-Filho</t>
  </si>
  <si>
    <t>Eur J Pain</t>
  </si>
  <si>
    <t>Light-emitting diode therapy induces analgesia and decreases spinal cord and sciatic nerve tumour necrosis factor-α levels after sciatic nerve crush in mice.</t>
  </si>
  <si>
    <t>2,5</t>
  </si>
  <si>
    <t>"Compared with the SNC group, LEDT reduced mechanical hypersensitivity but not cold hypersensitivity which is induced by SNC, decreased spinal cord and sciatic nerve levels of tumour necrosis factor alpha (TNF-α) but did not alter interleukin (IL)-1β and IL-10 levels, and finally, failed to accelerate motor functional recovery and morphological nerve regeneration."</t>
  </si>
  <si>
    <t>Effects of large-area irradiated laser phototherapy on peripheral nerve regeneration across a large gap in a biomaterial conduit.</t>
  </si>
  <si>
    <t>"Histomorphometric assessments revealed that the EGT/laser group had undergone more rapid nerve regeneration than the EGT/sham group. The laser-treated group also presented greater neural tissue area as well as larger axon diameter and thicker myelin sheath than the tube group without the laser treatment, indicating improved nerve regeneration. Thus, these assessments demonstrate that LLL therapy can accelerate the repair of a transected peripheral nerve in rats after being bridged with EGT conduit."</t>
  </si>
  <si>
    <t>Marcolino</t>
  </si>
  <si>
    <t>J Hand Microsurg</t>
  </si>
  <si>
    <t>Assessment of functional recovery of sciatic nerve in rats submitted to low-level laser therapy with different fluences. An experimental study: laser in functional recovery in rats.</t>
  </si>
  <si>
    <t>1.16
4.64
9.28</t>
  </si>
  <si>
    <t>10
40
80</t>
  </si>
  <si>
    <t>39
155
309</t>
  </si>
  <si>
    <t>"It was possible to observe that the LLLT at fluency of 40 J/cm(2) and 80 J/cm(2) had a positive influence on the acceleration of the functional nerve recovery."</t>
  </si>
  <si>
    <t>Serafim</t>
  </si>
  <si>
    <t>Effects of 940 nm light-emitting diode (led) on sciatic nerve regeneration in rats.</t>
  </si>
  <si>
    <t>Nerve injury
LED phototherapy</t>
  </si>
  <si>
    <t>"The morphological analysis of the nerve indicated that phototherapy can reduce the migration of mononuclear cells to damaged tissue, which reduces areas of edema and fiber degeneration. A 940 nm LED phototherapy source seems to favor the early functional recovery of the injured sciatic nerve."</t>
  </si>
  <si>
    <t>Low-level laser therapy alleviates neuropathic pain and promotes function recovery in rats with chronic constriction injury: possible involvements in hypoxia-inducible factor 1α (HIF-1α).</t>
  </si>
  <si>
    <t>Chronic constructive injury (CCI)
Allodynia
Inflammation</t>
  </si>
  <si>
    <t>"Low-level laser therapy significantly improved paw withdrawal threshold and the sciatic, tibial, and peroneal functional indices after CCI. The therapy also significantly reduced the overexpressions of HIF-1α, TNF-α, and IL-1β, and increased the amounts of VEGF, NGF, and S100 proteins.
In conclusion, a low-level laser could modulate HIF-1α activity. Moreover, it may also be used as a novel and clinically applicable therapeutic approach for the improvement of tissue hypoxia/ischemia and inflammation in nerve entrapment neuropathy, as well as for the promotion of nerve regeneration. These findings might lead to a sufficient morphological and functional recovery of the peripheral nerve."</t>
  </si>
  <si>
    <t>Brazil
(Blumenau)</t>
  </si>
  <si>
    <t>The brain-derived neurotrophic factor, nerve growth factor, neurotrophin-3, and induced nitric oxide synthase expressions after low-level laser therapy in an axonotmesis experimental model.</t>
  </si>
  <si>
    <t>Axonotmesis</t>
  </si>
  <si>
    <t>0.0005
(?)
or
0.5 (?)</t>
  </si>
  <si>
    <t>0.10
cm2
spot
1
cm2
total</t>
  </si>
  <si>
    <t>"Comparisons between groups showed that HeNe laser increased the mRNA expression of both BDNF and NGF factors after 14 days of LLLT, with peak expression at the 21st day. Increase in NT-3 mRNA expression was not observed. In addition, HeNe laser produced iNOS expression reduction, which played an important role in the inflammatory process."</t>
  </si>
  <si>
    <t>J Peripher Nerv Syst</t>
  </si>
  <si>
    <t>Inhibitory effects of visible 650-nm and infrared 808-nm laser irradiation on somatosensory and compound muscle action potentials in rat sciatic nerve: implications for laser-induced analgesia.</t>
  </si>
  <si>
    <t>"The 650-nm LI decreased SSEP amplitudes and increased latency after 20 min. CMAP proximal amplitudes and hip/ankle (H/A) ratios decreased at 10 and 20 min with increases in proximal latencies approaching significance."
"The 808-nm LI decreased SSEP amplitudes and increased latencies at 10 and 20 min. CMAP proximal amplitudes and H/A ratios decreased at 10 and 20 min. Latencies were not significantly increased."
"All LI changes for both wavelengths returned to baseline by 48 h."
"These results strengthen the hypothesis that a neural mechanism underlies the clinical effectiveness of LLLT for painful conditions."</t>
  </si>
  <si>
    <t>Câmara</t>
  </si>
  <si>
    <t>Brazil
(Belém)</t>
  </si>
  <si>
    <t>Histological analysis of low-intensity laser therapy effects in peripheral nerve regeneration in Wistar rats.</t>
  </si>
  <si>
    <t>0.0413</t>
  </si>
  <si>
    <t>0.63
cm2</t>
  </si>
  <si>
    <t>"The irradiation with low intensity laser (904nm) influenced positively the regeneration of the sciatic nerve in Wistar rats after being injured by crush (axonotmesis), becoming the nerve recovery more rapid and efficient."</t>
  </si>
  <si>
    <t>Large-area irradiated low-level laser effect in a biodegradable nerve guide conduit on neural regeneration of peripheral nerve injury in rats.</t>
  </si>
  <si>
    <t>50
(?)
or
1000
(?)</t>
  </si>
  <si>
    <t>0.0032</t>
  </si>
  <si>
    <t>3.84</t>
  </si>
  <si>
    <t>314
cm2</t>
  </si>
  <si>
    <t>"Eight weeks after implantation, walking track analysis showed a significantly higher sciatic function index (SFI) score (P&lt;0.05) and better toe spreading development in the laser-treated group than in the sham-irradiated control group.
For electrophysiological measurement, both the mean peak amplitude and nerve conduction velocity of compound muscle action potentials (CMAPs) were higher in the laser-treated group than in the sham-irradiated group. The two groups were found to be significantly different during the experimental period (P&lt;0.005).
Histomorphometric assessments revealed that the qualitative observation and quantitative analysis of the regenerated nerve tissue in the laser-treated group were superior to those of the sham-irradiated group.
Thus, the motor functional, electrophysiologic and histomorphometric assessments demonstrate that LLL therapy can accelerate neural repair of the corresponding transected peripheral nerve after bridging the GGT nerve guide conduit in rats."</t>
  </si>
  <si>
    <t>Ishiguro</t>
  </si>
  <si>
    <t>J Orthop Sci</t>
  </si>
  <si>
    <t>Effect of near-infrared light-emitting diodes on nerve regeneration.</t>
  </si>
  <si>
    <t xml:space="preserve">"Nerve regeneration was promoted in the LED group. Antioxidation of the chamber fluid significantly decreased from 3 days to 7 days in the control group. In the LED group, antioxidation levels did not decrease until 7 days."
</t>
  </si>
  <si>
    <t>China
(Shenyang)</t>
  </si>
  <si>
    <t>Synapse</t>
  </si>
  <si>
    <t>Effects of 660-nm gallium-aluminum-arsenide low-energy laser on nerve regeneration after acellular nerve allograft in rats.</t>
  </si>
  <si>
    <t>24
(?)</t>
  </si>
  <si>
    <t>"Compared with the ARSN group, laser therapy significantly increased nerve conduction velocity, restoration rate of tibialis anterior wet muscle weight, myelinated nerve number, and CGRP protein and mRNA expression of the L(4) spinal cord at the injury site."
Comment: Irradiation parameters were insufficiently reported.</t>
  </si>
  <si>
    <t>Effects of 660 and 780 nm low-level laser therapy on neuromuscular recovery after crush injury in rat sciatic nerve.</t>
  </si>
  <si>
    <t>10
60
120</t>
  </si>
  <si>
    <t>"Six hundred sixty nanometer LLLT either using 10 or 60 J/cm² restored muscle fiber, myelin and nerve fiber CSA compared to the normal group (N)."</t>
  </si>
  <si>
    <t>Comparative effects of wavelengths of low-power laser in regeneration of sciatic nerve in rats following crushing lesion.</t>
  </si>
  <si>
    <t>0.06
0.116
cm2</t>
  </si>
  <si>
    <t>20
38.66</t>
  </si>
  <si>
    <t>"Differences in SFI were found between group 660 nm and the other ones at the 14th day. One can observe that laser application at 660 nm with the parameters and methods utilised was effective in promoting early functional recovery, as indicated by the SFI, over the period evaluated."
Comment: 830nm was not effective in this study. In the 660nm group, the SFI benefit was not very large.</t>
  </si>
  <si>
    <t>Belchior</t>
  </si>
  <si>
    <t>Influence of laser (660 nm) on functional recovery of the sciatic nerve in rats following crushing lesion.</t>
  </si>
  <si>
    <t>"The utilization of low-power gallium–aluminum–arsenide laser (660 nm) showed positive results with regard to functional recovery in the sciatic nerve of rats following crushing lesion."</t>
  </si>
  <si>
    <t>Effect of laser therapy (660 nm) on recovery of the sciatic nerve in rats after injury through neurotmesis followed by epineural anastomosis.</t>
  </si>
  <si>
    <t>0.63
cm2
(spot)</t>
  </si>
  <si>
    <t>"The use of AlGaAs laser (660 nm) provided significant changes to the morphometrically assessed area of the myelin sheath, but it did not culminate in positive results for functional recovery in the sciatic nerve of the rats after injury through neurotmesis."</t>
  </si>
  <si>
    <t>Efficacy of 780-nm laser phototherapy on peripheral nerve regeneration after neurotube reconstruction procedure (double-blind randomized study).</t>
  </si>
  <si>
    <t>6
mm2
spot</t>
  </si>
  <si>
    <t>900
+
900</t>
  </si>
  <si>
    <t>"At 3 months after surgery, positive somato-sensory evoked responses were found in 70% of the irradiated rats (p = 0.015), compared to 30% of the non-irradiated rats. The Sciatic Functional Index in the irradiated group was higher than in the non-irradiated group (p &lt; 0.05). Morphologically, the nerves were completely reconnected in both groups, but the laser-treated group showed an increased total number of myelinated axons."
"The results of this study suggest that postoperative 780-nm laser phototherapy enhances the regenerative process of the peripheral nerve after reconnection of the nerve defect using a PGA neurotube."</t>
  </si>
  <si>
    <t>Microsurgery</t>
  </si>
  <si>
    <t>Effect of low-power pulsed laser on peripheral nerve regeneration in rats.</t>
  </si>
  <si>
    <t>Harmful effects from LLLT</t>
  </si>
  <si>
    <t>"After 8 weeks of recovery, pulsed laser-irradiated groups at frequencies of 5 kHz and 20 kHz both had significantly lower success percentages of regeneration (50% and 44%, respectively) compared to sham-irradiated controls (100%). In addition, qualitative and quantitative histology of the regenerated nerves revealed a less mature ultrastructural organization with a smaller cross-sectional area and a lower number of myelinated axons in both pulsed laser-irradiated groups than in controls.
These results suggest that pulsed laser irradiation could elicit suppressing effects on regenerating nerves."
Jan Tunér published a comment on this paper, mentioning some interesting things: [see Additional info]</t>
  </si>
  <si>
    <t>Jan Tunér: 
"The authors have used a 904-nm GaAs laser. This type of laser is always pulsed with very high peak powers, but with rather low average powers."
"It is quite feasible that the negative effect of the 904 nm laser was not wavelength speciﬁc, but rather due to its superpulsed character. It was reported already in 1984 by Abergel that GaAs requires much lower dosages than continuous lasers for stimulation of collagen."
"Lasers can not only stimulate; doses above of the ‘‘therapeutic window’’ will have an inhibitory effect. For pain treatment this is a valuable quality, for stimulation not."
"None of the researchers in the articles referred to have used 904-nm GaAs and it cannot be taken for granted that continuous and superpulsed lasers have the same biological effect. Therefore, the conclusion of Chen et al. is correct and valuable considering the lack of effect obtained in their experiment but incorrect in comparing their experiment with previous experiments using other wavelengths and modes. Not only are the effects of superpulsed and continuous lasers different but also there are also two types of ‘‘pulsing’’— the superpulsing and the ‘‘chopped’’ wave,where each pulse is part of a continuous emission. It can be hypothesized that the lack of effect reported by Chen et al. is an example of bio-inhibition."</t>
  </si>
  <si>
    <t>Growth-associated protein-43 is elevated in the injured rat sciatic nerve after low power laser irradiation.</t>
  </si>
  <si>
    <t>"This immunocytochemical study using GAP-43 antibody study shows for the first time that LPLI has an effect on the early stages of the nerve recovery process following sciatic nerve injury."</t>
  </si>
  <si>
    <t>Bagis</t>
  </si>
  <si>
    <t>No effect of GA-AS (904 nm) laser irradiation on the intact skin of the injured rat sciatic nerve.</t>
  </si>
  <si>
    <t>0.31
2.48
19</t>
  </si>
  <si>
    <t>"No statistically significant difference (p &gt; 0.05) was found regarding the amplitude, area, duration and conduction velocity of CMAP for each applied dose (0.31, 2.48 and 19 J/cm2) on the irradiated (right) side and the control (left) side, or between irradiated groups. Twenty-one days after injury there were no qualitative differences in the morphological pattern of the regenerated nerve fibres in either irradiated (0.31, 2.48 and 19 J/cm2) or control nerves when evaluated by light microscopy. This study showed that low-energy GaAs irradiation did not have any effect on the injured rat sciatic nerve."</t>
  </si>
  <si>
    <t>Effects of laser irradiation on the spinal cord for the regeneration of crushed peripheral nerve in rats.</t>
  </si>
  <si>
    <t>"The electrophysiologic activity of the injured nerves (compound muscle action potentials--CMAPs) was found to be approximately 90% of the normal precrush value and remained so for up to a long period of time. In the control nonirradiated group, electrophysiologic activity dropped to 20% of the normal precrush value at day 21 and showed the first signs of slow recovery 30 days after surgery. The two groups were found to be significantly different during follow-up period (P &lt; 0.001)."
Comment: Parameters were insufficiently reported.</t>
  </si>
  <si>
    <t>Shamir</t>
  </si>
  <si>
    <t>J Reconstr Microsurg</t>
  </si>
  <si>
    <t>Double-blind randomized study evaluating regeneration of the rat transected sciatic nerve after suturing and postoperative low-power laser treatment.</t>
  </si>
  <si>
    <t>Nerve injury
n. ischiadicus</t>
  </si>
  <si>
    <t>"Positive somatosensory evoked responses were found in 69.2 percent of the irradiated rats (p = 0.019), compared to 18.2 percent of the non-irradiated rats. Immunohistochemical staining in the laser-treated group showed an increased total number of axons (p = 0.026), and better quality of the regeneration process, due to an increased number of large-diameter axons (p = 0.021), compared to the non-irradiated control group."</t>
  </si>
  <si>
    <t>Khullar</t>
  </si>
  <si>
    <t>The effects of low level laser treatment on recovery of nerve conduction and motor function after compression injury in the rat sciatic nerve.</t>
  </si>
  <si>
    <t>830
(or
820?)</t>
  </si>
  <si>
    <t>"At 21 d post-injury, the laser-treated group had a significantly lower median SFI than the sham laser-treated group, indicating that the real laser treatment had improved functional recovery in the nerve. However, no differences were found between the evoked cAP parameters that were measured in the laser-treated and sham laser-treated groups. Histological examination reiterated the lack of difference between the two groups. Consequently, the effects of LLL on recovery must have occurred more peripherally to the point measured."</t>
  </si>
  <si>
    <t>Neurosurgery</t>
  </si>
  <si>
    <t>Stimulatory effect of He-Ne low dose laser on injured sciatic nerves of rats.</t>
  </si>
  <si>
    <t>"The action potential of the injured sciatic nerves that were laser-irradiated increased to values close to that of a noninjured nerve. The studies include follow-up for 1 year after the injury. This electrophysiological manifestation of the effect of laser treatment on injured nerves was accompanied by a diminution of the size of the scar tissue from these nerves. Yet to be resolved is whether these two phenomena (i.e., electrophysiological and morphological responses) coincide or whether they relate to each other."</t>
  </si>
  <si>
    <t>Response of peripheral nerve to He-Ne laser: experimental studies.</t>
  </si>
  <si>
    <t>"Action potential (AP) in the healthy nerve increased by 33% following a single transcutaneous irradiation. Similar irradiation in crushed nerves caused AP to increase significantly over the AP of nonirradiated crushed nerve. Morphological observations revealed that a laser-irradiated injured nerve had diminished scar tissue as compared to an injured but not an irradiated nerve."</t>
  </si>
  <si>
    <t>Electrophysiological effect of HeNe laser on normal and injured sciatic nerve in the rat.</t>
  </si>
  <si>
    <t>"HeNe irradiation was found to increase significantly the action potentials of the nerves. It was found to be a long-lasting effect, keeping an increase in the nerves action potential for more than eight months after irradiation has been stopped. A possible explanation for the way the irradiation acts on the nerve is suggested."</t>
  </si>
  <si>
    <t>HeNe laser irradiation delivered transcutaneously: its effect on the sciatic nerve of rats.</t>
  </si>
  <si>
    <t>3.5-
7</t>
  </si>
  <si>
    <t>4-
10</t>
  </si>
  <si>
    <t>"An optimal range of energy between 3.5 and 7 J--associated with energy concentration of 4-10 J/cm2 delivered transcutaneously--was found to cause a significant increase in action potential in the sciatic nerve. The effect lasted for more than 8 months after the irradiation session."</t>
  </si>
  <si>
    <t>PNS: Sural nerve</t>
  </si>
  <si>
    <t>Effect of low-level laser therapy (LLLT) on peripheral nerve regeneration using fibrin glue derived from snake venom.</t>
  </si>
  <si>
    <t>Nerve regeneration
Sural nerve</t>
  </si>
  <si>
    <t>16
/point</t>
  </si>
  <si>
    <t>"The present study demonstrated that the fibrin glue makes axonal regeneration feasible and is an efficient method to recover injured peripheral nerves, and the use of low-level laser therapy enhances nerve regeneration."</t>
  </si>
  <si>
    <t>PNS</t>
  </si>
  <si>
    <t>Fellin</t>
  </si>
  <si>
    <t>Photobiomodulation and Vascularization in Conduit-Based Peripheral Nerve Repair: A Narrative Review</t>
  </si>
  <si>
    <t>"Stimulating angiogenesis within NGCs can help alleviate oxygen deficiency through rapid inosculation with the host vasculature, whereas photobiomodulation therapy (PBMT) has demonstrated beneficial therapeutic effects on regenerating nerve cells and neovascularization. In this review, we discuss the current trends of NGCs, vascularization, and PBMT as treatments for peripheral nerve neurotmesis and highlight the need for a combinatorial approach to improve functional and clinical outcomes."</t>
  </si>
  <si>
    <t>Rochkind &amp; Almog</t>
  </si>
  <si>
    <t>Protective Effect of Photobiomodulation on Denervated and Crushed Muscle</t>
  </si>
  <si>
    <t>Neurol Sci</t>
  </si>
  <si>
    <t>Efficacy of low-level laser therapy in nerve injury repair-a new era in therapeutic agents and regenerative treatments</t>
  </si>
  <si>
    <t>"We found evidence that LLLT optimizes the regeneration of peripheral axons, improving motor function, especially in animal models. Nonetheless, further clinical evidence is still needed before LLLT can be strongly recommended. Although the results are promising, the elucidation of the mechanisms of action and safety assessment are necessary to support highquality clinical studies."</t>
  </si>
  <si>
    <t>Photobiomodulation Therapy (PBMT) in Peripheral Nerve Regeneration: A Systematic Review.</t>
  </si>
  <si>
    <t>📚 Systematic review of animal studies</t>
  </si>
  <si>
    <t>"54 articles were obtained, 26 articles of which were chosen for the study according to the inclusion criteria. 
In the qualitative aspect, it was observed that PBMT was able to accelerate the process of nerve regeneration, presenting an increase in the number of myelinated fibers and a better lamellar organization of myelin sheath, besides improvement of electrophysiological function, immunoreactivity, high functionality rate, decrease of inflammation, pain, and the facilitation of neural regeneration, release of growth factors, increase of vascular network and collagen. It was concluded that PBMT has beneficial effects on the recovery of nerve lesions, especially when related to a faster regeneration and functional improvement, despite the variety of parameters."</t>
  </si>
  <si>
    <t>Effects of photobiomodulation on experimental models of peripheral nerve injury.</t>
  </si>
  <si>
    <t>📖 Review
(📚 Systematic review of animal studies)</t>
  </si>
  <si>
    <t>"The laser parameter variability was wavelength (632.8 to 980 nm), power (10 to 190 mW), and total energy (0.15 to 90 J) in pulsed or continuous wave and single or multiple points. Eighteen original articles demonstrating the effects of LLLT on the acceleration of functional recovery, morphological aspects as well as the modulation of the expression inflammatory cytokines, and growth factors were selected.
LLLT is a viable phototherapeutic modality for the treatment of peripheral nerve injury, demonstrating positive effects on the neuromuscular repair process using either red or infrared light. The majority of studies used a power of up to 50 mW and total energy of up to 15 J administered to multiple points. The determination of these parameters is important to the standardization of a LLLT protocol to enhance the regeneration process following a peripheral nerve injury."</t>
  </si>
  <si>
    <t>📖 Review (systematic, no methodological assessment)</t>
  </si>
  <si>
    <t>Somatosensory neuropathy</t>
  </si>
  <si>
    <t>"There are 35 articles among which 10 articles had the intended and required criteria. 1, 3, and 6 articles study the patients with diabetes, neuropathy caused by trauma, and carpal tunnel syndrome, respectively. In six studies, laser led to a reduction in sensory impairment and improvement of the physiological function of the sensory nerves.
In these articles, lasers (Diode, GaAlAs, He-Ne) had wavelength range 660-860 nm, radiation power 20-250 mW, energy density 0.45-70 J/cm2. The intervention sessions range was 6-21 times and patient follow-up was 0-6 months.
According to the results of these studies, low-level laser therapy can improve sensory function in patients with peripheral somatosensory neuropathy, although little research have not been done, laser treatment regimens are varied and do not recommend a specific treatment protocol.
It seems it requires more research to sum up better, particularly in relation to diabetes."</t>
  </si>
  <si>
    <t>Benefits of laser phototherapy on nerve repair.</t>
  </si>
  <si>
    <t>"According to the findings of the literature, laser therapy accelerates and improves the regeneration of the affected nerve tissues, but there are many conflicting results about laser therapy. This can be attributed to several variables such as wavelength, radiation dose, and type of radiation. All the early in vivo studies assessed in this research were effective in restoring sensitivity.
Although these results indicate a potential benefit of the use of lasers on nerve repair, further double-blind controlled clinical trials should be conducted in order to standardize protocols for clinical application."</t>
  </si>
  <si>
    <t>Roles of reinforced nerve conduits and low-level laser phototherapy for long gap peripheral nerve repair</t>
  </si>
  <si>
    <t>"The results for these studies indicated that the GGT/laser system may be very helpful for long-gap nerve regeneration as well as for acceleration of the reinnervation rate of regenerated nerves, which may lead to sufficient morphologic and functional recovery of the peripheral nerve."</t>
  </si>
  <si>
    <t>Al-Shenqiti &amp; Oldham</t>
  </si>
  <si>
    <t>Saudi Arabia
(Medina)</t>
  </si>
  <si>
    <t>The use of phototherapy in peripheral nerve regeneration: an updated critical review.</t>
  </si>
  <si>
    <t>"Twenty five studies were critically reviewed and showed considerable variability in irradiation parameters, techniques, approaches, length of irradiation courses, experimental injury tools and procedures. Many studies that have investigated the use of phototherapy in nerve regeneration produce positive results.
However, the majority of these studies suffered from a number of shortcomings: no evidence of blinding and/or randomizing procedures, lack of specification of irradiation parameters, unspecified and/or inadequate tests in their experimental injury procedures, inappropriate irradiation parameters and/or poor experimental conditions."
"Although the mechanism by which phototherapy exerts its effect is not completely understood, the emerging utility and effectiveness of phototherapy in peripheral nerve injury is exciting, and we anticipate further advancement and application of this modality in the near future."</t>
  </si>
  <si>
    <t>Rochkind S</t>
  </si>
  <si>
    <t>Phototherapy in peripheral nerve injury for muscle preservation and nerve regeneration.</t>
  </si>
  <si>
    <t>"The extensive review articles, which were published in Muscle and Nerve and Neurosurgical Focus revealed that most of experimental studies showed phototherapy to promote the recovery of the severely injured peripheral nerve. These reviews make it possible to suggest that a time for broader clinical trials has arrived. The significance of the experimental and clinical studies is the provision of new laser technology for treatment of severe nerve injury."</t>
  </si>
  <si>
    <t>BOOK: Int Rev Neurobiol</t>
  </si>
  <si>
    <t>Phototherapy and nerve injury: focus on muscle response.</t>
  </si>
  <si>
    <t>📖 Review
+ new data</t>
  </si>
  <si>
    <t>"Preservation of biochemical processes in muscles is a major challenge in patients with severe peripheral nerve injury. In this chapter, we address the effects of laser irradiation and biochemical transformation in muscle, using in vitro and in vivo experimental models. The authors attempt to explain the possible mechanism of laser phototherapy applied on skeletal muscle on the basis of literature review and new results."</t>
  </si>
  <si>
    <t>Chow R</t>
  </si>
  <si>
    <t>Phototherapy and the peripheral nervous system.</t>
  </si>
  <si>
    <t>"Effects of laser irradiation on the peripheral nervous system (PNS) underlie the potential for phototherapy to be acknowledged as a mainstream therapy for the future. Pain and inflammation are among the most important manifestations of PNS function and the spectrum of diseases with these symptoms and signs, from osteoarthritis to diabetic neuropathy, which can be modified by phototherapy, is vast [...]"</t>
  </si>
  <si>
    <t>Neurosurg Focus</t>
  </si>
  <si>
    <t>Phototherapy in peripheral nerve regeneration: From basic science to clinical study.</t>
  </si>
  <si>
    <t>"Laser activation of nerve cells, their growth, and axonal sprouting can be considered as potential treatment of neuronal injury. Animal and clinical studies show the promoting action of phototherapy on peripheral nerve regeneration, making it possible to suggest that the time for broader clinical trials has arrived."</t>
  </si>
  <si>
    <t>Review of 30-years experience: laser phototherapy in neuroscience and neurosurgery part I -muscle and nerve</t>
  </si>
  <si>
    <t>"Laser phototherapy temporarily preserves the function of a denervated muscle and accelerates and enhances axonal growth and regeneration after peripheral nerve injury or reconstructive procedures. Animal and clinical studies have both demonstrated the promoting action of phototherapy on peripheral nerve regeneration, which makes it possible to suggest that the time for broader clinical trials has come."</t>
  </si>
  <si>
    <t>Phototherapy in peripheral nerve injury: effects on muscle preservation and nerve regeneration.</t>
  </si>
  <si>
    <t>"Animal and clinical studies show the promoting action of phototherapy on peripheral nerve regeneration, which makes it possible to suggest that the time for broader clinical trials has come."</t>
  </si>
  <si>
    <t>Phototherapy for enhancing peripheral nerve repair: a review of the literature.</t>
  </si>
  <si>
    <t>"The present article reviews literature on one possible rehabilitation approach for enhancing nerve recovery, namely phototherapy. The number of experimental studies that have reported on the promoting action of phototherapy on peripheral nerve regeneration, together with the few known side effects related to the use of this type of physical therapy, make it possible to suggest that the time for broader clinical trials has come."</t>
  </si>
  <si>
    <t>Neurol Res</t>
  </si>
  <si>
    <t>Phototherapy promotes regeneration and functional recovery of injured peripheral nerve.</t>
  </si>
  <si>
    <t>"Numerous attempts have been made to enhance and/or accelerate the recovery of injured peripheral nerves. One of the methods studied is the use of phototherapy (low power laser or light irradiation) to enhance recovery of the injured peripheral nerve."</t>
  </si>
  <si>
    <t>Photobiomodulation combination therapy as a new insight in neurological disorders: a comprehensive systematic review</t>
  </si>
  <si>
    <t>📚 Systematic review (clinical + preclinical)</t>
  </si>
  <si>
    <t>"95 potentially eligible articles on PBM-combined treatment strategies for neurological and neuropsychological disorders were identified, including 29 preclinical studies and 66 clinical trials.According to the findings, seven major categories of studies were identified based on disease type: neuropsychiatric diseases, neurodegenerative diseases, ischemia, nerve injury, pain, paresis, and neuropathy. 
These studies looked at the effects of laser therapy in combination with other therapies like pharmacotherapies, physical therapies, exercises, stem cells, and experimental materials on neurological disorders in both animal models and humans. 
The findings suggested that most combination therapies could produce synergistic effects, leading to better outcomes for treating neurologic and psychiatric disorders and relieving symptoms.These findings indicate that the combination of PBM may be a useful adjunct to conventional and experimental treatments for a variety of neurological and psychological disorders."</t>
  </si>
  <si>
    <t>Ramezani</t>
  </si>
  <si>
    <t>Mechanistic aspects of photobiomodulation therapy in the nervous system</t>
  </si>
  <si>
    <t>"Photobiomodulation therapy (PBMT) previously known as low-level laser therapy (LLLT) has been used for over 30 years, to treat neurological diseases. Low-powered lasers are commonly used for clinical applications, although recently LEDs have become popular. Due to the growing application of this type of laser in brain and neural-related diseases, this review focuses on the mechanisms of laser action. The most important points to consider include the photon absorption by intracellular structures; the effect on the oxidative state of cells; and the effect on the expression of proteins involved in oxidative stress, inflammation, pain, and neuronal growth."</t>
  </si>
  <si>
    <t>Photobiomodulation in Neuroscience: A Summary of Personal Experience.</t>
  </si>
  <si>
    <t>"Laser photobiomodulation was shown to induce nerve cell activation, have a positive effect on metabolism of the nerve cells, and to stimulate nerve sprouting processes. Studies investigating the effects of laser photobiomodulation on injured peripheral nerves in rats reported immediate protective effects which increase the functional activity of the nerve, decrease or prevent scar tissue formation at the injured site, prevent or decrease degeneration in corresponding motor neurons of the spinal cord, and significantly increase axonal growth and myelinization.
A direct application of laser on the spinal cord had a positive impact on the corresponding injured peripheral nerve and promoted recovery. A 780-nm laser phototherapy was applied following peripheral nerve reconstruction using a guiding nerve tube. Results showed myelinated axons crossing through the nerve tube and the continuation of axonal sprouting through the tube toward the distal part of the nerve.
In a double-blind, placebo-controlled randomized pilot clinical trial in patients with incomplete stable long-term peripheral nerve injury (PNI), 780-nm laser irradiation progressively improved peripheral nerve function and led to substantial functional recovery.
Muscle atrophy represents a major challenge in restorative medicine. Laser phototherapy was shown to increase biochemical activity and improve morphological recovery in muscle and, thus, could have a direct therapeutic application, especially during progressive muscle atrophy resulting from PNI. The effectiveness of composite implants of cultured embryonal nerve cells and the role of laser irradiation on regeneration and repair of the completely transected rat spinal cord were examined. Results suggested that laser photobiomodulation treatment accelerates the axonal growth."</t>
  </si>
  <si>
    <t>Spinal cord</t>
  </si>
  <si>
    <t>Behroozi</t>
  </si>
  <si>
    <t>Iran
(Kerman)</t>
  </si>
  <si>
    <t>Combined effect of Cerium oxide nanoparticles loaded scaffold and photobiomodulation therapy on pain and neuronal regeneration following spinal cord injury: an experimental study</t>
  </si>
  <si>
    <t>0.819</t>
  </si>
  <si>
    <t>0.197 cm2 beam area</t>
  </si>
  <si>
    <t>"The SC + Nano + PBMT group exhibited the most remarkable recovery outcomes. Thermal hyperalgesia responses were mitigated, with the combined approach displaying the most effective relief. Mechanical allodynia and cold allodynia responses were also attenuated by treatments, demonstrating potential pain management benefits."
"All treatment regimens notably contributed to the relieving of thermal hyperalgesia, except the Sc alone group."</t>
  </si>
  <si>
    <t>Device: "A Heltschl model ME-TL10000-SK diode laser emitter operating in continuous wave (CW) mode with a wavelength of 660 nm [15, 39], and a power intensity of 0.819 W/cm2 was chosen for this purpose. The laser discharged a beam with an approximate target area of ~ 0.197 cm2."</t>
  </si>
  <si>
    <t>Nezhad</t>
  </si>
  <si>
    <t>Evaluation of photobiomodulation therapy (117 and 90s) on pain, regeneration, and epigenetic factors (HDAC 2, DNMT3a) expression following spinal cord injury in a rat model</t>
  </si>
  <si>
    <t>90
117</t>
  </si>
  <si>
    <t>"PBMT 90 and 117s improved the pain, and functional recovery equally. The regulation of epigenetic mechanisms appears to be a significant effect of PBMT117s, which emphasizes on impact of radiation duration and accumulative energy."</t>
  </si>
  <si>
    <t>Photobiomodulation inhibits the expression of chondroitin sulfate proteoglycans after spinal cord injury via the Sox9 pathway</t>
  </si>
  <si>
    <t>"We found that photobiomodulation greatly restored motor function in mice and downregulated chondroitin sulfate proteoglycan expression in the injured spinal cord. 
Bioinformatics analysis revealed that photobiomodulation inhibited the expression of proteoglycan-related genes induced by spinal cord injury, and versican, a type of proteoglycan, was one of the most markedly changed molecules. Immunofluorescence staining showed that after spinal cord injury, versican was present in astrocytes in spinal cord tissue. 
The expression of versican in primary astrocytes cultured in vitro increased after inflammation induction, whereas photobiomodulation inhibited the expression of versican. Furthermore, we found that the increased levels of p-Smad3, p-P38 and p-Erk in inflammatory astrocytes were reduced after photobiomodulation treatment and after delivery of inhibitors including FR 180204, (E)-SIS3, and SB 202190. This suggests that Smad3/Sox9 and MAPK/Sox9 pathways may be involved in the effects of photobiomodulation. 
In summary, our findings show that photobiomodulation modulates the expression of chondroitin sulfate proteoglycans, and versican is one of the key target molecules of photobiomodulation. MAPK/Sox9 and Smad3/Sox9 pathways may play a role in the effects of photobiomodulation on chondroitin sulfate proteoglycan accumulation after spinal cord injury."</t>
  </si>
  <si>
    <t>Tobelem</t>
  </si>
  <si>
    <t>Systemic vascular photobiomodulation accelerates the recovery of motor activity in rats following spinal cord injury</t>
  </si>
  <si>
    <t>Vascular PBM
Systemic effects</t>
  </si>
  <si>
    <t>3.2
/point</t>
  </si>
  <si>
    <t>"The present results showed that VPBM was capable of modulating morphological and functional recovery following SCI, especially when administered early. The positive effects on functional recovery were demonstrated by the BBB index; the reestablishment of the structure of the muscle and nerve tissue was demonstrated by the preservation of CSA and diameter of muscle fiber and reduction in the area of the injury (cavity size) respectively. Thus, noninvasive VPBM may be an important component of treatment for spinal cord injuries."</t>
  </si>
  <si>
    <t>Photobiomodulation provides neuroprotection through regulating mitochondrial fission imbalance in the subacute phase of spinal cord injury</t>
  </si>
  <si>
    <t>"Photobiomodulation alleviated mitochondrial fission imbalance in spinal cord tissue in the subacute phase, reduced neuronal cell death, and improved rat posterior limb motor function in a time-dependent manner. These findings suggest that photobiomodulation targets neuronal mitochondria, alleviates mitochondrial fission imbalance-induced neuronal apoptosis, and thereby promotes the motor function recovery of rats with spinal cord injury."</t>
  </si>
  <si>
    <t>Ju</t>
  </si>
  <si>
    <t>Cell Mol Biol Lett</t>
  </si>
  <si>
    <t>Photobiomodulation promotes spinal cord injury repair by inhibiting macrophage polarization through lncRNA TUG1-miR-1192/TLR3 axis</t>
  </si>
  <si>
    <t>daily
(animals)
every 12h
(cells)</t>
  </si>
  <si>
    <t>"In vivo, PBM treatment could reduce the expression of TUG1, TLR3, and inflammatory cytokines and promoted nerve survival and motor function recovery in SCI mice."
"Our study clarified that the lncRNA TUG1/miR-1192/TLR3 axis is an important pathway for PBM to inhibit M1 macrophage polarization and inflammation, which provides theoretical support for its clinical application in patients with SCI."</t>
  </si>
  <si>
    <t>Potential targets and mechanisms of photobiomodulation for spinal cord injury</t>
  </si>
  <si>
    <t>"We found that photobiomodulation inhibited STAT3 expression through increasing the expression of miR-330-5p, and that miR-330-5p binding to STAT3 inhibited STAT3 expression. Inducible nitric oxide synthase showed trends in changes similar to the changes in STAT3 expression. 
Finally, we treated a mouse model of spinal cord injury using photobiomodulation and confirmed that photobiomodulation reduced inducible nitric oxide synthase and STAT3 expression and promoted motor function recovery in spinal cord injury mice. 
These findings suggest that STAT3 may be a potential target of photobiomodulation, and the miR-330-5p/STAT3 pathway is a possible mechanism by which photobiomodulation has its biological effects."</t>
  </si>
  <si>
    <t>Photobiomodulation augments the effects of mitochondrial transplantation in the treatment of spinal cord injury in rats by facilitating mitochondrial transfer to neurons via Connexin 36</t>
  </si>
  <si>
    <t>"In vivo experiments showed that PBM combined with mitochondrial transplantation could increase ATP production and reduce oxidative stress and neuronal apoptosis levels, thereby promoting tissue repair and motor function recovery. In vitro experiments further verified that Cx36 mediated the transfer of mitochondria into neurons."</t>
  </si>
  <si>
    <t>Photobiomodulation promotes repair following spinal cord injury by restoring neuronal mitochondrial bioenergetics via AMPK/PGC-1α/TFAM pathway</t>
  </si>
  <si>
    <t>810
(in vivo)
810
(in vitro)</t>
  </si>
  <si>
    <t>0.500
1.33</t>
  </si>
  <si>
    <t>1800</t>
  </si>
  <si>
    <t>0.3 cm2
spot size</t>
  </si>
  <si>
    <t>3600
480</t>
  </si>
  <si>
    <t>every day
(for 28 days?)</t>
  </si>
  <si>
    <t>"PBM promoted the recovery of mitochondrial respiratory chain complex activity, increased ATP production, alleviated neuronal apoptosis and reversed motor dysfunction after SCI. The activation of the AMPK/PGC-1α/TFAM pathway after SCI were facilitated by PBM but inhibited by Compound C. Equally important, PBM could inhibit OGD-induced VSC4.1 cell apoptosis by increasing ATP production whereas these changes could be abolished by Compound C."</t>
  </si>
  <si>
    <t>Neshasteh-Riz</t>
  </si>
  <si>
    <t>Optimization of the Duration and Dose of Photobiomodulation Therapy (660 nm Laser) for Spinal Cord Injury in Rats</t>
  </si>
  <si>
    <t>27
45
90
117</t>
  </si>
  <si>
    <t>daily
for
4 weeks</t>
  </si>
  <si>
    <t>"The number of days is an important factor for improving mobility; however, the daily dose of radiation is more important for pain relief."</t>
  </si>
  <si>
    <t>Clinical safety study of photobiomodulation in acute spinal cord injury by scattering fiber</t>
  </si>
  <si>
    <t>🧑 Human
📄 Single-arm trial
👥 12 participants
⌛ 7-day treatment -&gt; 3-month follow-up</t>
  </si>
  <si>
    <t>"The study aimed to design a reliable and straightforward PBM method by implanting a medical scattering fiber above surgically exposed spinal cord in SCI patients."
"In a limited sample size, our study concluded that direct PBM at the site of SCI would not produce adverse effects within the appropriate irradiation parameters. The method is safe, feasible, and does not add additional trauma to the patient. Our preliminary study might provide a new methodology for the clinical PBM treatment of acute SCI."</t>
  </si>
  <si>
    <t>da Cruz Tobelem</t>
  </si>
  <si>
    <t>Effects of photobiomodulation in experimental spinal cord injury models - A systematic review</t>
  </si>
  <si>
    <t>"This systematic review investigated the repercussions of photobiomodulation using low-level laser therapy (LLLT) for the treatment of spinal cord injury (SCI) in experimental models. 
Studies were identified from relevant databases published between January 2009 and December 2021. Nineteen original articles were selected and 68.4% used light at an infrared wavelength. 
There was a considerable variation of the power used (from 25 to 200 mW), total application time (8 to 3000 seconds) and total energy (0.3 to 450 J). 
In 79% of the studies, irradiation was initiated immediately after or within two hours of the SCI, and treatment time ranged continuously from five to 21 days. 
In conclusion, LLLT can be an auxiliary therapy in the treatment of SCI, playing a neuroprotective role, enabling functional recovery, increasing the concentration of nerve connections around the injury site and reducing pro-inflammatory cytokines. However, there is a need for standardization in the dosimetric parameters."</t>
  </si>
  <si>
    <t>Photobiomodulation Attenuates Neurotoxic Polarization of Macrophages by Inhibiting the Notch1-HIF-1α/NF-κB Signalling Pathway in Mice With Spinal Cord Injury</t>
  </si>
  <si>
    <t>"In conclusion, PBM promoted better motor recovery after SCI in mice by inhibiting the neurotoxic polarization of macrophages and the release of inflammatory mediators by acting on the Notch1-HIF-1α/NF-κB Signalling Pathway."</t>
  </si>
  <si>
    <t>Photobiomodulation Promotes Repair Following Spinal Cord Injury by Regulating the Transformation of A1/A2 Reactive Astrocytes</t>
  </si>
  <si>
    <t>"In conclusion, PBM can promote better recovery after SCI, which may be related to the transformation of A1/A2 reactive astrocytes."</t>
  </si>
  <si>
    <t>Hassan</t>
  </si>
  <si>
    <t>J Chem Neuroanat</t>
  </si>
  <si>
    <t>Photobiomodulation therapy improved functional recovery and overexpression of interleukins-10 after contusion spinal cord injury in rats</t>
  </si>
  <si>
    <t>90/p
(5p)</t>
  </si>
  <si>
    <t>1500</t>
  </si>
  <si>
    <t xml:space="preserve">"Our results showed that the stereological parameters, biochemical profiles (except MDA), and neurological functions were markedly greater in the SCI-PBM group in comparison with SCI group. 
The transcript for the IL-10 gene was seriously upregulated in the SCI-PBM group compared to the SCI group. This is while gene expression of TNF-α and IL-1β, also density of apoptosis cells in Caspase-3 evaluation decreased significantly more in the SCI-PBM group compared to the SCI group. 
Overall, using PBM treatment immediately after SCI has neuroprotective effects by controlling oxidative stress and inflammation and preventing the spread of damage."
</t>
  </si>
  <si>
    <t>Photobiomodulation inhibits the activation of neurotoxic microglia and astrocytes by inhibiting Lcn2/JAK2-STAT3 crosstalk after spinal cord injury in male rats</t>
  </si>
  <si>
    <t>"PBM promoted the recovery of motor function, inhibited the activation of neurotoxic microglia and astrocytes, alleviated neuroinflammation and tissue apoptosis, and increased the number of neurons retained after SCI. The upregulation of Lcn2 and the activation of the JAK2-STAT3 pathway after SCI were suppressed by PBM. In vitro experiments also showed that Lcn2 and JAK2-STAT3 were mutually promoted and that PBM interfered with this interaction, inhibiting the activation of microglia and astrocytes."
"Lcn2/JAK2-STAT3 crosstalk is involved in the activation of neurotoxic microglia and astrocytes after SCI, and this process can be suppressed by PBM."</t>
  </si>
  <si>
    <t>Ayar</t>
  </si>
  <si>
    <t>The effect of low-level laser therapy on pathophysiology and locomotor recovery after traumatic spinal cord injuries: a systematic review and meta-analysis</t>
  </si>
  <si>
    <t>"All animal studies discussing the effect of LLLT on main pathophysiological events after TSCI, including inflammation, axon growth, remyelination, glial scar formation, cavity size, and locomotor recovery, were included. For statistical analysis, we used mean difference with 95% confidence intervals for locomotor recovery. In total, 19 articles were included based on our criteria.
The results showed that regardless of laser type, laser beams with a wavelength between 600 and 850 nm significantly suppress inflammation and led inflammatory cells to M2 polarization and wound healing. Also, laser therapy using these wavelengths for more than 2 weeks significantly improved axon regeneration and remyelination.
Improvement of locomotor recovery was more efficient using wavelengths less than 700 nm (SMD = 1.21; 95%CI: 0.09, 2.33; p = 0.03), lasers with energy densities less than 100 J/cm2 (SMD = 1.72; 95%CI: 0.84, 2.59; p = 0.0001) and treatment duration between 1 and 2 weeks (SMD = 2.21; 95%CI: 1.24, 3.19; p &lt; 0.00001)."</t>
  </si>
  <si>
    <t>Photobiomodulation for Spinal Cord Injury: A Systematic Review and Meta-analysis</t>
  </si>
  <si>
    <t>"A thorough search in databases including MEDLINE, EMBASE, SCOPUS, and Web of Science, with the removal of unrelated articles, yielded 16 relevant articles.
The meta-analysis showed that PBMT was effective in improving post-SCI movement in the first 14 days (MD = 1.593 (95% CI: 1.110 to 2.075; p &lt;0.001, I2 = 51.9%) and this improvement became even greater thereafter (MD = 2.086 (95% CI: 1.570 to 2.603; p = &lt;0.001. I2= 90.3%).
Time of irradiation (&lt;300 sec or &gt;300 sec), gender (male or female), injury model (contusion or compression, radiation protocol (&lt;14 days or ≥14days), laser wavelength (&lt;800nm or &gt;800nm) and injury severity (moderate or severe) were found to be factors that can affect PBM efficacy for SCI treatment.
PBMT has an anti-inflammatory effect, is effective in reducing the size of spinal cord lesions and helps to absorb administrated proteins and stem cells to the lesion site."</t>
  </si>
  <si>
    <t>Effects of Photobiomodulation Combined With MSCs Transplantation on the Repair of Spinal Cord Injury in Rat</t>
  </si>
  <si>
    <t>"First, after SCI, the motor function of each group was restored with different degrees, the combination treatment significantly increased the BBB scores compared to either monotherapy.
In addition, Nissl bodies were more numerous, and the nerve fibers were longer and thicker in the combination treatment group."</t>
  </si>
  <si>
    <t>Red-light (670 Nm) Therapy Reduces Mechanical Sensitivity and Neuronal Cell Death, and Alters Glial Responses Following Spinal Cord Injury in Rats</t>
  </si>
  <si>
    <t xml:space="preserve">"Red-light treatment significantly reduced the cumulative mechanical sensitivity and the hypersensitivity incidence following SCI. 
This effect was accompanied by significantly reduced neuronal cell death, reduced astrocyte activation and reduced iNOS expression in IBA1+ cells at the level of the injury.
However, myelin and NF200 immunoreactivity and IL1β expression in GFAP+ and IBA1+ cells were not altered by red-light treatment."
"Thus, red-light therapy may represent a useful non-pharmacological approach for treating pain during the subacute period after SCI by decreasing neuronal loss and modulating the inflammatory glial response."
</t>
  </si>
  <si>
    <t>Sensory and motor responses after photobiomodulation associated with physiotherapy in patients with incomplete spinal cord injury: clinical, randomized trial.</t>
  </si>
  <si>
    <t>🧑 Human
🎲 Randomized trial, sham-controlled
👥 30 participants
⌛ 4-week treatment -&gt; 30-day follow-up</t>
  </si>
  <si>
    <t>983</t>
  </si>
  <si>
    <t>"The results of the WHOQOL-BREF questionnaire revealed a significant difference in general quality of life favoring the active PBM group over the sham group after treatment. Physiotherapy combined with PBM leads to better sensory-motor recovery in patients with SCI as well as a better perception of health and quality of life."</t>
  </si>
  <si>
    <r>
      <rPr>
        <b/>
        <color rgb="FF980000"/>
        <sz val="8.0"/>
      </rPr>
      <t>★</t>
    </r>
    <r>
      <rPr>
        <b/>
        <color rgb="FF980000"/>
        <sz val="9.0"/>
      </rPr>
      <t xml:space="preserve">
</t>
    </r>
    <r>
      <rPr>
        <b/>
        <color rgb="FF980000"/>
        <sz val="6.0"/>
      </rPr>
      <t>📷</t>
    </r>
  </si>
  <si>
    <t>Photobiomodulation By Diffusing Optical Fiber on Spinal Cord:A Feasibility Study in piglet model.</t>
  </si>
  <si>
    <t>Miniature 🐖 Pig</t>
  </si>
  <si>
    <t>Testing of implanted optical fiber
Safety</t>
  </si>
  <si>
    <t>200
300
500
1000</t>
  </si>
  <si>
    <t>"The screening of different irradiation parameters preliminary showed that direct irradiation onto the spinal cord surface at 200 and 300 mW did not significantly increase the temperature, stress responses, inflammatory reactions and neural apoptosis, whereas irradiation at 500 mW slightly increased these parameters, and irradiation at 1000 mW induced a significant temperature increase, heat shock, inflammation and apoptosis responses."
"In this study, we established an in-vivo optical fiber implantation method, which might be safe and stable and could be used to directly project light energy onto the spinal cord surface."</t>
  </si>
  <si>
    <t>Svobodova</t>
  </si>
  <si>
    <t>The effect of 808 nm and 905 nm wavelength light on recovery after spinal cord injury.</t>
  </si>
  <si>
    <t>"The locomotor tests showed a significant improvement of the locomotor functions of the rats after laser treatment from the first week following lesioning, compared to the controls. 
The laser treatment significantly diminished thermal hyperalgesia after SCI as measured by the Plantar test. 
The atrophy of the soleus muscle was reduced in the laser treated rats. 
The histopathological investigation showed a positive effect of the laser therapy on white and gray matter sparing. 
Our data suggests an upregulation of M2 macrophages in laser treated animals by the increasing number of double labeled CD68+/CD206+ cells in the cranial and central parts of the lesion, compared to the control animals. A shift in microglial/macrophage polarization was confirmed by gene expression analysis by significant mRNA downregulation of Cd86 (marker of inflammatory M1), and non-significant upregulation of Arg1 (marker of M2). 
These results demonstrated that the combination of 808 nm and 905 nm wavelength light is a promising non-invasive therapy for improving functional recovery and tissue sparing after SCI."</t>
  </si>
  <si>
    <t>Photobiomodulation Therapy Inhibit the Activation and Secretory of Astrocytes by Altering Macrophage Polarization.</t>
  </si>
  <si>
    <t>808
in vivo</t>
  </si>
  <si>
    <t>3.96</t>
  </si>
  <si>
    <t>4.5
cm2</t>
  </si>
  <si>
    <t>2
/2d</t>
  </si>
  <si>
    <t>"Results showed that PBM inhibit the expression of the astrocyte markers glial fibrillary acidic protein (GFAP) and the secretion of chondroitin sulfate proteoglycans (CSPG) in the para-epicenter area, decrease the number of M1 macrophage in vivo."
"Although both animal groups exhibited a gradual recovery, mice treated with PBM showed a significant improvement at 7-, 10-, 14- and 21-days time points compared with the SCI group (p&lt;0.05) (Fig. 1)."</t>
  </si>
  <si>
    <t>Co-administration of human adipose-derived stem cells and low-level laser to alleviate neuropathic pain after experimental spinal cord injury.</t>
  </si>
  <si>
    <t>"The combined application of hADSCs and laser has significantly improved motor function recovery (p = 0.0001), hyperalgesia (p &lt; 0.05), and allodynia (p &lt; 0.05). GDNF mRNA expression was significantly increased in hADSCs and laser+hADSC-treated animals (p &lt; 0.001). Finally, co-administration of hADSCs and laser has enhanced the number of axons around cavity more than other treatments (p &lt; 0.001)."
"The results showed that the combination of laser and ADSCs could significantly improve the motor function and alleviate SCI-induced allodynia and hyperalgesia. Therefore, using a combination of laser and hADSCs in future experimental and translational clinical studies is suggested."</t>
  </si>
  <si>
    <t>Pedram</t>
  </si>
  <si>
    <t>Therapeutic effects of simultaneous Photobiomodulation therapy (PBMT) and Meloxicam administration on experimental acute spinal cord injury: Rat animal model.</t>
  </si>
  <si>
    <t>LLLT vs meloxicam (NSAID)</t>
  </si>
  <si>
    <t>"Four  weeks after injury induction, BBB test results were significantly higher in all treatment groups in comparison to control group, however, there were no significant differences among the treatment groups. In addition, histological findings revealed no significant difference between all 4 study groups."</t>
  </si>
  <si>
    <t>Photobiomodulation improves motor response in patients with spinal cord injury submitted to electromyographic evaluation: randomized clinical trial.</t>
  </si>
  <si>
    <t>🧑 Human
🎲 Randomized trial, sham-controlled
👥 25 participants
⌛ 4-week treatment -&gt; 30-day follow-up</t>
  </si>
  <si>
    <t>4.72</t>
  </si>
  <si>
    <t>125
(5p)</t>
  </si>
  <si>
    <t>0.0254
cm2</t>
  </si>
  <si>
    <t>1040
(5p)</t>
  </si>
  <si>
    <t>"In the active phototherapy group, median frequency values of the brachial biceps and femoral quadriceps muscles were higher at rest and during isotonic contraction 30 days after photobiomodulation (p = 0.0258). No significant results were found regarding the rest and isotonic conditions in the pre-photobiomodulation period (p = 0.950) or immediately following photobiomodulation (p = 0.262). The data provide evidence that phototherapy improves motor responses in individuals with spinal cord injury, as demonstrated by differences in the EMG signal before and after treatment."</t>
  </si>
  <si>
    <t>USA
(Fort Collins, CO)</t>
  </si>
  <si>
    <t>Beyond the Laboratory, Into the Clinic: What Dogs with Disk Disease Have Taught Us About Photobiomodulation for Spinal Cord Injury.</t>
  </si>
  <si>
    <t>Janzadeh</t>
  </si>
  <si>
    <t>Neuropeptides</t>
  </si>
  <si>
    <t>Combine effect of Chondroitinase ABC and low level laser (660nm) on spinal cord injury model in adult male rats.</t>
  </si>
  <si>
    <t>PBM vs chondroitinase ABC</t>
  </si>
  <si>
    <t>0.197
cm2</t>
  </si>
  <si>
    <t>45
(9p)</t>
  </si>
  <si>
    <t>"Result showed the combination of LLLT and ChABC have more effect on reduction of cavity size, improvement of myelination and number of axons around the cavity and decreasing the expression of GSK3β, CSPG and AQP4 expression compared to LLLT and ChABC alone. In the laser and laser+enzyme groups AQP4 expression decreased significantly after SCI. Functional recovery, improved in LLLT and ChABC treated animals, but higher recovery belonged to the combination therapy group. The current study showed combination therapy by LLLT and ChABC is more efficient than a single therapy with each of them."</t>
  </si>
  <si>
    <t>Mojarad</t>
  </si>
  <si>
    <t>The role of low level laser therapy on neuropathic pain relief and interleukin-6 expression following spinal cord injury; an experimental study.</t>
  </si>
  <si>
    <t>LLLT vs methylprednisolone sodium succinate</t>
  </si>
  <si>
    <t>"The present study showed that 2-week LLLT has similar effectiveness to MPSS [methylprednisolone sodium succinate] in motor recover, pain relief, normalizing in IL-6 expression, and decreasing fibroblast invasion and cavity size."</t>
  </si>
  <si>
    <t>Low-Level Laser Irradiation Improves Motor Recovery After Contusive Spinal Cord Injury in Rats</t>
  </si>
  <si>
    <t>0.08
0.40
0.80</t>
  </si>
  <si>
    <t>"In the present study, LLLI with 0.4 J and 0.8 J led to a significant improvement in motor function compared to sham LLLI, which significantly decreased TNF-α expression at the lesion epicenter and reduced iNOS expression in the caudal segment for all LLLI groups and in the L4-5 segments for the 0.4 J and 0.8 J groups when compared to sham LLLI group. 
Our results demonstrate that transcutaneous LLLI modulate inflammatory mediators to enhance motor function recovery after SCI. Thus, LLLI in acute phase after SCI might have therapeutic potential for neuroprotection and restoration of motor function following SCI."</t>
  </si>
  <si>
    <t>Low-level laser facilitates alternatively activated macrophage/microglia polarization and promotes functional recovery after crush spinal cord injury in rats.</t>
  </si>
  <si>
    <t>Microglia
MW-GX-808 device (Lei Shi Optoelectronics Co., Ltd. Changchun, China)</t>
  </si>
  <si>
    <t>"A greater number of neurons survived in the pare injury site, which was accompanied by higher BBB scores in the LLLT group. Furthermore, low-level laser therapy elevated expression of interleukin 4 (IL-4) and interleukin 13 (IL-13).
Results from this study show that low-level laser therapy has the potential for reducing inflammation, regulating macrophage/microglia polarization, and promoting neuronal survival.
These beneficial effects demonstrate that low-level laser therapy may be an effective candidate for clinical treatment of spinal cord injury."</t>
  </si>
  <si>
    <t>Veronez</t>
  </si>
  <si>
    <t>Effects of different fluences of low-level laser therapy in an experimental model of spinal cord injury in rats.</t>
  </si>
  <si>
    <t>500
750
1000</t>
  </si>
  <si>
    <t>141
212
282</t>
  </si>
  <si>
    <t>"Functional evaluation and tactile sensitivity were improved after LLLT, at the higher fluence. Additionally, LLLT, at 750 and 1000 J/cm2, reduces the lesion volume and modulates the inflammatory process with decrease of CD-68 protein expression.
These results suggest that LLLT at higher doses was effective in promoting functional recovery and modulating inflammatory process in the spinal cord of rats after SCI."</t>
  </si>
  <si>
    <t>Red LED photobiomodulation reduces pain hypersensitivity and improves sensorimotor function following mild T10 hemicontusion spinal cord injury.</t>
  </si>
  <si>
    <t xml:space="preserve">LED phototherapy
Microglia
</t>
  </si>
  <si>
    <t>63</t>
  </si>
  <si>
    <t>75
mm2</t>
  </si>
  <si>
    <t>"We demonstrate that red light penetrates through the entire rat spinal cord and significantly reduces signs of hypersensitivity following a mild T10 hemicontusion spinal cord injury.
This is accompanied with improved dorsal column pathway functional integrity and locomotor recovery. The functional improvements were preceded by a significant reduction of dying (TUNEL(+)) cells and activated microglia/macrophages (ED1(+)) in the spinal cord.
The remaining activated microglia/macrophages were predominantly of the anti-inflammatory/wound-healing subpopulation (Arginase1(+)ED1(+)) which were expressed early, and up to sevenfold greater than that found in sham-treated animals."
"These findings demonstrate that a simple yet inexpensive treatment regime of red light reduces the development of hypersensitivity along with sensorimotor improvements following spinal cord injury and may therefore offer new hope for a currently treatment-resistant pain condition."</t>
  </si>
  <si>
    <t>Effect of low level laser therapy on chronic compression of the dorsal root ganglion.</t>
  </si>
  <si>
    <t>Chronic compression of dorsal root ganglion</t>
  </si>
  <si>
    <t>0.38</t>
  </si>
  <si>
    <t>72
(skin)
8
(ganglion)</t>
  </si>
  <si>
    <t>207
/p</t>
  </si>
  <si>
    <t>"Our data indicate that LLLT significantly decreased the tolerable sensitivity to pain and heat stimuli in the CCD groups. The expression levels of the pro-inflammatory cytokines TNF-α and IL-1β were increased following CCD, and we found that these increases could be reduced by the application of LLLT. Furthermore, the expression of GAP-43 was enhanced by LLLT.
In conclusion, LLLT was able to enhance neural regeneration in rats following CCD and improve rat ambulatory behavior. The therapeutic effects of LLLT on the DRG during CCD may be exerted through suppression of the inflammatory response and induction of neuronal repair genes.
These results suggest potential clinical applications for LLLT in the treatment of compression-induced neuronal disorders."</t>
  </si>
  <si>
    <t>Paula</t>
  </si>
  <si>
    <t>Low-intensity laser therapy effect on the recovery of traumatic spinal cord injury.</t>
  </si>
  <si>
    <t>0.224</t>
  </si>
  <si>
    <t>6.16
(5p)</t>
  </si>
  <si>
    <t>140
(5p)
or
153?</t>
  </si>
  <si>
    <t>"The results showed faster motor evolution in rats with spinal contusion treated with LILT, maintenance of the effectiveness of the urinary system, and preservation of nerve tissue in the lesion area, with a notorious inflammation control and increased number of nerve cells and connections.
In conclusion, positive effects on spinal cord recovery after moderate traumatic spinal cord injury were shown after LILT."</t>
  </si>
  <si>
    <t>Low-level laser therapy for spinal cord injury in rats: effects of polarization.</t>
  </si>
  <si>
    <t>d =
20 mm</t>
  </si>
  <si>
    <t>"Regardless of the polarization direction, functional scores of SCI rats that were treated with the 808-nm laser irradiation were significantly higher than those of SCI alone group (Group 1) from day 5 after injury. The locomotive function of SCI rats irradiated parallel to the spinal column (Group 3) was significantly improved from day 10 after injury, compared to SCI rats treated with the linear polarization perpendicular to the spinal column (Group 2).
There were no significant differences in ATP contents in the injured tissue among the three groups.
We speculate that the higher efficacy with parallel irradiation is attributable to the deeper light penetration into tissue with anisotropic scattering."</t>
  </si>
  <si>
    <t>Comparison of the effects of pulsed and continuous wave light on axonal regeneration in a rat model of spinal cord injury.</t>
  </si>
  <si>
    <t>35
(CW)</t>
  </si>
  <si>
    <t>"In conclusion, CW and pulsed laser light support axonal regeneration and functional recovery after SCI. Pulsed laser light has the potential to support axonal regrowth to spinal cord segments located farther from the lesion site. Therefore, the use of pulsed light is a promising noninvasive therapy for SCI."</t>
  </si>
  <si>
    <t>Effects of intravascular laser irradiation of blood in mitochondria dysfunction and oxidative stress in adults with chronic spinal cord injury.</t>
  </si>
  <si>
    <t>🧑 Human
🎲 Randomized trial, sham-controlled
👥 24 patients + 12 healthy controls
⌛ 3 weeks</t>
  </si>
  <si>
    <t>7347</t>
  </si>
  <si>
    <t>0.196
mm2</t>
  </si>
  <si>
    <t>"At day 15 of therapy, the study group revealed a significantly higher mitochondrial DNA (mtDNA) copy number, white blood cell adenosine triphosphate (WBC ATP) synthesis, and total antioxidant capacity (TAC) with significantly reduced malondialdehyde (MDA), than did the sham group."
Star: The results are quite intriguing. This is interesting work.</t>
  </si>
  <si>
    <t>810 nm Wavelength light: an effective therapy for transected or contused rat spinal cord.</t>
  </si>
  <si>
    <t>0.53</t>
  </si>
  <si>
    <t>1.589</t>
  </si>
  <si>
    <t>0.3
cm2
spot</t>
  </si>
  <si>
    <t>"The average length of axonal re-growth in the rats in the light treatment (LT) groups with the hemisection (6.89+/-0.96 mm) and contusion (7.04+/-0.76 mm) injuries was significantly longer than the comparable untreated control groups (3.66+/-0.26 mm, hemisection; 2.89+/-0.84 mm, contusion).
The total axon number in the LT groups was significantly higher compared to the untreated groups for both injury models (P&lt;0.05).
For the hemisection model, the LT group had a statistically significant lower angle of rotation (P&lt;0.05) compared to the controls.
For contusion model, there was a statistically significant functional recovery (P&lt;0.05) in the LT group compared to untreated control."
"Light therapy applied non-invasively promotes axonal regeneration and functional recovery in acute SCI caused by different types of trauma. These results suggest that light is a promising therapy for human SCI."</t>
  </si>
  <si>
    <t>Light promotes regeneration and functional recovery and alters the immune response after spinal cord injury.</t>
  </si>
  <si>
    <t>"PBM, with 6% power penetration to the spinal cord depth, significantly increased axonal number and distance of regrowth (P &lt; 0.001).
PBM also returned aspects of function to baseline levels and significantly suppressed immune cell activation and cytokine/chemokine expression."
"Our results demonstrate that light, delivered transcutaneously, improves recovery after injury and suggests that light will be a useful treatment for human SCI."
Star: Parameters were well reported and results were interesting.</t>
  </si>
  <si>
    <t>Transplantation of embryonal spinal cord nerve cells cultured on biodegradable microcarriers followed by low power laser irradiation for the treatment of traumatic paraplegia in rats.</t>
  </si>
  <si>
    <t>"Eleven of the 15 (73%) showed different degrees of active leg movements and gait performance, compared to 4 (44%) of the 9 rats with implantation alone. In a control group of seven rats with spinal cord transection and no transplantation or laser, six (86%) remained completely paralyzed.
Three months after transection, implantation and laser irradiation, SSEPs were elicited in 69% of rats (p = 0.0237) compared to 37.5% in the nonirradiated group. The control group had no SSEPs response.
Intensive axonal sprouting occurred in the group with implantation and laser. In the control group, the transected area contained proliferating fibroblasts and blood capillaries only."
Comment: Parameters were insufficiently reported.</t>
  </si>
  <si>
    <t>Intraoperative clinical use of LLLT following surgical treatment of the tethered spinal cord</t>
  </si>
  <si>
    <t>🧑 Human
📄 Case series
👥 4 cases
⌛ single session</t>
  </si>
  <si>
    <t>"This study represents our first clinical results in the treatment of four patients with tethered spinal cord resulting from fibrous adhesions at the site of previous myelomeningocele and lypomyelomeningocele repair, thickened filum terminale and spinal lipoma. After surgical release of the tethered spinal cord, stable evoked responses were recorded and the conus medullaris was subjected to direct laser irradiation (CW He-Ne laser, 632.8 nm, 7 J/cm2). We found that intraoperative laser treatment increases evoked responses from 15-52% (mean 26.7%). "</t>
  </si>
  <si>
    <t>Systemic effects of low-power laser irradiation on the peripheral and central nervous system, cutaneous wounds, and burns.</t>
  </si>
  <si>
    <t>Systemic effect</t>
  </si>
  <si>
    <t>"HeNe laser irradiation applied to a crushed injured sciatic nerve in the right leg in a bilaterally inflicted crush injury, significantly increased the compound action potential in the left nonirradiated leg as well."
"The bilateral retrograde degeneration of the motor neurons of the spinal cord expected after the bilateral crush injury of the peripheral nerves was greatly reduced in the laser treated group."</t>
  </si>
  <si>
    <t>Neurosurg Rev</t>
  </si>
  <si>
    <t>Evidence for the existence of low-energy laser bioeffects on the nervous system.</t>
  </si>
  <si>
    <t>"The reported effects of low-energy laser irradiation on the nervous system are manifested in alterations in cellular and extracellular biochemical constituents and reactions, as well as in changes in cell division rates. These bioeffects were observed in both in vivo and in vitro experiments. Other observed phenomena relate to the function of the nervous system and consist mainly of induced alteration in electrical conduction, stimulation thresholds, and behavioral effects.
Clinical aspects of low-energy laser bioeffects relate mainly to pain mitigation and postponement of the posttraumatic neural degeneration processes. Many of the reported observations were obtained by experiments apparently conducted according to less than rigorous scientific criteria, and some could not be duplicated. On the whole, however, there is little doubt that low-energy laser irradiation exerts some effects on the nervous system under specific conditions of irradiation and tissue exposure via a mechanism which is probably photochemical in nature."</t>
  </si>
  <si>
    <t>Rochkind &amp; Ouaknine</t>
  </si>
  <si>
    <t>New trend in neuroscience: low-power laser effect on peripheral and central nervous system (basic science, preclinical and clinical studies).</t>
  </si>
  <si>
    <t>"The present review summarizes findings in our continuing study of the use of low-power laser irradiation (LPLI) in the treatment of severely injured peripheral (PNS) and central nervous systems (CNS). The radiation method was proposed by Rochkind and has been modified over the last 13 years."
"In a previous experimental work, we showed that direct laser treatment on nerve tissue promotes restoration of the electrophysiological activity of the severely injured peripheral nerve, prevents degenerative changes in neurons of the spinal cord and induces proliferation of astrocytes and oligodendrocytes. This suggested a higher metabolism in neurons and improved ability for myelin production under the influence of laser treatment. The tethering of the spinal cord causes mechanical damage to neuronal cell membranes leading to metabolic disturbances in the neurons. For this reason, we believe that using LPLI may improve neuronal metabolism, prevent neuronal degeneration and promote improved spinal cord function and repair. The possible mechanism of LPLI is investigated."</t>
  </si>
  <si>
    <t>Obstetrics &amp; nursing</t>
  </si>
  <si>
    <t>Heel lance</t>
  </si>
  <si>
    <t>Analgesic Effect of Low-Level Laser Therapy before Heel Lance for Pain Management in Healthy Term Neonates: A Randomized Controlled Trial</t>
  </si>
  <si>
    <t>🧑 Human (newborns)
⚔ Comparison study, randomized
👥 125 participants
⌛ single session</t>
  </si>
  <si>
    <t>⚔ PBM vs breast milk</t>
  </si>
  <si>
    <t>"These findings suggest that the analgesic effect of LLLT is similar to that of BM during heel lance in healthy term neonates."</t>
  </si>
  <si>
    <t>Oncology</t>
  </si>
  <si>
    <t>Chemotherapy-related DNA damage</t>
  </si>
  <si>
    <t>Rosin</t>
  </si>
  <si>
    <t>Photobiomodulation Therapy Minimises the DNA Damage in 5FU-treated Gingival Fibroblasts</t>
  </si>
  <si>
    <t>6
10
20</t>
  </si>
  <si>
    <t>"In conclusion, the PBMT effect on DNA damage and repair was dependent on the time irradiation: 6s-time irradiation (6.6 J/cm2 ) protect gingival fibroblasts from 5FU-related genotoxicity and oxidative stress, whereas 10s- and 20s-time irradiations (11.1 J/cm2 and 22.2 J/cm2 , respectively) increased the risk of DNA damage after the 5FU exposure."</t>
  </si>
  <si>
    <t>Chemotherapy-induced neuropathy</t>
  </si>
  <si>
    <t>Teng</t>
  </si>
  <si>
    <t>Australia
(Concord)</t>
  </si>
  <si>
    <t>Evaluating laser photobiomodulation for chemotherapy-induced peripheral neuropathy: a randomised phase II trial</t>
  </si>
  <si>
    <t>🧑 Human
🎲 Randomized trial, sham-controlled
👥 44 participants
⌛ 6-week treatment -&gt; 6-week follow-up</t>
  </si>
  <si>
    <t>1-2
/ point</t>
  </si>
  <si>
    <t>"In the laser and control groups, CIPN response rates were − 48% and 53% at 6 weeks and 45% and 33% at 12 weeks, respectively."</t>
  </si>
  <si>
    <t>Device: "Acupak CL Mini Laser apparatus"</t>
  </si>
  <si>
    <t>Photobiomodulation Therapy for the Management of Chemotherapy-Induced Peripheral Neuropathy: An Overview</t>
  </si>
  <si>
    <t>"PBMT might be an effective treatment strategy to manage CIPN, with very encouraging reports from renowned teams, but evidence is limited. More methodologically uniform research (mainly regarding the parameters of PBMT) is needed to support the use of PBMT for this indication."</t>
  </si>
  <si>
    <t>Kachrani</t>
  </si>
  <si>
    <t>USA
(Kingston, RI)</t>
  </si>
  <si>
    <t>J Pain Palliat Care Pharmacother</t>
  </si>
  <si>
    <t>Chemotherapy-Induced Peripheral Neuropathy: Causative Agents, Preventative Strategies, and Treatment Approaches.</t>
  </si>
  <si>
    <t>"PBM utilizes low power laser therapy and is being studied in various types of neuropathy (51). Currently, one randomized, sham-controlled clinical trial has demonstrated benefits of PBM in CIPN patients previously exposed to neurotoxic chemotherapy agents (52). The primary endpoint, reduction in neuropathy after 8 weeks, was measured utilizing the modified total neuropathy score (mTNS). The mTNS scale is a variant of TNS excluding nerve conduction studies (53). Patients treated with the sham procedure experienced no significant change in mTNS (1.5%) whereas PBM treated patients experienced a significant reduction in mTNS scores (52.6%) (52)."</t>
  </si>
  <si>
    <t>USA 
(Texas)</t>
  </si>
  <si>
    <t>Pain Physician</t>
  </si>
  <si>
    <t>Treatment of Chemotherapy-Induced Peripheral Neuropathy: Systematic Review and Recommendations</t>
  </si>
  <si>
    <t>CIPN</t>
  </si>
  <si>
    <t xml:space="preserve">This review on chemotherapy-induced peripheral neuropathy included two clinical trials on LLLT/PBM. 
"The trial by Argenta et al.,showed significant improvement in mTNS at 8 weeks after PBM treatment. Although it was a high-quality study with consistent evidence, they downgraded to the low level of confidence in evidence (from moderate to low level) because the sample sizes appeared inadequate, and all the patients recruited were female."
"The trial by Hsieh et al. demonstrated a very low level of evidence for the applicatio of LLLT for the management of CIPN. 
More RCT are needed to investigate the use of LLLT/PBM for the prevention/management of CIPN"
</t>
  </si>
  <si>
    <t>The use of photobiomodulation therapy for the prevention of chemotherapy-induced peripheral neuropathy: a randomized, placebo-controlled pilot trial (NEUROLASER trial)</t>
  </si>
  <si>
    <t>🧑 Human
🎲 Randomized trial, sham-controlled
👥 32 participants
⌛ Outcomes measured at: first chemo -&gt; 6 weeks later -&gt; final chemo -&gt; 3 weeks late</t>
  </si>
  <si>
    <t>"The mTNS score increased significantly over time in both the control and the PBM group. A significantly higher score for FACT/GOG-Taxane was observed in the PBM group during chemotherapy compared to the control group. Questions of the FACT/GOG-Taxane related to sensory peripheral neuropathy symptoms showed a significant increase in severeness over time in the control group, whereas they remained constant in the PBM group. At follow-up, a (borderline) significant difference was observed between both groups for the 6MWT and patients' pain level, in benefit of the PBM group."</t>
  </si>
  <si>
    <t>Laser acupuncture attenuates oxaliplatin-induced peripheral neuropathy in patients with gastrointestinal cancer: a pilot prospective cohort study</t>
  </si>
  <si>
    <t>🧑 Human
📄 Single-arm trial
👥 17 participants
⌛ 4 weeks</t>
  </si>
  <si>
    <t>0.2 cm2
spot
size</t>
  </si>
  <si>
    <t>"PQAS, CINQ, and OSNS scores, as well as touch-detection threshold and cold-trigger pain withdrawal latency all improved significantly after LA in the cancer patients with OIPN (p&lt;0.05).
LA significantly relieved both oxaliplatin-induced cold and mechanical allodynia and also decreased the incidence and severity of neurotoxicity symptoms in the patients' upper and lower extremities and impact on their daily activities (all p&lt;0.05)."</t>
  </si>
  <si>
    <t>Erythrodysesthesia</t>
  </si>
  <si>
    <t>Lestido</t>
  </si>
  <si>
    <t>Photobiomodulation in the treatment of palmar-plantar erythrodysesthesia: a randomised controlled clinical study protocol</t>
  </si>
  <si>
    <t>"This will be a randomised controlled, double-blind, double-centre clinical trial (Centro Asistencial del Sindicato Médico del Uruguay and Instituto Nacional del Cáncer from Uruguay). The sample population (40 individuals) will be divided into two groups: group 1 will receive moisturising cream plus PBM treatment and group 2 moisturising cream plus PBM sham treatment, at the ratio of 1:1. PBM will be performed at 630 nm two times per week in palmoplantar areas of the hands and feet (4 J/cm2), for 4 weeks. The PPE degree and the data referring to the chemotherapy treatment plan will be measured, prior to the start of treatment in the middle and at the end of it. Quality of life questionnaires will be applied at the beginning of the trial and at the end of treatment. The data will be analysed based on the intention-to-treat analysis and α&lt;0.05 will be considered statistically significant."</t>
  </si>
  <si>
    <t>Human research</t>
  </si>
  <si>
    <t>Hode L</t>
  </si>
  <si>
    <t>Sweden
(Lidingo)</t>
  </si>
  <si>
    <t>Low-Level Laser Therapy May Have Cancer Fighting Role.</t>
  </si>
  <si>
    <t>"Since to our knowledge no double-blind placebo-controlled studies have been performed, we plan to carry out one. We want to study the effect of LLLT in combination with chemotherapy in patients with metastatic HER-2 negative breast cancer. We will take repeated tumor biopsies and do imaging tests as well as taking blood samples before, during, and after treating the patients. We will also analyze molecular changes in the tumor cells and their microenvironment, as well as any immunological changes reflected in the tumor and the blood induced by the addition of LLLT
Apart from clinical efficacy, we will also study safety and tolerability of the combined treatment."
"However, this is easier said than done. We started planning a double-blind study with 100 patients and estimated the cost to be around USD $5 million. We talked to a major cancer foundation and they said: ‘‘Show us a large pilot study and we might consider supporting the project.’’ So, now we plan to do a cohort study with less MRI and fewer blood samples that we hope to be able to finance, one way or another."</t>
  </si>
  <si>
    <t>HSCT-induced taste changes</t>
  </si>
  <si>
    <t>Photobiomodulation minimizes taste changes during hematopoietic cell transplantation: A randomized clinical trial</t>
  </si>
  <si>
    <t xml:space="preserve">🧑 Human
🎲 Randomized trial, sham-controlled
👥 85 participants
⌛ </t>
  </si>
  <si>
    <t>Ageusia, hypogeusia, parageusia</t>
  </si>
  <si>
    <t>"PBM significantly reduced hypogeusia, ageusia, and parageusia at T1 and T2, and also successfully prevented papillae atrophy during all the analyzed HCT periods."</t>
  </si>
  <si>
    <t>HSF / PPED</t>
  </si>
  <si>
    <t>Latifyan</t>
  </si>
  <si>
    <t>Belgium
(Brussels)</t>
  </si>
  <si>
    <t>Use of low-level laser therapy (LLLT) or photobiomodulation (PBM) for the management of the hand-foot syndrome (HSF) or palmo-plantar erythrodysesthesia (PPED) associated with cancer therapy.</t>
  </si>
  <si>
    <t>🧑 Human
🎲 Randomized trial, double-blind, self-controlled
👥 31 participants
⌛ 2 weeks</t>
  </si>
  <si>
    <t>660
(?)</t>
  </si>
  <si>
    <t>"We found a significant benefit from PBM in comparison with sham treatment (p &lt; 0.03) and a decrease of pain in 49% of the patients. No adverse reactions were observed. We concluded that PBM might represent a useful approach for the management of PPED."
Comment: Results were reported quite scarcely, in a strange way. Also, they claim to use 69-diode LED probe with 34 red diodes, so it remains unclear if the other 35 LEDs were also used. They also claim that the intensity was "500 mU", but what does the U stand for?</t>
  </si>
  <si>
    <t>Device: Mobile Thor Laser (34 x 660nm LED)</t>
  </si>
  <si>
    <t>A long-term follow-up of early breast cancer patients treated with photobiomodulation during conventional fractionation radiotherapy in the prevention of acute radiation dermatitis</t>
  </si>
  <si>
    <t>🧑 Human
📄 Retrospective study
👥 120 patients (60 PBM, 60 sham)
⌛ 66 months (median follow-up)</t>
  </si>
  <si>
    <t>808-
905</t>
  </si>
  <si>
    <t>"Results suggest that using PBM in breast cancer patients undergoing [conventional fractionation radiotherapy] does not influence the locoregional recurrence, the development of new primary tumors, or [overall survival]."</t>
  </si>
  <si>
    <t>Fischlechner</t>
  </si>
  <si>
    <t>Australia
(Innsbruck)</t>
  </si>
  <si>
    <t>Does Low-Level Laser Therapy Affect the Survival of Patients With Head and Neck Cancer?</t>
  </si>
  <si>
    <t>🧑 Human
📄 Observational study
👥 252 patients (126 LLLT, 126 ctrls)
⌛ 4 years (median follow-up)</t>
  </si>
  <si>
    <t>Extraoral + intraoral PBM</t>
  </si>
  <si>
    <t>"126 HNC patients who had received LLLT including the tumor region and 126 matching HNC patients without LLLT (controls) treated at the Department of Otorhinolaryngology, Head &amp; Neck Surgery, Medical University of Innsbruck, were identified. The overall survival was compared using the Kaplan-Meier analysis. Fuzzy matching yielded 2 patient samples well comparable in terms of risk of death. The survival did not significantly differ between patients with and without LLLT (p = 0.18)."</t>
  </si>
  <si>
    <t>Mikhailov</t>
  </si>
  <si>
    <t>Proc. SPIE 4166</t>
  </si>
  <si>
    <t>Results of treatment of patients with second- to third-stage breast cancer by combination of low-level laser therapy (LLLT) and surgery: ten-year experience</t>
  </si>
  <si>
    <t>🧑 Human
📄 Non-randomized study, controlled
👥 81 participants
⌛ 10-year follow-up</t>
  </si>
  <si>
    <t>PBM before surgery and postoperatively for 2 years</t>
  </si>
  <si>
    <t>preop
+
for 2 years
post-op</t>
  </si>
  <si>
    <t>"86.9% (76.19% in control group) of patients with stage II breast cancer survived 10 years after LLLT treatment. For patients with stage III breast cancer treated by LLLT the rate was 83.3% (68.4% in control group)."
Comment: Parameters inadequately reported.</t>
  </si>
  <si>
    <t>Immune system</t>
  </si>
  <si>
    <t>Preoperative activation of the immune system by low reactive level laser therapy (LLLT) in oncologic patients : a preliminary report</t>
  </si>
  <si>
    <t>🧑 Human
📄 Comparison study, non-randomized (?)
👥 60 participants
⌛ single-session -&gt; 5-day follow-up (?)</t>
  </si>
  <si>
    <t>Wavelength comparison
External vs intravenous vs combined irradiation</t>
  </si>
  <si>
    <t>890
and/or
633</t>
  </si>
  <si>
    <t>"It was seen from the data that the total immunoresponse actually increased following LLLT, with no visible increase in tumoural remnant size."</t>
  </si>
  <si>
    <t>Immunosuppression</t>
  </si>
  <si>
    <t>Zhevago</t>
  </si>
  <si>
    <t>Polychromatic light (480–3400 nm) similar to the terrestrial solar spectrum without its UV component in post-surgical immunorehabilitation of breast cancer patients</t>
  </si>
  <si>
    <t>🧑 Human
📄 Non-randomized study, controlled
👥 19 participants
⌛ 7 days</t>
  </si>
  <si>
    <t>"Therefore, a 7-day course with polychromatic light prevented the development of immunosupression in the BC patients at the early post-mastectomy period."
Comment: It seems that the authors might strongly exaggerate the magnitude and significance of their findings. They conclude the results as clearly positive, but looking at the actual data, it seems that this study doesn't give enough evidence for such interpretations.</t>
  </si>
  <si>
    <t>Oral cancer</t>
  </si>
  <si>
    <t>Del Vecchio</t>
  </si>
  <si>
    <t>Laser Photobiomodulation (PBM)-A Possible New Frontier for the Treatment of Oral Cancer: A Review of In Vitro and In Vivo Studies</t>
  </si>
  <si>
    <t>"The treatment of oral squamous cell carcinoma (OSCC) is particularly complex due to its aggressive behavior, location, the patient's age, and its spread at diagnosis. In recent years, photobiomodulation (PBM) has been introduced in different medical fields; however, its application, in patients suffering from OSCC for palliative support or to induce analgesia, has been hotly debated due to the possibility that the cell growth stimuli induced by PBM could lead to a worsening of the lesions."
"The analysis showed that the clinical use of PBM is still only partially understood and is, therefore, controversial. Some authors stated that it could be contraindicated for clinical use in patients suffering from SCC, while others noted that it could have beneficial effects. According to the data that emerged from this review, it is possible to hypothesize that there are possibilities for PBM to play a beneficial role in treating cancer patients, but further evidence about its clinical efficacy and the identification of protocols and correct dosages is still needed."</t>
  </si>
  <si>
    <t>Osteosarcoma: light therapies</t>
  </si>
  <si>
    <t>Front Oncol</t>
  </si>
  <si>
    <t>Progress of phototherapy for osteosarcoma and application prospect of blue light photobiomodulation therapy</t>
  </si>
  <si>
    <t>"Here, we comprehensively summarized the therapeutic advances of OS, reviewed the current situation of traditional treatment methods of OS, and prospected the research progress of new non-invasive phototherapy on the prognosis of OS. Among them, blue photobiomodulation therapy (PBMT) has been paid more attention to in cancer treatment because of its simple operation and effective results currently."</t>
  </si>
  <si>
    <t>Moskvin &amp; Strazhev</t>
  </si>
  <si>
    <t>[Low-level laser therapy in oncology - what's new? Analysis of 2018-2021 publications]</t>
  </si>
  <si>
    <t>"The inclusion of LLLT in the ISOO/MASCC/ASCO recommendations for the treatment of complications such as mucositis, salivary gland hypofunction and xerostomia caused by non-surgical methods of treating cancer patients should be considered as a promising trend. 
An extremely low level of quality of LLLT techniques was noted, most often the replacement with meaningless «doses», «fluences» instead of the necessary parameters: wavelength, operating mode, power, frequency, exposure, etc. 
The use of only local illumination instead of systemic methods of LLLT does not allow obtaining the best results of treatment and prevention. 
Eliminating the shortcomings of treatment protocols with a focus on Russian experience, when laser blood illumination (intravenously or externally) and laser acupuncture are also necessarily carried out with local illumination of the lesion, will bring the effectiveness of LLLT to a qualitatively new, higher level."
Comment: The authors express quite blunt pro-Russian opinions in their other papers too.</t>
  </si>
  <si>
    <t>Bensadoun</t>
  </si>
  <si>
    <t>Cancer Med</t>
  </si>
  <si>
    <t>Safety and efficacy of photobiomodulation therapy in oncology: A systematic review</t>
  </si>
  <si>
    <t>"A total of 67 studies met the inclusion criteria with 43 in vitro, 15 in vivo, and 9 clinical studies identified.
In vitro studies investigating the effect of PBMT on a diverse range of cancer cell lines demonstrated conflicting results. This could be due to the differences in used parameters and the frequency of PBM applications.
In vivo studies and clinical trials with a follow-up period demonstrated that PBMT is safe with regards to tumor growth and patient advantage in the prevention and treatment of specific cancer therapy-related complications. 
Current human studies, supported by most animal studies, show safety with PBMT using currently recommended clinical parameters, including in Head &amp; Neck cancer (HNC) in the area of PBMT exposure.
A significant and growing literature indicates that PBMT is safe and effective, and may even offer a benefit in patient overall survival. Nevertheless, continuing research is indicated to improve understanding and provide further elucidation of remaining questions regarding PBM use in oncology."</t>
  </si>
  <si>
    <t>Tam</t>
  </si>
  <si>
    <t>Hong Kong &amp; UK &amp; Australia</t>
  </si>
  <si>
    <t>Review on the Cellular Mechanisms of Low-Level Laser Therapy Use in Oncology</t>
  </si>
  <si>
    <t>"Photobiomodulation (PBM) using low-level laser therapy (LLLT) is a treatment that is increasingly used in oncology. Studies reported enhancement of wound healing with reduction in pain, tissue swelling and inflammatory conditions such as radiation dermatitis, oral mucositis, and lymphedema. 
However, factors such as wavelength, energy density and irradiation frequency influence the cellular mechanisms of LLLT. Moreover, the effects of LLLT vary according to cell types. Thus, controversy arose as a result of poor clinical response reported in some studies that may have used inadequately planned treatment protocols. Since LLLT may enhance tumor cell proliferation, these will also need to be considered before clinical use.
This review aims to summarize the current knowledge of the cellular mechanisms of LLLT by considering its effects on cell proliferation, metabolism, angiogenesis, apoptosis and inflammation. With a better  understanding of the cellular mechanisms, bridging findings from laboratory studies to clinical application can be improved."</t>
  </si>
  <si>
    <t>Photobiomodulation and Cancer: What Is the Truth?</t>
  </si>
  <si>
    <t>"Although there are a few articles suggesting that PBM therapy can be detrimental in animal models of tumors, there are also many articles that suggest the opposite and that light can directly damage the tumor, can potentiate other cancer therapies, and can stimulate the host immune system. Moreover, there are two clinical trials showing increased survival in cancer patients who received PBM therapy."
"PBM therapy may have benefits in cancer patients and should be further investigated."</t>
  </si>
  <si>
    <t>Pourshahidi</t>
  </si>
  <si>
    <t>The Effect of Laser Bio-modulation on Dysplastic Lesions, an Animal Study</t>
  </si>
  <si>
    <t>Low‐level‐lasers appear to show no relevant or significant effect over the aggravation of the dysplasia’s severity. Neither the wavelength, nor the number of sessions appear to have any impact in the results.</t>
  </si>
  <si>
    <t>Genot-Klastersky</t>
  </si>
  <si>
    <t>Retrospective evaluation of the safety of low-level laser therapy/photobiomodulation in patients with head/neck cancer.</t>
  </si>
  <si>
    <t>🧑 Human
📄 Retrospective study
👥 361 cases (222 PBM, 139 ctrl)
⌛ patients diagnosed between 2005-2009, followed-up for survival and recurrences</t>
  </si>
  <si>
    <t>Oral mucositis treatment with PBM</t>
  </si>
  <si>
    <t>"The patient's characteristics were equally distributed between the two groups. For overall survival, time to local recurrence, and progression-free survival, there was no statistical evidence for a difference in prognosis between patients with and without PBM. In a multivariate analysis, after adjusting for known prognostic factors, we found no statistical evidence that PBM was related to overall survival, progression-free survival, or local recurrence."</t>
  </si>
  <si>
    <t>de Pauli Paglioni</t>
  </si>
  <si>
    <t>Oral Oncol</t>
  </si>
  <si>
    <t>Tumor safety and side effects of photobiomodulation therapy used for prevention and management of cancer treatment toxicities. A systematic review.</t>
  </si>
  <si>
    <t>"A total of 27 articles met the search criteria. Selected studies included the use of PBMT for prevention and treatment of oral mucositis, lymphedema, radiodermatitis, and peripheral neuropathy. Most studies showed that no side effects were observed with the use of PBMT. 
The results of this systematic review, based on current literature, suggest that the use of PBMT in the prevention and management of cancer treatment toxicities does not lead to the development of tumor safety issues."</t>
  </si>
  <si>
    <t>Supportive care</t>
  </si>
  <si>
    <t>Lairedj</t>
  </si>
  <si>
    <t>Haiti &amp; France</t>
  </si>
  <si>
    <t>Bull Cancer</t>
  </si>
  <si>
    <t>[Photobiomodulation in the prevention and the management of side effects of cancer treatments: Bases, results and perspectives] [Article in French]</t>
  </si>
  <si>
    <t>"PBM in the red or infrared spectrum has been shown to be effective in randomized controlled trials in the prevention and management of certain complications related to radiotherapy, in particular acute mucositis, epitheliitis and upper limb lymphedema. The level of evidence associated with PBM was heterogeneous, but overall remained moderate. The main limitations were the diversity and the lack of precision of the treatment protocols which could compromise the efficiency and the reproducibility of the results of the PBM. For other effects related to chemo/radiation therapy (dysgeusia, osteonecrosis, peripheral neuropathy, alopecia, palmar-plantar erythrodysaesthesia) and haematopoietic stem cell transplantation (graft versus host disease), treatment with PBM suffers from a lack of studies or limited studies at the origin of a weakened level of proof. However, based on these results, it was possible to establish safe practice parameters and doses of PBM."</t>
  </si>
  <si>
    <t>Italy
(Treviso)</t>
  </si>
  <si>
    <t>Quality assessment of PBM protocols for oral complications in head and neck cancer patients: part 2</t>
  </si>
  <si>
    <t>"Overall, a beneficial effect of PBM was evidenced in the amelioration of QoL, nutritional status, the reduction of pain, and functional impairment. Preventive PBM may reduce the incidence and duration of RT interruptions, potentially contributing to improved cancer treatment outcomes. PBM treatments are safe and recommended for routine use, with the caveat of avoiding direct tumor exposures where feasible. However, it does not appear to impact cancer survivorship/recurrences directly. Despite additional clinical efforts involving routine PBM use, the individual and public health benefits will positively impact oncology care."</t>
  </si>
  <si>
    <t>Photobiomodulation Therapy for Treatment of Extravasation Injuries in Cancer Chemotherapy</t>
  </si>
  <si>
    <t>Belgium
(Diepenbeek)</t>
  </si>
  <si>
    <t>Photobiomodulation therapy in management of cancer therapy-induced side effects: WALT position paper 2022</t>
  </si>
  <si>
    <t>📖 Review / position paper</t>
  </si>
  <si>
    <t>"There is a large body of evidence demonstrating the efficacy of PBM for preventing OM in certain cancer patient populations, as recently outlined by the Multinational Association for Supportive Care in Cancer/International Society of Oral Oncology (MASCC/ISOO). Building on these, the WALT group outlines evidence and prescribed PBM treatment parameters for prophylactic and therapeutic use in supportive care for radiodermatitis, dysphagia, xerostomia, dysgeusia, trismus, mucosal and bone necrosis, lymphedema, hand-foot syndrome, alopecia, oral and dermatologic chronic graft-versus-host disease, voice/speech alterations, peripheral neuropathy, and late fibrosis amongst cancer survivors."
"There is robust evidence for using PBM to prevent and treat a broad range of complications in cancer care. Specific clinical practice guidelines or evidence-based expert consensus recommendations are provided. These recommendations are aimed at improving the clinical utilization of PBM therapy in supportive cancer care and promoting research in this field. It is anticipated these guidelines will be revised periodically."</t>
  </si>
  <si>
    <t>Front Oral Health</t>
  </si>
  <si>
    <t>Quality Assessment of PBM Protocols for Oral Complications in Head and Neck Cancer Patients: Part 1</t>
  </si>
  <si>
    <t>"PBM therapy could significantly prevent or reduce the severity of many side effects related to cancer therapies. More research is needed to obtain recommendations over the preferable parameters."</t>
  </si>
  <si>
    <t>Impact of photobiomodulation for oral mucositis on body weight and BMI of patients with head and neck cancer</t>
  </si>
  <si>
    <t>🧑 Human
🎲 Randomized trial, sham-controlled
👥 36 participants
⌛ 8 weeks (??)</t>
  </si>
  <si>
    <t>Oral mucositis</t>
  </si>
  <si>
    <t>86.7</t>
  </si>
  <si>
    <t>33
(33p)</t>
  </si>
  <si>
    <t>330
(33p)</t>
  </si>
  <si>
    <t>3/week
for
24 sessions
(?)</t>
  </si>
  <si>
    <t>"All patients had significant differences in weight and BMI throughout the study period. Patients in the PBM group lost less weight (p &lt; 0.01) and had a reduced BMI loss (p &lt; 0.01) in comparison to patients in the SHAM group.
Although PBM did not prevent oral mucositis, it decreased its severity (p &lt; 0.01)."</t>
  </si>
  <si>
    <t>Noninvasive Systemic Modalities for Prevention of Head and Neck Radiation-Associated Soft Tissue Injury: A Narrative Review</t>
  </si>
  <si>
    <t>"We highlighted nine modalities with the most clinical potential, which include amifostine, melatonin, palifermin, hyperbaric oxygen therapy, photobiomodulation, pentoxifylline-tocopherol-clodronate, pravastatin, transforming growth factor-β modulators, and deferoxamine, and reviewed the benefits and limitations of each modality. Unfortunately, none of these modalities are supported by strong evidence for prophylaxis against radiation-associated soft tissue injury."</t>
  </si>
  <si>
    <t>Klausner</t>
  </si>
  <si>
    <t>Clinical use of photobiomodulation as a supportive care during radiation therapy</t>
  </si>
  <si>
    <t>"PBM in the red or infrared spectrum has been shown in randomized controlled trials to be effective in the management of some radiotherapy-related complications, in particular acute mucositis, epithelitis, and upper limb lymphedema. These studies probably even underestimated the magnitude of the benefit of PBM due to incomplete assessment of the costs of these complications. Very recently, a systematic review of the literature concluded that there was evidence in favor of PBM in terms of cost-effectiveness for the prevention and management of cancer treatment-related toxicities, including acute oral mucositis and upper limb lymphedema [43]. Therefore, PBM could be considered as a full-fledged supportive care for patients treated in oncology. Indeed, well beyond the complications of radiotherapy, there is also consistent evidence supporting use of PBM to prevent and manage complications of chemotherapy. While strong evidence including placebo-controlled randomized trials has already been published for chemo-induced peripheral neuropathy, convincing data exists for hand-foot syndrome or chemo-induced alopecia. In all cases, a major challenge is now to standardize practices through the publication of guidelines. Detailed protocols of PBM treatment are mandatory in order to optimize its efficacy and guarantee the reproducibility of its outcomes."
"The first university diploma, which validate a 1-year training in “PBM in Cancer Supportive Care”, was created in France in 2020 (University of Paris-Saclay, Gustave Roussy Institute) with a great success.
Regarding cost-effectiveness of PBM compared with other supportive care treatments, we have few comparative data that include the use of modern PBM material and new quality control criteria (with a much better expected income and reliability compared with old devices). These comparative studies are now initiated in several countries and should confirm in the near future this cost-effectiveness: PBM material is not expensive, the main limiting factor being the cost of salaries (people using devices, 10 to 20 mn per patient). Moreover, reduction in the number and duration of hospitalizations, reduction of enteral or parenteral nutrition, and reduction of the use of morphinics, for example, were largely documented in several studies testing PBM for oral mucositis in cancer patients, with a significant decrease of treatment cost per patient.
Finally, with all this technical and clinical progress, PBM is entering a new era of maturity and evidence-based clinical use that should allow PBM to be fully considered as a part of “mainstream medicine”!"</t>
  </si>
  <si>
    <t>Kauark-Fontes</t>
  </si>
  <si>
    <t>Cost-effectiveness of photobiomodulation therapy for the prevention and management of cancer treatment toxicities: a systematic review</t>
  </si>
  <si>
    <t>"The incremental cost-effectiveness ratio ranged from 3050.75 USD to 5592.10 USD per grade 3-4 OM case prevented. PBM therapy cost 21.47 USD per percentage point reduction in lymphedema in comparison with 80.51 USD for manual lymph drainage and physical therapy."
"There is limited evidence that PBM therapy is cost-effective in the prevention and treatment of specific cancer treatment-related toxicities, namely, OM and breast cancer-related lymphedema. Studies may have underreported the benefits due to a lack of a comprehensive cost evaluation. This suggests a wider acceptance of PBM therapy at cancer treatment centers, which has thus far been limited by the number of robust clinical studies that demonstrate cost-effectiveness for the prevention and treatment of toxicities."</t>
  </si>
  <si>
    <t>Supportive care of cancer patients with a self-applied photobiomodulation device: a case series</t>
  </si>
  <si>
    <t>🧑 Human
📄 Case series
👥 5 cases
⌛ 5-10 treatments (?)</t>
  </si>
  <si>
    <t>At-home devices
Oral mucositis and skin wounds</t>
  </si>
  <si>
    <t>"The treatment was found effective for resolving OM with rapid pain relief and accelerated healing in post-operative wounds and dermatitis, without reported adverse events. Patients found routine easy to follow and painless, and the protocol was easily integrated as an adjuvant treatment to standard care at the clinic or home while not requiring additional time from the staff."</t>
  </si>
  <si>
    <t>Device: B-Cure Laser Pro, Good Energies Ltd., Haifa, Israel</t>
  </si>
  <si>
    <t>Photobiomodulation for Side Effects of Cancer Therapy.</t>
  </si>
  <si>
    <t>"The efficacy of PBM is promising in the majority of studies, both chronic and acute conditions and affected tissues, even though not all have yielded positive outcomes. The varying results may be attributed to factors such as dosimetry, resulting in counter-productive effect of PBM in high doses compared with the beneficial effects at a much lower dosage."</t>
  </si>
  <si>
    <t>Is photobiomodulation therapy effective in reducing pain caused by toxicities related to head and neck cancer treatment? A systematic review.</t>
  </si>
  <si>
    <t>"Fifteen out of 1112 studies met the inclusion criteria (14 for oral mucositis (OM) and 1 for radiodermatitis). 
From the 14 studies involving the prevention and treatment of OM, 10 had the study subjects compared to a placebo group. Of these 10 studies, all but 1 showed statistically significant difference related to pain control favoring the PBMT group. The study that compared PBMT with other treatment modality showed better results in pain control with PBMT. It appears that PBMT application frequency and potency impact on pain control. 
The only study involving the prevention and treatment of radiodermatitis was compared to placebo arm and showed statistically significant difference related to pain control favoring the PBMT group. 
Seven studies compared the need of analgesic medication between PBMT and placebo groups. Of these, five studies showed that the use of analgesic medication was significantly higher in the placebo group. 
The current evidence supports that PBMT is effective in pain control resulting from OM and radiodermatitis and may also reduce the need for analgesics. The evidence is not yet available of the effects of PBMT in other HNC treatment-related toxicities."</t>
  </si>
  <si>
    <t>Photobiomodulation or low-level laser therapy in the management of cancer therapy-induced mucositis, dermatitis and lymphedema.</t>
  </si>
  <si>
    <t>"Recent advances in LLLT/PBM technology, together with a better understanding of mechanisms involved and dosimetric parameters may lead to the management of a broader range of complications associated with cancer treatment. This could enhance patient adherence to cancer therapy, and improve quality of life and treatment outcomes."
"The article discusses LLLT/PBM mechanisms of action, dosimetry, and safety, and aims to identify some cancer treatment side-effects for which LLLT/PBM may prove to be effective (oral mucositis, radiation dermatitis, lymphedema). In addition, LLLT/PBM parameters for each of these complications are suggested and future research directions are discussed."</t>
  </si>
  <si>
    <r>
      <rPr>
        <b/>
        <color rgb="FF980000"/>
        <sz val="9.0"/>
      </rPr>
      <t xml:space="preserve">★
</t>
    </r>
    <r>
      <rPr>
        <b/>
        <color rgb="FF980000"/>
        <sz val="7.0"/>
      </rPr>
      <t>📷</t>
    </r>
  </si>
  <si>
    <t>Belgian journal of medical oncology</t>
  </si>
  <si>
    <t>The role of photobiomodulation therapy in the care of cancer patients: review of the literature</t>
  </si>
  <si>
    <t>"Photobiomodulation therapy is based on the application of visible and/or (near-)infrared light on the target tissue. We performed a review of 34 articles on the use of photobiomodulation therapy in the management of cancer related lymphoedema, oral mucositis, radiodermatitis, chemotherapy-induced peripheral neuropathy, osteonecrosis of the jaw, and xerostomia/hyposalivation. The findings suggest that photobiomodulation therapy is a promising option for the management of these cancer therapy-related side effects."</t>
  </si>
  <si>
    <t>The use of low-level light therapy in supportive care for patients with breast cancer: review of the literature.</t>
  </si>
  <si>
    <t>"For this review, all existing literature concerning the use of LLLT for breast cancer was used to provide evidence in the following domains: oral mucositis (OM), radiodermatitis (RD), lymphedema, chemotherapy-induced peripheral neuropathy (CIPN), and osteonecrosis of the jaw (ONJ).
The findings of this review suggest that LLLT is a promising option for the management of breast cancer treatment-related side effects. However, it still remains important to define appropriate treatment and irradiation parameters for each condition in order to ensure the effectiveness of LLLT."</t>
  </si>
  <si>
    <t>Argenta</t>
  </si>
  <si>
    <t>Gynecol Oncol</t>
  </si>
  <si>
    <t>The effect of photobiomodulation on chemotherapy-induced peripheral neuropathy: A randomized, sham-controlled clinical trial.</t>
  </si>
  <si>
    <t>🧑 Human
🎲 Randomized trial, double-blind
👥 70 participants
⌛ 6-week treatment / 16-week study</t>
  </si>
  <si>
    <t>Chemotherapy-induced peripheral neuropathy</t>
  </si>
  <si>
    <t>800-
980</t>
  </si>
  <si>
    <t>LLLT improved the status of patients approximately by 40-50%, while sham treatment didn't have any effect.
Comment: Parameters were extremely poorly reported.</t>
  </si>
  <si>
    <t>Cheville &amp; Basford</t>
  </si>
  <si>
    <t>J Clin Oncol</t>
  </si>
  <si>
    <t>Role of rehabilitation medicine and physical agents in the treatment of cancer-associated pain.</t>
  </si>
  <si>
    <t>"Low-power lasers were first used in the mid 1960s, and early reports of benefits, albeit often anecdotal, were enthusiastic and rapidly led to the application of lasers to a wide variety soft tissue injuries and conditions. With time, lasers have for the most part been replaced with a variety of nonlaser monochromatic and often infrared light sources. However, treatment parameters have remained relatively stable and typically involve the use of 30- to ≥ 150-mW devices and energy intensities of a few joules per square centimeter."
"As is true for many modalities, the clinical benefits of light and laser therapies remain difficult to quantitate. A large number of clinical trials have evaluated the efficaciousness of laser therapy over the years, with mixed results. Although many results are quite encouraging, systematic assessment has been limited, with recent evidence-based reviews on nonspecific low back pain and venous stasis ulcers unable to support benefit. However, the situation seems somewhat better for patients with rheumatoid arthritis, shoulder pain, or cancer receiving treatment for oral mucositis, although even here, the need has been voiced for additional trials to ensure an adequate evaluation."
"In summary, evidence for the benefits of light therapy remains mixed, although there is some level of support above that of an individual study. Treatment is associated with minimal adverse effects, and a recent review of the literature revealed not only acceptance for use in cancer treatment–related conditions, such as mucositis, but also no evidence of an increase in the frequency of cancer recurrence or metastatic disease."
Comment: This review was published in a very high-impact journal.</t>
  </si>
  <si>
    <t>Clin Cancer Res</t>
  </si>
  <si>
    <t>Phase I trial of an infrared pulsed laser device in patients with advanced neoplasias.</t>
  </si>
  <si>
    <t>🧑 Human
📄 Single-arm study
👥 17 participants
⌛ 19-39 month follow-up</t>
  </si>
  <si>
    <t>Infrared pulsed laser device (IPLD)</t>
  </si>
  <si>
    <t>"The [infrared pulsed laser device] treatment studied is safe for clinical use and may have potential effects on [Karnofsky performance status], [Spitzer quality of life index], and antitumor activity in patients with advanced neoplasias."
Comment: The IPLS may not be PBM.</t>
  </si>
  <si>
    <t>Goranova</t>
  </si>
  <si>
    <t>Folia Med (Plovdiv)</t>
  </si>
  <si>
    <t>Application of low intensity laser radiation in extravasal infiltrates caused by cytostatics in children with acute leukemia</t>
  </si>
  <si>
    <t>🧑 Human
📄 Single-arm study
👥 (?)
⌛ (?)</t>
  </si>
  <si>
    <t>890-
910</t>
  </si>
  <si>
    <t>"We found that the extravasal infiltrates rapidly decreased the local inflammatory response and the pain was relieved. The strong anti-inflammatory effect can be accounted for by the nonspecific action of the LIRR on the tissues, which is manifested by better microcirculation, removal of toxic substances and stimulated regeneration capabilities of the cells."</t>
  </si>
  <si>
    <t>Survival</t>
  </si>
  <si>
    <t>Paiva</t>
  </si>
  <si>
    <t>Long-term survival of cancer patients after photobiomodulation therapy for prevention and treatment of oral mucositis</t>
  </si>
  <si>
    <t>🧑 Human
📄 Retrospective study
👥 751 patients</t>
  </si>
  <si>
    <t>"PBMT increased survival by 55.14%, from 1.07 (Without PBMT) to 1.66 years (With PBMT) for the total population and more significantly in Group 41 (stages III and IV, radiation therapy/chemotherapy, with more than five PBMT sessions), the median survival value of 1.83 years, which represents a 66.36% higher survival rate. 
In all the analyzed populations, the larger number of sessions was associated with better survival. In terms of survival, advanced stages III and IV almost equated with stages I and II in the absence of PBMT."</t>
  </si>
  <si>
    <t>Tumor cells + chemo</t>
  </si>
  <si>
    <t>Zafari</t>
  </si>
  <si>
    <t>The effect of cisplatin-low-level laser therapy on cell viability and death of LNCaP prostate cancer cell line</t>
  </si>
  <si>
    <t>610
630
810</t>
  </si>
  <si>
    <t>"We conclude that applying the cisplatin-LLL combination therapy is promising as an effective anti-cancer treatment."</t>
  </si>
  <si>
    <t>Effect of a Low-Level Laser on Liposomal Doxorubicin Efficacy in a Melanoma Cell Line</t>
  </si>
  <si>
    <t>Melanoma</t>
  </si>
  <si>
    <t>"Here, we report the effect of laser irradiation on LDDSs. According to the results obtained from the annexin V/PI assay, the pattern of viability status has shifted, so that the number of pre-apoptotic cells treated with liposomal doxorubicin and a laser beam was more than that of cells treated with only liposomal doxorubicin."</t>
  </si>
  <si>
    <t>Guler &amp; Ovey</t>
  </si>
  <si>
    <t>Slovakia</t>
  </si>
  <si>
    <t>Bratisl Lek Listy</t>
  </si>
  <si>
    <t>LLLT enhance cyclophosphamide induced TRPM2 channel activation in human colon cancer cells.</t>
  </si>
  <si>
    <t>"It was found that the levels of apoptosis in cyclophosphamide group were significantly increased in cancer cells compared to the control group. TRPM2 channel stimulator administration resulted in significantly increased apoptosis levels compared to the control group, in cyclophosphamide + low level laser group the apoptosis level was significantly increased compared to the cyclophosphamide-only group."</t>
  </si>
  <si>
    <t>Photobiomodulation Enhances Cisplatin Cytotoxicity in a Culture Model with Oral Cell Lineages.</t>
  </si>
  <si>
    <t>2.14</t>
  </si>
  <si>
    <t>0.33</t>
  </si>
  <si>
    <t>11.7</t>
  </si>
  <si>
    <t>"Cell lineages showed increased sensitivity to cisplatin associated with PBM (Cis-PBM)."</t>
  </si>
  <si>
    <t>Tumor cells + radiation</t>
  </si>
  <si>
    <t>Tabosa</t>
  </si>
  <si>
    <t>Effect of low-level light therapy before radiotherapy in oral squamous cell carcinoma: An in vitro study</t>
  </si>
  <si>
    <t>"PBM at 300 J/cm2 is a promising radiosensitizing modality to reduce the radiation dose and avoid the intolerable side effects of radiotherapy for HNSCC, thus increasing the probability of successful treatment. However, further studies are needed to support and confirm the results."</t>
  </si>
  <si>
    <t>Faria</t>
  </si>
  <si>
    <t>Tumor radiosensitization by photobiomodulation</t>
  </si>
  <si>
    <t>"PBM did not induce proliferation in vitro, but increased the G2/M fraction by 27% 24h after illumination, resulting in an enhancement of 30% in radiation effect in the clonogenic assay. The median survival of the PBM-RT group increased by 4 days and the hazard ratio was 0.417 (CI 95%: 0.173-1.006) when compared to radiation alone. OCT analysis over time demonstrated that PBM increases tumor necrosis due to radiation, and histological analysis showed that illumination increased cell differentiation and angiogenesis, which may play a role in the synergetic effect of PBM and radiation."</t>
  </si>
  <si>
    <t>Courtois</t>
  </si>
  <si>
    <t>France
(Villeurbanne)</t>
  </si>
  <si>
    <t>Photobiomodulation by a new optical fiber device: analysis of the in vitro impact on proliferation/migration of keratinocytes and squamous cell carcinomas cells stressed by X-rays</t>
  </si>
  <si>
    <t>"The effectiveness of PBM to increase HaCaT proliferation and migration (with or without X-ray radiation) supports the capability of PBM to favor wound healing. It also highlights that PBM does not provide any anti-radiation effect to previously X-rays radiated SCC (p &lt; 0.001)."
"Such data supports the beneficial effect of PBM delivered by an optical fiber device to heal wounds, without promoting cancer development."</t>
  </si>
  <si>
    <t>Cherkasova</t>
  </si>
  <si>
    <t>Effects of Photobiomodulation in Relation to HeLa Kyoto Tumor Cells Exposed to Ionizing Radiation</t>
  </si>
  <si>
    <t>"After PBM following an exposure at a dose of 4 Gy the cell survival rates were 114±9%, 107±7%, 124±8% for energy densities of 3 mJ/cm2 , 30 mJ/cm2 and 300 mJ/cm2 , respectively (Fig. 4b)."</t>
  </si>
  <si>
    <t>Djavid</t>
  </si>
  <si>
    <t>Analysis of Radiomodulatory Effect of Low-Level Laser Irradiation by Clonogenic Survival Assay</t>
  </si>
  <si>
    <t>"Normal NIH 3T3 cells and cancer HeLa cells were irradiated with 685 and 830 nm LLLI at different energy densities prior to ionizing X-ray radiation."
"Clonogenic radiation survival assay showed that the application of LLLI at 685 nm prior to ionizing radiation could significantly inhibit clonogenic growth of HeLa cells compared with unirradiated HeLa cells.
LLLI could also significantly increase the α parameter of the linear quadratic (LQ) model. In contrast, application of LLLI at 830 nm could significantly protect NIH 3T3 cells against radiation and decreased α parameter."</t>
  </si>
  <si>
    <t>Tumor cells</t>
  </si>
  <si>
    <t>Shirazian</t>
  </si>
  <si>
    <t>The effect of different parameters of low-level laser used in the treatment of oral mucositis, on the viability and apoptosis of oral squamous cell carcinoma cells: In vitro study</t>
  </si>
  <si>
    <t>"A significant reduction in viability was found only in the 20 mW group compared to controls (p = 0.001). Cell survival was significantly lower in cells receiving 20 mW laser than those treated with 40 and 80 mW (p &lt; 0.05). None of the laser groups showed significant changes in BcL-2, but Bax was significantly lower in cells receiving 40 and 80 mW (p &lt; 0.05), compared to controls. 
Laser irradiation at 660 nm (2 J/cm2, 30 s) significantly reduced the viability of oral cancer cells when using 20 mW power. These specifications align with the recommendation that the lowest possible laser dose should be applied for treating cancer patients."</t>
  </si>
  <si>
    <t>China
(Fudan)</t>
  </si>
  <si>
    <t>Effect of 460 nm blue light PBM on human MeWo melanoma cells</t>
  </si>
  <si>
    <t>"In this study, we used a continuous LED light source with a wavelength of 460 nm and designed various combinations of power density (ranging from 6.4 to 25.6 mW) and dose (ranging from 0.96 to 30.72 J/cm2) to conduct treatment experiments on MeWo cells to investigate the effects of blue light on MeWo melanoma cells. We are focusing on cell viability, cytotoxicity, mitochondrial function, oxidative stress, and apoptosis. We found that blue light inhibits these melanoma cells through oxidative stress and DNA damage, and this inhibition intensifies at higher irradiance levels. Although the cells initially attempt to resist the stress induced by the treatment, they eventually undergo apoptosis over time."</t>
  </si>
  <si>
    <t>Blue light irradiation suppresses oral squamous cell carcinoma through induction of endoplasmic reticulum stress and mitochondrial dysfunction</t>
  </si>
  <si>
    <t>"Our results demonstrated that 420 nm blue light effectively reduced OSCC cell viability and migration, and induced G2/M arrest. Moreover, we observed that 420 nm blue light triggered endoplasmic reticulum (ER) stress and mitochondrial dysfunction in OSCC cells, leading to activation of the CHOP signal pathway and alterations in the levels of Bcl-2 and Bax proteins, ultimately promoting cell apoptosis."</t>
  </si>
  <si>
    <t>Farias</t>
  </si>
  <si>
    <t>Effects of low‑power red laser and blue LED on mRNA levels from DNA repair genes in human breast cancer cells</t>
  </si>
  <si>
    <t>470
658</t>
  </si>
  <si>
    <t>"Our research shows that photobiomodulation induced by low-power red laser and blue LED decreases the mRNA levels of repair genes from the base excision repair pathway in MCF-7 and MDA-MB-231 cells."</t>
  </si>
  <si>
    <t>Ang</t>
  </si>
  <si>
    <t>Malaysia
(Penang)</t>
  </si>
  <si>
    <t>Exploring differentiation-dependent responses to 532 nm green laser photobiomodulation in SHSY5Y neuroblastoma cells</t>
  </si>
  <si>
    <t>Green light 🟢
Biphasic dose response
Cell viability</t>
  </si>
  <si>
    <t>"The investigation identified three sets of parameters that exhibited noticeable positive percentage biostimulation: (160 mW, 15 min), (180 mW, 5 min), and (200 mW, 5 min). These parameter combinations demonstrated varying degrees of biostimulation ranging from 9 to 19%. On the other hand, the highest observed bioinhibition was achieved with the parameters (220 mW, 15 min), resulting in a bioinhibition of 54%. These parameters of interest can be used as references points for further PBM studies."</t>
  </si>
  <si>
    <t>Blue light photobiomodulation induced apoptosis by increasing ROS level and regulating SOCS3 and PTEN/PI3K/AKT pathway in osteosarcoma cells</t>
  </si>
  <si>
    <t>"The effects of various blue light parameters on MG63 cells indicated that suppressed cell proliferation and cell migration, induced cell apoptosis which are experimentally assessed using multiple assays including CCK, LDH, wound healing assay and Hoechst staining."</t>
  </si>
  <si>
    <t>Al-Toukhy</t>
  </si>
  <si>
    <t>J Egypt Natl Canc Inst</t>
  </si>
  <si>
    <t>Photobiological modulation of hepatoma cell lines and hepatitis B subviral particles secretion in response to 650 nm low level laser treatment</t>
  </si>
  <si>
    <t>"In response to LLLT irradiation, we observed a considerable reduction in viability, proliferation, and HBVsvp production in both hepatoma cell lines HepG2.2.15 and HepG2. Ultrastructural modification of mitochondria and nuclear membranes: This effect was dose, cell type, and time-dependent."</t>
  </si>
  <si>
    <t>Hu &amp; Liu</t>
  </si>
  <si>
    <t>China
(Hengyang)</t>
  </si>
  <si>
    <t>Mechanism of Action of Photobiomodulation with Light-Emitting Diode(led 640nm) on the Glutamine Dependent CT26 Cell</t>
  </si>
  <si>
    <t>"Led 640nm inhibits cell apoptosis without increasing cell proliferation by regulating GLUT1, MEK/ERK, and PI3K/AKT/mTOR signals."
Comment: This paper doesn't mention 'tumor cells' but it appears that CT26 cells are from colon carcinoma. I assume that decreased apoptosis in tumor cells is a negative outcome. However, it seems only one of the multiple doses led to this outcome.</t>
  </si>
  <si>
    <t>Effects of photobiomodulation by low-power lasers and LEDs on the viability, migration, and invasion of breast cancer cells</t>
  </si>
  <si>
    <t>LED phototherapy (blue light)
Wavelength comparison
Blue light 🔵</t>
  </si>
  <si>
    <t>470
658</t>
  </si>
  <si>
    <t>150
100</t>
  </si>
  <si>
    <t>5.35
0.77</t>
  </si>
  <si>
    <t>"The results suggest that photobiomodulation induced by low-power red laser and blue LED does not alter cell viability and migration but decreases cell invasion in human breast cancer cells."</t>
  </si>
  <si>
    <t>Effect of blue light on the cell viability of A549 lung cancer cells and investigations into its possible mechanism</t>
  </si>
  <si>
    <t>"This study aimed to investigate A549 cells responses to blue light with varying irradiance and dose-dense, and tried to find out the mechanism of the effects blue light made. 
The results suggested that the responses of A549 cells to blue light with different irradiance and dose-dense were different and the decrease of cell viability reached saturation when the irradiance reached 3 mW/cm2 and the dose-dense reached 3.6 J/cm2 . 
It was assumed that blue light suppressed PI3K/AKT pathway and promoted the expression of JNK and p53 to affect the proliferation of A549 cells."</t>
  </si>
  <si>
    <t>Pevná</t>
  </si>
  <si>
    <t>Effect of Photobiomodulation on Protein Kinase Cδ, Cytochrome C, and Mitochondria in U87 MG Cells</t>
  </si>
  <si>
    <t>"In this work, the effects of PBM on glioblastoma cells were studied because an enhancement of the photodynamic effect and a switch from autophagy to apoptosis by PBM were previously observed [33,58]. 
We demonstrated an increase in the concentration of proapoptotic PKCδ in the cytoplasm, as well as of cytochrome c in the mitochondria, in the PBM-treated cells. A small amount of cytochrome c was released into the cytoplasm, but apoptosis was not induced by PBM. STAT3 was not inhibited and remained in the cytoplasm of the irradiated cells. Moreover, autophagy was still active in these cells exposed to PBM. 
However, the extent of locally generated oxidative stress could be successfully switched in anticancer treatment through the application of additional toxins or through photodynamic therapy. Subsequently, oxidative stress could switch the autophagy signaling pathway to apoptosis."</t>
  </si>
  <si>
    <t>Low-level laser selectively inhibiting colorectal cancer cell metabolic activity and inducing apoptosis for delaying the development of intestinal cancer</t>
  </si>
  <si>
    <t>"Here, LLLI (632.8 nm) was used to treat CRC RKO cells and normal small intestinal NCM460 cells. LLLI showed a significant dose- and time-dependent effect on cell viability, in which a single dose of irradiation at 15 J/cm2 selectively inhibited the growth of RKO cells but largely unaffected the activity of NCM460 cells."
"LLLI successfully achieves tumor cell normalization while delivering a potent anticancer effect, expected to be a novel therapeutic modality for CRC."</t>
  </si>
  <si>
    <t>China
(Qingdao)</t>
  </si>
  <si>
    <t>The pulse light mode enhances the effect of photobiomodulation on B16F10 melanoma cells through autophagy pathway</t>
  </si>
  <si>
    <t>Autophagy
🎚 Pulsing</t>
  </si>
  <si>
    <t>"One mechanism that causes the difference in CW and pulse-PBM action is that pulse-PBM activates autophagy of melanoma cells through the ROS/OPN3/Ca2+ signaling pathway, and excessive autophagy activation inhibits proliferation and apoptosis of melanoma cells. Autophagy may be one of the reasons for the difference between pulse- and CW-PBM on melanoma cells."</t>
  </si>
  <si>
    <t>Contatori</t>
  </si>
  <si>
    <t>Responses of melanoma cells to photobiomodulation depend on cell pigmentation and light parameters</t>
  </si>
  <si>
    <t>30/
90/
150</t>
  </si>
  <si>
    <t>"We noticed that amelanotic cells were unresponsive to NIR light. In contrast, NIR irradiation at 30 J/cm2 promoted an increase in the invasiveness of pigmented cells, even though all light doses have inhibited cell migration. Regarding the red laser on pigmented cells, the highest light dose (150 J/cm2) decreased the VEGF production and migration."
"In vivo, melanoma-bearing mice treated with red laser showed smaller tumor volume and longer survival than controls."
"We conclude that PBM appears to be safe for amelanotic non-pigmented melanoma but triggers different responses in melanotic pigmented cells depending on light parameters. Additionally, a high dose of red laser impairs the invasive behavior of melanoma cells, probably due to the decrease in VEGF synthesis, which may have contributed to tumor arrest and increased mouse survival. 
These findings suggest that red laser therapy could be a new ally in the supportive care of melanoma patients."</t>
  </si>
  <si>
    <t>Mojtahedin</t>
  </si>
  <si>
    <t>Light-emitting diode photomodulation of uterine adenocarcinoma cells inhibited angiogenesis capacity via the regulation of exosome biogenesis</t>
  </si>
  <si>
    <t>4
8
16
32
64</t>
  </si>
  <si>
    <t>"These data showed tumoricidal properties of LED irradiation on human adenocarcinoma Ishikawa cells via the inhibition of exosome biogenesis and suppression of angiogenesis capacity."</t>
  </si>
  <si>
    <t>Joubert</t>
  </si>
  <si>
    <t>Homeopathy</t>
  </si>
  <si>
    <t>The In-Vitro Effect of Homeopathically Prepared Rubus idaeus and 680 nm Laser Irradiation on Cervical Cancer Cells</t>
  </si>
  <si>
    <t>PBM + homeopathy</t>
  </si>
  <si>
    <t>"The increased ATP and LDH levels observed in the combined treatment protocol of 680 nm laser and RI D3 at fluencies of 5, 10 and 15 J/cm2, show that the Warburg effect might have been induced in the CC cells - an increase in glucose uptake and the preferential production of lactate, even in the presence of oxygen."</t>
  </si>
  <si>
    <t>Shoorche</t>
  </si>
  <si>
    <t>Photobiomodulation Therapy Affects the Elastic Modulus, Cytoskeletal Rearrangement and Migration Capability of Human Osteosarcoma Cells</t>
  </si>
  <si>
    <t>532
650
780</t>
  </si>
  <si>
    <t>25
3
150
70</t>
  </si>
  <si>
    <t>3.14
cm2
beam
area</t>
  </si>
  <si>
    <t>"The results indicated an increase in stiffness and shape index of radiation-induced cells 24 h after exposure along with the obvious F-actins changes. But, cell stiffening was not observed 72 h after 532 nm laser irradiation. Also, a decrease in the migration rate was seen in all of the groups after 72 h of irradiation except cells treated with 532 nm wavelength. However, 532 nm laser beams increase the migratory potential 24 h after exposure. Within 72 h after irradiation, the cell proliferation was only affected by applying 532 nm and 650 nm-150mW laser beams."</t>
  </si>
  <si>
    <t>Mansourian</t>
  </si>
  <si>
    <t>The Effect of Low-level Laser Therapy on VEGF, IL-6 Expression and Viability of Oral Squamous Cell Carcinoma Cells</t>
  </si>
  <si>
    <t>"Cell viability of all laser-irradiated groups was significantly lower than the control group.
VEGF expression increased in laser-irradiated groups. This was only significant in the 810nm group. IL-6 protein secretion was significantly higher in all laser-irradiated groups compared to the control group."</t>
  </si>
  <si>
    <t>Bioomedicines</t>
  </si>
  <si>
    <t>808-nm Photobiomodulation Affects the Viability of a Head and Neck Squamous Carcinoma Cellular Model, Acting on Energy Metabolism and Oxidative Stress Production</t>
  </si>
  <si>
    <t>15
30
45
60
75</t>
  </si>
  <si>
    <t>"In addition to altering glucose metabolism, PBM treatments affected the OHSU-974 FAcorr viability. In detail, 24 h after the irradiation, 0.25 and 1 W determined a decrement and an increment in the cell number, respectively, compared to the control and the other treated samples (Figure 5A,B). 
However, after 48 and 72 h from the laser irradiation, all treated samples showed a significant decrement in the cell number compared to the control (Figure 5A,B)."</t>
  </si>
  <si>
    <t>Javaheri</t>
  </si>
  <si>
    <t>Effect of Low-Level Laser Therapy and Sinensetin (Combination therapy) on Tumor Cells (Hela) and Normal Cells (CHO)</t>
  </si>
  <si>
    <t>"The pretreatments (first LLLT, then sinensetin) can decrease the viability of both cell lines more than the first treatment (sinensetin + LLLT). In the clonogenic assay, the pretreatment of cells with LLLT and Sinensetin significantly reduced the surviving fraction of both cell lines."</t>
  </si>
  <si>
    <t>de Faria</t>
  </si>
  <si>
    <t>Effects of photobiomodulation on the redox state of healthy and cancer cells</t>
  </si>
  <si>
    <t>"PBMT down-regulated the SCC-25 [optical redox ratio] by 10%. Furthermore, PBMT led to an increase in ROS and ATP production in carcinoma cells after 4 h, while fibroblasts only had a modest ATP increase 6 h after irradiation. Cell lines did not show distinct cell cycle profiles, as both had an increase in G2/M cells. This study indicates that PBMT decreases the redox state of oral cancer by possibly increasing glycolysis and affects normal and tumor cells through distinct pathways."</t>
  </si>
  <si>
    <t>Evaluation of Biological Activity of Different Wavelengths of Low-Level Laser Therapy on the Cancer Prostate Cell Line Compared With Cisplatin</t>
  </si>
  <si>
    <t>"LLLT with wavelengths of 610, 630 and 810 nm did not show notable biological effects on cell viability."</t>
  </si>
  <si>
    <t>Malaysia
(Pinang)</t>
  </si>
  <si>
    <t>Breast Cancer</t>
  </si>
  <si>
    <t>In vitro anti-breast cancer studies of LED red light therapy through autophagy</t>
  </si>
  <si>
    <t>615
630
660
730</t>
  </si>
  <si>
    <t>"It has been shown by MTT assay that at 24 h post-exposure time point, only LED red light with wavelength 660 nm possessed anti-proliferative effects against both cell lines with 40% reduction of cell viability. The morphology of LED 660 nm irradiated cells was found flatten with enlarged cell size, typical characteristic of cell senescent."</t>
  </si>
  <si>
    <t>Effects of photobiomodulation by low power lasers on the in vitro proliferation and aggressiveness of breast cancer cells</t>
  </si>
  <si>
    <t>25
50</t>
  </si>
  <si>
    <t>"Exposure to low power infrared laser could increase MDA-MB-231 cell proliferation at 25 J cm−2.
Neuroblastoma RAS oncogene (NRAS) mRNA relative levels reduced when irradiating with low power infrared at 25 J cm−2 and for low power red laser at 50 J cm−2.
Kirsten rat sarcoma viral oncogene (KRAS) mRNA relative levels were not modified.
Cell migration and invasion after exposure to low power red and infrared lasers at both fluences evaluated did not change. "</t>
  </si>
  <si>
    <t>Xia</t>
  </si>
  <si>
    <t>Photobiomodulation With Blue Laser Inhibits Bladder Cancer Progression</t>
  </si>
  <si>
    <t>"A significant decrease in cell viability was observed in a density-dependent manner after blue laser irradiation at &gt; 4 J/cm2 in both bladder cancer cell lines. However, the blue laser did not reduce cell viability in SV-HUC-1 cells until the energy density exceeded 16 J/cm2. Meanwhile, Ki67 levels, reflecting cell proliferation and senescence, were also significantly decreased after blue laser irradiation at 4 J/cm2 and 8 J/cm2 in the absence of cell cycle arrest. Moreover, blue laser irradiation at 4 J/cm2 and 8 J/cm2 caused a reduction in cell migration and invasion and also reduced the expression levels of MMP-2, MMP-9, Snail, N-cadherin, phospho-MEK and phospho-ERK, and elevated the expression levels of E-cadherin."
"The present study showed that blue laser irradiation inhibited bladder cancer proliferation in a density-dependent manner and inhibited bladder cancer progression by suppressing migration, invasion, and the EMT process in T24 and EJ cell lines. This inhibition was possibly mediated via suppression of the MAPK/MEK/ERK pathway. Thus, the use of a low-energy blue laser in the diagnosis and treatment of bladder cancer is possibly safe and may have an anti-tumor effect."</t>
  </si>
  <si>
    <t>Fractionated low-level laser irradiation on breast cancer (MCF 7 cells) treatment</t>
  </si>
  <si>
    <t>"This study investigated the effects of low-level laser (532 nm), as well as single and fractionated irradiation, on breast cancer MCF 7 cell line. Additionally, this study assessed the most effective laser parameter for fractionated irradiation. The MCF 7 cells were irradiated with green laser power at 1.5, 45.0, and 100.0 mW with a spot size diameter of 0.7 mm for 1, 5, 10, and 15 min. The irradiation was carried out in single, double, and triple fractionation separated by 5- and 10-min intervals in between the fractional regimes. "
"The laser output of 100 mW showed a promising potential in killing cells with single fractionation. However, as the irradiation was fractionated into two, power of 1.5 mW appeared to be more effective in cell death, which contributed to the lowest percentage cells viable of 31.4% recorded in the study."</t>
  </si>
  <si>
    <t>Khorsandi</t>
  </si>
  <si>
    <t>Combination effect of red light irradiation and Traychspermum ammi essential oil on colorectal cancer cells (SW480)</t>
  </si>
  <si>
    <t>"This study revealed that the Trachyspermum ammi essential oil in combination with low-level laser results in more reduction in survival which leads to ROS generation and cell cycle arrest in SW 480 colorectal cancer cells."</t>
  </si>
  <si>
    <t>Stefenon</t>
  </si>
  <si>
    <t>Brazil
(Passo Fundo)</t>
  </si>
  <si>
    <t>Autophagy upregulation may explain inhibition of oral carcinoma in situ by photobiomodulation in vitro</t>
  </si>
  <si>
    <t>LED phototherapy
Autophagy</t>
  </si>
  <si>
    <t>"The Cal27 cells upregulated the autophagy markers upon exposure to PBM both at the mRNA and protein expression levels, providing evidence to explain malignant cell inhibition by PBM."</t>
  </si>
  <si>
    <t>The review of the light parameters and mechanisms of Photobiomodulation on melanoma cells</t>
  </si>
  <si>
    <t>"Herein, we summarize the current PBM parameters for the treatment of melanoma, and we also discuss the potential photoreceptors and downstream signaling mechanisms in the PBM treatment of melanoma cells. It is hypothesized that PBM may inhibit the melanoma cells by activating mitochondria, OPNs, and other receptors. Regardless of the underlying mechanisms, PBM has been shown to be beneficial in treating melanoma."</t>
  </si>
  <si>
    <t>Anticancer Res</t>
  </si>
  <si>
    <t>470 nm LED Irradiation Inhibits the Invasiveness of CD133-positive Human Colorectal Cancer Stem Cells by Suppressing the Cyclooxygenase-2/prostaglandin E2 Pathway</t>
  </si>
  <si>
    <t>3
9
15</t>
  </si>
  <si>
    <t>"Irradiation with blue LED at 3 J/cm2 resulted in inhibition of their viability, proliferation and invasiveness."
"Down-regulation of the COX-2/PGE2 signaling pathway by blue LED irradiation led to reduce expression of MMP-2 and MMP-9, inhibiting the invasiveness of CD133+ colorectal CSC."</t>
  </si>
  <si>
    <t>Comparative transcriptome analysis of gene expression patterns on B16F10 melanoma cells under Photobiomodulation of different light modes</t>
  </si>
  <si>
    <t>"Our results suggested that Pulse mode had a more significant inhibition on the viability of B16F10 melanoma cells than CW mode under the PBM light parameter of wavelength, dose, and average irradiance at 457 nm, 1.14 J/cm2, and 0.19 mW/cm2.
Besides, we revealed the differentially expressed genes of B16F10 melanoma cells under the various treatments of PBM light mode (not PBM treatment, CW mode, and Pulse mode) by RNA sequencing."</t>
  </si>
  <si>
    <t>Effects of 660-nm and 780-nm Laser Therapy on ST88-14 Schwann Cells</t>
  </si>
  <si>
    <t>"PBM increased metabolic activity, mitosis and gene expression when irradiated with red and infrared LLLT. An increase in cell migration was obtained when irradiated with infrared LLLT."</t>
  </si>
  <si>
    <t>In vitro anti-tumor effect of low-power laser irradiation (LPLI) on gastroenterological carcinoma cells</t>
  </si>
  <si>
    <t>"The therapeutic fluence of 600 J/cm2 induced statistically significant inhibition in cell viability. Both the wound healing assay and the cell apoptosis tests confirmed that LPLI with high fluences could inhibit cell migration as well as induce cell apoptosis. The current findings demonstrate that LPLI might be a potential treatment for the carcinoma cells."</t>
  </si>
  <si>
    <t>Ibarra</t>
  </si>
  <si>
    <t>Effects of photobiomodulation on cellular viability and cancer stem cell phenotype in oral squamous cell carcinoma</t>
  </si>
  <si>
    <t>"Daily PBM with 3 J/cm2 and 6 J/cm2 showed an inhibitory effect on cellular viability and was not able to promote the CSC self-renewal or phenotype."</t>
  </si>
  <si>
    <t>The Impact of Photobiomodulation Therapy on the Biology and Behavior of Head and Neck Squamous Cell Carcinomas Cell Lines</t>
  </si>
  <si>
    <t>"Overall, we observed that PBMT does not exacerbate the behavior of HNSCC. We could only observe a decrease in cellular proliferation of one cell line (HN6) when cultured under nutritional stress conditions (p &lt; .05). There were no significant differences between the control and the PBMT groups regarding cell migration, survival and the percentage of CSC.
Collectively, our results suggest that in vitro administration of PBMT to HNSCC does not modify the behavior of tumor cells."</t>
  </si>
  <si>
    <t>Saghaei Bagheri</t>
  </si>
  <si>
    <t>Low-Level Laser Irradiation Modulated Viability of Normal and Tumor Human Lymphocytes In Vitro.</t>
  </si>
  <si>
    <t>"We showed the potency of LPLT in the induction of apoptosis and proliferation in human primary PBMCs and Nalm-6 cells in a dose and time-dependent manner after 72 hours."</t>
  </si>
  <si>
    <t>Cancer Cell Int</t>
  </si>
  <si>
    <t>Anti-cancer effect of gallic acid in presence of low level laser irradiation: ROS production and induction of apoptosis and ferroptosis.</t>
  </si>
  <si>
    <t>"This study suggests that low-level laser irradiation alone is not able to cause death in human normal and cancerous cells.
Preirradiation followed by GA treatment did not change the cell viability in human normal [cells] significantly but reduces the cell survival of cancer cells more than GA alone."</t>
  </si>
  <si>
    <t>Shakibaie</t>
  </si>
  <si>
    <t>Phototherapy alters the oncogenic metabolic activity of the breast cancer cells.</t>
  </si>
  <si>
    <t>435
629</t>
  </si>
  <si>
    <t>"Phototherapy at wavelength of 435 nm decreased the cell viability by 23% when the energy dose was 17.5 J/cm2 compared to the control group. The expression of the LDHA and GLS was up-regulated in 629 nm-treated cells while the expression of these genes were down-regulated in the MCF7 cells irradiated at 435 nm in comparison with the control group. Consequently, the glucose consumption and the lactate formation were diminished respectively by 22% and 15% in the 435 nm-irradiated cells while the glucose consumption and the lactate formation were increased in the 629 nm-irradiated cells by 112% and 107% in comparison with the control group. In addition, the analysis of the glutamine concentration by the HPLC indicated that the blue light irradiation decreased the glutamine consumption while the red light increased it in comparison with the control group."
"The obtained results indicate that the blue light irradiation at wave length of 435 nm inhibited the cell proliferation and metabolic activation while the irradiation at wavelength of 629 nm induced an enhanced metabolic activity."</t>
  </si>
  <si>
    <t>Kalmykova</t>
  </si>
  <si>
    <t>Percutaneous Exposures of volunteers to polychromatic light (480-3400 nm) trigger systemic mechanism of the human myeloma cells growth delay without any effect on bortezomib cytotoxicity in vitro.</t>
  </si>
  <si>
    <t>🧪 In vitro (/ex vivo blood serum)</t>
  </si>
  <si>
    <t>"It was found that photomodified blood sera delayed growth of myeloma RPMI 8226 cells (by 25 % in 48 h and 23 % in 96 h) but had no effect on spontaneous and mitogen-induced proliferation of autologous peripheral blood T- and B-lymphocytes.
We also revealed that pVIS + pIR did not change RPMI 8226 cells sensitivity to BTZ."</t>
  </si>
  <si>
    <t>Irradiance plays a significant role in photobiomodulation of B16F10 melanoma cells by increasing reactive oxygen species and inhibiting mitochondrial function.</t>
  </si>
  <si>
    <t>Blue light 🔵
Dose response</t>
  </si>
  <si>
    <t>(418)
457
(630)</t>
  </si>
  <si>
    <t>0.04-
1.12</t>
  </si>
  <si>
    <t>"Our results suggested that the responses of B16F10 melanoma cells to PBM with varying irradiance and dose were different and the inhibition of blue light on cells under high irradiance was better than low irradiance at a constant total dose (0.04, 0.07, 0.15, 0.22, 0.30, 0.37, 0.45, 0.56 or 1.12 J/cm2), presumably due to that high irradiance can produce more ROS, thus disrupting mitochondrial function."</t>
  </si>
  <si>
    <t>Takemoto</t>
  </si>
  <si>
    <t>High energy density LED-based photobiomodulation inhibits squamous cell carcinoma progression in co-cultures in vitro.</t>
  </si>
  <si>
    <t>"PBM was able to inhibit the expansion of CIS colonies as well as the total number of colonies after 72 h of treatment (p &lt; 0.05). Cell viability, apoptosis and death assays revealed an overall advantage of stromal fibroblasts over carcinoma cells after high-dose PBM. 
In conclusion, LED-based PBM at high doses inhibited the progression and number of oral squamous cell carcinoma colonies without affecting the surrounding stromal fibroblasts in vitro"</t>
  </si>
  <si>
    <t>Levchenko</t>
  </si>
  <si>
    <t>China
(Guangdong)</t>
  </si>
  <si>
    <t>Cellular transformations in near infrared light induced apoptosis in cancer cells revealed by label-free CARS imaging.</t>
  </si>
  <si>
    <t>"Using the Caspase 3/7 fluorescent probe to identify apoptotic cells, we found that the pro-apoptotic effect is significantly dependent of irradiation dose. The highest apoptosis rate was noted for the lower irradiation doses, i.e. 0.3J/cm2 (~58%) and 3J/cm2 (~28%)."
"We suggest that PBM induced apoptosis could be caused by the ability of NIR light to trigger excessive [lipid droplets] formation which, in turn, induces cellular cytotoxicity. This article is protected by copyright. All rights reserved."</t>
  </si>
  <si>
    <t>Matsuo</t>
  </si>
  <si>
    <t>Red LED Light Is Influenced by IL-6 to Promote the Migration Ability of Oral Squamous Cell Carcinoma Cell Line.</t>
  </si>
  <si>
    <t>"HSC-3 cells irradiated with red LED light showed increased migration ability. Interestingly, we clarified that the expression of Interleukin-6 (IL-6), which promotes the migratory ability of cancer cells, is induced."</t>
  </si>
  <si>
    <t>Kianmehr</t>
  </si>
  <si>
    <t>Melanoma Res</t>
  </si>
  <si>
    <t>Low-level laser irradiation potentiates anticancer activity of p-coumaric acid against human malignant melanoma cells.</t>
  </si>
  <si>
    <t>Human melanoma cells (A375 and SK-MEL-37)
Human dermal fibroblasts</t>
  </si>
  <si>
    <t>"This study showed that low-level laser irradiation alone is not able to kill human normal fibroblast and human melanoma cancer cells. Preirradiation followed by treatment with PCA did not change the cell viability in human fibroblast significantly but reduced the cell viability in melanoma cells presumably through the apoptosis pathway."</t>
  </si>
  <si>
    <t>Effects of low level laser therapy in cancer cells-a systematic review of the literature.</t>
  </si>
  <si>
    <t>📚 Systematic review
(🧪 In vitro)</t>
  </si>
  <si>
    <t>"There is a wide divergence regarding the wavelengths and doses used, as well as the type of laser, and each variation leads to different results, with some studies showing an increase in cell proliferation, while other studies showed a decrease. It is possible to suggest that PBM can be used in cancerous lesions in order to decrease the proliferation of these cells depending on the parameters used; however, the lack of standardization of laser irradiation protocols for in vitro investigations does not allow the establishment of ideal parameters for this purpose."</t>
  </si>
  <si>
    <t>Examining tumor modulating effects of photobiomodulation therapy on head and neck squamous cell carcinomas.</t>
  </si>
  <si>
    <t>" Of the 13 in vitro studies, seven noted a positive effect of PBM therapy on inhibiting or preventing an effect on HNSCC tumor cells, while six studies saw increased proliferation. One in vivo study reported increased oral SCC (OSCC) progression, while the other observed reduced tumor progression. Overall, the data from the studies included in the present systematic review do not support a clear conclusion about the effects of PBM therapy on HNSCC cells.'</t>
  </si>
  <si>
    <t>Abuelmakarem</t>
  </si>
  <si>
    <t>Biosensors (Basel)</t>
  </si>
  <si>
    <t>Toward Highly Efficient Cancer Imaging and Therapy Using the Environment-Friendly Chitosan Nanoparticles and NIR Laser.</t>
  </si>
  <si>
    <t>"Upon laser exposure only, the cell viability decreased."
"The viability of the exposed cells to laser decreased compared to non-exposed cells. On the other hand, the treatment with laser only was obviously insignificant on the cell viability compared to other treatment techniques ((NPs only) or (NPs plus laser)) as represented in (Figure 4)."</t>
  </si>
  <si>
    <t>Kiro</t>
  </si>
  <si>
    <t>J Stem Cell Res Dev</t>
  </si>
  <si>
    <t>The Effect of Low Intensity Laser Irradiation on Breast Cancer Cells and Breast Cancer Stem Cells</t>
  </si>
  <si>
    <t>636
825
1060</t>
  </si>
  <si>
    <t>75
94
75</t>
  </si>
  <si>
    <t xml:space="preserve">0.00826
0.0135
0.00826
</t>
  </si>
  <si>
    <t>5
10
20
40</t>
  </si>
  <si>
    <t>"Treated Breast cancer cells and breast cancer stem cells showed an increase in their proliferation and viability after being exposed to 5-40 J/cm2 using wavelengths of 636, 825 and 1060 nm. Membrane integrity assay revealed a decrease in cytotoxicity in both BCCs and BCSCs after treatment with low fluences of LILI. This study revealed that LILI did not have a bioinhibitory effect on both cell types."</t>
  </si>
  <si>
    <t>Yoshimoto</t>
  </si>
  <si>
    <t>Ann Gastroenterol Surg</t>
  </si>
  <si>
    <t>Blue light-emitting diodes induce autophagy in colon cancer cells by Opsin 3</t>
  </si>
  <si>
    <t>Blue light 🔵
⚙️ Mechanisms: opsins (blue light)
LED phototherapy</t>
  </si>
  <si>
    <t>"Viability of HT-29 and HCT-116 cells was lower in 465-nm LED-irradiated cultures than in control cultures. LC-3 and beclin-1 expressions were significantly higher in LED-irradiated cultures, and autophagosomes were detected in irradiated cells. 
The reductive effect of cancer cell viability following blue LED irradiation was reversed by Opn3 knockdown or NF023 treatment. Furthermore, increased LC-3 and beclin-1 expression that resulted from blue LED irradiation was suppressed by Opn3 knockdown or NF023 treatment."</t>
  </si>
  <si>
    <t>Andreeva</t>
  </si>
  <si>
    <t>[Cytotoxic Effect of Low-Intensity Infrared Laser Irradiation on Human Melanoma Cells]. [Article in Russian]</t>
  </si>
  <si>
    <t>"The effects of continuous infrared LILI (835 nm) was studied using three independent different melanoma cell lines. The LILI effect was shown to strongly depend on the irradiation dose. Higher doses (230 kJ/m^(2)) significantly suppressed the cell growth. A further increase in LILI dose led to a significant cytotoxic effect, which increased disproportionately quickly with the increasing light intensity. Human mesenchymal stem cells (MSCs) were found to be significantly more resistant to the cytotoxic effect of higher-dose LILI"
Comment: 230 kJ/m2 is equal to 23 J/cm2.</t>
  </si>
  <si>
    <t>Bamps</t>
  </si>
  <si>
    <t>Low-Level Laser Therapy Stimulates Proliferation in Head and Neck Squamous Cell Carcinoma Cells.</t>
  </si>
  <si>
    <t>HNSCC cell lines (SCC154, SQD9, and SCC61) and human tonsil epithelial cells
Biphasic dose response</t>
  </si>
  <si>
    <t>"Cell proliferation was increased in HNSCC cell lines after laser irradiation with 1 J/cm2, whereas no significant increase was seen after laser irradiation with 2 J/cm2. In contrast, no effect on cell proliferation was seen in the human tonsil epithelial cells after laser irradiation with any of the energy densities. The increased proliferation was associated with elevated levels of pAKT, pERK, and Ki67 protein expression and cell cycle progression."
"These results suggest that LLLT has to be used with caution when treating oropharyngeal mucositis in HNSCC patients since tumor cells present in the LLLT irradiation field could be triggered by LLLT."</t>
  </si>
  <si>
    <t>Schalch</t>
  </si>
  <si>
    <t>Photobiomodulation is associated with a decrease in cell viability and migration in oral squamous cell carcinoma.</t>
  </si>
  <si>
    <t>660
780</t>
  </si>
  <si>
    <t>30
30
40
40
40
30
30
40
40
40
70</t>
  </si>
  <si>
    <t>0.161
0.161
0.214
0.214
0.214
0.165
0.165
0.220
0.220
0.220
0.385</t>
  </si>
  <si>
    <t>1.4
2.7
2.7
5.4
8.1
1.4
2.7
2.7
5.4
8.1
5.4</t>
  </si>
  <si>
    <t>0.14
cm2</t>
  </si>
  <si>
    <t>"SCC9 cells were irradiated with laser (660 and 780 nm, using 11 dosimetric parameters) and submitted to mitochondrial and caspase 3 activity tests after 1 and 3 days."
"The 11 parameters diminished mitochondrial activity and induced tumor cell apoptosis. Using the parameters recommended for mucositis, irradiation with 780 nm (70 mW, 4 J/cm2) proved to be the safest and led to a reduction in cell viability, the induction of apoptosis, and a reduction in the migration capacity of the tumor cells."</t>
  </si>
  <si>
    <t>Low-level lasers alter mRNA levels from traditional reference genes used in breast cancer cells</t>
  </si>
  <si>
    <t>"Specific amplifications were obtained and, although mRNA levels from ACTB, GUSB or TRFC genes presented no significant variation through traditional statistical analysis"</t>
  </si>
  <si>
    <t>Choe</t>
  </si>
  <si>
    <t>Korea
(Gumi)</t>
  </si>
  <si>
    <t>Comput Assist Surg (Abingdon)</t>
  </si>
  <si>
    <t>Combinational light emitting diode-high frequency focused ultrasound treatment for HeLa cell</t>
  </si>
  <si>
    <t>LED phototherapy
Blue light 🔵
Green light 🟢</t>
  </si>
  <si>
    <t>462
535
622</t>
  </si>
  <si>
    <t>"Cell density exposed by blue light emitting diode light combined with high frequency focused ultrasound (2.19 ± 0.58%) was much lower than that of cells exposed by red and green light emitting diode lights (81.71 ± 9.92% and 61.81 ± 4.09%), blue light emitting diode light (11.19 ± 2.51%) or high frequency focused ultrasound only (9.72 ± 1.04%)."</t>
  </si>
  <si>
    <t>Inhibitory effect of blue light emitting diode on migration and invasion of cancer cells.</t>
  </si>
  <si>
    <t>0.0082
in vivo
0.0063
in vitro</t>
  </si>
  <si>
    <t>"Irradiation with blue LED inhibited CT-26 and HT-1080 cell migration and invasion. The anti-metastatic effects of blue LED irradiation were associated with inhibition of matrix metalloproteinase (MMP)-2 and MMP-9 expression. P38 MAPK phosphorylation was increased in blue LED-irradiated CT-26 and HT-1080 cells, but was inhibited after pretreatment with SB203580, a specific inhibitor of p38 MAPK. Inhibition of p38 MAPK phosphorylation by SB203580 treatment increased number of migratory cancer cells in CT-26 and HT-1080 cells, indicating that blue LED irradiation inhibited cancer cell migration via phosphorylation of p38 MAPK. 
Additionally blue LED irradiation of mice injected with CT-26 cells expressing luciferase decreased early stage lung metastasis compared to untreated control mice. 
These results indicate that blue LED irradiation inhibits cancer cell migration and invasion in vitro and in vivo."</t>
  </si>
  <si>
    <t>Photobiomodulation leads to enhanced radiosensitivity through induction of apoptosis and autophagy in human cervical cancer cells.</t>
  </si>
  <si>
    <t>HeLa cels</t>
  </si>
  <si>
    <t>"Levels of intracellular reactive oxygen species (ROS), DNA damage and, cell cycle distribution after PBM were measured. PBM at different energy densities (5-20 J/cm2 ) was not cytotoxic. However, HeLa cells pre-exposed to 20 J/cm2 showed enhanced inhibition of colony formation following ionizing radiation. Enhanced radiosensitivity was due to increased oxidative stress, DNA damage, and radiation-induced apoptosis and autophagy.
These results suggest that 685 nm PBM at a higher energy density could possibly be a promising radiosensitizing agent in cervical cancer, to decrease the radiation dose delivered, and therefore prevent the side-effects that are associated with cancer radiotherapy."</t>
  </si>
  <si>
    <t>Kara</t>
  </si>
  <si>
    <t>Turkey
(Ordu)</t>
  </si>
  <si>
    <t>Cell Prolif</t>
  </si>
  <si>
    <t>Low level laser therapy induces increased viability and proliferation in isolated cancer cells.</t>
  </si>
  <si>
    <t>Saos-2 osteoblast-like osteosarcoma cells
A549 human lung carcinoma cells</t>
  </si>
  <si>
    <t>"The findings of this study have led to the conclusion that LLLT increases cancer cell proliferation, depending on the power output level of the laser and the number of applications. In addition to the proliferation and mitotic activity of the cancer tissue cells, we concluded that LLLT, which is frequently used in dental practice, could activate precancerous cells or increase existing cancerous tissue."</t>
  </si>
  <si>
    <t>South Africa &amp; USA</t>
  </si>
  <si>
    <t>Tumour Biol</t>
  </si>
  <si>
    <t>Photobiomodulation of breast and cervical cancer stem cells using low-intensity laser irradiation.</t>
  </si>
  <si>
    <t>"In the quest for effective treatments, it has been discovered that treatment with LILI alone or as PDT could be a potential therapeutic tool, given its ability to trigger apoptotic cell death. Unlike chemotherapy, PDT offers a better post-therapeutic life quality without any known side effects. LILI and PDT could be used as adjuvant therapy to chemotherapy, radiotherapy, and surgery.32 It is worth to consider that LILI treatment might have a bioinhibitory effect on breast and cervical CSCs. Presently, the number of studies in breast and cervical cancer treatment using LILI alone or as PDT is limited; hence, there is a need to increase the number of studies on that subject."</t>
  </si>
  <si>
    <t>Low-Intensity Laser Irradiation at 636 nm Induces Increased Viability and Proliferation in Isolated Lung Cancer Stem Cells.</t>
  </si>
  <si>
    <t>Isolated lung cancer stem cells</t>
  </si>
  <si>
    <t>"Cellular morphology indicated an increase in cell density caused by cell proliferation over time. Biostimulatory effects were achieved in lung CSCs when examining viability and proliferation."
"It should, therefore, be noted that a low wavelength of 636 nm at various fluences induces biostimulation, which may have detrimental effects when using LILI as a form of regeneration."</t>
  </si>
  <si>
    <t>Jeong, Andrew</t>
  </si>
  <si>
    <t>DISSERTATION (Boston University)</t>
  </si>
  <si>
    <t>Safety evaluation of low level light therapy on cancer cells</t>
  </si>
  <si>
    <t>0,1
0.5
1
3
10</t>
  </si>
  <si>
    <t>"The application of LLL at 808 nm with energy densities ranging from 0.1 J/cm2 to 10 J/cm2 under an LED source did not induce cell proliferation or death compared to control (0 J/cm2) for each cell line in the absence or the presence of each drug, and no definite trend was observed with increasing energy density.
The study suggests that LLLT at these parameters may be safe to use on cancer patients, but further studies on different cancer cell lines and animal models with different parameters (wavelength, energy density, dosage) of LLL are warranted."</t>
  </si>
  <si>
    <t>Ramos Silva</t>
  </si>
  <si>
    <t>Exploring the effects of low-level laser therapy on fibroblasts and tumor cells following gamma radiation exposure.</t>
  </si>
  <si>
    <t>Gamma radiated cells</t>
  </si>
  <si>
    <t>1.2
3.6
6.0</t>
  </si>
  <si>
    <t>30
90
150</t>
  </si>
  <si>
    <t>0.,04
cm2</t>
  </si>
  <si>
    <t>"Regarding tumor cells, no influences of LLLT on cell viability are noticed. Whereas LLLT enhances cell populations in S and G2 /M cell cycle phases for both cellular lines, a decrease in proliferation and increase in senescence was verified only for tumor cells."</t>
  </si>
  <si>
    <t>Peidaee</t>
  </si>
  <si>
    <t>Med Biol Eng Comput</t>
  </si>
  <si>
    <t>In vitro evaluation of low-intensity light radiation on murine melanoma (B16F10) cells.</t>
  </si>
  <si>
    <t>Murine melanoma (B16F10) cells
Wavelength comparison</t>
  </si>
  <si>
    <t>585
626
810
850
950</t>
  </si>
  <si>
    <t>"From irradiation of selected visible and near-infrared wavelengths, no visible changes were detected in cellular viability of either normal or cancer cells."</t>
  </si>
  <si>
    <t>Barasch</t>
  </si>
  <si>
    <t>USA &amp; Netherlands</t>
  </si>
  <si>
    <t>Effects of pre-radiation exposure to LLLT of normal and malignant cells.</t>
  </si>
  <si>
    <t>0.1
-
12</t>
  </si>
  <si>
    <t>3-
343</t>
  </si>
  <si>
    <t>"LLLT does not confer protection and may even sensitize cancer cells to IR killing"</t>
  </si>
  <si>
    <t>Akbarzadeh</t>
  </si>
  <si>
    <t>Effects of combination of melatonin and laser irradiation on ovarian cancer cells and endothelial lineage viability.</t>
  </si>
  <si>
    <t>LLLT + melatonin treatment</t>
  </si>
  <si>
    <t>13.22</t>
  </si>
  <si>
    <t>0.32
cm2</t>
  </si>
  <si>
    <t>"Combination treatment of both cell lines caused a marked increase in apoptosis/necrosis rate, reactive oxygen species generation, and heat shock protein 70 expression compared to incubation of the cells with each agent alone (p &lt; 0.05)"</t>
  </si>
  <si>
    <t>Knyazev</t>
  </si>
  <si>
    <t>Polychromatic Light (480-3400 nm) Upregulates Sensitivity of Tumor Cells to Lysis by Natural Killers.</t>
  </si>
  <si>
    <t>4.8
9.6</t>
  </si>
  <si>
    <t>"Increasing the sensitivity of the murine tumor cells MH22a and human K562 irradiated VIS-IR light correlated with a change in the expression of their glycocalyx. The results of the present study demonstrate that the reduction of tumorigenicity of irradiated tumor cells is due to their sensitivity to lysis by NK cells of the immune system."</t>
  </si>
  <si>
    <t>Regulatory systemic effect of postsurgical polychromatic light (480-3400 nm) irradiation of breast cancer patients on the proliferation of tumor and normal cells in vitro.</t>
  </si>
  <si>
    <t>🧑 Human / 🧪 In vitro
📄 Non-randomized study, controlled
👥 19 participants
⌛ ~1 week
(this study is continuation of Zhevago et al. 2012, ref 16 in this paper)</t>
  </si>
  <si>
    <t>"The results suggest an effect at the systemic level where pVIS + pIR light may stimulate growth of human skin cells and simultaneously downregulate the proliferation of tumor cells, including BC cells. This argues in favor of the oncological safety of PT for BC patients postsurgically."</t>
  </si>
  <si>
    <t>Downregulation of tumorogenicity and changes in the actin cytoskeleton of murine hepatoma after irradiation with polychromatic visible and IR light.</t>
  </si>
  <si>
    <t>🧪 In vitro (--&gt; transplanted to mice)</t>
  </si>
  <si>
    <t>"Polychromatic light of a wide range of doses did not change the viability and proliferation of cells. After transplantation of cells irradiated with VIS-IR light (4.8 and 9.6 J/cm(2)) and VIS light (38.4 J/cm(2)) the tumor volume was lower in the treated group than in the control group in vivo. Transplantability of the irradiated cells also decreased, whereas survival of tumor-bearing mice increased."</t>
  </si>
  <si>
    <t>Obayashi</t>
  </si>
  <si>
    <t>Oncol Lett</t>
  </si>
  <si>
    <t>Treatment with near-infrared radiation promotes apoptosis in pancreatic cancer cells.</t>
  </si>
  <si>
    <t>"In the present study, a 915-nm laser was used to examine the effects of NIR on pancreatic cancer cells. Irradiation of pancreatic cancer cells using a 915-nm laser significantly induced caspase-3 activation and apoptosis. In addition, the combination of gemcitabine treatment and a 915-nm laser synergistically increased the number of apoptotic cells. The results of the present study indicate the use of infrared irradiation and chemotherapy may be a possible therapy for the treatment of cancer."
Comment: Parameters were very poorly reported, making the study not reproducible.</t>
  </si>
  <si>
    <t>Cialdai</t>
  </si>
  <si>
    <t>In vitro study on the safety of near infrared laser therapy in its potential application as postmastectomy lymphedema treatment.</t>
  </si>
  <si>
    <t>"The results showed that, limited to the laser source, treatment conditions and experimental models used, laser radiation did not significantly affect the behavior of human breast adenocarcinoma cells, including their clonogenic efficiency. Although these results do not show any significant laser-induced modification of cancer cell behavior, further studies are needed to assess the possibility of safely applying NIR laser therapy for the management of postmastectomy lymphedema."</t>
  </si>
  <si>
    <t>Dastanpour</t>
  </si>
  <si>
    <t>The effect of low-level laser therapy on human leukemic cells.</t>
  </si>
  <si>
    <t>"Significant increase in cell proliferation was seen only after two exposures at energy density of 20J/cm2 (P=0.021)."</t>
  </si>
  <si>
    <t>Gomes Henriques</t>
  </si>
  <si>
    <t>Low-level laser therapy promotes proliferation and invasion of oral squamous cell carcinoma cells.</t>
  </si>
  <si>
    <t>Oral squamous cell carcinoma cells</t>
  </si>
  <si>
    <t>"The results of this study demonstrated that LLLT exerts a stimulatory effect on proliferation and invasion of SCC25 cells, which was associated with alterations on expression of proteins studied."</t>
  </si>
  <si>
    <t>Effect of light irradiation by light emitting diode on colon cancer cells.</t>
  </si>
  <si>
    <t>Human colon cancer cells (HT29 or HCT116)
LED phototherapy
Blue light 🔵, green light 🟢</t>
  </si>
  <si>
    <t>465
525
635</t>
  </si>
  <si>
    <t>15/30
15/30
15/30</t>
  </si>
  <si>
    <t>600
600
600</t>
  </si>
  <si>
    <t>"Viability of HT29 and HCT116 cells was lower in 465 nm-LED irradiated cultures than in control cultures, but viability of HT29 cells did not differ between control cultures and 525 nm-LED or 635 nm-LED irradiated cultures."</t>
  </si>
  <si>
    <t>Sperandio</t>
  </si>
  <si>
    <t>Low-level laser therapy can produce increased aggressiveness of dysplastic and oral cancer cell lines by modulation of Akt/mTOR signaling pathway.</t>
  </si>
  <si>
    <t>2.05
3.07
6.15</t>
  </si>
  <si>
    <t>0.039
cm2</t>
  </si>
  <si>
    <t>"LLLT significantly modified the expression of proteins related to progression and invasion in all the cell lines, and could aggravate oral cancer cellular behavior, increasing the expression of pAkt, pS6 and Cyclin D1 proteins and producing an aggressive Hsp90 isoform."</t>
  </si>
  <si>
    <t>Cell Tissue Biol</t>
  </si>
  <si>
    <t>Proliferation and tumorigenity of murine hepatoma cells irradiated with polychromatic visible and infrared light</t>
  </si>
  <si>
    <t>4.8
9.6
38.4</t>
  </si>
  <si>
    <t>"In cells irradiated with VIS-IR and VIS light, the proliferation index rose by 1.6 and 1.4 times, respectively, and the time of the cells’ number doubling decreased as compared with control. Studying the tumorigenic properties of irradiated tumor cells has shown that, for 30 days after transplantation to syngenic mice C3HA of hepatoma cells 24 h after their irradiation with VIS-IR light at a dose of 4.8 J/cm2, the tumor volume decreased significantly (2.6–4.1 times) at all periods of observation, while the incidence of tumor formation decreased, whereas the survival of the tumor-bearing mice did not change. "</t>
  </si>
  <si>
    <t>Schartinger</t>
  </si>
  <si>
    <t>Austria
(Innsbruck)</t>
  </si>
  <si>
    <t>Differential responses of fibroblasts, non-neoplastic epithelial cells, and oral carcinoma cells to low-level laser therapy.</t>
  </si>
  <si>
    <t>human oral carcinoma cell line (SCC-25)
non-malignant epithelial cells (BEAS-2B)</t>
  </si>
  <si>
    <t>"LLLT treatment resulted in increased fibroblast proliferation (p &lt; 0.001), whereas decreased cell proliferation was observed after LLLT treatment of BEAS-2B (p = 0.003) and SCC-25 cells (p &lt; 0.001). In SCC-25 cells, an increased percentage of S-phase cells and decreased percentage of G1-phase cells were observed (p &lt; 0.001). Moreover, a proapoptotic effect of LLLT was observed in SCC-25 cells (p = 0.02). 
LLLT did not exhibit a tumor-promoting effect in this in vitro study."</t>
  </si>
  <si>
    <t>Magrini</t>
  </si>
  <si>
    <t>Low-level laser therapy on MCF-7 cells: a micro-Fourier transform infrared spectroscopy study.</t>
  </si>
  <si>
    <t>0.005
0.029
1.000</t>
  </si>
  <si>
    <t>"For 5 mJ/cm², MCF-7 cells suffer bioinhibition with decreased metabolic rates. In contrast, for the 1 J/cm² laser fluence, cells present biostimulation accompanied by a metabolic rate elevation. Surprisingly, at the intermediate fluence, 28.8 mJ/cm², the metabolic rate is increased despite the absence of proliferative results. 
The data were interpreted within the retrograde signaling pathway mechanism activated with light irradiation."</t>
  </si>
  <si>
    <t>Cancer Sci</t>
  </si>
  <si>
    <t>Non-thermal DNA damage of cancer cells using near-infrared irradiation.</t>
  </si>
  <si>
    <t>A549 lung adenocarcinoma cells
Polychromatic light 🌈</t>
  </si>
  <si>
    <t>"The cell viability of A549 lung adenocarcinoma cells was significantly decreased after three rounds of near-infrared irradiation at 20 J/cm(2). Apoptotic cells were observed in near-infrared treated cells."
"These results indicate that near-infrared irradiation can non-thermally induce cytocidal effects in cancer cells as a result of activation of the DNA damage response pathway. The near-infrared irradiation schedule used here reduces discomfort and side effects. Therefore, this strategy may have potential application in the treatment of cancer."</t>
  </si>
  <si>
    <t>Murayama</t>
  </si>
  <si>
    <t>Low-power 808-nm laser irradiation inhibits cell proliferation of a human-derived glioblastoma cell line in vitro.</t>
  </si>
  <si>
    <t>18
36
54</t>
  </si>
  <si>
    <t>"Cell counting at 24 and 48 h after irradiation showed that LLI (at 18, 36 and 54 J/cm(2)) suppressed proliferation of A-172 cells in a fluence-dependent manner (irradiation for 20, 40 and 60 min). A reduction in the number of viable cells was also demonstrated by a fluorescent marker for viable cells, calcein acetoxymethylester (calcein-AM). The reduction in cell viability was not associated with morphological changes in the cells or with necrotic cell death as demonstrated by propidium iodide staining. LLI also had little effect on cell proliferation as shown by 5-bromo-2'-deoxyuridine staining."</t>
  </si>
  <si>
    <t>Laser biomodulation of normal and neoplastic cells.</t>
  </si>
  <si>
    <t>Biphasic dose response (with a good graph!!!)</t>
  </si>
  <si>
    <t>0.060
0.120
0.180
0.240
0.300
0.360
0.420
0.480
0.540
0.600</t>
  </si>
  <si>
    <t>16
32
48
64
80
96
112
128
144
160</t>
  </si>
  <si>
    <t>"Third, the enhanced cell growth of neoplastic cell lines (RIF-1 and EMT-6) suggest the capability of laser to induce further cell growth of neoplasm. Nevertheless, it also caused growth inhibitions at higher CDs, which implies that it may be used to therapeutically destroy neoplastic cells. The probable optimum CD for biostimulation was 180 mJ/cm2 whereas the probable optimum for bioinhibition was mostly between 420 to 600 mJ/cm2 with the applied type of laser irradiation on the cultures used."</t>
  </si>
  <si>
    <t>The effect of laser irradiation on proliferation of human breast carcinoma, melanoma, and immortalized mammary epithelial cells.</t>
  </si>
  <si>
    <t>780
830
904</t>
  </si>
  <si>
    <t>0.5
1
2
3
4
10
12
15</t>
  </si>
  <si>
    <t>"Although certain doses of laser increased MCF-7 cell proliferation, multiple exposures had either no effect or showed negative dose response relationships. No sign of malignant transformation of cells by laser phototherapy was detected under the conditions applied here."
"Before a definitive conclusion can be made regarding the safety of laser for breast cancer-related lymphoedema, further in vivo research is required."</t>
  </si>
  <si>
    <t>Journal of Japanese Society for Laser Dentistry</t>
  </si>
  <si>
    <t>[The Effect of Low-Energy Laser Irradiation with Helium Neon Laser on the Growth of Malignant Tumor Cells]
[Article in Japanese]</t>
  </si>
  <si>
    <t>"We also examined the effects of He-Ne laser irradiation on the growth of mouse colonic-carcinoma-derived tumor cells. The results showed that brief irradiation stimulated proliferation of the cells, whereas prolonged irradiation caused cytostatic activity of the cells."</t>
  </si>
  <si>
    <t>Bisland</t>
  </si>
  <si>
    <t>Increased expression of mitochondrial benzodiazepine receptors following low-level light treatment facilitates enhanced protoporphyrin IX production in glioma-derived cells in vitro.</t>
  </si>
  <si>
    <t>LLLT before photodynamic therapy (PDT)
Wavelength comparison</t>
  </si>
  <si>
    <t>600-
800
635
905</t>
  </si>
  <si>
    <t>"Astrocytoma-derived CNS-1 cells were exposed to a range of differing low-level light protocols immediately prior to PDT."
"Broad-spectrum red light provided the greatest cell kill following PDT, although LLLT with 635 nm or 905 nm also increased cell kill as compared to PDT alone. All LLLT regimens increased PBR expression compared to controls with corresponding increases in PpIX production."
"These data suggest that by selectively increasing PBR expression in tumor cells, LLLT facilitates enhanced tumor cell kill using ALA-PDT. This may further improve the selectivity and efficacy of PDT treatment of brain tumors."</t>
  </si>
  <si>
    <t>Photoradiation could influence the cytoskeleton organization and inhibit the survival of human hepatoma cells in vitro.</t>
  </si>
  <si>
    <t>"Therefore, the net effects by this photoradiation were reduced cell survival."</t>
  </si>
  <si>
    <t>Res Commun Mol Pathol Pharmacol</t>
  </si>
  <si>
    <t>Effects of diode 808 nm GaAlAs low-power laser irradiation on inhibition of the proliferation of human hepatoma cells in vitro and their possible mechanism.</t>
  </si>
  <si>
    <t>5.85
7.8</t>
  </si>
  <si>
    <t>90
120</t>
  </si>
  <si>
    <t>"Two significant findings are raised in this study:
(1) Diode 808 nm GaAlAs continuous wave laser has an inhibitory effect on the proliferation of human hepatoma cells line HepG2 and J-5. 
(2) The mechanism of inhibition might be due to down-regulation of synemin expression and alteration of cytokeratin organization that was caused by laser irradiation."</t>
  </si>
  <si>
    <t>Kreisler</t>
  </si>
  <si>
    <t>Germany
(Mainz)</t>
  </si>
  <si>
    <t>Low-level 809 nm GaAlAs laser irradiation increases the proliferation rate of human laryngeal carcinoma cells in vitro.</t>
  </si>
  <si>
    <t>"The irradiated cells revealed a considerably higher proliferation activity. The differences were highly significant up to 72 h after irradiation (Mann-Whitney U test, p &lt; 0.001). A cellular responsiveness of human laryngeal carcinoma cells to low-level laser irradiation is obvious. The cell line is therefore suitable for basic research investigations concerning the biological mechanisms of LLLT on cells."</t>
  </si>
  <si>
    <t>Does LLLT stimulate laryngeal carcinoma cells? An in vitro study.</t>
  </si>
  <si>
    <t>635
670</t>
  </si>
  <si>
    <t>0.04
-
0.48</t>
  </si>
  <si>
    <t>"The results showed that 635nm laser light did not significantly stimulate the proliferation of H.Ep.2 cells at doses of 0.04 J/cm2 to 0.48 J/cm2, However, 670nm laser irradiation led to an increased cell proliferation when compared to both control and 635nm irradiated cells."</t>
  </si>
  <si>
    <t>Effects of low-level laser therapy on malignant cells: in vitro study.</t>
  </si>
  <si>
    <t>0.04
-
4.8</t>
  </si>
  <si>
    <t>"It is concluded, that irradiation with 670-nm laser light applied at doses between 0.04 and 4.810(4) Jm(-2) could significantly increase proliferation of laryngeal cancer cells."</t>
  </si>
  <si>
    <t>Germany
(Munich))</t>
  </si>
  <si>
    <t>Biomodulative effects induced by 805 nm laser light irradiation of normal and tumor cells.</t>
  </si>
  <si>
    <t>"ZMK tumor cells showed a decrease of the mitotic index with both fluences. No significant differences could be determined when using irradiances between 10 mW cm-2 and 150 mW cm-2. The BrdU test after irradiation showed no significant effects compared to the controls in each cell line."</t>
  </si>
  <si>
    <t>Tsai &amp; Kao</t>
  </si>
  <si>
    <t>The biological effects of low power laser irradiation on cultivated rat glial and glioma cells.</t>
  </si>
  <si>
    <t>"A biostimulatory effect was noted after He-Ne laser irradiation on C6 glioma cells and was dose related."</t>
  </si>
  <si>
    <t>Tumor growth</t>
  </si>
  <si>
    <t>Effects of photobiomodulation on colon cancer cell line HT29 according to mitochondria</t>
  </si>
  <si>
    <t>"Both tumor size and weight of xenograft in nude mice model were bigger and heavier in the PBMt group than in the control (P &lt; 0.05)."
"Treatment with PBM using red light LED may induce proliferation and progression of HT29 cancer cells by increasing mitochondrial activity and fission."</t>
  </si>
  <si>
    <t>Kang</t>
  </si>
  <si>
    <t>Wavelength-dependent photobiomodulation (PBM) for proliferation and angiogenesis of melanoma tumor in vitro and in vivo</t>
  </si>
  <si>
    <t>Animal (which?)
+ 🧪 In vitro</t>
  </si>
  <si>
    <t>405
532
635
808</t>
  </si>
  <si>
    <t>"In vivo results demonstrated that PBM with 808 nm significantly increased the relative tumor volume and promoted angiogenesis with overexpression of VEGF and HIF-1α."</t>
  </si>
  <si>
    <t>Shirokov</t>
  </si>
  <si>
    <t>Different Effects of Phototherapy for Rat Glioma during Sleep and Wakefulness</t>
  </si>
  <si>
    <t>LED phototherapy
Timing of PBM (awake vs sleep)</t>
  </si>
  <si>
    <t>"In the first step, we studied the effect of the PBM course on the survival rate and the tumor volume in sleeping and awake rats. The MRI data clearly show that the glioma volume was significantly decreased in both the PBM groups vs. the no PBM group (Figure 1b,e). However, the glioma volume reduction was 1.3-fold greater in rats receiving PBM during sleep than during wakefulness (Figure 1b,e)."
"The survival rate was evaluated using the Kaplan–Meier method. Figure 1d clearly demonstrates that the survival rate was significantly higher in both the PBM groups than in rats with glioma without PBM (...) There were no differences in survival between rats receiving PBM during the sleep and awake states."</t>
  </si>
  <si>
    <t>Gonabadi</t>
  </si>
  <si>
    <t>Different Effects of Low-Level Laser Therapy on the Proliferation of HT29 Cells in Culture and Xenograft Models</t>
  </si>
  <si>
    <t>Wavelength comparison
Translation gap (in vitro vs animal)</t>
  </si>
  <si>
    <t>650
870</t>
  </si>
  <si>
    <t>"The results showed that the laser with a wavelength of 870 nm did not meaningfully alter the proliferation of cultured cells. However, cell proliferation was promoted when the laser was applied within a wavelength of 650 nm. Treatment of HT29-derived tumors in nude mice with the 650 nm laser resulted in the decline of the tumor progression rate compared to controls. This result was inconsistent with the proliferative effects of the laser on the cultured cells."</t>
  </si>
  <si>
    <t>Noninvasive Red Laser Intervention before Radiotherapy of Triple-negative Breast Cancer in a Murine Model</t>
  </si>
  <si>
    <t>"Our data showed that the highest laser dose in combination with radiation arrested tumor progression, likely due to inhibition of GSH synthesis. 
In addition, red light treatment before each fraction of radiation, regardless of the light dose, improved the health status of the animals, prevented anemia, reduced metastases, and improved survival. 
Collectively, these results indicate that red light treatment in combination with radiation could prove useful in the treatment of TNBC."</t>
  </si>
  <si>
    <t>Disease model and intervention: "Here, we used [triple-negative breast cancer] -bearing mice as a radioresistant cancer model. Red light treatment was applied in three different protocols before a high dose of radiation (60 Gy split in 4 fractions) was administered."</t>
  </si>
  <si>
    <t>Hiramoto</t>
  </si>
  <si>
    <t>Japan
(Suzuka)</t>
  </si>
  <si>
    <t>Induction of Skin Cancer by Long-Term Blue Light Irradiation</t>
  </si>
  <si>
    <t>PBM safety
Carcinogenesis
Blue light 🔵</t>
  </si>
  <si>
    <t>479
(blue)
538
green)
629
(red)
(also
white
light)</t>
  </si>
  <si>
    <t>daily for one year</t>
  </si>
  <si>
    <t>"Skin cancer was induced only in the mice exposed to blue light. 
Long-term blue light irradiation also increased the migration of neutrophils and macrophages involved in carcinogenesis in the skin. 
In neutrophils, an increased expression of citH3 and PAD4 was observed, suggesting the possibility of NETosis. 
Conversely, in macrophages, inflammatory macrophages (type 1 macrophages) increased and anti-inflammatory macrophages (type 2 macrophages) decreased due to continuous blue light irradiation. 
These findings suggest that long-term continuous irradiation with blue light induces neutrophil NETosis and an increase in type 1 macrophages, resulting in skin cancer."</t>
  </si>
  <si>
    <t>Low-Level Laser Therapy Induces Melanoma Tumor Growth by Promoting Angiogenesis</t>
  </si>
  <si>
    <t>"Compared with the findings in the untreated mice, tumor weight substantially increased in the treated mice. Both immunohistochemical and Western blot analyses revealed markedly increased levels of CD31, a biomarker of vascular differentiation, in the LLLT group."
"Our findings indicate that LLLT induces melanoma tumor growth by promoting angiogenesis. Therefore, it should be avoided in patients with melanoma."</t>
  </si>
  <si>
    <t>Neculqueo</t>
  </si>
  <si>
    <t>Laser photobiomodulation does not alter clinical and histological characteristics of 4-NQO-induced oral carcinomas and leukoplakia in mice</t>
  </si>
  <si>
    <t>30
100</t>
  </si>
  <si>
    <t>1.5
9.0</t>
  </si>
  <si>
    <t>"Laser PBM, in both parameters used, does not influence on clinical and histological characteristics of oral leukoplakia and OSCC."</t>
  </si>
  <si>
    <t>Katagiri</t>
  </si>
  <si>
    <t>USA &amp; Japan</t>
  </si>
  <si>
    <t>Dual near-infrared II laser modulates the cellular redox state of T cells and augments the efficacy of cancer immunotherapy</t>
  </si>
  <si>
    <t>1064+
1270</t>
  </si>
  <si>
    <t>"Brief treatments of a murine model of breast cancer with dual 1064 and 1270 nm lasers reduced the expression of the programmed cell death protein 1 (PD-1) in CD8+ T cells in a syngeneic mouse model of breast cancer. The direct effect of the NIR-II laser treatment on T cells was confirmed by the enhanced tumor growth delay by the adoptive transfer of laser-treated CD8+ T cells ex vivo against a model tumor antigen."
"PBM with NIR-II light augments the efficacy of cancer immunotherapy by supporting CD8+ T cells. Unlike the current immunotherapy with risks of undesirable drug-drug interactions and severe adverse events, the laser is safe and low-cost. It can be broadly combined with other therapy without modification to achieve clinical significance. In addition, our study established a path to develop a novel laser-based therapy to treat cancer effectively."</t>
  </si>
  <si>
    <t>Zhukova</t>
  </si>
  <si>
    <t>Violet-Blue Light Photobiomodulation of the Dynamics of Tumor Growth and Prooxidant-Antioxidant Balance in the Body of Tumor Carriers</t>
  </si>
  <si>
    <t>400+
460</t>
  </si>
  <si>
    <t>4.6+
3.2</t>
  </si>
  <si>
    <t>"It was shown that the effectiveness of transcutaneous exposure to electromagnetic radiation with spectral maxima at 400 nm for blood and 460 nm for the early growth tumor depended on the individual characteristics of the organism, namely, on the initial level of exploratory activity of laboratory animals in the “open field” test and the prooxidant-antioxidant balance in the body of tumor carriers. It was found that exposure to ozonated isotonic 0.9% sodium chloride solution with an ozone concentration in the ozone–oxygen mixture of 400 μg/L modulated the effect of optical radiation, that is, it significantly changed the dynamics of tumor growth."</t>
  </si>
  <si>
    <t>Stimulatory effects of wavelength-dependent photobiomodulation on proliferation and angiogenesis of colorectal cancer</t>
  </si>
  <si>
    <t>405
635
808</t>
  </si>
  <si>
    <t>10/
30/
50</t>
  </si>
  <si>
    <t>"Although cell viability was not statistically significant, BL significantly induced p-ERK upregulation in the CT26 cells, indicating that PBM with BL can stimulate proliferation."
"In vivo tests showed that the NIR group exhibited the maximum relative tumor volume, and BL yielded a slight increase compared to the control.
In the IHC staining and western blot analyses, both BL and NIR increased the expression of EGFR, VEGF, MMP-9, and HIF-1α, which are related to the proliferation and angiogenesis-related factors."</t>
  </si>
  <si>
    <t>Su &amp; Wu</t>
  </si>
  <si>
    <t>Management of Combined Therapy (Ceritinib, A. cinnamomea, G. lucidum, and Photobiomodulation) in Advanced Non-Small-Cell Lung Cancer: A Case Report</t>
  </si>
  <si>
    <t>🧑 Human
📄 Case report
⌛ ~1 year</t>
  </si>
  <si>
    <t>"This case report presents clinical evidence on the efficacy of combined therapy in advanced NSCLC patients, including computed tomography (CT) scan, magnetic resonance imaging (MRI), carcinoembryonic antigen (CEA), and blood tests."</t>
  </si>
  <si>
    <t>Red Light Phototherapy Using Light-Emitting Diodes Inhibits Melanoma Proliferation and Alters Tumor Microenvironments</t>
  </si>
  <si>
    <t>1280
1920
2560</t>
  </si>
  <si>
    <t>"RL prevented tumor growth and increased the expression of immune markers, such as CD103, that are associated with favorable melanoma outcomes."</t>
  </si>
  <si>
    <t>Device: Omnilux Revive 2</t>
  </si>
  <si>
    <t>Treatment with Light-Emitting Diodes of Wavelength 863 nm Delays DMBA/TPA-Induced Skin Tumor Formation and Decreases Proinflammatory Cytokine Levels in ICR Mice</t>
  </si>
  <si>
    <t>0.0085</t>
  </si>
  <si>
    <t>"Here, we used a light-emitting diode (LED) array with a wavelength of 863 nm to treat DMBA/TPA-induced mouse skin tumors; treatment with the array delayed tumor development and reduced the levels of systemic inflammatory cytokines. These results suggest that light therapy could be beneficial. However, the effects were small."</t>
  </si>
  <si>
    <t>Treatment with LEDs at a wavelength of 642 nm enhances skin tumor proliferation in a mouse model</t>
  </si>
  <si>
    <t>"We constructed a mouse model of human skin tumors using DMBA as an initiator and TPA as a promoter, and confirmed that LEDs with a wavelength of 642 nm (red light) increased tumor size, epidermal thickness, and systemic proinflammatory cytokine levels. These results indicated that skin tumor cell proliferation may result from the use of 642 nm LEDs, suggesting the need for regulation of skin care based on LED light therapy."</t>
  </si>
  <si>
    <t>Oral Dis</t>
  </si>
  <si>
    <t>Impact of photobiomodulation in a patient-derived xenograft model of oral squamous cell carcinoma</t>
  </si>
  <si>
    <t>0.2
/point</t>
  </si>
  <si>
    <t>"In this study, PBMT did not impact the behavior of OSCC-PDX models. This is an important preclinical outcome regarding safety concerns of the use of PBMT in cancer patients."</t>
  </si>
  <si>
    <t>Photobiomodulation therapy combined with radiotherapy in the treatment of triple-negative breast cancer-bearing mice</t>
  </si>
  <si>
    <t>0.04
cm2
spot
area</t>
  </si>
  <si>
    <t>"Our results demonstrated that regardless of the protocol, PBM arrested the tumor growth, improved the clinical condition, and prevented hemolytic anemia. Besides, although PBM groups have exhibited a high neutrophil:lymphocyte ratio (NLR), they decreased the number of lung metastases and enhanced mouse survival.
Worthy of note, PBM should be used along with the RT sessions in higher radiant exposures, since PBM at 150 J.cm-2 per session significantly extended the survival rate."</t>
  </si>
  <si>
    <t>Safety and Clinical Impact of a Single Red Light Irradiation on Breast Tumor-Bearing Mice</t>
  </si>
  <si>
    <t>"We observed that a single irradiation does not increase tumor volume. All irradiated groups exhibited better clinical conditions than control, which presented a significant decrease in platelet and red blood cell levels compared with healthy mice. The energy of 3.6 J arrested neutrophil-lymphocyte rate besides promoting longer survival and a lower number of metastatic nodules in the lungs."</t>
  </si>
  <si>
    <t>Photobiomodulation effects on head and neck squamous cell carcinoma (HNSCC) in an orthotopic animal model.</t>
  </si>
  <si>
    <t>"Animals treated with RT survived significantly longer and had significantly smaller tumor volume when compared with the control and PBM-only treatment groups. No significant differences were noted between the RT alone and PBM + RT groups in any of the experiments."</t>
  </si>
  <si>
    <t>Bensadoun &amp; Epstein</t>
  </si>
  <si>
    <t>France &amp; USA</t>
  </si>
  <si>
    <r>
      <rPr>
        <b/>
        <sz val="7.0"/>
      </rPr>
      <t xml:space="preserve">Photobiomodulation safety in cancer patients: in vivo data 
</t>
    </r>
    <r>
      <rPr>
        <b/>
        <i/>
        <sz val="7.0"/>
      </rPr>
      <t>[in response to S. Sonis’ commentary 'Could the impact of photobiomodulation on tumor response to radiation be affected by tumor heterogeneity?']</t>
    </r>
  </si>
  <si>
    <t>"Continuing clinical studies assessing tumor outcomes, either regression, no impact, or potential progress remains needed in order to provide guidance for inclusion of the site of tumor in the PBM treatment volume. Current animal and patient data suggest either no effect or potential benefit in tumor response when PBM is utilized."</t>
  </si>
  <si>
    <t>Sonis S</t>
  </si>
  <si>
    <t>Could the impact of photobiomodulation on tumor response to radiation be effected by tumor heterogeneity?</t>
  </si>
  <si>
    <t>"All of this leads to a conclusion that is analogous to what is happening with multiple cancer and supportive cancer care therapies: one size does not fit all. Whereas PBM may have no effect on tumor response or behavior in one patient, it could be disastrous in another. At this stage, there are more questions than answers. Prospective survival data are limited and, more importantly, we have not yet had a chance to evaluate what differentiates patients who receive PBM and have good or expected tumor responses from those individuals who have disappointing outcomes.
Should PBM be avoided in patients being treated for cancers of the head and neck, or is it as innocuous as some suggest? We need data to answer the question. Until that data exists, we must seriously consider our obligation to inform patients of the unknown impact of PBM on tumor response before using it as a mucositis intervention."</t>
  </si>
  <si>
    <t>660
660+
850</t>
  </si>
  <si>
    <t>18.4
3.4</t>
  </si>
  <si>
    <t>"No significant differences were noted between the RT alone and PBM + RT groups in any of the experiments."
"Our results suggest that PBM at the utilized parameters does not provide protection to the tumor from the killing effects of RT."</t>
  </si>
  <si>
    <t>High doses of laser phototherapy can increase proliferation in melanoma stromal connective tissue.</t>
  </si>
  <si>
    <t>3
9
21</t>
  </si>
  <si>
    <t>150
450
1050</t>
  </si>
  <si>
    <t>"Tumor growth outcome measured in the 3-J group was not significantly different from controls. Nine and 21-J groups, presented significant and dose-dependent increases in tumor volume."</t>
  </si>
  <si>
    <t>Chemoresistance to 5-FU inhibited by 635 nm LED irradiation in CD133+ KB cell line.</t>
  </si>
  <si>
    <t>"LED irradiation of 635 nm inhibited CSC-like properties consistent with a decrease in OCT4 and NANOG protein expression, reducing colony-forming ability. In addition, LED irradiation enhanced 5-FU-induced cytotoxicity and improved 5-FU chemosensitivity in KBCD133+ via enhancement of apoptosis. 
These findings were validated in vivo, wherein LED irradiation combined with 5-FU treatment inhibited tumor growth in KBCD133+-inoculated mice."</t>
  </si>
  <si>
    <t>Petrellis</t>
  </si>
  <si>
    <t>Laser photobiomodulation of pro-inflammatory mediators on Walker Tumor 256 induced rats.</t>
  </si>
  <si>
    <t>Thera Laser device</t>
  </si>
  <si>
    <t>Comment: They noted various changes in inflammatory markers according to the photobiomodulation dose. Please read the full text. Tumor growth was not measured.</t>
  </si>
  <si>
    <t>Khori</t>
  </si>
  <si>
    <t>Iran
(Gorgan &amp; Tehran)</t>
  </si>
  <si>
    <t>The effects of low-level laser irradiation on breast tumor in mice and the expression of Let-7a, miR-155, miR-21, miR125, and miR376b.</t>
  </si>
  <si>
    <t>405
532
632</t>
  </si>
  <si>
    <t>"The average tumor volume was significantly less in the treated blue group than the control group on at days 21, 28, and 35 after cancerous cell injection. Our data also showed an increase of Let-7a and miR125a expression and a decrease of miR155, miR21, and miR376b expression after LLLT with the blue laser both the plasma and tumor samples compared to other groups.
It seems that the non-invasive nature of laser bio-stimulation can make LLLT an attractive alternative therapeutic tool."
"Interestingly, we had an increased growth in the treated red group." [Comment: The effect didn't seem to be statistically significant.]
"In several studies, Gao et al. showed that in the mitochondrial respiratory chain, the red as well as the infrared laser light stimulated the last complex of the respiratory chain, i.e., the cytochrome-c-oxidase, while the first complex, i.e., the NADH-dehydrogenase had its maximum absorption in the blue range [14, 15]. Therefore, it is possible to stimulate this “starter complex” by blue laser irradiation. This effect is of considerable importance for laser irradiation."</t>
  </si>
  <si>
    <r>
      <rPr>
        <b/>
        <color rgb="FF980000"/>
        <sz val="9.0"/>
      </rPr>
      <t xml:space="preserve">★
</t>
    </r>
    <r>
      <rPr>
        <b/>
        <color rgb="FF980000"/>
        <sz val="6.0"/>
      </rPr>
      <t>📷</t>
    </r>
  </si>
  <si>
    <t>Low-Level Laser Therapy Promoted Aggressive Proliferation and Angiogenesis Through Decreasing of Transforming Growth Factor-β1 and Increasing of Akt/Hypoxia Inducible Factor-1α in Anaplastic Thyroid Cancer.</t>
  </si>
  <si>
    <t>0.3
0.6</t>
  </si>
  <si>
    <t>150
300</t>
  </si>
  <si>
    <t>"In conclusion, LLLT led to a decrease in TGF-β1 and increase of p-Akt/HIF-1α which resulted to overproliferation and angiogenesis of anaplastic thyroid carcinoma (ATC). Therefore, we suggest that LLLT can influence cancer aggressiveness associated with TGF-β1 and Akt/HIF-1α cascades in some poorly differentiated head and neck cancers."
Star: Parameters were listed in a table, and a photograph was supplied.</t>
  </si>
  <si>
    <t>Ottaviani</t>
  </si>
  <si>
    <t>EBioMedicine</t>
  </si>
  <si>
    <t>Laser Therapy Inhibits Tumor Growth in Mice by Promoting Immune Surveillance and Vessel Normalization.</t>
  </si>
  <si>
    <t>In vitro tumor cell irradiation
Wavelength comparison</t>
  </si>
  <si>
    <t>660
800
970</t>
  </si>
  <si>
    <t>0.05
0.2
0.2</t>
  </si>
  <si>
    <t>3
6
6</t>
  </si>
  <si>
    <t>60
30
30</t>
  </si>
  <si>
    <r>
      <rPr>
        <sz val="6.0"/>
      </rPr>
      <t xml:space="preserve">"While laser light increased cell metabolism in cultured cells, the in vivo outcome was reduced tumor progression.
This striking, unexpected result, was paralleled by the recruitment of immune cells, in particular T lymphocytes and dendritic cells, which secreted type I interferons. Laser light also reduced the number of highly angiogenic macrophages within the tumor mass and promoted vessel normalization, an emerging strategy to control tumor progression.
Collectively, these results set photobiomodulation as a safety procedure in oncological patients and open the way to its innovative use for cancer therapy."
Comment: An interesting paper with many tables. However, parameter reporting should have been better (eg. beam area in the </t>
    </r>
    <r>
      <rPr>
        <i/>
        <sz val="6.0"/>
      </rPr>
      <t>in vivo</t>
    </r>
    <r>
      <rPr>
        <sz val="6.0"/>
      </rPr>
      <t xml:space="preserve"> part of the study).</t>
    </r>
  </si>
  <si>
    <t>de C Monteiro</t>
  </si>
  <si>
    <t>Effects of imiquimod and low-intensity laser (λ660 nm) in chemically induced oral carcinomas in hamster buccal pouch mucosa.</t>
  </si>
  <si>
    <t>6.65</t>
  </si>
  <si>
    <t>95</t>
  </si>
  <si>
    <t>"[In control 1, control 2 and laser groups], the evaluations showed malignant
tumors and the absence of S-100+ dendritic cells in the tumor
stroma. "</t>
  </si>
  <si>
    <t>Zaichkina</t>
  </si>
  <si>
    <t>[Influence of low-dose-rate red and near-infrared radiations on the level of reactive oxygen species, the genetic apparatus and the tumor growth in mice in vivo]. [Article in Russian]</t>
  </si>
  <si>
    <t>LED phototherapy (and laser)</t>
  </si>
  <si>
    <t>633
(laser)
650+
850
(LED)</t>
  </si>
  <si>
    <t>"Adaptogenic and anticarcinogenic effects of studied radiations were revealed. The values of these effects were not different from those in animals pre-irradiated with the X-rays. The relationship between the level of ROS production and adaptive response induction in the mice under the influence of non-ionizing radiation was first ascertained. The experimental data obtained may indicate a similar mechanism of induction of protective responses to ionizing and non-ionizing radiations in mice in vivo."</t>
  </si>
  <si>
    <t>USA (Rochester, NY)</t>
  </si>
  <si>
    <t>A preliminary study of the safety of red light phototherapy of tissues harboring cancer.</t>
  </si>
  <si>
    <t>"This experiment suggests that LLLT at these parameters may be safe even when malignant lesions are present. Further studies on the effects of photoirradiation on neoplasms are warranted."</t>
  </si>
  <si>
    <t>Influence of laser phototherapy (λ660 nm) on the outcome of oral chemical carcinogenesis on the hamster cheek pouch model: histological study.</t>
  </si>
  <si>
    <t>0.424</t>
  </si>
  <si>
    <t>56.4</t>
  </si>
  <si>
    <t>"It is concluded that LLLT, within the parameters used in the present study, caused a significant progression of the severity of SCC in the oral cavity of hamsters."</t>
  </si>
  <si>
    <t>J Radiat Res</t>
  </si>
  <si>
    <t>Effects of red light emitting diode on apoptosis of HeLa cells and suppression of implanted HeLa cells growth in mice.</t>
  </si>
  <si>
    <t>0.0044</t>
  </si>
  <si>
    <t>"In in-vivo tests, RLED irradiation decreased the growth of tumors on day 50 and attenuated the elevation of vascular endothelial growth factor (VEGF) expression in HeLa cell implanted BALB/c mice.
Taken together, our results suggest that RLED could induce HeLa cell apoptosis and convey potential antitumor properties."</t>
  </si>
  <si>
    <t>The effect of low-level laser irradiation (In-Ga-Al-AsP - 660 nm) on melanoma in vitro and in vivo.</t>
  </si>
  <si>
    <t>🐁 Mouse
🧪 In vitro</t>
  </si>
  <si>
    <t>"This cancer-protective effect was not reproduced in the in vivo experiment where outcome measures for the 150 J/cm(2) dose group were not significantly different from controls. For the 1050 J/cm(2) dose group, there were significant increases in tumor volume, blood vessels and cell abnormalities compared to the other groups."</t>
  </si>
  <si>
    <t>Sheiko</t>
  </si>
  <si>
    <t>Russia
(Rostov-on-Don)</t>
  </si>
  <si>
    <t>Low-energy red light radiation improves antitumor activity of cyclophosphamide</t>
  </si>
  <si>
    <t>LED phototherapy
PBM + chemo</t>
  </si>
  <si>
    <t>"Exposure of rats with Pliss lymphosarcoma to incoherent red light according to certain protocols creates conditions preventing suppression of antitumor resistance, reducing the toxic effect of cyclophosphamide, and potentiating its antitumor effect."</t>
  </si>
  <si>
    <t>Gamaleya</t>
  </si>
  <si>
    <t>Ukraine
(Kyiv)</t>
  </si>
  <si>
    <t>Exp Oncol</t>
  </si>
  <si>
    <t>Effect of helium-neon laser irradiation on antitumor activity of LAK and IL-2 in mice with Lewis lung carcinoma</t>
  </si>
  <si>
    <t>"Laser irradiation of murine blood in vivo carried out simultaneously with
adoptive immunotherapy and IL-2 treatment had no positive results."</t>
  </si>
  <si>
    <t>Ulrich</t>
  </si>
  <si>
    <t>Germany
(Hamburg)</t>
  </si>
  <si>
    <t>Book: Laser in der Medizin / Laser in Medicine</t>
  </si>
  <si>
    <t>Influence of Laser Light (830nm) on the Growth Kinetics of Rat Rhabdomyosarcomas</t>
  </si>
  <si>
    <t>15
1500</t>
  </si>
  <si>
    <t>"The results showed that after single doses of exposure no change of tumor growth in comparison to untreated controls was observed. During and after the fractionated exposure with doses of 15 and 1500 J/cm2, respectively, neither an enhanced tumor growth nor a significant tumor growth delay was obtained."</t>
  </si>
  <si>
    <t>Investigations on the influence of low level diode laser irradiation of the growth of experimental tumors.</t>
  </si>
  <si>
    <t>0.03
0.3</t>
  </si>
  <si>
    <t>"Investigations on rats with an implanted tumour-carcinosarcoma of Walker (26 animals), cancer of the mammary glands, RMK-1 (75 animals) and in mice with spontaneous cancer of the mammary gland (188 animals)-have shown that the application of a low-level diode laser beam (890 nm) can effect the growth of the experimental tumour. Minimal doses produce a tumouro-static effect, while other doses produce different effects. Low level laser irradiation promotes dystrophic and necrotic changes in tumoural nodes."</t>
  </si>
  <si>
    <t>Role of 830 nm low reactive level laser on the growth of an implanted glioma in mice.</t>
  </si>
  <si>
    <t>Direct and indirect LLLT inhibited tumor growth. In one model, indirect LLLT also increased tumor growth.</t>
  </si>
  <si>
    <t>Lanzafame RJ</t>
  </si>
  <si>
    <t>Photobiomodulation and cancer and other musings.</t>
  </si>
  <si>
    <t>Oral</t>
  </si>
  <si>
    <t>Alveolar ridge preservation</t>
  </si>
  <si>
    <t>Laser Decontamination and LED Photobiomodulation Promote Bone Regeneration and Wound Healing by Secondary Intention, in Alveolar Ridge Preservation-Clinical and Radiographic Evaluation: A Pilot Experience</t>
  </si>
  <si>
    <t>🧑 Human
📄 Single-arm trial
👥 15 participants
⌛ 4-month treatment / 240-day study</t>
  </si>
  <si>
    <t>PDT+PBM</t>
  </si>
  <si>
    <t>8
/ 4 months</t>
  </si>
  <si>
    <t>"All alveolar ridge preservation surgeries were successful, with minimal bone resorption after 9 months. Closure of gingival tissue healed by secondary intention was achieved after 14 days for all patients, except one, who showed wound closure after 21 days."</t>
  </si>
  <si>
    <t>Analgesia</t>
  </si>
  <si>
    <t>Diab</t>
  </si>
  <si>
    <t>J Indian Soc Pedod Prev Dent</t>
  </si>
  <si>
    <t>Evaluation of the effectiveness of photobiomodulation therapy as an alternative method to local anesthesia injection in pediatric dentistry</t>
  </si>
  <si>
    <t>🧑 Human
⚔  Comparison study, randomized, crossover, split-mouth
👥 15 participants (30 teeth)
⌛ 2 sessions (1 per treatment)</t>
  </si>
  <si>
    <t>⚔ PBM vs local anesthesia</t>
  </si>
  <si>
    <t>96
(2p)</t>
  </si>
  <si>
    <t>21.15</t>
  </si>
  <si>
    <t>2.269 cm2 beam area</t>
  </si>
  <si>
    <t>"The PBM-based anesthesia group recorded a mean pain score of 2.27 ± 1.28. The conventional LA group recorded a mean pain score of 1.73 ± 0.7. The difference between the groups was not statistically significant (P = 0.168)."
"PBM-based anesthesia may be an optional alternative to LA injection for conventional restorative treatments in children with dental anxiety, needle phobia, or special needs, and it deserves further studies and improvement."</t>
  </si>
  <si>
    <t>Device: "A 980-nm diode laser (LX16Plus, Woodpecker, China) with a flat-top profile (FT) handpiece with an external diameter of 17 mm was used."</t>
  </si>
  <si>
    <t>Kulkarni</t>
  </si>
  <si>
    <t>Effectiveness of photobiomodulation in reducing pain and producing dental analgesia: a systematic review</t>
  </si>
  <si>
    <t>"Five studies met the inclusion criteria. Meta-analysis was not undertaken due to the heterogenous nature of the studies and data. Positive analgesia outcome was obtained in four out of five studies, and one study with no significant results was criticized for poor reporting of laser parameters, small sample size (six)."
"In general, all studies were criticized for poor discussion of all covariates that could have modified the results, consequently resulting in poor quality of evidence, moderate risk of bias, and poor internal validity, as well as external validity. The systematic review also discussed the potential implications of all variables to be considered for future trials, including pulsing mode, contact modes, and tooth characteristics."</t>
  </si>
  <si>
    <t>Pulsed Nd: YAG laser induces pulpal analgesia: a randomized clinical trial.</t>
  </si>
  <si>
    <t>🧑 Human
🎲 Randomized trial, self-controlled
👥 44 participants
⌛ single session</t>
  </si>
  <si>
    <t>LLLT vs EMLA anesthetic cream
Tooth extraction before orthodontic procedures</t>
  </si>
  <si>
    <t>211-
312</t>
  </si>
  <si>
    <t>73-
107</t>
  </si>
  <si>
    <t>"The trial confirmed that the pulsed Nd:YAG laser effectively induced pulpal analgesia, by suppression of intradental nerve responses to electrical and mechanical stimuli. Such a laser provides an alternative for dental pain management."</t>
  </si>
  <si>
    <t>Anesthesia duration</t>
  </si>
  <si>
    <t>Olszewska</t>
  </si>
  <si>
    <t>Enhanced Recovery of Local Anesthesia in Pediatric Patients: The Impact of Photobiomodulation on Reversing Anesthesia Effects</t>
  </si>
  <si>
    <t>🧑 Human (pediatric)
🎲 Randomized trial, split-mouth
👥 50 participants
⌛ single session</t>
  </si>
  <si>
    <t>635
808</t>
  </si>
  <si>
    <t>250
200</t>
  </si>
  <si>
    <t>0.500
0.400</t>
  </si>
  <si>
    <t>15
12</t>
  </si>
  <si>
    <t>"After 15 minutes, in the laser group the return to normal sensations in the palpation test showed 88% (808 nm) and 68% (635 nm), and only 20% in the control group (P=0.04123). After 45 minutes, all the participants from the PBM group returned to normal sensations (P=0.21458)."</t>
  </si>
  <si>
    <t>Othman</t>
  </si>
  <si>
    <t>Assessment of photobiomodulation by a 660-nm diode laser on the reversal of soft tissue anesthesia in children: A randomized controlled clinical trial</t>
  </si>
  <si>
    <t>🧑 Human (pediatric)
🎲 Randomized trial
👥 32 participants
⌛ single session</t>
  </si>
  <si>
    <t>"The test group showed significantly faster recovery to normal sensation following exposure to laser than the control group which did not undergo any reversal (p &lt; .0001), with a median time of 115 and 60 min according to lip tapping and CPT tests, respectively. The test group also showed significantly faster recovery to normal function (p = .016). The incidence of STI in the form of redness was significantly higher in the control group (p = .022)."</t>
  </si>
  <si>
    <t>Ghajari</t>
  </si>
  <si>
    <t>Expediting the reversal of inferior alveolar nerve block anesthesia in children with photobiomodulation therapy</t>
  </si>
  <si>
    <t>🧑 Human (pediatric)
🎲 Randomized trial, crossover, sham-controlled
👥 36 participants
⌛ single session per phase, two phases</t>
  </si>
  <si>
    <t>11.5</t>
  </si>
  <si>
    <t>0.5 cm2</t>
  </si>
  <si>
    <t>"The laser group exhibited a mean lip anesthesia duration of 122.78 ± 2.26 min, while the sham laser group experienced 134.44 ± 21.8 min, indicating an 11.66-minute reduction in anesthesia duration for the laser group. (P &lt; 0.001)"</t>
  </si>
  <si>
    <t>Annu</t>
  </si>
  <si>
    <t>India
(Sangli)</t>
  </si>
  <si>
    <t>J Dent Anesth Pain Med</t>
  </si>
  <si>
    <t>Comparative evaluation of photobiomodulation therapy at 660 and 810 nm wavelengths on the soft tissue local anesthesia reversal in pediatric dentistry: an in-vivo study</t>
  </si>
  <si>
    <t>🧑 Human
🎲 Randomized trial
👥 60 participants
⌛ single session</t>
  </si>
  <si>
    <t>6.12</t>
  </si>
  <si>
    <t>12
/point
(6 points)</t>
  </si>
  <si>
    <t>"A significant reduction of 55.5 min (27.6%) in the mean soft tissue local anesthesia reversal time was observed after the application of 810 nm wavelength PBM and 69 min (34.7%) after 660 nm wavelength LASER irradiation."
"PBM with a 660 nm wavelength was more effective in reducing the mean soft tissue local anesthesia reversal duration, and thus can be used as a reversal agent for soft tissue local anesthesia in pediatric dentistry."</t>
  </si>
  <si>
    <t>Device: "diode LASER (NovoLASE, India)"</t>
  </si>
  <si>
    <t>Seraj</t>
  </si>
  <si>
    <t>Assessment of photobiomodulation therapy by an 8l0-nm diode laser on the reversal of soft tissue local anesthesia in pediatric dentistry: a preliminary randomized clinical trial.</t>
  </si>
  <si>
    <t>🧑 Human
🎲 Randomized trial, split-mouth
👥 34 participants
⌛ 2 sessions (7-10 day interval)</t>
  </si>
  <si>
    <t>"The mean duration of anesthesia expressed in minutes was equal to 145.15 ± 23.27 and 188.82 ± 12.31 for the laser group and sham laser group, respectively. There was a significant difference in duration of anesthesia between two groups (P &lt; 0.001). 
Considering the results and limitations of the present study, photobiomodulation therapy by 810-nm diode laser can be proposed as a non-invasive method in order to reduce the duration of anesthesia in pediatric patients."</t>
  </si>
  <si>
    <t>Anesthesia injection pain</t>
  </si>
  <si>
    <t>Hamouda</t>
  </si>
  <si>
    <t>The use of laser photobiomodulation as pre-anesthetic tissue management technique in reducing injection pain in children</t>
  </si>
  <si>
    <t>🧑 Human (pediatric)
🎲 Randomized trial
👥 60 participants
⌛ single session</t>
  </si>
  <si>
    <t>0.5 cm2 tip area</t>
  </si>
  <si>
    <t>"The mean HR scores were significantly lower in the laser PBM group during buccal and palatal infiltration injections. The SEM mean scores were significantly lower in the laser PBM group during both injections. For the FPS scale, the number of children who recorded satisfaction during injection was significantly higher in laser PBM group. There was no statistically significant difference in mean HR as well as in SEM and FPS scores between the two groups during pulpotomy and SSC procedures."</t>
  </si>
  <si>
    <t>Device: "Sirolaser blue laser system, Sirona Dental Systems GmbH"</t>
  </si>
  <si>
    <t>Hakimiha</t>
  </si>
  <si>
    <t>Efficacy of photobiomodulation therapy on pain perception reduction associated with dental anesthetic infiltration injection: A systematic review and meta-analysis</t>
  </si>
  <si>
    <t>"A total of 13 studies, involving 972 patients were included. The studies employed various PBMT parameters, including wavelengths, and energy densities. 
Meta-analyses revealed a significant reduction in pain with PBMT compared to controls (MD = -0.90, 95% CI: -1.36 to -0.44, and p = 0.0001), with notable heterogeneity (I2 = 91.79%). Stratified analyses by age demonstrated consistent pain reduction in both adults (MD = -0.59, 95% CI: -1.11 to -0.08, and p &lt; 0.0001) and children (MD = -0.59, 95% CI: -1.11 to -0.08, and p = 0.025)."</t>
  </si>
  <si>
    <t>Altuhafy</t>
  </si>
  <si>
    <t>The efficacy of photobiomodulation on dental injection pain: a systematic review of randomized clinical trials</t>
  </si>
  <si>
    <t>"Eight RCTs demonstrated a notable decrease in needle pain in patients undergoing dental needle injections using PBMT. Based on current evidence, PBMT may help reduce needle pain related to dental anesthesia. Further standardized studies are needed to assess the significance of PBMT for postoperative pain in patients undergoing dental injections."</t>
  </si>
  <si>
    <t>Mesquita</t>
  </si>
  <si>
    <t>Effect of photobiomodulation therapy on pain perception during anesthetic puncture of dental local anesthesia: A systematic review</t>
  </si>
  <si>
    <t>"The electronic search found 3,485 records, of which eight met the eligibility criteria and were included in the qualitative synthesis. The studies were published from 2011 to 2022. None of the included studies had a low risk of bias. 
PBMT groups showed no significant difference in pain scores compared to placebo and control groups of most studies."</t>
  </si>
  <si>
    <t>Zandi</t>
  </si>
  <si>
    <t>Iran
(Arak)</t>
  </si>
  <si>
    <t>The prophylactic effect of photobiomodulation therapy on pain perception due to infiltration injection: a randomized clinical trial</t>
  </si>
  <si>
    <t>🧑 Human
🎲 Randomized trial, crossover, split-mouth
👥 30 participants
⌛ two sessions (1 active, 1 placebo)</t>
  </si>
  <si>
    <t>"The study showed a significant effect of photobiomodulation on reducing pain perception during infiltration injection."</t>
  </si>
  <si>
    <t>Int J Clin Pediatr Dent</t>
  </si>
  <si>
    <t>Low-level Laser Therapy to Alleviate Pain of Local Anesthesia Injection in Children: A Randomized Control Trial</t>
  </si>
  <si>
    <t>🧑 Human (pediatric)
🎲 Randomized trial (?), split-mouth
👥 120 participants
⌛ single session</t>
  </si>
  <si>
    <t>Groups:
(1) PBM vs topical anesthesia
(2) PBM vs precooling
(3) PBM vs vibration</t>
  </si>
  <si>
    <t>"Photobiomodulation (PBM) was found to be effective means of reducing injection pain, demonstrating much better efficacy than other tested methods."
Comment: Weird methodology? Assigning participants in 3 groups and each of the groups had their intragroup comparison of PBM vs another method?</t>
  </si>
  <si>
    <t>Use of photobiomodulation (880nm) for anesthesia puncture pain reduction: a split-mouth case report</t>
  </si>
  <si>
    <t>🧑 Human
📄 Case report, self-controlled, sham-controlled</t>
  </si>
  <si>
    <t>"There was a 50% reduction in pain levels on the PBM-treated side compared to the PBM-sham side, as measured by the visual analog scale. Sensitivity tests revealed that anesthesia was more effective on the PBM side."</t>
  </si>
  <si>
    <t>Effect of Photobiomodulation Therapy With an 810-nm Diode Laser on Pain Perception Associated With Dental Injections in Children: A Double-Blind Randomized Controlled Clinical Trial</t>
  </si>
  <si>
    <t>🧑 Human
🎲 Randomized trial, split-mouth
👥 64 participants
⌛ single session</t>
  </si>
  <si>
    <t>5.2</t>
  </si>
  <si>
    <t>13
/side
(bucc. and palat.)</t>
  </si>
  <si>
    <t>"According to the results of the VAS and MBPS, no significant difference was detected in pain scores between the laser and control groups neither in the buccal nor in the palatal mucosa (P&gt;0.05)."</t>
  </si>
  <si>
    <t>Device: "Fox; A.R.C Laser, GmbH, Nuremberg, Germany"</t>
  </si>
  <si>
    <t>Elbay</t>
  </si>
  <si>
    <t>Effects of photobiomodulation with different application parameters on injection pain in children: a randomized clinical trial</t>
  </si>
  <si>
    <t>🧑 Human (pediatric)
🎲 Randomized trial, triple-blind
👥 160 participants
⌛ single session</t>
  </si>
  <si>
    <t>20
30
40</t>
  </si>
  <si>
    <t>"Injection pain in children did not differ with placebo and PBM applied with a power of 0.3 W for 20, 30 and 40 s."</t>
  </si>
  <si>
    <t>Dehgan</t>
  </si>
  <si>
    <t>Evaluation of the effects of photobiomodulation with different laser application doses on injection pain in children: a randomized clinical trial</t>
  </si>
  <si>
    <t>300
400
500</t>
  </si>
  <si>
    <t>"The mean (± std) PRS scores were 1.35 ± 1.075, 1.37 ± 1.05, 1.07 ± 1.04, and 2.07 ± 1.09 for Groups 1, 2, and 3 and the placebo group, respectively."
"PBM delivered by a 940-nm diode laser plus 10% lidocaine topical anesthetic before the application of LA decreased injection pain regardless of the applied laser dose in this study."</t>
  </si>
  <si>
    <t>Afkhami</t>
  </si>
  <si>
    <t>Evaluation of the effect of the photobiomodulation therapy on the pain related to dental injections: A preliminary clinical trial</t>
  </si>
  <si>
    <t>🧑 Human
🎲 Randomized trial, crossover, triple-blind, split-mouth
👥 30 participants (60 teeth included)
⌛ two sessions with 1 week washout</t>
  </si>
  <si>
    <t>"The mean VAS pain scores were 21.2 ±15.7 for the laser quadrant and 27.9 ±18.9 for the control quadrant; this difference was statistically significant (p = 0.030), but did not seem to be clinically relevant."</t>
  </si>
  <si>
    <t>Kermanshah</t>
  </si>
  <si>
    <t>Effect of Photobiomodulation Therapy with 915 nm Diode Laser on Pain Perception During Local Anesthesia of Maxillary Incisors: A Randomized Controlled Trial</t>
  </si>
  <si>
    <t>🧑 Human
🎲 Randomized trial, crossover (?), triple-blind, split-mouth
👥 32 participants
⌛ two sessions with 1 week washout</t>
  </si>
  <si>
    <t>1500
(?)</t>
  </si>
  <si>
    <t>"The mean scores of pain for the active laser and sham laser groups were 2.5±2.19 and 4.34± 2.52, respectively with a statistically significant higher NRS in the sham laser group (P˂0.05).
In this study's condition, diode PBMT reduced pain during infiltration on maxillary incisors."</t>
  </si>
  <si>
    <t>Shekarchi</t>
  </si>
  <si>
    <t>Evaluating the Preemptive Analgesic Effect of Photo-biomodulation Therapy on Pain Perception During Local Anesthesia Injection in Children: A Split-mouth Triple-blind Randomized Controlled Clinical Trial</t>
  </si>
  <si>
    <t>🧑 Human
🎲 Randomized trial, triple-blind, split-mouth
👥 30 participants
⌛ single session -&gt; 24h follow-up</t>
  </si>
  <si>
    <t>16.25</t>
  </si>
  <si>
    <t>32.50</t>
  </si>
  <si>
    <t>"Results demonstrated that PBMT could significantly decrease the injection pain perception and heart rate alternations compared to the topical anesthetic gels (P=0.000)."</t>
  </si>
  <si>
    <t>Sandhyarani</t>
  </si>
  <si>
    <t>Effect of Low-level Laser on LI4 Acupoint in Pain Reduction during Local Anesthesia in Children</t>
  </si>
  <si>
    <t>🧑 Human
🎲 Randomized trial, sham-controlled, split-mouth, crossover
👥 40 participants
⌛ 2 sessions (1 active, 1 sham)</t>
  </si>
  <si>
    <t>Laser acupuncture (irradiation on hand)
Laser acupuncture vs benzocaine</t>
  </si>
  <si>
    <t>"The average heart rate, Wong-Bakers pain rating scale, and Sound Eye Motor scale were significantly lower in the group having low-level laser when compared with the group having placebo low-level laser therapy."</t>
  </si>
  <si>
    <t>Uçar</t>
  </si>
  <si>
    <t>The Effects of Low Level Laser Therapy on Injection Pain and Anesthesia Efficacy During Local Anesthesia in Children: A Randomized Clinical Trial</t>
  </si>
  <si>
    <t>🧑 Human
🎲 Randomized trial, double-blind, crossover
👥 60 participants
⌛ 2 sessions with 4-7 day interval</t>
  </si>
  <si>
    <t>"The 'no pain' and 'severe pain' rates in [Pain Rating Scale] were 41.7% and 3.3% for LG and 21.7% and 11.7% for CG, respectively, during the injection."</t>
  </si>
  <si>
    <t>Ghabraei</t>
  </si>
  <si>
    <t>Effect of Photobiomodulation on Pain Level During Local Anesthesia Injection: A Randomized Clinical Trial</t>
  </si>
  <si>
    <t>🧑 Human
🎲 Randomized trial, sham-controlled
👥 56 participants
⌛ single session</t>
  </si>
  <si>
    <t>"Group 1 had a lesser pain level than Group 2, but the difference in pain level between them was not significant. PBMT with 980 nm wavelength decreased pain level during local anesthesia injection without superiority over placebo."</t>
  </si>
  <si>
    <t>Jagtap</t>
  </si>
  <si>
    <t>India
(Maharashtra)</t>
  </si>
  <si>
    <t>Painless injections-a possibility with low level laser therapy.</t>
  </si>
  <si>
    <t>🧑 Human
🎲 Randomized trial, split-mouth
👥 25 participants
⌛ (?)</t>
  </si>
  <si>
    <t>"In our study, we observed that LLLT reduced pain during injection of local anesthesia. Further multi-centric studies with a larger sample size and various modifications in the study design are required."
Comment: Paper somewhat inadequately written.</t>
  </si>
  <si>
    <t>Tuk</t>
  </si>
  <si>
    <t>Analgesic effects of preinjection low-level laser/light therapy (LLLT) before third molar surgery: a double-blind randomized controlled trial.</t>
  </si>
  <si>
    <t>🧑 Human
🎲 Randomized trial, double-blind
👥 163 participants
⌛ single session</t>
  </si>
  <si>
    <t>5.94</t>
  </si>
  <si>
    <t>67.50</t>
  </si>
  <si>
    <t>0.088
cm2</t>
  </si>
  <si>
    <t>120
(2 points, both irr. twice)</t>
  </si>
  <si>
    <t>"The present data indicated that preinjection LLLT did not effectively decrease the pain felt during local anesthetic injections before third molar surgery."</t>
  </si>
  <si>
    <t>Sattayut</t>
  </si>
  <si>
    <t>Thailand
(Khon Kaen)</t>
  </si>
  <si>
    <t>Low intensity laser for reducing pain from anesthetic palatal injection.</t>
  </si>
  <si>
    <t>Groups: PBM vs benzocaine vs pressure vs light touch</t>
  </si>
  <si>
    <t>27.69</t>
  </si>
  <si>
    <t>0.13
cm2
spot</t>
  </si>
  <si>
    <t>"The median of pain scores of the LILT, 20% benzocaine, pressure, and light touch groups were 11, 23, 27, and 31 mm, respectively. There was no statistically significant difference in VAS among the groups, using Kruskal-Wallis test (p=0.385)."</t>
  </si>
  <si>
    <t>Anesthesia success</t>
  </si>
  <si>
    <t>Khoshbin</t>
  </si>
  <si>
    <t>Effect of 810 nm Diode Laser Irradiation on the Time of Initiation and Depth of Anesthesia for Endodontic Treatment of Mandibular First Molars with Symptomatic Irreversible Pulpitis: A Clinical Trial</t>
  </si>
  <si>
    <t>"No remarkable difference was noted between the laser group and control groups in pain severity or anesthesia onset (p &gt; 0.05)."</t>
  </si>
  <si>
    <t>Abduljalil</t>
  </si>
  <si>
    <t>Sudan
(Khartoum)</t>
  </si>
  <si>
    <t>Effect of Photobiomodulation on the Depth of Local Anesthesia during Endodontic Treatment of Teeth with Symptomatic Irreversible Pulpitis</t>
  </si>
  <si>
    <t>🧑 Human
🎲 Randomized trial, sham-controlled
👥 49 participants
⌛ single session</t>
  </si>
  <si>
    <t>"During dentin cutting and pulp dropping, the group receiving the laser therapy presented with less mean pain score than the placebo group which was statistically significant. Additionally, it was observed that the need for supplementary injection was less frequent in the laser-treated group than in the placebo group (p = 0.01)."</t>
  </si>
  <si>
    <t>Aykanat &amp; Elbay</t>
  </si>
  <si>
    <t>Effect of photobiomodulation on the efficacy of anesthesia in maxillary permanent molar teeth with molar incisor hypomineralization: A randomized clinical trial</t>
  </si>
  <si>
    <t>🧑 Human (pediatric)
🎲 Randomized trial
👥 70 participants
⌛ single session</t>
  </si>
  <si>
    <t>78</t>
  </si>
  <si>
    <t>"The no-pain scores of the experimental group were higher than those of the control group (29% vs. 20%). Moderate-to-high pain was more frequent in the control group than in the experimental group (43% vs. 20%). While 31% of the experimental group required supplemental anesthesia, 49% of the control group required supplemental anesthesia during pulpotomy of the tooth with MIH."</t>
  </si>
  <si>
    <t>Topçuoğlu &amp; Akpınar</t>
  </si>
  <si>
    <t>Int Endod J</t>
  </si>
  <si>
    <t>The effect of low-level laser therapy on the success rate of inferior alveolar nerve blocks in mandibular molars with symptomatic irreversible pulpitis: A randomized clinical trial</t>
  </si>
  <si>
    <t>🧑 Human
🎲 Randomized trial, sham-controlled
👥 88 participants
⌛ single session</t>
  </si>
  <si>
    <t>"Whilst the anaesthesia success rate was 34% in the group where only IANB was applied, it was 57% in the group in which LLLT was applied in addition to IANB. There was a significant difference between the groups (p = .032)."</t>
  </si>
  <si>
    <t>Aphthous stomatitis</t>
  </si>
  <si>
    <t>Radithia</t>
  </si>
  <si>
    <t>Indonesia
(Tambaksari)</t>
  </si>
  <si>
    <t>Effectiveness of low-level laser therapy in reducing pain score and healing time of recurrent aphthous stomatitis: a systematic review and meta-analysis</t>
  </si>
  <si>
    <t>"Fourteen trials with a total of 664 patients were included. Reduced pain was reported in 13 studies, while shortened healing time was presented in 4. The pooling of two studies after CO2 irradiation demonstrated faster healing time compared to placebo (MD - 3.72; 95% CI - 4.18, - 3.25)."</t>
  </si>
  <si>
    <t>Kareem</t>
  </si>
  <si>
    <t>Impact of Photobiomodulation on IL1β and TGFβ-1 concentrations in patients with aphthous stomatitis</t>
  </si>
  <si>
    <t>🧑 Human
📄 Single-arm study
👥 20 cases
⌛ single session -&gt; 7-day follow-up</t>
  </si>
  <si>
    <t>4 x 30</t>
  </si>
  <si>
    <t>"The intervention involved a single session of four 30-second applications of a QuickLase dual-wavelength laser operating at 980 nm. Results show significant reductions in IL1β and TGFβ-1 levels after 7 days of treatment, indicating a time-dependent effect of PBM therapy on these inflammatory markers."</t>
  </si>
  <si>
    <t>Alhomsi</t>
  </si>
  <si>
    <t>Combined treatment of dexamethasone mouthwash and low-level laser therapy in the management of aphthous-like ulcers caused by nonsteroidal anti-inflammatory drugs: A case report</t>
  </si>
  <si>
    <t>"A case of major aphthous-like ulcer was described in a 50-year-old patient. The patient showed the main signs of aphthous stomatitis painful ulcer, 1-2 cm in diameter, located on the ventral of the tongue, buccal mucosa, and the palate. These ulcers persisted for more than 3 weeks. The patient's self-administration of a nonsteroidal anti-inflammatory drug (NSAID) was suggested as the leading cause of aphthous-like ulcers in this case. ulcers were treated with dexamethasone mouthwash and low-level laser therapy (LLLT)."</t>
  </si>
  <si>
    <t>A Novel Therapeutic Approach of 980 nm Photobiomodulation Delivered with Flattop Beam Profile in Management of Recurrent Aphthous Stomatitis in Paediatrics and Adolescents-A Case Series with 3-Month Follow-Up</t>
  </si>
  <si>
    <t>🧑 Human
📄 Case series
👥 6 cases
⌛ 3-month study</t>
  </si>
  <si>
    <t>1 cm2 spot size</t>
  </si>
  <si>
    <t>"At T1, significant immediate pain intensity relief was reported. 33.33% recorded “4” and 66.67% reported “5” on the quantitative numeric pain intensity scale (NPIS), and this continued to improve significantly (83.33%) at T2. All the subjects reported “0” on the NPIS at T3, T4, T5 and T6. There was a significant reduction in the lesion surface area (&gt;50% complete healing) at T3 compared to T0. Complete healing (100%) with no evidence of scarring and lesion recurrence observed at T4, T5 and T6. Very good patients’ satisfaction was reported at all timepoints."</t>
  </si>
  <si>
    <t>Management of recurrent aphthous ulcers with therapeutic Nd:YAG laser, using two different methods</t>
  </si>
  <si>
    <t>🧑 Human
🎲 Randomized trial
👥 138 participants
⌛ 3-day treatment / 60-day study</t>
  </si>
  <si>
    <t>0.354
0.797</t>
  </si>
  <si>
    <t>21
48</t>
  </si>
  <si>
    <t>0.2826
0.1256
cm2
spot size</t>
  </si>
  <si>
    <t>"Photobiomodulation showed a significantly more efficient pain relief as compared to the placebo group (p &lt; 0.001) and also significantly better results in decreasing pain duration (p &lt; 0.001). Besides, the diameter of the lesions in the exposed cases decreased during the 3 consecutive days of the study, while an increase in the diameter of the lesions was noticed in the placebo group."</t>
  </si>
  <si>
    <t>Ghali &amp; Abdulhamed</t>
  </si>
  <si>
    <t>J Popul Ther Clin Pharmacol</t>
  </si>
  <si>
    <t>Treatment of recurrent minor aphthous stomatitis using diode laser (940 nm)</t>
  </si>
  <si>
    <t>🧑 Human
🎲 Randomized trial
👥 21 participants
⌛ 6 days (??)</t>
  </si>
  <si>
    <t>Groups: PBM vs topical Anginovag spray vs motivation and follow-up</t>
  </si>
  <si>
    <t>1-3
(??)</t>
  </si>
  <si>
    <t>"In this randomized, controlled, clinical study, LLLT using Diode LASER causes reduction in pain intensity due to RAUs, thereby reducing morbidity. There is also reduction in the diameter and healing time of the ulcer as compared to Anginovag spray medication and the control group."</t>
  </si>
  <si>
    <t>Marya</t>
  </si>
  <si>
    <t>India
(Haryana)</t>
  </si>
  <si>
    <t>J Dent Res Dent Clin Dent Prospects</t>
  </si>
  <si>
    <t>Comparative assessment of low-level laser therapy (LLLT) vs. topical application of amlexanox + lidocaine to treat recurrent aphthous ulcers (RAUs): A randomized controlled trial</t>
  </si>
  <si>
    <t>🧑 Human
🎲 Randomized trial, sham-controlled
👥 26 participants
⌛ 3 days (?)</t>
  </si>
  <si>
    <t>PBM vs amlexanox+lidocaine</t>
  </si>
  <si>
    <t>"LLLT was more effective than amlexanox + lidocaine in the management of RAU. It is a cost-effective therapy for treating RAU."
Comment: Parameters insufficienetly reported.
Comment: The paper says study duration is 12 weeks, but actually the outcomes are from a 3-day period.</t>
  </si>
  <si>
    <t>Huo</t>
  </si>
  <si>
    <t>China
(Shijiazhuang)</t>
  </si>
  <si>
    <t>Effect of different treatments on recurrent aphthous stomatitis: laser versus medication</t>
  </si>
  <si>
    <t>🧑 Human
🎲 Randomized trial
👥 56 participants
⌛ 3-day treatment -&gt; follow-up until healed (average 6-8 days)</t>
  </si>
  <si>
    <t>PBM vs triamcinolone acetonide 0.1%</t>
  </si>
  <si>
    <t>"Spontaneous and functional pain level on the third day of treatment was significantly less in the laser group. Significant difference was observed with respect to healing time; however, the order of difference is small albeit of statistical significance.
Diode laser with the chosen parameters had better effects on pain relief and no distinct advantage on wound healing comparing with medication."</t>
  </si>
  <si>
    <t>Ślebioda &amp; Dorocka-Bobkowska</t>
  </si>
  <si>
    <t>Poland
(Poznan)</t>
  </si>
  <si>
    <t>Postepy Dermatol Alergol</t>
  </si>
  <si>
    <t>Low-level laser therapy in the treatment of recurrent aphthous stomatitis and oral lichen planus: a literature review</t>
  </si>
  <si>
    <t>Oral lichen planus</t>
  </si>
  <si>
    <t>"Most of the studies demonstrated the beneficial effect of LLLT in accelerating the healing process and pain reduction. However, the results should be interpreted with caution due to the limited number of studies available and empirical design using various irradiation parameters."</t>
  </si>
  <si>
    <t>Bardellini</t>
  </si>
  <si>
    <t>Med Oral Patol Oral Cir Bucal</t>
  </si>
  <si>
    <t>Photobiomodulation therapy for the management of recurrent aphthous stomatitis in children: clinical effectiveness and parental satisfaction.</t>
  </si>
  <si>
    <t>🧑 Human
🎲 Randomized trial, sham-controlled
👥 60 participants
⌛ 3-day treatment / 10-day study</t>
  </si>
  <si>
    <t>"The difference in the reduction of ulcers diameters between the two groups resulted statistically significant at T1 and at T2 (p&lt;0.05). A statistically significant difference in pain reduction between two groups was found at T1 (p&lt;0.05). No statistically significant difference between the two groups of parents was found as concerns the parental acceptance of the procedure and the discomfort for the need of multiple appointments."</t>
  </si>
  <si>
    <t>Amorim Dos Santos</t>
  </si>
  <si>
    <t>Laser therapy for recurrent aphthous stomatitis: an overview.</t>
  </si>
  <si>
    <t>📖 Review of systematic reviews</t>
  </si>
  <si>
    <t>"An overview of systematic reviews was conducted based on PRISMA checklist (...) Evidence suggested that laser therapy is an effective tool to treat recurrent aphthous stomatitis; nevertheless, more randomized clinical trials should be conducted to compare different lasers parameters."</t>
  </si>
  <si>
    <t>Olejnik</t>
  </si>
  <si>
    <t>Low-level laser therapy (LLLT) in the treatment of recurrent aphthous stomatitis (RAS) - a promising treatment option: A report of two cases.</t>
  </si>
  <si>
    <t>🧑 Human
📄 Case series
👥 2 cases
⌛ 4 days</t>
  </si>
  <si>
    <t>"This report describes 2 cases of adult patients with RAS treated with LLLT to relieve pain and promote the healing of the ulcers. The clinical presentations with the signs and symptoms are discussed and illustrated, along with the treatment algorithms and outcomes."</t>
  </si>
  <si>
    <t>Soliman &amp; Mostafaa</t>
  </si>
  <si>
    <t>Open Access Maced J Med Sci</t>
  </si>
  <si>
    <t>Clinical Evaluation of 660 nm Diode Laser Therapy on the Pain, Size and Functional Disorders of Recurrent Aphthous Stomatitis.</t>
  </si>
  <si>
    <t>🧑 Human
🎲 Randomized trial
👥 20 participants
⌛ single treatment / 6-day study</t>
  </si>
  <si>
    <t>Control group received sodium bicarbonate rinse</t>
  </si>
  <si>
    <t>100-
130</t>
  </si>
  <si>
    <t>"[D]iode laser 660 nm treatment showed more remarkable improvements in reduction of healing time, pain and lesion size."</t>
  </si>
  <si>
    <t>Akerzoul</t>
  </si>
  <si>
    <t>Morocco
(Rabat)</t>
  </si>
  <si>
    <t>Pan Afr Med J</t>
  </si>
  <si>
    <t>Low laser therapy as an effective treatment of recurrent aphtous ulcers: a clinical case reporting two locations.</t>
  </si>
  <si>
    <t>🧑 Human
📄 Case report
⌛ single session -&gt; 5-day follow-up</t>
  </si>
  <si>
    <t>Laser diode</t>
  </si>
  <si>
    <t xml:space="preserve">"At the end of the treatment, the patient reported that ulcers were free of pain and mildly sensitive to the touch. The patient was sent home and instructions were given to avoid hard, acidic and salty food. The patient was followed-up over a period of 5 days after laser therapy and showed a complete remission of the lesions, with no signs of pain and discomfort."
</t>
  </si>
  <si>
    <t>Rocca</t>
  </si>
  <si>
    <t>Effect of laser irradiation on aphthae pain management: A four different wavelengths comparison</t>
  </si>
  <si>
    <t>🧑 Human
⚔ Comparison study
👥 60 participants
⌛ single treatment -&gt; 7-day follow-up</t>
  </si>
  <si>
    <t>450
635
808
2940</t>
  </si>
  <si>
    <t>"Diode lasers 808 nm and 450 nm defined almost the same results with an improvement starting already after the application and gradually improving until 7 days after treatment without any statistically significant difference between them. Diode 635 nm was the device gaining the earliest effect reducing the pain already during the treatment and maintaining it at low level immediately after the laser application and after 3 and 7 days with levels of pain comparable with them obtained with 808 nm and 450 nm lasers. Er:YAG laser with the used parameters obtained a pain relief only during the treatment."
Comment: No control group. Best results with 635 nm.</t>
  </si>
  <si>
    <t>Suter</t>
  </si>
  <si>
    <t>Switzerland
(Bern)</t>
  </si>
  <si>
    <t>Effect of laser on pain relief and wound healing of recurrent aphthous stomatitis: a systematic review.</t>
  </si>
  <si>
    <t>"11 studies (ten RCTs and one non-randomised controlled trial) were included."
"Laser treatment included Nd:YAG laser ablation, CO2 laser applied through a transparent gel (non-ablative) and diode laser in a low-level laser treatment (LLLT) mode."
"Significant pain relief immediately after treatment was found in five out of six studies. Pain relief in the days following treatment was recorded in seven studies. The duration of RAS wound healing was also reduced in five studies."
"Jadad scores (ranging from 0 to 5) for quality assessment of the included studies range between 0 and 2 (mean = 1.0) for studies analysing pain relief and between 0 and 3 (mean = 1.1) for studies evaluating wound healing.
The use of lasers (CO2 laser, Nd:YAG laser and diode laser) to relieve symptoms and promote healing of RAS is a therapeutic option. More studies for laser applications are necessary to demonstrate superiority over topical pharmaceutical treatment and to recommend a specific laser type, wavelength, power output and applied energy (ablative versus photobiomodulation)."
Comment: Apparently the systematic review has a small mistake. In the quality accessment, the authors mention giving 2 + 1 (total 3) Jadad points to the Albrektson et al. paper, but in the Table 3 they probably accidentally wrote that the Jadad score of that study is 2.</t>
  </si>
  <si>
    <t>Zeini Jahromi</t>
  </si>
  <si>
    <t>J Dent (Shiraz)</t>
  </si>
  <si>
    <t>Clinical Evaluation of High and Low-Level Laser Treatment (CO2vsInGaAlP Diode Laser) for Recurrent Aphthous Stomatitis.</t>
  </si>
  <si>
    <t>🧑 Human
🎲 Randomized trial, sham-controlled
👥 36 participants
⌛ single treatment -&gt; 15-day follow-up</t>
  </si>
  <si>
    <t>PBM vs CO2 laser vs placebo</t>
  </si>
  <si>
    <t>660
10600</t>
  </si>
  <si>
    <t>25
2000</t>
  </si>
  <si>
    <t>d =
9mm</t>
  </si>
  <si>
    <t>240
10-20</t>
  </si>
  <si>
    <t>"High-level laser treatment showed analgesic effects on RAS, but no healing was observed. Low-level laser therapy demonstrated no positive effect on recurrent aphthous ulcers."
Comment: CO2 laser had a very good analgesic effect especially regarding the contact pain, but both laser groups healed slower than the placebo group.</t>
  </si>
  <si>
    <t>Jijin</t>
  </si>
  <si>
    <t>Low-level laser therapy versus 5% amlexanox: a comparison of treatment effects in a cohort of patients with minor aphthous ulcers.</t>
  </si>
  <si>
    <t>🧑 Human
⚔ Comparison study
👥 50 participants
⌛ 7 days</t>
  </si>
  <si>
    <t>Picasso laser
PBM vs amlexanox</t>
  </si>
  <si>
    <t>3
/ 7 days</t>
  </si>
  <si>
    <t>"Both amlexanox and LLLT were equally effective in relieving pain associated with minor aphthous stomatitis. Both groups showed significant reduction in ulcer sizes and in pain scores."
Note: Lack of negative control group.</t>
  </si>
  <si>
    <t>Scientifica (Cairo)</t>
  </si>
  <si>
    <t>Effectiveness of Laser Therapy in the Management of Recurrent Aphthous Stomatitis: A Systematic Review.</t>
  </si>
  <si>
    <t>"The included studies reported a comparison of the effectiveness between the laser treatment and placebo laser therapy (or conventional drug therapy) when managing the RAS patients. It can be concluded that laser therapy has the superiority in relieving ulcer pain and shortening healing time when compared with placebo group or medical treatment group. Although laser therapy is a promising effective treatment for RAS, high-quality clinical studies with large sample size must be further performed to confirm the effectiveness of this therapy."</t>
  </si>
  <si>
    <t>Pavlić</t>
  </si>
  <si>
    <t>Serbia (?)</t>
  </si>
  <si>
    <t>Treatment of recurrent aphthous stomatitis by laser therapy: A systematic review of the literature.</t>
  </si>
  <si>
    <t>"Even though the assessed literature suggests beneficial outcomes of laser therapy in treatment of RAS, these results should be interpreted with caution. The issues related to the study designs and different sets of laser irradiation parameters of a limited number of available studies with the same treatment outcomes prevent us from making definite conclusions."</t>
  </si>
  <si>
    <t>Low-level laser therapy in the treatment of recurrent aphthous ulcers: a systematic review.</t>
  </si>
  <si>
    <t>"A systematic literature review identified 22 publications, of which only 2 studies were adopted. The eligibility criteria consisted of randomized controlled trials (RCTs). Both RCTs achieved significant results concerning LLLT and pain-level reductions and reduced healing times. Despite the variance in irradiation conditions applied in both studies, very similar wavelengths were adopted."</t>
  </si>
  <si>
    <t>Mir</t>
  </si>
  <si>
    <t>Germany &amp; Iran</t>
  </si>
  <si>
    <t>Int J Clin Med</t>
  </si>
  <si>
    <t>Evaluation of a Newly Developed Laser Pen as a Home Care Device for Pain Reduction of Recurrent Aphthous Stomatitis (Preliminary Study)</t>
  </si>
  <si>
    <t>🧑 Human
🎲 Randomized trial
👥 30 participants
⌛ 5 days</t>
  </si>
  <si>
    <t>PBM vs triamcinolone (topical)</t>
  </si>
  <si>
    <t>30+
30
daily</t>
  </si>
  <si>
    <t>"The results show that the laser pen and triamcinolon in orabase ointment have similar results and both have better results than placebo in the control of the recurrent aphthous stomatitis pain (p value: 0.001)."
Comment: The paper has been published via a predatory publishing company (SCIRP). I know one of the authors (Jan Tuner) so I suspect the paper is still valid despite the publisher.</t>
  </si>
  <si>
    <t>Aggarwal</t>
  </si>
  <si>
    <t>India
(Udaipur)</t>
  </si>
  <si>
    <t>J Clin Diagn Res</t>
  </si>
  <si>
    <t>Efficacy of low-level laser therapy in treatment of recurrent aphthous ulcers - a sham controlled, split mouth follow up study.</t>
  </si>
  <si>
    <t>🧑 Human
🎲 Randomized trial, sham-controlled, self-controlled
👥 30 participants
⌛ single treatment -&gt; 3-day follow-up -&gt; follow-up until resolution</t>
  </si>
  <si>
    <t>"Complete resolution of the ulcers in the active group was 3.05 ± 1.10 days as compared to 8.90 ± 2.45 days in the sham control group. Immediately, post the LLLT application, complete pain relief was observed in 28 of the 30 patients of the active group."</t>
  </si>
  <si>
    <t>Albrektson</t>
  </si>
  <si>
    <t>Sweden
(Varberg)</t>
  </si>
  <si>
    <t>Recurrent aphthous stomatitis and pain management with low-level laser therapy: a randomized controlled trial.</t>
  </si>
  <si>
    <t>🧑 Human
🎲 Randomized trial, sham-controlled
👥 40 participants
⌛ 3 days</t>
  </si>
  <si>
    <t>Elexxion AG</t>
  </si>
  <si>
    <t>6.3</t>
  </si>
  <si>
    <t>"VAS rating decreased (day 0 until day 2) from 84.7 to 31.5 (LLLT) and from 81.7 to 76.1 (placebo) (P &lt; .0001). LLLT also relieved the difficulty of drinking, eating, and brushing teeth."</t>
  </si>
  <si>
    <t>Lalabonova &amp; Daskalov</t>
  </si>
  <si>
    <t>Biotechnol Biotechnol Equip</t>
  </si>
  <si>
    <t>Clinical assessment of the therapeutic effect of low-level laser therapy on chronic recurrent aphthous stomatitis.</t>
  </si>
  <si>
    <t>🧑 Human
🎲 Randomized trial
👥 180 participants
⌛ Treatment until healed / 5-day study</t>
  </si>
  <si>
    <t>74
(?)</t>
  </si>
  <si>
    <t>daily
until
symptom
resolution</t>
  </si>
  <si>
    <t>"In 5 days, 75.6% of [LLLT group] patients showed complete epithelization, while in [pharmacotherapy group] the process was completed in only 37.8% of patients."</t>
  </si>
  <si>
    <t>Anand</t>
  </si>
  <si>
    <t>Low level laser therapy in the treatment of aphthous ulcer.</t>
  </si>
  <si>
    <t>🧑 Human
📄 Case series
👥 2 cases
⌛ ~1 year follow-up</t>
  </si>
  <si>
    <t>~600</t>
  </si>
  <si>
    <t>"Two patients diagnosed with minor RAS were treated in a single sitting with low level laser therapy using 940-nm diode laser. The lesions healed completely within 3-4 days and a follow-up for 1 showed no recurrence in these patients."</t>
  </si>
  <si>
    <t>Misra</t>
  </si>
  <si>
    <t>India
(Lucknow)</t>
  </si>
  <si>
    <t>940 nm diode laser therapy in management of recurrent apthous ulcer.</t>
  </si>
  <si>
    <t>🧑 Human
📄 Case report
⌛ single treatment -&gt; healing in 4 days -&gt; 2 month follow-up</t>
  </si>
  <si>
    <t>Biolase Ezlase 940</t>
  </si>
  <si>
    <t>"In this paper one patient with RAS was treated using a 940 nm diode laser for symptomatic relief of pain and burning sensation and healing of ulcer."</t>
  </si>
  <si>
    <t>Prasad &amp; Pai</t>
  </si>
  <si>
    <t>Assessment of immediate pain relief with laser treatment in recurrent aphthous stomatitis.</t>
  </si>
  <si>
    <t>🧑 Human
🎲 Randomized trial
👥 25 participants
⌛ single treatment -&gt; 2-week follow-up</t>
  </si>
  <si>
    <t>CO2 laser</t>
  </si>
  <si>
    <t>"Mean pain scores in the laser group were significantly reduced immediately after treatment (0.68 ± 0.6) compared with pretreatment (8.48 ± 0.71; P &lt; .001).
In contrast, the placebo group showed little difference in pain scores between pretreatment (8.08 ± 0.70) and immediately after treatment (7.96 ± 0.84).
In the laser group, significant improvements in healing times were observed (4.08 ± 0.81 vs. 7.84 ± 0.90 days; P &lt; .001)."
Comment: Interesting results with 10600nm CO2-laser! This cannot be explained by cytochrome oxidase, because wavelength is too long.</t>
  </si>
  <si>
    <t>da Silva Marciano</t>
  </si>
  <si>
    <t>Laser for treatment of aphthous ulcers on bacteria cultures and DNA.</t>
  </si>
  <si>
    <t>25
45</t>
  </si>
  <si>
    <t>"Low-intensity red laser at therapeutic fluences has an effect on the survival of E. coli endonuclease III deficient cells, induces bacterial filamentation in E. coli cultures and DNA lesions targeted by exonuclease III."</t>
  </si>
  <si>
    <t>Zand</t>
  </si>
  <si>
    <t>Promoting wound healing in minor recurrent aphthous stomatitis by non-thermal, non-ablative CO(2) laser therapy: a pilot study.</t>
  </si>
  <si>
    <t>🧑 Human
🎲 Randomized trial, self-controlled
👥 10 participants (with 20 aphthous ulcers)
⌛ single treatment -&gt; follow-up until healing (~a week)</t>
  </si>
  <si>
    <t>"The healing period was significantly shorter in ulcers treated by NACLT than in those treated with placebo (p=0.02). The process was not painful and anesthesia was not required."</t>
  </si>
  <si>
    <t>Caputo</t>
  </si>
  <si>
    <t>Laser Therapy of Recurrent Aphthous Ulcer in Patient with HIV Infection.</t>
  </si>
  <si>
    <t>🧑 Human
📄 Case report
⌛ 12-month follow-up</t>
  </si>
  <si>
    <t>0.428</t>
  </si>
  <si>
    <t>133
/p</t>
  </si>
  <si>
    <t>"The patient was treated with laser therapy with the objective to help reverse the damage and decrease the symptoms. After one week there was remission of the lesions. The laser showed to be an important alternative therapy that promoted analgesic, healing effects and improving the quality of life of patients."</t>
  </si>
  <si>
    <t>De Souza</t>
  </si>
  <si>
    <t>Clinical evaluation of low-level laser treatment for recurring aphthous stomatitis.</t>
  </si>
  <si>
    <t>🧑 Human
📄 Non-randomized study, controlled
👥 20 participants
⌛ until resolution of lesions (~ 4-7 days)</t>
  </si>
  <si>
    <t>PBM vs triamcinolone</t>
  </si>
  <si>
    <t>"The results revealed that 75% of the patients reported a reduction in pain in the same session after laser treatment, and total regression of the lesion occurred after 4 days. Total regression in the corticoid group was from 5 to 7 days."</t>
  </si>
  <si>
    <t>Tezel</t>
  </si>
  <si>
    <t>An evaluation of different treatments for recurrent aphthous stomatitis and patient perceptions: Nd:YAG laser versus medication.</t>
  </si>
  <si>
    <t>🧑 Human
🎲 Randomized trial
👥 20 participants
⌛ single treatment</t>
  </si>
  <si>
    <t>Smarty A10 laser (Nd:YAG)
Not LLLT but ablative laser to remove necrotic tissue?</t>
  </si>
  <si>
    <t>2000
(???)</t>
  </si>
  <si>
    <t>0.1
(???)</t>
  </si>
  <si>
    <t>Methods: "After applying a topical anesthetic gel to the area, articain 4% with 1:200,000 epinephrine (Ultracain D-S Forte; Aventis Pharma, Istanbul, Turkey) was infiltrated around the lesion. The laser’s handpiece was then brought into contact with the entire lesion, which was exposed to laser energy until the surface epithelium was ablated. The typical lesion bled slightly, and then coagulated within 5 sec. The laser was used to remove as much necrotic tissue as possible, including the inflamed red halo"
Results: "The results indicated that patients treated with the Nd:YAG laser had less post-treatment pain and fewer functional complications, and reported immediate relief of pain and faster healing (p +/- 0.05). However, only after 5 d was there a significant reduction in the pain levels of the patients treated with medication."
Comment: The results are quite remarkable.</t>
  </si>
  <si>
    <t>Relieving pain in minor aphthous stomatitis by a single session of non-thermal carbon dioxide laser irradiation.</t>
  </si>
  <si>
    <t>🧑 Human
🎲 Randomized trial, self-controlled
👥 15 participants (each with 2 ulcers)
⌛ single treament -&gt; 4-day follow-up</t>
  </si>
  <si>
    <t>1000
(output)
2-5
(tissue)</t>
  </si>
  <si>
    <t>"The reduction in pain scores was significantly greater in the laser group than in the placebo group.
The procedure itself was not painful, so anesthesia was not required. Powermetry revealed the CO(2) laser power to be 2-5 mW after passing through the gel, which caused no significant temperature rise or any visual effect of damage to the oral mucosa."
"Our results showed that a low-intensity, non-thermal, single-session of CO(2) laser irradiation reduced pain in miRAS immediately and dramatically, with no visible side effects."</t>
  </si>
  <si>
    <t>Sharon-Buller &amp; Sela</t>
  </si>
  <si>
    <t>CO2-laser treatment of ulcerative lesions.</t>
  </si>
  <si>
    <t>🧑 Human
📄 Case series
👥 2 cases
⌛ single treatment -&gt; 7-day follow-up</t>
  </si>
  <si>
    <t>1000-
1500</t>
  </si>
  <si>
    <t>"The patients, presenting stress-related, chemoradiotherapy-induced, and immuno-related oral aphthosis, reported immediate pain relief and rapid recovery."</t>
  </si>
  <si>
    <t>Colvard &amp; Kuo</t>
  </si>
  <si>
    <t>USA
(Palatine, IL)</t>
  </si>
  <si>
    <t>J Am Dent Assoc</t>
  </si>
  <si>
    <t>Managing aphthous ulcers: laser treatment applied.</t>
  </si>
  <si>
    <t xml:space="preserve">🧑 Human
📄 Single-arm
👥 18 participants (25 lesions)
⌛ single treatment -&gt; follow-up </t>
  </si>
  <si>
    <t>"Carbon dioxide laser therapy was used to treat a minor form of the ulcer (canker sore); the laser therapy reduced or eliminated the pain and inflammation with normal wound healing."</t>
  </si>
  <si>
    <t>Howell</t>
  </si>
  <si>
    <t>Ann Dent</t>
  </si>
  <si>
    <t>The use of low energy laser therapy to treat aphthous ulcers.</t>
  </si>
  <si>
    <t>Behcet's disease</t>
  </si>
  <si>
    <t>Nagieb</t>
  </si>
  <si>
    <t>Evaluation of diode laser versus topical corticosteroid in management of Behcet's disease-associated oral ulcers: a randomized clinical trial</t>
  </si>
  <si>
    <t>🧑 Human
🎲 Randomized trial
👥 50 participants
⌛ single treatment -&gt; 4-week follow-up</t>
  </si>
  <si>
    <t>PBM vs triamcinolone acetonide</t>
  </si>
  <si>
    <t>60 +
60
(total 120)</t>
  </si>
  <si>
    <t>"A statistically significant difference was detected between laser and corticosteroid groups favoring laser on comparing composite index and VAS scores on the first and third days and on comparing number of ulcers on the third and fifth days."
"Diode laser is efficient safe treatment modality for management of BD-associated oral ulcers. Diode laser was more efficient than triamcinolone acetonide in controlling pain and reducing oral ulcer activity."</t>
  </si>
  <si>
    <t>Babu</t>
  </si>
  <si>
    <t>India
(Hyderabad)</t>
  </si>
  <si>
    <t>Low Level Laser Therapy to Reduce Recurrent Oral Ulcers in Behçet's Disease</t>
  </si>
  <si>
    <t>🧑 Human
📄 Case report
⌛ two sessions -&gt; 7-month follow-up</t>
  </si>
  <si>
    <t>5000
(?)</t>
  </si>
  <si>
    <t>"The present paper describes a case report of Behçet's syndrome where aphthous stomatitis was treated with low level laser therapy."</t>
  </si>
  <si>
    <t>Application: noncontact mode</t>
  </si>
  <si>
    <t>Bleaching</t>
  </si>
  <si>
    <t>Femiano</t>
  </si>
  <si>
    <t>The Use of Diode Low-Power Laser Therapy before In-Office Bleaching to Prevent Bleaching-Induced Tooth Sensitivity: A Clinical Double-Blind Randomized Study</t>
  </si>
  <si>
    <t>🧑 Human
🎲 Randomized trial, sham-controlled
👥 30 participants
⌛ single treatment -&gt; 48-hour follow-up</t>
  </si>
  <si>
    <t>"The results obtained show an increase in VAS values for both groups (290 and 490 vs. 224 and 234 of baseline time of test and placebo group, respectively); afterward, the VAS value seemingly decreases at 1 h after the end of bleaching, approaching the baseline VAS for the test group (274) in comparison to the placebo group."</t>
  </si>
  <si>
    <t>Vochikovski</t>
  </si>
  <si>
    <t>Use of infrared photobiomodulation with low-level laser therapy for reduction of bleaching-induced tooth sensitivity after in-office bleaching: a double-blind, randomized controlled trial</t>
  </si>
  <si>
    <t>🧑 Human
🎲 Randomized trial, double-blind
👥 83 participants
⌛ two sessions (1-week interval) -&gt; 48h follow-ups after sessions</t>
  </si>
  <si>
    <t>2
(after bleaching)</t>
  </si>
  <si>
    <t>"The application of an PBM did not reduce the risk and intensity of TS when applied after the procedure using the parameters recommended by the manufacturer."</t>
  </si>
  <si>
    <t>The effect of photobiomodulation using low-level laser therapy on tooth sensitivity after dental bleaching: a systematic review</t>
  </si>
  <si>
    <t>"Only 14 articles were selected for analysis, of which eight were excluded because they had one or more exclusion criteria, resulting in six articles included in this systematic review, the vast majority being classified as low risk of bias. 
The studies reviewed indicated that LLLT showed promise in preventing TS after TB. However, evidence is limited and more clinical trials with low risk of bias are needed to reach a definitive conclusion on the action of LLLT in pain control after TB."</t>
  </si>
  <si>
    <t>de Barros Silva</t>
  </si>
  <si>
    <t>Brazil
(Fortaleza)</t>
  </si>
  <si>
    <t>Photobiomodulation Reduces Pain-Related Symptoms Without Interfering in the Efficacy of In-Office Tooth Bleaching: A Systematic Review and Meta-Analysis of Placebo-Controlled Clinical Trials</t>
  </si>
  <si>
    <t>"Five studies were included in this systematic review and meta-analysis, with a total of 288 patients, 123 patients in the PBM group and 165 patients in the placebo group. 
In the meta-analysis, despite high heterogeneity, PBM significantly reduced the tooth sensitivity after the first [p &lt; 0.001; Cohen's d = -0.32, 95% confidence interval (CI) = -0.46 to -0.18], second (p &lt; 0.001; Cohen's d = -0.30, 95% CI = -0.46 to -0.15), and third (p &lt; 0.001; Cohen's d = -0.82, 95% CI = -1.06 to -0.58) sessions of in-office tooth bleaching, without impairing the ΔE (p = 0.300)."</t>
  </si>
  <si>
    <t>Photobiomodulation reduces inflammation but does not influence the hypoxia-inducible factor-1α in pulp tissue of rats after bleaching</t>
  </si>
  <si>
    <t>"Photobiomodulation using IRL minimized the inflammation and IL-23 immunolabeling in the pulp tissue of rats after dental bleaching, but did not influence significantly the HIF-1α immunolabeling."</t>
  </si>
  <si>
    <t>Yahya</t>
  </si>
  <si>
    <t>Saudi Dent J</t>
  </si>
  <si>
    <t>Effectiveness of sodium fluoride varnish and/or diode laser in decreasing post-bleaching hypersensitivity: A comparative study</t>
  </si>
  <si>
    <t>🧑 Human
⚔ Comparison study
👥 39 participants
⌛ single session</t>
  </si>
  <si>
    <t>660-
900</t>
  </si>
  <si>
    <t>"The desensitizing methods exhibited a notable reduction in tooth sensitivity post-bleaching with no significant difference among the following therapies (p = 0.544)."
Comment: No negative control</t>
  </si>
  <si>
    <t>LED photobiomodulation effect on the bleaching-induced sensitivity with hydrogen peroxide 35%-a controlled randomized clinical trial</t>
  </si>
  <si>
    <t>🧑 Human
🎲 Randomized trial, sham-controlled
👥 64 participants
⌛ single treatment -&gt; 3-day follow-up</t>
  </si>
  <si>
    <t>"LED irradiation decreased the occurrence of sensitivity at all studied evaluation times as well as its intensity, with the exception of the 72-h data when both groups presented no difference. Teeth affected by bleaching-induced sensitivity were significantly greater in the PG. Color measurements presented no differences between the groups in the recently after and later measures."</t>
  </si>
  <si>
    <t>Pompeu</t>
  </si>
  <si>
    <t>Brazil
(Pará))</t>
  </si>
  <si>
    <t>Combination of strontium chloride and photobiomodulation in the control of tooth sensitivity post-bleaching: A split-mouth randomized clinical trial</t>
  </si>
  <si>
    <t>🧑 Human
🎲 Randomized trial, split-mouth
👥 50 participants
⌛ three sessions with 7-day intervals</t>
  </si>
  <si>
    <t>"The Wilcoxon-Mann-Whitney test indicated that the groups Placebo + PBM, STRONTIUM, and STRONTIUM + PBM did not differ statistically (p ≥ 0.05) in the first and third weeks of treatment The group PLACEBO exhibited the greatest TS in the first three days after each bleaching session."</t>
  </si>
  <si>
    <t>Terayama</t>
  </si>
  <si>
    <t>Influence of low-level laser therapy on inflammation, collagen fiber maturation, and tertiary dentin deposition in the pulp of bleached teeth.</t>
  </si>
  <si>
    <t>"Three consecutive applications of RL and one IRL application can minimize damage to the pulp of bleached teeth, whereas three IRL applications can minimize pulp fibrosis. However, LLLT did not prevent deposition of tertiary dentin."</t>
  </si>
  <si>
    <t>Benetti</t>
  </si>
  <si>
    <t>Influence of different types of light on the response of the pulp tissue in dental bleaching: a systematic review.</t>
  </si>
  <si>
    <t>"The light source used was halogen, light-emitting diode (LED), and laser. Only one in vivo study that used heat to simulate light effects showed significant pulp inflammation. Only two in vitro studies demonstrated that light influenced cell metabolism; one using halogen light indicated negative effects, and the other using laser therapy indicated positive effects."
"The effects of dental bleaching on the pulp are not influenced by different types of light, but different light parameters can influence these properties."
"There is insufficient evidence about the influence of different types of light on inflammation/cytotoxicity of the pulp."</t>
  </si>
  <si>
    <t>de Paula</t>
  </si>
  <si>
    <t>Brazil (Bélem)</t>
  </si>
  <si>
    <t>Effect of photobiomodulation with low-level laser therapy combined with potassium nitrate on controlling post-bleaching tooth sensitivity: clinical, randomized, controlled, double-blind, and split-mouth study.</t>
  </si>
  <si>
    <t>🧑 Human
🎲 Randomized trial, double-blind, split-mouth
👥 50 participants
⌛ three sessions with 7-day intervals</t>
  </si>
  <si>
    <t>Tooth sensitivity
LLLT vs. KNO3 vs. LLLT + KNO3</t>
  </si>
  <si>
    <t>"PBM-LLLT and KNO3 are effective at reducing pain sensitivity after tooth bleaching, but no synergistic effect between these treatments was observed for the different evaluation periods."
"The effect of PBM-LLLT combined with KNO3 on post-bleaching tooth sensitivity is similar to their individual use alone."</t>
  </si>
  <si>
    <t>Azarbayjani</t>
  </si>
  <si>
    <t>Dent Res J (Isfahan)</t>
  </si>
  <si>
    <t>Efficacy of diode laser irradiation during dental bleaching in preventing enamel damage caused by bleaching.</t>
  </si>
  <si>
    <t>Ex vivo (human teeth)</t>
  </si>
  <si>
    <t>"Within the limitations of this qualitative study, it seems that the application of diode laser at both wavelengths of 810 and 980 nm might reduce the extent of enamel surface alteration that happens during bleaching. This phenomenon was observed not only in the case of the laser-activated bleaching gel but also in the case of the conventional bleaching agent."
Comment: How? The result seems strange since enamel doesn't even consist of living cells.</t>
  </si>
  <si>
    <t>Alencar</t>
  </si>
  <si>
    <t>Brazil
(Pará)</t>
  </si>
  <si>
    <t>J Esthet Restor Dent</t>
  </si>
  <si>
    <t>Effect of low-level laser therapy combined with 5000 parts per million fluoride dentifrice on postbleaching sensitivity: A clinical, randomized, and double-blind study.</t>
  </si>
  <si>
    <t>🧑 Human
🎲 Randomized trial, double-blind, split-mouth
👥 25 participants
⌛ four sessions with 1-week intervals</t>
  </si>
  <si>
    <t>"Teeth treated with laser therapy in combination with the topical use of sodium fluoride at each bleaching session demonstrated less sensitivity compared with the application of sodium fluoride only."
Comment: Very high intensity treatment was used. They used very strange scales for the pain levels, that make it seem that the benefit was probably modest.</t>
  </si>
  <si>
    <t>Calheiros</t>
  </si>
  <si>
    <t>Photobiomodulation in the Prevention of Tooth Sensitivity Caused by In-Office Dental Bleaching. A Randomized Placebo Preliminary Study.</t>
  </si>
  <si>
    <t>🧑 Human
🎲 Randomized trial
👥 50 participants
⌛ two sessions with 1-week interval -&gt; tooth sensitivity reported for 7 days after sessions</t>
  </si>
  <si>
    <t>0.4
/p</t>
  </si>
  <si>
    <t>"Within the limitation of the present study, the laser parameters of photobiomodulation tested in the present study were not efficient in preventing tooth sensitivity after in-office bleaching."</t>
  </si>
  <si>
    <t>"12 articles were included in the review; four were in vivo studies (one study in dogs/others in human), and eight were in vitro studies (cell culture/with artificial pulp chamber or not). The light source used was halogen, light-emitting diode (LED), and laser. Only one in vivo study that used heat to simulate light effects showed significant pulp inflammation. Only two in vitro studies demonstrated that light influenced cell metabolism; one using halogen light indicated negative effects, and the other using laser therapy indicated positive effects. Given that animal and in vitro studies have been identified, there remain some limitations for extrapolation to the human situation. Furthermore, different light parameters were used."
"There is insufficient evidence about the influence of different types of light on inflammation/cytotoxicity of the pulp."</t>
  </si>
  <si>
    <t>Moosavi</t>
  </si>
  <si>
    <t>Effect of low-level laser therapy on tooth sensitivity induced by in-office bleaching.</t>
  </si>
  <si>
    <t>🧑 Human
🎲 Randomized trial, sham-controlled
👥 66 participants
⌛ two sessions with 1-week interval -&gt; 48-hour follow-up after each session</t>
  </si>
  <si>
    <t>Tooth sensitivity
Wavelength comparison</t>
  </si>
  <si>
    <t>"At 48 h after bleaching, VAS scores in the LLIL and LLRL groups were comparable to each other (p &gt; 0.05) and both were significantly lower than that of the placebo group (p &lt; 0.05). There was no significant difference in the efficacy of tooth whitening among groups (p &gt; 0.05). LLLT with an infrared diode laser could be recommended as a suitable strategy to reduce the intensity of tooth sensitivity after in-office bleaching."</t>
  </si>
  <si>
    <t>de Almeida Farhat</t>
  </si>
  <si>
    <t>Evaluation of the efficacy of LED-laser treatment and control of tooth sensitivity during in-office bleaching procedures.</t>
  </si>
  <si>
    <t>🧑 Human
🎲 Randomized trial, sham-controlled, split-mouth
👥 16 participants
⌛ two sessions with 1-week interval (?) -&gt; 6-month follow-up</t>
  </si>
  <si>
    <t>425-
480
+
810</t>
  </si>
  <si>
    <t>"The intensity of sensitivity was similar for both groups at different periods, with no statistical difference between them (p&gt;0.05). There were no significant differences in the color change comparing the two techniques (p&gt;0.05); however, it was significant within each group at the different evaluation periods between the groups (p&lt;0.05)."
"LED-laser treatment was not able to prevent or reduce the sensitivity of teeth and did not improve the efficacy of bleaching."</t>
  </si>
  <si>
    <t>Effects of Laser Irradiation on Pulp Cells Exposed to Bleaching Agents.</t>
  </si>
  <si>
    <t>4
10
15</t>
  </si>
  <si>
    <t>"It can be concluded that BA35%HP decreased the activities of odontoblasts that were not recovered by the irradiation of the damaged cells with low-level laser parameters tested."</t>
  </si>
  <si>
    <t>Bortolatto</t>
  </si>
  <si>
    <t>Effects of LED–laser hybrid light on bleaching effectiveness and tooth sensitivity: a randomized clinical study</t>
  </si>
  <si>
    <t>🧑 Human
🎲 Randomized trial
👥 40 participants
⌛ three sessions</t>
  </si>
  <si>
    <t>Tooth sensitivity</t>
  </si>
  <si>
    <t>"The use of LED–laser hybrid light, as a catalyst of the bleaching agents, showed a significant decrease of provoked tooth sensitivity and a treatment time reduced by 53%, with the same aesthetic results as without a light source."</t>
  </si>
  <si>
    <t>Blue lasers in dentistry</t>
  </si>
  <si>
    <t>Use of Blue and Blue-Violet Lasers in Dentistry: A Narrative Review</t>
  </si>
  <si>
    <t>"From a total of 519 results, 47 articles met the inclusion criteria and were divided into 8 groups based on their fields of application: disinfection (10), photobiomodulation (PBM) (4), bleaching (1), resin curing (20), surgery (7), periodontics (1), endodontics (1) and orthodontics (3)."</t>
  </si>
  <si>
    <t>Bone remodelling</t>
  </si>
  <si>
    <t>The effect of bone remodeling with photobiomodulation in dentistry: a review study</t>
  </si>
  <si>
    <t>"After a two-step review, nine articles met the inclusion criteria."
"Eighty-nine percent of the studies revealed positive effects on bone formation between the laser group and the control group. Only one article reported that light-emitting diode did not significantly enhance osteogenesis. Additionally, the present study shows that Gallium aluminum arsenide of near infrared (NIR) laser with continuous mode is the most commonly used form of PBM. 
The biostimulatory effects are dependent on several parameters, with wavelength and dose being more important than others. 
Based on this review, it is suggested that the NIR range and an appropriate dose of PBM could be used to increase the efficiency of stimulating bone healing and remodeling. However, standardization of treatment protocols is needed to clarify therapeutic strategies in dentistry."</t>
  </si>
  <si>
    <t>Bone repair (oral)</t>
  </si>
  <si>
    <t>Effectiveness of Photobiomodulation Therapy on Human Bone Healing in Dentistry: A Systematic Review</t>
  </si>
  <si>
    <t>"From the 25 selected studies, 17 had the primary outcome bone healing. Of these, 11 studies revealed improvement in bone healing with PBM therapy and six studies suggested no effect. The other eight studies evaluated secondary parameters. In seven studies, some of the clinical parameters were improved with the PBM therapy."
"Within the limitations of this systematic review, bone healing in dentistry was improved with the use of PBM. PBM therapy can promote anti-inflammatory and analgesic effects, improve healing, as well as enhance quality of life related to oral health. Within the areas analyzed in dentistry, laser parameters varied greatly, becoming difficult to consider a definite protocol as a proper one."</t>
  </si>
  <si>
    <t>Influence of low-level laser therapy on the healing of human bone maxillofacial defects: A systematic review</t>
  </si>
  <si>
    <t>"From the 15 selected studies, six evaluated bone repair (primary outcomes). Of these, four studies showed improvement in bone formation after using LLLT, two demonstrated improved results for only one follow up period, and one showed no additional benefits.
The other 9 studies evaluated secondary parameters related to healing (secondary outcomes) in the maxillofacial area after applying LLLT, including anti-inflammatory, analgesic, and healing accelerator effects, and quality of life related to oral health. There were no adverse or negative effects of LLLT reported."
"Within the limitation of this review, a possible improvement in bone density can be found when LLLT is applied postoperatively in maxillofacial bony defects. LLLT also seems to promote anti-inflammatory and analgesic effects and accelerate healing, as well as enhance quality of life related to oral health. However, LLLT use protocols need to be standardized before more specific conclusions can be drawn about this subject."</t>
  </si>
  <si>
    <t>Çakir-Özkan</t>
  </si>
  <si>
    <t>The Radiological and Stereological Analysis of the Effect of Low-Level Laser Therapy on the Mandibular Midline Distraction Osteogenesis.</t>
  </si>
  <si>
    <t>🧑 Human
🎲 Randomized trial
👥 9 participants
⌛ ~ 2-week treatment --&gt; ~ 3-month follow-up</t>
  </si>
  <si>
    <t>8.4</t>
  </si>
  <si>
    <t>8 sessions
with 48h intervals</t>
  </si>
  <si>
    <t>"A higher bone mineral density rate was found in the laser group (P &lt; 0.05). A higher newly formed immature bone rate was found in the control group (P &lt; 0.001). These findings suggest that more mature bone may also have a greater mineral organization than that of immature newly formed bone, which is shown by HR-CT and stereological results."</t>
  </si>
  <si>
    <t>Abd-Elaal</t>
  </si>
  <si>
    <t>Evaluation of the effect of low-level diode laser therapy applied during the bone consolidation period following mandibular distraction osteogenesis in the human.</t>
  </si>
  <si>
    <t>🧑 Human
📄 Non-randomized study, self-controlled
👥 20 participants
⌛ 24-day treatment -&gt; 1-month follow-up</t>
  </si>
  <si>
    <t>12
/ 24 days</t>
  </si>
  <si>
    <t>"The use of LLLT on distracted bone was found to increase the quality and quantity of bone and to shorten the consolidation period, allowing early removal of the distractor and resulting in decreased morbidity and relapse."</t>
  </si>
  <si>
    <t>Fazilat</t>
  </si>
  <si>
    <t>Cellular effect of low-level laser therapy on the rate and quality of bone formation in mandibular distraction osteogenesis.</t>
  </si>
  <si>
    <t>d =
0.8 mm</t>
  </si>
  <si>
    <t>"This study shows that a low-level GaAlAs (λ:810 nm; P, 200 mW) laser hastens new bone formation only in the early stages of the consolidation period in distraction osteogenesis, and has no significant effect in later stages."
Comment: This paper had beautiful scanning electron microscope (SEM) pictures.</t>
  </si>
  <si>
    <t>J Clin Periodontol</t>
  </si>
  <si>
    <t>Combination of LED light and platelet-derived growth factor to accelerate dentoalveolar osteogenesis.</t>
  </si>
  <si>
    <t>Maxilla
Biphasic dose response</t>
  </si>
  <si>
    <t>660
±25</t>
  </si>
  <si>
    <t>"Greater osteogenesis was noted in the PDGF-treated defects at day 14. Under the LED light irradiation, osteogenesis was significantly greater in both LD and HD groups of the non-PDGF-treated defects, but only in the LD group of the PDGF-treated defects. No significant differences in osteogenesis among groups were noted at day 28. Greater bone marrow space was noted in the LED light-irradiated specimens, especially in the PDGF-treated defects at both time points. Osteopontin was significantly promoted in the LD group at both time points, and TRAP was significantly promoted in all LED light-irradiated groups at day 28."
"LED light could an adjunct to promote early PDGF-aided dentoalveolar osteogenesis by facilitating the osteoblast-osteoclast coupling."</t>
  </si>
  <si>
    <t>Finite element analysis of masticatory stress on neoformed bone tissue after distraction osteogenesis and low-level laser therapy: a pilot study.</t>
  </si>
  <si>
    <t>"Corroborating these results, simulated implant placement in the region of a molar overlying neoformed bone tissue after a brief consolidation period and LLLT showed the ability to disperse all masticatory forces without critical stress at any point in the structure of the mandible."</t>
  </si>
  <si>
    <t>Andrade Gomes do Nascimento</t>
  </si>
  <si>
    <t>Laser versus ultrasound on bone density recuperation after distraction osteogenesis-a cone-beam computer tomographic analysis.</t>
  </si>
  <si>
    <t>"The results of this study suggest an acceleration of bone mineral density after laser and ultrasound irradiation. Ultrasound irradiation showed the greatest effects and the laser power positively influenced the recuperation of the bone density on the side opposite its application, causing a cross reaction or even exacerbating the inherent action of ultrasound irradiation."</t>
  </si>
  <si>
    <t>Cerqueira</t>
  </si>
  <si>
    <t>Bone tissue microscopic findings related to the use of diode laser (830nm) in ovine mandible submitted to distraction osteogenesis</t>
  </si>
  <si>
    <t>16
(?)</t>
  </si>
  <si>
    <t>"The groups that received laser irradiation (GaAlAs) presented a greater amount of mineralized bone trabeculae when compared to the Control Group."
Comment: The abstract and full text contradict each others. It is not clear whether the dose is 16 J or 16 J/cm2. In any case, the parameters are insufficiently reported.</t>
  </si>
  <si>
    <t>Bruxism</t>
  </si>
  <si>
    <t>Salgueiro</t>
  </si>
  <si>
    <t>Evaluation of muscle activity, bite force and salivary cortisol in children with bruxism before and after low level laser applied to acupoints: study protocol for a randomised controlled trial.</t>
  </si>
  <si>
    <t>Buccal fat removal</t>
  </si>
  <si>
    <t>Bernal Rodriguez</t>
  </si>
  <si>
    <t>Photobiomodulation in the Postoperative of Bichectomy Surgeries: Case Series.</t>
  </si>
  <si>
    <t xml:space="preserve">🧑 Human
📄 Case series
👥 6 cases (3 treated, 3 ctrls)
⌛ 3 sessions (immediately postop and at 24h and 48h) </t>
  </si>
  <si>
    <t>Intraoral + extraoral PBM</t>
  </si>
  <si>
    <t>660
(intra)
+
660
(extra)</t>
  </si>
  <si>
    <t>100
100</t>
  </si>
  <si>
    <t>3.6
3.6</t>
  </si>
  <si>
    <t>6
(3p)
8
(4)</t>
  </si>
  <si>
    <t>71
71</t>
  </si>
  <si>
    <t>60
(3p)
80
(4p)</t>
  </si>
  <si>
    <t>"The efficacy of the PBM protocol on the postoperative period of bichectomy surgeries was evidenced by the decrease of edema and pain."</t>
  </si>
  <si>
    <t>Burning mouth syndrome</t>
  </si>
  <si>
    <t>Martinez</t>
  </si>
  <si>
    <t>Spain
(Murcia)</t>
  </si>
  <si>
    <t>Burning Mouth Syndrome Treated with Low-Level Laser and Clonazepam: A Randomized, Single-Blind Clinical Trial</t>
  </si>
  <si>
    <t>🧑 Human
🎲 Randomized trial, sham-controlled
👥 89 participants
⌛ 1 month</t>
  </si>
  <si>
    <t>PBM vs clonazepam
Groups:
- PBM + clonazepam
- sham PBM
- PBM
- clonazepam</t>
  </si>
  <si>
    <t>"A significant decrease in the VAS scores was observed after treatment in group 1 (laser + clonazepam) (p = 0.029) and group 3 (laser) (p = 0.005)."
"The low-level diode laser is a good treatment option in BMS, resulting in a decrease in patient symptoms and in salivary biomarkers. However, standardization of the intervention protocols and laser intensity parameters is needed in order to draw more firm conclusions."</t>
  </si>
  <si>
    <t>Device: "The Helbo® Theralite Laser 3D Pocket Probe"</t>
  </si>
  <si>
    <t>Finfter</t>
  </si>
  <si>
    <t>Photobiomodulation relieves immediate pain in patients with burning mouth syndrome</t>
  </si>
  <si>
    <r>
      <rPr>
        <sz val="7.0"/>
      </rPr>
      <t>(?) (</t>
    </r>
    <r>
      <rPr>
        <i/>
        <sz val="7.0"/>
      </rPr>
      <t>Letter to the editor) (a reply?)</t>
    </r>
  </si>
  <si>
    <t>Wang &amp; Jin</t>
  </si>
  <si>
    <r>
      <rPr>
        <sz val="7.0"/>
      </rPr>
      <t>(?) (</t>
    </r>
    <r>
      <rPr>
        <i/>
        <sz val="7.0"/>
      </rPr>
      <t>Letter to the editor)</t>
    </r>
  </si>
  <si>
    <t>Photobiomodulation alleviates Burning Mouth Syndrome pain: Immediate and weekly outcomes explored</t>
  </si>
  <si>
    <t>🧑 Human
📄 Single-arm study
👥 (?)
⌛ up to 10 weeks</t>
  </si>
  <si>
    <t>"Immediate mean VAS score decreased from a starting score of 7.80 ± 1.83 to 2.07 ± 2.55 (p &lt; 0.001). The mean weekly VAS score for the week after the final treatment session was higher (5.73 ± 2.80, p &lt; 0.001) than the immediate response, but still significantly lower than the starting score (p = 0.017). 
We observed a trend of pain improvement with more treatments, but this was only statistically significant up to the third treatment. Male gender and unilateral pain correlated with better PBM efficacy (p = 0.017, 0.022, respectively)."</t>
  </si>
  <si>
    <t>Marotta</t>
  </si>
  <si>
    <t>Efficacy of 660 nm Photobiomodulation in Burning Mouth Syndrome Management: A Single-Blind Quasi-Experimental Controlled Clinical Trial</t>
  </si>
  <si>
    <t>🧑 Human
🎲 Randomized trial, sham-controlled
👥 30 participants
⌛ 10 weeks</t>
  </si>
  <si>
    <t>0.04 cm2 spot size</t>
  </si>
  <si>
    <t>"Our results showed no statistically significant difference in reduction of pain intensity between the two groups at all the evaluated timepoints during the course of treatment. However, in both groups, we observed a statistically significant reduction of maximum pain intensity of 50% compared with patient-self reporting before the treatment."</t>
  </si>
  <si>
    <t>China
(Guilin)</t>
  </si>
  <si>
    <t>Effects of low-level laser therapy on burning pain and quality of life in patients with burning mouth syndrome: a systematic review and meta-analysis</t>
  </si>
  <si>
    <t>"Fourteen RCTs involving a total of 550 patients with BMS met the inclusion criteria. 
The results showed that LLLT (measured by the Visual Analog Scale; SMD: -0.87, 95% CI: -1.29 to -0.45, P &lt; 0.001) was more effective for reducing burning pain than placebo LLLT or clonazepam. 
LLLT improved quality of life (evaluated by the Oral Health Impact Profile-14; SMD: 0.01, 95% CI: -0.58 to 0.60, P = 0.97) and negative emotions (evaluated by the Hospital Anxiety and Depression Scale; SMD: -0.12, 95% CI: -0.54 to 0.30, P = 0.59), but these effects were not statistically significant."
Comment: According to the authors' GRADE assessments, the certainty of evidence for each outcome was "very low".</t>
  </si>
  <si>
    <t>Medeiros</t>
  </si>
  <si>
    <t>Comparative analysis of photobiomodulation therapy and transcutaneous electrical nerve stimulation for burning mouth: a randomized clinical trial</t>
  </si>
  <si>
    <t>🧑 Human
⚔ Comparison study
👥 25 participants
⌛ 8-week treatment -&gt; 30-day follow-up</t>
  </si>
  <si>
    <t>6
/point?
(44 points)</t>
  </si>
  <si>
    <t>0.03 cm2 spot size at target</t>
  </si>
  <si>
    <t>60
/point?
(44 points)</t>
  </si>
  <si>
    <t>"TENS and PBM were effective in reducing the symptoms of burning mouth during and after treatment. The PBM group showed a better response during follow-up."
Comment: On the other hand, TENS was slightly better at the end of treatment.</t>
  </si>
  <si>
    <t>Device: Laser Duo (MMOptics Ltda., São Carlos, São Paulo, Brazil)</t>
  </si>
  <si>
    <t>Outpatient Oral Neuropathic Pain Management with Photobiomodulation Therapy: A Prospective Analgesic Pharmacotherapy-Paralleled Feasibility Trial</t>
  </si>
  <si>
    <t>🧑 Human
📄 Non-randomized study, controlled
👥 28 participants
⌛ 5-week treatment -&gt; 9-month follow-up</t>
  </si>
  <si>
    <t>Burning mouth syndrome / oral iatrogenic neuropathy
PBM vs pharmacotherapy</t>
  </si>
  <si>
    <t>"Our results showed that despite the severe and persistent nature of the symptoms of 57.50 ± 47.93 months at baseline in the PBM group, a notably rapid reduction in PISmax on VAS from 7.6 at baseline (T0) to 3.9 at one-month post-treatment (T3) could be achieved. On the other hand, mean PISmax was only reduced from 8.2 at baseline to 6.8 at T3 in the MED [pharmacotherapy] group."</t>
  </si>
  <si>
    <t>Lončar-Brzak</t>
  </si>
  <si>
    <t>Burning Mouth Syndrome (BMS)-Treatment with Verbal and Written Information, B Vitamins, Probiotics, and Low-Level Laser Therapy: A Randomized Clinical Trial</t>
  </si>
  <si>
    <t>🧑 Human
🎲 Randomized trial
👥 62 participants
⌛ 2-week treatment -&gt; 1-month follow-up</t>
  </si>
  <si>
    <t>PBM vs passive vs vitamin B vs probiotics</t>
  </si>
  <si>
    <t>3
cm2
treated
area</t>
  </si>
  <si>
    <t>Comment: Hard to interpret the study since the baseline symptom score was different in the passive group (information only) compared to active groups.</t>
  </si>
  <si>
    <t>Camolesi</t>
  </si>
  <si>
    <t>Efficacy of photobiomodulation in reducing pain and improving the quality of life in patients with idiopathic burning mouth syndrome. A systematic review and meta-analysis</t>
  </si>
  <si>
    <t>"From a total of 103 records, 7 articles were retrieved for inclusion.
PBM group had a greater decrease in pain than control group at Tf with a mean difference = - 2.536 (IC 95% - 3.662 to - 1.410; I2 = 85.33%, p &lt; 0.001). 
An improvement in oral health-related quality of life was observed in both groups, although this was more significant in the photobiomodulation group mean difference = - 5.148 (IC 95% - 8.576 to - 1.719; I2 = 84.91%, p = 0.003). 
For the red laser, a greater improvement than infrared was observed, in pain, mean difference = - 2.498 (IC 95% - 3.942 to - 1.053; I2 = 79.93%, p &lt; 0.001), and in quality of life, mean difference = - 8.144 (IC 95% - 12.082 to - 4.206; I2 = 64.22%, p = 0.027). 
Photobiomodulation, in particular, red laser protocols, resulted in improvement in pain and in quality of life of burning mouth syndrome patients."</t>
  </si>
  <si>
    <t>Role of Photobiomodulation Therapy in Neurological Primary Burning Mouth Syndrome. A Systematic Review and Meta-Analysis of Human Randomised Controlled Clinical Trials</t>
  </si>
  <si>
    <t>"Various search engines employed to analyse a total of 351 studies of which 12 were included.
A wide range of utilised PBM wavelengths was between 635-980 nm and the power output ranged between 30 mW and 4000 mW. 
A high risk of bias (RoB) was noted in 7 out of 12 included studies (58.3%), as results of qualitative analysis.
Meta-analysis findings of 4 out of 12 studies showed statistically significant intergroup differences (SSID) for visual analogue scale (VAS) values (MD = -1.47; 95% CI = -2.40 to -0.53; Z = 3.07 (p = 0.002) whereas meta-analysis on 5 out of 12 studies revealed SSID for anxiety/depression and quality of life (MD = -1.47; 95% CI = -2.40 to -0.53; Z = 3.07 (p = 0.002), favouring PBMT group to the control treatment strategies.
Despite the inconsistency and diversity in PBM parameters (wavelength, power, light source, spot size, emission mode, energy per point, total energy) and treatment protocols (exposure time, number of sessions, time interval between sessions, treatment duration)-majority of the included studies showed positive PBM results."</t>
  </si>
  <si>
    <t>Matos</t>
  </si>
  <si>
    <t>Brazil
(Lagarto)</t>
  </si>
  <si>
    <t xml:space="preserve">Med Oral Patol Oral Cir Bucal
</t>
  </si>
  <si>
    <t>Efficacy of the laser at low intensity on primary burning oral syndrome: a systematic review</t>
  </si>
  <si>
    <t>"The search resulted in 348 records and only eight filled the eligibility criteria and were included. All studies evaluated pain and / or a burning sensation considering a time interval of two to ten weeks. 
The total sample consisted of 314 patients submitted to treatment: 123 from the control group, who participated with laser off or with the tip blocked, and 191 from the intervention group, treated with low-level laser therapy. The female gender stood out and the average age of the participants was 60.89 years. The main symptoms reported were pain and a burning sensation in the oral mucosa and tongue. The parameters adopted by the authors for laser treatment were diverse and the variables were not fully described in the published studies.
Visual analog and numerical scales were used to assess symptoms and only three studies showed statistical significance."</t>
  </si>
  <si>
    <t>Scardina</t>
  </si>
  <si>
    <t>Italy
(Palermo)</t>
  </si>
  <si>
    <t>Photobiomodulation Therapy in the Management of Burning Mouth Syndrome: Morphological Variations in the Capillary Bed</t>
  </si>
  <si>
    <t>🧑 Human
🎲 Randomized trial, sham-controlled
👥 40 participants
⌛ 4-week treatment -&gt; 60-day follow-up</t>
  </si>
  <si>
    <t>"We observed that in the group of patients who underwent laser therapy, there was a lasting improvement in symptoms.
The capillary oral bed of patients in the placebo group did not show any statistically significant difference (p &gt; 0.05). In the laser group we observed the following: in the buccal mucosa the diameter of the capillary had a reduction of 3 μm; in the upper lip mucosa, there was a reduction of 3 μm; in the lower lip mucosa, there was a reduction of 3 μm; and in the dorsal lingual surface, there was a reduction of 2 μm. An increase in capillary length was also obtained in all irradiated regions in the laser group patients (p &lt; 0.05)."
"PBM induces microcirculatory changes that are still present over a long period of time, such as an improvement in the clinical picture. The improvement in the symptoms has been correlated to the reduction of the capillary diameter. The placebo effect only led to a temporary improvement in symptoms that were unrelated to changes in the microcirculatory pattern."</t>
  </si>
  <si>
    <t>Effectiveness of photobiomodulation in the treatment of primary burning mouth syndrome-a systematic review and meta-analysis</t>
  </si>
  <si>
    <t>"A meta-analysis performed on 9 groups in 5 trials showed that PBM was effective in reducing pain compared with placebo (MD - 1.86, 95% CI - 2.59 to - 1.13, Z = 4.99, P &lt; 0.00001). Meta-analysis was also performed on 7 groups in 4 trials and showed that PBM was effective in improving life quality compared with placebo (MD - 3.43, 95% CI - 5.11 to - 1.75, Z = 4.00, P &lt; 0.0001). Qualitative analysis of the included RCTs found that PBM might also play a role in the decrease of TNF-α and IL-6 in saliva. Three studies that compared PBM with medications were evaluated by descriptive analysis. None of the treatment-related adverse event was reported."
"Up to date, PBM appears to have an effect on pain reduction and life quality improvement in pBMS patients. However, more evidence is still required to warrant its efficacy and safety in treating pBMS."</t>
  </si>
  <si>
    <t>Škrinjar</t>
  </si>
  <si>
    <t>Acta Stomatol Croat</t>
  </si>
  <si>
    <t>Salivary Cortisol Levels and Burning Symptoms in Patients With Burning Mouth Syndrome Before and After Low Level Laser Therapy: A Double Blind Controlled Randomized Clinical Trial</t>
  </si>
  <si>
    <t>🧑 Human
🎲 Randomized trial, double-blind
👥 23 participants
⌛ 2 weeks</t>
  </si>
  <si>
    <t>🌀 Spin warning</t>
  </si>
  <si>
    <t>"VAS scores and salivary cortisol levels were significantly lower in both groups after LLLT."
Comment: PBM was not better than placebo, yet still the abstract makes it seem like PBM was effective. This could be classified as spin.</t>
  </si>
  <si>
    <t>de Pedro</t>
  </si>
  <si>
    <t>Effects of Photobiomodulation With Low-Level Laser Therapy in Burning Mouth Syndrome: A Randomized Clinical Trial</t>
  </si>
  <si>
    <t>🧑 Human
🎲 Randomized trial, sham-controlled
👥 20 participants
⌛ 5-week treatment -&gt; 4-month follow-up</t>
  </si>
  <si>
    <t>"Photobiomodulation seems to be effective in reducing pain in patients with BMS, as well as, having a positive impact on the psychological state of these patients."</t>
  </si>
  <si>
    <t>Efficacy of the photobiomodulation therapy in the treatment of the burning mouth syndrome.</t>
  </si>
  <si>
    <t>🧑 Human
🎲 Randomized trial, double-blind
👥 85 participants
⌛ 10-week treatment -&gt; 1-month follow-up</t>
  </si>
  <si>
    <t>660-
970
(?)</t>
  </si>
  <si>
    <t>"Patients treated with PBMT showed a significant decrease in symptoms ( p=0.0008) and improved quality of life related to oral health ( p=0.0002)."
Comment: The differences between the groups became significant after the 6th session. It's positive that this study measured the outcomes after each session.</t>
  </si>
  <si>
    <t>Spanemberg</t>
  </si>
  <si>
    <t>Low-level laser therapy in patients with Burning Mouth Syndrome: A double-blind, randomized, controlled clinical trial.</t>
  </si>
  <si>
    <t>🧑 Human
🎲 Randomized trial
👥 21 participants
⌛ 4-week treatment -&gt; 2-month follow-up</t>
  </si>
  <si>
    <t>1.97</t>
  </si>
  <si>
    <t>15
/p</t>
  </si>
  <si>
    <t>"The initial VAS score mean was 8.9 for the LG and 8.3 for the CG (p &gt;0.05). After the eighth session the VAS score was 5.5 and 5.8 respectively, and at two months it was 4.7 and 5.1 respectively."
"The improvement was marginally significant in the multivariant analysis of: dry mouth, dysgeusia, pain and the treatment (p=0.0538)."</t>
  </si>
  <si>
    <t>Sikora</t>
  </si>
  <si>
    <t>Croatia
(Osijek)</t>
  </si>
  <si>
    <t>Acta Clin Croat</t>
  </si>
  <si>
    <t>The Efficacy of Low-Level Laser Therapy in Burning Mouth Syndrome - A Pilot Study.</t>
  </si>
  <si>
    <t>🧑 Human
🎲 Randomized trial, sham-controlled
👥 44 participants
⌛ 2 weeks</t>
  </si>
  <si>
    <t>"There were no significant differences between the groups before and after LLLT (switched on and off) in the quality of life (OHIP CRO 14 scores) (p&gt;0.05). There was significant decrease in pain symptoms (VAS) in both LLLT switched on and LLLT switched off groups (p &lt;0.05). Both LLLT switched on and switched off decreased pain symptoms (VAS) in patients with BMS; however, neither LLLT switched off or switched on im-proved the OHIP-CRO 14 scores."</t>
  </si>
  <si>
    <t>Ritchie &amp; Kramer</t>
  </si>
  <si>
    <t>Recent Advances in the Etiology and Treatment of Burning Mouth Syndrome.</t>
  </si>
  <si>
    <t>"Low-level laser therapy (LLLT) is associated with analgesic, anti-inflammatory, and biostimulatory properties. This treatment reduces burning sensation by increasing the synthesis and release of serotonins and β-endorphins and decreasing bradykinin secretion. Moreover, LLLT blocks the depolarization of C-fibers, which transmit heat and pain stimuli (Al-Maweri et al. 2017). A systematic review of 10 studies evaluating LLLT among patients with BMS indicated that laser therapy is efficacious in reducing stomatodynia. However, many variations in laser use parameters were reported, so further work is needed to develop standardized treatment recommendations (Al-Maweri et al. 2017)."</t>
  </si>
  <si>
    <t>Evaluation of laser therapy and alpha-lipoic acid for the treatment of burning mouth syndrome: a randomized clinical trial.</t>
  </si>
  <si>
    <t>🧑 Human
🎲 Randomized trial
👥 44 participants
⌛ 4 weeks</t>
  </si>
  <si>
    <t>LLLT vs alpha-lipoic acid</t>
  </si>
  <si>
    <t>"The results of this study suggest that LLLT and ALA are efficient therapies in reducing burning mouth symptoms, with LLLT being more efficient than ALA."</t>
  </si>
  <si>
    <t>Valenzuela &amp; Lopez-Jornet</t>
  </si>
  <si>
    <t>Effects of low-level laser therapy on burning mouth syndrome.</t>
  </si>
  <si>
    <t>133
200</t>
  </si>
  <si>
    <t>"Overall improvements in VAS scores from baseline to the end of treatment were: Group I 15.7%; Group II 15.6%; Group III placebo 7.3%."</t>
  </si>
  <si>
    <t>Yemen</t>
  </si>
  <si>
    <t>Efficacy of Low Level Laser Therapy in the Treatment of Burning Mouth Syndrome: A Systematic Review.</t>
  </si>
  <si>
    <t>"Ten clinical studies fulfilled the eligibility criteria, five of which were randomized clinical trials. In these studies, the laser wavelengths, power output and duration of irradiation ranged between 630- 980nm, 20-300mW, 10 seconds-15minutes, respectively. Most of studies reported laser to be an effective therapy strategy for management of BMS."
"Majority of the studies showed that laser therapy seemed to be effective in reducing pain in BMS patients. However, due to the varied methodologies and substantial variations in laser parameters among these studies, more clinical trials are required to ascertain the efficacy of laser for treating BMS."</t>
  </si>
  <si>
    <t>Sugaya</t>
  </si>
  <si>
    <t>Low Intensity laser therapy in patients with burning mouth syndrome: a randomized, placebo-controlled study.</t>
  </si>
  <si>
    <t>🧑 Human
🎲 Randomized trial, sham-controlled
👥 30 participants
⌛ 2-week treatment -&gt; 90-day follow-up</t>
  </si>
  <si>
    <t>120
(or
20?)</t>
  </si>
  <si>
    <t>"According to the protocol used in this study, low intensity laser therapy is as beneficial to patients with BMS as placebo treatment, indicating a great emotional component of involvement in BMS symptomatology. Nevertheless, there were positive results in some statistical analyses, thus encouraging further research in BMS laser therapy with other irradiation parameters."</t>
  </si>
  <si>
    <t>Arduino</t>
  </si>
  <si>
    <t>A randomized pilot study to assess the safety and the value of low-level laser therapy versus clonazepam in patients with burning mouth syndrome.</t>
  </si>
  <si>
    <t>🧑 Human
🎲 Randomized trial
👥 33 participants
⌛ 5-week treatment -&gt; 12-week follow-up</t>
  </si>
  <si>
    <t>LLLT vs clonazepam</t>
  </si>
  <si>
    <t>"Comparing the two groups, LLLT appeared to be superior in improving pain perception, but statistically only at 8 weeks after the end of the protocol proposed (P = 0.026)."
Comment: No negative control group, but a positive control group (clonazepam).</t>
  </si>
  <si>
    <t>Arbabi-Kalati</t>
  </si>
  <si>
    <t>Evaluation of the efficacy of low-level laser in improving the symptoms of burning mouth syndrome</t>
  </si>
  <si>
    <t>🧑 Human
🎲 Randomized trial, sham-controlled
👥 20 participants
⌛ 4 weeks</t>
  </si>
  <si>
    <t>"Burning sensation severity and quality of life in the two groups after intervention were different significant statistically, (p= 0.004, p= 0.01 respectively) .Patients in laser group had better results."</t>
  </si>
  <si>
    <t>Efficacy of low-level laser therapy for the treatment of burning mouth syndrome: a randomized, controlled trial.</t>
  </si>
  <si>
    <t>🧑 Human
🎲 Randomized trial
👥 78 participants
⌛ 3-week or 10-week treatment -&gt; 8-week follow-up</t>
  </si>
  <si>
    <t>685
830</t>
  </si>
  <si>
    <t>10
/ 10 weeks
or
9
/ 3 weeks</t>
  </si>
  <si>
    <t>"There was significant reduction of the symptoms in all groups at the end of the treatment, which was maintained in the follow-up. The scores of the IR1W and IR3W laser groups differed significantly from those of the CG."</t>
  </si>
  <si>
    <t>1W group = 1 session per week
3W group = 3 sessions per week</t>
  </si>
  <si>
    <t>dos Santos Lde</t>
  </si>
  <si>
    <t>Phototherapy on the Treatment of Burning Mouth Syndrome: A Prospective Analysis of 20 Cases.</t>
  </si>
  <si>
    <t>🧑 Human
📄 Single-arm study
👥 20 participants
⌛ 10 weeks</t>
  </si>
  <si>
    <t>"All volunteers reported reduced burning intensity in all sessions when compared to the previous one and reduction in VAS scores by up to 49% in the last clinical session when compared to the first session."</t>
  </si>
  <si>
    <t>Pezelj-Ribarić</t>
  </si>
  <si>
    <t>Croatia</t>
  </si>
  <si>
    <t>Proinflammatory cytokine levels in saliva in patients with burning mouth syndrome before and after treatment with low-level laser therapy.</t>
  </si>
  <si>
    <t>🧑 Human
📄 Non-randomized study, sham-controlled
👥 40 participants
⌛ 4 weeks</t>
  </si>
  <si>
    <t>LLLT did not have beneficial effects in this study.
Comment: The study says participants were "divided" into groups but it is not mentioned whether they were randomly divided or whether there was some other allocation method.</t>
  </si>
  <si>
    <t>Treatment of burning mouth syndrome with a low-level energy diode laser.</t>
  </si>
  <si>
    <t>🧑 Human
📄 Single-arm trial
👥 17 participants
⌛ treatment weekly until patient feels no further need -&gt; weekly follow-up for 3 months</t>
  </si>
  <si>
    <t>1
cm2
(area)</t>
  </si>
  <si>
    <t>weekly
for varying
duration</t>
  </si>
  <si>
    <t xml:space="preserve">"The results showed an average reduction in pain of 47.6% (ranging from 9.3% to 91.8%)."
Note: A comment on this paper was published by Vukoja (et al). </t>
  </si>
  <si>
    <t>Effect of low-level laser therapy in the treatment of burning mouth syndrome: a case series.</t>
  </si>
  <si>
    <t>🧑 Human
📄 Single-arm study
👥 10 participants
⌛ 10 weeks</t>
  </si>
  <si>
    <t>0.8
/p</t>
  </si>
  <si>
    <t>"All patients reported improvement in all sessions, with reduction in VAS scores by up to 58% in the tenth session."</t>
  </si>
  <si>
    <t>Ann Stomatol (Roma)</t>
  </si>
  <si>
    <t>The low level laser therapy in the management of neurological burning mouth syndrome. A pilot study.</t>
  </si>
  <si>
    <t>650
+
910</t>
  </si>
  <si>
    <t>"Seventeen patients (68%) had relevant benefits from the treatment with valid reduction of NRS ratings. In 8 cases the differences of NRS rates were not relevant being under the limit of reliability established in study design. In no case there was a worsening of the symptoms."</t>
  </si>
  <si>
    <t>Kato</t>
  </si>
  <si>
    <t>Low-level laser therapy in burning mouth syndrome patients: a pilot study.</t>
  </si>
  <si>
    <t>🧑 Human
📄 Single-arm trial
👥 11 participants (25 symptomatic sites)
⌛ 3-week treatment -&gt; 6-week follow-up</t>
  </si>
  <si>
    <t>"Burning intensity at the end of the laser therapy was statistically lower than at the beginning (p &lt; 0.01). Patients reported an 80.4% reduction in the intensity of symptoms after laser treatment. There was no statistical difference between the end of the treatment and the 6-week follow-up, except for the tongue site."</t>
  </si>
  <si>
    <t>Caries</t>
  </si>
  <si>
    <t>Nemeth</t>
  </si>
  <si>
    <t>The impact of photobiomodulation of major salivary glands on caries risk.</t>
  </si>
  <si>
    <t>🧑 Human
🎲 Randomized trial
👥 36 participants
⌛ 4 weeks</t>
  </si>
  <si>
    <t>LED phototherapy
Polychromatic light 🌈
Pulsing</t>
  </si>
  <si>
    <t>480-
3400
625+
660+
850</t>
  </si>
  <si>
    <t>"At the end of treatment, the following findings were obtained: In the group irradiated with polarized polychromatic light and in the group irradiated with continuous LED light, the Streptococcus mutans and Lactobacillus counts decreased and salivary buffering capacity increased (p &lt; 0.05). 
In the group irradiated with pulsed LED light, Streptococcus mutans counts decreased and unstimulated salivary flow and salivary buffering capacity increased (p &lt; 0.05). In all three experimental groups, caries risk was lower (p &lt; 0.05). 
In the placebo control group, there were no statistically significant differences between parameters before and after therapy."</t>
  </si>
  <si>
    <t>Müller</t>
  </si>
  <si>
    <t>Effects of low power red laser on induced-dental caries in rats.</t>
  </si>
  <si>
    <t>"The use of laser radiation alone did not promote any additional benefit on the control of dental caries since LG did not show any differences comparing to CG."
[However, laser applied before the fluoride was associated with a little bit better outcome.]</t>
  </si>
  <si>
    <t>Cavity preparation</t>
  </si>
  <si>
    <t>Am J Dent</t>
  </si>
  <si>
    <t>Effectiveness of low-level diode laser therapy on pain during cavity preparation on permanent teeth.</t>
  </si>
  <si>
    <t>🧑 Human
🎲 Randomized trial, sham-controlled (?)
👥 24 participants (88 teeth)
⌛ single treatment (?)</t>
  </si>
  <si>
    <t>"All subjects scored a pain reduction in the test group compared with the control group (P&lt; 0.0001), with a reduction of 42% and 16%, respectively, compared to pain felt during the PTPT. The use of LLLT prior to mechanical preparation of a cavity by lowering pain intensity might reduce the quantity of drugs used for pain control required during restorative procedures."
Note. Full text not available online?</t>
  </si>
  <si>
    <t>Tanboga</t>
  </si>
  <si>
    <t>Eur Arch Paediatr Dent</t>
  </si>
  <si>
    <t>The effect of low level laser therapy on pain during dental tooth-cavity preparation in children.</t>
  </si>
  <si>
    <t>🧑 Human
📄 Non-randomized study
👥 10 participants (20 molar teeth)
⌛ single session</t>
  </si>
  <si>
    <t>Cavity preparation with laser + laser analgesia</t>
  </si>
  <si>
    <t>0.060
(??)</t>
  </si>
  <si>
    <t>"VAS Median (min-max) scores were 1(0-2) for LLLT and 3(1-4) for the non-LLT treated children. Between LLLT and non- LLLT groups results were statistically significant (p&lt;0.01)."
Comment: The parameters were inadequately reported.</t>
  </si>
  <si>
    <t>Cementoblast</t>
  </si>
  <si>
    <t>Nakatani</t>
  </si>
  <si>
    <t>High-frequency low-intensity semiconductor laser irradiation enhances osteogenic differentiation of human cementoblast lineage cells</t>
  </si>
  <si>
    <t>"The laser-irradiated HCEM cells showed significantly enhanced gene expression levels of ALP, RUNX2, and COLL1 as well as ALP activity and calcium concentration in the culture medium compared with the non-irradiated cells. In addition, enhanced calcification deposits were confirmed in the laser-irradiated group compared with the non-irradiated group at 21 and 28 days after the induction of osteogenic differentiation."</t>
  </si>
  <si>
    <t>Bozkurt</t>
  </si>
  <si>
    <t>Biostimulation with diode laser positively regulates cementoblast functions, in vitro.</t>
  </si>
  <si>
    <t>"Laser irradiation induced mineralized nodule formation of cementoblasts. The results of this study reveal that the biostimulation setting of diode laser modulates the behavior of cementoblasts inducing mineralized tissue-associated gene's mRNA expressions and mineralization. Therefore, biostimulation can be used during regenerative periodontal therapies to trigger cells with periodontal attachment apparatus."</t>
  </si>
  <si>
    <t>Cementum</t>
  </si>
  <si>
    <t>Alsulaimani</t>
  </si>
  <si>
    <t>Effect of low-level laser therapy on dental root cementum remodeling in rats.</t>
  </si>
  <si>
    <t>"Two weeks of daily application of LLLT significantly increased rat's dental root cementum thickness as determined histologically."</t>
  </si>
  <si>
    <t>Cheilitis</t>
  </si>
  <si>
    <t>Porrini</t>
  </si>
  <si>
    <t>Photobiomodulation and Miescher's cheilitis granulomatosa: case report</t>
  </si>
  <si>
    <t>🧑 Human
📄 Case report
⌛ 4-week treatment -&gt; 2-year follow-up</t>
  </si>
  <si>
    <t>635+
980</t>
  </si>
  <si>
    <t>"Our experience describes a clinical case of MCG treated with PBM and effectively resolved with a reduction of the lip swelling. The real success of the treatment emerged over time, showing that the tissue healing was stable. In absence of any collateral phenomena, this confirms the effective and documented therapeutic potential of PBM for chronic inflammatory infiltrates."</t>
  </si>
  <si>
    <t>Cicatricial pemphigoid</t>
  </si>
  <si>
    <t>Laser light may improve the symptoms of oral lesions of cicatricial pemphigoid: a case report.</t>
  </si>
  <si>
    <t>🧑 Human
📄 Case report
⌛ 6 months</t>
  </si>
  <si>
    <t>2-4 times
per week
for 6 months</t>
  </si>
  <si>
    <t>"Concomitant use of systemic steroids and LPT showed a positive effect on controlling oral CP lesions and on improving both oral health and the quality of life of the patient."</t>
  </si>
  <si>
    <t>COVID-19 / oral symptoms</t>
  </si>
  <si>
    <t>Chaughtai</t>
  </si>
  <si>
    <t>USA
(Neptune, NJ)</t>
  </si>
  <si>
    <t>Conservative treatment with mouthwashes followed by tongue photo biomodulation therapy in Covid-19: a case report</t>
  </si>
  <si>
    <t>"The patient used the mouth rinse therapy for 1 month and experienced a 90% improvement in her oral lesions and tongue sensitivity. However, she had repeated flares every 3 weeks over a 6-month period, and the steroid mouthwash achieved incomplete resolution. After three sessions of photobiomodulation therapy, she had no further flares or tongue sensitivity and the lesions healed."
Comment: Parameters not reported.</t>
  </si>
  <si>
    <t>Bull Natl Res Cent</t>
  </si>
  <si>
    <t>Photobiomodulation (PBMT) and antimicrobial photodynamic therapy (aPDT) in oral manifestations of patients infected by Sars-CoV-2: systematic review and meta-analysis</t>
  </si>
  <si>
    <t>"A total of 5 articles with 11 cases retracting PBMT and aPDT as therapeutic strategies for the regression of oral lesions and painful symptoms. The results show favoring the associated use of PBMT with aPDT (P = 0.004), and the isolated use of PBMT with the result of significant "P = 0.005" and good confidence interval (7.18, 39.20) in ulcerative lesions, herpetic, aphthous, erythematous, petechiae and necrotic areas."
"PBMT and aPDT could be effective in the treatment of oral lesions of patients infected with Sars-Cov-2 in a short period of time; however, more long-term randomized clinical trials studies are needed to define the therapeutic strategy."</t>
  </si>
  <si>
    <t>Sachet</t>
  </si>
  <si>
    <t>Management of orofacial lesions with antimicrobial photodynamic therapy and photobiomodulation protocols in patients with COVID-19: A multicenter case series</t>
  </si>
  <si>
    <t>660
(808)</t>
  </si>
  <si>
    <t>"Photobiomodulation therapy (PBMT) alone or in combination with antimicrobial photodynamic therapy (aPDT) can be used to manage orofacial lesions in confirmed cases of COVID-19. Here, we sought to describe the clinical presentation and specificities of three cases in which aPDT and PBMT were used to manage orofacial lesions in patients with COVID-19. The laser protocols were effective with improvement of the orofacial lesions within a few days."</t>
  </si>
  <si>
    <t>Photobiomodulation and antimicrobial photodynamic therapies for orofacial lesions in patients with COVID-19: a case series</t>
  </si>
  <si>
    <t>🧑 Human
📄 Case series
👥 4 cases
⌛ 1-4 days (until healing)</t>
  </si>
  <si>
    <t>PDT (methylene blue) + PBM</t>
  </si>
  <si>
    <t>"[T]he present study aimed to report a series of cases in which a combination of antimicrobial photodynamic therapy (aPDT) and photobiomodulation therapy (PBMT) was used for orofacial lesions in patients suffering from COVID-19. It was noted, in all cases, a marked improvement in tissue repair and pain relief within a few days; moreover, the patients recovered their orofacial functions satisfactorily."</t>
  </si>
  <si>
    <t>Dental anxiety</t>
  </si>
  <si>
    <t>Rangel &amp; Pinheiro</t>
  </si>
  <si>
    <t>Laser acupuncture and intravascular laser irradiation of blood for management of pediatric dental anxiety</t>
  </si>
  <si>
    <t>🧑 Human
🎲 Randomized trial
👥 84 participants
⌛ single session</t>
  </si>
  <si>
    <t>Intravascular PBM vs laser acupuncture</t>
  </si>
  <si>
    <t>"In the Sham group, there was no significant difference in any variable except CDAS score, which showed a significant increase in anxiety after treatment (P = 0.0285).
[Intravascular laser] and [laser acupuncture] were associated with a significant reduction in HR after treatment (P = 0.0012 and P = 0.0042, respectively). For the other variables of interest, neither [intravascular laser] nor [laser acupuncture] was associated with a significant difference in comparisons of values before and after treatment (P &gt; 0.05, Table 3)."</t>
  </si>
  <si>
    <t>Intravascular laser application: "The bracelet was placed under the radial artery"</t>
  </si>
  <si>
    <t>Dental implants: bone augmentation</t>
  </si>
  <si>
    <t>Klassmann</t>
  </si>
  <si>
    <t>A randomised trial of the bone formation after maxillary sinus floor augmentation with bovine hydroxyapatite (Cerabone®) and Photobiomodulation: histomorphometric and immunohistochemical analysis</t>
  </si>
  <si>
    <t>🧑 Human
🎲 Randomized trial, self-controlled
👥 8 participants
⌛ 16-day treatment / 30-day study</t>
  </si>
  <si>
    <t>660
(surg)
+
808
(post-
op)</t>
  </si>
  <si>
    <t>100
100</t>
  </si>
  <si>
    <t>10
10</t>
  </si>
  <si>
    <t xml:space="preserve">1
+
every 48h during 15 days
</t>
  </si>
  <si>
    <t>"In the PBM group, there was greater bone formation and newly formed tissue in an advanced state of bone maturation. The immunostaining of OCN was greater at 30 days in the PBM group than in the control. There was no significant difference in TRAP immunostaining at 30 days between the groups."</t>
  </si>
  <si>
    <t>Akhil</t>
  </si>
  <si>
    <t>Alveolar Ridge Augmentation Assessment Using a Minimalistic Approach, with and without Low-Level Laser Therapy (LLLT)-A Comparative Clinical Trial</t>
  </si>
  <si>
    <t>"A horizontal ridge width gain of &gt;2 mm was observed in both groups. The changes in bone density for the test and control groups were -136 ± 236.08 HU and -44.30 ± 180.89 HU, respectively. Furthermore, there was no statistically significant difference between the test and control groups in these parameters."</t>
  </si>
  <si>
    <t>Mehdiyev</t>
  </si>
  <si>
    <t>Turkey
(Zonguldak)</t>
  </si>
  <si>
    <t>Ann Maxillofac Surg</t>
  </si>
  <si>
    <t>Radiographic Evaluation of Low-Level Laser Therapy-Enhanced Maxillary Sinus Augmentation with Simultaneous Dental Implant Placement.</t>
  </si>
  <si>
    <t>🧑 Human
🎲 Randomized trial, split-mouth
👥 12 participants
⌛ 7-day treatment -&gt; 6-month follow-up</t>
  </si>
  <si>
    <t>630-
660</t>
  </si>
  <si>
    <t>4
/ 7 days</t>
  </si>
  <si>
    <t>"The LLLT side showed better results than the control side according to the densitometry results. Increase in the bone density at all the postoperative intervals was statistically significant (P &lt; 0.05)."
"LLLT enhances bone regeneration in sinus augmentation with simultaneous dental implant placement."</t>
  </si>
  <si>
    <t>Implant Dent</t>
  </si>
  <si>
    <t>Bone Formed After Maxillary Sinus Floor Augmentation by Bone Autografting With Hydroxyapatite and Low-Level Laser Therapy: A Randomized Controlled Trial With Histomorphometrical and Immunohistochemical Analyses.</t>
  </si>
  <si>
    <t>🧑 Human
🎲 Randomized trial
👥 12 participants
⌛ single treatment during maxillary sinus floor augmentation -&gt; 6-month follow-up</t>
  </si>
  <si>
    <t>0.57</t>
  </si>
  <si>
    <t>5.32</t>
  </si>
  <si>
    <t>0.07
cm2
spot
size
(on 4 points)</t>
  </si>
  <si>
    <t>"Statistical analysis revealed no significant difference in vital bone presence and immunohistochemical analysis between the groups. There was no reduction in bone marrow or fibrous tissue in the AB/HA group and AB/HA-LLLT group. There was a decrease in the amount of remaining biomaterial between the groups (P = 0.0081)."
"LLLT did not increase the formation of new bone; instead, it accelerated the bone remodeling process."</t>
  </si>
  <si>
    <t>Dental implants: diabetic patients</t>
  </si>
  <si>
    <t>Attia</t>
  </si>
  <si>
    <t>The Influence of Low-Level Laser Therapy on CBCT Radiographic and Biochemical Profiles of Type II Controlled Diabetic Patients After Dental Implant Insertion: A Randomized Case-Control Study</t>
  </si>
  <si>
    <t xml:space="preserve">🧑 Human
🎲 Randomized trial
👥 40 participants
⌛ </t>
  </si>
  <si>
    <t>0.4
cm2
spot
area</t>
  </si>
  <si>
    <t>"Significant variations were shown among control and LLLT groups concerning OPG level and BD (p≤0.001). OPG was significantly decreasing with follow-up points (p≤0.001). There was a significant decrease in OPG with time in both groups with a higher decrease in the control group."
Comment: The improvement in bone density was similar in both groups.</t>
  </si>
  <si>
    <t>Dental implants: healing after surgery</t>
  </si>
  <si>
    <t>Palled</t>
  </si>
  <si>
    <t>India
(Belagavi)</t>
  </si>
  <si>
    <t>Assessment of healing of dental implant surgical site following Low-Level Laser Therapy using Bio-Clinical parameters: An Exploratory Study</t>
  </si>
  <si>
    <t>🧑 Human
🎲 Randomized trial
👥 30 participants
⌛ single treament (?) -&gt; 3-month follow-up</t>
  </si>
  <si>
    <t>4-6
over
each
implant</t>
  </si>
  <si>
    <t xml:space="preserve">"The test group showed significantly higher implant stability quotient compared to the control group at 2 weeks (57.93±3.95 and 35.67±3.08; p&lt;0.01) and 3 months (58.86±3.75 and 67.06±3.78; p&lt;0.01)."
"Within the limitations of the study, the study suggests that the healing of peri-implant hard and soft tissues may be enhanced with the use of LLLT as an explicit modality during the post-operative period."
</t>
  </si>
  <si>
    <t>Dental implants: in vitro</t>
  </si>
  <si>
    <t>Rech</t>
  </si>
  <si>
    <t>Photobiomodulation using LLLT and LED of cells involved in osseointegration and peri-implant soft tissue healing</t>
  </si>
  <si>
    <t>"PBM positively affected CV, as well as Col and TP synthesis, in distinct patterns according to the cell line. Increased ALP activity was observed only in those cells exposed to PBM/LLLT."
"Considering cell specificity, this investigation reports that photobiomodulation with low-power laser and LED at determined parameters enhances cellular functions related to peri-implant tissue healing in a laboratory model."</t>
  </si>
  <si>
    <t>Dental implants: peri-implantitis</t>
  </si>
  <si>
    <t>Habash &amp; Jayash</t>
  </si>
  <si>
    <t>Palestine &amp; UK</t>
  </si>
  <si>
    <t>Rare clinical case report of a contralateral effect of laser biostimulation on the bone regeneration</t>
  </si>
  <si>
    <t>🧑 Human
📄 Case report
⌛ treatment over 3 months -&gt; 1-year follow-up</t>
  </si>
  <si>
    <t>45 (?)</t>
  </si>
  <si>
    <t xml:space="preserve">PBM post-op, 7d, 14d, 1mo and 3mo after surgery </t>
  </si>
  <si>
    <t>"This paper describes a unique clinical case of peri-implantitis treated by a laser biostimulation in one side of maxilla and the effect extended to contralateral side in the maxilla. 
This indicates that low level laser therapy treatment may have some degree of bilateral effects within the orofacial region."</t>
  </si>
  <si>
    <t>Dental implants: peri-implant mucositis</t>
  </si>
  <si>
    <t>Nardi</t>
  </si>
  <si>
    <t>Treatment of Peri-Implant Mucositis with Standard of Care and Bioptron Hyperlight Therapy: A Randomized Clinical Trial</t>
  </si>
  <si>
    <t>🧑 Human
🎲 Randomized trial
👥 40 participants
⌛ 1 month (PBM treatment)
⌛ 6 months (study)</t>
  </si>
  <si>
    <t>"Group differences were assessed using Student's t-test and Pearson's Chi-squared test of homogeneity. PI and PPD decreased in the Study Group at the [T0; T1] time interval and during the overall time of observation significantly more than in the Control Group; BoP and pain on VAS decreased significantly faster in the Study Group than in the Control Group. Differences in Salivary Antioxidant Test (SAT) changes were not significant at any time interval."</t>
  </si>
  <si>
    <t>Alhumaidan</t>
  </si>
  <si>
    <t>Sauri Arabia
(Dammam)</t>
  </si>
  <si>
    <t>Effect of photobiomodulation after non-surgical mechanical debridement on cortisol levels in the peri-implant sulcular fluid among patients with peri-implant mucositis</t>
  </si>
  <si>
    <t>🧑 Human
🎲 Randomized trial
👥 34 participants
⌛ single treatment -&gt; 4-month follow-up</t>
  </si>
  <si>
    <t>3.41</t>
  </si>
  <si>
    <t>1.76
cm2
spot
size</t>
  </si>
  <si>
    <t>"In short-term, non-surgical MD with photobiomodulation does not offer additional benefits in terms of reducing soft-tissue inflammatory parameters and PISF CL in patients with peri-implant mucositis."</t>
  </si>
  <si>
    <t>PBM application: laser was kept ~15mm away from tissues</t>
  </si>
  <si>
    <t>Al-Askar</t>
  </si>
  <si>
    <t>Technol Health Care</t>
  </si>
  <si>
    <t>Comparison of photobiomodulation and photodynamic therapy as adjuncts to mechanical debridement for the treatment of peri-implantitis</t>
  </si>
  <si>
    <t>🧑 Human
🎲 Randomized trial
👥 49 participants
⌛ single treatment -&gt; 3-month follow-up</t>
  </si>
  <si>
    <t>⚔ PBM vs PDT vs control</t>
  </si>
  <si>
    <t>660
(PDT)
940
(PBM)</t>
  </si>
  <si>
    <t>(?)
300</t>
  </si>
  <si>
    <t>60
3.41</t>
  </si>
  <si>
    <t>300
20</t>
  </si>
  <si>
    <t>"PBMT and PDT seem to be useful adjuncts to MD for the treatment of peri-implant soft-tissue inflammation among patients with peri-implantitis."</t>
  </si>
  <si>
    <t>Zayed</t>
  </si>
  <si>
    <t>Outcomes of Mandibular Overdentures Supported by Four Short Implants Combined with Photobiomodulation Therapy</t>
  </si>
  <si>
    <t>🧑 Human
📄 Non-randomized study, self-controlled
👥 6 participants (each receiving 4 impl.)
⌛ 9-day treatment -&gt; 12-month follow-up</t>
  </si>
  <si>
    <t>PBM vs PBM (no negative control group)</t>
  </si>
  <si>
    <t>3,75
7,5</t>
  </si>
  <si>
    <t>5 sessions
every 48h</t>
  </si>
  <si>
    <t>"There was no significant difference between both groups regarding PIPD values. However, a minor but significant increase from the baseline (P &lt; .001) was observed in PIPD values in both groups after 12 months."</t>
  </si>
  <si>
    <t>Algahtani</t>
  </si>
  <si>
    <t>Saudi-Arabia</t>
  </si>
  <si>
    <t>Efficacy of low-level laser therapy as an adjunct to non-surgical mechanical debridement in the treatment of peri-implantitis.</t>
  </si>
  <si>
    <t>🧑 Human
🎲 Randomized trial
👥 67 participants
⌛ single treatment -&gt; 6-month follow-up</t>
  </si>
  <si>
    <t>"At 3 and 6-months' follow-up, peri-implant PI (P&lt;0.05), BUP (P&lt;0.05) and PrD (P&lt;0.05) were significantly higher among patients that underwent NSMD alone compared with individuals that underwent NSMD with adjunct LLLT. There was no significant difference in CBR in all patients up to 6-months' follow-up. 
In the short-term, NSMD with adjunct LLLT is a useful treatment protocol for the treatment of peri-implant soft-tissue inflammation."
Comment: The 940nm wavelenght and intervention duration of a single session are not explicitly mentioned in abstract, but parameters appear to be the same as in the Alhumaidan 2022 paper.</t>
  </si>
  <si>
    <t>Dental implants: postoperative complications</t>
  </si>
  <si>
    <t>Adly</t>
  </si>
  <si>
    <t>UK &amp; Egypt</t>
  </si>
  <si>
    <t>J Evid Based Dent Pract</t>
  </si>
  <si>
    <t>Can combining low level laser therapy with computer guided flapless piezosurgical osteotomy achieve a painless implant surgery? Findings of split mouth randomized controlled trial</t>
  </si>
  <si>
    <t>🧑 Human
🎲 Randomized trial, split-mouth
👥 30 participants
⌛ single treatment -&gt; 7-day follow-up</t>
  </si>
  <si>
    <t>"Pain scores were found to be significantly lower in the LLLT side after 2, 6, 24, 48 hour of implant insertion (P &lt; .05). 
Moreover, Sweling scores were also found to be significantly lower in the LLLT side after 2, 6, 24, 48 hour, and at day 3 of implant insertion (P &lt; .05). However, day 4 and day 7 showed very minimal if any pain and swelling with insignificant differences between the 2 sides (P &gt; .05)."</t>
  </si>
  <si>
    <t>Reza</t>
  </si>
  <si>
    <t>Efficacy of photo bio-modulation therapy for pain relief and soft tissue wound healing after dental implant surgery: A double-blind randomized clinical trial</t>
  </si>
  <si>
    <t>🧑 Human
🎲 Randomized trial, double-blind, self-controlled
👥 21 participants (each receiving 2 impl.)
⌛ two treatment sessions (with 48h interval) / 14-day study</t>
  </si>
  <si>
    <t>30+
300</t>
  </si>
  <si>
    <t>6+
6
(?)</t>
  </si>
  <si>
    <t>200
20</t>
  </si>
  <si>
    <t>"Wilcoxon test showed that the wound healing score on the laser side at 3 (p &lt; 0.001), 7 (p &lt; 0.001), and 14 (p = 0.03) days was significantly better than that on the placebo side. 
Paired t-test showed that at all the intervals of 12 h (p &lt; 0.008), 24 h (p &lt; 0.04), 48 h (p &lt; 0.008), and 72 h (p &lt; 0.02), the mean pain score on the laser side was significantly lower than that on the placebo side."</t>
  </si>
  <si>
    <t>PBM application: "Punch mode -contact"</t>
  </si>
  <si>
    <t>Evaluation of effectiveness of photobiostimulation in alleviating side effects after dental implant surgery. A randomized clinical trial.</t>
  </si>
  <si>
    <t>🧑 Human
🎲 Randomized trial, sham-controlled
👥 60 participants
⌛ single treatment -&gt; 7-day follow-up</t>
  </si>
  <si>
    <t>470
+
525
+
620
+
680-
760
+
800-
835</t>
  </si>
  <si>
    <t>9
+
3
+
6
+
18
+
12</t>
  </si>
  <si>
    <t>1
(after
surgery)</t>
  </si>
  <si>
    <t>"Pain in the experimental group was less compared to controls and placebo group, at each time intervals (p &lt; 0.001) as well as the maximum pain score (experimental group: median = 2, interquartile range 2-3; control group: median = 8, interquartile range 3,75-9; placebo group: median = 8, interquartile range 6,25-9).
Swelling was almost insignificant in the experimental group (maximum value = 1, interquartile range 0-2,75, at 24 hours) compared with control (maximum value = 6, interquartile range 5-8,75, at 24 hours) and placebo (maximum value = 6, interquartile range 5-8, at 24 hours).
Subjects in the experimental group assumed less analgesics compared to both controls and placebo groups."</t>
  </si>
  <si>
    <t>Safdari</t>
  </si>
  <si>
    <t>The Impacts of Low-Level Laser Therapy - A Complementary Treatment in the Management of Side Effects After Implant Surgery.</t>
  </si>
  <si>
    <t>🧑 Human
🎲 Randomized trial, double-blind
👥 30 participants
⌛ 1-week treatment / 2-week study</t>
  </si>
  <si>
    <t>3
/ 1 week</t>
  </si>
  <si>
    <t>"Our results showed that at 12, 24, 48, and 72 hours after the surgery, the pain level was reduced in the laser group compared with the placebo group (P&lt;0.05). Swelling of the face was also significantly reduced 7 days after surgery in the laser group (P&lt;0.05). The investigation on the recovery conditions of the surgical site showed that on the 3rd, 7th and 14th days after the surgery, higher levels of wound healing have been achieved (P&lt;0.05). "</t>
  </si>
  <si>
    <t>Dental implants: stability</t>
  </si>
  <si>
    <t>Saini</t>
  </si>
  <si>
    <t>Saudi Arabia
(Abha)</t>
  </si>
  <si>
    <t>Comparative efficacy of photobiomodulation on osseointegration in dental implants: A systematic review and meta-analysis</t>
  </si>
  <si>
    <t>"The study reviewed 26 papers involving 571 patients undergoing dental implant procedures with PBM/Low-Level Laser Therapy (LLLT) or placebo/control. 
Implant stability quotients (ISQ) analysis showed a non-significant difference (p = 0.06, mean difference: 1.02, 95 % CI: 0.28 to 1.75, I2=28 %), while the Periotest method indicated significant improvement in stability (p &lt; 0.01, mean difference: -0.51, 95 % CI: -0.78 to -0.24, I2=71 %). 
PBM resulted in a significant bone density increase (p &lt; 0.01, mean difference: 26, 95 % CI: 6.93 to 45.06, I2=91 %), but marginal bone loss showed no significant difference (p = 0.11, mean difference: 0.00, 95 % CI: -0.06 to 0.05, I2=45 %). 
Implant survival rate did not significantly differ (p = 0.73, mean difference: 1.56, 95 % CI: 0.38 to 6.46, I2=0 %). 
Most studies raised concerns regarding randomization."
"Conclusion: PBM could improve implant stability, as assessed with Periotest, and increase bone density, enhancing osseointegration. However, implant stability assessed with ISQ, marginal bone loss, and implant survival rate were comparable between the study groups."</t>
  </si>
  <si>
    <t>Foletti</t>
  </si>
  <si>
    <t>Effect of LED photobiomodulation on dental implant osseointegration: An in vivo study</t>
  </si>
  <si>
    <t>Minipig</t>
  </si>
  <si>
    <t xml:space="preserve">470+
525+
590+
620
+
680-
760
+
820
</t>
  </si>
  <si>
    <t>124.2</t>
  </si>
  <si>
    <t>600
cm2
spot area
(?)</t>
  </si>
  <si>
    <t>"BIC index and BS/TS ratio were significantly higher within the test group as compared to the control group (P&lt;0.01). Histologic observations on bone tissues demonstrated that LED-PBM may improve and accelerate dental implant osseointegration: 25% of dental implants analyzed within the test group were completely osseointegrated, versus 12.5% within the control group."
"This experimental study indicates that LED-PBM contributes to enhancing implant treatment outcomes."</t>
  </si>
  <si>
    <t>Device: "ATP38® medical device (Biotech Dental, Salon de Provence, France)"</t>
  </si>
  <si>
    <t>Shenoy</t>
  </si>
  <si>
    <t>Effectiveness of Photobiomodulation With Low-Level Laser Therapy on the Implant Stability Quotient at Different Time Intervals: A Randomized Clinical Trial</t>
  </si>
  <si>
    <t>🧑 Human
🎲 Randomized trial, sham-controlled
👥 20 participants
⌛ 12-week study</t>
  </si>
  <si>
    <t>0.3546</t>
  </si>
  <si>
    <t>7
/ 12 days</t>
  </si>
  <si>
    <t>"The repeated-measures ANOVA analysis showed significant differences in the ISQ values between the LLLT group and the control group at two weeks and three months post-implant placement. The LLLT group exhibited higher ISQ values, indicating greater implant stability and improved osseointegration compared to the control group. These findings suggest the potential benefits of LLLT in enhancing dental implant outcomes."</t>
  </si>
  <si>
    <t>Xailani &amp; Hamad</t>
  </si>
  <si>
    <t>Effect of photobiomodulation therapy of overprepared dental implant bed on torque removal and implant stability quotient: an experimental study in sheep</t>
  </si>
  <si>
    <t>15
/ 8 days</t>
  </si>
  <si>
    <t>"Photobiomodulation enhances bone formation and improves implant stability in implants with overzealously prepared oversized implant beds."</t>
  </si>
  <si>
    <t>Sourvanos</t>
  </si>
  <si>
    <t>Improving Titanium Implant Stability with Photobiomodulation: A Review and Meta-Analysis of Irradiation Parameters</t>
  </si>
  <si>
    <t>"Eight hundred fifty-six studies were identified, and 15 studies fulfilled the inclusion criteria. 
Light sources included both laser and light emitting diode (LED) devices. Wavelengths ranged from 618 to 1064 nm. 
The meta-analysis concluded that all 15 published studies were able to safely apply PBM near dental implants without adverse events. Laser and LED wavelengths that reported significant results included 618, 626, 830, 940 (2 × ), and 1064 nm."
"Six groups reported statistical significance for improving implant stability (four laser diode, two LED) in wavelengths ranging from 618 to 1064 nm. The amount of time spent delivering PBM was not a variable that differentiated whether a study reported significant results."</t>
  </si>
  <si>
    <t>Spain
(Galicia)</t>
  </si>
  <si>
    <t>Photobiomodulation in dental implant stability and post-surgical healing and inflammation. A randomised double-blind study</t>
  </si>
  <si>
    <t>🧑 Human
🎲 Randomized trial, double-blind
👥 13 participants (40 implants randomized)
⌛ 1-week treatment / 8-week study</t>
  </si>
  <si>
    <t>630+
808</t>
  </si>
  <si>
    <t>2 
(post-op and 7 days later)</t>
  </si>
  <si>
    <t>"No differences were found in terms of the mean values of implant stability between the test and control groups over time. 
Only two of the implants (18.2%) from the PBM- group were classified with the maximum healing index (HI = 5), whereas in the PBM+ group, nine implants (45%) were classified with the aforementioned index (P &lt; 0.0001). 
Using the logistic regression, it was determined that the non-application of the laser in the PBM- group caused an OR of 4.333 times of presenting inflammation (IC95% 1.150-16.323; P = 0.030)."</t>
  </si>
  <si>
    <t>Saudi J Med Med Sci</t>
  </si>
  <si>
    <t>Rehabilitation of Atrophic Mandible with Ultrashort Implants Combined with Photobiomodulation Therapy: A Split-Mouth Design Study</t>
  </si>
  <si>
    <t>🧑 Human
⚔ Comparison study
👥 12 participants
⌛ 10-day treatment / 12-month study</t>
  </si>
  <si>
    <t>⚔ PBM vs PBM (dose comparison)</t>
  </si>
  <si>
    <t>3.75
7.50</t>
  </si>
  <si>
    <t>0.8
cm2
spot
size</t>
  </si>
  <si>
    <t>120
240</t>
  </si>
  <si>
    <t>5
(48h intervals)</t>
  </si>
  <si>
    <t>"PBM doses A and B were comparable in all evaluated parameters."</t>
  </si>
  <si>
    <t>Device: "semiconductor diode laser (Sirolaser blue, Sirona Dental Systems GmbH, Bensheim, Germany)"</t>
  </si>
  <si>
    <t>Kuzu</t>
  </si>
  <si>
    <t>Effect of Photobiomodulation Therapy on Peri-Implant Bone Healing in Extra-Short Implants in a Rabbit Model: A Pilot Study</t>
  </si>
  <si>
    <t>5
10
20
25</t>
  </si>
  <si>
    <t>"In this study, PBMT improved peri-implant bone healing through increase in BIC length, BIC rate, and ISQ parameter values in extra-short implants."</t>
  </si>
  <si>
    <t>Poli</t>
  </si>
  <si>
    <t>An Evaluation of the Effects of Photobiomodulation Therapy on the Peri-Implant Bone Healing of Implants with Different Surfaces: An In Vivo Study</t>
  </si>
  <si>
    <t>8.7</t>
  </si>
  <si>
    <t>"The ISQ values of the LMS were statistically significant when compared with those of the MS at 42 days (p &amp;lt; 0.001). The removal torque values of the LMS were statistically significant when compared with those of the MS at 21 days (p = 0.023) and 42 days (p = 0.023). For SEM, in general, the LMS, TS and LTS presented high bone tissue coverage when compared to MS."
"The PBM therapy modulated the osseointegration process and was evidenced mainly on the machined surface."</t>
  </si>
  <si>
    <t>Vande</t>
  </si>
  <si>
    <t>India
(Karad)</t>
  </si>
  <si>
    <t>Effectiveness of the photobiomodulation therapy using low-level laser around dental implants: A systematic review and meta-analysis</t>
  </si>
  <si>
    <t>"Ten articles were included in the review after rejecting 68 on the basis of title and abstract. Seven were eligible for quantitative analysis. 
The meta-analysis showed non-significant differences in primary stability in control and laser groups at baseline (p = 0.63) and 3 months and above (p = 0.06). 
At 2 weeks, 1 month and 2 months, the results were statistically significant with p = 0.01, p = 0.02 and p = 0.04, respectively."</t>
  </si>
  <si>
    <t>Effects of photobiomodulation therapy on implant stability and postoperative recovery: a systematic review and meta-analysis</t>
  </si>
  <si>
    <t>"Twenty studies were finally obtained (17 randomised controlled, and 3 controlled clinical studies). 
Meta-analysis revealed that PBMT increased implant stability at 10 days after insertion (MD 2.27, 95% CI: 0.40 to 4.13, P = 0.020), and reduced marginal bone loss at 6 months after insertion (MD -0.16, 95% CI: -0.23 to -0.08, P &lt; 0.001). 
However, no significant improvements were noted in implant stability two weeks (P = 0.070), three weeks (P = 0.090), six weeks (P = 0.050), and 12 weeks (P = 0.080) after insertion. 
Qualitative analysis suggested that PBMT could not alleviate postoperative pain, increase bone mineral density, or improve peri-implant clinical parameters. 
It was effective only in reducing facial swelling. This study suggests that the effects of PBMT on implant stability and postoperative recovery may be limited."</t>
  </si>
  <si>
    <t>Kashefimehr</t>
  </si>
  <si>
    <t xml:space="preserve">Maedica (Bucur)
</t>
  </si>
  <si>
    <t>Effect of Light Emitting Diode Photobiomodulation on the Stability of Dental Implants in Bone Grafted Cases: a Split-Mouth Randomized Clinical Trial</t>
  </si>
  <si>
    <t>🧑 Human
🎲 Randomized trial, split-mouth
👥 12 participants
⌛ 11-day treatment / 3-month study</t>
  </si>
  <si>
    <t>618
(?)</t>
  </si>
  <si>
    <t>0.20
(?)</t>
  </si>
  <si>
    <t>11
/ 11 days</t>
  </si>
  <si>
    <t>"The ISQ value [implant stability quotient] was 37.54 on the non-irradiated side immediately after surgery; it decreased to 35.09 one month postoperatively and increased to 46.45 at three months after the operation. The ISQ value was 36.73 on the irradiated side immediately after surgery and it increased to 47.36 and 71.18 at one month and three months postoperatively, respectively."
Comment: The PBM parameters were not mentioned in the paper, but they mentioned that the device was OsseoPulse which apparently has 618nm wavelength and 20 mW/cm2 power output.</t>
  </si>
  <si>
    <t>Bozkaya</t>
  </si>
  <si>
    <t>Clin Implant Dent Relat Res</t>
  </si>
  <si>
    <t>The stability of implants and microbiological effects following photobiomodulation therapy with one-stage placement: A randomized, controlled, single-blinded, and split-mouth clinical study</t>
  </si>
  <si>
    <t>🧑 Human
🎲 Randomized trial, sham-controlled, split-mouth
👥 93 participants
⌛ 15-day treatment / 90-day study</t>
  </si>
  <si>
    <t>1
+
3/week
for 15 days</t>
  </si>
  <si>
    <t>"It was concluded that PBMT did not have a clinically significant effect on implant stabilization, especially in terms of ISQ values at early alveolar bone healing term."</t>
  </si>
  <si>
    <t>Kinalski</t>
  </si>
  <si>
    <t>Brazil
(Pelotas)</t>
  </si>
  <si>
    <t>Influence of low-level laser therapy on implant stability in implants placed in healed sites: a randomized controlled trial</t>
  </si>
  <si>
    <t>🧑 Human
🎲 Randomized trial
👥 33 participants (64 implants)
⌛ single treatment -&gt; 4-6 month follow-up</t>
  </si>
  <si>
    <t>11
(on 6 points)</t>
  </si>
  <si>
    <t>80
per point
(on 6 points)</t>
  </si>
  <si>
    <t>2 irradiations
(during same session)</t>
  </si>
  <si>
    <t>"LLLT did not influence the implant stability in implants placed in healed sites compared to a control group."</t>
  </si>
  <si>
    <t>Effect of photobiomodulation therapy on mini-implant stability: a systematic review and meta-analysis</t>
  </si>
  <si>
    <t>"Among the seven included studies, four were RCTs [20, 23,24,25], while three were [controlled clinical trial]s [21, 22, 26]."
"Two studies were eligible for meta-analysis, which showed that LLLT significantly improved mini-implant stability 60 days after initial implantation (MD - 3.01, 95% CI range [- 4.68, - 1.35], p = 0.0004). High energy density of LLLT began to show beneficial effect on mini-implant stability as early as 3 days after implantation, while the significant effect of low energy density displayed later than 30 days after insertion. LED therapy could improve mini-implant stability after 2 months post-insertion.
In conclusion, PBMT appears to be beneficial in ameliorating mini-implant stability. High energy density of LLLT might exert more rapid effect than low energy density.
More high-quality clinical trials are needed to further demonstrate PBMT' effects on orthodontic mini-implants."</t>
  </si>
  <si>
    <t>Gulati</t>
  </si>
  <si>
    <t>India
(Uttar Pradesh)</t>
  </si>
  <si>
    <t xml:space="preserve">Clin Implant Dent Relat Res
</t>
  </si>
  <si>
    <t>Effect of low level laser therapy on crestal bone levels around dental implants-A pilot study</t>
  </si>
  <si>
    <t>🧑 Human
🎲 Randomized trial
👥 20 participants (20 implants)
⌛ 14-day treatment / 1-year study</t>
  </si>
  <si>
    <t>60
(6 sites)</t>
  </si>
  <si>
    <t>4
/ 14 days</t>
  </si>
  <si>
    <t>"At T3 time interval, the mean change in crestal bone levels around all anatomical implant sites measured was 0.81 (SE 0.04) mm for irradiated group and 0.97 (SE 0.04) mm for nonirradiated group. Intergroup analysis revealed statistically significant (P = .020) less crestal bone loss in group that received LLLT."
"Under the conditions of this study, LLLT reduced the crestal bone resorption surrounding dental implants."</t>
  </si>
  <si>
    <t>Zayed &amp; Hakim</t>
  </si>
  <si>
    <t>Clinical Efficacy of Photobiomodulation on Dental Implant Osseointegration: A Systematic Review</t>
  </si>
  <si>
    <t>"Seven relevant clinical studies were included, and they used a variety of PBM parameters and devices. The posterior region of the jaw was found to be more frequently evaluated. For assessing the effect of PBM on implant stability, five studies used resonance frequency analysis and two used periotest; three studies additionally used biomarkers for assessment.
Four studies found that PBM has a potential positive effect on the outcome of dental implant stability, whereas three studies reported that PBM has no effect on implant stability."</t>
  </si>
  <si>
    <t>Mohajerani</t>
  </si>
  <si>
    <t>J Maxillofac Oral Surg</t>
  </si>
  <si>
    <t>Can Low-Level Laser and Light-Emitting Diode Enhance the Stability of Dental Implants?</t>
  </si>
  <si>
    <t>🧑 Human
🎲 Randomized trial
👥 58 participants
⌛ 10-day treatment / 63-day study</t>
  </si>
  <si>
    <t>632
LED
+
830
laser</t>
  </si>
  <si>
    <t>0.010
+
0.015</t>
  </si>
  <si>
    <t>"The results of this study showed that simultaneous use of LLL and LED increased the stability of the implants after 9 weeks of follow-up."</t>
  </si>
  <si>
    <t>Lobato</t>
  </si>
  <si>
    <t>Influence of low-level laser therapy on implant stability in implants placed in fresh extraction sockets: A randomized clinical trial.</t>
  </si>
  <si>
    <t>🧑 Human
🎲 Randomized trial
👥 44 participants (50 implants)
⌛ single treatment -&gt; 4-6 month follow-up</t>
  </si>
  <si>
    <t>66
(6 points)</t>
  </si>
  <si>
    <t>"LLLT did not influence implant stability in implants placed in fresh extraction sockets when assessed at healing abutment installation."</t>
  </si>
  <si>
    <t>Arakeeb</t>
  </si>
  <si>
    <t>Effect of Combined Application of Growth Factors and Diode Laser Bio-Stimulation on the Osseo Integration of Dental Implants.</t>
  </si>
  <si>
    <t>🧑 Human
🎲 Randomized trial
👥 40 participants
⌛ 2-week treatment / 12-week study</t>
  </si>
  <si>
    <t>10
(buccal + lingual)</t>
  </si>
  <si>
    <t>"All the groups showed improvement in comparison with Normal group, where L-PRF group showed the best result followed by (L-PRF+LLLT) group, while the LLLT group showed the least improvement in comparison with bothL-PRF group and (L-PRF+LLLT) group."</t>
  </si>
  <si>
    <t>Elsyad</t>
  </si>
  <si>
    <t>J Oral Implants</t>
  </si>
  <si>
    <t>Effect of Low-Level Laser Irradiation on stability and marginal bone of narrow implants retaining overdentures in moderately controlled diabetic patients.</t>
  </si>
  <si>
    <t>🧑 Human
🎲 Randomized trial, split-mouth
👥 20 participants
⌛ 1-week treatment / 1-year study</t>
  </si>
  <si>
    <t>30
(?)</t>
  </si>
  <si>
    <t>0.004
cm2
spot
size</t>
  </si>
  <si>
    <t>"Within the limits of this study, LLLI has no effect on marginal bone around immediately loaded small diameter implants retaining overdentures in moderately controlled diabetic patients. However, it was beneficial in improving implant stability 6 months after overdenture insertion."</t>
  </si>
  <si>
    <t>Prado</t>
  </si>
  <si>
    <t>CaP Coating and Low-Level Laser Therapy to Stimulate Early Bone Formation and Improve Fixation of Rough Threaded Implants.</t>
  </si>
  <si>
    <t>"Both CaP coating alone and using LLLT induce cellular stimulation and improve BIC in short-term healing, resulting in higher implant fixation, and should be considered in clinical practice due to their low cost and high effectiveness."
Comment: PBM appeared to have effect only in the first week, but during the 3-week and 6-week evaluations, it didn't seem to have any benefits.</t>
  </si>
  <si>
    <t>Sleem</t>
  </si>
  <si>
    <t>Evaluation of The Bio-Stimulatory Effect of Platelet Rich Fibrin Augmented by Diode LASER Compared to Platelet Rich Fibrin Alone on Dental Implant Replacing Posterior Mandibular Teeth. Randomised Clinical Trial: Split Mouth Study.</t>
  </si>
  <si>
    <t>🧑 Human
🎲 Randomized trial, split mouth
👥 9 participants (2 implants per patient)
⌛ 1-month treatment / 9-month study</t>
  </si>
  <si>
    <t>0.25
/p
15
/sesson</t>
  </si>
  <si>
    <t>92.1</t>
  </si>
  <si>
    <t>8
/ 1 month</t>
  </si>
  <si>
    <t>"There are no statistically significant differences in post-operative pain values, implant stability and bone density between the implant sites treated with PRF augmented by Diode laser compared to implant sites treated by PRF alone."
Comment: The parameters seem contradictory. If the power is 100mW, how can 30-second irradiation of the point lead to only 0.25J dose instead of 100mW*30sec = 3.0 J dose.</t>
  </si>
  <si>
    <t>Matys</t>
  </si>
  <si>
    <t>Poland &amp; Italy</t>
  </si>
  <si>
    <t>Photobiomodulation by a 635nm Diode Laser on Peri-Implant Bone: Primary and Secondary Stability and Bone Density Analysis-A Randomized Clinical Trial.</t>
  </si>
  <si>
    <t>🧑 Human
🎲 Randomized trial
👥 24 participants (40 implants)
⌛ 15-day treatment / 3-month study</t>
  </si>
  <si>
    <t>0.199</t>
  </si>
  <si>
    <t>4
/p
(2p)</t>
  </si>
  <si>
    <t>0.5024
cm2</t>
  </si>
  <si>
    <t>40
/p
(2p)</t>
  </si>
  <si>
    <t>6
/ 15 days</t>
  </si>
  <si>
    <t>"The application of the 635 nm diode laser enhanced secondary implant stability and bone density. However, to assess the impact of the LLLT on peri-implant bone with different bone densities, further well-controlled long-term trials on larger study groups are needed."</t>
  </si>
  <si>
    <t>Clinical evidence of photobiomodulation therapy (PBMT) on implant stability and success: a systematic review and meta-analysis.</t>
  </si>
  <si>
    <t>"Initially, 675 articles were identified, among which only 8 met the inclusion criteria. Four of the 8 studies presented a low risk of bias, whereas the other 4 were of moderate risk."
"No significant differences were observed between the PBMT group and the control group regarding implant stability or success rate."
"The existing clinical studies did not provide sufficient evidence to observe positive effects of PBMT on implants in patients. An increased number of high-quality clinical randomized controlled trials (RCTs) are required to verify the data and to draw convincing conclusions."</t>
  </si>
  <si>
    <t>Mikhail</t>
  </si>
  <si>
    <t>Effect of Laser Therapy on the Osseointegration of Immediately Loaded Dental Implants in Patients under Vitamin C, Omega-3 and Calcium Therapy.</t>
  </si>
  <si>
    <t>🧑 Human
📄 Non-randomized study,  controlled
👥 20 participants
⌛ 1-week treatment -&gt; 6-month follow-up</t>
  </si>
  <si>
    <t>d = 4
mm</t>
  </si>
  <si>
    <t>9
/ 1 week
(3 sessions per day, on days 2, 4 and 6)</t>
  </si>
  <si>
    <t>"Independent student t-test was used to compare means of variables between the laser and the non-laser group while repeated measures ANOVA was used to compare bone densities at different times for the same group. 
Significant increased differences were observed at the mesial, distal and apical sides surrounding the implants of both groups per time. However, the rate of increase was significantly higher in the laser group. 
The mean difference at the mesial side after 6 months was 21.99 ± 5.48 in the laser group and 14.21 ± 4.95 in the non-laser group, while it read 21.74 ± 3.56 in the laser group and 10.78 ± 3.90 in non-laser group at the distal side and was 18.90 ± 5.91 in the laser group and 10.39 ± 3.49 in non-laser group at the apical side. Significance was recorded at P = 0.004, P = 0.0001, and 0.001 at the mesial, distal and apical sides respectively."
"The low-intensity laser irradiation significantly promoted bone healing and speeded up the osseointegration process emphasising the laser's biostimulatory effect."</t>
  </si>
  <si>
    <t>Dental implants: review</t>
  </si>
  <si>
    <t>Tang &amp; Arany</t>
  </si>
  <si>
    <t>Photobiomodulation and implants: implications for dentistry.</t>
  </si>
  <si>
    <t>"The use of laser technology with implants has a fascinating breadth of applications, beginning from their precision manufacturing to clinical uses for surgical site preparation, reducing pain and inflammation, and promoting osseointegration and tissue regeneration. This latter aspect is the focus of this review, which outlines various studies of implants and laser therapy in animal models. The use of low level light therapy or photobiomodulation has demonstrated its efficacy in these studies.
Besides more research studies to understand its molecular mechanisms, significant efforts are needed to standardize the clinical dosing and delivery protocols for laser therapy to ensure the maximal efficacy and safety of this potent clinical tool for photobiomodulation."</t>
  </si>
  <si>
    <t>Memarian</t>
  </si>
  <si>
    <t>The effect of low-level laser 810 nm and light-emitting diode photobiomodulation (626 nm) on the stability of the implant and inflammatory markers interleukin-1 beta and prostaglandin E2, around implants.</t>
  </si>
  <si>
    <t>🧑 Human
🎲 Randomized trial, self-controlled
👥 12 participants (36 implants)
⌛ 14-day treatment / 8-week follow-up</t>
  </si>
  <si>
    <t>LLLT vs LED vs control</t>
  </si>
  <si>
    <t>626
(LED)
810
(laser)</t>
  </si>
  <si>
    <t>185
50</t>
  </si>
  <si>
    <t>0.020 or 0.039
(??)</t>
  </si>
  <si>
    <t>222
20</t>
  </si>
  <si>
    <t xml:space="preserve">4.80
cm2
array
1
cm2
beam (?)
</t>
  </si>
  <si>
    <t>400
1200</t>
  </si>
  <si>
    <t>5
/ 14 days</t>
  </si>
  <si>
    <t>"The amounts of Periotest significantly increased 3rd week after surgery in the control group (P &lt; 0.001). However, the laser group and LED group were associated with minimal changes, which indicates lower stability of implant in 3rd week in control group but no changes in stability of test groups (laser and LED). Laser and LED had no effect on the level of IL-1β and PGE2 in 4 and 8 weeks."
"The use of LLL or LED has a positive effect on the stability of the implants 3 weeks after surgery."</t>
  </si>
  <si>
    <t>Karaca</t>
  </si>
  <si>
    <t>Niger J Clin Pract</t>
  </si>
  <si>
    <t>Is Low-level laser therapy and gaseous ozone application effective on osseointegration of immediately loaded implants?</t>
  </si>
  <si>
    <t>🧑 Human
📄 Non-randomized study, controlled
👥 25 participants (100 implants)
⌛ 2-week treatment / 6-month study</t>
  </si>
  <si>
    <t>PBM vs ozone vs control</t>
  </si>
  <si>
    <t>5
(20p)</t>
  </si>
  <si>
    <t>60
(20p)</t>
  </si>
  <si>
    <t>"The implant stability quotient values were found significantly higher in Group 1 (LLLT group) and Group 3 (different protocol of ozone therapy group) than the other groups (P &lt; 0.05)."
Comment: The difference was small. No other outcomes were affected.</t>
  </si>
  <si>
    <t>Torkzaban</t>
  </si>
  <si>
    <t>Low-level laser therapy with 940 nm diode laser on stability of dental implants: a randomized controlled clinical trial.</t>
  </si>
  <si>
    <t>🧑 Human
🎲 Randomized trial
👥 19 participants (80 implants)
⌛ 2-week treatment / 12-week study</t>
  </si>
  <si>
    <t>0.355</t>
  </si>
  <si>
    <t>8
(2p)</t>
  </si>
  <si>
    <t>14.18</t>
  </si>
  <si>
    <t>0.2826
cm2</t>
  </si>
  <si>
    <t>40 buccal +
40 palatal</t>
  </si>
  <si>
    <t>"LLLT had no significant effect on dental implant stability."</t>
  </si>
  <si>
    <t>Prados-Frutos</t>
  </si>
  <si>
    <t>Lack of clinical evidence on low-level laser therapy (LLLT) on dental titanium implant: a systematic review.</t>
  </si>
  <si>
    <t>Currently, there is a lack of human studies.</t>
  </si>
  <si>
    <r>
      <rPr>
        <b/>
        <color rgb="FF980000"/>
        <sz val="8.0"/>
      </rPr>
      <t xml:space="preserve">★
</t>
    </r>
    <r>
      <rPr>
        <b/>
        <color rgb="FF980000"/>
        <sz val="6.0"/>
      </rPr>
      <t>📷</t>
    </r>
  </si>
  <si>
    <t>Low-level laser therapy improves peri-implant bone formation: resonance frequency, electron microscopy, and stereology findings in a rabbit model.</t>
  </si>
  <si>
    <t>51
101
201
/p</t>
  </si>
  <si>
    <t>"Under these conditions, LLLT enhanced peri-implant bone repair, improving stability, BIC, and bone neoformation. The findings support and suggest parameters for the design of clinical trials using LLLT after implant placement."</t>
  </si>
  <si>
    <t>Massotti</t>
  </si>
  <si>
    <t>Histomorphometric assessment of the influence of low-level laser therapy on peri-implant tissue healing in the rabbit mandible.</t>
  </si>
  <si>
    <t>"Photobiostimulation with LLLT at an energy density of 20 J/cm(2) per session had a significant positive effect on new bone formation around dental implants inserted in the rabbit mandible."</t>
  </si>
  <si>
    <t>The Influence of Low-Level Laser on Osseointegration Around Machined and Sandblasted Acid-Etched Implants: A Removal Torque and Histomorphometric Analyses.</t>
  </si>
  <si>
    <t>4600
(???)</t>
  </si>
  <si>
    <t>"No statistical differences in removal torque or histomorphometric analyses were verified between laser and control groups regardless of implant surface (P &gt; .05). Time was the only variable presenting significant differences between measurements (P &lt; .05). Low-level laser had no significant short-term effect on bone-to-implant contact and removal torque values regardless of implant surface characteristics."</t>
  </si>
  <si>
    <t>Gokmenoglu</t>
  </si>
  <si>
    <t>The effect of light-emitting diode photobiomodulation on implant stability and biochemical markers in peri-implant crevicular fluid.</t>
  </si>
  <si>
    <t>🧑 Human
🎲 Randomized trial
👥 15 participants
⌛ 3-week treatment / 12-week study</t>
  </si>
  <si>
    <t>0.0385</t>
  </si>
  <si>
    <t>46.2</t>
  </si>
  <si>
    <t>4.80
cm2</t>
  </si>
  <si>
    <t>"In the control group, significant reduction of ISQ values from week 2 to week 12 were demonstrated. In the LED group, baseline ISQ values were maintained during the study and no significant changes were observed."
"LED application to surgical area has a positive effect on the osseointegration process, and implant stability can be maintained."</t>
  </si>
  <si>
    <t>García-Morales</t>
  </si>
  <si>
    <t>Stability of dental implants after irradiation with an 830-nm low-level laser: a double-blind randomized clinical study.</t>
  </si>
  <si>
    <t>🧑 Human
🎲 Randomized trial, double-blind
👥 8 participants (30 implants)
⌛ 14-day treatment / 12-week study</t>
  </si>
  <si>
    <t>0.25
/p?</t>
  </si>
  <si>
    <t>7
/ 14 days
(?)</t>
  </si>
  <si>
    <t>"Under the conditions of this study, no evidence was found of any effect of LLLT on the stability of the implants when measured by RFA. Since high primary stability and good bone quality are of major relevancy for a rigid bone-implant interface, additional LLLT may have little impact macroscopically."</t>
  </si>
  <si>
    <r>
      <rPr>
        <b/>
        <color rgb="FF980000"/>
        <sz val="8.0"/>
      </rPr>
      <t xml:space="preserve">★
</t>
    </r>
    <r>
      <rPr>
        <b/>
        <color rgb="FF980000"/>
        <sz val="6.0"/>
      </rPr>
      <t>📷</t>
    </r>
  </si>
  <si>
    <t>Bouquot</t>
  </si>
  <si>
    <t>USA &amp; Canada</t>
  </si>
  <si>
    <t>BOOK: Proceedings of Light-Activated Tissue Regeneration and Therapy Conference</t>
  </si>
  <si>
    <t>Combined New Technologies to Improve Dental Implant Success and Quantitative Ultrasound Evaluation of NIR-LED Photobiomodulation</t>
  </si>
  <si>
    <t>🧑 Human
📄 Retrospective data
👥 68 patients
⌛ 14-week period (scans were done before PBM and 2 weeks after cessation of 12-week treatment)</t>
  </si>
  <si>
    <t>660
+
840</t>
  </si>
  <si>
    <t>0.015
+
0.020</t>
  </si>
  <si>
    <t>900
900</t>
  </si>
  <si>
    <t>60
60
(5 sessions per week for 12 weeks)</t>
  </si>
  <si>
    <t>"Almost 71% of the 294 treated sites demonstrated improvement of at least one QUS grade level, with most of those, 43.4%, dropping by one grade (...) Of interest is the fact that 17.7% of treated sites showed no change whatsoever and, perhaps most intriguing of all, 7.1% of sites actually showed an increase in the QUS grade after treatment."
"After all is said and done, and always remember the previously mentioned caveats, our preliminary results are encouraging and suggest that this combination of new technologies has the potential to significantly impact dental implant success rates. NIR-LED photobiomodulation appears to enhance bone health in vivo by increasing bone density and/or hydration, which accords with published in vitro experimentations."</t>
  </si>
  <si>
    <t>Jakse</t>
  </si>
  <si>
    <t>Influence of low-level laser treatment on bone regeneration and osseointegration of dental implants following sinus augmentation. An experimental study on sheep.</t>
  </si>
  <si>
    <t>3-4</t>
  </si>
  <si>
    <t>"The presented experimental study on sheep did not confirm a positive LLLT effect on bone regeneration within a cancellous sinus graft. Nevertheless, LLLT possibly has a positive effect on osseointegration of dental implants inserted after sinus augmentation."</t>
  </si>
  <si>
    <t>Asananmi</t>
  </si>
  <si>
    <t>The Activatory Effect Of Low Incident Energy He-Ne Laser Radiation On Hydroxyapatite Implants In Rabbit Mandibular Bone</t>
  </si>
  <si>
    <t>"At 21 days postimplantation macroscopically and microscopically the irradiated implants showed better bonding with the surrounding bone margins, and a greater degree of osteogenesis than the unirradiated implants, which tended to be loose, or to have totally dislodged. 
It was concluded that, with pathways and mechanisms as yet not fully understood, LLLT controlled the inflammatory response to the HAP implant resulting in better implant bonding and osteogenesis at the implant borders."</t>
  </si>
  <si>
    <t>Dental treatment comfort</t>
  </si>
  <si>
    <t>Evaluation of the Preventive Effect of Photobiomodulation on Orofacial Discomfort in Dental Procedures: A Randomized-Controlled, Crossover Study and Clinical Trial</t>
  </si>
  <si>
    <t>🧑 Human
🎲 Randomized trial, crossover
👥 16 participants
⌛ two sessions (1 active, 1 sham)</t>
  </si>
  <si>
    <t>2.493</t>
  </si>
  <si>
    <t>9
/p
(8 points)</t>
  </si>
  <si>
    <t>225</t>
  </si>
  <si>
    <t>"The results showed a significant lower pain and tiredness in the laser group. Also, the results showed a statistically significant valid temperature change between the groups at times: T1, T40, and T50."
"According to our results, photobiomodulation showed a positive effect on the face musculature in patients submitted to the treatments, reducing pain and improving the subjective perception of exertion."
Comment: The treatment procedure apparently was keeping the mouth open for 50 minutes to stimulate a long-duration dental procedure.
Comment: It is a little bit unclear whether this is truly a crossover study, the description in the full text seems a little bit odd.</t>
  </si>
  <si>
    <t>Dentin</t>
  </si>
  <si>
    <t>980 nm Photobiomodulation Promotes Osteo/Odontogenic Differentiation of the Stem Cells from Human Exfoliated Deciduous Teeth Via the Cross talk Between BMP/Smad and Wnt/β-Catenin Signaling Pathways</t>
  </si>
  <si>
    <t>0.5
5
10</t>
  </si>
  <si>
    <t>"Increasing evidence suggests stem cells from human exfoliated deciduous teeth (SHEDs) serve as desirable sources of dentin regeneration. Photobiomodulation (PBM) has shown great potential in enhancing the proliferation and osteogenesis of human bone marrow mesenchymal stem cells (hBMMSCs). However, the specific role of PBM in odontogenic differentiation of SHEDs is little know, and we further investigated potential mechanism of PBM osteo/odontogenisis."
"We found that PBM at 5 J cm-1 increased mineral deposition and upregulated the expression of related osteo/odontogenic markers along with the elevated expression of β-catenin and phosphorylation level of Smad1/5/9. Furthermore, Wnt signaling inhibition using DKK1 and BMP signaling inhibition using noggin inhibited PBM-induced osteo/odontogenic marker expression when used individually or jointly."</t>
  </si>
  <si>
    <t>El Nawam</t>
  </si>
  <si>
    <t>Low-level laser therapy affects dentinogenesis and angiogenesis of in vitro 3D cultures of dentin-pulp complex.</t>
  </si>
  <si>
    <t>Dose response
Biphasic dose response
Wavelength comparison</t>
  </si>
  <si>
    <t>660
660
810
810</t>
  </si>
  <si>
    <t>1
3
1
3</t>
  </si>
  <si>
    <t>"Lower energy density (1 J/cm2) with the 660 nm wavelength showed a statistically significant up-regulation of both angiogenic (VEGF: 15.3-folds and VEGFR2: 3.8-folds) and odontogenic genes (DSPP: 6.1-folds, DMP-1: 3-fold, and BSP: 6.7-folds). 
While the higher energy density (3 J/cm2) with the 810 nm wavelength resulted in statistically significant up-regulation of odontogenic genes (DSPP: 2.5-folds, DMP-1: 17.7-folds, and BSP: 7.1-folds), however, the angiogenic genes had variable results where VEGF was up-regulated while VEGFR2 was down-regulated."</t>
  </si>
  <si>
    <t>Effects of pulsing of light on the dentinogenesis of dental pulp stem cells in vitro.</t>
  </si>
  <si>
    <t>Dental pulp stem cells (DPSCs)
Pulsing</t>
  </si>
  <si>
    <t>"After 21 days of daily LPL treatment, Western blot revealed the dentinogenesis in this condition in vitro. This study demonstrates that the very low power light at 810 nm enhanced significant differentiation of hDPSCs in the PW mode and there were duty cycle dependency as well as pulsing frequency dependency in the efficiency."
"In conclusion, we clearly showed that pulsing of LPL was more efficient in hDPSC differentiation than continuous wave irradiation."</t>
  </si>
  <si>
    <t>Fukai</t>
  </si>
  <si>
    <t>Int J Oral-Med Sci</t>
  </si>
  <si>
    <t>Effect of Ga-Al-As Laser Irradiation at Wavelengths of 660 or 810 nm with Constant Output on the Ability of Human Dental Pulp to Form Hard Tissue</t>
  </si>
  <si>
    <t>"Using Ga-Al-As lasers at the same output power, our results suggest that irradiation at 660 nm enhanced the ability of hDPCs to form hard tissue by suppressing SMAD6 expression; however, irradiation at 810 nm enhanced hard tissue generation via a different route that did not involve BMP2 and SMAD6."</t>
  </si>
  <si>
    <t>Theocharidou</t>
  </si>
  <si>
    <t>Odontogenic differentiation and biomineralization potential of dental pulp stem cells inside Mg-based bioceramic scaffolds under low-level laser treatment.</t>
  </si>
  <si>
    <t>Dental pulp stem cells (DPSCs)</t>
  </si>
  <si>
    <t xml:space="preserve">"Exposure of the DPSCs/scaffold complexes to the proposed LLLI scheme was associated with statistically significant increase of odontogenesis-related markers (bone morphogenetic protein 2 (BMP-2): 22.4-fold, dentin sialophosphoprotein (DSPP): 28.4-fold, Osterix: 18.5-fold, and Runt-related transcription factor 2 (Runx2): 3.4-fold). ALP activity was significantly increased at 3 and 7 days inside the irradiated compared to that in the non-irradiated SC/DPSC complexes, but gradually decreased until 14 days. Newly formed Ca-P tissue was formed on the SC/DPSC complexes after 28 days of culture that attained the characteristics of bioapatite. 
Overall, LLLI treatment proved to be beneficial for odontogenic differentiation and biomineralization of DPSCs inside the bioceramic scaffolds, making this therapeutic modality promising for targeted dentin engineering."
Comment: Read the full text to see the results in a more clear way. </t>
  </si>
  <si>
    <t>de-Melo</t>
  </si>
  <si>
    <t>The effect of diode laser irradiation on dentin as a preventive measure against dental erosion: an in vitro study.</t>
  </si>
  <si>
    <t>"These results suggest that dentin irradiation, using a diode laser with levels set at 60 J/cm(2), may induce inhibitory effects on root dentin demineralization without causing any harmful thermal effects. However, the exact mechanism of the action of the laser remains unclear."</t>
  </si>
  <si>
    <t>Effect of GaAIAs laser on reactional dentinogenesis induction in human teeth.</t>
  </si>
  <si>
    <t>5
mm2</t>
  </si>
  <si>
    <t>"Our results suggest that a GaAlAs laser with energy density of 4 J/cm2 and wavelength of 670 nm caused biomodulation in pulp cells and expression of collagen, but not collagen of the extracellular matrix, after preparation of a cavity."</t>
  </si>
  <si>
    <t>Dentin hypersensitivity</t>
  </si>
  <si>
    <t>Hegazy</t>
  </si>
  <si>
    <t>Effect of low-level diode laser on dentin topography and symptomatic noncarious cervical lesions prior to composite restorations: a split-mouth randomized controlled trial</t>
  </si>
  <si>
    <t>🧑 Human
🎲 Randomized trial, split-mouth
👥 9 participants (36 teeth with NCCLs)
⌛ single treatment -&gt; 6-month follow-up</t>
  </si>
  <si>
    <t>445
660
970</t>
  </si>
  <si>
    <t>"Prior to composite restoration in symptomatic NCCLs, diode lasers with a wavelength of 660 nm showed the highest reduction in sensitivity, followed by 970 nm, whereas 445 nm diode lasers showed the least reduction. Additionally, diode lasers with wavelengths of 660 and 970 nm reduced the width of the dentinal tubules (DT) without inducing melting, as viewed under SEM."</t>
  </si>
  <si>
    <t>Fossati</t>
  </si>
  <si>
    <t>Uruguay &amp; Brazil</t>
  </si>
  <si>
    <t>Photobiomodulation and glass ionomer sealant as complementary treatment for hypersensitivity in molar incisor hypomineralisation in children: protocol for a blinded randomised clinical trial</t>
  </si>
  <si>
    <t>"The study involves 50 patients from 6 to 12 years of age that will be randomly allocated in two groups. Group 1 (control group) (n=25): toothpaste with a concentration of fluoride ≤1000 ppm two times a day, glass ionomer sealant and sham low-level laser (LLL) and group 2 (n=25): toothpaste with a concentration of fluoride ≤1000 ppm two times a day, glass ionomer sealant and active LLL."</t>
  </si>
  <si>
    <t>Effects of Low-Level Laser Therapy on Dentin Hypersensitivity in Periodontally Compromised Patients Undergoing Orthodontic Treatment: A Randomised Controlled Trial</t>
  </si>
  <si>
    <t>🧑 Human
🎲 Randomized trial, split-mouth, triple-blind
👥 23 participants (143 teeth)
⌛ 18-month treatment / 24-month study</t>
  </si>
  <si>
    <t>2.8
cm2
beam
size</t>
  </si>
  <si>
    <t>"LLLT alone was not substantially effective (p = 0.376) on DH alleviation, but it had interaction effects with treatment timepoints (p &lt; 0.001)"
"Teeth in the LLLT group were estimated to have a significantly lower VASDH score (mean = 15.06; 95% CI: 10.55–21.49) than that for the non-LLLT group (mean = 21.89; 95% CI, 15.72–30.48) at the third month of orthodontic treatment (T3m, p = 0.011)."</t>
  </si>
  <si>
    <t>Device: EZlase; Biolase Technology Inc., Irvine, CA, USA</t>
  </si>
  <si>
    <t>Nammour</t>
  </si>
  <si>
    <t>Belgium &amp; Poland &amp; Brazil</t>
  </si>
  <si>
    <t>Twelve-Month Follow-Up of Different Dentinal Hypersensitivity Treatments by Photobiomodulation Therapy, Nd:YAG and Nd:YAP Lasers</t>
  </si>
  <si>
    <t>🧑 Human
📄 Retrospective study
👥 920 teeth
⌛ 1-year follow-up</t>
  </si>
  <si>
    <t>660
1064
1340</t>
  </si>
  <si>
    <t>"Within groups, a statistically significant reduction was obtained when the mean value of VAS at T0 was compared with T5. At T5, the PBM group had the highest reduction of VAS (with mean value of 0), while the Nd:YAG and Nd:YAP groups had scores of 1.065 ± 0.674 and 4.665 ± 0.674, respectively."</t>
  </si>
  <si>
    <t>Photobiomodulation therapy and 3% potassium nitrate gel as treatment of cervical dentin hypersensitivity: a randomized clinical trial</t>
  </si>
  <si>
    <t>🧑 Human
⚔ Comparison trial, randomized
👥 54 participants (303 teeth)
⌛ 1-week treatment -&gt; 3-month follow-up</t>
  </si>
  <si>
    <t>⚔  PBM vs potassium nitrate gel</t>
  </si>
  <si>
    <t>2-4
per
tooth</t>
  </si>
  <si>
    <t>3 sessions
with 72h
intervals</t>
  </si>
  <si>
    <t>Low-Level Laser Therapy for Management of Hypersensitivity in Molar-Incisor Hypomineralization and Oral Health-Related Quality of Life: Case Report</t>
  </si>
  <si>
    <t>"It was concluded that LLLT can be indicated in the management of hypersensitivity in an adolescent with severe MIH to control pain and to improve his OHRQoL."</t>
  </si>
  <si>
    <t>Paschoal</t>
  </si>
  <si>
    <t>Gen Dent</t>
  </si>
  <si>
    <t>Photobiomodulation therapy for hypersensitivity associated with molar-incisor hypomineralization: a case report</t>
  </si>
  <si>
    <t>🧑 Human
📄 Case report
⌛ 4 sessions</t>
  </si>
  <si>
    <t>"Desensitizing treatment included 4 applications of photobiomodulation therapy (infrared diode laser) and 4 applications of fluoride varnish. After desensitization, the maxillary central incisors received direct composite resin restorations, while the maxillary left first molar, which had an amalgam restoration and recurrent caries, received a resin-modified glass ionomer cement restoration. At the conclusion of the treatment, the patient completed the CPQ11-14 again and reported less difficulty with consuming hot and cold foods and beverages, indicating that treatment had reduced hypersensitivity and its negative impact on her quality of life."</t>
  </si>
  <si>
    <t>Effects of low-level light therapy on dentin hypersensitivity: a systematic review and meta-analysis</t>
  </si>
  <si>
    <t>"This systematic review shows that LLLT has positive immediate, interim, and persistent DH-treatment efficacies compared with placebo (..) Further studies are warranted-RCTs with low risk of bias, consistent technical settings, comprehensive assessments, and long follow-up periods."</t>
  </si>
  <si>
    <t>Bellal</t>
  </si>
  <si>
    <t>India
(Davangere)</t>
  </si>
  <si>
    <t>Efficacy of near infrared dental lasers on dentinal hypersensitivity: a meta-analysis of randomized controlled clinical trials</t>
  </si>
  <si>
    <t>"Following the implementation of the inclusion and exclusion criteria, a total of 6 studies were included in the analysis. Near-infrared laser therapy led to statistical significant reduction in immediate and 1-month follow-up VAS (visual analog scale) scores compared to placebo/no treatment (p &lt; 0.05). Statistical heterogeneity across the studies was high (I2-96%)."
"The findings suggest that near-infrared laser therapy does have a significant immediate effect in reducing dentine hypersensitivity compared to placebo/no treatment. Furthermore, this effect is not diminished and endured at 1-month follow-up."</t>
  </si>
  <si>
    <t>Moeintaghavi</t>
  </si>
  <si>
    <t>Low level laser therapy, Er,Cr:YSGG laser and fluoride varnish for treatment of dentin hypersensitivity after periodontal surgery: A randomized clinical trial</t>
  </si>
  <si>
    <t>🧑 Human
🎲 Randomized trial
👥 24 participants (60 jaw quadrants)
⌛ single session -&gt; 1-week follow-up</t>
  </si>
  <si>
    <t>"There was a significant reduction in DH after treatment by low-level lasers, Er,Cr:YSGG laser, or fluoride varnish compared to the baseline data (P&lt;0.05), but the placebo group displayed no significant alteration in DH (P=0.069). At 1 week, the VAS score in the Er,Cr:YSGG laser group was significantly lower than that of the LLLT (P= 0.043) and placebo (P&lt;0.001) groups."</t>
  </si>
  <si>
    <t>Involvement of substance P, osteopontin and satellite glial cells on photobiomodulation-induced antinociceptive effect in an experimental model of dentin hypersensitivity</t>
  </si>
  <si>
    <t>3.5
3.5</t>
  </si>
  <si>
    <t>"Rats ingested isotonic drink (ID, pH 2.87) for 45 consecutive days and after this period received PBM irradiation at λ660 nm or λ808 nm (...)"
"[Isotonic drink] ingestion induced an increase on thermal sensitivity of DH characteristics in rats that was completely reversed by PBM treatment at both 660 and 808 nm."
"PBM reverses nociception in a DH experimental model by inhibiting neurogenic inflammation and inducing a regenerative response."</t>
  </si>
  <si>
    <t>Sgreccia</t>
  </si>
  <si>
    <t>Low-power Laser and Potassium Oxalate Gel in the Treatment of Cervical Dentin Hypersensitivity-A Randomized Clinical Trial</t>
  </si>
  <si>
    <t>🧑 Human
🎲 Randomized trial
👥 74 participants (389 NCCLs)
⌛ 4 sessions with 7-day intervals</t>
  </si>
  <si>
    <t>PBM vs potassium oxalate gel</t>
  </si>
  <si>
    <t>5.04
(3p, 1.68 per point)</t>
  </si>
  <si>
    <t>48
(3p per tooth, each 16s)</t>
  </si>
  <si>
    <t>"Potassium oxalate was more effective in reducing immediate CDH. After four applications, all groups showed similar results for the reduction of CDH."</t>
  </si>
  <si>
    <t>Brazil
(Belem)</t>
  </si>
  <si>
    <t>Effect of Nanohydroxyapatite Associated With Photobiomodulation in the Control of Dentin Hypersensitivity: A Randomized, Double-Blind, Placebo-Controlled Clinical Trial</t>
  </si>
  <si>
    <t>🧑 Human
🎲 Randomized trial, double-blind
👥 32 participants (83 teeth)
⌛ 2 treatment sessions / 30-day study</t>
  </si>
  <si>
    <t>"The use of nHAP and application of PBM to laser are effective in the control of dentin hypersensitivity. However, their association did not enhance the desensitizing effect."
Comment:: Full text not available?</t>
  </si>
  <si>
    <t>The effectiveness of home-use photobiomodulation toothbrush for treating dentin hypersensitivity: A pilot study.</t>
  </si>
  <si>
    <t>🧑 Human
🎲 Randomized trial
👥 30 participants
⌛ 1 month</t>
  </si>
  <si>
    <t>twice a day and thrice per week for a month</t>
  </si>
  <si>
    <t>"A significant reduction in dentin pain and hypersensitivity was observed in all three groups. However, the reduction was significantly greater in the combination group."</t>
  </si>
  <si>
    <t>Narayanan</t>
  </si>
  <si>
    <t>Oral Health Prev Dent</t>
  </si>
  <si>
    <t>Low-level Laser Therapy in Combination with Desensitising Agent Reduces Dentin Hypersensitivity in Fluorotic and Non-fluorotic Teeth - A Randomised, Controlled, Double-blind Clinical Trial.</t>
  </si>
  <si>
    <t>🧑 Human
🎲 Randomized trial, double-blind
👥 90 participants
⌛ single treatment -&gt; 12-week follow-up</t>
  </si>
  <si>
    <t>"Statistically, LLLT+PN was more effective in alleviating DH at all time intervals compared to baseline."
Comment: Difficult to interpret the results without the full text (not accessed).</t>
  </si>
  <si>
    <t>Guanipa Ortiz</t>
  </si>
  <si>
    <t>Effect of the casein phosphopeptide-amorphous calcium phosphate fluoride (CPP-ACPF) and photobiomodulation (PBM) on dental hypersensitivity: A randomized controlled clinical trial</t>
  </si>
  <si>
    <t>🧑 Human
🎲 Randomized trial, sham-controlled
👥 21 participants (80 teeth)
⌛ 3-day treatment -&gt; 1-month follow-up</t>
  </si>
  <si>
    <t>"The intragroup comparison showed a significant reduction in DH (p &lt; 0.05) with both stimuli after one-month follow-up. The intergroup comparison with the evaporative stimulus showed that CPP-ACPF+PBM significantly reduced DH when compared to the rest of treatments, after one-month follow-up. CPP-ACPF+PBM group statistically differed from the other treatment groups in the DHEQ evaluation after one-month follow-up."</t>
  </si>
  <si>
    <t>Tabatabaei</t>
  </si>
  <si>
    <t>Efficacy Comparison of Nd:YAG laser, diode laser and dentine bonding agent in dentine hypersensitivity reduction: a clinical trial.</t>
  </si>
  <si>
    <t>🧑 Human
⚔ Comparison study
👥 22 participants (135 teeth)
⌛ 3-week treatment / 6-month study</t>
  </si>
  <si>
    <t>810
1064</t>
  </si>
  <si>
    <t>"The efficacy of Nd:YAG laser in reduction of dentin hypersensitivity was significantly superior to that of other modalities at 3 and 6 months."</t>
  </si>
  <si>
    <t>Praveen</t>
  </si>
  <si>
    <t>India
(Puducherry)</t>
  </si>
  <si>
    <t>J Conserv Dent</t>
  </si>
  <si>
    <t>Comparative evaluation of a low-level laser and topical desensitizing agent for treating dentinal hypersensitivity: A randomized controlled trial</t>
  </si>
  <si>
    <t>🧑 Human
🎲 Randomized trial
👥 23 participants (50 teeth)
⌛ single treatment -&gt; 3-month follow-up</t>
  </si>
  <si>
    <t>0.8
cm2
spot</t>
  </si>
  <si>
    <t>180
/tooth</t>
  </si>
  <si>
    <t>"[LLLT group] showed a significant decrease in mean VAS scores when compared with [control group] at both the one week and three month follow ups (P = 0.04, P = 0.03, respectively)."</t>
  </si>
  <si>
    <t>Anhesini</t>
  </si>
  <si>
    <t>Brazil (?)</t>
  </si>
  <si>
    <t>Photobiomodulation versus direct restoration in a patient presenting with dentinal hypersensitivity: a 6-month follow-up.</t>
  </si>
  <si>
    <t>1.1
/p</t>
  </si>
  <si>
    <t>"After 6 months of clinical evaluation, both sets of teeth showed scores of 0.0 (no pain). Based on the results presented, it can be concluded that both treatments provided satisfactory outcomes when applied for the appropriate indication."</t>
  </si>
  <si>
    <t>Moraschini</t>
  </si>
  <si>
    <t>Effectiveness for dentin hypersensitivity treatment of non-carious cervical lesions: a meta-analysis.</t>
  </si>
  <si>
    <t>In-home devices only</t>
  </si>
  <si>
    <t>"Although [in-home] photobiomodulation induced the greatest percent reduction in DH, on meta-analysis, its effects were not significantly different from those of placebo. The Vieira et al. study [48] reported the smallest difference between the test and placebo groups, which had a negative impact on pairwise comparison."</t>
  </si>
  <si>
    <t>Is photobiomodulation (PBM) effective for the treatment of dentin hypersensitivity? A systematic review.</t>
  </si>
  <si>
    <t>"Based on the available evidence, PBM is an effective and contemporary therapy for the treatment of DH. It may not lead to adverse effects provided that adequately controlled parameters are followed. More consistent studies should be conducted in order to adequately observe the advantageous therapeutic effect of PBM."</t>
  </si>
  <si>
    <t>García-Delaney</t>
  </si>
  <si>
    <t>Spain
(Barcelona))</t>
  </si>
  <si>
    <t>Evaluation of the effectiveness of the photobiomodulation in the treatment of dentin hypersensitivity after basic therapy. A randomized clinical trial.</t>
  </si>
  <si>
    <t>🧑 Human
🎲 Randomized trial, self-controlled
👥 30 participants (120 teeth)
⌛ single treatment -&gt; 2 months</t>
  </si>
  <si>
    <t>THOR LX2 device</t>
  </si>
  <si>
    <t>0.173</t>
  </si>
  <si>
    <t>10.4</t>
  </si>
  <si>
    <t>1.15
cm2
area</t>
  </si>
  <si>
    <t>"There was significant difference (p&lt;0.01) in discomfort to thermal and mechanical stimulation between the control and diode laser treatment sites at all evaluation periods. The level of discomfort decreased immediately following diode laser therapy, and continued to demonstrate a decrease for the duration of the study. All teeth remained vital after laser treatment, without adverse reactions or complications."</t>
  </si>
  <si>
    <t>Evaluation of different treatment protocols for dentin hypersensitivity: an 18-month randomized clinical trial.</t>
  </si>
  <si>
    <t>🧑 Human
🎲 Randomized trial
👥 32 participants (117 lesions)
⌛ 1-week treatment / 18-month study</t>
  </si>
  <si>
    <t>3 sessions
with 72h intervals</t>
  </si>
  <si>
    <t>"The treatments performed with low-power laser at a low dose and low-power laser at a high dose were both equally effective in decreasing pain in the long-term evaluation"</t>
  </si>
  <si>
    <t>J Biomed Mater Res B Appl Biomater</t>
  </si>
  <si>
    <t>Bioactive glass plus laser phototherapy as promise candidates for dentine hypersensitivity treatment.</t>
  </si>
  <si>
    <t>Stem cells derived from deciduous teeth (SHEDs)</t>
  </si>
  <si>
    <t>"Cultures treated with BG alone or in association to LPT showed improved cell growth in relation to Gluma® (p &lt; 0.05). Gluma® was cytotoxic in all tested conditions, regardless irradiated or not. BG associated to LPT induced intense mineral matrix formation. In conclusion, BG releases ionic dissolution products able to promote SHEDs differentiation. BG associated to LPT improves SHEDs proliferation and differentiation in vitro, and may be a promise therapeutic approach for the DH treatment."</t>
  </si>
  <si>
    <t>Pandey</t>
  </si>
  <si>
    <t>Int J Appl Basic Med Res</t>
  </si>
  <si>
    <t>Treatment of dentinal hypersensitivity using low-level laser therapy and 5% potassium nitrate: A randomized, controlled, three arm parallel clinical study.</t>
  </si>
  <si>
    <t>🧑 Human
🎲 Randomized trial
👥 45 participants
⌛ 2-week treatment / 3-week study</t>
  </si>
  <si>
    <t>LLLT vs potassium nitrate toothpaste</t>
  </si>
  <si>
    <t>2
/ 2 weeks
(?)</t>
  </si>
  <si>
    <t>Comment: LLLT seemed to be better than the toothpaste alone or the combination of the toothpaste and LLLT.</t>
  </si>
  <si>
    <t>Yaghini</t>
  </si>
  <si>
    <t>Evaluation of the effect of low level laser therapy toothbrush in treatment of dentin hypersensitivity</t>
  </si>
  <si>
    <t>🧑 Human
🎲 Randomized trial
👥 40 participants
⌛ 2 months</t>
  </si>
  <si>
    <t>daily during
tooth brushing (?)</t>
  </si>
  <si>
    <t>"Both sensodyne and laser tooth brushes improve dentin hypersensitivity, although the laser toothbrush led to better results in short."</t>
  </si>
  <si>
    <t>Clinical evaluation of low-power laser and a desensitizing agent on dentin hypersensitivity.</t>
  </si>
  <si>
    <t>🧑 Human
🎲 Randomized trial
👥 27 participants (55 lesions)
⌛ 1-week treatment -&gt; 6-month follow-up</t>
  </si>
  <si>
    <t>30
100</t>
  </si>
  <si>
    <t>0.2
/p
2.5
/p</t>
  </si>
  <si>
    <t>10
90</t>
  </si>
  <si>
    <t>9/p
(4p)
11/p
(2p)</t>
  </si>
  <si>
    <t>3
3
(with 72h intervals)</t>
  </si>
  <si>
    <t>"For low-level lasers, it was observed that there were distinct effects for the different doses; however, both were efficient in reducing pain up to the 6 months of clinical follow-up. Therefore, it could be concluded that all the desensitizing protocols were effective in reducing dentin hypersensitivity, but with different effects. The combination of protocols is an interesting alternative in the treatment of cervical dentin hypersensitivity."</t>
  </si>
  <si>
    <t>Ko</t>
  </si>
  <si>
    <t>Treatment of dentin hypersensitivity with a low-level laser-emitting toothbrush: double-blind randomised clinical trial of efficacy and safety.</t>
  </si>
  <si>
    <t>🧑 Human
🎲 Randomized trial, double-blind
👥 96 participants
⌛ 4 weeks</t>
  </si>
  <si>
    <t>thrice daily
for 3 weeks</t>
  </si>
  <si>
    <t>"In the test group, pain intensity scores decreased from 5.8 ± 1.2 to 2.3 ± 1.6, and in the control group, the scores decreased from 6.4 ± 1.3 to 5.5 ± 2.0 (P &lt; 0.05). This decrease was significantly greater in the test group."
"It was concluded that the use of the low-level laser emitting toothbrush is a safe and effective treatment option for the management of DH."
Comment: The device is very interesting.
Comment: The parameters were very poorly reported.</t>
  </si>
  <si>
    <t>Doshi</t>
  </si>
  <si>
    <t>India
(Pune)</t>
  </si>
  <si>
    <t>Effect of low-level laser therapy in reducing dentinal hypersensitivity and pain following periodontal flap surgery.</t>
  </si>
  <si>
    <t>🧑 Human
🎲 Randomized trial, double-blind, split-mouth
👥 30 participants
⌛ 3-day treatment / 7-day study</t>
  </si>
  <si>
    <t>"There was statistically significant decrease in both DH and pain in the laser-irradiated site on the 7th day following periodontal flap surgery, as compared with the control site (p&lt;0.05)."</t>
  </si>
  <si>
    <t>Hashim</t>
  </si>
  <si>
    <t>Effect of the clinical application of the diode laser (810 nm) in the treatment of dentine hypersensitivity.</t>
  </si>
  <si>
    <t>🧑 Human
⚔ Comparison study
👥 5 participants (14 teeth)
⌛ 1 week</t>
  </si>
  <si>
    <t>⚔ Comparison of 2 different irradiation durations</t>
  </si>
  <si>
    <t>"The study concluded that application of diode laser (810 nm) was effective for the reduction of dentine hypersensitivity."</t>
  </si>
  <si>
    <t>Lund</t>
  </si>
  <si>
    <t>Acta Odontol Scand</t>
  </si>
  <si>
    <t>Clinical evaluation of two desensitizing treatments in southern Brazil: A 3-month follow-up.</t>
  </si>
  <si>
    <t>🧑 Human
🎲 Randomized trial, self-controlled
👥 13 participants (117 teeth)
⌛ 1-week treatment / 3-month study</t>
  </si>
  <si>
    <t>⚔ NaF 2% vs placebo vs laser</t>
  </si>
  <si>
    <t>40
(4p)</t>
  </si>
  <si>
    <t>3 sessions
with
72h intervals</t>
  </si>
  <si>
    <t>"This study showed that both tested therapies were efficacious in controlling painful symptoms associated with dentin hypersensitivity over the entire 90-day follow-up period. The treatments were able to reduce the painful symptoms caused by dentin hypersensitivity, including placebo."</t>
  </si>
  <si>
    <t>Yilmaz</t>
  </si>
  <si>
    <t>J Dent</t>
  </si>
  <si>
    <t>Clinical evaluation of Er,Cr:YSGG and GaAlAs laser therapy for treating dentine hypersensitivity: A randomized controlled clinical trial.</t>
  </si>
  <si>
    <t>🧑 Human
🎲 Randomized trial, double-blind, split-mouth
👥 51 participants (174 teeth)
⌛ single treatment -&gt; 3-month follow-up</t>
  </si>
  <si>
    <t>810
2780</t>
  </si>
  <si>
    <t>8.5
?</t>
  </si>
  <si>
    <t>60
30</t>
  </si>
  <si>
    <t>"Based on these findings, it may be concluded that both Er,Cr:YSGG and GaAlAs lasers were effective in the treatment of DH following a single application."</t>
  </si>
  <si>
    <t>Long-term effect of diode laser irradiation compared to sodium fluoride varnish in the treatment of dentine hypersensitivity in periodontal maintenance patients: a randomized controlled clinical study.</t>
  </si>
  <si>
    <t>🧑 Human
🎲 Randomized trial, sham-controlled
👥 48 participants (244 teeth)
⌛ single treatment -&gt; 6-month follow-up</t>
  </si>
  <si>
    <t>⚔ NaF 2% vs placebo varnish vs placebo laser vs laser</t>
  </si>
  <si>
    <t>8.5</t>
  </si>
  <si>
    <t>3.5
cm2</t>
  </si>
  <si>
    <t>"GaAlAs laser and NaF varnish treatments resulted in a significant reduction in the VAS scores immediately after treatments that were maintained throughout the study when compared to the baseline and placebo treatments."
"Within the limits of the study, GaAlAs laser irradiation was effective in the treatment of DH, and it is a more comfortable and faster procedure than traditional DH treatment."</t>
  </si>
  <si>
    <t>Pesevska</t>
  </si>
  <si>
    <t>Dentinal hypersensitivity following scaling and root planing: comparison of low-level laser and topical fluoride treatment.</t>
  </si>
  <si>
    <t>🧑 Human
📄 Non-randomized study, controlled
👥 30 participants
⌛ 4 days</t>
  </si>
  <si>
    <t>⚔ fluoride varnish vs laser</t>
  </si>
  <si>
    <t>630-
670</t>
  </si>
  <si>
    <t>"Complete absence of pain was achieved in 86.6% of patients treated with laser and only in 26.6% in the fluoride treated group, after the third visit. 
Based on our findings, we conclude that low-energy biostimulative laser treatment can be successfully used for treatment of dental hypersensitivity following scaling and root planing."</t>
  </si>
  <si>
    <t>Device: Scorpion D-4057A, Optika Laser, Bulgaria</t>
  </si>
  <si>
    <t>Lizarelli</t>
  </si>
  <si>
    <t>Dentin hypersensitivity clinical study comparing LILT and LEDT keeping the same irradiation parameters</t>
  </si>
  <si>
    <t>🧑 Human
🎲 Randomized trial, sham-controlled
👥 30 participants (120 premolar teeth)
⌛ 2 treatment sessions (72h interval) -&gt; 30-day follow-up</t>
  </si>
  <si>
    <t>LED phototherapy
⚔ LLLT vs LED vs sham</t>
  </si>
  <si>
    <t>630
(LED)
660
(Laser)</t>
  </si>
  <si>
    <t>25
25</t>
  </si>
  <si>
    <t>5.4
5.4</t>
  </si>
  <si>
    <t>2
/ 4 days</t>
  </si>
  <si>
    <t>"LILT and LEDT were equally effective to treat dentine hypersensitivity, a 3rd treatment session was not necessary/two sessions are enough."</t>
  </si>
  <si>
    <t>Dilsiz</t>
  </si>
  <si>
    <t>Effects of the combined desensitizing dentifrice and diode laser therapy in the treatment of desensitization of teeth with gingival recession.</t>
  </si>
  <si>
    <t>🧑 Human
🎲 Randomized trial
👥 13 participants (52 teeth)
⌛ 30-day treatment -&gt; 60-day follow-up</t>
  </si>
  <si>
    <t>3
/ 30 days</t>
  </si>
  <si>
    <t>"The immediate and late therapeutic effects of the diode laser were more evident compared with those of desensitizer toothpaste."</t>
  </si>
  <si>
    <t>Clinical evaluation of a 3% potassium oxalate gel and a GaAlAs laser for the treatment of dentinal hypersensitivity.</t>
  </si>
  <si>
    <t>🧑 Human
🎲 Randomized trial, double-blind
👥 30 participants (164 teeth)
⌛ 1-month treatment -&gt; 3-month follow-up</t>
  </si>
  <si>
    <t>⚔ oxalate vs placebo vs laser</t>
  </si>
  <si>
    <t>4 sessions
with 1-week intervals</t>
  </si>
  <si>
    <t>"No significant differences among the three groups could be detected in their efficacy at either the immediate or 3 month evaluations irrespective of the stimulus."</t>
  </si>
  <si>
    <t>Sicilia</t>
  </si>
  <si>
    <t>Immediate efficacy of diode laser application in the treatment of dentine hypersensitivity in periodontal maintenance patients: a randomized clinical trial.</t>
  </si>
  <si>
    <t>🧑 Human
🎲 Randomized trial
👥 45 participants
⌛ single treatment -&gt; 60-day follow-up</t>
  </si>
  <si>
    <t>⚔ potassium nitrate gel vs placebo vs laser</t>
  </si>
  <si>
    <t>1.5 -
2.5</t>
  </si>
  <si>
    <t>LLLT appeared to be clearly beneficial for dentin hypersensitivity.
Comments: Parameters were inadequately reported.</t>
  </si>
  <si>
    <t>Ladalardo</t>
  </si>
  <si>
    <t>Laser therapy in the treatment of dentine hypersensitivity.</t>
  </si>
  <si>
    <t>🧑 Human
📄 Non-randomized study, controlled
👥 20 participants (40 teeth)
⌛ 1-month treatment  -&gt; 60-day follow-up</t>
  </si>
  <si>
    <t>Wavelength comparison
⚔ Comparison of 660 vs 880nm laser</t>
  </si>
  <si>
    <t>35
35</t>
  </si>
  <si>
    <t>1
mm2
spot</t>
  </si>
  <si>
    <t>"The 660 nm red diode laser was more effective than the 830 nm infrared laser and a higher level of desensitization was observed at the 15 and 30 minute post-irradiation examinations. The immediate and late therapeutic effects of the 660 nm red diode laser were more evident in 25-35-year-old patients compared with those of the 830 nm infrared diode laser, in terms of the different age groups."</t>
  </si>
  <si>
    <t>Corona</t>
  </si>
  <si>
    <t>Clinical evaluation of low-level laser therapy and fluoride varnish for treating cervical dentinal hypersensitivity.</t>
  </si>
  <si>
    <t>🧑 Human
📄 Single-arm study
👥 12 participants (60 teeth)
⌛ single treatment -&gt; 30-day follow-up</t>
  </si>
  <si>
    <t>3.6
mm2</t>
  </si>
  <si>
    <t>"Data were submitted to analysis and no statistically significant difference was observed between fluoride varnish and laser. Considering the treatments separately, there was no significant difference for the fluoride varnish at the three examination periods, and for laser therapy, significant difference (P &lt; 0.05) was found solely between the values obtained before the treatment and 30 days after the first application. It may be concluded that both treatments may be effective in decreasing cervical dentinal hypersensitivity. Moreover, the low-level GaAlAs laser showed improved results for treating teeth with higher degree of sensitivity."</t>
  </si>
  <si>
    <r>
      <t xml:space="preserve">
</t>
    </r>
    <r>
      <rPr>
        <sz val="7.0"/>
      </rPr>
      <t>Gutknecht</t>
    </r>
  </si>
  <si>
    <t>Treatment of hypersensitive teeth using neodymium:yttrium-aluminum-garnet lasers: a comparison of the use of various settings in an in vivo study.</t>
  </si>
  <si>
    <t>🧑 Human
📄 Non-randomized study, self-controlled
👥 21 participants (120 teeth)
⌛ single treatment -&gt; 12-week follow-up</t>
  </si>
  <si>
    <t>300
600
1000</t>
  </si>
  <si>
    <t>30-90</t>
  </si>
  <si>
    <t>"Faced with the already successful effort of the Nd:YAG laser in the treatment of exposed tooth necks, the effectiveness of the use of different settings of the Nd:YAG laser on exposed dentine was examined in this clinical study. In the case of comparison of the therapy success of the laser settings amongst one another, no significant difference could be found. This leads us to a conclusion, that laser irradiation is therapeutically effective at very low settings."</t>
  </si>
  <si>
    <t>Gerschman</t>
  </si>
  <si>
    <t>Low level laser therapy for dentinal tooth hypersensitivity.</t>
  </si>
  <si>
    <t>830
(?)</t>
  </si>
  <si>
    <t>4
/ 8 weeks</t>
  </si>
  <si>
    <t>"The mean value of thermal sensitivity decreased 67 per cent (p &lt; 0.001) compared with placebo (17 per cent) and tactile sensitivity decreased 65 per cent (p = .002) compared with placebo (21 per cent) at eight weeks. Results demonstrate that the GaAlAs laser is an effective method for the treatment of both thermal and tactile dentinal hypersensitivity. There were no reported adverse reactions or instances of oral irritation."
Comment: It seems that the exact wavelength wasn't mentioned in the full text, but it can be assumed it might have been 830nm, because they used GaAlAs laser. Those are in wavelength range of 790-880 nm.</t>
  </si>
  <si>
    <t>Gelskey</t>
  </si>
  <si>
    <t>Canada
(Winnipeg)</t>
  </si>
  <si>
    <t>J Can Dent Assoc</t>
  </si>
  <si>
    <t>The effectiveness of the Nd:YAG laser in the treatment of dental hypersensitivity.</t>
  </si>
  <si>
    <t>🧑 Human
⚔ Comparison study, randomized, double-blind, no negative control
👥 19 participants
⌛ single treatment -&gt; 3-month follow-up (?)</t>
  </si>
  <si>
    <t>633
or
633+
1064?</t>
  </si>
  <si>
    <t>"He:Ne and He:Ne + Nd:YAG laser treatment can be used to reduce dentin hypersensitivity without detrimental pulpal effects."</t>
  </si>
  <si>
    <t>Dentin mechanical sensitivity (neural)</t>
  </si>
  <si>
    <t>Orchardson &amp; Whitters</t>
  </si>
  <si>
    <t>UK
(Glascow, Scotland)</t>
  </si>
  <si>
    <t>Effect of HeNe and pulsed Nd:YAG laser irradiation on intradental nerve responses to mechanical stimulation of dentine.</t>
  </si>
  <si>
    <t>Ferret</t>
  </si>
  <si>
    <t>633
1064 ?</t>
  </si>
  <si>
    <t>"HeNe lasing had no effect on intradental nerve excitability. The Nd:YAG laser could depress intradental nerve responses to dentine stimulation."</t>
  </si>
  <si>
    <t>Dentistry: lasers vs LEDs</t>
  </si>
  <si>
    <t>Lesniewski</t>
  </si>
  <si>
    <t>USA
(Stony Brook, NY)</t>
  </si>
  <si>
    <t>Comparing the Use of Diode Lasers to Light-Emitting Diode Phototherapy in Oral Soft and Hard Tissue Procedures: A Literature Review</t>
  </si>
  <si>
    <t>"According to existent data, diode lasers and LEDs are equally effective tools for the phototherapy in periodontology and oral surgery. Although fewer studies exist examining the use of LED for phototherapy, the studies all revealed positive results. Further clinical comparative investigations utilizing both diode lasers and LED are needed to determine superiority of this application for periodontal management and oral surgery."</t>
  </si>
  <si>
    <t>Biomater Investig Dent</t>
  </si>
  <si>
    <t>The power of light - From dental materials processing to diagnostics and therapeutics</t>
  </si>
  <si>
    <t>"There now exists encouraging data for PBM applications in a wide range of oral hard and soft tissues which cover a number of key dental specialities, including endodontics, periodontics, orthodontics, paediatric, prosthodontics and maxillofacial surgery [131]."</t>
  </si>
  <si>
    <t>Salazar</t>
  </si>
  <si>
    <t>Peru
(Lambayeque)</t>
  </si>
  <si>
    <t>F1000Res</t>
  </si>
  <si>
    <t>A systematic review of trends in photobiomodulation in dentistry between 2018 and 2022: advances and investigative agenda</t>
  </si>
  <si>
    <t>Bibliographic analysis</t>
  </si>
  <si>
    <t>"The findings of this study demostrate that the scientific production related to PBM adheres to a growth power law, exhibiting characteristics of both exponential and linear phases. Notably, recent research trends emphasize critical concepts such as laser therapy, orthodontics, and dental pulp stem cells. Particularly significant is the burgeoning interest in utilizing PBM within dentistry as a complementary alternative to existing protocols."</t>
  </si>
  <si>
    <t>Cordon</t>
  </si>
  <si>
    <t>Photobiomodulation in Pain Control in Diseases of the Oral Cavity: Overview (Evidence Map) and Its Implementation in Integrative Complementary Medicine</t>
  </si>
  <si>
    <r>
      <rPr>
        <sz val="6.0"/>
      </rPr>
      <t>"Despite the positive potential of PBM in the treatment and control of pain in diseases of the oral cavity, complete information on dosimetry in published studies with PBM is still lacking, making it difficult to reproduce the results found."
Link to the evidence map presented</t>
    </r>
    <r>
      <rPr>
        <color rgb="FF000000"/>
        <sz val="6.0"/>
      </rPr>
      <t xml:space="preserve">: </t>
    </r>
    <r>
      <rPr>
        <color rgb="FF1155CC"/>
        <sz val="6.0"/>
        <u/>
      </rPr>
      <t>https://public.tableau.com/profile/bireme#!/vizhome/laserterapia-pt/evidence-map</t>
    </r>
  </si>
  <si>
    <t>Rathod</t>
  </si>
  <si>
    <t>India
(Wardha)</t>
  </si>
  <si>
    <t>Implementation of Low-Level Laser Therapy in Dentistry: A Review</t>
  </si>
  <si>
    <t>"In many dental specialties, LLLT is a useful adjunctive treatment."</t>
  </si>
  <si>
    <t>Fiani</t>
  </si>
  <si>
    <t>Regen Med</t>
  </si>
  <si>
    <t>Laser oromaxillofacial photobiomodulation therapy: molecular mechanisms, outcomes and considerations</t>
  </si>
  <si>
    <t>"Photobiomodulation therapy is largely characterized as a safe therapeutic model that can modulate the activity of inflammatory and immune biomarkers while facilitating a metabolic response that can regenerate damaged tissue."</t>
  </si>
  <si>
    <t>Parker</t>
  </si>
  <si>
    <t>Current Concepts of Laser-Oral Tissue Interaction</t>
  </si>
  <si>
    <t>"The aim of this review is to examine the differential performance of the separate components of oral hard and soft tissues when exposed to laser photonic irradiance of variable wavelengths and power values. Through an examination of peer-reviewed published data and materials, the interaction of laser photonic energy and target tissues are explored in detail."</t>
  </si>
  <si>
    <t>Vahdatinia</t>
  </si>
  <si>
    <t>Iran
(Hamandan)</t>
  </si>
  <si>
    <t>Photobiomodulation in Endodontic, Restorative, and Prosthetic Dentistry: A Review of the Literature.</t>
  </si>
  <si>
    <t>"In general, findings of clinical studies have shown that PBMT can have a significant role in reducing postoperative dental pain, increasing depth of anesthesia, improving tooth hypersensitivity, reducing inflammation of the tissue, and helping wound healing.
"Conclusions: A review of clinical studies showed that the use of alternative or adjunctive PBMT is of great importance in controlling postoperative pain after endodontic treatments. In addition, evidence suggests that different parameters of light can be efficient in the treatment of tooth hypersensitivity. Nevertheless, lack of sufficient clinical studies and reliable results do not allow introducing a precise treatment protocol."</t>
  </si>
  <si>
    <t>Kalhori</t>
  </si>
  <si>
    <t>Photobiomodulation in Oral Medicine.</t>
  </si>
  <si>
    <t>"Methods: In this study, published clinical studies up to April 2019 were reviewed from library sources, Google Scholar, PubMed and Medline, Elsevier, Embase, Cochrane, Scopus, and Web of science (ISI). 
Results: In general, the findings of this study showed that PBMT has had a positive effect on the treatment of oral lichen planus, recurrent aphthous stomatitis, hyposalivation, pemphigus vulgaris, recurrent herpes simplex, burning mouth syndrome, bisphosphonate-related osteonecrosis of the jaw, trigeminal neuralgia, facial nerve paralysis, geographic tongue, and chronic sinusitis. 
Conclusions: PBMT can be effective (as an alternative treatment or in combination with other therapies) in improving symptoms or in the complete treatment of oral diseases. However, further clinical studies are still necessary to achieve more robust results."</t>
  </si>
  <si>
    <t>Nadhreen</t>
  </si>
  <si>
    <t>Saudi Arabia &amp; Egypt</t>
  </si>
  <si>
    <t>Low-level laser therapy in dentistry: Extra-oral applications.</t>
  </si>
  <si>
    <t>This review demonstrates the marked effectiveness of LLLT in the management of many conditions and how it could improve the quality of life of many patients.</t>
  </si>
  <si>
    <t>Merigo</t>
  </si>
  <si>
    <t>Photobiomodulation Therapy in Oral Medicine: A Guide for the Practitioner with Focus on New Possible Protocols.</t>
  </si>
  <si>
    <t>"In literature, a great number of works are reported showing the advantages of PBM use in many oral diseases such as recurrent aphthous stomatitis, herpes infections, mucositis, and burning mouth syndrome. 
Different factors may explain the increasing reported use of PBM in oral medicine: the absence of side effects, the possibility of safely treating compromised patients such as oncologic patients, the possibility of a noninvasive approach not associated with pain or discomfort, and the possibility of performing short sessions. 
The review's aim is to describe the possible applications of PBM in oral medicine, giving practitioners simple guide for practice together with the information of a new treatment possibility "at home" performed by the patient himself under supervision."</t>
  </si>
  <si>
    <t>Learning from clinical phenotypes: Low-dose biophotonics therapies in oral diseases.</t>
  </si>
  <si>
    <t>(Parameters)</t>
  </si>
  <si>
    <t>"The similarities and differences between two distinct forms of low-dose biophotonics treatments namely photodynamic therapy and photobiomodulation therapy are discussed. As evident in this review, a majority of these reports provide promising evidence for their clinical efficacy. However, a lack of adequate technical details, precise biological rationale, and limited outcome measures limits the current utility of these treatments. Future investigations should attempt to address these shortcomings and develop better designed, rigorous, controlled studies to fully harness the tremendous potential of low-dose biophotonics therapies."</t>
  </si>
  <si>
    <t>Milward</t>
  </si>
  <si>
    <t>DentalUpdate</t>
  </si>
  <si>
    <t>Low level light therapy (LLLT) for the treatment and management of dental and oral diseases</t>
  </si>
  <si>
    <t>"Low Level Light (Laser) Therapy (LLLT) is the direct application of light to stimulate cell and tissue responses (photobiomodulation) to promote healing, reduce inflammation and induce analgesia. Studies have demonstrated its application and efficacy for the treatment of a range of injuries and diseases at many sites within the body. However, its application in dentistry and for oral disease treatment has been limited. This review aims to provide background information on LLLT which relates to its current application in medicine, its mechanism of action and delivery parameters, while considering its potential for dental and oral therapeutic applications."
"Low level light therapy has the potential to have substantial impact for the treatment and management of oral diseases and pain."</t>
  </si>
  <si>
    <t>Pandeshwar</t>
  </si>
  <si>
    <t>J Investig Clin Dent</t>
  </si>
  <si>
    <t>Photobiomodulation in oral medicine: a review.</t>
  </si>
  <si>
    <t>"Current literature reports the potential of PBM in various applications in oral medicine. Furthermore, well-documented research confirms its efficacy in certain conditions, such as oral mucositis, recurrent herpes simplex infection, and burning mouth syndrome. The absence of any reported adverse effects is an advantage over conventional therapeutic modalities. While PBM has proved to be effective for some specific applications, it is not a panacea."</t>
  </si>
  <si>
    <t>Nammour S</t>
  </si>
  <si>
    <t>Belgium
(Liege)</t>
  </si>
  <si>
    <t>Chronology of the Use of the Laser Beam in Dentistry, and the State of Postgraduate University Education Programs in this Domain.</t>
  </si>
  <si>
    <t>"Worldwide, the total number of universities offering postgraduate programs for laser dentistry is *31 (Fig. 1)"
"Further, between 2006 and 2008, seven European universities decided to join their efforts in the European Master Degree in Oral Laser Applications (EMDOLA) group, to increase the quality of the education program in laser dentistry."
"The universities involved in the EMDOLA program are Liege University (Belgium), Aachen University (Germany), Barcelona University (Spain), Parma University (Italy), Roma La Sapienza University (Italy), Nice University (France), and Timisoara University (Romania)."</t>
  </si>
  <si>
    <t>Carroll</t>
  </si>
  <si>
    <t>UK
(Chesham)</t>
  </si>
  <si>
    <t>Dent Mater</t>
  </si>
  <si>
    <t>Developments in low level light therapy (LLLT) for dentistry.</t>
  </si>
  <si>
    <t>"The initial search returned 2778 results, when filtered this was reduced to 153. 41 were review papers or editorials, 65 clinical and 47 laboratory studies.
Of all the publications, 130 reported a positive effect in terms of pain relief, fast healing or other improvement in symptoms or appearance and 23 reported inconclusive or negative outcomes.
Direct application of light as a therapeutic intervention within the oral cavity (rather than photodynamic therapies, which utilize photosensitizing solutions) has thus far received minimal attention.
Data from the limited studies that have been performed which relate to the oral cavity indicate that LLLT may be a reliable, safe and novel approach to treating a range of oral and dental disorders and in particular for those which there is an unmet clinical need."</t>
  </si>
  <si>
    <t>Dental laser phototherapy.</t>
  </si>
  <si>
    <t>History of PBM/LLLT in dentistry
(Coherence: LED vs laser)</t>
  </si>
  <si>
    <t xml:space="preserve">"In a survey of the literature up to the year 2001,353 studies on laser phototherapy (LPT) with a dental connection were identified, and 94% of these reported a positive effect. A total of 98 dental institutions in 38 countries were identified in this survey. That would appear to be a good base for an acceptance of a comparatively new treatment modality. In contrast, however, &lt; 12 dental studies were found on PubMed, suggesting a different story. "
"LEDs have been suggested as a replacement for lasers, and many studies have confirmed the efficacy of both light sources. Some studies have compared the effects of lasers and LEDs in dental applications and have confirmed the usefulness of both. However, the light parameters have been too different to make any conclusions possible.7 It appears that the effects of LEDs are more similar to lasers when used for superficial structures, whereas lasers are more effective in the treatment of bulk tissues.8"
"LPT is a phenomenon that works for all cells containing mitochondria, and the beauty of the treatment is that is works for so many conditions."
</t>
  </si>
  <si>
    <t>Ross G</t>
  </si>
  <si>
    <t>Canada
(Tottenham)</t>
  </si>
  <si>
    <t>Photobiomodulation in dentistry.</t>
  </si>
  <si>
    <t>A surprisingly extensive editorial on the use of LLLT/PBM in dentistry.
"As a practicing dentist for over 40 years, I have been fortunate to have used laser therapy clinically for my patients for over half that time. The results seen throughout the years have continued to improve, and I can now treat a number of conditions that would otherwise cause stress both for me and the patient."
"My use of analgesics and pharmaceutical pain management has decreased by ~90%"
"The reduction in postoperative pain without the use of medications has dramatically changed the way patients view their dental procedures, and makes dentistry a more pleasant experience. Whereas dentistry has always been closely associated with pain and has even been feared, its reputation is now changing dramatically, especially in the younger generations that experience this type of 'pain-free dentistry.'"
"In cases where there is postoperative pain from a procedure, it can be managed and eliminated quickly and effectively."
"The number of root canals required has been reduced by ~50%, primarily because the significant inflammation caused by deep cavities that leads to a root canal treatment can be modulated by laser irradiation. Managing the inflammation at the cavity stage decreases the probability that it will cause pulpal death and ultimately necessitate a root canal."</t>
  </si>
  <si>
    <t>Laser dentistry, current advantages, and limits.</t>
  </si>
  <si>
    <t>Ross &amp; Ross</t>
  </si>
  <si>
    <t>J Laser Dent</t>
  </si>
  <si>
    <t>Photobiomodulation: An Invaluable Tool for All Dental Specialties</t>
  </si>
  <si>
    <t>"Photobiomodulation can be used effectively in dental specialties to better manage treatments that are often deemed painful by patients, without prescribing pharmaceuticals that often have a number of side effects. All healthcare professionals, including dentists and dental specialists, should further investigate photobiomodulation to enhance their clinical treatments and outcomes."</t>
  </si>
  <si>
    <t>Low level lasers in dentistry.</t>
  </si>
  <si>
    <t>"Low level laser therapy (LLLT) uses light energy, in the form of adenosine triphosphate (ATP), to elicit biological responses in the body. The increased cellular energy and changes in the cell membrane permeability result in pain relief, wound healing, muscle relaxation, immune system modulation, and nerve regeneration. This article investigates the clinical effects of LLLT and explains how it can be applied in the dental field."</t>
  </si>
  <si>
    <t>Sun &amp; Tunér</t>
  </si>
  <si>
    <t>USA
(Madison, WI)</t>
  </si>
  <si>
    <t>Dent Clin North Am</t>
  </si>
  <si>
    <t>Low-level laser therapy in dentistry.</t>
  </si>
  <si>
    <t>"Low-level laser therapy (LLLT) is a newly developing technique in dentistry, although it has been used among medical, dental, physiotherapy, and veterinary professions in some parts of the world for decades."
"LLLT can offer tremendous therapeutic benefits to patients, such as accelerated wound healing and pain relief. There is much to be learned about the mechanisms, recognition of the therapeutic window, and how to properly use these cellular phenomena to reach the treatment goals."</t>
  </si>
  <si>
    <t>Wilder-Smith P</t>
  </si>
  <si>
    <t>Oral Surg Oral Med Oral Pathol</t>
  </si>
  <si>
    <t>The soft laser: therapeutic tool or popular placebo?</t>
  </si>
  <si>
    <t>🧑 Human
📄 Multiple small experiments
👥 20 participants (dentin hypersensitivity),
     10 participants (gingivitis),
     30 participants (pulp capping),
     20 participants (herpes labialis),
     20 participants (nausea)</t>
  </si>
  <si>
    <t>Hypersensitive dentin
Gingivitis
Pulp-capped teeth
Herpes labialis
Nausea</t>
  </si>
  <si>
    <t>5.6
(?)</t>
  </si>
  <si>
    <t>d = 
4 mm</t>
  </si>
  <si>
    <t xml:space="preserve">"Clinical trails demonstrated no advantage in augmenting or replacing conventional treatment of these conditions with soft laser therapy, despite its positive effect on patient attitude toward treatment."
In their commentary, Merritt and Burns wrote that: "We would guess that the author has used a subminimal dose and then claimed, in error, that low-power laser therapy is of no use."
</t>
  </si>
  <si>
    <t>Nagasawa</t>
  </si>
  <si>
    <t>Clinical applications of LLLT in dental and oral surgery in the Urawa clinic</t>
  </si>
  <si>
    <t>Report (LLLT in clinic)</t>
  </si>
  <si>
    <t>"An excellent pain relief effect has been confirmed in various painful diseases in the oral and maxillofacial regions by LLLT with the diode or the HeNe laser. Extremely severe pain which was difficult to reduce by any traditional treatment was able to be relieved by a few sessions of LLLT without recurrence and problems for a long period following LLLT."
"In addition to the above-mentioned applications of LLLT, the succesful results have been obtained in the Urawa Clinic as follows: 
(a) LLLT for severe ulcerative diseases with the diode or the HeNe laser. (
b) Enchancement of wound healing with the diode or the HeNe laser. 
(c) Controlling postoperative bleeding with the HeNe laser. (
d) Therapy for trismus with the diode laser. 
(e) Therapy for vasclogenetic red coloured lesions of the BVA group with the HeNe laser. (
f) Polymerization of photo-reactive dental resin with the argon laser."</t>
  </si>
  <si>
    <t>Denture stomatitis</t>
  </si>
  <si>
    <t>Maciel</t>
  </si>
  <si>
    <t>J Prosthodont</t>
  </si>
  <si>
    <t>Methylene Blue-Mediated Photodynamic Inactivation Followed by Low-Laser Therapy versus Miconazole Gel in the Treatment of Denture Stomatitis.</t>
  </si>
  <si>
    <t>🧑 Human
⚔ Comparison study
👥 40 participants
⌛ 1 PDT session and 4 LLLT sessions during 2 weeks</t>
  </si>
  <si>
    <t xml:space="preserve">⚔ micozanole with or without PDT+LLLT </t>
  </si>
  <si>
    <t>Miconazole had a better cure rate than PDT (with methylene blue) + LLLT (80% vs 40%).</t>
  </si>
  <si>
    <t>Simunović-Soskić</t>
  </si>
  <si>
    <t>Salivary levels of TNF-alpha and IL-6 in patients with denture stomatitis before and after laser phototherapy.</t>
  </si>
  <si>
    <t>🧑 Human
🎲 Randomized trial, sham-controlled
👥 40 participants
⌛ 4 weeks</t>
  </si>
  <si>
    <t>d =
2 mm?</t>
  </si>
  <si>
    <t>TNF-alpha and IL-6 decreased significantly more in LLLT group.</t>
  </si>
  <si>
    <t>Maver-Biscanin</t>
  </si>
  <si>
    <t>Effect of low-level laser therapy on Candida albicans growth in patients with denture stomatitis.</t>
  </si>
  <si>
    <t>🧑 Human
📄 Case series
👥 2 cases</t>
  </si>
  <si>
    <t>"Our observations indicate that LLLT might be valuable in the treatment of denture stomatitis."</t>
  </si>
  <si>
    <t>BTL2000 laser
685 and 830 nm</t>
  </si>
  <si>
    <t>Fungicidal effect of diode laser irradiation in patients with denture stomatitis.</t>
  </si>
  <si>
    <t>🧑 Human
🎲 Randomized trial
👥 70 participants
⌛ 5 days</t>
  </si>
  <si>
    <t>3.0
3.0</t>
  </si>
  <si>
    <t>"A fungicidal effect was achieved in the laser treated and antimicotic treated groups, whereas most subjects in the placebo group were found to have unchanged conditions"</t>
  </si>
  <si>
    <t>Marei</t>
  </si>
  <si>
    <t>J Prosthet Dent</t>
  </si>
  <si>
    <t>Effect of low-energy laser application in the treatment of denture-induced mucosal lesions.</t>
  </si>
  <si>
    <t>🧑 Human
📄 Non-randomized study, controlled
👥 18 participants
⌛ 3-week treatment / 4-week study</t>
  </si>
  <si>
    <t>⚔ denture removal vs relining vs laser</t>
  </si>
  <si>
    <t>90
/ lesion</t>
  </si>
  <si>
    <t>every other day for 3 weeks (~10 sessions)</t>
  </si>
  <si>
    <t>"The results revealed that lesions in the group treated with laser irradiation were clinically superior in healing when compared with the other groups. Histologic evidence of the therapeutic effect of lasers in healing denture-induced mucosal lesions was demonstrated. "
"These findings suggest the effect of therapeutic laser treatment on both soft tissue and bone with subsequent improvement of denture foundation after treatment of denture-induced mucosal lesions."
Comment: Only the peak power (12W) is given. According to pulse duration (2.82 Hz) and frequency (200 nsec), it appears that the average output power is only about 0.007 mW. If that is true, I wonder how a 904nm light can have any effects. Though, Karu has shown in cell monolayers that pulsing might improve the effect and also, some research with 980nm light has shown that the dose response curve is different with some of the higher wavelengths.</t>
  </si>
  <si>
    <t>Toomarian</t>
  </si>
  <si>
    <t>Stimulatory effect of low-level laser therapy on root development of rat molars: a preliminary study.</t>
  </si>
  <si>
    <t>"Root development was more advanced in irradiated groups than in the non-irradiated controls (p &lt; 0.001). No significant differences, however, could be found between the root development changes in the three-time and five-time laser therapy groups (p &gt; 0.05). Histological findings showed that the occurrence of secondary cement formation was significantly higher in the irradiation groups compared to the controls (p = 0.003). However, there were no statistically significant differences for the frequencies of pulp hyperemia, periodontal ligament fiber organization, or lamina dura remodeling between the groups (p &gt; 0.05)."
"Under the conditions used in this study, 808-nm low-level laser accelerates the rat molar root development in the presence of favorable histological reactions."</t>
  </si>
  <si>
    <t>Dry mouth (xerostomia / hyposalivation)</t>
  </si>
  <si>
    <t>Varellis</t>
  </si>
  <si>
    <t>Complement Ther Clin Pract</t>
  </si>
  <si>
    <t>Evaluation of photobiomodulation in the salivary production of patients with hyposalivation induced by antihypertensive drugs - A blind, randomized, controlled clinical trial</t>
  </si>
  <si>
    <t>🧑 Human
🎲 Randomized trial, sham-controlled
👥 41 participants
⌛ 4 weeks</t>
  </si>
  <si>
    <t>4/p
(20p)</t>
  </si>
  <si>
    <t>"The intragroup analysis (before and after treatment) shows a significant difference for both non-stimulated and stimulated salivary flow in the photobiomodulation group (p = 0.0007 and p = 0.0001, respectively). Comparing the placebo with the photobiomodulation group, significant differences were found for both non-stimulated (p = 0.0441) and stimulated salivary flow (p = 0.0441) after the treatment. No significant differences were found in pH, total protein concentration, calcium concentration."
"Despite the usage of drugs that influence the nervous system and typically result in a reduction of saliva production, photobiomodulation demonstrated a remarkable ability to enhance saliva production by a significant 75%."</t>
  </si>
  <si>
    <t>Mozaffari</t>
  </si>
  <si>
    <t>Evaluation of the Effect of Photobiomodulation on Radiation-Induced Xerostomia in Head and Neck Cancer Patients: A Randomized Clinical Trial</t>
  </si>
  <si>
    <t>🧑 Human
🎲 Randomized trial, sham-controlled
👥 37 participants
⌛ 6 weeks</t>
  </si>
  <si>
    <t>2.85</t>
  </si>
  <si>
    <t>0.28 cm2</t>
  </si>
  <si>
    <t>"In the sixth week, the case group produced more stimulated saliva than the control group (P=0.006). They also had less subjective xerostomia than the control group in weeks four to six."</t>
  </si>
  <si>
    <t>do Amaral Silva</t>
  </si>
  <si>
    <t>Immediate effects of photobiomodulation on saliva production</t>
  </si>
  <si>
    <t>🧑 Human
🎲 Randomized trial, sham-controlled
👥 100 participants
⌛ single session</t>
  </si>
  <si>
    <t>"The bioinhibitory action of photobiomodulation on healthy salivary glands occurred at a dose of 18J and 24J, while the biostimulant action happened at a dose of 9J, regardless of demographic, anthropometric variables and medication use. The self-perception of reduced salivary flow occurred at 24J."</t>
  </si>
  <si>
    <t>Lopez-Garzon</t>
  </si>
  <si>
    <t>Efficacy of photobiomodulation therapy combined with mobile health education in patients with head and neck cancer suffering from chronic xerostomia after radiotherapy: protocol for a three-arm, randomised, placebo-controlled, double-blinded study</t>
  </si>
  <si>
    <t>"A prospective, three-arm, randomised, placebo-controlled, double-blinded study will be conducted among patients with head and neck cancer suffering from chronic xerostomia. A total of 20 patients per arm will be included and randomly assigned to receive 7.5 J/cm2 of PBM, 3 J/cm2 of PBM or placebo therapy. PBM therapy will be applied during 24 sessions at 22 points extra and intraorally two times per week for 3 months, combined with a mobile application (https://www.laxer.es). The assessments will be recorded at the beginning of the study, at postintervention and at the 6-month follow-up. The primary outcomes will be QoL, oral health, salivary secretion and salivary gland ultrasound. The pain pressure threshold, functional performance, mood and sleep quality will be secondary indicators."</t>
  </si>
  <si>
    <t>The supportive use of photobiomodulation on salivary glands: a narrative review and meta-analysis</t>
  </si>
  <si>
    <t>"After a broad search of the literature, eight clinical studies were selected."
"In a safe way, the studies found that extra-oral stimulation of the salivary glands has benefits in the hyposalivation and changes in salivary flow resulting from lesions by radiotherapy. A meta-analysis found significant values in pain comparing the pre- and post-treatment moments (MD - 3.02, I2 95%, IC - 5.56; - 0.48) and for stimulated salivary flow at 30 days after the end of radiotherapy (MD 2.90, I2 95%, IC 1.96; 3.84).
"</t>
  </si>
  <si>
    <t>Impact of low-level laser therapy on the quality of life of patients with xerostomia undergoing head and neck radiotherapy: a systematic review</t>
  </si>
  <si>
    <t>"Three studies described as randomized clinical trials were included, one of which was a randomized pilot study and only one was a prospective clinical trial. 
A total of 126 patients were evaluated, all four studies used the infrared wavelength, with two studies using the combination with the red wavelength. 
It was observed that low-level laser therapy can change the sensation of dry mouth, improving patients' quality of life. In addition, changes related to increased stimulated and unstimulated salivary flow were also identified."</t>
  </si>
  <si>
    <t>Schepanski</t>
  </si>
  <si>
    <t>Evaluation of photobiomodulation therapy (PBMT) on salivary flow and composition in head and neck cancer patients undergoing radiation therapy</t>
  </si>
  <si>
    <t>🧑 Human
📄 Single-arm study
👥 30 participants
⌛ varying (5-10 weeks)</t>
  </si>
  <si>
    <t>15-20
(2-3 per week)</t>
  </si>
  <si>
    <t>"PBMT prevented a significant reduction in SFR and xerostomia induced by radiation therapy. These findings suggest that PBMT prevents salivary gland damage minimizing the decline in salivary flow."</t>
  </si>
  <si>
    <t>Derikvand</t>
  </si>
  <si>
    <t>Iran
(Borujerd)</t>
  </si>
  <si>
    <t>The Photobiomodulation effect of 980 nm Diode Laser on Patients with Xerostomia</t>
  </si>
  <si>
    <t>🧑 Human
📄 Single-arm study
👥 28 participants
⌛ 20 days</t>
  </si>
  <si>
    <t>10
/ 20 days</t>
  </si>
  <si>
    <t>"The volume (P &lt; 0.0001) and the weight (P &lt; 0.0001) of the saliva were increased by using a 980 nm diode laser. While, in smokers and diabetic patients with hypertension, no significant difference was observed in either saliva volume (P = 0.593, P = 0.092) or weight (P = 0.785, P = 0.089)."</t>
  </si>
  <si>
    <t>Brazil
(Brasilía)</t>
  </si>
  <si>
    <t>A scoping review on hyposalivation associated with systemic conditions: the role of physical stimulation in the treatment approaches</t>
  </si>
  <si>
    <t>"Fourteen studies evaluated individuals with hyposalivation: 6 applied TENS, 6 applied low-level laser therapy (LLLT), and 2 applied acupuncture, carried out in post-chemotherapy, medication use, postmenopausal women, hemodialysis patients, smokers, diabetics, Sjögren's syndrome (SS). All showed increased salivation after treatment, except for two LLLT studies in individuals with SS."
"A study evaluating SS patients who were treated with LLLT showed an increase in salivary flow at the end of the protocol, greater than the placebo group, reporting a stability until the 3rd month of follow-up and a reduction from the 3rd to the 6thmonth [34]. However, divergent results were observed in another similar study (no difference in the salivary flow using laser vs. placebo) [38]. Nevertheless, the LLLT presented positive results for treating patients with drug-associated hyposalivation [22, 33]. This was confirmed by calculating cross-study averages of the salivary increase, suggesting that SS is the worst condition to recover the function of salivary glands."</t>
  </si>
  <si>
    <t>Photobiomodulation for the management of xerostomia and oral mucositis in patients with cancer: a randomized clinical trial</t>
  </si>
  <si>
    <t>🧑 Human
🎲 Randomized trial, sham-controlled
👥 53 participants
⌛ during RT -&gt; 2-week follow-up --&gt; 1-12 month follow-up</t>
  </si>
  <si>
    <t>808
(EO)
606
(IO)</t>
  </si>
  <si>
    <t>0.098
cm2
spot
size</t>
  </si>
  <si>
    <t>3
/point
(EO)
(22 points)
+
10
/point
(IO)
(21 points)</t>
  </si>
  <si>
    <t>weekly
during
RT or CRT</t>
  </si>
  <si>
    <t>"QoL scores significantly increased in the Sham group (p &lt; 0.0001), denoting more severe xerostomia symptoms (p = 0.0074), and decreased in the PBM-T group, indicating no or very mild xerostomia. Higher grades of OM were found in the Sham group than the PBM-T group (p = 0.0001)."
"PBM-T improved QoL in patients with head and neck cancer treated with radiotherapy, whether as radiation alone or as an adjunct to chemotherapy and surgery."</t>
  </si>
  <si>
    <t>Ferrandez-Pujante</t>
  </si>
  <si>
    <t>Efficacy of Photobiomodulation in Reducing Symptomatology and Improving the Quality of Life in Patients with Xerostomia and Hyposalivation: A Randomized Controlled Trial</t>
  </si>
  <si>
    <t>🧑 Human
🎲 Randomized trial, sham-controlled
👥 60 participants
⌛ 6 weeks</t>
  </si>
  <si>
    <t>"The patients subjected to PBM therapy showed a significant improvement of xerostomia based on the drainage test, and of oral quality of life (p &lt; 0.001). 
The depression score of the HAD (HAD-D) and the ESS showed improvement, though without reaching statistical significance (p &gt; 0.05). 
The placebo group showed significant changes in the xerostomia VAS score at 6 weeks (p = 0.009), with no variations in any of the other studied parameters (p &gt; 0.05). The beneficial effects of the diode laser in the PBM group persisted at one year post-treatment."</t>
  </si>
  <si>
    <t>Golež</t>
  </si>
  <si>
    <t>Effects of low-level light therapy on xerostomia related to hyposalivation: a systematic review and meta-analysis of clinical trials</t>
  </si>
  <si>
    <t>"Of those, 47 articles were used for full-text analysis and 18 were used for a systematic review, 14 were used in meta-analysis.
According to their individual quality, most articles were classified as high quality of evidence according to the GRADE score.
Meta-analysis of the evidence observed increase of unstimulated salivary flow 0.51 SMD compared to placebo (95% CI: 0.16-0.86), I2 = 50%, p = 0.005
The findings of our review revealed evidence of a beneficial effect of photobiomodulation therapy on salivary gland function. The therapy alleviates xerostomia and hyposalivation. However, these effects are reported short term only and did not induce lasting effects of photobiomodulation therapy on patients' quality of life."</t>
  </si>
  <si>
    <t>Evaluation of the salivary function of patients in treatment with radiotherapy for head and neck cancer submitted to photobiomodulation</t>
  </si>
  <si>
    <t>🧑 Human
📄 Single-arm study
👥 23 participants
⌛ PBM during radiotherapy -&gt; 1-month follow-up</t>
  </si>
  <si>
    <t>15
(IO)
+
30
(EO)</t>
  </si>
  <si>
    <t>3/week during the RT, 17 sessions on average</t>
  </si>
  <si>
    <t>"Based upon the results of this study it was possible to conclude that the use of photobiomodulation did not significantly interfere with the xerostomia complaint of patients in treatment with radiotherapy, however, it does seem to prevent patients from reaching higher degrees of xerostomia taking into account salivary flow measures."</t>
  </si>
  <si>
    <t>Pavesi</t>
  </si>
  <si>
    <t>Effects of photobiomodulation in salivary glands of chronic kidney disease patients on hemodialysis</t>
  </si>
  <si>
    <t>🧑 Human
🎲 Randomized trial, sham-controlled
👥 44 participants
⌛ 14 days</t>
  </si>
  <si>
    <t>4
/site</t>
  </si>
  <si>
    <t>3
/ 14 days</t>
  </si>
  <si>
    <t>"At baseline, most subjects had self-perception of poor oral health (52.6%) and salivary dysfunction (63.1%). Clinical exam revealed that 47.3% of subjects presented dry mucosa. 
PBMT promoted increase of the non-stimulated (p = 0.027) and stimulated saliva (p = 0.014) and decrease of urea levels in both non-stimulated (p = 0.0001) and stimulated saliva (p = 0.0001)."</t>
  </si>
  <si>
    <t>Autops Case Rep</t>
  </si>
  <si>
    <t>Photobiomodulation in the treatment of xerostomia associated with hyposalivation in a pediatric patient with systemic scleroderma</t>
  </si>
  <si>
    <t>🧑 Human
📄 Case report
⌛ ~ 2-week treatment -&gt; 2-year follow-up</t>
  </si>
  <si>
    <t>100+
100</t>
  </si>
  <si>
    <t>0.8+
0.8</t>
  </si>
  <si>
    <t>6 sessions
with 72h intervals</t>
  </si>
  <si>
    <t>"We report the case of a 7-year-old female patient diagnosed with systemic scleroderma where photobiomodulation therapy was used to treat xerostomia associated with hyposalivation."
"After this therapy, an increase in salivary flow, remission of the xerostomia, and an improvement in mastication and swallowing were observed."</t>
  </si>
  <si>
    <t>Galiano-Castillo</t>
  </si>
  <si>
    <t>Acute and cumulative benefits of Photobiomodulation for xerostomia: A systematic review and meta-analysis</t>
  </si>
  <si>
    <t>"The present review and meta-analysis suggest that photobiomodulation therapy is an effective, non-invasive and safe approach in patients with xerostomia."</t>
  </si>
  <si>
    <t>Louzeiro</t>
  </si>
  <si>
    <t>Does laser photobiomodulation prevent hyposalivation in patients undergoing head and neck radiotherapy? A systematic review and meta-analysis of controlled trials</t>
  </si>
  <si>
    <t>"Six clinical trials were included, five of which were used for meta-analysis. Evidence was observed between the use of PBM and increased unstimulated salivary flow (MD 0.20 mL/min, 95 % Cl 0.10-0.30, I² = 96 %, p &lt; 0.00001) and in stimulated salivary flow (MD 0.27 mL/min, 95 % CI 0.08-0.46, I² = 95 %, p &lt; 0.00001)."
"PBM appears to minimize radiation-induced hyposalivation."</t>
  </si>
  <si>
    <t>Effect of Photobiomodulation on Salivary Flow and Composition, Xerostomia and Quality of Life of Patients During Head and Neck Radiotherapy in Short Term Follow-Up: A Randomized Controlled Clinical Trial</t>
  </si>
  <si>
    <t>🧑 Human
🎲 Randomized trial
👥 21 participants
⌛ treatment during radiotherapy -&gt; 60-day follow-up</t>
  </si>
  <si>
    <t>40
40</t>
  </si>
  <si>
    <t>0.28
/point</t>
  </si>
  <si>
    <t>10
25</t>
  </si>
  <si>
    <t>3/week during radiotherapy</t>
  </si>
  <si>
    <t>"Unstimulated saliva pH was higher in LG than SG at T3 (p = .037). No difference between groups was noted in relation to salivary flow and composition, xerostomia or quality of life. Our results suggest that PBM may help in preserving salivary pH during radiotherapy."</t>
  </si>
  <si>
    <t>Evaluation of photobiomodulation in salivary production of patients with xerostomy induced by anti-hypertensive drugs: Study protocol clinical trial (SPIRIT compliant).</t>
  </si>
  <si>
    <t>Heiskanen</t>
  </si>
  <si>
    <t>Finland
(Helsinki)</t>
  </si>
  <si>
    <t>Photobiomodulation Therapy for Cancer Treatment-Related Salivary Gland Dysfunction: A Systematic Review.</t>
  </si>
  <si>
    <t>"A total of 314 articles were identified, and 5 controlled trials were included in this systematic review. Most of the studies were in head and neck cancer patients treated with radiotherapy (RT) or radiochemotherapy (RT-CT), and one study was in dry mouth associated with hematopoietic stem cell transplantation (HSCT). Data showed conflicting results for either prevention or treatment of RT- or RT-CT-induced dry mouth or hyposalivation. The data for HSCT-related dry mouth were positive."
"Despite positive preliminary outcomes in most of the trials, it is too early to confidently determine the efficacy of PBM for cancer therapy-related hyposalivation or xerostomia."</t>
  </si>
  <si>
    <t>Photobiomodulation and salivary glands: a systematic review.</t>
  </si>
  <si>
    <t>"21 papers were included for the critical evaluation of the impact of photobiomodulation on the major salivary glands; the studies used rats (n = 10) and humans (n = 11)."
"Although studies reported an increase in the salivary rate, decrease in pain, and increase in quality of life after the PBM, the lack of standards for the application of light and reporting of the parameters, make it hard to reproduce the results. This topic is still in need for further research"</t>
  </si>
  <si>
    <t>Fidelix</t>
  </si>
  <si>
    <t>Low-level laser therapy for xerostomia in primary Sjögren's syndrome: a randomized trial.</t>
  </si>
  <si>
    <t>🧑 Human
🎲 Randomized trial, sham-controlled
👥 66 participants
⌛ 6 weeks</t>
  </si>
  <si>
    <t>0.03
cm2
beam</t>
  </si>
  <si>
    <t>560
(14p)</t>
  </si>
  <si>
    <t>"Patients in both groups showed no improvement in xerostomia. Likewise, there was no significant improvement in xerostomia inventory scores (p = 0.301) or salivary flow rate (p = 0.643) in either group. There was no difference in salivary beta-2 microglobulin levels, sodium concentration, and chlorine concentration before and after intervention or between the two groups. 
The LLLT protocol used in this study effected no improvement in xerostomia or salivary flow rate in patients with primary [Sjögren's syndrome]."</t>
  </si>
  <si>
    <t xml:space="preserve">Anatomical location: "The laser was applied extraorally at eight points in the parotid glands (bilaterally, four points in each gland), at four points in the submandibular glands (bilaterally, two points in each gland), and intraorally at two points in the sublingual glands (bilaterally, one point in each gland). The laser probe was hand-held perpendicular to the surface, and irradiation was performed in contact with the skin. During irradiation, the tip of the laser probe was fixed in position at each previously defined irradiation point." [More details in the full text.]
</t>
  </si>
  <si>
    <t>Wibawa</t>
  </si>
  <si>
    <t>Makara Journal of Health Research</t>
  </si>
  <si>
    <t>Low-Level Laser Therapy to the Major Salivary Glands Increases Salivary Flow and MUC5B Protein Secretion in Diabetic Patients with Hyposalivation: A Preliminary Study</t>
  </si>
  <si>
    <t>🧑 Human
📄 Single-arm trial
👥 12 participants
⌛ 2-week treatment -&gt; 6-week follow-up</t>
  </si>
  <si>
    <t>40
or
40s/
cm2
(?)</t>
  </si>
  <si>
    <t>"The mean dry mouth score revealed a significant decrease in dry mouth symptoms at the sixth visit and follow-up visit compared with those at the first visit (p &lt; 0.001)."</t>
  </si>
  <si>
    <t>Brzak</t>
  </si>
  <si>
    <t>Different Protocols of Photobiomodulation Therapy of Hyposalivation.</t>
  </si>
  <si>
    <t>🧑 Human
⚔ Comparison study
👥 30 participants
⌛ 10 days</t>
  </si>
  <si>
    <t>BTL2000 laser device
Wavelength comparison</t>
  </si>
  <si>
    <t>30
35</t>
  </si>
  <si>
    <t>"Results have shown that the laser treatment significantly improves salivation (p &lt; 0.0001) in both groups after 10 days treatment. The salivation also remains improved 10 days after the end of treatment. The patients treated with PBM of 830 nm have had continuously higher values of quantity of saliva."
"Our results have shown that both laser wavelengths were effective in increasing salivary flow rate, and the improvement in salivation was statistically significant. The effect of treatment could be observed 10 days after the completion of treatment, thus providing evidence not only of stimulative effect but also indicating regenerative potential of PBM therapy."</t>
  </si>
  <si>
    <t>Impact of low-level laser therapy on hyposalivation, salivary pH, and quality of life in head and neck cancer patients post-radiotherapy.</t>
  </si>
  <si>
    <t>🧑 Human
📄 Single-arm trial
👥 29 participants
⌛ 3 months</t>
  </si>
  <si>
    <t>Radiation-induced xerostomia</t>
  </si>
  <si>
    <t>0.3
/p</t>
  </si>
  <si>
    <t>"Taken together, data showed that LLLT seems to be effective to mitigate salivary hypofunction and increase salivary pH of patients submitted to radiotherapy for HNC treatment. As a final result, an evident improvement in quality of life could be achieved."</t>
  </si>
  <si>
    <t>Terlević Dabić</t>
  </si>
  <si>
    <t>The Effectiveness of Low-Level Laser Therapy in Patients with Drug-Induced Hyposalivation: A Pilot Study.</t>
  </si>
  <si>
    <t>🧑 Human
🎲 Randomized trial, sham-controlled
👥 43 participants
⌛ 2 weeks</t>
  </si>
  <si>
    <t>Drug-induced hyposalivation</t>
  </si>
  <si>
    <t>830
PW</t>
  </si>
  <si>
    <t>1.60</t>
  </si>
  <si>
    <t>10
/ 14 days</t>
  </si>
  <si>
    <t>"Significant difference in unstimulated salivary flow rate after the treatment was found in the study group (p = 0.002) compared with the sham group. No significant difference in stimulated salivary flow rate after treatment was found in the laser group (p = 0.626) nor in the sham laser group (p = 0.233). No significant difference in patient's quality-of-life score was found after both treatments."
"The results of this study showed that the LLLT increased unstimulated salivary flow rate significantly. However, stimulated salivary flow rate did not increase significantly after the LLLT. In patients who underwent sham laser therapy, neither unstimulated nor stimulated salivary flow rate increased significantly."</t>
  </si>
  <si>
    <t>Device: BTL–5000 Laser, Prague, Czech Republic</t>
  </si>
  <si>
    <t>Gonnelli</t>
  </si>
  <si>
    <t>Low-Level Laser for Mitigation of Low Salivary Flow Rate in Head and Neck Cancer Patients Undergoing Radiochemotherapy: A Prospective Longitudinal Study.</t>
  </si>
  <si>
    <t>🧑 Human
📄 Non-randomized study, controlled
👥 27 participants
⌛ 7-week treatment -&gt; 90-day follow-up</t>
  </si>
  <si>
    <t>660
IO
780
EO</t>
  </si>
  <si>
    <t>40
15</t>
  </si>
  <si>
    <t>10
3.8</t>
  </si>
  <si>
    <t>0.04
cm2
0.04
cm2
area</t>
  </si>
  <si>
    <t>"At N15, Nf, and N30, patients treated with LLL showed significantly higher averages of salivary flow rate when compared with patients receiving clinical care only."
"LLL seems to be an efficient tool for mitigation of salivary hypofunction in patients undergoing RT for head and neck cancer."</t>
  </si>
  <si>
    <t>Radiol Bras</t>
  </si>
  <si>
    <t>Low-level laser therapy for the prevention of low salivary flow rate after radiotherapy and chemotherapy in patients with head and neck cancer.</t>
  </si>
  <si>
    <t>🧑 Human
📄 Non-randomized study, controlled
👥 23 participants
⌛ 7-week treatment -&gt; 30-day follow-up</t>
  </si>
  <si>
    <t>"Low-level laser therapy, administered concomitantly with radiotherapy and chemotherapy, appears to mitigate treatment-induced salivary hypofunction in patients with head and neck cancer."
Comment: This study might have some overlap with the other Gonnelli 2016 paper. However, this isn't sure since the studies have a different amount of subjects and some differences in the follow-up/measurement times.</t>
  </si>
  <si>
    <t>Saleh</t>
  </si>
  <si>
    <t>Effect of low-level laser therapy on radiotherapy-induced hyposalivation and xerostomia: a pilot study.</t>
  </si>
  <si>
    <t>🧑 Human
🎲 Randomized trial
👥 23 participants
⌛ 6 weeks</t>
  </si>
  <si>
    <t>71</t>
  </si>
  <si>
    <t>0.028
cm2
area</t>
  </si>
  <si>
    <t>"The analysis did not show any significant difference between the groups with regards to the SFR and xerostomia, and the QLROH. However, at the end of the treatment, the xerostomia and the QLROH showed significant improvement in both groups compared with assessments performed at baseline, highlighting the importance of advice given to the irradiated patients, and their follow-up."
"With the parameters used, LLLT was not able to increase SFR or decrease xerostomia. The results may be associated with the late effects of radiotherapy on glandular structure, such as fibrosis and acinar atrophy."
Note: They used punctual irradiation of the major salivary glands.</t>
  </si>
  <si>
    <t>Cafaro</t>
  </si>
  <si>
    <t>Effect of laser acupuncture on salivary flow rate in patients with Sjögren's syndrome.</t>
  </si>
  <si>
    <t>🧑 Human
🎲 Randomized trial, sham-controlled
👥 26 participants
⌛ 5-week treatment -&gt; 6-month follow-up</t>
  </si>
  <si>
    <t>19.2</t>
  </si>
  <si>
    <t>"True laser acupuncture led to a significantly higher amount of saliva production, measured after the end of the protocol (5 weeks), and during the 6-month follow-up period."</t>
  </si>
  <si>
    <t>Lončar</t>
  </si>
  <si>
    <t>The effect of low-level laser therapy on salivary glands in patients with xerostomia.</t>
  </si>
  <si>
    <t>🧑 Human
📄 Non-randomized study, controlled
👥 34 participants
⌛ 10 days</t>
  </si>
  <si>
    <t>0.246</t>
  </si>
  <si>
    <t>29.5</t>
  </si>
  <si>
    <t>"Effects of low-level laser therapy on salivary glands are not only stimulating, but also regenerative to a degree since the glandular response to the same amount of applied laser energy increased linearly over time."</t>
  </si>
  <si>
    <t>λ = 904nm
2 minutes
10 treatments</t>
  </si>
  <si>
    <t>Simões</t>
  </si>
  <si>
    <t>Laser phototherapy as topical prophylaxis against radiation-induced xerostomia.</t>
  </si>
  <si>
    <t>🧑 Human
⚔ Comparison study
👥 22 participants
⌛ until healing of lesions or until end of radiotherapy</t>
  </si>
  <si>
    <t>Radiation-induced xerostomia
Dose comparison (1 or 3 sessions per week)</t>
  </si>
  <si>
    <t>1/week
or
3/week
until
healing or
end of RT</t>
  </si>
  <si>
    <t>"Patients were divided into two groups: 12 individuals receiving three laser irradiations per week (G1) and 10 patients receiving one laser irradiation per week (G2)."
"According to Wilcoxon and Student statistical test, xerostomia for G1 was lower than for G2 (p &lt; 0.05), and salivary flow rate was no different before and after RT, except for stimulated collection of G2, which was lower (p &lt; 0.05)."
"Our results suggest that LPT can be beneficial as an auxiliary therapy for hypofunction of salivary glands."</t>
  </si>
  <si>
    <t>Vidović Juras</t>
  </si>
  <si>
    <t>Effects of low-level laser treatment on mouth dryness.</t>
  </si>
  <si>
    <t>🧑 Human
📄 Single-arm trial
👥 17 participants
⌛ 10 treatment sessions (for 10 days?) -&gt; 30-day follow-up</t>
  </si>
  <si>
    <t>"This simple non-invasive method could be used in everyday clinical practice for the treatment of MD."</t>
  </si>
  <si>
    <t>BTL2000 laser
📕</t>
  </si>
  <si>
    <t>Spec Care Dentist</t>
  </si>
  <si>
    <t>Laser as a therapy for dry mouth symptoms in a patient with Sjögren's syndrome: a case report.</t>
  </si>
  <si>
    <t>3/week
for
8 months</t>
  </si>
  <si>
    <t>"Dry mouth symptoms improved during LPT. After LPT, the parotid salivary gland pain and swelling were no longer present. Treatment with LPT was an effective method to improve the quality of life of this patient with SS."</t>
  </si>
  <si>
    <t>Brazil &amp; Spain</t>
  </si>
  <si>
    <t>Low-level laser therapy in the prevention of radiotherapy-induced xerostomia and oral mucositis</t>
  </si>
  <si>
    <t>🧑 Human
🎲 Randomized trial
👥 60 participants
⌛ during RT -&gt; 30-day follow-up</t>
  </si>
  <si>
    <t>"In the group submitted to radiotherapy and laser the incidence of mucositis (p &lt; 0.001) and pain (p &lt; 0.016) was significantly lower and the salivary volume (p &lt; 0.001) was kept higher during and after the treatment."</t>
  </si>
  <si>
    <t>Dysgeusia</t>
  </si>
  <si>
    <t>Parreira</t>
  </si>
  <si>
    <t>Photobiomodulation in the Treatment of Dysgeusia in Patients with Long COVID: A Single-Blind, Randomized Controlled Trial</t>
  </si>
  <si>
    <t>🧑 Human
🎲 Randomized trial, sham-controlled
👥 70 participants
⌛ 8 weeks</t>
  </si>
  <si>
    <r>
      <rPr>
        <sz val="6.0"/>
      </rPr>
      <t xml:space="preserve">"Dysgeusia improved in both groups. At weeks 7 and 8, improvement scores were significantly higher in the PBM group than in the sham group (p = 0.048)."
Note: A comment to this paper has been published </t>
    </r>
    <r>
      <rPr>
        <color rgb="FF1155CC"/>
        <sz val="6.0"/>
        <u/>
      </rPr>
      <t>https://pubmed.ncbi.nlm.nih.gov/38739455/</t>
    </r>
  </si>
  <si>
    <t>Photobiomodulation therapy prevents dysgeusia chemotherapy induced in breast cancer women treated with doxorubicin plus cyclophosphamide: a triple-blinded, randomized, placebo-controlled clinical trial</t>
  </si>
  <si>
    <t xml:space="preserve">🧑 Human
🎲 Randomized trial, triple-blind
👥 112 participants
⌛ </t>
  </si>
  <si>
    <t>"PBMT patients showed less objective and subjective taste loss (p&lt;0.05). On the other hand, the placebo group showed a higher ECOG status (p=0.037) and more significant weight loss (p&lt;0.001) after four cycles of AC. The QoL was significantly higher in the PBMT group (p&lt;0.05) at all assessment periods, and PBMT treatment also reduced the incidence of cachexia (p=0.020), anorexia (p&lt;0.001), diarrhea (p=0.040), oral mucositis (p=0.020), and vomiting (p=0.008)."
"PBMT reduced the taste loss and improved the overall health status and QoL of patients with breast cancer treated with AC."</t>
  </si>
  <si>
    <t>Dystrophic Epidermolysis Bullosa (oral lesions)</t>
  </si>
  <si>
    <t>Sindici</t>
  </si>
  <si>
    <t>Treatment of Oral Lesions in Dystrophic Epidermolysis Bullosa: A Case Series of Cord Blood Platelet Gel and Low-level Laser Therapy.</t>
  </si>
  <si>
    <t>🧑 Human
📄 Case series
👥 7 cases
⌛ 3-day treatment --&gt; 6-month follow-up</t>
  </si>
  <si>
    <t>28.4</t>
  </si>
  <si>
    <t>d = 0.8 cm
(?)</t>
  </si>
  <si>
    <t>"Seven patients (4 males) with dystrophic EB were included. The mean age at baseline was 19.8 years (range 8–34). Nineteen oral lesions were treated; the buccal mucosa was the most common site (37%) (Fig. 1), followed by the lips (27%), tongue (21%), floor of the mouth (11%) and gingiva (4%)."
"A statistically significant difference was observed for reported pain and clinical size of lesions from the first day of treatment provided (Table I). Statistical analysis was performed only until T4. At T5 and T6 no patients presented lesions in the treated area. During the follow-up period, at T7 only one patient developed a new lesion in the same treatment site; all patients continued to have other oral lesions at untreated sites."</t>
  </si>
  <si>
    <t>Fekrazad &amp; Arany</t>
  </si>
  <si>
    <t>Photobiomodulation Therapy in Clinical Dentistry.</t>
  </si>
  <si>
    <t>"It is clear that these broad ranging clinical benefits from multiple fields of clinical dentistry emphasize the immense therapeutic potential of PBM therapy. However, a repetitive theme in all these articles is the heterogeneity (poor clinical design) and lack of standardized treatment parameters that is preventing the development of optimized consensus-driven clinical treatment regimens. 
The relative simplicity of the performing PBM treatments, especially with LED or broadband light has resulted in a plethora of poorly documented inadequate reporting that will not benefit from current systematic reviews and meta-analyses in these fields. 
Given the tremendous potential of PBM therapy as a multi-faceted tool in the clinical armamentarium for clinical dentistry, betterdesigned human clinical studies are urgently needed."</t>
  </si>
  <si>
    <t>Enamel</t>
  </si>
  <si>
    <t>Heravi</t>
  </si>
  <si>
    <t>Comparative evaluation of the effect of Er:YAG laser and low level laser irradiation combined with CPP-ACPF cream on treatment of enamel caries</t>
  </si>
  <si>
    <t>🧪 In vitro (premolars)</t>
  </si>
  <si>
    <t>"The highest microhardness was observed in the low power red and Er:YAG laser groups and the lowest one belonged to the CPP-ACPF alone and control groups. However, no significant difference was found in microhardness of the experimental groups at any of the evaluation depths (p&gt;0.05)."</t>
  </si>
  <si>
    <t>De Sant'Anna</t>
  </si>
  <si>
    <t>Surface morphology of sound deciduous tooth enamel after application of a photo-absorbing cream and infrared low-level laser irradiation: an in vitro scanning electron microscopy study.</t>
  </si>
  <si>
    <t>Teeth</t>
  </si>
  <si>
    <t>"The purpose of this descriptive scanning electron microscopic study was to characterize surface alterations in deciduous tooth enamel after in vitro infrared diode laser irradiation, using a photo-absorbing agent alone and also combined with fluoride, before and after laser irradiation."
"Treatment of deciduous tooth enamel with infrared diode laser irradiation using a photo-absorbing agent and a photo-absorbing agent combined with 2% fluoride created surface coatings that may act as reservoirs for mineral phases during cariogenic activity on enamel, and also provide a certain degree of protection against cariogenic challenge."</t>
  </si>
  <si>
    <t>Endodontics: Anesthesia</t>
  </si>
  <si>
    <t>The Effect of Photobiomodulation on the Depth of Anesthesia During Endodontic Treatment of Teeth With Symptomatic Irreversible Pulpitis (Double Blind Randomized Clinical Trial).</t>
  </si>
  <si>
    <t>🧑 Human
🎲 Randomized trial, double-blind
👥 44 participants
⌛ single session</t>
  </si>
  <si>
    <t>"The results of this study showed that the necessity for supplemental injection was lower in the group receiving laser than in the group without laser (P = 0.033). The mean pain intensity during dentin cutting was lower in the group receiving laser than in the group without laser (P = 0.031). Also, the mean pain intensity during pulp dropping was lower in the group receiving laser, than the group without laser (P = 0.021)."</t>
  </si>
  <si>
    <t>Endodontics: Apexogenesis</t>
  </si>
  <si>
    <t>Bahman</t>
  </si>
  <si>
    <t>Combined effects of calcium hydroxide and photobiomodulation therapy on apexogenesis of immature permanent teeth in dogs.</t>
  </si>
  <si>
    <t>4.2</t>
  </si>
  <si>
    <t>"Within the limitation of this study, the combination therapy of PBMT and pulpotomy with calcium hydroxide accelerated apexogenesis in immature permanent dogs' teeth."</t>
  </si>
  <si>
    <t>Zaccara</t>
  </si>
  <si>
    <t>Influence of photobiomodulation therapy on root development of rat molars with open apex and pulp necrosis.</t>
  </si>
  <si>
    <t>30
/tooth</t>
  </si>
  <si>
    <t>"PBM associated with MTA, BC, or hDPSC formed more mineralized tissue (p &lt; 0.05). MTA+PBM induced apexification (p &lt; 0.05). (...) It can be concluded that PBM improved apexification and favored apexogenesis in necrotic rat molars with an open apex."</t>
  </si>
  <si>
    <t>Endodontics: Dentin-pulp complex</t>
  </si>
  <si>
    <t>Godoy</t>
  </si>
  <si>
    <t>Effects of low-power red laser on dentine-pulp interface after cavity preparation. An ultrastructural study</t>
  </si>
  <si>
    <t>🧑 Human
🎲 Randomized trial, self-controlled
👥 2 participants (8 premolar teeth)
⌛ single treatment -&gt; 28-day interval before tooth extraction and analysis</t>
  </si>
  <si>
    <t>"The irradiated group presented odontoblast process in higher contact with the extracellular matrix and the collagen fibrils appeared more aggregated and organised than those of control group. These results were also observed in the healthy teeth."</t>
  </si>
  <si>
    <t>Endodontics: Dentin formation / pulp repair</t>
  </si>
  <si>
    <t>Shigetani</t>
  </si>
  <si>
    <t>Japan
(Nigata)</t>
  </si>
  <si>
    <t>J Endod</t>
  </si>
  <si>
    <t>GaAlAs laser irradiation induces active tertiary dentin formation after pulpal apoptosis and cell proliferation in rat molars.</t>
  </si>
  <si>
    <t>500
1500</t>
  </si>
  <si>
    <t>180
180</t>
  </si>
  <si>
    <t>"The output energy determined pulpal healing patterns after GaAlAs laser irradiation; the higher energy induced the apoptosis in the affected dental pulp including odontoblasts followed by active cell proliferation in the intense HSP-25-immunoreactive areas surrounding the degenerative tissue, resulting in abundant tertiary dentin formation. Thus, the optimal GaAlAs laser irradiation elicited intentional tertiary dentin formation in the dental pulp."
Comment: Some parameters such as energy density or spot size were not reported.
Comment: I wonder whether the effect is based on photobiomodulation or heat-stress and hormesis.</t>
  </si>
  <si>
    <t>Evaluation of dental pulp repair using low level laser therapy (688 nm and 785 nm) morphologic study in capuchin monkeys</t>
  </si>
  <si>
    <t>688
785</t>
  </si>
  <si>
    <t>"It may be concluded that, LLLT 688 nm and 785 nm accelerated dentin barrier formation and consequently pulp repair process, with best results using infrared laser 785 nm."</t>
  </si>
  <si>
    <t>Endodontics: Direct pulp capping</t>
  </si>
  <si>
    <t>Alharbi</t>
  </si>
  <si>
    <t>Saudi Arabia
(Jeddah)</t>
  </si>
  <si>
    <t>Aust Endod J</t>
  </si>
  <si>
    <t>The effect of low-level laser on the quality of dentin barrier after capping with bioceramic material: A histomorphometric analysis</t>
  </si>
  <si>
    <t>"The low-level laser group had significantly more reparative dentin area than the non-lased group (p &lt; 0.05)."</t>
  </si>
  <si>
    <t>Alsofi</t>
  </si>
  <si>
    <t>Pulpal and periapical tissue response after direct pulp capping with endosequence root repair material and low-level laser application</t>
  </si>
  <si>
    <t>"Using low-level laser therapy in combination with ERRM for pulp capping shortens the inflammatory phase and enhances healing."</t>
  </si>
  <si>
    <t>Günaydın &amp; Çakıcı</t>
  </si>
  <si>
    <t>Med Princ Pract</t>
  </si>
  <si>
    <t>Effect of Photobiomodulation Therapy Following Direct Pulp Capping on Postoperative Sensitivity by Thermal Stimulus: A Retrospective Study</t>
  </si>
  <si>
    <t>🧑 Human
📄 Retrospective study
👥 72 teeth (treated by direct pulp capping)
⌛ single treatment -&gt; 7-day follow-up</t>
  </si>
  <si>
    <t>"A retrospective study was performed using the records of patients who received direct pulp capping using mineral trioxide aggregate."
"A statistically significant difference was found in sensitivity to cold stimulus between groups on day 7 (p=.007), but no difference was found at the preoperative, 6 hour, and day 1 time points (p=.055, p=.132, p=.100, respectively). In the intragroup evaluation, a significantly greater decrease was detected in the photobiomodulation therapy group compared to the control group, although both groups showed a reduction in discomfort throughout the follow-up period (p=.000)."</t>
  </si>
  <si>
    <t>Endodontics: Endodontic surgery</t>
  </si>
  <si>
    <t>Metin</t>
  </si>
  <si>
    <t>Effects of low-level laser therapy on soft and hard tissue healing after endodontic surgery.</t>
  </si>
  <si>
    <t>🧑 Human
🎲 Randomized trial
👥 76 participants
⌛ 8 days (pre-op and 7 post-op days)</t>
  </si>
  <si>
    <t>Endodontic surgery</t>
  </si>
  <si>
    <t>3.87</t>
  </si>
  <si>
    <t>"The laser group showed better results in edema, wound healing, and the number of analgesic tablets used on the 1st, 3rd, and 7th postoperative days. Significant reduction in ecchymoses was observed in the laser group on the postop 3rd and 7th days. The patients had significantly lower pain on the 1st and 3rd postop days in laser group. The laser group showed significantly better results in OHIP-14 and GOHA indexes on postop days 1 and 3. 
The laser group showed significantly favorable results in terms of bone density, defect volume and area, and periapical index in the postop 3rd month. This study concluded that LLLT improved soft and hard tissue healing after endodontic surgery and also showed favorable effects on pain and life quality of patients especially in the early phase of healing period."</t>
  </si>
  <si>
    <t>Payer</t>
  </si>
  <si>
    <t>The clinical effect of LLLT in endodontic surgery: a prospective study on 72 cases.</t>
  </si>
  <si>
    <t>🧑 Human
📄 Observational study
👥 72 cases
⌛ 8 days (pre-op and 7 post-op days)</t>
  </si>
  <si>
    <t>Placebo effect</t>
  </si>
  <si>
    <t>4
/ 8 days
(intraop and 3 times post-op)</t>
  </si>
  <si>
    <t>"In routine endodontic surgery cases, LLLT does not achieve a significant clinical benefit. Further, the results indicate a prominent placebo effect of the soft laser therapy."
Comment: Placebo irradiation appeared to be better than control. 
Comment: One reason for the lack of result is the fact that the pain levels were already very low, so there was really nothing to improve.
Comment: Two photographs were supplied.</t>
  </si>
  <si>
    <t>Endodontics: Extrusive luxation</t>
  </si>
  <si>
    <t>de Santana</t>
  </si>
  <si>
    <t>Effect of low-level laser therapy (λ780 nm) on the mechanically damaged dentin-pulp complex in a model of extrusive luxation in rat incisors.</t>
  </si>
  <si>
    <t>Dentin-pulp complex</t>
  </si>
  <si>
    <t>"Morphological analysis revealed no differences in vascularization between groups, but showed discrete inflammation in some non-irradiated and injured specimens, which correlated with a more irregular reparative dentin. The density of primary odontoblasts in the groups treated with lasers was higher when compared to non-irradiated groups, but no statistically significant difference between groups (p &gt; 0.05). The thickness of the tertiary dentin was increased in both traumatized groups with no statistically significant difference between non-irradiated and irradiated groups (p &gt; 0.05).
The present findings revealed that the GaAlAs laser induced small changes on dentin-pulp complex, with more regular dentin matrix in the irradiated dental pulps."</t>
  </si>
  <si>
    <t>Endodontics: Formocresol injuries</t>
  </si>
  <si>
    <t>Effect of laser (λ 660 nm) and LED (λ 630 nm) photobiomodulation on formocresol-induced oral ulcers: a clinical and histological study on rodents.</t>
  </si>
  <si>
    <t>630
(LED)
660
(laser)</t>
  </si>
  <si>
    <t>150
40</t>
  </si>
  <si>
    <t>4.8
4.8</t>
  </si>
  <si>
    <t>0.8
cm2
4
mm2</t>
  </si>
  <si>
    <t>"At the end of the experimental period (11 days), there was no difference regarding to the size of the ulcers between the laser and LED groups, although there was a difference between the treated and untreated groups (p=0.0019)."
Comment: The difference between LLLT and LED groups, compared to the control group at the end of the study, are huge.</t>
  </si>
  <si>
    <t>Endodontics: gingival crevicular fluid</t>
  </si>
  <si>
    <t>Arslan</t>
  </si>
  <si>
    <t>Effect of intracanal diode laser application and low-level laser therapy on CGRP change.</t>
  </si>
  <si>
    <t>🧑 Human
🎲 Randomized trial, sham-controlled
👥 39 participants
⌛ single treatment -&gt; 1-week follow-up</t>
  </si>
  <si>
    <t>10W
(?)</t>
  </si>
  <si>
    <t>"[T]here was no significant difference between experimental and control teeth in the intracanal laser application group in terms of the total CGRP level change in the GCF before and after treatment"
"[T]here was no significant difference between the experimental and control teeth in the LLLT group in terms of the total CGRP level change in the GCF before and after treatment"</t>
  </si>
  <si>
    <t>Doğanay Yıldız</t>
  </si>
  <si>
    <t>The effect of photobiomodulation on total amount of substance P in gingival crevicular fluid: placebo-controlled randomized clinical trial.</t>
  </si>
  <si>
    <t>🧑 Human
🎲 Randomized trial, sham-controlled
👥 26 participants
⌛ single treatment -&gt; 1-week follow-up</t>
  </si>
  <si>
    <t>"For placebo group, there is no significant difference between preoperative and postoperative total amounts of substance P level (p = 0.553). For PBM group, postoperative total amount of substance P level was significantly higher than those of preoperative level (p = 0.005). Within the limitation of the present study, PBM has immunomodulation effect linked to the modulation of the total amount of substance P in the gingival crevicular fluid."</t>
  </si>
  <si>
    <t>Endodontics: Hypochlorite accident</t>
  </si>
  <si>
    <t>Yamamoto-Silva</t>
  </si>
  <si>
    <t>Low-level laser therapy as adjunctive treatment for a sodium hypochlorite accident: a case report.</t>
  </si>
  <si>
    <t>🧑 Human
📄 Case report
⌛ ~12-day treatment</t>
  </si>
  <si>
    <t>6 sessions,
every other day</t>
  </si>
  <si>
    <t>"The LLLT was applied to the necrotic area with a punctual mode (2 points) for 12 seconds per point. The patient reported a substantial reduction in pain after the second application, and the wound was completely healed after 6 sessions."</t>
  </si>
  <si>
    <t>Bramante</t>
  </si>
  <si>
    <t>Use of a 660-nm Laser to Aid in the Healing of Necrotic Alveolar Mucosa Caused by Extruded Sodium Hypochlorite: A Case Report.</t>
  </si>
  <si>
    <t>🧑 Human
📄 Case report
⌛ 7 months</t>
  </si>
  <si>
    <t>"The conventional treatment protocol was combined with low-level laser therapy. Clinical and radiographic examinations after 7 months revealed complete repair of the necrotic area with no paresthesia and further indicated the integrity of the apical region of the tooth where the extrusion of sodium hypochlorite occurred."
Comment: The author didn't report dose parameters.</t>
  </si>
  <si>
    <t>Endodontics: Orthodontics-related pulp inflammation</t>
  </si>
  <si>
    <t>Abi-Ramia</t>
  </si>
  <si>
    <t>Angle Orthod</t>
  </si>
  <si>
    <t>Effects of low-level laser therapy and orthodontic tooth movement on dental pulps in rats.</t>
  </si>
  <si>
    <t>"The orthodontic-induced tooth movement and LLLT association showed reversible hyperemia as a tissue response to the stimulus. LLLT leads to a faster repair of the pulpal tissue due to orthodontic movement."</t>
  </si>
  <si>
    <t>Endodontics: Pain (pulpitis)</t>
  </si>
  <si>
    <t>Ramalho</t>
  </si>
  <si>
    <t>A randomized placebo-blind study of the effect of low power laser on pain caused by irreversible pulpitis.</t>
  </si>
  <si>
    <t>4
40</t>
  </si>
  <si>
    <t>"The application of 780-nm diode laser irradiation, at 4 and 40 J/cm2, showed no effect in reducing the pain in SIP in comparison to the placebo group. The fluence of 4 J/cm2 showed a negative effect in local anesthetics, resulting in significant increase of complimentary local anesthesia during emergency endodontic treatment."
"LPT should be avoided in teeth with pain due to irreversible pulpitis."</t>
  </si>
  <si>
    <t>Endodontics: Postoperative symptoms</t>
  </si>
  <si>
    <t>Effect of photobiomodulation on postoperative endodontic pain: A systematic review of clinical trials</t>
  </si>
  <si>
    <t>"Seven out of nine studies showed that PMB has a significant impact on relieving postoperative endodontic pain, with no statistically significant difference in the severity of pain between the laser and control groups in the two remaining studies. 
In addition, eight studies showed no adverse effects, indicating that we can remove the adverse effects of drugs such as nonsteroidal anti-inflammatory drugs. 
However, one study showed evidence of the consequences of PMB application on teeth with symptomatic irreversible pulpitis. Therefore, it can be concluded that PMB should not be used in teeth with pain because of irreversible pulpitis."
"Ramalho et al.[32] The application of 780-nm diode laser irradiation at 4 and 40 J/cm2 showed no effect in reducing pain. The influence of 4 J/cm2 showed a negative effect on local anesthetics, resulting in a significant increase in complimentary local anesthesia"</t>
  </si>
  <si>
    <t>Abbara</t>
  </si>
  <si>
    <t>BDJ Open</t>
  </si>
  <si>
    <t>Can diode laser 810 nm decrease post endodontic pain in patients with asymptomatic necrotic maxillary incisors? A four-arm randomized controlled trial</t>
  </si>
  <si>
    <t>🧑 Human
🎲 Randomized trial
👥 80 participants
⌛ single treatment -&gt; 14-day follow-up</t>
  </si>
  <si>
    <t>"Diode laser reduced postoperative pain after necrotic teeth with large-sized apical lesion treatment, whereas using diode laser either as an IAS or LLLT reduced the postoperative pain compared with the control group. Moreover, the usage of a diode laser in both previous techniques represents the best protocol for postoperative pain relief during 14 days of treatment."</t>
  </si>
  <si>
    <t>Kadam</t>
  </si>
  <si>
    <t>India
(Fort)</t>
  </si>
  <si>
    <t>Effect of Laser Photobiomodulation on Postoperative Pain in Endodontics: A Systematic Review</t>
  </si>
  <si>
    <t>"A total of 12 studies were included as per the set criteria. 
The included studies utilized diode laser (808-970 nm) and indium gallium aluminum. 
All the included studies evaluated postendodontic pain after root canal therapy and endodontic surgery. 
A majority of the included studies showed significant benefits of photobiomodulation in postoperative pain management in endodontic therapy.
Heterogeneity of the laser parameters and lack of power calculations for sampling among the included studies preclude solid recommendation of use of photobiomodulation therapy (PBMT) for postendodontic pain management."</t>
  </si>
  <si>
    <t>Toopalle</t>
  </si>
  <si>
    <t>Int Dent J</t>
  </si>
  <si>
    <t>Effect of Laser Therapy on Postoperative Pain and Endodontic Retreatment: A Systematic Review and Meta-Analysis</t>
  </si>
  <si>
    <t>"This systematic review is based on 3 studies that were found eligible as per the inclusion and exclusion criteria. This systematic review is in accordance with PRISMA guidelines."
"The systematic review indicated a positive impact by significantly decreasing postoperative pain in RCR cases when treated with PBMT. The variation was statistically significant at 24 hours (P = .0002), 48 hours (P = .03), and 72 hours (P = .02). The mean difference at 24 hours was 0.65 (95% CI, 0.32-0.99), at 48 hours was 0.46 (95% CI, 0.05-0.87), and at 72 hours was 0.40 (95% CI, 0.07-0.74). There was no statistical heterogenicity at 24 hours (P &gt; .05), but a medium heterogenicity was observed at 48 hours and 72 hours."
"PBMT or low-level laser therapy has shown superior results as compared to the conventional pharmacologic approach in postoperative pain management in RCR cases."</t>
  </si>
  <si>
    <r>
      <rPr>
        <sz val="7.0"/>
      </rPr>
      <t xml:space="preserve">Endodontics: Postoperative symptoms </t>
    </r>
    <r>
      <rPr>
        <sz val="6.0"/>
      </rPr>
      <t>(in pulpotomy)</t>
    </r>
  </si>
  <si>
    <t>Evaluation of photobiomodulation for postoperative discomfort following laser-assisted vital pulp therapy in immature teeth: A preliminary retrospective study</t>
  </si>
  <si>
    <t>🧑 Human (pediatric)
📄 Non-randomized study, controlled
👥 86 participants
⌛ 2-day treatment / 90-day study</t>
  </si>
  <si>
    <t>0.200
at target</t>
  </si>
  <si>
    <t>4
(2 points)</t>
  </si>
  <si>
    <t>0.5 cm2 spot size at target
1 cm2 irradiated area (2 points)</t>
  </si>
  <si>
    <t>"Photobiomodulation decreased postoperative sensitivity and was more acceptable for patients. Further randomized clinical studies with placebo-controlled groups are needed."</t>
  </si>
  <si>
    <t>Sağlam &amp; Aladağ</t>
  </si>
  <si>
    <t>Comparison of ıntracanal ozone and low-level laser therapy on postoperative pain in vital teeth with symptomatic apical periodontitis:placebo-controlled randomize trial</t>
  </si>
  <si>
    <t>🧑 Human
🎲 Randomized trial, sham-controlled
👥 180 participants
⌛ single session -&gt; 72h follow-up</t>
  </si>
  <si>
    <t>⚔ PBM vs sham PBM vs intracanal ozone vs sham ozone</t>
  </si>
  <si>
    <t>"There was difference between the groups on postoperative pain at the days 1, 2, and 3; however, there was no significant difference on other days. LLLT and ozone groups had less postoperative pain and pain on percussion."</t>
  </si>
  <si>
    <t>Kunarti</t>
  </si>
  <si>
    <t>The different effects of low-level laser therapy before and after overinstrumentation on the expression of substance P and interleukin-10</t>
  </si>
  <si>
    <t>"The expression of substance P in the precondition LLLT groups was significantly lower than that in the control and postcondition groups. On the other hand, the expression of IL-10 in the precondition LLLT groups was significantly higher than that in the control and postcondition groups."</t>
  </si>
  <si>
    <t>Ismail</t>
  </si>
  <si>
    <t>Efficiency of diode laser in control of post-endodontic pain: a randomized controlled trial</t>
  </si>
  <si>
    <t>PBM vs laser-activated irrigation (LAI) vs sham PBM</t>
  </si>
  <si>
    <t>"LLLT is superior to LAI and ML group in the control of immediate postoperative pain after 24 h while after 48 h both LAI and LLLT were equally effective, but they still showed significant differences when compared to ML group."</t>
  </si>
  <si>
    <t>Fazlyab</t>
  </si>
  <si>
    <t>Effect of low-level laser therapy on postoperative pain after single-visit root canal retreatment of mandibular molars: A randomized controlled clinical trial</t>
  </si>
  <si>
    <t>🧑 Human
🎲 Randomized trial, sham-controlled
👥 36 participants
⌛ single treatment -&gt; 7-day follow-up</t>
  </si>
  <si>
    <t>"Low-level laser therapy reduced postoperative pain after single-visit root canal retreatment of mandibular molars only four hours following the procedure."</t>
  </si>
  <si>
    <t>Guimarães</t>
  </si>
  <si>
    <t>Effect of photobiomodulation on postoperative symptoms in teeth with asymptomatic apical periodontitis treated with foraminal enlargement: a randomized clinical trial</t>
  </si>
  <si>
    <t>🧑 Human
🎲 Randomized trial, double-blind
👥 70 participants
⌛ single treatment -&gt; 30-day follow-up</t>
  </si>
  <si>
    <t>3.33
3.33</t>
  </si>
  <si>
    <t>9+
4</t>
  </si>
  <si>
    <t>90
40</t>
  </si>
  <si>
    <t>"Photobiomodulation had no significant effect on postoperative pain, tenderness, oedema and the use of analgesics after root canal treatment with foraminal enlargement, in single-rooted teeth treated in a single visit."</t>
  </si>
  <si>
    <t>Guerreiro</t>
  </si>
  <si>
    <t>Effect of low-level laser therapy on postoperative endodontic pain: An updated systematic review</t>
  </si>
  <si>
    <t>"Twelve studies were included in the qualitative synthesis. Within the 12 studies, 7 articles were classified as "low risk of bias," 4 studies were considered "unclear risk of bias" and 1 study was considered "high risk of bias." Six studies evaluated the postoperative pain after primary root canal treatment, two studies after root canal retreatment and four after periapical surgery. 
Most of the studies reported significantly less postoperative pain after LLLT in different time periods; two studies found no differences.
The certainty of evidence was classified as low and very low to treatment / retreatment and endodontic surgery, respectively."
"The quality of evidence was rated on the basis of the GRADE approach."</t>
  </si>
  <si>
    <t>Naseri</t>
  </si>
  <si>
    <t>Effect of Low-level Laser Therapy With Different Locations of Irradiation on Postoperative Endodontic Pain in Patients With Symptomatic Irreversible Pulpitis: A Double-Blind Randomized Controlled Trial</t>
  </si>
  <si>
    <t>🧑 Human
🎲 Randomized trial, double-blind
👥 75 participants
⌛ single treatment -&gt; 48-hour follow-up</t>
  </si>
  <si>
    <t>"LLLT (...) was an effective measure as a supplement to oral analgesics in the reduction of [postoperative endodontic pain] compared to the placebo."</t>
  </si>
  <si>
    <t>Alonaizan &amp; AlFawaz</t>
  </si>
  <si>
    <t>Is phototherapy effective in the management of post-operative endodontic pain? A systematic review of randomized controlled clinical trials</t>
  </si>
  <si>
    <t>"A total of 5 RCTs were included.
The wavelengths of diode lasers ranged from 808 to 970 nm. Power output was reported in all the studies ranging from 50 milliwatts (mW) to 5000 mW. All the included studies evaluated PEP after root canal therapy, root canal retreatment or surgical endodontics.
Out of the five clinical studies, a total of three studies showed comparable PEP outcome between phototherapy and control groups. However, two studies showed statistically significant improvement in PEP in the phototherapy group as compared to the control group."</t>
  </si>
  <si>
    <t>Brazil
(Manaus)</t>
  </si>
  <si>
    <t>Comparison of the effect of photobiomodulation therapy and Ibuprofen on postoperative pain after endodontic treatment: randomized, controlled, clinical study.</t>
  </si>
  <si>
    <t>🧑 Human
🎲 Randomized trial
👥 70 participants
⌛ single treatment -&gt; 72-hour follow-up</t>
  </si>
  <si>
    <t>LLLT vs ibuprofen</t>
  </si>
  <si>
    <t>10
(4p)</t>
  </si>
  <si>
    <t>100
(4p)</t>
  </si>
  <si>
    <t>"Outcome was superior with photobiomodulation therapy at 6 h (p &lt; 0.001), 12 h (p = 0.005), and 24 h (p &lt; 0.001) intervals compared with Ibuprofen. The results for the 72 h (p = 0.317) interval were similar, both in the VRS and NRS scales. 
It may be concluded that the use of photobiomodulation therapy was effective in reducing pain within the first 24 h when compared with the administration of Ibuprofen 600 mg."</t>
  </si>
  <si>
    <t>Efficacy of low-level laser therapy in pain management after root canal treatment or retreatment: a systematic review.</t>
  </si>
  <si>
    <t>"After filtering, seven articles were included, five related to root canal therapy (RCT) and two related to root canal retreatment (RCR). Six of the included studies presented a moderate risk of bias and a one low risk of bias, based on the Cochrane tool of risk of bias evaluation."
"Three studies showed LLLT could reduce the prevalence of pain significantly after RCT or RCR. Although the effect of LLLT on pain intensity varied at different observation time points and among different studies, most of them found patients had lower pain intensity in the LLLT group. Of the three studies that assessed the need for analgesics after treatment, two studies showed significant benefits."
"Based on the current evidence, the use of LLLT for pain control in postendodontic therapy may be promising. However, solid conclusions should not be drawn definitely, given that more high-quality randomized controlled trials are required to further evaluate the efficacy of LLLT for pain management after RCT and RCR."</t>
  </si>
  <si>
    <t>Effect of Low-level Laser Therapy on Postoperative Pain in Molars with Symptomatic Apical Periodontitis: A Randomized Placebo-controlled Clinical Trial.</t>
  </si>
  <si>
    <t>🧑 Human
🎲 Randomized trial, sham-controlled
👥 42 participants
⌛ single treatment -&gt; 30-day follow-up</t>
  </si>
  <si>
    <t>⚔ placebo vs control vs LLLT</t>
  </si>
  <si>
    <t>"LLLT resulted in lower pain levels than those noted in the control and placebo groups on days 1 and 3 (P &lt; .05). There were no significant differences among the placebo, LLLT, and control groups in terms of postoperative percussion pain levels (P &lt; .05)."</t>
  </si>
  <si>
    <t>Effect of photobiomodulation therapy on postoperative pain after endodontic treatment: a randomized, controlled, clinical study.</t>
  </si>
  <si>
    <t>🧑 Human
🎲 Randomized trial
👥 60 participants
⌛ single treatment -&gt; 24-hour follow-lup</t>
  </si>
  <si>
    <t>100
/tooth</t>
  </si>
  <si>
    <t>"For the prevalence of pain, the difference between the groups was significant for the evaluations performed after 6 h (p = 0.04) and 24 h (p = 0.02). The difference after 24 h remained significant after stratification by sex and extrusion of filling material."</t>
  </si>
  <si>
    <t>Nabi</t>
  </si>
  <si>
    <t>Effect of preoperative ibuprofen in controlling postendodontic pain with and without low-level laser therapy in single visit endodontics: A randomized clinical study.</t>
  </si>
  <si>
    <t>🧑 Human
🎲 Randomized trial
👥 120 participants
⌛ single treatment -&gt; 48-hour follow-up</t>
  </si>
  <si>
    <t>PBM vs ibuprofen</t>
  </si>
  <si>
    <t>7+
60+
12-16</t>
  </si>
  <si>
    <t>360
(?)</t>
  </si>
  <si>
    <t>"The combination of low-level laser and ibuprofen showed the best results in terms of postoperative pain reduction."
"This study proved that low-level laser therapy can be an effective alternative for conventional use of nonsteroidal anti-inflammatory drugs in controlling postendodontic pain thereby eliminating the adverse effects of such drugs on the patients."</t>
  </si>
  <si>
    <t>Asnaashari</t>
  </si>
  <si>
    <t>Management of Post Endodontic Retreatment Pain With Low Level Laser Therapy.</t>
  </si>
  <si>
    <t>🧑 Human
🎲 Randomized trial
👥 61 participants
⌛ single treatment -&gt; 48-hour follow-up</t>
  </si>
  <si>
    <t>Endodontic retreatment</t>
  </si>
  <si>
    <t>70</t>
  </si>
  <si>
    <t>"Low level laser irradiation had limited effects to decrease pain associated with the endodontic retreatments in the first and second molars; however, more studies are required to assess the effects of different parameters of low level laser in this regard."</t>
  </si>
  <si>
    <t>Effect of Low-level Laser Therapy on Postoperative Pain after Root Canal Retreatment: A Preliminary Placebo-controlled, Triple-blind, Randomized Clinical Trial.</t>
  </si>
  <si>
    <t>🧑 Human
🎲 Randomized trial, double-blind
👥 36 participants
⌛ single treatment -&gt; 1-week follow-up</t>
  </si>
  <si>
    <t>Root canal retreatment pain
SIROLaser Xten device</t>
  </si>
  <si>
    <t>2.86</t>
  </si>
  <si>
    <t>30
mesial
+
30
distal</t>
  </si>
  <si>
    <t>"On the first 4 days, postoperative pain significantly reduced in the LLLT group compared with the placebo group (P &lt; .05). However, no statistically significant differences in postoperative pain were found between the 2 groups after 5 and 7 days (P &gt; .05). The number of patients who needed analgesics was lower in the LLLT group than in the placebo group (P &lt; .05). No patient reported pain during LLLT application."
"LLLT may reduce postoperative pain after RCR of mandibular molars."</t>
  </si>
  <si>
    <t>Efficacy of low level laser therapy in reducing postoperative pain after endodontic surgery-- a randomized double blind clinical study.</t>
  </si>
  <si>
    <t>🧑 Human
🎲 Randomized trial, double-blind
👥 52 participants
⌛ single treatment -&gt; 7-day follow-up</t>
  </si>
  <si>
    <t>"The results revealed that the pain level in the laser group was lower than in the placebo group throughout the 7 day follow-up period. The differences, however, were significant only on the first postoperative day (Mann-Whitney U-test, p&lt;0.05). Low level laser therapy can be beneficial for the reduction of postoperative pain. Its clinical efficiency and applicability with regard to endodontic surgery, however require further investigation. This is in particular true for the optimal energy dosage and the number of laser treatments needed after surgery."
Comment: The pain levels were low in the control group. Therefore the need for extra pain reduction via LLLT/PBM might be not that important in this case.</t>
  </si>
  <si>
    <t>Endodontics: Pulp</t>
  </si>
  <si>
    <t>Pulpal response following photo-biomodulation with a 904-nm diode laser: a double-blind clinical study.</t>
  </si>
  <si>
    <t>🧑 Human
🎲 Randomized trial, split-mouth, double-blind
👥 30 participants (60 teeth)
⌛ single session</t>
  </si>
  <si>
    <t>1 cm2
spot</t>
  </si>
  <si>
    <t>"Majority of the participants (66.7 %) demonstrated an analgesic effect following PBMT (elevated EPT scores); however, nine participants (30 %) reported the lower EPT scores than the control. Both the treatment effects (stimulation and analgesia) were significant compared to the placebo."
"In most individuals, PBMT of healthy teeth with a 904-nm GaAs diode laser can induce analgesia, as witnessed by elevated EPT scores. A converse effect can occur in a minority of subjects."</t>
  </si>
  <si>
    <t>Endodontics: Pulp regeneration</t>
  </si>
  <si>
    <t>Moreiraw</t>
  </si>
  <si>
    <t>Physical and Biological Properties of a Chitosan Hydrogel Scaffold Associated to Photobiomodulation Therapy for Dental Pulp Regeneration: An In Vitro and In Vivo Study</t>
  </si>
  <si>
    <t>"The scaffold tested in this study allowed significantly higher viability, proliferation, and migration of SCAPs in vitro when PBMT was applied, especially with the energy density of 5 J/cm2. These results were in consonance to those of the in vivo data, where pulp-like tissue formation was observed inside the root canal."</t>
  </si>
  <si>
    <r>
      <rPr>
        <b/>
        <color rgb="FF980000"/>
        <sz val="9.0"/>
      </rPr>
      <t>★</t>
    </r>
    <r>
      <rPr>
        <b/>
        <color rgb="FF980000"/>
        <sz val="7.0"/>
      </rPr>
      <t xml:space="preserve">
📷</t>
    </r>
  </si>
  <si>
    <t>In vivo experimental model of orthotopic dental pulp regeneration under the influence of photobiomodulation therapy.</t>
  </si>
  <si>
    <t>"Briefly, this tissue-engineered orthotopic model of dental pulp regeneration consisted of instrumentation of the dentinal walls with removal of dental pulp tissue from the mesial root canal of the first molar of rats, followed by treatment of the root canal walls with an acidic solution to release growth factors and induction of bleeding into the canal to create a blood clot (i.e., natural scaffold) rich in endogenous stem cells, prior to the laser PBM therapy application."
"No tissue formation was observed in any specimen of the Control group (n = 12). In three out of the 11 teeth composing the PBM group, the mesial root canal was filled with an immature connective tissue (Fig. 2).
This tissue was composed of fewer and thinner collagen fibers than the originally preserved dental pulp of the distal root of the same molar (Fig. 2A and B). A layer of cells in intimate contact with the dentin wall was observed to exhibit cytoplasmic extensions into the dentinal tubules (Fig. 2C). Immunohistochemical analysis of the tissue formed inside the experimental root canal showed an odontoblast-like cell layer labeled with anti-HSP-25 (Fig. 3A), blood vessels exhibiting SMA-positive cells in their walls (Fig. 3B), S-100-positive cells underneath the odontoblast-like cell layer (Fig. 3C) and a few STRO-1-positive cells in perivascular niches (Fig. 3D)."
"Most importantly, our results corroborate the hypothesis that PBM therapy may be an adjunctive therapy that is able to improve dental pulp tissue regeneration."</t>
  </si>
  <si>
    <t>Endodontics: Pulp wound healing</t>
  </si>
  <si>
    <t>Utsunomiya</t>
  </si>
  <si>
    <t>A histopathological study of the effects of low-power laser irradiation on wound healing of exposed dental pulp tissues in dogs, with special reference to lectins and collagens.</t>
  </si>
  <si>
    <t>"The expression of these lectins and collagens occurred earlier in the laser irradiation group than in the control group. These results suggest that laser irradiation accelerates wound healing of the pulp and the expression of the lectins and collagens."</t>
  </si>
  <si>
    <t>Endodontics: Pulpal anesthesia</t>
  </si>
  <si>
    <t>Hashemi</t>
  </si>
  <si>
    <t>Eur Endod J</t>
  </si>
  <si>
    <t>Effects of Diode Low-Level Laser Therapy of 810 Nm on Pulpal Anesthesia of Maxillary Premolars: A Double-Blind Randomized Clinical Trial</t>
  </si>
  <si>
    <t>🧑 Human
🎲 Randomized trial, split-mouth, double-blind
👥 20 participants
⌛ single session</t>
  </si>
  <si>
    <t>"A low-level laser at 810 nm significantly alleviate EPT-induced pain compared to the pain before laser irradiation (P≤0.001). While the difference of EPT-induced pain before and after sham laser irradiation was not significant in control group (P&gt;0.05)."
"An 810 nm low-level laser is a powerful device for induced anesthesia applications in patients requiring dental procedures. It also lessens the patients' fear of dental procedures."</t>
  </si>
  <si>
    <t>Endodontics: Pulpotomy success rate</t>
  </si>
  <si>
    <t>Turkeyt
(Kocaeli)</t>
  </si>
  <si>
    <t>The comparison of calcium hydroxide + biostimulation, calcium hydroxide, formocresol, and MTA pulpotomies without biostimulation in primary teeth: 12-months clinical and radiographic follow-up</t>
  </si>
  <si>
    <t>🧑 Human (pediatric)
🎲 Randomized trial
👥 94 participants (172 teeth)
⌛ single treatment -&gt; 12-month follow-up</t>
  </si>
  <si>
    <t>CaOH vs CaOH+PBM vs formocresol vs MTA</t>
  </si>
  <si>
    <t>"After 12 months, the clinical and radiographic success rate (a tooth with at least one of the findings was considered unsuccessful) was 97%/92% for FC and 97%/95%, 87%/73%, and 71%/45% for MTA, CH + PBMT, and CH, respectively."
"CH without PBMT showed the worst clinical and radiographic results among the groups. CH + PBMT showed similar clinical success compared to the MTA and FC groups. In radiographic success, CH + PBMT showed higher success compared to CH, but this success was not high as compared to MTA and FC."</t>
  </si>
  <si>
    <t>Yavagal</t>
  </si>
  <si>
    <t>India
(Belgaum)</t>
  </si>
  <si>
    <t>Efficacy of laser photobiomodulation pulpotomy in human primary teeth: A randomized controlled trial</t>
  </si>
  <si>
    <t>🧑 Human
🎲 Randomized trial, split-mouth
👥 68 teeth
⌛ single treatment -&gt; 9-month follow-up</t>
  </si>
  <si>
    <t>"LPBM group (experimental group) complete hemostasis was achieved by exposing root canal orifices to 660 nm GaAlAs diode laser of 36 mW output in noncontact mode for 4 min"
"There was no statistically significant difference in the clinical success rates between the formocresol group (97.05%) and the photobiomodulation group (94.1%) (χ2 = 0.34, P = 0.55); however, the radiographic success rate was significantly high in the laser group (94.1%) compared to the formocresol group (58.82%) (χ2 = 11.76, P = 0.001)."</t>
  </si>
  <si>
    <t>Clinical and radiographic effectiveness of mineral trioxide aggregate (MTA) partial pulpotomy with low power or high power diode laser irradiation in deciduous molars: a randomized clinical trial</t>
  </si>
  <si>
    <t>🧑 Human
🎲 Randomized trial, sham-controlled
👥 63 teeth
⌛ single treatment -&gt; 18-month follow-up</t>
  </si>
  <si>
    <t>200
1000</t>
  </si>
  <si>
    <t>1
1</t>
  </si>
  <si>
    <t>"No significant differences were found in the frequency of clinical or radiographic failure among the groups at any interval (p &gt; 0.05)."</t>
  </si>
  <si>
    <t>Alamoudi</t>
  </si>
  <si>
    <t>Pediatr Dent</t>
  </si>
  <si>
    <t>Clinical and Radiographic Success of Low-Level Laser Therapy Compared with Formocresol Pulpotomy Treatment in Primary Molars</t>
  </si>
  <si>
    <t>🧑 Human (pediatric)
🎲 Randomized trial
👥 36 participants
⌛ single treatment -&gt; 12-month follow-up</t>
  </si>
  <si>
    <t>"At six months, the clinical success rate was 98 percent for each group. Radiographic success was 100 percent for the LLLT group and 98 percent for the FC group. At 12 months, both groups showed a clinical success of 96.1 percent."</t>
  </si>
  <si>
    <t>Ansari</t>
  </si>
  <si>
    <t>Iran Endod J</t>
  </si>
  <si>
    <t>Evaluation of Four Pulpotomy Techniques in Primary Molars: A Randomized Controlled Trial.</t>
  </si>
  <si>
    <t>🧑 Human
🎲 Randomized trial
👥 40 participants (160 teeth)
⌛ single treatment -&gt; 12-month follow-up</t>
  </si>
  <si>
    <t>"The 12-month clinical success rate for each technique was: FC=100%, FS=95%, CEM=97.5% and LLLT/CEM=100% with no significant differences (P&gt;0.05). Furthermore, 12-month radiographic success rate for each technique was: FC=100%, FS=92.5%, CEM=95% and LLLT/CEM=100% with no significant differences (P&gt;0.05)."</t>
  </si>
  <si>
    <t>Low-level laser therapy as an alternative for pulpotomy in human primary teeth.</t>
  </si>
  <si>
    <t>🧑 Human
🎲 Randomized trial
👥 20 teeth
⌛ single treatment -&gt; extraction and analysis ~12 months later</t>
  </si>
  <si>
    <t>"The lowest degree of pulpal inflammation was present in LLLT + calcium hydroxide (P = 0.0296). Calcium hydroxide showed the highest rate of hard tissue barrier (P = 0.0033), odontoblastic layer (P = 0.0033), and dense collagen fibers (P = 0.0095). On the other hand, formocresol showed the highest incidence of internal resorption (P = 0.0142). Based on this study, low-level laser therapy preceding the use of calcium hydroxide exhibited satisfactory results on pulp tissue healing. However, further clinical studies on human teeth with long-term follow-up are needed to test the low-level laser therapy efficacy."</t>
  </si>
  <si>
    <t>Int J Pediatr Dent</t>
  </si>
  <si>
    <t>Clinical and radiographic outcomes of the use of Low-Level Laser Therapy in vital pulp of primary teeth.</t>
  </si>
  <si>
    <t>🧑 Human
🎲 Randomized trial
👥 60 teeth
⌛ single treatment -&gt; 18-month follow-up</t>
  </si>
  <si>
    <t>⚔ formocresol vs calcium hydroxide vs LLLT vs calcium hydroxide + LLLT</t>
  </si>
  <si>
    <t>"At the 18 months follow-up, 100% of the FC group, 66.7% of CH group, 73.3% of the LLLT group and 75% of the LLLT + CH group."
"These findings suggest that Low Level Laser Therapy may be considered as an adjuvant alternative for vital pulp therapy on human primary teeth. Low Level Laser Therapy preceding the use of calcium hydroxide showed satisfactory results."
Comment: The results were just a little bit better than calcium hydroxine. Formocresol group had the best results.</t>
  </si>
  <si>
    <t>Endodontics: Review</t>
  </si>
  <si>
    <t>Mankar</t>
  </si>
  <si>
    <t>Application of Low-Level Laser Therapy in Endodontics: A Narrative Review</t>
  </si>
  <si>
    <t>"This article provides an extensive exploration of LLLT's applications in dentistry, focusing on its mechanisms of action and biological effects, and emphasizes the uniqueness of LLLT as a transformative tool in modern dental care."</t>
  </si>
  <si>
    <t>Endodontics: Root canal treatment success</t>
  </si>
  <si>
    <t>Das</t>
  </si>
  <si>
    <t>India
(Odisha)</t>
  </si>
  <si>
    <t>J Pharm Bioallied Sci</t>
  </si>
  <si>
    <t>Comparison and Evaluation of Effect of Low Level Laser Therapy (LLLT) with Intracanal Medicament on Periapical Healing</t>
  </si>
  <si>
    <t>🧑 Human
🎲 Randomized trial
👥 40 participants
⌛ 14-day treatment -&gt; 9-month follow-up</t>
  </si>
  <si>
    <t>1 cm2 device tip</t>
  </si>
  <si>
    <t>"No significant difference was noted for postoperative pain and PAI scale between both groups Significant difference was noted in the reduction of the periapical lesions for 3 and 9 months follow up, but was not significant for 6 months. The healing was better in Group I which received Low-level laser therapy with the conventional root canal treatment."</t>
  </si>
  <si>
    <t>Chile
(Concepción)</t>
  </si>
  <si>
    <t>Photobiomodulation therapy and endodontic treatment of teeth with apical periodontitis using 940-nm diode laser. Report of two cases</t>
  </si>
  <si>
    <t>🧑 Human
📄 Case series
👥 2 participants
⌛ single treatment -&gt; 6-month follow-up</t>
  </si>
  <si>
    <t>16
total
energy</t>
  </si>
  <si>
    <t>0.2
cm2
spot
2.6
cm2
treatment
area</t>
  </si>
  <si>
    <t>"This work presents two cases of pulp necrosis/asymptomatic apical periodontitis (AAP) that were treated with 940-nm DL, administered both to disinfect the root canal and to apply PBMT to the periradicular tissues. The cases were analysed by Cone-Beam Computed Tomography (CBCT)."</t>
  </si>
  <si>
    <t>India
(Virajpet)</t>
  </si>
  <si>
    <t>Evaluation of effect of low level laser therapy with intracanal medicament on periapical healing: A randomised control trial</t>
  </si>
  <si>
    <t>3
/ 14 days
(during the 3 sessions of root canal treatment)</t>
  </si>
  <si>
    <t>"Significant differences were noted in reduction of periapicallesion at 3 and 9 months follow-up. The healing was better in Group I that received LLLT with the conventional Root Canal Treatment (RCT).
Values for postoperative pain was lower in Group I than Group II, but were statistically non-significant."</t>
  </si>
  <si>
    <t>Endodontics</t>
  </si>
  <si>
    <t>Anagnostaki</t>
  </si>
  <si>
    <t>Systematic Review on the Role of Lasers in Endodontic Therapy: Valuable Adjunct Treatment?</t>
  </si>
  <si>
    <t>"It was revealed that almost all studies (14/17) presented a statistically significant improved outcome in laser-assisted endodontic therapy. The remaining three did not show any differences over that of their corresponding control groups, but neither did they demonstrate any adverse effects. Therefore, lasers can be suggested as useful adjunctive treatment modalities."</t>
  </si>
  <si>
    <t>Endodontics (in vitro)</t>
  </si>
  <si>
    <t>Alshawkani</t>
  </si>
  <si>
    <t>Saudi Arabia
(Jazan)</t>
  </si>
  <si>
    <t>Regenerative Potential of Dental Pulp Stem Cells in Response to a Bioceramic Dental Sealer and Photobiomodulation: An In Vitro Study</t>
  </si>
  <si>
    <t>"The study showed a notable rise in cell viability when NP and PBM were used together. Odontogenic gene expression and the protein expression of BMP-2 and RUNX-2 were notably increased in the combined group. The combined effect of NeoPutty and PBM was significant in enhancing the odontogenic differentiation capability of DPSCs."</t>
  </si>
  <si>
    <t>Rahmati</t>
  </si>
  <si>
    <t>Effect of Low-Level Diode Laser and Red Light-Emitting Diode on Survival and Osteogenic/Odontogenic Differentiation of Human Dental Pulp Stem Cells</t>
  </si>
  <si>
    <t>🧪 In vitro (ex vivo)</t>
  </si>
  <si>
    <t>"The cell survival of hDPSCs was reduced, despite an increase in osteogenic/odontogenic activity."</t>
  </si>
  <si>
    <t>Yarita</t>
  </si>
  <si>
    <t>Japan
(Niigata)</t>
  </si>
  <si>
    <t>Effects of Semiconductor Laser Irradiation on Differentiation of Human Dental Pulp Stem Cells in Co-Culture with Dentin</t>
  </si>
  <si>
    <t>"The multiple irradiation group irradiated at 30 mW exhibited significantly more cell proliferation than the control. The expression of nestin associated with differentiation into OLCs during each culture period tended to be lower, whereas DSPP and ALP expression was higher compared with that of the control. Multiple laser irradiations at a low power of 30 mW induced significant hDPSC proliferation and might induce differentiation into OLCs."</t>
  </si>
  <si>
    <t>Escobar</t>
  </si>
  <si>
    <t>Osteoblastic differentiation and changes in the redox state in pulp stem cells by laser treatment</t>
  </si>
  <si>
    <t>660
940</t>
  </si>
  <si>
    <t>5
50
180</t>
  </si>
  <si>
    <t>"The 940-nm wavelength for 5 and 50 s increased proliferation at 4 days postirradiation. After 8 days, a significant decrease in proliferation was observed in all groups. Calcification nodules were evident in all groups, with a greater staining intensity in cells treated with a 940-nm laser for 50 s, an effect that correlated with increased RUNX2 and BMP2 expression. ROS production and Δψm increased independently of irradiation time."</t>
  </si>
  <si>
    <t>Malekpour</t>
  </si>
  <si>
    <t>Effect of photobiomodulation therapy on TGF-β release from dentin, migration and viability of dental pulp stem cells in regenerative endodontics treatment: An ex vivo study</t>
  </si>
  <si>
    <t>"According to the obtained data, 808 nm mediated-PBM (3 J/cm2), both independently and in conjunction with EDTA, enhanced the release of TGF-β1 from dentin and improved cell viability and migration of DPSCs. It seems that, PBM under the specific parameters employed in this study, could be an effective adjunctive therapy in REPs."</t>
  </si>
  <si>
    <t>Karkehabadi</t>
  </si>
  <si>
    <t>Effect of Low-Level Laser Therapy on Differentiation and Proliferation of Human Dental Pulp Stem Cells: A Systematic Review</t>
  </si>
  <si>
    <t>📚 Systematic review (in vitro studies)</t>
  </si>
  <si>
    <t>"17 relevant studies were included in the present systematic review after removing duplicates and non-relevant articles. The results indicated the useful effect of low-level laser therapy (LLLT) on the hDPSCs."</t>
  </si>
  <si>
    <t>Photobiomodulation therapy enhances neural differentiation of dental pulp stem cells via ERK1/2 signaling pathway</t>
  </si>
  <si>
    <t>"Our study showed that the neural differentiation of DPSCs was promoted by PBMT, and the underlying mechanism in this process was associated with activating the ERK1/2 signaling pathway."</t>
  </si>
  <si>
    <t>Effects of Red LED Irradiation in Enhancing the Mineralization of Human Dental Pulp Cells In Vitro</t>
  </si>
  <si>
    <t>"In summary, red LEDI enhanced the mineralization of HDPCs by functioning to produce a positive effect in the mineralization stage in vitro."</t>
  </si>
  <si>
    <t>Integration of blue light with near-infrared irradiation accelerates the osteogenic differentiation of human dental pulp stem cells</t>
  </si>
  <si>
    <t>"We found that NIR irradiation applied after blue light can reduce blue light toxicity improving the cell viabiltiy. Delayed luminescence and transmission electron microscopy studies showed that this combination excited hDPSCs and activated mitochondrial biogenesis. Those modulations accelerated hDPSC differentiation, as shown by an increase of about 1.3-fold in alkaline phosphatase activity in vitro and an about 1.5-fold increase in the osteocalcin-positive regions in cells implanted in nude mice compared with mice exposed to near-infrared alone."</t>
  </si>
  <si>
    <t>Yong</t>
  </si>
  <si>
    <t>Photobiomodulation Therapy and Pulp-Regenerative Endodontics: A Narrative Review</t>
  </si>
  <si>
    <t>"The present review indicates that PBMT-assisted regenerative pulp procedures could be useful adjunctive tools for future advancements in endodontics, specifically REPs. However, the currently available scientific evidence is unable to specifically explain the mechanism of action of PBMT in REPs. Therefore, further in vivo and in vitro research is required."</t>
  </si>
  <si>
    <t>The Effect of Low-Level Laser Therapy on the Viability of Human Dental Pulp Stem Cells</t>
  </si>
  <si>
    <t>"Cell viability in 660-nm and 808-nm laser groups at 48 and 72 hours was higher than that of the control group; however, only the difference in cell viability between the 660-nm laser group and the control group at 72 hours was statistically significant (P=0.03)"</t>
  </si>
  <si>
    <t>Firoozi</t>
  </si>
  <si>
    <t>Curr Stem Cell Res Ther</t>
  </si>
  <si>
    <t>The Role of Photobiomodulation on Dental-Derived Mesenchymal Stem Cells in Regenerative Dentistry: A Comprehensive Systematic Review</t>
  </si>
  <si>
    <t>"Photobiomodulation therapy showed promising effects on the proliferation, viability, and differentiation of dental stem cells. This finding was based on reviewing related articles with a low risk of bias."</t>
  </si>
  <si>
    <t>Low-level controllable blue LEDs irradiation enhances human dental pulp stem cells osteogenic differentiation via transient receptor potential vanilloid 1</t>
  </si>
  <si>
    <t>0.032</t>
  </si>
  <si>
    <t>60
120
180
240
300</t>
  </si>
  <si>
    <t>Every
other
day for
21 days</t>
  </si>
  <si>
    <t>"The results showed that compared with the control group, osteogenic differentiation was significantly enhanced in blue LEDs treated groups. 
As the energy density increased, the level of osteogenesis initially increased and then decreased reaching the highest level at 6 J/cm2. 
Transient receptor potential vanilloid 1 (TRPV1), a Ca2+ ion channel, was believed to be a potential player in osteogenesis by photobiomodulation. By immunofluorescence assay, calcium influx assay, PCR, and ALP staining, it was shown that blue LEDs irradiation can increase the activity of TRPV1 and intracellular calcium levels similarly to the agonist of TRPV1 capsaicin. 
Additionally, pretreatment with capsazepine, a selective TRPV1 inhibitor, was able to abrogate the osteogenic effect of blue LEDs."</t>
  </si>
  <si>
    <t xml:space="preserve"> J Lasers Med Sci</t>
  </si>
  <si>
    <t>Effects of Two Protocols of Low-Level Laser Therapy on the Proliferation and Differentiation of Human Dental Pulp Stem Cells on Sandblasted Titanium Discs: An In Vitro Study</t>
  </si>
  <si>
    <t>12
20</t>
  </si>
  <si>
    <t>"Our study showed that LLLTs caused maximum cell proliferation in 96 hours (P&lt;0.001) with 3 J/cm2 resulting in a higher proliferation rate. The highest activity of alkaline phosphatase and osteocalcin expression was observed in the laser radiation groups after 28 days."</t>
  </si>
  <si>
    <t>A Comparative Analysis of Photobiomodulation-Mediated Biological Effects of Single Versus Double Irradiation on Dental Pulp Stem Cells: An In Vitro Study</t>
  </si>
  <si>
    <t>1 or 2
1 or 2
1 or 2</t>
  </si>
  <si>
    <t>"During the first 48 h postirradiation, the highest rates of DPSC proliferation were assigned to double irradiation at 3 or single exposure to 7 J⋅cm-2, with no cytotoxic effects on cell viability. 
Inversely, single irradiation at 12, or a double session of exposure to 7 or 12 J⋅cm-2, led to a significant descent in the rates of proliferation and cell viability."</t>
  </si>
  <si>
    <t>Brazil
(Mogi da Cruzes)</t>
  </si>
  <si>
    <t>Laser Photobiomodulation 808 nm: Effects on Gene Expression in Inflammatory and Osteogenic Biomarkers in Human Dental Pulp Stem Cells</t>
  </si>
  <si>
    <t>"PBM suppressed the expression of inflammatory gene TNF and RANKL and downregulated the gene expression for VDR and proteolytic enzymes cathepsin K, MMP-8 and MMP-9.
Modulation of gene expression for proteinase-activated receptors (PARs) following PBM varied among different PARs.
As expected, PBM blocked the odontoblastic differentiation of DPSCs when subjected to LPS model.
Conversely, PBM has preserved the odontogenic potential of DPSCs by increasing the expression of TWIST-1/RUNEX-2/ALP signaling axis."
Comment: The 0.33 W/cm2 for 60 seconds does not equal 6 J/cm2 so something might be wrong with the parameter reporting.</t>
  </si>
  <si>
    <t>Nestin and NG2 transgenes reveal two populations of perivascular cells stimulated by photobiomodulation</t>
  </si>
  <si>
    <t>"In vitro, PBM induced VEGF upregulation, improved dental pulp cells proliferation and migration, and favored their mineralization potential. Herein, different subsets of perivascular cells were unveiled in the pulp tissue. PBM enhanced not only NG2+ cells but nestin-expressing progenitors in the injured dental pulp."</t>
  </si>
  <si>
    <t>Thermodynamic Basis for Comparative Photobiomodulation Dosing with Multiple Wavelengths to Direct Odontoblast Differentiation</t>
  </si>
  <si>
    <t>447
532
658
810
980
1064</t>
  </si>
  <si>
    <t>"Both 447 and 810 nm significantly increased alkaline phosphatase (ALP) activity, while 1064 nm showed reduced ALP activity at 3 J/cm2 . However, ALP induction was significantly improved when equivalent photon fluence dosing was used."
Other wavelengths did not show significant changes compared to untreated controls.
This data suggests that accounting for wavelength-specific photon energy transfer during PBM dosing could improve clinical safety and efficacy."</t>
  </si>
  <si>
    <t>Hendi</t>
  </si>
  <si>
    <t>Photobiomodulation of inflamed dental pulp stem cells under different nutritional conditions</t>
  </si>
  <si>
    <t>"A significant positive effect of laser irradiation on cell proliferation under both nutritional conditions after 24 and 48 h was observed. DMP-1 gene expression increased in the groups with laser irradiation and 5% FBS."
"Comparison of gene expression levels in the four groups revealed no statistically significant stimulatory effect. The highest gene expression was observed in the non-laser group with 5% FBS."</t>
  </si>
  <si>
    <t>Dawoud</t>
  </si>
  <si>
    <t>Egypt
(Ismailia)</t>
  </si>
  <si>
    <t>Photobiomodulation therapy upregulates the growth kinetics and multilineage differentiation potential of human dental pulp stem cells-an in vitro Study</t>
  </si>
  <si>
    <t>"Cells of the irradiated groups showed enhanced differentiation towards osteogenic and chondrogenic lineages as revealed by histochemical staining using alizarin red and alcian blue stains. Photobiomodulation is an emerging promising element of tissue engineering triad besides stem cells, scaffolds, and growth factors."</t>
  </si>
  <si>
    <t>Chimello-Sousa</t>
  </si>
  <si>
    <t xml:space="preserve">Brazil
(Ribeirão Preto)
</t>
  </si>
  <si>
    <t>Photobiomodulation therapy does not depend on the differentiation of dental pulp cells to enhance functional activity associated with angiogenesis and mineralization</t>
  </si>
  <si>
    <t>"Photobiomodulation enhances metabolism associated with angiogenesis, gene expression, and mineralization regardless of the odontogenic medium in OD-21 cells."</t>
  </si>
  <si>
    <t>Abdelgawad</t>
  </si>
  <si>
    <t>Efficacy of Photobiomodulation and Vitamin D on Odontogenic Activity of Human Dental Pulp Stem Cells</t>
  </si>
  <si>
    <t>PBM vs vitamin D</t>
  </si>
  <si>
    <t>"PBM at 1 and 2 J/cm2 combined with vitamin D significantly promoted HDPSCs proliferation through MTT assay and odontogenic differentiation through gene expression of VEGF, BMP-2, and DSPP levels (P &lt; 0.0001)."
"Conclusion: PBM at 2 J/cm2 combined with vitamin D enhanced the HDPSCs proliferation and odontogenic differentiation and thus could be a novel strategy for dentin regeneration in dentistry."</t>
  </si>
  <si>
    <t>Bonvicini</t>
  </si>
  <si>
    <t>Specific parameters of infrared LED irradiation promote the inhibition of oxidative stress in dental pulp cells</t>
  </si>
  <si>
    <t>"According to the parameters used in this study, the radiant exposure of 15 J/cm2 and irradiance of 40 mW/cm2 were the most effective irradiation parameters to stimulate and modulate oxidative stress in the primary teeth-derived dental pulp cells."</t>
  </si>
  <si>
    <t>Photobiomodulation effect of red LED (630 nm) on the free radical levels produced by pulp cells under stress conditions</t>
  </si>
  <si>
    <t>0.04
0.08</t>
  </si>
  <si>
    <t>4
15
30</t>
  </si>
  <si>
    <t>"It was concluded that the irradiation strategies of using red LED with radiant exposures of 15 J/cm2 and 30 J/cm2 at 0.04 W/cm2 and 15 J/cm2 at 0.08 W/cm2 were the best parameters to decrease NO and ROS concentration and to stimulate viability of HDPFs exposed to LPS challenge."</t>
  </si>
  <si>
    <t>Bergamo</t>
  </si>
  <si>
    <t>Could the photobiomodulation therapy induce angiogenic growth factors expression from dental pulp cells?</t>
  </si>
  <si>
    <t>"All energy densities maintained HPF viable. The groups with higher powers, shorter application times, and energy densities between 2.5 and 6.2 J/cm2 exhibited greater viability than that of the groups with lower power and longer application time."
Comment: Are there clear differences between PBM and the positive control group (both receiving 10% FBS)?</t>
  </si>
  <si>
    <t>The effect of photobiomodulation on human dental pulp-derived stem cells: systematic review</t>
  </si>
  <si>
    <t>"Out of the total 121 studies found, 109 were excluded. Of the twelve included studies, three full-text articles were not available despite attempts made to contact the respective authors, leaving nine studies.
Four of the included studies reported the use of stem cells derived from human deciduous teeth (SHEDs), and five used those from human permanent teeth (DPSCs).
Most included studies utilized InGaAlP laser with wavelengths 660 nm, and one study with 610 nm. Other types of lasers included LED InGaN, and GaAlAs. 
Out of all included studies, two had a moderate risk of bias, and the rest had a low risk of bias.
All studies confirmed positive effects on proliferation. One study also found improved osteogenic differentiation of the stem cells derived from stem cells of deciduous teeth. After assessing SHEDs and DPSCs separately, it is found that photobiomodulation improved cell proliferation in both subgroups.
Due to heterogeneity in design protocols and laser parameters, it was not possible to compare the studies together. However, this study indicated that cell viability and proliferation did improve with photobiomodulation."</t>
  </si>
  <si>
    <t>Deluca</t>
  </si>
  <si>
    <t>Cytotoxic, migration and angiogenic effects of photodynamic therapy and photobiomodulation associated with a revascularization protocol</t>
  </si>
  <si>
    <t>"PDT and PBM promoted greater APCs viability than their controls, and PDT had greater cell viability than CT (P&lt;0.05). All protocols reduced APCs migration when compared with CT (P&lt;0.05). HUVECs sprouts grown out of spheroids in PBM had a greater ratio area than its control (P≤0.01), and PDT ratio of spheroid area was similar to that of its control (P&gt;0.05)."
"PBM and PDT seem to be potentially effective adjuncts to revascularization in non-vital immature teeth."</t>
  </si>
  <si>
    <t>Malthiery</t>
  </si>
  <si>
    <t>Effects of Green Light Photobiomodulation on Dental Pulp Stem Cells: Enhanced Proliferation and Improved Wound Healing by Cytoskeleton Reorganization and Cell Softening</t>
  </si>
  <si>
    <t>"Green light significantly improved DPSC proliferation with a maximal effect obtained after 300-s irradiation (energy fluence 5 J/cm2). This irradiation had a significant impact on cell migration, improving wound healing after 24 h."
"This study highlights the interest of green laser [PBM] for the proliferation and migration of mesenchymal stem cells, with encouraging results for clinical application, especially for surgical wound healing procedures."</t>
  </si>
  <si>
    <t>The Effect of Photobiomodulation on Human Dental Pulp-Derived Stem Cells: Systematic Review</t>
  </si>
  <si>
    <t>📚 Systematic review (🧪 In vitro studies)</t>
  </si>
  <si>
    <t>"Out of the total 121 studies found, 109 were excluded. Of the twelve included studies, three full-text articles were not available despite attempts made to contact the respective authors, leaving nine studies.
Four of the included studies reported the use of stem cells derived from human deciduous teeth (SHEDs), and five used those from human permanent teeth (DPSCs).
Most included studies utilized InGaAlP laser with wavelengths 660 nm, and one study with 610 nm. Other types of lasers included LED InGaN, and GaAlAs.
Out of all included studies, two had a moderate risk of bias, and the rest had a low risk of bias.
All studies confirmed positive effects on proliferation. One study also found improved osteogenic differentiation of the stem cells derived from stem cells of deciduous teeth. After assessing SHEDs and DPSCs separately, it is found that photobiomodulation improved cell proliferation in both subgroups.
Due to heterogeneity in design protocols and laser parameters, it was not possible to compare the studies together. However, this study indicated that cell viability and proliferation did improve with photobiomodulation."</t>
  </si>
  <si>
    <t>İslam</t>
  </si>
  <si>
    <t>Comparative Evaluation of Low-Level Laser Therapy on Proliferation of Long-Term Cryopreserved Human Dental Pulp Cells Isolated From Deciduous and Permanent Teeth</t>
  </si>
  <si>
    <t>5
7</t>
  </si>
  <si>
    <t>"Laser irradiation demonstrated significant effects on proliferation rate of DPSCs and SHEDs in comparison with control."</t>
  </si>
  <si>
    <t>Vitor</t>
  </si>
  <si>
    <t>Photobiomodulation effect on angiogenic proteins produced and released by dental pulp cells.</t>
  </si>
  <si>
    <t>2.5
3.7</t>
  </si>
  <si>
    <t>Photobiomodulation produced stimulatory effects on angiogenic protein secretion by pulp fibroblasts. In terms of photobiomodulation, over time, both fluences significantly increased the secretion of VEGF-A, VEGF-C, and VEGFR1 and significantly upregulated BMP-9 (6 h) in the supernatant; for capillary-like structure formation, the fluence of 2.5 J/cm2 was better than the fluence of 3.7 J/cm2.</t>
  </si>
  <si>
    <t>Yurtsever</t>
  </si>
  <si>
    <t>Dopaminergic induction of human dental pulp stem cells by photobiomodulation: comparison of 660nm laser light and polychromatic light in the nir.</t>
  </si>
  <si>
    <t>Polychromatic light 🌈
LLLT vs polychromatic light</t>
  </si>
  <si>
    <t>660
600-
1200</t>
  </si>
  <si>
    <t>"In conclusion, the expression of dopaminergic neuron protective protein mRNAs in hDPSCs was increased by photobiomodulation in defined conditions. However, the cells were not able to differentiate into functional dopaminergic neurons either in control or in photobiomodulated groups that are prone to cell death and exhibit immature dopaminergic neuron characteristics"</t>
  </si>
  <si>
    <t>Oliveira Prado Bergamo</t>
  </si>
  <si>
    <t>Angiogenic protein synthesis after photobiomodulation therapy on SHED: a preliminary study.</t>
  </si>
  <si>
    <t>"The dosimetries of 2.5 J/cm2 and 3.7 J/cm2 maintained viability, improved proliferation, and synthesis of the angiogenic proteins in the supernatant in the studied periods on SHED."</t>
  </si>
  <si>
    <t>Photobiomodulation therapy improves human dental pulp stem cell viability and migration in vitro associated to upregulation of histone acetylation.</t>
  </si>
  <si>
    <t>33.33</t>
  </si>
  <si>
    <t>0.03
cm2
spot</t>
  </si>
  <si>
    <t>5/d</t>
  </si>
  <si>
    <t>"PBMT increased viability and migration of hDPSCs, which are related with the upregulation of histone acetylation and could be considered a promising adjuvant therapy for regenerative endodontic treatment."</t>
  </si>
  <si>
    <t>Mirhosseini</t>
  </si>
  <si>
    <t>Cerebrospinal Fluid and Photobiomodulation Effects on Neural Gene Expression in Dental Pulp Stem Cells.</t>
  </si>
  <si>
    <t>"It was shown that PBM has the ability to elevate the proliferation of DPSCs."</t>
  </si>
  <si>
    <t>Does photobiomodulation change the synthesis and secretion of angiogenic proteins by different pulp cell lineages?</t>
  </si>
  <si>
    <t>"Statistically similar HPF and SHED viability and proliferation patterns occurred before and after photobiomodulation (P &gt; .05)."
"Photobiomodulation changed the synthesis and secretion of angiogenic proteins by HPF."</t>
  </si>
  <si>
    <t>Tunç</t>
  </si>
  <si>
    <t>Turkey
(Lefkosa)</t>
  </si>
  <si>
    <t>Long-term effect of low-level diode laser irradiation on proliferation of stem cells from human exfoliated deciduous teeth after cryopreservation protocol</t>
  </si>
  <si>
    <t xml:space="preserve"> </t>
  </si>
  <si>
    <t>1.2
2.0</t>
  </si>
  <si>
    <t>"Group 2 showed increased TUNEL-positive cells compared to Groups 1 and 3, but no significant differences between the three groups were observed (p   &gt;  0.05).
Comparing Groups 2 and 3 to Group 1, the proliferation of SHEDs significantly increased after 24, 48, and 72 h (p   &lt;  0.05), but no significant differences were observed between the groups at 0 h (p   &gt;  0.05).
In addition to this, at 72 h, Group 3 showed significantly higher proliferative effect on SHEDs compared to Group 2 (p   &gt;  0.05)."</t>
  </si>
  <si>
    <t>Effects of different culture media, cell densities and adhesion periods on stem cells from human exfoliated deciduous teeth after photobiomodulation</t>
  </si>
  <si>
    <t>"Higher cell density (1 × 104 and 2 × 104) and shorter adhesion period (24 h) led to greater cell viability after PBM."</t>
  </si>
  <si>
    <t>Almeida-Junior</t>
  </si>
  <si>
    <t>Effect of single and multiple doses of low-level laser therapy on viability and proliferation of stem cells from human exfoliated deciduous teeth (SHED).</t>
  </si>
  <si>
    <t>2.5
5.0
7.5</t>
  </si>
  <si>
    <t>"The 5.0 and 7.5 J/cm2 single doses and the three applications of 2.5 J/cm2 maintained cell viability and stimulated proliferation of SHED at 72 h."</t>
  </si>
  <si>
    <t>Paschalidou</t>
  </si>
  <si>
    <t>Biological effects of low-level laser irradiation (LLLI) on stem cells from human exfoliated deciduous teeth (SHED).</t>
  </si>
  <si>
    <t>"Statistically significant stimulation of cell viability/proliferation was observed at all energy fluences, reaching the highest effect for the 4 and 16 J/cm2. Although the 8 J/cm2 fluence showed the lowest stimulatory effect on cell viability/proliferation, it was the most effective in inducing SHED migration, upregulation of odontogenesis-related genes (DSPP, ALP, BMP-2) at specific time-points, and the in vitro biomineralization potential of SHED compared to the other two energy fluences."
"LLLI proved beneficial in promoting SHED biological processes critical for pulp repair in deciduous teeth. Overall, the 8 J/cm2 energy fluence showed the most beneficiary effects."</t>
  </si>
  <si>
    <t>Garrido</t>
  </si>
  <si>
    <t>Ecuador
(Quito)</t>
  </si>
  <si>
    <t>Effects of photobiomodulation therapy on the extracellular matrix of human dental pulp cell sheets.</t>
  </si>
  <si>
    <t>Cell sheets composed by human dental pulp stem cells (hDPSCs)</t>
  </si>
  <si>
    <t>"PBMT influence the composition and ultrastructure of the ECM of CSs of hDPSCs. Thus, PBMT, specifically when applied in the lower energy density, could be of importance in the determination of the mechanical quality of CSs, which may favor cell therapy by improving the CS transplantation approach."</t>
  </si>
  <si>
    <t>Evaluation of low-level diode laser irradiation and various irrigant solutions on the biological response of stem cells from exfoliated deciduous teeth</t>
  </si>
  <si>
    <t>"The significantly lowest percentages of TUNEL-positive cells were detected in ozonated water (10.67% ± 2.93) and diode laser irradiation (13.24% ± 7.61) compared to EDTA (39.89% ± 11.54) and NaOCl (31.15% ± 10.64) respectively."
"Synergistic combination of ozonated water and diode laser irradiation may be used in the disinfection step of necrotic root canals."</t>
  </si>
  <si>
    <t>Effect of photobiomodulation on viability and proliferation of stem cells from exfoliated deciduous teeth under different nutritional conditions</t>
  </si>
  <si>
    <t>1.2
2.5
3.7
5.0
6.2</t>
  </si>
  <si>
    <t>"The establishment of nutritional deficit through the decrease of FBS concentration in culture medium (1% FBS) seems to enhance the sensitivity of SHED to the effects of PBMT.
Nutritional stress conditions stimulate the metabolism of SHED after laser irradiation, irrespective of the energy density employed, except for 1.2 J cm−2 , which did not improve cell viability and proliferation."
Comment: The authors claim that results are positive, but most of the data does not seem to show a clear positive effect from PBM in this study.</t>
  </si>
  <si>
    <t>Photobiomodulation therapy improves multilineage differentiation of dental pulp stem cells in three-dimensional culture model.</t>
  </si>
  <si>
    <t>3.3</t>
  </si>
  <si>
    <t>"At 7 days, PBM 5% FBS group presented better stimulation in osteogenic and adipogenic differentiation compared with control. After 14 days, hDPSCs cultured in 3-D exhibited osteogenic, adipogenic, and chondrogenic differentiation; furthermore, compared to control, PBM significantly stimulated all differentiation processes (p &lt; 0.05). 
It can be concluded that hDPSCs cultured in 3-D agarose associated to PBM could be a promising tool for tissue engineering applications."</t>
  </si>
  <si>
    <t>Short-term evaluation of photobiomodulation therapy on the proliferation and undifferentiated status of dental pulp stem cells.</t>
  </si>
  <si>
    <t>(Dose response / Biphasic dose response)</t>
  </si>
  <si>
    <t>1
3
5
10
15
20</t>
  </si>
  <si>
    <t>"Cells cultured under nutritional deficit and treated with PBMT at 5 J/cm2 presented similar cell growth than those of positive control group. Cell growth was significantly higher than those of other groups. Mesenchymal stem cell gene markers were still expressed after PBMT at 5 J/cm2."</t>
  </si>
  <si>
    <t>Pedroni</t>
  </si>
  <si>
    <t>Photobiomodulation therapy and vitamin C on longevity of cell sheets of human dental pulp stem cells.</t>
  </si>
  <si>
    <t>"[T]his study showed that PBMT does not interfere with the formation of cell sheets induced by VC. Additionally, PBMT improved the functional differentiation of the cells isolated from the CSs. Thus, due to the clinical benefits of PBMT, the association of this therapy with cell sheets seems promising for future applications in tissue regeneration."</t>
  </si>
  <si>
    <t>Photobiomodulation changes type 1 collagen gene expression by pulp fibroblasts</t>
  </si>
  <si>
    <t>"The intergroup comparison did not show statistically significant differences (p &gt; 0.05)."</t>
  </si>
  <si>
    <t>Cellular response of pulp fibroblast to single or multiple photobiomodulation applications</t>
  </si>
  <si>
    <t>"The results show that the group submitted to multiple irradiation presented significantly higher cell viability than the groups with single irradiation at 72 h. However, the photobiomodulation therapy with single irradiations was more effective on cell proliferation at 24 h."</t>
  </si>
  <si>
    <t>Laser treatment contributes to maintain membrane integrity in stem cells from human exfoliated deciduous teeth (shed) under nutritional deficit.</t>
  </si>
  <si>
    <t>Stem cells from "milk teeth" (deciduous teeth)</t>
  </si>
  <si>
    <t>"LLLT contributed to maintain membrane integrity in SHED subjected to nutritional deficit before and during irradiation with 0.10 or 0.30 W."
Comment: Apparently the middle dose (0.20 W) didn't have an effect?</t>
  </si>
  <si>
    <t>Turrioni</t>
  </si>
  <si>
    <t>Transdentinal photobiostimulation of stem cells from human exfoliated primary teeth.</t>
  </si>
  <si>
    <t>Stem cells from human exfoliated deciduous teeth (SHEDs)
Dose response
LED phototherapy</t>
  </si>
  <si>
    <t>"Both EDs (2 and 4 J cm-2 ) significantly increased cell viability and ALP activity. For TP, ALP and Col I gene expression, only the 4 J cm-2 group had significantly higher values compared to the control group. Cell morphology was not affected by irradiation."
"Infrared LED irradiation was capable of biostimulating SHEDs through a 0.2 mm thickness of dentine, especially at the 4 J cm-2 level."</t>
  </si>
  <si>
    <t>Pulse frequency dependency of photobiomodulation on the bioenergetic functions of human dental pulp stem cells.</t>
  </si>
  <si>
    <t>"Using a low-power light whose wavelength is 810 nm and energy density is 38 mJ/cm2, we find that a 300-Hz pulse frequency prolonged the DL pattern and enhanced alkaline phosphatase activity. In addition, we analyze mitochondrial morphological changes and their volume density and find evidence supporting mitochondrial physiological changes from PBM treatment.
Our data suggest a new methodology for determining the effectiveness of PBM and the specific pulse frequency dependency of PBM in the differentiation of hDPSCs."</t>
  </si>
  <si>
    <t>Metabolism of Odontoblast-like cells submitted to transdentinal irradiation with blue and red LED</t>
  </si>
  <si>
    <t>Red light, blue light 🔵
LED phototherapy</t>
  </si>
  <si>
    <t>455
630</t>
  </si>
  <si>
    <t>"Red light promoted proliferative effects at the energy dose of 4J/cm2. Conversely, cell cultures irradiated with 2J/cm2 emitted by the blue light showed reduced viability. ALP production was stimulated by red light in comparison with blue light at 4J/cm2. Total protein production was reduced after exposure to blue light at 4J/cm2, while no effect was observed on collagen production."
"Irradiation with red LED at 4J/cm2 bio-stimulated the viability of odontoblast-like cells, whilst blue light had unfavorable effects on the cellular metabolism."</t>
  </si>
  <si>
    <t>Almeida Lde</t>
  </si>
  <si>
    <t>Red LED Photobiomodulates the Metabolic Activity of Odontoblast-Like Cells.</t>
  </si>
  <si>
    <t>Odontoblast-like cells MDPC-23
LED phototherapy
Biphasic dose response</t>
  </si>
  <si>
    <t>0.020
0.040</t>
  </si>
  <si>
    <t>2
2</t>
  </si>
  <si>
    <t>1/3
1/3</t>
  </si>
  <si>
    <t>"Cells irradiated only once with 20 mW/cm² produced more proteins compared with those irradiated with 40 mW/cm². Reduction in the number of viable cells occurred only after 3 consecutive irradiations with 40 mW/cm². In conclusion, red LED was capable of biomodulating the metabolic activities of cultured MDPC-23 odontoblast-like cells. 
The best cell biostimulation was obtained when a single irradiation with 2 J/cm2 energy dose and 20 mW/cm2 power density was delivered to the pulp cells."</t>
  </si>
  <si>
    <t>Alonso</t>
  </si>
  <si>
    <t>Synthesis of dental matrix proteins and viability of odontoblast-like cells irradiated with blue LED.</t>
  </si>
  <si>
    <t>Odontoblast-like cells MDPC-23
LED phototherapy</t>
  </si>
  <si>
    <t>0.5
2
4
10
15</t>
  </si>
  <si>
    <t>"There was no statistical difference between the viability of cells irradiated or not (control), for all the [energy densities]. 
However, an increase in T[total protein]was observed for all the [energy densities] when compared with the control group. A reduced ALP activity was seen in all irradiated groups, except for the [energy density] of 0.5 J/cm(2), which did not differ from the control. There was no difference between the irradiated groups and control regarding collagen synthesis, with the exception of the ED of 10 J/cm(2), which inhibited this cell function. Significant reduction in [mineralization nodule] occurred only for the EDs of 0.5 and 2 J/cm(2). 
The single irradiation with blue LED (455 nm), irradiance of 20 mW/cm(2), and energy densities ranging from 0.5 to 15 J/cm(2) exerted no effective biostimulatory capacity on odontoblast-like cells."</t>
  </si>
  <si>
    <t>Metabolic activity of odontoblast-like cells irradiated with blue LED (455 nm).</t>
  </si>
  <si>
    <t>"Direct light application at 4 J/cm(2) energy dose had no negative effects on cell viability, while irradiation with 2 J/cm(2) reduced cell metabolism. None of doses affected the number of viable cells compared with the control group. The two energy doses downregulated the expression of Alp; however, expression of Col-1a1 and Dmp-1 had no alteration. Cells presented change in the cytoskeleton only when irradiated with 2 J/cm(2). 
In conclusion, the blue LED (455 nm) irradiation, under the evaluated parameters, had no biostimulatory effects on MDPC-23 cells."</t>
  </si>
  <si>
    <t>Eur Rev Med Pharmacol Sci.</t>
  </si>
  <si>
    <t>Pre-odontoblast proliferation induced by near-infrared laser stimulation.</t>
  </si>
  <si>
    <t>Rat pre-odontoblast cells (MDPC-23 cells)
Biphasic dose response</t>
  </si>
  <si>
    <t>0.65-
32.47</t>
  </si>
  <si>
    <t>"Near infrared laser stimulation with low energies (1-10 J) is able to increase cell proliferation through ERK 1/2 signalling pathway activation. 
At the same time, higher energy stimulation (25-50 J) induces an initial toxic effect, probably activating pro-apoptotic signalling molecules, downstream ERK 1/2 kinase. 
Such results foster the application of this therapeutic approach in different clinical settings in which a regenerative tissue response is needed."</t>
  </si>
  <si>
    <t>Moura-Netto</t>
  </si>
  <si>
    <t>Low-intensity laser phototherapy enhances the proliferation of dental pulp stem cells under nutritional deficiency.</t>
  </si>
  <si>
    <t>"These findings indicate that LPT with 5 J/cm2 can enhance the growth of [stem cells from human exfoliated deciduous teeth] during situations of nutritional deficiency.
Therefore, LPT could be a valuable adjunct treatment in tissue engineering when using stem cells derived from the dental pulp of primary teeth."</t>
  </si>
  <si>
    <t>Effects of low-level laser therapy on stem cells from human exfoliated deciduous teeth.</t>
  </si>
  <si>
    <t>0.5 ?
10
15
20
25</t>
  </si>
  <si>
    <t>"The Low-Level Laser Therapy energy densities used in this study did not cause loss of cell viability and stimulated SHED proliferation within the parameters described in this study."
Comment: Looking at Figure 3, there's no real difference in proliferation between the control group (Group VI) and laser groups.</t>
  </si>
  <si>
    <t>Effect of low-level laser irradiation on proliferation and viability of human dental pulp stem cells.</t>
  </si>
  <si>
    <t>"The group irradiated with an energy density of 1.0 J/cm² exhibited an increase of cell proliferation, with a statistically significant difference (p &lt; 0.05) compared to the control group at 72 and 96 h. No significant changes in cell viability were observed throughout the experiment. The distribution of cells in the cell cycle phases was consistent with proliferating cells in all three groups."</t>
  </si>
  <si>
    <t>Dose-responses of Stem Cells from Human Exfoliated Teeth to Infrared LED Irradiation.</t>
  </si>
  <si>
    <t>Dose response
Biphasic dose response
LED phototherapy</t>
  </si>
  <si>
    <t>2
4
8
15
30</t>
  </si>
  <si>
    <t>"Cells irradiated with 2 or 4 J/cm2 exhibited higher metabolism at 72 h, and all energy densities provided increase in cell proliferation after 12 h. Regarding MN formation, the best results were observed at 72 h after SHED irradiation with 8 and 15 J/cm2. It was concluded that the cell viability, cell number and [mineralized nodule] formation by pulp cells are enhanced after exposure to infrared LED irradiation. Overall, the greatest SHED biostimulation was obtained with 4 and 8 J/cm2."</t>
  </si>
  <si>
    <t>Oper Dent</t>
  </si>
  <si>
    <t>Transdentinal cell photobiomodulation using different wavelengths.</t>
  </si>
  <si>
    <t>odontoblast-like cells (MDPC-23).
Wavelength comparison</t>
  </si>
  <si>
    <t>450
650
840</t>
  </si>
  <si>
    <t>4
25</t>
  </si>
  <si>
    <t>"The infrared LED irradiation at an energy density of 4 J/cm(2) and red LED at an energy density of 25 J/cm(2) were the most effective parameters for transdentinal photobiomodulation of cultured odontoblast-like cells."</t>
  </si>
  <si>
    <t>Phototherapy up-regulates dentin matrix proteins expression and synthesis by stem cells from human-exfoliated deciduous teeth.</t>
  </si>
  <si>
    <t>Cultured stem cells from human exfoliated deciduous teeth (SHED)
LED phototherapy
Dose response</t>
  </si>
  <si>
    <t>"In conclusion, infrared LED irradiation was capable of biostimulating SHEDs by increasing the expression and synthesis of proteins related with mineralized tissue formation, with overall better results for the energy dose of 4J/cm(2)."
"Phototherapy is an additional approach for the clinical application of LED in Restorative Dentistry. Infrared LED irradiation of the cavity's floor could biostimulate subjacent pulp cells, improving local tissue healing."</t>
  </si>
  <si>
    <t>Montoro</t>
  </si>
  <si>
    <t>Infrared LED irradiation photobiomodulation of oxidative stress in human dental pulp cells.</t>
  </si>
  <si>
    <t>"Biomodulation of oxidative stress of [human dental pulp cells] can be achieved by irradiation with a single dose of infrared LED. Within the range investigated, 15 J cm(-2) resulted in the least production of NO."</t>
  </si>
  <si>
    <t>Low-level laser therapy influences mouse odontoblast-like cell response in vitro.</t>
  </si>
  <si>
    <t>0.8
4.2</t>
  </si>
  <si>
    <t>"LLLT influenced the behavior of odontoblast-like cells; the shorter time/smallest energy density promoted the expression of odontoblastic phenotype in a more significant way."</t>
  </si>
  <si>
    <t>Holder</t>
  </si>
  <si>
    <t>Effects of red light-emitting diode irradiation on dental pulp cells.</t>
  </si>
  <si>
    <t>0.149
0.224</t>
  </si>
  <si>
    <t>40
60
[20-
120]</t>
  </si>
  <si>
    <t>"BrdU analysis demonstrated significantly increased proliferation rates associated with significantly increased ATP, nitric oxide (NO), and mitochondrial metabolic activity. LED-stimulated NO levels were not reduced by inhibition of NO-synthase activity. Light exposure also rescued the inhibition of mitochondrial dysfunction and increased levels of in vitro mineralization compared with control. Media exchange experiments indicated that autocrine signaling was not likely responsible for red-light-induced DPC activity. 
In conclusion, data analysis indicated that 653-nm LED irradiation promoted DPC responses relevant to tissue repair, and this is likely mediated by increased mitochondrial activity."</t>
  </si>
  <si>
    <t>Shiba</t>
  </si>
  <si>
    <t>Neodymium-doped yttrium-aluminium-garnet laser irradiation abolishes the increase in interleukin-6 levels caused by peptidoglycan through the p38 mitogen-activated protein kinase pathway in human pulp cells.</t>
  </si>
  <si>
    <t>"Suppression of the phosphorylated p38 activity by low-power laser irradiation in HP cells culminates in inhibition of the increase in IL-6 induced by peptidoglycan, suggesting that low-power laser irradiation regulates intracellular signaling molecule activities to exert its anti-inflammatory effect."
Comment: The parameters were strangely reported. Wavelength is unclear, though Nd:YAG seems to usually be 1064 nm.</t>
  </si>
  <si>
    <t>Matsui</t>
  </si>
  <si>
    <t>Effects of Smads and BMPs induced by Ga-Al-As laser irradiation on calcification ability of human dental pulp cells</t>
  </si>
  <si>
    <r>
      <rPr>
        <sz val="6.0"/>
      </rPr>
      <t xml:space="preserve">"Both calcium production and alkaline phosphatase (ALP) activity were higher after laser irradiation. Expression of mRNAs for Smad1, Smad7, BMPs, ALP, and osteocalcin was greater after laser irradiation, whereas expression of Smad6 mRNA was inhibited. Production of BMP-2 and BMP-4 in conditioned medium was also higher after laser irradiation. These results suggest that Smads and BMPs play important roles in ALP activity and calcification upon laser irradiation of HDP cells."
Comment: A funny sentence in the abstract: </t>
    </r>
    <r>
      <rPr>
        <i/>
        <sz val="6.0"/>
      </rPr>
      <t>'The laser irradiation was greater in the laser-irradiated group than in the non-irradiated group.'</t>
    </r>
  </si>
  <si>
    <t>Miyata</t>
  </si>
  <si>
    <t>Mitogen-activated protein kinase/extracellular signal-regulated protein kinase activation of cultured human dental pulp cells by low-power gallium-aluminium-arsenic laser irradiation</t>
  </si>
  <si>
    <t>"These results indicated that LPLI activated MAPK/ERK, a signal for proliferation, differentiation and survival, but did not activate the stress signals p38 MAPK and JNK in human dental pulp cells."</t>
  </si>
  <si>
    <t>Ohbayashi</t>
  </si>
  <si>
    <t>Stimulatory effect of laser irradiation on calcified nodule formation in human dental pulp fibroblasts.</t>
  </si>
  <si>
    <t>"These results suggested that formation of calcified nodules in human dental pulp cells, as well as in alkaline phosphatase activity, the production of collagen and osteocalcin were enhanced by laser irradiation."</t>
  </si>
  <si>
    <t>Epidermolysis bullosa (inherited)</t>
  </si>
  <si>
    <t>The photobiomodulation therapy together with the use of cord blood platelet gel could be safely suggested as primary treatment for oral lesions in patients with inherited epidermolysis bullosa.</t>
  </si>
  <si>
    <t>🧑 Human
🎲 Randomized trial, split-mouth
👥 (?) (34 lesions)
⌛ 3-day treatment -&gt; 7-day follow-up</t>
  </si>
  <si>
    <t>"One week after the end of the proposed protocol, all patients got statistically better. "</t>
  </si>
  <si>
    <t>Gag reflex</t>
  </si>
  <si>
    <t>Goel</t>
  </si>
  <si>
    <t>India
(Ghaziabad)</t>
  </si>
  <si>
    <t>J Acupunct Meridian Stud</t>
  </si>
  <si>
    <t>Effect of Low-level LASER Therapy on P6 Acupoint to Control Gag Reflex in Children: A Clinical Trial.</t>
  </si>
  <si>
    <t>🧑 Human
🎲 Randomized trial
👥 40 participants
⌛ single session</t>
  </si>
  <si>
    <t>"LLLT on PC6 point was found to be effective in lowering anxiety levels as observed by faces modified anxiety rating scale. Further, it was authenticated as the pulse rates were significantly reduced and oxygen saturation levels were significantly increased. Also, gag reflex was significantly controlled when LASER stimulation was done at PC6."
Comment: It's somewhat suspicious/implausible that irradiating the wrist would have an effect on gag reflex.</t>
  </si>
  <si>
    <t>Geographic tongue</t>
  </si>
  <si>
    <t>Saad I</t>
  </si>
  <si>
    <t>Photobiomodulation Effect of Low-level Laser Therapy as a Palliative Treatment of Symptomatic Geographic Tongue (A Double-blinded Randomized Clinical Trial)</t>
  </si>
  <si>
    <t>🧑 Human
🎲 Randomized trial, double-blind
👥 50 participants
⌛ single treatment -&gt; 30-day follow-up</t>
  </si>
  <si>
    <t>"The study group showed a low level of pain, burning sensation, and better healing with statistically significant differences [between the groups] at T2 and T3 of the follow-up period, with a level of significance was set at p &lt; 0.05."
Comment: Full text available via ResearchGate.</t>
  </si>
  <si>
    <t>Gingival recession treatments</t>
  </si>
  <si>
    <t>Lavu</t>
  </si>
  <si>
    <t>Laterally closed tunnel technique with and without adjunctive photobiomodulation therapy for the management of isolated gingival recession-a randomized controlled assessor-blinded clinical trial</t>
  </si>
  <si>
    <t>🧑 Human
🎲 Randomized trial, sham-controlled
👥 19 participants
⌛ 10-day treatment / 6-month study</t>
  </si>
  <si>
    <t>3.5
(at 5 points)</t>
  </si>
  <si>
    <t>0.07
cm2
beam
area</t>
  </si>
  <si>
    <t>5/p</t>
  </si>
  <si>
    <t>"The adjunctive use of photobiomodulation did not show a better outcome concerning recession depth but appears to provide faster healing of the surgical wounds and better patient comfort."</t>
  </si>
  <si>
    <t>Gingivostomatitis</t>
  </si>
  <si>
    <t>Abreu Villela</t>
  </si>
  <si>
    <t>Antimicrobial photodynamic therapy (aPDT) and photobiomodulation (PBM - 660nm) in a dog with chronic gingivostomatitis.</t>
  </si>
  <si>
    <t>🐶 Dog
📄 Case report</t>
  </si>
  <si>
    <t>PDT + photobiomodulation</t>
  </si>
  <si>
    <t>1.6
/p</t>
  </si>
  <si>
    <t>"Fifteen days after the second irradiation, there was no recurrence of the lesions, which used to occur weekly."</t>
  </si>
  <si>
    <t>Graft-versus-host disease</t>
  </si>
  <si>
    <t>The Application of PBM Therapy in Patients Subjected to Oral GVHD: A Review</t>
  </si>
  <si>
    <t>"The article provides an overview of the therapeutic effects of PBM in oral GVHD cases. It analyzes the biological mechanisms from different aspects and explores the potential prospects of PBM, and appropriate parameters and frequency for GVHD are recommended."
"The efficacy of PBM in oral GVHD has been demonstrated through symptom alleviation and function improvement. It is recommended as an adjuvant therapy for oral GVHD. However, further research is required to explore optimal devices, parameters, and potential complications associated with using PBM in oral GVHD."</t>
  </si>
  <si>
    <t>Photobiomodulation (low-level laser) therapy for immediate pain relief of persistent oral ulcers in chronic graft-versus-host disease</t>
  </si>
  <si>
    <t>🧑 Human
📄 Retrospective study
👥 11 patients</t>
  </si>
  <si>
    <t>0.0986</t>
  </si>
  <si>
    <t>7.1
cm2
spot
size</t>
  </si>
  <si>
    <t>90
/lesion</t>
  </si>
  <si>
    <t>1-22
with
at least
a week
between
sessions
(5 on avg)</t>
  </si>
  <si>
    <t>"Data from eleven patients with a total of 56 PBMt sessions were analyzed. In 48 (85.7%) sessions, the patients reported less pain immediately after treatment, with a reduction of ≥ 50% of the initial pain level in 43 (76.8%) sessions. Mean pre- and post-treatment pain levels were 5.20 ±2.7 and 1.38 ±2.1, respectively (p &lt; 0.001), i.e., a post-treatment reduction of 73.4% of the initial pain level. The benefits of the treatment remained for a mean of 6.50 ±5.4 days (range of 2 to 14 days). No adverse effects were reported."
"PBMt seems to be a promising treatment modality for refractory oral cGVHD lesions as a rapid pain reliever with relatively long-lasting effects."</t>
  </si>
  <si>
    <t>Photobiomodulation Therapy and Dexamethasone in the Management of Oral Acute Graft-Versus-Host Disease: Case Report</t>
  </si>
  <si>
    <t>🧑 Human
📄 Case report
⌛ 5 days</t>
  </si>
  <si>
    <t>20
/point</t>
  </si>
  <si>
    <t>"Complete healing of the oral lesions was observed in 5 days although the patient had acute skin and gastrointestinal GVHD."</t>
  </si>
  <si>
    <t>Epstein</t>
  </si>
  <si>
    <t>USA
(Duarte, CA)</t>
  </si>
  <si>
    <t>Chronic oral graft-versus-host disease: induction and maintenance therapy with photobiomodulation therapy</t>
  </si>
  <si>
    <t>🧑 Human
📄 Case series
👥 7 cases
⌛ 4-week treatment -&gt; varying follow-ups</t>
  </si>
  <si>
    <t>"We report continuing follow-up of 7 cases of oral cGVHD that were treated with PBM therapy. PBM therapy was continued in these patients with the goal of determining the best management schedule of PBM to maintain or improve control of each patient's symptoms and signs of oral cGVHD."
"Oral sensitivity and mucosal changes of cGVHD were controlled with a continuing schedule of PBM therapy of up to 6-8-week treatment intervals in patients with continuing GVHD. These findings suggest that PBM therapy represents an additional approach for continuing management of oral cGVHD and that the frequency of treatment should be individualized for each patient to provide best control of oral findings. In one case weekly PBM treatment was continued, while in others, management on a monthly or bimonthly basis was associated with control of the oral condition. PBM may be individualized and provided based upon best control of the symptoms and signs of oral GVHD."</t>
  </si>
  <si>
    <t>Rezende</t>
  </si>
  <si>
    <t>Photobiomodulation and Antimicrobial Photodynamic Therapy for Oral Cytomegalovirus Reactivation Following Acute Graft-Versus-Host Disease</t>
  </si>
  <si>
    <t>🧑 Human
📄 Case report
⌛ 1 month</t>
  </si>
  <si>
    <t>PBM+aPDT</t>
  </si>
  <si>
    <t>29
/ 30 days
(daily
for a month)
(PDT on first day, PBM on others)</t>
  </si>
  <si>
    <t>"In the present case, the use of aPDT and PBMT combined with conventional
systemic immunosuppressive therapy resulted in a significant clinical
improvement in oral manifestations in less than a week."</t>
  </si>
  <si>
    <t>Photobiomodulation and photodynamic therapy for the management of oral graft-versus-host disease: a case report.</t>
  </si>
  <si>
    <t>🧑 Human
📄 Case report
⌛ 4 days</t>
  </si>
  <si>
    <t>75
(15p)</t>
  </si>
  <si>
    <t>750
(15p)</t>
  </si>
  <si>
    <t>1 PBM
(day 1)
+ 
2 PDT
(day 2-3)</t>
  </si>
  <si>
    <t>"On the fourth day, all oral lesions were completely repaired and the patient’s oral functions totally recovered"</t>
  </si>
  <si>
    <t>Photobiomodulation Therapy Alleviates Tissue Fibroses Associated with Chronic Graft-Versus-Host Disease: Two Case Reports and Putative Anti-Fibrotic Roles of TGF-β.</t>
  </si>
  <si>
    <t>🧑 Human
📄 Case series
👥 2 cases
⌛ 9-24 months</t>
  </si>
  <si>
    <t>660+
850
case 1
810
case 2</t>
  </si>
  <si>
    <t>"We present two cGVHD cases of oropharyngeal fibrotic changes that affected functions that were treated with photobiomodulation (PBM) therapy. These case reports suggest that PBM therapy represents an additional, innovative approach affecting discrete phases in cGVHD-associated fibrotic changes."</t>
  </si>
  <si>
    <t>Photobiomodulation therapy in the management of chronic oral graft-versus-host disease.</t>
  </si>
  <si>
    <t>🧑 Human
📄 Case series
👥 7 cases
⌛ 4 weeks</t>
  </si>
  <si>
    <t>660
(IO)
660+
850
(EO)</t>
  </si>
  <si>
    <t>75
1400</t>
  </si>
  <si>
    <t>0.03
0.05</t>
  </si>
  <si>
    <t>4.5
/p
84</t>
  </si>
  <si>
    <t>1.8
3</t>
  </si>
  <si>
    <t>2.5
cm2
28
cm2</t>
  </si>
  <si>
    <t>60
/p
60</t>
  </si>
  <si>
    <t>8+</t>
  </si>
  <si>
    <t>"Oral pain, sensitivity, and dry mouth improved in most patients.
These findings suggest PBM therapy may represent an additional approach for management of oral cGVHD, and suggest that controlled studies should be conducted to confirm the efficacy and safety of PBM therapy in oral cGVHD and to determine optimal PBM therapy protocols."</t>
  </si>
  <si>
    <t>Hand, foot, and mouth disease</t>
  </si>
  <si>
    <t>Toida</t>
  </si>
  <si>
    <t>Japan
(Gifu)</t>
  </si>
  <si>
    <t>Usefulness of low-level laser for control of painful stomatitis in patients with hand-foot-and-mouth disease.</t>
  </si>
  <si>
    <t>🧑 Human
🎲 Randomized trial, double-blind
👥 20 participants
⌛ ~1 week (?)</t>
  </si>
  <si>
    <t>1.1</t>
  </si>
  <si>
    <t>daily
for
4-7 
days (??)</t>
  </si>
  <si>
    <t>"The painful period was shorter in the LLLT group (4.0 +/- 1.3 days) than in the placebo LLLT one (6.7 +/- 1.6 days) with a statistically significant difference (p&lt;0.005). The treatment was judged acceptable for 90.0% (18 of 20) of patients. No adverse events were observed in any cases."
"LLLT is a useful method to control HFMD stomatitis by shortening the painful period, with its high acceptability and lack of adverse events."</t>
  </si>
  <si>
    <t>Pulsing: 30 Hz</t>
  </si>
  <si>
    <t>Hemostasis (in tooth extraction)</t>
  </si>
  <si>
    <t>Veleska-Stevkoska &amp; Koneski</t>
  </si>
  <si>
    <t>Haemostasis in Oral Surgery with Blue-Violet Light</t>
  </si>
  <si>
    <t>🧑 Human
📄 Non-randomized study, controlled
👥 40 participants
⌛ single session</t>
  </si>
  <si>
    <t>410+
470</t>
  </si>
  <si>
    <t>"The examination group showed the shorter duration of bleeding compared to the control group for 13.67 seconds and 156 seconds, respectively."
"The blue-violet LED light shortens the bleeding time from the extraction socket after tooth extraction and may be a promising method for achieving haemostasis."</t>
  </si>
  <si>
    <t>Hyperpigmentation / depigmentation treatments</t>
  </si>
  <si>
    <t>Tualzik</t>
  </si>
  <si>
    <t>J Indian Soc Periodontol</t>
  </si>
  <si>
    <t>Effects of ozonated olive oil and photobiomodulation using diode laser on gingival depigmented wound: A randomized clinical study</t>
  </si>
  <si>
    <t>🧑 Human
⚔ Comparison study
👥 7 participants
⌛ 1-week treatment / 2-week study</t>
  </si>
  <si>
    <t>"A laser depigmentation procedure was conducted on seven patients exhibiting bilateral upper and lower gingival melanin hyperpigmentation, followed by the application of ozonated oil (Group 1) and laser PBM (Group 2). "
"The application of ozonated oil was found to be more efficacious in promoting the initial healing of wound in comparison to PBM. Both ozonated oil and PBM also showed the same capabilities in reduction of the postoperative pain."</t>
  </si>
  <si>
    <t>Labial trauma / injury</t>
  </si>
  <si>
    <t>Efficiency of laser therapy applied in labial traumatism of patients with spastic cerebral palsy.</t>
  </si>
  <si>
    <t>🧑 Human
📄 Case series
👥 2 cases
⌛ 14 days</t>
  </si>
  <si>
    <t>2
/ 2 days
-&gt;
1-week
interval
-&gt;
2
/ 2 days</t>
  </si>
  <si>
    <t>"Low-intensity laser showed to be effective in traumatic soft tissue treatment in cerebral palsy patients by accelerating the healing process, reducing secondary contamination, promoting analgesia; thus, it can be an important tool in the treatment of these patients."</t>
  </si>
  <si>
    <t>Laser therapy on points of acupuncture: Are there benefits in dentistry?</t>
  </si>
  <si>
    <t>"Retrospective and prospective clinical studies were considered. According to the findings of the literature, laser therapy at points of acupuncture was effective for the treatment of various orofacial problems encountered in dentistry, but there are still many differences among the parameters used for irradiation and there is a lack of important information reported by the studies, such as the wavelength, dose, power density, irradiation time and frequency, points of acupuncture selected for irradiation and therapy outcomes."</t>
  </si>
  <si>
    <t>Leukoplakia</t>
  </si>
  <si>
    <t>Low level laser therapy reduces oral leukoplakia lesion size: Results from a preliminary study.</t>
  </si>
  <si>
    <t>🧑 Human
📄 Case series
👥 4 cases
⌛ 6-month follow-up</t>
  </si>
  <si>
    <t>2.2
(per 
minute
?)</t>
  </si>
  <si>
    <t>10+</t>
  </si>
  <si>
    <t>"Mean surface area of leukoplakia lesion was 437.4 mm2 before application of LLLT and 222.8 mm2 post treatment [=after at least 10 treatments]."</t>
  </si>
  <si>
    <t>660 AsGaAl laser to alleviate pain caused by cryosurgical treatment of oral leukoplakia: a preliminary study.</t>
  </si>
  <si>
    <t>🧑 Human
🎲 Randomized trial
👥 18 participants
⌛ 4-day treatment -&gt; 9-month follow-up</t>
  </si>
  <si>
    <t>Pain of cryosurgical treatment</t>
  </si>
  <si>
    <t>4.2
(3p)</t>
  </si>
  <si>
    <t>0.0286
cm2</t>
  </si>
  <si>
    <t>"Treated OL sites appeared to be clinically normal and with no evidence of recurrence during the average 9-month follow-up period. It could be observed that the LLLT group reported less pain than did the non-LLLT group."
"LLLT is an important strategy used to reduce post-surgical pain caused by cryosurgical treatment of OL."</t>
  </si>
  <si>
    <t>Lichen planus</t>
  </si>
  <si>
    <t>Trakarnboonkij</t>
  </si>
  <si>
    <t>Case Report: Recalcitrant oral lichen planus involving bilaterally buccal mucosae treated with a combination of photodynamic and photobiomodulation therapies</t>
  </si>
  <si>
    <t>"After undergoing ten sessions of PDT with 10% 5-Aminolevulinic acid (5-ALA) in the form of thermoplastic gel and a 635 nm diode laser at 100 to 400 mW with an energy density of 20 to 30 J/cm 2 in continuous wave mode, combined with five interim-sessions of PBMT using a 635 nm diode laser at 200 to 300 mW with an energy density of 6 to 10 J/cm 2 in continuous wave, the patient reported relief of burning sensation beside remission of lesions without any complications."</t>
  </si>
  <si>
    <t>Soh</t>
  </si>
  <si>
    <t>Eur J Dent</t>
  </si>
  <si>
    <t>Photobiomodulation Therapy in the Management of Oral Lichen Planus: A Systematic Review and Meta-Analysis</t>
  </si>
  <si>
    <t>"A total of eight studies were identified for qualitative synthesis. 
The pooled analysis incorporating six studies revealed that there are no significant differences for both mean pain score (mean difference [MD] = 0.21, 95% confidence interval [CI] = -0.51, 0.93) as well as clinical score (MD = -0.08, 95% CI = -0.4, 0.25) between PBMT and comparison groups. 
Subgroup analysis based on corticosteroids as controls showed that there was no significant difference in mean reduction in pain score between PBMT and topical steroids (MD = 0.38, 95% CI = -0.54, 1.31). 
PBMT is as effective as other interventions in the treatment of OLP, though not superior, and can be a promising alternative treatment for cases resistant to steroids or when steroids are contraindicated. Further studies are recommended to standardize the optimal settings for the treatment of OLP."
Comment: Marked as a positive result, because equivalent effect with drug treatment can generally be considered a good result.</t>
  </si>
  <si>
    <t>Mahuli</t>
  </si>
  <si>
    <t>India
(Ranchi)</t>
  </si>
  <si>
    <t>Efficacy of photobiomodulation in the management of oral Lichen Planus in comparison to topical corticosteroids: Systematic review, meta-analysis, and GRADE-based assessment of certainty of evidence</t>
  </si>
  <si>
    <t>"Ten studies were included for qualitative assessment and of these eight were included in the meta-analysis. The included studies used laser parameters of varying strengths and duration. Meta-analysis favoured PBM (n = 274, MD =-0.48, CI -0.66- -0.30) for pain score. No adverse effects were reported for laser therapy. There was high heterogeneity and moderate certainty of evidence, and most studies had a high risk of bias."</t>
  </si>
  <si>
    <t>Panchal</t>
  </si>
  <si>
    <t>Comparing the Effectiveness of Low-Level Laser Therapy and Topical Steroid Therapy Combination Regimen With Routine Topical Steroid Therapy in the Management of Oral Lichen Planus Symptomatic Patients</t>
  </si>
  <si>
    <t>🧑 Human
🎲 Randomized trial
👥 60 participants
⌛ 4-week treatment -&gt; 90-day follow-up</t>
  </si>
  <si>
    <t>9
(2 per week)</t>
  </si>
  <si>
    <t>"The pain score on day 21 of intervention in category A was 2.5, while it was 4.63 in category B. The difference in findings was significant statistically at day 21 (p = 0.0032). The pain score on day 28 of intervention in category A was 1.3, while it was 3.0 in category B. The difference in findings was significant statistically at day 28 (p = 0.003)."</t>
  </si>
  <si>
    <t>Roccon</t>
  </si>
  <si>
    <t>Single session of laser photobiomodulation for symptom management of oral lichen planus: a retrospective study</t>
  </si>
  <si>
    <t>🧑 Human
📄 Retrospective study, single arm
👥.20 patients
⌛ single treatment -&gt; 30-day follow-up</t>
  </si>
  <si>
    <t>"The mean VAS-pain score was 3.8 (SD 2.3) before PBM; 2.6 (SD 2.0) after PBM; 1.9 (SD 2.2) on day 1; 2.0 (SD 2.3) on day 7; and 1.5 (SD 2.2) on day 30. VAS pain decreased significantly over time (p &lt; 0.0001)."</t>
  </si>
  <si>
    <t>Salinas-Gilabert</t>
  </si>
  <si>
    <t>Photodynamic Therapy, Photobiomodulation and Acetonide Triamcinolone 0.1% in the Treatment of Oral Lichen Planus: A Randomized Clinical Trial</t>
  </si>
  <si>
    <t>🧑 Human
⚔ Comparison study, randomized
👥 60 participants
⌛ 21-day treatment -&gt; 3-month follow-up</t>
  </si>
  <si>
    <t>⚔ PBM vs PDT vs acetonide triamcinolone</t>
  </si>
  <si>
    <t>4
/ 21 days</t>
  </si>
  <si>
    <t xml:space="preserve">"Pain decreased significantly over time in all groups, though the symptoms relapsed over follow-up at one and three months in group 3. The OHIP-14 score improved significantly in groups 1 and 2 (p &lt; 0.05), and this improvement was maintained after three months. Lesion resolution evaluated by the Thongprasom score at one month showed significant differences between groups 1 and 3 (p = 0.032) and between groups 2 and 3 (p = 0.024)."
</t>
  </si>
  <si>
    <t>Device. Helbo® Theralite Laser</t>
  </si>
  <si>
    <t>Roca</t>
  </si>
  <si>
    <t>Effect of Photobiomodulation on Atrophic-Erosive Clinical Forms of Oral Lichen Planus: A Systematic Review</t>
  </si>
  <si>
    <t>"7 articles that met all the inclusion criteria were included in this study."
"The type of laser light source used in PBM was the diode laser (four cases), the Nd-YAG laser at the same wavelength of 1064 nm (two cases) and the He-Ne laser (one case). The minimum and maximum wavelengths used were 630 nm and 1064 nm, respectively. Most studies used lesions treated with topical corticosteroids as a control group. The follow-up times of the studies were highly variable."
"Photobiomodulation is a treatment that competently combats oral lichen planus lesions by improving signs and symptoms, with no known adverse reactions so far, which makes it more beneficial compared to more conventional therapies, such as corticosteroids, for which side effects have been found."</t>
  </si>
  <si>
    <t>Bhatt</t>
  </si>
  <si>
    <t>Comparative efficacy of topical aloe vera and low-level laser therapy in the management of oral lichen planus: a randomized clinical trial</t>
  </si>
  <si>
    <t>🧑 Human
⚔ Comparison study, randomized
👥 60 participants
⌛ 2 months --&gt; 5-month follow-up</t>
  </si>
  <si>
    <t>⚔ PBM vs aloe vera extract gel</t>
  </si>
  <si>
    <t>"Intergroup comparison showed significant results in the laser group (reduction of VAS by 44.1%, site score by 24.6%, and activity score by 50%) as compared with the aloe vera group (reduction of VAS by 26.7%, site score by 9.2%, and the activity score by 26%) in the treatment period. In the follow-up period, both groups showed insignificant differences in comparison to each other."</t>
  </si>
  <si>
    <t>Abboud</t>
  </si>
  <si>
    <t>Serum and salivary cytokines in patients with oral lichen planus treated with Photobiomodulation</t>
  </si>
  <si>
    <t>🧑 Human
🎲 Randomized trial
👥 34 participants
⌛ 30 days</t>
  </si>
  <si>
    <t>PBM vs clobetasol</t>
  </si>
  <si>
    <t>"[T]he mechanisms of action of PBM does not seem to be linked to the modulation of pro or anti-inflammatory cytokines at the end of treatment."</t>
  </si>
  <si>
    <t>Belgium &amp; Brazil</t>
  </si>
  <si>
    <t>Photobiomodulation Therapy vs. Corticosteroid for the Management of Erosive/Ulcerative and Painful Oral Lichen Planus. Assessment of Success Rate during One-Year Follow-Up: A Retrospective Study</t>
  </si>
  <si>
    <t>🧑 Human
📄 Retrospective study
👥.96 patients
⌛  6-week treatment -&gt; 12-month follow-up</t>
  </si>
  <si>
    <t>1415</t>
  </si>
  <si>
    <t>1
cm2
point area
--&gt; number of points according to lesion size</t>
  </si>
  <si>
    <t>every 48h
for
6 weeks</t>
  </si>
  <si>
    <t>PBM is effective for managing OLP and is significantly similar to topical corticosteroids without any need for the use of medication and with no reported side effects.</t>
  </si>
  <si>
    <t>Effects of laser photobiomodulation in the management of oral lichen planus: a literature review</t>
  </si>
  <si>
    <t>"All the studies reported positive effects of PBM; how-ever, there was wide heterogeneity in the laser parameters used in the management of the OLP. The effective dose ranges from 2 to 3 J/cm2, in order to see the desired biological effects."</t>
  </si>
  <si>
    <t>Sobral</t>
  </si>
  <si>
    <t>Analysis of the psychopathological profile, quality of life, and cost-effectiveness of oral lichen planus patients treated with photobiomodulation</t>
  </si>
  <si>
    <t>🧑 Human
⚔ Comparison trial, randomized
👥 34 participants
⌛ 30-day treatment / 90-day study</t>
  </si>
  <si>
    <t>⚔ PBM vs clobetasol (no negative control)
Depression (secondary outcome)</t>
  </si>
  <si>
    <t>0.5
/ point</t>
  </si>
  <si>
    <t>177</t>
  </si>
  <si>
    <t>8
/ 30 days</t>
  </si>
  <si>
    <t>"OLP patients showed detected levels of anxiety, depression, and poor quality of life at baseline. No improvement in anxiety and depression was noticed after treatments. However, PBM and corticoid significantly improved the quality of life of OLP patients, considering the OHIP-14-T and the physical pain domain. The treatment with corticoid was more cost-effective than PBM."</t>
  </si>
  <si>
    <t>Gambino</t>
  </si>
  <si>
    <t>Preliminary evaluation of the utility of optical coherence tomography in detecting structural changes during photobiomodulation treatment in patients with atrophic-erosive oral lichen planus</t>
  </si>
  <si>
    <t>🧑 Human
⚔ Comparison trial, randomized
👥 40 participants
⌛ 8-week treatment -&gt; 6-month treatment</t>
  </si>
  <si>
    <t>⚔ PBM vs clobetasol (no negative control)</t>
  </si>
  <si>
    <t>645+
980</t>
  </si>
  <si>
    <t>"According to our analysis, both PBM and 0.05% clobetasol propionate were able to provide a significant modification of the oral mucosa and of the epithelium-connective interface, detectable as changes of EP and LP width."</t>
  </si>
  <si>
    <t>Photobiomodulation Therapy/Photodynamic Therapy Versus Steroid Therapy for Oral Lichen Planus: A Systematic Review and Meta-Analysis</t>
  </si>
  <si>
    <t>"One thousand fifteen studies were initially identified. Finally, nine RCTs were included for quality assessment and seven studies for meta-analysis. Four RCTs were of unclear risk of bias and five were assessed as high risk of bias."
"PBMT and PDT could be reliable alternatives to topical corticosteroids for OLP with no or less severe complications in a short-term period. However, further well-designed RCTs with long-term period are recommended to consolidate the conclusions in this regard."</t>
  </si>
  <si>
    <t>Photobiomodulation is effective in oral lichen planus: A randomized, controlled, double-blind study</t>
  </si>
  <si>
    <t>🧑 Human
🎲 Randomized trial, double-blind
👥 34 participants
⌛ 30-day treatment -&gt; 90-day follow-up</t>
  </si>
  <si>
    <t>⚔ PBM vs clobetasol</t>
  </si>
  <si>
    <t>176.7</t>
  </si>
  <si>
    <t>0.00283
cm2
spot
size</t>
  </si>
  <si>
    <t>"These findings indicate that photobiomodulation twice a week is as effective as corticoid therapy in treating oral lichen planus."</t>
  </si>
  <si>
    <t>Mutafchieva</t>
  </si>
  <si>
    <t>Effects of Low Level Laser Therapy on Erosive-atrophic Oral Lichen Planus.</t>
  </si>
  <si>
    <t>🧑 Human
📄 Single-arm trial
👥 12 participants (59 lesions)
⌛ 1 month</t>
  </si>
  <si>
    <t>12
/ 1 month</t>
  </si>
  <si>
    <t>"There was a significant reduction in pain after LLLT (p&lt;0.0001). Improvement in clinical signs was achieved in 59.3% of the lesions."</t>
  </si>
  <si>
    <t>Efficacy of photobiomodulation on oral lichen planus: a protocol study for a double-blind, randomised controlled clinical trial.</t>
  </si>
  <si>
    <t>Mirza</t>
  </si>
  <si>
    <t>Pakistan &amp; Saudi Arabia</t>
  </si>
  <si>
    <t>Efficacy of photodynamic therapy and low level laser therapy against steroid therapy in the treatment of erosive-atrophic oral lichen planus.</t>
  </si>
  <si>
    <t>🧑 Human
⚔ Comparison trial, randomized
👥 45 participants
⌛ 1 month</t>
  </si>
  <si>
    <t>⚔ PBM vs corticosteroid vs PDT</t>
  </si>
  <si>
    <t>twice per week
/ 1 month
(max 10 sessions)</t>
  </si>
  <si>
    <t>"Within the limits of the present RCT, it is indicated that PDT and LLLT are effective in the treatment of erosive-atrophic forms of OLP in adult patients. However, further comparative clinical trials are needed to obtain strong conclusions in this regard"</t>
  </si>
  <si>
    <t>Akram</t>
  </si>
  <si>
    <t>Pakistan</t>
  </si>
  <si>
    <t>J Oral Pathol Med</t>
  </si>
  <si>
    <t>Efficacy of low-level laser therapy compared to steroid therapy in the treatment of oral lichen planus: A systematic review.</t>
  </si>
  <si>
    <t>"Five clinical studies were included. The risk of bias was considered high in four studies and moderate in one study. Laser wavelengths, power, spot size, and duration of laser exposure ranged between 630 and 970 nm, 10-3000 mW, 0.2-1.0 cm2 , and 6-480 seconds, respectively. The follow-up period ranged from 4 to 48 weeks.
All included studies reporting clinical scores showed that LLLT was effective in the treatment of OLP in adult patients at follow-up. Three studies showed significantly higher improvements with topical use of corticosteroids compared to LLLT, while one study showed significant improvement with LLLT. One study showed comparable outcomes between LLLT and corticosteroid application."
"It remains debatable whether LLLT is more effective as compared to corticosteroids in the treatment of OLP, given that the scientific evidence is weak. These findings are preliminary and further randomized clinical trials are recommended."</t>
  </si>
  <si>
    <t>Efficacy of low-level laser therapy in management of symptomatic oral lichen planus: a systematic review.</t>
  </si>
  <si>
    <t>"After selection, only six studies were included in this systematic review. In these studies, the laser wavelengths, power output, and duration of irradiation ranged between 630-980 nm, 20-300 mW, and 10 s-15 min, respectively.
All of the included studies found laser to be effective in management of OLP, without any reported adverse effects.
The results of the included studies confirm that low-level laser therapy is effective in management of symptomatic OLP and can be used as an alternative to corticosteroids. However, due to variety of methods and substantial variations in laser parameters among these studies, more randomized clinical trials with large sample sizes are highly warranted."</t>
  </si>
  <si>
    <t>Kazancioglu &amp; Erisen</t>
  </si>
  <si>
    <t>Comparison of Low-Level Laser Therapy versus Ozone Therapy in the Treatment of Oral Lichen Planus.</t>
  </si>
  <si>
    <t>🧑 Human
🎲 Randomized trial, sham-controlled
👥 120 participants
⌛ 1-month treatment / 6-month study</t>
  </si>
  <si>
    <t>⚔ PBM vs ozone vs topical corticosteroid vs negative control</t>
  </si>
  <si>
    <t>"The sign scores decreased in almost all scoring groups; however, statistically significant improvement was found in the ozonated and corticosteroid-treated groups."</t>
  </si>
  <si>
    <t>Dillenburg</t>
  </si>
  <si>
    <t>Efficacy of laser phototherapy in comparison to topical clobetasol for the treatment of oral lichen planus: a randomized controlled trial.</t>
  </si>
  <si>
    <t>🧑 Human
⚔ Comparison study, randomized
👥 42 participants
⌛ 30-day treatment / 90-day study</t>
  </si>
  <si>
    <t>LLLT vs clobetasol</t>
  </si>
  <si>
    <t>0.24
/p</t>
  </si>
  <si>
    <t>"At the end of treatment (Day 30), significant reductions in all variables were found in both groups. The LPT group had a higher percentage of complete lesion resolution. At follow-up periods (Days 60 and 90), the LPT group maintained the clinical pattern seen at Day 30, with no recurrence of the lesions, whereas the clobetasol group exhibited worsening for all variables analyzed. These findings suggest that the LPT proved more effective than topical clobetasol 0.05% for the treatment of OLP."</t>
  </si>
  <si>
    <t>Clinical evaluation of the efficiency of low-level laser therapy for oral lichen planus: a prospective case series.</t>
  </si>
  <si>
    <t>🧑 Human
📄 Case series
👥 30 cases (82 lesions)
⌛ mean follow-up 26.6 months</t>
  </si>
  <si>
    <t>8-116
(varying by patient)</t>
  </si>
  <si>
    <t>3.73</t>
  </si>
  <si>
    <t>1-24
(varying by patient)</t>
  </si>
  <si>
    <t>82 lesions were treated, and LLLT seemed to reduce the clinical score and pain. No control group.</t>
  </si>
  <si>
    <t>LLLT in combination with non-surgical periodontal therapy in patients with gingival oral lichen planus: a pilot study.</t>
  </si>
  <si>
    <t>🧑 Human
📄 Case series
👥 6 cases</t>
  </si>
  <si>
    <t>LLLT appeared to have some benefits. However, there was no control group. Parameters weren't reported.</t>
  </si>
  <si>
    <t>Mahdavi</t>
  </si>
  <si>
    <t>Use of low level laser therapy for oral lichen planus: report of two cases.</t>
  </si>
  <si>
    <t>150
/lesion</t>
  </si>
  <si>
    <t>~10</t>
  </si>
  <si>
    <t>"This article presents two cases of erosive/ ulcerative oral lichen planus, who had not received any treatment before, treated with 630 nm low level laser. Lesion type and pain was recorded before and after treatment. Severity of lesions and pain were reduced after treatment. Low Level Laser Therapy was an effective treatment with no side effects and it may be considered as an alternative therapy for erosive/ulcerative oral lichen planus."</t>
  </si>
  <si>
    <t>Jajarm</t>
  </si>
  <si>
    <t>A comparative pilot study of low intensity laser versus topical corticosteroids in the treatment of erosive-atrophic oral lichen planus.</t>
  </si>
  <si>
    <t>🧑 Human
⚔ Comparison study, randomized
👥 30 participants
⌛ 1-month treatment -&gt; 12-month follow-up</t>
  </si>
  <si>
    <t>⚔ PBM vs dexamethasone mouth wash</t>
  </si>
  <si>
    <t>"Appearance score, pain score, and lesion severity was reduced in both groups. No significant differences were found between the treatment groups regarding the response rate and relapse."
"Our study demonstrated that LILT was as effective as topical corticosteroid therapy without any adverse effects and it may be considered as an alternative treatment for erosive-atrophic OLP in the future."</t>
  </si>
  <si>
    <t>Effect of low-level laser irradiation on unresponsive oral lichen planus: early preliminary results in 13 patients.</t>
  </si>
  <si>
    <t>🧑 Human
📄 Case series
👥 13 cases
⌛ mean follow-up 6.46 months (after resolution of lesions)</t>
  </si>
  <si>
    <t>4
per
minute</t>
  </si>
  <si>
    <t>d =
0.8 cm</t>
  </si>
  <si>
    <t>2 sessions
weekly
until
lesion healing</t>
  </si>
  <si>
    <t>"We detailed significant reduction in lesion size and in reported pain. No reported complications or therapy side effects were observed in any of the patients treated."
Comment: Parameters inadequately reported</t>
  </si>
  <si>
    <t>Lips</t>
  </si>
  <si>
    <t>Mouffron</t>
  </si>
  <si>
    <t>Immediate effects of photobiomodulation on maximum lip pressure</t>
  </si>
  <si>
    <t>🧑 Human
🎲 Randomized trial, triple-blind
👥 40 participants
⌛ single session</t>
  </si>
  <si>
    <t>1
4
7</t>
  </si>
  <si>
    <t>"The doses tested were 1 J (G1), 4 J (G4) and 7 J (G7), applied at six points of the orbicularis oris muscle"
"The maximum lip pressure increased significantly only in the group irradiated with 7 J."
Comment: Even in the 7J group, the increase was quite modest (12%).
Comment: Blinding of the patients not adequately described.</t>
  </si>
  <si>
    <t>Mandible / condyle</t>
  </si>
  <si>
    <t>Eğlenen</t>
  </si>
  <si>
    <t>Turkey
(Manisa)</t>
  </si>
  <si>
    <t>Turk J Orthod</t>
  </si>
  <si>
    <t>The Condylar Effects of Mesenchymal Stem Cells, Low-Level Laser Therapy and Grape Seed Extract on Functional Mandibular Advancement of the Rat Mandible</t>
  </si>
  <si>
    <t>14
/ 4 weeks</t>
  </si>
  <si>
    <t>"Levels of all investigated parameters increased in all groups (p≤0.05). The highest increases were achieved by a combined application of functional appliance, ADMSCs, LLLT and GSE (p≤0.05). Single LLLT administrations or single GSE applications did not create a statistical difference from appliance alone (p&gt;0.05). A positive effect of ADMSCs or LLLT on osteoblast formation, neovascularization, and Type II collagen level was apparent (p≤0.05), however, neither affected new bone formation (p&gt;0.05)."</t>
  </si>
  <si>
    <t>Lasers Dent Sci</t>
  </si>
  <si>
    <t>Effect of low-level laser therapy on condylar growth in children treated with functional appliance: a preliminary study</t>
  </si>
  <si>
    <t>🧑 Human (pediatric)
🎲 Randomized trial
👥 14 participants
⌛ 3-month treatment / 9-month study</t>
  </si>
  <si>
    <t>3.9</t>
  </si>
  <si>
    <t>16
/ 3 months</t>
  </si>
  <si>
    <t>"Based on the results of this preliminary study, low-level laser irradiation with the used parameters seems to have no synergetic impact on the skeletal and dental outcomes of twin-block therapy over 9 months."</t>
  </si>
  <si>
    <t>Franco</t>
  </si>
  <si>
    <t>Brazil
(Goiânia)</t>
  </si>
  <si>
    <t>Photobiomodulation and Mandibular Advancement Modulates Cartilage Thickness and Matrix Deposition in the Mandibular Condyle.</t>
  </si>
  <si>
    <t>"PBM and MA influenced condylar cartilage thickeness and matrix deposition, but none of the treatments affected significantly the area of the condyle."
"This study demonstrated that PBM and MA stimulates matrix deposition and cartilage thickening in the mandibular condyle, but was not able to demonstrate a synergistic effect between the treatments. Additional studies should be conducted to evaluate the possible synergistic effect between PBM and MA."</t>
  </si>
  <si>
    <t>El-Bialy</t>
  </si>
  <si>
    <t>The effect of light-emitting diode and laser on mandibular growth in rats.</t>
  </si>
  <si>
    <t>LLLT vs LEDT
LED phototherapy</t>
  </si>
  <si>
    <t>"Average pain scores sensed in all 4 intervals on control and laser sides were 4.06 ± 2.85 and 2.35 ± 1.77, respectively (t-test P &lt; 0.0001)."
"The LED-treated groups showed more mandibular growth stimulation compared with the laser groups."</t>
  </si>
  <si>
    <t>Seifi</t>
  </si>
  <si>
    <t>The effect of 904 nm low level laser on condylar growth in rats.</t>
  </si>
  <si>
    <t>Condylar growth</t>
  </si>
  <si>
    <t>"The growth of the mandibles in the unilaterally irradiated group (P &lt; 0.001) and the bilaterally irradiated group (P &lt; 0.05) was significantly more than that in the control group. There was no significant difference between right and left condylar growth in the bilaterally irradiated group (P = 0.3). Soft tissue analysis also verified these results (P &lt; 0.001). Histomorphometric results also revealed a significant difference between laser-irradiated groups and the control group (P &lt; 0.01)."</t>
  </si>
  <si>
    <t>Mandibular trauma</t>
  </si>
  <si>
    <t>Rasca</t>
  </si>
  <si>
    <t>Belgium
(Liège)</t>
  </si>
  <si>
    <t>Laser phototherapy in acute posttraumatic trismus - Case-series study</t>
  </si>
  <si>
    <t>🧑 Human
📄 Case series
👥 14 participants
⌛ single session</t>
  </si>
  <si>
    <t>25
cm2
treatment
area
(TMJ)
+
3
cm2
pterygoid</t>
  </si>
  <si>
    <t>60 + 60</t>
  </si>
  <si>
    <t>"By scanning with an 810-nm laser beam, within less than 20 hours after the trauma, large areas of all the involved tissues and not just a few points, as described until now, the limited mouth opening in acute posttraumatic trismus was immediately and greatly resolved."</t>
  </si>
  <si>
    <t>Mastication</t>
  </si>
  <si>
    <t>de Brito Bitencourt</t>
  </si>
  <si>
    <t>Administration of low-level laser on muscles of mastication following the induction of initial fatigue: protocol for a randomized, controlled, clinical trial.</t>
  </si>
  <si>
    <t>"Although studies have been made with the use of low-level laser therapy in TMDs and on the effect of photobiomodulation on fatigue, this the first study to test this therapy in the prevention of fatigue in this region. The clinical relevance lies in the fact that longer dental procedures could take place if the patients are less prone to fatigue."</t>
  </si>
  <si>
    <t>de Godoy</t>
  </si>
  <si>
    <t>Effect of Phototherapy on Masseter and Anterior Temporal Muscles Before Induction of Fatigue: A Randomized, Sham-Controlled, Blind Clinical Trial</t>
  </si>
  <si>
    <t>🧑 Human
🎲 Randomized trial, sham-controlled
👥 52 participants
⌛ single session</t>
  </si>
  <si>
    <t>3
(3p)</t>
  </si>
  <si>
    <t>"No statistically significant intergroup or intragroup differences were found for the variables analyzed."</t>
  </si>
  <si>
    <t>The analgesic effect of photobiomodulation therapy (830 nm) on the masticatory muscles: a randomized, double-blind study.</t>
  </si>
  <si>
    <t>🧑 Human
🎲 Randomized trial, double-blind
👥 60 participants
⌛ single session</t>
  </si>
  <si>
    <t>28
(10p)
(?)</t>
  </si>
  <si>
    <t>"We concluded that PBMT (830 nm) reduces pain in algic points, but does not influence the extent of mouth opening in patients with myalgia."
"There were no significant differences in pain measurements based on VAS scores, as shown in Table 4."</t>
  </si>
  <si>
    <t>Efficacy of photobiomodulation therapy on masseter thickness and oral health-related quality of life in children with spastic cerebral palsy.</t>
  </si>
  <si>
    <t>🧑 Human
📄 Single-arm study (w/ two non-interventional control groups)
👥 78 participants (26 receiving intervention)
⌛ 6 weeks</t>
  </si>
  <si>
    <t>2.4
/p</t>
  </si>
  <si>
    <t>4
mm2
spot</t>
  </si>
  <si>
    <t>"In the EG, the study results revealed average increments of 0.77 (0.08) millimeter in masseter thickness (P &lt; 0.05) and 7.39 (0.58) millimeter for mouth opening (P &lt; 0.05) and reduction in all P-CPQ domains (P &lt; 0.001), except for social well-being."</t>
  </si>
  <si>
    <t>Evaluation of low-level laser therapy in the treatment of masticatory muscles spasticity in children with cerebral palsy.</t>
  </si>
  <si>
    <t>🧑 Human (pediatric)
📄 Single-arm study
👥 30 participants
⌛ 3-week treatment -&gt; 3-week follow-up</t>
  </si>
  <si>
    <t>"Our investigation revealed low-level energy exposures from a 808-nm diode laser to be an effective short-term therapeutic tool. This method increased the amplitude of mouth opening and decreased the muscle tonus of children with spastic CP over a time course of three weeks of intermittent laser applications."</t>
  </si>
  <si>
    <t>Sancakli</t>
  </si>
  <si>
    <t>Early results of low-level laser application for masticatory muscle pain: a double-blind randomized clinical study.</t>
  </si>
  <si>
    <t>🧑 Human
🎲 Randomized trial, double-blind
👥 30 participants
⌛ 4 weeks</t>
  </si>
  <si>
    <t>"In both laser groups, there was a statically significant reduction in PPT values of the muscles, number of muscles without any pain on palpation increased significantly, mandibular movements' ranges were improved. Laser group I demonstrated statistically better results than the Laser group II in all of the measured values. Plasebo group did not show any statistically difference in any of the measured values."
"LLLT can be accepted as an alternative treatment modality in the management of masticatory muscle pain and direct irradiation seems to effect better."</t>
  </si>
  <si>
    <t>Micron</t>
  </si>
  <si>
    <t>Effects of low-level laser irradiation in ultrastructural morphology, and immunoexpression of VEGF and VEGFR-2 of rat masseter muscle</t>
  </si>
  <si>
    <t>"It was concluded that the LLLI was able to modify the ultrastructural characteristics and immunohistochemical pattern of VEGF and VEGFR-2 in the masseter muscle of rats."</t>
  </si>
  <si>
    <t>Effects of low-level laser therapy on the oxidative metabolism and matrix proteins in the rat masseter muscle.</t>
  </si>
  <si>
    <t>0.5
1.0
2.5
5.0
20</t>
  </si>
  <si>
    <t>"LLLT stimulated the oxidative metabolism and the expression of matrix metalloproteinase (MMPs) of the masseter muscle, which may indicate a matrix remodeling process. However, group VI did not show the best results for oxidative metabolism, probably indicating that the dosage they were given was high for this protocol."</t>
  </si>
  <si>
    <t>Lisboa</t>
  </si>
  <si>
    <t>Assessment of the effect of the use of laser light or dantrolene on facial muscle under occlusal wear: a Raman spectroscopic study in a rodent model.</t>
  </si>
  <si>
    <t>15?</t>
  </si>
  <si>
    <t>"Occlusal wear did not caused morphologic alterations in the masseter muscle but resulted in changes of the levels of CaP(i) that were less compromising when the laser light was used."</t>
  </si>
  <si>
    <t>Shirani</t>
  </si>
  <si>
    <t>Low-level laser therapy and myofacial pain dysfunction syndrome: a randomized controlled clinical trial.</t>
  </si>
  <si>
    <t>🧑 Human
🎲 Randomized trial, double-blind
👥 16 participants
⌛ 3 weeks</t>
  </si>
  <si>
    <t>660
+
890</t>
  </si>
  <si>
    <t>6.2
1.0</t>
  </si>
  <si>
    <t>"In each group the reduction of pain before and after the treatment was meaningful, but, between the two groups, low-level laser therapy (LLLT) was more effective (P = 0.031) According to this study, this type of LLLT was the effective treatment for pain reduction in MPDS patients."</t>
  </si>
  <si>
    <t>de Medeiros</t>
  </si>
  <si>
    <t>Laser application effects on the bite strength of the masseter muscle, as an orofacial pain treatment.</t>
  </si>
  <si>
    <t>🧑 Human
📄 Single-arm study with a sham phase (?)
👥 15 participants (?)
⌛ single session (?)</t>
  </si>
  <si>
    <t>4-5
mm2</t>
  </si>
  <si>
    <t>"Fifteen patients of both genders, ages 19-29, suffering from pain in the masseter muscle, were exposed to laser application (AsGaAl) applied from a 2-mm distance."
"All patients showed improvement in muscle contraction strength of about 2.51-3.01 kgf on the right and left masseter muscle."
Comment: The reporting quality is low.</t>
  </si>
  <si>
    <t>Tullberg</t>
  </si>
  <si>
    <t>Sweden
(Huddinge)</t>
  </si>
  <si>
    <t>Effects of low-power laser exposure on masseter muscle pain and microcirculation.</t>
  </si>
  <si>
    <t>🧑 Human
🎲 Randomized trial, crossover, double-blind
👥 24 participants (12 cases, 12 ctrls)
⌛ single session</t>
  </si>
  <si>
    <t>"The blood flow did not change significantly in the patients, but increased after active laser exposure and decreased after placebo exposure in the healthy individuals. The difference between active laser and placebo was significant. In conclusion, the results of this study do not support an effect of low-power laser exposure on masseter muscle microcirculation in patients with chronic orofacial pain of muscular origin."
Comment: The abstract seems difficult to interpret...</t>
  </si>
  <si>
    <t>Maxillary sinus</t>
  </si>
  <si>
    <t>Arshad</t>
  </si>
  <si>
    <t>Effect of Light-Emitting Diode Phototherapy on Allograft Bone After Open Sinus Lift Surgery: A Randomized Clinical Trial (Concurrent Parallel)</t>
  </si>
  <si>
    <t>🧑 Human
🎲 Randomized trial
👥 44 participants
⌛ 21-day treatment / 6-month study</t>
  </si>
  <si>
    <t>4.73
cm2
area</t>
  </si>
  <si>
    <t>"Forty tissue specimens were analyzed. Insignificant differences existed between the two groups in terms of the degree of inflammation, bone quality, and maturity of collagen. Histological analyses revealed no significant difference in the mineralized areas of bone between the two groups (P &gt;0.05)."
"The results indicated that LED phototherapy cannot significantly enhance osteogenesis after sinus lift surgery. No side effects were observed in the experimental group."</t>
  </si>
  <si>
    <t>Ozturan</t>
  </si>
  <si>
    <t>Effects of Nd:YAG laser irradiation for minimizing edema and pain after sinus lift surgery: randomized controlled clinical trial.</t>
  </si>
  <si>
    <t>🧑 Human
🎲 Randomized trial
👥 10 participants
⌛ single treatment -&gt; 7-day follow-up</t>
  </si>
  <si>
    <t>1
immed.
after surgery</t>
  </si>
  <si>
    <t>"The results demonstrate that the 1064 nm Nd:YAG laser was effective in improving OHRQoL and reducing swelling after sinus lift surgery."</t>
  </si>
  <si>
    <t>Maxillary sinus (oroantral communication)</t>
  </si>
  <si>
    <t>Grzesiak-Janas &amp; Janas</t>
  </si>
  <si>
    <t>Conservative closure of antro-oral communication stimulated with laser light.</t>
  </si>
  <si>
    <t>🧑 Human
📄 Non-randomized study, controlled
👥 161 participants (61 PBM, 100 usual)
⌛ 4 days</t>
  </si>
  <si>
    <t>"After 4 days of laser therapy, a complete closure of antro-oral communication occurred."
"Laser therapy can be recommended as an effective method of treatment in this type of complication following tooth extraction."
Comment: The authors also mention that other patients were treated with Wassmund-Borusiewicz method, which was associated with pain and other complications almost in every patient (98%), while the reported success was 100% with laser.</t>
  </si>
  <si>
    <t>Maxillofacial injuries</t>
  </si>
  <si>
    <t>Alam</t>
  </si>
  <si>
    <t>Cell Biochem Funct</t>
  </si>
  <si>
    <t>The effect of photobiomodulation therapy in common maxillofacial injuries: Current status</t>
  </si>
  <si>
    <t>"PBMT reduces pain and swelling after oral surgery and tooth extraction in human and animal models of maxillofacial injuries. Patients with temporomandibular disorders also benefit from PBMT in terms of reduced inflammation and symptoms. PBMT still has some limitations, such as the need for standardizing parameters. PBMT must also be evaluated further in randomized controlled trials in various maxillofacial injuries."</t>
  </si>
  <si>
    <t>Mesiodens removal</t>
  </si>
  <si>
    <t>Sediva</t>
  </si>
  <si>
    <t>Czech
(Prague)</t>
  </si>
  <si>
    <t>Photobiomodulation Therapy After Mesiodens Surgery: Evaluation of Immunological Markers and Three-Dimensional X-Ray Analysis-Placebo-Controlled Study</t>
  </si>
  <si>
    <t>🧑 Human
📄 Controlled study
👥 38 participants
⌛ (?)</t>
  </si>
  <si>
    <t>"For sIgA (both in millimeters and milligrams per liter), the measurements displayed differences between pre- and postsurgery values, the postsurgery values being significantly lower than the presurgery values. In addition, interaction with the laser treatment plan was found, meaning that the laser treatment affected the sIgA levels. The decrease in sIgA levels in the control group was statistically significant. However, there was no significant change in sIgA levels in the laser group. The lysozyme trends appeared to be identical to the sIgA levels, that is, rising in the laser group and decreasing in the control group. The initial values for each group, however, go in the opposite direction."</t>
  </si>
  <si>
    <t>Molar-incisor hypomineralization (MIH)</t>
  </si>
  <si>
    <t>Brazil
(Maranhão)</t>
  </si>
  <si>
    <t>Efficacy of low-level laser therapy associated with fluoride therapy for the desensitisation of Molar-incisor hypomineralisation: randomised clinical trial.</t>
  </si>
  <si>
    <t>🧑 Human (pediatric)
🎲 Randomized trial
👥 66 participants
⌛ 3-day treatment / 1-month study</t>
  </si>
  <si>
    <t>"Fluoride varnish and the combination of treatments (L+FV) had greater desensitising action on teeth with MIH. Laser therapy demonstrated an immediate desensitising effect, whereas fluoride varnish had a late-onset effect."</t>
  </si>
  <si>
    <t>Mucoleles</t>
  </si>
  <si>
    <t>Low level laser effect after micro-marsupialization technique in treating ranulas and mucoceles: a case series report.</t>
  </si>
  <si>
    <t>🧑 Human
📄 Case series
👥 11 participants
⌛ 11-month follow-up (mean)</t>
  </si>
  <si>
    <t>3.53</t>
  </si>
  <si>
    <t>"All treated oral ranulas and selected mucoceles presented clinical healing. No evidence of recurrence could be identified during a mean of 11.0-month follow-up period.
The use of InGaAsP diode lasers, within the parameters tested, appears to present a good alternative treatment to reduce pain and heal oral ranulas and selected mucoceles associated with micro-marsupialization."</t>
  </si>
  <si>
    <t>Mucus extravasation cyst</t>
  </si>
  <si>
    <t>Ahad</t>
  </si>
  <si>
    <t>Diode Laser Assisted Excision and Low Level Laser Therapy in the Management of Mucus Extravasation Cysts: A Case Series.</t>
  </si>
  <si>
    <t>🧑 Human
📄 Case series
👥 4 cases
⌛ 1-week study -&gt; follow-up</t>
  </si>
  <si>
    <t>"Significant reduction in postoperative discomfort was recorded after application of LLLT."</t>
  </si>
  <si>
    <t>Necrotizing fasciitis</t>
  </si>
  <si>
    <t>Photobiomodulation to Treat Necrotizing Fasciitis</t>
  </si>
  <si>
    <t>🧑 Human
📄 Case report
⌛ 5-week treatment</t>
  </si>
  <si>
    <t>"The spread of odontogenic infections associated with comorbidities, such as diabetes mellitus, can result in a potentially lethal complication, with rapid necrosis of the superficial fascia, necrotizing fasciitis. In this case report, a female patient, 52 years old, fasting blood glucose of 303 mg/dL with necrotizing fasciitis associated with type 2 diabetes mellitus in the left cervical-thoracic region. 
She was treated with antibiotics, cervicotomy, abscess drainage, and underwent 10 photobiomodulation sessions with 2 weekly applications of the red wavelength laser to correct tissue loss in the left cervical region. With the development of tissue healing, the formation of granulation tissue increased, absence of necrotic areas, contraction of the edges, and total wound repair. This case emphasizes the effectiveness of photobiomodulation to optimize healing and modulate the inflammatory pattern in the treatment of necrotizing fasciitis sequelae."</t>
  </si>
  <si>
    <t>Necrotizing sialometaplasia</t>
  </si>
  <si>
    <t>Leite</t>
  </si>
  <si>
    <t>Low-Level Laser Therapy Approach of Bilateral Necrotizing Sialometaplasia of the Hard and Soft Palates</t>
  </si>
  <si>
    <t>🧑 Human
📄 Case report
⌛ 3-month follow-up</t>
  </si>
  <si>
    <t>100
/p</t>
  </si>
  <si>
    <t>"A 32-year-old male patient was referred with a chief complaint of two asymptomatic crater-like ulcers measuring approximately 1.5 cm wide on the right side of the hard and soft palates, and another measuring 0.3 cm wide on the left side of the hard palate. The lesion had two weeks of evolution followed by a previous infectious "sore throat" event that kept the patient hospitalized for 4 days. A clinical diagnosis of NS was made. LLLT was applied during 2 sessions per week, favoring the total wound healing within 2 weeks. At 3 months of clinical followup, the patient did not present any complication or relapse and was thus released."</t>
  </si>
  <si>
    <t>Nerves</t>
  </si>
  <si>
    <t>Photobiomodulation Therapy for Managing Motor and Sensory Dysfunctions Following Temporomandibular Joint Surgery: A Case Report</t>
  </si>
  <si>
    <t>"A considerable improvement in both facial asymmetry and muscle function was achieved within 5 weeks, along with a total restoration of cutaneous sensitivity. By the 10th week of PBMT, the facial movement dysfunction was completely resolved."</t>
  </si>
  <si>
    <t>Grissom</t>
  </si>
  <si>
    <t>Treating Nerve Injury after Endodontic Microsurgery Using Laser Photobiomodulation: A Report of 2 Cases</t>
  </si>
  <si>
    <t>"This case report presents 2 patients with neurosensory alterations after endodontic microsurgery with a significant improvement in their condition after PBM treatment using a 940-nm diode laser."</t>
  </si>
  <si>
    <t>Effectiveness of Laser Therapy and Laser Acupuncture on Treating Paraesthesia After Extraction of Lower Third Molars</t>
  </si>
  <si>
    <t>🧑 Human
⚔ Comparison study, randomized
👥 60 participants
⌛ (?)</t>
  </si>
  <si>
    <t>PBM vs laser acupuncture (same treatment but applied at acupuncture points)
PBM vs medication (ETNA?)</t>
  </si>
  <si>
    <t>4/point</t>
  </si>
  <si>
    <t>40/p</t>
  </si>
  <si>
    <t>"In general and thermal perception, both PBMTs had better results than control; regarding cold perception, only the LT group was statistically superior to control.
[Laser acupuncture] presented inferior results of neural regeneration for tests of perception of pain and tactile at the lip, and of tactile perception at the chin.
In the other tests, there was no statistical difference among the groups."</t>
  </si>
  <si>
    <t>Nerves: Inferior alveolar</t>
  </si>
  <si>
    <t>Yari</t>
  </si>
  <si>
    <t>Iran
(Kashan)</t>
  </si>
  <si>
    <t>The Effect of Delayed Photobiomodulation Therapy on Inferior Alveolar Nerve Recovery After Third Molar Removal: A Triple-Blinded Randomized Clinical Trial</t>
  </si>
  <si>
    <t>🧑 Human
🎲 Randomized trial, triple-blind
👥 36 participants
⌛ 6-week treatment -&gt; 9-month follow-up</t>
  </si>
  <si>
    <t>30/p
on
16 points</t>
  </si>
  <si>
    <t>"There was a significant improvement in the intervention group on the static light touch (p = 0.041), two-point discrimination (p = 0.028), VAS (p = 0.031), and pinprick (p = 0.014) tests on the 11th session and subsequent visits and also on direction discrimination test on the 12th session (p = 0.044) and after that. There was no significant difference in the thermal discrimination tests between the two groups (p &gt; 0.05)."
Comment: No demonstration of between-the-groups improvement?</t>
  </si>
  <si>
    <t>Adjunctive Effect of Photobiomodulation Therapy with Nd:YAG Laser in the Treatment of Inferior Alveolar Nerve Paresthesia</t>
  </si>
  <si>
    <t>🧑 Human
👥 25 patients</t>
  </si>
  <si>
    <t>"After completing 10 sessions of laser therapy for the case group consisting of 25 patients with lower lip anesthesia, the visual analog scale index results revealed that following six sessions of laser therapy, a significant difference appeared in contrast to the control group. Also, according to the two-point tests, significant difference among the experimental and the control group appeared after ninth session of the laser therapy."</t>
  </si>
  <si>
    <t>Int Wound J</t>
  </si>
  <si>
    <t>Effectiveness of concentrated growth factor and laser therapy on wound healing, inferior alveolar nerve injury and periodontal bone defects post-mandibular impacted wisdom tooth extraction: A randomized clinical trial</t>
  </si>
  <si>
    <t>🧑 Human
🎲 Randomized trial
👥 31 participants
⌛ 2-week treatment / 90-day study</t>
  </si>
  <si>
    <t>Groups:
(1) control (vit B12)
(2) CGF gel
(3) LLLT</t>
  </si>
  <si>
    <t>7
2 weeks</t>
  </si>
  <si>
    <t>"The findings revealed that, compared with the control group, both the CGF and laser treatment groups exhibited a markedly greater improvement in VAS scores and wound healing of soft tissues, as well as in PP results (p &lt; 0.001), indicating enhanced wound healing processes."</t>
  </si>
  <si>
    <t>Baydan &amp; Soylu</t>
  </si>
  <si>
    <t>Investigation of the efficacy of two different laser types in the treatment of lower lip paresthesia after sagittal split ramus osteotomy</t>
  </si>
  <si>
    <t>🧑 Human
🎲 Randomized trial
👥 30 participants
⌛ 5 weeks (?)</t>
  </si>
  <si>
    <t>Groups:
(1) laser GRR
(2) Epic10 laser
(3) vitamins B</t>
  </si>
  <si>
    <t>650+
904
(GRR)
940
(Epic10)</t>
  </si>
  <si>
    <t>"The contribution of the laser groups to the healing rate was better than that of the vitamin B group. Although there was no statistically significant difference between the two laser groups, clinical observations indicated better results in the GRR laser group."</t>
  </si>
  <si>
    <t>Daigo</t>
  </si>
  <si>
    <t>Japan
(Osaka City)</t>
  </si>
  <si>
    <t>Photobiomodulation Activates Microglia/Astrocytes and Relieves Neuropathic Pain in Inferior Alveolar Nerve Injury</t>
  </si>
  <si>
    <t>"PBMT after IANI prevented hyperalgesia and allodynia by promoting glial cell activation shortly after injury."</t>
  </si>
  <si>
    <t>The effectiveness of photobiomodulation therapy on inferior alveolar nerve injury: A systematic review and META-analysis</t>
  </si>
  <si>
    <t>"15 randomized controlled trials met the inclusion criteria for qualitative analysis and 14 for META-analysis from 219 articles. 
The results showed that PBM therapy had no effect on nerve injury in a short period of time (0-48h, 14 days), but had significant effect over 30 days. 
However, the effect of photobiomodulation therapy on thermal discrimination was still controversial, most authors supported no significant improvement. 
By calculating the effective rate of PBM, it was found that there was no significant difference in the onset time of treatment, whether within or over 6 months."
"The results of this META-analysis show that PBM therapy is effective in the treatment of IAN injures no matter it begins early or later. However, due to the limited number of well-designed RCTs and small number of patients in each study, it would be necessary to conduct randomized controlled trials with large sample size, long follow-up time and more standardized treatment and evaluation methods in the future to provide more accurate and clinically meaningful results."</t>
  </si>
  <si>
    <t>Öztürk</t>
  </si>
  <si>
    <t>The effect of different treatment protocols with diode laser on regeneration in axonetmesis ınjuries of the ınferior alveolar nerve: an animal study</t>
  </si>
  <si>
    <t>"The results showed that the 20-session group had the best improvement, most closely resembling the group without sensory test damage."</t>
  </si>
  <si>
    <t>Photobiomodulation Therapy Applied after 6 Months for the Management of a Severe Inferior Alveolar Nerve Injury</t>
  </si>
  <si>
    <t>42
/ 14 weeks (?)</t>
  </si>
  <si>
    <t>"At the end of the treatment, all of the symptoms disappeared except for an abnormal sensation on touching the mucosa and gingiva of the concerned area."</t>
  </si>
  <si>
    <t>Quintessence Int</t>
  </si>
  <si>
    <t>Efficacy of photobiomodulation therapy on neurosensory recovery in patients with inferior alveolar nerve injury following oral surgical procedures: a systematic review</t>
  </si>
  <si>
    <t>"Among 1,122 identified papers, seven articles (three RCTs, one observational study, and three case series) met the inclusion criteria."
"Two out of three RCTs found significant neurosensory recovery in the patients who received PBM therapy compared to the controls. The observational study and all case series reported significant improvement in the neurosensory status following PBM therapy."
"Due to the limited number of well-designed RCTs and small number of patients in each study, it is not possible to make a clear conclusion about the efficacy of PBM therapy on neurosensory recovery in patients with inferior alveolar nerve injury following third molar or implant procedures. Considering the possibility of spontaneous inferior alveolar nerve recovery during this period, the conclusion based on the studies with no control group should be interpreted with caution."</t>
  </si>
  <si>
    <t>Photobiomodulation therapy for management of inferior alveolar nerve injury post-extraction of impacted lower third molars</t>
  </si>
  <si>
    <t>🧑 Human
🎲 Randomized trial
👥 20 participants
⌛ 2-week treatment / 30-day study</t>
  </si>
  <si>
    <t>PBM vs mecobalamine</t>
  </si>
  <si>
    <t>3.14
cm2
spot
size</t>
  </si>
  <si>
    <t>"All patients showed improvement in both objective and subjective examination. Notably, the visual analog score was significantly improved after PBM treatment compared to the mecobalamine treatment (p &lt; 0.05)."</t>
  </si>
  <si>
    <t>Fernandes-Neto</t>
  </si>
  <si>
    <t>Brazil
(Campina Grande)</t>
  </si>
  <si>
    <t>Laser therapy as treatment for oral paresthesia arising from mandibular third molar extraction</t>
  </si>
  <si>
    <t>🧑 Human
📄 Case report
⌛ 13-week treatment -&gt; 30-day follow-up</t>
  </si>
  <si>
    <t>26
(2/wk)</t>
  </si>
  <si>
    <t>"After 72 hours of the first session, the patient reported improvement of sensitivity in the chin (VAS = 5) and oral regions (VAS = 5), reporting recovery of sensitivity and that the area of paresthesia decreased. After 8 sessions, the patient reported total recovery of sensitivity in the chin, oral and gum regions (VAS = 0), with paresthesia being limited only to the left lower lip region and below it. After 26 sessions, the patient reported recovery of sensitivity in all affected regions (VAS = 0), with positive responses to the brush touch."</t>
  </si>
  <si>
    <t>Photobiomodulation Therapy for the Management of Patients With Inferior Alveolar Neurosensory Disturbance Associated With Oral Surgical Procedures: An Interventional Case Series Study</t>
  </si>
  <si>
    <t>🧑 Human
📄 Case series
👥 8 cases
⌛ ~3-week treatment -&gt; 14-day follow-up</t>
  </si>
  <si>
    <t>"Considering the limitations of this study, PBM with the parameters used in this study presented positive effects on neurosensory recovery in patients suffering from IAN injury associated with routine intraoral procedures. Patients with shorter duration of paresthesia tended to respond more favorably to PBM therapy."</t>
  </si>
  <si>
    <t>Effectiveness of low-level laser therapy on recovery from neurosensory disturbance after sagittal split ramus osteotomy: a systematic review and meta-analysis</t>
  </si>
  <si>
    <t>"Seventy-four papers were retrieved after removing duplicate studies and finally, eight studies were assessed for qualitative synthesis and five for meta-analysis. Totally, 94 patients were included in the meta-analysis.
Based on the meta-analysis, it was shown that LLLT was not effective in a short interval (0 to 48 h) after surgery, but in a period of more than 1 month after surgery, the positive results of treatment can be observed strikingly."</t>
  </si>
  <si>
    <t>Elafifi</t>
  </si>
  <si>
    <t>Effect of Photobiomodulation (Diode 810 nm) on Long-Standing Neurosensory Alterations of the Inferior Alveolar Nerve: A Case Series Study</t>
  </si>
  <si>
    <t>🧑 Human
📄 Case series
👥 11 cases
⌛ ~8 weeks</t>
  </si>
  <si>
    <t>15
(2 per week)</t>
  </si>
  <si>
    <t>"The laser parameters and application protocol used result in subjective and objective improvement in mechanical sensory perception in long-standing neurosensory deficit in the IAN."</t>
  </si>
  <si>
    <t>Pinto Faria</t>
  </si>
  <si>
    <t>Low-level laser therapy for neurosensory recovery after sagittal ramus osteotomy</t>
  </si>
  <si>
    <t>🧑 Human
📄 Self-controlled
👥 12 participants
⌛ ~5 weeks</t>
  </si>
  <si>
    <t>10+
(2 per week)</t>
  </si>
  <si>
    <t>"Significant improvement on the treated side was observed. Comparing the behaviour among the variables between the T group and the C group in the General Recovery was showed a tendency to better results in the T group when compared to the C group, with statistical difference (p≤0,05) after the 10th laser therapy session."</t>
  </si>
  <si>
    <t>Sharifi</t>
  </si>
  <si>
    <t>Effect of photobiomodulation on recovery from neurosensory disturbances after sagittal split ramus osteotomy: a triple-blind randomised controlled trial.</t>
  </si>
  <si>
    <t>🧑 Human
🎲 Randomized trial, triple-blind
👥 18 participants
⌛ 1 month</t>
  </si>
  <si>
    <t>720
(12p)</t>
  </si>
  <si>
    <t>7
/ ~1 month</t>
  </si>
  <si>
    <t>"The results suggest that photobiomodulation accelerated the patients' improvement from neurosensory disturbance after BSSO."</t>
  </si>
  <si>
    <t>Recovery of inferior alveolar nerve by photobiomodulation therapy using two laser wavelengths: A behavioral and immunological study in rat.</t>
  </si>
  <si>
    <t>200
200</t>
  </si>
  <si>
    <t>0.400
0.400</t>
  </si>
  <si>
    <t>3
3
(/p?)</t>
  </si>
  <si>
    <t>6
6</t>
  </si>
  <si>
    <t>1.5
cm2
area</t>
  </si>
  <si>
    <t>45
45
(3p)</t>
  </si>
  <si>
    <t>15
15</t>
  </si>
  <si>
    <t>"One day after surgery, all rats subjected to nerve injury showed significant increase in the withdrawal threshold of von Frey test compared to the baseline (p = .02 for control and p = .03 for laser groups). The threshold gradually returned to the baseline scores in 810 nm, 980 nm, and control groups from days 11, 17, and 29, respectively."
"At both time points, the levels of NGF and BDNF were significantly higher in 810 nm laser group compared to the control group."
"There was a significant difference between laser and control groups regarding NF-κB expression (all p values&lt;.001). TNF-α and IL-1β were significantly lower in laser groups compared to the control group (all p values &lt; .001)."
"PBMT with 810 and 980 nm diode laser protocol used in this study, promoted the neurosensory recovery of IAN after crush injury in rats. In addition, application of 810 nm diode laser was associated with more improvement in immunological responses compared to that of 980 nm laser."</t>
  </si>
  <si>
    <t>Girão Evangelista</t>
  </si>
  <si>
    <t>Brazil
(Ceara)</t>
  </si>
  <si>
    <t>Low-Level Laser Therapy in the Treatment of Inferior Alveolar Nerve Paresthesia After Surgical Exeresis of a Complex Odontoma.</t>
  </si>
  <si>
    <t>🧑 Human
📄 Case report
⌛ 10 treatment sessions / 2-year follow-up</t>
  </si>
  <si>
    <t>660 + 
808
(alternating)</t>
  </si>
  <si>
    <t>4
/point</t>
  </si>
  <si>
    <t>140</t>
  </si>
  <si>
    <t>"In the first session, the score on the visual analog scale (VAS) was "3". In the tenth and last sessions, the patient reported a VAS "9"."
"We conclude that despite the obvious open field that is low-level laser therapy for the treatment of orofacial paresthesia and its apparent success published in some studies in the literature, it is still necessary randomized long term clinical studies that can demonstrate a true efficacy of this promising non-surgical treatment modality."</t>
  </si>
  <si>
    <t>Comparative effects of photobiomodulation therapy at wavelengths of 660 and 808 nm on regeneration of inferior alveolar nerve in rats following crush injury.</t>
  </si>
  <si>
    <t>"In the 808-nm PBMT group, the number of nerve fibers with suboptimal g-ratio ranges of 0-0.49 (p &lt; 0.001) is significantly lower than expected, which indicates better rate of myelinization in the 808-nm PBMT group. The number of axons per square micrometer was significantly higher in the 808-nm PBMT group when compared with the control (p &lt; 0.001) and 660-nm PBMT group (p = 0.010). The data and the histopathological investigations suggest that the PBMT with the 808-nm wavelength along with its settings was able to enhance IAN regeneration after nerve crush injury."</t>
  </si>
  <si>
    <t>Is Low-Level Laser Therapy Effective on Sensorineural Recovery After Bilateral Sagittal Split Osteotomy? Randomized Trial.</t>
  </si>
  <si>
    <t>🧑 Human
🎲 Randomized trial, split-mouth, double-blind
👥 20 participants
⌛ 15-20 weeks</t>
  </si>
  <si>
    <t>157.5</t>
  </si>
  <si>
    <t>0.04
cm2
point
area</t>
  </si>
  <si>
    <t>90
/point
(29 points?)</t>
  </si>
  <si>
    <t>5 sessions with 3-4 week intervals</t>
  </si>
  <si>
    <t>"Twenty adult patients (mean age, 35.6 years; 70.0% women) showed improvement in the experimental and control sides during the follow-up period. However, the experimental side in groups 1 and 2 exhibited a marked improvement in sensorineural recovery over the course of the sessions, and group 1 had the best results."</t>
  </si>
  <si>
    <t>The effect of low-level laser radiation on improving inferior alveolar nerve damage after sagittal split osteotomy: a systematic review.</t>
  </si>
  <si>
    <t>"Then, controlled clinical trial studies published before November 2017 regarding LLL radiation conducted on patients with IAN neuropathy due to SSO were investigated."
"A total of seven papers were included in the study. The diode laser used had a wavelength range of 760-930 nm, radiation power of 20-200 mw, and radiation energy of 10.2-95 J (per point of radiation). "
"In the mentioned studies, the patients underwent 3-20 sessions of laser irradiation and were monitored for an additional 0-23 months after completion of the laser intervention. "
"The tests performed in the mentioned studies dealt with examining the perceptions of superficial touch and pressure, two-point discrimination, stimulus movement on skin, temperature, and pain. Furthermore, the patients' general awareness regarding sensory perception in the mandibular region was gauged."
"In six studies, laser irradiation caused relative improvement in the IAN sensory disorder for a subjective test as well as for one or more objective tests. In the reviewed clinical trial studies, LLL was generally found to be effective in improving the IAN sensory disturbance resulting from SSO, though there was no placebo effect."</t>
  </si>
  <si>
    <t>Does Low-Level Laser Therapy Affect Recovery of Lingual and Inferior Alveolar Nerve Injuries?</t>
  </si>
  <si>
    <t>🧑 Human
🎲 Randomized trial, double-blind
👥 35 participants
⌛ 20 sessions -&gt; 3-month follow-up</t>
  </si>
  <si>
    <t xml:space="preserve">8 groups (LLLT/placebo)
1) IAN 3-12 mo old
2) IAN &gt;12 mo old
3) LN 3-12 mo old
4) LN &gt;12 mo old 
</t>
  </si>
  <si>
    <t>6 (intra-oral)
3 (extra-oral)</t>
  </si>
  <si>
    <t>0.15
cm2</t>
  </si>
  <si>
    <t>"No statistically significant difference in improvement was found between the LLLT and placebo groups (P = .66)."
"This study failed to provide sufficient evidence to conclude that a difference in neurosensory improvement exists between the LLLT and placebo groups with IAN or LN injuries."</t>
  </si>
  <si>
    <t>PHOTON*PLUS System; Rønvig A/S, Daugaard, Denmark</t>
  </si>
  <si>
    <t>Eshghpour</t>
  </si>
  <si>
    <t>Is Low-Level Laser Therapy Effective for Treatment of Neurosensory Deficits Arising From Sagittal Split Ramus Osteotomy?</t>
  </si>
  <si>
    <t>🧑 Human
🎲 Randomized trial, split-mouth, double-blind
👥 16 participants
⌛ 3-day treatment / 60-day study</t>
  </si>
  <si>
    <t>660
+
810</t>
  </si>
  <si>
    <t>2
2</t>
  </si>
  <si>
    <t>1.5
7</t>
  </si>
  <si>
    <t>"No significant difference was found between the laser and control sides before and after surgery and on postoperative days 15 and 30 (P &gt; .05). The 2-point discrimination distance was significantly shorter on the laser side than on the control side on postoperative days 45 and 60 (P &lt; .05)."
"LLLT was effective in the treatment of neurosensory disturbances arising from BSSO. Therefore, LLLT can be recommended to accelerate the recovery of sensory aberrations in patients undergoing BSSO."
Comment: The treatment appeared to bring some benefits, but they were quite modest.</t>
  </si>
  <si>
    <t>Neurochemical effects of photobiostimulation in the trigeminal ganglion after inferior alveolar nerve injury</t>
  </si>
  <si>
    <t>"In this study we investigated whether inferior alveolar nerve (IAN) injury influences AMPA receptors, CGRP, SP and TRPV1 expression in the trigeminal ganglion (TG). The relative expression of the protein of interest from naive rats was compared to those from injured rats and animals that received low level laser therapy (LLLT).
IAN-injury did not change expression of GluA1, GluA2 and CGRP, but increased the expression of TRPV1 and SP. LLLT increases GluA1 and GluA2 expression and decreases TVPV1, SP and CGRP."</t>
  </si>
  <si>
    <t>Guarini</t>
  </si>
  <si>
    <t>Chile
(Santiago)</t>
  </si>
  <si>
    <t>Laser Biophotomodulation in Patients with Neurosensory Disturbance of the Inferior Alveolar Nerve After Sagittal Split Ramus Osteotomy: A 2-Year Follow-Up Study.</t>
  </si>
  <si>
    <t>🧑 Human
🎲 Randomized trial, sham-controlled
👥 42 participants (unequal allocation)
⌛ 28-day treatment / 2-year study</t>
  </si>
  <si>
    <t>0.353</t>
  </si>
  <si>
    <t>31.8</t>
  </si>
  <si>
    <t>0.283
cm2
spot
area</t>
  </si>
  <si>
    <t>8
/ 28 days</t>
  </si>
  <si>
    <t>"Clinical improvement was observed during the follow-up period for the Laser group; general VAS for sensitivity was normal in 11 participants from the Laser group at 2 years postsurgery (40.74%), while no participants from the Sham group achieved this (p = 0.0341). Twenty-three participants recovered initial values for two-point discrimination (69.7%) after 2 years of follow-up (p = 0.0025) as well as sensitivity threshold test. General VAS for pain was normal in 31 patients from the Laser group after 2 years of follow-up (93.94%, p = 0.0254)."
"Photobiomodulation was effective for neurosensory recovery on sample studied."</t>
  </si>
  <si>
    <t>Effect of Low-Level Laser and Light-Emitting Diode on Inferior Alveolar Nerve Recovery After Sagittal Split Osteotomy of the Mandible: A Randomized Clinical Trial Study.</t>
  </si>
  <si>
    <t>🧑 Human
🎲 Randomized trial, double-blind
👥 20 participants
⌛ 28-day treatment / 180-day study</t>
  </si>
  <si>
    <t>632 (LED)
+
810 (laser)</t>
  </si>
  <si>
    <t>6
/ 28 days</t>
  </si>
  <si>
    <t>"After 1 week, the VAS score in the laser group significantly improved in comparison with the control group. Visual analog scale score improvement was 25% (P = 0.015) at 2 weeks, 21% (P = 0.001) at 2 months, and 24% (P = 0.001) at 6 months. After 2 weeks, the brush stroke score improvement was significant in the laser group. The improvement values were 21.5% (P = 0.002) at 2 months and 15.1% (P = 0.004) at 6 months."
"Low-level laser therapy and light-emitting diode may improve VAS scores, 2-point discrimination, and brush stroke test results without any effect on the pinprick or contact detection test results."</t>
  </si>
  <si>
    <t>Neuropeptide expression and morphometric differences in crushed alveolar inferior nerve of rats: Effects of photobiomodulation.</t>
  </si>
  <si>
    <t>"We found that IAN-injured rats which received PBM had a significant improvement of IAN morphometry when compared to IAN-injured rats without PBM. In parallel, all MPZ, laminin, and NFs exhibited a decrease after PBM.
The results of this study indicate that the correlation between the peripheral nerve ultrastructure and the associated protein expression shows the beneficial effects of PBM."</t>
  </si>
  <si>
    <t>Coulthard</t>
  </si>
  <si>
    <t>UK
(Manchester)</t>
  </si>
  <si>
    <t>Interventions for iatrogenic inferior alveolar and lingual nerve injury.</t>
  </si>
  <si>
    <t>"Both trials investigated the effectiveness of low-level laser treatment compared to placebo laser therapy on inferior alveolar sensory deficit as a result of iatrogenic injury.Patient-reported altered sensation was partially reported in one study and fully reported in another. Following treatment with laser therapy, there was some evidence of an improvement in the subjective assessment of neurosensory deficit in the lip and chin areas compared to placebo, though the estimates were imprecise: a difference in mean change in neurosensory deficit of the chin of 8.40 cm (95% confidence interval (CI) 3.67 to 13.13) and a difference in mean change in neurosensory deficit of the lip of 21.79 cm (95% CI 5.29 to 38.29). The overall quality of the evidence for this outcome was very low; the outcome data were fully reported in one small study of 13 patients, with differential drop-out in the control group, and patients suffered only partial loss of sensation."</t>
  </si>
  <si>
    <t>Gasperini</t>
  </si>
  <si>
    <t>Lower-level laser therapy improves neurosensory disorders resulting from bilateral mandibular sagittal split osteotomy: a randomized crossover clinical trial.</t>
  </si>
  <si>
    <t>🧑 Human
🎲 Randomized trial, self-controlled
👥 10 participants
⌛ 20-day treatment / 60-day study</t>
  </si>
  <si>
    <t>660
+
789</t>
  </si>
  <si>
    <t>20
+
60</t>
  </si>
  <si>
    <t>4.8
(4p)
+
16.8
(14)</t>
  </si>
  <si>
    <t>5
+
30</t>
  </si>
  <si>
    <t>10
/ 20 days (?)</t>
  </si>
  <si>
    <t>"On the treated side, recovery was faster and was almost complete at the time of the last evaluation. We suggest that this lower-level laser therapy protocol can improve tissue response and accelerate the recovery of neurosensory disorders following BSSO."
Comment: Check the full text for the actual parameters. It's a bit more complex than described here.</t>
  </si>
  <si>
    <t>Führer-Valdivia</t>
  </si>
  <si>
    <t>Low-level laser effect in patients with neurosensory impairment of mandibular nerve after sagittal split ramus osteotomy. Randomized clinical trial, controlled by placebo.</t>
  </si>
  <si>
    <t>🧑 Human
🎲 Randomized trial
👥 31 participants
⌛ 28-day treatment / 6-month study</t>
  </si>
  <si>
    <t>27
(3p)</t>
  </si>
  <si>
    <t>0.283
cm2</t>
  </si>
  <si>
    <t>"Low-level laser therapy was beneficial for this group of patients on recovery of neurosensory impairment of mandibular nerve, compared to a placebo."</t>
  </si>
  <si>
    <t>de Oliveira Martins</t>
  </si>
  <si>
    <t>Laser therapy and pain-related behavior after injury of the inferior alveolar nerve: possible involvement of neurotrophins.</t>
  </si>
  <si>
    <t>IAN injury</t>
  </si>
  <si>
    <t>~0.1
cm2
(spot)
0.5
cm2
(area)</t>
  </si>
  <si>
    <t>"When the animals were subjected to the laser therapy technique, we observed a recovery of pain threshold to normal levels. These alterations were detected as early as day 2 and persisted at least until 1 month after surgery (Fig. 1). It is important to point out that all animals that received laser therapy sessions exhibit behavioral improvement."
"In irradiated animals, there was an enhanced expression of NGF (53%) and a decreased BDNF expression (40%) after laser therapy."
Comment: If irradiated area is 0.5cm2 with 6J/cm2, then the total radiant energy should be 3J, not 30J... Calculations gone wrong?</t>
  </si>
  <si>
    <t>Ozen</t>
  </si>
  <si>
    <t>Head Face Med</t>
  </si>
  <si>
    <t>Efficacy of low level laser therapy on neurosensory recovery after injury to the inferior alveolar nerve</t>
  </si>
  <si>
    <t>🧑 Human
📄 Single-arm trial
👥 4 participants
⌛ 39 days</t>
  </si>
  <si>
    <t>820-
830</t>
  </si>
  <si>
    <t>30
(5p)</t>
  </si>
  <si>
    <t>20
/ 39 days</t>
  </si>
  <si>
    <t>"When the neurosensory assessment scores after treatment with LLL therapy were compared with the baseline values prior to treatment, there was a significant acceleration in the time course, as well as in the magnitude, of neurosensory return. The VAS analysis revealed progressive improvement over time."</t>
  </si>
  <si>
    <t>Low-level laser effect on neural regeneration in Gore-Tex tubes.</t>
  </si>
  <si>
    <t>Inferior alveolar nerve</t>
  </si>
  <si>
    <t>"Histomorphometric evaluation revealed increased axonal density in the laser treated group as compared with the control."</t>
  </si>
  <si>
    <t>Miloro &amp; Repasky</t>
  </si>
  <si>
    <t>Low-level laser effect on neurosensory recovery after sagittal ramus osteotomy.</t>
  </si>
  <si>
    <t>🧑 Human
📄 Single-arm trial
👥 6 participants
⌛ 8-day treatment / 28-day study</t>
  </si>
  <si>
    <t>7
/ 8 days</t>
  </si>
  <si>
    <t>"When the results of the patients treated with LLL were compared with published values for neurosensory recovery after orthognathic surgery, there was a significant acceleration in the time course, as well as in the magnitude, of neurosensory return. Brush stroke directional discrimination approached normal values by 14 days, whereas 2-point discrimination and contact detection showed significant improvement at 14 days and returned to near-normal values by 2 months. The results of thermal discrimination and pin prick nociception revealed few neurosensory deficits; however, those patients who were affected showed a slower recovery trend and remained neurosensory-deficient for up to 2 months. The VAS analysis revealed a rapidly progressive improvement in subjective assessment, showing a 50% deficit at 2 days and only a 15% subjective deficit at 2 months."
"This study demonstrates that neurosensory recovery after bilateral sagittal split osteotomy procedures can be significantly improved, both in terms of time course and magnitude of return of function, with the adjunctive use of LLL therapy."</t>
  </si>
  <si>
    <t>Enhanced Sensory Reinnervation of Dental Target Tissues in Rats Following Low Level Laser (LLL) Irradiation</t>
  </si>
  <si>
    <t>"These results suggest that LLL treatment can enhance reinnervation of denervated dental tissues after [inferior alveolar nerve] axotomy in the rat. The enhanced reinnervation could be due to accelerated regeneration of the axotomised nerve, to collateral reinnervation, or a combination of both these nerve responses. The mechanisms whereby these changes are effected are still unknown."</t>
  </si>
  <si>
    <t>Preliminary study of low-level laser for treatment of long-standing sensory aberrations in the inferior alveolar nerve</t>
  </si>
  <si>
    <t>🧑 Human
🎲 Randomized trial, sham-controlled
👥 13 participants
⌛ 36-69 days</t>
  </si>
  <si>
    <t>24
(4p)</t>
  </si>
  <si>
    <t>340
(4p)</t>
  </si>
  <si>
    <t>20
/ 36-69 days</t>
  </si>
  <si>
    <t>"Subsequent to LLL, the real laser-treated group showed a significant improvement in mechanoreceptor sensory testing (P = .01) compared with the placebo group, as manifested by a decrease in load threshold (g) necessary to elicit a response from the most damaged area. 
In addition, the real LLL group reported a subjective improvement in sensory function. 
There was no significant improvement in thermal sensitivity post-LLL for either the real or placebo laser-treated groups."</t>
  </si>
  <si>
    <t>Effect of low-level laser treatment on neurosensory deficits subsequent to sagittal split ramus osteotomy.</t>
  </si>
  <si>
    <t>🧑 Human
🎲 Randomized trial, sham-controlled
👥 13 participants
⌛ 20-63 days</t>
  </si>
  <si>
    <t>24
(per side)</t>
  </si>
  <si>
    <t>0.13
cm2
spot
size</t>
  </si>
  <si>
    <t>20
/ 20-63 days
(mean = 31 days</t>
  </si>
  <si>
    <t>"The patients in the real low-level laser treatment group experienced a subjective improvement in both lip (p = 0.01) and chin (p = 0.02) after completion of the course of treatment. In addition, this group showed a significant decrease in the area of mechanoperception neurosensory deficit (p = 0.01) compared with no difference in the placebo group. The real low-level laser treatment group exhibited a strong tendency toward improvement in mechanoreceptor neurosensory deficit in the areas of most damage for both lip and chin. This improvement was especially pronounced in the lip region (p = 0.06). No similar tendency was demonstrated in the placebo group. Neither group showed any significant change or tendency to improvement in thermoception on completion of the course of treatment."
"In conclusion GaAlAs low-level laser treatment results in both a subjective and objective improvement in mechanical sensory perception in long-standing neurosensory deficit in the inferior alveolar nerve."</t>
  </si>
  <si>
    <t>Nerves: Infraorbital</t>
  </si>
  <si>
    <t>Enhancing nerve regeneration in infraorbital nerve injury rat model: effects of vitamin B complex and photobiomodulation</t>
  </si>
  <si>
    <t>PBM vs vitamin B complex</t>
  </si>
  <si>
    <t>"After CCI IoN, the rats were divided into six groups naive, sham, injured (CCI IoN), treated with photobiomodulation (904 nm, 6.23 J/cm2, CCI IoN + PBM), treated with VBC (containing B1, B6 and B12) 5 times, CCI IoN + VBC) and treated with PBM and VBC (CCI IoN + VBC + PBM). 
The treatments could revert low expression of BDNF, MBP and laminin. Also reverted the higher expression of neurofilaments and enhanced expression of NGF. PBM and VBC could accelerate injured infraorbital nerve repair in rats through reducing the expression of neurofilaments, increasing the expression of BDNF, laminin and MBP and overexpressing NGF. These data support the notion that the use of PBM and VBC may help in the treatment of nerve injuries. This finding has potential clinical applications."</t>
  </si>
  <si>
    <t>Timko AM</t>
  </si>
  <si>
    <t>Clin Adv Periodontics</t>
  </si>
  <si>
    <t>Use of 1064nm Nd:YAG Laser Biostimulation for Immediate Reversal of a Long-Standing Paresthesia of the Superior Labial Branch of the Infraorbital Nerve Following a Root Coverage Procedure: A Case Report</t>
  </si>
  <si>
    <t>🧑 Human
📄 Case report
⌛ single session -&gt; 2.5 year follow-up</t>
  </si>
  <si>
    <t>"A coronally repositioned flap with enamel matrix derivative was used to treat gingival recession on the buccal surface of tooth #6 of a 35-year-old Caucasian female. One week later the patient reported lip numbness. The patient declined further treatment, and the paresthesia remained unchanged for the next 13 months. The patient then consented to laser biostimulation with a 1064nm neodymium:yttrium aluminum garnet (Nd:YAG) laser. A single laser biostimulation treatment resulted in an immediate and dramatic improvement of lip sensation. The patient's symptoms improved over the next 2½ years without further treatment."</t>
  </si>
  <si>
    <t>Nerves: Mental</t>
  </si>
  <si>
    <t>Behnia</t>
  </si>
  <si>
    <t>Efficacy of photobiomodulation following L-PRF application for recovery of mental nerve neurosensory disturbances caused by genioplasty: A randomized triple-blind clinical trial</t>
  </si>
  <si>
    <t>🧑 Human
🎲 Randomized trial, triple-blind, split-mouth
👥 20 participants
⌛ 1-month treatment / 2-month study</t>
  </si>
  <si>
    <t>0.5 cm2 spot size</t>
  </si>
  <si>
    <t>"Neurosensory recovery was significantly better in the intervention than the control group at all time points according to the two-point discrimination test (P = 0.0135) and brush test (P = 0.025) results. The interaction effect of time and intervention was not significant on any dependent variable (P &gt; 0.05). 
Application of L-PRF + PBM resulted in significantly greater sensorineural recovery according to the two-point discrimination and brush test results."</t>
  </si>
  <si>
    <t>Şen</t>
  </si>
  <si>
    <t>Craniomaxillofac Trauma Reconstr</t>
  </si>
  <si>
    <t>Effects of NGF and Photobiomodulation Therapy on Crush Nerve Injury and Fracture Healing: A Stereological and Histopathological Study in an Animal Model</t>
  </si>
  <si>
    <t>"According to the stereological results, the volume of the new vessel and the volume of the new bone were significantly higher in the PBMT group than in other groups (P &lt; .001). According to the histopathological examinations, higher myelinated axons were observed in experimental groups than in the control group."</t>
  </si>
  <si>
    <t>Yucesoy</t>
  </si>
  <si>
    <t>Comparison of Ozone and Photo-Biomodulation Therapies on Mental Nerve Injury in Rats.</t>
  </si>
  <si>
    <t>"A better healing pattern was observed in the treatment groups. The number of [Schwann cells] was markedly larger in the OT and PBM groups than in the control group."
"This study clearly suggests that OT and PBM are promising novel methods for the treatment of mental nerve injury."</t>
  </si>
  <si>
    <t>Effect of Laser Photobiomodulation with Gradual or Constant Doses in the Regeneration of Rats' Mental Nerve After Lesion by Compression.</t>
  </si>
  <si>
    <t>120
or
gradual
dose</t>
  </si>
  <si>
    <t>"PBMT presented positive effect on the regeneration of nerve starting at 14 days"</t>
  </si>
  <si>
    <t>Nerves: Tongue</t>
  </si>
  <si>
    <t>Mezawa</t>
  </si>
  <si>
    <t>The possible analgesic effect of soft-laser irradiation on heat nociceptors in the cat tongue.</t>
  </si>
  <si>
    <t>"These findings suggest that soft-laser irradiation might have an analgesic effect on tongue pain."</t>
  </si>
  <si>
    <t>Nerves: Trigeminal</t>
  </si>
  <si>
    <t>Mitochondrial Bioenergetic, Photobiomodulation and Trigeminal Branches Nerve Damage, What's the Connection? A Review</t>
  </si>
  <si>
    <t>"However, thanks to not-designed and observational studies, various authors have described the effectiveness of PBM for the treatment of IAN [53,54,55,56,57,58,59], lingual [53,59] and maxillary [53] nerves, injured by third molar and odontoma removal, osteotomy, dental implant placement and facial trauma. These results were supported by up to 2 years of follow-up [54,56,57,58].
Concerning the RCT studies, only one was assessed to have a low risk of bias. Taken together, the results support our previous statement that pointed out the necessity to support the research on PBM with more careful experimental set-ups and description [30,31]."</t>
  </si>
  <si>
    <t>Nerves (other)</t>
  </si>
  <si>
    <t>Wakabayashi</t>
  </si>
  <si>
    <t>Effect of irradiation by semiconductor laser on responses evoked in trigeminal caudal neurons by tooth pulp stimulation.</t>
  </si>
  <si>
    <t>"Laser irradiation suppressed the late discharges in the response of the caudal neurons which were evoked by excitatory inputs from C-fiber afferents, but did not suppress the early discharges evoked by inputs from A delta-fiber afferents."
"These results suggest that low power laser irradiation has a suppressive effect on injured tissue by blocking the depolarization of C-fiber afferents."</t>
  </si>
  <si>
    <t>Nerves (multiple)</t>
  </si>
  <si>
    <t>At-home laser treatment of oral neuronal disorders: Case reports</t>
  </si>
  <si>
    <t>🧑 Human
📄 Case series
👥 3 participants</t>
  </si>
  <si>
    <t>4.5
cm2
spot</t>
  </si>
  <si>
    <t>"Three different cases were treated with this “at-home approach”: complete resolution of symptomatology was obtained after laser treatment with a good compliance for the patient and without reporting any side effect."</t>
  </si>
  <si>
    <t>Effect of low level laser therapy (LLLT) on inferior alveolar, mental and lingual nerves after traumatic injury in 15 patients. A pilot study</t>
  </si>
  <si>
    <t>🧑 Human
📄 Single-arm study
👥 15 participants
⌛ 1-8 week treatment</t>
  </si>
  <si>
    <t>3/week
for
1-8 weeks</t>
  </si>
  <si>
    <t>"Considerable improvement of sensation was observed after the final treatment session. No side-effects were reported and patients have maintained the effective results for 2 years follow-up."</t>
  </si>
  <si>
    <t>Oral candidiasis</t>
  </si>
  <si>
    <t>Brazil
(Salvador)</t>
  </si>
  <si>
    <t>Might photobiomodulation therapy interfere with the frequency of severe mucositis and oral candidiasis? A retrospective analysis in patients with head and neck carcinoma</t>
  </si>
  <si>
    <t>🧑 Human
📄 Retrospective study
👥 74 patients</t>
  </si>
  <si>
    <t>"Considering the tumor in the oral cavity or the oropharynx and nasopharynx region might be an aggravating factor for oral mucositis (OM) manifestation, the present study aimed to evaluate whether the location of the tumor and the use of photobiomodulation therapy (PBMT) might affect the frequency of oral candidiasis (OC) during radiotherapy (RT) and/or chemotherapy (CT) treatments."
"OM and OC were not changed by PBMT, although it helped to reduce the incidence of severe cases of OM."</t>
  </si>
  <si>
    <t>Oral mucosa</t>
  </si>
  <si>
    <t>Severo</t>
  </si>
  <si>
    <t>Comparative study of royal jelly, propolis, and photobiomodulation therapies in 5-fluorouracil-related oral mucositis in rats</t>
  </si>
  <si>
    <t>PBM vs royal jelly vs propolis</t>
  </si>
  <si>
    <t>2.500</t>
  </si>
  <si>
    <t>"Our results showed that RJ and propolis, as well as PBMT, are effective in the treatment of OM.
Considering that some patients who develop OM do not have access to PBMT, the present study demonstrated that topical application of RJ and propolis may be an important alternative for the treatment of OM."</t>
  </si>
  <si>
    <t>Allameh</t>
  </si>
  <si>
    <t>Comparative Evaluation of the Efficacy of Laser Therapy and Fibroblastic Growth Factor Injection on Mucosal Wound Healing in Rat Experimental Model.</t>
  </si>
  <si>
    <t>Buccal wound
Mucosal wound</t>
  </si>
  <si>
    <t>"On day 5 there was not any significant difference between GF and control groups; however, the laser group showed clinically delayed wound coverage, compared to other groups (P&lt;0.05). On day 10, histological examination demonstrated marked vascular granulation tissue ( GT) in GF group. Collagen production was significantly prominent in laser group compared to GF treated samples (P=0.004). Inflammation of GT in GF and laser groups was significantly less than that in control samples (P=0.005 and P=0.001, respectively)."
Comment: I assume this should be interpreted as a negative result, since the wound coverage was delayed at day 5 in laser group.</t>
  </si>
  <si>
    <t>Ghalayani</t>
  </si>
  <si>
    <t>Assessment of the effect of diode laser therapy on incisional wound healing and expression of iNOS and eNOS on rat oral tissue.</t>
  </si>
  <si>
    <t>"Histological findings showed that diode laser needs several repeated irradiations for the acceleration of wound healing. The iNOS amount showed that increases are associated with better healing."</t>
  </si>
  <si>
    <t>Sezer</t>
  </si>
  <si>
    <t>Cytomorphological changes in buccal mucosa of patients treated with low-level 1,064-nm laser radiation.</t>
  </si>
  <si>
    <t>🧑 Human
📄 Non-randomized study, self-controlled
👥 17 participants
⌛ 10 days</t>
  </si>
  <si>
    <t>"None of the patients showed any adverse reactions to the low-level 1,064-nm laser radiation therapy during application. There was no cytogenetic damage to the therapied or non-therapied regions in the buccal mucosa cells, as determined cytomorphologically. The results suggest that low-level 1,064-nm laser radiation therapy has no genotoxic potential."</t>
  </si>
  <si>
    <t>Demir</t>
  </si>
  <si>
    <t>Evaluation of neodymium-doped yttrium aluminium garnet laser, scalpel incision wounds, and low-level laser therapy for wound healing in rabbit oral mucosa: a pilot study.</t>
  </si>
  <si>
    <t>30-60</t>
  </si>
  <si>
    <t>"LLLT used for soft tissue operations provides better and faster wound healing, and LLLT enhances epithelization."
Comment: The parameters are reported in a strange way...</t>
  </si>
  <si>
    <t>Sawasaki</t>
  </si>
  <si>
    <t>Effect of low-intensity laser therapy on mast cell degranulation in human oral mucosa.</t>
  </si>
  <si>
    <t xml:space="preserve">🧑 Human
🎲 Randomized trial (irradiation in situ -&gt; ex vivo follow-up)
👥 8 participants
⌛ </t>
  </si>
  <si>
    <t>8.0</t>
  </si>
  <si>
    <t>"LILT with the parameters used increased the number of degranulated mast cells in oral mucosa."</t>
  </si>
  <si>
    <t>Oral mucosa (in vitro)</t>
  </si>
  <si>
    <t>Laser phototherapy enhances mesenchymal stem cells survival in response to the dental adhesives.</t>
  </si>
  <si>
    <t>"LPT was able to improve the survival of MSCs to the cytotoxic effect of both adhesive systems when applied after polymerization. On the other hand, for fibroblasts and osteoblast-like cell lineages, LPT was not able to significantly offset the cytotoxic effects of substances released from dental adhesives."</t>
  </si>
  <si>
    <t>Oral mucosal disorders</t>
  </si>
  <si>
    <t>Santoso &amp; Sufiawati</t>
  </si>
  <si>
    <t>Indonesia
(Bandung)</t>
  </si>
  <si>
    <t>Int Med Case Rep J</t>
  </si>
  <si>
    <t>Effectiveness of Photobiomodulation in Reducing Pain of Oral Mucosal Diseases: A Case Series</t>
  </si>
  <si>
    <t>"Three cases showed ulceration of the oral mucosa and had been diagnosed with recurrent aphthous stomatitis, recalcitrant chronic ulcer, and non-specific chronic sialadenitis. One patient who complained of intense pain and swelling on the right side of the face was diagnosed with post-herpetic neuralgia (PHN)."
"The recorded VAS results show a reduction in pain that started at the post-laser time, with VAS before PBM ranging from 5 to 7 and after PBM ranging from 0 to 4. Three patients were given triamcinolone acetonide 0.1%, chlorhexidine gluconate 0.2% mouthwash, petroleum jelly, and multivitamins. One patient was given mefenamic acid and multivitamins."
"PBM can be a useful adjunctive treatment to relieve the pain of oral mucosal diseases due to its ability to reduce pain intensity."</t>
  </si>
  <si>
    <t>Altern Ther Health Med</t>
  </si>
  <si>
    <t>Low-level Laser Therapy: A Review of Its Applications in the Management of Oral Mucosal Disorders.</t>
  </si>
  <si>
    <t>"Very few controlled clinical studies with well-established therapeutic protocols have occurred, except for [oral mucositis], for which LLLT has been widely researched."</t>
  </si>
  <si>
    <t>Oral mucosal necrosis</t>
  </si>
  <si>
    <t>de Bataille</t>
  </si>
  <si>
    <t>France
(Toulouse)</t>
  </si>
  <si>
    <t>Management of radiation-induced mucosal necrosis with photobiomodulation therapy.</t>
  </si>
  <si>
    <t>2 per week for 6 weeks</t>
  </si>
  <si>
    <t>"Two weeks later, the patient observed a significant decrease of pain measured on visual analogic scale for pain and he divided his daily intake of analgesic by three (Tramadol 100 mg/day instead of 300 mg/day). After 3 weeks, an objective clinical improvement was observed (Fig.2). Complete healing was asserted after 6 weeks of PBM therapy (Fig.3) and analgesic was stopped. No additional symptomatic treatment was required."
"This therapy may be time-consuming but, as suggested by Epstein et al. [1], we consider that PBM therapy represents a promising therapeutic option for radiation-induced mucosal necrosis management, including for delayed lesions."</t>
  </si>
  <si>
    <t>Device: https://link.springer.com/article/10.1007%2Fs00520-017-3899-xHilaris® TL 150 Heltschl</t>
  </si>
  <si>
    <t>Photobiomodulation therapy: management of mucosal necrosis of the oropharynx in previously treated head and neck cancer patients.</t>
  </si>
  <si>
    <t>🧑 Human
📄 Case series
👥 3 cases
⌛ 3-6 week treatment</t>
  </si>
  <si>
    <t>LLLT intraoral
+
LED phototherapy extraorally 
LED cluster (69)</t>
  </si>
  <si>
    <t xml:space="preserve">660
(IO)
+
660&amp;
850
(EO)
</t>
  </si>
  <si>
    <t>75
1400</t>
  </si>
  <si>
    <t>0.03
0.05</t>
  </si>
  <si>
    <t>4.5
/point
84</t>
  </si>
  <si>
    <t>1.8
3</t>
  </si>
  <si>
    <t>60
/point
60</t>
  </si>
  <si>
    <t>2 per week
for
3-6 weeks</t>
  </si>
  <si>
    <t>"We report three cases of symptomatic persisting oral ulcerations where the addition of photobiomodulation therapy resulted in a rapid resolution of the oral lesions and in patient symptoms."</t>
  </si>
  <si>
    <t>Oral mucosal pain, chronic</t>
  </si>
  <si>
    <t>Petruzzi</t>
  </si>
  <si>
    <t>Polarized Polychromatic Noncoherent Light (Bioptron Light) as Adjunctive Treatment in Chronic Oral Mucosal Pain: A Pilot Study.</t>
  </si>
  <si>
    <t>🧑 Human
📄 Single-arm trial (+ historical control)
👥 22 participants (+ 22 controls)
⌛ 8 weeks</t>
  </si>
  <si>
    <t>Polychromatic light 🌈
Water-filtered Infrared-A (wIRA)
(Single-arm, but the study has a comparison to cohort group from medical records)</t>
  </si>
  <si>
    <t>2.4
/minute</t>
  </si>
  <si>
    <t>"In COMP patients, Bioptron use associated with pharmacological treatment allows a better and faster signs and symptoms reduction when compared with the exclusive pharmacological treatment."</t>
  </si>
  <si>
    <t>Oral mucosal ulcer</t>
  </si>
  <si>
    <t>Improved healing and macrophage polarization in oral ulcers treated with photobiomodulation (PBM)</t>
  </si>
  <si>
    <t>30
60
100</t>
  </si>
  <si>
    <t>"Histological examinations indicate that the PBM treatment stimulated a higher level of wound recovery after 8 days of treatment at 60 J absorbed energy compared to other treatment groups. Analyses of relative gene expression of proinflammatory, anti-inflammatory, and tissue remodeling cytokines indicate that the macrophages in the tissue samples were predominantly characterized as M2 subtypes (alternatively activated), which possibly accounts for the accelerated tissue repair in the animal model of oral ulcer."
"This preliminary study stands as a proof of concept regarding the potential use of infrared laser PBM treatment for oral ulcers which have not been previously investigated upon. PBM treatment affects macrophage polarization and enhances wound healing."</t>
  </si>
  <si>
    <t>Kumar S</t>
  </si>
  <si>
    <t>USA
(Mesa, AZ)</t>
  </si>
  <si>
    <t>Evid Based Dent</t>
  </si>
  <si>
    <t>Could the oral cavity be a target organ in SARS-CoV-2 infection?</t>
  </si>
  <si>
    <r>
      <rPr>
        <sz val="7.0"/>
      </rPr>
      <t xml:space="preserve">Commentary </t>
    </r>
    <r>
      <rPr>
        <i/>
        <sz val="7.0"/>
      </rPr>
      <t>on Brandão et al. 2021</t>
    </r>
  </si>
  <si>
    <t>Brandão</t>
  </si>
  <si>
    <t>Oral lesions in patients with SARS-CoV-2 infection: could the oral cavity be a target organ?</t>
  </si>
  <si>
    <t>🧑 Human
📄 Case series
👥 8 cases (not all treated with PBM)</t>
  </si>
  <si>
    <t>Transoral Low-Level Laser Therapy Via a Cylindrical Device to Treat Oral Ulcers in a Rodent Model.</t>
  </si>
  <si>
    <t>5
20
75</t>
  </si>
  <si>
    <t>"The mean size of the oral ulcers was significantly smaller in rats treated with an energy density of 20 J/cm2 than that of any other group (control group or energy densities of 5 or 75 J/cm2 ). The irradiation of oral ulcers with an energy density of 20 J/cm2 accelerated the oral mucosa wound healing process and decreased inflammation and granulation tissue, resulting in good reepithelization. However, the histologic outcomes of rats irradiated with energy densities of 5 or 75 J/cm2 were comparable with those of the control group."</t>
  </si>
  <si>
    <t>Magee</t>
  </si>
  <si>
    <t>Pediatr Blood Cancer</t>
  </si>
  <si>
    <t>Implementation of a light therapy team to administer photobiomodulation therapy: A standardized protocol to prevent and treat oral mucositis in the pediatric hematopoietic stem cell transplant population</t>
  </si>
  <si>
    <t>🧑 Human
📄 (?)</t>
  </si>
  <si>
    <t>"Patients undergoing allogeneic HSCT, or autologous HSCT for a neuroblastoma diagnosis, had PBM administered from the first day of conditioning to transplant Day +20. We successfully developed a standardized treatment protocol and workflow to ensure consistent and uniform delivery of PBM. In addition, clinical patient data were compared before and after PBM implementation."
"Mean days of OM decreased from 11.3 to 9 days; patients who received PBM were less likely (p &lt; .001) to be discharged on total parental nutrition (TPN) (11/62 = 18%) compared to baseline (50/82 = 61%)."
"PBM, as the standard of care in the pediatric HSCT population, is safe, feasible, and well-tolerated. At our center, a dedicated RN was critical to providing standardized treatment and ensuring sustainability."</t>
  </si>
  <si>
    <t>Comparison of a daily and alternate-day photobiomodulation protocol in the prevention of oral mucositis in patients undergoing radiochemotherapy for oral cancer: a triple-blind, controlled clinical trial</t>
  </si>
  <si>
    <t>🧑 Human (HNC)
⚔ Comparison study, randomized
👥 16 participants
⌛ 33-day study</t>
  </si>
  <si>
    <t>⚔ Groups
- PBM daily
- PBM every 3 days
Dose response</t>
  </si>
  <si>
    <t>"In the group with PBMT on alternate days, there was an increase in the frequency of grade 2 and grade 3 oral mucositis and an increased risk of grade 2 oral mucositis, in addition to higher mean pain scores and greater reduction in salivary flow."
"The daily PBMT protocol proved more effective in controlling the frequency and severity of OM, pain, and salivary flow."</t>
  </si>
  <si>
    <t>Elad</t>
  </si>
  <si>
    <t>International</t>
  </si>
  <si>
    <t>Immediate pain alleviation in oral mucositis and other oral ulcerative diseases through photobiomodulation therapy: the preemptive treatment concept</t>
  </si>
  <si>
    <t>"This literature review systematically compiles and evaluates the evidence about OM, alongside other oral ulcerative conditions, as the protocols that achieved pain relief for these oral conditions may have potential applicability to OM management. The scientific database used was PubMed."
"Whereas most of the randomized controlled trials about PBM therapy for OM and other ulcerative oral diseases reported delayed pain relief, certain PBM therapy protocols reported immediate pain relief. The results of this review highlight the concept of preemptive PBM therapy, in which PBM therapy is delivered early in the development of OM throughout the oncotherapy and may achieve immediate pain relief consistently in most of the patients and close to a negligible pain level. PBM therapy, as a powerful non-pharmacologic tool for immediate pain relief, has a great beneficial value in patients suffering from OM and other painful oral ulcerative diseases such as recurrent aphthous stomatitis and chronic graft-versus-host disease."</t>
  </si>
  <si>
    <t>Andriakopoulou</t>
  </si>
  <si>
    <t>Prevention and Treatment of Oral Mucositis in Pediatric Patients: Systematic Review and Meta-Analysis of Randomized Controlled Trials</t>
  </si>
  <si>
    <t>"Thirty-four randomized studies meeting the inclusion criteria were identified and five RCTs investigating the efficacy of Low Level Laser Therapy (LLLT) intervention or the agent honey were included in the meta-analysis."
"The meta-analysis of two RCTs indicated that topical application of honey on oral mucosa was effective in shortening the mean duration of hospital stay in children with severe OM (MD=-4.33, p=0.002). However, LLLT was not found to be effective for the prevention or treatment of OM grade ≥II (RR=0.99, p=0.99). Moreover, the therapeutic application of LLLT did not show significant benefit for lower risk of OM grade ≥II (RR=0.48, p=0.58)."</t>
  </si>
  <si>
    <t>Khalil</t>
  </si>
  <si>
    <t>Effect of Photobiomodulation on Salivary Cytokines in Head and Neck Cancer Patients with Oral Mucositis: A Systematic Review</t>
  </si>
  <si>
    <t>"Four studies were deemed eligible for inclusion. All the studies were conducted in Brazil and used an InGaAlP diode laser with a wavelength of 660 nm. The included studies had a relatively low risk of bias. The head and neck cancer patients' salivary cytokines that were assessed by the studies, along with photobiomodulation therapy, included IL-12p70, TNF-α, IL-6, IL-8, IL-10, CXCL8, and IL-1β. The results varied among the studies."</t>
  </si>
  <si>
    <t>Rupel</t>
  </si>
  <si>
    <t>Preventive versus curative photobiomodulation for oral mucositis in patients with multiple myeloma undergoing hematopoietic stem cell transplantation: which approach is more effective?</t>
  </si>
  <si>
    <t>🧑 Human
📄 Retrospective study
👥 24 patients</t>
  </si>
  <si>
    <t>"All patients developed OM. Preventive PBM was significantly more effective in reducing OM severity (p &lt; 0.0001) and pain (p &lt; 0.0001) post-HSCT than curative PBM. 
Furthermore, we found a lower number of patients reporting discomfort in all subjective parameters (pain during swallowing, chewing, and speaking) in the preventive PBM group. No adverse events related to PBM therapy were recorded in both groups."</t>
  </si>
  <si>
    <t>Pritchard</t>
  </si>
  <si>
    <t>J Pediatr Hematol Oncol Nurs</t>
  </si>
  <si>
    <t>Utilization of Photobiomodulation for the Prevention and Treatment of Oral Mucositis</t>
  </si>
  <si>
    <t>🧑 Human
📄 Observational study (??)
👥 40 patients</t>
  </si>
  <si>
    <t>"The rate of patients who received PBM and developed Grade 3 mucositis was 20% CI [0.091, 0.356]. Patients treated with PBM had fewer days of hospitalization (p = .009) and less severe mucositis in comparison to the matched control group (p = .03)."</t>
  </si>
  <si>
    <t>China
(Shaoxing)</t>
  </si>
  <si>
    <t>Head Neck</t>
  </si>
  <si>
    <t>Efficacy of photobiomodulation therapy in the management of oral mucositis in patients with head and neck cancer: A systematic review and meta-analysis of randomized controlled trials</t>
  </si>
  <si>
    <t>"The study included a total of 14 RCTs encompassing 869 patients with HNC. 
The incidence of OM in the PBMT group was significantly lower from the second week onwards compared to the control group (RR = 0.49, CI = 0.25-0.97, I2 = 71%, p = 0.04), and this was present until the seventh week (RR = 0.77, CI = 0.61-0.99, I2 = 89%, p = 0.04). 
Furthermore, the occurrence of severe mucositis in the PBMT group decreased from the third week (RR = 0.51, CI = 0.29-0.90, I2 = 12%, p = 0.02) until the conclusion of the intervention (RR = 0.45, CI = 0.24-0.85, I2 = 80%, p = 0.01). 
Additionally, PBMT showed beneficial effects in alleviating OM-related pain (WMD = -1.09, 95% CI = -1.38 to -0.880, I2 = 13%, p &lt; 0.00001). 
The use of He-Ne or InGaAlP lasers with a power range of 10-25 mW demonstrated the most favorable outcomes in preventing and treating OM. 
PBMT has shown considerable efficacy in reducing the incidence, severity, and pain associated with OM in patients with HNC. 
Future studies are encouraged to further investigate the most effective parameters for PBMT in the management of OM.</t>
  </si>
  <si>
    <t>Zadik &amp; Gavish</t>
  </si>
  <si>
    <t>Self-applied photobiomodulation device: the next generation in oral mucositis prevention and treatment</t>
  </si>
  <si>
    <t>"Home-use PBM devices, sold over-the-counter, are used for a variety of medical conditions that require frequent applications such as pain, wound healing, diabetic complications, and postprocedural side effects [18]. Currently, several manufacturers are developing at-home self-applied PBM laser devices specifically for OM prevention and treatment. These devices are designed to be used by patients in the comfort of their homes, eliminating the need for a healthcare provider, dedicated treatment room, or protective measures."</t>
  </si>
  <si>
    <t>da Cruz Santos</t>
  </si>
  <si>
    <t>Window therapeutic of extraoral photobiomodulation for prevention of oral mucositis in HSCT patients: additional arm</t>
  </si>
  <si>
    <r>
      <rPr>
        <sz val="7.0"/>
      </rPr>
      <t xml:space="preserve">🧑 Human
</t>
    </r>
    <r>
      <rPr>
        <i/>
        <sz val="7.0"/>
      </rPr>
      <t>(additional study arm after Ramos Pinto et al. 2021)</t>
    </r>
  </si>
  <si>
    <t>Extraoral</t>
  </si>
  <si>
    <t>"This 1W EOPBM protocol seemed to be as effective as IOPBM and 2W EOPBM in the prevention of OM in HSCT patients. In addition, we might assume that there is a window of application on EOPBM."</t>
  </si>
  <si>
    <t>Potrich</t>
  </si>
  <si>
    <t>Impact of photobiomodulation for prevention of oral mucositis on the quality of life of patients with head and neck cancer: a systematic review</t>
  </si>
  <si>
    <t>"Seven articles met the eligibility criteria. (...) Of the informed cases, most of the patients who received PBMT showed grades 1 and 2 OM, while the control group showed more individuals with severe forms of OM (grades 3 and 4). In this sense, patients submitted to PBMT reported better QoL at the end of the treatment compared with the control group. PBMT used for the management of OM preserves the QoL of patients with head and neck cancer."</t>
  </si>
  <si>
    <t>Non-thermal CO2 Laser Therapy (NTCLT): A Novel Photobiomodulative Approach for Immediate Pain Relief of Patchy Oral Mucositis Due to Chemotherapy of Solid Tumors</t>
  </si>
  <si>
    <t>🧑 Human
📄 Single-arm trial
👥 17 participants (35 patches of mucositis)
⌛ single treatment (?) / 7-day study</t>
  </si>
  <si>
    <t>"Immediately after NTCLT, the mean for non-contact VAS pain scores of the lesions significantly declined from 4.91±2.356 to 0.29±0.622 (P&lt;0.001) and the mean for contact VAS pain scores from 7.77±1.57 to 1.31±1.18 (P&lt;0.001). The mean VAS pain scores of the lesions showed statistically significant differences between the follow-up periods compared to the baseline (P&lt;0.001). The process was completely pain-free and required no anesthesia. After NTCLT, no kind of thermal adverse effects such as irritation, destruction, aggravation and even erythema were observed."</t>
  </si>
  <si>
    <t>Device: "Lancet-2, Russia"</t>
  </si>
  <si>
    <t>Nishi</t>
  </si>
  <si>
    <t>Efficacy of Low-Level Laser Therapy for Oral Mucositis in Hematologic Patients Undergoing Transplantation: A Single-Arm Prospective Study</t>
  </si>
  <si>
    <t>🧑 Human
📄 Single-arm trial
👥 21 participants (vs 96 historical controls)
⌛ 10-day treatment</t>
  </si>
  <si>
    <t>~600
/session</t>
  </si>
  <si>
    <t>"The LLLT group showed a significantly lower incidence of Grade ≥ 2 mucositis (23.8%) compared to the control group (64.6%) (p = 0.0006). Furthermore, Grade ≥ 2 mucositis correlated with increased oral dryness and longer hospital stays."</t>
  </si>
  <si>
    <t>Preconditioning with Photobiomodulation as an Effective Method in Preventing Chemotherapy-Induced Oral Mucositis: A Systematic Review</t>
  </si>
  <si>
    <t>"There were only six clinical trials examining the efficacy of PBM therapy in the primary prevention of chemotherapy-induced oral mucositis. All of the studies used lasers, except for one study that compared lasers with light-emitting diodes. The wavelength ranges from 630 to 830 nm. Irradiation parameters varied among the included studies. All studies showed good results for the use of PBM in the prevention of oral mucositis except for one study that found no benefit for the laser application."</t>
  </si>
  <si>
    <t>Yaroslavsky</t>
  </si>
  <si>
    <t>USA
(Lowell, MA)</t>
  </si>
  <si>
    <t>Monte Carlo based dosimetry of extraoral photobiomodulation for prevention of oral mucositis</t>
  </si>
  <si>
    <t>Monte Carlo modeling</t>
  </si>
  <si>
    <t>"Monte Carlo modeling was used to predict the distribution of 850 nm light for four treatment sites, using anatomical data obtained from MRI and optical properties from the literature. Simulated incident light power density was limited to 399 mW/cm2 to ensure treatment safety and to prevent tissue temperature increase. 
The results reveal that total tissue thickness determines fluence rate at the oral mucosa, whereas the thickness of individual tissue layers and melanin content are of minor importance. Due to anatomical differences, the fluence rate varied greatly among patients. Despite these variations, a universal protocol was established using a median treatment time methodology. The determined median treatment times required to deliver efficacious dose between 1 and 6 J/cm2 were within 15 min."</t>
  </si>
  <si>
    <t>Agbele</t>
  </si>
  <si>
    <t>Development and Application of Prototype System Based on Light-Emitting Diode Arrays (660 nm) with a Top Hat Beam Profile in Order to Optimize Photobiomodulation Protocols for Treatment of Radiation-Induced Oral Mucositis in Rats</t>
  </si>
  <si>
    <t>"Statistical analysis reveals that PBM irradiation at 12 J/cm2 (200 sec) with a flatness of 0.8 and a diameter of 3 cm substantially decreased the level of inflammatory cytokines compared with the positive control group."</t>
  </si>
  <si>
    <t>Heimlich</t>
  </si>
  <si>
    <t>Proposal of a prophylactic photobiomodulation protocol for chemotherapy-induced oral and oropharyngeal mucositis: a randomized clinical trial</t>
  </si>
  <si>
    <t>🧑 Human (adult)
⚔ Comparison study, randomized
👥 60 participants
⌛ 2-week treatment</t>
  </si>
  <si>
    <t>⚔ Groups:
- IO (intraoral)
- IO + oropharynx
- IO + orophar. + EO</t>
  </si>
  <si>
    <t>660
660+
638
660+
638+
808</t>
  </si>
  <si>
    <t>~10
/ 2 weeks (?)</t>
  </si>
  <si>
    <t>"The three proposed protocols were effective in preventing and reducing OM, with good tolerance and no reported adverse effects. PBMT is a safe and effective approach to OM prophylaxis in adults undergoing CT/HSCT."</t>
  </si>
  <si>
    <t>Efficacy of photobiomodulation in the treatment of oral mucositis in patients undergoing antineoplastic therapy: systematic review and meta-analysis</t>
  </si>
  <si>
    <t>"A total of 37 studies were chosen for full reading, of which 6 were included in the review, totaling 299 patients. 
The treatment used was photobiomodulation. The patients were divided into two groups: the laser group used only photobiomodulation or associated with other therapies, and the control group did not use photobiomodulation. 
For the endpoint reduction in the severity of oral mucositis (OM), the chance of reduction of the OM was greater in the laser group as compared to the control group. 
For the endpoints duration of OM lesions and pain reduction, it was not possible to carry out a meta-analysis due to the high heterogeneity between studies. 
In the interpretation of the meta-analysis, the reduction in the severity of oral mucositis was greater in the group that received photobiomodulation."</t>
  </si>
  <si>
    <t>Sánchez-Martos</t>
  </si>
  <si>
    <t>Therapeutic Outcomes of Photobiomodulation in Cancer Treatment-induced Oral Mucositis: A Systematic Review</t>
  </si>
  <si>
    <t>"From 296 records, 10 studies were included involving in the systematic review. Data from 759 patients who received chemoradiotherapy were analyzed."
"PBM reduced the incidence of more severe grade of OM induced by chemoradiotherapy. Also, PBM therapy reduced the mean duration of severe OM, mean pain scores and subsequently improved QoL."</t>
  </si>
  <si>
    <t>Management of Cancer Therapy-Induced Oral Mucositis Using Photobiomodulation Therapy: An Overview of Systematic Reviews</t>
  </si>
  <si>
    <t>📖 Review (overview of systematic reviews)</t>
  </si>
  <si>
    <t>"Five thousand eight hundred fifty-six references were found, and 16 were selected for this review. OM prevention and treatment were favorable for PBMT in most studies, with a significant reduction in OM severity. Most studies obtained moderate confidence."
"PBMT represents an effective strategy in the management of OM, and this evidence is supported by studies with acceptable methodological quality."</t>
  </si>
  <si>
    <t>Low-Level Laser Therapy for the Treatment of Oral Mucositis Induced by Hematopoietic Stem Cell Transplantation: A Systematic Review with Meta-Analysis</t>
  </si>
  <si>
    <t>"After the search phase, three articles were considered in the study. The overall effect showed differences in the degree of mucositis in the laser-treated patients compared with the placebo group. The meta-analysis shows a reduction in the degree of mucositis in the patients treated with laser therapy (std. mean difference -1.34 [-1.98; -0.98]; C.I. 95%)."
"The application of laser therapy results in decreased severity of oral mucositis from radiation and chemotherapy. Our study shows that the application of low-level laser therapy in the treatment of transplant mucositis has excellent efficacy in relieving the symptoms and severity of mucositis."</t>
  </si>
  <si>
    <t>Krc</t>
  </si>
  <si>
    <t>Adv Radiat Oncol</t>
  </si>
  <si>
    <t>Photobiomodulation During Chemoradiation for Head and Neck Cancer: Effect on Mucositis, Weight Loss, and Feeding Tube Dependence</t>
  </si>
  <si>
    <t>🧑 Human
📄 Retrospective study
👥 44 patients (22 PBM, 22 ctrl)</t>
  </si>
  <si>
    <t>0.16</t>
  </si>
  <si>
    <t>3.14
mm2
beam
area</t>
  </si>
  <si>
    <t>120
/point</t>
  </si>
  <si>
    <t>"Median maximal mucositis grades were 1 in the PBM group and 3 in the control group (P &lt; .0001). The adjusted odds of higher mucositis grade were only 0.024% (P &lt; .0001; 95% confidence interval, 0.004-0.135) in PBM compared with the control group."</t>
  </si>
  <si>
    <t>Device. Pointer Pulse
Anatomical location: "Clinically relevant treatment points were determined before starting RT at the discretion of the treating physician based on areas anticipated to receive the highest dose of RT."</t>
  </si>
  <si>
    <t>High-power laser photobiomodulation therapy for immediate pain relief of refractory oral mucositis</t>
  </si>
  <si>
    <t>🧑 Human
📄 Retrospective study
👥 25 patients</t>
  </si>
  <si>
    <t>"Patients reported an immediate decrease in pain following 94% (74 of 79) of the PBM sessions, in 61% (48 sessions) the pain reduction was over 50%, and in 35% (28 sessions) the initial pain was completely eliminated."
"The analgesic benefit of PBM remained for a mean of 6.0 ± 5.1 days."
"High-power laser PBM may provide nonpharmacologic, patient-friendly, long-lasting, rapid pain relief for refractory OM."</t>
  </si>
  <si>
    <t>Abdalla-Aslan</t>
  </si>
  <si>
    <t>Clinical use of photobiomodulation for the prevention and treatment of oral mucositis: the real-life experience of MASCC/ISOO members</t>
  </si>
  <si>
    <t>"Responses were received from 101 MSG members, with 78 providing analyzable data. Most of the responders were dental practitioners or oral medicine specialists. 
PBM was used by 59% of the responders for OM or targeted therapy stomatitis. 
Technical parameters varied widely. Most responders used wavelengths ∼650 nm intra-orally. The spot-size and distance from the tissue were the main factors driving the variation. 
All PBM users noted that PBM relieved pain, either immediately or a delayed effect. High likelihood of pain relief (measured as responder's report of pain relief in 67-100% of patients) was reported by 22% and 19% of PBM users for immediate pain relief and delayed pain relief, respectively. 
The most common reported barriers to using PBM were financial considerations, time constraints, lack of training or experience and concern about the potential for malignant transformation or increased risk of cancer recurrence."</t>
  </si>
  <si>
    <t>Cotomacio</t>
  </si>
  <si>
    <t>Red, infrared, and simultaneous laser-wavelengths irradiation effects on 5-Fluorouracil-induced oral mucositis in hamsters</t>
  </si>
  <si>
    <t>660
808
660+
808</t>
  </si>
  <si>
    <t>"In conclusion, in this study, the simultaneous protocol did not present superior results than the isolated irradiations."</t>
  </si>
  <si>
    <t>Hafner</t>
  </si>
  <si>
    <t>Photobiomodulation for Chemotherapy-Induced Oral Mucositis in Pediatric Patients</t>
  </si>
  <si>
    <t>"We identified a total of 15 clinical trials, with a total of 929 pediatric patients analyzed in this review."
"We compared different light sources and other laser technique characteristics used in clinical trials such as wavelength, energy and power density, spot size, irradiation time, PBM protocol, and OM evaluation."
"The main findings show inconsistent laser parameter quotations, differences in the PBM protocol along with a laser application technique, and a lack of clinical trials."
"Based on that, more studies with a high methodological quality should be conducted in order to provide a unified PBM protocol suitable for the pediatric population."</t>
  </si>
  <si>
    <t>Semin Oncol Nurs</t>
  </si>
  <si>
    <t>Effectiveness of Photobiomodulation and Oral Cryotherapy on Oral Mucositis Among Patients Undergoing Chemotherapy Conditioning Prior to Hematological Stem Cell Transplantation</t>
  </si>
  <si>
    <t>"Meta-analyses included 18 RCTs (involving 1,018 patients). 
Both photobiomodulation and cryotherapy were effective in reducing oral-mucositis severity, severe oral-mucositis incidence, duration, and pain with small to large effect sizes. No significant differences were detected between photobiomodulation and cryotherapy across all outcomes. Subgroup analyses showed significant differences for chemo-conditioning regimens. 
The overall Grading Recommendations, Assessment, Development and Evaluation [GRADE] quality of evidence was low."</t>
  </si>
  <si>
    <t>Ludovichetti</t>
  </si>
  <si>
    <t>Italy
(Padua)</t>
  </si>
  <si>
    <t>Evaluating high power laser therapy (HPLT) as treatment for chemotherapy-induced oral mucositis in paediatric patients with oncohematological diseases</t>
  </si>
  <si>
    <t>🧑 Human
📄 Single-arm trial
👥 12 participants
⌛ 4-day treatment / 1-week study</t>
  </si>
  <si>
    <t>"After a week into the treatment, 57% of patients were completely healed, whereas the whole cohort experienced a drastic decrease in pain, from an average value of 5.8-1.1 (p = .0016). The average number of injuries per patient decreased from 7.4 to 3.1 (p = .008)."</t>
  </si>
  <si>
    <t xml:space="preserve">📕
</t>
  </si>
  <si>
    <t>Colella</t>
  </si>
  <si>
    <t>Curr Oncol</t>
  </si>
  <si>
    <t>Interventions for the Prevention of Oral Mucositis in Patients Receiving Cancer Treatment: Evidence from Randomised Controlled Trials</t>
  </si>
  <si>
    <t>"Published high-level evidence shows that multiple preventative methods are potentially effective in the prevention of oral mucositis induced by radiotherapy, chemotherapy, or both. Anti-inflammatory medications (including benzydamine), growth factors and cytokines (including palifermin), cryotherapy, laser-and-light therapy, herbal medicines and supplements, and mucoprotective agents (including oral pilocarpine) showed some degree of efficacy in preventing/reducing the severity of mucositis with most anticancer treatments."</t>
  </si>
  <si>
    <t>Effects of Photobiomodulation on Oral Mucositis: Visualization and Analysis of Knowledge</t>
  </si>
  <si>
    <t>"This review article mapped and analyzed the most cited articles on the association of photobiomodulation (PBM) with oral mucositis (OM) and the evolution of clinical protocols in the area. 
A comprehensive search was performed on the Web of Science Core Collection (WoS-CC) database, leading to the extraction of information such as title, authors, abstract, journal name, number, average of citations, study design, year of publication, institutions, continents, countries, type of laser used, irradiated anatomical points, primary anti-cancer therapy, and laser parameters. Among those, clinical trials and literature reviews were the most common study designs. 
The main type of laser used was the InGaAlP diode, with a wavelength ranging from 630-660 nm, power going in 40-100 mW, and energy density ranging from 0.375-22 J/cm2. 
As for the anatomical sites irradiated by PBM, the cheek mucosa, upper and lower lips, lateral tongue, and bottom of the mouth stood out."</t>
  </si>
  <si>
    <t>Twenty-year analysis of photobiomodulation clinical studies for oral mucositis: a scoping review</t>
  </si>
  <si>
    <t>"Seventy-five studies met the inclusion criteria. The first study dated from 1992, and the term "PBM" was first published in 2017. Public services, placebo-controlled randomized trials, and patients with head and neck chemoradiation were predominant among included studies. 
Prophylactic red intraoral laser protocols were mostly used. Comparing the outcomes of all protocols was unfeasible due to missing treatment parameters and nonhomogeneous measurements."
"The main barrier to optimizing clinical protocols of PBM for OM was the lack of standardization in clinical studies. Although PBM use is now globally present in oncology settings and generally marked by good outcomes reported, additional randomized clinical trials with well-described methods are necessary."</t>
  </si>
  <si>
    <t>World J Otorhinolaryngol Head Neck Surg</t>
  </si>
  <si>
    <t>A phase Ⅱ prospective trial of photobiomodulation therapy in limiting oral mucositis in the treatment of locally advanced head and neck cancer patients</t>
  </si>
  <si>
    <t>🧑 Human
📄 Single-arm trial
👥 47 participants
⌛ single session</t>
  </si>
  <si>
    <t>0.245</t>
  </si>
  <si>
    <t>"Compared to historical outcomes, PBMT aides in decreasing severe OM in patients with locally advanced HNSCC. PBMT represents a minimally invasive, prophylactic intervention to decrease OM as a major treatment-related side effect."</t>
  </si>
  <si>
    <t>Nugent</t>
  </si>
  <si>
    <t>UK
(Sunderland &amp; other cities)</t>
  </si>
  <si>
    <t>Health Technol Assess</t>
  </si>
  <si>
    <t>Photobiomodulation in the management of oral mucositis for adult head and neck cancer patients receiving irradiation: the LiTEFORM RCT</t>
  </si>
  <si>
    <t>🧑 Human
🎲 Randomized trial, double-blind
🗺 Multicenter
👥 87 participants (-&gt; 83 completed)
⌛ during the RT</t>
  </si>
  <si>
    <t>3
20-30 points per session</t>
  </si>
  <si>
    <t>1.5
cm2
beam
area</t>
  </si>
  <si>
    <t>60
/point?</t>
  </si>
  <si>
    <t>3/week
during RT</t>
  </si>
  <si>
    <t>"The mean Oral Mucositis Weekly Questionnaire-Head and Neck Cancer score at 6 weeks was 33.2 (standard deviation 10) in the low-level laser therapy arm and 27.4 (standard deviation 13.8) in the sham arm."
Comment: The article is extremely extensive (like a book) with a lot of good discussions, survey data, analyses, etc...</t>
  </si>
  <si>
    <t>Oncotarget</t>
  </si>
  <si>
    <t>The chromatographic constitution of andiroba oil and his healing effects, compared to the LLLT outcomes, in oral mucositis induced in golden Syrian hamsters: a new treatment option</t>
  </si>
  <si>
    <t>PBM vs andiroba oil vs ctrl</t>
  </si>
  <si>
    <t>daily
for ~2 weeks</t>
  </si>
  <si>
    <t>"The "andiroba oil" and "laser" groups presented better results when compared to the control groups and the treatment associations."</t>
  </si>
  <si>
    <t>de Santana Cerqueira</t>
  </si>
  <si>
    <t>Expression and degranulation of mast cells in laser photobiomodulated mucositis chemo-induced: pilot study in hamsters</t>
  </si>
  <si>
    <t>"It can be concluded that photobiomodulation, at both wavelengths, decreased mast cell degranulation, accelerating the inflammatory process. The use of infrared laser provided, in addition to less degranulation, the quantitative reduction of mast cells."</t>
  </si>
  <si>
    <t>Sardo</t>
  </si>
  <si>
    <t>Does Photobiomodulation Affects CK10 and CK14 in Oral Mucositis Radioinduced Repair?</t>
  </si>
  <si>
    <t>"In this work, PBM was able to improve epithelial maturity of the repaired OM wound, especially in the 660 nm group."</t>
  </si>
  <si>
    <t>Heggie</t>
  </si>
  <si>
    <t>An exploration of the use of photobiomodulation for management of oral mucositis in children and young people undergoing cancer treatment in the UK</t>
  </si>
  <si>
    <t>"Photobiomodulation was only available in Scotland in two children's cancer units. Lack of knowledge and skills, and insufficient environmental resources were identified as barriers. Collaboration with paediatric dental services was identified as a facilitator. 
The establishment of a national network of Paediatric Dentists and Oncologists would promote collaboration to standardise protocols and to address the identified barriers to wider implementation of photobiomodulation."</t>
  </si>
  <si>
    <t>Nashwa</t>
  </si>
  <si>
    <t>Egypt
(Assuit)</t>
  </si>
  <si>
    <t>Braz Dent Sci</t>
  </si>
  <si>
    <t>Low level laser therapy versus benzydamin in prevention and treatment of oral mucositis induced by anticancer treatments (clinical and biochemical study)</t>
  </si>
  <si>
    <t>🧑 Human (HNC)
🎲 Randomized trial
👥 90 participants
⌛ 4-day treatment / 14-day study</t>
  </si>
  <si>
    <t>Groups: (1) oral care, (2) benzydamine hydrochloride mouth rinse, (3) PBM
PBM vs benzydamine</t>
  </si>
  <si>
    <t>0.55
cm2
spot
size</t>
  </si>
  <si>
    <t>3 per week
during RT</t>
  </si>
  <si>
    <t>"As per WHO and NIC, the grade of oral mucositis at the end of cancer treatment was less in the LLLT group than in the other two groups. The alteration in TNF-a level was not significant. The laser group is more liable to have less salivary levels of the pro-inflammatory cytokines TNF- a."</t>
  </si>
  <si>
    <t>Unesp</t>
  </si>
  <si>
    <t>Fiwek</t>
  </si>
  <si>
    <t>Poland
(Gdansk)</t>
  </si>
  <si>
    <t>Photobiomodulation Treatment in Chemotherapy-Induced Oral Mucositis in Young Haematological Patients-A Pilot Study</t>
  </si>
  <si>
    <t>🧑 Human (pediatric)
⚔ Comparison study, randomized
👥 23 patients
⌛ ~1 week</t>
  </si>
  <si>
    <t>⚔ Fixed or grade-adjusted dosing</t>
  </si>
  <si>
    <t>every 24-48h until healing
(avg = 4.5 sessions)</t>
  </si>
  <si>
    <t>"The 23 patients developed a total of 41 OM episodes with a mean duration of 7.61 days ± 4.70. Laser therapy showed a great reduction regarding pain and a better function of patients even with neutropenia."</t>
  </si>
  <si>
    <t>Stocker</t>
  </si>
  <si>
    <t>Photobiomodulation: a promising innovative approach for preventing oral mucositis in patients undergoing hematopoietic stem cell transplantation</t>
  </si>
  <si>
    <t>🧑 Human
📄 Retrospective study
👥 25 patients
⌛ 7 days (median)</t>
  </si>
  <si>
    <t>3
prevent
6
treat</t>
  </si>
  <si>
    <t>50
cm2
treatment
area</t>
  </si>
  <si>
    <t>"According to the NCI-CTCAE v5.0 scale, 76% (19 of 25) of patients presented grade 0 or 1 mucositis (no ulcers), five patients (20%) developed small ulcers (grade 2), and only one patient developed grade 4 mucositis. Satisfaction rates were high among patients and users."</t>
  </si>
  <si>
    <t>Device: CareMin650</t>
  </si>
  <si>
    <t>Biala M</t>
  </si>
  <si>
    <t>USA
(Pennsylvania)</t>
  </si>
  <si>
    <t>Clin J Oncol Nurs</t>
  </si>
  <si>
    <t>Low-Level Laser Therapy: A Literature Review of the Prevention and Reduction of Oral Mucositis in Patients Undergoing Stem Cell Transplantation</t>
  </si>
  <si>
    <t>"This study reviews evidence on the effectiveness of LLLT using diode lasers on the prevention and reduction in severity of OM in patients with cancer undergoing HSCT."
"A literature search was performed in PubMed®, CINAHL®, Scopus®, and MEDLINE® databases. Six randomized controlled trials and one cohort study met the inclusion criteria."
"The data demonstrate promising outcomes for reducing the incidence and severity of OM using LLLT. Larger, tightly controlled clinical trials are needed in the future."</t>
  </si>
  <si>
    <t>Andrade</t>
  </si>
  <si>
    <t>Comparative randomized trial study about the efficacy of photobiomodulation and curcumin antimicrobial photodynamic therapy as a coadjuvant treatment of oral mucositis in oncologic patients: antimicrobial, analgesic, and degree alteration effect</t>
  </si>
  <si>
    <t>🧑 Human
⚔ Comparison study, randomized
👥 30 participants
⌛ (?) / 30-day study</t>
  </si>
  <si>
    <t>⚔ Nystatin vs PBM vs aPDT</t>
  </si>
  <si>
    <t>"A reduction in the degree of mucositis and pain score was observed in the PBM and aPDT groups, with the aPDT group standing out when presenting early clinical improvement in relation to the PBM group and the control group, thus emphasizing its effectiveness within the desired aspects. Regarding the antimicrobial effect, aPDT showed a greater reduction of yeasts of the genus Candida in the tested parameters."</t>
  </si>
  <si>
    <t>Jabłoński</t>
  </si>
  <si>
    <t>Poland
(Klobuck)</t>
  </si>
  <si>
    <t>Photobiomodulation Therapy in the Treatment of Oral Mucositis-A Case Report</t>
  </si>
  <si>
    <t>7
/ 3 weeks</t>
  </si>
  <si>
    <t>"Within 21 days of monotherapy, all ailments disappeared. The patient was also able to reuse dental dentures and return to a solid diet. The obtained results confirm the efficiency of at least 3 PBM protocols. Our case shows that the use of PMB therapy contributes to faster healing of painful oral lesions in oncological patients, and thus the treatment time and return to the appropriate quality of life is shorter."</t>
  </si>
  <si>
    <t xml:space="preserve">Device: a diode laser 635 nm (SmartMPro, Lasotronix, Poland) </t>
  </si>
  <si>
    <t>Kuhn-Dall'Magro</t>
  </si>
  <si>
    <t>Low-level Laser Therapy in the Management of Oral Mucositis Induced by Radiotherapy: A Randomized Double-blind Clinical Trial</t>
  </si>
  <si>
    <t>🧑 Human
⚔ Comparison study, randomized, double-blind
👥 80 participants
⌛ 42 days (?)</t>
  </si>
  <si>
    <t>⚔ 660 vs 810 vs both
Wavelength comparison
Wavelength combination</t>
  </si>
  <si>
    <t>660
810
660+
810</t>
  </si>
  <si>
    <t>"Different OM scores were noted for the groups studied, and the third group had lower scores than Groups I and II (p = 0.012). No difference was noted in the pain score analyzing the groups (p = 0.49)."</t>
  </si>
  <si>
    <t>Reyad</t>
  </si>
  <si>
    <t>Photobiomodulation for chemotherapy-induced oral mucositis in leukemic children: A randomized controlled clinical trial</t>
  </si>
  <si>
    <t>🧑 Human
🎲 Randomized trial
👥 44 participants
⌛ 4-day treatment / 14-day study</t>
  </si>
  <si>
    <t>"A significant reduction of pain was recorded on day 10 in the test group compared to the control group (p &lt;0.001). There was also a significant decline in the OM grades between the two groups on day14 (p = 0.003). No adverse events were reported."</t>
  </si>
  <si>
    <t>Lee &amp; Galloway</t>
  </si>
  <si>
    <t>Curr Treat Options Oncol</t>
  </si>
  <si>
    <t>Pathogenesis and Amelioration of Radiation-Induced Oral Mucositis</t>
  </si>
  <si>
    <t>"Photobiomodulation (PBM), also known as low-level laser therapy, utilizes light sources calibrated to visible red and near infrared wavelengths (600–700 nm) and low energy (1 J/cm2). 
The anti-inflammatory mechanism is secondary to activation of endogenous chromophores and downregulation of COX-2 signaling. It also decreases levels of profibrotic TGF-β [48, 49]. 
Studies evaluating PBM are heterogeneous due to differences in irradiance parameters of light sources used and their methods of application but in general demonstrate significant decreases in OM [50•, 51,52,53]. Intra-oral PBM is recommended by the MASCC for prevention of OM secondary to RT and CRT. "</t>
  </si>
  <si>
    <t>Walinski</t>
  </si>
  <si>
    <t>Review of oral mucositis treatment guidelines with an emphasis on laser therapy</t>
  </si>
  <si>
    <t>"This article summarizes the findings of systematic reviews conducted by the Multinational Association of Supportive Care in Cancer and the International Society of Oral Oncology on interventions to prevent and treat oral mucositis arising from radiotherapy and chemotherapy. A case of oral mucositis treated with lasers is presented to illustrate a promising new treatment. "</t>
  </si>
  <si>
    <t>Most used photobiomodulation dosimetry parameters to treat oral mucositis after preconditioning for hematopoietic stem cell transplantation: systematic review and meta-analysis</t>
  </si>
  <si>
    <t>"Nine [studies] met the eligibility criteria for qualitative assessment and 7 for meta-analysis. The studies involved 396 patients submitted to preconditioning for HSCT, 211 with PBMT and 185 without PBMT in the OM management. The WHO scale was the most used to assess OM degree.
The most used parameters were 660-nm wavelength, 40-mw power, 0.16-J energy, 1-W/cm2 power density, 4-J/cm2 energy density, and 0.04-cm2 spot size.
The meta-analysis demonstrated that PBMT decreased the severity of OM, with a protection factor 20% higher than the control group (without PBMT), and when the parameters are similar to the DP mentioned, the protection factor increases to 94%."</t>
  </si>
  <si>
    <t>Turkey
(Van)</t>
  </si>
  <si>
    <t>J Pediatr Hematol Oncol</t>
  </si>
  <si>
    <t>Is Low-level Laser Therapy a Candidate to Be a Good Alternative in the Treatment of Mucositis in Childhood Leukemia?</t>
  </si>
  <si>
    <t>🧑 Human
🎲 Randomized trial
👥 40 participants
⌛ 3-day treatment / 11-day study</t>
  </si>
  <si>
    <t>PBM vs bicarbonate treatment</t>
  </si>
  <si>
    <t>"While there was no significant difference between the groups in terms of OM grade at the beginning of the treatment and on the first, second, fourth, and 11th days of the treatment, the average OM grade of the LLLT group was found to be statistically significantly lower on the third, fifth, sixth, and seventh days of the treatment.
The Visual Analog Scale score of the LLLT group was statistically significantly lower compared with the control group at all examinations starting from the first day of treatment (P&lt;0.05)."</t>
  </si>
  <si>
    <t>New photobiomodulation device for prevention and cure of radiotherapy-induced oral mucositis and dermatitis: results of the prospective Safe PBM study</t>
  </si>
  <si>
    <t>🧑 Human
📄 Single-arm trial
🗺 Multicenter
👥 72 participants
⌛ varying... 2-6 weeks per patient?</t>
  </si>
  <si>
    <t>LED phototherapy (flexible)</t>
  </si>
  <si>
    <t>0.021-
0.028</t>
  </si>
  <si>
    <t>3
(prophy)
6
(treat)</t>
  </si>
  <si>
    <t>~4 sessions per week
for avg of 8-29 sessions in different cohorts</t>
  </si>
  <si>
    <t>"CareMin650 is feasible, safe, and well tolerated for preventive or curative treatment of OM and RD in cancer patients treated with RT. Preliminary efficacy results are promising."</t>
  </si>
  <si>
    <t>Wound healing process with different photobiomodulation therapy protocols to treat 5-FU-induced oral mucositis in hamsters</t>
  </si>
  <si>
    <t>0.24
(1p)
1
(1p)
1.2
(5p)</t>
  </si>
  <si>
    <t>3-6
(?)</t>
  </si>
  <si>
    <t>"Group ChLI (less energy), showed the most accelerated repair rates and a lower concentration of inflammatory biomarkers than group Ch. Comparing the three PBMT protocols for treatment of 5-FU-induced oral mucositis in hamsters, the one with low energy (0.24 J) showed better results, regarding reduction of inflammatory biomarkers and tissue repair, than the ones with higher energy (1 and 1.2 J)."</t>
  </si>
  <si>
    <t>da Silva &amp; Pinheiro</t>
  </si>
  <si>
    <t>Clinical Evaluation of Intravascular Blood Irradiation with Laser, Photobiomodulation, and Photodynamic Therapy in Cancer Patients with Mucositis</t>
  </si>
  <si>
    <t>🧑 Human
⚔ Comparison study
👥 36 participants
⌛ 5 weeks</t>
  </si>
  <si>
    <t>⚔ PDT+PBM vs PDT+PBM+ILIB vs ILIB
Intravascular PBM (=ILIB)</t>
  </si>
  <si>
    <t>660
(PBM)
468
(PDT)</t>
  </si>
  <si>
    <t>"It was concluded that ILIB, PDT, and PBM-T reduced the severity of mucositis and prevented its onset."</t>
  </si>
  <si>
    <t>Extraoral photobiomodulation for prevention of oral and oropharyngeal mucositis in head and neck cancer patients: interim analysis of a randomized, double-blind, clinical trial</t>
  </si>
  <si>
    <t>🧑 Human
🎲 Randomized trial, double-blind
👥 55 participants
⌛ ~6 weeks (mean)</t>
  </si>
  <si>
    <t>Extraoral
LED phototherapy (34 red diodes, 35 near-infrared dioeds)</t>
  </si>
  <si>
    <t>340+
1050</t>
  </si>
  <si>
    <t>300
(5 sites)</t>
  </si>
  <si>
    <t>5 per week during RT
= 32 sessions (mean)</t>
  </si>
  <si>
    <t>"Prophylactic extraoral PBM can delay OM onset, reduce pain, and reduce analgesic and anti-inflammatory prescription requirements. Extraoral PBM was associated with better QoL. There was no evidence of PBM impact on oncological outcomes."
Comment: No effect on QoL, and quite limited effect on pain score and WHO grade.</t>
  </si>
  <si>
    <t>De Menezes</t>
  </si>
  <si>
    <t>Asian Pac J Cancer Prev</t>
  </si>
  <si>
    <t>Laser Therapy as a Preventive Approach for Oral Mucositis in Cancer Patients Undergoing Chemotherapy: The Potential Role of Superoxide Dismutase</t>
  </si>
  <si>
    <t>🧑 Human
📄 Retrospective study
👥 287 patients  (204 treatment, 83 ctrl)
⌛ (?)</t>
  </si>
  <si>
    <t>"All individuals who underwent LLLT protocol did not show a significant reduction of SOD activity after the last chemotherapy cycle."
Comment: PBM could sustain serum SOD levels in patients in risk of oral mucositis.</t>
  </si>
  <si>
    <t>Adnan</t>
  </si>
  <si>
    <t>United States
(Lowell, MA)</t>
  </si>
  <si>
    <t>The Path to an Evidence-Based Treatment Protocol for Extraoral Photobiomodulation Therapy for the Prevention of Oral Mucositis</t>
  </si>
  <si>
    <t>"Oral mucositis is a painful complication of hematopoietic stem cell transplantation for which photobiomodulation therapy (PBMT) is a safe and effective intervention.
Extraoral delivery of PBMT has clinical advantages over intraoral delivery but requires additional dosimetric considerations due to the external tissue layers through which the light must propagate before reaching the oral mucosa. Additionally, to date there has been no dose modeling study, a task essential to developing a justified treatment protocol.
We review here some of the complexities surrounding extraoral photobiomodulation therapy and offer that may help guide researchers toward an evidence-based treatment protocol for the prevention of oral mucositis."</t>
  </si>
  <si>
    <t>Med Lasers</t>
  </si>
  <si>
    <t>Decade Long Survey of Low-level Laser Therapy/Photobiomodulation (LLLT/PBM) Therapy for Oral Mucositis Treatment</t>
  </si>
  <si>
    <t>"This review appraises 6 animal studies and 12 clinical studies published in the Pubmed database during the past 10 years, related to the application of LLLT for the treatment of mucositis. Despite varied parameters and diverse conditions, the assessed articles indicate that application of LLLT on oral mucositis using near-infrared wavelengths is prophylactic, reduces pain, and enables a rapid recovery. Various combined treatments were also identified among the published papers, which further establishes the efficacy of LLLT as a viable treatment."</t>
  </si>
  <si>
    <t>Korean Society for Laser Medicine and Surgery</t>
  </si>
  <si>
    <t>Treatment Parameters of Photobiomodulation in the Prevention of Non-surgical Cancer Treatment-Induced Oral Mucositis: A Review of Preclinical Studies</t>
  </si>
  <si>
    <t>"In total, 51 articles were recognized during the search of the literature, and only 16 research papers were included in this review, taking into consideration the inclusion as well as exclusion benchmarks. 
The reviewed studies showed that a consensus has yet to be reached on the optimal PBM treatment parameters in preventing NSCT-induced OM. 
However, a wavelength of 660 nm, a power density of 40 mW as well as fluence which ranged between 2 and 6 J/cm2 were mostly utilized in the included studies. 
Furthermore, the severity of NSCT-induced OM was reduced following PBM application with no reported severe side effects."</t>
  </si>
  <si>
    <t>Miranda-Silva</t>
  </si>
  <si>
    <t>Oral mucositis in paediatric cancer patients undergoing allogeneic hematopoietic stem cell transplantation preventively treated with professional dental care and photobiomodulation: Incidence and risk factors</t>
  </si>
  <si>
    <t>🧑 Human
📄 Retrospective study
👥 49 patients
⌛ (?)</t>
  </si>
  <si>
    <t>"Aim: To investigate the clinical features and clinical outcomes associated with OM development and severity in hematological cancer paediatric patients undergoing allo-HSCT who underwent professional dental care (PDC) and photobiomodulation (PBM) as prophylactic treatment."
"A myeloablative conditioning and a high BMI were observed to be independent prognostic determinants of a lower OMFS rate."</t>
  </si>
  <si>
    <t>Redman</t>
  </si>
  <si>
    <t>UK
(Sheffield)</t>
  </si>
  <si>
    <t>Arch Dis Child</t>
  </si>
  <si>
    <t>Low-level laser therapy for oral mucositis in children with cancer</t>
  </si>
  <si>
    <t>"14 studies (n&gt;416 children) were included in the narrative synthesis of LLLT efficacy. 5 studies (n=380 children and young people) were included in the meta-analyses. Results demonstrate that LLLT may reduce the severity of oral mucositis and the level of oral pain, but further randomised controlled trials are needed to confirm or deny this."
"Insufficient blinding between LLLT or sham therapy/control led to a strong risk of performance bias. 75 studies (encompassing 2712 patients of all ages who had undergone LLLT) demonstrated minor and infrequent adverse reactions, but most studies had significant areas of weakness in quality."</t>
  </si>
  <si>
    <t>Patel</t>
  </si>
  <si>
    <t>Eur J Cancer</t>
  </si>
  <si>
    <t>Clinical practice guideline for the prevention of oral and oropharyngeal mucositis in pediatric cancer and hematopoietic stem cell transplant patients: 2021 update</t>
  </si>
  <si>
    <t>Guideline</t>
  </si>
  <si>
    <t>"We included 107 unique studies of cryotherapy (22 RCTs and 4 pediatric studies); KGF (15 RCTs and 12 pediatric studies); photobiomodulation therapy (29 RCTs and 8 pediatric studies) and any intervention (31 pediatric RCTs). Effects on severe mucositis reduction from RCTs were cryotherapy risk ratio (RR) 0.49 and 95% confidence interval (CI) 0.31-0.76; palifermin RR 0.81 and 95% CI 0.69-0.95 and photobiomodulation therapy RR 0.40 and 95% CI 0.27-0.60. Cryotherapy was not feasible in young children while photobiomodulation therapy was feasible across age groups. Palifermin was associated with adverse effects."
"Intraoral photobiomodulation therapy (620-750 nm spectrum) should be used in pediatric patients undergoing autologous or allogeneic HSCT and for pediatric head and neck carcinoma patients undergoing radiotherapy."</t>
  </si>
  <si>
    <t>Al-Rudayni</t>
  </si>
  <si>
    <t>Efficacy of Photobiomodulation in the Treatment of Cancer Chemotherapy-Induced Oral Mucositis: A Meta-Analysis with Trial Sequential Analysis</t>
  </si>
  <si>
    <t>"A total of 6 randomized controlled trials with 398 participants were included in our analysis. Photobiomodulation significantly reduced the severity of oral mucositis when compared to sham radiation (RR 0.43, 95% CI 0.20 to 0.93; p &lt; 0.05). Sensitivity analysis by excluding trials with high risk of bias reiterated the robustness of our results (RR 0.28, 95% CI 0.16 to 0.48). Trial sequential analysis illustrated that the evidence from the meta-analysis was conclusive."
"The result of the meta-analyses with trial sequential analysis illustrated that Photobiomodulation is an effective therapeutic intervention for the treatment of oral mucositis, and the evidence gathered can be considered conclusive with a moderate level of certainty according to GRADE."</t>
  </si>
  <si>
    <t>France
(St Priest en Jarez)</t>
  </si>
  <si>
    <t>Mechanisms of PhotoBioModulation (PBM) focused on oral mucositis prevention and treatment: a scoping review</t>
  </si>
  <si>
    <t>📖 Scoping review</t>
  </si>
  <si>
    <t>"PBM interactions with the tissue and additional mechanism in OM therapy were detailed in this review. Moreover, this review highlighted a controversy about the carcinogenic effect of PBM. Indeed, Many studies reported that PBM could enhance malignant cell proliferation; suggesting that PBM would have no protective effect. In addition to acting on cancer cells, PBM may damage healthy cells."
"More prospective studies are needed to assess the effect of PBM on cancer cells in order to improve its use for OM prevention and treatment."</t>
  </si>
  <si>
    <t>Ramos-Pinto</t>
  </si>
  <si>
    <t>Intraoral versus extraoral photobiomodulation therapy in the prevention of oral mucositis in HSCT patients: a randomized, single-blind, controlled clinical trial</t>
  </si>
  <si>
    <t>🧑 Human
⚔ Comparison study, randomized
👥 60 participants
⌛ (see full text)</t>
  </si>
  <si>
    <t>⚔ Intraoral vs extraoral PBM</t>
  </si>
  <si>
    <t>660
(IO)
810+
980
(EO)</t>
  </si>
  <si>
    <t>100
2000</t>
  </si>
  <si>
    <t>0.03
cm2
4.91
cm2
spot
size</t>
  </si>
  <si>
    <t>340
60</t>
  </si>
  <si>
    <t>see
full
text</t>
  </si>
  <si>
    <t>"EOPBM protocol was as effective as IOPBM in the management of OM in HSCT patients, with the advantage of  [4-fold] shorter treatment sessions."</t>
  </si>
  <si>
    <t>J Ethnopharmacol</t>
  </si>
  <si>
    <t>Therapeutic effects of andiroba (Carapa guianensis Aubl) oil, compared to low power laser, on oral mucositis in children underwent chemotherapy: A clinical study</t>
  </si>
  <si>
    <t>🧑 Human
⚔ Comparison study
👥 60 participants
⌛ 11 days</t>
  </si>
  <si>
    <t>⚔ PBM vs andiroba oil</t>
  </si>
  <si>
    <t>0.2
(??)</t>
  </si>
  <si>
    <t>10
/lesion</t>
  </si>
  <si>
    <t>daily
(for 11 days?)</t>
  </si>
  <si>
    <t>"A statistically significant reduction in the degree of OM was observed on the fourth, fifth, and sixth days and in the pain scores on the second, third, and fourth days in the andiroba group after the manifestation of OM, compared to the laser group."
Comment: No negative control group. Laser group also showed reduction in symptoms.</t>
  </si>
  <si>
    <t>Guimaraes</t>
  </si>
  <si>
    <t>Low-level laser or LED photobiomodulation on oral mucositis in pediatric patients under high doses of methotrexate: prospective, randomized, controlled trial</t>
  </si>
  <si>
    <t>🧑 Human
⚔ Comparison study, randomized
👥 80 participants
⌛ daily treatment during the ~1-3 week hospitalization (?)</t>
  </si>
  <si>
    <t>LLLT vs LED
LED phototherapy</t>
  </si>
  <si>
    <t>660
(laser)
660
(LED)</t>
  </si>
  <si>
    <t>100
5</t>
  </si>
  <si>
    <t>3.6
3.6
per
area</t>
  </si>
  <si>
    <t>2
2</t>
  </si>
  <si>
    <t>0.03
cm2
0.785
cm2
beam
area</t>
  </si>
  <si>
    <t>36
120
per
area</t>
  </si>
  <si>
    <t>"The incidence of oral mucositis was similar to LLLT and LEDT, 10% and 12.5%, respectively. Both groups required the same number of days to reach score of zero for mucositis and pain (p &gt; 0. 05), and there was no significant difference in mean VAS between the groups."
"These findings suggest that LEDT has similar effects to LLLT to avoid and treat oral mucositis."</t>
  </si>
  <si>
    <t>Bezinelli</t>
  </si>
  <si>
    <t>Long-term safety of photobiomodulation therapy for oral mucositis in hematopoietic cell transplantation patients: a 15-year retrospective study</t>
  </si>
  <si>
    <t xml:space="preserve">🧑 Human
📄 Retrospective study
👥 693 patients
</t>
  </si>
  <si>
    <t>"In conclusion, the PBMT protocols used in the study were considered safe. The low frequency of severe OM observed encourages the implementation of this technique, with a special emphasis on the dosimetry adjustments focused on the HCT context."
Comment: See full text for parameters</t>
  </si>
  <si>
    <t>da Costa</t>
  </si>
  <si>
    <t>Adherence of head and neck cancer patients to laser photobiomodulation in a public health service: Pilot study</t>
  </si>
  <si>
    <t>🧑 Human
📄 Observational study
👥 30 patients
⌛ (?)</t>
  </si>
  <si>
    <t>3/week
for 3+ weeks</t>
  </si>
  <si>
    <t>"There was moderate adherence of patients with head and neck cancer to the laser photobiomodulation protocol and the development of more severe degrees of OM was related to individuals that didn't attend scheduled sessions."</t>
  </si>
  <si>
    <t xml:space="preserve">Crit Rev Oncol Hematol
</t>
  </si>
  <si>
    <t>Effectiveness of low level laser therapy versus cryotherapy in cancer patients with oral mucositis: Systematic review and network meta-analysis</t>
  </si>
  <si>
    <t>"Twenty-six randomized controlled trials with a total enrollment of 1830 cancer patients with OM were included."
"Compared with no intervention, the treatment effects of combined cryotherapy and LLLT, laser alone, and cryotherapy alone are beneficial for the reduction of severe OM. There is no difference in treatment effects among cryotherapy and/or LLLT intervention in cancer patients with moderate OM. Results of this study provide an implicative basis for LLLT and cryotherapy as viable interventions that can significantly improve severe OM."</t>
  </si>
  <si>
    <t>MASCC/ISOO clinical practice guidelines for the management of mucositis: sub-analysis of current interventions for the management of oral mucositis in pediatric cancer patients</t>
  </si>
  <si>
    <t>Pediatric cancer patients</t>
  </si>
  <si>
    <t>"There is limited or conflicting evidence about interventions for the management of OM in pediatric cancer patients, except for chewing gum which was ineffective for prevention. Therefore, currently, data from adult studies may need to be extrapolated for the management of pediatric patients. Honey and photobiomodulation therapy in this patient population had encouraging potential. Implementation of a basic oral care protocol is advised amid lack of high level of evidence studies."
"The PBM studies had conflicting results and, due to the diverse PBM protocols, it is impossible to conclude about a preferred PBM setting."</t>
  </si>
  <si>
    <t>Phototherapy With LED as an Effective Treatment for Chemotherapy-Induced Oral Mucositis in Hamsters</t>
  </si>
  <si>
    <t>"After statistical analysis, group L showed less severity of OM when compared with the C group (P &lt;0.05); beyond that, both healed completely on day 10."
"Our results suggested that the phototherapy with LED had a positive effect on accelerating repair, reducing the severity of CIOM."</t>
  </si>
  <si>
    <t>Photobiomodulation reduces the impact of radiotherapy on oral health-related quality of life due to mucositis-related symptoms in head and neck cancer patients</t>
  </si>
  <si>
    <t>🧑 Human
🎲 Randomized trial
👥 48 participants
⌛ 6 weeks (??)</t>
  </si>
  <si>
    <t>15.25</t>
  </si>
  <si>
    <t>2.44
cm2
area</t>
  </si>
  <si>
    <t>5 / week
during
the complete RT protocol
(30 RT sessions?)</t>
  </si>
  <si>
    <t>"PBMT was effective in preventing and treating severe OM. Both groups showed increased OHRQoL impacts throughout the RT sessions; however, higher impacts were observed in the control group, mainly at the final stage of treatment (21st and 30th RT sessions). Significant correlations were found between the severity of OM and PROMS scores in the total sample and the control group at all RT periods."
"PBMT was effective in treating and preventing severe OM and OM-related symptoms, and with consequent positive impacts in OHRQoL in head and neck patients undergoing RT. The PROMS scale was helpful instrument for assessment of the severity of OM."</t>
  </si>
  <si>
    <t>The Effect of Photobiomodulation on Nitrite and Inflammatory Activity in Radiotherapy-Induced Oral Mucositis: A Randomized Clinical Trial</t>
  </si>
  <si>
    <t>🧑 Human
🎲 Randomized trial, double-blind
👥 48 participants
⌛ 6 weeks (??)</t>
  </si>
  <si>
    <t>5 / week
during
RT period
(30 RT sessions?)</t>
  </si>
  <si>
    <t>"Patients in the PBMT group presented less severe OM. PBMT tended to stabilize nitrite concentration levels during the RT regimen. The IL-1β concentration was associated with higher OM scores. PBMT promoted an increase in IL-12p70, TNF-α, and IL-10 concentration."</t>
  </si>
  <si>
    <t>Photobiomodulation in oral mucositis in patients with head and neck cancer: a systematic review and meta-analysis followed by a cost-effectiveness analysis</t>
  </si>
  <si>
    <t>"Only 13 studies were included in the systematic review, and 6 studies in the meta-analysis."
"The results of the systematic review and meta-analysis show that the laser therapy presented good results in clinical improvement and pain reduction, decreasing the patients' likelihood of developing OM, with degrees of debilitating lesions, to 64% (RR = 0.36 [95% CI = 0.29-0.44]). 
The cost-effectiveness analysis revealed an incremental cost of R$ 3687.53 for the laser group, with an incremental effectiveness of 132.2. The incremental cost-effectiveness ratio (ICER) was 27.89, for the severe OM cases that were avoided."
"It was concluded, therefore, that photobiomodulation for OM in patients receiving head and neck cancer treatment was clinically effective and cost-effective."</t>
  </si>
  <si>
    <t>Impact of pandemic COVID-19 outbreak on oral mucositis preventive and treatment protocols: new perspectives for extraoral photobiomodulation therapy</t>
  </si>
  <si>
    <t>"The pandemic COVID-19 outbreak brought new perspectives for the development of extraoral PBMT protocols designed to reduce risks of SARS-CoV-2 transmission without limiting its benefits on OM management during radiotherapy and chemotherapy for advanced cancer patients."</t>
  </si>
  <si>
    <t>Cancers (Basel)</t>
  </si>
  <si>
    <t>Photobiomodulation Therapy in Oral Mucositis and Potentially Malignant Oral Lesions: A Therapy Towards the Future</t>
  </si>
  <si>
    <t>"This review highlighted the gap in the literature and broaden the knowledge of the current clinical evidence-based practice, and effectiveness, of PBMT in H&amp;N oncology patients. As a result, the authors concluded that PBMT is a promising treatment modality. However, due to the heterogeneity of our data, it needs to undergo further testing in well-designed, long-term and randomised controlled trial studies, to evaluate it with diligent and impartial outcomes, and ensure laser irradiation's safety at the tumour site."</t>
  </si>
  <si>
    <t>Cronshaw</t>
  </si>
  <si>
    <t>Photobiomodulation and Oral Mucositis: A Systematic Review</t>
  </si>
  <si>
    <t>"A total of 50 papers were analysed, and of these, 29 satisfied criteria required for systematic review in accordance with an optimized PRISMA statement. Clinical outcome as reported was subject to analysis with respect to time of intervention, incidence and severity of oral mucositis, and pain amelioration, and a comprehensive combined univariate and multivariate statistical analysis of the methods employed was performed. 
Recommendations are made with respect to the timing of the intervention. Moreover, there is an extended discussion available on the treatment care rationale of photobiomodulation (PBM), and its adjunctive association with OM.
In conclusion, early prophylactic application offers clear advantages in clinical management. The many studies and associated variables and covariables assessed here revealed a choice of delivery techniques, associated wavelengths and many further indices to consider with regard to the accomplishment of optical parameters. It is therefore our recommendation that clinicians use PBM as a therapy with a full and proper understanding and training in order to optimise the clinical effects achievable."</t>
  </si>
  <si>
    <t>Tomaževič</t>
  </si>
  <si>
    <t>Optimization of Photobiomodulation Protocol for Chemotherapy-Induced Mucositis in Pediatric Patients</t>
  </si>
  <si>
    <t xml:space="preserve">🧑 Human
⚔ Comparison study, randomized
👥 42 participants
⌛ </t>
  </si>
  <si>
    <t>Dose comparison
(dosing depended on OM severity)</t>
  </si>
  <si>
    <t>250
500
250</t>
  </si>
  <si>
    <t xml:space="preserve">0.1256
cm2
spot
size
</t>
  </si>
  <si>
    <t>every 48h</t>
  </si>
  <si>
    <t>"The mean number of PBM sessions to reduce from severe mucositis to mild or no mucositis was 3.8 [standard deviation (SD) = 3.5] in group A, 4.4 (SD = 2.3) in group B, and 4.0 (SD = 2.7) in group C. The differences in the number of PBM sessions for OM severity decrease were not statistically significantly different among the three study groups."
"Because of the lack of statistically significant differences between the groups, more patient practical laser parameters could be applied, that is, a shorter irradiation time."</t>
  </si>
  <si>
    <t>China
(Sichuan)</t>
  </si>
  <si>
    <t>Low-level Laser Therapy in the Prevention and Treatment of Oral Mucositis: A Systematic Review and Meta-Analysis</t>
  </si>
  <si>
    <t>"Overall, 30 studies were included in the meta-analysis. Prophylactic LLLT reduced the overall risk of severe OM (relative risk [RR] = 0.40; 95% confidence interval [CI]: 0.28-0.57; P &lt; .01). Therapeutic LLLT substantially reduced the duration of severe OM (P &lt; .01). LLLT also reduced the overall mean grade of OM, overall incidence of severe pain, mean score of pain, and incidence of severe OM, at the most anticipated time."
" On the Jadad scale, 19 studies scored no less than 3 points out of 5 and were considered to be of high quality; the remaining 11 were considered to be of low quality. Only 10 studies correctly reported allocation concealment, resulting in 8 of the 30 trials generally being considered to be low-risk-ofbias trials."
"The quality of evidence was assessed by using the GRADE system, and the results showed that the overall quality levels of most outcomes ranged from moderate to high, although low levels of quality were found in 2 outcomes with substantial inconsistencies and high risk of bias. A “summary of findings” is shown in Supplemental Table SII."</t>
  </si>
  <si>
    <t>Paglioni</t>
  </si>
  <si>
    <t>Patterns of Oral Mucositis in Advanced Oral Squamous Cell Carcinoma Patients Managed With Prophylactic Photobiomodulation Therapy-Insights for Future Protocol Development</t>
  </si>
  <si>
    <t>🧑 Human
📄 Observational study
👥 145 patients</t>
  </si>
  <si>
    <t>0.4
(prophy)
2.4
(treat)</t>
  </si>
  <si>
    <t>10
60</t>
  </si>
  <si>
    <t>0.04
cm2
spot
size
at target</t>
  </si>
  <si>
    <t>"A total of 145 [oral squamous cell carcinoma] patients were included."
"This study showed, compared with studies that did not provide PBMT, reduced severity of mucositis, reduced pain and analgesic use, and reduced tube feeding in patients treated with PBMT."</t>
  </si>
  <si>
    <t>Cost-effectiveness Randomized Clinical Trial on the Effect of Photobiomodulation Therapy for Prevention of Radiotherapy-Induced Severe Oral Mucositis in a Brazilian Cancer Hospital Setting</t>
  </si>
  <si>
    <t>🧑 Human
🎲 Randomized trial, double-blind
👥 48 participants
⌛ 6-week treatment (??)</t>
  </si>
  <si>
    <t>5 /week
for ... 6 weeks (??)</t>
  </si>
  <si>
    <t>"The incremental cost of PBMT was $857.35, and the cost per session was $25.69. The ICER was $ 2867.39 to avoid one case of severe OM and $ 2756.75 to prevent one interruption in RT due to OM. ICER to reduce 1 point in OHIP-14 and PROMS scores were $170.79 and $31.75, respectively."
"PBMT is more cost-effective than [Preventive Oral Care Program] alone in preventing severe OM, worsening of the OHRQoL, and RT interruptions. 
PBMT is a promising therapy, especially to avoid interruptions in oncological treatment."</t>
  </si>
  <si>
    <t>Prophylactic Photobiomodulation Therapy Using 660 Nm Diode Laser for Oral Mucositis in Paediatric Patients Under Chemotherapy: 5-year Experience From a Brazilian Referral Service</t>
  </si>
  <si>
    <t>🧑 Human
📄 Observational study
👥 148 patients</t>
  </si>
  <si>
    <t>3.333</t>
  </si>
  <si>
    <t>2
/point
(at 22 points)</t>
  </si>
  <si>
    <t>66.6</t>
  </si>
  <si>
    <t>20
/point
(at 22 points)</t>
  </si>
  <si>
    <t>5 /week
for 1-14 days</t>
  </si>
  <si>
    <t>"A retrospective study was conducted at a Brazilian referral service. Prophylactic PBMT was used in children and adolescents (≤ 17 years) following the protocol: InGaAIP, 660 nm, 100 mW, 2 J, 3.33 W/cm2, and 20 s per point. Demographic data and OM severity scores were assessed. A regression model tested the association between OM with prophylactic PBMT and antineoplastic therapy. A total of 148 individuals who had undergone 358 chemotherapy cycles were analysed."
"PBMT significantly reduced OM severity in acute lymphoblastic leukaemia (ALL) and OS patients. OM grade was 3.16 and 5.45 times higher among individuals with ALL and OS, who had not undergone prophylactic PBMT compared with those who had undergone prophylactic PBMT (p &lt; 0.001)."</t>
  </si>
  <si>
    <t>de Lima Dantas</t>
  </si>
  <si>
    <t>Evaluation of Preventive Laser Photobiomodulation in Patients With Head and Neck Cancer Undergoing Radiochemotherapy: Laser in Patients With Head and Neck Cancer</t>
  </si>
  <si>
    <t>🧑 Human
🎲 Randomized trial
👥 54 participants
⌛ ~5 weeks</t>
  </si>
  <si>
    <t>Oral mucositis
Salivary flow</t>
  </si>
  <si>
    <t>56
(28 points)</t>
  </si>
  <si>
    <t>0.1256
cm2
tip area</t>
  </si>
  <si>
    <t>3 /week</t>
  </si>
  <si>
    <t>"The laser photobiomodulation protocol used in this study was not effective in preventing radiochemotherapy-induced OM, salivary hypofunction, and referred pain in patients with head and neck cancer. 
Notably, although the development of OM did not differ significantly according to the use of laser therapy, the severity of oral mucositis was reduced in patients who underwent laser therapy compared to that in patients who did not."</t>
  </si>
  <si>
    <t>Three Photobiomodulation Protocols in the Prevention/Treatment of Radiotherapy-induced Oral Mucositis</t>
  </si>
  <si>
    <t>🧑 Human
⚔ Comparison study, randomized
👥 73 participants
⌛ 7 weeks</t>
  </si>
  <si>
    <t>15
25
15</t>
  </si>
  <si>
    <t>3.8
6.3
prophy
3.8
treat</t>
  </si>
  <si>
    <t>0.040
cm2
spot
size</t>
  </si>
  <si>
    <t>daily
during RT
daily during OM</t>
  </si>
  <si>
    <t xml:space="preserve">"Patients from group 1 [3.8 J/cm2 preventive treatment] presented with grade II oral mucositis later than groups 2 [6.3 J/cm2 preventive treatment] and 3 [curative treatment] (p &lt; 0.001). Moreover, groups 2 and 3 also presented with a mean higher of oral mucositis grade than group 1, p &lt; 0.001. Pain scores were lower in group 1 (p = 0.002)."
Comment: No negative control group. Only comparison of different treatment </t>
  </si>
  <si>
    <t>Brazil
(Maceió)</t>
  </si>
  <si>
    <t>Effectiveness of low-level laser therapy for oral mucositis prevention in patients undergoing chemoradiotherapy for the treatment of head and neck cancer: A systematic review and meta-analysis.</t>
  </si>
  <si>
    <t>"4 studies were included in the review and 3 studies were included in meta-analysis. Data from 500 patients (mean age of 53.595 and 54.14 for intervention and control groups, respectively) were analysed.
Meta-analysis showed that laser therapy prevents oral mucositis incidence in 28% and 23% of cases during the third and fourth follow-up week, respectively, in comparison to a placebo-treated control group. There was no statistically significant difference the prevention of pain; dysphagia and quality of life were not analysed due to missing. 
Laser therapy was effective in preventing oral mucositis from the 15th to the 45th days of chemoradiotherapy. However, new primary studies with low risk of bias are needed so a higher scientific evidence can be obtained."</t>
  </si>
  <si>
    <t>Pires Marques</t>
  </si>
  <si>
    <t>Photobiomodulation and photodynamic therapy for the treatment of oral mucositis in patients with cancer.</t>
  </si>
  <si>
    <t>🧑 Human
⚔ Comparison study
👥 56 participants
⌛ 4 weeks</t>
  </si>
  <si>
    <t>PBM vs PBM+PDT</t>
  </si>
  <si>
    <t>"Significant reductions in OM grade were observed after application of PBM-T or PBM-T + PDT (p &lt; 0.0001). PBM-T + PDT resulted in a shorter time to resolution of lesions compared to PBM-T alone (p = 0.0005)."</t>
  </si>
  <si>
    <t>Photobiomodulation Therapy in the Treatment of Oral Mucositis, Dysphagia, Oral Dryness, Taste Alteration, and Burning Mouth Sensation Due to Cancer Therapy: A Case Series.</t>
  </si>
  <si>
    <t>5-10
(one per day)</t>
  </si>
  <si>
    <t>"This case series reveals the effectiveness of the photobiomodulation (PBM) therapy when used in a specific protocol and parameters, in the management of oral complications related to cancer therapy."
"Regardless of the limitations of this case series, PBM can be considered safe, time saving, and a promising approach for the management of the oral complications due to cancer therapy and the quality of life of cancer patients."</t>
  </si>
  <si>
    <t>Zadik Y</t>
  </si>
  <si>
    <t>Future Oncol</t>
  </si>
  <si>
    <t>Photobiomodulation for the palliation of oral mucositis in cancer patients: the future is here.</t>
  </si>
  <si>
    <t>"Recently, a new set of MASCC/ISOO guidelines was published [8]. After a meticulous systematic review of the peer-reviewed literature, and establishment of the Level of evidence for each intervention, the panel recommend intra-oral photobiomodulation therapy, using low-level laser therapy, for the prevention of oral mucositis in specific patient groups. Namely, adult patients receiving hematopoietic stem cell transplantation conditioned with high-dose chemotherapy (with or without total body irradiation; Level of evidence I) and adult patients receiving radiation therapy to the head and neck (with chemotherapy, Level of evidence I, or without chemotherapy, Level of evidence II)."
"The future is promising: the newly recommended protocols are based on current literature. However, future studies may show the efficacy of photobiomodulation protocols that have not yet been studied, or which may be effective in other cancer populations (i.e., pediatric patients), or in settings that were previously thought to be inefficient (i.e., extra-oral photobiomodulation and other intra-oral photobiomodulation protocols). Photobiomodulation therapy is patient-friendly and well-tolerated, especially in pediatric patients that may not be able to comply with other modalities such as mouthwashes; however, as mentioned above, there is still no recommended photobiomodulation protocol for preventing or treating oral mucositis in this population."</t>
  </si>
  <si>
    <t>Bourbonne</t>
  </si>
  <si>
    <t>BMJ Support Palliat Care</t>
  </si>
  <si>
    <t>Radiotherapy mucositis in head and neck cancer: prevention by low-energy surface laser.</t>
  </si>
  <si>
    <t>🧑 Human
📄 Observational study
👥 40 patients
⌛ 7-week treatment -&gt; 1-month follow-up</t>
  </si>
  <si>
    <t>"Despite a substantial dose to the oral mucosa, the rate of acute radiation-induced mucositis of grade ≥3 remains low in patients receiving extraoral low-energy laser during RT."</t>
  </si>
  <si>
    <t>Rezk-Allah</t>
  </si>
  <si>
    <t>Effect of Low-Level Laser Therapy in Treatment of Chemotherapy Induced Oral Mucositis.</t>
  </si>
  <si>
    <t>🧑 Human
📄 Single-arm study
👥 80 participants
⌛ (?)</t>
  </si>
  <si>
    <t>6/week until the end of chemo</t>
  </si>
  <si>
    <t>"After LLLT, a significant decrease was found in the mean values of mucositis grade from 2.35 ± 0.695 to 1.13 ± 0.333 after (P &lt; 0.001). A significant reduction in the level of TNF-α was found after LLLT among breast cancer patients (P = 0.0045), but not in head and neck cancer and lymphoma patients. A significant reduction was also found in IL-6 level after treatment among head and neck and breast cancer patients (P = 0.0307 and 0.019, respectively)."</t>
  </si>
  <si>
    <t>Zadik</t>
  </si>
  <si>
    <t>Israel
(Tel-Hashomer)</t>
  </si>
  <si>
    <t>Systematic review of photobiomodulation for the management of oral mucositis in cancer patients and clinical practice guidelines.</t>
  </si>
  <si>
    <t>Guideline
+ 📚 Systematic review</t>
  </si>
  <si>
    <t>"METHODS:
A systematic review was conducted by the Mucositis Study Group of the Multinational Association of Supportive Care in Cancer/International Society for Oral Oncology (MASCC/ISOO) using PubMed and Web of Science. We followed the MASCC methods for systematic review and guidelines development. The rigorously evaluated evidence for each intervention, in each cancer treatment setting, was assigned a level-of-evidence (LoE). Based on the LoE, one of the following guidelines was determined: Recommendation, Suggestion, or No Guideline Possible.
RESULTS:
Recommendations are made for the prevention of OM and related pain with PBM therapy in cancer patients treated with one of the following modalities: hematopoietic stem cell transplantation, head and neck (H&amp;N) radiotherapy (without chemotherapy), and H&amp;N radiotherapy with chemotherapy. For each of these modalities, we recommend 1-2 clinically effective protocols; the clinician should adhere to all parameters of the protocol selected. Due to inadequate evidence, currently, No Guideline Possible for treatment of established OM or for management of chemotherapy-related OM. The reported clinical settings were extremely variable, limiting data integration.
CONCLUSIONS:
The evidence supports the use of specific settings of PBM therapy for the prevention of OM in specific patient populations. Under these circumstances, PBM is recommended for the prevention of OM. The guidelines are subject to continuous update based on new published data."</t>
  </si>
  <si>
    <t>Noirrit-Esclassan</t>
  </si>
  <si>
    <t>Arch Pediatr</t>
  </si>
  <si>
    <t>Photobiomodulation with a combination of two wavelengths in the treatment of oral mucositis in children: The PEDIALASE feasibility study.</t>
  </si>
  <si>
    <t>🧑 Human
📄 Single-arm study
👥 22 participants</t>
  </si>
  <si>
    <t>635+
815</t>
  </si>
  <si>
    <t>~4 sessions per episode of mucositis
(1-4 episodes per patient)</t>
  </si>
  <si>
    <t>"The success of the procedure was 77% in 1 year, with the inclusion of 84% of the patients (n=22) and 146 laser treatment sessions (median of four per episode of mucositis). We observed excellent tolerance and pain relief with a gain of two points on the VAS and the HEDEN mucositis scale. This study shows that photobiomodulation that incorporates two application modes (intra- and extraoral) through the combination of two wavelengths is feasible when integrated into the care of a pediatric hematology-oncology department and is perfectly tolerated, even by young children. Along with oral hygiene and analgesic management, it alleviates pain associated with oral mucositis."</t>
  </si>
  <si>
    <t>A brief literature review and own clinical experience in prophylaxis of oral mucositis in children using low level laser therapy.</t>
  </si>
  <si>
    <t>🧑 Human
📄 Retrospective data
👥 25 patients</t>
  </si>
  <si>
    <t>4
cm2</t>
  </si>
  <si>
    <t>60-
120</t>
  </si>
  <si>
    <t>"None of the children who underwent low level laser therapy course had any complications and no cases of oral mucositis developed."</t>
  </si>
  <si>
    <t>Alinca</t>
  </si>
  <si>
    <t>Comparison of the efficacy of low-level laser therapy and photodynamic therapy on oral mucositis in rats.</t>
  </si>
  <si>
    <t>LLLT vs PDT vs control</t>
  </si>
  <si>
    <t>18.75</t>
  </si>
  <si>
    <t>0.08
cm2</t>
  </si>
  <si>
    <t>"[N]o statistically significant differences were found in histopathological examinations between treatment and control groups"</t>
  </si>
  <si>
    <t>Thieme</t>
  </si>
  <si>
    <t>Comparison of photobiomodulation using either an intraoral or an extraoral laser on oral mucositis induced by chemotherapy in rats.</t>
  </si>
  <si>
    <t>Intraoral vs extraoral</t>
  </si>
  <si>
    <t>660
810+
980</t>
  </si>
  <si>
    <t>6
(IO)
6
12
(EO)</t>
  </si>
  <si>
    <t>"Clinically, on day 8, PBM groups showed lower scores of OM with EO 6 J/cm2 presenting a significantly lower degree compared to PC (p &lt; 0.05). On days 10 and 14, all PBM groups exhibited improvement of OM compared to PC (p &lt; 0.01). On day 8, all PBM groups exhibited an accelerated healing process compared to PC (p &lt; 0.01) and reduction of reactive species (p &lt; 0.001). Also, all PBM groups demonstrated higher levels of antioxidant GPx compared to PC (p &lt; 0.001)."</t>
  </si>
  <si>
    <t xml:space="preserve">Peralta-Mamani </t>
  </si>
  <si>
    <t>Low-level laser therapy dosimetry most used for oral mucositis due to radiotherapy for head and neck cancer: a systematic review and meta-analysis.</t>
  </si>
  <si>
    <t xml:space="preserve"> "The meta-analysis showed a better results with preventive LLLT 660 nm, 3.8 J/cm2, 15 mW; 0.15 J compared to preventive LLLT 660 nm, 1.3 J/cm2, 5 mW; 0.05 J (OMS: p = 0.03; NCI-CTC: p = 0.027). We conclude that there is, as of yet, no evidence of better laser dosimetry being more effective."</t>
  </si>
  <si>
    <t>Legouté</t>
  </si>
  <si>
    <t>France
(Angers)</t>
  </si>
  <si>
    <t>Low-level laser therapy in treatment of chemoradiotherapy-induced mucositis in head and neck cancer: results of a randomised, triple blind, multicentre phase III trial.</t>
  </si>
  <si>
    <t>🧑 Human
🎲 Randomized trial, double-blind
🗺 Multicenter
👥 97 participants (-&gt; 83 completed)
⌛ during the OM</t>
  </si>
  <si>
    <t>5 /week
until
resolution of grade II OM</t>
  </si>
  <si>
    <r>
      <rPr>
        <sz val="6.0"/>
      </rPr>
      <t xml:space="preserve">"An acute OM (grade ≥ 3) was observed in 41 patients (49.4%): 23 patients (54.8%) of the active laser group versus 18 (43.9%) in the control group (modified intend to treat, p = 0.32). Median time before occurrence of OM ≥ grade 3 in half of the patients was 8 weeks in active laser group (vs. 9 weeks in control group)."
Comment: A surprising result after so many positive trials of PBM for oral mucositis.
Comment: This study evaluated </t>
    </r>
    <r>
      <rPr>
        <i/>
        <sz val="6.0"/>
      </rPr>
      <t>treatment</t>
    </r>
    <r>
      <rPr>
        <sz val="6.0"/>
      </rPr>
      <t xml:space="preserve">, not </t>
    </r>
    <r>
      <rPr>
        <i/>
        <sz val="6.0"/>
      </rPr>
      <t>prevention: "LLLT/PMBT began at first visible signs of grade OM lesions.".</t>
    </r>
    <r>
      <rPr>
        <sz val="6.0"/>
      </rPr>
      <t xml:space="preserve"> It could be that prevention may be successful in general.</t>
    </r>
  </si>
  <si>
    <t>Photobiomodulation Therapy in Cancer Patients with Mucositis: A Clinical Evaluation.</t>
  </si>
  <si>
    <t>🧑 Human
⚔ Comparison study, non-randomized
👥 31 participants
⌛ 4-week treatment -&gt; 6-month follow-up</t>
  </si>
  <si>
    <t>⚔ PBM vs PDT+PBM</t>
  </si>
  <si>
    <t>"Both PBM-T alone and PBM-T+PDT yielded significant reductions in OM grade (p &lt; 0.01). PDT+PBM-T resulted in a significantly shorter healing time compared with PBM-T alone (p = 0.0321)."
"Healing of OM averaged ~17 days with PBM-T alone, whereas healing with PBM-T+PDT required ~12 days."</t>
  </si>
  <si>
    <t>Anschau</t>
  </si>
  <si>
    <t>Efficacy of low-level laser for treatment of cancer oral mucositis: a systematic review and meta-analysis.</t>
  </si>
  <si>
    <t>"We found five RCT (total of 315 patients) with adequate methodology. LLLT was effective, presenting a 62% risk reduction of severe mucositis on the seventh day of evaluation (RR = 0.38 [95% CI, 0.19-0.75]). 
When we analyzed subgroups, RR was 0.28 (95% CI 0.17-0.46) in the adult studies and 0.90 (95% CI, 0.46-1.78) in the studies with children and adolescents. 
We demonstrated a mean reduction of 4.21 days in the time of complete resolution of OM (CI - 5.65 to - 2.76) in favor of LLLT. 
There is moderate evidence that LLLT is effective in resolving OM lesions in adult patients undergoing cancer therapy."</t>
  </si>
  <si>
    <t>Effect of photobiomodulation on the severity of oral mucositis and molecular changes in head and neck cancer patients undergoing radiotherapy: a study protocol for a cost-effectiveness randomized clinical trial.</t>
  </si>
  <si>
    <t>"Photobiomodulation is an effective therapy that reduces the cost associated with OM treatment. However, little is known about its cost-effectiveness, mainly when quality of life is the effectiveness measure. Additionally, this therapy is not supported by the Brazilian public health system. Therefore, this study widens the knowledge about the safety of and strengthens evidence for the use of photobiomodulation therapy, providing information for public policy-makers and also for dental care professionals."</t>
  </si>
  <si>
    <t>Marín-Conde</t>
  </si>
  <si>
    <t>Photobiomodulation with low-level laser therapy reduces oral mucositis caused by head and neck radio-chemotherapy: prospective randomized controlled trial.</t>
  </si>
  <si>
    <t>🧑 Human
🎲 Randomized trial, double-blind
👥 26 participants
⌛10-week treatment (?)</t>
  </si>
  <si>
    <t>13.88</t>
  </si>
  <si>
    <t>180
(72p)</t>
  </si>
  <si>
    <t>83.3</t>
  </si>
  <si>
    <t>0.036
cm2</t>
  </si>
  <si>
    <t>12 (?)</t>
  </si>
  <si>
    <t>"Statistically significant differences between the groups were observed from week 5 of oncological treatment; 
72.7% of the laser group showed normal mucosa (mucositis grade 0), while in the control group, 20.0% showed grade 0 mucositis and 40.0% showed grade 2 mucositis (P&lt;0.01)."</t>
  </si>
  <si>
    <t>Photobiomodulation at Multiple Wavelengths Differentially Modulates Oxidative Stress In Vitro and In Vivo.</t>
  </si>
  <si>
    <t>🧪 In vitro
+ 🧑 Human
📄 Single-arm trial
👥 10 participants
⌛ 4-day treatment</t>
  </si>
  <si>
    <t>Wavelength comparison (in vitro)</t>
  </si>
  <si>
    <t>970
human
660
800
970
in vitro</t>
  </si>
  <si>
    <t>"ROS levels decreased promptly after each PBM session"
"Overall, our study demonstrates that PBM exerts different effects on the redox state of both PMNs and keratinocytes depending on the used wavelength and prompts the validation of a multiwavelength protocol in the clinical settings."</t>
  </si>
  <si>
    <t>Mobadder</t>
  </si>
  <si>
    <t>Belgium 
(Liège)</t>
  </si>
  <si>
    <t>Photobiomodulation Therapy in the Treatment of Oral Mucositis, Dysgeusia and Oral Dryness as Side-Effects of Head and Neck Radiotherapy in a Cancer Patient: A Case Report</t>
  </si>
  <si>
    <t>Oral mucositis
Dysgeusia
Oral dryness
Wavelength comparison</t>
  </si>
  <si>
    <t>980
980
650</t>
  </si>
  <si>
    <t xml:space="preserve">
3
3</t>
  </si>
  <si>
    <t>12
12
12</t>
  </si>
  <si>
    <t xml:space="preserve">
3
5</t>
  </si>
  <si>
    <t>"This case report shows that
photobiomodulation can effectively and safely reduce the severity of oral mucositis, oral dryness, and
dysgeusia in only five sessions."</t>
  </si>
  <si>
    <t>Leite Cavalcanti</t>
  </si>
  <si>
    <t>Evaluation of Oral Mucositis Occurrence in Oncologic Patients under Antineoplastic Therapy Submitted to the Low-Level Laser Coadjuvant Therapy.</t>
  </si>
  <si>
    <t>🧑 Human (pediatric)
📄 Observational study
👥 51 participants</t>
  </si>
  <si>
    <t>660
if no OM
808
if OM</t>
  </si>
  <si>
    <t>3.3
(on ~30 points)</t>
  </si>
  <si>
    <t>3 mm2
spot
size</t>
  </si>
  <si>
    <t>Data were collected on sex, age, type and degree of neoplasia, region affected, and remission time. 64.7% of the patients were male and were between 3 and 6 years of age (39.2%). Acute lymphoid leukemia was the most frequent neoplasm (37.3%). Regarding the maximum oral mucositis, grade 2 (41.2%) was predominant, with jugal mucosa (29.9%) and tongue (17.7%) being the most affected regions. The majority of cases presented lesion remission time between 4 and 7 days (44.0%). Most patients were young, male, and diagnosed with acute lymphoid leukemia. Predominance of grade 2 oral mucositis was observed, with jugal mucosa and tongue being the most affected regions, with the majority of cases presenting lesion remission time between 4 and 7 days.
Low-level laser therapy has been shown to be an essential therapy in the prevention and treatment of these lesions, since it is a non-invasive and low-cost method.</t>
  </si>
  <si>
    <t>Brazil
(Joinville)</t>
  </si>
  <si>
    <t>J Dent Sci Oral Maxillofac Res</t>
  </si>
  <si>
    <t>Effectiveness of low level laser used in the prevention and treatment of oral mucositis in patients with breast cancer undergoing adjuvant chemotherapy</t>
  </si>
  <si>
    <t>🧑 Human
⚔ Comparison study, randomized
👥 24 participants
⌛ 2-day treatment (?) -&gt; 5-day follow-up (?)</t>
  </si>
  <si>
    <t>40
120</t>
  </si>
  <si>
    <t>4
4</t>
  </si>
  <si>
    <t>5
10</t>
  </si>
  <si>
    <t>"Based on these results, it can be concluded that the severity of oral mucositis lesions observed in the groups treated with low-level laser was lower than that of the control group, indicating that this treatment modality can be applied to promote improvements in the quality of life of cancer patients."
Comment: A small study published in a very random journal. Great results, though the study lacks a placebo group.</t>
  </si>
  <si>
    <t>Treatment of mucositis with combined 660- and 808-nm-wavelength low-level laser therapy reduced mucositis grade, pain, and use of analgesics: a parallel, single-blind, two-arm controlled study.</t>
  </si>
  <si>
    <t>🧑 Human
⚔ Comparison study, randomized
👥 45 participants
⌛ (?)</t>
  </si>
  <si>
    <t>Wavelength combination
⚔ red vs red+NIR</t>
  </si>
  <si>
    <t>3
mm2
spot
size
1 appl. point per each 4 cm2 of lesion</t>
  </si>
  <si>
    <t xml:space="preserve">twice per week
</t>
  </si>
  <si>
    <t>"In conclusion, the current study demonstrated that a combination of red and infrared at a higher dose (300 J/cm2) reduced both oral mucositis grade and analgesics prescription."</t>
  </si>
  <si>
    <t>Photobiomodulation therapy in the management of oral mucositis: search for the optimal clinical treatment parameters.</t>
  </si>
  <si>
    <t>"This commentary attempts to clarify the setting of photobiomodulation (PBM) therapy in the management of oral mucositis. The suggested dose range balances efficacy data with our current understanding about PBM safety. The literature about the molecular basis of photobiomodulation and its controversial relationship to malignant transformation is briefly presented."
"In an attempt to develop standards of safe and effective practice, PBM application settings were suggested for oral complications of chemoradiation in head and neck cancer patients [2]. The recommended parameters for the management of oral mucositis in this population were wavelength between 633 and 685 nm or 780–830 nm, power output between 10 and 150 mW, and energy density of 2–3 J/cm2 and no more than 6 J/cm2 . It is important to recognize that these parameter ranges were based upon clinical efficacy reported in the literature, rather than upon clinical safety data [4]. "</t>
  </si>
  <si>
    <t>Guedes</t>
  </si>
  <si>
    <t>Int J Dent</t>
  </si>
  <si>
    <t>Variation of Energy in Photobiomodulation for the Control of Radiotherapy-Induced Oral Mucositis: A Clinical Study in Head and Neck Cancer Patients.</t>
  </si>
  <si>
    <t>🧑 Human
⚔ Comparison study, randomized
👥 58 participants
⌛ Treatment during the RT</t>
  </si>
  <si>
    <t>660
660</t>
  </si>
  <si>
    <t>25
100</t>
  </si>
  <si>
    <t>0.25
1.0</t>
  </si>
  <si>
    <t>6.3
33</t>
  </si>
  <si>
    <t>4
3
mm2</t>
  </si>
  <si>
    <t>4 days per week
during RT (or until OM healing)</t>
  </si>
  <si>
    <t>"Photobiomodulation with a higher dose of energy (1.0 J versus 0.25 J) is associated with better control of radiotherapy-induced OM and does not significantly increase the risk of neoplastic recurrence."</t>
  </si>
  <si>
    <t>Bockel</t>
  </si>
  <si>
    <t>France
(Villejuif)</t>
  </si>
  <si>
    <t>Cancer Radiother</t>
  </si>
  <si>
    <t>Pharmacological modulation of radiation-induced oral mucosal complications.</t>
  </si>
  <si>
    <t>"Therapies for acute oral mucositis are predominantly focused on improving oral hygiene and providing symptoms control. Although low-level laser therapy proved efficient in preventing radiation-induced oral mucositis in patients with head and neck cancer, this intervention requires equipment and trained medical staff, and is therefore insufficiently developed in clinical routine. New effective pharmacological agents able to prevent or reverse radio-induced mucositis are required."</t>
  </si>
  <si>
    <t>Multicenter randomized, double-blind controlled trial to evaluate the efficacy of laser therapy for the treatment of severe oral mucositis induced by chemotherapy in children: laMPO RCT.</t>
  </si>
  <si>
    <t>🧑 Human (pediatric)
🎲 Randomized trial, double-blind
🗺 Multicenter (8 hospitals)
👥 101 participants
⌛ 4-day treatment -&gt; 7-day follow-up</t>
  </si>
  <si>
    <t>Intraoral irradiation
Treatment of OM</t>
  </si>
  <si>
    <t>660+
970</t>
  </si>
  <si>
    <t>0.320</t>
  </si>
  <si>
    <t>144
(8p)</t>
  </si>
  <si>
    <t>73.6</t>
  </si>
  <si>
    <t>225
*
2
=450</t>
  </si>
  <si>
    <t>"One hundred and one children with WHO grade &gt; 2 chemotherapy-induced OM were enrolled in eight Italian hospitals."
"Fifty-one patients were allocated to the PBM group, and 50 were allocated to the sham group. In total, 93.7% of PBM patients and 72% of sham patients had OM grade &lt; 3 WHO on day +7 (P = 0.01). A significant reduction of pain was registered on day +7 in the PBM versus sham group (NRS 1 [0-3] vs. 2.5 [1-5], P &lt; 0.006). Reduced use of analgesics was reported in the PBM group, although it was not statistically significant. No significant adverse events attributable to treatment were recorded."</t>
  </si>
  <si>
    <t>Locally advanced oral squamous cell carcinoma patients treated with photobiomodulation for prevention of oral mucositis: retrospective outcomes and safety analyses.</t>
  </si>
  <si>
    <t>🧑 Human
📄 Retrospective
👥 152 patients
⌛ patient data from 2009-2014</t>
  </si>
  <si>
    <t>Safety
Tumor growth</t>
  </si>
  <si>
    <t>5/week
throughout
RT</t>
  </si>
  <si>
    <t>"Clinicopathological features and survival outcomes in the PBM-treated patients were similar to previously published data for conventional treatments in patients with advanced OSCC. In this study, prophylactic use of PBM therapy did not impact treatment outcomes of the primary cancer, recurrence or new primary tumors, or survival in advanced OSCC patients."</t>
  </si>
  <si>
    <t>Yoshida</t>
  </si>
  <si>
    <t>Current Considerations for Low-Level Laser Therapy/Photobiomodulation Therapy in the Management of Side Effects of Chemoradiation Therapy for Cancer.</t>
  </si>
  <si>
    <t>"Although evidence for the efficacy of LLLT/PBMT for the treatment of OM has been established, it is necessary to perform multicenter, clinical studies based on a unified protocol and to clarify that which remains unclear."</t>
  </si>
  <si>
    <t>Variability of high-dose melphalan exposure on oral mucositis in patients undergoing prophylactic low-level laser therapy.</t>
  </si>
  <si>
    <t>🧑 Human
📄 Observational study (not focusing on PBM efficacy)
👥 79 patients</t>
  </si>
  <si>
    <t>daily
during
conditioning
and 2 treatment days</t>
  </si>
  <si>
    <t>"In conclusion, older age, higher serum creatinine, and previous ASCT were factors associated with severe mucositis. Preventive LLLT appears to present promising results in controlling oral mucositis incidence and severity, justifying the importance of multidisciplinary team during ASCT. Further
research, using larger data sets, is warranted to extend our findings as well to define the dose, application time, and number of prophylactic LLLT sessions in those patients with the greatest risk for severe oral mucositis."</t>
  </si>
  <si>
    <t>Photodynamic therapy for treatment of oral mucositis: pilot study with pediatric patients undergoing chemotherapy.</t>
  </si>
  <si>
    <t>🧑 Human
⚔ Comparison study
👥 29 participants
⌛ during OM (until healing)</t>
  </si>
  <si>
    <t>⚔ LLLT vs PDT</t>
  </si>
  <si>
    <t>660
(both)</t>
  </si>
  <si>
    <t>1
/point
(PBM)
3
/point
(PDT)</t>
  </si>
  <si>
    <t>daily
until
healing</t>
  </si>
  <si>
    <t>"Based on the results the authors concluded that both PDT and LLLT could be used for the treatment of oral mucositis in children/young patients, because it was well tolerated and presented satisfactory results in reducing pain associated with the lesion."</t>
  </si>
  <si>
    <t>Antunes</t>
  </si>
  <si>
    <t>cDNA microarray analysis of human keratinocytes cells of patients submitted to chemoradiotherapy and oral photobiomodulation therapy: pilot study.</t>
  </si>
  <si>
    <t>🧑 Human
🎲 Randomized trial, double-blind
👥 27 participants
⌛ during RT</t>
  </si>
  <si>
    <t>1
/point
(72 points)</t>
  </si>
  <si>
    <t>0.24
cm2</t>
  </si>
  <si>
    <t>10
/point
(720 total)</t>
  </si>
  <si>
    <t>5 days per week during RT</t>
  </si>
  <si>
    <t>"These results support previous clinical findings indicating that the lower incidence of oral mucositis associated with photobiomodulation therapy might be correlated to the activation of genes involved in keratinocyte differentiation."</t>
  </si>
  <si>
    <t>Eur J Pediatr</t>
  </si>
  <si>
    <t>A systematic review and meta-analysis of the effect of low-level laser therapy (LLLT) on chemotherapy-induced oral mucositis in pediatric and young patients.</t>
  </si>
  <si>
    <t>"We found 8 qualified clinical trials with a total of 373 pediatric patients; the methodological quality was acceptable."
"Prophylactic LLLT reduces mucositis and severe mucositis and decreases the average severity of oral mucositis in pediatric and young patients with cancer. Therapeutic LLLT also reduces the average severity of oral mucositis and oral pain. Further research should investigate the optimal parameter of LLLT in pediatric and young patients, and studies with higher methodological quality should be performed."</t>
  </si>
  <si>
    <t>Bowen&amp;Wardill</t>
  </si>
  <si>
    <t>Curr Opin Support Palliat Care</t>
  </si>
  <si>
    <t>Advances in the understanding and management of mucositis during stem cell transplantation.</t>
  </si>
  <si>
    <t>"In 2014, the Multinational Association of Supportive Care in Cancer with the International Oral Oncology Society (MASCC/ISOO) updated the clinical practice guidelines for the management of mucositis secondary to cancer treatment [27]. This built upon the evidence and previous guidelines published in 2002 and 2007 [28,29]."
"Additionally, MASCC/ISOO guideline recommends that photobiomodulation (previously termed ‘low-level laser therapy’ wavelength at 650 nm, power of 40 mW, and each square centimeter treated with the required time to a tissue energy dose of 2 J/cm2 ), be used to prevent oral mucositis in patients receiving HSCT conditioned with highdose chemotherapy, with or without total body irradiation (level of evidence II).""</t>
  </si>
  <si>
    <t>González-Arriagada</t>
  </si>
  <si>
    <t>Chile &amp; Brazil</t>
  </si>
  <si>
    <t>Efficacy of low-level laser therapy as an auxiliary tool for management of acute side effects of head and neck radiotherapy.</t>
  </si>
  <si>
    <t>🧑 Human
📄 Retrospective data
👥 216 patients</t>
  </si>
  <si>
    <t>270
(27p)</t>
  </si>
  <si>
    <t>3 /week
during RT</t>
  </si>
  <si>
    <t>"The presence and severity of mucositis was similar between the groups.
However, the laser group showed a lower frequency of interruption of oncologic therapy related to mucositis (p = 0.030) and the need for parenteral nutrition during the HNRT (p = 0.027). In addition, trismus was less intense in the laser group (p = 0.023)."
"The introduction of laser therapy in the supportive care for patients undergoing HNRT showed benefits for the patient and the medical system, reducing morbidity and costs associated with side-effects."</t>
  </si>
  <si>
    <t>Weissheimer</t>
  </si>
  <si>
    <t>New photobiomodulation protocol prevents oral mucositis in hematopoietic stem cell transplantation recipients-a retrospective study.</t>
  </si>
  <si>
    <t>🧑 Human (HSCT recipients)
📄 Retrospective data, comparison
👥 99 patients</t>
  </si>
  <si>
    <t>40
100</t>
  </si>
  <si>
    <t>0.24
/p
(33 points)</t>
  </si>
  <si>
    <t>6
2.4
/p
(33 points)</t>
  </si>
  <si>
    <t>7
3
per week</t>
  </si>
  <si>
    <t>"Based on this retrospective data, PBM was effective in preventing OM in patients undergoing HSCT even when it was applied three times a week. A prospective study might be necessary to confirm these findings."</t>
  </si>
  <si>
    <t>Salvador</t>
  </si>
  <si>
    <t>Brazil
(Goiás)</t>
  </si>
  <si>
    <t>Effect of photobiomodulation therapy on reducing the chemo-induced oral mucositis severity and on salivary levels of CXCL8/interleukin 8, nitrite, and myeloperoxidase in patients undergoing hematopoietic stem cell transplantation: a randomized clinical trial.</t>
  </si>
  <si>
    <t>🧑 Human
🎲 Randomized trial
👥 51 participants
⌛ see full text (treatment from admission to 7th post-transplant day)</t>
  </si>
  <si>
    <t>Patients undergoing HSCT</t>
  </si>
  <si>
    <t>12.8
(80)</t>
  </si>
  <si>
    <t>320
(80)</t>
  </si>
  <si>
    <t>7+
(?)</t>
  </si>
  <si>
    <t>"PBM brought about a reduction in the severity of OM in patients undergoing HSCT, and this reduction was associated with a decrease in CXCL8 salivary levels."</t>
  </si>
  <si>
    <t>Sung</t>
  </si>
  <si>
    <t>Guideline for the prevention of oral and oropharyngeal mucositis in children receiving treatment for cancer or undergoing haematopoietic stem cell transplantation.</t>
  </si>
  <si>
    <t>(Systematic review)</t>
  </si>
  <si>
    <t>"For the evidence review, we included randomised controlled trials (RCTs) conducted in either children or adults evaluating the following interventions selected according to prespecified criteria: cryotherapy, low level light therapy (LLLT) and keratinocyte growth factor (KGF)."
"We suggest cryotherapy or LLLT may be offered to cooperative children receiving chemotherapy or HSCT conditioning with regimens associated with a high rate of mucositis."
"All three specific interventions evaluated in this clinical practice guideline were associated with a weak recommendation for use. There may be important organisational and cost barriers to the adoption of LLLT and KGF. Considerations for implementation and key research gaps are highlighted."
Comment: This article was written in 2014 and published online in 2015, so the data doesn't include LLLT papers published after 2013.</t>
  </si>
  <si>
    <t>Dosimetric study of photobiomodulation therapy in 5-FU-induced oral mucositis in hamsters.</t>
  </si>
  <si>
    <t>0.24
/p
(1p)
1
/p
0.24
/p
(4p)</t>
  </si>
  <si>
    <t>6
25
6</t>
  </si>
  <si>
    <t>"The best PBMT protocol to maintain lowest OM levels compared to Ch group was L1, followed by L2 and L3. Our results suggest that the application mode of PBMT and the energy delivered per area could interfere with the OM healing."</t>
  </si>
  <si>
    <t>Bayer</t>
  </si>
  <si>
    <t>Comparison of laser and ozone treatments on oral mucositis in an experimental model.</t>
  </si>
  <si>
    <t>"All groups received 5-fluorouracil intraperitoneally and trauma to the mouth pouch with a needle. After the formation of OM in the mouth, the control group had no treatment"
"LLLT was determined to be statistically significantly more effective than ozone on FGF and PDGF. However, in respect of TGF-β, no statistically significant difference was observed between the groups. In conclusion, within the limitations of this study, LLLT is more effective than ozone."</t>
  </si>
  <si>
    <t>Medeiros Filho</t>
  </si>
  <si>
    <t>Laser and photochemotherapy for the treatment of oral mucositis in young patients: randomized clinical trial.</t>
  </si>
  <si>
    <t>🧑 Human
⚔ Comparison study, split-mouth
👥 15 participants
⌛ 8 days</t>
  </si>
  <si>
    <t>⚔ PBM vs PCT+PBM</t>
  </si>
  <si>
    <t>660
(+ 808)</t>
  </si>
  <si>
    <t>4
/point
(1p?)</t>
  </si>
  <si>
    <t>"Based on the present findings, PCT+LLLT had a greater therapeutic effect in comparison to LLLT alone regarding the reduction in the degree of severity of chemotherapy-induced oral mucositis."
Comment: Parameters inadequately reported.</t>
  </si>
  <si>
    <t>Sonis</t>
  </si>
  <si>
    <t>USA
(Watertown, MA)</t>
  </si>
  <si>
    <t>Could the biological robustness of low level laser therapy (Photobiomodulation) impact its use in the management of mucositis in head and neck cancer patients.</t>
  </si>
  <si>
    <t>"Our investigation identified a substantial number of LLLT-activated pathways that have been strongly associated with negative tumor outcomes including proliferation, invasion, angiogenesis, metastases and cancer-treatment resistance. In light of these findings, we suggest an investigational strategy to assure that LLLT's anti-mucositis efficacy is independent of its possible potential to enhance threatening tumor behaviors. Included are appropriate pre-clinical modeling, short- and long-term follow-up of LLLT-treated patients, and the requirement for consistency of LLLT parameters."</t>
  </si>
  <si>
    <t>Treister</t>
  </si>
  <si>
    <t>A Feasibility Study Evaluating Extraoral Photobiomodulation Therapy for Prevention of Mucositis in Pediatric Hematopoietic Cell Transplantation.</t>
  </si>
  <si>
    <t>🧑 Human (age 4-21 years)
📄 Single-arm study
👥 13 participants
⌛ ~20 days</t>
  </si>
  <si>
    <t>THOR Model LX2M
LED phototherapy
LED cluster (69)
Extraoral
Pediatric patients</t>
  </si>
  <si>
    <t>360
(6 sites)</t>
  </si>
  <si>
    <t>daily
during
conditioning and until D+20 (20th post-transplant day)</t>
  </si>
  <si>
    <t>"The 10 trained nurses all reported that the device was accessible, maneuverable, and lightweight, and that training was effective. There was no reported toxicity attributed to the PBT."</t>
  </si>
  <si>
    <t>Low-level laser therapy prevents severe oral mucositis in patients submitted to hematopoietic stem cell transplantation: a randomized clinical trial.</t>
  </si>
  <si>
    <t>🧑 Human
🎲 Randomized trial, sham-controlled
👥 35 participants
⌛ PBM from conditioning to 5th post-transplant day</t>
  </si>
  <si>
    <t>20s
/p</t>
  </si>
  <si>
    <t>during conditioning and D+5 (fifth post-transplant day)</t>
  </si>
  <si>
    <t>"Severe mucositis was found in 40% of the patients (14/35),
3 in the intervention group (17.65%) and
11 in the sham group (61.11%) (p = 0.015)."</t>
  </si>
  <si>
    <t>Eur J Cancer Care (Engl)</t>
  </si>
  <si>
    <t>Quality of life related to oral mucositis of patients undergoing haematopoietic stem cell transplantation and receiving specialised oral care with low-level laser therapy: a prospective observational study.</t>
  </si>
  <si>
    <t>🧑 Human
📄 Observational study
👥 69 patients
⌛ Follow-up until 30 days after discharge</t>
  </si>
  <si>
    <t>~1200</t>
  </si>
  <si>
    <t>daily until bone marrow integration</t>
  </si>
  <si>
    <t>"A significant number of patients (46.38%) had grade 1 mucositis (indicating no ulcers in the oral cavity)."
"The study showed that QoL improves over time in these patients undergoing LLLT therapy for prevention of mucositis."</t>
  </si>
  <si>
    <t>Cost-effectiveness of low-level laser therapy (LLLT) in head and neck cancer patients receiving concurrent chemoradiation.</t>
  </si>
  <si>
    <t>🧑 Human
🎲 Randomized trial, double-blind
👥 94 participants
⌛ ~46 days</t>
  </si>
  <si>
    <t>Cost-effectiveness
calculation</t>
  </si>
  <si>
    <t>0.24
cm2
spot
size</t>
  </si>
  <si>
    <t>720
(72 points)</t>
  </si>
  <si>
    <t>daily
for average of ~46 days</t>
  </si>
  <si>
    <t>"Our results indicate that morbidity was lower in the Laser Group and that LLLT was more cost-effective than placebo up to a threshold of at least US$ 5000 per mucositis case prevented."
Jan Tuner has written: "PBM to prevent and reduce the incidence of oral mucositis has been well documented for 15 years and still not being widely accepted. Now that there is evidence of a cost saving method we might experience a renewed interest, because Money Talks."</t>
  </si>
  <si>
    <t>Amadori</t>
  </si>
  <si>
    <t>Italy (Brescia)</t>
  </si>
  <si>
    <t>Low-level laser therapy for treatment of chemotherapy-induced oral mucositis in childhood: a randomized double-blind controlled study.</t>
  </si>
  <si>
    <t>🧑 Human (pediatric)
🎲 Randomized trial, sham-controlled
👥 123 participants
⌛ 4-day treatment / 7-day study</t>
  </si>
  <si>
    <t>30s
/cm2</t>
  </si>
  <si>
    <t>"This study reported that there was no difference in the reduction of oral mucositis between the two groups, but only in the pain amelioration. The slight contrast with other studies [37] may be partially explained by the wavelengths used. In fact, we chose a high wavelength (830 nm) in order to verify if, exploiting the spectra absorption of cytochrome c oxidase, which is about 825 nm, and increasing the cellular metabolism and the oral mucosa healing process [35, 36], this type of wavelengths could be an alternative to 632–660 nm laser lights."</t>
  </si>
  <si>
    <t>Comparative study among three different phototherapy protocols to treat chemotherapy-induced oral mucositis in hamsters.</t>
  </si>
  <si>
    <t>LED phototherapy
LLLT vs LED
Wavelength comparison</t>
  </si>
  <si>
    <t>635
808
660</t>
  </si>
  <si>
    <t>1.2
10
12</t>
  </si>
  <si>
    <t>"After statistical analysis, the authors' results showed LED and LLLT therapies were efficient treatments for OM, decreasing TNF-α concentration on day 7 (p &lt; 0.05) and completely healing the mucosa on day 10. HPL showed no interference in final healing of OM. According to the methodology used and the results obtained in the present study, LLLT and LED therapies were the best choices to decrease the severity of OM, accelerating tissue repair and decreasing the inflammatory process."</t>
  </si>
  <si>
    <t>Hematol Oncol</t>
  </si>
  <si>
    <t>Efficacy of cryotherapy associated with laser therapy for decreasing severity of melphalan-induced oral mucositis during hematological stem-cell transplantation: a prospective clinical study.</t>
  </si>
  <si>
    <t>🧑 Human (HSCT)
⚔ Comparison study, randomized, coupled with a historical negative control group
👥 71 participants + 33 historical controls
⌛ Daily treatment until bone marrow engrafted (average 10-11 days?)</t>
  </si>
  <si>
    <t>daily
until bone marrow engrafted (neutrophil count over 500)</t>
  </si>
  <si>
    <t>"The cryotherapy/laser therapy group showed the lowest OM scores (maximum Grade I) and the lowest mean number of days (8 days) with OM in comparison with the other groups (p &lt; 0.001). OM Grades III and IV were present with high frequency only in the control group. The association of cryotherapy with laser therapy was effective in reducing OM severity in HSCT patients who underwent melphalan conditioning."
Comment: Interesting results! However, reporting of parameters was quite poor.</t>
  </si>
  <si>
    <t>Soto</t>
  </si>
  <si>
    <t>Pilot study on the efficacy of combined intraoral and extraoral low-level laser therapy for prevention of oral mucositis in pediatric patients undergoing hematopoietic stem cell transplantation.</t>
  </si>
  <si>
    <t>🧑 Human (pediatric)
🎲 Randomized trial
👥 12 participants
⌛ ~22 days</t>
  </si>
  <si>
    <t>Intraoral + Extraoral
Pediatric patients undergoing HSCT</t>
  </si>
  <si>
    <t>685 (I)
830 (E)</t>
  </si>
  <si>
    <t>35
80</t>
  </si>
  <si>
    <t>6.65
(19p)
14.4
(6p)</t>
  </si>
  <si>
    <t>10s
/p
30s
/p</t>
  </si>
  <si>
    <t>4 / week
for ~22 days</t>
  </si>
  <si>
    <t>"Clinical mucositis scores were significantly lower in the LLLT group than in the control group (p = 0.004). Incidence of ulcerative oral mucositis was also significantly lower in the LLLT group (p = 0.027). Functional limitation associated with diet/swallowing was less severe in the LLLT group; however, this was not statistically significant."
Star: Nice study setting. A well-written paper.</t>
  </si>
  <si>
    <t>Isman</t>
  </si>
  <si>
    <t>Effects of laser irradiation at different wavelengths (660, 810, 980, and 1064 nm) on transient receptor potential melastatin channels in an animal model of wound healing</t>
  </si>
  <si>
    <t>Wavelength comparison
Mechanisms / TRP channels</t>
  </si>
  <si>
    <t>660
810
980
1064</t>
  </si>
  <si>
    <t>"These findings suggest that expression of TRPM6 gene was significantly affected by irradiation with lasers at different wavelengths, whereas the TRPM4 and TRPM7 genes were only expressed in the 980-nm diode laser group.
TRPM6 gene was highly expressed during LLLT, which may lead to accelerated wound healing and tissue repair."</t>
  </si>
  <si>
    <t>The Impact of Low-Level Laser Therapy on Oral Mucositis and Quality of Life in Patients Undergoing Hematopoietic Stem Cell Transplantation Using the Oral Health Impact Profile and the Functional Assessment of Cancer Therapy-Bone Marrow Transplantation Questionnaires.</t>
  </si>
  <si>
    <t>🧑 Human (HSCT)
🎲 Randomized trial
👥 39 participants
⌛ Daily treatment during conditioning and until 7th post-HSCT day</t>
  </si>
  <si>
    <t>12.8
(80p)</t>
  </si>
  <si>
    <t>4s
/p</t>
  </si>
  <si>
    <t>daily
during condition and until 7th post-transplant day</t>
  </si>
  <si>
    <t>"The laser group presented less severe OM than the control group (p&lt;0.001)."
"LLLT did not influence the oral and general health-related QoL of patients undergoing HSCT, although it was clinically effective in reducing the severity of chemotherapy-induced OM."</t>
  </si>
  <si>
    <t>Effect of low-level laser therapy on inflammatory mediator release during chemotherapy-induced oral mucositis: a randomized preliminary study.</t>
  </si>
  <si>
    <t>🧑 Human
🎲 Randomized trial
👥 30 participants
⌛ Daily treatment during conditioning and until 7th post-HSCT day</t>
  </si>
  <si>
    <t>"The study showed that 72.8 % (8 of 11) of patients treated with laser therapy were free of ulcers (grades 0 and 1); 27.2 % developed grade 2 mucositis, while none showed grades 3 or 4 mucositis".
"On the other hand, in the control group, 57.1 % (8 out of 14) developed grades 2 and 3 mucositis, and 42.9 % of patients did not develop ulcerative OM." 
"its mechanism of action does not seem to be completely linked to the modulation of pro- or anti-inflammatory cytokines, growth factors or matrix metalloproteinases."</t>
  </si>
  <si>
    <t>Oton-Leite</t>
  </si>
  <si>
    <t>Effect of low-level laser therapy on chemoradiotherapy-induced oral mucositis and salivary inflammatory mediators in head and neck cancer patients.</t>
  </si>
  <si>
    <t>🧑 Human (HNC, CRT)
🎲 Randomized trial, sham-controlled
👥 30 participants
⌛ Treatment during RT</t>
  </si>
  <si>
    <t>Patients receiving chemoradiotherapy
Head&amp;neck cancer</t>
  </si>
  <si>
    <t>14.4
(60p)</t>
  </si>
  <si>
    <t>3 per week
(total 35 sessions?)</t>
  </si>
  <si>
    <t>"The laser group showed a reduction in the severity of OM, which coursed with significantly diminished salivary concentration of EGF and VEGF in the 7th radiotherapy session and of IL-6 and FGF in the 35th. There was a trend for reduced levels of IL-1β, TNF-α, IL-10, TGF-β, MMP2/TIMP2, MMP9/TIMP2 in the laser group compared to the control, however, no statistically significant differences were found."
"These findings demonstrated that LLLT was effective in reducing the severity of chemoradiotherapy-induced OM and was associated with the reduction of inflammation and repair."</t>
  </si>
  <si>
    <t>Gautam</t>
  </si>
  <si>
    <t>Low level laser therapy against radiation induced oral mucositis in elderly head and neck cancer patients-a randomized placebo controlled trial.</t>
  </si>
  <si>
    <t>🧑 Human (HNC, RT)
🎲 Randomized trial, sham-controlled
👥 46 participants
⌛ 6.5 weeks (RT&amp;PBM)</t>
  </si>
  <si>
    <t>Elderly patients
Head&amp;neck cancer</t>
  </si>
  <si>
    <t>0.024</t>
  </si>
  <si>
    <t>36
(12p)</t>
  </si>
  <si>
    <t>125
/p</t>
  </si>
  <si>
    <t>5 /week
during RT
(RT for 6.5 weeks)</t>
  </si>
  <si>
    <t>"LLLT decreased the severity of OM and oral pain in elderly HNC patients. Also, lesser weight loss, morphine analgesic use and radiation break happened in laser group."</t>
  </si>
  <si>
    <t>Eduardo Fde</t>
  </si>
  <si>
    <t>Pediatr Transplant</t>
  </si>
  <si>
    <t>Oral mucositis in pediatric patients undergoing hematopoietic stem cell transplantation: clinical outcomes in a context of specialized oral care using low-level laser therapy.</t>
  </si>
  <si>
    <t>🧑 Human (HSCT)
📄 Observational study
👥 51 patients</t>
  </si>
  <si>
    <t>1.92
(8p)</t>
  </si>
  <si>
    <t>300
720</t>
  </si>
  <si>
    <t>daily until bone marrow engraftment</t>
  </si>
  <si>
    <t>"Specialized oral care, including LLLT, is feasible and affordable for HSCT pediatric patients, although some adaptation in the patient's oral hygiene routine must be adopted with help from parents/companions and clinical staff."</t>
  </si>
  <si>
    <t>Curra</t>
  </si>
  <si>
    <t>Photobiomodulation reduces oral mucositis by modulating NF-kB.</t>
  </si>
  <si>
    <t>daily
(total number according to group)</t>
  </si>
  <si>
    <t>LLLT increased NF-kB and reduced the severity of oral mucositis.</t>
  </si>
  <si>
    <t>Bensadoun &amp; Nair</t>
  </si>
  <si>
    <t>France
(Nice) &amp;
Australia
(Queensland)</t>
  </si>
  <si>
    <t>Low-Level Laser Therapy in the Management of Mucositis and Dermatitis Induced by Cancer Therapy.</t>
  </si>
  <si>
    <t>Brazil (Araraquara)</t>
  </si>
  <si>
    <t xml:space="preserve">Biomodulation of Inflammatory Cytokines Related to Oral Mucositis by Low-Level Laser Therapy. </t>
  </si>
  <si>
    <t>Gingival fibroblasts + LPS</t>
  </si>
  <si>
    <t>0
0.5
1.5
3</t>
  </si>
  <si>
    <t>40
120
240</t>
  </si>
  <si>
    <t>"For LPS-treated groups, LLLT promoted significant decreases in the expression of TNF-α, IL-6, and IL-8 at 1.5 J cm(-2) and 3 J cm(-2)."</t>
  </si>
  <si>
    <t>Chemotherapy-induced oral mucositis: effect of LED and laser phototherapy treatment protocols.</t>
  </si>
  <si>
    <t>🧑 Human
⚔ Comparison study
👥 40 participants
⌛ 2 weeks</t>
  </si>
  <si>
    <t>LED phototherapy
LED vs LLLT</t>
  </si>
  <si>
    <t>660
(laser)
630
(LED)</t>
  </si>
  <si>
    <t>40
80</t>
  </si>
  <si>
    <t>0.036
cm2
1
cm2
spot
size</t>
  </si>
  <si>
    <t>"The mean VAS and WHO scores were significantly smaller in the LED group (p&lt;0.05). However, both groups required the same number of days to reach score zero for mucositis and pain (p&gt;0.05)."</t>
  </si>
  <si>
    <t>Usumez</t>
  </si>
  <si>
    <t>Effects of laser irradiation at different wavelengths (660, 810, 980, and 1,064 nm) on mucositis in an animal model of wound healing</t>
  </si>
  <si>
    <t>100
-</t>
  </si>
  <si>
    <t>6
2.24
0.99
2.24</t>
  </si>
  <si>
    <t>8
8
8.3
8</t>
  </si>
  <si>
    <t>0.75
0.28
0.12
0.28
cm2
beam
area</t>
  </si>
  <si>
    <t>60
9
10
9</t>
  </si>
  <si>
    <t>"These findings suggest that low-level Nd:YAG and 980-nm diode laser therapy accelerate the wound healing process by changing the expression of PDGF and bFGF genes responsible for the stimulation of the cell proliferation and fibroblast growth."</t>
  </si>
  <si>
    <t>Freide Mdo</t>
  </si>
  <si>
    <t>Brazil
(Salvador, Bahia))</t>
  </si>
  <si>
    <t>LED and laser photobiomodulation in the prevention and treatment of oral mucositis: experimental study in hamsters.</t>
  </si>
  <si>
    <t>660
(laser)
670
(LED)</t>
  </si>
  <si>
    <t>40
150</t>
  </si>
  <si>
    <t>16
4.8</t>
  </si>
  <si>
    <t>4.8
4</t>
  </si>
  <si>
    <t>4
mm2
0.5
cm2</t>
  </si>
  <si>
    <t>30
16</t>
  </si>
  <si>
    <t>"The best results were obtained from the preventive laser and LED photobiomodulation groups; both treatments were effective in diminishing the OM lesions."
Comment: The laser parameters seem a little bit unlogical. If the radiation time is 30 seconds with the power output of 40mW, then total dose is 1.2J, not 16J.</t>
  </si>
  <si>
    <t>Fekrazad &amp; Chiniforush</t>
  </si>
  <si>
    <t>Oral mucositis prevention and management by therapeutic laser in head and neck cancers.</t>
  </si>
  <si>
    <t>"The results of most studies showed that photobiomodulation (PBM) reduced the severity of mucositis. Also, it can delay the appearance of severe mucositis."</t>
  </si>
  <si>
    <t>Oberoi</t>
  </si>
  <si>
    <t>Effect of prophylactic low level laser therapy on oral mucositis: a systematic review and meta-analysis.</t>
  </si>
  <si>
    <t>The meta-analysis:
  - Eighteen RCTs (1144 patients) were included.
  - Prophylactic LLLT reduced the overall risk of severe mucositis (risk ratio (RR) 0.37, 95% confidence interval (CI) 0.20 to 0.67; P = 0.001). 
  - Prophylactic LLLT reduced severe mucositis and pain in patients with cancer and HSCT recipients.
  - Future research should identify the optimal characteristics of LLLT and determine feasibility in the clinical setting.</t>
  </si>
  <si>
    <t>Kumar</t>
  </si>
  <si>
    <t>Indian J Palliat Care</t>
  </si>
  <si>
    <t>High-level Evidence Exists for Low-level Laser Therapy on Chemoradiotherapy-induced Oral Mucositis in Cancer Survivors.</t>
  </si>
  <si>
    <t>Letter to Editor</t>
  </si>
  <si>
    <t>"It is imperative that moderate to strong level evidence be translated into palliative care by using LLLT for patients with CRT-induced OM in order to provide effective symptom control and enhance quality of life in cancer survivors. Can palliative care physicians consider LLLT a viable and feasible therapeutic option during evidence-informed clinical decision making for treatment selection in cancer survivors with CRT-induced OM?"</t>
  </si>
  <si>
    <t>Effect of class IV laser therapy on chemotherapy-induced oral mucositis: a clinical and experimental study.</t>
  </si>
  <si>
    <t xml:space="preserve">🧑 Human
📄 Single-arm study
👥 20 partiipants
⌛ 4-day treatment-&gt; 3-week follow-up
+ 🐁 Mouse
</t>
  </si>
  <si>
    <t>0.45</t>
  </si>
  <si>
    <t>1 cm2
spot
size</t>
  </si>
  <si>
    <t>twice daily
for 4 days</t>
  </si>
  <si>
    <t>"We show that high-power laser therapy is more effective than low-power laser therapy in improving OM lesion healing, reducing the inflammatory burden, and preserving tissue integrity."
Tunér: "The authors claim to have been using a "standard low power laser protocol" for comparison. In fact, they have not. The "standard" laser used is a 635 nm diode of 2.5 mW (standard laser pointer), delivering 0.45 J per point and delivered from a distance of 1 - 3 cm, further reducing the power density and for some reason pulsed."
Note: Jan Bjordal wrote a comment to this article. The authors have replied to the comment.</t>
  </si>
  <si>
    <t>Effect of low level laser therapy in the reduction of oral complications in patients with cancer of the head and neck submitted to radiotherapy.</t>
  </si>
  <si>
    <t>🧑 Human
🎲 Randomized trial, sham-controlled
👥 60 participants
⌛ 6 weeks (??)</t>
  </si>
  <si>
    <t>Patients with head/neck cancer</t>
  </si>
  <si>
    <t>44
(55p)</t>
  </si>
  <si>
    <t>2/30
(?)</t>
  </si>
  <si>
    <t>first session a week before RT 
-&gt; daily session during RT sessions (30 / 6 weeks) 
(??)</t>
  </si>
  <si>
    <t>"Better outcomes were observed in the laser group when compared with the control in the follow-up sessions, indicating lower degrees of oral mucositis, pain and higher salivary flow (p &lt; .05)."</t>
  </si>
  <si>
    <t>Migliorati</t>
  </si>
  <si>
    <t>Systematic review of laser and other light therapy for the management of oral mucositis in cancer patients.</t>
  </si>
  <si>
    <t>"A new suggestion was made for low-level laser (wavelength around 632.8 nm) for the prevention of oral mucositis in patients undergoing radiotherapy, without concomitant chemotherapy, for head and neck cancer. No guideline was possible in other populations and for other light sources due to insufficient evidence."</t>
  </si>
  <si>
    <t>Effect of laser phototherapy in the prevention and treatment of chemo-induced mucositis in hamsters.</t>
  </si>
  <si>
    <t>Chemo-induced
oral mucositis
Prevention vs therapy</t>
  </si>
  <si>
    <t>39.6
(6p)</t>
  </si>
  <si>
    <t>"The therapeutic group had significantly lower clinical and histological scores than the other groups at Day 10."
"This study showed that positive effects on oral mucositis management were obtained only when LPT was applied in the therapeutic protocol (from D+5 to D+15 after chemotherapy)."</t>
  </si>
  <si>
    <t>Braz J Otorhinolaryngol</t>
  </si>
  <si>
    <t>Low-power laser therapy in chemical-induced oral mucositis: a case study.</t>
  </si>
  <si>
    <t>780
--&gt;
660</t>
  </si>
  <si>
    <t>4,3
4.3
+
1.3</t>
  </si>
  <si>
    <t>"It is necessary to encourage the use of low-power laser for the prevention and treatment of oral mucositis in cancer patients. It is a low cost and viable option in otorhinolaryngology, without side effects."</t>
  </si>
  <si>
    <t>Effect of low-level laser therapy on patient reported measures of oral mucositis and quality of life in head and neck cancer patients receiving chemoradiotherapy--a randomized controlled trial.</t>
  </si>
  <si>
    <t>🧑 Human
🎲 Randomized trial, double-blind
👥 220 participants
⌛ 7 weeks</t>
  </si>
  <si>
    <t>Patients with head/neck cancer (chemoradiotherapy)</t>
  </si>
  <si>
    <t>36-40</t>
  </si>
  <si>
    <t>33
/ 6.5 weeks</t>
  </si>
  <si>
    <t>"LLLT was effective in improving the patient's subjective experience of OM and QOL in HNC patients receiving CRT."</t>
  </si>
  <si>
    <t>Figueiredo</t>
  </si>
  <si>
    <t>Brazil
(Salvador, BA)</t>
  </si>
  <si>
    <t>Laser therapy in the control of oral mucositis: a meta-analysis.</t>
  </si>
  <si>
    <t>"Twelve (studies were included in this systematic review, and the meta-analysis of seven of them showed that LT in patients undergoing oncotherapy is approximately nine times more effective in the prevention of OM grade &gt; 3 than in patients without laser treatment (OR: 9,5281, confidence interval 95% 1,447-52,0354, p=0,0093."
"Further studies, with larger sample sizes, are needed for better evaluation of the prophylatic effect of OM grade &gt; 3 by LT."</t>
  </si>
  <si>
    <t>de Castro</t>
  </si>
  <si>
    <t>Low-level laser in prevention and treatment of oral mucositis in pediatric patients with acute lymphoblastic leukemia.</t>
  </si>
  <si>
    <t>🧑 Human (pediatric, leukemia, methotrex.)
⚔ Comparison study, non-randomized
👥 40 participants
⌛ 5-day treatment</t>
  </si>
  <si>
    <t>Patients with lymphoblastic leukemia
A: prevention of OM
B: treatment of OM
Red vs NIR</t>
  </si>
  <si>
    <t>660
or
830</t>
  </si>
  <si>
    <t>1/2
/p
(18p)</t>
  </si>
  <si>
    <t>35
70</t>
  </si>
  <si>
    <t>10/
20
/p</t>
  </si>
  <si>
    <t>"Prophylactic laser produced a better outcome than when patients did not receive any preventive intervention"
"red laser (660 nm) was better than infrared (830 nm)"</t>
  </si>
  <si>
    <t>Evaluation of the effect of low level laser on prevention of chemotherapy-induced mucositis.</t>
  </si>
  <si>
    <t>🧑 Human (CT)
🎲 Randomized trial, double-blind
👥 24 participants
⌛ Treatment during CT (chemotherapy)</t>
  </si>
  <si>
    <t>Chemo-induced
oral mucositis</t>
  </si>
  <si>
    <t>5
(10p)</t>
  </si>
  <si>
    <t>During CT</t>
  </si>
  <si>
    <t>"The results showed that low-power laser was able to decrease the effect of chemotherapy on oral mucositis, xerostomia and pain in a variety of malignancies"
Comment: Results are interesting, but the parameters are poorly reported.</t>
  </si>
  <si>
    <t>Phase III trial of low-level laser therapy to prevent oral mucositis in head and neck cancer patients treated with concurrent chemoradiation.</t>
  </si>
  <si>
    <t>39
(5 per week)</t>
  </si>
  <si>
    <t>"Preventive LLLT in HNSCC patients receiving chemoradiotherapy is an effective tool for reducing the incidence of grade 3-4 OM. Efficacy data were corroborated by improvements seen in quality of life."
"At a median follow-up of 18 months (10–48 months) differences favoring the LLLT patients were observed in locoregional disease control, progression-free (P = 0.097) or overall survival (P = 0.147; Fig. 3 and 4 of the Supplementary Data)."
Star: The 18-month follow-up data was supplied.</t>
  </si>
  <si>
    <t>Effect of intraoral low-level laser therapy on quality of life of patients with head and neck cancer undergoing radiotherapy.</t>
  </si>
  <si>
    <t>🧑 Human
🎲 Randomized trial, sham-controlled
👥 60 participants
⌛ 6-7 weeks</t>
  </si>
  <si>
    <t>1 a week before RT
-&gt; 5 per week for 6-7 weeks</t>
  </si>
  <si>
    <t>"Laser therapy reduces the impact of radiotherapy on the QOL of patients with head and neck cancer."
Comment: The parameters were inadequately reported.</t>
  </si>
  <si>
    <t>Amelioration of oral mucositis pain by NASA near-infrared light-emitting diodes in bone marrow transplant patients.</t>
  </si>
  <si>
    <t>🧑 Human
🎲 Randomized trial, sham-controlled
👥 80 participants
⌛ 15 days</t>
  </si>
  <si>
    <t>15
/ 15 days 
(from HSCT to d+14)</t>
  </si>
  <si>
    <t>"Phototherapy demonstrated a significant reduction in patient-reported pain as measured by the WHO criteria in this patient population included in this study. Improvement trends were noted in most other assessment measurements."</t>
  </si>
  <si>
    <t>Gouvêa de Lima</t>
  </si>
  <si>
    <t>Int J Radiat Oncol Biol Phys</t>
  </si>
  <si>
    <t>Oral mucositis prevention by low-level laser therapy in head-and-neck cancer patients undergoing concurrent chemoradiotherapy: a phase III randomized study.</t>
  </si>
  <si>
    <t>🧑 Human
🎲 Randomized trial, double-blind
👥 75 participants
⌛ 6 weeks</t>
  </si>
  <si>
    <t>5 /week
for
~30
sessions (?)</t>
  </si>
  <si>
    <t>"LLL therapy was not effective in reducing severe oral mucositis, although a marginal benefit could not be excluded. It reduced RT interruptions in these head-and-neck cancer patients, which might translate into improved CRT efficacy."</t>
  </si>
  <si>
    <t>Low level laser therapy for concurrent chemoradiotherapy induced oral mucositis in head and neck cancer patients - a triple blinded randomized controlled trial.</t>
  </si>
  <si>
    <t>🧑 Human
🎲 Randomized trial, double-blind
👥 221 participants
⌛ 45 days</t>
  </si>
  <si>
    <t>33
/ 45 days
(5/week)</t>
  </si>
  <si>
    <t>"LLLT decreased the incidence of CCRT induced severe OM and its associated pain, dysphagia and opioid analgesics use."</t>
  </si>
  <si>
    <t>Efficacy of low-level laser therapy (LLLT) in oral mucositis: what have we learned from randomized studies and meta-analyses?</t>
  </si>
  <si>
    <t>Low-level laser therapy in the prevention and treatment of cancer therapy-induced mucositis: 2012 state of the art based on literature review and meta-analysis.</t>
  </si>
  <si>
    <t>📖 Review
📊 Meta-analysis</t>
  </si>
  <si>
    <t xml:space="preserve"> "There is moderate-to-strong evidence in favor of LLLT at optimal doses as a well tolerated, relatively inexpensive intervention for 
  cancer therapy-induced oral mucositis. It is envisaged that LLLT will soon become part of routine oral supportive care in cancer."</t>
  </si>
  <si>
    <t>The prevention of induced oral mucositis with low-level laser therapy in bone marrow transplantation patients: a randomized clinical trial.</t>
  </si>
  <si>
    <t>🧑 Human (HSCT)
🎲 Randomized trial
👥 42 participants
⌛ 9 days</t>
  </si>
  <si>
    <t>HSCT patients</t>
  </si>
  <si>
    <t>9
/ 9 days
(day -4 till +4)</t>
  </si>
  <si>
    <t>"In the LLLT group, 57.1% of patients had an OM grade 0, 9.6% had grade 1, and 33.3% had grade 2, whereas in the control group, only 4.8% of patients were free of OM (grade 0)."</t>
  </si>
  <si>
    <t>Cauwels &amp; Martens</t>
  </si>
  <si>
    <t>Low level laser therapy in oral mucositis: a pilot study.</t>
  </si>
  <si>
    <t>🧑 Human (pediatric)
📄 Single-arm study
👥 16 participants
⌛ Treatment until healing (avg ~4-5 days)</t>
  </si>
  <si>
    <t>2-16
accord. to OM grade</t>
  </si>
  <si>
    <t>every 48h until healing
(avg 2.5 sessions)</t>
  </si>
  <si>
    <t>"Immediately after beaming the OM, pain relief was noticed. Depending on the severity of OM, on average, 2.5 treatments per lesion in a period of 1 week were sufficient to heal a mucositis lesion."</t>
  </si>
  <si>
    <t>A randomized controlled trial of visible-light therapy for the prevention of oral mucositis.</t>
  </si>
  <si>
    <t>🧑 Human (HSCT)
🎲 Randomized trial, double-blind
👥 20 participants
⌛ Evaluations until 3-weeks post-HSCT</t>
  </si>
  <si>
    <t>HSCT patients
Polychromatic light 🌈</t>
  </si>
  <si>
    <t>300-
850
(peak
600-
650)</t>
  </si>
  <si>
    <t>active:
0.160-
0.200
ctrl:
0.008-
0.009</t>
  </si>
  <si>
    <t>45-
90</t>
  </si>
  <si>
    <t>5 /week 
for 21-28 days (?)</t>
  </si>
  <si>
    <t>"At the third visit, 1week post-HSCT, mucositis rates were significantly lower in the treatment group (for both WHO and OMAS p=0.02). Mucositis was also less severe in the treatment group (for WHO p=0.01; for OMAS p=0.01). Furthermore, the patients in the treatment group reported lower pain levels (p=0.04). The treatment was well tolerated and highly accepted, with no reports of adverse events related to the device. These findings suggest that the VLT-device is safe and effective for the prevention of oral mucositis in patients undergoing HSCT."
Comment: The most obvious symptoms in control group were noted on visit 3 (1wk). At that point, active group had much better results than the control group. The unfortunate thing is that the control group also received light (5% of the dose of active group), so they might have also benefited from their treatment.</t>
  </si>
  <si>
    <t>Evaluation of low-level laser therapy in the prevention and treatment of radiation-induced mucositis: a double-blind randomized study in head and neck cancer patients.</t>
  </si>
  <si>
    <t>🧑 Human (HNC)
⚔ Comparison study, randomized, double-blind
👥 70 participants
⌛ 7 weeks</t>
  </si>
  <si>
    <t>15
5</t>
  </si>
  <si>
    <t>3.8
1.3</t>
  </si>
  <si>
    <t>5 / week before RT sessions (~7 weeks)</t>
  </si>
  <si>
    <t>"Low-level laser therapy during radiotherapy was found to be effective in controlling the intensity of mucositis and pain."</t>
  </si>
  <si>
    <t>Norway (Bergen)</t>
  </si>
  <si>
    <t>A systematic review with meta-analysis of the effect of low-level laser therapy (LLLT) in cancer therapy-induced oral mucositis.</t>
  </si>
  <si>
    <t>The meta-analysis:
 - We found 11 randomised placebo-controlled trials with a total of 415 patients; methodological quality was acceptable at 4.10 (SD ± 0.74)
   on the 5-point Jadad scale.
 - There is consistent evidence from small high-quality studies that red and infrared LLLT can partly prevent development of
   cancer therapy-induced OM.
 - LLLT also significantly reduced pain, severity and duration of symptoms in patients with cancer therapy-induced OM."</t>
  </si>
  <si>
    <t>Use of laser phototherapy on a delayed wound healing of oral mucosa previously submitted to radiotherapy: case report.</t>
  </si>
  <si>
    <t>🧑 Human
📄 Case report
⌛ 10 treatment sessions -&gt; 4-month follow-up</t>
  </si>
  <si>
    <t>"The wound healed completely after ten sessions. This treatment proved to be conservative and effective, inducing healing of a chronic wound in a tissue previously submitted to radiotherapy.2</t>
  </si>
  <si>
    <t>Lino</t>
  </si>
  <si>
    <t>Laser phototherapy as a treatment for radiotherapy-induced oral mucositis.</t>
  </si>
  <si>
    <t>660
+
780</t>
  </si>
  <si>
    <t>"Treatment results indicate that the use of LPT on oral mucositis was effective and allowed the patient to carry on the RT without interruption.</t>
  </si>
  <si>
    <t>Low Level Laser Therapy in Management of Chemotherapy-Induced Oral Mucositis: Prophylaxis or Treatment?</t>
  </si>
  <si>
    <t>🧑 Human
🎲 Randomized trial, double-blind
👥 55 participants
⌛ 4 weeks (???)</t>
  </si>
  <si>
    <t>6 or 20
(???)</t>
  </si>
  <si>
    <t>"The incidence of COM in LLLT group (31%) was less than the placebo group (41%). Mean duration of COM healing was 4.8 and 12 days in LLLT and placebo groups, respectively (p=0.03). Xereostomia was significantly less severe in LLLT group in comparison with the placebo group (p=0.007)."
"Our findings showed that LLLT significantly reduced the incidence of oral mucositis of WHO grade 3 and 4 as the most debilitating form of oral mucositis,in which oral alimentation is impossible. Also, LLLT could reduce duration of oral mucositis, decreased the risk of secondary infection, and accelerated return to normal nutrition."
Comment: This paper was not listed in PubMed. Nowadays this journal (J Lasers Med Sci) is being indexed in PubMed.
Comment: The abstract says PBM treatment lasted six days, but the full text says 5 days per week for 4 weeks...</t>
  </si>
  <si>
    <t>Zanin</t>
  </si>
  <si>
    <t>Use of 660-nm diode laser in the prevention and treatment of human oral mucositis induced by radiotherapy and chemotherapy.</t>
  </si>
  <si>
    <t>🧑 Human
📄 Non-randomized study, controlled
👥 72 participants
⌛ 7 weeks</t>
  </si>
  <si>
    <t>2
/p
(?)</t>
  </si>
  <si>
    <t>2 per week
for 7 weeks</t>
  </si>
  <si>
    <t>"Patients in group L usually did not present with OM or pain, but all patients in group C presented with OM ranging from Level I to III associated with pain."
Comment: Cool results, but parameters aren't very well reported.</t>
  </si>
  <si>
    <t>Effects of low-level laser therapy on collagen expression and neutrophil infiltrate in 5-fluorouracil-induced oral mucositis in hamsters.</t>
  </si>
  <si>
    <t>35
100</t>
  </si>
  <si>
    <t>"This study supports two mechanisms of action for LLLT in reducing mucositis severity. The increase in collagen organization in response to the 35 mW laser indicates that LLLT promotes wound healing. In addition, LLLT also appears to have an anti-inflammatory effect, as evidenced by the reduction in neutrophil infiltrate."</t>
  </si>
  <si>
    <t>Efficacy of low-level laser therapy and aluminum hydroxide in patients with chemotherapy and radiotherapy-induced oral mucositis.</t>
  </si>
  <si>
    <t>🧑 Human
⚔ Comparison study, non-randomized
👥 25 participants
⌛ 7 weeks</t>
  </si>
  <si>
    <t>LLLT vs aluminum hydroxide</t>
  </si>
  <si>
    <t>5 per week
during RT</t>
  </si>
  <si>
    <t>"The prophylactic use of both treatments proposed in this study seems to reduce the incidence of severe OM lesions. However, the LLLT was more effective in delaying the appearance of severe OM."</t>
  </si>
  <si>
    <t>Chor</t>
  </si>
  <si>
    <t>Eur J Haematol</t>
  </si>
  <si>
    <t>Low-power laser to prevent oral mucositis in autologous hematopoietic stem cell transplantation.</t>
  </si>
  <si>
    <t>"The cumulative probability to develop oral mucositis was 47% in the laser group and 69% in the placebo group (P = 0.27)."
Comment: Parameters were poorly reported. Control group received LED light...</t>
  </si>
  <si>
    <t>Clarkson</t>
  </si>
  <si>
    <t>UK
Dundee</t>
  </si>
  <si>
    <t>Interventions for treating oral mucositis for patients with cancer receiving treatment.</t>
  </si>
  <si>
    <t>"There is weak and unreliable evidence that low level laser treatment reduces the severity of the mucositis."</t>
  </si>
  <si>
    <t>Laser phototherapy as topical prophylaxis against head and neck cancer radiotherapy-induced oral mucositis: comparison between low and high/low power lasers.</t>
  </si>
  <si>
    <t>🧑 Human
📄 Non-randomized study (??), controlled
👥 39 participants
⌛ (?)</t>
  </si>
  <si>
    <t>Dose comparison
No control group</t>
  </si>
  <si>
    <t>40
1000</t>
  </si>
  <si>
    <t>0.24
/p
(73p?)</t>
  </si>
  <si>
    <t>1 or 3
/week</t>
  </si>
  <si>
    <t>"All protocols of LPT led to the maintenance of oral mucositis scores in the same levels until the last RT session. Moreover, LPT three times a week also maintained the pain levels. However, the patients submitted to the once a week LPT had significant pain increase; and the association of low/high LPT led to increased healing time."</t>
  </si>
  <si>
    <t>Cyclooxygenase-2 and vascular endothelial growth factor expression in 5-fluorouracil-induced oral mucositis in hamsters: evaluation of two low-intensity laser protocols.</t>
  </si>
  <si>
    <t>2.62
2.78</t>
  </si>
  <si>
    <t>80
30</t>
  </si>
  <si>
    <t>"Peak severity of mucositis was reduced in the 35 mW laser group as compared to the 100 mW laser and control groups. This reduced peak clinical severity of mucositis in the 35 mW laser group was accompanied by a significantly lower level of COX-2 staining. The 100 mW laser did not have an effect on the severity of clinical mucositis, but was associated with a decrease in VEGF levels at the later time-points, as compared to the other groups."</t>
  </si>
  <si>
    <t>Kuhn</t>
  </si>
  <si>
    <t>Brazil (Porto Alegre)</t>
  </si>
  <si>
    <t>Low-level infrared laser therapy in chemotherapy-induced oral mucositis: a randomized placebo-controlled trial in children.</t>
  </si>
  <si>
    <t>🧑 Human
🎲 Randomized trial
👥 21 participants
⌛ 5-day treatment -&gt; follow-up (until healed?)</t>
  </si>
  <si>
    <t>Pediatric patients undergoing chemo/HSCT</t>
  </si>
  <si>
    <t>"In the laser group, the mean of OM duration was 5.8±2 days and in the placebo group was 8.9±2.4 days (P=0.004)."</t>
  </si>
  <si>
    <t>Khouri</t>
  </si>
  <si>
    <t>Use of therapeutic laser for prevention and treatment of oral mucositis.</t>
  </si>
  <si>
    <r>
      <rPr>
        <sz val="7.0"/>
      </rPr>
      <t xml:space="preserve">🧑 Human
🎲 Randomized trial </t>
    </r>
    <r>
      <rPr>
        <i/>
        <sz val="7.0"/>
      </rPr>
      <t>(not actually random allocation?)</t>
    </r>
    <r>
      <rPr>
        <sz val="7.0"/>
      </rPr>
      <t xml:space="preserve">
👥 22 participants
⌛ 15-day treatment (??)</t>
    </r>
  </si>
  <si>
    <t>660
&amp;
780
on
alt. days</t>
  </si>
  <si>
    <t>!</t>
  </si>
  <si>
    <t>15
/ 15 days
(??)</t>
  </si>
  <si>
    <t>"In conclusion, laser reduced the frequency and severity of OM, suggesting that therapeutic laser can be used both as a new form of prevention and treatment of OM."</t>
  </si>
  <si>
    <t>Low-intensity red laser on the prevention and treatment of induced-oral mucositis in hamsters.</t>
  </si>
  <si>
    <t>"The results suggest that laser phototherapy had a positive effect in reducing mucositis severity, and a more pronounced effect in treating established mucositis."</t>
  </si>
  <si>
    <t>Severity of oral mucositis in patients undergoing hematopoietic cell transplantation and an oral laser phototherapy protocol: a survey of 30 patients.</t>
  </si>
  <si>
    <t>🧑 Human
📄 Observational / Case series
👥 30 participants</t>
  </si>
  <si>
    <t>4 or 6</t>
  </si>
  <si>
    <t xml:space="preserve">0.036
cm2
</t>
  </si>
  <si>
    <t>daily
(12-
27 sessions)</t>
  </si>
  <si>
    <t>"The low grades of OM observed in this survey show the beneficial effects of laser phototherapy, but randomized clinical trials are necessary to confirm these findings."</t>
  </si>
  <si>
    <t>Improvement in quality of life of an oncological patient by laser phototherapy.</t>
  </si>
  <si>
    <t>🧑 Human
📄 Case report
⌛ During RT (35 sessions)</t>
  </si>
  <si>
    <t>"Normal oral function and consequent improvements in the quality of life of this oncologic patient were observed with LPT."</t>
  </si>
  <si>
    <t>The use of low-energy laser (LEL) for the prevention of chemotherapy- and/or radiotherapy-induced oral mucositis in cancer patients: results from two prospective studies.</t>
  </si>
  <si>
    <t xml:space="preserve">🧑 Human (study 1: preventive)
📄 Single-arm study
👥 26 participants
⌛ ~21-day treatment (median)
🧑 Human (study 2: therapeutic)
🎲 Randomized trial, sham-controlled
👥 36 participants
⌛ treatment every other weekday </t>
  </si>
  <si>
    <t>red?
IR</t>
  </si>
  <si>
    <t>50
250
500
100</t>
  </si>
  <si>
    <t>d =
1.2 mm</t>
  </si>
  <si>
    <t>3/week
(preventive)
every other weekday (treatment)</t>
  </si>
  <si>
    <t>"Our results strongly support the already available literature, suggesting that LEL is an effective and safe approach to prevent or treat oral mucositis resulting from cancer chemotherapy."
Comment: Wavelength was not reported.</t>
  </si>
  <si>
    <t>Sacono</t>
  </si>
  <si>
    <t>Light-emitting diode therapy in chemotherapy-induced mucositis.</t>
  </si>
  <si>
    <t>0.127-
0.318</t>
  </si>
  <si>
    <t>"[LLLT] was effective in reducing the severity of chemotherapy-induced mucositis in hamsters and contributed to the healing of the ulcerative oral lesions, though without preventing their occurrence completely"
Some possible harm was also noted, which might be related to high light intensity: "However,18% of the specimens in this group presented musculardegeneration visible only by histological examination, withno clinical evidences. "</t>
  </si>
  <si>
    <t>Arora</t>
  </si>
  <si>
    <t>Efficacy of He-Ne Laser in the prevention and treatment of radiotherapy-induced oral mucositis in oral cancer patients.</t>
  </si>
  <si>
    <t>🧑 Human
📄 Non-randomized study, controlled
👥 24 participants
⌛ 25 days (?)</t>
  </si>
  <si>
    <t>"Laser therapy applied prophylactically during radiotherapy can reduce the severity of oral mucositis, severity of pain, and functional impairment."</t>
  </si>
  <si>
    <t>The Impact of low power laser in the treatment of conditioning-induced oral mucositis: a report of 11 clinical cases and their review.</t>
  </si>
  <si>
    <t>🧑 Human
📄 Case series
👥 11 cases
⌛ ~6 days (average)</t>
  </si>
  <si>
    <t xml:space="preserve">3-
12
</t>
  </si>
  <si>
    <t>"Our results have indicated that the use of LPLT in HSCT patients is a powerful instrument in the treatment of overt OM and is now a standard procedure in this group of patients in our hospital."</t>
  </si>
  <si>
    <t>Abramoff</t>
  </si>
  <si>
    <t>Low-level laser therapy in the prevention and treatment of chemotherapy-induced oral mucositis in young patients.</t>
  </si>
  <si>
    <t>🧑 Human
🎲 Randomized trial, sham-controlled
👥 13 participants
⌛ 5 days</t>
  </si>
  <si>
    <t>36
(18p)</t>
  </si>
  <si>
    <t>d =
0.6 mm
(?)</t>
  </si>
  <si>
    <t>"The ease of use of LLLT, high patient acceptance, and the positive results achieved, make this therapy feasible for the prevention and treatment of OM in young patients."</t>
  </si>
  <si>
    <t>Lang-Bicudo</t>
  </si>
  <si>
    <t>LED phototherapy to prevent mucositis: a case report.</t>
  </si>
  <si>
    <t xml:space="preserve">🧑 Human
📄 Case report
</t>
  </si>
  <si>
    <t>LED phototherapy
LED array
Intraoral</t>
  </si>
  <si>
    <t>d =
12.5
mm</t>
  </si>
  <si>
    <t>5 /5d
/chemo
round</t>
  </si>
  <si>
    <t>"The results showed that the patient did not develop oral mucositis during the five chemotherapy cycles, and he had no pain symptoms."
Comment: This article nicely visualizes the anatomical sites that were being irradiated, with photographs.</t>
  </si>
  <si>
    <t>Schubert</t>
  </si>
  <si>
    <t>A phase III randomized double-blind placebo-controlled clinical trial to determine the efficacy of low level laser therapy for the prevention of oral mucositis in patients undergoing hematopoietic cell transplantation.</t>
  </si>
  <si>
    <t>🧑 Human (HSCT)
🎲 Randomized trial, double-blind
👥 70 participants
⌛ Treatment during conditioning till d+2 post-HSCT, evaluation till d+21 post-HSCT</t>
  </si>
  <si>
    <t>650
780</t>
  </si>
  <si>
    <t>7-
13
during conditioning till D+2 after HSCT</t>
  </si>
  <si>
    <t>"The 650 nm wavelength reduced the severity of oral mucositis and pain scores. Low level laser therapy was well-tolerated and no adverse events were noted."
Comment 1: On the other hand, the 780 nm wavelength appeared to make things even worse...
Comment 2: The Discussion part seems lengthy. Maybe worth reading.</t>
  </si>
  <si>
    <t>Jaguar</t>
  </si>
  <si>
    <t>Low-energy laser therapy for prevention of oral mucositis in hematopoietic stem cell transplantation.</t>
  </si>
  <si>
    <t>🧑 Human (HSCT)
📄 Observational study w/ historical controls
👥 24 patients
⌛ Treatment from conditioning till d+2, evaluation till d+30</t>
  </si>
  <si>
    <t>"All patients developed some grade of mucositis. However, the L- group presented initial mucositis by 4.36 days, whereas the L+ group presented it in 6.12 days (P = 0.01).
The maximum mucositis occurred between day +2 and day +6 with healing by day +25 in the L- group and between day +2 and day +7 with healing by day +14 for the L+ group (P = 0.84).
Laser therapy also reduced the time of oral pain from 5.64 to 2.45 days (P = 0.04), and decreased the consumption of morphine (P = 0.07)."
Comment: The parameters were poorly reported.</t>
  </si>
  <si>
    <t>Influence of low-energy laser in the prevention of oral mucositis in children with cancer receiving chemotherapy.</t>
  </si>
  <si>
    <t>🧑 Human (pediatric) (chemo or HSCT)
🎲 Randomized trial
👥 60 participants
⌛ 4-day treatment (mean)</t>
  </si>
  <si>
    <t>~4
(mean)</t>
  </si>
  <si>
    <t>"This study showed no evidence of benefit from the prophylactic use of low-energy laser in children and adolescents with cancer treated with chemotherapy when optimal dental and oral care was provided."
Comment: The parameters were inadequately reported.</t>
  </si>
  <si>
    <t>Low-power laser in the prevention of induced oral mucositis in bone marrow transplantation patients: a randomized trial.</t>
  </si>
  <si>
    <t>🧑 Human
🎲 Randomized trial
👥 38 participants
⌛ Treatment from D-7 (first day of conditioning) till neutrophil recovery</t>
  </si>
  <si>
    <t>"5.3% of the laser group presented with ulcers of 9.1 cm2 to 18 cm2, whereas 73.6% of the control group presented with ulcers from 9.1 cm2 to 18 cm2 (P = .003).
Our results indicate that the use of upfront LPLT in patients who have undergone HSCT is a powerful instrument in reducing the incidence of OM and is now standard in our center."</t>
  </si>
  <si>
    <t>USA
(Fort Lauderdale, FL)</t>
  </si>
  <si>
    <t>The role of alternative and natural agents, cryotherapy, and/or laser for management of alimentary mucositis.</t>
  </si>
  <si>
    <t>"Therefore, although laser therapy seems to be promising in the prevention of oral mucositis and in the control of mucositis-associated pain, the clinical studies tested small patient populations, the protocols were not standardized, laser devices used were different, laser parameters varied, and mucositis assessment tools were not uniform, making it almost impossible to implement the existing guidelines. The mechanism of action of laser therapy in the pathobiology of mucositis remains unknown."</t>
  </si>
  <si>
    <t>Corti</t>
  </si>
  <si>
    <t>Treatment of chemotherapy-induced oral mucositis with light-emitting diode.</t>
  </si>
  <si>
    <t>🧑 Human
📄 Single-arm study
👥 12 participants
⌛ 1 week</t>
  </si>
  <si>
    <t>LED phototherapy
Intraoral</t>
  </si>
  <si>
    <t>0.99</t>
  </si>
  <si>
    <t>21
/ 1 week
(three times daily)</t>
  </si>
  <si>
    <t>"This pilot study shows that LED treatment is safe and capable of reducing the duration of chemotherapy-induced mucositis. This result needs to be confirmed in an adequate phase III study."</t>
  </si>
  <si>
    <t>Arun Maiya</t>
  </si>
  <si>
    <t>Indian J Med Res</t>
  </si>
  <si>
    <t>Effect of low level helium-neon (He-Ne) laser therapy in the prevention &amp; treatment of radiation induced mucositis in head &amp; neck cancer patients.</t>
  </si>
  <si>
    <t>🧑 Human
🎲 Randomized trial
👥 50 participants
⌛ 6 weeks (?)</t>
  </si>
  <si>
    <t>33 (fractions) / 6 weeks</t>
  </si>
  <si>
    <t>"The low-level He-Ne laser therapy during the radiotherapy treatment was found to be effective in preventing and treating the mucositis in head and neck cancer patients."</t>
  </si>
  <si>
    <t>Nes &amp; Posso</t>
  </si>
  <si>
    <t>Norway
(Drammen)</t>
  </si>
  <si>
    <t>Int Nurs Rev</t>
  </si>
  <si>
    <t>Patients with moderate chemotherapy-induced mucositis: pain therapy using low intensity lasers.</t>
  </si>
  <si>
    <t>🧑 Human
📄 Single-arm study
👥 13 participants
⌛ 5 days</t>
  </si>
  <si>
    <t>"There was a significant (P = 0.007) 67% decrease in the daily average experience of pain felt before and after each treatment, confirming that LLLT can relieve pain among patients who have developed COM."
[See additional info, for information about the device.]</t>
  </si>
  <si>
    <t>"The direct cost by laser therapy is connected to the laser equipment and personnel cost to perform the treatment. The laser used in this study was a Thera Lase with a purchasing cost in 2002 of US$2500. Each patient requires 30 min of laser treatment by a qualified professional. The cost savings by laser therapy are related to the fact that the COM patients are able to continue their chemotherapy treatment without interruptions, and a reduction in the use of traditional analgesics."</t>
  </si>
  <si>
    <t>Genot &amp; Klastersky</t>
  </si>
  <si>
    <t>Low-level laser for prevention and therapy of oral mucositis induced by chemotherapy or radiotherapy.</t>
  </si>
  <si>
    <t>"On the basis of literature data, it is reasonable to conclude that the evidence that low-level laser therapy may be useful in decreasing the severity of chemotherapy-associated or radiotherapy-associated mucositis is substantial, even though there have been few controlled studies in the field of prevention."</t>
  </si>
  <si>
    <t>Wong &amp; Wilder-Smith</t>
  </si>
  <si>
    <t>USA
(Pomona, CA)</t>
  </si>
  <si>
    <t>Cancer J</t>
  </si>
  <si>
    <t>Pilot study of laser effects on oral mucositis in patients receiving chemotherapy.</t>
  </si>
  <si>
    <t>🧑 Human (chemo)
📄 Single-arm study
👥 15 participants
⌛ 4-week study</t>
  </si>
  <si>
    <t>45-50</t>
  </si>
  <si>
    <t>50-60</t>
  </si>
  <si>
    <t>0.7-0.8</t>
  </si>
  <si>
    <t>900-
1800</t>
  </si>
  <si>
    <t>weekly until end of symptoms or chemo</t>
  </si>
  <si>
    <t>"Eleven of 15 patients experienced grade 0 mucositis, three patients experienced grade 1 to 2 mucositis, and one patient experienced grade 3 to 4 mucositis."
"In this pilot study, laser therapy significantly reduced the incidence and the severity of mucositis in chemotherapy patients. The laser therapy does not appear to promote wound healing by affecting the intraoral perfusion, as assessed by Doppler measurements."</t>
  </si>
  <si>
    <t>NASA light-emitting diodes for the prevention of oral mucositis in pediatric bone marrow transplant patients.</t>
  </si>
  <si>
    <t>🧑 Human
📄 Non-randomized study, self-controlled, sham-controlled
👥 32 participants
⌛ Treatment from transplantation till D+14</t>
  </si>
  <si>
    <t>daily from d0
till d+14 (?)</t>
  </si>
  <si>
    <t>"The incidence of UOM was 53%, compared to an expected rate of 70-90%. There was also a 48% and 39% reduction of treated left and right buccal pain, respectively, compared to untreated throat pain at about posttransplant day 7 (p &lt; 0.05). There were no significant differences between sides in OMI or pain."
"Although more studies are needed, LED therapy appears useful in the prevention of OM in pediatric BMT patients."</t>
  </si>
  <si>
    <t>Effect of NASA light-emitting diode irradiation on wound healing.</t>
  </si>
  <si>
    <r>
      <rPr>
        <sz val="7.0"/>
      </rPr>
      <t xml:space="preserve">🧑 Human
🧪 In vitro
🐀 Rat
🐁 Mouse
</t>
    </r>
    <r>
      <rPr>
        <i/>
        <sz val="7.0"/>
      </rPr>
      <t>(a paper summarizing numerous findings... see Table 1 for mucositis)</t>
    </r>
  </si>
  <si>
    <t>"LED produced a 47% reduction in pain of children suffering from oral mucositis."</t>
  </si>
  <si>
    <t>Low-energy He/Ne laser in the prevention of radiation-induced mucositis. A multicenter phase III randomized study in patients with head and neck cancer.</t>
  </si>
  <si>
    <t>🧑 Human
🎲 Randomized trial, double-blind
👥 30 participants
⌛ 7 weeks</t>
  </si>
  <si>
    <t>60
25</t>
  </si>
  <si>
    <t>d =
1.2mm
(spot)
1
cm2
(treat.
area)</t>
  </si>
  <si>
    <t>~33 (fractions), 5 per week, for 7 weeks</t>
  </si>
  <si>
    <t>"Grade 3 mucositis occured with a frequency of 35.2% without LEL and of 7.6% with LEL (P&lt;0.01). The frequency of "severe pain" (grade 3) was 23.8% without LEL, falling to 1.9% with LEL (P&lt;0.05). Pain relief was significantly reduced throughout the treatment period (weeks 2-7). LEL therapy is capable of reducing the severity and duration of oral mucositis associated with radiation therapy. In addition, there is a tremendous potential for using LEL in combined treatment protocols utilizing concomitant chemotherapy and radiotherapy."</t>
  </si>
  <si>
    <t>Cowen</t>
  </si>
  <si>
    <t>France
(Marseilles)</t>
  </si>
  <si>
    <t>Low energy Helium-Neon laser in the prevention of oral mucositis in patients undergoing bone marrow transplant: results of a double blind randomized trial.</t>
  </si>
  <si>
    <t>🧑 Human
🎲 Randomized trial, double-blind
👥 30 participants
⌛ 5-day treatment (from d-5 to d-1) -&gt; 20-day follow-up (from d0 to d+20)</t>
  </si>
  <si>
    <t>~1.5</t>
  </si>
  <si>
    <t>"Helium-Neon laser treatment was well tolerated, feasible in all cases, and reduced high dose chemoradiotherapy-induced oral mucositis. Optimal laser treatment schedules still needs to be defined."</t>
  </si>
  <si>
    <t>USA
(Farmington, NM)</t>
  </si>
  <si>
    <t>Helium-neon laser effects on conditioning-induced oral mucositis in bone marrow transplantation patients.</t>
  </si>
  <si>
    <t>🧑 Human
🎲 Randomized trial, self-controlled, sham-controlled
👥 20 participants
⌛ 5-day treatment</t>
  </si>
  <si>
    <t>300+
(?)</t>
  </si>
  <si>
    <t>"Helium-neon laser treatment was well-tolerated and reduced the severity of conditioning-induced oral mucositis in BMT patients."</t>
  </si>
  <si>
    <t>Verdi C.</t>
  </si>
  <si>
    <t>USA (Arizona)</t>
  </si>
  <si>
    <t>Drug Safety</t>
  </si>
  <si>
    <t>Cancer therapy and oral mucositis. An appraisal of drug prophylaxis.</t>
  </si>
  <si>
    <t>Pourreau-Schneider et al. (1992), using a technique mechanistically similar to that described for silver nitrate, pretreated the buccal mucosa of 23 patients receiving chemotherapy with low-intensity helium-neon laser irradiation to stimulate epithelial cell replication. They reported a 6% incidence of mucositis during 95 cycles of chemotherapy, with all mucositis being of low grade. In comparison, 20 patients given chemotherapy without laser pre- treatment exhibited a 43% incidence of mucositis during 51 chemotherapy cycles. Although not investigated in a truly randomised, controlled study, this technique is interesting and warrants further investigation. Unfortunately, the high cost of the instrumentation and the technically demanding nature of the treatment may preclude widespread application.</t>
  </si>
  <si>
    <t>Ciais</t>
  </si>
  <si>
    <t>[Laser therapy in the prevention and treatment of mucositis caused by anticancer chemotherapy].
[Article in French]</t>
  </si>
  <si>
    <t>"Iatrogenic mucositis was observed during 43% of 53 chemotherapy cycles in the case control population. Curative laser therapy reduced the time to repair lesions and the rate of therapeutic modifications. For patients who received soft-laser therapy as a preventive measure, the incidence of oral complications was reduced to 6% during 101 cycles of chemotherapy. All of these patients, even those who have encountered mucositis before receiving preventive laser therapy, terminated their cancer therapy as originally scheduled.
Well designed and carefully controlled trials will be necessary to define the place of helium-neon laser therapy in the repair and prevention of oral complications due to cancer chemotherapy."</t>
  </si>
  <si>
    <t>J Natl Cancer Inst</t>
  </si>
  <si>
    <t>Soft-laser therapy for iatrogenic mucositis in cancer patients receiving high-dose fluorouracil: a preliminary report.</t>
  </si>
  <si>
    <r>
      <rPr>
        <sz val="7.0"/>
      </rPr>
      <t>🧑 Human
📄 Non-randomized study, controlled
👥 59 participants
(</t>
    </r>
    <r>
      <rPr>
        <i/>
        <sz val="7.0"/>
      </rPr>
      <t>~1-page report)</t>
    </r>
  </si>
  <si>
    <t>control vs preventive PBM vs treatment PBM</t>
  </si>
  <si>
    <t>633
(?)</t>
  </si>
  <si>
    <t xml:space="preserve">"In 20 control patients without laser therapy (group I), mucositis occurred in 43% of 51 chemotherapy cycles"
"In the 16-patient curative laser-therapy population (group 2), buccal toxic effects appeared in 80% of 25 cycles, and these patients received laser therapy as an antidote. Time to repair grade IV lesions was reduced from a mean of 19.3 days in control patients to 8.1 days"
"In the preventive therapy group (group 3), 23 cancer patients received laser therapy prior to and during chemotherapy. Thirteen patients (subgroup 3B) who had buccal lesions during previous cycle(s) of chemotherapy were prescribed laser treatments for 42 subsequent cycles of an identical chemotherapy.
Low-grade mucositis appeared in three (7%) cycles. Repair of lesions took 7-8 days.  Ten other patients (subgroup 3A) were administered laser therapy at the outset and during 53 cycles of chemotherapy. Only three (6% of cycles) episodes of grade 1 mucositis occurred and were resolved in a mean time of 3.3 days. All group 3 patients terminated cancer therapy as originally scheduled. Of 95 chemotherapy cycles, 94% were without oral problems."
</t>
  </si>
  <si>
    <t>Oral surgery: Bone graft</t>
  </si>
  <si>
    <t>da Silva Cunha</t>
  </si>
  <si>
    <t>Evaluation of the effectiveness of diode laser on pain and edema in individuals with cleft lip and palate submitted to secondary bone graft</t>
  </si>
  <si>
    <t>🧑 Human
📄 Non-randomized study, sham-controlled
👥 60 participants
⌛ 48 hours</t>
  </si>
  <si>
    <t>790-
830</t>
  </si>
  <si>
    <t>3
(0h, 24h, 48h)</t>
  </si>
  <si>
    <t>"The two groups presented increase in pain and edema in 24 and 48 hours. No statistically significant difference was found between groups."</t>
  </si>
  <si>
    <t>Oral surgery:
Coronally advanced flap</t>
  </si>
  <si>
    <t>Coronally advanced flap adjunct with low intensity laser therapy: a randomized controlled clinical pilot study.</t>
  </si>
  <si>
    <t>🧑 Human
🎲 Randomized trial, split-mouth
👥 10 participants (74 gingival recessions)
⌛ 8-day treatment / 1-year study</t>
  </si>
  <si>
    <t>Periodontology</t>
  </si>
  <si>
    <t>9
/ 8 days
(preop, postop and 7d after op)</t>
  </si>
  <si>
    <t>"Statistically significant differences were observed between test and control sites in the gingival recession depth (GRD), gingival recession width (GRW) and width of the keratinized tissue (WKT) and clinical attachment level (CAL) measurements after 1 year (p = 0.014, p = 0.015, p = 0.009 and p = 0.018 respectively). The test group presented greater complete root coverage (n = 7, 70%) compared with the control group (n = 3, 30%) after treatment."
"Within the limitations of this study, the results indicated that LILT may improve the predictability of CAF in multiple recessions."</t>
  </si>
  <si>
    <t xml:space="preserve">Oral surgery:
Connective tissue graft
</t>
  </si>
  <si>
    <t>Pakistan &amp; Saudi Arabia &amp; USA</t>
  </si>
  <si>
    <t>Low-level laser therapy as an adjunct to connective tissue graft procedure in the treatment of gingival recession defects: A systematic review and meta-analysis.</t>
  </si>
  <si>
    <t>Gingival recession - connective tissue graft</t>
  </si>
  <si>
    <t>"Four randomized clinical studies were included. Two studies showed significantly greater improvements with LLLT whereas, 2 studies showed comparable outcomes between LLLT and CTG group."
"LLLT improves clinical and patient-centered outcomes of CTG procedures for the treatment of GR remains debatable. However, due to the small number of included studies and high heterogeneity in the laser parameters, precautions must be exercised when interpreting the results of the present systematic review."</t>
  </si>
  <si>
    <t>Effectiveness of laser adjunctive therapy for surgical treatment of gingival recession with flap graft techniques: a systematic review and meta-analysis.</t>
  </si>
  <si>
    <t>Gingival recession - flap graft</t>
  </si>
  <si>
    <t>"Seven RCTs with 173 patients and 296 teeth were included in the meta-analysis."
"The meta-analysis found that surgery with laser therapy provided clinical advantages in terms of WKT and 1-year follow-up of PD and CAL. However, flap graft associated with laser did not offer additional benefit to root coverage and esthetics in treating gingival recession. More long-term studies are required to assess these parameters."</t>
  </si>
  <si>
    <t>Santamaria</t>
  </si>
  <si>
    <t>J Periodontol</t>
  </si>
  <si>
    <t>2-Year Assessment of Tissue Bioestimulation With Low-Level Laser on the Outcomes of Connective Tissue Graft in the Treatment of Single Gingival Recession. Randomized Clinical Trial.</t>
  </si>
  <si>
    <r>
      <rPr>
        <sz val="7.0"/>
      </rPr>
      <t xml:space="preserve">🧑 Human
🎲 Randomized trial
👥 40 participants
⌛ 2-week treatment -&gt; 2-year follow-up
(follow up / </t>
    </r>
    <r>
      <rPr>
        <i/>
        <sz val="7.0"/>
      </rPr>
      <t>secondary publication of Fernandes-Dias et al. 2015)</t>
    </r>
  </si>
  <si>
    <t>8
/ 2 weeks</t>
  </si>
  <si>
    <t>"The mean percentage of root coverage was 93.43% for the test group and 92.32% for the control group (p = 0.55). Complete root coverage was 79% (n = 15) for the test group and 76% (n = 13) for the control group (n = 13) (p = 0.8). Both groups showed aesthetics maintenance after 2 years."
"Within the limitations of this study, the results indicated that LLLT showed no additional benefit in the long term when associated with connective tissue graft in the treatment of Miller Class I and II gingival recessions."</t>
  </si>
  <si>
    <t>Fernandes-Dias</t>
  </si>
  <si>
    <t>Connective tissue graft associated or not with low laser therapy to treat gingival recession: randomized clinical trial</t>
  </si>
  <si>
    <t>🧑 Human
🎲 Randomized trial
👥 40 participants (40 gingival recessions)
⌛ 2-week treatment / 6-month study</t>
  </si>
  <si>
    <t>"The mean percentage of root coverage was 91.9% for the test group and 89.48% for the control group after 6 months (p &gt; 0.05). The test group presented more complete root coverage (n = 13, 65%) than the control group (n = 7, 35%) (p = 0.04)."</t>
  </si>
  <si>
    <t xml:space="preserve">Oral surgery:
Free gingival graft
</t>
  </si>
  <si>
    <t>Morshedzadeh</t>
  </si>
  <si>
    <t>Effect of GaAlAs 940 nm Photobiomodulation on palatal wound healing after free gingival graft surgery: a split mouth randomized controlled clinical trial</t>
  </si>
  <si>
    <t>🧑 Human
🎲 Randomized trial, split-mouth, triple-blinded
👥 16 participants
⌛ 11-day treatment / 60-day study</t>
  </si>
  <si>
    <t>2.8
cm2
spot
size
1.26
cm2
wound
area</t>
  </si>
  <si>
    <t>"RWA was significantly smaller in the test than control group on the days 7 (p &lt; 0.001) and 14 (p = 0.048) after the surgery. Bleeding was higher in the test group than in the control group on the day of surgery (p = 0.046). Pain and discomfort at the palatal donor site, however, had no significant difference between laser and control group during 11 days after the surgery (p &gt; 0.05), nor did the Color match scores on the 28th and 60th days after the surgery (p &gt; 0.05)."</t>
  </si>
  <si>
    <t>Effect of photobiomodulation therapy on patient morbidity and wound healing at donor site after free gingival graft harvesting: a triple-blind randomized-controlled clinical trial</t>
  </si>
  <si>
    <t>🧑 Human
🎲 Randomized trial, triple-blind
👥 44 participants
⌛ 3-day treatment / 4-day study</t>
  </si>
  <si>
    <t>"PBMT accelerated the pain resolution time and palatal closure, decreased rescue medication consumption and significantly improved patient satisfaction in the postoperative period."</t>
  </si>
  <si>
    <t>Al-Shibani N</t>
  </si>
  <si>
    <t>Low-intensity laser for harvesting palatal graft for the treatment of gingival recession: A systematic review.</t>
  </si>
  <si>
    <t>"Screening of the initially identified studies resulted in four clinical studies. All studies showed that LILT was effective in improving clinical outcomes, such as tissue thickness, postoperative discomfort, remaining wound area, and visual analog score at follow up. Upon comparison with the control group, two studies showed significantly greater improvements in the clinical parameters and patient-centered outcomes for LILT than control groups at follow up. Due to the low number of included clinical studies, it remains debatable whether LILT improves clinical and patient-centered outcomes of PCTG procedures."</t>
  </si>
  <si>
    <t>Oral surgery: Free gingival graft</t>
  </si>
  <si>
    <t>Lafzi</t>
  </si>
  <si>
    <t>The Clinical Evaluation of the Effects of Low-Level Laser Therapy on the Donor and Recipient Sites of the Free Gingival Graft: A Case Series.</t>
  </si>
  <si>
    <t>🧑 Human
🎲 Randomized trial, self-controlled, double-blind
👥 12 participants
⌛ 48-hour treatment / 7-day study</t>
  </si>
  <si>
    <t>2
/ 48 hours
(at 0h and 48h)</t>
  </si>
  <si>
    <t>"Ten individuals could finish the study. The test group presented significantly better shade matching and wound healing at the palatal donor site on days 7, 14 and 21. There was a significant reduction in post-operative pain after 24 hours (P = 0.007). No statistically significant difference was found between both groups in terms of clinical periodontal indices."</t>
  </si>
  <si>
    <t>Isler</t>
  </si>
  <si>
    <t>Effects of Laser Photobiomodulation and Ozone Therapy on Palatal Epithelial Wound Healing and Patient Morbidity.</t>
  </si>
  <si>
    <t>🧑 Human
🎲 Randomized trial, examiner-blind
👥 36 participants
⌛ 8-day treatment / 30-day study</t>
  </si>
  <si>
    <t>Free gingival graft (FGG) 
PBM vs ozone vs control</t>
  </si>
  <si>
    <t>35 
(5p)</t>
  </si>
  <si>
    <t>4
/ 8 days
(immed. after surgery and then on days 1,3 and 7 post-op)</t>
  </si>
  <si>
    <t>"At day 14, statistically significant smaller wounds were observed with digital image analysis in the ozone group as compared with the control group ( p = 0.034). However, intergroup comparison of the remaining wound area evaluated by the clinician using the H2O2 method did not reveal any significant differences ( p &gt; 0.05). Nonetheless, according to Bland–Altman analysis, the lower and upper limits showed a moderate agreement between the two measurement methods. The mean VAS sores exhibiting postoperative discomfort was observed to be significantly higher in the control group compared with the laser group (p=0.002) and ozone group (p&lt;0.001) at day 7.
"Conclusions: Adjunctive ozone therapy could have a significantly beneficial effect on the acceleration of palatal wound healing following FGG procedures. Both PBM and ozone treatment modalities reduced postoperative discomfort as compared with spontaneous healing."</t>
  </si>
  <si>
    <t>Yildiz &amp; Gunpinar</t>
  </si>
  <si>
    <t>Turkey
(Bolu)</t>
  </si>
  <si>
    <t>Free gingival graft adjunct with low-level laser therapy: a randomized placebo-controlled parallel group study.</t>
  </si>
  <si>
    <t>🧑 Human
🎲 Randomized trial, sham-controlled
👥 30 participants
⌛ 2-week treatment / 4-week study</t>
  </si>
  <si>
    <t>5
/ 15 days
(immed. after surgery and then on days 1, 3, 7, 14 post-op)</t>
  </si>
  <si>
    <t>"The use of an 810-nm diode laser provided additional benefits to FGG in terms of less shrinkage of the graft dimensions and postoperative pain."</t>
  </si>
  <si>
    <t>Heidari</t>
  </si>
  <si>
    <t>Effect of laser photobiomodulation on wound healing and postoperative pain following free gingival graft: A split-mouth triple-blind randomized controlled clinical trial.</t>
  </si>
  <si>
    <t>🧑 Human
🎲 Randomized trial, double-blind
👥 12 participants
⌛ 8-day treatment / 45-day study</t>
  </si>
  <si>
    <t>Free gingival graft</t>
  </si>
  <si>
    <t>5
/ 8 days</t>
  </si>
  <si>
    <t>"PBM following FGG procedure with the parameters used in this study could accelerate the rate of epithelialization at the donor site. However, it did not reduce postoperative pain."</t>
  </si>
  <si>
    <t>Ustaoglu</t>
  </si>
  <si>
    <t>Low-Level Laser Therapy in Enhancing Wound Healing and Preserving Tissue Thickness at Free Gingival Graft Donor Sites: A Randomized, Controlled Clinical Study.</t>
  </si>
  <si>
    <t>🧑 Human
🎲 Randomized trial
👥 40 participants
⌛ 21-day treatment / 30-day study</t>
  </si>
  <si>
    <t>"The prevalence of Complete Wound Epithelization was higher in the LLLT group than in the control group on the 14th day (p &lt; 0.001). The bleeding was lower in the test group than in the control group during the first 2 days (p ≤ 0.001).
Higher WHI Scores were observed in the test group relative to the control group at all visits (p ≤ 0.001). Color match scores were higher in the test group than in the control group at the first 3 visits (p &lt; 0.05).
The TT changed from 4.62 ± 0.79 to 4.71 ± 0.82 mm in the LLLT group and from 4.23 ± 0.62 to 4.01 ± 0.68 mm in the control group."
"It can be concluded that LLLT enhances FGG donor site wound healing and preserves TT at palatinal donor sites."</t>
  </si>
  <si>
    <t>Light-emitting diode irradiation promotes donor site wound healing of the free gingival graft.</t>
  </si>
  <si>
    <t>"LED light irradiation at 660 nm accelerated palatal wound healing, potentially via reducing reactive oxygen species production, facilitating angiogenesis, and promoting provisional matrix and wound reorganization."</t>
  </si>
  <si>
    <t>Arunachalam</t>
  </si>
  <si>
    <t>Effect of low level laser therapy on revascularization of free gingival graft using ultrasound Doppler flowmetry.</t>
  </si>
  <si>
    <t>🧑 Human
📄 Case series
👥 2 cases (1 PBM-treated)
⌛ 9-day treatment / 10-day study</t>
  </si>
  <si>
    <t>4
/ 9 days</t>
  </si>
  <si>
    <t>"Neovascularization was noted in both the patients but the second patient elicited marked increase in vascularity on the fourth as well as the tenth day and drastic reduction in pain on day four, with no change on the tenth day. The results showed that LLLT was an effective adjunctive treatment in promoting reevascularization and pain control during early healing of free gingival graft."</t>
  </si>
  <si>
    <t>Utilization of low-intensity laser during healing of free gingival grafts.</t>
  </si>
  <si>
    <t>🧑 Human
📄 Non-randomized study, split-mouth, double-blind
👥 10 participants
⌛ 60 days (?)</t>
  </si>
  <si>
    <t>2
(0h and 48h after surgery)
(?)</t>
  </si>
  <si>
    <t>"Low-intensity laser therapy did not improve the healing of gingival grafts and did not influence analgesia."</t>
  </si>
  <si>
    <t>Oral surgery: Gingivectomy / gingivoplasty</t>
  </si>
  <si>
    <t>Yakout</t>
  </si>
  <si>
    <t>Efficacy of hyaluronic acid gel and photobiomodulation therapy on wound healing after surgical gingivectomy: a randomized controlled clinical trial</t>
  </si>
  <si>
    <t>🧑 Human
⚔ Comparison study
👥 26 participants
⌛ 14-day treatment / 21-day study</t>
  </si>
  <si>
    <t>⚔ Groups:
- diode laser
- diode laser + HA</t>
  </si>
  <si>
    <t>"By the end of the follow-up period, surgical sites of the test group showed excellent healing compared to the control group. There were no significant differences in VAS scores between both groups (p &gt; 0.05)."
Comment: The magnitude of between-group differences are very small.</t>
  </si>
  <si>
    <t>Abesi &amp; Derikvand</t>
  </si>
  <si>
    <t>Iran
(Babol)</t>
  </si>
  <si>
    <t>Efficacy of Low-Level Laser Therapy in Wound Healing and Pain Reduction After Gingivectomy: A Systematic Review and Meta-analysis</t>
  </si>
  <si>
    <t>"Out of 188 sources initially captured from the database search, six studies were ultimately included. Regarding wound healing, the LLLT group exhibited a significantly higher mean value of the healing index compared to the control group on days 3 (SMD, 0.93; 95% CI, 0.39 to 1.47) and 7 (SMD, 1.03; 95% CI, 0.49 to 1.57) post-surgery. Also, significant differences were noted in the postoperative pain reduction between the two groups on days 3 (SMD, -2.00; 95% CI, -2.48 to -1.51) and 7 (SMD, -2.44; 95% CI, -4.66 to -0.22) post-surgery."
"According to the present systematic review, LLLT could potentially be an efficient adjunctive treatment after gingivectomy for wound healing acceleration and patient pain alleviation."</t>
  </si>
  <si>
    <t>A Novel Concept of Combined High-Level-Laser Treatment and Transcutaneous Photobiomodulation Therapy Utilisation in Orthodontic Periodontal Interface Management</t>
  </si>
  <si>
    <t>940+
2780</t>
  </si>
  <si>
    <t>"A 32-year-old female who presented with a persistent gummy smile of upper incisors and low upper midline frenum attachment post-orthodontic treatment, was seeking a better smile appearance. She had a history of delayed wound healing without underlying medical conditions; otherwise, she was fit and healthy. She underwent laser ablation of the upper midline frenum and gingivoplasty of the upper incisors region with λ940 nm and λ2780, respectively, as well as transcutaneous PBM therapy (λ940 nm) to accelerate wound healing."
"An acceleration of the wound healing was observed on the 4th day of treatment with no immediate or post-operative complications. The results showed no functional or aesthetic relapses at a long-term follow-up of 6 months."</t>
  </si>
  <si>
    <t>Reddy</t>
  </si>
  <si>
    <t>Efficacy of Low-level Laser Therapy, Hyaluronic Acid Gel, and Herbal Gel as Adjunctive Tools in Gingivectomy Wound Healing: A Randomized Comparative Clinical and Histological Study.</t>
  </si>
  <si>
    <t>🧑 Human
🎲 Randomized trial
👥 30 participants
⌛ 1-week treatment / 6-week study</t>
  </si>
  <si>
    <t>3
/ 7 days
(days 1, 3 and 7 postop)</t>
  </si>
  <si>
    <t>"Patients irradiated with laser after gingivectomy (Group A) showed superior results in the clinical, histological variables as compared to Groups B [hyaluronic acid] and C [herbal gel]."</t>
  </si>
  <si>
    <t>Lingamaneni</t>
  </si>
  <si>
    <t>India
(Telangana)</t>
  </si>
  <si>
    <t>Assessment of healing following low-level laser irradiation after gingivectomy operations using a novel soft tissue healing index: A randomized, double-blind, split-mouth clinical pilot study.</t>
  </si>
  <si>
    <t>🧑 Human
🎲 Randomized trial, double-blind, split-mouth
👥 10 participants
⌛ single treatment -&gt; 2-week follow-up</t>
  </si>
  <si>
    <t>"There was no statistically significant difference observed in the surface epithelialization between both groups on the 3rd and 7th-postoperative days, but highly significant differences were observed on the 14th day."</t>
  </si>
  <si>
    <t>Kohale</t>
  </si>
  <si>
    <t>India
(Nashik)</t>
  </si>
  <si>
    <t>Effect of low-level laser therapy on wound healing and patients' response after scalpel gingivectomy: A randomized clinical split-mouth study.</t>
  </si>
  <si>
    <t>🧑 Human
🎲 Randomized trial, split-mouth
👥 40 participants
⌛ 7-day treatment / 30-day study</t>
  </si>
  <si>
    <t>"LLLT-applied sites had significantly lower stained areas signifying improved wound healing compared with the controls on the postoperative 7th and 30th day."
Comment: Authors claim they used 940nm light, but since the light is visible in the photograph (Figure 2), the device apparently emitted also some visible red light.</t>
  </si>
  <si>
    <t>Amorim</t>
  </si>
  <si>
    <t>Clinical study of the gingiva healing after gingivectomy and low-level laser therapy.</t>
  </si>
  <si>
    <t xml:space="preserve">🧑 Human
📄 Non-randomized study (?), self-controlled
👥 20 participants
⌛ </t>
  </si>
  <si>
    <t>"Biometrical evaluation indicated a significant improvement in healing for the laser group at 21 and 28 days. Clinical evaluation showed better repair for the laser group, mainly after the third day."
"LLLT was an effective adjunctive treatment that appeared to promote healing following gingivectomy."</t>
  </si>
  <si>
    <t>Clinical evaluation of the effects of low-intensity laser (GaAlAs) on wound healing after gingivoplasty in humans.</t>
  </si>
  <si>
    <t>🧑 Human
📄 Non-randomized study, self-controlled
👥 11 patients
⌛ 1-week treatment / 60-day study</t>
  </si>
  <si>
    <t>4
/ 1 week</t>
  </si>
  <si>
    <t>"These results have shown that low-intensity laser therapy did not accelerate oral mucosa healing after gingivoplasty."</t>
  </si>
  <si>
    <t>Histomorphometric study of the healing of human oral mucosa after gingivoplasty and low-level laser therapy.</t>
  </si>
  <si>
    <t>🧑 Human
📄 Non-randomized study, self-controlled
👥 16 participants
⌛ 1-week treatment / 60-day study</t>
  </si>
  <si>
    <t>"Low-level laser therapy did not accelerate the healing of oral mucosa after gingivoplasty."</t>
  </si>
  <si>
    <t>Oral surgery: Palatal surgery</t>
  </si>
  <si>
    <t>In de Braekt</t>
  </si>
  <si>
    <t>Effect of low level laser therapy on wound healing after palatal surgery in beagle dogs.</t>
  </si>
  <si>
    <t>"No significant differences were found in the quality and rate of wound healing between the two experimental groups. The same held true for the increments of the distances between opposite tattoo points. It was concluded that macroscopically low level laser therapy under conditions used in this study did not have an influence on wound closure or wound contraction. PMID: 1816482"</t>
  </si>
  <si>
    <t>The effect of low-level laser treatment on maxillary arch dimensions after palatal surgery on beagle dogs.</t>
  </si>
  <si>
    <t>"It was concluded that low-level laser treatment under the conditions used in this study did not decrease the adverse iatrogenic effects of palatal surgery on maxillary arch dimensions."</t>
  </si>
  <si>
    <t>Oral surgery: Mandibular distraction</t>
  </si>
  <si>
    <t>Red-blue light irradiation in the prevention of surgical wound infection after mandibular distraction using internal distractors in hemifacial microsomia: A randomized trial.</t>
  </si>
  <si>
    <t>🧑 Human
🎲 Randomized trial
👥 118 participants
⌛ 4 weeks</t>
  </si>
  <si>
    <t>Mandibular surgery
Red-blue light 🔵🔴</t>
  </si>
  <si>
    <t>465+
625
(??)</t>
  </si>
  <si>
    <t>"None of the infections occurring in this study resulted in serious complications. 
The postoperative infection rate during the 4 weeks after DO in the experimental group was 1.7%, whereas that in the control group was 13.6% (p = 0.016) (based on a modified NHSN wound infection criterion). 
The total social cost during the active period for the experimental group was 3386840 RMB, 5.12% higher than for the control group (3221882 RMB)."
Comment: Control group received cool white light (30min sessions) (no parameters available)</t>
  </si>
  <si>
    <t>Oral surgery: Semilunar coronally advanced flap</t>
  </si>
  <si>
    <t>Singh</t>
  </si>
  <si>
    <t>India
(Mangalore)</t>
  </si>
  <si>
    <t>Semilunar Coronally Advanced Flap with or without Low Level Laser Therapy in Treatment of Human Maxillary Multiple Adjacent Facial Gingival Recessions: A Clinical Study</t>
  </si>
  <si>
    <t>🧑 Human
🎲 Randomized trial, split-mouth
👥 10 patients, 40 gingival recessions
⌛ 1-week treatment -&gt; 6-month follow-up</t>
  </si>
  <si>
    <t>Gingival recession</t>
  </si>
  <si>
    <t>"Statistically significant differences were observed between test and control sites in the change in gingival recession depth, gingival recession width, clinical attachment level, and width of the keratinized tissue measurements after 6 months (p = 0.003, p = 0.001, p = 0.006, and p =&lt; 0.001, respectively).
The test group presented significantly greater complete root coverage (N = 18/20, 90%) compared with the control group (N = 6/20, 30%) at 6 months post-operatively."</t>
  </si>
  <si>
    <t>Oral surgery: Temporomandibular joint</t>
  </si>
  <si>
    <t>Oral surgery: Widman flap</t>
  </si>
  <si>
    <t>Aena</t>
  </si>
  <si>
    <t>India
(Chhattisgarh)</t>
  </si>
  <si>
    <t>The clinical efficacy of laser assisted modified Widman flap: A randomized split mouth clinical trial</t>
  </si>
  <si>
    <t>🧑 Human
🎲 Randomized trial, split-mouth
👥 25 participants
⌛ single treatment -&gt; 9-month follow-up</t>
  </si>
  <si>
    <t>"No significant difference was observed in PI scores between the two groups at baseline, 6 and 9 months. 
PBI scores were significantly lower in Group B versus Group A at 6 months (P &lt; 0.01). However, no significant difference was observed between the two groups in PBI scores at the end of 9 months. 
PD reduction in Group B versus Group A was statistically significant at the end of 9 months (P &lt; 0.01). 
Gains in CAL were significantly greater in Group B versus Group A at 6 and 9 months."</t>
  </si>
  <si>
    <t>Sanz-Moliner</t>
  </si>
  <si>
    <t>The effect of an 810-nm diode laser on postoperative pain and tissue response after modified Widman flap surgery: a pilot study in humans.</t>
  </si>
  <si>
    <t>🧑 Human
🎲 Randomized trial, split-mouth
👥 13 participants
⌛ single treatment -&gt; 1-week follow-up</t>
  </si>
  <si>
    <t>Widman flap</t>
  </si>
  <si>
    <t>LLLT seemed to decrease pain and edema.</t>
  </si>
  <si>
    <t>Oral surgery: Implant surgery</t>
  </si>
  <si>
    <t>Pouremadi</t>
  </si>
  <si>
    <t>Clinical Outcomes of Low-level Laser Therapy in Management of Advanced Implant Surgery Complications: A Comparative Clinical Study.</t>
  </si>
  <si>
    <t>🧑 Human
📄 Non-randomized study (?), triple-blind
👥 30 participants
⌛ single-treatment -&gt; 7-day follow-up</t>
  </si>
  <si>
    <t>"This study indicated that pain levels were reduced in the laser group (p &lt;0.05). Also, facial swelling in the 3rd and 7th day after the surgery relieved more in laser group. Furthermore, investigation of the surgical site showed a higher level of wound healing in the laser group (p &lt;0.05)."
"Regarding the biological effects of advanced implant surgeries and accompanying complications, adjuvant treatment with a laser could significantly improve wound healing and reduce the severity and duration of pain and swelling."</t>
  </si>
  <si>
    <t>Oral surgery: Orthognathic surgery</t>
  </si>
  <si>
    <t>Passos</t>
  </si>
  <si>
    <t>Effectiveness of low-intensity laser photobiomodulation in reducing inflammatory events (pain, edema, and trismus) after orthognathic surgery: a systematic review and meta-analysis of randomized clinical trials</t>
  </si>
  <si>
    <t>"A total of 91 control patients and 114 LLLT patients were included. 
The wavelengths ranged from 660 to 940 nm, and the applied energy density was between 5 and 100 J/cm2 at mostly extraoral distributed points. 
LLLT significantly reduced edema (MD = - 4.27, CI95% - 5.13 to - 3.41 mm) in the period from 5 days to 2 weeks postoperatively (p &lt; 0.001) and showed strongly reduced pain scores (SMD = - 1.37, I95% = - 1.99 to - 0.75) between 1 day and 5 weeks (p &lt; 0.001), without significantly interfering with mouth opening (p = 0.110). 
Despite the low risk of bias, high heterogeneity among studies (I2 &gt; 70%) and small sample sizes made the certainty of GRADE evidence low."</t>
  </si>
  <si>
    <t>D'avila</t>
  </si>
  <si>
    <t>Photobiomodulation using 940-nm laser as an adjuvant therapy on orthognathic surgery: A randomized clinical trial</t>
  </si>
  <si>
    <t>🧑 Human
🎲 Randomized trial
👥 20 participants
⌛ 4-week treatment / 30-day study</t>
  </si>
  <si>
    <t>"Data indicate that 940-nm PBM therapy decreased the occurrence of postoperative pain and significantly improved trismus."
"Edema was lower on the laser group compared to control, without a significant difference for most measurements."</t>
  </si>
  <si>
    <t>Alyahya</t>
  </si>
  <si>
    <t>Effectiveness of different protocols to reduce postoperative pain following orthognathic surgery: A systematic review and meta-analysis</t>
  </si>
  <si>
    <t>"There was significant pain reduction within the first 48 hours after (...) LLLT (very low quality evidence, SMD: -0.690; CI: -1.172 to -0.207; p = 0.005) versus placebo. 
Evidence to support pre-emptive analgesia or LLLT effectively reducing pain scores within the first postoperative 48 hours after orthognathic surgery when compared with placebo, was of low quality."</t>
  </si>
  <si>
    <t>Meneses-Santos</t>
  </si>
  <si>
    <t>Effects of low-level laser therapy on reducing pain, edema, and trismus after orthognathic surgery: a systematic review</t>
  </si>
  <si>
    <t>"The initial search resulted in 808 articles, from which only five (total of 190 participants) were included in the qualitative synthesis. The studies were published from 2014 to 2020.
Two presented a low risk of bias + in the mean mouth opening of all patients subjected to bimaxillary surgery who received LLLT. However, the other study found a significant difference in maximum mouth opening in the LLLT group at 14, 30, and 60 days after surgery. Based on limited evidence, LLLT was presented as an auxiliary tool for reducing pain and trismus after surgery. However, the reduction of edema is controversial due to the absence of measuring standardization."</t>
  </si>
  <si>
    <t>Does the use of low-level light therapy postoperatively reduce pain, oedema, and neurosensory disorders following orthognathic surgery? A systematic review</t>
  </si>
  <si>
    <t>"After evaluating eligibility, 15 RCTs were selected. None of the studies reported an evaluation of all of the outcomes within the same publication. It was possible to determine the effect of LLLT in controlling pain following orthognathic surgery. Of the three studies evaluating this outcome, all observed a positive effect. Of the four studies that evaluated oedema, two found a positive effect. Of the 11 studies that evaluated neurosensory disorders of the IAN, all of them observed a positive effect, at least in one of the sensory evaluation tests. A meta-analysis was not possible due to the heterogeneity across studies. Considering the limitations of this review, but given the fact that LLLT is a minimally invasive intervention, its use merits consideration in immediate postoperative orthognathic surgery."</t>
  </si>
  <si>
    <t>Haghighat</t>
  </si>
  <si>
    <t>[RETRACTED]
Does Low-Level Laser Photobiomodulation Improve Neurosensory Recovery After Orthognathic Surgery? A Clinical Trial With Blink Reflex</t>
  </si>
  <si>
    <r>
      <rPr>
        <sz val="7.0"/>
      </rPr>
      <t xml:space="preserve">🧑 Human
</t>
    </r>
    <r>
      <rPr>
        <i/>
        <sz val="7.0"/>
      </rPr>
      <t>(retracted paper)</t>
    </r>
  </si>
  <si>
    <t>"LLLT with 810-nm diode laser can accelerate the recovery from paresthesia after orthognathic surgery. The blink reflex can be used as a quantitative index for neurosensory assessment in line with subjective clinical tests such as the TPD test."
A quote from retraction notice: "The article includes material that had already appeared in de Oliveira RF, da Silva AC, Simoes A, Youssef MN, de Freitas PM. Laser Therapy in the Treatment of Paresthesia: A Retrospective Study of 125 Clinical Cases. Photomed Laser Surg. 2015 Aug; 33(8)415-23."</t>
  </si>
  <si>
    <t>Domínguez Camacho</t>
  </si>
  <si>
    <t>Int Orthod</t>
  </si>
  <si>
    <t>Photobiomodulation as oedema adjuvant in post-orthognathic surgery patients: A randomized clinical trial.</t>
  </si>
  <si>
    <t>🧑 Human
🎲 Randomized trial
👥 60 participants
⌛ 2 weeks</t>
  </si>
  <si>
    <t>2500
4100</t>
  </si>
  <si>
    <t>85.71
68.33</t>
  </si>
  <si>
    <t>"The differences between the groups were generally not significant (P&gt;0.05) except for commissure - right and left gonion when compared G1 vs CG (P&lt;0.05) and G2 vs CG (P&lt;0.05). Initial changes (T1-T2) between groups were significantly different except for the measurement from commissure to right tragus G1 vs CG (P=0.411) and from commissure to left tragus G2 vs CG (P=0.94). The faster resolution of the oedema occurred in G2 group. 
PTBM with an energy density of 68.33J/cm2 was the most effective adjuvant to oral medication with non-steroidal anti-inflammatory, to decrease post-surgical oedema after mandibular orthognathic surgery."</t>
  </si>
  <si>
    <t>D'ávila</t>
  </si>
  <si>
    <t>Longitudinal evaluation of the effects of low-power laser phototherapy on mandibular movements, pain, and edema after orthognathic surgery.</t>
  </si>
  <si>
    <t>🧑 Human
🎲 Randomized trial, double-blind
👥 30 participants
⌛ 60 days</t>
  </si>
  <si>
    <t>2/week
for 60 days</t>
  </si>
  <si>
    <t>"The study group showed significantly better jaw opening (p = 0.009), laterality (p = 0.036), and protrusion (p = 0.029) after 2 weeks in most comparisons. The study group showed significantly less postoperative pain (p &lt; 0.001) in most comparisons, and they recovered from pain earlier than the control group. There was a reduction in edema, with no statistically significant difference for most measurements. 
As observed in most analyses, there were increases in values for all mandibular movements, no significant differences in the occurrence of edema, and decreases in the occurrence of pain."</t>
  </si>
  <si>
    <t>de Rezende</t>
  </si>
  <si>
    <t>Brazil
(Vitória)</t>
  </si>
  <si>
    <t>Effect of GaAlAs low-level laser therapy on mouth opening after orthognathic surgery.</t>
  </si>
  <si>
    <t>🧑 Human
🎲 Randomized trial
👥 82 participants
⌛ 4-day treatment / 21-day study</t>
  </si>
  <si>
    <t>28
(14p)</t>
  </si>
  <si>
    <t>280
(14p)</t>
  </si>
  <si>
    <t>4
/ 4 days (?)</t>
  </si>
  <si>
    <t>"LLLT with a GaAlAs diode laser (780 nm) did not affect postoperative mouth opening after SARME, isolated maxillary surgery, or isolated mandibular surgery. 
However, it improved mouth opening in men who had undergone bimaxillary orthognathic surgery."</t>
  </si>
  <si>
    <t>Bittencourt</t>
  </si>
  <si>
    <t>Low-level laser therapy for treatment of neurosensory disorders after orthognathic surgery: A systematic review of randomized clinical trials.</t>
  </si>
  <si>
    <t>"Out of 1,257 identified citations, three papers fulfilled the criteria and were included in the systematic review. The risk of bias was assessed according to the Cochrane Guidelines for Clinical Trials and results were exposed based on a descriptive analysis
One study showed that laser therapy was effective to reduce postoperative pain 24 hours (P=0.007) and 72 hours (P=0.007) after surgery. Other study revealed the positive effect of laser to improve neurosensory recovery 60 days after surgery, evaluated also by the two-point discrimination (P=0.005) and sensory (P=0.008) tests. The third study reported an improvement for general sensibility of 68.75% for laser group, compared with 21.43% for placebo (P=0.0095), six months after surgery."
"Individual studies suggested a positive effect of low-level laser therapy on reduction of postoperative pain and acceleration of improvement of paresthesia related to orthognathic surgery. However, due to the insufficient number and heterogeneity of studies, a meta-analysis evaluating the outcomes of interest was not performed, and a pragmatic recommendation about the use of laser therapy is not possible."</t>
  </si>
  <si>
    <t>Does low-level laser therapy decrease swelling and pain resulting from orthognathic surgery?</t>
  </si>
  <si>
    <t>🧑 Human
🎲 Randomized trial, split-mouth
👥 10 participants
⌛ 4-day treatment / 30-day study</t>
  </si>
  <si>
    <t>"There were no significant differences between the irradiated and non-irradiated sides regarding swelling and pain in the immediate postoperative assessment. Swelling decreased significantly on the irradiated side in the postoperative assessments on days 3, 7, 15, and 30. Self-reported pain was less intense on the irradiated side at the 24-h (1.2 vs. 3.4) and 3-day (0.6 vs. 2.1) assessments, but at 7 days after surgery neither side showed pain. This LLLT protocol can improve the tissue response and reduce the pain and swelling resulting from orthognathic surgery."</t>
  </si>
  <si>
    <t>Oral surgery</t>
  </si>
  <si>
    <t>Systematic Review of Post-Surgical Laser-Assisted Oral Soft Tissue Outcomes Using Surgical Wavelengths Outside the 650-1350 nm Optical Window</t>
  </si>
  <si>
    <t>"The searches were carried out with reference to (1) dental laser wavelengths shorter than 650 nm; (2) wavelengths localized within the 2780-2940 nm; and (3) the 9300-10,600 nm range."
"A detailed and blinded examination of published studies has been undertaken, applying strict criteria to demonstrate research outcome data, which suggests positive or at worst neutral comparatives when a given laser wavelength system is used against an alternative control therapy."</t>
  </si>
  <si>
    <t>Photobiomodulation in Oral Surgery: A Review.</t>
  </si>
  <si>
    <t>"Most papers suggested that PBM seemed to be effective in reducing pain, swelling, and trismus after third molar tooth extraction, neurosensory and nerve recovery after mandibular ramus osteotomy. 
The heterogeneity of the standardization regarding the parameters of laser calls for caution in interpretation of these results. However, this evidence-based review regarding the best protocols for OMFS applications can be beneficial for both future research and clinical applications."</t>
  </si>
  <si>
    <t>Ezzat</t>
  </si>
  <si>
    <t>Int J Pediatr Otorhinolaryngol</t>
  </si>
  <si>
    <t>The effectiveness of low-level laser on postoperative pain and edema in secondary palatal operation.</t>
  </si>
  <si>
    <t>🧑 Human (pediatric)
🎲 Randomized trial, double-blind
👥 20 participants
⌛ single treatment -&gt; 7-day follow-up</t>
  </si>
  <si>
    <t>~180</t>
  </si>
  <si>
    <t>"The pain scale showed significantly less postoperative pain in the laser group than in the control group from the first day (P-value = 0.006) to the 6th day (P-value = 0.014). The number of postoperative analgesic doses needed were significantly less in the laser group in the second and third days (P-value = 0.014). The postoperative edema was significantly higher in the control group from the 2nd (P-value = 0.004) to the 7th (P-value = 0.014) postoperative days."
"Preliminary results showed that low-level laser therapy is effective in the reduction of postoperative pain and edema, and minimizing the need of analgesic medication after secondary palatal operations."</t>
  </si>
  <si>
    <t>Doeuk</t>
  </si>
  <si>
    <t>Current indications for low level laser treatment in maxillofacial surgery: a review.</t>
  </si>
  <si>
    <t>- We found 45 papers that we screened independently.
- The resulting full texts were scrutinised by two authors who awarded a maximum of 5 points using the Jadad scale for assessing the quality of RCT, and extracted the data according to sample size, variables of LLLT, the authors' conclusions, and the significance of the result.
- LLLT seems to be effective for the treatment of oral mucositis after treatment for head and neck cancer.
- However, it cannot yet be considered a valid treatment for disorders of the TMJ.
- It seems to improve gingival healing, and myofacial and dental pain."</t>
  </si>
  <si>
    <t>Etemadi</t>
  </si>
  <si>
    <t>The effects of low level 660nm laser irradiation on pain and teeth hypersensitivity after periodontal surgery</t>
  </si>
  <si>
    <t>🧑 Human
🎲 Randomized trial
👥 40 participants
⌛ 7 days</t>
  </si>
  <si>
    <t>"In the laser group, both sides had lower VAS for pain than the control group (P&lt; 0.05) after the first day. There was no statistical difference in the laser group between laser irradiated, or non-irradiated segment and for sensitization between groups."</t>
  </si>
  <si>
    <t>Kahraman SA</t>
  </si>
  <si>
    <t>Oral Maxillofac Surg Clin North Am</t>
  </si>
  <si>
    <t>Low-level laser therapy in oral and maxillofacial surgery</t>
  </si>
  <si>
    <t>"LLLT appears to be more useful in some areas of dentistry than in others. For example, LLLT might have benefit in the treatment of chronic wounds such as those occurring as complications of diabetes mellitus. LLLT induces faster cessation of the burning sensation and reduces the number and duration of lesions in apthous stomatitis. LLLT can be used for promotion of vascularization and improvement in the ‘‘take’’ of tissue transplants. Patients undergoing radiotherapy or chemotherapy suffer gravely the mucositis induced by the therapy; LLLT can be used not only to treat the mucositis but also to reduce it by mucosal irradiation before radiotherapy. Despite the lack of research reports addressing any proven effects, LLLT has been used quite often to treat burns."</t>
  </si>
  <si>
    <t>Orofacial granulomatosis</t>
  </si>
  <si>
    <t>Jácome-Santos</t>
  </si>
  <si>
    <t>Low-level laser as a complementary therapy in orofacial granulomatosis management: a case report.</t>
  </si>
  <si>
    <t>🧑 Human
📄 Case report
⌛ 4-week treatment / 6-month follow-up</t>
  </si>
  <si>
    <t>(660)</t>
  </si>
  <si>
    <t>"A 47-year-old man presented with increased lip volume which had started 10 months earlier. His lips were thick with a fibroelastic consistency, which were painless upon palpation. Incisional biopsy and histopathological analysis of the upper lip revealed non-specific granulomatous inflammation and the diagnosis of OFG was subsequently made. 
Low-level laser therapy was successfully used to treat OFG in this case, and appears to be an efficient treatment for OFG when corticosteroid therapy is not enough."
Comment: Wavelength was not reported but the device was Laser Duo by MMO, which seems to have wavelengths of 660 and 808 nm. In the figure we see the visible red irradiation (660 nanometers). According to the device manual, it seems to have to modes (L1: red; L2; near-infrared), so we can probably assume that the used wavelength has been 660 nanometers.</t>
  </si>
  <si>
    <t>Orofacial pain</t>
  </si>
  <si>
    <t>Effectiveness of photobiomodulation and orofacial myofunctional therapy in orofacial pain disorders. A systematic review of randomized control trials</t>
  </si>
  <si>
    <t>"Randomized controlled trials (RCTs) focusing on PBM and OMT for the management of orofacial pain were included. Risk of bias across individual studies was performed using the Cochrane risk of bias tool for interventions. 
A total of 10 RCTs were included, out of which 7 RCTs revealed that the combined approach of PBM and OMT had a more pronounced impact on diminishing pain and enhancing functional activity in patients with orofacial disorders. 
One study reported significant increases in pressure pain threshold for TMJ, masseter, and anterior temporalis muscles at both sides in the post-treatment compared with the pre-treatment in both groups. 
The risk of bias was low in 7, moderate in 2, and high in 1 study. The efficacy of a combined modality treatment of PBM with OMT for orofacial pain disorder shows promising results. However, further randomized controlled trials with extended follow-up periods standardized PBM and OMT parameters are warranted to obtain firm conclusions."</t>
  </si>
  <si>
    <t>Photobiomodulation and vitamin B treatment alleviate both thermal and mechanical orofacial pain in rats</t>
  </si>
  <si>
    <t>"All testeds treatments reversed the painful behavior. The decrease in pain was accompanied by a decrease of Glial Fibrillary Acidic Protein (GFAP), a specific astrocytic marker, and Ionized calcium-binding adaptor molecule 1 (Iba-1), a marker of microglia, and decreased expression of Transient Receptor Potential Vanilloid 1 (TRPV1), Substance P, and Calcitonin Gene-Related Peptide (CGRP) induced by CCI-IoN in PAG and Trigeminal ganglion. Furthermore, both treatments showed a higher expression of Cannabinoid-type 1 (CB1) receptor in the trigeminal ganglion compared to CCI-IoN rats. Our results show that no difference was observed between groups."
"We showed that PBM or [vitamin B complex] regulates neuroinflammation and reduces inflammatory protein expression. However, the combination of PBM and [vitamin B complex] did not enhance the effectiveness of both therapies alone."</t>
  </si>
  <si>
    <t>Matrtins</t>
  </si>
  <si>
    <t>Brain Behav Immun</t>
  </si>
  <si>
    <t>Photobiomodulation and B vitamins administration produces antinociception in an orofacial pain model through the modulation of glial cells and cytokines expression</t>
  </si>
  <si>
    <t>43.4</t>
  </si>
  <si>
    <t>0.78
/p</t>
  </si>
  <si>
    <t>90
(5p)</t>
  </si>
  <si>
    <t>"CCI-IoN caused mechanical allodynia and cellular alterations including increased expression of glial fibrillary acid protein (GFAP) and ionized calcium binding adaptor molecule 1 (Iba-1), administration of VBC (...) and PBM therapy (...) or their combination presented improvement of the nociceptive behavior and decreased expression of GFAP and Iba-1. 
Additionally, CCI-IoN rats exhibited an upregulation of IL1β, IL6 and TNF-α expression and all treatments prevented this upregulation and also increased IL10 expression. "</t>
  </si>
  <si>
    <t>J Oral Facial Pain Headache</t>
  </si>
  <si>
    <t>Efficacy of Low-Level Laser Therapy for the Therapeutic Management of Neuropathic Orofacial Pain: A Systematic Review.</t>
  </si>
  <si>
    <t>"A total of 997 studies were obtained with the initial search; 13 (8 randomized controlled trials, 2 prospective studies, and 3 case series) met the inclusion criteria and were analyzed for data extraction. Three provided data for the treatment of trigeminal neuralgia, 1 for occipital neuralgia, and 10 for burning mouth syndrome. All studies showed a reduction in pain intensity (most of them significant)."
"LLLT seems to be effective as a treatment option for different neuropathic orofacial pain entities such as trigeminal neuralgia, occipital neuralgia, and burning mouth syndrome as a single or combined treatment. However, more quality studies assessing all outcome measures of chronic pain are needed in the medium and long terms."</t>
  </si>
  <si>
    <t>Low-level laser therapy and anesthetic infiltration for orofacial pain in patients with fibromyalgia: a randomized clinical trial.</t>
  </si>
  <si>
    <t>🧑 Human
⚔ Comparison study
👥 66 participants
⌛ 6 weeks</t>
  </si>
  <si>
    <t>Fibromyalgia
PBM vs lidocaine injection</t>
  </si>
  <si>
    <t>40
/ point?</t>
  </si>
  <si>
    <t>"The pain decreased significantly in each group after the treatment (p=0.0001, β=1.0), even though no statistical difference was found between both treatments (p=0.46, β= 0.82)."
"The LLLT by GaAlAs and anesthetic infiltration of lidocaine 2% were equally effective to control orofacial pain in FM individuals."</t>
  </si>
  <si>
    <t>Amanat</t>
  </si>
  <si>
    <t>The adjunct therapeutic effect of lasers with medication in the management of orofacial pain: double blind randomized controlled trial.</t>
  </si>
  <si>
    <t>🧑 Human
🎲 Randomized trial, double-blind
👥 60 participants
⌛ ~3-week treatment -&gt; 2-4 month follow-up</t>
  </si>
  <si>
    <t>12.73</t>
  </si>
  <si>
    <t>"We found no significant level of efficacy for the GaAs laser in the management of common orofacial pain. Further studies are suggested to evaluate the efficacy of other types of lasers with different parameters in the management of orofacial pains."</t>
  </si>
  <si>
    <t>Tamagawa</t>
  </si>
  <si>
    <t>Severe intractable facial pain attenuated by a combination of 830 nm diode low reactive-level laser therapy and stellate ganglion block: A case report</t>
  </si>
  <si>
    <t>"We suspected that she was suffering from neuropathic pain secondary to her trauma, and we treated her with diode laser low reactive-level laser therapy (LLLT) using a GaAlAs 830 nm continuous wave system with an output power of 150 mW. Because the therapy was not effective, trigger point injection of an anesthetic (bupivacaine) was applied, which suceessfully attenuated the sharp pain, Subsequent combined treatment of conventional stellate ganglion block and antidepressant medication (desipramine) gave her a warm sensation on the pain region following LLLT. Three months after her admission, the intractable pain was successfully attenuated by the combination of diode LLLT and stellate ganglion block. "</t>
  </si>
  <si>
    <t>Hansen &amp; Thorøe</t>
  </si>
  <si>
    <t>Low power laser biostimulation of chronic oro-facial pain. A double-blind placebo controlled cross-over study in 40 patients.</t>
  </si>
  <si>
    <r>
      <rPr>
        <sz val="7.0"/>
      </rPr>
      <t xml:space="preserve">🧑 Human
🎲 Randomized trial, semi-crossover </t>
    </r>
    <r>
      <rPr>
        <i/>
        <sz val="7.0"/>
      </rPr>
      <t>(see full text)</t>
    </r>
    <r>
      <rPr>
        <sz val="7.0"/>
      </rPr>
      <t>, double-blind
👥 70 participants
⌛ 4 weeks</t>
    </r>
  </si>
  <si>
    <t>0.079</t>
  </si>
  <si>
    <t>60-
1080
(varying)</t>
  </si>
  <si>
    <t>"No statistically significant difference between the analgesic effect of the laser and placebo irradiation was found on VAS-scales."
Jan Tuner: "It is interesting to note that the authors themselves state the origin of "burning mouth" as multifactor, psychosomatic or psychogenic. Thus, there would be no actual injury to the tissue, and laser, like any other modality, would have no effect. The negative 5-HIAA measurement in the laser group may indeed confirm the inappropriate inclusion parameters and laser energies in this study."</t>
  </si>
  <si>
    <t>Orthodontics: Flapless corticotomy</t>
  </si>
  <si>
    <t>Mousa</t>
  </si>
  <si>
    <t>Clin Pract</t>
  </si>
  <si>
    <t>Patient-Reported Outcome Measures of Flapless Corticotomy with Low-Level Laser Therapy in En Masse Retraction of Upper Anterior Teeth: A Three-Arm Randomized Controlled Trial</t>
  </si>
  <si>
    <t>🧑 Human
🎲 Randomized trial
👥 60 participants
⌛ 3-month study (?)</t>
  </si>
  <si>
    <t>"The accelerated en masse retraction via piezocision, followed by a small course of LLLT, was accompanied by significantly fewer pain, discomfort, and chewing difficulties than the control group. LLLT is a valuable addition to piezocision, with an improved patient experience."</t>
  </si>
  <si>
    <t>Orthodontics: Functional appliances</t>
  </si>
  <si>
    <t>Aghili</t>
  </si>
  <si>
    <t>Effect of Low-Level Laser Therapy on Patients With Class II Mandibular Deficiency Treated with Farmand Functional Appliance</t>
  </si>
  <si>
    <t>🧑 Human
🎲 Randomized trial
👥 22 participants
⌛ 3 months</t>
  </si>
  <si>
    <t>400
(4 points)</t>
  </si>
  <si>
    <t>"The association of the particular laser irradiation with the functional appliance led to a greater increase in the effective length of the mandible (Co-Gn, P=0.048), the anterior sagittal position of the mandible (SNB, P=0.029), and the length of the ramus (Co-Go, P=0.028), and it showed a further decrease in the discrepancy between the jaws (ANB, P=0.000) compared with the functional appliance alone."
"The application of the laser with the chosen parameters and protocol in conjunction with the functional appliance improved the effects of the functional appliance and reduced the discrepancy between the two jaws."</t>
  </si>
  <si>
    <t>Device: A.R.C. Laser, Deutschland, Nurberg</t>
  </si>
  <si>
    <t>Abdulhadi</t>
  </si>
  <si>
    <t>Evaluation of the Functional Treatment of Patients With Skeletal Class II Malocclusion Using Low-Level Laser Therapy-Assisted Twin-Block Appliance: A Three-Arm Randomized Controlled Trial</t>
  </si>
  <si>
    <t>🧑 Human
🎲 Randomized trial
👥 48 participants
⌛ 129 days (mean treatment duration in active group), 235 days (control group)</t>
  </si>
  <si>
    <t>25
(5p)</t>
  </si>
  <si>
    <t>100
(5p)</t>
  </si>
  <si>
    <t>8
/ first month
+
2
/ second month
+ 
every three weeks until Tx finished</t>
  </si>
  <si>
    <t>"There were statistically significant differences in treatment periods between the LLLT-TB group and the TB group (129 days and 235 days, respectively, P-value&lt;0.001). The change in the effective mandibular length (Co-Gn) was the highest in the LLLT-TB group compared with the TB and the UCG groups (4.41 mm, 3.66 mm, and 1.07 mm, respectively; P-value&lt;0.001)."
"The application of low-level laser therapy on the condylar regions accelerated the functional treatment in skeletal Class II malocclusion patients by approximately 45% and increased the bone growth and mandibular length. The improvement in the SNB angle was similar in both interventional groups. 
Irradiation of low-level laser stimulated bone growth at the condyles and did not cause anterior movement of the temporomandibular joint following functional orthopedic correction."</t>
  </si>
  <si>
    <t>Orthodontics: Gingival health</t>
  </si>
  <si>
    <t>Shafaee</t>
  </si>
  <si>
    <t>The effects of Low-Level laser Therapy and Photodynamic Therapy on Oral Health of Fixed Orthodontics Patients. A Systematic review and Meta-analysis</t>
  </si>
  <si>
    <t>"Eighteen randomized studies, conducted between 2015 and December 2022, were selected for meta-analysis. Five studies were conducted as split-mouth, twelve as parallel-group, and one as a cross-over design. 
Among the studies, five examined the effects of low-level laser therapy and twelve assessed the effects of photodynamic therapy. 
The meta-analysis revealed that photodynamic therapy significantly reduced probing depth compared to scaling (MD=-0.2 mm, P&lt;0.001), though the difference does not seem to be clinically significant. 
But no significant differences between photodynamic therapy and scaling or low-level laser therapy and control groups in terms of plaque index, or bleeding on probing, gingival crevicular fluid volume, gingival recession, clinical attachment loss, bacterial load and concentrations of inflammatory substances across multiple follow-up periods."</t>
  </si>
  <si>
    <t>Sandra</t>
  </si>
  <si>
    <t>India
(Tirupathi)</t>
  </si>
  <si>
    <t>J Clin Transl Res</t>
  </si>
  <si>
    <t>Comparison of laser therapy and ozonated water on gingival inflammation in orthodontic patients with fixed appliances</t>
  </si>
  <si>
    <t>🧑 Human
⚔ Comparison study, double-blind, split-mouth
👥 30 participants
⌛ 7-day treatment / 28-day study</t>
  </si>
  <si>
    <t>PBM vs subgingival ozonated water</t>
  </si>
  <si>
    <t>"A statistically significant (p &lt; 0.05) reduction of all clinical parameters and MCP-1 activity in GCF was observed on both sides. Low-level laser irradiation showed a significant reduction of clinical parameters and MCP-1 activity compared to subgingival ozone irrigation."
Comment: Wavelength was not mentioned in the full text, but the device (Zolar Photon Plus 10W) apparently uses 980 nm wavelength.</t>
  </si>
  <si>
    <t>Algerban A</t>
  </si>
  <si>
    <t>Efficacy of antimicrobial photodynamic and photobiomodulation therapy against Treponema denticola, fusobacterium nucleatum and human beta defensin-2 levels in patients with gingivitis undergoing fixed orthodontic treatment: A clinic-laboratory study.</t>
  </si>
  <si>
    <t>🧑 Human
🎲 Randomized trial
👥 45 participants
⌛ 15-day treatment / 60-day study</t>
  </si>
  <si>
    <t>810
(PBM)</t>
  </si>
  <si>
    <t>0.89</t>
  </si>
  <si>
    <t>1.25</t>
  </si>
  <si>
    <t>4.46</t>
  </si>
  <si>
    <t>0.28
cm2
spot</t>
  </si>
  <si>
    <t>5
/ site</t>
  </si>
  <si>
    <t>2
/ 15 days
(on baseline and day 15)</t>
  </si>
  <si>
    <t>"aPDT and PBM showed similar improvement in gingival inflammatory and microbiological parameters compared to US."
Comment: No additional benefit from PBM.</t>
  </si>
  <si>
    <t>Nassar</t>
  </si>
  <si>
    <t>Influence of low-level laser (LLL) on interleukin 6 (IL-6) levels in gingival crevicular fluid (GCF) during orthodontic tooth movement of periodontally affected rabbits.</t>
  </si>
  <si>
    <t>"IL-6 levels increased gradually after application of orthodontic force, afterwards the 8th day, a significant difference in the Il-6 levels between G1 vs. G2 and G2 vs. G3 was observed. PPD measurements showed significant difference between the three groups at base line and after 14 days."</t>
  </si>
  <si>
    <t>Effects of the photobiomodulation using different energy densities on the periodontal tissues under orthodontic force in rats with type 2 diabetes mellitus.</t>
  </si>
  <si>
    <t>0.0013
cm2</t>
  </si>
  <si>
    <t>"Therefore, the energy density of 640 J/cm2 provided the best maintenance and integrity of the periodontal tissue microarchitecture under continuous orthodontic force when compared with the other dosages, mainly in the uncontrolled diabetic rats."</t>
  </si>
  <si>
    <t>Germany
(Marburg)</t>
  </si>
  <si>
    <t>Influence of Photobiomodulation Therapy on Gingivitis Induced by Multi-Bracket Appliances: A Split-Mouth Randomized Controlled Trial.</t>
  </si>
  <si>
    <t>🧑 Human
🎲 Randomized trial, split-mouth
👥 13 participants
⌛ single treatment -&gt; 5-day follow-up</t>
  </si>
  <si>
    <t>Orthodontics-related gingivitis</t>
  </si>
  <si>
    <t>52
(26p)</t>
  </si>
  <si>
    <t>520
(26p)</t>
  </si>
  <si>
    <t>"The PBI and BOP values decreased significantly between T0 and T1 on both sides (p &lt; 0.05). At T1, the PBI and BOP values were significantly lower in the laser side in comparison with the control side (p &lt; 0.05)."</t>
  </si>
  <si>
    <t>Low-level laser-aided orthodontic treatment of periodontally compromised patients: a randomised controlled trial.</t>
  </si>
  <si>
    <t>🧑 Human
🎲 Randomized trial, sham-controlled, split-mouth
👥 27 participants
⌛ 6 months</t>
  </si>
  <si>
    <t>8.6</t>
  </si>
  <si>
    <t>8
/ first six weeks
-&gt;
monthly until the end of orthodontic treatment</t>
  </si>
  <si>
    <t>"The intensity of pain was lower on the laser-irradiated side at multiple follow-up visits (P &lt; 0.05). The pain subsided 1 day earlier on the laser side, with a lower peak value during the first week after initial archwire placement (P &lt; 0.05).
The laser side exhibited a smaller reduction in bite force during the first month (mean difference = 3.17, 95% CI: 2.36-3.98, P &lt; 0.05 at 1-week interval; mean difference = 3.09, 95% CI: 1.87-4.32, P &lt; 0.05 at 1-month interval).
A smaller increase was observed in the plaque index scores on the laser side at 1-month (mean difference = 0.19, 95% CI: 0.13-0.24, P &lt; 0.05) and in the gingival index scores at the 3-month follow-up visit (mean difference = 0.18, 95% CI: 0.14-0.21, P &lt; 0.05). 
Laser irradiation inhibited the elevation of interleukin-1β, prostaglandin E2 and substance P levels during the first month (P &lt; 0.05). However, no intergroup difference was detected in the bacteria levels. 
Low-level laser irradiation exhibits benefits in pain relief and inflammation control during the early stage of adjunctive orthodontic treatment in periodontally compromised individuals."</t>
  </si>
  <si>
    <t>Effects of the GaAlAs diode laser (780 nm) on the periodontal tissues during orthodontic tooth movement in diabetes rats: histomorphological and immunohistochemical analysis.</t>
  </si>
  <si>
    <t>640</t>
  </si>
  <si>
    <t>0.00126
cm2</t>
  </si>
  <si>
    <t>"The PBM strongly stimulated the alveolar bone remodeling and favored the continuous reorganization of the soft periodontal tissues, leading to the maintenance and integrity of the periodontal microstructure under orthodontic force, especially in uncontrolled diabetic rats."</t>
  </si>
  <si>
    <t>Abellán</t>
  </si>
  <si>
    <t>Short- and Medium-Term Effects of Low-Level Laser Therapy on Periodontal Status in Lingual Orthodontic Patients.</t>
  </si>
  <si>
    <t>🧑 Human
🎲 Randomized trial, split-mouth
👥 12 participants
⌛ 12 months</t>
  </si>
  <si>
    <t>6.05</t>
  </si>
  <si>
    <t>60
/tooth</t>
  </si>
  <si>
    <t>6
/ 2 weeks
-&gt;
4
/ 12 months
= 10 sessions 
/ 1 year</t>
  </si>
  <si>
    <t>"LLLT showed short-term effects by preventing a substantial increase in IL-1β levels. At medium-term follow-up, LLLT diminished VPI, BOP, and PD scores."</t>
  </si>
  <si>
    <t>Periodontal effects with self ligating appliances and laser biostimulation.</t>
  </si>
  <si>
    <t>🧑 Human
📄 Single-arm study
👥 22 participants (27 teeth)
⌛ 6 months</t>
  </si>
  <si>
    <t>7
/ 6 months</t>
  </si>
  <si>
    <t>"In conclusion patients with teeth erupted in ectopic position get benefit from combined use of LLLT and self ligating orthodontic appliance in order to improve the formation of new area of keratinized gingival in particular in this study we obtained about 3,1 mm of this one."
Note: No control group.</t>
  </si>
  <si>
    <t>Orthodontics: Implants / miniscrews</t>
  </si>
  <si>
    <t>Yassaei</t>
  </si>
  <si>
    <t>Diode Laser Irradiation Effects on Miniscrew Stability and IL-1β and TGF-β1 Levels: A Split-Mouth Randomized Controlled Clinical Trial</t>
  </si>
  <si>
    <t>🧑 Human
🎲 Randomized trial, split-mouth
👥 18 participants
⌛ 3 months</t>
  </si>
  <si>
    <t>"The mean PTV (inverse of the stability) was smaller in the laser group compared with the control group at all time points; this difference was significant at T2 and T3."
"The current results supported the efficacy of LLLT in increasing the miniscrew stability and decreasing the level of IL-1β pro-inflammatory cytokine."</t>
  </si>
  <si>
    <t>Eur J Med Res</t>
  </si>
  <si>
    <t>Effects of low-level laser therapy on orthodontic miniscrew stability: a systematic review</t>
  </si>
  <si>
    <t>"Two RCTs reported increased miniscrews stability with low-intensity laser therapy, but the other one reported no difference. Except one study assessed as "high risk of bias" the other two were rated as "low risk of bias"."
"There is insufficient evidence to support or refute the effectiveness of LLLT for improvement of miniscrew stability."</t>
  </si>
  <si>
    <t>Razaghi</t>
  </si>
  <si>
    <t>The Effect of Photobiomodulation Therapy on the Stability of Orthodontic Mini-implants in Human and Animal Studies: A Systematic Review and Meta-analysis</t>
  </si>
  <si>
    <t>"15 studies were included in the systematic review after a comprehensive search. Ten studies were included in the meta-analysis. Four were human RCT studies that evaluated the stability with Preriotest. Three other human RCT studies and two animal studies had evaluated the Implant stability quotient (ISQ). Two human RCTs that had evaluated displacement of mini-implants were also analyzed. 
The analysis of Periotest stability results showed a positive effect of PBM on mini-implant stability at 30 and 60 days after implantation (P&lt;0.05). In human studies using the ISQ method, a slight improvement was seen in the PBM groups; however, this was not statistically significant (CI=-1.92-2.70, SMD=0.39). 
In studies that examined the displacement of mini-implants, no statistically significant difference was observed between irradiated and non-irradiated groups (CI=-1.92-2.70, SMD=0.03). 
According to the results of animal studies, which had used the ISQ method, the use of laser was statistically effective in increasing the stability of mini-implants (SMD=1.43, CI=1.00-1.85)."
"Conclusion: PBM therapy can be suggested as an adjunctive clinical method to improve the stability of mini-implant treatment. Further well-designed clinical studies can help establish evidence-based dosing and irradiation protocols."</t>
  </si>
  <si>
    <t>Alkan</t>
  </si>
  <si>
    <t>Effect of Low-Level Laser Therapy on Peri-Miniscrew Fluid Prostaglandin E2 and Substance P Levels: A Controlled Clinical Trial</t>
  </si>
  <si>
    <t>"The differences in PGE2 and SP levels between the laser and control groups were not statistically significant at all time intervals."</t>
  </si>
  <si>
    <t>Prog Orthod</t>
  </si>
  <si>
    <t>Effects of low-level laser therapy on the orthodontic mini-implants stability: a systematic review and meta-analysis</t>
  </si>
  <si>
    <t>"Five RCTs and one Non-RCT were included and 108 patients were evaluated.
The LLLT characteristics presented different wavelength, power, energy density, irradiation time, and protocol duration.
Five RCTs had a low risk of selection bias. Two RCTs had a low risk of performance and detection bias. All RCTs had a low risk of attrition bias, reporting bias and other bias. The Non-RCT presented a low risk of bias for all criteria, except for the bias in selection of participants.
The meta-analysis revealed that LLLT significantly increased the OMI stability (p &lt; 0.001, Cohen's d = 0.67) and the highest clinical benefit was showed after 1 (p &lt; 0.001, Cohen's d = 0.75), 2 (p &lt; 0.001, Cohen's d = 1.21), and 3 (p &lt; 0.001, Cohen's d = 1.51) months of OMI placement."
"LLLT shows positive effects on the OMI stability."</t>
  </si>
  <si>
    <t>Michelogiannakis</t>
  </si>
  <si>
    <t>Eur J Orthod</t>
  </si>
  <si>
    <t>Influence of low-level-laser therapy on the stability of orthodontic mini-screw implants. A systematic review and meta-analysis</t>
  </si>
  <si>
    <t>"Six RCTs with a split-mouth design were included. The periotest was used in 4 RCTs and 2 RCTs used RFA to measure MSI stability. All RCTs had a low RoB. Subgroup analyses based on periotest indicated that MSIs treated with LLLT had significantly higher stability than untreated MSIs at 21 and 30 days [weighted mean difference (MD) = -2.76, confidence interval (CI): [-4.17, -1.36], P-value = 0.0001) and at 60 days (weighted MD = -3.47, CI: [-4.58, -2.36], P &lt; 0.00001); and the level of certainty was high."
"The role of LLLT on the secondary stability of MSIs placed in patients undergoing OT remains debatable."</t>
  </si>
  <si>
    <t>Shavakhi</t>
  </si>
  <si>
    <t>Effectiveness of Photobiomodulation on Orthodontic Mini Screw Stability: A Systematic Review</t>
  </si>
  <si>
    <t>"Seven articles were finally included in the present review.
Moderate-quality evidence suggests that if the PBMT continues until the third or fourth week, the stability of min screws would be promoted from the third to the eighth week after insertion. Although the evidence for secondary outcomes was limited, PBMT could positively affect the inflammation."</t>
  </si>
  <si>
    <t>Effect of 808 Nm Semiconductor Laser on the Stability of Orthodontic Micro-Implants: A Split-Mouth Study</t>
  </si>
  <si>
    <t>🧑 Human
🎲 Randomized trial, split-mouth
👥 44 participants
⌛ 30-day treatment / 60-day study</t>
  </si>
  <si>
    <t>Orthodontic microimplant</t>
  </si>
  <si>
    <t>7
/ 30 days</t>
  </si>
  <si>
    <t>"Patients did not report significant differences in terms of pain experiences comparing the L and C groups (p = 0.499). 
At 30 days post-treatment, higher secondary stability of implants was observed in the laser group (Periotest Test Value, PTV 6.32 ± 3.62), in contrast to the controls (PTV 11.34 ± 5.76) (p = 0.004)
At 60 days post-treatment, significantly higher stability was recorded in the laser group (PTV 6.55 ± 4.66) compared with the controls, PTV (10.95 ± 4.77) (p = 0.009)."</t>
  </si>
  <si>
    <t>A Clinical Trial of Photobiomodulation Effect on Orthodontic Microscrews Stability Using a 635 nm Red Laser Light</t>
  </si>
  <si>
    <t>🧑 Human
🎲 Randomized trial
👥 15 participants (30 orthodontic miniscrews)
⌛ 30-day treatment / 60-day study</t>
  </si>
  <si>
    <t>Orthodontic microscrew</t>
  </si>
  <si>
    <t>8
(2 points)</t>
  </si>
  <si>
    <t>80
(2 points)</t>
  </si>
  <si>
    <t>"The analysis after 60 days revealed significantly higher secondary stability for the laser-irradiated microscrews group in comparison with control implants (G2 group) (p = 0.0037). We observed significantly higher stability in the experimental group compared with the control after 30 days (p = 0.0218). Moreover, we noted significantly higher microimplants stability for the control group in comparison with the test group, 9 days after implantation (p = 0.0374). Laser application had no effect on pain reduction noted in the first day in comparison with the control sites (p = 0.6690). No microscrews were lost in the study."
"Application of a 635 nm laser on peri-implant soft tissue increased the microscrews stability after 30 and 60 days."
Comment: Photo in grayscale.</t>
  </si>
  <si>
    <t>Flieger</t>
  </si>
  <si>
    <t>Poland
(Kościan)</t>
  </si>
  <si>
    <t>Low-Level Laser Therapy with a 635 nm Diode Laser Affects Orthodontic Mini-Implants Stability: A Randomized Clinical Split-Mouth Trial.</t>
  </si>
  <si>
    <t>🧑 Human
🎲 Randomized trial, split-mouth
👥 20 participants (40 implants)
⌛ 30-day treatment / 60-day study</t>
  </si>
  <si>
    <t>200
(2p)</t>
  </si>
  <si>
    <t>"635-nm diode laser at laser irradiation increases the secondary stability of orthodontic mini-implants."</t>
  </si>
  <si>
    <t>Marañón-Vásquez</t>
  </si>
  <si>
    <t>Effect of photobiomodulation on the stability and displacement of orthodontic mini-implants submitted to immediate and delayed loading: a clinical study</t>
  </si>
  <si>
    <t>🧑 Human
📄 Non-randomized study, controlled
👥 19 participants 
⌛ 14-day treatment / 4-month study</t>
  </si>
  <si>
    <t>Groups:
1) PBM + immediate loading
2) PBM + delayed loading
3) immediate loading
4) delayed loading
Wavelength comparison (not matched energy density)</t>
  </si>
  <si>
    <t>660
(first
sess.)
808
(other
sess.)</t>
  </si>
  <si>
    <t>1
+
6
/ 14 days</t>
  </si>
  <si>
    <t>Mini-implants from the PBM groups presented lower loss of stability (P = 0.0372). When the analysis considered the loading protocol as an additional variable, group two showed the lowest loss of stability, being significantly different from groups that did not receive PBM (P = 0.0161). 
There was no difference between groups two and four during the period without loading (P &gt; 0.05). DL groups presented lower loss when the effective period of loading was assessed, independently of the application of PBM (P &lt; 0.0001). 
All groups showed displacement of the MIs head without significant differences (P &gt; 0.05). DL potentiated the effect of PBM, decreasing the loss of stability.</t>
  </si>
  <si>
    <t>Abohabib</t>
  </si>
  <si>
    <t>Egypt
(Karfelskeikh)</t>
  </si>
  <si>
    <t>J Orthod</t>
  </si>
  <si>
    <t>Effects of low-intensity laser therapy on the stability of orthodontic mini-implants: a randomised controlled clinical trial.</t>
  </si>
  <si>
    <t>🧑 Human
🎲 Randomized trial, split-mouth
👥 15 participants
⌛ 21-day treatment / 10-week study</t>
  </si>
  <si>
    <t>"Despite evidence of some significant differences in resonance frequency between mini-implants exposed to low-intensity laser light over a 10 weeks period there were no differences in mini-implant stability. Low-intensity laser light cannot be recommended as a clinically useful adjunct to promoting mini-implant stability during canine retraction."</t>
  </si>
  <si>
    <t>Yanaguizawa</t>
  </si>
  <si>
    <t>Effects of Low-Level Laser Therapy in Orthodontic Patients on Immediate Inflammatory Response After Mini-Implants Insertion: A Preliminary Report.</t>
  </si>
  <si>
    <t>🧑 Human
📄 Non-randomized study, self-controlled
👥 10 participants
⌛ 3-day treatment / 4-day study</t>
  </si>
  <si>
    <t>Inflammatory response</t>
  </si>
  <si>
    <t>"PGF around nonirradiated mini-implants showed higher levels of IL-8. Levels of IL-6 24 h after mini-implant insertion were higher for laser group."
"LLLT modulates the initial inflammation after the insertion of mini-implant, possibly increasing the mini-implant success prognostic and decreasing patient discomfort."</t>
  </si>
  <si>
    <t>Light emitting diode mediated photobiomodulation therapy improves orthodontic tooth movement and miniscrew stability: A randomized controlled clinical trial.</t>
  </si>
  <si>
    <t>🧑 Human (pediatric)
🎲 Randomized trial, double-blind, split-mouth
👥 20 participants
⌛ 21-day treatment / 3-month study</t>
  </si>
  <si>
    <t>Tooth movement
Miniscrew stability
LED phototherapy</t>
  </si>
  <si>
    <t>"Miniscrew stability was similar between control and LPT groups at baseline (T0) and the 1st month (T1). However, miniscrew stability was significantly increased in the LPT group in 2nd (T2) and 3rd (T3) months.
Comparison of tooth movement during three different time intervals (T1-T0, T2-T1, and T3-T2) revealed that statistically significantly increased in every time intervals after LPT.
No statistically significant change was detected in the IL-1β levels between groups."
Comment: Parameters were poorly reported.</t>
  </si>
  <si>
    <t>Effects of low-intensity laser therapy over mini-implants success rate in pigs.</t>
  </si>
  <si>
    <t>34</t>
  </si>
  <si>
    <t>0.12
cm2
area</t>
  </si>
  <si>
    <t>"Clinical results showed a success rate of 60% for the control group and 80% for the laser-treated group. The histological analysis and fluorescent microscopy demonstrated that the laser group had less inflammatory cells than the control group and the bone neoformation around the miniscrew was more intense. Low-intensity laser therapy increased the success rate of orthodontic miniscrews, probably due to anti-inflammatory effect and bone stimulation."</t>
  </si>
  <si>
    <t>Goymen</t>
  </si>
  <si>
    <t>Histomorphometric evaluation of the effects of various diode lasers and force levels on orthodontic mini screw stability.</t>
  </si>
  <si>
    <t>5.85
cm2</t>
  </si>
  <si>
    <t>195
390</t>
  </si>
  <si>
    <t>"Low-level laser therapy was noticed to induce the mini screw-bone contact area. Low-level laser therapy may be a supplementary treatment method to increase the stability of the orthodontic mini screw."</t>
  </si>
  <si>
    <t>Resonance frequency analysis of orthodontic miniscrews subjected to light-emitting diode photobiomodulation therapy.</t>
  </si>
  <si>
    <t>Orthodontic miniscrews to rabbit tibia
LED phototherapy</t>
  </si>
  <si>
    <t>"Within the limits of this in vivo study, the present RFA findings suggest that LPT might have a favourable effect on healing and attachment of titanium orthodontic miniscrews."</t>
  </si>
  <si>
    <t>Orthodontics: Inflammation</t>
  </si>
  <si>
    <t>High-frequency near-infrared semiconductor laser irradiation suppressed experimental tooth movement-induced inflammatory pain markers in the periodontal ligament tissues of rats</t>
  </si>
  <si>
    <t>"High-frequency NIR semiconductor laser irradiation exerts significant effects on ETM-induced inflammation. High-frequency NIR semiconductor laser irradiation can reduce periodontal inflammation during orthodontic tooth movement."</t>
  </si>
  <si>
    <t>Photobiomodulation impacts the levels of inflammatory mediators during orthodontic tooth movement? A systematic review with meta-analysis</t>
  </si>
  <si>
    <t>"Nine studies were included in this review. Low-level laser therapy (LLLT) was the photobiomodulation type used in most of the studies (n = 8).
The wavelengths used varied from 618 to 980 nm and also differed concerning the light emission pattern.
LLLT increased the levels of IL-1β, IL-8, OPN, and PGE2, but not TNF-α1, TGF-β1. The levels of IL6, RANKL, and OPG presented conflicting results. LLLT was statistically associated with an increase of IL-1β levels (standard mean difference [SMD] = 1.99; 95% confidence interval = 0.66 to 3.33; p &lt; 0.001) with low certainty of evidence.
LLLT may increase the levels of IL-1β and other cytokines; however, the results should be interpreted with caution due to protocol variations between studies, and the few studies added in the meta-analysis."</t>
  </si>
  <si>
    <t>Narmada</t>
  </si>
  <si>
    <t>The Role of Low-Intensity Biostimulation Laser Therapy in Transforming Growth Factor β1, Bone Alkaline Phosphatase and Osteocalcin Expression during Orthodontic Tooth Movement in Cavia porcellus.</t>
  </si>
  <si>
    <t>x</t>
  </si>
  <si>
    <t>"LILT biostimulation can increase TGF-β1, BALP, and OSC expression during orthodontic tooth movement."
Comment: Wavelength and many other relevant parameters were not reported.</t>
  </si>
  <si>
    <t>Cordeiro</t>
  </si>
  <si>
    <t>Laser Photobiomodulation Over Teeth Subjected to Orthodontic Movement.</t>
  </si>
  <si>
    <t>15
(3p)</t>
  </si>
  <si>
    <t>"These data can infer that this dose of LLL affected living tissues subjected to orthodontic forces, modulating inflammation and anticipating its peak that anticipates also the beginning of the repair process."</t>
  </si>
  <si>
    <t>Jose</t>
  </si>
  <si>
    <t>Contemp Clin Dent</t>
  </si>
  <si>
    <t>A Comparative Evaluation of Interleukin 1 Beta and Prostaglandin E2 with and without Low-level Laser Therapy during En masse Retraction.</t>
  </si>
  <si>
    <t>🧑 Human
📄 Single-arm study
👥 12 participants
⌛ 7 days (?)</t>
  </si>
  <si>
    <t>"It was concluded from the study that IL-1 β and PGE2 levels peaked after LLLT. The difference in the levels of both cytokines was statistically significant."
Comment: Inflammation is needed for orthodontics, therefore the increased inflammatory markers can be interpreted as a positive thing.</t>
  </si>
  <si>
    <t>World J Methodol</t>
  </si>
  <si>
    <t>Effect of low level laser therapy on dental pulp during orthodontic movement</t>
  </si>
  <si>
    <t>🧑 Human
🎲 Randomized trial, self-controlled
👥 2 patients, 8 tooth
⌛ 1 month</t>
  </si>
  <si>
    <t>2.2
/p
(2p)</t>
  </si>
  <si>
    <t>22
/p
(2p)</t>
  </si>
  <si>
    <t>1
after bracket bonding
+ 
1
one month later before extraction</t>
  </si>
  <si>
    <t>"The findings in pulp tissue favor its adaptative response against dental movement induced by orthodontics. No definitive conclusions may be derived as this is a pilot study."</t>
  </si>
  <si>
    <t>Orthodontics: Pain</t>
  </si>
  <si>
    <t>Ahrari</t>
  </si>
  <si>
    <t>J Orofac Orthop</t>
  </si>
  <si>
    <t>Low-level laser therapy and laser acupuncture therapy for pain relief after initial archwire placement : A randomized clinical trial</t>
  </si>
  <si>
    <t>🧑 Human
🎲 Randomized trial
👥 60 participants
⌛ 7-day study</t>
  </si>
  <si>
    <t>2
24</t>
  </si>
  <si>
    <t>"The intensity of spontaneous and biting pain increased up to the first or second days following initial archwire placement and diminished to a negligible value by the seventh day. No significant difference was found between the study groups concerning spontaneous and biting pain at any timepoint of investigation (P &gt; 0.05)."
"With the protocols used in the study, low-level laser therapy and laser acupuncture therapy were as effective as ibuprofen and placebo laser treatment for pain reduction in orthodontic patients."</t>
  </si>
  <si>
    <t>China
(Nanchong)</t>
  </si>
  <si>
    <t>The effect of physical interventions on pain control after orthodontic treatment: A systematic review and network meta-analysis</t>
  </si>
  <si>
    <t>"Results: In total, 771 articles were reviewed to collect literature on interventions, including low-level laser therapy (LLLT), vibration, acupuncture, and chewing. Of these, 28 studies using a visual analog scale (VAS) as an outcome indicator were included. 
The results showed that LLLT, vibration, acupuncture, and chewing effectively relieved the pain symptoms in patients after orthodontic treatment. 
At 24 h post-treatment, LLLT (surface under the cumulative ranking curve [SUCRA] = 80.8) and vibration (SUCRA = 71.1) were the most effective interventions. 
After 48 h of treatment, acupuncture (SUCRA = 89.6) showed a definite advantage as the best intervention."
"Conclusion: LLLT, vibration, acupuncture, and chewing can alleviate pain associated with orthodontic treatment. Among these interventions, acupuncture was found to be the most effective at 48 h after orthodontic treatment. In addition, acupuncture demonstrated long-lasting and stable pain-relieving effects. However, further studies are needed to determine the most suitable equipment-specific parameters for acupuncture in relieving pain associated with orthodontic treatment."</t>
  </si>
  <si>
    <t>Hussein</t>
  </si>
  <si>
    <t>Effect of low-level laser therapy on pain reduction in orthodontic patients during molar distalization: A randomized controlled trial</t>
  </si>
  <si>
    <t>🧑 Human
🎲 Randomized trial
👥 20 participants
⌛ (see full text)</t>
  </si>
  <si>
    <t>⌀ = 8 mm probe tip size</t>
  </si>
  <si>
    <t>"The mean pain scores on the 1st day were higher in the intervention group (9.27 ± 1.01) compared to that of the control group (8.80 ± 1.03). However, the mean pain scores of the intervention group (6.55 ± 1.29, 4.00 ± 1.26, 2.55 ± 1.29, 0.91 ± 1.04, 0.00 ± 0.00 and 0.00 ± 0.00, respectively) were lower than the control group (7.40 ± 1.90, 5.60 ± 2.07, 4.20 ± 1.99, 2.80 ± 1.93, 1.60 ± 1.58 and 0.40 ± 0.84, respectively) from the 2nd to the 7th day. All the differences were not statistically significant except on the 6th day (P-value = 0.003)."
"Although LLLT, with the used parameters, reduced the overall duration of pain experience following maxillary first molar distalization, it was not effective during peak pain levels."</t>
  </si>
  <si>
    <t>Device: "a semiconductor gallium-aluminum-arsenide diode laser (SMART m PRO, LASOTRONIX, Poland)"</t>
  </si>
  <si>
    <t>Al-Hanbali</t>
  </si>
  <si>
    <t>The effectiveness of low-level laser therapy and low-intensity pulsed ultrasound in reducing pain induced by orthodontic separation: a randomized controlled trial</t>
  </si>
  <si>
    <t>🧑 Human
🎲 Randomized trial
👥 150 participants
⌛ 4-day study</t>
  </si>
  <si>
    <t>Groups:
- PBM
- LIPUS
- control</t>
  </si>
  <si>
    <t>⌀ = 7 mm</t>
  </si>
  <si>
    <t>20/p</t>
  </si>
  <si>
    <t>3 
/ 3 days</t>
  </si>
  <si>
    <t>"However, the laser group and the ultrasound group showed a statistically significant decrease in pain scores compared to the control group at all the assessment time points (P &lt; .001). Whereas there was no difference between the laser group and the ultrasound group in reducing the pain scores (P &gt; .05)."</t>
  </si>
  <si>
    <t>The effectiveness of interventions in reducing pain related to orthodontic separation: a systematic review and meta-analysis</t>
  </si>
  <si>
    <t>"Thirty-one studies (RCTs) were included in this systematic review. 
Nineteen of them were appropriate for quantitative synthesis and used VAS for pain assessment. Meta-analysis showed that low-level laser therapy (LLLT) was an effective approach for pain relief after separators placement with standard mean difference of 13.79 mm (95% confidence interval (CI): -15.64, -11.94) at 6 h and 23.34 mm at 24 h (95% CI: -25.91, -20.77). LLLT was also effective when applied in split-mouth and the standard mean difference was 8.9 mm at 6 h (95% CI: -12.86, -3.33) and 17.15 mm at 24 h (95% CI: -30.12, -4.17)."
"Ibuprofen had a pain control effect at 6 h and at 24 h compared with the placebo group. The standard mean difference was 14.37 mm (95% CI: -20.54, -8.19) and 20.46 mm (95% CI: -27.79, -13.13), respectively. There was no difference in pain control between ibuprofen and acetaminophen. Naproxen had lower visual analog scale scores in pain perception at 6 h and the standard mean difference was 7.03 mm (95% CI: -12.67, -1.40)."
"The application of LLLT decreased the pain induced by the separation during the first day of teeth separation; the pain reduction showed an increase from 6 h to the end of the 24 h. However, the evidence is weak to moderate."</t>
  </si>
  <si>
    <t>Alfailany</t>
  </si>
  <si>
    <t>Evaluation of Patient-Reported Outcome Measures (PROMs) Associated With the Acceleration of Canine Retraction by Piezosurgery in Comparison With Low-Level Laser Therapy: A Three-Arm Randomized Controlled Clinical Trial</t>
  </si>
  <si>
    <t>🧑 Human
🎲 Randomized trial
👥 54 participants
⌛ 28 days (??)</t>
  </si>
  <si>
    <t>Groups:
- PBM
- piezocision
- control</t>
  </si>
  <si>
    <t>5
/point</t>
  </si>
  <si>
    <t>on days 3, 7, 21 and 28 
-&gt; then every 2 weeks</t>
  </si>
  <si>
    <t>"The LLLT-assisted canine retraction was associated with significantly lower negative patient-reported outcomes during the first two weeks of retraction than piezocision-assisted retraction. However, the levels of pain and discomfort were significantly greater in the piezocision-assisted retraction group than those in the conventional canine retraction group, which in turn were greater than those with the LLLT-assisted canine retraction group during the first week of retraction. Patient satisfaction and acceptance were high with both piezocision and LLLT interventions."</t>
  </si>
  <si>
    <t>Effects of high-frequency near infrared laser irradiation on experimental tooth movement-induced pain in rats</t>
  </si>
  <si>
    <t>"High-frequency NIR diode laser application could be applied to reduce pain during orthodontic tooth movement."</t>
  </si>
  <si>
    <t>Device: Lumix 2</t>
  </si>
  <si>
    <t>Brito</t>
  </si>
  <si>
    <t>Efficacy of Low-Level Laser Therapy in Reducing Pain in the Initial Stages of Orthodontic Treatment</t>
  </si>
  <si>
    <t>🧑 Human
🎲 Randomized trial
👥 54 participants
⌛ single treatment -&gt; 3-day follow-up</t>
  </si>
  <si>
    <t>9.3
/tooth</t>
  </si>
  <si>
    <t>26</t>
  </si>
  <si>
    <t>"Low-level laser therapy is effective in reducing pain severity caused by orthodontic forces activation, and it promotes the analgesic action lasting effect during the most painful feeling time."</t>
  </si>
  <si>
    <t>Comparative analysis of Laser and LED phototherapies pain control after insertion of elastomeric separators in orthodontics patients: Clinical trial</t>
  </si>
  <si>
    <t>🧑 Human
🎲 Randomized trial
👥 60 participants
⌛ single treatment (?) -&gt; 6-day follow-up</t>
  </si>
  <si>
    <t>"According with the results of the present study it may be concluded that, either LED or Laser phototherapies, were effective in reducing the pain level after dental separation process when compared to the control group."</t>
  </si>
  <si>
    <t>Orthodontics: Pain (from bracket removal)</t>
  </si>
  <si>
    <t>Efficacy of Photobiomodulation Therapy Versus Soft Acrylic Wafer for Reduction of Pain Associated with Orthodontic Metal Bracket Removal: A Clinical Trial</t>
  </si>
  <si>
    <t>🧑 Human
🎲 Randomized trial, sham-controlled, split-mouth
👥 28 participants
⌛ single session</t>
  </si>
  <si>
    <t>1.7
cm2</t>
  </si>
  <si>
    <t>"The mean pain score in the soft acrylic wafer (p = 0.017), control (p &lt; 0.001), and placebo (p &lt; 0.001) groups was significantly higher compared with the laser group."</t>
  </si>
  <si>
    <t>Khot</t>
  </si>
  <si>
    <t>Comparative Evaluation of the Effect of Photobiomodulation on Pain Reduction in Individuals Undergoing Segmental Retraction Using a Closing Loop: A Randomized Controlled Clinical Trial</t>
  </si>
  <si>
    <t>🧑 Human
🎲 Randomized trial, sham-controlled, split-mouth
👥 16 participants
⌛ single treatment -&gt; 72-hour follow-up</t>
  </si>
  <si>
    <t>"Both groups had a significant statistical difference in the pain score. The laser group showed a statistically significant lower pain score compared to the control group at all time points."
"Photobiomodulation by 810 nm 300 mW diode laser can effectively reduce pain following the retraction of maxillary canines."</t>
  </si>
  <si>
    <t>Device: "NovoLase Gold (diode laser)"</t>
  </si>
  <si>
    <t>Owayda</t>
  </si>
  <si>
    <t>Syria
(Hama)</t>
  </si>
  <si>
    <t>J World Fed Orthod</t>
  </si>
  <si>
    <t>The efficacy of low-level laser therapy versus paracetamol-caffeine in controlling orthodontic separation pain and changes in the oral-health-related quality of life in Class I malocclusions: A 3-arm, randomized, placebo-controlled clinical trial</t>
  </si>
  <si>
    <t>🧑 Human
⚔ Comparison study
👥 54 participants
⌛ single treatment -&gt; 1-week follow-up</t>
  </si>
  <si>
    <t>PBM vs paracetamol+caffeine</t>
  </si>
  <si>
    <t>3.5
/point</t>
  </si>
  <si>
    <t>"LLLT relieved the induced pain more than did the placebo procedures (P = 0.002 for spontaneous pain, P = 0.012 for chewing pain)."</t>
  </si>
  <si>
    <t>Zhi</t>
  </si>
  <si>
    <t>The Optimal Energy Density of Photobiomodulation Therapy in Decreasing Orthodontic-Related Pain: A Systematic Review and Network Meta-Analysis</t>
  </si>
  <si>
    <t>"Of the 1024 recognized articles, 21 RCTs were at long last included. Within the risk-of-bias assessments, 2 studies displayed a high risk, 17 an unclear risk, and 2 a low risk."
"On account of the limited evidence of included trials, laser with lower ED (0-10 J/cm2) appeared to be more valid than the remaining treatment modalities (laser with higher ED, placebo, and control) for pain reduction in 1, 2, and 3 days after orthodontic procedures were applied. In the future, more high-quality research with consistency in research design is needed for further evaluation."</t>
  </si>
  <si>
    <t>Farzan &amp; Khaleghi</t>
  </si>
  <si>
    <t>The Effectiveness of Low-Level Laser Therapy in Pain Induced by Orthodontic Separator Placement: A Systematic Review</t>
  </si>
  <si>
    <t>"299 studies were screened. 34 full-text papers were read by 2 authors independently. In the end, 4 articles met the inclusion criteria. All 4 articles showed LLLT has a significant impact on pain reduction.
"The exact protocol for laser therapy is still not clear. Therefore, more studies with a meticulously designed method are needed."</t>
  </si>
  <si>
    <t>Viability of Photobiomodulaton Therapy in Decreasing Orthodontic-Related Pain: A Systematic Review and Meta-Analysis</t>
  </si>
  <si>
    <t>"Of 1024 recognized articles, 25 RCT were at long last included. Within the risk-of-bias assessments, 1 study displayed a high risk, 22 an unclear risk, and 2 a low risk. The meta-analysis appeared that in patients treated with photobiomodulation (PBM) versus control there was a distinction in support of PBMT in placement of elastomeric separators, canine retraction, and archwire placement during 1 week."
"PBMT demonstrated to be effective in advancing a reduction pain after elastomeric separators placement, canine retraction, and archwire placement within 1 week. In the future, more high-quality research with consistency in research design is needed for further evaluation."</t>
  </si>
  <si>
    <t>Mirhashemi</t>
  </si>
  <si>
    <t>Efficacy of Photobiomodulation Therapy for Orthodontic Pain Control Following the Placement of Elastomeric Separators: A Randomized Clinical Trial</t>
  </si>
  <si>
    <t>🧑 Human
🎲 Randomized trial, sham-controlled, split-mouth
👥 30 participants
⌛ 2-day treatment -&gt; 5-day follow-up</t>
  </si>
  <si>
    <t>15.60</t>
  </si>
  <si>
    <t>2
/ 24 hours</t>
  </si>
  <si>
    <t>"The trend of change in the pain score was similar in both groups. The pain score was significantly lower in the laser group than the control group at all-time points (P &lt;0.05) except at time 0."</t>
  </si>
  <si>
    <t>Sobouti</t>
  </si>
  <si>
    <t>Efficacy of compound topical anesthesia combined with photobiomodulation therapy in pain control for placement of orthodontic miniscrew: a double-blind, randomized clinical trial</t>
  </si>
  <si>
    <t>🧑 Human
🎲 Randomized trial, double-blind
👥 25 participants
⌛ single treatment -&gt; 24-hour follow-up</t>
  </si>
  <si>
    <t>150
/side (?)</t>
  </si>
  <si>
    <t>"There were no statistically significant differences in mean VAS scores within or between CTA combined with PBMT or injection applications, immediately after miniscrew placement (P = 0.75), 12 h after miniscrew placement (P = 0.4), and 24 h after miniscrew placement (P = 1.0)."
"Compound topical anesthetic combined with PBMT provided adequate local anesthesia for the placement of miniscrews in the buccal side of the maxillary bone."</t>
  </si>
  <si>
    <t>Camacho</t>
  </si>
  <si>
    <t>A systematic review of the effective laser wavelength range in delivering photobiomodulation for pain relief in active orthodontic treatment</t>
  </si>
  <si>
    <t>"The majority of RCTs related to pain relief in orthodontic treatment showed 780-830nm as the most effective photobiomodulation wavelength range for orthodontic pain relief. However, pain reduction after 24h is not significantly dependent of wavelength."</t>
  </si>
  <si>
    <t>Hasan</t>
  </si>
  <si>
    <t>Low-level laser therapy effectiveness in reducing initial orthodontic archwire placement pain in premolars extraction cases: a single-blind, placebo-controlled, randomized clinical trial</t>
  </si>
  <si>
    <t>🧑 Human
🎲 Randomized trial, sham-controlled
👥 26 participants
⌛ single treatment -&gt; 72-hour follow-up</t>
  </si>
  <si>
    <t>Orthodontic pain</t>
  </si>
  <si>
    <t>8
(4p)</t>
  </si>
  <si>
    <t>15
/point</t>
  </si>
  <si>
    <t>"LLLT, with the suggested parameters, is not effective in pain reduction following initial orthodontic archwire placement."</t>
  </si>
  <si>
    <t>Oza</t>
  </si>
  <si>
    <t>India
(Vadodara)</t>
  </si>
  <si>
    <t>Comparative Study of Effects of LASER, TENS, and Anesthetic Gel for Controlling Pain after Placement of Elastomeric Separators: A Clinical Trial</t>
  </si>
  <si>
    <t>🧑 Human
⚔ Comparison study
👥 120 participants
⌛ single treatment -&gt; 4-day follow-up</t>
  </si>
  <si>
    <t>PBM vs TENS vs benzocaine gel</t>
  </si>
  <si>
    <t>60
(3p)</t>
  </si>
  <si>
    <t>"Turkey's post hoc test showed that pain score after immediate placement of separators was found to be the least in the anesthetic gel than that in other groups and pain score was least in the LASER group out of all four groups on day 1, 2, 3, and 4."
"It was found that low-level LASER therapy was more effective in reducing pain after placement of elastomeric separators."</t>
  </si>
  <si>
    <t>Application: "non-contact mode"</t>
  </si>
  <si>
    <t>Keim RG</t>
  </si>
  <si>
    <t>J Clin Orthod</t>
  </si>
  <si>
    <t>Photobiomodulation and Pain</t>
  </si>
  <si>
    <t>Comment: Full text not found</t>
  </si>
  <si>
    <t>Sfondrini</t>
  </si>
  <si>
    <t>Photobiomodulation and Pain Reduction in Patients Requiring Orthodontic Band Application: Randomized Clinical Trial</t>
  </si>
  <si>
    <t>5
/ point
(4p)</t>
  </si>
  <si>
    <t>"The trial group showed significantly lower pain intensities (p &lt; 0.05) at 5 min, 1 h, and 12 h after band application compared to the control group, whereas no difference between groups (p &gt; 0.05) was found at 24 h and 72 h. Patients in the control group reported more frequently the presence of "compressive pain" (58.8%, p &lt; 0.05) from the appliance during the week after the application, while the trial group showed higher frequency of "no pain" (46.2%, p &lt; 0.05). However, PBM did not affect the pain onset, peak, and end time reported by the two groups (p &gt; 0.05)."
[Statistical details removed from the text above.]</t>
  </si>
  <si>
    <t>Almallah</t>
  </si>
  <si>
    <t>Assessment of a single versus double application of low-level laser therapy in pain reduction following orthodontic elastomeric separation: A randomized controlled trial.</t>
  </si>
  <si>
    <t>🧑 Human
🎲 Randomized trial, sham-controlled, split-mouth
👥 36 participants
⌛ 1-day treatment -&gt; 4-day follow-up</t>
  </si>
  <si>
    <t>"Low-level laser therapy significantly reduced post-separation pain when the experimental side was compared to the placebo side in the single-irradiation group (p &lt; 0.05). 
Low-level laser therapy significantly reduced separation pain with no statistical difference between single and double irradiation protocols (p &gt; 0.05)."</t>
  </si>
  <si>
    <t>Nicotra</t>
  </si>
  <si>
    <t>Italy
(Catania)</t>
  </si>
  <si>
    <t>A Comparative Assessment of Pain Caused by the Placement of Banded Orthodontic Appliances with and without Low-Level Laser Therapy: A Randomized Controlled Prospective Study.</t>
  </si>
  <si>
    <t>🧑 Human (pediatric)
🎲 Randomized trial, sham-controlled
👥 60 participants
⌛ single treatment -&gt; 5-day follow-up</t>
  </si>
  <si>
    <t>1
cm2
spot
tip</t>
  </si>
  <si>
    <t>"Subjects in the LLLT experienced less pain at each time interval as well as the maximum pain score being lower in the LLLT compared to control and placebo groups. These findings were all statistically significant (p &lt; 0.05). LLLT can alleviate the intensity of pain after the placement of orthodontic bands."</t>
  </si>
  <si>
    <t>Xiao</t>
  </si>
  <si>
    <t>China
(Xining)</t>
  </si>
  <si>
    <t>Shanghai Kou Qiang Yi Xue</t>
  </si>
  <si>
    <t>[Effect of single low level laser therapy on initial pain during fixed orthodontic treatment]. [Article in Chinese]</t>
  </si>
  <si>
    <t>"Spontaneous pain during day and night with 0.012, 0.014 inch superelastic nickel-titanium (NiTi) line was significantly lower in the experimental group than in the control group(P&lt;0.05), and there was no significant difference with 0.016 and 0.018 inch NiTi (P&gt;0.05).
Chewing pain with 0.012, 0.014, 0.016, and 0.018 inch NiTi lines in the experimental group was significantly lower than that in the control group(P&lt;0.05)."</t>
  </si>
  <si>
    <t>Italy &amp; USA</t>
  </si>
  <si>
    <t>Systematic Review of Orthodontic Treatment Management with Photobiomodulation Therapy.</t>
  </si>
  <si>
    <t>"Seven of nine studies supported the effectiveness of PBMT to reduce or prevent pain. There was no consensus on choice of wavelength and a range of parameters were found beneficial. 
Of the seven tooth movement studies included, four of the seven were positive, of which two used a home-use light-emitting diode (LED) device, as opposed to a clinician-applied laser. A variety of wavelengths and parameters were found to be effective in accelerating tooth movement in the range of 20-40% compared with control."
"Due to a lack of consistency in approach, further studies are required to achieve a high level of acceptance. The clinical logistics associated with frequent applications supports the concept of patient home delivery use of LED devices, although there are insufficient studies at present to make an evidence-based determination of this type of appliance. To gain more general professional acceptance of the use of PBMT in orthodontics, a continued effort to extend the number of quality human clinical trials is required. Based on the current evidence base, further positive onward progression can be regarded as inevitable."</t>
  </si>
  <si>
    <t>Effect of ozone and diode laser (635 nm) in reducing orthodontic pain in the maxillary arch-a randomized clinical controlled trial.</t>
  </si>
  <si>
    <t>🧑 Human
🎲 Randomized trial
👥 77 participants
⌛ single treatment -&gt; 5-day follow-up</t>
  </si>
  <si>
    <t>1.59</t>
  </si>
  <si>
    <t>46
(23p)</t>
  </si>
  <si>
    <t>0.5024
cm2
spot
area</t>
  </si>
  <si>
    <t>115s
(23p)</t>
  </si>
  <si>
    <t>"The mean pain values for the diode laser, ozone, and control group were 3.6 (1.31) (95% CI, 2.95-4.25), 5.25 (3.37) (95% CI, 3.52-6.98), and 5.75 (2.40) (95% CI, 4.69-6.81), respectively. We observed lower pain values in the diode laser group compared to the control group (p = 0.0237)."
"The use of 635-nm diode laser led to decreased pain perception"</t>
  </si>
  <si>
    <t>Ortega</t>
  </si>
  <si>
    <t>Evaluation of the use of photobiomodulation following the placement of elastomeric separators: Protocol for a randomized controlled clinical trial.</t>
  </si>
  <si>
    <t>"The expectation is that the patients in the irradiated group will have a lower perception of pain and lower quantity of cytokines compared to those in the sham group. The purpose of the study is to establish an effective method for PBM with the use of low-level infrared laser (Ga-Al-As with a wavelength of 808 nm and output power of 100 mW) for reductions in pain and inflammatory cytokines related to orthodontic treatment."</t>
  </si>
  <si>
    <t>Celebi</t>
  </si>
  <si>
    <t>Turkey
(Tokat)</t>
  </si>
  <si>
    <t>Am J Orthod Dentofacial Orthop</t>
  </si>
  <si>
    <t>Effects of low-level laser therapy and mechanical vibration on orthodontic pain caused by initial archwire.</t>
  </si>
  <si>
    <t>🧑 Human
🎲 Randomized trial
👥 60 participants
⌛ single treatment -&gt; 7-day follow-up</t>
  </si>
  <si>
    <t>PBM vs mechanical vibration vs control</t>
  </si>
  <si>
    <t>0.110</t>
  </si>
  <si>
    <t>1.76</t>
  </si>
  <si>
    <t>0.453
cm2</t>
  </si>
  <si>
    <t>"Although no statistically significant differences were found among the groups (P &gt;0.05), the mean VAS scores for the mechanical vibration group were consistently lower than those of the control and low-level laser therapy groups at all measured time points."</t>
  </si>
  <si>
    <t>Alam MK</t>
  </si>
  <si>
    <t>Saudi Arabia
(Al Jouf)</t>
  </si>
  <si>
    <t>Laser-Assisted Orthodontic Tooth Movement in Saudi Population: A Prospective Clinical Intervention of Low-Level Laser Therapy in the 1st Week of Pain Perception in Four Treatment Modalities.</t>
  </si>
  <si>
    <t>🧑 Human
🎲 Randomized trial
👥 32 participants
⌛ single treatment -&gt; 7-day follow-up</t>
  </si>
  <si>
    <t>75
/ tooth</t>
  </si>
  <si>
    <t>0.04
cm2
fiber
tip</t>
  </si>
  <si>
    <t>30
/ tooth
(?)</t>
  </si>
  <si>
    <t>"Mean ± SD of PP in the LLLT + SL group was 3.33 ± 1.4, 3.58 ± 1.06, 2.31 ± 0.67, and 1.89 ± 0.54 in 4 hours, 24 hours, 3 days, and 7 days, respectively. Compared to all 4 TM groups, LLLT groups showed better PP. More statistically significant differences were found in LLLT groups. No harms were encountered."
"The LLLT + SL group revealed significantly promising benefits on PP during OTM."</t>
  </si>
  <si>
    <t>Al-Okla</t>
  </si>
  <si>
    <t>United Arab Emirates (Dubai)</t>
  </si>
  <si>
    <t>Effect of Photobiomodulation on Pain Perception Among Orthodontic Patients: A Randomized Clinical Trial</t>
  </si>
  <si>
    <t>Comment: Could not access full text.</t>
  </si>
  <si>
    <t>Tsuchiya</t>
  </si>
  <si>
    <t>Japan
(Sakado)</t>
  </si>
  <si>
    <t>Different Therapeutic Effects of CO 2 and Diode Laser Irradiation on Tooth Movement-Related Pain</t>
  </si>
  <si>
    <t>808
10600</t>
  </si>
  <si>
    <t>"CO2 laser irradiation of the orthodontically treated region significantly increased the threshold for inducing the jaw-opening reflex and the peripheral temperature. Similar reductions in jaw-opening reflex excitability were induced by surface anesthesia and thermal stimulation but not, the diode laser."</t>
  </si>
  <si>
    <t>Prasad</t>
  </si>
  <si>
    <t>India
(Tamil Nadu)</t>
  </si>
  <si>
    <t>Pharm Bioallied Sci</t>
  </si>
  <si>
    <t>Low-Level Laser Therapy: A Noninvasive Method of Relieving Postactivation Orthodontic Pain-A Randomized Controlled Clinical Trial.</t>
  </si>
  <si>
    <t>🧑 Human
🎲 Randomized trial, crossover
👥 20 participants
⌛ single treatment -&gt; 1-week follow-up</t>
  </si>
  <si>
    <t>600
/ tooth (?)</t>
  </si>
  <si>
    <t>30
/ tooth (?)</t>
  </si>
  <si>
    <t>"A single dose of LLLT at 980nm, 2.5 W/cm2, and 600 J is effective in relieving orthodontic pain after activation."
About the control group: "This red LED light mimicked laser, but tissues were not exposed so no molecular changes would occur."</t>
  </si>
  <si>
    <t>Lo Giudice</t>
  </si>
  <si>
    <t>Is Low-Level Laser Therapy an Effective Method to Alleviate Pain Induced by Active Orthodontic Alignment Archwire? A Randomized Clinical Trial.</t>
  </si>
  <si>
    <t>🧑 Human
🎲 Randomized trial, sham-controlled
👥 90 participants
⌛ single treatment -&gt; 1-week follow-up</t>
  </si>
  <si>
    <t>PBM vs placebo vs control</t>
  </si>
  <si>
    <t>24-27
(?)</t>
  </si>
  <si>
    <t>"The pain experienced at each time interval and the maximum pain score were significantly lower in the tested group, whereas no differences were found between control and placebo groups."
"LLLT is effective in alleviating the intensity and duration of pain experienced by patients after the engagement of alignment archwire. However, there is no specific indication for the usage of LLLT according to the amount of crowding."</t>
  </si>
  <si>
    <t>Figueira</t>
  </si>
  <si>
    <t>Clinical study on the efficacy of LED phototherapy for pain control in an orthodontic procedure.</t>
  </si>
  <si>
    <t>🧑 Human
🎲 Randomized trial
👥 40 participants
⌛ 4-day treatment / 1-week study</t>
  </si>
  <si>
    <t>"Comparison between groups showed that pain level in the LED group was always statistically significantly lower (p &lt; 0.05), except for the time of installation (T1). The use of LED light was effective in significantly reducing the level of pain after insertion of the elastic tooth separators when compared to the control group."
Comment: The photo wasn't very interesting, but it showed some anatomical locations.</t>
  </si>
  <si>
    <t>Device: Fisioled® (MMOptics, São Carlos, São Paulo, Brazil)</t>
  </si>
  <si>
    <t>India
(Sri Ganganagar)</t>
  </si>
  <si>
    <t>Evaluating the effect of low-level laser therapy on pain induced by orthodontic separation: a randomized split-mouth clinical trial</t>
  </si>
  <si>
    <t>🧑 Human
🎲 Randomized trial, sham-controlled, split-mouth
👥 40 participants
⌛ single treatment -&gt; 48-hour follow-up</t>
  </si>
  <si>
    <t>"The subjects reported less intensity of pain on chewing as well as spontaneous pain at the sites which were given low-level laser therapy as compared to the placebo side. The difference between the pain intensity on the low-level laser therapy side and placebo side was found to be statistically significant (p ≤ 0.05)."</t>
  </si>
  <si>
    <t>Farias &amp; Motta</t>
  </si>
  <si>
    <t>Low-level laser therapy for controlling pain in orthodontic patients during the use of elastic separators: randomized clinical trial</t>
  </si>
  <si>
    <t>🧑 Human
🎲 Randomized trial, sham-controlled, split-mouth, crossover (?)
👥 40 participants
⌛ single treatment -&gt; 5-day follow-up (?)</t>
  </si>
  <si>
    <t>45
(3p)</t>
  </si>
  <si>
    <t>2
/ 12 hours</t>
  </si>
  <si>
    <t>"It was observed a significant reduction in pain from exposed to the laser hemi-arch compared to hemi-arch not exposed at all time intervals assessed. In this way, the results obtained suggest that the use of the reduced pain sensitivity after the placement of orthodontic separators."</t>
  </si>
  <si>
    <t>Effect of low-level laser therapy on tooth-related pain and somatosensory function evoked by orthodontic treatment.</t>
  </si>
  <si>
    <t>🧑 Human
🎲 Randomized trial, sham-controlled, split-mouth
👥 40 participants
⌛ 7 days</t>
  </si>
  <si>
    <t>5
/ 7 days</t>
  </si>
  <si>
    <t>"The NRS pain scores were significantly lower in the LG group (P = 0.01). The CDTs, CPTs, WDTs, HPTs, and PPTs at the gingiva and the PPTs at the canine tooth were significantly less sensitive on the treatment side of the LG compared with that of the PG (P &lt; 0.033). The parameters tested also showed significantly less sensitivity on the non-treatment side of the LG compared to that of the PG (P &lt; 0.043). There were no differences between the groups for any quantitative sensory testing (QST) measures of the hand."
"The application of LLLT appears to reduce the pain and sensitivity of the tooth and gingiva associated with orthodontic treatment and may have contralateral effects within the trigeminal system but no generalized QST effects. Thus, the present study indicated a significant analgesia effect of LLLT application during orthodontic treatment. Further clinical applications are suggested."</t>
  </si>
  <si>
    <t>Low-level laser therapy (830 nm) on orthodontic pain: blinded randomized clinical trial.</t>
  </si>
  <si>
    <t>🧑 Human
🎲 Randomized trial, double-blind, crossover
👥 62 participants
⌛ two 5-day phases with 1-week washout</t>
  </si>
  <si>
    <t>3
(/p)
(8p per
molar)</t>
  </si>
  <si>
    <t>0.03
cm2
tip area</t>
  </si>
  <si>
    <t>4
/ 3 days</t>
  </si>
  <si>
    <t>"Just after the separation, the average of the pain for the placebo group was 1.6, significantly greater than the average of 1.1 registered for the laser group (p = 0.013). After 24 h and before the new irradiation, the values registered among the different groups did not show any differences."</t>
  </si>
  <si>
    <t>Nahin</t>
  </si>
  <si>
    <t>The Efficacy of Low-level Laser Therapy on Pain caused by Placement of the First Orthodontic Archwire: A Clinical Study.</t>
  </si>
  <si>
    <t>🧑 Human
📄 Non-randomized study (?), split-mouth
👥 10 participants
⌛ single treatment -&gt; 7-day follow-up</t>
  </si>
  <si>
    <t>"The results revealed that the average onset of pain in the experimental group (16.10 hours) was significantly reduced when compared with the control group (3.10 hours). The most painful day was similar for both the groups. The pain ceased much sooner in the experimental group than in the control group. The intensity of pain was lesser in the experimental group when compared with the control group."</t>
  </si>
  <si>
    <t>Topolski</t>
  </si>
  <si>
    <t>Optimal management of orthodontic pain.</t>
  </si>
  <si>
    <t>"Drugs reported as effective in orthodontic pain control included ibuprofen, paracetamol, naproxen sodium, aspirin, etoricoxib, meloxicam, piroxicam, and tenoxicam. Most studies report favorable outcomes in terms of alleviation of orthodontic pain with the use of low-level laser therapy. Nevertheless, we noticed that there is no consensus, both for the drug and for laser therapy, on the doses and clinical protocols most appropriate for orthodontic pain management. Alternative methods for orthodontic pain control can also broaden the clinician's range of options in the search for better patient care."</t>
  </si>
  <si>
    <t>Qamruddin</t>
  </si>
  <si>
    <t>Korean J Orthod</t>
  </si>
  <si>
    <t>Effects of single-dose, low-level laser therapy on pain associated with the initial stage of fixed orthodontic treatment: A randomized clinical trial.</t>
  </si>
  <si>
    <t>🧑 Human
🎲 Randomized trial
👥 42 participants
⌛ single treatment -&gt; 7-day follow-up</t>
  </si>
  <si>
    <t>75
/tooth</t>
  </si>
  <si>
    <t>"Patients in the LLLT group exhibited significantly lower mean scores for spontaneous pain after insertion of the initial two archwires (0.012-in and 0.014-in NiTi; p &lt; 0.05), while there was no significant difference for 0.016-in and 0.018-in wires between the LLLT and placebo groups. LLLT significantly reduced chewing pain scores (p &lt; 0.05) for all archwires."</t>
  </si>
  <si>
    <t>Eslamipour</t>
  </si>
  <si>
    <t>Ibuprofen and Low-level Laser Therapy for Pain Control during Fixed Orthodontic Therapy: A Systematic Review of Randomized Controlled Trials and Meta-analysis.</t>
  </si>
  <si>
    <t>"A total number of six studies (four ibuprofen and two LLLT) comprising 315 patients were included."
"Low-level laser therapy could reduce this pain in the long term with limited evidence. Further well-designed RCTs are required to provide more evidence."</t>
  </si>
  <si>
    <t>Effectiveness of Low-Level Laser Therapy in Reducing Orthodontic Pain: A Systematic Review and Meta-Analysis.</t>
  </si>
  <si>
    <t>"Of 467 identified articles, 20 RCT were finally included. In the risk of bias assessments, 13 studies presented a high risk, 5 an unclear risk, and 2 a low risk. The meta-analysis showed that in patients treated with laser versus placebo there was a difference in favour of LLLT in spontaneous pain 24 and 72 hrs after the installation of light archwires and spontaneous pain and chewing pain 24 and 72 hrs after the installation of elastomeric separators."
"LLLT proved to be effective in promoting a reduction in spontaneous and chewing pain after the application of OF; however, the poor quality of the evidence requires these results to be treated with caution."</t>
  </si>
  <si>
    <t>Deguchi</t>
  </si>
  <si>
    <t>CO2 low-level laser therapy has an early but not delayed pain effect during experimental tooth movement.</t>
  </si>
  <si>
    <t>"Low-level laser therapy may reduce early neurochemical markers but have no effect on delayed pain neurochemical markers after tooth movement."</t>
  </si>
  <si>
    <t>Evaluation of Low Level Laser Therapy on Pain Perception Following Orthodontic Elastomeric Separation: A Randomized Controlled Trial.</t>
  </si>
  <si>
    <t>🧑 Human
🎲 Randomized trial
👥 36 participants
⌛ single or double irradiation (2/24h) / 4-day study</t>
  </si>
  <si>
    <t>1
or
2 / 24h</t>
  </si>
  <si>
    <t>"LLLT was successful in reducing post-separation pain when the experimental side was compared to the placebo side at all assessment times in each group (p&lt;0.05). There were no statistically significant differences between single and double irradiation groups in terms of pain reduction (p&gt;0.05)."</t>
  </si>
  <si>
    <t>Bayani</t>
  </si>
  <si>
    <t>A randomized clinical trial comparing the efficacy of bite wafer and low level laser therapy in reducing pain following initial arch wire placement</t>
  </si>
  <si>
    <t>🧑 Human
🎲 Randomized trial
👥 100 participants
⌛ single treatment -&gt; 7-day follow-up</t>
  </si>
  <si>
    <t>PBM vs ibuprofen vs placebo vs bite wafer
Wavelength comparison</t>
  </si>
  <si>
    <t>"Generally, VAS scores in the LLIL, ibuprofen and bite wafer groups were close to each other and significantly lower than those in the LLRL and control groups (p&lt;0.05), which showed comparable pain level at most intervals.
The infrared laser group (LLIL) showed significantly lower pain than all other groups at some points over the experiment (p&lt;0.05)."
Comment: Red light showed poor results, near-infrared light showed good results</t>
  </si>
  <si>
    <t>Effect of single-dose low-level helium-neon laser irradiation on orthodontic pain: a split-mouth single-blind placebo-controlled randomized clinical trial.</t>
  </si>
  <si>
    <t>🧑 Human
🎲 Randomized trial, sham-controlled, split-mouth
👥 30 participants
⌛ single treatment -&gt; 7-day follow-up</t>
  </si>
  <si>
    <t>"Single-dose He-Ne laser therapy might reduce orthodontic pain caused by retracting maxillary canines."</t>
  </si>
  <si>
    <t>Marini</t>
  </si>
  <si>
    <t>The effect of diode superpulsed low-level laser therapy on experimental orthodontic pain caused by elastomeric separators: a randomized controlled clinical trial.</t>
  </si>
  <si>
    <t>🧑 Human
🎲 Randomized trial
👥 120 participants
⌛ single treatment -&gt; 4-day follow-up</t>
  </si>
  <si>
    <t>A single LLLT treatment was effective in reducing pain.</t>
  </si>
  <si>
    <t>Low-level laser therapy for orthodontic pain: a systematic review.</t>
  </si>
  <si>
    <t>"However, for the reason of downgrade factors, all the GRADE level of evidences of eight comparisons for three outcomes showed a very low quality. Therefore, for the methodological shortcomings and risk of bias of RCTs included, insufficient evidence was submitted to judge whether LLLT was effective in relieving orthodontic pain. Further and more perfect researches should be done in order to recommend LLLT as a routine method for orthodontic pain."</t>
  </si>
  <si>
    <t>Shi</t>
  </si>
  <si>
    <t>Does low level laser therapy relieve the pain caused by the placement of the orthodontic separators?--A meta-analysis.</t>
  </si>
  <si>
    <t>"Comparing to the placebo group, the LLLT has good analgesic effect at 6 h, 1d, 2d, 3d after placement of separators which is of statistical significance. While at 2 h, 4d, 5d after the placement, the results tend to support LLLT, but not statistically significant."
"Based on current included studies, LLLT can reduce the pain caused by the placement of separators effectively. However, because of the high heterogeneity, well designed RCTs are required in the future."</t>
  </si>
  <si>
    <t>Eslamian</t>
  </si>
  <si>
    <t>The effect of 810-nm low-level laser therapy on pain caused by orthodontic elastomeric separators.</t>
  </si>
  <si>
    <t>🧑 Human
🎲 Randomized trial, self-controlled
👥 37 participants
⌛ 2-day treatment / 7-day study</t>
  </si>
  <si>
    <t>20
/quadrant</t>
  </si>
  <si>
    <t xml:space="preserve">2
/ 2 days
</t>
  </si>
  <si>
    <t>"The 810-nm continuous wave LLLT significantly reduced the PP in the first 3 days after orthodontic separation. However, the mean postseparation PP in both groups was low and wide ranges of PP scores were observed."</t>
  </si>
  <si>
    <t>Efficacy of low-level laser therapy in the management of orthodontic pain: a systematic review and meta-analysis.</t>
  </si>
  <si>
    <t>"As a result, four RCTs, two quasi-RCTs, and two CCTs were selected from 152 relevant studies, including 641 patients from six countries.
The meta-analysis demonstrated that 24% risk of incidence of pain was reduced by LLLT (RR = 0.76, 95% CI range 0.63-0.92, P = 0.006). In addition, compared to the control group, LLLT brought forward "the most painful day" (MD = -0.42, 95% CI range -0.74- -0.10, P = 0.009). Furthermore, the LLLT group also implied a trend of earlier end of pain compared with the control group (MD = -1.37, 95% CI range -3.37-0.64, P = 0.18) and the pseudo-laser group (MD = -1.04, 95% CI range -4.22-2.15, P = 0.52).
However, because of the methodological shortcomings and risk of bias of included trials, LLLT was proved with limited evidence in delaying pain onset and reducing pain intensity. In the future, larger and better-designed RCTs will be required to provide clearer recommendations."</t>
  </si>
  <si>
    <t>Abtahi</t>
  </si>
  <si>
    <t>Effect of low-level laser therapy on dental pain induced by separator force in orthodontic treatment.</t>
  </si>
  <si>
    <t>🧑 Human
🎲 Randomized trial, self-controlled
👥 29 participants
⌛ 5 days</t>
  </si>
  <si>
    <t>"Our findings suggest that there is no statistically significant difference in pain by using low-level laser irradiation."</t>
  </si>
  <si>
    <t>Nóbrega</t>
  </si>
  <si>
    <t>Low-level laser therapy for treatment of pain associated with orthodontic elastomeric separator placement: a placebo-controlled randomized double-blind clinical trial.</t>
  </si>
  <si>
    <t>🧑 Human
🎲 Randomized trial, double-blind
👥 60 participants
⌛ single treatment -&gt; 5-day follow-up</t>
  </si>
  <si>
    <t>Pain
Bio Wave LLLT Dual device</t>
  </si>
  <si>
    <t>40.6</t>
  </si>
  <si>
    <t>5
(3p)
/tooth
(?)</t>
  </si>
  <si>
    <t>"The patients in the intervention group (LLLT) had lower mean pain scores in all the measures. The incidence of complete absence of pain (score=0) was significantly higher the intervention group."</t>
  </si>
  <si>
    <t>Domínguez &amp; Velásquez</t>
  </si>
  <si>
    <t>Effect of low-level laser therapy on pain following activation of orthodontic final archwires: a randomized controlled clinical trial.</t>
  </si>
  <si>
    <t>🧑 Human
🎲 Randomized trial, sham-controlled, split-mouth
👥 60 participants
⌛ single treatment -&gt; 7-day follow-up</t>
  </si>
  <si>
    <t>"Low intensity laser application reduces pain induced by archwires used during the final stage of orthodontic treatment, without any interference regarding the kind of bracket, as reported by patients."</t>
  </si>
  <si>
    <t>Effect of frequent laser irradiation on orthodontic pain. A single-blind randomized clinical trial.</t>
  </si>
  <si>
    <t>🧑 Human
🎲 Randomized trial, sham-controlled
👥 88 participants
⌛ 7 days</t>
  </si>
  <si>
    <t>PBM device design: toothbrush
LED phototherapy</t>
  </si>
  <si>
    <t>14
/ 1 week
(every 12 hours)</t>
  </si>
  <si>
    <t>"Frequent LLLT decreased the perception of pain to a nonsignificant level throughout the week after separator placement, compared with pain perception in the placebo and control groups. Therefore, LLLT might be an effective method of reducing orthodontic pain."
Comment: Since the laser toothbrush emits red light, and the placebo group emits much lower power, the placebo controlling might be not so reliable.</t>
  </si>
  <si>
    <t>Artés-Ribas</t>
  </si>
  <si>
    <t>Analgesic effect of a low-level laser therapy (830 nm) in early orthodontic treatment.</t>
  </si>
  <si>
    <t>🧑 Human
🎲 Randomized trial, split-mouth
👥 20 participants
⌛ single treatment -&gt; 3-day follow-up</t>
  </si>
  <si>
    <t>7
mm
(diameter)</t>
  </si>
  <si>
    <t>LLLT decreased pain, compared to placebo.</t>
  </si>
  <si>
    <t>20s per point  (6 points)</t>
  </si>
  <si>
    <t>Bicakci</t>
  </si>
  <si>
    <t>Efficiency of low-level laser therapy in reducing pain induced by orthodontic forces.</t>
  </si>
  <si>
    <t>🧑 Human
🎲 Randomized trial, split-mouth
👥 19 participants
⌛ single treatment -&gt; 1-day follow-up</t>
  </si>
  <si>
    <t>Pain, PGE2</t>
  </si>
  <si>
    <t>7.96</t>
  </si>
  <si>
    <t>"Although no difference was found in pain perception at 5 min and 1 h, significant reduction was observed with laser treatment 24 h after application (p&lt;0.05). The mean PGE(2) levels were significantly elevated in control group, whereas a gradual decrease occurred in laser group. The difference in PGE(2) levels at both 1 and 24 h were statistically significant between two groups (p&lt;0.05)."
"The significant reductions in both pain intensity and PGE(2) levels revealed that LLLT was efficient in reducing orthodontic post-adjustment pain."</t>
  </si>
  <si>
    <t>Esper</t>
  </si>
  <si>
    <t>The effect of two phototherapy protocols on pain control in orthodontic procedure--a preliminary clinical study.</t>
  </si>
  <si>
    <t>🧑 Human
🎲 Randomized trial
👥 55 participants
⌛ single treatment -&gt; 5-day follow-up</t>
  </si>
  <si>
    <t>660
laser
640
LED</t>
  </si>
  <si>
    <t>25
70</t>
  </si>
  <si>
    <t>"The laser group did not have statistically significant results in the reduction of pain level compared to the LED group.
The LED group had a significant reduction in pain levels between 2 and 120 h compared to the control and the laser groups. The LED therapy showed a significant reduction in pain sensitivity (an average of 56%), after the orthodontic tooth movement when compared to the control group."
Note: Tunér and Jenkins commented on this paper:
"During their respective irradiation times, the LED delivers an energy of 7 J, whilst the laser delivers just 0.7 J."
"In conclusion, the study by Esper et al. [1] is valuable in that it suggests an alternative light source for pain reduction, but the conclusion that an LED should be better than a laser is not valid."</t>
  </si>
  <si>
    <t>Tortamano</t>
  </si>
  <si>
    <t>Low-level laser therapy for pain caused by placement of the first orthodontic archwire: a randomized clinical trial.</t>
  </si>
  <si>
    <t>🧑 Human
🎲 Randomized trial, double-blind
👥 60 participants
⌛ single treatment -&gt; 7-day follow-up</t>
  </si>
  <si>
    <t>0.5(?)
or
2.5(?)</t>
  </si>
  <si>
    <t>"The patients in the LLLT group had lower mean scores for oral pain and intensity of pain on the most painful day. Also, their pain ended sooner. LLLT did not affect the start of pain perception or alter the most painful day. There was no significant difference in pain symptomatology in the maxillary or mandibular arches in an evaluated parameter."</t>
  </si>
  <si>
    <t>Turhani</t>
  </si>
  <si>
    <t>Pain relief by single low-level laser irradiation in orthodontic patients undergoing fixed appliance therapy.</t>
  </si>
  <si>
    <t>🧑 Human
🎲 Randomized trial, sham-controlled
👥 76 participants
⌛ single treatment -&gt; 54-hour follow-up</t>
  </si>
  <si>
    <t>30
/ tooth</t>
  </si>
  <si>
    <t>"LLLT immediately after multibanding reduced the prevalence of pain perception at 6 and 30 hours. LLLT might have positive effects in orthodontic patients not only immediately after multibanding, but also for preventing pain during treatment."</t>
  </si>
  <si>
    <t>Harazaki</t>
  </si>
  <si>
    <t>Soft laser irradiation induced pain reduction in orthodontic treatment.</t>
  </si>
  <si>
    <t>"We confirmed that soft laser irradiation produced an effective pain reduction in orthodontic treatment."
Comment: Could not find the full text.</t>
  </si>
  <si>
    <t>Harazaki &amp; Isshiki</t>
  </si>
  <si>
    <t>Soft laser irradiation effects on pain reduction in orthodontic treatment.</t>
  </si>
  <si>
    <t>"Just after application of the initial wire, LG patients were irradiated with the soft laser from the labial and lingual sites for a total of one minute. Reduction in pain was found in some patients who had been irradiated. In particularly, delay in the pain appearance was noted as compared to the other two control groups."
Comment: Could not find the full text.</t>
  </si>
  <si>
    <t>A clinical investigation of the efficacy of low level laser therapy in reducing orthodontic postadjustment pain.</t>
  </si>
  <si>
    <t>🧑 Human
🎲 Randomized trial, self-controlled, crossover (?)
👥 39 participants
⌛ single treatment (per quadrant?) -&gt; 5-day follow-up</t>
  </si>
  <si>
    <t>0.0597</t>
  </si>
  <si>
    <t>15
30
45</t>
  </si>
  <si>
    <t>"Analysis of the VAS median scores showed that teeth exposed to laser treatment had lower levels of pain as compared with those with the placebo treatment. However, nonparametric statistical analysis of the data showed that the differences between treatments and placebo within each subject were not statistically significant."</t>
  </si>
  <si>
    <t>Orthodontics: Retention</t>
  </si>
  <si>
    <t>J Genet Eng Biotechnol</t>
  </si>
  <si>
    <t>Ameliorating orthodontic relapse using laser bio-stimulation and mesenchymal stem cells in rats</t>
  </si>
  <si>
    <t>46.8</t>
  </si>
  <si>
    <t>every 2 days</t>
  </si>
  <si>
    <t>"LLLT could reduce the relapse tendency, as shown by increased bone density and enhanced remodeling of hetero-formed periodontal ligament (PDL). Furthermore, the transfer of BMMSCs on the pressure side had positive effects on PDL remodeling and decreased, but did not inhibit, the relapse rate. Finally, the synergistic effects of the application of LLLT and BMMSC were better than the control but still moderate and long-lasting."</t>
  </si>
  <si>
    <t>Öztürk &amp; Amuk</t>
  </si>
  <si>
    <t>Three-dimensional imaging and molecular analysis of the effects of photobiomodulation and mechanical vibration on orthodontic retention treatment in rats : Effects of photobiomodulation and mechanical vibration on orthodontic retention treatment</t>
  </si>
  <si>
    <t>PBM vs low-magnitude high-frequency mechanical vibration</t>
  </si>
  <si>
    <t>650
532+
650+
940</t>
  </si>
  <si>
    <t>"PBM and HFMV might be able to support retention after orthodontic tooth movement by reducing bone resorption and increasing bone quality."</t>
  </si>
  <si>
    <t xml:space="preserve">Oral Health Prev Dent
</t>
  </si>
  <si>
    <t>Comprehensive Effects of Photobiomodulation Therapy as an Adjunct to Post-orthodontic Treatment Care: A Systematic Review</t>
  </si>
  <si>
    <t>"The quality of evidence for PBM therapy contributing to the maintenance of tooth position or improved dental health after orthodontic treatment remains low. There is considerable controversy over the effects of PBM therapy on orthodontic relapse. However, the use of PBM therapy after orthodontic treatment has promising effects for root resorption rehabilitation and is generally recommended."</t>
  </si>
  <si>
    <t>Effect of Low-Level Laser Therapy on Relapse of Rotated Teeth: A Systematic Review of Human and Animal Study.</t>
  </si>
  <si>
    <t>Relapse of rotated teeth</t>
  </si>
  <si>
    <t>"Out of 112 studies, two animal experiments and one human study were included."
"According to the results of our systematic review, the effect of LLLT on relapse of corrected tooth rotations is related to energy density. Namely, low energy density seems to promote relapse, while high energy density might alleviate the relapse."
"Since available investigations are limited, more well-designed randomized controlled trials involving humans are needed to get more clinically significant conclusions."</t>
  </si>
  <si>
    <t>Combined effect of photobiomodulation with a matrix metalloproteinase inhibitor on the rate of relapse in rats.</t>
  </si>
  <si>
    <t>"In the present study, the combined effect of LLLT with doxycycline on both relapse rate and MMP expression in the PDL was proved to be antagonistic, although the stimulatory effect of LLLT and inhibitory effect of doxycycline were separately verified."</t>
  </si>
  <si>
    <t>Franzen</t>
  </si>
  <si>
    <t>Norway &amp; Egypt</t>
  </si>
  <si>
    <t>The influence of low-level laser on orthodontic relapse in rats.</t>
  </si>
  <si>
    <t>1
2
3
4
5
7</t>
  </si>
  <si>
    <t>"These results indicate that LLLT may reduce the relapse tendency, possibly due in part to bone formation in previous tension areas, and to redistribution of osteoclasts following removal of orthodontic force. The role of LLLT in the prevention of orthodontic relapse requires further study."</t>
  </si>
  <si>
    <t>Effects of low-intensity laser therapy on periodontal tissue remodeling during relapse and retention of orthodontically moved teeth.</t>
  </si>
  <si>
    <t>"LILT when combined with a retainer on the moved teeth may shorten the retention period by accelerating periodontal remodeling in the new tooth position, whereas, LILT on the moved teeth left without any retainer would rather increase the rate of relapse after treatment."</t>
  </si>
  <si>
    <t>Orthodontics: Review</t>
  </si>
  <si>
    <t>J Int Soc Prev Community Dent</t>
  </si>
  <si>
    <t>The Protocol of Low-level Laser Therapy in Orthodontic Practice: A Scoping Review of Literature</t>
  </si>
  <si>
    <t>"The findings of this review supported the application of LLLT in orthodontic practice with purposes of tooth movement acceleration and pain reduction. The positive impact of LLLT on root resorption had not been clearly evident yet. As this review demonstrated heterogeneity of both laser and treatment parameters, further research should be required to ensure the effectiveness of its specific parameters in orthodontic practice."</t>
  </si>
  <si>
    <t>Borzabadi-Farahani &amp; Cronshaw</t>
  </si>
  <si>
    <t>USA &amp; UK</t>
  </si>
  <si>
    <t>BOOK: Lasers in Dentistry—Current Concepts</t>
  </si>
  <si>
    <t>Lasers in Orthodontics</t>
  </si>
  <si>
    <t xml:space="preserve">"Lasers are relatively new additions to orthodontic therapy. This paper reviews the available laser wavelengths and will discuss some adjunct application of diode lasers for soft tissue procedures. These include photobiomodulation, laser gingivectomy to improve oral hygiene or bracket positioning, aesthetic laser gingival recontouring and laser exposure of the superficially impacted teeth. Selected treated cases will be presented throughout."
</t>
  </si>
  <si>
    <t>Srivastava &amp; Mahajan</t>
  </si>
  <si>
    <t>India
(Safedabad)</t>
  </si>
  <si>
    <t>Diode lasers: a magical wand to an orthodontic practice.</t>
  </si>
  <si>
    <t>"The current article describes the uses of a diode laser as an indispensable tool in an orthodontic office."
"With nearly some years of experience using lasers, I cannot imagine practicing without them. When used properly, diode lasers are effective and safe for soft tissue procedures and contribute to the overall wellbeing of the orthodontic patients. Moreover, it can be used as a practice-builder for you in your orthodontic office."</t>
  </si>
  <si>
    <t>Orthodontics: RME / maxillary expansion</t>
  </si>
  <si>
    <t>Farzan</t>
  </si>
  <si>
    <t>Effect of Low-Level Laser Therapy on Bone Formation in Rapid Palatal Expansion: A Systematic Review</t>
  </si>
  <si>
    <t>"9 full-text articles were subsequently included considering these inclusion criteria: randomized clinical trial (RCT) that examines the efficacy of LLLT in rapid palatal expansion (RPE), age under 15 years, non-surgical RPE with a tooth-supported appliance, and low-intensity laser application.
Finally, 4 articles were appraised by Cochrane version 5.2.0 with 7 domains. 3 of 4 articles showed LLLT has a significant impact on bone formation. One of them showed no significant difference in pain perception and bone density between the laser and non-laser groups."
"While many studies have assessed the effect of LLLT on bone formation in animal models, high-quality clinical trials are missing in this regard. The available clinical trials suggest a positive effect of LLLT on sutural bone formation after RPE."</t>
  </si>
  <si>
    <t>Abdelwassie</t>
  </si>
  <si>
    <t>Effectiveness of low-level laser therapy in facilitating maxillary expansion using bone-borne hyrax expander: A randomized clinical trial</t>
  </si>
  <si>
    <t>🧑 Human
🎲 Randomized trial
👥 24 participants
⌛ single treatment -&gt; 7-day follow-up</t>
  </si>
  <si>
    <t>32
/point</t>
  </si>
  <si>
    <t>2.8
cm2
tip area</t>
  </si>
  <si>
    <t>11
/ 39 days</t>
  </si>
  <si>
    <t>"Within the limitations of this study, the results suggest that the parameters and protocol of LLLT do not clinically affect the efficiency of BBE in prepubertal and pubertal patients."
Comment: Somewhat contradictory parameter reporting.</t>
  </si>
  <si>
    <t>Effect of Simvastatin and Low-Level Laser Therapy on Sutural Bone Formation After Expansion in Rats: Biomechanical, Computed Tomography and Immunohistochemical Assessment</t>
  </si>
  <si>
    <t>0.78
cm2
area</t>
  </si>
  <si>
    <t>every
other
day
for
30/60
days</t>
  </si>
  <si>
    <t>"Although LLLT, simvastatin treatment and the combination of both significantly improved sutural bone formation in rats compared to the control group, the combined treatment showed significantly superior clinical results compared to other interventions."</t>
  </si>
  <si>
    <t>Chaves</t>
  </si>
  <si>
    <t>Is photobiomodulation effective during maxillary expansion? A systematic review and meta-analysis</t>
  </si>
  <si>
    <t>"Among the five studies included in the qualitative synthesis, three were included in the meta-analysis. All analyzed studies were prospective randomized clinical trials. 
The risk of bias was such that the Egger (p = 0.1991) and Begg (p = 0.024) tests showed no significant risk of publication bias. 
The meta-analysis showed high heterogeneity (I² = 81%, p &lt; 0.00001), and 3 months after the operation, there was no significant difference between the photobiomodulation (PBMT) group and control group (p = 0.850) or between the subgroups of the periods evaluated after 3 months (p = 0.490). GRADE showed an SMD of 0.62."</t>
  </si>
  <si>
    <t>Chile
(Bio Bio)</t>
  </si>
  <si>
    <t>Benefits of Using Low-level Laser Therapy in the Rapid Maxillary Expansion: A Systematic Review</t>
  </si>
  <si>
    <t>"Thirty-two publications were found (...) 16 were used (2 systematic reviews, 6 articles on humans, and 8 on animals)"
"The use of LLLT as a complement to RME has shown promising results with cellular biostimulation, promoting angiogenesis and bone regeneration of the midpalatal suture."</t>
  </si>
  <si>
    <t>Italy
(Monza)</t>
  </si>
  <si>
    <t>Pain Reduction during Rapid Palatal Expansion Due to LED Photobiomodulation Irradiation: A Randomized Clinical Trial</t>
  </si>
  <si>
    <t>🧑 Human
🎲 Randomized trial
👥 30 participants
⌛ single treatment -&gt; 7-day follow-up</t>
  </si>
  <si>
    <t>450-
835</t>
  </si>
  <si>
    <t>48
(3*16)</t>
  </si>
  <si>
    <t>1080
(3*360)</t>
  </si>
  <si>
    <t>"The pain that was felt at each time interval and the maximum score of pain were significantly lower in the experimental group (p &lt; 0.05) and decreased faster in the experimental group, with a score test near to 0 after 2/3 days."</t>
  </si>
  <si>
    <t>Pirmoradian</t>
  </si>
  <si>
    <t>Effect of Photobiomodulation on Relapse in an Experimental Rapid Maxillary Expansion Model in Rat</t>
  </si>
  <si>
    <t>"There was a significant difference (P &lt; 0.05) between groups in relapse rates (secondary outcome variable) but not in total relapse after 4 weeks."</t>
  </si>
  <si>
    <t xml:space="preserve">Mohaghegh </t>
  </si>
  <si>
    <t>Am J Stem Cells</t>
  </si>
  <si>
    <t>Effect of mesenchymal stem cells injection and low-level laser therapy on bone formation after rapid maxillary expansion: an animal study</t>
  </si>
  <si>
    <t>810-
830 (?)</t>
  </si>
  <si>
    <t>"Our findings suggest that the application of LLLT and BMSCs is the most beneficial approach in accelerating bone regeneration in the inter-maxillary suture."</t>
  </si>
  <si>
    <t>Comparison of Single and Multiple Low-Level Laser Applications After Rapid Palatal Expansion on Bone Regeneration in Rats</t>
  </si>
  <si>
    <t>0.0001
(???)</t>
  </si>
  <si>
    <t>"It may be concluded that multiple low-power laser irradiation improves bone regeneration after RPE while single irradiation does not have a positive effect."</t>
  </si>
  <si>
    <t>Brazil
(Patos de Minas)</t>
  </si>
  <si>
    <t>Evaluation of photobiomodulation therapy to accelerate bone formation in the mid palatal suture after rapid palatal expansion: a randomized clinical trial</t>
  </si>
  <si>
    <t>🧑 Human
🎲 Randomized trial
👥 34 participants
⌛ 8-week treatment / 6-month study</t>
  </si>
  <si>
    <t>"Bone formation between groups was not significantly different (p = 0.2273). At 3 months, bone formation was not yet complete in both groups. Pain sensation was similar between groups (p = 0.3940). However, pain was significantly higher for the first 7 days of treatment compared with the 14th day. "</t>
  </si>
  <si>
    <t>Tas Deynek</t>
  </si>
  <si>
    <t>Effects of different settings for 940 nm diode laser on expanded suture in rats.</t>
  </si>
  <si>
    <t>18
42
60</t>
  </si>
  <si>
    <t>"The InGaAsP laser at the low dosage induced a favorable effect on bone formation in the orthopedically expanded midpalatal suture of rats."</t>
  </si>
  <si>
    <t>Evaluation of photobiomodulation effects on pain, edema, paresthesia, and bone regeneration after surgically assisted rapid maxillary expansion: Study protocol for a randomized, controlled, and double blind clinical trial.</t>
  </si>
  <si>
    <t>Maxillary Orthodontic Expansion Assisted by Unilateral Alveolar Corticotomy and Low-Level Laser Therapy: A Novel Approach for Correction of a Posterior Unilateral Cross-Bite in Adults.</t>
  </si>
  <si>
    <t>🧑 Human
📄 Single-arm study
👥 15 participants
⌛ (?)</t>
  </si>
  <si>
    <t>monthly</t>
  </si>
  <si>
    <t>"All subjects reported successful correction of the posterior unilateral crossbite, and functional occlusion was achieved as well. The average expansion was greater at the crossbite side compared to the unaffected side and such difference was significant at the levels of first premolars (P &lt; 0.05), second premolars (P &lt; 0.05) and first molars (P &lt; 0.05). 
"Orthodontic maxillary expansion assisted by unilateral corticotomy and LLLT was effective in the treatment of the true unilateral crossbite."
Comment: No control group.</t>
  </si>
  <si>
    <t>Davoudi</t>
  </si>
  <si>
    <t>Effects of laser therapy on patients who underwent rapid maxillary expansion; a systematic review.</t>
  </si>
  <si>
    <t>"Four RCTs were eligible in randomization and methodology. The applied wavelength varied from 660 to 830 nm with an output range of 40-100 mW. Also, the highest exposed energy was 420 J/cm2 and the lowest was 100 J/cm2. The exposure time differed from 20 to 84 s in each defined point in the palate. Based on the RCTs available, LLLT is better to be used at initial phase of RME, because it has some benefits in increasing the rate of bone remodeling."
"Cepera et al. found improved MPS opening and accelerated bone regeneration [21]. Angeletti et al. stated that bone regeneration after LLLT following the SARPE approach caused significant mineralization [20]. Both Garcia et al. [23] and Ferreira et al. [22] indicated that LLLT resulted in a better healing process following RME."</t>
  </si>
  <si>
    <t>Skondra</t>
  </si>
  <si>
    <t>Greece &amp; Switzerland</t>
  </si>
  <si>
    <t>The Effect of Low Level Laser Therapy on Bone Healing After Rapid Maxillary Expansion: A Systematic Review.</t>
  </si>
  <si>
    <t>Rapid maxillary expansion</t>
  </si>
  <si>
    <t>"The search strategy resulted in 12 publications (4 randomized controlled trials, 8 animal studies). In human studies, bone density was assessed radiographically (either two-dimensional or three-dimensional imaging). Regardless of the discrepancies in the intervention protocols, the total of the trials revealed that LLLT had stimulatory effects on bone regeneration after RME. The studies in animal models measured the formation and maturation of new bone qualitatively or quantitatively."
"Despite the limited evidence, LLLT seems to be a promising intervention for stimulating immediate bone regeneration and healing after midpalatal suture expansion. Long-term, randomized clinical trials are needed to formulate safe results and establish a reliable clinical protocol, rendering the method clinically applicable."</t>
  </si>
  <si>
    <t>Laser and LED phototherapy on midpalatal suture after rapid maxilla expansion: Raman and histological analysis.</t>
  </si>
  <si>
    <t>450
36</t>
  </si>
  <si>
    <t>257
120</t>
  </si>
  <si>
    <t>"Raman spectrum analysis demonstrated that irradiation increases hydroxyapatite in the midpalatal suture after expansion. In the histological analysis of various inflammation, there was a higher production of collagen and osteoblastic activity and less osteoclastic activity. The results showed that LED irradiation associated to rapid maxillary expansion improves bone repair and could be an alternative to the use of laser in accelerating bone formation in the midpalatal suture."</t>
  </si>
  <si>
    <t>Effect of low-level laser therapy after rapid maxillary expansion: a clinical investigation.</t>
  </si>
  <si>
    <t>🧑 Human
🎲 Randomized trial, sham-controlled
👥 39 participants
⌛ 70-day treatment / 75-day study</t>
  </si>
  <si>
    <t>0.332</t>
  </si>
  <si>
    <t>0.26
cm2</t>
  </si>
  <si>
    <t>7
/ 70 days</t>
  </si>
  <si>
    <t>"At day 75 of the suture, the irradiated patients presented a greater percentage of approximate zones in the anterior (p = 0.008) and posterior (p = 0.001) superior suture-and less approximation in the posterior superior suture (p = 0.040)-than the placebo group. LLLT appears to stimulate the repair process during retention phase after RME."</t>
  </si>
  <si>
    <t>Effects of low-level laser therapy on bone regeneration of the midpalatal suture after rapid maxillary expansion.</t>
  </si>
  <si>
    <t>🧑 Human
🎲 Randomized trial (uneven allocation)
👥 14 participants
⌛ 2-month treatment / 4-month study</t>
  </si>
  <si>
    <t>Bone regeneration of midpalatal suture</t>
  </si>
  <si>
    <t>12
/ 2 months</t>
  </si>
  <si>
    <t>"In conclusion, LLLT had a positive influence on bone regeneration of the midpalatal suture by accelerating the repair process."</t>
  </si>
  <si>
    <t>Mohammad-Hoseyni</t>
  </si>
  <si>
    <t>Effect of Low Level Laser Therapy on Pain Reduction After Midpalatal Expansion in Rats.</t>
  </si>
  <si>
    <t>"The body weight of the experimental groups significantly decreased in the first two days because of the pain and difficult nutrition with the new appliance. Within the next two days, the body weight of all rats increased but this increase was significantly higher in the irradiated compared to the non-irradiated group. 
This significant improvement continued until day 14 and then between days 14 and 30 the rats gained weight similarly in the irradiated and control groups."
"The study results showed that laser irradiated group continued to gain weight easier than the control group. This may be due to more efficient pain control due to laser irradiation after midpalatal expansion."</t>
  </si>
  <si>
    <t>Amini</t>
  </si>
  <si>
    <t>J Orthod Sci</t>
  </si>
  <si>
    <t>Evaluating the effect of laser irradiation on bone regeneration in midpalatal suture concurrent to rapid palatal expansion in rats</t>
  </si>
  <si>
    <t>"The results in 7 days, 14 days, and 30 days show that laser therapy can increase the rate of osteogenesis in palatal suture during rapid palatal expansion but the differences in 7 days groups were not significant (P = 0.117) while in 14 days groups (P = 0.032) and 30 days groups were significant (P = 0.001). Most of effectiveness of low-power laser was seen between 14 and 30 days while the laser therapy was stopped."</t>
  </si>
  <si>
    <t>Brazil
(Teresina)</t>
  </si>
  <si>
    <t>Effects of laser vs ultrasound on bone healing after distraction osteogenesis: A histomorphometric analysis.</t>
  </si>
  <si>
    <t>"This study concluded that bone healing is accelerated with the application of laser irradiation. The greatest effects were observed with combined ultrasound and laser treatment."</t>
  </si>
  <si>
    <t>Effect of the laser and light-emitting diode (LED) phototherapy on midpalatal suture bone formation after rapid maxilla expansion: a Raman spectroscopy analysis.</t>
  </si>
  <si>
    <t>"Significant statistical difference (p ≤ 0.05) was found in the hydroxyapatite (CHA) peaks among the expansion group and the expansion and laser or LED groups. The LED group presented higher mean peak values of CHA. No statistical differences were found between the treated groups as for collagen deposition, although LED also presented higher mean peak values. The results of this study using Raman spectral analysis indicate that laser and LED light irradiation improves deposition of CHA in the midpalatal suture after orthopedic expansion."</t>
  </si>
  <si>
    <t>Effect of soft laser in bone repair after expansion of the midpalatal suture in dogs</t>
  </si>
  <si>
    <t>790-
904</t>
  </si>
  <si>
    <t>"A significant difference was observed in the quality of the palatal sutures between the animals in groups 1 and 2. The connective tissues of the sutures in the group 1 animals were similar to the original configurations, with more advanced osteogenesis and fibrogenesis, compared with those of group 2."</t>
  </si>
  <si>
    <t>Cepera</t>
  </si>
  <si>
    <t>Effect of a low-level laser on bone regeneration after rapid maxillary expansion.</t>
  </si>
  <si>
    <t>🧑 Human
📄 Non-randomized study (?)
👥 27 participants
⌛ see full text</t>
  </si>
  <si>
    <t>4
(10p)</t>
  </si>
  <si>
    <t>29
(??)</t>
  </si>
  <si>
    <t>"From the evaluation of bone density, the results showed that the laser improved the opening of the midpalatal suture and accelerated the bone regeneration process."
Comment: The full text is not completely unambiguous on some methodological details.</t>
  </si>
  <si>
    <t>Abreu</t>
  </si>
  <si>
    <t>World J Orthod</t>
  </si>
  <si>
    <t>Infrared laser therapy after surgically assisted rapid palatal expansion to diminish pain and accelerate bone healing.</t>
  </si>
  <si>
    <t>0.2827
cm2</t>
  </si>
  <si>
    <t>100
(5p)</t>
  </si>
  <si>
    <t>7
(48h intervals)</t>
  </si>
  <si>
    <t>"These findings suggest that laser therapy can accelerate bone regeneration of the median palatal suture in patients who have undergone SARPE."</t>
  </si>
  <si>
    <t>Angeletti</t>
  </si>
  <si>
    <t>Effect of low-level laser therapy (GaAlAs) on bone regeneration in midpalatal anterior suture after surgically assisted rapid maxillary expansion.</t>
  </si>
  <si>
    <t>🧑 Human
🎲 Randomized trial
👥 13 participants
⌛ 2-week treatment / 7-month study</t>
  </si>
  <si>
    <t>25.2
(3p)</t>
  </si>
  <si>
    <t>8
(48h intervals)</t>
  </si>
  <si>
    <t>"Bone regeneration associated with the use of laser after SARME showed a statistically significant difference. A higher mineralization rate was found in the laser group (26.3%, P &lt; .001) than the control group."
"Low-level laser irradiation (GaAlAs) accelerates bone regeneration in MPAS after SARME. However, the optical density measurements after 7 months of follow-up were lower in comparison with the preoperative measurements."</t>
  </si>
  <si>
    <t>Saito &amp; Shimizu</t>
  </si>
  <si>
    <t>Stimulatory effects of low-power laser irradiation on bone regeneration in midpalatal suture during expansion in the rat.</t>
  </si>
  <si>
    <t>"The bone regeneration in the midpalatal suture estimated by histomorphometric method in the 7-day irradiation group showed significant acceleration at 1.2- to 1.4-fold compared with that in the nonirradiated rats, and this increased rate was irradiation dose-dependent. Irradiation during the early period of expansion (days 0 to 2) was most effective, whereas neither the later period (days 4 to 6) nor the one-time irradiation had any effect on bone regeneration."
"These findings suggest that low-power laser irradiation can accelerate bone regeneration in a midpalatal suture during rapid palatal expansion and that this effect is dependent not only on the total laser irradiation dosage but also on the timing and frequency of irradiation. We suggest laser therapy may be of therapeutic benefit in inhibiting relapse and shortening the retention period through acceleration of bone regeneration in the midpalatal suture."</t>
  </si>
  <si>
    <t>Orthodontics: Root resorption</t>
  </si>
  <si>
    <t>Cuellar</t>
  </si>
  <si>
    <t>Honduras &amp; Mexico</t>
  </si>
  <si>
    <t>Root Regeneration with Photobiomodulation of an Upper Lateral Incisor Associated with Root Resorption Due to an Impacted Maxillary Canine: A Case Report</t>
  </si>
  <si>
    <t>"After 12 months, the 22 had root neoformation and complete closure of the apex with vitality."</t>
  </si>
  <si>
    <t>An evaluation of root resorption associated with the use of photobiomodulation during orthodontic treatment with clear aligners: a retrospective cohort pilot study</t>
  </si>
  <si>
    <t>🧑 Human
📄 Retrospective study
👥 32 patients</t>
  </si>
  <si>
    <t>"There was no statistically significant difference between the pre- and posttreatment root volumes of maxillary and mandibular anterior teeth, regardless of which intervention group the patient belonged to (P &gt; .05). There was also no difference in the mean percentage change in root volume between clear aligner patients in this study who were treated with the PBM device compared with a matched control group (P &gt; .05)."</t>
  </si>
  <si>
    <t>Shahid</t>
  </si>
  <si>
    <t>Effects of Low-Level Laser Therapy and Bracket Systems on Root Resorption during Orthodontic Treatment: A Randomized Clinical Trial</t>
  </si>
  <si>
    <t>🧑 Human
🎲 Randomized trial
👥 32 participants
⌛ (?)</t>
  </si>
  <si>
    <t>"LLLT and bracket systems have no consequences on RR until the leveling and alignment stage of orthodontic treatment."</t>
  </si>
  <si>
    <t>Nasser</t>
  </si>
  <si>
    <t>Investigating the Effectiveness of Low-Level Laser in Reducing Root Resorption of the Upper Incisors During Intrusion Movement Using Mini-Implants in Adult Patients With Deep Overbite: A Randomized Controlled Clinical Trial</t>
  </si>
  <si>
    <t>🧑 Human
🎲 Randomized trial
👥 30 participants
⌛ ~4.5 months</t>
  </si>
  <si>
    <t>4 / first month
-&gt; then once every 15 days</t>
  </si>
  <si>
    <t>"The low-level laser irradiation using the current protocol did not significantly affect the amount of root resorption induced by incisor intrusion in the experimental group compared to the control group."</t>
  </si>
  <si>
    <t>Nayyer</t>
  </si>
  <si>
    <t>Impact of photobiomodulation on external root resorption during orthodontic tooth movement in humans - A systematic review and meta-analysis</t>
  </si>
  <si>
    <t>"Summary of Findings was formulated according to GRADE Profile."
"The search retrieved 1509 results out of which six studies were included for the systematic review. Two studies showed low overall risk of bias and the remaining four showed unclear risk of bias. 
The meta-analysis was conducted for three studies with an overall sample size of 120 teeth which showed a pooled mean difference of 0.08 (95% CI 0.15 - (-0.02) to 1.96, p=&lt;0.0001) in favour of photobiomodulation group with respect to mean total resorption per tooth. I2 index revealed 88% heterogeneity."
"It is concluded that there is moderate grade of evidence to suggest beneficial effect of photobiomodulation on root resorption. Further high-quality randomized controlled trials with standardized intervention parameters are recommended."</t>
  </si>
  <si>
    <t>The influence of two photobiomodulation protocols on orthodontically induced inflammatory root resorption (a randomized controlled clinical trial)</t>
  </si>
  <si>
    <t>🧑 Human
⚔ Comparison study, randomized, split-mouth
👥 20 participants
⌛ 12 weeks</t>
  </si>
  <si>
    <t>⚔ 2 PBM schedules</t>
  </si>
  <si>
    <t>1
cm2
beam
size</t>
  </si>
  <si>
    <t>4
/ 2 weeks
--&gt;
every 2
weeks
OR
irradiation
every 3
weeks</t>
  </si>
  <si>
    <t>"No significant differences in the amount of OIIRR have been reported between the laser and control sides in both groups A and B. Also, no significant differences have been reported between the laser sides in both groups."</t>
  </si>
  <si>
    <t>Anatomical location: "irradiation was performed on the experimental side by placing the optical fiber tip along the maxillary arch against the middle third of the canine root, where the irradiation would also reach the apical and the cervical thirds"</t>
  </si>
  <si>
    <t>Sambevski</t>
  </si>
  <si>
    <t>Physical properties of root cementum: Part 29. The effects of LED-mediated photobiomodulation on orthodontically induced root resorption and pain: a pilot split-mouth randomized controlled trial</t>
  </si>
  <si>
    <t>🧑 Human
🎲 Randomized trial, sham-controlled, split-mouth
👥 20 participants, 40 premolars
⌛ 28 days</t>
  </si>
  <si>
    <t>"There was no significant difference in the mean total root resorption between the LED PBM and control sides (mean 0.216 versus 0.284 mm3, respectively, P = 0.306). 
The LED side was associated with less pain at 24 hours (P = 0.023) and marginally more pain at subsequent time points, which was not statistically significant. No harms were observed."</t>
  </si>
  <si>
    <t>Device: OrthoPulse device (Biolux Research Ltd, Vancouver, British Columbia, Canada)</t>
  </si>
  <si>
    <t>Saudi Arabia
(Sakaka)</t>
  </si>
  <si>
    <t>Ectopic Eye Tooth Management: Photobiomodulation/Low-Level Laser Emission Role in Root Resorption after Fixed Orthodontic Treatment</t>
  </si>
  <si>
    <t>🧑 Human
📄 Non-randomized study, controlled
👥 32 participants
⌛ (?)</t>
  </si>
  <si>
    <t>"QRR [quantitative measurements of root resorption] on CBCT in EET patients after FOT [fixed orthodontic treatment] with SLB [Self ligating bracket], LE/P [low-level laser emission/photobiomodulation], and LE/P + SLB showed a superior outcome."
Comment: The paper is very difficult to understand. A lot of abbreviations used as well.</t>
  </si>
  <si>
    <t>Keklikci &amp; Yagci</t>
  </si>
  <si>
    <t>Effects of different wavelengths of low-level laser therapy on orthodontically induced inflammatory root resorption in rats investigated with micro-computerized tomography</t>
  </si>
  <si>
    <t>Blue light 🔵 (/violet)
Green light 🟢
Wavelength comparison</t>
  </si>
  <si>
    <t>405
532
650
940</t>
  </si>
  <si>
    <t>"The 532-nm, 650-nm, and 940-nm lasers significantly reduced the volume of OIIRR.
In addition, the 532-nm laser reduced the number of lacunae both distally and totally than all the other groups."</t>
  </si>
  <si>
    <t>Effect of photobiomodulation on external root resorption during orthodontic tooth movement - a randomized controlled trial</t>
  </si>
  <si>
    <t>🧑 Human
🎲 Randomized trial, sham-controlled, split-mouth
👥 22 participants
⌛ 28 days</t>
  </si>
  <si>
    <t>"All twenty-two patients enrolled completed the study. The root surface analysis showed formation of 32.78% less number of resorption craters (P&lt;0.05) and 39.49% less volume of resorption craters (P&lt;0.05) in the test group premolars relative to the control group premolars."</t>
  </si>
  <si>
    <t>Ozturk &amp; Gul Amuk</t>
  </si>
  <si>
    <t>Effects of photobiomodulation at different wavelengths on orthodontically induced root resorption in orthodontic retention period: a micro-CT and RT-PCR study.</t>
  </si>
  <si>
    <t>"Resorption lacunae volume (p &lt; 0.001), number of resorption lacunae (p &lt; 0.05), and percentage of the resorption (PR) lacunae (p &lt; 0.001) decreased with PBM applications when compared with the positive control groups, and the mean PR was similar in the negative control group when compared with SW-PBM group. 
Receptor activator of nuclear factor kappa B ligand (RANKL) levels of the PBM groups were lower (p &lt; 0.05) than those of the positive control groups. Cyclooxygenase-2 (COX-2) expression levels significantly decreased with PBM administration (p &lt; 0.05). No significant change was found in osteoprotegerin (OPG) expression levels and OPG/RANKL ratios (p &gt; 0.05). 
PBM applications showed marked inhibitory and reparative effects on OIIRR by modulating the RANKL and COX-2 expression levels. However, the effects of the different wavelengths were similar to each other.Graphical abstract."</t>
  </si>
  <si>
    <t>Goymen &amp; Gulec</t>
  </si>
  <si>
    <t>Effect of photobiomodulation therapies on the root resorption associated with orthodontic forces: a pilot study using micro computed tomography.</t>
  </si>
  <si>
    <t>810
(laser)
850
(LED)</t>
  </si>
  <si>
    <t xml:space="preserve"> 
0.020</t>
  </si>
  <si>
    <t>"It is seen that laser and LED photobiomodulation therapies used for accelerate orthodontic tooth movement do not differ from the control group in terms of forming root resorption."</t>
  </si>
  <si>
    <t>Gul Amuk</t>
  </si>
  <si>
    <t>Effects of Photobiomodulation and Ultrasound Applications on Orthodontically Induced Inflammatory Root Resorption; Transcriptional Alterations in OPG, RANKL, Cox-2: An Experimental Study in Rats.</t>
  </si>
  <si>
    <t>"Number of osteoclasts (p &lt; 0.01), number of resorption lacunae and resorption area ratio (p &lt; 0.001) decreased and number of total cells (p &lt; 0.001) increased with the PBM and LIPUS applications when compared with the positive control group. 
Receptor activator of nuclear factor kappa B ligand (RANKL) levels of PBM and LIPUS groups were lower (p &lt; 0.001), and osteoprotegerin (OPG) levels were higher (p &lt; 0.001) than the positive control group. Cyclooxygenase-2 (Cox-2) expression significantly decreased with LIPUS and PBM administrations (p &lt; 0.05). No significant difference was observed among PBM and LIPUS groups."</t>
  </si>
  <si>
    <t>de Melo Conti</t>
  </si>
  <si>
    <t>Effects of Photobiomodulation on Root Resorption Induced by Orthodontic Tooth Movement and RANKL/OPG</t>
  </si>
  <si>
    <t>"The results of this study suggested that photobiomodulation may have a positive effect on root resorption repair by stimulating OPG expression leading to a decrease in the number of clastic cells at the root surface and avoiding the progression of RR process."</t>
  </si>
  <si>
    <t>Influence of low-level laser therapy on orthodontically-induced inflammatory root resorption. A systematic review.</t>
  </si>
  <si>
    <t>"Nine (7 experimental and 2 clinical) of the initially identified 39 studies were included. 
One clinical and 2 experimental studies showed that LLLT during orthodontic tooth movement (OTM) significantly reduces OIIRR. One experimental study reported that LLLT during OTM in sockets treated with alloplastic materials significantly reduces OIIRR. One experimental study found that LLLT after OTM significantly repairs OIIRR, whereas one clinical study did not report a significant reparative affect. Three experimental studies showed that LLLT increases OIIRR during OTM, corticotomized-OTM, and OTM into grafted defects, respectively. 
The minimum, median and highest ARRIVE scores (out of 20) of the included experimental studies were 15, 17 and 19, respectively. The mean CONSORT score of the included clinical studies was 23 (out of 25)."
"In conclusion, the influence of LLLT on OIIRR remains debatable."</t>
  </si>
  <si>
    <t>The effect of low-level laser therapy on orthodontically induced root resorption: a pilot double blind randomized controlled trial</t>
  </si>
  <si>
    <t>🧑 Human
🎲 Randomized trial, double-blind, split-mouth
👥 20 participants
⌛ 21-day treatment / 28-day study</t>
  </si>
  <si>
    <t>Root resorption</t>
  </si>
  <si>
    <t>0.5
cm2
beam
4.0
cm2
total
area</t>
  </si>
  <si>
    <t>7
/ 21 days</t>
  </si>
  <si>
    <t>"LLLT resulted in 23 per cent less root resorption compared to the placebo (P = 0.026). Pulsed laser delivery resulted in 5 per cent less root resorption than continuous; however, this was not statistically significant (P = 0.823). No harm was observed."</t>
  </si>
  <si>
    <t>Sayuri Suzuki</t>
  </si>
  <si>
    <t>Low-level laser therapy stimulates bone metabolism and inhibits root resorption during tooth movement in a rodent model.</t>
  </si>
  <si>
    <t>Alveolar bone</t>
  </si>
  <si>
    <t>1.5
/point</t>
  </si>
  <si>
    <t>2
3
4
(?)</t>
  </si>
  <si>
    <t>"Taken together, our results indicate that LLLT can stimulate bone remodeling reducing root resorption in a rat model. LLLT improves tooth movement via bone formation and bone resorption in a rat model."</t>
  </si>
  <si>
    <t>Low-Level Laser Action on Orthodontically Induced Root Resorption: Histological and Histomorphometric Evaluation.</t>
  </si>
  <si>
    <t>2.1
96</t>
  </si>
  <si>
    <t>"Based on the result, this dosimetry does not seem to be clinically recommended to avoid or reduce inflammatory root resorption, but it also does not induce any root surface alteration."</t>
  </si>
  <si>
    <t>The effects of low-level laser therapy on orthodontically induced root resorption.</t>
  </si>
  <si>
    <t>"LLLT has significant reparative effects on OIIRR while it is not possible to say that it definitely has a preventive effect."</t>
  </si>
  <si>
    <t>Nimeri</t>
  </si>
  <si>
    <t>Clin Cosmet Investig Dent</t>
  </si>
  <si>
    <t>The effect of photobiomodulation on root resorption during orthodontic treatment.</t>
  </si>
  <si>
    <t>🧑 Human
📄 Single-arm study
👥 20 participants
⌛ (?)</t>
  </si>
  <si>
    <t>"Our results showed that photobiomodulation did not cause root resorption greater than the normal range that is commonly detected in orthodontic treatments."
Comment: The study methods are inadequately described.</t>
  </si>
  <si>
    <t>Device: OrthoPulse</t>
  </si>
  <si>
    <t>Effects of light emitting diode (LED) therapy at 940 nm on inflammatory root resorption in rats.</t>
  </si>
  <si>
    <t>LED phototherapy
Root resorption</t>
  </si>
  <si>
    <t>"In conclusion, the results suggest that LED therapy improved periodontal tissue repair and decreased inflammation and root resorption after the application of orthodontic force."</t>
  </si>
  <si>
    <t>Orthodontics: Supracrestal fiberotomy</t>
  </si>
  <si>
    <t>Maboudi</t>
  </si>
  <si>
    <t>Comparing Circumferential Supracrestal Fiberotomy with Surgical Scalpel Versus Photobiomodulation in Orthodontic Relapse Reduction: A Clinical Trial</t>
  </si>
  <si>
    <t>🧑 Human
🎲 Randomized trial
👥 90 teeth (allocated to 6 groups)
⌛ (?)</t>
  </si>
  <si>
    <t>200
1500</t>
  </si>
  <si>
    <t>"The magnitude (p = 0.014) and percentage (p = 0.035) of relapse were significantly different among the six groups, and they were the highest in the control group followed by photobiomodulation alone, laser CSF, conventional CSF, conventional CSF plus photobiomodulation, and finally, laser CSF plus photobiomodulation. Moreover, photobiomodulation plus laser CSF and photobiomodulation plus conventional CSF had significantly different results from the other groups. 
The six groups had no significant difference in sulcus depth changes, gingival recession (difference in primary and secondary crown height), or pain score (p &gt; 0.05)."</t>
  </si>
  <si>
    <t>Orthodontics: Temporomandibular joint</t>
  </si>
  <si>
    <t>Khwanda</t>
  </si>
  <si>
    <t>Three-Dimensional Assessment of the Temporomandibular Joint Changes Following Reversed Twin Block Therapy of Patients With Skeletal Class III Malocclusion in Conjunction With the Photobiomodulation Therapy: A Randomized Controlled Clinical Trial</t>
  </si>
  <si>
    <t>🧑 Human
🎲 Randomized trial
👥 40 participants
⌛ ~6-12 months (depending on patient)</t>
  </si>
  <si>
    <t>150-
250</t>
  </si>
  <si>
    <t>25
/side</t>
  </si>
  <si>
    <t>On days
1, 3, 7, 14
--&gt;
then every 15 days</t>
  </si>
  <si>
    <t>"No significant effects on the condylar position were found following skeletal class III treatment with a reversed twin block appliance in conjunction with the photobiomodulation therapy. A small difference in condylar volume was noticed between the RTB group and the RTB+PBMT group."</t>
  </si>
  <si>
    <t>Orthodontics: Tooth movement</t>
  </si>
  <si>
    <t>J Dent SCi</t>
  </si>
  <si>
    <t>The effect of low-level laser therapy on osteoclast differentiation: Clinical implications for tooth movement and bone density</t>
  </si>
  <si>
    <t>🧪 In vitro
+ 🧑 Human
📄 Controlled, non-randomized study
👥 12 participants
⌛ 90-day study</t>
  </si>
  <si>
    <t xml:space="preserve">"The RAW 264.7 cell line served as the precursor for osteoclasts, and these cells underwent irradiation using a 808-nm LLLT. Osteoclast differentiation was assessed through tartrate-resistant acid phosphatase (TRAP) staining."
"In the clinical study, 12 participants were enrolled. Their tooth movement was monitored using a TRIOS desktop scanner. Bone density measurements were conducted using Mimics software, which processed cone-beam computed tomography (CBCT) images exported in Digital Imaging and Communications in Medicine (DICOM) format."
"We found that LLLT effectively promoted receptor activator of nuclear factor-κB ligand (RANKL)-dependent osteoclast differentiation and the expression of osteoclast functional genes, including matrix metallopeptidase 9 (MMP9), nuclear factor of activated T-cells cytoplasmic 1(NFATc1), tartrate-resistant acid phosphatase (TRAP) and cathepsin K (CTSK) in RAW264.7 cells. 
Clinically, the cumulative tooth movement over 90 days was significantly higher in the laser group than in the control group."
</t>
  </si>
  <si>
    <t>Effective Parameters for Orthodontic Tooth Movement Acceleration with Photobiomodulation: An Umbrella Review</t>
  </si>
  <si>
    <t>📖 Review (umbrella review)</t>
  </si>
  <si>
    <t>"The results showed the range from 730 to 830 nm as the most effective range of wavelength to accelerate the orthodontic dental movement. A power range of 0.25-200 mW, with emphasis on the direct correlation between power, wavelength, and energy density. Energy density has not been adequately reported in the most randomized controlled clinical trials."</t>
  </si>
  <si>
    <t>Dehis</t>
  </si>
  <si>
    <t>Effect of low-level laser therapy on en masse retraction in females with bimaxillary dentoalveolar protrusion : A single-center randomized clinical trial</t>
  </si>
  <si>
    <t>🧑 Human
🎲 Randomized trial
👥 36 participants
⌛ (see full text)</t>
  </si>
  <si>
    <t>7.14</t>
  </si>
  <si>
    <t>7 / 56 days
-&gt; and then biweekly until end of retraction</t>
  </si>
  <si>
    <t>"The duration of retraction was 10.125 ± 2.876 and 13.643 ± 3.455 months in the LG and NLG, respectively. The LG showed a statistically significant faster rate of en masse retraction (0.833 ± 0.371 mm/month) compared to the NLG (0.526 ± 0.268 mm/month; P ≤ 0.035). The observed root resorption was significantly less in the LG (P ≤ 0.05) with comparable pain scores in both groups."
"Within the constraints of the parameters of the LLLT used in the current study and despite the statistically significant results on the rate of en masse retraction and the associated root resorption, LLLT did not demonstrate a clinically relevant effect that justifies its use to enhance en masse retraction."</t>
  </si>
  <si>
    <t>Alam &amp; Alahmari</t>
  </si>
  <si>
    <t>Accelerated Orthodontic Treatment Using Photobiomodulation: A Randomized Clinical Trial</t>
  </si>
  <si>
    <t>🧑 Human
🎲 Randomized trial
👥 60 participants
⌛ (see full text)</t>
  </si>
  <si>
    <t>"The PBM group exhibited a statistically significant reduction in treatment duration compared to the control group (P &lt; 0.05) [12.6 months vs 14.8 months]."
"Patient-reported discomfort, assessed using the VAS, was consistently lower in the PBM group compared to the control group across all orthodontic visits. The median VAS score for the PBM group was 3, while the control group reported a median VAS score of 6. These differences in discomfort were statistically significant (P &lt; 0.05) [Table 2]."</t>
  </si>
  <si>
    <t>Alzahrani</t>
  </si>
  <si>
    <t>Photobiomodulation in Orthodontics: Mechanisms and Clinical Efficacy for Faster Tooth Movement</t>
  </si>
  <si>
    <t>"Accelerated orthodontics has revolutionized traditional dental practices by employing innovative techniques to expedite tooth movement and enhance treatment outcomes. Among these advancements, low-level laser therapy (LLLT) has emerged as a promising adjunctive method that offers a non-invasive and efficient approach to accelerate orthodontic tooth movement. By harnessing the power of low-level lasers, LLLT aims to stimulate cellular activity, promote bone remodeling, and reduce treatment duration, thereby revolutionizing the landscape of orthodontic care. In this review, we discuss the mechanism of action, methods, efficacy, advantages, limitations, and future scope of LLLT, uncovering its transformative impact on the field of accelerated orthodontics."</t>
  </si>
  <si>
    <t>Dominguez A</t>
  </si>
  <si>
    <t>Is it possible to anchor a tooth with photobiomodulation?</t>
  </si>
  <si>
    <t>"During orthodontic treatment, we can achieve differential movements by using photobiomodulation (PBM) as an adjuvant before applying force. We can expect a greater bone density that initially resists movement while applying PBM to the other teeth to achieve an accelerating effect. The proposed protocol is to use an 810 nm laser at 0.1W power, applying between 4 and 6J per tooth for 22 s on the vestibular and lingual root surfaces, following the axial axis of the tooth. The energy density depends on the tip selected in the instrument. Normal bone remodeling cannot be avoided by applying high doses of PBM. PBM should be applied before orthodontic force to reduce tooth movement. In addition, PBM can be used during force application to teeth that require acceleration to achieve differential movement in orthodontic treatments. The protocol is the same in both scenarios."</t>
  </si>
  <si>
    <t>Photobiomodulation therapy's impact on angiogenesis and osteogenesis in orthodontic tooth movement: in vitro and in vivo study</t>
  </si>
  <si>
    <t>"The results revealed a significant increase in blood vessel formation and new bone generation within the PBMT-treated group compared to the control group. 
In vitro, PBMT demonstrated positive effects on cell proliferation, osteogenesis, angiogenesis, and gene expression in the co-culture model. 
In vivo, laser irradiation at specific energy densities significantly enhanced OTM, angiogenesis, and osteogenesis."</t>
  </si>
  <si>
    <t>Device: "This experiment employed a super-fine fiber diode laser manufactured by Intensive Medical &amp; Dental System Private Limited, with a wavelength of 980 nm, a laser power of 0.5 W, and a spot area of approximately 0.2826cm2. This configuration yielded an energy density of 1.7 J/cm2 per unit of time."</t>
  </si>
  <si>
    <t>Current protocol to achieve dental movement acceleration and pain control with Photo-biomodulation</t>
  </si>
  <si>
    <t>"When designing a study on dental movement acceleration or pain control during orthodontic treatment, it is crucial to consider effective parameters. The objective of this editorial is to compile the most effective parameters supported by evidence that should be considered in future studies to achieve complete parameter homogenization. 
The protocol currently recommended to homogenize the parameters and facilitate the development of further meta-analysis in terms of acceleration of movement and pain control in orthodontics is Wavelength: 810 nm, 2.2 J per surface, 0.1 W in continuous mode/0.1 W average power in a super-pulsed, sweeping movement, 1mm from the mucosa, 22 seconds along the vestibular surface and 22 seconds along the lingual surface, the recommended speed of movement is 2 mm/sec, 1 application during each orthodontic control, to achieve dental movement acceleration and repeat the dose at 24 h to ensure pain elimination. The energy density and power density will depend on the spot size used in the equipment and the distance from the mucosa. 
It will strengthen the evidence of photobiomodulation as the best therapy to accelerate tooth movement and at the same time control the pain produced by orthodontic treatments."</t>
  </si>
  <si>
    <t>Gabada</t>
  </si>
  <si>
    <t>Accelerated Orthodontics: Stepping Into the Future Orthodontics</t>
  </si>
  <si>
    <t>"Moreover, this review delves into non-invasive alternatives, including cyclic vibrations, photobiomodulation, direct light electric current, and static or pulsed magnetic fields, as well as systemic and local administration of biological substances and hormones, all of which hold substantial promise in optimizing OTM. Furthermore, our exploration extends to a diverse spectrum of medications that have demonstrated their efficacy in expediting OTM. These encompass NSAIDs, acetaminophen, corticosteroids, bisphosphonates, herbal medicine biomaterials, and synthetic biomaterials like graphene dioxide. Every technique and medication is subjected to meticulous evaluation, taking into account its indications, contraindications, advantages, disadvantages, clinical implications, and limitations. Through this review, we endeavor to equip orthodontic professionals with a profound understanding of these innovative strategies."</t>
  </si>
  <si>
    <t>J Zhejiang Univ Sci B</t>
  </si>
  <si>
    <t>Photobiomodulation therapy assisted orthodontic tooth movement: potential implications, challenges, and new perspectives</t>
  </si>
  <si>
    <t>"PBMT is attracting more attention as a possible approach to prevent the incidence of orthodontically induced inflammatory root resorption (OIIRR) during orthodontic treatment (OT) due to its capacity to modulate inflammatory, apoptotic, and anti-antioxidant responses. However, a systematic review revealed that PBMT has only a moderate grade of evidence-based effectiveness during orthodontic tooth movement (OTM) in relation to OIIRR, casting doubt on its beneficial effects.
In PBMT-assisted orthodontics, delivering sufficient energy to the tooth root to achieve optimal stimulation is challenging due to the exponential attenuation of light penetration in periodontal tissues. The penetration of light to the root surface is another crucial unknown factor. Both the penetration depth and distribution of light in periodontal tissues are unknown. Thus, advanced approaches specific to orthodontic application of PBMT need to be established to overcome these limitations. 
This review explores possibilities for improving the application and effectiveness of PBMT during OTM. The aim was to investigate the current evidence related to the underlying mechanisms of action of PBMT on various periodontal tissues and cells, with a special focus on immunomodulatory effects during OTM."</t>
  </si>
  <si>
    <t>Santhakumari</t>
  </si>
  <si>
    <t>India
(Kothamangalam)</t>
  </si>
  <si>
    <t>Impact of Low-Level Laser Therapy on Orthodontic Tooth Movement and Various Cytokines in Gingival Crevicular Fluid: A Split-Mouth Randomized Study</t>
  </si>
  <si>
    <t>🧑 Human
🎲 Randomized trial, split-mouth
👥 40 participants
⌛ 12 weeks</t>
  </si>
  <si>
    <t>"The results show a highly statistically significant difference in the extent of canine distalization in the test group (TOTM1=2.92±0.44; TOTM2=1.04±0.1; TOTM3​=0.62±0.21 mm) in contrast to the control group (TOTM1=3.23±0.8; TOTM2=2.65±0.2; TOTM3​​​​=2.11±0.24 mm) (p&lt;0.01). 
After three months of canine distalization, the laser and control group had 34 and 27 patients with mild gingivitis, respectively."
"Intermittent laser application for 12 weeks significantly increased cytokine levels in the study arm compared to orthodontic force exclusively on the contralateral control arm. This occurred concurrently with increasing rates of OTM [orthodontic tooth movement], which was consistent with a previous study [17]."</t>
  </si>
  <si>
    <t>Device: "Wiser Laser Doctor Smile, Italy"</t>
  </si>
  <si>
    <t>Grajales</t>
  </si>
  <si>
    <t>Effectiveness of photobiomodulation with low-level lasers on the acceleration of orthodontic tooth movement: a systematic review and meta-analysis of split-mouth randomised clinical trials</t>
  </si>
  <si>
    <t>"Nineteen RCTs met the inclusion criteria for qualitative synthesis, and eighteen RCTs were included in the quantitative synthesis. 
Seventeen studies were rated as at some concerns of bias and two studies were classified as having a low risk of bias. In general terms, this systematic review and meta-analysis presents a moderate risk of bias. 
Findings of this systematic review and meta-analysis point to a tendency for faster orthodontic dental movement in the groups receiving LLLT treatment during the first (OR of 0.28 95% CI (0.07 to 0.48)), second (OR of 0.52 95% CI (0.31 to 0.73)), and third (OR of 0.41 95% CI (0.03 to 0.79)) month follow-up. 
Wavelengths ≤ 810 nm and energy density values ≤ 5.3 J/cm2 were associated with faster orthodontic tooth movement."</t>
  </si>
  <si>
    <t>Effect of low-level laser therapy on orthodontic dental alignment: a systematic review and meta-analysis</t>
  </si>
  <si>
    <t>"The meta-analysis results showed that LLLT significantly reduced the overall time of leveling and alignment compared to control group (MD=-30.36, 95% CI range -41.50 to -19.22, P&lt;0.0001), with moderate heterogeneity (χ2=4.10, P=0.25, I2=27%). 
Based on the data available, statistically significant evidence with moderate risk of bias suggests that LLLT may have a positive effect on accelerating dental alignment. However, due to the differences in intervention strategy and evaluating method, the conclusions should be interpreted with caution."</t>
  </si>
  <si>
    <t>The Effects and Mechanisms of PBM Therapy in Accelerating Orthodontic Tooth Movement</t>
  </si>
  <si>
    <t>"Regarding the current clinical evidence for PBM therapy in OTM, it has been demonstrated to be effective and valid. However, the variability in individual responses and the lack of standardized protocols pose challenges in achieving consistent treatment outcomes. Therefore, further high-quality clinical studies, particularly randomized controlled trials (RCTs), are necessary to investigate and establish the efficacy and optimal application of PBM therapy in orthodontics."</t>
  </si>
  <si>
    <t>Murakami-Malaquias-Silva</t>
  </si>
  <si>
    <t>Photobiomodulation increases uprighting tooth movement and modulates IL-1β expression during orthodontically bone remodeling</t>
  </si>
  <si>
    <t>🧑 Human
🎲 Randomized trial
👥 34 participants
⌛ 3 months</t>
  </si>
  <si>
    <t>10
(1 J per point, 10 points)</t>
  </si>
  <si>
    <t>"PBM group increase uprighting movement when compared to control after 3 months and modulate IL-1β expression. For pain control, the amount of medication and OHIP-14 no difference were found."</t>
  </si>
  <si>
    <t>El-Angbawi</t>
  </si>
  <si>
    <t>UK &amp; Ireland</t>
  </si>
  <si>
    <t>Non-surgical adjunctive interventions for accelerating tooth movement in patients undergoing orthodontic treatment</t>
  </si>
  <si>
    <t>"The evidence from randomised controlled trials concerning the effectiveness of non-surgical interventions to accelerate orthodontic treatment is of low to very low certainty. It suggests that there is no additional benefit of light vibrational forces or photobiomodulation for reducing the duration of orthodontic treatment. Although there may be a limited benefit from photobiomodulation application for accelerating discrete treatment phases, these results have to be interpreted with caution due to their questionable clinical significance. 
Further well-designed, rigorous RCTs with longer follow-up periods spanning from start to completion of orthodontic treatment are required to determine whether non-surgical interventions may reduce the duration of orthodontic treatment by a clinically significant amount, with minimal adverse effects."</t>
  </si>
  <si>
    <t>Jnaneshwar</t>
  </si>
  <si>
    <t>Assessment of the effect of frequency of low-level laser therapy exposure at different intervals on orthodontic tooth movement - A systematic review and meta-analysis</t>
  </si>
  <si>
    <t>"Ten randomized controlled trials which met the inclusion criteria were evaluated and tabulated. A random-effects meta-analysis demonstrated that there is a statistically significant increase in the orthodontic tooth movement when patients were exposed to minimum of four intervals of LLLT in the first month, at P =0.03 by a standard mean difference of 0.46 mm with an overall heterogeneity of I2 = 0% at 95% confidence interval. There was a statistically highly significant reduction in the number of days taken for alignment of anterior teeth with the application of LASER (P &lt;.00001)."
"Application of LLLT for minimum of four irradiations in the first month has yielded better results in accelerating orthodontic tooth movement than application of LLLT once a month."</t>
  </si>
  <si>
    <t>Botelho</t>
  </si>
  <si>
    <t>Biomodulation of Induced Tooth Movement by Three Methods, Corticopuncture, Photobiomodulation, and Their Combination: An Animal Study</t>
  </si>
  <si>
    <t>0.02
cm2
spot
size</t>
  </si>
  <si>
    <t>30
(2p)</t>
  </si>
  <si>
    <t>4
/ 6 days</t>
  </si>
  <si>
    <t>"All ATM groups showed increase on tooth displacement with CP + PBM group showing greatest tooth displacement. CP method appears to stimulate bone catabolism, PBM has more effect on bone formation, and the combined method showing a synergistic effect on bone remodeling."</t>
  </si>
  <si>
    <t>Effects of Low-Level Laser Therapy on Orthodontic Tooth Movement: Evaluation of Bony Changes via 3DCBCT</t>
  </si>
  <si>
    <t>🧑 Human
🎲 Randomized trial
👥 32 participants
⌛ ~20 months (fixed ortho treatment)</t>
  </si>
  <si>
    <t>during
each
visit</t>
  </si>
  <si>
    <t>"The hypothesis was rejected. Upon investigation of prospective changes, most of the measured parameters showed insignificant differences."</t>
  </si>
  <si>
    <t>Kharat</t>
  </si>
  <si>
    <t>Accelerated Canine Retraction by Using Mini Implant With Low-Intensity Laser Therapy</t>
  </si>
  <si>
    <t>🧑 Human
🎲 Randomized trial
👥 20 participants
⌛ 1-month treatment / 3-month study</t>
  </si>
  <si>
    <t>4 / first mo
-&gt; once
every 15 days</t>
  </si>
  <si>
    <t>"The average increase in the amount of tooth movement at three months was 40.1% and 36.3% in the test and control groups, respectively. However, the average increase in the amount of movement of teeth following canine retraction was 100% in the test group and 68.2% in the control group."
"The rate of canine retraction increases when it is combined with LILT-assisted accelerated orthodontics in comparison to conventional canine retraction using mini-implants."</t>
  </si>
  <si>
    <t>Efficiency of photobiomodulation on accelerating the tooth movement in the alignment phase of orthodontic treatment-A systematic review and meta-analysis</t>
  </si>
  <si>
    <t>"Five randomized clinical trials and three controlled clinical trials were included in the final analysis. All included studies reported positive results except the study of Shehawy et al. The results of the analysis showed that photobiomodulation significantly increased the rate of tooth movement and reduced the treatment duration, compared with the control group. Although the heterogeneity was large among the included studies, it was improved after subgroup analysis."
"This systematic review offered evidence that photobiomodulation can accelerate tooth movement in alignment procedures and reduce treatment time. Future studies are needed to find the best PBM protocol for orthodontic practice."</t>
  </si>
  <si>
    <t>Özsoy</t>
  </si>
  <si>
    <t>Turkey
(Nicosia)</t>
  </si>
  <si>
    <t>Effect of low-level laser therapy on orthodontic tooth movement during miniscrew-supported maxillary molar distalization in humans: a single-blind, randomized controlled clinical trial</t>
  </si>
  <si>
    <t>🧑 Human
🎲 Randomized trial, single-blind
👥 20 participants
⌛ 12 weeks</t>
  </si>
  <si>
    <t>2 / 3.2</t>
  </si>
  <si>
    <t>0.28
cm2
spot
area</t>
  </si>
  <si>
    <t>7
/ 63 days</t>
  </si>
  <si>
    <t>"The laser-treated molars of the subjects in the intervention group moved 1.22 times more than the molars in the contralateral side and in the control group in 12 weeks. The rate of tooth movement in the laser, contralateral, and control groups was 0.033, 0.027, and 0.027 mm/day, respectively. Although LLLT was found to be statistically significant in terms of accelerating tooth movement, the effect of LLLT is not considered to be clinically significant."</t>
  </si>
  <si>
    <t>Levrini</t>
  </si>
  <si>
    <t>Italy
(Varese)</t>
  </si>
  <si>
    <t>Predictability of Invisalign® Clear Aligners Using OrthoPulse®: A Retrospective Study</t>
  </si>
  <si>
    <t>🧑 Human
📄 Retrospective study
👥 40 cases (and 40 controls)
⌛ ~2 year duration</t>
  </si>
  <si>
    <t>"The statistical analysis showed that patients who used OrthoPulse® needed fewer finishing aligners and a greater predictability of the treatment was obtained. In fact, in the treated group the average number of additional aligners represented 66.5% of the initial aligners, whereas in the control group 103.4% of the initially planned aligners were needed. In conclusion, in patients treated with clear aligners, OrthoPulse® would appear to increase the predictability of orthodontic treatment with clear aligners, thus reducing the number of finishing phase requirements."</t>
  </si>
  <si>
    <t>Al-Ibrahim</t>
  </si>
  <si>
    <t>The Efficacy of Accelerating Orthodontic Tooth Movement by Combining Self-Ligating Brackets With One or More Acceleration Methods: A Systematic Review</t>
  </si>
  <si>
    <t>"A total of seven RCTs and one controlled clinical trial (CCT) were included in this review. 
Combining self-ligating brackets with flapless corticotomy, low-level laser therapy (LLLT), and infrared light accelerated orthodontic movement by 43% and 50% for surgical methods, 20-50% for LLLT, and 22% for infrared light. 
Regarding side effects on periodontal tissues, neither flapless corticotomy nor low-frequency vibrational forces caused any damage. Combining self-ligating brackets and flapless corticotomy, low-level laser, or infrared light effectively accelerated orthodontic movement by 20% to 50 %. 
In contrast, the combination of self-ligating brackets with vibrational forces did not affect speeding tooth movement. 
The acceleration methods did not have any side effects on the periodontal tissues, but the available evidence was insufficient. There is a need for further primary research regarding the effectiveness of combining self-ligating brackets with acceleration methods and the possible untoward side effects."</t>
  </si>
  <si>
    <t>Moradinejad</t>
  </si>
  <si>
    <t>Iran
(Ahvaz)</t>
  </si>
  <si>
    <t>Low-level laser therapy, piezocision, or their combination vs. conventional treatment for orthodontic tooth movement : A hierarchical 6-arm split-mouth randomized clinical trial</t>
  </si>
  <si>
    <t>🧑 Human
🎲 Randomized trial, split-mouth
👥 32 participants
⌛ 9 weeks (?)</t>
  </si>
  <si>
    <t>PBM vs piezocision vs combination</t>
  </si>
  <si>
    <t>8
/point
(?)</t>
  </si>
  <si>
    <t>16
/point
(12 points)</t>
  </si>
  <si>
    <t>"All three methods accelerated OTM, with the combination of LLLT + piezocision producing the strongest and LLLT producing the weakest acceleration."</t>
  </si>
  <si>
    <t>Güray &amp; Yüksel</t>
  </si>
  <si>
    <t>Turkey
(Emek-Ankara)</t>
  </si>
  <si>
    <t>Effect of light-emitting photobiomodulation therapy on the rate of orthodontic tooth movement : A randomized controlled clinical trial</t>
  </si>
  <si>
    <t>🧑 Human
🎲 Randomized trial
👥 30 participants
⌛ 84 days</t>
  </si>
  <si>
    <t>84
/ 84 days</t>
  </si>
  <si>
    <t>"The mean canine distalization rates were 1.36 mm/21 days and 1.02 mm/21 days in the LPT and control groups, respectively, and were statistically greater in the LPT group (p &lt; 0.001). The amount of anchorage loss, canine rotations, canine inclinations and molar inclinations were not significantly different between the LPT and control groups at any of the timepoints."
"LPT has the potential to accelerate orthodontic tooth movement by 33%."</t>
  </si>
  <si>
    <t>A randomized controlled trial evaluating the effect of two low-level laser irradiation protocols on the rate of canine retraction</t>
  </si>
  <si>
    <t>🧑 Human
🎲 Randomized trial, comparison study, split-mouth
👥 20 participants
⌛ 12 weeks</t>
  </si>
  <si>
    <t>⚔ two PBM schedules (group A &amp; B) // also split-mouth for evaluating irradiated vs non-irradiated sides</t>
  </si>
  <si>
    <t>(see abstract)</t>
  </si>
  <si>
    <t>"Results revealed a significant increase in the canine retraction rate on the laser sides of groups A and B, in comparison with the control sides (p &lt; 0.05), with no significant differences reported between the laser sides in both groups (p = 0.08–0.55). Also, IL-1β levels were significantly higher on the laser sides of both groups, in comparison with the control sides (p &lt; 0.05). 
Therefore, LLLT can effectively accelerate tooth movement, with both frequent and less frequent applications, which is attributed to an enhanced biological response as reflected by the elevated IL-1β levels on the compression sides."</t>
  </si>
  <si>
    <t>Ghaffar</t>
  </si>
  <si>
    <t>Effect of low-level laser therapy on the time needed for leveling and alignment of mandibular anterior crowding</t>
  </si>
  <si>
    <t>🧑 Human
🎲 Randomized trial
👥 32 participants
⌛ 14 weeks</t>
  </si>
  <si>
    <t>25.7</t>
  </si>
  <si>
    <t>2.8
cm2
spot
(?)</t>
  </si>
  <si>
    <t>3 on first month, then every 2wk</t>
  </si>
  <si>
    <t>"The mean time for leveling and alignment was significantly lower in the laser compared to the control group (68.2 ± 28.7 and 109.5 ± 34.7 days, respectively). The laser group displayed a significantly higher mean alignment improvement percentage as well as lower pain scores compared to the control group."</t>
  </si>
  <si>
    <t>Olmedo-Hernández</t>
  </si>
  <si>
    <t>México
(Oaxaca)</t>
  </si>
  <si>
    <t>Effect of the photobiomodulation for acceleration of the orthodontic tooth movement: a systematic review and meta-analysis</t>
  </si>
  <si>
    <t>"Two authors independently extracted data for the characteristics and outcomes of the studies selected for inclusion. The risk of bias (RoB 2 and Robins-I) and the quality assessments (GRADE) were performed. For the quantitative synthesis, the standardized mean difference was calculated for each individual study selected and then the data were combined using a random-effects meta-analysis. 
The total number of included studies was n = 22 (only RCT and non-RCT were found) with a total of 515 participants. The included studies exhibited high risk of bias and some concerns, though none of them presented a low risk of bias. The quality of the studies was very low. 
The meta-analysis showed that the means (mm) and 95% confidence intervals (95% CI) of acceleration of tooth movement at 1, 2, and 3 months were 0.50 (- 0.28, 1.28), 1.40 (0.27, 2.53), and 0.46 (- 0.33, 1.24), respectively. The analysis showed that there is no evidence to support the use of LLLI to accelerate the orthodontic movement. LED for the acceleration of orthodontic movement does not have sufficient evidence to generate conclusions about it."
Comment: The GRADE assessment of studies is generally very strict and the quality of evidence is very commonly "low" or "very low" for many other medical treatments as well. However, here the meta-analysis also shows no effect on tooth movement at the 3rd month.</t>
  </si>
  <si>
    <t>Bajaj</t>
  </si>
  <si>
    <t>India
(Chandigarh)</t>
  </si>
  <si>
    <t>Comparative effect of micro-osteoperforation and Photo-biomodulation on the rate of maxillary canine retraction: A split mouth randomized clinical trial</t>
  </si>
  <si>
    <t>🧑 Human
⚔ Comparison study, split-mouth
👥 30 participants
⌛ 3 months</t>
  </si>
  <si>
    <t>6.67</t>
  </si>
  <si>
    <t>4 times during first 2 weeks --&gt; once every month</t>
  </si>
  <si>
    <t>"Micro-osteoperforations (MOPs) significantly increased the rate of maxillary canine retraction by 1.1 fold when compared to the Photo-biomodulation (PBM).The MOPs can successfully reduce the comprehensive fixed orthodontic treatment time by around 9% as compared to PBM."</t>
  </si>
  <si>
    <t>Efficacy of Laser Photobiomodulation in Accelerating Orthodontic Tooth Movement in Children: A Systematic Review with Meta-analysis</t>
  </si>
  <si>
    <t>"A total of 14 articles were considered for systematic review and 9 articles were considered for meta-analysis. The results of the meta-analysis showed a significant difference between the laser group and conventional orthodontic treatment with Forest plots showing more tooth movement in the laser group compared to the control group in 2-3 months (mean difference = 1.73; CI: 0.9-2.57; p = 0.00001; I 2 = 89 %)."
"Although the analysis of the results shows that laser PBM favors OTM, the results are inconclusive as the heterogeneity across studies was high."</t>
  </si>
  <si>
    <t>Pérignon</t>
  </si>
  <si>
    <t>France
(Nantes)</t>
  </si>
  <si>
    <t>Effect of 970 nm low-level laser therapy on orthodontic tooth movement during Class II intermaxillary elastics treatment: a RCT</t>
  </si>
  <si>
    <t>🧑 Human
🎲 Randomized trial, sham-controlled
👥 42 participants</t>
  </si>
  <si>
    <t>"The time to reach Class I occlusion in the active laser group (2.46 ± 2.1 months) was not significantly different from that in the placebo group (2.48 ± 2.0 months) (p = 0.938). Interestingly, the total distance of movement on the active laser side (2.27 ± 1.5 mm) was significantly greater than that on the placebo side (1.64 ± 1.3 mm) (p = 0.009).
The pain levels on days 1, 2 and 3 were not significantly different between the laser and placebo sections.
The rate of distance change toward Class I occlusion in the laser group (1.1 ± 0.7 mm/month) was significantly higher than that in the placebo group (0.74 ± 0.6 mm/month) (p = 0.037).
Low-level laser therapy (970 nm) did not reduce the time needed to obtain Class I occlusion, but a significant acceleration in tooth movement was observed in the irradiated group."</t>
  </si>
  <si>
    <r>
      <rPr>
        <color rgb="FF1155CC"/>
        <sz val="8.0"/>
        <u/>
      </rPr>
      <t>PubM</t>
    </r>
    <r>
      <rPr>
        <color rgb="FF1155CC"/>
        <sz val="8.0"/>
        <u/>
      </rPr>
      <t>ed</t>
    </r>
  </si>
  <si>
    <t>Evaluation of the acceleration, skeletal and dentoalveolar effects of low-level laser therapy combined with fixed posterior bite blocks in children with skeletal anterior open bite: A three-arm randomised controlled trial</t>
  </si>
  <si>
    <t>🧑 Human
🎲 Randomized trial
👥 42 participants
⌛ (?)</t>
  </si>
  <si>
    <t>5
/ first month (?)
-&gt; continued every 15 days</t>
  </si>
  <si>
    <t>"The correction of the AOB required significantly less mean time in the FPBB+LLLT group compared to the FPBB group (x̅=7.07, x̅=9.42 months, respectively; P=0.001).
The mean upper first molar intrusion in the FPBB+LLLT group was 1.21mm and significantly greater than that of the FPBB group (0.82mm; P=0.018).
However, there was a slight mean extrusion of the upper first molar in the UCG (0.32mm)."
"The LLLT appeared to be effective in accelerating orthodontic tooth movement."</t>
  </si>
  <si>
    <t>Al-Dboush</t>
  </si>
  <si>
    <t>Impact of photobiomodulation and low-intensity pulsed ultrasound adjunctive interventions on orthodontic treatment duration during clear aligner therapy</t>
  </si>
  <si>
    <t>🧑 Human
📄 Retrospective study
👥 84 subjects
⌛ ~2 year duration</t>
  </si>
  <si>
    <t>OrthoPulse device (At-home device)
PBM vs LIPUS vs ctrl</t>
  </si>
  <si>
    <t>"PBM group showed an average 26.6% reduction in the treatment duration when compared with the control group"</t>
  </si>
  <si>
    <t>Farhadian</t>
  </si>
  <si>
    <t>The effect of intra-oral LED device and low-level laser therapy on orthodontic tooth movement in young adults: A randomized controlled trial</t>
  </si>
  <si>
    <t>🧑 Human
🎲 Randomized trial
👥 60 participants
⌛ 60-day treatment</t>
  </si>
  <si>
    <t>640
(LED)
810
(laser)</t>
  </si>
  <si>
    <t>4
/ 60 days</t>
  </si>
  <si>
    <t>"The rate of canine retraction significantly increased by 60.8% in the laser group, while it increased not significantly by 26% in the LED group compared with the control group. There was no significant difference among the groups in terms of tooth rotation and pain."
"LLLT can accelerate orthodontic tooth movement (OTM). LED with the present setting couldn't increase the rate of OTM. LLLT and LED did not affect canine rotation or pain."</t>
  </si>
  <si>
    <t>Zheng &amp; Yang</t>
  </si>
  <si>
    <t>Clinical research: low-level laser therapy in accelerating orthodontic tooth movement</t>
  </si>
  <si>
    <t>🧑 Human
🎲 Randomized trial, split-mouth
👥 12 participants
⌛ 21-day treatment / 28-day study</t>
  </si>
  <si>
    <t>6.29</t>
  </si>
  <si>
    <t>"The cumulative tooth movement over 28 days was significantly higher in the laser group than in the control group. We observed significant reductions in OPG levels and increases in IL-1β and RANKL levels in GCF samples on the experimental sides."</t>
  </si>
  <si>
    <t>Effects of Photobiomodulation on the Upper First Molar Intrusion Movement Using Mini-Screws Anchorage: A Randomized Controlled Trial</t>
  </si>
  <si>
    <t>🧑 Human
🎲 Randomized trial
👥 20 participants
⌛ 6 months</t>
  </si>
  <si>
    <t>Orthodontic intrusion</t>
  </si>
  <si>
    <t>6
/ 8 days
-&gt;
monthly</t>
  </si>
  <si>
    <t>"Periodontal clinical assessments (PI, PD, and BOP) and mean intrusion distance or mean intrusion velocity yielded no differences (p &gt; 0.05) between groups. However, PBM group showed lower values of all these scores during the first 3 months."</t>
  </si>
  <si>
    <t>Impact of photobiomodulation and low-intensity pulsed ultrasound adjunctive interventions on orthodontic treatment duration during clear aligner therapy: A retrospective study</t>
  </si>
  <si>
    <t>🧑 Human
📄 Retrospective study
👥 84 patients
⌛ Approximately 500-700 days</t>
  </si>
  <si>
    <t>"The LIPUS group showed a 26% reduction, on average, in treatment duration when compared with the control group, whereas the PBM group showed an average 26.6% reduction in the treatment duration when compared with the control group."</t>
  </si>
  <si>
    <t>Acceleration of Dental Movement by Photobiomodulation: How Does It Happen?</t>
  </si>
  <si>
    <t>Al-Shafi</t>
  </si>
  <si>
    <t>Effect of light-emitting diode-mediated photobiomodulation on extraction space closure in adolescents and young adults: A split-mouth, randomized controlled trial</t>
  </si>
  <si>
    <t>🧑 Human
🎲 Randomized trial
👥 20 participants
⌛ 12 weeks</t>
  </si>
  <si>
    <t>"Daily 5-minute application of LED did not result in clinically meaningful differences during extraction space closure compared with no LED application."</t>
  </si>
  <si>
    <t>Device: OrthoPiulse</t>
  </si>
  <si>
    <t>Pakistan &amp; Malaysia</t>
  </si>
  <si>
    <t>Photobiostimulatory Effect of a Single Dose of Low-Level Laser on Orthodontic Tooth Movement and Pain</t>
  </si>
  <si>
    <t>🧑 Human
📄. Split-mouth
👥 20 participants
⌛ 9 weeks</t>
  </si>
  <si>
    <t>3
/ 9 weeks</t>
  </si>
  <si>
    <t>"The regimen effectively accelerated (1.55 ± 0.25 mm) tooth movement with a significant reduction in distress on the investigational side as compared to the placebo side (94 ± 0.25 mm) (p &lt; 0.05)."</t>
  </si>
  <si>
    <t>Device: iLase Biolase</t>
  </si>
  <si>
    <t>The Effectiveness of Photobiomodulation on Accelerating Tooth Movement in Orthodontics: A Systematic Review and Meta-Analysis</t>
  </si>
  <si>
    <t>"Eight RCTs and one quasi-RCT were ultimately included and analyzed in meta-analysis. This study revealed that the pooled mean difference (MD) among these trials was 0.30 (95% CI: -0.02 to 0.62), 0.69 (95% CI: 0.08 to 1.29), and 0.64 (95% CI: -0.01 to 1.29) for 1, 2, and 3 months, respectively. The results remained consistent after sensitivity analysis assessment."
"There is insufficient evidence to support that photobiomodulation accelerates tooth movement in orthodontic treatments. Our results suggest that the optimal parameters of PBMT on OTM in human might be about 20 mW, 5-8 J/cm2, 0.5 W/cm2, 0.2 J/point, and 2-10 J/tooth. More large-sample multicenter clinical trials carried out in similar settings are required to confirm and pinpoint treatment efficiency and optimal parameters."</t>
  </si>
  <si>
    <t>Karabel</t>
  </si>
  <si>
    <t>Turkey
(Diyarbakır)</t>
  </si>
  <si>
    <t>Evaluation of the effects of diode laser application on experimental orthodontic tooth movements in rats. Histopathological analysis</t>
  </si>
  <si>
    <t>"Osteoclastic activation increased in the 72 J group when compared to control group and decreased in comparison to the 54 J group. Osteoblastic activation was decreased in the 72 J group when compared to the control group and increased in comparison to the 54 J group."
"Applying 54 J laser energy has been found effective to accelerate the orthodontic tooth movement."</t>
  </si>
  <si>
    <t>Keklikci</t>
  </si>
  <si>
    <t>Effects of 405-, 532-, 650-, and 940-nm wavelengths of low-level laser therapies on orthodontic tooth movement in rats</t>
  </si>
  <si>
    <t>54</t>
  </si>
  <si>
    <t>"The results of this study show that LLLT with 650-nm wavelength increases orthodontic tooth movement more than 405-nm, 532-nm, and 940-nm LLLTs. The 940-nm and 650-nm LLLTs also increase the bone area between the roots by more than 405-nm and 532-nm wavelengths."</t>
  </si>
  <si>
    <t>Türker</t>
  </si>
  <si>
    <t>Which method is more effective for accelerating canine distalization short term, low-level laser therapy or piezocision? A split-mouth study</t>
  </si>
  <si>
    <t>🧑 Human
📄. Split-mouth
👥 20 participants
⌛ 28-day treatment / 12-week study</t>
  </si>
  <si>
    <t>"Although laser application seems more effective during the first 4‑week period, considering the 12-week period, the effects of LLLT and piezocision on orthodontic tooth movement during canine distalization were similar."</t>
  </si>
  <si>
    <t>Ojima</t>
  </si>
  <si>
    <t>Accelerated Extraction Treatment With the Invisalign System and Photobiomodulation</t>
  </si>
  <si>
    <t>Lalnunpuii</t>
  </si>
  <si>
    <t>India
(Modinagar)</t>
  </si>
  <si>
    <t>Comparison of Rate of Orthodontic Tooth Movement in Adolescent Patients Undergoing Treatment by First Bicuspid Extraction and En-Mass Retraction, Associated With Low Level Laser Therapy in Passive Self-Ligating and Conventional Brackets: A Randomized Controlled Trial</t>
  </si>
  <si>
    <t>🧑 Human
🎲 Randomized trial
👥 65 participants
⌛ until completion of en masse retraction</t>
  </si>
  <si>
    <t>2.2
/ point
(10 points per tooth?)</t>
  </si>
  <si>
    <t>2.29</t>
  </si>
  <si>
    <t>10
/ point</t>
  </si>
  <si>
    <t>4 
/ first month
-&gt;
every 15th day</t>
  </si>
  <si>
    <t>"There was a statistically significant enhancement in the rate of OTM in the 2 experimental groups (0.68/0.67mm/month in the right and left side of the maxilla and 0.66/0.65mm/month in the right and left side of the mandible) when compared with the control group (0.48mm/month in the maxilla and 0.48mm/month in the mandible) (P&lt;0.05)"
"A significant increase in the rate of OTM was observed with the application of LLLT. No difference was observed in the rate of OTM when comparing different ligation methods treated with LLLT."</t>
  </si>
  <si>
    <t>Device: The Silberbauer CL mini 8-658 (aluminium gallium arsenide semiconductor diode laser, class 2M).</t>
  </si>
  <si>
    <t>Effective Wavelength Range in Photobiomodulation for Tooth Movement Acceleration in Orthodontics: A Systematic Review</t>
  </si>
  <si>
    <t>"According to PRISMA guidelines and after applying the inclusion criteria, nine RCTs were included. Three blind reviewers independently assessed the methodological quality and evidence level of selected articles. Evidence level classification was established according to the recommendations of SIGN 50 (Scottish Intercollegiate Guidelines Network 2012) and was high quality being ++, acceptable +, low quality -, unacceptable -, reject 0."
"The majority of RCTs related to accelerating the tooth movement in orthodontic treatments are ideally between 780 and 830 nm wavelengths. The average increase in speed movement calculated as a percentage of the control group in nine studies is 24%. Further studies are necessary to establish the exact dosimeter in photobiomodulation during orthodontic movement."</t>
  </si>
  <si>
    <t>Jivrajani</t>
  </si>
  <si>
    <t>India
(Nagpur Maharashtra)</t>
  </si>
  <si>
    <t>Effect of Low Intensity Laser Therapy (LILT) on MMP-9 Expression in Gingival Crevicular Fluid and Rate of Orthodontic Tooth Movement in Patients Undergoing Canine Retraction: A Randomized Controlled Trial</t>
  </si>
  <si>
    <t>🧑 Human
🎲 Randomized trial, self-controlled
👥 14 participants
⌛ treatment for ~4.5 months</t>
  </si>
  <si>
    <t>"The average increase in rate of tooth movement on experimental side at 3 months was 44% and MMP-9 concentration was also high. At the end of canine retraction (4.5 months) in the experimental group the average rate increase was 38% with MMP-9 concentrations similar in both the experimental and control group."</t>
  </si>
  <si>
    <t>Device: DenLase-SY-A. 1c, China Daheng Group, Inc. (semiconductor GaAlAs laser))</t>
  </si>
  <si>
    <t>Impellizzeri</t>
  </si>
  <si>
    <t>Photobiomodulation Therapy on Orthodontic Movement: Analysis of Preliminary Studies With a New Protocol</t>
  </si>
  <si>
    <t>🧑 Human
🎲 Randomized trial
👥 6 participants (8 canine teeth randomized into two groups)
⌛ 2-week treatment / 1-month study (?)</t>
  </si>
  <si>
    <t>650+
910</t>
  </si>
  <si>
    <t>100+
500</t>
  </si>
  <si>
    <t>0.5
mm2
beam
area</t>
  </si>
  <si>
    <t>10
/ point
6 points per tooth</t>
  </si>
  <si>
    <t>"The results of the descriptive analysis on the distal displacement speed of the canines after 1 month of follow-up indicate an average displacement of 1.35 mm for the non-irradiated group and 1.98 mm for the irradiated group. Through inferential analysis, a statistically significant difference (p &lt; 0.05) was found between the average speed of the irradiated canines and the control canines."
"The low energy density laser used in this study, with the parameters set, was found to be a tool capable of statistically significantly accelerating the distal displacement of canines."</t>
  </si>
  <si>
    <t>Device: LUMIX 2, Fisioline, Verduno, Italy</t>
  </si>
  <si>
    <t>Bakdach &amp; Hadad</t>
  </si>
  <si>
    <t>Effectiveness of low-level laser therapy in accelerating the orthodontic tooth movement: A systematic review and meta-analysis.</t>
  </si>
  <si>
    <t>"A total of 25 RCTs were included in this review. The radiated upper canines showed a greater retraction - 0.50 mm and 0.49 mm at months 2 and 3, respectively. The radiated lower canines showed a greater retraction - 0.28 mm and 0.52 mm at months 2 and 3, respectively. No statistically significant differences were observed among the upper and lower canines at month 1 of retraction. 
When the GRADE approach was utilized, the overall quality of evidence limited confidence in the estimates. The qualitative description revealed enhanced tooth movement when LLLT was applied. The attrition bias was the main risk factor affecting the methodology of the studies."
"Low-level laser therapy can speed up the rate of the tooth movement. However, the overall quality of evidence ranged from low to very low and the clinical significance of the obtained statistically significant differences is questionable. Hence, more precise studies are needed. 
As discussed in this review, it is highly recommended to express and compare laser dosages by the total number of joules applied per month rather than the previously used J/cm2. Moreover, the previous recommendation indicating that lower energy densities (2.5, 5 and 8 J/cm2) are more effective than 20 and 25 J/cm2 is misleading."</t>
  </si>
  <si>
    <t>Baghizadeh Fini</t>
  </si>
  <si>
    <t>The Effect of Low-Level Laser Therapy on the Acceleration of Orthodontic Tooth Movement.</t>
  </si>
  <si>
    <t>"77 articles randomized clinical trials (RCTs) or controlled clinical trials (CCTs) were selected. After screening studies, consequently, eleven trials met the inclusion criteria. E
ight out of 11 studies showed LLLT has a significant impact on the acceleration of orthodontic tooth movement, and there was no statistically significant difference in the rate of tooth movement between the laser group and the control group in the two remaining studies. Furthermore, five out of 11 articles showed that LLLT has no adverse effects. 
Although we have some degree of understanding from a cellular point of view to LLLT effects, we still do not know whether these cellular level changes have any effect on the clinical acceleration of orthodontic tooth movement. The results are inconclusive and cannot be generalized to the public community; therefore, well-structured studies are required."</t>
  </si>
  <si>
    <t>Mistry</t>
  </si>
  <si>
    <t>The effects of a clinically feasible application of low-level laser therapy on the rate of orthodontic tooth movement: A triple-blind, split-mouth, randomized controlled trial.</t>
  </si>
  <si>
    <t>🧑 Human
🎲 Randomized trial, double-blind, split-mouth
👥 22 participants
⌛ 56-day treatment / 84-day study</t>
  </si>
  <si>
    <t>13.87
(1.72 per point)</t>
  </si>
  <si>
    <t>10 /point</t>
  </si>
  <si>
    <t>4
/ 56 days</t>
  </si>
  <si>
    <t>"Application of LLLT every 4 weeks did not result in differences in the amount of tooth movement, anchorage loss, and canine rotation during extraction space closure."</t>
  </si>
  <si>
    <t>Evaluation of the effects of photobiomodulation on orthodontic movement of molar verticalization with mini-implant: A randomized double-blind protocol study.</t>
  </si>
  <si>
    <t>"This protocol will determine the effectiveness of photobiomoduation regarding the orthodontic movement of molar verticalization."</t>
  </si>
  <si>
    <t>The effect of low-level light therapy on orthodontic tooth movement rate, heat shock protein 70, and matrix metallopreteinase 8 expression: Animal study.</t>
  </si>
  <si>
    <t>"LLLT intervention during orthodontic treatment could accelerate OTM rate and decreased HSP-70 and MMP-8 expression both in tension and in compressive side. Thus, LLLT interventions can be used as adjuvant therapy to shorten orthodontic treatment duration."</t>
  </si>
  <si>
    <t>A Comparative Assessment of the Efficiency of Orthodontic Treatment With and Without Photobiomodulation During Mandibular Decrowding in Young Subjects: A Single-Center, Single-Blind Randomized Controlled Trial.</t>
  </si>
  <si>
    <t>🧑 Human
🎲 Randomized trial, sham-controlled
👥 89 participants
⌛ ~200 days</t>
  </si>
  <si>
    <t>Polychromatic light 🌈 (incl. some quasimonochromatic LEDs)</t>
  </si>
  <si>
    <t>48
(?)</t>
  </si>
  <si>
    <t>2/month
for
~200 days</t>
  </si>
  <si>
    <t>"Treatment time was significantly shorter (p &lt; 0.001) in the PBM group (203 days) compared with the control (260 days). 
Consequently, control visits (p &lt; 0.001) were lower in the PBM group (7) compared with the control group (9)."</t>
  </si>
  <si>
    <t>Effect of Low Intensity Laser Therapy (LILT) on MMP-9 expression in gingival crevicular fluid and rate of orthodontic tooth movement in patients undergoing canine retraction: A randomized controlled trial.</t>
  </si>
  <si>
    <t>🧑 Human
🎲 Randomized trial, split-mouth
👥 10 participants
⌛ 15-day treatment / 3-month study (and a follow-up at the end of retraction)</t>
  </si>
  <si>
    <t>"The average increase in rate of tooth movement on experimental side at 3 months was 44% and MMP-9 concentration was also high. At the end of canine retraction (4.5 months) in the experimental group the average rate increase was 38% with MMP-9 concentrations similar in both the experimental and control group."
"LILT increases the rate of tooth movement. LILT also has an effect of bio-stimulation as depicted by rise in MMP-9 concentrations in GCF. However, this bio-stimulatory effect is restricted to the initial part of the tooth movement."</t>
  </si>
  <si>
    <t>Low-level laser therapy protocols in dental movement acceleration and in pain management during orthodontic treatment.</t>
  </si>
  <si>
    <t>📚 Systematic review (?)</t>
  </si>
  <si>
    <t>"Clinical studies in humans in which Low-level Laser Therapy was applied during orthodontic treatment were included. In conclusion, 14 relevant clinical studies were identified. 
This study shows the possibility to obtain an increase in tooth movement between 31% and 100% depending on the laser therapy considered and the time interval for measuring the value. In addition, there is a potential impact in reducing orthodontic pain limited to the day following the application of laser therapy when orthodontic therapy includes canine retraction, and during a period not exceeding five days from the placement of fixed orthodontic appliances in the others clinical cases.
Low-level Laser Therapy is considered effective both to increase the movement of the dental elements and to reduce pain during orthodontic therapy. D
ifferent clinical protocols have been identified depending on the orthodontic cases considered. Both an LED device and an AlGaAs diode device can be used. 
In the future paying more attention to the therapeutic possibilities offered by laser devices with greater power is recommended. A greater energy density directed to the target tissues has been proven to provoke more significant therapeutic effects."</t>
  </si>
  <si>
    <t>Cifter</t>
  </si>
  <si>
    <t>J Dent Sci</t>
  </si>
  <si>
    <t>Comparison of the efficiency of alveolar decortication and low level laser therapy on orthodontic tooth movement and alveolar metabolism in rats.</t>
  </si>
  <si>
    <t>"This study shows that, to be more effective at AD, both AD and LLLT therapy significantly increases the level of tooth movement in the early period through their stimulating effects on the alveolar bone metabolism."</t>
  </si>
  <si>
    <t>Farid</t>
  </si>
  <si>
    <t>The effect of combined corticotomy and low level laser therapy on the rate of orthodontic tooth movement: split mouth randomized clinical trial.</t>
  </si>
  <si>
    <t>🧑 Human
🎲 Randomized trial, split-mouth
👥 16 participants
⌛ 4 months</t>
  </si>
  <si>
    <t>weekly
(first month)
-&gt;
twice monthly
(next 3 months)</t>
  </si>
  <si>
    <t>"Low-Level Laser Therapy combined to corticotomy could not achieve a higher rate of canine retraction compared to the golden standard corticotomy technique alone. No long-term adverse effects on the alveolar mucosa were detected following both techniques."</t>
  </si>
  <si>
    <t>Comparison of the efficiency of alveolar decortication and low level laser therapy on orthodontic tooth movement and alveolar metabolism in rats</t>
  </si>
  <si>
    <t>540
(9p)</t>
  </si>
  <si>
    <t>"The rate of tooth movement, at all time points, was significantly higher for the AD group than the other groups and was significantly higher in the LLLT group than the F group. At both time points, the RANKL and OPG expression in the AD group was significantly higher than the other groups and these parameters in the LLLT group was significantly higher than the F group."</t>
  </si>
  <si>
    <t>AlShahrani</t>
  </si>
  <si>
    <t>Photobiomodulation in acceleration of orthodontic tooth movement: A systematic review and meta analysis.</t>
  </si>
  <si>
    <t>"We observed a statistical significant difference between the photobiomodulation therapy compared to non laser group in the acceleration of tooth movement (Mean difference 0.59 (95%CI- 0.24 to 0.95) I2 95%). However, these results need caution while generalizing in clinical practice due to the large amount of heterogeneity across the studies."
"Findings of the current systematic review suggest a possible benefit with photobiomodulation therapy and tooth movement in orthodontia. However these findings need to be further validated in larger trials using specific standardized characteristics of laser settings to uniform the methodological design that can be used in routine clinical practice."</t>
  </si>
  <si>
    <t>Friedrichsdorf</t>
  </si>
  <si>
    <t>Infrared Light-Emitting Diode (LED) Effects on Orthodontic Tooth Movement.</t>
  </si>
  <si>
    <t>"The amount of tooth movement did not differ between LED and CON. Hyalinization was observed at the pressure areas in both groups, and it did not show a statistically significant difference between the groups. Root resorption was also observed in both groups after 7 days and it did not represent any differences between the two groups."</t>
  </si>
  <si>
    <t>Isola</t>
  </si>
  <si>
    <t>Materials
(Basel)</t>
  </si>
  <si>
    <t>Effectiveness of Low-Level Laser Therapy during Tooth Movement: A Randomized Clinical Trial.</t>
  </si>
  <si>
    <t>🧑 Human
🎲 Randomized trial, split-mouth
👥 41 participants (82 maxillary canines)
⌛ ~90 days</t>
  </si>
  <si>
    <t>66.7</t>
  </si>
  <si>
    <t>4 / 14 days
-&gt;
every 15 days</t>
  </si>
  <si>
    <t>"The laser group yielded less mean time [84.35 ± 12.34 days (95% CI 79.3-86)] to accomplish space closure compared to the control group [97.49 ± 11.44 days (91.7-102.3)] (p &lt; 0.001).
The test side showed a significant reduction in the average range of dental pain at 3 [Test, 5.41 (95% CI 5.1-5.6); Control, 7.23 (95% CI 6.9-7.6), p &lt; 0.001], 7 [Test, 4.12 (95% CI 3.8-4.7); Control, 5.79 (95% CI 5.4-5.8), p &lt; 0.001], and at 14 days [Test, 2.31 (95% CI 1.8-2.3); Control, 3.84 (95% CI 3.3-4.2), p &lt; 0.001] after treatment (p &lt; 0.001). 
This study demonstrates that the use of LLLT therapy was effective in accelerating tooth movement and reducing pain levels related to OTM."</t>
  </si>
  <si>
    <t>Zaniboni</t>
  </si>
  <si>
    <t>Do electrical current and laser therapies improve bone remodeling during an orthodontic treatment with corticotomy?</t>
  </si>
  <si>
    <t>4.96</t>
  </si>
  <si>
    <t>"Low-level laser therapy (LLLT) and MC application both improved the process of bone remodeling during orthodontic treatment with corticotomy."</t>
  </si>
  <si>
    <t>Elkattan</t>
  </si>
  <si>
    <t>Effects of Different Parameters of Diode Laser on Acceleration of Orthodontic Tooth Movement and Its Effect on Relapse: An Experimental Animal Study.</t>
  </si>
  <si>
    <t>0.002
cm2</t>
  </si>
  <si>
    <t>"The findings suggest that LLLT with a low dose accelerate the orthodontic tooth movement while LLLT with a high dose was not able to have the same effect. LLLT had a reverse effect on relapse tendency; an increase in the relapse tendency was seen with low dose irradiation."</t>
  </si>
  <si>
    <t>Comparative Study of 660 and 830 nm Photobiomodulation in Promoting Orthodontic Tooth Movement.</t>
  </si>
  <si>
    <t>"Both 660 and 830 nm can accelerate the orthodontic tooth movement and promote alveolar bone remodeling on the compression side. Although the difference of tooth movement over 14 days between the two groups was not statistically significant; however, 660 nm PBM to accelerate bone remodeling is stronger than 830 nm PBM at an early stage."</t>
  </si>
  <si>
    <t>Phototherapy is unable to exert beneficial effects on orthodontic tooth movement in rat molars.</t>
  </si>
  <si>
    <t>"Statistical analysis showed a decreased amount of tooth movement in the exposed DG or LG compared with CG, which was statistically significant ( P = .031 and P = .004, respectively)."
"Phototherapy did not enhance tooth movement, while infrared laser irradiation did increase root resorption."</t>
  </si>
  <si>
    <t>Photobiomodulation increases intrusion tooth movement and modulates IL-6, IL-8 and IL-1β expression during orthodontically bone remodeling.</t>
  </si>
  <si>
    <t>🧑 Human
📄 Non-randomized study, controlled
👥 30 participants (30 teeth)
⌛ 3-month treatment / 8-12 months intrusion duration</t>
  </si>
  <si>
    <t>1/p</t>
  </si>
  <si>
    <t>0.04
cm
beam
area</t>
  </si>
  <si>
    <t>3 / month
for
3 months
(?)</t>
  </si>
  <si>
    <t>"The mean intrusion velocity was 0.26mm/month in the irradiated group (G3), average duration of 8 months versus 0.17mm/month for the non-irradiated group (G2), average duration of 12 months."
"This study suggests that PBM accelerates tooth movement during molar intrusion, due to modulation of IL-6, IL-8 and IL-1β during bone remodeling."</t>
  </si>
  <si>
    <t>Upper molar distalization with Invisalign treatment accelerated by photobiomodulation.</t>
  </si>
  <si>
    <t>"In the case shown here, segmental PBM treatment improved aligner tracking by enhancing anterior anchorage while accelerating molar movement."
Comment: Parameters not provided.</t>
  </si>
  <si>
    <t>Abdelhameed &amp; Refai</t>
  </si>
  <si>
    <t>Egypt
(Minya)</t>
  </si>
  <si>
    <t>Evaluation of the Effect of Combined Low Energy Laser Application and Micro-Osteoperforations versus the Effect of Application of Each Technique Separately On the Rate of Orthodontic Tooth Movement.</t>
  </si>
  <si>
    <t>🧑 Human
🎲 Randomized trial, split-mouth
👥 30 participants
⌛ 12 weeks</t>
  </si>
  <si>
    <t>4 /
 2 weeks
-&gt; 
every 2 weeks</t>
  </si>
  <si>
    <t>"Significant statistical differences were obvious in the rate of canine retraction between each intervention and the control sides as following; the [micro-osteoperforations] increased the rate of canine retraction by 1.6 fold more than the control side, LLLT increased the rate of canine retraction by 1.3 fold than the control side, and combination of both techniques resulted in an increase in the rate of canine retraction by 1.8 fold more than the control side."</t>
  </si>
  <si>
    <t>Device: DenLase-810/7</t>
  </si>
  <si>
    <t>Imani</t>
  </si>
  <si>
    <t>Effect of Low-level Laser Therapy on Orthodontic Movement of Human Canine: a Systematic Review and Meta-analysis of Randomized Clinical Trials.</t>
  </si>
  <si>
    <t>Orthodontic movement</t>
  </si>
  <si>
    <t xml:space="preserve">"Out of 275 studies retrieved from five databases, six RCTs were included and analyzed in this meta-analysis. 
The results showed that the orthodontic movement of canine was statistically increased in the LLLT group compared with the control group in 21 days (MD: 0.74; 95%CI: 0.17, 1.31; P = 0.01), one month (MD: 0.40; 95%CI: 0.10, 0.69; P = 0.008), 1.5 months (MD: 0.72; 95%CI: 0.51, 0.93; P &lt; 00001), two months (MD: 0.84; 95%CI: 0.23, 1.44; P = 0.006) three months (MD: 0.92; 95%CI: 0.06, 1.78; P = 0.04), and 4.5 months (MD: 1.53; 95%CI: 0.92, 2.14; P &lt; 0.00001)."
"Five of the included studies showed a moderate risk of bias, and four of them exhibited a high risk of bias."
"The LLLT can speed up the rate of tooth movement of human canine and consequently decrease the treatment time. LLLT represents a proper adjuvant therapy for fixed orthodontic treatment."
</t>
  </si>
  <si>
    <t>Varella</t>
  </si>
  <si>
    <t>India
(Dharwad)</t>
  </si>
  <si>
    <t>Low-level laser therapy increases interleukin-1β in gingival crevicular fluid and enhances the rate of orthodontic tooth movement.</t>
  </si>
  <si>
    <t>🧑 Human
🎲 Randomized trial, sham-controlled, split-mouth
👥 10 participants
⌛ 2 months</t>
  </si>
  <si>
    <t>100
(10 per point)</t>
  </si>
  <si>
    <t>3
-&gt;
/ 3 days
then again after 4 weeks and 8 weeks</t>
  </si>
  <si>
    <t>"Increased levels of IL-1β were observed in the experimental canines compared with the control canines (P &lt;0.001). 
Cumulative tooth movements over an 8-week experimental period were greater for the experimental canines (occlusogram and software, 4.450 and 4.4903 mm, respectively) compared with the control canines (occlusogram and software, 2.025 and 2.0501 mm, respectively). 
A positive correlation existed between the IL-1β levels and the amounts of tooth movement across all time intervals."
Note: A comment to this article was published by Isola et al. https://www.ncbi.nlm.nih.gov/pubmed/30935594</t>
  </si>
  <si>
    <t>Device: Ezlase (BIOLASE Technology, Irvine, Calif)</t>
  </si>
  <si>
    <t>Arumughan</t>
  </si>
  <si>
    <t>India
(Coorg)</t>
  </si>
  <si>
    <t>A Comparison of the Rate of Retraction with Low-level Laser Therapy and Conventional Retraction Technique.</t>
  </si>
  <si>
    <t>🧑 Human
🎲 Randomized trial, split-mouth
👥 12 participants
⌛ 63-day treatment / 84-day study</t>
  </si>
  <si>
    <t>4
/ 63 days</t>
  </si>
  <si>
    <t>"In the present study, the low-level laser therapy accelerates the orthodontic tooth movement by 12.555% than that of conventional retraction technique in every dose of laser application (21 days)."</t>
  </si>
  <si>
    <t>Kacprzak &amp; Strzecki</t>
  </si>
  <si>
    <t>Methods of accelerating orthodontic tooth movement: A review of contemporary literature.</t>
  </si>
  <si>
    <t>"Effective methods also include physical stimuli, e.g., vibrations or photobiomodulation."</t>
  </si>
  <si>
    <t>Hsu</t>
  </si>
  <si>
    <t>970 nm low-level laser affects bone metabolism in orthodontic tooth movement.</t>
  </si>
  <si>
    <t>750
(1250)
15000</t>
  </si>
  <si>
    <t>"Our results suggest that the 970 nm LLLT increases the rate of OTM in a dose-sensitive and frequency-dependent manner."</t>
  </si>
  <si>
    <t>Alazzawi</t>
  </si>
  <si>
    <t>Effect of low level laser and low intensity pulsed ultrasound therapy on bone remodeling during orthodontic tooth movement in rats.</t>
  </si>
  <si>
    <t>"The amount of tooth movement, the histological bone remodeling, and the RT-PCR were significantly greater in the treatment groups than that in the control group. Among the treatment groups, the combination group was the highest and the LIPUS group was the lowest."</t>
  </si>
  <si>
    <t>Guram</t>
  </si>
  <si>
    <t>India
(Punjab)</t>
  </si>
  <si>
    <t>Evaluation of Low-Level Laser Therapy on Orthodontic Tooth Movement: A Randomized Control Study.</t>
  </si>
  <si>
    <t>🧑 Human
🎲 Randomized trial, double-blind, split-mouth
👥 20 participants
⌛ 21-day treatment / 4-month study (+ follow-up until completion)</t>
  </si>
  <si>
    <t>80 (?)</t>
  </si>
  <si>
    <t>weekly for 21 days</t>
  </si>
  <si>
    <t>"LLLT can increase the fixed OTM timing and reduce the pain experience during orthodontic procedure."
Comment: The paper is a little bit confusing to read, and some parts of the abstract do not make sense.</t>
  </si>
  <si>
    <t>Electron Physician</t>
  </si>
  <si>
    <t>Histological evaluation of orthodontic tooth movement following low level laser irradiation in rabbits.</t>
  </si>
  <si>
    <t>"The number of resorption lacuna, the rate of tooth movement and fibrous tissue were significantly greater in the lased group (p=0.05)."</t>
  </si>
  <si>
    <t>Samara</t>
  </si>
  <si>
    <t>Velocity of orthodontic active space closure with and without photobiomodulation therapy: a single-center, cluster randomized clinical trial</t>
  </si>
  <si>
    <t>🧑 Human
🎲 Randomized trial
👥 60 participants
⌛ until space closure (~150 days)</t>
  </si>
  <si>
    <t>0.033</t>
  </si>
  <si>
    <t>180
/ per arch</t>
  </si>
  <si>
    <t>"The mean velocity of space closure in the PBM group was 1.08 mm/month (SD 0.54) compared with the control group’s 0.86 mm/month (SD 0.42). A secondary analysis was conducted on the 45 patients that reached the primary outcome and did not deviate from the study protocol (15 dropout patients removed), providing 123 extraction spaces for the analysis—23 patients from the PBM group and 22 patients from the control group."</t>
  </si>
  <si>
    <t>Device: OrthoPulse™ (Biolux Research®, Vancouver, Canada)</t>
  </si>
  <si>
    <t>Gunji</t>
  </si>
  <si>
    <t>Effect of high-frequency near-infrared diode laser irradiation on periodontal tissues during experimental tooth movement in rats.</t>
  </si>
  <si>
    <t>"Laser irradiation significantly increased tooth movement compared with non-irradiated controls. Histologic staining of the pressure-side mesial root in laser-irradiated rats revealed enhanced RANKL expression and increased numbers of TRAP-positive cells compared with controls. By contrast, on the tension side, laser irradiation led to increased expression of ALP and PCNA. These data indicate that high-frequency near-infrared diode laser irradiation on the pressure side upregulates RANKL expression and accelerates osteoclast differentiation, facilitating bone resorption, whereas bone formation is induced on the tension side."
"This study demonstrates that high-frequency near-infrared diode laser irradiation of periodontal tissue leads to metabolic activation, which ultimately increases the rate of tooth movement."</t>
  </si>
  <si>
    <t>Pulsing: 30 kHz</t>
  </si>
  <si>
    <t>Suzuki</t>
  </si>
  <si>
    <t>Effects of corticopuncture (CP) and low-level laser therapy (LLLT) on the rate of tooth movement and root resorption in rats using micro-CT evaluation.</t>
  </si>
  <si>
    <t>"The tooth displacement in the CP + LLLT group was the greatest when measured clinically, followed by the CP, LLLT, and control groups (C and NC), respectively (p &lt;0.05). The tooth movements measured from micro-CT images showed statistically higher displacement in the CP and CP + LLLT groups compared to the LLLT and control groups. The BMD, BV/TV, and TbTh values were lower at the compression side and higher at the tension side for all three test groups compared to the control group. The root resorption crater volume of the distal buccal root was higher in the control group, followed by CP, LLLT, and CP + LLLT, mostly at the compression site.
Combining corticopuncture and low-level laser therapy (CP + LLLT) produced more tooth displacement and less root resorption at the compression side. The combined technique also promoted higher alveolar bone formation at the tension side."</t>
  </si>
  <si>
    <t>Jettar</t>
  </si>
  <si>
    <t>Effects of Photobiomodulation on SOFAT, a T-cell-derived Cytokine, May Explain Accelerated Orthodontic Tooth Movement.</t>
  </si>
  <si>
    <t>"This study evaluated, in an animal model, the effects of photobiomodulation on SOFAT - a secreted osteoclastogenic factor of activated T cells and RANK-L during tooth movement.
The results showed that tooth displacement, RANK-L and SOFAT levels were significantly greater compared to control group."</t>
  </si>
  <si>
    <t>Effects of low-level laser irradiation on the rate of orthodontic tooth movement and associated pain with self-ligating brackets.</t>
  </si>
  <si>
    <t>🧑 Human
🎲.Randomized trial, sham-controlled, split-mouth
👥 22 patients
⌛ 9 weeks</t>
  </si>
  <si>
    <t>0.04
cm2
fiber
tip size</t>
  </si>
  <si>
    <t>30
(3 per point)</t>
  </si>
  <si>
    <t>4
/ 9 weeks</t>
  </si>
  <si>
    <t>"Low-level laser irradiation applied at 3-week intervals can accelerate orthodontic tooth movement and reduce the pain associated with it."</t>
  </si>
  <si>
    <t>Milligan</t>
  </si>
  <si>
    <t>Effects of two wattages of low-level laser therapy on orthodontic tooth movement.</t>
  </si>
  <si>
    <t>500
1000</t>
  </si>
  <si>
    <t>19099
/tooth</t>
  </si>
  <si>
    <t>"There was a statistically significant difference for OTM between EX-500 but not between EX-1000 and CT groups. RANKL and MMP-13 expression levels in the PDL of orthodontically moved molars, however, were increased significantly in laser-exposed groups compared to CT. Early signs of dysplasia were observed in over half of the animals in the EX-1000 group."</t>
  </si>
  <si>
    <t>Üretürk</t>
  </si>
  <si>
    <t>The effect of low-level laser therapy on tooth movement during canine distalization.</t>
  </si>
  <si>
    <t>🧑 Human
🎲 Randomized trial, sham-controlled
👥 15 participants (30 canine teeth randomized)
⌛ 68-day treatment / 90-day study</t>
  </si>
  <si>
    <t>2
(10p)</t>
  </si>
  <si>
    <t>11
/ 68 days</t>
  </si>
  <si>
    <t>"The amount of tooth movement in the laser group was 40% more than the control group. First day IL-1ß levels were statistically higher than initial and 21st day levels (P= 0.003, P = 0.012). The rise in IL-1ß levels caused the negative correlations between 7th day IL-1β and 21st day TGF-β1 levels describes the tissue effects of laser application."
"As conclusion, laser does accelerate tooth movement and could shorten the whole treatment duration."</t>
  </si>
  <si>
    <t>Device: Doris CTL 1106MX</t>
  </si>
  <si>
    <t>Yi</t>
  </si>
  <si>
    <t>Effectiveness of adjunctive interventions for accelerating orthodontic tooth movement: a systematic review of systematic reviews.</t>
  </si>
  <si>
    <t>Tooth movement</t>
  </si>
  <si>
    <t>"A total of 11 systematic reviews were included in this study. AMSTAR scores ranged from 4 to 10 out of 11. The quality of evidence ranged from very low to low."
"Based on currently available information, we conclude that low-quality evidence indicates that LLLT (5 and 8 J/cm2 ) and corticotomy are effective to promote OTM in the short term. Future high-quality trials are required to determine the optimal protocols, as well as the long-term effects of LLLT and corticotomy, before warranting recommendations for orthodontics clinics."</t>
  </si>
  <si>
    <t>Miles P</t>
  </si>
  <si>
    <t>USA
(Greensburg, PA)</t>
  </si>
  <si>
    <t>Accelerated orthodontic treatment - what's the evidence?</t>
  </si>
  <si>
    <t>"There is some evidence to suggest that low-level laser therapy and a corticotomy involving the raising of a muco-periosteal flap are associated with accelerated orthodontic tooth movement; however, the current level of evidence is low to moderate in quality. For this reason, further research is required before routine application could be recommended."</t>
  </si>
  <si>
    <t>Italy
(Milan &amp; Messina)</t>
  </si>
  <si>
    <t>Does Low-Level Laser Therapy Enhance the Efficiency of Orthodontic Dental Alignment? Results from a Randomized Pilot Study.</t>
  </si>
  <si>
    <t>🧑 Human
🎲 Randomized trial
👥 36 participants
⌛ ~250 days</t>
  </si>
  <si>
    <t>1 per month
(average 7 months)</t>
  </si>
  <si>
    <t>"The alignment treatment time was significantly shorter (p &lt; 0.001) in the tested group (211.8 days) compared to the control (284.1 days). Consequently, control visits (p &lt; 0.001) were lower in the test group (7 visits, median value) compared to the control group (9.5 visits, median value)."
"The results of this pilot study suggest that the administration of LLLT might significantly increase the efficiency of orthodontic treatment during dental alignment."</t>
  </si>
  <si>
    <t>Nahas</t>
  </si>
  <si>
    <t>Decrowding of lower anterior segment with and without photobiomodulation: a single center, randomized clinical trial.</t>
  </si>
  <si>
    <t>🧑 Human
🎲 Randomized trial
👥 40 participants
⌛ ~2-3 months</t>
  </si>
  <si>
    <t>Tooth movement
Extraoral LLLT</t>
  </si>
  <si>
    <t>daily
(~70 sessions)</t>
  </si>
  <si>
    <t>"The date of the first arch wire placement was recorded as T1, and the date of the completion of the lower anterior segment decrowding was recorded as T2. A final impression was also taken at T2.
The time between T1 and T2 was significantly reduced by 22 % in the test group compared to the control group (68.3 vs. 87.8 days, respectively, p &lt; 0.043).
The use of photobiomodulation for 20 min daily at a wavelength of 850 nm might reduce the time required to resolve lower anterior crowding. This trial and its protocol were not registered on a publicly accessible registry."</t>
  </si>
  <si>
    <t>Sonesson</t>
  </si>
  <si>
    <t>Sweden
(Malmö)</t>
  </si>
  <si>
    <t>Efficacy of low-level laser therapy in accelerating tooth movement, preventing relapse and managing acute pain during orthodontic treatment in humans: a systematic review.</t>
  </si>
  <si>
    <t>"The search identified 244 articles, 16 of which fulfilled the inclusion criteria: three on acceleration of tooth movement by LLLT and 13 on LLLT modulation of acute pain. No study on LLLT for prevention of relapse was identified. The selected studies reported promising results for LLLT; elevated acceleration of tooth movement and lower pain scores, than controls. With respect to method, there were wide variations in type of laser techniques."
"The quality of evidence supporting LLLT to accelerate orthodontic tooth movement is very low and low with respect to modulate acute pain [according to the GRADE system]. No studies met the inclusion criteria for evaluating LLLT to limit relapse. The results highlight the need for high quality research, with consistency in study design, to determine whether LLLT can enhance fixed appliance treatment in children and young adults."</t>
  </si>
  <si>
    <t>Chiari S</t>
  </si>
  <si>
    <t>Front Oral Biol</t>
  </si>
  <si>
    <t>Photobiomodulation and Lasers.</t>
  </si>
  <si>
    <t>"Photobiomodulation is discussed to be a noninvasive method to accelerate orthodontic tooth movement. The stimulatory effect of low-level laser therapy is well known and includes enhancement in tissue growth and tissue regeneration, resolvement of inflammation and pain. 
In recent research projects, the effect of laser therapy was tested regarding the stimulatory effect on bone remodeling with the potential to influence the tooth movement rate. The results are divers. The effect of laser regarding the reduction of the postadjustment pain could be proved, but not all authors describe the acceleration of tooth movement. Depending on the protocol, low-level laser therapy with low dosage increases the amount of tooth movement while high dosage seems to result in inhibitory effects. 
In conclusion, future studies are necessary to find the right protocol delivering beneficial results regarding the influence on bone remodeling and tooth movement to implement this therapy in daily orthodontic routine."</t>
  </si>
  <si>
    <t>Experimental tooth movement and photobiomodulation on bone remodeling in rats.</t>
  </si>
  <si>
    <t>"PBM applied in one or three sessions increased the population of osteoblasts. Still, the application of three sessions of PBM increased the density of collagen fibers and new bone formation compared to the controls. An increase was observed in the interincisal distance in irradiated groups with three PBM sessions and the application of force for both 7 or 14 days."
"These findings suggest that PBM can contribute positively to the orthodontic movement."</t>
  </si>
  <si>
    <t>AlSayed Hasan</t>
  </si>
  <si>
    <t>Low-level laser therapy effectiveness in accelerating orthodontic tooth movement: A randomized controlled clinical trial.</t>
  </si>
  <si>
    <t>🧑 Human
🎲 Randomized trial
👥 26 participants
⌛ 2 months</t>
  </si>
  <si>
    <t>2
/point
8
/tooth</t>
  </si>
  <si>
    <t>4 /
 2 weeks
-&gt; 
3 / 6 weeks</t>
  </si>
  <si>
    <t>"A statistically significant difference was found between the two groups in the overall treatment time (P &lt; .001) and the leveling and alignment improvement percentage at T1 (P = .004) and T2; (P = .001)."</t>
  </si>
  <si>
    <t>Iran
(Yazd &amp; Mashhad)</t>
  </si>
  <si>
    <t>Effects of diode laser (980 nm) on orthodontic tooth movement and interleukin 6 levels in gingival crevicular fluid in female subjects.</t>
  </si>
  <si>
    <t>🧑 Human
🎲 Randomized trial, double-blind, split-mouth
👥 11 participants
⌛ 11 months</t>
  </si>
  <si>
    <t>5.6</t>
  </si>
  <si>
    <t>56
/tooth
(?)</t>
  </si>
  <si>
    <t>5 per month
for 11 months</t>
  </si>
  <si>
    <t>"Although the mean rate of canine retraction was higher in the LG (0.013) than the CG (0.012) and there was definitely a tendency for more canine retraction in the LLLI, but the results failed to show any significant difference between the mean rate of canine retraction of both groups (P = 0.068)."
"A paired t test showed that there was no significant difference in the mean concentration of IL-6 at various stages of the treatment between the groups during canine distalization (P &gt; 0.05)."</t>
  </si>
  <si>
    <t>Device: GaAlAs laser diode laser (A.R.C. Laser GmbH, Nürnberg, Germany)</t>
  </si>
  <si>
    <t>Shaughnessy, et al.</t>
  </si>
  <si>
    <t>USA&amp;Canada</t>
  </si>
  <si>
    <t>Intraoral photobiomodulation-induced orthodontic tooth alignment: a preliminary study.</t>
  </si>
  <si>
    <t>🧑 Human
🎲 Randomized trial
👥 19 participants
⌛ ~50-100 days</t>
  </si>
  <si>
    <t>Tooth alignment
LED phototherapy</t>
  </si>
  <si>
    <t>9.3</t>
  </si>
  <si>
    <t>Alignment rate was significantly higher in LLLT group (1.27mm/week versus 0.44mm/week)</t>
  </si>
  <si>
    <t>Device: OrthoPulse™, Biolux Research Ltd.</t>
  </si>
  <si>
    <t>Dalaie</t>
  </si>
  <si>
    <t>Effect of Low-Level Laser Therapy on Orthodontic Tooth Movement: A Clinical Investigation</t>
  </si>
  <si>
    <t>🧑 Human
🎲 Randomized trial, double-blind
👥 12 participants (jaw quadrants randomized)
⌛ single treatment (?) / 67-day study</t>
  </si>
  <si>
    <t>80
(8 points)</t>
  </si>
  <si>
    <t>"There was no significant difference in terms of tooth movement and pain scores between the irradiated and non-irradiated sides at any time point (P&gt;0.05)."</t>
  </si>
  <si>
    <t>Device: "low level Ga-Al-As laser (photo lase III, Brazil) "</t>
  </si>
  <si>
    <t>The effect of light emitting diode phototherapy on rate of orthodontic tooth movement: a split mouth, controlled clinical trial.</t>
  </si>
  <si>
    <t>🧑 Human
🎲 Randomized trial, split-mouth
👥 11 participants (17 dental arches)
⌛ 10 weeks</t>
  </si>
  <si>
    <t>0.92-
6.92
(intra-
alveolar dose)</t>
  </si>
  <si>
    <t>"Our findings were contrary to previous findings of the effect of laser phototherapy on regulating the rate of OTM. Further investigations are warranted to analyse whether the duration or method of LED delivery would have an effect on the rate of OTM."
Comment: Parameters were not mentioned in the full text...</t>
  </si>
  <si>
    <t>Shirazi</t>
  </si>
  <si>
    <t>The effects of diode laser (660 nm) on the rate of tooth movements: an animal study.</t>
  </si>
  <si>
    <t>Systemic effects studied (no effect on contralateral side)</t>
  </si>
  <si>
    <t>"In the laser-irradiated group, the amount of tooth movement was significantly greater than that of the non-irradiated group (2.3-fold), but there was no significant difference between the non-irradiated and indirectly irradiated groups. Histopathological studies revealed that the number of osteoclasts in the laser-irradiated group was significantly greater than that of the non-irradiated group (1.5-fold) while this number was almost the same in the non-irradiated and indirectly irradiated groups. 
The results suggested that low-level laser can accelerate the rate of bone remodeling. However, in order to utilize the low-level laser as an adjunct in orthodontic practice on patients, further research studies are needed for finding the appropriate dosage for the human tissues."</t>
  </si>
  <si>
    <t>Effect of LED-mediated-photobiomodulation therapy on orthodontic tooth movement and root resorption in rats.</t>
  </si>
  <si>
    <t>Root resorption
LED phototherapy</t>
  </si>
  <si>
    <t>"The magnitude of movement in the treatment group was higher (1.55 ± 0.33 mm) compared to the control group (1.06 ± 0.35 mm). Histomorphometric analysis of root resorption, expressed as a percentage, showed that the average relative root resorption affecting the maxillary molars on the TM side was 0.098 ± 0.066 in the LPT group and 0.494 ± 0.224 in the control group."</t>
  </si>
  <si>
    <t>Effects of low-level laser therapy on orthodontics: rate of tooth movement, pain, and release of RANKL and OPG in GCF.</t>
  </si>
  <si>
    <t>🧑 Human
📄 Non-randomized study, self-controlled
👥 10 participants
⌛ 7-day treatment / 45-day follow-up</t>
  </si>
  <si>
    <t>6.37</t>
  </si>
  <si>
    <t>6
/ 8 days</t>
  </si>
  <si>
    <t>"There was improvement in the parameters studied (pain, tooth movement, levels of RANKL in GCF, and RANKL/OPG ratio) in the laser group when compared to the control group, although differences were not statistically significant."
Comment: LLLT seemed to have some beneficial effects, but most of the positive effects weren't statistically significant.</t>
  </si>
  <si>
    <t>Long</t>
  </si>
  <si>
    <t>The effectiveness of low-level laser therapy in accelerating orthodontic tooth movement: a meta-analysis.</t>
  </si>
  <si>
    <t>"Finally, five studies were included in this meta-analysis."
"Weak evidence suggests that low-level laser irradiations at the wavelength of 780 nm, at the fluence of 5 J/cm(2) and/or the output power of 20 mW could accelerate orthodontic tooth movement within 2 months and 3 months. However, we cannot determine its effectiveness within 1 month due to potential measurement errors."</t>
  </si>
  <si>
    <t>Ge</t>
  </si>
  <si>
    <t>Efficacy of low-level laser therapy for accelerating tooth movement during orthodontic treatment: a systematic review and meta-analysis.</t>
  </si>
  <si>
    <t>"All nine articles were feasible for the systematic review and meta-analysis, five of which were assessed as moderate risk of bias, while the rest were assessed as high risk of bias."
"he results showed that the LLLT could accelerate orthodontic tooth movement (OTM) in 7 days (mean difference 0.19, 95 % CI [0.02, 0.37], p = 0.03) and 2 months (mean difference 1.08, 95 % CI [0.16, 2.01], p = 0.02). Moreover, a relatively lower energy density (5 and 8 J/cm(2)) was seemingly more effective than 20 and 25 J/cm(2) and even higher ones."</t>
  </si>
  <si>
    <t>Effects of low-level laser therapy on orthodontic tooth movement and root resorption after artificial socket preservation.</t>
  </si>
  <si>
    <t>Root ersorption</t>
  </si>
  <si>
    <t>"The mean OTM were 5.68 ± 1.21 mm in the control group and 6.0 ± 0.99 mm in the laser irradiated teeth with no statistically significant differences(P &gt; 0.75). The mean root resorption was 1.61 ± 0.43 mm2 and 0.18 ± 0.07 mm2 in the control and experimental groups respectively being significantly lower in the laser irradiated teeth (P &lt; 0.0001)."
Comment: Parameters were poorly reported.</t>
  </si>
  <si>
    <t>Kansal</t>
  </si>
  <si>
    <t>India
(Paonta Sahib)</t>
  </si>
  <si>
    <t>Effects of low-intensity laser therapy on the rate of orthodontic tooth movement: A clinical trial.</t>
  </si>
  <si>
    <t>🧑 Human
🎲 Randomized trial, split-mouth
👥 10 participants
⌛ 56-day treatment / 63-day study</t>
  </si>
  <si>
    <t>10
/ 56 days</t>
  </si>
  <si>
    <t>"There was no statistically significant difference in the rate of tooth movement during canine retraction between the LG and the CG. There was no evidence of any pathologic changes in the radiograph following LILT."</t>
  </si>
  <si>
    <t>Effect of frequent application of low-level laser therapy on corticotomized tooth movement in dogs: a pilot study.</t>
  </si>
  <si>
    <t>🐶 Dog (n=4)</t>
  </si>
  <si>
    <t>"The frequent application of LLLT showed no significant effect on the corticotomized tooth movement."</t>
  </si>
  <si>
    <t>Oral Health Dent Manag</t>
  </si>
  <si>
    <t>The effect of low level laser therapy on the rate of tooth movement and pain perception during canine retraction.</t>
  </si>
  <si>
    <t>🧑 Human
🎲 Randomized trial (?), split-mouth, sham-controlled
👥 20 participants
⌛ 56-day study</t>
  </si>
  <si>
    <t>21.4
(?)</t>
  </si>
  <si>
    <t>10
/ 2 months (??)</t>
  </si>
  <si>
    <t>"There was no significant difference either in the speed of canine movement or in its degree of mesiodistal inclination between the laser and placebo sides. The pain perception did not differ significantly between the two groups at any of the treatment appointments."
"Low level laser therapy (LLLT), with the parameter settings used in this study, did not affect canine movement velocity and its degree of mesiodistal inclination and did not influence pain perceived by the patients."</t>
  </si>
  <si>
    <t>Gkantidis</t>
  </si>
  <si>
    <t>Effectiveness of non-conventional methods for accelerated orthodontic tooth movement: a systematic review and meta-analysis.</t>
  </si>
  <si>
    <t>"Higher canine retraction rate was evident with (...) low-intensity laser (WMD=0.42mm/month; 95% CI: 0.26, 0.57, p&lt;0.001) in a period longer than 3 months. The quality of evidence supporting the interventions is moderate for laser therapy (...)."
"From the qualitative and quantitative synthesis of the studies, it could be concluded that there is some evidence that low laser therapy and corticotomy are associated with accelerated orthodontic tooth movement, while further investigation is required before routine application."</t>
  </si>
  <si>
    <t>Carvalho-Lobato</t>
  </si>
  <si>
    <t>Tooth movement in orthodontic treatment with low-level laser therapy: a systematic review of human and animal studies.</t>
  </si>
  <si>
    <t>The systematic review:
  - 11 rat studies
  - 5 human studies
  - results seemed promising
[Also read the Editorial Comment by Carroll JD, mentioning that this review omitted many significant studies.]</t>
  </si>
  <si>
    <t>Torri &amp; Weber</t>
  </si>
  <si>
    <t>Influence of low-level laser therapy on the rate of orthodontic movement: a literature review.</t>
  </si>
  <si>
    <t>"Most authors report positive effects of the use of LLLT on speed increase of orthodontic tooth movement when compared with control or placebo groups. Diode laser, especially gallium aluminum arsenide, used continuously and in direct contact with the irradiated areas, was the most frequent protocol. Further studies are warranted to determine the best protocols with regard to energy, dose, and intervention schedule."</t>
  </si>
  <si>
    <t>Kau</t>
  </si>
  <si>
    <t>Photobiomodulation accelerates orthodontic alignment in the early phase of treatment.</t>
  </si>
  <si>
    <t>🧑 Human
🗺 Multicenter
🎲 Randomized trial (?),
👥 90 participants
⌛ treatment until alignment was achieved</t>
  </si>
  <si>
    <t xml:space="preserve">Three PBM groups: (1) 20min daily, (2) 30min daily, (3) 1h weekly. </t>
  </si>
  <si>
    <t>72
108
216</t>
  </si>
  <si>
    <t>"Multi-level mixed effect regression analysis was performed on the data, and the mean rate of change in LII was 0.49 and 1.12 mm/week for the control and test groups, respectively."
Comment: Not sure if control group was randomly allocated too.</t>
  </si>
  <si>
    <t>Device: Extra-oral OrthoPulse LED</t>
  </si>
  <si>
    <t>Marquezan</t>
  </si>
  <si>
    <t>Dental Press J Orthod</t>
  </si>
  <si>
    <t>Evaluation of two protocols for low-level laser application in patients submitted to orthodontic treatment.</t>
  </si>
  <si>
    <t>6000</t>
  </si>
  <si>
    <t>0.003
cm2</t>
  </si>
  <si>
    <t>"The amount of OTM revealed no significant differences between groups in the same experimental period (p &lt; 0.05). Qualitative analysis revealed the strongest resorption activity in irradiated groups after seven days, especially when using the daily irradiation protocol. There was a higher number of blood vessels in irradiated animals than in animals without orthodontic devices and without laser irradiation (p &lt; 0.05)."
Comment: The intensity was extremely high due to small beam area.</t>
  </si>
  <si>
    <t>Habib</t>
  </si>
  <si>
    <t>Effect of laser phototherapy on the hyalinization following orthodontic tooth movement in rats.</t>
  </si>
  <si>
    <t>1.273</t>
  </si>
  <si>
    <t>635.2</t>
  </si>
  <si>
    <t>"It is possible to conclude that the use of laser light caused histologic alterations during the orthodontic movement characterized by increased formation of areas of hyalinization at early stages, and late reduction when compared to nonirradiated animals."</t>
  </si>
  <si>
    <t>Doshi-Mehta &amp; Bhad-Patil</t>
  </si>
  <si>
    <t>India
(Nagpur)</t>
  </si>
  <si>
    <t>Efficacy of low-intensity laser therapy in reducing treatment time and orthodontic pain: a clinical investigation.</t>
  </si>
  <si>
    <t>🧑 Human
🎲 Randomized trial, split-mouth
👥 20 participants
⌛ until canine retraction (~4.5 months)</t>
  </si>
  <si>
    <t>0.7
0.25</t>
  </si>
  <si>
    <t>4
/ 15 days
-&gt;
every 2 weeks
until canine retraction achieved</t>
  </si>
  <si>
    <t>"An average increase of 30% in the rate of tooth movement was observed with the low-intensity laser therapy. Pain scores on the experimental sides were significantly lower compared with the control sides."
Comment: An extremely low dose was used according to this paper. In my opinion, that low dose is unlikely to have biological effects.
Note: A comment to this paper was published.</t>
  </si>
  <si>
    <t>Metrical and histological investigation of the effects of low-level laser therapy on orthodontic tooth movement.</t>
  </si>
  <si>
    <t>3.18
3.18</t>
  </si>
  <si>
    <t>54
15</t>
  </si>
  <si>
    <t>1717
477</t>
  </si>
  <si>
    <t>540
150</t>
  </si>
  <si>
    <t>"No statistical difference was found for the amount of tooth movement in between the control and study groups (p &gt; 0.05).
The number of osteoclasts, osteoblasts, inflammatory cells, capillary vascularization, and new bone formation were found to be increased significantly in group II (p &lt; 0.05). Immunohistochemical staining findings showed that RANKL immunoreactivity was stronger in group II than in the other groups."
Group III (the lower-dose LLLT group) didn't seem to have any important benefits.</t>
  </si>
  <si>
    <t>Low level laser can be a novel adjuvant method for orthodontic tooth movement on postmenopausal women.</t>
  </si>
  <si>
    <t>"The hypothesis we proposed herein is that low level laser may be a valuable adjuvant method for protecting and facilitating orthodontic tooth movement on this kind of patients."</t>
  </si>
  <si>
    <t>Influence of low-level laser on the speed of orthodontic movement.</t>
  </si>
  <si>
    <t>🧑 Human
🎲 Randomized trial (self-controlled)
👥 10 participants (26 canine teeth)
⌛ 3-month treatment / 4-month study</t>
  </si>
  <si>
    <t>9
/ 3 months</t>
  </si>
  <si>
    <t>"The diode laser used within the protocol guidelines increased the speed of tooth movement. This might reduce orthodontic treatment time."</t>
  </si>
  <si>
    <t>Korea
(Pusan)</t>
  </si>
  <si>
    <t>Low-level laser irradiation facilitates fibronectin and collagen type I turnover during tooth movement in rats.</t>
  </si>
  <si>
    <t>0.83 (?)</t>
  </si>
  <si>
    <t>"There was no difference between the two groups in the amount of tooth movement. The immunohistochemistry results showed that the expression of fibronectin and collagen type I in the experimental group had significantly increased from day 1, with a more even distribution than in the control group, and that this difference was maintained until the end of the experiment. These results suggest that LLL irradiation facilitates the reorganization of the connective tissues during tooth movement in rats."</t>
  </si>
  <si>
    <t>Laser-induced alveolar bone changes during orthodontic movement: a histological study on rodents.</t>
  </si>
  <si>
    <t>Histological study</t>
  </si>
  <si>
    <t>19.96</t>
  </si>
  <si>
    <t>20(?)</t>
  </si>
  <si>
    <t>"LPT caused significant histological changes in the alveolar bone during induced tooth movement, including alterations in the number of both osteoclasts and osteoblasts and in collagen deposition in both pressure and tension areas."</t>
  </si>
  <si>
    <t>Effects of two low-intensity laser therapy protocols on experimental tooth movement.</t>
  </si>
  <si>
    <t>Tooth movement
Biphasic dose response (?) (extreme dose)</t>
  </si>
  <si>
    <t>"The tested LILT protocols were unable to accelerate tooth movement. Even though the number of osteoclasts increased when LILT was applied daily, the repair at the tension zone was inhibited."</t>
  </si>
  <si>
    <t>Gama</t>
  </si>
  <si>
    <t>Tooth movement after infrared laser phototherapy: clinical study in rodents.</t>
  </si>
  <si>
    <t>"The results showed no statistically significant difference, p = 0.079 (T0-T7), p = 0.597 (T7-T13), and p = 0.550 (T13-T19) between the laser and control groups on the amount of tooth movement in the different times evaluated. It may be concluded that laser phototherapy, with the parameters in the present study, did not significantly increase the amount of tooth displacement during induced orthodontic movement in rodents."</t>
  </si>
  <si>
    <t>Low-energy laser irradiation accelerates the velocity of tooth movement via stimulation of the alveolar bone remodeling.</t>
  </si>
  <si>
    <t>540
(4p)</t>
  </si>
  <si>
    <t>"The amount of tooth movement in the LELI group was significantly greater than in the non-irradiation group by the end of the experimental period. Further, compared with the non-irradiation group, the fall of BMD was less in the LELI group."</t>
  </si>
  <si>
    <t>Effects of low-level laser therapy after Corticision on tooth movement and paradental remodeling.</t>
  </si>
  <si>
    <t>Groups: Corticision+LLLT, corticision, LLLT or control</t>
  </si>
  <si>
    <t>14?</t>
  </si>
  <si>
    <t>"In the present study, the effects of Corticision and LLLT as supplemental procedures for accelerating orthodontic tooth movement were confirmed clearly. However, the combined procedure had more inhibitory effects than the control."
Comment: The results seem quite paradoxical.</t>
  </si>
  <si>
    <t>Fujita</t>
  </si>
  <si>
    <t>Low-energy laser stimulates tooth movement velocity via expression of RANK and RANKL</t>
  </si>
  <si>
    <t>"These findings suggest that low-energy laser irradiation stimulates the velocity of tooth movement via induction of RANK and RANKL."</t>
  </si>
  <si>
    <t>The effect of low-level laser therapy during orthodontic movement: a preliminary study.</t>
  </si>
  <si>
    <t>🧑 Human
📄 Non-randomized study, split-mouth
👥 15 participants
⌛ ~2 months (?)</t>
  </si>
  <si>
    <t>Tooth movement
Pain</t>
  </si>
  <si>
    <t>4 per every 21 days 
(retraction spring reactivation every 21 days, PBM at d0, d3, d7 and d14)</t>
  </si>
  <si>
    <t>"The velocity of canine movement was significantly greater in the lased group than in the control group. The pain intensity was also at lower level in the lased group than in the control group throughout the retraction period."</t>
  </si>
  <si>
    <t>Effects of two types of low-level laser wave lengths (850 and 630 nm) on the orthodontic tooth movements in rabbits.</t>
  </si>
  <si>
    <t>10
5</t>
  </si>
  <si>
    <t>27
8.1</t>
  </si>
  <si>
    <t>"There were statistically significant difference between the control and the two other laser-irradiated groups (P &lt; 0.001). The findings of the present study imply that the amounts of orthodontic tooth movement, after low-level laser therapy, are diminished. It could not be concluded that any low-level laser will reduce the speed of teeth movement in orthodontic treatments, and further studies with less or more energies may show different results."
"Theoretically, the amount of energy is an important factor, and the recommended dosage for human maybe too high for rabbits. Further investigations using a lower energy are recommended."</t>
  </si>
  <si>
    <t>Limpanichkul</t>
  </si>
  <si>
    <t>Thailand
(Songkhla)</t>
  </si>
  <si>
    <t>Effects of low-level laser therapy on the rate of orthodontic tooth movement.</t>
  </si>
  <si>
    <t>🧑 Human
🎲 Randomized study, double-blind, split-mouth
👥 12 participants
⌛ 3 months</t>
  </si>
  <si>
    <t>2.3
/point
(8 points)</t>
  </si>
  <si>
    <t>0.09
cm2
spectral
area</t>
  </si>
  <si>
    <t>23
/point</t>
  </si>
  <si>
    <t>"There was no significant difference of means of the canine distal movement between the LLLT side and the placebo side for any time periods (p-value = 0.77)."
"The energy density of LLLT (GaAlAs) at the surface level in this study (25 J/cm(2)) was probably too low to express either stimulatory effect or inhibitory effect on the rate of orthodontic tooth movement."</t>
  </si>
  <si>
    <t>Device: "GaAlAs laser (Top Laser 250 SIR 100, Medical Innovation, France)"</t>
  </si>
  <si>
    <t>Goulart</t>
  </si>
  <si>
    <t>Brazil
(Tubarão)</t>
  </si>
  <si>
    <t>Photoradiation and orthodontic movement: experimental study with canines.</t>
  </si>
  <si>
    <t>"The results suggets that photoradiation may accelerate orthodontic movement at a dosage of 5.25 J/cm(2), whereas a higher dosage, 35.0 J/cm(2), may retard it."</t>
  </si>
  <si>
    <t>Effects of low-intensity laser therapy on the orthodontic movement velocity of human teeth: a preliminary study.</t>
  </si>
  <si>
    <t>🧑 Human
🎲 Randomized study, split-mouth
👥 11 participants
⌛ 2 months</t>
  </si>
  <si>
    <t>8
/ 2 months</t>
  </si>
  <si>
    <t>"Our findings suggest that LILT does accelerate human teeth movement and could therefore considerably shorten the whole treatment duration."</t>
  </si>
  <si>
    <t>Kawasaki &amp; Shimizu</t>
  </si>
  <si>
    <t>Effects of low-energy laser irradiation on bone remodeling during experimental tooth movement in rats.</t>
  </si>
  <si>
    <t>35.3</t>
  </si>
  <si>
    <t>540
(3p)</t>
  </si>
  <si>
    <t>"In the laser irradiation group, the amount of tooth movement was significantly greater (1. 3-fold) than that of the nonirradiation group in the end of the experiment. The amount of bone formation and rate of cellular proliferation in the tension side and the number of osteoclasts in the pressure side were all significantly increased in the irradiation group when compared with the nonirradiation group (P &lt; 0. 01)."
"These findings suggest that low-energy laser irradiation can accelerate tooth movement accompanied with alveolar bone remodeling."</t>
  </si>
  <si>
    <t>Kekovic</t>
  </si>
  <si>
    <t>Effect of Low-level Light Therapy on Post-operative Healing of Secondary Chronic Osteomyelitis of the Jaws - A Prospective Study</t>
  </si>
  <si>
    <t>🧑 Human
📄 Non-randomized study, controlled
👥 8 participants
⌛ 2-week treatment -&gt; 6-month follow-up</t>
  </si>
  <si>
    <t>0.140</t>
  </si>
  <si>
    <t>"At three and six months, clinical achievement was better in patients treated with LLLT. Pain and discomfort resolution was significantly greater in the experimental group."</t>
  </si>
  <si>
    <t>Device: "extraoral pulsed 635-nm LED lamp (Repuls7, Repuls Lichtmedizintechnik GmbH, Austria)"</t>
  </si>
  <si>
    <t>Osteonecrosis (MRONJ)</t>
  </si>
  <si>
    <t>Özalp</t>
  </si>
  <si>
    <t>Comparing the effects of low-level laser therapy and gaseous ozone as a preventive measure on medication-related osteonecrosis of the jaws following tooth extraction: a rat model</t>
  </si>
  <si>
    <t>PBM vs ozone</t>
  </si>
  <si>
    <t>"Laser and ozone groups demonstrated significantly higher bone formation compared to control group (p &lt; 0.05), while no significant difference was found between laser and ozone groups (p = 1.00). Furthermore, the greatest bone formation was observed with the sham group (p &lt; 0.05)."</t>
  </si>
  <si>
    <t>Chegini</t>
  </si>
  <si>
    <t>Photobiomodulation Can Prevent Medication-Related Osteonecrosis of the Jaw Formation in Tooth Extraction Site of Rat Model</t>
  </si>
  <si>
    <t>"ZA exposure hindered wound healing in both soft and hard tissues after tooth extraction. PBM intervention effectively mitigated the adverse effects of ZA, promoting healing processes in both tissue types. This suggests the potential of PBM as a preventive strategy for BRONJ in patients on long-term bisphosphonate treatment. Moreover, PBM exhibited enhanced wound healing in normal rats, indicating its broader applicability beyond BRONJ cases."</t>
  </si>
  <si>
    <t>Peterson</t>
  </si>
  <si>
    <t>Prevention and Management of Osteoradionecrosis in Patients With Head and Neck Cancer Treated With Radiation Therapy: ISOO-MASCC-ASCO Guideline</t>
  </si>
  <si>
    <t>"Due to limited, low-quality available evidence, no recommendation can be made regarding utilization of leukocyte- and platelet-rich fibrin1 or photobiomodulation therapy to prevent ORN for patients undergoing dental procedures after head and neck."</t>
  </si>
  <si>
    <t>Safari</t>
  </si>
  <si>
    <t>An in vitro study on the effects of photobiomodulation by diode lasers (red, infrared, and red-infrared combination) on periodontal ligament mesenchymal stem cells treated with bisphosphonates</t>
  </si>
  <si>
    <t>660
808
660+
808</t>
  </si>
  <si>
    <t>"The results showed a significant decrease in cell viability in ZA-treated cells (p &lt; 0.001). 
Additionally, ZA induced the expression of OPG (p = 0.03) while reducing RANKL (p &lt; 0.001). 
Cell proliferation was significantly increased in 808 and 660 + 808 nm groups. 
Moreover, all PBMT groups could significantly increase and decrease the RANKL and OPG, respectively, in the presence of ZA (all p &lt; 0.001). A combination of 660 + 808 nm showed the highest effects on both genes."</t>
  </si>
  <si>
    <t>Use of Phototherapy and Er-YAG Laser in the Management of Mandible Osteoradionecrosis: A Case Report</t>
  </si>
  <si>
    <t>"The patient was initially exposed to photobiomodulation therapy (PBMT), with a low-power laser at wavelengths of 660 nm and 808 nm, and thereafter to antimicrobial photodynamic therapy (aPDT). After an improvement in the clinical condition and resolution of the oral cutaneous fistula, a surgical procedure with the Er: YAG laser was performed to remove the remaining necrotic bone."</t>
  </si>
  <si>
    <t>Management of Medication-Related Osteonecrosis of the Jaw with Photobiomodulation and Minimal Surgical Intervention</t>
  </si>
  <si>
    <t>"This case report suggests that the combination of PBM with surgical intervention is promising in the management of MRONJ."</t>
  </si>
  <si>
    <t>Device: "Smart M, Lasotronix, Warsaw, Poland"</t>
  </si>
  <si>
    <t>Scribante</t>
  </si>
  <si>
    <t>Laser Devices and Autologous Platelet Concentrates in Prevention and Treatment of Medication-Related Osteonecrosis of the Jaws: A Systematic Review</t>
  </si>
  <si>
    <t>"For grades II and III, the combination of piezo surgery, APCs, and even Nd: YAG bio-stimulation leads to a promising management approach [48].
The synergy of two different lasers, the Er: YAG laser for osteonecrosis removal and the diode laser for PBMT, associated with PRP, seemed to improve tissue healing, acting on keratinocytes, endothelial cells, and osteoblasts, as well as eliminating the need for painkillers [42].
The combined effect of medical, laser-assisted surgery, and PMBT thus seems to be a successful approach [49]."</t>
  </si>
  <si>
    <t>Case Rep Oncol</t>
  </si>
  <si>
    <t>Medication-Related Osteonecrosis of the Jaw: Successful Medical Management of Complex Maxillary Alveolus with Sinus Involvement</t>
  </si>
  <si>
    <t>"We present 3 patients with advanced-stage MRONJ of the maxilla using combined medical modalities including antimicrobial therapy, photobiomodulation therapy, pentoxifylline, vitamin E, and synthetic parathyroid hormone. All patients had a good outcome and avoided surgical intervention. 
We also report biological and functional imaging that may assist in more effective diagnosis and management of MRONJ. 
The 3 patients reported suggest that combined medical management should be considered in all cases of MRONJ (including stage III) prior to determining if surgical intervention is required."</t>
  </si>
  <si>
    <t>Razavi</t>
  </si>
  <si>
    <t>Efficacy of Adjunctive Photobiomodulation in the Management of Medication-Related Osteonecrosis of the Jaw: A Systematic Review</t>
  </si>
  <si>
    <t>"Two hundred sixty-nine articles were found through electronic search, out of which only 11 met the inclusion criteria and were included in qualitative synthesis (9 retrospectives, 1 prospective, and 1 case series). 
A total number of 759 patients and a mean age ranging from 54 to 74 years were reviewed. Females were the most frequent gender in all of the selected studies (72% females to 28% males), and the most frequent stage in the studies mentioned above was stage II (66%). 
Most of the studies had shown a significant improvement when PBM was used as an adjunctive treatment. "
"Based on the results of this study, PBM as an adjuvant therapy can significantly improve the outcomes of each treatment plan. However, surgical intervention for the complete healing of the lesions is suggested."</t>
  </si>
  <si>
    <t>Low-level laser therapy prevents medication-related osteonecrosis of the jaw-like lesions via IL-1RA-mediated primary gingival wound healing</t>
  </si>
  <si>
    <t>63.87</t>
  </si>
  <si>
    <t>"LLLT might promote primary gingival wound healing and contribute to subsequent bone regeneration of the tooth extractions in MRONJ-like lesions via IL-1RA-mediated pro-inflammation signaling suppression."</t>
  </si>
  <si>
    <t>Jamalpour</t>
  </si>
  <si>
    <t>Complementarity of surgical therapy, photobiomodulation, A-PRF and L-PRF for management of medication-related osteonecrosis of the jaw (MRONJ): an animal study</t>
  </si>
  <si>
    <t>1.786</t>
  </si>
  <si>
    <t>0.28
cm2
spot
size</t>
  </si>
  <si>
    <t>5
/ 10 days</t>
  </si>
  <si>
    <t>"According to the present study, A-PRF and L-PRF treatment resulted in significant improvements in clinical, histological, and radiographical parameters compared to the Ctrl group (P &lt; 0.05). The PBM also decreased wound dimensions and the number of empty lacunae compared to the Ctrl group (P &lt; 0.05). 
Surg + APRF + PBM and Surg + LPRF + PBM were the only groups that presented a significantly higher mean number of osteocytes (P &lt; 0.05)."</t>
  </si>
  <si>
    <t>PBM application: "Noncontact mode 0.5–1 cm distance from the target"</t>
  </si>
  <si>
    <t>Photodynamic therapy and photobiomodulation therapy in zoledronic acid-induced osteonecrosis in rats</t>
  </si>
  <si>
    <t>"This study investigated the effect of antimicrobial photodynamic therapy (PDT), using methylene blue (MBO) and photobiomodulation therapy (PT), on the alveolar bone of rats submitted to bisphosphonate-induced osteonecrosis of the maxillaries (OMB) model using zoledronic acid (ZA)."
"We conclude that PDT and PT attenuated the severity of OMB and the inflammatory process due to a reduction of macrophages, T lymphocytes, and cytokines that stimulate the activity of these cells."</t>
  </si>
  <si>
    <t>Device: Therapy XT-ESTM, DMC Equipamentos, São Carlos, SP, Brazil</t>
  </si>
  <si>
    <t>Photobiomodulation and antimicrobial photodynamic therapy for the prevention of osteonecrosis of the jaw in an oncologic patient</t>
  </si>
  <si>
    <t>🧑 Human
📄 Case report (?)</t>
  </si>
  <si>
    <t>Portugal
(Gandra)</t>
  </si>
  <si>
    <t>Photobiomodulation laser therapy in a Lenvatinib-related osteonecrosis of the jaw: A case report</t>
  </si>
  <si>
    <t>🧑 Human
📄 Case report
⌛ 5-week treatment / 6-month follow-up</t>
  </si>
  <si>
    <t>"At the end of the first session, a relief in the pain was already refereed by the patient. One month after, the oral mucosa was completely healed and tissue integrity was confirmed clinically and on panoramic radiograph and the patient referred an increase in her quality of life. On the last follow up after 6 months the patient was without any recurrence."</t>
  </si>
  <si>
    <t>Device: "635 nm wavelength diode laser (Lasotronix®, Diode Laser DiodeLX model SMART M, Żytnia, Piaseczno, Poland)"</t>
  </si>
  <si>
    <t>Brazil
(Piauí)</t>
  </si>
  <si>
    <t>Medication-Related Osteonecrosis of the Jaw and Low-Level Laser Therapy as Adjuvant Treatment: A Case Report</t>
  </si>
  <si>
    <t>0.5 +
3.0
/point
(see full text for details)</t>
  </si>
  <si>
    <t>"We describe a case of a 48-year-old oncological patient who had brain and bone metastasis due to breast cancer and was medicated with bisphosphonates (BPs). She presented cavities, and after an incorrect exodontia, the lesion evolved into a jaw osteonecrosis. Then she did a sequestrectomy and was treated using laser therapy. Radiological and clinical features are also described."
"In a case like this, we notice how necessary is a complete evaluation of the oncological patient before some procedures and laser therapy as an effective ally in the management."</t>
  </si>
  <si>
    <t>Device: "Therapy EC Equipment"</t>
  </si>
  <si>
    <t>Tenore</t>
  </si>
  <si>
    <t>Management of Medication-Related Osteonecrosis of the Jaw (MRONJ) Using Leukocyte- and Platelet-Rich Fibrin (L-PRF) and Photobiomodulation: A Retrospective Study</t>
  </si>
  <si>
    <t>🧑 Human
📄 Retrospective study
👥 34 patients
⌛ 4-week treatment / 6-month study</t>
  </si>
  <si>
    <t>650+
810+
910</t>
  </si>
  <si>
    <t>531.4</t>
  </si>
  <si>
    <t>"There was a significant association between the different treatment protocols and the outcomes at both three and six months follow-up (p = 0.001 and p = 0.002, respectively)."
"Our results show that the combination of antibiotic therapy, surgery, L-PRF, and photobiomodulation may effectively contribute to MRONJ management."</t>
  </si>
  <si>
    <t>Photobiomodulation and antimicrobial photodynamic therapy as adjunct in the treatment and prevention of osteoradionecrosis of the jaws: a case report</t>
  </si>
  <si>
    <t>4 PBM +
2 PDT</t>
  </si>
  <si>
    <t>"The adjuvant therapy combining aPDT and LLLT with minimally invasive surgical procedures and antibiotic therapy was successful in the treatment and prevention of osteoradionecrosis in the patient after radiotherapy, without recurrence or new lesion emergence after 1-year of follow-up."</t>
  </si>
  <si>
    <t>Device: Therapy XT® - Laser diode, DMC, São Carlos, Brazil)</t>
  </si>
  <si>
    <t>Successful Application of Antimicrobial Photodynamic and Photobiomodulation Therapies for Controlling Osteoradionecrosis and Xerostomia After Laryngeal Carcinoma Treatment: A Case Report of Full Oral Rehabilitation</t>
  </si>
  <si>
    <t>PDT 3/wk
PBM 2/wk
for 5 months</t>
  </si>
  <si>
    <t>"We present a clinical case where a conservative treatment based on photonics [antimicrobial Photodynamic Therapy (aPDT) associated to Photobiomodulation therapy (PBMT)] of a patient with osteoradionecrosis (ORN) due to the radiotherapy treatment of a laryngeal cancer. 
As a result of this combined treatment the ORN was controlled (e.g. the necrosis, infection and suppuration disappeared). Moreover, the symptoms reported by the patient (pain and xerostomia) also diminished along with the repair of oral mucosa. 
Thus, this treatment showed to be effective and this fact encouraged us to keep applying in future cases this combined therapy (e.g. PBM therapy and the aPDT)."</t>
  </si>
  <si>
    <t>Del Pilar Rodríguez-Sánchez</t>
  </si>
  <si>
    <t>Colombia
(Montería)</t>
  </si>
  <si>
    <t>The Effectiveness of the Low-Level Laser, Antibiotic and Surgical Therapy in the Treatment of Medication-Related Osteonecrosis of the Jaws: A Case Report.</t>
  </si>
  <si>
    <t>19.43</t>
  </si>
  <si>
    <t>0.0283
cm2
spot
size</t>
  </si>
  <si>
    <t>88
(8p)</t>
  </si>
  <si>
    <t>13
(~2 months)</t>
  </si>
  <si>
    <t>"The treatment consisted of the curettage of the necrotic bone, antibiotic and thirteen LLL therapy sessions. Integral mucosal healing was observed after a two-month follow-up and no symptoms were detected. The patient was evaluated at 6 and 12 postoperative months without complications."
"The combination of surgery, antibiotic therapy, and LLL therapy has shown to be effective in the treatment of MRONJ."</t>
  </si>
  <si>
    <t>Effectiveness of laser-assisted treatments for medication-related osteonecrosis of the jaw: a systematic review.</t>
  </si>
  <si>
    <t>📚 Systematic review (non-🎲 Randomized trial studies)</t>
  </si>
  <si>
    <t>"We made a comprehensive search of MEDLINE, Pubmed, and Embase to find randomised controlled trials, case-control studies, and prospective cohort studies that assessed them. We assessed the eligible studies in duplicate, and if possible conducted a meta-analysis.
Ten studies with a low to high risk of bias met the inclusion criteria. We found that a comparison of pain scores before and after using visible and infrared GaAs laser in the low-level laser treatment based on the Numerical Pain Rating Scale (mean difference 4.28; 95% CI 3.62 to 4.93; p&lt;0.00001), showed that there were significant differences in the amount of pain.
The effectiveness of other laser-assisted treatments on the reduction of pain - for example, Er:YAG laser surgical treatment, and laser-assisted treatment plus platelet-rich plasma, and the effect of other techniques on wound healing of laser-assisted treatments, are uncertain.
We found that the results of the studies that were deemed to be high-to-low quality and to have high-to-low statistical power suggested that there may be considerable clinical improvement in MRONJ by using laser-assisted treatment; we cautiously consider that low-level laser treatment may manage pain and symptoms in these patients.
More randomised studies of good quality and with a low risk of bias are needed to test whether laser-assisted treatment should be a routine part of management of patients with MRONJ."
Comment: No randomized studies in this systematic review. The only meta-analysis included only 2 studies.</t>
  </si>
  <si>
    <t>Tartaroti</t>
  </si>
  <si>
    <t>Antimicrobial photodynamic and photobiomodulation adjuvant therapies for prevention and treatment of medication-related osteonecrosis of the jaws: case series and long-term follow-up.</t>
  </si>
  <si>
    <t>🧑 Human
📄 Case series
👥 35 patients (18 prevention, 17 treatment)</t>
  </si>
  <si>
    <t>660
(PDT)
+
808
(PBM)</t>
  </si>
  <si>
    <t>"Eighteen patients underwent preventive protocol, and none presented signs of MRONJ after a follow-up of at least 6 months. 
Seventeen patients presented with MRONJ underwent aPDT protocol and sixteen of them showed total regression of lesions."
"aPDT and PBM therapy protocols appear to be effective as adjuvant approach not only for preventing MRONJ development due to tooth extraction but for treating MRONJ lesions at early stages with no adverse effects."</t>
  </si>
  <si>
    <t>Javelot</t>
  </si>
  <si>
    <t>Rituximab as a trigger factor of medication-related osteonecrosis of the jaw. A case report.</t>
  </si>
  <si>
    <t>🧑 Human
📄 Case report
⌛ 2-year treatment -&gt; 5-year follow-up</t>
  </si>
  <si>
    <t>11</t>
  </si>
  <si>
    <t>2/wk for first month, 
then every two weeks for 6 months, 
then monthly until healing</t>
  </si>
  <si>
    <t>"A conservative approach was decided with antiseptic mouth washes, low-level laser treatment (LLLT) and systemic therapy with teriparatide. Complete mucosal coverage was obtained after more two years of follow-up. We suggest that rituximab as immunosuppressant might be a cause or a decompensating factor of MRONJ. Nonsurgical periodontal treatment with LLLT and teriparatide are candidates for the treatment of MRONJ."</t>
  </si>
  <si>
    <t>Device: "Nd-YAP laser (Lokki, Lobel Medical SAS, Les Roches de Condrieu, France"</t>
  </si>
  <si>
    <t>Brazil
(Florianopolis)</t>
  </si>
  <si>
    <t>Osteoradionecrosis of the jaws: case series treated with adjuvant low-level laser therapy and antimicrobial photodynamic therapy.</t>
  </si>
  <si>
    <t>PDT</t>
  </si>
  <si>
    <t>660
+
808</t>
  </si>
  <si>
    <t>"100% of the sample presented clinical improvement, and 80% presented complete covering of the bone exposure by intact oral mucosa."</t>
  </si>
  <si>
    <t>Statkievicz</t>
  </si>
  <si>
    <t>Photomodulation multiple sessions as a promising preventive therapy for medication-related osteonecrosis of the jaws after tooth extraction in rats.</t>
  </si>
  <si>
    <t>74.2</t>
  </si>
  <si>
    <t>"ZOL-PBM showed significant improvement in some parameters compared to ZOL, such as positive repair tissue, higher NFBT, greater amount of mature collagen fibers, besides TNFα and IL-1β immunoreactivity decrease (...) Based on parameters employed in the present study, PBM in multiple sessions can improve the alveolar repair process, constituting a promising preventive therapy to avoid the onset of post-extraction MRONJ."</t>
  </si>
  <si>
    <t>Momesso</t>
  </si>
  <si>
    <t>Successful Use of Lower-Level Laser Therapy in the Treatment of Medication-Related Osteonecrosis of the Jaw.</t>
  </si>
  <si>
    <t>0.3-
0.5</t>
  </si>
  <si>
    <t>"Six months after the treatment with LLLT a complete healing of the affected area was observed and 12 months after treatment the patient was rehabilitated with fixed dental prosthesis and showed excellent tissue healing of the necrosis areas. It was concluded that the use of LLLT showed to be a good option in the treatment of MRONJ."</t>
  </si>
  <si>
    <t>Device: "InGaAlP laser was used (Photon lase, DMC (...)"</t>
  </si>
  <si>
    <t>Walter</t>
  </si>
  <si>
    <t>Biomed Rep</t>
  </si>
  <si>
    <t>Effects of a low-level diode laser on oral keratinocytes, oral fibroblasts, endothelial cells and osteoblasts incubated with bisphosphonates: An in vitro study.</t>
  </si>
  <si>
    <t>"Pure irradiation had a positive effect on cell viability, whereas bisphosphonate treatment had a negative impact. Viability was significantly increased in cells treated with bisphosphonates and sequel irradiation. There was no effect when the bisphosphonate medium was irradiated. The revealed effect of laser stimulation on cell viability is not due to an inactivation of the bisphosphonates. These results may support the idea of low-level laser therapy as a supportive therapy in patients receiving bisphosphonates to prevent and treat bisphosphonate-associated osteonecrosis of the jaw."
Comment: Parameters were poorly reported.</t>
  </si>
  <si>
    <t>Altay</t>
  </si>
  <si>
    <t>Low-level laser therapy supported surgical treatment of bisphosphonate related osteonecrosis of jaws: a retrospective analysis of 11 cases.</t>
  </si>
  <si>
    <t>🧑 Human
📄 Retrospective study
👥 11 patients
⌛ 6-25 month follow-up</t>
  </si>
  <si>
    <t>"Elimination of previously recorded symptoms and a stable mucosal closure was achieved in all patients. Primary healing was achieved in seven patients and secondary healing course was observed in four patients. Permanence of obtained positive outcomes was noted in follow-up periods."
"Treatment of advanced BRONJ lesions with a combination of antibiotic therapy, surgical removal of the lesion, and consecutive low-level diode laser applications provided favorable results in all patients. In consideration of our findings, it can be assumed that LLLT may serve as a safe and effective adjunct to medical-surgical treatment of BRONJ lesions."</t>
  </si>
  <si>
    <t>Device: "GaAlAs diode laser device (Fotona XD-2, Ljubljana, Slovenia)"</t>
  </si>
  <si>
    <t>Low-level laser therapy for osteonecrotic lesions: effects on osteoblasts treated with zoledronic acid.</t>
  </si>
  <si>
    <t>0.5
1.5
3.0
5.0
7.0</t>
  </si>
  <si>
    <t>"LLLT at 0.5 J/cm(2) increased cell viability of cultured osteoblasts. ALP activity and gene expression, in addition to mineral nodule formation and Col-I gene expression, were not increased by LLLT. LLLT applied to ZA-treated cells increased Col-I expression at 0.5, 1.5, and 3 J/cm(2) but did not improve any other cell activity assessed."
Comment: It appears that the effect was very limited.</t>
  </si>
  <si>
    <t>Effects of low-level laser therapy on the proliferation and apoptosis of gingival fibroblasts treated with zoledronic acid.</t>
  </si>
  <si>
    <t>Fibroblasts
Dose response</t>
  </si>
  <si>
    <t>0.5
3.0</t>
  </si>
  <si>
    <t>"LLLT increased cell proliferation compared with non-irradiated cells"
"[A]poptosis was no different in ZA-treated cells compared to those that were ZA-treated and also irradiated."</t>
  </si>
  <si>
    <t>Association of laser phototherapy with PRP improves healing of bisphosphonate-related osteonecrosis of the jaws in cancer patients: a preliminary study.</t>
  </si>
  <si>
    <t>🧑 Human
📄 Retrospective study
👥 22 patients
⌛ 6-month follow-up</t>
  </si>
  <si>
    <t>0.24
(/p ?)</t>
  </si>
  <si>
    <t>6
(/p ?)</t>
  </si>
  <si>
    <t>"These results suggest that the association of pharmacological therapy and surgical therapy with PRP plus LPT significantly improves BRONJ healing in oncologic patients. Although prospective studies with larger sample sizes are still needed, this preliminary study may be used to inform a better-designed future study."</t>
  </si>
  <si>
    <t>Vescovi</t>
  </si>
  <si>
    <t>Early surgical laser-assisted management of bisphosphonate-related osteonecrosis of the jaws (BRONJ): a retrospective analysis of 101 treated sites with long-term follow-up.</t>
  </si>
  <si>
    <t>"Clinical improvement was achieved in 3 out of 12 (25%) BRONJ sites in G1. Sites if G2 with an improvement were 18 out of 27 (66%). (...) For sites in G4, a clinical improvement was recorded in 40 out of 45 cases (89%)."
G1 = medical therapy
G2 = LLLT
G3 = medical + surgical + LLLT</t>
  </si>
  <si>
    <t>da Guarda</t>
  </si>
  <si>
    <t>Laser GaAlAs (λ860 nm) photobiomodulation for the treatment of bisphosphonate-induced osteonecrosis of the jaw.</t>
  </si>
  <si>
    <t>🧑 Human
📄 Case report
⌛ 10-day treatment / 12-month follow-up</t>
  </si>
  <si>
    <t>"Reduction in painful symptoms was reported after the second irradiation session, and tissue healing was complete at the end of the third week following oral curettage. The patient was followed up for 12 months and exhibited good oral health and quality of life."</t>
  </si>
  <si>
    <t>Observation of pain control in patients with bisphosphonate-induced osteonecrosis using low level laser therapy: preliminary results.</t>
  </si>
  <si>
    <t>🧑 Human
📄 Single-arm study
👥 12 participants
⌛ 2-week treatment / 6-month follow-up</t>
  </si>
  <si>
    <t>650
+
904</t>
  </si>
  <si>
    <t>"This pilot study suggests that LLLT may be a valid technique to support the treatment of BRONJ-related pain, even though the low number of cases in this study does not permit any conclusive consideration."</t>
  </si>
  <si>
    <t>Scoletta</t>
  </si>
  <si>
    <t>Effect of low-level laser irradiation on bisphosphonate-induced osteonecrosis of the jaws: preliminary results of a prospective study.</t>
  </si>
  <si>
    <t>🧑 Human
📄 Single-arm study
👥 20 participants
⌛ 20-day treatment / 28-day study</t>
  </si>
  <si>
    <t>d =
0.8
cm
(?)</t>
  </si>
  <si>
    <t>"Four weeks after LLLT, a statistically significant difference was observed for reported pain (p = 0.0001), clinical size (p = 0.0034), edema (p = 0.0005), and presence of pus and fistulas (p = 0.0078 and p = 0.03, respectively)."
"Of course, this needs to be addressed further in larger and randomly controlled studies in different clinical settings."</t>
  </si>
  <si>
    <t>Nd:YAG laser biostimulation in the treatment of bisphosphonate-associated osteonecrosis of the jaw: clinical experience in 28 cases.</t>
  </si>
  <si>
    <t xml:space="preserve">🧑 Human
📄 Case series, controlled
👥 28 patients </t>
  </si>
  <si>
    <t>4 groups (medical, med+surg, laser, med+surg+laser)</t>
  </si>
  <si>
    <t>2
/ 8 days</t>
  </si>
  <si>
    <t>"Of the 14 patients who underwent laser biostimulation, nine reported complete clinical success (no pain, symptoms of infection, or exposed bone or draining fistulas), and three improved their symptomatology only, with a follow-up of between 4 and 7 mo."
"While the results reported in this study are not conclusive, they indicate that laser therapy has potential to improve management of BON."</t>
  </si>
  <si>
    <t>Nd:YAG laser biostimulation of bisphosphonate-associated necrosis of the jawbone with and without surgical treatment.</t>
  </si>
  <si>
    <t>🧑 Human
📄 Non-randomized study, controlled
👥 19 participants
⌛ 4-9 month follow-up</t>
  </si>
  <si>
    <t>"We describe our preliminary results with 19 patients affected by bisphosphonate-associated osteonecrosis of the jaws who were treated conventionally with surgical or medical treatment alone or in combination with neodimium: yttrium-aluminium-garnet (Nd:YAG) laser. Clinical variables such as symptoms, presence of pus, and closure of mucosal flaps before and after treatment were evaluated to establish the effect of the laser irradiation. 
We treated nine patients with laser biostimulation with or without surgical treatment, and in this group there were eight clinical successes and one symptomatic improvement, with a clinical finding better than ones without laser biostimulation (ten patients, five clinical successes, and one symptomatic improvement)."</t>
  </si>
  <si>
    <t>Device by Fotona-Solvenia</t>
  </si>
  <si>
    <t>Palatal burn injury</t>
  </si>
  <si>
    <t>Goldemberg</t>
  </si>
  <si>
    <t>SAGE Open Med Case Rep</t>
  </si>
  <si>
    <t>Successful GaAlAs low-level laser therapy of self-inflicted thermal burns of the palate</t>
  </si>
  <si>
    <t>3
/ 3 days (?)</t>
  </si>
  <si>
    <t>"The present case showed two painful thermal burns with great results in terms of speeding up the relieve of symptoms and healing time with soft laser as opposed to the traditional treatment with oral topical corticosteroid."</t>
  </si>
  <si>
    <t>Device: "GaAlAs diode laser (Laser (DUO®—MMOptics Ltda, São Carlos, Brazil)"</t>
  </si>
  <si>
    <t>India
(Aligarh)</t>
  </si>
  <si>
    <t>Healing of self-inflicted thermal injury of palatal mucosa by low-level laser therapy.</t>
  </si>
  <si>
    <t>"The burn wound healed completely after five applications of LLLT."</t>
  </si>
  <si>
    <t>Palatal hemangioma</t>
  </si>
  <si>
    <t>J Vasc Bras</t>
  </si>
  <si>
    <t>Photobiomodulation associated with sclerotherapy for treatment of hemangioma in the hard palate</t>
  </si>
  <si>
    <t>"Vascular changes frequently involve the head and neck region and hemagioma is the most common. A 61-year-old female patient complained of severe pain in the hard palate. A purple lesion was found, measuring 1.5 cm, sensitive to palpation, and with a history of hemorrhage. The patient was fully edentulous and her upper denture compressed the lesion site. Diascopy confirmed the lesion's vascular origin. A diagnostic hypothesis of hemangioma was raised. In the first session, red laser light (660nm) was applied at 4 points around the lesion, with 0.5 J at each point, in order to obtain analgesia and trigger the repair process. The upper denture was also relined. In the second session, 2 mL of 5% monoethanolamine oleate was applied. After 14 days, total regression of the lesion was observed."</t>
  </si>
  <si>
    <t>Palatal ulcer</t>
  </si>
  <si>
    <t>Maya</t>
  </si>
  <si>
    <t>Brazil
(São Luis)</t>
  </si>
  <si>
    <t>The Combination of Antimicrobial Photodynamic Therapy and Photobiomodulation Therapy for the Treatment of Palatal Ulcers: A Case Report.</t>
  </si>
  <si>
    <t>1 PDT + 
4 PBM</t>
  </si>
  <si>
    <t>"The proposal was to use one aPDT session with methylene blue followed by 4 sessions of PBMT with a red laser diode. On the 5th day, reorganized tissue was verified, with the absence of bleeding, swelling, and pain. On the 20th day of follow-up, the area showed no signs of inflammation, healthy tissue without any pathological clinical symptoms, and complete wound healing."</t>
  </si>
  <si>
    <t>Photobiomodulation Delivery Parameters in Dentistry: An Evidence-Based Approach</t>
  </si>
  <si>
    <t>"Using models derived from orthodontics and oncology, evidence-based optimal delivery parameters and techniques are presented. Within the confines of the accepted inclusion criteria, a modified Cochrane risk of bias tool has been applied and the parameters extracted from the included studies were subjected to a meta-analysis. This demonstrated a low risk of bias from the studies included with a multivariate and/or univariate statistical analysis that supports the author's evidence-based determinations.
The adoption of a surface optical spot size of &gt;1 cm2 demonstrated a high degree of success in managing both superficial as well as subsurface pathologies in oral care. Also, the timing of the intervention with conditioning before or at the same time as a potentially traumatic cellular event was found to be a significant signal of outcome success. An extended commentary explores the benefits and disadvantages of scanning techniques."</t>
  </si>
  <si>
    <t>Photobiomodulation Dose Parameters in Dentistry: A Systematic Review and Meta-Analysis</t>
  </si>
  <si>
    <t>Spot size</t>
  </si>
  <si>
    <t>"Our findings show a clear association between the application of a larger surface optical spot size (groups B and C) and an optimal clinical outcome for deeper targets."</t>
  </si>
  <si>
    <t>Pediatric dentistry</t>
  </si>
  <si>
    <t>Photobiomodulation in Pediatric Dentistry: A Current State-of-the-Art.</t>
  </si>
  <si>
    <t>"From a total of over 420 initial hits, 19 studies were deemed suitable for inclusion in this review. Among them, PBM therapy has been used in pediatric dentistry for prevention and treatment of oral mucositis associated with oncotherapy (chemotherapy, radiation, and transplants), for postsurgical oral pain and for pulpotomies. Overall, all studies reported therapeutic benefits, and no adverse effects were reported. 
Conclusions: This review noted that PBM therapy is a safe and effective treatment modality for various clinical applications in pediatric dentistry. Despite potential positive publication bias, there appears to be clear evidence of clinical benefit with this treatment, and we recommend well-designed randomized, placebo-controlled human clinical trial be pursued."</t>
  </si>
  <si>
    <t>Pemphigoid (oral mucous membrane)</t>
  </si>
  <si>
    <t>Low-level laser therapy for oral mucous membrane pemphigoid.</t>
  </si>
  <si>
    <t>🧑 Human
📄 Case series
👥 3 patients
⌛ ~13-month follow-up</t>
  </si>
  <si>
    <t>~ 10 (varying)</t>
  </si>
  <si>
    <t>"A complete resolution in clinical signs was obtained in all patients, with a mean number of laser sessions of 9.66 (± 4.72) (Figs. 1 and 2). After the first three sessions of therapy symptoms improved considerably; moreover, all the patients reported a complete resolution of symptoms at the end of the laser sessions."
"These findings might have a significant clinical impact since LLLT is easy to perform, and does not increase morbidity or presents side effects, especially for elderly people. (...) In conclusion, this study suggests that LLLT would currently appear to be a possible treatment for some elderly patients with oral erosive lesions due to MMP. This modality of treatment also guarantees a notable analgesic effect. However, it would be interesting to know if this assertion would be comparable with a greater number of patients or in a dissimilar clinical setting.""</t>
  </si>
  <si>
    <t>Pemphigus vulgaris</t>
  </si>
  <si>
    <t>Yousef</t>
  </si>
  <si>
    <t>The Effect of Low Level Laser Therapy on Pemphigus Vulgaris Lesions: A Pilot Study.</t>
  </si>
  <si>
    <t>🧑 Human
📄 Single-arm study
👥 10 participants
⌛ 2-week treatment -&gt; 2-month follow-up</t>
  </si>
  <si>
    <t>30
(per diode?)</t>
  </si>
  <si>
    <t>"Application of low level laser simultaneously with conventional therapy could result in sensational healing of ulcers especially in patients who do not respond to conventional treatment or suffering from recalcitrant lesions."
Comment: Parameters were inadequately reported.</t>
  </si>
  <si>
    <t>Device: "The LED-LLLT system used was the Thor LED clusters (109, 69 or 19 diode)"</t>
  </si>
  <si>
    <t>Med Pregl</t>
  </si>
  <si>
    <t>Pemphigus vulgaris and laser therapy: crucial role of dentists.</t>
  </si>
  <si>
    <t>"Low-level laser therapy could result in immediate and significant analgesia and improved wound healing within the observation period and follow-up. Furthermore, a decrease in patients' discomfort as well as the absence of recurrence of the pemphigus vulgaris lesions has been claimed."
"Even though available literature suggests that low-level laser therapy can be efficiently used in treatment of oral pemphigus vulgaris, either independently or as a part of combined therapy approach, these results should be interpreted with caution since there are no solid evidence-based proofs to provide the guidelines for the treatment of pemphigus vulgaris with low-level laser therapy. Therefore, further long-term randomized controlled clinical studies are necessary in order to give any solid recommendations on the use of low-level laser therapy in the treatment of pemphigus vulgaris."</t>
  </si>
  <si>
    <t>Minicucci</t>
  </si>
  <si>
    <t>Low-level laser therapy on the treatment of oral and cutaneous pemphigus vulgaris: case report.</t>
  </si>
  <si>
    <t>🧑 Human
📄 Case series
👥 2 cases
⌛ follow-ups of 7 months (until pt died) and 3 years</t>
  </si>
  <si>
    <t>2
/p</t>
  </si>
  <si>
    <t>7
10
(1
per
day)</t>
  </si>
  <si>
    <t>"We reported two cases of pemphigus vulgaris that received systemic treatment associated with low-level laser therapy for oral and cutaneous lesions. We observed prompt analgesic effect in oral lesions and accelerated healing of oral and cutaneous wounds. Therefore, the present report suggests LLLT as a noninvasive technique that should be considered as an adjuvant therapy in oral and skin disorders in patients with PV."</t>
  </si>
  <si>
    <t>Pericoronitis</t>
  </si>
  <si>
    <t>Effects of low-level laser therapy as an adjunct to standard therapy in acute pericoronitis, and its impact on oral health-related quality of life.</t>
  </si>
  <si>
    <t>🧑 Human
🎲 Randomized trial
👥 80 participants
⌛ single treatment -&gt; 7-day follow-up</t>
  </si>
  <si>
    <t>660
808
1064</t>
  </si>
  <si>
    <t>8
8
8</t>
  </si>
  <si>
    <t>"The results demonstrate that both the 1064-nm Nd:YAG and the 808-nm diode lasers were effective in improving trismus and OHRQoL in acute pericoronitis. Taking into account the limitations of this study, we conclude that the 1064-nm Nd:YAG laser has biostimulatory effects and improves OHRQoL, making it suitable for LLLT."
Note: In this study, 660nm didnt have a beneficial effect.</t>
  </si>
  <si>
    <t>Perio: Necrotizing Ulcerative Gingivitis</t>
  </si>
  <si>
    <t>Özberk</t>
  </si>
  <si>
    <t>Adjunct Use of Low-Level Laser Therapy on the Treatment of Necrotizing Ulcerative Gingivitis: A Case Report.</t>
  </si>
  <si>
    <t>4
/ 8 days</t>
  </si>
  <si>
    <t>"After LLLT, there were no adverse effects. The patient showed spontaneous relief of pain and was carefully followed up until complete healing occurred, with no complications documented."
"Our case report shows that the use of LLLT as an adjunct to conventional NUG treatment reduces the use of analgesic, anti-inflammatory drugs, and accelerates healing, with the purpose of improving the quality of life for these patients. The use of LLLT in adjunct to NUG treatment can be used with the aim of reducing pain and accelerating wound healing. However, multicenter randomized controlled trials are needed even though it is a rare case."</t>
  </si>
  <si>
    <t>Periodontium: Aggressive periodontitis</t>
  </si>
  <si>
    <t>Mokeem S</t>
  </si>
  <si>
    <t>Efficacy of adjunctive low-level laser therapy in the treatment of aggressive periodontitis: A systematic review.</t>
  </si>
  <si>
    <t>"Four clinical studies were included. Three studies showed significant improvement in periodontal outcomes among LLLT group compared to SRP alone, whereas only one study showed comparable periodontal outcomes between the adjunctive LLLT and SRP groups at follow up. 
The overall mean difference for clinical attachment level gain (weighted mean difference [WMD] = -1.69, 95% confidence interval [CI] = -3.46 to 0.07, P &lt; 0.061) was not significant. However, significant difference for probing depth reduction (WMD = -0.95, 95% CI = -1.66 to 0.23, P = 0.009) was noticed between groups at follow up. 
Whether LLLT as an adjunct to SRP is more effective than SRP alone in the treatment of AgP remains debatable. Further randomized, clinical trials are required with long follow-up periods and standard laser parameters to reach a strong conclusion."
Comment: Level of evidence (/risk of bias) wasn't evaluated in this systematic review.</t>
  </si>
  <si>
    <t>Kamma</t>
  </si>
  <si>
    <t>Greece
(Piraeus)</t>
  </si>
  <si>
    <t>The effect of diode laser (980 nm) treatment on aggressive periodontitis: evaluation of microbial and clinical parameters.</t>
  </si>
  <si>
    <t>🧑 Human
🎲 Randomized trial
👥 30 participants (quadrants randomized)
⌛ single treatment -&gt; 6-month follow-up</t>
  </si>
  <si>
    <t>Groups: SRP, laser, both, control</t>
  </si>
  <si>
    <t>"Within the limits of this study, diode laser-assisted treatment with SRP showed a superior effect over SRP or LAS alone for certain microbial and clinical parameters in patients with aggressive periodontitis over the 6-mo monitoring period."</t>
  </si>
  <si>
    <t>Periodontium: Biomarkers</t>
  </si>
  <si>
    <t>Mastrangelo</t>
  </si>
  <si>
    <t>Etiological periodontal treatment with and without low-level laser therapy on IL-1β level in gingival crevicular fluid: an in vivo multicentric pilot study.</t>
  </si>
  <si>
    <t>🧑 Human
🎲 Randomized trial
🗺 Multicenter
👥 30 participants
⌛ single treatment -&gt; 1 month follow-up</t>
  </si>
  <si>
    <t>"After 10 days in all samples no PPD improvement was observed in the BOP rate but the IL-1 β level was statistically significantly improved (p&lt;0.005) in group 2 compared to group 1."
Comment: I don't understand the citation above, "no PPD improvemend was observed in the BOP rate" &lt;-- ???</t>
  </si>
  <si>
    <t>Kellesarian</t>
  </si>
  <si>
    <t>Effect of laser-assisted scaling and root planing on the expression of pro-inflammatory cytokines in the gingival crevicular fluid of patients with chronic periodontitis: A systematic review.</t>
  </si>
  <si>
    <t>"The role of laser-assisted SRP on the expression of pro-inflammatory cytokines in the GCF of patients with CP remains unclear."</t>
  </si>
  <si>
    <t>Effect of laser on TNF-alpha expression in inflamed human gingival tissue.</t>
  </si>
  <si>
    <r>
      <rPr>
        <sz val="7.0"/>
      </rPr>
      <t xml:space="preserve">🧑 Human
🎲 Randomized trial
👥 80 participants (60 randomized + 20 healthy ctrls)
⌛ (?)
</t>
    </r>
    <r>
      <rPr>
        <i/>
        <sz val="7.0"/>
      </rPr>
      <t>Secondary publication of Angelov 2009</t>
    </r>
  </si>
  <si>
    <t>1.875</t>
  </si>
  <si>
    <t>5
10
consecutive days</t>
  </si>
  <si>
    <t>"The results of this study show suppression of TNF-alpha in gingival tissue after low-level laser treatment as adjunct to SRP."</t>
  </si>
  <si>
    <t>Device: "low-energy-level diode laser (630–670 nm, Skorpion D-4057A, Optika Laser, Bulgaria)"</t>
  </si>
  <si>
    <t>Periodontium: Chronic periodontitis</t>
  </si>
  <si>
    <t>Ciurescu</t>
  </si>
  <si>
    <t>Romania
(Brasov)</t>
  </si>
  <si>
    <t>Laser Therapy Effects on Periodontal Status: A Randomized Study Using Gaussian Network Analysis and Structural Equation Modeling Approach</t>
  </si>
  <si>
    <t>🧑 Human
🎲 Randomized trial
👥 40 participants
⌛ 4 years</t>
  </si>
  <si>
    <t>every 6 months</t>
  </si>
  <si>
    <t>"Scaling, root planing, and chlorhexidine 1% were conducted for the control group, and scaling, root planing and erbium, chromium:yttrium-scandium-gallium-garnet (Er,CR:YSGG) laser therapy were conducted for the laser group."
"The main results highlight that the addition of laser treatment to scaling and root planing led to notable clinical improvements, decreasing the PPD values, reducing the BOP scores, and increasing the CAL."</t>
  </si>
  <si>
    <t>Akansel</t>
  </si>
  <si>
    <t>Turk J Med Sci</t>
  </si>
  <si>
    <t>Adjunctive use of laser biostimulation with nonsurgical periodontal therapy: a split-mouth, randomized, case-control study in diabetic and nondiabetic periodontitis patients</t>
  </si>
  <si>
    <t>🧑 Human
🎲 Randomized trial, split-mouth
👥 30 participants
⌛ 72-day study (PBM during days 30-65)</t>
  </si>
  <si>
    <t>"These results revealed the short-term impacts of LBT on periodontal healing, which return to ineffectiveness with repeated irradiation. Therefore, it may be speculated that LBT via the protocol herein may have a short-term antiinflammatory contribution to NSPT, only in impaired healing conditions such as DM."</t>
  </si>
  <si>
    <t>Pamuk</t>
  </si>
  <si>
    <t>Impact of low-level laser therapy as an adjunct to non-surgical periodontal treatment on the levels of tissue plasminogen activator and plasminogen activator inhibitor 1 in Stage 3-4, Grade C periodontitis patients: a split-mouth, randomized control study</t>
  </si>
  <si>
    <t>🧑 Human
🎲 Randomized trial, split-mouth
👥 45 participants
⌛ 1-week treatment -&gt; 1-month follow-up</t>
  </si>
  <si>
    <t>🌀 spin warning</t>
  </si>
  <si>
    <t>3.76</t>
  </si>
  <si>
    <t>1.76 cm2 spot size</t>
  </si>
  <si>
    <t>"Clinical parameters, total GCF tPA (tPAt) and PAI-1 (PAI-1t) levels significantly reduced in LLLT and Sham groups (&lt; 0.001). GCF tPAt levels in LLLT were significantly lower (&lt; 0.05) than Sham on Day 7. GCF tPAt levels in periodontitis groups were significantly higher than the Control at baseline, on Days 7 and 14 (&lt; 0.01). By Day 30, both groups decreased to control levels (&gt; 0.05). GCF PAI-1t levels were significantly lower in LLLT than the Sham on day 30 (&lt; 0.01), comparable to healthy controls (&gt; 0.05)."
Comment: Improvement in clinical parameters appeared to be modestly better in sham group.</t>
  </si>
  <si>
    <t>Device: "Epic Biolase, Irvine, CA, USA"</t>
  </si>
  <si>
    <t>Freire</t>
  </si>
  <si>
    <t>Effect of photobiomodulation adjunct to periodontal therapy on individuals with type 2 diabetes mellitus regarding periodontal clinical parameters: a systematic review and meta-analysis</t>
  </si>
  <si>
    <t>"Three hundred forty-one studies were identified, of which eight studies were included."
"The meta-analysis demonstrated that photobiomodulation adjunctive to periodontal therapy in individuals with diabetes resulted in a greater reduction in probing depth and greater attachment gain in comparison to periodontal treatment alone (p &lt; 0.05). The included studies exhibited a low risk of bias."</t>
  </si>
  <si>
    <t>Pulivarthi</t>
  </si>
  <si>
    <t>India
(Nellore)</t>
  </si>
  <si>
    <t>Salivary tumor necrosis factor-alpha levels in periodontitis associated with diabetes mellitus after low level laser therapy as an adjunct to scaling and root planning: A randomized clinical trial</t>
  </si>
  <si>
    <t>🧑 Human
🎲 Randomized trial
👥 64 participants
⌛ single treatment / 8-week follow-up</t>
  </si>
  <si>
    <t>15
(per
site
including
ling+
bucc+
approx)</t>
  </si>
  <si>
    <t>1
(one
week
after
SRP)</t>
  </si>
  <si>
    <t>"Intergroup comparison of PD and CAL at 8 weeks after SRP adjunct to LLLT showed no significant difference. The results are in accordance with study conducted by Calderín et al.[27] This may be due to the efficacy of LLLT in periodontal disease is still controversial."</t>
  </si>
  <si>
    <t>China (?)</t>
  </si>
  <si>
    <t>Effectiveness of Er:YAG Laser Combined with Photobiomodulation on Periodontitis Based on 3-month Observation</t>
  </si>
  <si>
    <t>🧑 Human
📄 Non-randomized study (?), controlled
👥 50 participants
⌛ single treatment -&gt; 3-month follow-up</t>
  </si>
  <si>
    <t>???
Nd:YAG
2940
Er:YAG</t>
  </si>
  <si>
    <t>"A total of 50 patients were included, whose teeth were divided into 4 quadrants: 1. SRP+Er:YAG laser irradiation+photobiomodulation treatment; 2. SRP+Er:YAG laser irradiation treatment; 3. SRP+photobiomodulation treatment; 4. SRP treatment only."
"Of the treatments tested here, SRP combined with Er:YAG laser irradiation and photobiomodulation had the best short-term outcome for severe periodontitis."</t>
  </si>
  <si>
    <t>Kamatham</t>
  </si>
  <si>
    <t>Comparison of salivary calprotectin levels in periodontitis associated with diabetes mellitus after low-level laser therapy as an adjunct to scaling and root planing: A randomized clinical trial</t>
  </si>
  <si>
    <t>🧑 Human
🎲 Randomized trial
👥 64 participants
⌛ 8-week study</t>
  </si>
  <si>
    <t>"All parameters showed a significant difference within the groups from baseline to 8 weeks. Intergroup comparison of PI, BOP, and salivary calprotectin showed a significant difference (P &lt; 0.05)."
Comment: Parameters very insufficiently reported. This may not even be LLLT/PBM due to high intensity of light.</t>
  </si>
  <si>
    <t>Management of Periodontal Disease with Adjunctive Therapy with Ozone and Photobiomodulation (PBM): A Randomized Clinical Trial</t>
  </si>
  <si>
    <t>🧑 Human
⚔ Comparison study, split-mouth
👥 30 participants, 240 pathological sites
⌛ 6 months</t>
  </si>
  <si>
    <t>PBM vs ozonized water</t>
  </si>
  <si>
    <t>spot
diameter
200 nm
(????)</t>
  </si>
  <si>
    <t>60
per
site</t>
  </si>
  <si>
    <t>monthly
for 6 months</t>
  </si>
  <si>
    <t>"Both PI and BoP generally decreased from baseline to T6 in both groups; a significant difference was found between T0 and T1 among the groups (p &lt; 0.05), with a progressively higher reduction in the PBM group among the time frames of the study, despite intergroup comparisons not being significant (p &gt; 0.05).
Both ozone and PBM appear to be effective adjuvant treatments to SRP, obtaining a slightly better outcome for the latter in the long term, with significant differences at T5 and T6 for PPD."</t>
  </si>
  <si>
    <t>Peikert</t>
  </si>
  <si>
    <t>Germany
(Freiburg)</t>
  </si>
  <si>
    <t>Antibiotics (Basel)</t>
  </si>
  <si>
    <t>Adjuvant Transgingival Therapy with Visible Light Plus Water-Filtered Infrared-A (VIS + wIRA) in Periodontal Therapy-A Randomized, Controlled, Stratified, Double-Blinded Clinical Trial</t>
  </si>
  <si>
    <t>🧑 Human
🎲 Randomized trial, double-blind
👥 40 participants
⌛ 2-week treatment -&gt; 6-month follow-up</t>
  </si>
  <si>
    <t>"In the treatment of patients with periodontitis, VIS + wIRA did not show an additional effect on the clinical outcome after 3 and 6 months. Patients described less pain on the irradiated quadrant after treatment."</t>
  </si>
  <si>
    <t>da Silva Júnior</t>
  </si>
  <si>
    <t>Efficacy of ILIB on periodontal clinical parameters and glycemic control in patients with periodontitis and type II diabetes-randomized clinical trial</t>
  </si>
  <si>
    <t>🧑 Human
🎲 Randomized trial
👥 21 participants
⌛ 20-day treatment / 4-month study</t>
  </si>
  <si>
    <t>6.428</t>
  </si>
  <si>
    <t>0.028
cm
tip
diameter</t>
  </si>
  <si>
    <t>"The Modified ILIB did not improve the periodontal clinical parameters and glycemic control in patients with type II diabetes."</t>
  </si>
  <si>
    <t>Efficacy of laser monotherapy or non-surgical mechanical instrumentation in the management of untreated periodontitis patients. A systematic review and meta-analysis</t>
  </si>
  <si>
    <t>Calculus removal with laser (not PBM)</t>
  </si>
  <si>
    <t>"In untreated periodontitis patients, laser monotherapy does not yield superior clinical benefits compared with non-surgical mechanical instrumentation alone."</t>
  </si>
  <si>
    <t>LASER in periodontal treatment: is it an effective treatment or science fiction?</t>
  </si>
  <si>
    <t>"Studies have shown controversial results of the use of lasers in periodontics, and this fact may be due to the lack of standard parameters of irradiation in each clinical application."</t>
  </si>
  <si>
    <t>Özdemir</t>
  </si>
  <si>
    <t>Turkey
(Eskişehir)</t>
  </si>
  <si>
    <t>Photobiomodulation Therapy by 820 nm Diode Laser on Nonsurgical Periodontal Treatment of Smoker and Nonsmoker Patients: A Single-Blind Parallel Randomized Clinical Trial</t>
  </si>
  <si>
    <t>🧑 Human
🎲 Randomized trial, sham-controlled
👥 60 participants
⌛ 4-week treatment / 6-week study</t>
  </si>
  <si>
    <t>0.25
/site</t>
  </si>
  <si>
    <t>5
/site</t>
  </si>
  <si>
    <t>"PBMT + SRP groups showed a statistically significant decrease in PPD and CAL, not in GI and PI compared with SRP alone. There were no statistically significant differences between smokers and nonsmokers in clinical data at six weeks after treatment."
"Adjunct use of 820 nm diode laser on SRP may improve the clinical parameters in smoker or nonsmoker patient with periodontitis."</t>
  </si>
  <si>
    <t>Patient-reported outcomes of laser-assisted pain control following non-surgical and surgical periodontal therapy: A systematic review and meta-analysis</t>
  </si>
  <si>
    <t>Nonsurgical &amp; surgical periodontal treatment</t>
  </si>
  <si>
    <t>"Meta-analysis showed that HLLT using erbium lasers significantly reduced the patient-reported pain immediately after treatment (two RCTs, p &lt; 0.0001), while PBMT using diode lasers significantly reduced pain 2-7 days after treatment (two RCTs, p &lt; 0.0001 to p = 0.03)."
"The presented systematic review and meta-analysis suggest that the alternative use of HLLT using erbium lasers to conventional instrumentation can significantly suppress postoperative pain and that intraoperative or postoperative PBMT using diode lasers combined with periodontal surgery can significantly reduce postoperative pain. However, the evidence is still insufficient and more well-designed RCTs are required."</t>
  </si>
  <si>
    <t>Al-Rabiah</t>
  </si>
  <si>
    <t>Efficacy of Scaling and Root Planing with Photobiomodulation for Treating Periodontitis in Gutka Chewers: A Randomized Controlled Trial</t>
  </si>
  <si>
    <t>🧑 Human
🎲 Randomized trial
👥 64 participants
⌛ single treatment -&gt; 6-month study</t>
  </si>
  <si>
    <t>1.76
cm2</t>
  </si>
  <si>
    <t>20
/pocket</t>
  </si>
  <si>
    <t>"In the control group, P-I (p &lt; 0.013), BUP (p &lt; 0.001), and P-D (p &lt; 0.012) were high at baseline compared with 3 months follow-up. P-I, BUP, and P-D were higher in the test group, at baseline in comparison with the 3-month (p &lt; 0.001) and 6-month (p &lt; 0.01) follow-up. 
At 3 and 6 months, scores of P-I, BUP, and P-D were high in the control compared with the test group. No difference in CAL, and mesial and distal MBL was found among patients of both groups at 3 and 6 months."
"Among gutka chewers, SRP with PBMT is more efficient than SRP alone in the management of periodontitis."</t>
  </si>
  <si>
    <t>Coluzzi</t>
  </si>
  <si>
    <t>Do Lasers Have an Adjunctive Role in Initial Non-Surgical Periodontal Therapy? A Systematic Review</t>
  </si>
  <si>
    <t>"This systematic review found that 70% of the included studies reported significantly better outcomes in certain clinical parameters, but no improvement in others. The remaining 30% of the manuscripts reported no significant difference in any of the measurements. With consideration to correct parametry, lasers have an adjunctive role in initial non-surgical periodontal therapy."</t>
  </si>
  <si>
    <t>Dalvi</t>
  </si>
  <si>
    <t>Effectiveness of Photobiomodulation as an Adjunct to Non-surgical Periodontal Therapy in the Management of Periodontitis- A Systematic Review of in vivo Human Studies</t>
  </si>
  <si>
    <t>"Seventeen papers that met the eligibility criteria were included in this review and subjected to a qualitative assessment.
Current evidence lacks adequate information regarding the photobiomodulation (PBM) dosimetry, which is fundamental in establishing a standardized and replicable protocol for future researches. Furthermore, substantial discrepancies in the study methodology and a high risk of bias, arising from the majority of the included papers, abet to the inferior quality of these studies."</t>
  </si>
  <si>
    <t>Kocak</t>
  </si>
  <si>
    <t>Effect of diode laser application as an adjunct to nonsurgical periodontal therapy on the reduction of red complex microorganisms in type 2 diabetics with chronic periodontitis.</t>
  </si>
  <si>
    <t>🧑 Human
🎲 Randomized trial
👥 60 participants
⌛ single treatment -&gt; 3-month follow-up</t>
  </si>
  <si>
    <t>1.061</t>
  </si>
  <si>
    <t>15
/tooth</t>
  </si>
  <si>
    <t>0.0007
cm2</t>
  </si>
  <si>
    <t>20
/tooth</t>
  </si>
  <si>
    <t>"In the previous part of this present study investigating the effect of DL in conjunction with SRP on clinical and biochemical parameters, we observed that the SRP + DL group showed better improvements in probing depth (PD) and clinical attachment level (CAL) parameters and HbA1c levels compared with the only SRP group in DM2 patients with CP [37].
The aim of this present study is to compare the effects of SRP + DL with SRP alone on the levels of P. gingivalis, T. forsythia, and T. denticola in the subgingival plaque samples of DM2 patients with CP."
"Significant reductions for numbers of all three bacterial species were observed at 1 and 3 months compared with baseline for both treatments (p &lt; 0.001), but no significant differences were found between two groups regarding bacterial reductions at these follow-up time points."</t>
  </si>
  <si>
    <t>Device: "diode laser (Ezlase, Biolase, Irvine, CA, USA)"</t>
  </si>
  <si>
    <t>Gou</t>
  </si>
  <si>
    <t>Adjunctive effects of laser therapy on somatosensory function and vasomotor regulation of periodontal tissues in patients with periodontitis- A randomized controlled clinical trial.</t>
  </si>
  <si>
    <t>🧑 Human
🎲 Randomized trial, split-mouth
👥 24 participants
⌛ single treatment -&gt; 4-week follow-up</t>
  </si>
  <si>
    <t>d = 0,32 mm
fiber tip</t>
  </si>
  <si>
    <t>10
/tooth</t>
  </si>
  <si>
    <t>"Adjunctive use of laser therapy did not provide any significant clinically advantage or additional effects on the recovery of periodontal somatosensory function or gingival microcirculation in the present study."
Comment: Parameters not reported. Wavelength of 1064 nm is assumed based on the information of the laser type (Nd:YAG) and manufacturer (Fotona).</t>
  </si>
  <si>
    <t>Angiero</t>
  </si>
  <si>
    <t>Evaluation of bradykinin, VEGF, and EGF biomarkers in gingival crevicular fluid and comparison of PhotoBioModulation with conventional techniques in periodontitis: a split-mouth randomized clinical trial.</t>
  </si>
  <si>
    <t>🧑 Human
🎲 Randomized trial, split-mouth
👥 20 participants
⌛ 1-week treatment -&gt; 3-month follow-up</t>
  </si>
  <si>
    <t>0.600 mm fiber tip
0.5 cm2 output surface area</t>
  </si>
  <si>
    <t>"The results confirmed that PBM have beneficial effects in the early phases of the healing process playing a role in modulation of BK, EGF, and VEGF in gingival crevicular fluid levels; both groups had significant clinical improvement over control but there was no significant difference between them, only a trend for PBM group."</t>
  </si>
  <si>
    <t>The effect of photobiomodulation therapy on nonsurgical periodontal treatment in patients with type 2 diabetes mellitus: a randomized controlled, single-blind, split-mouth clinical trial.</t>
  </si>
  <si>
    <t>🧑 Human
🎲 Randomized trial, sham-controlled, split-mouth
👥 22 participants
⌛ 1-week treatment -&gt; 6-month follow-up</t>
  </si>
  <si>
    <t>"Comparing the test and control quadrant after treatment, the test quadrant showed significant decrease in PPD at 1 month, 3 months, and 6 months; in GI at 3 months and 6 months; in CAL at month 6; in GCF at 1 week, 1 month, 3 months, and 6 months; and in IL-1β data at 3 months in comparison to the control quadrant."
Comment: The effect was quite modest.</t>
  </si>
  <si>
    <t>Gandhi</t>
  </si>
  <si>
    <t>USA
(Nebraska, NJ)</t>
  </si>
  <si>
    <t>Int J Periodontics Restorative Dent</t>
  </si>
  <si>
    <t>Effectiveness of Adjunctive Use of Low-Level Laser Therapy and Photodynamic Therapy After Scaling and Root Planing in Patients with Chronic Periodontitis.</t>
  </si>
  <si>
    <t>🧑 Human
🎲 Randomized trial, double-blind, split-mouth
👥.30 participants
⌛ single treatment -&gt; 9-month follow-up</t>
  </si>
  <si>
    <t>PBM vs PDT vs ctrl</t>
  </si>
  <si>
    <t>120
/tooth
(w/ pocket at least 5mm)</t>
  </si>
  <si>
    <t>The test groups [group 1: PDT; group 2: LLLT] showed significantly higher reductions in Gingival Index, probing depth, and clinical attachment level as well as reductions in Porphyromonas gingivalis and Aggregatibacter actinomycetemcomitans counts at 1-, 3-, 6-, and 9-month follow-ups when compared with the control group.</t>
  </si>
  <si>
    <t>Device: "GaAIAs diode laser (Picasso, AMD Lasers)"</t>
  </si>
  <si>
    <t>Castro Dos Santos</t>
  </si>
  <si>
    <t>Photobiomodulation for the treatment of periodontal pockets in patients with type 2 diabetes: 1-year results of a randomized clinical trial.</t>
  </si>
  <si>
    <t>🧑 Human
🎲 Randomized trial
👥 19 participants (38 pockets of 5+ mm)
⌛ single treatment -&gt; 12-month follow-up</t>
  </si>
  <si>
    <t xml:space="preserve">20
/
pocket
</t>
  </si>
  <si>
    <t>"After 12 months, no statistically difference was observed for mean PD and mean CAL when control and PBM groups were compared. The frequency of pockets with PD 5-6 mm was significantly lower for the PBM group at 6 months when compared to the control group. Pockets with PD ≥ 7 mm changed significantly between baseline and 3, 6, and 12 months for the PBM group, while for the control group, statistical significance was only observed between baseline and 6 months. 
The PBM protocol used in this study did not provide significant changes for PD and CAL in periodontal pockets when compared to mechanical therapy only. However, PBM was more effective in reducing the percentage of moderate periodontal pockets at 6 months in patients with type 2 DM."</t>
  </si>
  <si>
    <t>"After periodontal debridement, one previously selected periodontal pocket received additional PBM. (...) The application was performed in two points of laser irradiation (one buccal and one lingual) using punctual contact"</t>
  </si>
  <si>
    <t>J Formos Med Assoc</t>
  </si>
  <si>
    <t>Randomized controlled clinical effectiveness of adjunct 660-nm light-emitting diode irradiation during non-surgical periodontal therapy.</t>
  </si>
  <si>
    <t>🧑 Human
🎲 Randomized trial, crossover
👥 19 participants
⌛ 4-6 week phases (2 crossover phases)</t>
  </si>
  <si>
    <t>"In the sites with greatest initial PD and CAL, LED01 and LED02 significantly reduced PD and CAL compared with the control treatment."
"LED light irradiation during or after scaling and root planing assisted in the recovery of periodontium and can be used as an adjunct treatment during NSPT, specifically for sites with severe periodontal breakdown."</t>
  </si>
  <si>
    <t>Device: "a cross-arch appliance equipped with bilateral LED semi-conductors (JETTS Bio-Photon Co., New Taipei, Taiwan)"</t>
  </si>
  <si>
    <t>Use of photobiomodulation induced by polarized polychromatic non-coherent light in the management of adult chronic periodontitis.</t>
  </si>
  <si>
    <t>🧑 Human
🎲 Randomized trial
👥 40 participants
⌛ 3-month study</t>
  </si>
  <si>
    <t>2.4
(/minute ?)</t>
  </si>
  <si>
    <t>3 (???)</t>
  </si>
  <si>
    <t>"Both groups showed a significant reduction of FMBS at T1 and T2 (p less than 0.05), but a higher improvement (p less than 0.05) was recorded in the study group at T1. 
Study group GI was significantly reduced at T2 (p less than 0.05), differently from the control group (p&gt;0.05). 
PPD showed a reduction in both groups with no statistically significant differences (p&gt;0.05) between them. 
Polarized, polychromatic non-coherent light seems to be an effective additional therapy in the management of adult chronic periodontitis, reducing inflammatory clinical indexes."</t>
  </si>
  <si>
    <t>Petrović</t>
  </si>
  <si>
    <t>Int J Dent Hyg</t>
  </si>
  <si>
    <t>Clinical, microbiological and cytomorphometric evaluation of low-level laser therapy as an adjunct to periodontal therapy in patients with chronic periodontitis.</t>
  </si>
  <si>
    <t>🧑 Human
🎲 Randomized trial
👥 60 participants
⌛ 5-day treatment (??) -&gt; 1-month follow-up</t>
  </si>
  <si>
    <t>5 (??)</t>
  </si>
  <si>
    <t>"Evaluation using clinical parameters showed better results in LLLT group. A statistically significant decrease in the prevalence of bacteria after treatment in LLLT group was observed for the following: T. forsythensis and T. denticola (P &lt; .001), P. gingivalis (P &lt; .01), A. actinomycetemcomitans and P. intermedia (P &lt; .05). The values of nuclear area, perimeter and Ferret's diameter were significantly lower in both studied groups after treatment, but statistical significance was higher in LLLT group (P &lt; .001) than in the SRP therapy group (P &lt; .05)."
"Low-level laser therapy as an adjunct to periodontal therapy demonstrates short-term additional bacteriological, cytological and clinical benefits."</t>
  </si>
  <si>
    <t>Device: KaVo MASTER laser, (Kaltenbach &amp; Voigt GmbH Bismarckring 39 D-88400 Biberach/Riß, Germany)</t>
  </si>
  <si>
    <t>The effect of low-level laser therapy as an adjunct to non-surgical periodontal treatment on gingival crevicular fluid levels of transforming growth factor-beta 1, tissue plasminogen activator and plasminogen activator inhibitor 1 in smoking and non-smoking chronic periodontitis patients: A split-mouth, randomized control study.</t>
  </si>
  <si>
    <t>🧑 Human
🎲 Randomized trial, split-mouth
👥 30 participants
⌛ 7-day treatment / 14-day study</t>
  </si>
  <si>
    <t>"No significant differences were observed between the LLLT and sham groups of either the smokers or non-smokers (P&gt;.05)."
Comment: The conclusions say that LLLT could be used as adjunct in periodontitis treatment, while the actual results show that there was no difference between LLLT and placebo (sham) treatment.</t>
  </si>
  <si>
    <t>The effectiveness of low-level laser therapy as an adjunct to non-surgical periodontal treatment: a meta-analysis.</t>
  </si>
  <si>
    <t>"After independent screening of 354 initial records, eight publications (seven RCTs) were included. However, six were rated as 'having a high risk of bias' as a result of major methodological weakness in 'allocation concealment' and 'blinding of key personnel'."
"Meta-analysis showed that LLLT-mediated SRP demonstrated significant short-term benefits over SRP monotherapy in the improvement of the probing pocket depth (p = 0.0009 at 1 mo; p = 0.03 at 2 mo) and the level of interleukin-1β in the gingival crevicular fluid (p = 0.01 at 1 mo). Nevertheless, LLLT failed to show significant additional intermediate-term (3 and 6 mo) effects in terms of clinical parameters and alveolar bone density."
"These findings indicated that LLLT showed only short-term additional benefits after conventional SRP. Its long-term effects remain unclear due to substantial methodological weaknesses and an insufficient number of current studies."</t>
  </si>
  <si>
    <t>Cobb CM</t>
  </si>
  <si>
    <t>USA
(Kansas City, MO)</t>
  </si>
  <si>
    <t>Periodontol 2000</t>
  </si>
  <si>
    <t>Lasers and the treatment of periodontitis: the essence and the noise.</t>
  </si>
  <si>
    <t>"When viewed as a collective body of evidence, it becomes apparent that a majority of the studies are underpowered and exhibit significant heterogeneity in design. Furthermore, the collected studies report a varied choice of parameters, even within the same wavelength of laser. There is little uniformity between studies in the reporting of measured clinical parameters. 
Most studies reported 3- and/or 6-month post-treatment results; however, the range of time intervals includes studies reporting results from 1 week to up to 1-12 months or longer. Lastly, many studies were considered at risk for bias as a result of a lack of examiner masking and/or calibration. 
There is great need for well-designed, highly controlled multicenter clinical trials that are adequately powered in terms of subject enrollment, that use similar protocols in terms of laser parameters and that report measureable outcomes in a uniform manner. Without such studies, the questions surrounding the use of lasers in the treatment of periodontal disease will persist."
"There is a developing body of evidence indicating that low-level-light therapy can be of benefit regarding healing of periodontal tissues, but as yet the evidence is insufficient to allow establishment
of protocols or parameters for routine application in clinical practice."
Comment: This was an extremely comprehensive review, and contains information on all kinds of laser treatments in periodontology, not only LLLT!</t>
  </si>
  <si>
    <t>Abduljabbar</t>
  </si>
  <si>
    <t>Efficacy of scaling and root planning with and without adjunct Nd:YAG laser therapy on clinical periodontal parameters and gingival crevicular fluid interleukin 1-beta and tumor necrosis factor-alpha levels among patients with periodontal disease: A prospective randomized split-mouth clinical study.</t>
  </si>
  <si>
    <t>🧑 Human
🎲 Randomized trial, split-mouth
👥 28 participants
⌛ single session -&gt; 6-month follow-up</t>
  </si>
  <si>
    <t>240-
480
/site</t>
  </si>
  <si>
    <t>"At 3- and 6-month follow-up, SRP + Nd:YAG therapy was more effective in reducing periodontal inflammatory parameters and GCF IL-1β and TNF-α levels compared with SRP alone."</t>
  </si>
  <si>
    <t>Device: "Nd:YAG laser system (Genius Dental, Tureby, Denmark)</t>
  </si>
  <si>
    <t>The effect of low-level diode laser on COX-2 gene expression in chronic periodontitis patients.</t>
  </si>
  <si>
    <t>🧑 Human
🎲 Randomized trial
👥 60 participants
⌛ 5-10 days</t>
  </si>
  <si>
    <t>"The results of this study show suppression of COX-2 in gingival tissue after low-level laser treatment as adjunct to SRP."
Comment: The paper doesn't tell when the outcome was measured?</t>
  </si>
  <si>
    <t>Demirturk-Gocgun</t>
  </si>
  <si>
    <t>Role of Low-Level Laser Therapy as an Adjunct to Initial Periodontal Treatment in Type 2 Diabetic Patients: A Split-Mouth, Randomized, Controlled Clinical Trial.</t>
  </si>
  <si>
    <t>🧑 Human
🎲 Randomized trial, split-mouth
👥 22 participants
⌛1-week treatment -&gt; 3-month follow-up</t>
  </si>
  <si>
    <t>Diabetes + chronic periodontitis
🌀 Spin warning</t>
  </si>
  <si>
    <t>1.25
/point
5
/tooth</t>
  </si>
  <si>
    <t>"Test sites showed significant improvement in PI and BOP in deep pockets at the 1-month follow-up period (p &lt; 0.001 and &lt;0.001, respectively), whereas no difference was found between the control and the test sites in other periodontal parameters."
"LLLT during periodontal treatment offered minimal short-term additional benefit in deep pocket healing in patients with type 2 DM."
Comment: No intergroup differences despite positive conclusions?</t>
  </si>
  <si>
    <t>Gündoğar</t>
  </si>
  <si>
    <t>The effect of low-level laser therapy on non-surgical periodontal treatment: a randomized controlled, single-blind, split-mouth clinical trial.</t>
  </si>
  <si>
    <t>🧑 Human
🎲 Randomized trial, sham-controlled, split-mouth
👥 25 participants
⌛ 1-week treatment -&gt; 6-month follow-up</t>
  </si>
  <si>
    <t>7.64</t>
  </si>
  <si>
    <t>0.785
cm2
spot</t>
  </si>
  <si>
    <t>"In the first month, PPD levels were significantly (p &lt; 0.05) lower in the SRP + LLLT group than in the SRP group. At the third and sixth months, CAL, PPD, and GI were significantly (p &lt; 0.05) lower in the SRP + LLLT group than in the SRP group.
Differences in GCF cytokines levels among the group were not statistically significant.
Within the limitations of this study, it is indicated that LLLT as an adjunct to non-surgical periodontal treatment has a positive impact on clinical parameters."</t>
  </si>
  <si>
    <t>Alzoman &amp; Diab</t>
  </si>
  <si>
    <t>Effect of gallium aluminium arsenide diode laser therapy on Porphyromonas gingivalis in chronic periodontitis: a randomized controlled trial.</t>
  </si>
  <si>
    <t>🧑 Human
🎲 Randomized trial
👥 32 participants
⌛ Treatment during first week -&gt; 2-month follow-up</t>
  </si>
  <si>
    <t>~3-4</t>
  </si>
  <si>
    <t>"There were statistically significant improvements in GI, PD, CAL and GBI for the SRP + DL group compared to SRP group but no significant difference in PI between the groups."
"Additionally, the percentage of P. gingivalis-positive sites in the SRP + DL group decreased from 80% (12/15) to 20% (3/15) after laser irradiation (P &lt; 0.05). No significant changes were noted in the SRP group."</t>
  </si>
  <si>
    <t>Device: "GaAlAs diode laser (DioDent II, Photonics Service Group, Lancaster, CA, USA)"</t>
  </si>
  <si>
    <t>Kumaresan</t>
  </si>
  <si>
    <t>Gingival crevicular fluid periostin levels in chronic periodontitis patients following nonsurgical periodontal treatment with low-level laser therapy.</t>
  </si>
  <si>
    <t>🧑 Human
🎲 Randomized trial
👥 60 participants (with periodontitis)
⌛ 6-week treatment / 3-month study</t>
  </si>
  <si>
    <t>20
/surface</t>
  </si>
  <si>
    <t>"Comparison of mean periostin levels between both the treatment groups showed a significant increase in LLLT group than RSD at the 3rd month (P &lt; 0.05)."
"Within the limitations of the present study, LLLT application was found to have additional benefits over RSD with respect to clinical periodontal parameters and GCF periostin levels. Moreover, periostin may be used as a possible biomarker to evaluate the outcome following NSPT."</t>
  </si>
  <si>
    <t>Device: "diode laser (AMD Picasso, 810 nm diode laser, Indianapolis, USA)"</t>
  </si>
  <si>
    <t>Qadri</t>
  </si>
  <si>
    <t>Role of diode lasers (800-980 nm) as adjuncts to scaling and root planing in the treatment of chronic periodontitis: a systematic review.</t>
  </si>
  <si>
    <t>"Ten clinical studies were included. In all studies, patients were systemically healthy, and cigarette smokers were included in two studies. In five studies, SRP plus diode laser application was more effective in the treatment of CP than SRP, and three studies showed no difference. In two studies, there was a moderate reduction in periodontal inflammation using SRP plus diode laser.
The diameter of optic fiber, laser wavelengths, power, pulse repetition rate, and duration of laser exposure ranged between 300 μm and 2 mm, 810-980 nm, 0.8-2.5 W, 10-60 Hz, and 10-100 ms, respectively."</t>
  </si>
  <si>
    <t>Slot</t>
  </si>
  <si>
    <t>The effect of the thermal diode laser (wavelength 808-980 nm) in non-surgical periodontal therapy: a systematic review and meta-analysis.</t>
  </si>
  <si>
    <t>"The MA evaluating PPD, CAL and PS showed no significant effect. The only significance favouring adjunctive use of the DL was observed for the outcome parameters [gingival index] and [bleeding scores]."
"With respect to BS, the results showed a small but significant effect favouring the DL, however, the clinical relevance of this difference remains a question."
"This systematic review questions the adjunctive use of DL with traditional mechanical modalities of periodontal therapy in patients with periodontitis."</t>
  </si>
  <si>
    <t>Porteous &amp; Rowe</t>
  </si>
  <si>
    <t>J Dent Hyg</t>
  </si>
  <si>
    <t>Adjunctive use of the diode laser in non-surgical periodontal therapy: exploring the controversy.</t>
  </si>
  <si>
    <t>"The purpose of this review is to explore the scientific foundation of the controversy surrounding the use of the diode laser as an adjunct to non-surgical periodontal therapy. Further, this paper addresses the weaknesses in study design, the heterogeneity of methodology in the published clinical studies, especially the laser parameters, and how these issues impact the collective clinical and microbial data, and thus conclusions regarding clinical efficacy.
Evaluation of the literature identifies possible mechanisms that could contribute to the varied, often conflicting results among laser studies that are the foundation of the controversy surrounding clinical efficacy. These mechanisms include current paradigms of periodontal biofilm behavior, tissue response to laser therapy being dependent on tissue type and health, and that the successful therapeutic treatment window is specific to the target tissue, biofilm composition, laser wavelength, and laser energy delivered.
Lastly, this paper discusses laser parameters used in the various clinical studies, and how their diversity contributes to the controversy.
Although this review does not establish clinical efficacy, it does reveal the scientific foundation of the controversy and the need for standardized, well designed randomized controlled clinical trials to develop specific guidelines for using the laser as an adjunct to non-surgical periodontal therapy. Using evidence-based laser guidelines would allow dental hygienists to provide more effective non-surgical periodontal care."</t>
  </si>
  <si>
    <t>Effects of adjunctive daily phototherapy on chronic periodontitis: a randomized single-blind controlled trial</t>
  </si>
  <si>
    <t>🧑 Human
🎲 Randomized trial
👥 41 participants
⌛ 4 weeks</t>
  </si>
  <si>
    <t>PBM device design: toothbrush
LED phototherapy
At-home device</t>
  </si>
  <si>
    <t>0.013</t>
  </si>
  <si>
    <t>3/day for a month</t>
  </si>
  <si>
    <t>"At the follow-up assessment, PPD was significantly decreased in the SRP+PT group (P=0.00). Further, PPD and CAL showed significantly greater changes in the SRP+PT group than in the SRP group (PPD, P=0.03; CAL, P=0.04). 
P. gingivalis and T. forsythia levels decreased in this group, but no significant intergroup differences were noted."</t>
  </si>
  <si>
    <t>Device: iBrush Inc., San Jose, CA, USA</t>
  </si>
  <si>
    <t>Dukić</t>
  </si>
  <si>
    <t>Clinical effectiveness of diode laser therapy as an adjunct to non-surgical periodontal treatment: a randomized clinical study.</t>
  </si>
  <si>
    <t>🧑 Human
🎲 Randomized trial, split-mouth
👥 35 participants
⌛ 1-week treatment / 18-week study</t>
  </si>
  <si>
    <t>Periodontitis</t>
  </si>
  <si>
    <t>LLLT provided minimal additional benefits to normal periodontal treatment.</t>
  </si>
  <si>
    <t>Calderin</t>
  </si>
  <si>
    <t>Short-term clinical and osteoimmunological effects of scaling and root planing complemented by simple or repeated laser phototherapy in chronic periodontitis.</t>
  </si>
  <si>
    <t>🧑 Human
🎲 Randomized trial
👥 27 participants
⌛ 1-11 day treatment / 8-week study</t>
  </si>
  <si>
    <t>1 / 1 day
or
5 / 11 days</t>
  </si>
  <si>
    <t>Multiple sessions of LLLT reduced pro-inflammatory mediators and RANKL/OPG ratio.</t>
  </si>
  <si>
    <t>"was applied into the sulcus"</t>
  </si>
  <si>
    <t>Makhlouf</t>
  </si>
  <si>
    <t>Effect of adjunctive low level laser therapy (LLLT) on nonsurgical treatment of chronic periodontitis.</t>
  </si>
  <si>
    <t>🧑 Human
🎲 Randomized trial, split-mouth, double-blind
👥 16 participants
⌛ 5-week treatment / 12-month study</t>
  </si>
  <si>
    <t>"SRP combined with LLLT improved radiographic bone density and short-term PPD reduction in patients with chronic periodontitis, but did not significantly affect either the gingival crevicular fluid of IL-1β or the gingival or plaque index."</t>
  </si>
  <si>
    <t>Device: "Petrolaser apparatus model SL202 "</t>
  </si>
  <si>
    <t>[Low power laser efficacy in the therapy of inflamed gingive in diabetics with parodontopathy].
[Article in Serbian]</t>
  </si>
  <si>
    <t>"After all investigated periods, gingival index and nuclei areal were significantly decreased comparing to values before the therapy, at both jaw sides (p &lt; 0.001). After the 1st, 3rd and 5th therapy, the t-test showed a significantly decreased gingival index at the lased side of jaw comparing to non-lased side."
"Low level laser therapy is efficient in gingival inflammation elimination and can be proposed as an adjuvant tool in basic periodontal therapy of diabetic patients."</t>
  </si>
  <si>
    <t>Aykol</t>
  </si>
  <si>
    <t>The effect of low-level laser therapy as an adjunct to non-surgical periodontal treatment.</t>
  </si>
  <si>
    <t>🧑 Human
🎲 Randomized trial
👥 36 participants
⌛ 1-week treatment / 6-month study</t>
  </si>
  <si>
    <t>10
incisor
10
premolar
20
molar</t>
  </si>
  <si>
    <t>"LLLT as an adjunctive therapy to non-surgical periodontal treatment improves periodontal healing."</t>
  </si>
  <si>
    <t>Lui</t>
  </si>
  <si>
    <t>Combined photodynamic and low-level laser therapies as an adjunct to nonsurgical treatment of chronic periodontitis.</t>
  </si>
  <si>
    <t>🧑 Human
🎲 Randomized trial, split-mouth
👥 24 participants
⌛ 5-day treatment -&gt; 3-month follow-up</t>
  </si>
  <si>
    <t>LLLT + PDT (with methylene blue)</t>
  </si>
  <si>
    <t>4 (max)</t>
  </si>
  <si>
    <t>5-10
/tooth</t>
  </si>
  <si>
    <t>2 PBM +
1 PDT</t>
  </si>
  <si>
    <t>"The test teeth achieved greater reductions in the percentage of sites with bleeding on probing and in mean probing depth at 1 mo compared with the control teeth (p &lt; 0.05)."
"No significant differences in periodontal parameters were found between the test and control teeth at 3 mo."
"The present study suggests that a combined course of photodynamic therapy with low-level laser therapy could be a beneficial adjunct to nonsurgical treatment of chronic periodontitis on a short-term basis. Further studies are required to assess the long-term effectiveness of the combination of photodynamic therapy with low-level laser therapy as an adjunct in nonsurgical treatment of periodontitis."
Comment: Even the results at 1 month were very modest.</t>
  </si>
  <si>
    <t>Laser phototherapy in the treatment of periodontal disease. A review.</t>
  </si>
  <si>
    <t>"The current literature suggests that LPT is effective in modulating different periodontal disease aspects in vitro, in animals, and in simple clinical models. Further development of this therapy is now dependent on new clinical trials with more complex study designs."
"The optimal laser parameters and the irradiation protocols are not fully described in the literature. The main factors hindering their precise definition are the lack of standardization in the reporting of laser parameters and the great variety of research methodologies used. However, considering the high number of positive reports currently available in the literature, new in vitro investigations should no longer seek to confirm the effectiveness of LPT, but to determine its precise mechanism and to identify the ideal set of parameters and protocols for different clinical situations.
Although LPT seems to enhance clinical outcomes in periodontology, it is only reasonable to perform it in a decontaminated and calculus-free periodontium. This means that conventional periodontal treatment should not be discarded. LPT must be considered an adjuvant therapy, which may have additional benefit for a previously well-treated periodontal tissue."</t>
  </si>
  <si>
    <t>Pejcic</t>
  </si>
  <si>
    <t>Serbia (Nis)</t>
  </si>
  <si>
    <t>The effects of low level laser irradiation on gingival inflammation.</t>
  </si>
  <si>
    <t>🧑 Human
📄 Non-randomized study, controlled
👥 60 participants
⌛ 10-day treatment -&gt; 6-month follow-up</t>
  </si>
  <si>
    <t>0.100
0.150</t>
  </si>
  <si>
    <t>"A general conclusion can be drawn that low level laser irradiation (semiconductor, 670 nm) can be used as a successful physical adjuvant method of treatment, which, together with traditional periodontal therapy, leads to better and longer-lasting therapeutic results."</t>
  </si>
  <si>
    <t>Angelov</t>
  </si>
  <si>
    <t>USA (CA)</t>
  </si>
  <si>
    <t>Periodontal treatment with a low-level diode laser: clinical findings.</t>
  </si>
  <si>
    <t>🧑 Human
🎲 Randomized trial
👥 60 participants (?)
⌛ (?)</t>
  </si>
  <si>
    <t>"These findings suggest that a low-level diode laser can have a beneficial effect for treating inflammatory chronic advanced periodontitis."</t>
  </si>
  <si>
    <t>Clinical and radiographic investigation of the adjunctive effects of a low-power He-Ne laser in the treatment of moderate to advanced periodontal disease: a pilot study.</t>
  </si>
  <si>
    <t>🧑 Human
🎲 Randomized trial, self-controlled
👥 16 participants
⌛ 3-month treatment / 12-month study</t>
  </si>
  <si>
    <t>8
/ 3 months</t>
  </si>
  <si>
    <t>"Within the limits of this pilot study, the use of the low-power He-Ne laser as an adjunct to non-surgical periodontal therapy in patients with moderate to advanced chronic periodontitis did not seem to provide additional clinical benefit."
Comment: According to the output power and the treatment time, the energy seems to be only 0.12 J. The lack of benefit might be related to the low amount of total energy.</t>
  </si>
  <si>
    <t>Evaluation of the effect of the GaAlAs laser on subgingival scaling and root planing.</t>
  </si>
  <si>
    <t>🧑 Human
🎲 Randomized trial, split-mouth
👥 10 participants
⌛ 3 days</t>
  </si>
  <si>
    <t>780
+
780
+
630</t>
  </si>
  <si>
    <t>70
+
70
+
35</t>
  </si>
  <si>
    <t>35
+
35
+
8.8</t>
  </si>
  <si>
    <t>20
/site
20
/site
10</t>
  </si>
  <si>
    <t>"There was a reduction in gingival inflammation, yet without a statistically significant difference between the study and control sides, both in clinical aspects and evaluation of pain during the procedure."</t>
  </si>
  <si>
    <t>The importance of coherence length in laser phototherapy of gingival inflammation: a pilot study.</t>
  </si>
  <si>
    <t>🧑 Human
🎲 Randomized trial, split-mouth
👥 20 participants
⌛ 6-week treatment -&gt; 1-week follow-up</t>
  </si>
  <si>
    <t>633
650</t>
  </si>
  <si>
    <t>3
3</t>
  </si>
  <si>
    <t>0.54
/point</t>
  </si>
  <si>
    <t>180
/point</t>
  </si>
  <si>
    <t>"At the follow up examination, all clinical parameters had improved significantly in both groups. A more pronounced decrease of clinical inflammation was observed after HeNe treatment."</t>
  </si>
  <si>
    <t>The short-term effects of low-level lasers as adjunct therapy in the treatment of periodontal inflammation.</t>
  </si>
  <si>
    <t>🧑 Human
🎲 Randomized trial, split-mouth
👥 17 participants
⌛ 6-week treatment -&gt; 1-week follow-up</t>
  </si>
  <si>
    <t>635
+
830</t>
  </si>
  <si>
    <t>10
70</t>
  </si>
  <si>
    <t>0.05
0.35</t>
  </si>
  <si>
    <t>0.9
1.75</t>
  </si>
  <si>
    <t>4.5
8.75</t>
  </si>
  <si>
    <t>90
25</t>
  </si>
  <si>
    <t>"The clinical variables i.e. probing pocket depth, plaque and gingival indices were reduced more on the laser side than on the placebo one (p&lt;0.01)."</t>
  </si>
  <si>
    <t>Effect of gallium arsenide diode laser on human periodontal disease: a microbiological and clinical study.</t>
  </si>
  <si>
    <t>🧑 Human
🎲 Randomized trial, split-mouth
👥 10 participants
⌛ 3-week study</t>
  </si>
  <si>
    <t>3/week
for... 
1 week ??</t>
  </si>
  <si>
    <t>"Within the limits of this study, methylene blue/soft laser therapy provided no additional microbiological and clinical benefits over conventional mechanical debridement."</t>
  </si>
  <si>
    <t>Device: "Gallium-Arsenide diode laser (BTL-2000 Prague, Check, Rep., BTL Co., Check Rep.)"</t>
  </si>
  <si>
    <t>Periodontium: Editorials</t>
  </si>
  <si>
    <t>Photobiomodulation, Tissue Engineering, and Periodontal Regeneration in 21st Century: New Trends</t>
  </si>
  <si>
    <t>Periodontium: Gingival hyperplasia</t>
  </si>
  <si>
    <t>Low level laser therapy (LLLT) as adjuvant in the management of drug induced gingival hyperplasia: a case report.</t>
  </si>
  <si>
    <t>650+
904</t>
  </si>
  <si>
    <t>"This case was treated with SRP and antibiotic therapy, but a high level of tissue inflammation persisted. It was therefore treated with LLLT sessions only, by means of a specifically designed for photobiomodulation diode laser, dual wavelength (904/650nm). A good periodontal health was obtained, and this allowed a correct home oral health care, so as to maintain the result that was obtained."</t>
  </si>
  <si>
    <t>Periodontium: Gingival inflammation</t>
  </si>
  <si>
    <t>J Dent Rehabil Appl Sci</t>
  </si>
  <si>
    <t>The effect of Light Emitting Diode electric toothbrush on gingivitis: a randomized controlled trial</t>
  </si>
  <si>
    <t>🧑 Human
🎲 Randomized trial
👥 30 participants</t>
  </si>
  <si>
    <t>"Compare of GI change between experimental and control group with time, both groups showed that reduced GI, but lower GI values detected at 2 weeks and 4 weeks later in experimental group than control group."
Comment: Parameters (even wavelength) not reported.</t>
  </si>
  <si>
    <t>KoreaScience</t>
  </si>
  <si>
    <t>Laser Phototherapy (660 nm) Can Be Beneficial for Reducing Gingival Inflammation in Prosthodontics</t>
  </si>
  <si>
    <t>1
/p
(2p)</t>
  </si>
  <si>
    <t>"The present case report describes the clinical steps involved in an indirect composite resin restoration performed in a 31-year-old patient, in whom low power laser was used for soft tissue biomodulation."</t>
  </si>
  <si>
    <t>Igić</t>
  </si>
  <si>
    <t>[Low-level laser efficiency in the therapy of chronic gingivitis in children].
[Article in Serbian]</t>
  </si>
  <si>
    <t>"In the group I Community Periodontal Index of Treatment Needs (CPITN) was 1.66 before the therapy, and 0.32 after the therapy, and in the group II CPITN was 1.60 before the therapy, and 0.08 after the therapy."
"Chronic gingivitis in children can be successfully cured by the basic treatment. The use of a low-level laser can significantly improve this effect."</t>
  </si>
  <si>
    <t>Rydén</t>
  </si>
  <si>
    <t>Swed Dent J</t>
  </si>
  <si>
    <t>Effect of low level energy laser irradiation on gingival inflammation.</t>
  </si>
  <si>
    <t>🧑 Human
🎲 Randomized trial (probably?), split-mouth
👥 10 participants
⌛ 4-day treatment -&gt; 4-day follow-up</t>
  </si>
  <si>
    <t>"These results suggest that low energy laser irradiation (LLLT) does not influence the inflammatory reaction of the gingiva."</t>
  </si>
  <si>
    <t>Periodontium: Gingival lesions</t>
  </si>
  <si>
    <t>Photobiomodulation of gingival lesions resulting from autoimmune diseases: systematic review and meta-analysis</t>
  </si>
  <si>
    <t>"Seventeen studies were included in this review, of which six were used for the meta-analysis.
Meta-analysis results showed no significant differences between PBM and topical CS in pain reduction at baseline (MD = 0.20, 95% CI = - 0.92, 1.32, p = 0.72) and 60-day follow-up (MD = 0.63, 95% CI = - 3.93, 5.19, p = 0.79); however, VAS showed significant pain reduction when compared before and after PBM at 30-day (MD = - 3.52, 95% CI = - 5.40, - 1.64, p = 0.0002) and 60-day (MD = - 5.04, 95% CI = - 5.86, - 4.22, p &lt; 0.00001) follow-up."
"Conclusion: PBM led to significant reduction of pain and clinical scores of the lesions, not having shown significant differences when compared to topical CS."
"Clinical relevance: PBM has been used in the treatment of autoimmune gingival lesions, but so far there is little strong evidence to support its use."</t>
  </si>
  <si>
    <t>Periodontium: Implant planning</t>
  </si>
  <si>
    <t>Photobiomodulation in Periodontology and Implant Dentistry: Part II.</t>
  </si>
  <si>
    <t>"Based on our search results, an obvious positive effect of low-level light therapy on stimulation of healing of periodontal soft and hard tissues and reduction of inflammation can be seen. 
Future well-designed randomized control studies with the same irradiation settings and systematic reviews evaluating the studies found on the questions mentioned are necessary to reach evidence-based recommendations."</t>
  </si>
  <si>
    <t>Photobiomodulation in Periodontology and Implant Dentistry: Part I.</t>
  </si>
  <si>
    <t>Dental implants</t>
  </si>
  <si>
    <t>"Based on our search results, an obvious positive effect of LLLT on stimulation of healing of periodontal soft and hard tissues and reduction of inflammation can be seen. 
Future well-designed randomized control studies with the same irradiation settings and systematic reviews evaluating the studies found on the questions mentioned are necessary to reach evidence-based recommendations."</t>
  </si>
  <si>
    <t>Periodontium: Other</t>
  </si>
  <si>
    <t>Bone regeneration effect of low level lasers including argon laser</t>
  </si>
  <si>
    <t>458-
515
633+
830</t>
  </si>
  <si>
    <t>"The authors' clinical application of lasers for alveolar bone lesions has confirmed that LLLT by the diode, HeNe and argon ion lasers have a bone regenerative effect."</t>
  </si>
  <si>
    <t>Periodontium: Pain</t>
  </si>
  <si>
    <t>Takas</t>
  </si>
  <si>
    <t>Sweden
(Norrtälje)</t>
  </si>
  <si>
    <t>Pain relief after scaling and rootplaning by monochromatic phototherapy (Biolight).</t>
  </si>
  <si>
    <t>🧑 Human
🎲 Randomized trial, sham-controlled
👥 20 participants
⌛ single treatment -&gt; 24h follow-up</t>
  </si>
  <si>
    <t>"The results showed that, no pain relief could be obtained after monochromatic phototherapy compared to placebo."</t>
  </si>
  <si>
    <t>Periodontium: Papilla defects</t>
  </si>
  <si>
    <t>Mobadder &amp; Nammour</t>
  </si>
  <si>
    <t>Photobiomodulation Therapy in the Management of "Black Triangles" Due to the Absence of the Gingival Interdental Papilla</t>
  </si>
  <si>
    <t>"This case report suggests that PBM if used within our suggested protocol can increase the height of the gingival interdental papilla leading to a more pleasant aesthetic appearance. It is important to note that its effectiveness might be limited to specific conditions. In summary, the presented case report showcased a slight extension of the gingival interdental papilla."</t>
  </si>
  <si>
    <t>Odontology</t>
  </si>
  <si>
    <t>Efficacy of concentrated growth factor with low-level laser for the regeneration of interdental papilla defects</t>
  </si>
  <si>
    <t>🧑 Human
📄 Single-arm trial
👥 10 participants, 67 sites
⌛ 24-week treatment / 12-month study</t>
  </si>
  <si>
    <t>once
every
5 days
for 24 weeks (?)</t>
  </si>
  <si>
    <t>"This study aims to evaluate the efficacy of regenerating interdental papilla by Liquid phase concentrated growth factor (LPCGF) injection with low-level-laser therapy (LLLT)."
"The thick gingiva phenotype sites which were completely restored were well maintained without any relapses for up to 12 months since the first injection. 
Due to its limitation like relatively small sample size, the lack of patient reported outcomes, the inclusion of only female patients, the short follow-up period and inconclusive parameters about LLLT, more randomized controlled clinical trials on the clinical efficacy of LPCGF injection with LLLT to regenerate the interdental papilla defects needs to be undertaken. The results and the deficiencies of this study provide valuable experiences."</t>
  </si>
  <si>
    <t>Periodontium: Papilla regeneration</t>
  </si>
  <si>
    <t>Zanin &amp; Brugnera Junior</t>
  </si>
  <si>
    <t>"In Loco" Gingival Papilla Regeneration with Photobiomodulation: Is Blood a Natural Biomaterial?</t>
  </si>
  <si>
    <t>Periodontium: Plasma cell gingivitis</t>
  </si>
  <si>
    <t>Pulicari</t>
  </si>
  <si>
    <t>Plasma Cell Gingivitis Treated with Photobiomodulation, with No Recurrence for a Five-Year Follow-Up</t>
  </si>
  <si>
    <t>🧑 Human
📄 Case report
⌛ 5-year follow-up</t>
  </si>
  <si>
    <t>d = 1 cm
handpiece
6 cm2
treated
area</t>
  </si>
  <si>
    <t>"The combined PBM and periodontal therapies have proved to be sufficiently effective in the control of PCG, showing reduction of the intense inflammatory, erythematous component, and gingival bleeding, and are a valid treatment alternative to topical steroids."</t>
  </si>
  <si>
    <t>Device: "a diode laser (SmartFile, Deka, Calenzano (FI), Italy)"</t>
  </si>
  <si>
    <t>Periodontium: Review</t>
  </si>
  <si>
    <t>Chhabrani</t>
  </si>
  <si>
    <t>India
(Mysuru)</t>
  </si>
  <si>
    <t>Laser light: Illuminating the path to enhanced periodontal care</t>
  </si>
  <si>
    <t>"The authors explore the evidence-based recommendations for the use of PBM(T) in periodontal care, shedding light on its potential to improve periodontal conditions, especially when applied as an adjunct to conventional treatments. They investigate the role of PBM(T) in individuals and its possible contribution to periodontal health. Additionally, the article delves into its application in periodontal regenerative procedures and its ability to expedite soft tissue wound healing and the effects of PBM(T) in reducing periodontal inflammation and mitigating post-periodontal surgery discomfort. 
In conclusion, the article calls for enhanced clinical research to streamline laser procedures, develop antimicrobial photodynamic therapy, and conduct well-designed randomised controlled trials (RCTs). It also emphasises the importance of understanding the impact of laser therapy on therapeutic and biological goals, the potential to reduce invasive procedures, and the necessity of adequate research funding."</t>
  </si>
  <si>
    <t>Giannelli</t>
  </si>
  <si>
    <t>Photonic Therapy in Periodontal Diseases an Overview with Appraisal of the Literature and Reasoned Treatment Recommendations.</t>
  </si>
  <si>
    <t>"In this critical appraisal of the literature, we have briefly summarized the main photonic therapies and instruments used in Periodontology, highlighting their main characteristics and limitations."
"Consistently with the above notions, PBMT has been successfully used as co-adjuvant to conventional periodontal treatment to reduce periodontal inflammation, accelerate wound healing and gingival-root re-attachment, increase alveolar bone regeneration, and reduce post-operative pain [5]. However, the meta-analyses carried out on data from diverse reports have given inconclusive results, mainly because of dis-homogeneous clinical protocols [111]. This issue has prompted a re-appraisal of the right irradiation parameters for safe and effective PBMT [11]. As a final technical note, because of their many advantages over low-level lasers, LED devices are becoming preferable for PBMT purposes. Their simpler irradiation modalities should lead to more standardized clinical data and, hopefully, a clearer scenario on the benefits of PBMT in periodontics."</t>
  </si>
  <si>
    <t>Lasers in periodontics: a review of the literature.</t>
  </si>
  <si>
    <t>"There is a considerable conflict in results for both laboratory studies and clinical trials, even when using the same laser wavelength. A meaningful comparison between various clinical studies or between laser and conventional therapy is difficult at best and likely impossible at the present. Reasons for this dilemma are several, such as different laser wavelengths; wide variations in laser parameters; insufficient reporting of parameters that, in turn, does not allow calculation of energy density; differences in experimental design, lack of proper controls, and differences in severity of disease and treatment protocols; and measurement of different clinical endpoints."
"Based on this review of the literature, there is a great need to develop an evidence-based approach to the use of lasers for the treatment of chronic periodontitis. Simply put, there is insufficient evidence to suggest that any specific wavelength of laser is superior to the traditional modalities of therapy."
"Current evidence does suggest that use ofthe Nd:YAG or Er:YAG wavelengths for treatment ofchronic periodontitis may be equivalent to scaling and root planing (SRP) with respect to reduction in probing depth and subgingival bacterial populations. However, if gain in clinical attachment level is considered the gold standard for non-surgical periodontal therapy, then the evidence supporting laser-mediated periodontal treatment over traditional therapy is minimal at best. Lastly, there is limited evidence suggesting that lasers used in an adjunctive capacity to SRP may provide some additional benefit."</t>
  </si>
  <si>
    <t>Periodontium: Surgical treatments</t>
  </si>
  <si>
    <t>India
(Noida)</t>
  </si>
  <si>
    <t>Effect of Low-Level Laser Therapy on Early Wound Healing and Levels of Inflammatory Mediators in Gingival Crevicular Fluid Following Open Flap Debridement</t>
  </si>
  <si>
    <t>🧑 Human
🎲 Randomized trial
👥 40 participants
⌛ 1-week treatment -&gt; 6-month follow-up</t>
  </si>
  <si>
    <t>"From the start of the study to 6 months later, there was a statistically significant drop in plaque index, gingival index, probing pocket depth, and gain clinical attachment levels in both groups. However, when the two groups were compared, there were no significant differences at any time intervals."
"The Landry Wound Healing Index values in the 1st and 2nd weeks were showing statistically significant improved healing in the test group as compared to the control group. 
There was significantly better wound healing at sites where a diode laser was used. Conclusion LLLT increases early wound healing after periodontal surgical procedures."
Comment: No benefit for relevant markers of periodontal disease like probing depth or clinical attachment level.</t>
  </si>
  <si>
    <t>de Souza Fonseca</t>
  </si>
  <si>
    <t>Clinical Evaluation of Bilateral Multiple Gingival Recession Treatment with Autogenous Connective Tissue Graft Associated with Low-Level Laser Therapy</t>
  </si>
  <si>
    <t>🧑 Human
🎲 Randomized trial, split-mouth, double-blind
👥 3 participants
⌛ 7-day treatment -&gt; 90-day follow-up</t>
  </si>
  <si>
    <t>alternate
days for
7 days</t>
  </si>
  <si>
    <t>"RC mean percentage was &lt;95% in both groups after 90 days. Comparing treatment sides, G1 (n = 3/3, 100%) had a higher prevalence of RC than G2 had (n = 3/3, 95%)"
"Conclusions: the results indicated that aCTG + LLLT might have an additional benefit to GR root coverage within the evaluated time and this section also includes the within-study limitations."
Comment: The conclusion is quite overoptimistic given the results, thus the spin warning.</t>
  </si>
  <si>
    <t>Evaluation of low-level laser therapy and platelet-rich fibrin on donor site healing after vascularized interpositional periosteal connective tissue flap: a randomized clinical study</t>
  </si>
  <si>
    <t>🧑 Human
⚔ Comparison study
👥 31 participants
⌛ single treatment -&gt; 12-week follow-up</t>
  </si>
  <si>
    <t>⚔ PBM vs platelet-rich fibrin (PRF)</t>
  </si>
  <si>
    <t>"Favourable clinical outcomes in terms of tissue thickness, consistency, color, contour, scar, pain, and burning sensation and patient comfort were obtained in both LLLT- and PRF-treated donor palatal sites at 12 weeks. Non-significant increase in tissue thickness was observed compared to baseline in PRF-treated donor sites at 12 weeks compared to LLLT-treated donor sites."</t>
  </si>
  <si>
    <t>Shakoush</t>
  </si>
  <si>
    <t>Syria (?)</t>
  </si>
  <si>
    <t>Quintessence Inc</t>
  </si>
  <si>
    <t>Low-level laser therapy has an additional effect with open flap debridement on the treatment of stage III periodontitis. A split-mouth randomized clinical trial</t>
  </si>
  <si>
    <t>🧑 Human
🎲 Randomized trial, split-mouth
👥 10 participants (70 pockets)
⌛ single treatment -&gt; 3-month follow-up</t>
  </si>
  <si>
    <t>"The use of LLLT as an adjunct to OFD improved the clinical indices, postoperative pain, and dentinal hypersensitivity better than OFD alone in the treatment of Stage III periodontitis."</t>
  </si>
  <si>
    <t>Silviya</t>
  </si>
  <si>
    <t>The Efficacy of Low-Level Laser Therapy Combined with Single Flap Periodontal Surgery in the Management of Intrabony Periodontal Defects: A Randomized Controlled Trial</t>
  </si>
  <si>
    <t>🧑 Human
🎲 Randomized trial
👥 40 defects
⌛ single treatment -&gt; 6-month follow-up</t>
  </si>
  <si>
    <t>790-
810</t>
  </si>
  <si>
    <t>"In the test group, the PPD reduction at 6 months was 3.60 ± 0.95 and in the control group it was 3.75 ± 0.91 mm. CAL gain at 6 months was 2.70 ± 1.36 mm and 3.45 ± 1.2 mm in the test group and showed no statistical significance."</t>
  </si>
  <si>
    <t>Sadighi</t>
  </si>
  <si>
    <t>J Adv Periodontol Implant Dent</t>
  </si>
  <si>
    <t>Effect of photobiomodulation on pain control after clinical crown lengthening surgery</t>
  </si>
  <si>
    <t>🧑 Human
🎲 Randomized trial, sham-controlled
👥 20 participants
⌛ 7 days</t>
  </si>
  <si>
    <t>"On the first (5.50±1.18) and seventh (1.8±0.42) days, the pain intensity was similar in the test and control groups. However, on the third day, the laser group (2.90±0.74) experienced a significantly lower pain intensity than the control group (4.0±0.67)."</t>
  </si>
  <si>
    <t>The Effect of Low-Level Laser Therapy as an Adjunct to Periodontal Surgery in the Management of Postoperative Pain and Wound Healing: A Systematic Review and Meta-Analysis</t>
  </si>
  <si>
    <t>"13 studies were eligible and included. The results showed a significant difference of pain relief between groups at day 3 post-surgery, whereas no difference was found at day 7. Moreover, a significant reduction was observed in the mean analgesic intake during the first week in the LLLT group. On day 14, the adjunctive use of LLLT showed significantly faster re-epithelialization and better wound healing in palatal donor sites following free gingival graft procedures. Based on the results, LLLT used as an adjunct to periodontal surgery positively influenced postsurgical pain control."</t>
  </si>
  <si>
    <t>Thalaimalai</t>
  </si>
  <si>
    <t>Effect of Low-Level Laser Therapy and Platelet-Rich Fibrin on the Treatment of Intra-bony Defects</t>
  </si>
  <si>
    <t>🧑 Human
🎲 Randomized trial
👥 30 participants
⌛ single session -&gt; 6-month follow-up</t>
  </si>
  <si>
    <t>"The test group showed a clinically relevant increase in mean PPD reduction, CAL gain, and radiographic bone fill (3.6 ± 1.35 mm, 3.26 ± 1.16 mm and 2.44 ± 1.24 mm) compared to the control group (2.93 ±1.1 mm, 2.267 ± 1.33 mm and 1.26 ± 0.99 mm) six months post-intervention. 
However, intergroup comparison between the test and control groups did not show any statistically significant difference."</t>
  </si>
  <si>
    <t>Jayakumar</t>
  </si>
  <si>
    <t>Efficacy of low-level laser therapy as an adjunct to button anchored coronally advanced flap for gingival recession: A Doppler study.</t>
  </si>
  <si>
    <t>"Three-month postoperative results showed that the LLLT used as an adjunct to CAF with the orthodontic button for stabilization is an effective surgical approach in the management of Miller's Class I recession defects."</t>
  </si>
  <si>
    <t>Evaluating the effect of photobiomodulation with a 940-nm diode laser on post-operative pain in periodontal flap surgery.</t>
  </si>
  <si>
    <t>2.8
cm2</t>
  </si>
  <si>
    <t>"Patients reported less pain on days 2, 3, 4, 5, 6, and 7 after surgery in the laser-treated group (p &lt; 0.05). Furthermore, fewer analgesics were used in this group on days 3, 4, 5, 6, and 7 following the surgery (p &lt; 0.05). 
The 940-nm diode laser with the settings used in this study could significantly reduce pain and the number of analgesics taken by patients after undisplaced flap surgery."
Note: A researcher, Vahid Rakhshan, published a critical commentary on this paper, titled "Methodological correctness of a recent publication on pain entitled 'Evaluating the effect of photobiomodulation with a 940-nm diode laser on post-operative pain in periodontal flap surgery'". In the commentary, he presents a 16-point list of methodological weaknesses in this paper.</t>
  </si>
  <si>
    <t>Device: Biolase, USA</t>
  </si>
  <si>
    <t>Doğan</t>
  </si>
  <si>
    <t>Clinical and biochemical comparison of guided tissue regeneration versus guided tissue regeneration plus low-level laser therapy in the treatment of class II furcation defects: A clinical study.</t>
  </si>
  <si>
    <t>🧑 Human
🎲 Randomized trial
👥 25 participants (33 furcation defects)
⌛ 8-day treatment -&gt; 6-month follow-up</t>
  </si>
  <si>
    <t>Furcation defects (class II)</t>
  </si>
  <si>
    <t>300
/teeth</t>
  </si>
  <si>
    <t>"When compared the two groups, at the 6th month, PPD, CAL, HPD, and ALP values showed significantly more improvement in laser group than non-laser group (p &lt; 0.05)."
"The results of this study showed that both treatments led to significantly favorable clinical improvements in furcation periodontal defects. LLLT plus GTR may be a more effective treatment modality compared to GTR alone."</t>
  </si>
  <si>
    <t>Device: Smarty A10; DEKA, Firenze, Italy</t>
  </si>
  <si>
    <t>Iran
(Mazandaran)</t>
  </si>
  <si>
    <t>The role of low-level laser in periodontal surgeries.</t>
  </si>
  <si>
    <t>"The present study has sought to review the cellular impacts of low-level lasers and its role on reducing pain and inflammation following soft tissue surgical treatments."
"It seems that numerous future studies with adequate samples and various parameters have to be conducted, so more comprehensive conclusions of the low-level laser effect following periodontal surgery would be obtained."</t>
  </si>
  <si>
    <t>Effect of low-level laser on guided tissue regeneration performed with equine bone and membrane in the treatment of intrabony defects: a clinical study.</t>
  </si>
  <si>
    <t>🧑 Human
🎲 Randomized trial, split-mouth
👥 13 participants
⌛ 8-day treatment -&gt; 6-month follow-up</t>
  </si>
  <si>
    <t>Periodontal intrabony defects</t>
  </si>
  <si>
    <t>300
/tooth</t>
  </si>
  <si>
    <t>"This study showed that [guided tissue regeneration] is an effective treatment for periodontal regeneration, and that LLLT may improve the effects of GTR in the treatment of periodontal defects."</t>
  </si>
  <si>
    <t>Ozcelik</t>
  </si>
  <si>
    <t>Enamel matrix derivative and low-level laser therapy in the treatment of intra-bony defects: a randomized placebo-controlled clinical trial.</t>
  </si>
  <si>
    <t>🧑 Human
🎲 Randomized trial, split-mouth
👥 22 participants
⌛ 6-day treatment -&gt; 12-month follow-up</t>
  </si>
  <si>
    <t>ULOCKS device
LED phototherapy</t>
  </si>
  <si>
    <t>"EMD+LLLT had resulted in less gingival recession (p&lt;0.05), less swelling (p&lt;0.001) and less VAS scores (p&lt;0.02) compared with EMD alone."</t>
  </si>
  <si>
    <t>Device: ULOCKS, Voronezh State University Laboratories, Voronezh, Russia</t>
  </si>
  <si>
    <t>Masse</t>
  </si>
  <si>
    <t>Effectiveness of soft laser treatment in periodontal surgery.</t>
  </si>
  <si>
    <t>🧑 Human
🎲 Randomized trial (?), split-mouth
👥 28 participants
⌛ single treatment -&gt; 14-day follow-up</t>
  </si>
  <si>
    <t xml:space="preserve">"The results showed no significant differences in the gingival index, healing index and pain reduction when the soft laser treatment was compared to the placebo operation. These results suggest that soft laser (As-Ga and He-Ne) treatments may not be a useful adjunct after certain periodontal surgical procedures."
Comment: Tuner&amp;Hode (1998) mention that in this study, the dose was 0.06J/cm2. </t>
  </si>
  <si>
    <t>Periodontium (animal)</t>
  </si>
  <si>
    <t>Low-level laser therapy alleviates periodontal age-related inflammation in diabetic mice via the GLUT1/mTOR pathway</t>
  </si>
  <si>
    <t>0.398</t>
  </si>
  <si>
    <t>every 3 days for 2 weeks</t>
  </si>
  <si>
    <t>"Our findings suggest that LLLT may regulate chronic low-grade inflammation by modulating the GLUT1/mTOR senescence-related pathway, thereby offering a potential treatment for diabetic periodontal diseases."</t>
  </si>
  <si>
    <t>Lipids Health Dis</t>
  </si>
  <si>
    <t>Infrared laser therapy decreases systemic oxidative stress and inflammation in hypercholesterolemic mice with periodontitis</t>
  </si>
  <si>
    <t>"NIR-PBM for 7 days in the ApoEP + PBM mice significantly decreased systemic ROS production, inflammatory response, plasma cholesterol, and lipid peroxidation levels, similar to those found in the ApoEC group (P &gt; 0.05). However, it was not capable of preventing alveolar bone loss (P &gt; 0.05 compared to ApoEP mice)."
Comment: No effect on periodontitis, but benefits on other markers.</t>
  </si>
  <si>
    <t>Adjunctive effect of 470-nm and 630-nm light-emitting diode irradiation in experimental periodontitis treatment: a preclinical study</t>
  </si>
  <si>
    <t>Dog</t>
  </si>
  <si>
    <t>470+
630</t>
  </si>
  <si>
    <t>"Experimental periodontitis was induced by placing ligatures around the mandibular second, third, and fourth premolars of 6 beagles for 3 months. After ligature removal, periodontitis progressed spontaneously for 2 months."
"PPD and CAL decreased at 12 weeks compared with baseline in the SRP group (6.01±0.59 to 4.81±0.65 mm, and 6.51±0.98 to 5.39±0.93 mm, respectively). PPD and CAL decreased at 12 weeks compared with baseline in the SRP/LED group (6.03±0.39 to 4.46±0.47 mm, and 6.11±0.47 to 4.78±0.57 mm, respectively)."
"Within the study limitations, 470 nm and 630 nm wavelength LED irradiation might provide additional benefits for periodontitis treatment."</t>
  </si>
  <si>
    <t>Biomater Sci</t>
  </si>
  <si>
    <t>TCPP/MgO-loaded PLGA microspheres combining photodynamic antibacterial therapy with PBM-assisted fibroblast activation to treat periodontitis</t>
  </si>
  <si>
    <t>"[P]romoting fibroblast activity is crucial for re-establishing a damaged periodontal structure. In addition to the fibroblast activation property of Mg2+, photobiomodulation (PBM) has recently attracted increasing attention in wound healing. Using the same 635 nm laser resource, PBM could simultaneously work with antibacterial photodynamic therapy (aPDT) to achieve antibacterial function and fibroblast activation effect."
"PMT achieved excellent antibacterial photodynamic effect for periodontal pathogens F. nucleatum and P. gingivalis by generating reactive oxygen species, which increases cell membrane permeability and destroys bacteria integrity to cause bacteria death. Meanwhile, PMT itself exhibited improved fibroblast viability and adhesion, with the PMT + light group revealing further activation of fibroblast cells, suggesting the coordinated action of Mg2+ and PBM effects. The underlying molecular mechanism might be the elevated gene expressions of Fibronectin 1, Col1a1, and Vinculin. 
In addition, the in vivo rat periodontitis model proved the superior therapeutic effects of PMT with laser illumination using micro-computed tomography analysis and histological staining, which presented decreased inflammatory cells, increased collagen production, and higher alveolar bone level in the PMT group."</t>
  </si>
  <si>
    <t>Systemic and local effects of doxycycline and low-intensity laser treatment on periodontitis in rats</t>
  </si>
  <si>
    <t>0.16
/point</t>
  </si>
  <si>
    <t>"Less bone loss was observed in the DOX, LIL, and DOX+LIL groups than in the NC and SRP groups at all time points (P&lt;0.001)."
"The combination of DOX with LIL as SRP adjuvants was effective both systemically and locally for the treatment of experimental periodontitis in rats."</t>
  </si>
  <si>
    <t>Low-level laser therapy (LLLT) improves alveolar bone healing in rats</t>
  </si>
  <si>
    <t>54
daily</t>
  </si>
  <si>
    <t>0.00785
cm2</t>
  </si>
  <si>
    <t>"LLLT accelerated bone healing with mature collagen fiber bundles and early new bone formation. Histomorphometric analysis revealed an increase of osteoblast (RUNX-2) and osteoclast (TRAP) activity and in the area percentage of cancellous bone in the lased alveolus compared to the control group. This increase was statistically significant (p &lt; 0.05). 
Application of LLLT with a GaAlAs diode laser device enhanced bone healing and mineralization on alveolar region."</t>
  </si>
  <si>
    <t>Bayer Alinca</t>
  </si>
  <si>
    <t>Biotech Histochem</t>
  </si>
  <si>
    <t>Is low level laser therapy or ozone therapy more effective for bone healing? Understanding the mechanisms of HIF-1α, RANKL and OPG.</t>
  </si>
  <si>
    <t>"Alveolar bone loss was significantly less in the LLLT group compared to the control group. The number of HIF-1α positive cells was significantly less in the LLLT group compared to the control group. We found significantly fewer RANKL-positive cells in the OT group compared to the control group. The number of osteoprotegerin (OPG) positive cells was significantly greater for the LLLT group than for the control group.
Although both treatments produced positive effects, LLLT appears to be more effective for increasing alveolar bone formation."</t>
  </si>
  <si>
    <t>Photobiomodulation (450 nm) alters the infection of periodontitis bacteria via the ROS/MAPK/mTOR signaling pathway.</t>
  </si>
  <si>
    <t>Implant osseointegration</t>
  </si>
  <si>
    <t>"PBM therapy improved bone mineral density and implant osseointegration by controlling dominant pathogens invasion via the upregulation of salivary anti-inflammatory and antioxidant defense by affecting ROS/RNS/AMPK/mTOR signaling pathway."</t>
  </si>
  <si>
    <t>Effect of photobiomodulation therapy as an adjunct to scaling and root planing in a rat model of ligature-induced periodontitis: a histological and radiographic study.</t>
  </si>
  <si>
    <t>"he GL660 group showed lesser bone loss than the PD group (P &lt; 0.05) and greater alveolar bone margin after 14 days, indicating a better long-term treatment response (P &lt; 0.05). These findings suggest that SRP with the 660 nm laser as an adjunct results in more favorable radiographic and histological responses than the 808 nm laser."</t>
  </si>
  <si>
    <t>Hemaid</t>
  </si>
  <si>
    <t>Enhancement of Healing of Periodontal Intrabony Defects Using 810 nm Diode Laser and Different Advanced Treatment Modalities: A Blind Experimental Study.</t>
  </si>
  <si>
    <t>0.385
cm2
area</t>
  </si>
  <si>
    <t>"The combination of LLLT+PRF+NanoHA as a treatment modality induced the best results in bone formation in the bone defect more than LLLT alone or PRF+NanoHA alone."</t>
  </si>
  <si>
    <t>Watson &amp; Brundage</t>
  </si>
  <si>
    <t>Photobiomodulation as an Inflammatory Therapeutic Following Dental Prophylaxis in Canines.</t>
  </si>
  <si>
    <t>"[T]he canines who received a single photobiomodulation treatment demonstrated some degree of reduction in oral inflammation and erythema following dental prophylaxis."</t>
  </si>
  <si>
    <t>Effect of 650-nm low-level laser irradiation on c-Jun, c-Fos, ICAM-1, and CCL2 expression in experimental periodontitis.</t>
  </si>
  <si>
    <t>6
/2wk</t>
  </si>
  <si>
    <t>"The c-Jun and ICAM-1 messenger RNA (mRNA) levels were significantly decreased in the EP rat gingival tissue treated by SRP + LLLI than by SRP, the c-Jun, ICAM-1, and c-Fos mRNA levels on PB leukocytes reduced after LLLI treatment but did not show any significant differences in both groups. 
There was no significant difference in CCL2 mRNA levels on PB leukocytes and in gingivae between the SRP + LLLI and the SRP groups. 
The c-Fos mRNA levels in gingivae did not show significant difference in both groups. Immunohistochemistry showed that the CCL2, ICAM-1, c-Jun, and c-Fos productions were significantly reduced in rats of the SRP + LLLI group compared with the only SRP group.
LLLI significantly decreased the number of osteoclasts as demonstrated by TRAP staining. The 650-nm LLLI might be a useful treatment modality for periodontitis."</t>
  </si>
  <si>
    <t>China
(Liaocheng)</t>
  </si>
  <si>
    <t>High-fluence low-power laser irradiation promotes odontogenesis and inflammation resolution in periodontitis by enhancing stem cell proliferation and differentiation.</t>
  </si>
  <si>
    <t>"IL-1β, IL-6, TNF-α and NO levels in the blood of rats belonging to different groups were subsequently examined, and significantly increased plasma concentrations of pro-inflammatory cytokines in rats with periodontitis were detected, as compared with the control group. (...) After 1-week HF-LPLI treatment, these concentrations were significantly decreased, with IL-6 reduction to a level of 733±62.3 pg/ml representing the best result (Fig. 6B). After 3 weeks of treatment, the concentration of pro-inflammatory cytokines reached approximately the normal level."
"HF-LPLI induces dentin repair and tertiary dentin in a rodent model. "
"It was observed that HF-LPLI promoted inflammation resolution by reducing the excessive inflammatory response, and finally stimulated stem cell proliferation and differentiation. Furthermore, in vivo results revealed that stem cells treated with HF-LPLI induced bone regeneration. HF-LPLI stimulated stem cell proliferation and differentiation by promoting inflammation resolution subsequent to stem cell activation, providing a new strategy for the clinical treatment of periodontitis."</t>
  </si>
  <si>
    <t>Uslu</t>
  </si>
  <si>
    <t>Turkey
(Malatya)</t>
  </si>
  <si>
    <t>Effects of diode laser application on inflammation and MPO in periodontal tissues in a rat model.</t>
  </si>
  <si>
    <t>"Within the limits of this study, we suggest that diode laser application is an adjunctive treatment because it reduced inflammation and MPO when applied in addition to SRP."</t>
  </si>
  <si>
    <t>Özyurt</t>
  </si>
  <si>
    <t>Effects of Low-Level Laser Therapy With a Herbal Extract on Alveolar Bone Healing.</t>
  </si>
  <si>
    <t>BTL-4000 Professional GaAlAs Diode Laser System device</t>
  </si>
  <si>
    <t>"Histologic assessment showed significantly more calcified tissue areas and significantly more osteoblast cells in the laser and laser-Mecsina groups than in the other groups (P &lt; .01). Qualitative morphologic assessment showed that more bone tissue was present in the laser-Mecsina group than in the other groups."</t>
  </si>
  <si>
    <t>Swerts</t>
  </si>
  <si>
    <t>Treatment of experimental periodontal disease by laser therapy in simvastatin-modified rats.</t>
  </si>
  <si>
    <t>"Within the limits of this study, we can conclude that LLLT was effective as adjuvant treatment for SRP protecting against the occurrence of oxidative tissue damages as well as for reducing alveolar bone loss in experimentally induced periodontitis simvastatin-modified rats."</t>
  </si>
  <si>
    <t>Low-level laser and antimicrobial photodynamic therapy on experimental periodontitis in rats submitted to chemotherapy by 5-fluorouracil.</t>
  </si>
  <si>
    <t>29.4</t>
  </si>
  <si>
    <t>"LLLT and aPDT adjuvant to SRP minimized the effects of 5-FU on periodontal disease. Furthermore, aPDT promoted greater benefits in bone loss control and inflammatory response."</t>
  </si>
  <si>
    <t>Evaluation of 660 nm LED light irradiation on the strategies for treating experimental periodontal intrabony defects.</t>
  </si>
  <si>
    <t>40(?)</t>
  </si>
  <si>
    <t>0.0035</t>
  </si>
  <si>
    <t>28?</t>
  </si>
  <si>
    <t>"With LED light irradiation, the extent of wound dehiscence was reduced, wound closure was accelerated, epithelial downgrowth was prevented, inflammation was reduced, and periodontal reattachment was promoted in all treatment strategies. Significant reduction of inflammation with LED light irradiation was noted at 1 week in the groups BG and MG (p &lt; 0.05). Osteogenesis was significantly promoted only in the group OD at both time points (p &lt; 0.05)."
"Our study showed that 660 nm LED light accelerates mucoperiosteal flap healing and periodontal reattachment. However, the enhancement of osteogenesis appeared to be limited while simultaneously treating with a barrier membrane or xenograft."</t>
  </si>
  <si>
    <t>Effect of low-level laser therapy as an adjuvant in the treatment of periodontitis induced in rats subjected to 5-fluorouracil chemotherapy.</t>
  </si>
  <si>
    <t>"5FU, 5FU-SRP and 5FU-SRP-1LLLT treatment groups showed higher ABL compared with the NT group (p &lt; 0.05), whereas the 5FU-SRP-4LLLT group showed lower ABL compared with the 5FU group on day 7 and decreased RANKL immunolabeling (p &lt; 0.05)."
Comment: The statistically significant benefit was noted only in the group that received 4 treatments of LLLT.</t>
  </si>
  <si>
    <t>Effectiveness of the diode laser in the treatment of ligature-induced periodontitis in rats: a histopathological, histometric, and immunohistochemical study.</t>
  </si>
  <si>
    <t>1000?</t>
  </si>
  <si>
    <t>"At 7-days posttreatment, the DL and SRP/DL groups had fewer TRAP-positive cells and more RUNX2-positive cells. There was greater OCN immunolabeling in the DL group than in the C and SRP groups at 15 days. There was less ABL in the DL and SRP/DL groups at 15 and 30 days."
"DL was effective in the treatment of ligature-induced periodontitis in rats, both when used alone and when used as adjunctive therapy to SRP."</t>
  </si>
  <si>
    <t>Taiwan (Taipei)</t>
  </si>
  <si>
    <t>Controlling periodontal bone levels with multiple LED irradiations.</t>
  </si>
  <si>
    <t>1
2-3
/wk</t>
  </si>
  <si>
    <t>"By day 7, PBL was significantly reduced (p &lt; 0.05), with significantly reduced inflammation (p &lt; 0.05) and gingival hyperplasia (p &lt; 0.001), in the animals receiving three irradiations per week. At day 14, the reduction in gingival hyperplasia was still significant (p &lt; 0.05), and collagen matrix deposition and realignment appeared to be accelerated in the animals receiving three irradiations per week, despite a lack of significant difference in PBL. The treatment regimen receiving three LED light irradiations per week apparently extended the effects in reducing PBL and inflammation to 7 days."</t>
  </si>
  <si>
    <t>Hayashi</t>
  </si>
  <si>
    <t>Effects of a low level laser on periodontal tissue in hypofunctional teeth.</t>
  </si>
  <si>
    <t>48.6</t>
  </si>
  <si>
    <t>"In conclusion, occlusal hypofunction during the growth period may weaken periodontal tissue, leading to PDL stricture and decreased BMD in the alveolar bone crest; however, LLL irradiation to hypofunctional teeth led to a periodontal condition similar to that in normal teeth. bFGF- and VEGF-positive fibroblasts and odontoclasts were also observed in the PDL in the hypofunctional+LLL group. Thus, periodontal tissues, in terms of bFGF and VEGF, were enhanced by LLL, which stimulated the structure and function of periodontal tissues."
Note: Jan Tuner wrote a PubMed Commons comment on this (see Additional info).</t>
  </si>
  <si>
    <t>Jan Tunér:
"The parameters here are unclear but with the assistance of the laser manufacturer, the following calculation is made: 1. IR Source 905 nm pulsed (pulse duration = 200 ns, adjustable frequency, peak power, according to the frequency of the nominal value (45 W) 2. Continuous visible source 650 nm (output power 70 mW) The peak power (45 W nominal power) depends on the set frequency and it decreases when the frequency increases. The frequency used in the article of 30 kHz (30,000 Hz) is of about 34 Watt. The energetic value reported on the article (48.6 joule) is given from the sum of the contribution of the 2 sources: 1. Source contribution IR 905nm: 34 W200 ns30000 Hz180 sec ≈ 36 joule 2. Source contribution Visible 650nm: 0.07 W180sec = 12.6 joule The weight of a Wistar rat of 5 weeks of age is around 200 g, so a child of 10 years weighting 15 kg, in the need of PBM for the investigated condition would then receive more than 75 times 48.6 J = 3645 J. This, applied seven times during a period of two weeks, would end up in a total applied energy of 25515 J. The relevance of the reported results need to be put into that perspective."</t>
  </si>
  <si>
    <t>Nagata</t>
  </si>
  <si>
    <t>Platelet-rich plasma, low-level laser therapy, or their combination promotes periodontal regeneration in fenestration defects: a preliminary in vivo study.</t>
  </si>
  <si>
    <t>"LLLT, PRP, or their combination all promoted NC formation with a functional periodontal ligament. The combination PRP/LLLT did not show additional positive effects compared to the use of either therapy alone."</t>
  </si>
  <si>
    <t>Maia</t>
  </si>
  <si>
    <t>Histological analysis of the periodontal ligament and alveolar bone during dental movement in diabetic rats subjected to low-level laser therapy.</t>
  </si>
  <si>
    <t>"LLLT improved the periodontal ligament and alveolar bone remodeling activity in diabetic rats during dental movement."</t>
  </si>
  <si>
    <t>Irradiation by light-emitting diode light as an adjunct to facilitate healing of experimental periodontitis in vivo.</t>
  </si>
  <si>
    <t>Experimental periodontitis
LED phototherapy</t>
  </si>
  <si>
    <t>"Reduction of inflammation, accelerated collagen deposition and realignment was noted following irradiation with LED light at densities of 10 and 15 J/cm2, and temporary reduction of periodontal bone loss, as well as bundle bone apposition, was noted at day 3 in rats treated with 10 J/cm2 light."</t>
  </si>
  <si>
    <t>Comparison between laser therapy and non-surgical therapy for periodontitis in rats treated with dexamethasone.</t>
  </si>
  <si>
    <t>"In all groups radiographic and histometric analysis showed less bone loss (P &lt; 0.05) in animals treated with SRP + LLLT in all experimental periods. SRP + LLLT was an effective adjuvant conventional treatment for periodontitis in rats treated with dexamethasone."</t>
  </si>
  <si>
    <t>Crespi</t>
  </si>
  <si>
    <t>Periodontal tissue regeneration in beagle dogs after laser therapy.</t>
  </si>
  <si>
    <t>"The laser group showed new attachment formation averaging 1.9 mm (sd +/- 0.5), whereas GTR and Sc/Rp showed 0.2 mm (sd +/- 0.4) and 0.2 mm (sd +/- 0.5) respectively, being the differences statistically significant between the laser group and both GTR and Sc/Rp groups (p &lt; 0.005)."
"CO2 laser treatment of class III furcation induced formation of new periodontal ligament, cementum and bone."</t>
  </si>
  <si>
    <t>Inhibitory effect of He-Ne laser on dental plaque deposition in hamsters.</t>
  </si>
  <si>
    <t>""The scores of right mandibular molars exposed to the laser were lower than those of the left side in most hamsters. There was a significant difference in plaque scores between the irradiated and the unirradiated sides (p&lt;0.05)."</t>
  </si>
  <si>
    <t>Periodontium (in vitro)</t>
  </si>
  <si>
    <t>Low-energy red light-emitting diode irradiation enhances osteogenic differentiation of periodontal ligament stem cells by regulating miR-146a-5p</t>
  </si>
  <si>
    <t>"These findings confirm that miR-146a-5p is involved in the effect of LED irradiation on the osteogenic differentiation of hPDLSCs by targeting MAPK1. Red LED irradiation may be a potential clinical adjunct therapy for periodontal regeneration."</t>
  </si>
  <si>
    <t>Karasu</t>
  </si>
  <si>
    <t>Neutrophil response to Porphyromonas gingivalis is modulated by low-level laser application</t>
  </si>
  <si>
    <t>"The phagocytosis of P. gingivalis by primary human neutrophils was significantly reduced in response to LLLT (p &lt; 0.05). While LLLT led to increased superoxide production in neutrophils that were not challenged by P. gingivalis, it dampened the increased superoxide and IL-6 release by the neutrophils in response to P. gingivalis. LLLT did not directly affect the viability of P. gingivalis."
"These results suggested that LLLT can provide therapeutic strategy in periodontal disease, regulating the neutrophil response to P. gingivalis."</t>
  </si>
  <si>
    <t>Sayar</t>
  </si>
  <si>
    <t>In Vitro Photobiomodulation Effects of Blue and Red Diode Lasers on Proliferation and Differentiation of Periodontal Ligament Mesenchymal Stem Cells</t>
  </si>
  <si>
    <t>445
660</t>
  </si>
  <si>
    <t>"445 nm and 660 nm lasers with the studied parameters showed positive effects on the proliferation and osteoblastic differentiation of PDLMSCs."</t>
  </si>
  <si>
    <t>Tanum</t>
  </si>
  <si>
    <t>Photobiomodulation of Gingival Cells Challenged with Viable Oral Microbes</t>
  </si>
  <si>
    <t>"Our data demonstrated that LED pretreatment on microbially challenged HGKs with specific continuous wavelengths (red: 615 nm; near-infrared: 880 nm) induced the production of various antimicrobial peptides, enhanced cell viability and proliferation, promoted reactive oxygen species scavenging, and down-modulated proinflammatory activity. The data also suggest a potential explanation regarding the superior efficacy of near-infrared light treatment compared with red light in enhancing antimicrobial activity and reducing cellular inflammation of HGKs."</t>
  </si>
  <si>
    <t>Shamel</t>
  </si>
  <si>
    <t>Egypt
(El Sherouk)</t>
  </si>
  <si>
    <t>Photobiomodulation and low-intensity pulsed ultrasound synergistically enhance dental mesenchymal stem cells viability, migration and differentiation: an invitro study</t>
  </si>
  <si>
    <t>"This study evaluated the cytocompatibility and osteo/odontogenic differentiation of dental pulp, periodontal ligament, and gingival MSCs after stimulation by either PBM or LIPUS and their combined effect."
"The results showed that combined stimulation by PBM and LIPUS resulted in significantly the highest viability of MSCs, the fastest migration, the most dense AR staining, the most increased ALP activity, and the most elevated levels of osteogenic and odontogenic markers. The synergetic stimulation of PBM and LIPUS can be utilized in cell-based regenerative approaches to promote the properties of dental MSCs."</t>
  </si>
  <si>
    <t>El-Dahab</t>
  </si>
  <si>
    <t>Infrared diode laser enhances human periodontal ligament stem cells behaviour on titanium dental implants</t>
  </si>
  <si>
    <t>"The scanning electron microscopy (SEM) demonstrated that the application of infrared diode laser irradiation substantially improved the attachment of cells to both types of implants. The stemness gene markers were significantly down regulated in cells seeded on both surfaces when challenged with osteogenic media in relation to control. At 14 days, early osteogenic markers, were upregulated, while late osteogenic markers, were downregulated in both challenged groups. At the 21-day mark, hPDLSCs seeded on an acid-etched implant exhibited increased expression of all osteogenic markers in response to stimulation with osteogenic media and infra-red diode laser, in contrast to hPDLSCs seeded on a laser surface treated implant under the same conditions. Finally, the findings of our research revealed that when subjected to infrared diode laser, human periodontal ligament stem cells cultured on both types of implants demonstrated improved cellular attachment and differentiation."</t>
  </si>
  <si>
    <t>Ponnaiyan</t>
  </si>
  <si>
    <t>The effect of adjunctive LASER application on periodontal ligament stem cells</t>
  </si>
  <si>
    <t>"In the last few years there have been various studies which have evaluated the effect of different types of LASERs on PDLSCs and the present review summarizes the photo-biomodulative activity of LASERs in general and its beneficial role in the stimulation of PDLSC specifically."</t>
  </si>
  <si>
    <t>Optimization of a Photobiomodulation Protocol to Improve the Cell Viability, Proliferation and Protein Expression in Osteoblasts and Periodontal Ligament Fibroblasts for Accelerated Orthodontic Treatment</t>
  </si>
  <si>
    <t>655
810
940</t>
  </si>
  <si>
    <t>"The results suggest that daily irradiation of 655 nm delivered at 10 mW/cm2, as well as 810 and 940 nm light at 5 mW/cm2, lead to an increase in ALP and OPG, potentiating bone formation. In addition, irradiation of 810 nm at 5 mW/cm2 delivered for two consecutive days and suspended by the third day promotes a downregulation of OPG expression and a slight non-significant increase in RANK-L expression, being suitable to stimulate bone resorption."</t>
  </si>
  <si>
    <t>Low-level Nd:YAG laser inhibiting inflammation and oxidative stress in human gingival fibroblasts via AMPK/SIRT3 axis</t>
  </si>
  <si>
    <t>1264?</t>
  </si>
  <si>
    <t>"With this laser, inflammatory factors (IL-6, TNF-α, COX2, and iNOS) decreased as well as the phosphorylation and nuclear translocation of NFκB-P65. SOD2 was up-regulated but reactive oxygen species (ROS) was down-regulated. The laser treatment exhibited enhancements in AMPK phosphorylation and SIRT3 expression. The above effects could all be reversed by Compound C. Silencing AMPK or SIRT3 by siRNA, the down-regulation of COX2, iNOS, and ROS by laser was inhibited. SIRT3 was down-regulated when the AMPK was silenced."</t>
  </si>
  <si>
    <t>Low-energy LED red light inhibits the NF-κB pathway and promotes hPDLSCs proliferation and osteogenesis in a TNF-α environment in vitro</t>
  </si>
  <si>
    <t>0.0667</t>
  </si>
  <si>
    <t>15
45
75</t>
  </si>
  <si>
    <t>every 48h
for 7 days</t>
  </si>
  <si>
    <t>"Therefore, in an inflammatory environment constructed by 10 ng/ml TNF-α, 5 J/cm2 LED red light can upregulate the proliferation and osteogenesis of hPDLSCs by inhibiting NF-κB signaling pathway."</t>
  </si>
  <si>
    <t>Effects of low level laser on periodontal tissue remodeling in hPDLCs under tensile stress</t>
  </si>
  <si>
    <t>"Overall, our findings demonstrate that LLLT effectively accelerated the proliferation of hPDLCs and the remodeling of periodontal tissue, possibly through the regulation of ROS and Ca2+ levels in hPDLCs."</t>
  </si>
  <si>
    <t>Hua Xi Kou Qiang Yi Xue Za Zhi</t>
  </si>
  <si>
    <t>Effects of low-level laser on the expression of interleukin-6, tumor necrosis factor‑α, osteoprotegerin, and receptor activator of nuclear factor-κB ligand in human periodontal ligament cells</t>
  </si>
  <si>
    <t>3.75
5.625</t>
  </si>
  <si>
    <t>"After LLL therapy, the levels of IL-6 and TNF-α decreased, indicating that LLL therapy could antagonize the increase in the levels of inflammatory factors induced by high glucose environment and upregulate the expression of OPG in human HPDLCs, downregulation of RANKL expression in HPDLCs resulted in the upregulation of the ratio of OPG/RANKL and reversed the imbalance of bone metabolism induced by high glucose levels"
"The decrease in inflammatory factors and the regulation of bone metabolism in HPDLCs were enhanced with increasing laser energy density within 3.75-5.625 J/cm2. Hence, the ability of LLL therapy to modulate bone remodeling increases with increasing dose."</t>
  </si>
  <si>
    <t>Ratanasereeprasert</t>
  </si>
  <si>
    <t>Molecular signaling and mechanisms of low-level laser-induced gene expression in cells involved in orthodontic tooth movement</t>
  </si>
  <si>
    <t>"The 980-nm LLLT increased ΔΨm and ROS production in all three cell types. However, changes in gene regulation were found only in MG63 and iPDL cells, which related to the NF-kB pathway."</t>
  </si>
  <si>
    <t>Effect of LASER photobiomodulation on the cell viabilities of periodontal ligament fibroblasts of older and younger individuals - An in vitro study</t>
  </si>
  <si>
    <t>"Older fibroblasts have lower viability than younger fibroblasts. PBM improves viability in both older and younger fibroblasts and more so in younger fibroblasts. However, more than one PBM would be required to sustain the effect longer."</t>
  </si>
  <si>
    <t>de Farias</t>
  </si>
  <si>
    <t>In vitro effects of photobiomodulation on cell migration and gene expression of ALP, COL-1, RUNX-2, and osterix in cementoblasts</t>
  </si>
  <si>
    <t>1.6
3.2</t>
  </si>
  <si>
    <t>"Cementoblasts migrated from the edge of the scratch toward the center, and the wound closed after 24 h, with the PBM3.2J/cm2 group showing the higher cell migration compared with the other groups at 2 h, 6 h, 8 h, and 13 h (p &lt; 0.05). 
The control and PBM1.6J/cm2 groups showed similar levels of cell migration, with no significant differences (p &gt; 0.05). PBM3.2J/cm2 group exhibited greater ALP, Col-1, OSX, and RUNX2 in comparison with the other experimental groups (p &lt; 0.05). 
Similar levels of all genes evaluated were observed between the PBM1.6J/cm2 group and the positive control group (p &gt; 0.05). 
In conclusion, our findings support the effectiveness of photobiomodulation on cementoblast migration and gene expression, which may contribute to the formation of a new cementum layer."</t>
  </si>
  <si>
    <t>Khalaj</t>
  </si>
  <si>
    <t>Photobiomodulation effects of pulsed and continuous wave near-infrared laser on the proliferation and migration of human gingival fibroblasts: An in vitro study</t>
  </si>
  <si>
    <t>🎚 Pulsing</t>
  </si>
  <si>
    <t>3
3.2
5
5.2</t>
  </si>
  <si>
    <t>"Only the continuous irradiations were effective in significant increase of the cell migration. In conclusion, continuous PBM at energy density of 5.2 J/cm2 showed promising effect on HGF proliferation and migration."</t>
  </si>
  <si>
    <t>China
(Hebei)</t>
  </si>
  <si>
    <t>Effect of an low-energy Nd: YAG laser on periodontal ligament stem cell homing through the SDF-1/CXCR4 signaling pathway</t>
  </si>
  <si>
    <t>"Compared with the C, when the power was 1 W, the proliferation rate of h PDLSCs was accelerated (P &lt; 0.05). When the power was 1.5 W, the proliferation rate decreased (P &lt; 0.05). When the power was 0.25 and 0.5 W, no statistically significant difference in the proliferation rate was observed (P &gt; 0.05)."</t>
  </si>
  <si>
    <t>In Vitro Effect of Photobiomodulation Therapy with 980 nm Diode Laser on Gene Expression of Key Regulators of Bone Remodeling by Human Periodontal Ligament Cells under Mild Orthodontic Forces</t>
  </si>
  <si>
    <t>"We found that PBM in combination with orthodontic forces led to upregulation of bone resorption genes (RANKL and SOST) at the pressure side and their downregulation at the tension side. The expression of osteogenic genes (OPG and POSTN) increased at the tension side and decreased at the pressure side. PBM alone did not affect gene expression."</t>
  </si>
  <si>
    <t>Effect of Twinlight Laser on the Attachment of Human Gingival Fibroblasts to the Root Surface In Vitro</t>
  </si>
  <si>
    <t>1064
2940</t>
  </si>
  <si>
    <t>"Twinlight laser-assisted periodontal treatment effectively improved the biocompatibility of root surface and promoted the attachment and proliferation of fibroblasts by removing calculus and reducing the concentration of endotoxins."</t>
  </si>
  <si>
    <t>J Biomol Struct Dyn</t>
  </si>
  <si>
    <t>Effect of red and near-infrared irradiation on periodontal ligament stem cells: ROS generation and cell cycle analysis</t>
  </si>
  <si>
    <t>660
940</t>
  </si>
  <si>
    <t>"Overall, the current study results showed that photobiomodulation can support the cell viability of PDLSCs and could affect the ROS production and cell cycle. This effect was more with 940 nm (NIR) irradiation pulsed mode compared to 660 nm (red)."</t>
  </si>
  <si>
    <t>The effect of low-level laser irradiation on the proliferation, osteogenesis, inflammatory reaction, and oxidative stress of human periodontal ligament stem cells under inflammatory conditions</t>
  </si>
  <si>
    <t>"In conclusion, LLLT could regulate proliferation, osteogenesis, inflammatory reaction, and oxidative stress of human periodontal ligament stem cells under inflammatory conditions."</t>
  </si>
  <si>
    <t>Motlagh</t>
  </si>
  <si>
    <t>In-Vitro Effect of 445nm Blue Laser and 660nm Low-Level Laser on the Quantity and Quality of Human Gingival Fibroblasts</t>
  </si>
  <si>
    <t>"The use of the 660nm low-power laser, compared to the 445nm laser, has a positive effect on the quantity and quality of gingival fibroblasts."</t>
  </si>
  <si>
    <t>Regulation of interleukin-6 and matrix metalloproteinases syntheses by bioflavonoids and photobiomodulation in human gingival fibroblasts</t>
  </si>
  <si>
    <t>"In conclusion, TNF-α up-regulated IL-6 and MMPs, while bioflavonoids and PBM down-regulated MMP-2 and MMP-9 syntheses; GSE also decreased IL-6 synthesis, demonstrating the individual promising potential of these therapies for ulceration management."</t>
  </si>
  <si>
    <t>Yamauchi</t>
  </si>
  <si>
    <t>High-Intensity Red Light-Emitting Diode Irradiation Suppresses the Inflammatory Response of Human Periodontal Ligament Stem Cells by Promoting Intracellular ATP Synthesis</t>
  </si>
  <si>
    <t>2
4
6
8
10
12
14
16</t>
  </si>
  <si>
    <t>"The results of this study showed that high-intensity red LED irradiation suppressed the TNF-α-stimulated pro-inflammatory cytokine production in hPDLSCs by promoting ATP synthesis. These results suggest that high-intensity red LED is a useful tool for periodontal tissue regeneration in chronically inflamed tissues."
Comment: The differences in ATP levels between the groups were quite modest.</t>
  </si>
  <si>
    <t>Mylona</t>
  </si>
  <si>
    <t>Photobiomodulation effects on periodontal ligament stem cells: A systematic review of in-vitro studies</t>
  </si>
  <si>
    <t>📚 Systematic review (in vitro)</t>
  </si>
  <si>
    <t>"After applying specific keywords, additional filters, and inclusion/exclusion criteria, a preliminary number of 245 articles was narrowed down to 11 in which lasers and LEDs were used within the 630 - 1064 nm wavelength range. Selected articles were further assessed by three independent reviewers for strict compliance with PRISMA guidelines, and a modified Cochrane Risk of Bias to determine eligibility."
"The proliferation rate, osteogenic differentiation, and expression of different indicative genes for osteogenesis and inflammation suppression were found to be positively affected by the application of various types of lasers and LEDs. With regard to the PBM protocol, only the wavelength variable appeared to affect the treatment outcome; indeed, the 940 nm wavelength parameter was found not to exert a favourable effect."
"Statistical analyses performed here indicated that the employment of a near-infrared (NIR) wavelength of 940 nm may not yield a significant favourable outcome, although those within the 630 - 830 nm range did so. Concerning the fluence, it should not exceed 8 J/cm2 when therapy is applied by LED devices, and 4 J/cm2 when applied by lasers respectively."</t>
  </si>
  <si>
    <t>Rigi-Ladez</t>
  </si>
  <si>
    <t>Iran (?)</t>
  </si>
  <si>
    <t>Chin J Dent Res</t>
  </si>
  <si>
    <t>Near Infrared Laser Photobiomodulation of Periodontal Ligament Stem Cells</t>
  </si>
  <si>
    <t>810
940</t>
  </si>
  <si>
    <t>0.5
1.0
1.5
0.5
1.0
1.5</t>
  </si>
  <si>
    <t>"An increase in viability was observed only in the group with the 940 nm laser irradiation at energy density of 2.5 J/cm2 (P &lt; 0.001). The proliferation of cells was significantly increased in the group with 940 nm laser irradiation at energy density of 2.5 J/cm2 at all the time points examined in comparison to other groups (P &lt; 0.001). PI staining showed no change in cell nuclei in any of the groups."</t>
  </si>
  <si>
    <t>Bakshi</t>
  </si>
  <si>
    <t>Photobiomodulation of human gingival fibroblasts with diode laser - A systematic review</t>
  </si>
  <si>
    <t>"Nine studies were included in the review after the initial screening of 1334 articles. 
Our data analysis revealed that LLLT with diode laser stimulates human gingival fibroblasts as there was the increase in cell viability, proliferation, migration, and protein synthesis in irradiated cells. 
The diode lasers in the 600-700 nm spectrum were effective in the 10 mW to 30 mW power range. Lasers in the 700-800 nm range were effective in the 25-50 mW power range and diode lasers in the 800-900 nm range were effective at a power setting of 10 mW. 
It was possible to ascertain a suitable power setting for a particular wavelength spectrum, but no other parameters could be defined due to a lack of reporting of details. Hence, the authors have developed guidelines for comprehensive reporting of in-vitro studies to facilitate future research and overcome existing lacunae in knowledge."</t>
  </si>
  <si>
    <t>Front Biosci (Landmark Ed)</t>
  </si>
  <si>
    <t>Effect of Low-Level Er: YAG (2940 nm) laser irradiation on the photobiomodulation of mitogen-activated protein kinase cellular signaling pathway of rodent cementoblasts</t>
  </si>
  <si>
    <t>"Low-level Er: YAG laser irradiation induces OCCM-30 cell migration, proliferation and differentiation, and activates the MAPK signaling pathway."</t>
  </si>
  <si>
    <t>Tonin</t>
  </si>
  <si>
    <t>Low-Level Laser and Antimicrobial Photodynamic Therapy Reduce Peri-implantitis-related Microorganisms Grown In Vitro</t>
  </si>
  <si>
    <t>LLLT / PDT</t>
  </si>
  <si>
    <t>"Both treatments, LLLT and aPDT, significantly reduced the number of CFUs for the two types of culture, LLLT.B (3.69 × 106 ± 0.20), aPDT.B (2.79 × 106 ± 0.13), LLLT.SA (4.10 × 106 ± 0.12), and aPDT.SA (3.23 × 106 ± 0.10) when compared with control groups C.B (5.18 × 106 ± 0.43) and C.SA (5.81 × 106 ± 0.16; p = 0.000). When treatment groups were compared separately, there was also a statistically significant difference (p = 0.000). None of the protocols were able to eliminate cultured microorganisms."</t>
  </si>
  <si>
    <t>Photobiomodulation effect of different diode wavelengths on the proliferation of human gingival fibroblast cells</t>
  </si>
  <si>
    <t>Wavelength comparison
Dose response</t>
  </si>
  <si>
    <t>635
660
808
980</t>
  </si>
  <si>
    <t>"The proliferation rate of human gingival fibroblast cells (HGF) was increased on day 1 at wavelengths of 635, 808, and 980 nm, and on day 3 at the wavelength of 980 nm in comparison to the control group. Our findings denoted that the photo-biomodulation therapy increased the proliferation HGF. The most desirable laser radiation setting, which led to the highest proliferation rate of the cells, included 980 nm wavelength with 1, 1.5, and 4 J/cm2 energy densities, 635 nm wavelength with 4 J/cm2 energy density."</t>
  </si>
  <si>
    <t>China
(Lu Zhou)</t>
  </si>
  <si>
    <t>Irradiation with red light-emitting diode enhances proliferation and osteogenic differentiation of periodontal ligament stem cells</t>
  </si>
  <si>
    <t>"Our results confirmed that low-energy red LED at 1, 3, and 5 J/cm2 promotes proliferation and osteogenic differentiation of PDLSCs."</t>
  </si>
  <si>
    <t>Abidi</t>
  </si>
  <si>
    <t>Immunomodulatory activity seen as a result of photobiomodulation therapy in stimulated primary human fibroblasts</t>
  </si>
  <si>
    <t>660
810
980
660+
810
810+
980</t>
  </si>
  <si>
    <t>"The 660 nm laser treatment induced pro-inflammatory cytokines when stimulated, while 810 nm exhibited significant suppression. IL-1β was the stimulus of choice and the 810 nm wavelength alone exhibited anti-inflammatory effects for all analytes except IL-8, while the 810 nm in combination with 660 nm and/or 980 nm exhibited effects similar to 810 nm alone."</t>
  </si>
  <si>
    <t>Sadatmansouri</t>
  </si>
  <si>
    <t>Effect of Different Energy Densities of 915 nm Low Power Laser on The Biological Behavior of Human Gingival Fibroblast Cells in-vitro</t>
  </si>
  <si>
    <t>"The cell viability and viability capacity increased on the third day at an energy density of 3 J/cm2 ; (P-value = 0.007) and the fifth day at energy densities of 2,3 and 4 J/cm2 was recorded compared to the control group (P-value =0.000). Also, a significant decrease in the viability and viability of irradiated cells with an energy density of 1 J/cm2 was found. (P-value =0.033)."</t>
  </si>
  <si>
    <t>Effects of Photobiomodulation Therapy with Various Laser Wavelengths on Proliferation of Human Periodontal Ligament Mesenchymal Stem Cells</t>
  </si>
  <si>
    <t>"PBMT with 635, 660, 808 and 980 nm wavelengths increased the proliferation of PDLMSCs but the maximum cell viability was prominent after irradiation by 980 nm laser with energy density of 4 J cm-2 on day 3."</t>
  </si>
  <si>
    <t>In Vitro Effect of Photodynamic Therapy with Indocyanine Green Followed by 660 nm Photobiomodulation Therapy on Fibroblast Viability</t>
  </si>
  <si>
    <t>PDT -&gt; PBM</t>
  </si>
  <si>
    <t>"Emission of 660 nm as PBMT for two and three times along with passage of time would increase the viability of HGFs following aPDT with ICG."</t>
  </si>
  <si>
    <t>Protective effect of low-level laser irradiation on lipopolysaccharide-mediated inflammatory injury of human periodontal ligament fibroblasts</t>
  </si>
  <si>
    <t>2
4
6</t>
  </si>
  <si>
    <t>"LLLI has a protective effect on the inflammatory injury of hPDLFs induced by LPS, and the effect is most obvious when the irradiation intensity is 4 J·cm-2."</t>
  </si>
  <si>
    <t>Effect of Photobiomodulation on Periodontal Ligament Cells Under Inflamed and Nutrient-Deficient Conditions Simulating Damaged Cells of Avulsed Teeth: An In Vitro Study</t>
  </si>
  <si>
    <t>1
3
5
10</t>
  </si>
  <si>
    <t>"The photobiomodulation of 808 nm laser reduced inflammation and improved the proliferation, migration, and osteogenesis of normal, starved, and inflamed periodontal ligament cells. These effects required a higher energy density under starved or inflamed conditions compared with normal conditions. The photobiomodulation of 808 nm has a potential application in root surface treatment for replanted teeth."</t>
  </si>
  <si>
    <t>Kocherova</t>
  </si>
  <si>
    <t>Switzerland &amp; Poland</t>
  </si>
  <si>
    <t>Photobiomodulation with Red and Near-Infrared Light Improves Viability and Modulates Expression of Mesenchymal and Apoptotic-Related Markers in Human Gingival Fibroblasts</t>
  </si>
  <si>
    <t>635
808</t>
  </si>
  <si>
    <t>"PBM with both 635 and 808 nm at 4 J/cm2 increased the cell number, modulated extracellular oxidative stress and inflammation markers and decreased the susceptibility of human primary gingival fibroblasts to apoptosis through the downregulation of apoptotic-related genes (P53, CASP9, BAX). Moreover, modulation of mesenchymal markers expression (CD90, CD105) can reflect the possible changes in the differentiation status of irradiated fibroblasts. The most pronounced results were observed following the third irradiation session."</t>
  </si>
  <si>
    <t>Dosage Effects of an 810 nm Diode Laser on the Proliferation and Growth Factor Expression of Human Gingival Fibroblasts</t>
  </si>
  <si>
    <t>2
4
6
12</t>
  </si>
  <si>
    <t>"Energy density of 12 J/cm2 provoked irradiated gingival fibroblasts to demonstrate significantly higher proliferation as well as higher gene expression of Col1, VEGF and EGF. LLLT positive effects were obvious up to 7 days post-irradiation."</t>
  </si>
  <si>
    <t>Rep Biochem Mol Biol</t>
  </si>
  <si>
    <t>Efficacy of Photobiomodulation and Metformin on Diabetic Cell Line of Human Periodontal Ligament Stem Cells through Keap1/Nrf2/Ho-1 Pathway</t>
  </si>
  <si>
    <t>PBM vs PBM+metformin</t>
  </si>
  <si>
    <t>"Photobiomodulation at 1, 2, and 3 J/cm2 combined with metformin significantly promoted diabetic cell lines of HPDLSCs viability (in MTT assay and ELISA reader of ROS, TNF-α, IL-10 results) and gene expression of Nrf2, Keap1, PIK3, and HO-1 levels (p&lt; 0.05)."</t>
  </si>
  <si>
    <t>Chaweewannakorn</t>
  </si>
  <si>
    <t>The effect of LED photobiomodulation on the proliferation and osteoblastic differentiation of periodontal ligament stem cells: in vitro</t>
  </si>
  <si>
    <t>630
680
830</t>
  </si>
  <si>
    <t>"The results of this study demonstrate that the PDLSCs responded differently to specific LED wavelengths. For enhancing cellular proliferation, 830-nm LED irradiation was more effective. On the other hand, the wavelengths of 630 and 680 nm were better for stimulating osteoblastic differentiation."</t>
  </si>
  <si>
    <t>Wada</t>
  </si>
  <si>
    <t>Chronological Gene Expression of Human Gingival Fibroblasts with Low Reactive Level Laser (LLL) Irradiation</t>
  </si>
  <si>
    <t>"From the functional analysis results of DEGs, Biological Process (BP) based Gene Ontology (GO), BP 'the defense response' is considered to be an important process with DAVID. Additionally, the results of PPI analysis of DEGs involved in the defense response with STRING, we found that the upregulated DEGs such as CXCL8 and NFKB1, and the downregulated DEGs such as NFKBIA and STAT1 were correlated with multiple genes. We estimate that these genes are key genes on the defense response after LLLT."</t>
  </si>
  <si>
    <t>The Effect of 630 nm Photobiomodulation on the Anti-Inflammatory Effect of Human Gingival Fibroblasts</t>
  </si>
  <si>
    <t>1
3
5
9
18
36
64
128</t>
  </si>
  <si>
    <t>"Our results suggested that PBM (630 ± 30 nm) with doses of 18 J/cm2 and 36 J/cm2 could significantly inhibit the production of inflammatory cytokines such as Prostaglandin E2 (PGE2) and IL-8, presumably due to the fact that a high dose of PBM treatment could reduce intracellular Reactive oxygen species (ROS) in human gingival fibroblasts, thus reducing the expression of COX-2 enzyme. 
In addition, it was found that treatment with different doses of PBM (630 ± 30 nm) did not result in reduced mitochondrial membrane potential and mitochondrial dysfunction in human gingival fibroblasts"</t>
  </si>
  <si>
    <t>UK
(Bristol)</t>
  </si>
  <si>
    <t>Photobiomodulation of oral fibroblasts stimulated with periodontal pathogens</t>
  </si>
  <si>
    <t>400
450
525
660
740
810
830
white</t>
  </si>
  <si>
    <t>"We demonstrate novel in vitro evidence of the biomodulatory effects of low-dose blue light. In a model for ‘oral health’, we observed that blue light (400–450 nm, 5.76 J/cm2) induces small increases in inflammatory markers which could prove beneficial in the maintenance of cellular homeostasis and thus oral health."</t>
  </si>
  <si>
    <t>Dehdashtizadeh</t>
  </si>
  <si>
    <t>The effect of laser irradiation and doxycycline application on the production of matrix metalloproteinase-8 and collagen I from cultured human periodontal ligament cells</t>
  </si>
  <si>
    <t>PBM vs doxycycline</t>
  </si>
  <si>
    <t>"Treatment of human PDLF either with diode laser or doxycycline reduced the secretion of MMP-8 significantly. The maximum reduction was related to doxycycline application. Regarding collagen, I, only doxycycline application significantly increased collagen I secretion. Other groups showed no significant increase in collagen I secretion."</t>
  </si>
  <si>
    <t>Biomol Concepts</t>
  </si>
  <si>
    <t>Influence of photobiomodulation and vitamin D on osteoblastic differentiation of human periodontal ligament stem cells and bone-like tissue formation through enzymatic activity and gene expression</t>
  </si>
  <si>
    <t>"Laser irradiation at 2 J/cm2 combined with vitamin D3 enhanced osteoblast differentiation and proliferation of cultured HPDLSCs and thus could further substitute bone grafting."</t>
  </si>
  <si>
    <t>The Effect of Laser Photobiomodulation on Periodontal Ligament Stem Cells</t>
  </si>
  <si>
    <t>"Our results showed no significant difference between MTT levels of the study and control groups. After 14 and 21 days, both L+ and C+ groups showed an increase in mineralized tissue formation compared to the C- group. There was an increase in VEGF and BMP expressions compared to C-. In conclusion, the irradiation setting used in this study may be able to improve mineralized tissue deposition."
Comment: Laser group didn't show any additional benefit compared to the C+ group which was basically the same (osteogenic medium) but without irradiation. The authors, however, are trying to portrait the results as supportive for PBM.</t>
  </si>
  <si>
    <t>Papadelli</t>
  </si>
  <si>
    <t>Immunomodulatory effects of Nd:YAG (1064 nm) and diode laser (810 nm) wavelengths to LPS-challenged human gingival fibroblasts</t>
  </si>
  <si>
    <t>"The present study demonstrates a modulatory effect of LLLT using both 810 nm diode and Nd:YAG 1064 nm lasers in gingival fibroblasts by decreasing the production of IL-6, IL-8 in response to LPS."</t>
  </si>
  <si>
    <t>Near-infrared 940-nm diode laser photobiomodulation of inflamed periodontal ligament stem cells</t>
  </si>
  <si>
    <t>"The irradiation used in the present study showed no significant increase in the proliferation of I-PDLSCs by PBM. However, expression levels of osteogenic-related genes and alkaline phosphatase activity were significantly increased in irradiated groups."</t>
  </si>
  <si>
    <t>Ohsugi</t>
  </si>
  <si>
    <t>In Vitro Cytological Responses against Laser Photobiomodulation for Periodontal Regeneration</t>
  </si>
  <si>
    <t>"Here, we have summarized the molecular biological effects of diode, Nd:YAG, Er:YAG, Er,Cr:YSGG, and CO2 lasers irradiation on cells in periodontal tissues. Photobiomodulation by laser irradiation enhanced cell proliferation and calcification in osteoblasts with altering gene expression. Positive effects were observed in fibroblasts on the proliferation, migration, and secretion of chemokines/cytokines. Laser irradiation suppressed gene expression related to inflammation in osteoblasts, fibroblasts, human periodontal ligament cells (hPDLCs), and endothelial cells.
Furthermore, recent studies have revealed that laser irradiation affects cell differentiation in hPDLCs and stem cells. Additionally, some studies have also investigated the effects of laser irradiation on endothelial cells, cementoblasts, epithelial cells, osteoclasts, and osteocytes. The appropriate irradiation power was different for each laser apparatus and targeted cells. Thus, through this review, we tried to shed light on basic research that would ultimately lead to clinical application of periodontal phototherapy in the future."</t>
  </si>
  <si>
    <t>Assessment of the Photobiomodulation Effect of a Blue Diode Laser on the Proliferation and Migration of Cultured Human Gingival Fibroblast Cells: A Preliminary In Vitro Study</t>
  </si>
  <si>
    <t>"PBM with blue diode laser at power densities of 400 mW/cm2 with irradiation times of 10 and 15 seconds corresponding to energy densities of 4 and 6 J/cm2 exerted the statistically significant positive effect on both proliferation and migration of gingival fibroblast cells."</t>
  </si>
  <si>
    <t>Ladiz</t>
  </si>
  <si>
    <t>Effect of photobiomodulation with 810 and 940 nm diode lasers on human gingival fibroblasts</t>
  </si>
  <si>
    <t>810
940</t>
  </si>
  <si>
    <t>0.5 /
1.5 /
2.5</t>
  </si>
  <si>
    <t>"Although a single irradiation dose of 810 nm, 0.5 J/cm2, resulted in a positive effect on cell viability at 24 h, no statistically significant stimulatory effect on viability and proliferation was observed for the other single wavelength group. When a combination of the 2 wavelengths was used, better results were observed as compared to the control, which needs to be further investigated in future studies."</t>
  </si>
  <si>
    <t>In Vitro Effects of Photobiomodulation Applied to Gingival Fibroblasts Cultured on Titanium and Zirconia Surfaces and Exposed to LPS From Escherichia Coli</t>
  </si>
  <si>
    <t>"PBM at 3.0 J/cm2 and 1.5 J/cm2 downregulated the IL-6 synthesis by fibroblasts seeded on Ti and ZrO2, as well as IL-8 synthesis by cells seeded on ZrO2. Fibroblasts seeded on both surfaces and LPS-exposed showed increased IL-6 gene expression; however, this activity was downregulated when fibroblasts were irradiated at 3.0 J/cm2. 
Enhanced VEGF gene expression by cells seeded on Ti and laser-irradiated (3.0 J/cm2)."</t>
  </si>
  <si>
    <t>Photobiomodulation Can Prevent Apoptosis in Cells From Mouse Periodontal Ligament</t>
  </si>
  <si>
    <t>"Statistical differences were not significant to caspase-6 mRNA relative levels in tissues from jaws at both energy densities, but a significant increase of Bcl-2 mRNA relative levels was obtained at 30 J cm-2 group. Also, 30 J cm-2 group showed caspase-6 positive-labeled cells decreased and Bcl-2 positive-labeled cells significantly increased. TUNEL-labeled cells demonstrated DNA fragmentation decreased at 30 J cm-2. 
PBM can alter Bcl-2 mRNA relative level and both caspase-6 and Bcl-2 protein, modulating cell survival, as well as to reduce DNA fragmentation."</t>
  </si>
  <si>
    <t>Photobiomodulation of inflammatory-cytokine-related effects in a 3-D culture model with gingival fibroblasts.</t>
  </si>
  <si>
    <t>"PBM enhanced cell density in the matrices and stimulated VEGF expression, even after IL-6 challenge. Reduced TNF-α synthesis occurred in those cells subjected to PBM. In conclusion, PBM can penetrate collagen matrix and stimulate HGF, highlighting the relevance of this research model for further phototherapy studies and in vitro biomodulation of the healing process."</t>
  </si>
  <si>
    <t>Alaijah</t>
  </si>
  <si>
    <t>Libya
(Zliten)</t>
  </si>
  <si>
    <t>Lasers Dental Sci</t>
  </si>
  <si>
    <t>Photobiomodulation therapy in the treatment of periodontal disease: a literature review</t>
  </si>
  <si>
    <t>"The literature review showed several positive results of the PBM on proliferation of fibroblast cells and osteoblast cells in periodontal tissues."</t>
  </si>
  <si>
    <t>The effect of low-level laser irradiation on hyperglycemia-induced inflammation in human gingival fibroblasts.</t>
  </si>
  <si>
    <t>"In conclusion, LLLI may have an anti-inflammatory effect on HGFs in a high glucose environment and may benefit the treatment of periodontal disease in diabetes patients."</t>
  </si>
  <si>
    <t>High-power, red light-emitting diode irradiation enhances proliferation, osteogenic differentiation and mineralization of human periodontal ligament stem cells via ERK signaling pathway</t>
  </si>
  <si>
    <t>0-
10</t>
  </si>
  <si>
    <t>"The results of this study show that 650-nm high-power, red, LED irradiation increases PDLSCs proliferation, and osteogenic differentiation and mineralization, mediated by ERK1/2 activation. These findings suggest that LED may be a useful tool for periodontal tissue regeneration."</t>
  </si>
  <si>
    <t>Anti-inflammatory effects of low-level laser therapy on human periodontal ligament cells: in vitro study.</t>
  </si>
  <si>
    <t>Human periodontal ligament cells (hPDLCs)</t>
  </si>
  <si>
    <t>"LLLT might inhibit LPS-induced inflammation in hPDLCs through cAMP/NF-κB regulation. These results should be further studied to improve periodontal therapy."</t>
  </si>
  <si>
    <t>Eslami</t>
  </si>
  <si>
    <t>Evaluation effect of low level Helium-Neon laser and Iranian propolis extract on Collagen Type I gene expression by human gingival fibroblasts: an in vitro study.</t>
  </si>
  <si>
    <t>0.15
1.5</t>
  </si>
  <si>
    <t>"The obtained results illustrated a statistically significant difference between G3 (0.15 J/cm2) and G1 (control group) in levels of collagen Type I messenger RNA (mRNA) expression (p&lt;0.05). The irradiated cells showed a 1.4 times increase in mRNA expression of the collagen Type I gene. Expression of this gene decreases in other groups that this difference was statistically significant."</t>
  </si>
  <si>
    <t>Effects of low-level laser therapy and epidermal growth factor on the activities of gingival fibroblasts obtained from young or elderly individuals.</t>
  </si>
  <si>
    <t>"Y and E fibroblasts irradiated with laser or exposed to EGF showed increased viability and collagen synthesis.
Enhanced cell migration was observed for Y fibroblasts after both treatments, whereas only the LLLT stimulated migration of E cells.
VEGF synthesis was higher for Y and E cells exposed to EGF, while this synthesis was reduced when E fibroblasts were irradiated. Increased gene expression of VEGF was observed only for Y and E fibroblasts treated with LLLT."
"Regardless of a patient's age, the LLLT and EGF applications can biostimulate gingival fibroblast functions involved in tissue repair."</t>
  </si>
  <si>
    <t>Mandrillo</t>
  </si>
  <si>
    <t>Italy
(Taranto)</t>
  </si>
  <si>
    <t>Oral Implantol (Rome)</t>
  </si>
  <si>
    <t>Effects of light-emitting diode (led 640nm) on human gingival fibroblasts: a comparative in vitro study.</t>
  </si>
  <si>
    <t>"Specifically, the LED irradiation seems to be directly correlated with the elastin (ELN) and hyaluronoglucosaminidase 1 (HYAL1) genes activation."</t>
  </si>
  <si>
    <t>Roncati</t>
  </si>
  <si>
    <t>Evaluation of light-emitting diode (LED-835 NM) application over human gingival fibroblast: an in vitro study.</t>
  </si>
  <si>
    <t>Elastin gene (ELN)
LED phototherapy</t>
  </si>
  <si>
    <t>"In summary, the result of the present study shows that LED irradiation promoted ELN gene expression more in elderly than in younger adults."</t>
  </si>
  <si>
    <t>Low-level laser therapy in 3D cell culture model using gingival fibroblasts.</t>
  </si>
  <si>
    <t>"LLLT promoted biostimulation of gingival fibroblasts seeded in a 3D cell culture model, demonstrating that this model can be applied for phototherapy studies and that LLLT could penetrate the collagen matrix to increase cell functions related to tissue repair."</t>
  </si>
  <si>
    <t>Gkogkos</t>
  </si>
  <si>
    <t>Effect of Nd:YAG Low Level Laser Therapy on Human Gingival Fibroblasts.</t>
  </si>
  <si>
    <t>2.6
5.3
7.9
15.8</t>
  </si>
  <si>
    <t>20
40
60
120</t>
  </si>
  <si>
    <t>"All laser-irradiation doses applied promoted a higher cell proliferation at 48 hours in a dose-response relationship compared to controls. This difference reached statistical significance for the cultures receiving 15.8 J/cm(2) (p = 0.03)."</t>
  </si>
  <si>
    <t>Ogita</t>
  </si>
  <si>
    <t>Increased cell proliferation and differential protein expression induced by low-level Er:YAG laser irradiation in human gingival fibroblasts: proteomic analysis.</t>
  </si>
  <si>
    <t>Human gingival fibroblasts (HGFs)</t>
  </si>
  <si>
    <t>"A significant increase in cell proliferation without cell damage after irradiation was observed. 
Among the total identified 377 proteins, 59 proteins, including galectin-7, which was associated with the process of wound healing, were upregulated and 15 proteins were downregulated in laser-treated HGFs. 
In the third experiment, the increase in messenger RNA (mRNA) and protein expression of galectin-7 in the irradiated HGFs was validated by various analytical techniques. In addition, the effect of recombinant human galectin-7 on the modulation of HGFs proliferation was confirmed."
"The results indicate that low-level Er:YAG laser irradiation can promote HGF proliferation and induce a significant change in protein expression and the upregulation of galectin-7 expression may partly contribute to the increase in cell proliferation."</t>
  </si>
  <si>
    <t>Anti-inflammatory effect of 635 nm irradiations on in vitro direct/indirect irradiation model.</t>
  </si>
  <si>
    <t>"Thus, we suggest that not only direct exposure with 635 nm light, but also indirect exposure with 635 nm light can inhibit activation of pro-inflammatory mediators and may be clinically useful as an anti-inflammatory tool."</t>
  </si>
  <si>
    <t>Effect of low-level laser therapy on oral keratinocytes exposed to bisphosphonate.</t>
  </si>
  <si>
    <t>"Our results show that alendronate inhibits keratinocyte viability, expression of IL-8, VEGF, and collagen type I which are intimately related to healing events and cell migration while promoting apoptosis. Our results serve to demonstrate the utility of LLLT in partially overcoming the inhibitory effects of this bisphosphonate. 
From these results, the authors believe that the present study will provide an experimental basis for a fuller explanation of the clinical effects of LLLT as a BRONJ treatment modality."</t>
  </si>
  <si>
    <t>Ejiri</t>
  </si>
  <si>
    <t>High-frequency low-level diode laser irradiation promotes proliferation and migration of primary cultured human gingival epithelial cells.</t>
  </si>
  <si>
    <t>0.0944</t>
  </si>
  <si>
    <t>5.7
17.0
28.3
56.7</t>
  </si>
  <si>
    <t>"The results show that high-frequency low-level diode laser irradiation promotes HGEC proliferation and migration in association with the activation of MAPK/ERK, suggesting that laser irradiation may accelerate gingival wound healing."</t>
  </si>
  <si>
    <t>Frozanfar</t>
  </si>
  <si>
    <t>Iran J Basic Med Sci</t>
  </si>
  <si>
    <t>The Effects of Low Level Laser Therapy on the Expression of Collagen Type I Gene and Proliferation of Human Gingival Fibroblasts (Hgf3-Pi 53): in vitro Study.</t>
  </si>
  <si>
    <t>"The results demonstrated that LLLT stimulated human gingival fibroblast proliferation as well as collagen type I gene expression in vitro."</t>
  </si>
  <si>
    <t>Korea (Gwangju)</t>
  </si>
  <si>
    <t>Inflammatory cytokines are suppressed by light-emitting diode irradiation of P. gingivalis LPS-treated human gingival fibroblasts: inflammatory cytokine changes by LED irradiation.</t>
  </si>
  <si>
    <t>Inflammation
LED phototherapy</t>
  </si>
  <si>
    <t>3600
= 1h</t>
  </si>
  <si>
    <t>"LPS treatment of gingival fibroblasts led to the increased release of the pro-inflammatory-related cytokines interleukin-6 (IL-6) and IL-8, whereas LED irradiation inhibited their release. Analysis of MAPK signal transduction revealed a considerable decrease in p38 phosphorylation in response to 635-nm radiation either in the presence or absence of LPS. In addition, 635-nm LED irradiation significantly promoted JNK phosphorylation in the presence of LPS. LED irradiation can inhibit activation of pro-inflammatory cytokines, mediate the MAPK signaling pathway, and may be clinically useful as an anti-inflammatory tool."</t>
  </si>
  <si>
    <t>Hirata</t>
  </si>
  <si>
    <t>Low-level laser irradiation enhances BMP-induced osteoblast differentiation by stimulating the BMP/Smad signaling pathway</t>
  </si>
  <si>
    <t>2-12</t>
  </si>
  <si>
    <t>"These results suggest that LLLI accelerates the differentiation of BMP-induced osteoblasts by stimulating the BMP/Smad signaling pathway."</t>
  </si>
  <si>
    <t>Mayahara</t>
  </si>
  <si>
    <t>Effect of Ga-Al-As laser irradiation on COX-2 and cPLA2-alpha expression in compressed human periodontal ligament cells</t>
  </si>
  <si>
    <t>"LLL irradiation significantly inhibited COX-2 and cPLA(2)-alpha mRNA expression, which was increased in response to the application of a compressive force. Moreover, LLL irradiation immediately after compression had the strongest inhibitory effect on the expression of these genes."</t>
  </si>
  <si>
    <t>Effects of laser irradiation on the release of basic fibroblast growth factor (bFGF), insulin like growth factor-1 (IGF-1), and receptor of IGF-1 (IGFBP3) from gingival fibroblasts.</t>
  </si>
  <si>
    <t>Gingival fibroblasts</t>
  </si>
  <si>
    <t>"The results of this study showed that LLLT increased the proliferation of HGF cells and release of bFGF, IGF-1, and IGFBP3 from these cells. LLLT may play an important role in periodontal wound healing and regeneration by enhancing the production of the growth factors."</t>
  </si>
  <si>
    <t>Pourzarandian</t>
  </si>
  <si>
    <t>Effect of low-level Er:YAG laser irradiation on cultured human gingival fibroblasts.</t>
  </si>
  <si>
    <t>1.68
2.35
3.37
5.0</t>
  </si>
  <si>
    <t>"Our results showed that the low-level Er:YAG laser irradiation stimulates the proliferation of cultured gingival fibroblasts. The optimal stimulative energy density was found to be 3.37 J/cm(2)."</t>
  </si>
  <si>
    <t>Determining optimal dose of laser therapy for attachment and proliferation of human oral fibroblasts cultured on titanium implant material.</t>
  </si>
  <si>
    <t>Gingival fibroblasts
Dose response</t>
  </si>
  <si>
    <t>0.75
1.5
3</t>
  </si>
  <si>
    <t>"It is concluded that, in this cellular model, the attachment and proliferation of human gingival fibroblasts are enhanced by LLLT in a dose-dependent manner."</t>
  </si>
  <si>
    <t>Effect of low-level GaAlAs laser irradiation on the proliferation rate of human periodontal ligament fibroblasts: an in vitro study.</t>
  </si>
  <si>
    <t>Human periodontal ligament fibroblasts</t>
  </si>
  <si>
    <t>1.96-
7.84</t>
  </si>
  <si>
    <t>75-
300</t>
  </si>
  <si>
    <t>"The irradiated cells revealed a considerably higher proliferation activity than the controls. The differences were significant up to 72 h after irradiation (Mann-Whitney U-test, p&lt;0.05)."
"A cellular effect of the soft laser application is clearly discernible. Clinical studies are needed to evaluate whether the application of low-level laser therapy might be beneficial in regenerative periodontal therapy."</t>
  </si>
  <si>
    <t>Low level 809-nm diode laser-induced in vitro stimulation of the proliferation of human gingival fibroblasts.</t>
  </si>
  <si>
    <t>"The irradiated cells revealed a considerably higher proliferation activity. The differences were highly significant 24 hour after irradiation (Mann-Whitney U-test, P &lt; 0.05) but decreased in an energy-dependent manner after 48 and 72 hour after irradiation."
"A cellular effect of the soft laser irradiation on HGF is evident. Its duration, however, seems to be limited. These findings might be clinically relevant, indicating that repeated treatments are necessary to achieve a positive laser effect in clinical applications."</t>
  </si>
  <si>
    <t>500-
2500</t>
  </si>
  <si>
    <t>24.64 - 
492.8</t>
  </si>
  <si>
    <t>60-
240</t>
  </si>
  <si>
    <t>"Depending on different settings, the laser irradiation caused significant (P &lt; 0.05, t-test) reductions of cell numbers. Exposure time was more relevant to this phenomenon than the power output. Linear regression analysis revealed no unambiguous correlation between power output and cell death, when exposure time was kept constant."
"When used for periodontal pocket decontamination, the laser beam may cause damage to collateral periodontal tissues, if the power setting and the duration of the treatment are not adequate. Further investigation, especially with regard to the effects on hard tissue and microorganisms, are needed to give a secure recommendation for irradiation parameters at pocket decontamination."</t>
  </si>
  <si>
    <t>Effect of diode laser irradiation on the attachment rate of periodontal ligament cells: an in vitro study.</t>
  </si>
  <si>
    <t>Periodontal ligament cells</t>
  </si>
  <si>
    <t>"The analysis of 150 specimens revealed no significant differences between the groups (P = 0.347, Wilcoxon test). The cell numbers, however, were slightly higher on laser specimens. The mean was 66 cells/mm2 in the laser group and 63.7 cells/mm2 in the control group."
"The application of the diode laser at the parameters used did not have a substantially positive effect on the new attachment of PDL cells on the tooth specimens. It remains to be investigated whether the difference detected is really clinically relevant."</t>
  </si>
  <si>
    <t>Takema</t>
  </si>
  <si>
    <t>Reduction of Plasminogen Activator Activity Stimulated by Lipopolysaccharide from Periodontal Pathogen in Human Gingival Fibroblasts by Low-energy Laser Irradiation.</t>
  </si>
  <si>
    <t>Human gingival fibroblasts
Dose response</t>
  </si>
  <si>
    <t>?
?
7.90
?</t>
  </si>
  <si>
    <t>180
360
600
1200</t>
  </si>
  <si>
    <t>"The cultured medium of hGF cells showed a marked elevation in PA activity by LPS, which was significantly inhibited by the laser irradiation in a dose-dependent manner. This effect was involved in the reduction of tPA mRNA levels."</t>
  </si>
  <si>
    <t>Low-energy diode laser irradiation reduced plasminogen activator activity in human periodontal ligament cells.</t>
  </si>
  <si>
    <t>3.95-
7.90</t>
  </si>
  <si>
    <t>"These results suggests that laser irradiation may reduce collagen breakdown around the [periodontal ligament] associated with traumatic occlusion."</t>
  </si>
  <si>
    <t>Inhibition of prostaglandin E2 and interleukin 1-beta production by low-power laser irradiation in stretched human periodontal ligament cells.</t>
  </si>
  <si>
    <t>Dose response
Human periodontal ligament cells</t>
  </si>
  <si>
    <t>10.8
21.6
36.0</t>
  </si>
  <si>
    <t>180
360
600</t>
  </si>
  <si>
    <t>"The increase in PGE2 production was significantly inhibited by laser irradiation in a dose-dependent manner. The increase in IL-1 beta production was also significantly inhibited by laser irradiation, although the inhibition was only partial."</t>
  </si>
  <si>
    <t>Device: Ga-Al As diode laser, model Panalas-700, Matsushita, Inc., Tokyo, Japan</t>
  </si>
  <si>
    <t>Soudry</t>
  </si>
  <si>
    <t>J Biol Buccale</t>
  </si>
  <si>
    <t>[Effect of a helium-neon laser on cellular growth: an in vitro study of human gingival fibroblasts]. [Article in French]</t>
  </si>
  <si>
    <t>"An irradiation of 10 minutes (1.2J/cm2) induced a growth acceleration of the cellular population compared to a non-irradiated control population. The greatest effect was obtained four days after treatment. Furthermore, if the cells were submitted to repeated irradiations every four days, the cellular divisions increased after each treatment. A careful interpretation of these in vitro results on healing time of oral wounds in vivo would suggest that it may be due partly to a recycling actin of low power lasers on resting cells."</t>
  </si>
  <si>
    <t>Radiotherapy-related trismus</t>
  </si>
  <si>
    <t>Photobiomodulation therapy in the treatment of radiotherapy-related trismus of the head and neck</t>
  </si>
  <si>
    <t>🧑 Human
📄 Single-arm trial
👥 16 participants</t>
  </si>
  <si>
    <t xml:space="preserve">0.0028 cm2 </t>
  </si>
  <si>
    <t>"The mean mouth opening of the patients increased by more than 7 mm throughout the treatment. The pain scores on the initial days showed an immediate reduction after PBMT on the ipsilateral side in the muscles and TMJ."</t>
  </si>
  <si>
    <t>Anatomical locations: "temporalis anterior, masseter muscles, and temporomandibular joints (...) intraoral point was made in the trigonoretromolar region towards the medial pterygoid muscle"
Device: "a therapy XT model laser, diode (DMC, São Carlos, São Paulo, Brazil)"</t>
  </si>
  <si>
    <t>Three consecutive days of application of LED therapy is necessary to inhibit experimentally induced root resorption in rats: a microtomographic study.</t>
  </si>
  <si>
    <t>"In conclusion, three daily LED therapy doses are required to inhibit root resorption after appliance of orthodontic forces."</t>
  </si>
  <si>
    <t>Low-power pulsed Nd:YAG laser irradiation for pre-emptive anaesthesia: A morphological and histological study.</t>
  </si>
  <si>
    <t>0.260</t>
  </si>
  <si>
    <t>"Low-power pulsed Nd:YAG laser dose, as used in the clinical trial to induce anaesthesia, does not cause morphological damage to the mineralized tooth structure. Both Laser and EMLA groups showed minor superficial pulpal change following cavity preparation which was not statistically significant. Laser and Control groups minus preparation had no pulpal changes."</t>
  </si>
  <si>
    <t>Salivary glands</t>
  </si>
  <si>
    <t>The Mechanism of 540 nm Green Light in Promoting Salivary Secretion</t>
  </si>
  <si>
    <t>submandibular gland (SMG)-C6 cells 
Green light 🟢</t>
  </si>
  <si>
    <t>"We found that irradiation with 540 nm green light significantly decreased TER values while increased paracellular transport in SMG-C6 cells. 540 nm green light-induced redistribution of claudin-1, -3, and -4, but not occludin or ZO-1. Moreover, above phenomena were abolished by preincubation with capsazepine, an antagonist of transient receptor potential vanilloid subtype 1. Notably, irradiation with 540 nm green light on the skin covering the whole submandibular gland regions promoted salivary secretion and attenuated lymphocytic infiltration in 21-week-old non-obese diabetic mice (n = 5 per group), a xerostomia animal model for Sjögren's syndrome. Through in-depth bioinformatics analysis and expression verification, ERK1/2 and EphA2 served as potential canonical and noncanonical signals underlying 540 nm green light."</t>
  </si>
  <si>
    <t>Photobiomodulation Recovers the Submandibular Gland in Vismodegib-Treated Rats</t>
  </si>
  <si>
    <t>60
120
180</t>
  </si>
  <si>
    <t>"This study found that vismodegib damages SMG ductal cells and decreases SHH-related proteins and associated salivary functional markers. Also, 850 nm high-power LED recovered the damaged structure of SMG and increased SHH-related proteins and salivary functional markers. The study results suggest that PBM can restore SMG structure and function through SHH signaling."</t>
  </si>
  <si>
    <t>Pimentel</t>
  </si>
  <si>
    <t>Impact of photobiomodulation therapy on the morphological aspects of submandibular gland submitted to excretory duct ligation and hypothyroidism: an animal study</t>
  </si>
  <si>
    <t>2.4
/point</t>
  </si>
  <si>
    <t>"In conclusion, obstruction of the salivary gland excretory duct and hypothyroidism causes severe sialoadenitis with expressive atrophy of the glandular parenchyma. However, PBMT was able to modulate the inflammatory process and delaying acinar atrophy."</t>
  </si>
  <si>
    <t>Early effect of laser irradiation in signaling pathways of diabetic rat submandibular salivary glands</t>
  </si>
  <si>
    <t>"Treatment with LPLI significantly decreased diabetes-induced high mobility group box 1 (HMGB1) and tumor necrosis factor alpha (TNF-α) expression, while enhancing the activation of the transcriptional factor cAMP response element binding (CREB) protein.
LPLI also reduced the expression of bax, a mitochondrial apoptotic marker, favoring the cell survival.
These findings suggest that LPLI can hamper the state of chronic inflammation and favor homeostasis in diabetic rats SMGs."</t>
  </si>
  <si>
    <t>Krueger</t>
  </si>
  <si>
    <t>Evaluation of Aquaporins 1 and 5 Expression in Rat Parotid Glands After Volumetric Modulated Arc Radiotherapy and Use of Low-Level Laser Therapy at Different Times</t>
  </si>
  <si>
    <t>"The lowest AQP1 gene expression was 0.83 (0.27) with the use of LLLT 24 hours after radiotherapy (EEG), and the highest was 1.56 (0.80) with the use of LLLT alone (LG). Likewise, the lowest AQP5 gene expression was found in the EEG (mean = 0.88; SD = 0.49) and the highest in the LG (mean = 1.29; SD = 0.33)."
"The use of LLLT after radiotherapy may contribute to the maintenance and an increase of these proteins, even when used at a later time point after radiotherapy."</t>
  </si>
  <si>
    <t>Use of low-level laser therapy on children aged 1 to 5 years with energy-protein malnutrition: A clinical trial.</t>
  </si>
  <si>
    <t>Malnutrition</t>
  </si>
  <si>
    <t>"This study will be the first that investigate the effects of local laser therapy on the salivary glands of malnourished children."</t>
  </si>
  <si>
    <t>Low-level laser therapy with 850 nm recovers salivary function via membrane redistribution of aquaporin 5 by reducing intracellular Ca2+ overload and ER stress during hyperglycemia.</t>
  </si>
  <si>
    <t>Mechanisms
ER stress
Diabetic mice</t>
  </si>
  <si>
    <t>"A reduced salivary flow was also observed in streptozotocin (STZ)-induced diabetic mice model and the expression of AQP5 and phospho-AQP5 was down regulated. However, low-level laser treatment with 850 nm (30 mW, 10 min = 18 J/cm2) reduced ER stress and recovered AQP5 membrane distribution via serine phosphorylation in the cells. In the STZ-induced diabetic mouse, LLLT with 850 nm (60 J/cm2) increased salivary flow and up-regulated of AQP5 and p-AQP5. ER stress was also reduced via down-regulation of caspase 12 and CHOP."</t>
  </si>
  <si>
    <t>Uzêda-E-Silva</t>
  </si>
  <si>
    <t>Does laser phototherapy influence the proliferation of myoepithelial cells in the salivary gland of hypothyroid rats?</t>
  </si>
  <si>
    <t>Hypothyroid rats
Wavelength comparison</t>
  </si>
  <si>
    <t>12
(?)</t>
  </si>
  <si>
    <t>0.04
cm2
spot,
1
cm2
area</t>
  </si>
  <si>
    <t>"It is concluded that, despite the LPT protocol used did not influence myoepithelial proliferation on hypothyroid rats it significantly increased the proliferation on euthyroid animals."</t>
  </si>
  <si>
    <t>The Effects of Low-Power Laser Irradiation on Inflammation and Apoptosis in Submandibular Glands of Diabetes-Induced Rats</t>
  </si>
  <si>
    <t>0.56
/p</t>
  </si>
  <si>
    <t>"LPLI suppresses NF-κB activation induced by inflammation. LPLI also reduces diabetes-induced apoptosis. That effect was accompanied by decreased levels of Bax, and cleaved caspase 3, which were up-regulated in diabetes."
"Our results indicate for the first time that low-power laser irradiation reduces inflammation and apoptosis in diabetic submandibular glands.
These effects deserve further studies that can deepen our understanding of the mechanism of low-power laser irradiation, since it can mediate anti-inflammatory responses and bring a promising new therapeutic horizon for salivary gland disorders."</t>
  </si>
  <si>
    <t>Influence of laser photobiomodulation (GaAlAs) on salivary flow rate and histomorphometry of the submandibular glands of hypothyroid rats.</t>
  </si>
  <si>
    <t>660
780
780</t>
  </si>
  <si>
    <t>40
40
70</t>
  </si>
  <si>
    <t>"No significant difference was found in the salivary flow of rats that received laser photobiomodulation compared with their control groups. Histological analysis revealed a decrease in the parenchyma of the salivary glands of hypothyroid rats, but the laser was not able to reverse this process.
Hypothyroid rats irradiated or not with laser showed acini and acinar cells with significantly smaller areas than euthyroid groups. The laser photobiomodulation protocol used was not able to change salivary flow or reverse the acinar atrophy process in the submandibular glands of hypothyroid rats."</t>
  </si>
  <si>
    <t>Ibuki</t>
  </si>
  <si>
    <t>Laser irradiation affects enzymatic antioxidant system of streptozotocin-induced diabetic rats.</t>
  </si>
  <si>
    <t>Diabetic rats
Antioxidant system</t>
  </si>
  <si>
    <t>5.76
23.04</t>
  </si>
  <si>
    <t>64
256</t>
  </si>
  <si>
    <t>"SOD and CAT activities, as well as [total antioxidant value] were higher in SMG of irradiated diabetic rats. However, in [submandibular salivary gland] of non-diabetic rats, laser irradiation decreased [total antioxidant] values and led to an increase in the CAT activity. In addition, there was a decrease in the activity of CAT in [parotid gland] of diabetic and non-diabetic animals after laser irradiation."</t>
  </si>
  <si>
    <t>Laser phototherapy effect on protein metabolism parameters of rat salivary glands.</t>
  </si>
  <si>
    <t>0.277</t>
  </si>
  <si>
    <t>"Statistical tests revealed significant increase in the total protein concentration for groups A and B in the parotid glands (P &lt; 0.05)."</t>
  </si>
  <si>
    <t>Effect of diode laser on enzymatic activity of parotid glands of diabetic rats.</t>
  </si>
  <si>
    <t>"Based on the results of this study, LI decreased catalase activity in the PGs of diabetic rats."</t>
  </si>
  <si>
    <t>Onizawa</t>
  </si>
  <si>
    <t>Low-level (gallium-aluminum-arsenide) laser irradiation of Par-C10 cells and acinar cells of rat parotid gland.</t>
  </si>
  <si>
    <t>Par-C10 cells</t>
  </si>
  <si>
    <t>100
300
500</t>
  </si>
  <si>
    <t>25
66
126</t>
  </si>
  <si>
    <t>"These results suggest that low-level laser irradiation promotes cell proliferation and expression of anti-apoptosis proteins in Par-C10 cells, but it does not significantly affect amylase secretion and does not induce rapid cell death in isolated acinar cells from rat parotid glands."</t>
  </si>
  <si>
    <t>Effect of defocused infrared diode laser on salivary flow rate and some salivary parameters of rats.</t>
  </si>
  <si>
    <t>"The results showed that salivary flow rate for groups A and B was higher on the seventh day if it is compared to data obtained for the first day (p &lt; 0.05)."</t>
  </si>
  <si>
    <t>Plavnik</t>
  </si>
  <si>
    <t>Effect of low-power radiation (helium/neon) upon submandibulary glands.</t>
  </si>
  <si>
    <t>11.2</t>
  </si>
  <si>
    <t>d =
0.75 mm</t>
  </si>
  <si>
    <t>"We propose that low-power laser radiation with the doses applied in this study disturbs protein synthesis and secretion of guinea pig submandibulary glands."</t>
  </si>
  <si>
    <t>Photobiomodulation of Dental Derived Mesenchymal Stem Cells: A Systematic Review.</t>
  </si>
  <si>
    <t>"PBM therapy has no deleterious effects on ddMSCs. Although no other clear conclusion was obtained because of the scarce number of publications, the results of these studies are pointing to an important tendency of PBM therapy to improve ddMSCs' viability and proliferation."</t>
  </si>
  <si>
    <t>Borzabadi-Farahani A</t>
  </si>
  <si>
    <t>Italy/UK</t>
  </si>
  <si>
    <t>Effect of low-level laser irradiation on proliferation of human dental mesenchymal stem cells; a systemic review.</t>
  </si>
  <si>
    <t>"There is limited evidence that in-vitro LLLI (660/810/980nm, with energy densities of 0.1-3J/cm(2)) increases the proliferation of DMSCs. Considering the limited evidence and their method heterogeneity it is difficult to reach a firm conclusion.
Further research is necessary to identify the optimal characteristics of the LLLI setting (wave length, energy density, power output, frequency/duration of irradiations, distance between the cells and the laser spot/probe) to increase proliferation of DMSCs, and assess its impact on replicative senescence, as well as determine feasibility of the use in the clinical setting."</t>
  </si>
  <si>
    <t>Submucous fibrosis</t>
  </si>
  <si>
    <t>Sukanya</t>
  </si>
  <si>
    <t>Determination of Effectiveness of Photobiomodulation in the Treatment of Oral Submucous Fibrosis</t>
  </si>
  <si>
    <t>🧑 Human
📄 Single-arm trial
👥 30 participants
⌛ 15-day treatment / 6-month study</t>
  </si>
  <si>
    <t>4
/ 15 days</t>
  </si>
  <si>
    <t>"The mean increase in mouth opening following application of LLLT from day 0 to day 15 was 9.91 ± 3.34, and day 1–6 months was 14.29 ± 6.82, which was statistically significant."</t>
  </si>
  <si>
    <t>Chiang</t>
  </si>
  <si>
    <t>Photobiomodulation therapy inhibits oral submucous fibrosis in mice.</t>
  </si>
  <si>
    <t>PBM vs forskolin</t>
  </si>
  <si>
    <t>0.1517</t>
  </si>
  <si>
    <t>"Our results showed that PBM significantly reduced the development of [areca nut extract]-induced [oral submucous fibrosis], quantified by changes in submucosal layer thickness and collagen deposition.
Additionally, PBM could extensively reduce the protein expression of the fibrotic marker genes alpha smooth muscle actin (α-SMA) and connective tissue growth factor (CTGF) in buccal submucous lesions."</t>
  </si>
  <si>
    <t>Systemic lupus erythematosus (SLE)</t>
  </si>
  <si>
    <t>Benli</t>
  </si>
  <si>
    <t>Effect of low-level gallium aluminum arsenide laser therapy on the chewing performance and pain perception of patients with systemic lupus erythematosus: A randomized controlled clinical trial</t>
  </si>
  <si>
    <t>🧑 Human
🎲 Randomized trial
👥 91 participants
⌛ 4-week treatment -&gt; 1-month follow-up</t>
  </si>
  <si>
    <t>"LLLT was an effective therapeutic approach in reducing pain and improving CP for one month in SLE patients with myogenic TMD."</t>
  </si>
  <si>
    <t>Tooth replantation</t>
  </si>
  <si>
    <t>Successful Intentional Replantation of a Severely Compromised Tooth Using 3 Types of Phototherapy: A Case Report</t>
  </si>
  <si>
    <t>PBM + PDT + laser debridement</t>
  </si>
  <si>
    <t>"This case report demonstrated that an adjunctive phototherapy IR protocol can effectively treat a compromised tooth with extensive periapical infection."</t>
  </si>
  <si>
    <t>Efficacy of photobiomodulation in the treatment of avulsed teeth: A systematic review of animal studies</t>
  </si>
  <si>
    <t>"The effect of photodynamic therapy in the treatment of avulsed teeth was positive in 5 studies [25,26,27,28, 30] (significant increase in tissue repair) and negative in 2 studies [24, 29], in which both studies with negative results kept teeth in saline solution before reimplantation and showed the longest time and power of laser application."
"Based on the results of this systematic review, it can be concluded that PBM is effective for tissue repair in the treatment of avulsed teeth, depending on the means of conservation of the avulsed tooth and the laser application protocol."
Comment: The authors seem to erraneously talk about 'photodynamic therapy' in some parts of their text, even though they are citing papers on photobiomodulation and not photodynamic therapy.</t>
  </si>
  <si>
    <t>Takagi</t>
  </si>
  <si>
    <t>Histological effects of photobiomodulation on delayed tooth replantation: a systematic review</t>
  </si>
  <si>
    <t>"After screening, six studies were included in the review synthesis. 
Three of the four studies that evaluated root resorption as an outcome found that PBM decreases its occurrence after delayed tooth replantation. 
A meta-analysis was not conducted because some data were missing in the included studies. 
Half of the studies evaluating ankylosis found an increase in its occurrence after PBM. Two studies evaluated inflammatory responses and found a reduction of inflammation after PBM. In general, studies had high methodological heterogeneity, intermediate reporting quality and high RoB. 
Despite the methodological quality and RoB limitations of the studies, the histological responses after delayed tooth replantation were more favourable in the PBM groups. Preclinical studies supported by guidelines should define laser parameters for future clinical studies."</t>
  </si>
  <si>
    <t>Restor Dent Endod</t>
  </si>
  <si>
    <t>Does photobiomodulation on the root surface decrease the occurrence of root resorption in reimplanted teeth? A systematic review of animal studies</t>
  </si>
  <si>
    <t>"Five studies reported a reduced occurrence of root resorption in teeth that received photobiomodulation treatment of the root surface prior to replantation. Only 1 study reported contradictory results."
"The photobiomodulation parameters varied widely among studies. GRADE assessment showed a low certainty of evidence."
"It can be inferred that photobiomodulation treatment of the root surface prior to replantation of teeth can reduce the occurrence of root resorption. Nonetheless, further clinical studies are needed."</t>
  </si>
  <si>
    <t>Laser phototherapy induces angiogenesis in the periodontal tissue after delayed tooth replantation in rats</t>
  </si>
  <si>
    <t>"LPT at λ808 and λ660 nm caused significant increased angiogenesis on irradiated groups (PNL and WML) when compared to the non-irradiated groups (PN and WM) (p&lt;0.05). There was no statistically significant difference between PN and WM as well as between PNL and WML (p&gt;0.05)."
"LPT is capable of stimulating angiogenesis in vivo in the periodontal tissue of replanted teeth."</t>
  </si>
  <si>
    <t>Pigatto Mitihiro</t>
  </si>
  <si>
    <t>Dent Traumatol</t>
  </si>
  <si>
    <t>Effects of near-infrared LED therapy on experimental tooth replantation in rats.</t>
  </si>
  <si>
    <t>"The results suggest that the application of LED therapy up to 48 h after tooth replantation may delay periodontal ligament repair."</t>
  </si>
  <si>
    <t>Evaluation of laser phototherapy (λ 780 nm) after dental replantation in rats.</t>
  </si>
  <si>
    <t>"The use of laser phototherapy on the root surface and at the entrance of the alveolus prior to replantation had a positive biomodulative effect on alveolar repair after tooth replantation in rats."</t>
  </si>
  <si>
    <t>Matos Fde</t>
  </si>
  <si>
    <t>Effect of laser photobiomodulation on the periodontal repair process of replanted teeth.</t>
  </si>
  <si>
    <t>"The LPBM protocol at λ808 nm and λ660 nm as well as whole milk and soy milk favored the periodontal repair process of replanted teeth in rats."</t>
  </si>
  <si>
    <t>Effects of diode laser irradiation and fibroblast growth factor on periodontal healing of replanted teeth after extended extra-oral dry time.</t>
  </si>
  <si>
    <t>"DL, with or without FGF, reduced the occurrence of external root resorption and ankylosis. Periodontal healing was favored and some fiber reinsertion occurred only when FGF was used."</t>
  </si>
  <si>
    <t>Histomorphometric analysis of inflammatory response and necrosis in re-implanted central incisor of rats treated with low-level laser therapy.</t>
  </si>
  <si>
    <t>"These results showed that the laser groups developed less root resorption areas than the control group in all experimental periods. Additionally, histological analysis revealed less inflammatory cells and necrotic areas in laser groups."</t>
  </si>
  <si>
    <t>Carvalho Edos</t>
  </si>
  <si>
    <t>Brazil
(Taubaté)</t>
  </si>
  <si>
    <t>Root surface treatment using diode laser in delayed tooth replantation: radiographic and histomorphometric analyses in rats.</t>
  </si>
  <si>
    <t>"Root surface treatments with high-powered diode laser irradiation prior to delayed replantation reduced the occurrence of external root resorption compared to no treatment or sodium fluoride treatment at up to 60 days."</t>
  </si>
  <si>
    <t>USA (Cambridge and Boston, MA)</t>
  </si>
  <si>
    <t>Photoactivation of endogenous latent transforming growth factor-β1 directs dental stem cell differentiation for regeneration.</t>
  </si>
  <si>
    <t>Dentin regeneration
Mechanisms
Stem cells</t>
  </si>
  <si>
    <t>"Further, an in vivo pulp capping model in rat teeth demonstrated significant increase in dentin regeneration after LPL treatment. "
"These findings indicate a pivotal role for TGF-β in mediating LPL-induced dental tissue regeneration. More broadly, this work outlines a mechanistic basis for harnessing resident stem cells with a light-activated endogenous cue for clinical regenerative applications."</t>
  </si>
  <si>
    <t>Pulp stem cells
Bioceramic scaffolds</t>
  </si>
  <si>
    <t>max
140</t>
  </si>
  <si>
    <t>"LLLI treatment proved to be beneficial for odontogenic differentiation and biomineralization of DPSCs inside the bioceramic scaffolds, making this therapeutic modality promising for targeted dentin engineering."</t>
  </si>
  <si>
    <t>TMD</t>
  </si>
  <si>
    <t>Nemani</t>
  </si>
  <si>
    <t>India
(Ramapuram)</t>
  </si>
  <si>
    <t>J Indian Prosthodont Soc</t>
  </si>
  <si>
    <t>Evaluation of the effect of different kinds of treatment modalities for temporomandibular joint pain and its relevance to chronic cervical pain: A randomized controlled trial</t>
  </si>
  <si>
    <t>🧑 Human
🎲 Randomized trial
👥 48 participants
⌛ 12-month study</t>
  </si>
  <si>
    <t>Groups:
- control
- soft splint
- TENS
- LLL</t>
  </si>
  <si>
    <t>"TENS and LLL were found to be equally effective in reducing pain in the jaw joint region, followed by soft splints, and there was no correlation between TMJ and cervical pain."</t>
  </si>
  <si>
    <t>Abdel-Gawwad</t>
  </si>
  <si>
    <t>Evaluating the Impact of Various Treatment Modalities on the Chewing Efficiency of Anterior Disc Displacements of Temporomandibular Joint Disorder Cases: A Comparative Study</t>
  </si>
  <si>
    <t>🧑 Human
⚔ Comparison study
👥 100 participants
⌛ 6-month study</t>
  </si>
  <si>
    <t>"The study's results suggest that occlusal splints and LLLT are more effective in improving chewing efficiency than behavioral interventions."
"There was a significant increase in the chewing efficiency of ADDwR cases for the flat plane splint group more than that of the ARS group, LLLT group, and behavior therapy group (P &lt; 0.05)."</t>
  </si>
  <si>
    <t>Device: "TOWER LIGHT LASER (ELETTRONICA PAGANI, Milan, Italy)"</t>
  </si>
  <si>
    <t>Potewiratnanond</t>
  </si>
  <si>
    <t>Occlusal splint and combined multiwave locked system laser therapy demonstrated differential patient-reported outcomes and clinical parameters: A randomized controlled trial in patients with temporomandibular disorder</t>
  </si>
  <si>
    <t>🧑 Human
🎲 Randomized trial
👥 23 participants
⌛ 3 months (?)</t>
  </si>
  <si>
    <t>⚔ Groups:
- occlusal splint
- occlusal splint + PBM</t>
  </si>
  <si>
    <t>"The patients who received OS and OS + LT demonstrated better OHRQoL and clinical parameters during 3 months after treatment. An improvement in the pain-free mouth-opening distance at 2 weeks was found only in OS plus LT group; however, this difference may not be clinically significant."</t>
  </si>
  <si>
    <t>Chamani</t>
  </si>
  <si>
    <t>Sweden &amp; Iran</t>
  </si>
  <si>
    <t>Comparison of low-level laser therapy and standard treatment for temporomandibular disorders: An assessment of therapeutic and placebo effects</t>
  </si>
  <si>
    <t>🧑 Human
🎲 Randomized trial, triple-blind
👥 42 participants
⌛ 5 weeks</t>
  </si>
  <si>
    <t>⚔ Groups:
- standard treatment
- standard + PBM
- standard + sham</t>
  </si>
  <si>
    <t>"No significant difference was observed between the groups at the end of the study (p = .000)."</t>
  </si>
  <si>
    <t>Farshidfar</t>
  </si>
  <si>
    <t>The Effect of Photobiomodulation on Temporomandibular Pain and Functions in Patients With Temporomandibular Disorders: An Updated Systematic Review of the Current Randomized Controlled Trials</t>
  </si>
  <si>
    <t>"A total of 40 studies were included. All included studies except one provided information on pain intensity; 
27 studies showed a reduction in pain intensity in PBMT groups compared to control groups. 
Seven out of 15 studies, which reported maximum mouth opening (MMO), showed a greater MMO in PBMT groups than in placebo groups. In addition, the figures for passive maximum mouth opening (PMMO) and active maximum mouth opening (AMMO) in all the studies reporting PMMO and AMMO were higher in PBMT groups.  
In eight out of ten studies, lateral movement (LM) was greater in PBMT groups. Moreover, in three studies out of four, protrusive movement (PM) was reported to be greater in the PBMT group. Four out of nine studies showed a greater PPT in the PBMT group. 
Reduced TMJ sounds in the PBMT group were reported in two out of five studies. In addition, in most studies, no difference in EMG activity was detected between the two groups."
"This updated systematic review showed the promising effects of PBMT on the alleviation of pain and improvement in MMO. Using the infrared diode laser with a wavelength ranging between 780-980 nm, an energy density of&lt;100 J/ cm2, and an output power of≤500 mW for at least six sessions of treatment seems to be a promising option for treating mentioned TMDs signs and symptoms based on the previously reported findings."</t>
  </si>
  <si>
    <t>Photobiomodulation Therapy on the Palliative Care of Temporomandibular Disorder and Orofacial/Cervical Skull Pain: Preliminary Results from a Randomized Controlled Clinical Trial</t>
  </si>
  <si>
    <t>🧑 Human
🎲 Randomized trial, triple-blind
👥 145 participants
⌛ single session</t>
  </si>
  <si>
    <t>Acute effects of PBM</t>
  </si>
  <si>
    <t>3
/point
(19p per side)</t>
  </si>
  <si>
    <t>0.028 cm2
spot area</t>
  </si>
  <si>
    <t>"The results showed a reduction in the total pain score (p = 0.026), a reduction in the number of painful points (p = 0.013), and an increase in the MMO (p = 0.016) in the PBMT protocol group when compared to the placebo protocol (sham-PBMT). The PBMT was shown to be effective in reducing orofacial/cervical skull pain immediately after the irradiation."</t>
  </si>
  <si>
    <t>Emam</t>
  </si>
  <si>
    <t>Efficacy of Occlusal Splints and Low-Level Laser Therapy on the Mandibular Range of Motion in Subjects with Temporomandibular Joint Disc Displacement with Reduction</t>
  </si>
  <si>
    <t>🧑 Human
🎲 Randomized trial
👥 100 participants
⌛ 4-week treatment / 6-month study</t>
  </si>
  <si>
    <t>PBM vs stabilization splint vs anterior repositioning splint vs behavioral therapy</t>
  </si>
  <si>
    <t>105
(at 5 points)</t>
  </si>
  <si>
    <t>"All groups showed significant improvement in MRM after 6 months of treatment (P ≤ 0.05) except for BT. There was a significant improvement for [stabilization splint) and [maxillary anterior repositioning splint] on the different movements of [mandibular range of motion], more than for LLLT and BT (P ≤ 0.05)."</t>
  </si>
  <si>
    <t>Batra</t>
  </si>
  <si>
    <t>India
(Varanasi)</t>
  </si>
  <si>
    <t>Comparative effectiveness of low-level laser therapy and transcutaneous electrical nerve stimulation in symptomatic Temporomandibular Disorders: A Randomised Control Trial</t>
  </si>
  <si>
    <t>"Pain Score decreased and mouth opening increased in both groups with time, however, the difference between the two groups was not statistically significant."</t>
  </si>
  <si>
    <t>Regulski</t>
  </si>
  <si>
    <t>Photobiomodulation Therapy for the Symptoms Related to Temporomandibular Joint Disk Displacement</t>
  </si>
  <si>
    <t>"Our clinical case aimed to demonstrate the effectivity of PBM using 1064 nm Nd:YAG laser for the treatment of pain and restricted mandible movement in a patient with anterior disk displacement of the left TMJ, using subjective (pain on visual analogue scale - VAS) and objective outcome measures [dynamic magnetic resonance imaging (MRI)]. 
PBM was performed on the left condyle in four sessions using a 1064 nm Nd:YAG laser with a flat-top handpiece. Results after 10 weeks showed an increase in mouth opening and a painless joint on palpation, with no reported adverse effects. An MRI of the TMJ confirmed the left disk displacement, however, with no signs of inflammation or effusion and with less pronounced disk deformity as compared with the first MRI examination."</t>
  </si>
  <si>
    <t>Al-Quisi</t>
  </si>
  <si>
    <t>The reliability of using light therapy compared with LASER in pain reduction of temporomandibular disorders: a randomized controlled trial</t>
  </si>
  <si>
    <t>660
(LED)
810
(laser)</t>
  </si>
  <si>
    <t>1600
1000</t>
  </si>
  <si>
    <t>"Both LED light and LASER therapies could effectively relieve pain associated with myogenic TMD as there were no important differences between their outcomes. However, the biosafety and lower cost of the LED light device compared to the LASER should also be considered."</t>
  </si>
  <si>
    <t>Furquim</t>
  </si>
  <si>
    <t>Application of photobiomodulation for chronic pain-related TMD on pain points versus pre-established points: Randomized clinical trial</t>
  </si>
  <si>
    <t>🧑 Human
🎲 Randomized trial
👥 54 participants
⌛ 6-month study</t>
  </si>
  <si>
    <t>1/week
for a month</t>
  </si>
  <si>
    <t>"Therefore, it can be concluded that in women with chronic painful TMD, the application of PTB at pain points is more effective than the application at pre-established points."</t>
  </si>
  <si>
    <t>Rady</t>
  </si>
  <si>
    <t>Promising minimally invasive treatment modalities for symptomatic temporomandibular joint disc displacement with reduction: a randomized controlled clinical trial</t>
  </si>
  <si>
    <t>🧑 Human
⚔ Comparison study
👥 27 participants
⌛ 3 months</t>
  </si>
  <si>
    <t>⚔ PBM vs botulinum toxin vs anterior repositioning appliance</t>
  </si>
  <si>
    <t>3/week
for 3 months</t>
  </si>
  <si>
    <t>"We concluded that BTX-A and LLLT could be considered effective alternative treatment modalities to ARA regarding reducing joint pain, clicking, and improving disc position in patients with symptomatic DDwR."</t>
  </si>
  <si>
    <t>El-Shaheed</t>
  </si>
  <si>
    <t>Efficacy of stabilisation splint and low-level laser therapy for patients with chronic closed lock from non-reducible displaced temporo-mandibular joint discs: A parallel randomised clinical trial</t>
  </si>
  <si>
    <t>🧑 Human
🎲 Randomized trial
👥 42 participants
⌛ 6-month study</t>
  </si>
  <si>
    <t>PBM vs splint vs both</t>
  </si>
  <si>
    <t>"All treatment modalities can be effective in management of CCL from a TMJ DDwoR cases, but the combined SST and LLLT group seems to provide the best and quickest improvement."</t>
  </si>
  <si>
    <t>Tournavitis</t>
  </si>
  <si>
    <t>Effectiveness of conservative therapeutic modalities for temporomandibular disorders-related pain: a systematic review</t>
  </si>
  <si>
    <t>"The primary findings of the present systematic review showed that the occlusal splint alone or combined with other therapeutic intervention presented positive effect on short-term TMD pain reduction. 
Secondary outcome suggests that laser and photobiomodulation therapy had, also, a significant role in short term pain relief."</t>
  </si>
  <si>
    <t>Sertaje</t>
  </si>
  <si>
    <t>Uruguay
(Montevideo)</t>
  </si>
  <si>
    <t>Vascular photobiomodulation in the treatment of children with temporomandibular disorders: Study protocol for a randomized, controlled, blind, clinical trial</t>
  </si>
  <si>
    <t>Intravascular PBM (study protocol)</t>
  </si>
  <si>
    <t>"This study aims to verify if the use of intravascular laser irradiation of blood (ILIB) influences the reduction of pain and increases the range of motion in opening and closing of the mouth in children and adolescents with temporomandibular disorders (TMD)."
"Irradiation will be performed by continuous and direct transcutaneous application to the radial artery, by means of a bracelet that inserts the laser beam."</t>
  </si>
  <si>
    <t>Desai</t>
  </si>
  <si>
    <t>Efficacy of Low-Level Laser Therapy in Management of Temporomandibular Joint Pain: A Double Blind and Placebo Controlled Trial</t>
  </si>
  <si>
    <t>🧑 Human
🎲 Randomized trial, sham-controlled
👥 60 participants
⌛ 8 weeks (??)</t>
  </si>
  <si>
    <t>"The results showed improvement in the pain reduction, improvement in the maximum mouth opening, reduction in deviation, and clicking in both groups but better treatment outcome in the low-level laser group."</t>
  </si>
  <si>
    <t>Ma Zwiri</t>
  </si>
  <si>
    <t>Malaysia
(Kelantan)</t>
  </si>
  <si>
    <t>A Randomized Controlled Trial Evaluating the Levels of the Biomarkers hs-CRP, IL-6, and IL-8 in Patients with Temporomandibular Disorder Treated with LLLT, Traditional Conservative Treatment, and a Combination of Both</t>
  </si>
  <si>
    <t xml:space="preserve">🧑 Human
🎲 Randomized trial
👥 32 participants
⌛ </t>
  </si>
  <si>
    <t>"A statistically non-significant difference was found in hs-CRP and IL-6 before and after LLLT, conservative, and combined treatment strategies of TMD."</t>
  </si>
  <si>
    <t>Simultaneous red and infrared light-emitting diodes reduced pain in individuals with temporomandibular disorder: a randomized, controlled, double-blind, clinical trial</t>
  </si>
  <si>
    <t>🧑 Human
🎲 Randomized trial, sham-controlled
👥 18 participants
⌛ 2 weeks</t>
  </si>
  <si>
    <t>75.6
/ point</t>
  </si>
  <si>
    <t>"Photobiomodulation using a cluster with red and infrared LEDs induced a reduction in pain in individuals with temporomandibular disorder but did not alter mandibular range of motion in these individuals."</t>
  </si>
  <si>
    <t>Brazil
(Ribeirão)</t>
  </si>
  <si>
    <t>Effect of photobiomodulation treatment on pain control in patients with temporomandibular dysfunction disorder: systematic review</t>
  </si>
  <si>
    <t>"Eighty-four articles were found and, after removing duplicates, seventy one studies were included for titles and abstracts. 
For a full reading, 30 articles were selected and, according to the eligibility criteria, 24 remained for qualitative analysis. The studies showed a low risk of bias. Due to the heterogeneity of the studies, it was not possible to perform a meta-analysis."</t>
  </si>
  <si>
    <t>da Silva Dias</t>
  </si>
  <si>
    <t>Brazil
(João Pessoa)</t>
  </si>
  <si>
    <t>Effects of photobiomodulation combined with orofacial myofunctional therapy on the quality of life of individuals with temporomandibular disorder</t>
  </si>
  <si>
    <t>🧑 Human
🎲 Randomized trial, sham-controlled
👥 34 participants
⌛ 12-week study</t>
  </si>
  <si>
    <t>6
later
4</t>
  </si>
  <si>
    <t>51
later
34</t>
  </si>
  <si>
    <t>"In Table 3, the analysis after the therapy sessions verified a difference between the groups in only one of the domains in the protocol. The greatest difference between the groups after the individuals had been treated was perceived in the functional limitation."</t>
  </si>
  <si>
    <t>Comparative efficacy of low-level laser therapy (LLLT) to TENS and therapeutic ultrasound in management of TMDs: a systematic review &amp; meta-analysis</t>
  </si>
  <si>
    <t>"Twelve RCTs were included in the systematic review, and 9 were included in the meta-analysis. For reduction in pain between LLLT and TENS, LLLT was found to be better than TENS, at 95% CI. LLLT was also proven to be better in reducing pain than therapeutic US, at 81% CI."</t>
  </si>
  <si>
    <t>Khalighi</t>
  </si>
  <si>
    <t>The efficacy of low-level diode laser versus laser acupuncture for the treatment of myofascial pain dysfunction syndrome (MPDS)</t>
  </si>
  <si>
    <t>🧑 Human
⚔ Comparison study
👥 24 participants
⌛ 4-week treatment -&gt; 2-month follow-up</t>
  </si>
  <si>
    <t>PBM vs laser acupuncture</t>
  </si>
  <si>
    <t>100-
500</t>
  </si>
  <si>
    <t>6-24</t>
  </si>
  <si>
    <t>60
/ point</t>
  </si>
  <si>
    <t>"This study compared the efficacies of low-level diode laser therapy (LLLT) and laser acupuncture therapy (LAT) in the treatment of MPDS."
"The pain intensities decreased from 6.58 ± 1.31 to 0.33 ± 0.65 and from 7.08 ± 1.37 to 0 in the LLLT and LAT groups, respectively. The maximum mouth openings increased from 32.25 ± 8.78 mm to 42.58 ± 4.75 mm and from 33 ± 6.57 mm to 45.67 ± 3.86 mm in the LLLT and LAT groups, respectively."
Comment: Parameters were inadequately reported.</t>
  </si>
  <si>
    <t>Máximo</t>
  </si>
  <si>
    <t>Effects of low-level laser photobiomodulation on the masticatory function and mandibular movements in adults with temporomandibular disorder: a systematic review with meta-analysis</t>
  </si>
  <si>
    <t>"The 10 articles included in the review had quite different results one from the other, especially regarding the amplitude of mouth opening, while the mastication was assessed in only one of them. Most studies had a high risk of bias, demonstrating a low methodological quality. Significantly higher results for photobiomodulation were identified in the six studies included in the meta-analysis."
"Due to the scarcity in the literature, there is not enough evidence of the effects of low-level laser photobiomodulation on mastication. As for the mandibular movements, this intervention presented significant results, particularly in the amplitude of mouth opening."</t>
  </si>
  <si>
    <t>Effectiveness of low-level gallium aluminium arsenide laser therapy for temporomandibular disorder with myofascial pain: A systemic review and meta-analysis</t>
  </si>
  <si>
    <t>"The data from 8 randomized controlled trials including 181 patients were analyzed.
The severity of myofascial TMD pain (measured on a visual analogue scale, VAS) at the end of treatment was significantly different between the control laser therapy and the low-level GaAlAs laser therapy (weighted mean difference [WMD] = -0.76, 95% confidence interval [CI] -1.51 to 0.01, P = .046); at 3 to 4 weeks after treatment, there was no significant difference (WMD = 1.24, 95% CI -0.04 to 2.51, P = .057).
In addition, there was no significant improvement in maximum mouth opening (MMO) at the end of treatment (WMD = -0.03, 95% CI -4.13 to 4.06, P = .987) or at 3 to 4 weeks after treatment (WMD = 1.22, 95% CI -2.94 to 5.39, P = .565)."
" The results of this study suggest that there is insufficient evidence to indicate an efficacy of low-level GaAlAs laser therapy in improving TMD pain and maximal oral opening."</t>
  </si>
  <si>
    <t>Fetai</t>
  </si>
  <si>
    <t>Croatia
(Medulin)</t>
  </si>
  <si>
    <t>Psychiatr Danub</t>
  </si>
  <si>
    <t>Self-Massage and Low-Level Laser in Treatment of Masseter Myalgia: Short-Term Effect</t>
  </si>
  <si>
    <t>🧑 Human
⚔ Comparison study, randomized
👥 54 participants (42 completed)
⌛ 3 months (??)</t>
  </si>
  <si>
    <t>PBM vs self-massage</t>
  </si>
  <si>
    <t>4
cm2
area</t>
  </si>
  <si>
    <t>every other day
(?)</t>
  </si>
  <si>
    <t>"Laser and massage are effective in reducing symptoms of chronic myalgia of the masseter in self-reported limitation of jaw function and reducing pain intensities (p&lt;0.001). Increase of mouth opening was present in both groups, but mainly significant in laser group. The differences in the amount of change between groups were not significant."</t>
  </si>
  <si>
    <t>Synergistic effect of low-level laser and vacuum therapy on the temporomandibular disorder: two cases report</t>
  </si>
  <si>
    <t>🧑 Human
📄 Case series
👥 2 participants</t>
  </si>
  <si>
    <t>PBM + vacuum therapy</t>
  </si>
  <si>
    <t>"The obtained results showed the improvement of muscle pain and oral opening accompanied by improved quality of life of the volunteers treated with a percentage of 84% in patient 1 and 100% in patient 2. Combined therapies (LLL and vacuum therapies) may be a complementary or alternative treatment to control pain and decrease the recovery time of normality masticatory muscles."</t>
  </si>
  <si>
    <t>Photobiomodulation inhibits inflammation in the temporomandibular joint of rats</t>
  </si>
  <si>
    <t>"Samples analysis demonstrated that PBM inhibit leukocytes chemotaxis in the TMJ and significantly reduces amounts of TNF-α, IL-1β and CINC-1. 
In addition, Western blotting analysis demonstrated that PBM significantly decreased the protein levels of P2X3 and P2X7 receptors in the periarticular tissues.
On the other hand, PBM was able to increase protein level of IL-10 (anti-inflammatory cytokine).
In summary, it is possible to suggest that PBM inhibit inflammatory chemotaxis, modulation the balance of the pro- and anti-inflammatory characteristics of inflammatory cells."</t>
  </si>
  <si>
    <t>Shousha</t>
  </si>
  <si>
    <t>United Arab Emirates
(Sharjah)</t>
  </si>
  <si>
    <t>Effects of low-level laser therapy versus soft occlusive splints on mouth opening and surface electromyography in females with temporomandibular dysfunction: A randomized-controlled study</t>
  </si>
  <si>
    <t>🧑 Human
🎲 Randomized trial
👥 112 participants
⌛ ~3-week treatment / 1-year follow-up (??)</t>
  </si>
  <si>
    <t>PBM vs occlusal splint vs waitlist</t>
  </si>
  <si>
    <t>"A significant reduction was reported in TOI, VAS and the sEMG within the LLLT and OST groups as well as significant decrease in all outcomes between groups in favor of the LLLT group (P&lt; 0.0001). Meanwhile, there was a weak significant difference within the control group probably attributed to the analgesic."
"Findings support an evident short term therapeutic effect of the LLLT on improving VAS, TOI and sEMG in females suffering from myogenous TMD."
Comment: The authors claim this is a double-blind study, while they also mention they do not have a sham group.</t>
  </si>
  <si>
    <t>Role of Photobiomodulation Therapy in Modulating Oxidative Stress in Temporomandibular Disorders. A Systematic Review and Meta-Analysis of Human Randomised Controlled Trials</t>
  </si>
  <si>
    <t>"Meta-analysis on 32 out of 44 studies revealed statistically significant intergroup differences (SSID) for VAS (SMD = -0.55; 95% CI = -0.82 to -0.27; Z = 3.90 (p &lt; 0.001)), PPT (SMD = -0.45; 95% CI = -0.89 to 0.00; Z = 1.97 (p = 0.05)) and MMO (SMD = -0.45; 95% CI = -0.89 to 0.00; Z = 1.97 (p = 0.05)), favouring PBMT compared to control treatment strategies.
Sensitivity analysis revealed SSID (SMD = -0.53; 95% CI = -0.73 to -0.32; Z = 5.02 (p &lt; 0.0001)) with low heterogeneity (Τ2 = 0.02; χ2 = 16.03 (p = 0.31); I2 = 13%). 
Hence, this review, for first time, proposed suggested recommendations for PBMT protocols and methodology for future extensive TMD research."
 ["Differences in pain reduction assessment by qualitative measurement with visual analogue scale pain (VAS), pressure threshold (PPT) and maximum mouth opening (MMO) were calculated with 95% confidence intervals and pooled in a random effects model with a subgroup analysis, evaluating the role of follow-up duration."]</t>
  </si>
  <si>
    <t>Comparative effectiveness of low-level laser therapy with different wavelengths and transcutaneous electric nerve stimulation in the treatment of pain caused by temporomandibular disorders: a systematic review and network meta-analysis</t>
  </si>
  <si>
    <t>"27 RCTs with 969 patients with TMD were included. In the meta-analysis, all treatment groups showed an overall improvement in pain scores, when compared with the placebo group. LLLT with wavelength ranging from 910nm to 1100nm produced more pain relief in the visual analogue scale (VAS) immediately after treatment [mean difference (MD)=4.68, 95% confidence interval (CI):(3.08,6.28)]. After one month follow-up, LLLT with wavelength ranging from 910nm to 1100nm also showed superior pain-relieving effects [MD=3.61, 95% CI: (-1.77, 8.99)]. However, no significant difference was observed. Based on the SUCRA ranking, L3 ranked first immediately after treatment and one month later."</t>
  </si>
  <si>
    <t>Photobiomodulation and myofascial temporomandibular disorder: Systematic review and meta-analysis followed by cost-effectiveness analysis</t>
  </si>
  <si>
    <t>"17 papers met the inclusion criteria for the systematic review (SR). Of these, only 04 papers met the inclusion criteria for meta-analysis: VAS data represented by numerical scores and placebo control group."
"As for the wavelength, the most used value was 780nm (followed by 830nm. The most used treatment time was 4 offered treatments for 4 weeks; followed by 10 sessions. Regarding periodicity, 9 studies used 2 times a week. The meta-analysis showed that laser-treated groups had painful symptoms improvement that was superior to the control group (mean difference 1.49;95% CI = -1.67; -1.32). Laser therapy showed a cost-effectiveness of $1,464.28 by controlled pain intensity and placebo showed $2,866.20 by controlled pain intensity."</t>
  </si>
  <si>
    <t>J Med Life</t>
  </si>
  <si>
    <t>Low-level laser therapy in temporomandibular joint disorders: a systematic review</t>
  </si>
  <si>
    <t>"Previously conducted systematic reviews and meta-analyses have shown variable results regarding the efficiency of LLLT in TMJ disorder patients. Hence, this systematic review was carried out as an attempt to evaluate the efficacy of LLLT in the treatment of temporomandibular joint disorder patients."
"The results demonstrate that LLLT appears to be efficient in diminishing TMD pain with variable effects on the outcome of secondary parameters. Also, LLLT provides advantages as the therapeutic regimen is non-invasive, reversible, with fewer adverse effects, and may also improve the psychological and emotional aspects associated with TMDs. Therefore, this systematic review highlights the role of LLLT as a promising therapeutic regimen for TMDs."</t>
  </si>
  <si>
    <t>Effects of photobiomodulation associated with orofacial myofactional therapy on temporomandibular joint dysfunction</t>
  </si>
  <si>
    <t>🧑 Human
🎲 Randomized trial, sham-controlled
👥 11 participants
⌛ 10-week treatment -&gt; 1-week follow-up</t>
  </si>
  <si>
    <t>10
(weekly)</t>
  </si>
  <si>
    <t>"The [experimental group] increased measurements of mandibular movements of opening and protrusion and improved in the evaluation of QOL."</t>
  </si>
  <si>
    <t>Device: "low-level laser of gallium-aluminum-arsenide (GaAlAs), in the cases of the EG, using the Laser Pulse Diamond Line equipment manufactured by IBRAMED"</t>
  </si>
  <si>
    <t>Aisaiti</t>
  </si>
  <si>
    <t>Effect of photobiomodulation therapy on painful temporomandibular disorders</t>
  </si>
  <si>
    <t>🧑 Human
🎲 Randomized trial, double-blind
👥 175 participants
⌛ 7 days</t>
  </si>
  <si>
    <t>"Overall, PBMT was associated with marginally better improvements in range of motion compared to placebo in both myalgia and arthralgia patients. Pain intensity, sensory function and jaw movements improve after both PBMT and placebo treatments in myalgia and arthralgia patients indicating a substantial non-specific effect of PBMT."</t>
  </si>
  <si>
    <t>Tanhan</t>
  </si>
  <si>
    <t>Efficacy of different combinations of physiotherapy techniques compared to exercise and patient education in temporomandibular disorders: A randomized controlled study</t>
  </si>
  <si>
    <t>🧑 Human
⚔ Comparison study, randomized
👥 75 participants
⌛ 4 weeks</t>
  </si>
  <si>
    <t>PBM vs exercise vs manual pressure release</t>
  </si>
  <si>
    <t>2.5-4
/p
(4p)</t>
  </si>
  <si>
    <t>"Exercise therapy is an effective approach for treatment of TMDs. Additionally, LLLT combined with exercise and MPR combined with exercise have better effects than only exercise therapy. Multimodal treatment approaches should include exercise to achieve better results in clinical practice."</t>
  </si>
  <si>
    <t>Orofacial evaluation of individuals with temporomandibular disorder after LED therapy associated or not of occlusal splint: a randomized double-blind controlled clinical study</t>
  </si>
  <si>
    <t>🧑 Human
🎲 Randomized trial, double-blind
👥 70 participants
⌛ 4-week treatment -&gt; 30-day follow-up</t>
  </si>
  <si>
    <t>2.1
(/point?)
(26 points?)</t>
  </si>
  <si>
    <t>0.7
cm2</t>
  </si>
  <si>
    <t>70
(/point?)</t>
  </si>
  <si>
    <t>"In conclusion, the association of LED therapy and OS presented superior results in relation to the isolated therapies, especially the protocol with two weekly sessions."</t>
  </si>
  <si>
    <t>Device: "Fisioled® equipment (MMOptics, São Carlos, SP, Brazil) "</t>
  </si>
  <si>
    <t>Jing</t>
  </si>
  <si>
    <t>Effects of different energy density low-level laser therapies for temporomandibular joint disorders patients: a systematic review and network meta-analysis of parallel randomized controlled trials</t>
  </si>
  <si>
    <t>"When energy density not more than 10 J/cm2, LLLT makes statistically significant pain reduction in the initial management of TMD. One month later, LLLT is effective than placebo in pain management but the result doesn’t reach the point of statistical significance."</t>
  </si>
  <si>
    <t>Maracci</t>
  </si>
  <si>
    <t>Treatment of Myofascial Pain With a Rapid Laser Therapy Protocol Compared to Occlusal Splint: A Double-Blind, Randomized Clinical Trial</t>
  </si>
  <si>
    <t>🧑 Human
🎲 Randomized trial, double-blind
👥 30 participants
⌛ 3-day treatment -&gt; 1-month follow-up</t>
  </si>
  <si>
    <t>PBM vs placebo vs splint</t>
  </si>
  <si>
    <t>22
/point
(painful TMD points)</t>
  </si>
  <si>
    <t xml:space="preserve">The pain reduction in PBM group was less than in placebo group. </t>
  </si>
  <si>
    <t>Chami</t>
  </si>
  <si>
    <t>Rapid LLLT Protocol for Myofascial Pain and Mouth Opening Limitation Treatment in the Clinical Practice: An RCT</t>
  </si>
  <si>
    <t>🧑 Human
🎲 Randomized trial, double-blind
👥 20 participants
⌛ 3-day treatment -&gt; 28-day follow-up</t>
  </si>
  <si>
    <t>"A significant increase in the maximum mouth opening (p = 0.04) and improvement in OHIP/TMD scores (p = 0.003) were observed in the LG after 30 days."</t>
  </si>
  <si>
    <t>Karic</t>
  </si>
  <si>
    <t>Photobiomodulation and Stem Cell Therapy for Temporomandibular Joint Disc Disorders</t>
  </si>
  <si>
    <t>"Photobiomodulation of stem cells with and without scaffolds could be used indirectly or directly as modulation of degenerative changes of the TMJ disc."
"The need for a distinct shift of the research margin in this field of dentistry is evident, specifically regarding the application of photobiomodulation and stem cells for tissue engineering of the TMJ disc."</t>
  </si>
  <si>
    <t>Effectiveness of Photobiomodulation in Temporomandibular Disorder-Related Pain Using a 635 Nm Diode Laser: A Randomized, Blinded, and Placebo-Controlled Clinical Trial</t>
  </si>
  <si>
    <t>🧑 Human
🎲 Randomized trial, sham-controlled
👥 42 participants
⌛ 1-month treatment -&gt; 1-month follow-up</t>
  </si>
  <si>
    <t>0.5
cm2
per
point</t>
  </si>
  <si>
    <t>20
/point
(over sensitive points)
(avg 4p per side)</t>
  </si>
  <si>
    <t>"There was a significant reduction in the degree of pain recorded in the laser group after treatment (0.63 ± 0.36) compared with the baseline evaluation (4.59 ± 2.36; p &lt; 0.001), which was not observed in the placebo group. 
Reduction of pain during palpation of most masticatory muscles was significant following treatment in the intervention group. 
A significant increase in the nonassisted painless mouth opening was observed after treatment (42.14 ± 5.8 mm) compared with baseline values (36.73 ± 9.91 mm) only among the laser group (p = 0.007). 
There were no reported adverse events or side effects among the patients in the intervention group. "</t>
  </si>
  <si>
    <t>Device: "diode laser (Lasotronix, Diode Laser DiodeLX model SMART M; Zytnia, Piaseczno, Poland"</t>
  </si>
  <si>
    <t>Chellappa &amp; Thirupathy</t>
  </si>
  <si>
    <t>Comparative efficacy of low-Level laser and TENS in the symptomatic relief of temporomandibular joint disorders: A randomized clinical trial.</t>
  </si>
  <si>
    <t>🧑 Human
⚔ Comparison study
👥 60 participants
⌛ 3 weeks</t>
  </si>
  <si>
    <t>3
/site
(4 sites ... per side?)</t>
  </si>
  <si>
    <t>120
/site</t>
  </si>
  <si>
    <t>"Comparatively after analyzing the two methods, the values obtained after LLLT were significantly higher than those obtained after TENS therapy (P &lt; 0.01)."</t>
  </si>
  <si>
    <t>Device: "diode laser (Zolar Technology and Mfg. Co. Inc., Ontario, Canada)"</t>
  </si>
  <si>
    <t>Azangoo Khiavi</t>
  </si>
  <si>
    <t>Efficacy of Low-Level Laser, Hard Occlusal Appliance and Conventional Pharmacotherapy in the Management of Myofascial Pain Dysfunction Syndrome; A Preliminary Study.</t>
  </si>
  <si>
    <t>🧑 Human
🎲 Randomized trial
👥 15 participants
⌛ ~3-week treatment -&gt; ~3-week follow-up</t>
  </si>
  <si>
    <t>2
/point
(tender muscles)</t>
  </si>
  <si>
    <t>"Pain relief in the subjective VAS was observed in both laser and appliance groups in the third and fourth examination sessions (P&lt;0.05). No statistically significant reduction in pain was noted using pharmacotherapy only. The maximum painless mouth opening and muscle tenderness were not significantly different between the 3 groups (P&gt;0.05)."
"Both the laser and the occlusal appliance combined with pharmacotherapy proved to be effective for pain reduction in patients with MPDS. All groups, however, failed to result in a significant improvement in the maximum mouth opening or tenderness in masticatory muscles."</t>
  </si>
  <si>
    <t>Device: "gallium arsenide diode laser (Biolase, USA)"</t>
  </si>
  <si>
    <t>The influence of educational measures and low-level laser phototherapy on temporomandibular disorders: Study protocol clinical trial (SPIRIT Compliant).</t>
  </si>
  <si>
    <t>Evaluation the effects of low-level laser therapy on disc displacement with reduction</t>
  </si>
  <si>
    <t>🧑 Human
🎲 Randomized trial
👥 40 participants
⌛ 4-week treatment -&gt; 8-week follow-up (?)</t>
  </si>
  <si>
    <t>"A constant decrease was found in the VAS scores in both groups. At four (p=0.008) and 12 weeks (p=0.003), a statistically significant difference in the VAS scores was observed. At all time points, PMO and MMO scores increased in both groups. The MMO scores were statistically higher in the laser group at all time points (p&lt;0.005)."
Comment: The PBM group had slightly better pain scores at baseline. The overall improvement is not much better compared to control group.</t>
  </si>
  <si>
    <t>Nadershah</t>
  </si>
  <si>
    <t>Photobiomodulation Therapy for Myofascial Pain in Temporomandibular Joint Dysfunction: A Double-Blinded Randomized Clinical Trial.</t>
  </si>
  <si>
    <t>🧑 Human
🎲 Randomized trial, double-blind
👥 202 participants
⌛ 10 days</t>
  </si>
  <si>
    <t>2.8
cm2
spot
size</t>
  </si>
  <si>
    <t>"There was a significant difference in VAS scores between the test and control groups with the test group scoring lower."
Comment: The values were reported in a strange way (no actual pain values were given in the results).</t>
  </si>
  <si>
    <t>Lemos</t>
  </si>
  <si>
    <t>Photobiostimulation activity of different low-level laser dosage on masticatory muscles and temporomandibular joint in an induced arthritis rat model.</t>
  </si>
  <si>
    <t>"Considering the study limitations, it was observed that LLLT treatments were effective in protecting and tissue cleansing joint structures, accelerating tissue repair, especially at lower doses."</t>
  </si>
  <si>
    <t>Tunér</t>
  </si>
  <si>
    <t>Sweden
(Stockholm)</t>
  </si>
  <si>
    <t>Photobiomodulation in Temporomandibular Disorders.</t>
  </si>
  <si>
    <t>"The best results for pain relief and mandibular movement enhancement were reported after application of GaAlAs diode laser, 800-900 nm, 100-500 mW, and &lt;10 J/cm2, twice a week for 30 days on trigger points. The session of light applications varied from 1 to 20."
"Although most articles showed that PBMT is effective in reducing pain and contributed to functional enhancement in TMD patients, the heterogenic parameters that have been reported in various studies made the standardization of PBMT complicated. However, such evidence-based consensus can be beneficial for both future research and for clinical applications."</t>
  </si>
  <si>
    <t>Khairnar</t>
  </si>
  <si>
    <t>Comparative evaluation of low-level laser therapy and ultrasound heat therapy in reducing temporomandibular joint disorder pain.</t>
  </si>
  <si>
    <t>🧑 Human
⚔ Comparison study, randomized
👥 42 participants
⌛ 30 days</t>
  </si>
  <si>
    <t>Ultrasound vs LLLT</t>
  </si>
  <si>
    <t>6.6
(?)</t>
  </si>
  <si>
    <t>15
/ 30 days</t>
  </si>
  <si>
    <t>"Post-therapy, the mean visual analog scale score for group A and group B was 4.81 (2.01) and 6.19 (1.20), respectively; the difference was statistically significant and favoring the LLLT group. Similarly, the mean mouth opening for group A and group B was 3.99 (0.40) and 3.65 (0.41), respectively; the difference was statistically significant and favoring the LLLT group."
"Our study recommends LLLT for treating TMD-related pain with no underlying bony pathology."
Comment: Parameters were insufficiently reported</t>
  </si>
  <si>
    <t>Device: "Class 2M laser machine (Silberbauer®)"</t>
  </si>
  <si>
    <t>Increased Oral Health-Related Quality of Life Postsynergistic Treatment with Ultrasound and Photobiomodulation Therapy in Patients with Temporomandibular Disorders.</t>
  </si>
  <si>
    <t>🧑 Human
📄 Single-arm study
👥 13 participants
⌛ 4-week treatment -&gt; 30-day follow-up</t>
  </si>
  <si>
    <t>PBM+ultrasound</t>
  </si>
  <si>
    <t>1.76
mm2
spot
area
1.6
cm2
effective
radiation
area</t>
  </si>
  <si>
    <t>"Psychological discomfort, physical pain, and psychological limitation were the domains where the highest scores were obtained at T0. The total OHIP-14 scores at T1 and T2 were significantly lower than at T0. 
No statistical differences were observed between T1 [after 8th session] and T2 [30 days after the last session]."
Comment: No control group.</t>
  </si>
  <si>
    <t>Abbasgholizadeh</t>
  </si>
  <si>
    <t>Evaluation of the efficacy of different treatment modalities for painful temporomandibular disorders.</t>
  </si>
  <si>
    <t>🧑 Human
🎲 Randomized trial
👥 45 participants
⌛ 4-week treatment / 6-month study</t>
  </si>
  <si>
    <t>Splint vs splint+arthrocentesis vs splint+LLLT</t>
  </si>
  <si>
    <t>321</t>
  </si>
  <si>
    <t>"When the groups were compared, the application of LLLT did not make a significant contribution to pain and functional jaw movements. Over time, all treatment methods showed effective results and the significant differences disappeared."
Comment: There seemed to be a non-significant positive trend with splint+LLLT (compared to splint alone), but splint alone seemed to associate with clinically relevant success, without actual need for additional therapies.</t>
  </si>
  <si>
    <t>Follow-up results of a randomized clinical trial for low-level laser therapy in painful TMD of muscular origins.</t>
  </si>
  <si>
    <r>
      <rPr>
        <sz val="7.0"/>
      </rPr>
      <t xml:space="preserve">🧑 Human
🎲 Randomized trial, long-term follow-up
👥 41 participants
⌛ 12-month follow-up
</t>
    </r>
    <r>
      <rPr>
        <i/>
        <sz val="7.0"/>
      </rPr>
      <t>(secondary publication of Magri 2017 and Magri 2018 with 6 and 12 month follow-up results)</t>
    </r>
  </si>
  <si>
    <t>5 (?)</t>
  </si>
  <si>
    <r>
      <rPr>
        <rFont val="Arial"/>
        <color rgb="FF000000"/>
        <sz val="6.0"/>
      </rPr>
      <t>"Active and placebo LLLTs are effective only in the short-term treatment period (up to six months postintervention). After one year (long-term follow-up), neither was effective in maintaining the analgesia promoted in women with myofascial pain (TMD of muscular origin)."
Note: This study was highlighted by J Am Dent Assoc in a short study summary ("</t>
    </r>
    <r>
      <rPr>
        <rFont val="Arial"/>
        <i/>
        <color rgb="FF000000"/>
        <sz val="6.0"/>
      </rPr>
      <t>There does not seem to be any benefit from using low-level laser therapy to treat temporomandibular pain after 1 year.</t>
    </r>
    <r>
      <rPr>
        <rFont val="Arial"/>
        <color rgb="FF000000"/>
        <sz val="6.0"/>
      </rPr>
      <t>"): https://www.ncbi.nlm.nih.gov/pubmed/32169246</t>
    </r>
  </si>
  <si>
    <t>Madani</t>
  </si>
  <si>
    <t>A randomized clinical trial comparing the efficacy of low-level laser therapy (LLLT) and laser acupuncture therapy (LAT) in patients with temporomandibular disorders.</t>
  </si>
  <si>
    <t>🧑 Human
🎲 Randomized trial, double-blind
👥 45 participants
⌛ 5-week treatment -&gt; 1-month follow-up</t>
  </si>
  <si>
    <t>PBM vs laser acupuncture vs sham laser</t>
  </si>
  <si>
    <t>"There was no significant difference in mouth opening between the groups (p &gt; 0.05), but the amount of lateral excursive and protrusive movements was significantly greater in LLLT and LAT groups than the placebo group at some intervals (p &lt; 0.05). "
"The overall pain intensity and pain degree at masticatory muscles (except temporal muscle) and TMJs were significantly lower in both experimental groups than the placebo group at most intervals after therapy (p &lt; 0.05)."
"Both LLLT and LAT were effective in reducing pain and increasing excursive and protrusive mandibular motion in TMD patients."</t>
  </si>
  <si>
    <t>Herpich</t>
  </si>
  <si>
    <t>Intraoral photobiomodulation diminishes pain and improves functioning in women with temporomandibular disorder: a randomized, sham-controlled, double-blind clinical trial : Intraoral photobiomodulation diminishes pain in women with temporomandibular disorder.</t>
  </si>
  <si>
    <t>🧑 Human
🎲 Randomized trial, double-blind
👥 30 participants
⌛ 2-week treatment -&gt; 1-day follow-up</t>
  </si>
  <si>
    <t>LED phototherapy (w/ 905nm laser)</t>
  </si>
  <si>
    <t>39.27
/point</t>
  </si>
  <si>
    <t>99.67</t>
  </si>
  <si>
    <t>"Significant differences between groups were found regarding pain (p ≤ 0.01) and functioning (p ≤ 0.04)."
Comment: It seems that the benefit for pain (compared to sham) was only seen after the sixth session, and there was not inter-group difference in function. Therefore the abstract doesn't seem that informative.</t>
  </si>
  <si>
    <t>Device: PainAway/PainCure®, Multi Radiance Medical®, Solon, OH, USA</t>
  </si>
  <si>
    <t>de Freitas Rodrigues</t>
  </si>
  <si>
    <t>The effectiveness of photobiomodulation in the management of temporomandibular pain sensitivity in rats: behavioral and neurochemical effects.</t>
  </si>
  <si>
    <t>"There was a total decrease in pain sensitivity after the second session of PBM in operated animals, and this decrease remains until the last session. There was a significant decrease in the expression of SP, TRPV-1, and CGRP after PBM. 
Photobiomodulation therapy was effective in reducing nociceptive behavior and trigeminal nucleus neuronal activity after TMJ disc injury."</t>
  </si>
  <si>
    <t>Pain Res Treat</t>
  </si>
  <si>
    <t>Efficacy of the LED Red Light Therapy in the Treatment of Temporomandibular Disorders: Double Blind Randomized Controlled Trial.</t>
  </si>
  <si>
    <t>180
/point
(tender points)</t>
  </si>
  <si>
    <t>"[B]oth groups show significant improvement in aspects of pain and number of tender muscles, but the LED red light group shows a better results than placebo group especially in reduction of the number of tender muscles."
Comment: The results were quite unconventionally / shortly presented.</t>
  </si>
  <si>
    <t>Device: TenDlite® Medical Device model 204</t>
  </si>
  <si>
    <t>Effects of low-power laser auriculotherapy on the physical and emotional aspects in patients with temporomandibular disorders: A blind, randomized, controlled clinical trial.</t>
  </si>
  <si>
    <t>🧑 Human
⚔ Comparison study, randomized
👥 40 participants
⌛ 8 weeks</t>
  </si>
  <si>
    <t>Auriculotherapy (irradiating the acupuncture points in ears) vs occlusal splint</t>
  </si>
  <si>
    <t>0.01
cm2
emission
area</t>
  </si>
  <si>
    <t>24
/point</t>
  </si>
  <si>
    <t>"LA improved the physical and emotional symptoms of TMD, with results similar to [occlusal splints]."
Comment: They irradiated acupoints in the ear, which sounds unlikely to work unless there is some kind of a remote effects to the nearby temporomandibular joint.</t>
  </si>
  <si>
    <t>Evaluation of the efficacy of a new low-level laser therapy home protocol in the treatment of temporomandibular joint disorder-related pain: A randomized, double-blind, placebo-controlled clinical trial.</t>
  </si>
  <si>
    <t>🧑 Human
🎲 Randomized trial, double-blind
👥 90 participants
⌛ 1 week</t>
  </si>
  <si>
    <t>At-home device
PBM vs sham vs drugs (nimesulide + cyclobenzaprine)</t>
  </si>
  <si>
    <t>2/day
for 7 fays</t>
  </si>
  <si>
    <t>"No significant differences in the pain level, respectively, at T0 and T1 in the three groups."
Comment: VAS reduction was 13mm higher in the PBM group compared to the placebo group.</t>
  </si>
  <si>
    <t>Device: B-cure Dental Pro</t>
  </si>
  <si>
    <t>Photobiomodulation therapy on the palliative care of temporomandibular disorder and orofacial/cervical skull pain: study protocol for a randomized controlled clinical trial.</t>
  </si>
  <si>
    <t>"This study will verify whether PBMT is effective in reducing TMD and orofacial and cervical skull pain."</t>
  </si>
  <si>
    <t>Photobiomodulation with simultaneous use of red and infrared light emitting diodes in the treatment of temporomandibular disorder: study protocol for a randomized, controlled and double-blind clinical trial.</t>
  </si>
  <si>
    <t>"We expect the use of photobiomodulation with LEDs, infra and red, to reduce pain, improve temporomandibular joint function in patients with TMD, and thus improve the general conditions of the patient."</t>
  </si>
  <si>
    <t>Can the severity of orofacial myofunctional conditions interfere with the response of analgesia promoted by active or placebo low-level laser therapy?</t>
  </si>
  <si>
    <t>🧑 Human
🎲 Randomized trial, double-blind
👥 67 participants (+ non-randomized ctrls)
⌛ 4 weeks -&gt; 4-week follow-up (??)</t>
  </si>
  <si>
    <t>50-70</t>
  </si>
  <si>
    <t>30
muscle
75
TMJ</t>
  </si>
  <si>
    <t>"The active and placebo LLLT showed reduction of pain during chewing and better recovery levels during the rest period (p &gt; 0.05), without differences between OMC groups."</t>
  </si>
  <si>
    <t>Comparative effectiveness of photobiomodulation and manual therapy alone or combined in TMD patients: a randomized clinical trial.</t>
  </si>
  <si>
    <t>🧑 Human
🎲 Randomized trial
👥 51 participants
⌛ 4-week treatment -&gt; 8-week follow-up</t>
  </si>
  <si>
    <t>PBM vs manual therapy vs combination</t>
  </si>
  <si>
    <t>13.3</t>
  </si>
  <si>
    <t>40
/p
(12p per side)</t>
  </si>
  <si>
    <t>"All treatments promoted reduction in physical symptoms with and without pain and enhancement of jaw disabilities (p ≤ 0.05). MT promotes improvement in 5 functions, PBM in 2, and CT in 1 (p &lt; 0.001)."</t>
  </si>
  <si>
    <t>Low-Level Laser Therapy for Temporomandibular Disorders: A Systematic Review with Meta-Analysis.</t>
  </si>
  <si>
    <t>"A total of 31 RCTs were included. Total modified Jadad scale scores showed that the methodological quality was high in 30 studies and low in 1 study. Combining data from all clinically heterogeneous studies revealed positive effects of LLLT on pain relief, regardless of the visual analogue scale (VAS) score or the change of VAS score between the baseline and the final follow-up time point, while dosage analyses showed discrepant results about the effects of high or low doses for patients with TMD. Follow-up analyses showed that LLLT significantly reduced pain at the short-term follow-up. Temporomandibular joint function outcomes indicated that the overall effect favored LLLT over placebo."
"This systematic review suggests that LLLT effectively relieves pain and improves functional outcomes in patients with TMD."</t>
  </si>
  <si>
    <t>Memis</t>
  </si>
  <si>
    <t>Short term histopathological effects of GaAlAs laser on experimentally induced TMJ osteoarthritis in rabbits.</t>
  </si>
  <si>
    <t>"There was no statistically significant difference between the groups in terms of cartilage, osteochondral junction, chondrocyte appearance, and subchondral ossification values (p &gt; 0.05). The laser BS protocol used in the study had no positive histopathological effects on TMJ OA in the early period."
Comment: The authors discuss the various recommendations of optimal parameters. I'm not sure whether they acknowledge that some research shows that longer wavelengths (eg. 980 nm) might have a different dose response than more common wavelengths (see PMID 27751953). That could apply to 940 nm too.</t>
  </si>
  <si>
    <t>Brazil
(Torres)</t>
  </si>
  <si>
    <t>Effects of different photobiomodulation dosimetries on temporomandibular dysfunction: a randomized, double-blind, placebo-controlled clinical trial.</t>
  </si>
  <si>
    <t>🧑 Human
🎲 Randomized trial, double-blind
👥 44 participants
⌛ ~3 weeks</t>
  </si>
  <si>
    <t>8
60
105</t>
  </si>
  <si>
    <t>0.01160
cm2
contact
area</t>
  </si>
  <si>
    <t>266
1920
3360</t>
  </si>
  <si>
    <t>"The mouth opening increased in the 8-J/cm2 group from 10.49 ± 4.68 to 15.40 ± 6.43 degrees, and in the right protrusion from 9.80 ± 4.2 to 12.56 ± 5.40 degrees after the intervention protocol (p &lt; 0.05). All groups significantly decreased pain (p &lt; 0.05). 830-nm laser photobiomodulation was effective in reducing TMD pain and symptoms at all doses tested. 
Only the doses of 8 J/cm2 were effective regarding maximal opening and protrusion of the mandible."</t>
  </si>
  <si>
    <t>Device: "aluminum gallium arsenide (AlGaAs) laser (brand Ibramed®, model Laserpulse Diamond Line)"</t>
  </si>
  <si>
    <t>Photomodulation in the treatment of chronic pain in patients with temporomandibular disorder: protocol for cost-effectiveness analysis.</t>
  </si>
  <si>
    <t>"The present study aims to estimate the direct costs for treatment of chronic muscle pain with photobiomodulation therapy, occlusal splint and placebo in patients with TMD; to evaluate the effectiveness of photobiomodulation therapy and occlusal splint for treatment of muscle pain in patients with TMD; to analyse the cost-effectiveness of the two proposed treatments for pain; and to describe and compare the results of the analyses of these treatments."</t>
  </si>
  <si>
    <t>Langella</t>
  </si>
  <si>
    <t>Photobiomodulation versus light-emitting diode (LED) therapy in the treatment of temporomandibular disorder: study protocol for a randomized, controlled clinical trial.</t>
  </si>
  <si>
    <t>"This study compares the effects of two modalities of laser therapy on the pain and orofacial function of patients with TMD dysfunction. Photobiomodulation and LED therapy are treatment options for reducing the inflammatory process and pain as well as inducing the regeneration of the target tissue."</t>
  </si>
  <si>
    <t>Leal de Godoy</t>
  </si>
  <si>
    <t>Electromyographic evaluation of a low-level laser protocol for the treatment of temporomandibular disorder: a randomized, controlled, blind trial.</t>
  </si>
  <si>
    <t>🧑 Human
🎲 Randomized trial, sham-controlled
👥 16 participants
⌛ 6 weeks</t>
  </si>
  <si>
    <t>"During the isometric evaluation of the masseter and anterior temporal muscles, an increase in the mean EMG signal was found in the group submitted to active LLLT. When evaluated individually, some participants in the active LLLT group demonstrated a reduction in muscle activity, but no significant differences were found in the mean EMG signal between the initial and final evaluations."</t>
  </si>
  <si>
    <t>Comparative effectiveness of Low Level Laser therapy and Transcutaneous Electric Nerve Stimulation on Temporomandibular Joint Disorders.</t>
  </si>
  <si>
    <t>🧑 Human
🎲 Randomized trial, sham-controlled (?)
👥 40 participants
⌛ 1-week treatment -&gt; 1-month follow-up</t>
  </si>
  <si>
    <t>PBM vs TENS vs sham-PBM vs sham-TENS</t>
  </si>
  <si>
    <t>d = 5 mm</t>
  </si>
  <si>
    <t>60
/point
(painful points)</t>
  </si>
  <si>
    <t>"The decrease in pain (P=0.000), tenderness (P=0.000) and increase in mouth-opening ability (P=0.002) was greater in the TENS and LLL groups than in the placebo groups. At the one-month follow-up, significant decrease in pain and tenderness was recorded in the TENS and LLL groups (P=0.000). There was no significant differences between TENS and LLL and the placebo groups for maximum mouth-opening at the end of the study (P=0.692)."</t>
  </si>
  <si>
    <t>Device: "gallium-aluminum-arsenide diode source (Doctor Smile Diode Laser; Italy)"</t>
  </si>
  <si>
    <t>Basili</t>
  </si>
  <si>
    <t>Low-level laser therapy in the treatment of muscle-skelet pain in patients affected by temporo-mandibular disorders</t>
  </si>
  <si>
    <t>🧑 Human
📄 Single-arm trial
👥 180 participants
⌛ 6 weeks</t>
  </si>
  <si>
    <t>60
/area
(8 areas?)</t>
  </si>
  <si>
    <t>"The Low-Level-Laser-Therapy is a valuable tool that can significantly decrease the perception of pain in patients with temporomandibular joint dysfunction, acute and chronic."
Comment: Parameters were very insufficiently reported.</t>
  </si>
  <si>
    <t>Device: "laser used was a WiserDoctor Smile diode (Figure 6) with an AB 2799 flat wave tip at a wavelength of 830 nm"</t>
  </si>
  <si>
    <t>Rezazadeh</t>
  </si>
  <si>
    <t>Comparison of the Effects of Transcutaneous Electrical Nerve Stimulation and Low-Level Laser Therapy on Drug-Resistant Temporomandibular Disorders.</t>
  </si>
  <si>
    <t>🧑 Human
⚔ Comparison study
👥 45 participants
⌛ 2-week treatment -&gt; 16-week follow-up</t>
  </si>
  <si>
    <t>PBM vs TENS</t>
  </si>
  <si>
    <t>"This study justified the use of TENS therapy as well as LLLT in drug-resistant TMD. Both were useful in relieving the pain and muscles tenderness, although, TENS was more effective than LLLT."</t>
  </si>
  <si>
    <t>Device: "Gallium-Aluminum-Arsenide (Ga-Al-As) (Azor-2k-02, 980 nm)"</t>
  </si>
  <si>
    <t>Non-specific effects and clusters of women with painful TMD responders and non-responders to LLLT: double-blind randomized clinical trial.</t>
  </si>
  <si>
    <t>🧑 Human
🎲 Randomized trial, double-blind
👥 64 participants
⌛ 4-week treatment -&gt; 30-day follow-up</t>
  </si>
  <si>
    <t>5 - 7.5</t>
  </si>
  <si>
    <t>"The laser group showed 80% of pain reduction, placebo 85%, and WT 43% in T8.
Women with severe anxiety and at the premenstrual period did not reduce pain with any LLLT. Active and placebo LLLT had similar effectiveness during the treatment period; however, women with moderate anxiety, cortisol levels above 10 ng/ml, and without contraceptive use maintain analgesia longer with active LLLT than placebo (follow-up 30 days). Women with low levels of anxiety, salivary cortisol below 10 ng/ml, and with contraceptive use showed the higher pain reduction."</t>
  </si>
  <si>
    <t>Shobha</t>
  </si>
  <si>
    <t>India
(Kodagu)</t>
  </si>
  <si>
    <t>Low-level laser therapy: A novel therapeutic approach to temporomandibular disorder - A randomized, double-blinded, placebo-controlled trial.</t>
  </si>
  <si>
    <t>🧑 Human
🎲 Randomized trial, double-blind
👥 40 participants
⌛ 3-4 week treatment -&gt; 30-day follow-up</t>
  </si>
  <si>
    <t>d = 
0.3 mm</t>
  </si>
  <si>
    <t>8
(2-3 per week)</t>
  </si>
  <si>
    <t>"The study suggests that LLLT is not better than placebo at reducing TMJ pain during function. It may be assumed that a more tailored application of LLLT should be developed to take into account the multifactorial aspect of the disorder."</t>
  </si>
  <si>
    <t>Immediate and short-term effects of phototherapy on pain, muscle activity, and joint mobility in women with temporomandibular disorder: a randomized, double-blind, placebo-controlled, clinical trial.</t>
  </si>
  <si>
    <t>🧑 Human
🎲 Randomized trial, double-blind
👥 60 participants
⌛ single session -&gt; 48-hour follow-up</t>
  </si>
  <si>
    <t>905
+
640
+
875</t>
  </si>
  <si>
    <t>2.52
5.24
7.86</t>
  </si>
  <si>
    <t>"A single session of combined phototherapy was capable of reducing pain intensity in individuals patients with TMD."</t>
  </si>
  <si>
    <t>Shukla &amp; Muthusekhar</t>
  </si>
  <si>
    <t>India
(Vadodara &amp; Chennai)</t>
  </si>
  <si>
    <t>Efficacy of low-level laser therapy in temporomandibular disorders: A systematic review.</t>
  </si>
  <si>
    <t>"Of the 242 titles reviewed, only 13 articles were considered eligible. 7 articles showed significant improvement in the study group, whereas 5 showed no significant improvement between the study and control groups. The primary outcome of most of the studies was pain. Other variables considered were muscle tenderness, mandibular movements; EMG activity was considered."
"Our results have shown that LLLT seems to be effective in reducing pain in TMD's. It may be a treatment option for patients with an interest in a noninvasive, complementary therapy."
"There is a need for more well-conducted RCTs examining LLLT as interventions for TMDs. These studies need to be clear in the reporting of allocation, blinding, sequence generation, withdrawals, intention-to-treat analysis, and any other potential source of bias in the study. In addition, there should be use of well-validated standardized outcomes so that the RCTs could be compared with other similar trials. The sample size of the RCTs should also be calculated beforehand so that the study has adequate statistical power."</t>
  </si>
  <si>
    <t>Low-level laser therapy stimulates tissue repair and reduces the extracellular matrix degradation in rats with induced arthritis in the temporomandibular joint.</t>
  </si>
  <si>
    <t>Articular injection of 50 μl Complete Freund's Adjuvant</t>
  </si>
  <si>
    <t>"Compared to AG, LG had minor histopathological changes in the TMJ, smaller thickness of the articular disc in the anterior (p &lt; 0.0001), middle (p &lt; 0.0001) and posterior regions (p &lt; 0.0001), high birefringence of collagen fibers in the anterior (p &lt; 0.0001), middle (p &lt; 0.0001) and posterior regions (p &lt; 0.0001) on the articular disc, and statistically lower activity of MMP-2 latent (p &lt; 0.0001), MMP-2 active (P = 0.02), MMP-9 latent (p &lt; 0.0001), and MMP-9 active (p &lt; 0.0001).
These results suggest that LLLT can increase the remodeling and enhancing tissue repair in TMJ with induced arthritis."</t>
  </si>
  <si>
    <t>Comparative Study of the Physiotherapeutic and Drug Protocol and Low-Level Laser Irradiation in the Treatment of Pain Associated With Temporomandibular Dysfunction.</t>
  </si>
  <si>
    <t>"Based on obtained data, we concluded that, compared to PDP, LLL treatment is effective to control pain associated with TMD."</t>
  </si>
  <si>
    <t>Effects of oral motor exercises and laser therapy on chronic temporomandibular disorders: a randomized study with follow-up.</t>
  </si>
  <si>
    <t>🧑 Human
🎲 Randomized trial, sham-controlled
👥 82 participants (+ 20 healthy ctrls)
⌛ 120-day treatment -&gt; 3-month follow-up</t>
  </si>
  <si>
    <t>12
/ 120 days</t>
  </si>
  <si>
    <t>"However, LLLT alone was not sufficient for TMD rehabilitation"
Seems that LLLT alone didn't outdo placebo treatment.
Comment: Somewhat inadequate parameter reporting.</t>
  </si>
  <si>
    <t>Efficacy of low-level laser therapy in the treatment of TMDs: a meta-analysis of 14 randomised controlled trials.</t>
  </si>
  <si>
    <t>"This study indicates that using LLLT has limited efficacy in reducing pain in patients with TMDs. However, LLLT can significantly improve the functional outcomes of patients with TMDs."</t>
  </si>
  <si>
    <t>Analysis of laser therapy and assessment methods in the rehabilitation of temporomandibular disorder: a systematic review of the literature.</t>
  </si>
  <si>
    <t>"Following the application of the eligibility criteria, 11 papers were selected for in-depth analysis. The papers analyzed exhibited considerable methodological differences, especially with regard to the number of sessions, anatomic site and duration of low-level laser therapy irradiation, as well as irradiation parameters, diagnostic criteria and assessment tools."
"LLLT is effective in the treatment of TMD, especially in the reduction of muscle pain. However, there is an evident lack of standardization in the parameters employed, which limits our ability to draw more definitive conclusions."
"Further studies are needed, especially randomized clinical trials, to establish the exact dose and ideal parameters for low-level laser therapy and define the best assessment tools in this promising field of research that may benefit individuals with signs and symptoms of TMD."</t>
  </si>
  <si>
    <t>Evaluation of pain, jaw movements, and psychosocial factors in elderly individuals with temporomandibular disorder under laser phototherapy.</t>
  </si>
  <si>
    <t>🧑 Human
📄 Single-arm study
👥 10 participants
⌛ 4 weeks</t>
  </si>
  <si>
    <t>10
muscle
TMD
70
joint
TMD</t>
  </si>
  <si>
    <t>0.2
/point
4.2
/point
(5p)</t>
  </si>
  <si>
    <t>5
105</t>
  </si>
  <si>
    <t>20
/point
60
/point</t>
  </si>
  <si>
    <t>"Significant pain reduction was found in all patients. There were increase in maximum mouth opening without pain and reduction in muscle pain during right and left lateral excursion. A significant reduction in chronic pain severity (p = 0.02) and significant improvements in depression (p = 0.038) and nonspecific physical symptoms with pain (p = 0.0167) were observed."
Comment: The Table 1 makes it seem like the study duration is 8 weeks, but full text says that study was done during 4 weeks.</t>
  </si>
  <si>
    <t>Ayyildiz</t>
  </si>
  <si>
    <t>Evaluation of Low-Level Laser Therapy in TMD Patients.</t>
  </si>
  <si>
    <t>🧑 Human
📄 Case series
👥 2 patients</t>
  </si>
  <si>
    <t>"This application suggested that LLLT is an appropriate treatment for TMD related pain and limited mouth opening and should be considered as an alternative to other methods."
Comment: Nice photographs included.</t>
  </si>
  <si>
    <t>Device: BTL-2000</t>
  </si>
  <si>
    <t>Assessment of different energy delivery settings in laser and LED phototherapies in the inflammatory process of rat's TMJ induced by carrageenan.</t>
  </si>
  <si>
    <t>70
100</t>
  </si>
  <si>
    <t>10
10</t>
  </si>
  <si>
    <t>"Over the time course of the study in the laser group, the region of the condyle presented mild chronic inflammation and intense vascularization. In the LED group, the condyle showed aspects of normality and absence of inflammation in some specimens. In all the time points, the laser-irradiated groups showed greater amount of collagen deposition in the condyle (p = 0.04) and in the disc (p = 0.03) when compared to the inflammation and LED groups, respectively. Laser- and LED-treated groups demonstrate a smaller number of layers of the synovial membrane when compared to the non-irradiated groups.
It was concluded that, in general, laser and LED phototherapies resulted in a reduction of inflammatory infiltrate in the temporomandibular joint of rat."
Comment: According to the Table 3, the differences between groups seem small and hard-to-interpret.</t>
  </si>
  <si>
    <t>Comparative clinical study of light analgesic effect on temporomandibular disorder (TMD) using red and infrared led therapy.</t>
  </si>
  <si>
    <t>🧑 Human
⚔ Comparison study
👥 30 participants
⌛ 4-week treatment -&gt; 30-day follow-up</t>
  </si>
  <si>
    <t>630
LED
780
laser
850
LED</t>
  </si>
  <si>
    <t>150
70
150</t>
  </si>
  <si>
    <t>0.300
1.7
0.300</t>
  </si>
  <si>
    <t>9
/p
4.2
/p
9
/p
(5p)</t>
  </si>
  <si>
    <t>18
105
18</t>
  </si>
  <si>
    <t>60
/p
60
/p
60
/p
(5p)</t>
  </si>
  <si>
    <t>"There was an increase in tissue temperature during both the red and the infrared LED irradiation in ex vivo. There was a significant reduction of pain and increase of the maximum oral aperture for all groups (p ≥ 0.05). There was no significant difference in pain scores and maximum oral aperture between groups at baseline or any periods after treatment (p ≥ 0.05).
The current study showed that red and infrared LED therapy can be useful in improving outcomes related to pain relief and orofacial function for TMD patients. We conclude that LED devices constitute an attractive alternative for LLLT."</t>
  </si>
  <si>
    <t>Effect of low-level laser therapy on adolescents with temporomandibular disorder: a blind randomized controlled pilot study.</t>
  </si>
  <si>
    <t>🧑 Human
🎲 Randomized trial
👥 9 participants
⌛ 6 weeks</t>
  </si>
  <si>
    <t>Insufficient dosage</t>
  </si>
  <si>
    <t>33.5</t>
  </si>
  <si>
    <t>"No statistically significant differences were found regarding pain, mandibular range of motion, or the distribution of occlusal contacts after treatment with low-level laser therapy."
Tuner: "The energy used here is 1 J per point (50 mW x 20 s = 1000 mJ = 1 J). For a muscle, this is far from the therapeutic window and a failure is to be expected. We found 6 J per point effective, but not necessarily optimal(Ahrari et al. 2013), even higher energies are sometimes clincally needed for reasonable results. Muscles are thick and contain a lot of hemoglobin, a major absorber of the light. Irradiation with or without pressure also changes to energy at target. The laser parameters here are well described but inadequate."</t>
  </si>
  <si>
    <t>The "at-home LLLT" in temporo-mandibular disorders pain control: a pilot study.</t>
  </si>
  <si>
    <t>🧑 Human
🎲 Randomized trial, sham-controlled
👥 24 participants
⌛ 2 weeks</t>
  </si>
  <si>
    <t>14
/ 2 weeks</t>
  </si>
  <si>
    <t>LLLT was more effective than placebo.</t>
  </si>
  <si>
    <t>B-Cure Laser was used.</t>
  </si>
  <si>
    <t>Efficacy of red and infrared lasers in treatment of temporomandibular disorders--a double-blind, randomized, parallel clinical trial.</t>
  </si>
  <si>
    <t>🧑 Human
⚔ Comparison study, randomized, double-blind, self-controlled
👥 19 participants (116 sensitive points)
⌛ 5-day treatment -&gt; 180-day follow-up</t>
  </si>
  <si>
    <t>660
795</t>
  </si>
  <si>
    <t>4 
(TMJ)
+
8
(muscle)</t>
  </si>
  <si>
    <t>"Both treatments had statistically significant results (P&lt;0.001); there was statistical difference between them at 180 days in favor of the infrared laser (P=0.039). There was improvement in 24 hours, which extended up to 180 days in both groups."</t>
  </si>
  <si>
    <t>The efficacy of low-level laser therapy for the treatment of myogenous temporomandibular joint disorder.</t>
  </si>
  <si>
    <t>🧑 Human
🎲 Randomized trial, double-blind
👥 20 participants
⌛ 4-week treatment -&gt; 1-month follow-up</t>
  </si>
  <si>
    <t>"There was a significant increase in mouth opening and a significant reduction of pain symptoms in the laser group (p &lt; 0.05). A similar improvement was not observed in the placebo group (p &gt; 0.05). Between-group comparisons revealed no significant difference in pain intensity and mouth opening measurement at any of the evaluation time points (p &gt; 0.05). LLLT can produce a significant improvement in pain level and mouth opening in patients affected with myogenic TMD."</t>
  </si>
  <si>
    <t>Low-level laser therapy for management of TMJ osteoarthritis.</t>
  </si>
  <si>
    <t>"LLLT using the present laser parameters was no more effective than the placebo treatment for reducing pain and improving mouth opening in patients with TMJ osteoarthritis."
Note: Amount of treated points varied.</t>
  </si>
  <si>
    <t>Device: Mustang 2000z, Moscow, Russia
Pulsing: 1500 Hz</t>
  </si>
  <si>
    <t>Peimani &amp; Sardary</t>
  </si>
  <si>
    <t>Iran
(Rafsanjan)</t>
  </si>
  <si>
    <t>Effect of low-level laser on healing of temporomandibular joint osteoarthritis in rats.</t>
  </si>
  <si>
    <t>"After three days of treatment the grade of cartilage defects, number of inflammatory cells, angiogenesis, number of cell layers and arthritis in rats in the case group were not significantly different compared with controls (P&gt;0.05).
After seven days, the grade of cartilage defects, number of inflammatory cells, number of cell layers, and arthritis in the case group improved compared to controls (P&lt;0.05); angiogenesis in both groups was similar."</t>
  </si>
  <si>
    <t>Effects of phototherapy on muscle activity and pain in individuals with temporomandibular disorder: a study protocol for a randomized controlled trial.</t>
  </si>
  <si>
    <t>"A placebo-controlled, double-blind, randomized, clinical trial will be carried out involving 72 women between 18 and 40 years of age with a diagnosis of myogenous TMD."
"The study will contribute to the practice of the evidence-based use of phototherapy in individuals with a myogenous TMD. Data will be published after the study is completed."</t>
  </si>
  <si>
    <t>Evaluation of effect of low-level laser therapy on adolescents with temporomandibular disorder: study protocol for a randomized controlled trial.</t>
  </si>
  <si>
    <t>"A randomized, controlled, double-blind, clinical trial will be carried out involving 85 male and female adolescents between 15 and 18 years of age."</t>
  </si>
  <si>
    <t>Barretto</t>
  </si>
  <si>
    <t>Evaluation of anti-nociceptive and anti-inflammatory activity of low-level laser therapy on temporomandibular joint inflammation in rodents.</t>
  </si>
  <si>
    <t>Formalin + carrageenan
LLLT vs diclofenac sodium</t>
  </si>
  <si>
    <t>52.5</t>
  </si>
  <si>
    <t>"It was concluded that the LLLT presented an anti-nociceptive and anti-inflammatory response on the inflammation induced in the temporomandibular joint of rodents."</t>
  </si>
  <si>
    <t>Melchior Mde</t>
  </si>
  <si>
    <t>Does low intensity laser therapy reduce pain and change orofacial myofunctional conditions?</t>
  </si>
  <si>
    <t>🧑 Human
📄 Single-arm study
👥 12 participants
⌛ 4-week treatment -&gt; 30-day follow-up</t>
  </si>
  <si>
    <t>"Comparing the three evaluation times, it was observed that there was a significant decrease in the values of subjective pain to palpation (p &lt; 0.05). The initial pain (A1) differed significantly from the A2, but did not differ significantly from A3."</t>
  </si>
  <si>
    <t>Salmos-Brito</t>
  </si>
  <si>
    <t>Evaluation of low-level laser therapy in patients with acute and chronic temporomandibular disorders.</t>
  </si>
  <si>
    <t>🧑 Human
📄 Single-armstudy (2 subgroups)
👥 58 patients (32 acute, 26 chronic TMD)
⌛ 6 weeks</t>
  </si>
  <si>
    <t>d =
6 mm</t>
  </si>
  <si>
    <t>60
/side</t>
  </si>
  <si>
    <t>"In summary, considering the non-invasive and harmless characteristics of this modality, and the significant improvement obtained in both groups (acute and chronic TMD) in subjective parameters (e.g., pain), as well as, in objective functional parameters (e.g., maximal mouth opening), LLLT may promote some anti-inflammatory effect and pain relief in painful and dysfunctional temporomandibular muscles."</t>
  </si>
  <si>
    <t>Herranz-Aparicio</t>
  </si>
  <si>
    <t>The use of low level laser therapy in the treatment of temporomandibular joint disorders. Review of the literature</t>
  </si>
  <si>
    <t>Currently there is a scientific evidence level B in favor of using LLLT for treatment of TMDs. The great majority of the studies concluded that the results should be taken with caution due to the methodological limitations.</t>
  </si>
  <si>
    <t>Effect of low-level laser therapy on pain levels in patients with temporomandibular disorders: a systematic review.</t>
  </si>
  <si>
    <t>"After a careful review, 14 studies fit the criteria for inclusion, of which, 12 used a placebo group.
As for the protocol for laser application, the energy density used ranged from 0.9 to 105 J/cm², while the power density ranged from 9.8 to 500 mW. The number of sessions varied from 1 to 20 and the frequency of applications ranged from daily for 10 days to 1 time per week for 4 weeks.
A reduction in pain levels was reported in 13 studies, with 9 of these occurring only in the experimental group, and 4 studies reporting pain relief for both the experimental group and for the placebo."
"Most papers showed that LLLT seemed to be effective in reducing pain from TMD. However, the heterogeneity of the standardization regarding the parameters of laser calls for caution in interpretation of these results. Thus, it is necessary to conduct further research in order to obtain a consensus regarding the best application protocol for pain relief in patients with TMD."</t>
  </si>
  <si>
    <t>Sattayut &amp; Bradley</t>
  </si>
  <si>
    <t>Thailand &amp; USA</t>
  </si>
  <si>
    <t>A study of the influence of low intensity laser therapy on painful temporomandibular disorder patients.</t>
  </si>
  <si>
    <t>🧑 Human
🎲 Randomized trial, double-blind
👥 30 participants
⌛ 1-week treatment -&gt; 2-4 week follow-up</t>
  </si>
  <si>
    <t>Dose response (?)</t>
  </si>
  <si>
    <t>60
300</t>
  </si>
  <si>
    <t>4/p
20/p</t>
  </si>
  <si>
    <t>21.4
107</t>
  </si>
  <si>
    <t>"A significantly greater number of patients recovered from myofascial pain and TMJ arthralgia as assessed clinically in the higher energy group compared with the placebo (P value = 0.02 and 0.006 respectively). There was no statistically significant difference in the other parameters of assessment among the groups at a P value 0.05. At a period of 2 to 4 weeks review after LILT, there was an average 52% reduction of pain as assessed by SSI."</t>
  </si>
  <si>
    <t>Placebo: "placebo probe had no detectable 820 nm radiation but maintained the [1 mW] visible red 670 nm light guide active"</t>
  </si>
  <si>
    <t>Dostalová</t>
  </si>
  <si>
    <t>Effectiveness of physiotherapy and GaAlAs laser in the management of temporomandibular joint disorders.</t>
  </si>
  <si>
    <t>🧑 Human
📄 Non-randomized study, controlled 
👥 104 participants
⌛ 5-week treatment (PBM), ~10-month treatment (TMD treatment)</t>
  </si>
  <si>
    <t>Groups (pts): 
- No tx (2)
- Splint (48)
- Splint + physther + laser (27)
- Splint + arthtocent (12)
- Splint + TMJ prosth (7)</t>
  </si>
  <si>
    <t>LLLT appeared to reduce pain a lot, and improve mouth opening.
Comment: Interesting results.</t>
  </si>
  <si>
    <t>Petrucci</t>
  </si>
  <si>
    <t>J Orofac Pain</t>
  </si>
  <si>
    <t>Effectiveness of low-level laser therapy in temporomandibular disorders: a systematic review and meta-analysis.</t>
  </si>
  <si>
    <t>"The literature search identified 323 papers without overlap between selected databases, but after the two-phase study selection, only six randomized clinical trials (RCT) were included in the systematic review."
"The pooled effect of LLLT on pain, measured through a visual analog scale with a mean difference of 7.77 mm (95% confidence interval [CI]: -2.49 to 18.02), was not statistically significant from placebo."
"Change from baseline to endpoint of secondary outcomes was 4.04 mm (95% CI 3.06 to 5.02) for mandibular maximum vertical opening; 1.64 mm (95% CI 0.10 to 3.17) for right lateral excursion and 1.90 mm (95% CI: -4.08 to 7.88) for left lateral excursion."</t>
  </si>
  <si>
    <t>Hotta</t>
  </si>
  <si>
    <t>Emg analysis after laser acupuncture in patients with temporomandibular dysfunction (TMD). Implications for practice</t>
  </si>
  <si>
    <t>🧑 Human
📄 Single-arm trial
👥 10 participants
⌛ 10 weeks</t>
  </si>
  <si>
    <t>"Statistical tests showed significant improvements (p &lt; 0.01) in painful symptoms and electromyographic activities of masseter muscles in maximal habitual occlusion after laser applications but no significant improvements (p = 0.05) in measurements of mandibular movements."</t>
  </si>
  <si>
    <t>Effects of superpulsed low-level laser therapy on temporomandibular joint pain.</t>
  </si>
  <si>
    <t>🧑 Human
🎲 Randomized trial, double-blind
👥 99 participants
⌛ 2-week treatment -&gt; 2-week follow-up</t>
  </si>
  <si>
    <t>LLLT vs ibuprofen
LUMIX 2 HFPL laser</t>
  </si>
  <si>
    <t>"Mean visual analog scale pain scores in SLLLT group was significantly lower than in nonsteroidal anti-inflammatory drug group and control group (P=0.0001) from fifth day up to the end of the observation period. As for active and passive mouth openings and right and left lateral motions, superiority of SLLLT was evident 1 month after treatment (interaction time treatment, P=0.0001)."</t>
  </si>
  <si>
    <t>Wavelength effect in temporomandibular joint pain: a clinical experience.</t>
  </si>
  <si>
    <t>🧑 Human
📄 Retrospective study
👥 74 patients
⌛ 6 weeks</t>
  </si>
  <si>
    <t>660
780
790
830</t>
  </si>
  <si>
    <t>14.2</t>
  </si>
  <si>
    <t>12 (??)
/ 6 weeks</t>
  </si>
  <si>
    <t>"At the end of the 12 sessions the patients were again examined, and they scored their pain using the VAS. The results were statistically analyzed and showed that 64% of the patients were asymptomatic or had improved after treatment and that the association of both wavelengths was statistically significant (P = 0.02) in the asymptomatic group. It was concluded that the association of red and infrared (IR) laser light was effective in pain reduction on TMJ disorders of several origins."
Comment: The paper says participants received 3 treatments per week for 6 weeks (= 18 treatments), yet the paper also says they received 12 treatments in total.</t>
  </si>
  <si>
    <t>Kucuk</t>
  </si>
  <si>
    <t>The anti-inflammatory effect of low-level laser therapy on experimentally induced inflammation of rabbit temporomandibular joint retrodiscal tissues.</t>
  </si>
  <si>
    <t>"Under the conditions used in this study, quantitative scintigraphic measurements of TMJ inflammation of the treated TMJ group decreased but did not differ significantly from those of the control TMJ group."
Jan Tuner: "It is suggested that the lack of effect in the Kucuk paper is due to gross over dosage and subsequent inhibition."</t>
  </si>
  <si>
    <t>Makihara &amp; Masumi</t>
  </si>
  <si>
    <t>Japan
(Kitakyushu)</t>
  </si>
  <si>
    <t>Nihon Hotetsu Shika Gakkai Zasshi</t>
  </si>
  <si>
    <t>Blood flow changes of a superficial temporal artery before and after low-level laser irradiation applied to the temporomandibular joint area.</t>
  </si>
  <si>
    <t>🧑 Human
📄 Single-arm study
👥 6 participants
⌛ single session</t>
  </si>
  <si>
    <t>"Low-level laser irradiation applied to the right TMJ area caused an expansion of blood vessels and an increase in blood flow volume. The same result on the contralateral side may be caused by the vasodilator reflex via the hypothalamic thermostat."</t>
  </si>
  <si>
    <t>Carrasco</t>
  </si>
  <si>
    <t>Low intensity laser therapy in temporomandibular disorder: a phase II double-blind study.</t>
  </si>
  <si>
    <t>🧑 Human
🎲 Randomized trial, double-blind
👥 14 participants
⌛ 4-week treatment / 30-day study</t>
  </si>
  <si>
    <t>"Therefore, low intensity laser application is effective in reducing TMD symptoms, and has influence over masticatory efficiency"</t>
  </si>
  <si>
    <t>Emshoff</t>
  </si>
  <si>
    <t>Low-level laser therapy for treatment of temporomandibular joint pain: a double-blind and placebo-controlled trial.</t>
  </si>
  <si>
    <t>🧑 Human
🎲 Randomized trial, double-blind
👥 52 participants
⌛ 8 weeks</t>
  </si>
  <si>
    <t>240
(2p)
(?)</t>
  </si>
  <si>
    <t>16-24
/ 8 weeks</t>
  </si>
  <si>
    <t>"The study suggests that LLLT is not better than placebo at reducing TMJ pain during function."</t>
  </si>
  <si>
    <t>Efficacy of low-level laser therapy in the treatment of temporomandibular disorder.</t>
  </si>
  <si>
    <t>"After either placebo or laser therapy, pain and temporomandibular symptoms were significantly lower, although there was no significant difference between groups. The low-level laser therapy was not effective in the treatment of TMD, when compared to the placebo."</t>
  </si>
  <si>
    <t>Azizi</t>
  </si>
  <si>
    <t>Effects of Low-level Laser in the Treatment of Myofascial Pain Dysfunction Syndrome</t>
  </si>
  <si>
    <t>🧑 Human
📄 Single-arm trial
👥 22 participants
⌛ 4-week treatment -&gt; 3-month follow-up</t>
  </si>
  <si>
    <t>"At the end of treatment period, pain severity, pain of cheek region, pain frequency, tenderness of masseter, temporalis, medial pterygoid, and lateral pterygoid muscles showed significant improvement as compared with the commencement of any treatment which continued during the 3-months post-treatment (p&lt;0.05)."
Comment: Parameters were poorly reported.</t>
  </si>
  <si>
    <t>Mazzetto</t>
  </si>
  <si>
    <t>Low intensity laser application in temporomandibular disorders: a phase I double-blind study.</t>
  </si>
  <si>
    <t>🧑 Human
🎲 Randomized trial, double-blind
👥 48 participants
⌛ 4-week treatment -&gt; 1-month follow-up</t>
  </si>
  <si>
    <t>89.7
(1p)</t>
  </si>
  <si>
    <t>"In conclusion, the results show that low intensity laser is an effective therapy for the pain control of subjects with TMD."</t>
  </si>
  <si>
    <t>Fikácková</t>
  </si>
  <si>
    <t>Effectiveness of low-level laser therapy in temporomandibular joint disorders: a placebo-controlled study.</t>
  </si>
  <si>
    <t>🧑 Human
📄 Non-randomized study, sham-controlled
👥 80 participants
⌛ 1 month</t>
  </si>
  <si>
    <t>-
(3 points)</t>
  </si>
  <si>
    <t>10
15
(PBM)
0.1
(sham)</t>
  </si>
  <si>
    <t>0.2
cm2
probe
aperture</t>
  </si>
  <si>
    <t>10
within 1 month</t>
  </si>
  <si>
    <t>LLLT was effective for the pain related to TMD.</t>
  </si>
  <si>
    <t>Arthralgia of the temporomandibular joint and low-level laser therapy.</t>
  </si>
  <si>
    <t>11
(/p?)</t>
  </si>
  <si>
    <t>LLLT reduced pain and inflammation (according to tissue temperature).</t>
  </si>
  <si>
    <t>Application mode: contact</t>
  </si>
  <si>
    <t>Cetiner</t>
  </si>
  <si>
    <t>Evaluation of low-level laser therapy in the treatment of temporomandibular disorders.</t>
  </si>
  <si>
    <t>🧑 Human
📄 Non-randomized, sham-controlled
👥 39 participants
⌛ 2-week treatment -&gt; 1-month follow-up</t>
  </si>
  <si>
    <t>BTL 2000 device</t>
  </si>
  <si>
    <t>"Maximal mouth-opening improvement, and reductions in pain and chewing difficulty were statistically significant in the test group when compared with the control group. Statistically significant improvements were also detected between two groups regarding reduction in the number of tender points."
"Based on the results of this placebo-controlled report, LLLT is an appropriate treatment for TMD and should be considered as an alternative to other methods."
Comment: Parameters were inadequately reported.</t>
  </si>
  <si>
    <t>Management of mouth opening in patients with temporomandibular disorders through low-level laser therapy and transcutaneous electrical neural stimulation.</t>
  </si>
  <si>
    <t>🧑 Human
⚔  Comparison study, randomized, crossover
👥 10 participants
⌛ 1 week of PBM + 1 week of TENS (crossover / no washout)</t>
  </si>
  <si>
    <t>24
(8p)</t>
  </si>
  <si>
    <t>1 PBM
+
1 TENS</t>
  </si>
  <si>
    <t>"A significant improvement in the range of motion for both therapies was observed immediately after treatment. Comparing the two methods, the values obtained after LLLT were significantly higher than those obtained after TENS (p &lt; 0.01)."</t>
  </si>
  <si>
    <t>Kogawa</t>
  </si>
  <si>
    <t>Evaluation of the efficacy of low-level laser therapy (LLLT) and the microelectric neurostimulation (MENS) in the treatment of myogenic temporomandibular disorders: a randomized clinical trial.</t>
  </si>
  <si>
    <t>🧑 Human
⚔ Comparison study
👥 19 participants
⌛ 1 month</t>
  </si>
  <si>
    <t>830-
904
(?)</t>
  </si>
  <si>
    <t>"The results showed an increase in maximum mouth opening and a decrease in tenderness to palpation for both groups. The VAS reduced for both groups, although more evident for the laser group (p&lt;0.05)."</t>
  </si>
  <si>
    <t>Venancio Rde</t>
  </si>
  <si>
    <t>Low intensity laser therapy in the treatment of temporomandibular disorders: a double-blind study.</t>
  </si>
  <si>
    <t>🧑 Human
🎲 Randomized trial, double-blind
👥 30 participants
⌛ 3-week treatment -&gt; 60-day follow-up</t>
  </si>
  <si>
    <t>10
/point
(3 points per TMJ)</t>
  </si>
  <si>
    <t>"The results showed a reduction in VAS (p &lt; 0.001) and through the ANOVA with repeated measures it was observed that the groups did not present statistically significant differences (P = 0.2060), as the averages of the evaluation times (P = 0.3955) and the interaction groups evaluation times (P = 0.3024), considering the MVO."</t>
  </si>
  <si>
    <t>Device: Twin Laser (MMOptics, São Carlos, Brazil)</t>
  </si>
  <si>
    <t>Kulekcioglu</t>
  </si>
  <si>
    <t>Effectiveness of low-level laser therapy in temporomandibular disorder.</t>
  </si>
  <si>
    <t>🧑 Human
🎲 Randomized trial, sham-controlled
👥 35 participants
⌛ (?) treatment -&gt; 1-month follow-up</t>
  </si>
  <si>
    <t>Roland Pagani device</t>
  </si>
  <si>
    <t>"Significant reduction in pain was observed in both active and placebo treatment groups. Active and passive maximum mouth opening, lateral motion, number of tender points were significantly improved only in the active treatment group."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</si>
  <si>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Device: "Elettronica Pagani1 Roland Serie CE Infrared-27 Laser Unit producing semi-conductive (diodic) gallium arsenide (GaAs) laser"</t>
  </si>
  <si>
    <t>Low-level laser therapy is an important tool to treat disorders of the maxillofacial region.</t>
  </si>
  <si>
    <t xml:space="preserve">🧑 Human
📄 Retrospective study
👥 241 patients
</t>
  </si>
  <si>
    <t>633
670
830</t>
  </si>
  <si>
    <t>3
5
40</t>
  </si>
  <si>
    <t>3.1
0.3
0.8
(on avg)</t>
  </si>
  <si>
    <t>0.1-
9.6
(~1.8
on avg)</t>
  </si>
  <si>
    <t>~12
/ 6 weeks
(most patients)</t>
  </si>
  <si>
    <t>"The disorders included temporomandibular joint (TMJ) pain, trigeminal neuralgia, muscular pain, aphatae, inflammation, and tooth hypersensitivity postoperatively and in small hemangiomas"
"One hundred fifty four out of 241 patients were asymptomatic at the end of the treatment, 50 improved considerably, and 37 were symptomatic."</t>
  </si>
  <si>
    <t>Conti PC</t>
  </si>
  <si>
    <t>Low level laser therapy in the treatment of temporomandibular disorders (TMD): a double-blind pilot study</t>
  </si>
  <si>
    <t>🧑 Human
🎲 Randomized trial, double-blind
👥 20 participants
⌛ 3 weeks</t>
  </si>
  <si>
    <t>"Each patient was evaluated immediately before and five minutes after the laser treatments."
"A repeated measurement one-way ANOVA demonstrated no significant differences between real and placebo groups."
"Although no significant differences were found in the analysis between groups, the V AS value for Group 1 at time 6 (mean 20.0 mm) represented more than two times that found for Group III (mean 46.0 mm), which could be considered a meaningful clinical finding."
Comment: In this study they measured effects over 3 weeks but also before-after each irradiation.</t>
  </si>
  <si>
    <t>Device: Omnilase, Laserdyne Pty Ltd.</t>
  </si>
  <si>
    <t>Low-level laser therapy in the management of disorders of the maxillofacial region.</t>
  </si>
  <si>
    <t>🧑 Human
📄 Retrospective study
👥 165 patients</t>
  </si>
  <si>
    <t>3.5-
40</t>
  </si>
  <si>
    <t>0.1-
9.6
(2.5 on avg)</t>
  </si>
  <si>
    <t>~2.5</t>
  </si>
  <si>
    <t>"The disorders included temperomandibular joint pain, trigeminal neuralgia, muscular pain, aphatae, inflammation, and tooth hypersensitivity both postoperatively and in small hemangiomas."
"One hundred twenty out of 165 patients were asymptomatic at the end of the treatment, 25 improved considerably, and 20 were symptomatic."</t>
  </si>
  <si>
    <t>Bertolucci &amp; Grey</t>
  </si>
  <si>
    <t>USA
(Citrus Heights, CA)</t>
  </si>
  <si>
    <t>Clinical comparative study of microcurrent electrical stimulation to mid-laser and placebo treatment in degenerative joint disease of the temporomandibular joint</t>
  </si>
  <si>
    <t>🧑 Human
🎲 Randomized trial, sham-controlled
👥 48 participants
⌛ 3 weeks</t>
  </si>
  <si>
    <t>"There was significant improvement in mobility with the reduction of pain. Mid-laser was superior to MENS in its application and effect, and both were significantly better than the placebo treatment."</t>
  </si>
  <si>
    <t>Clinical analysis of mid-laser versus placebo treatment of arthralgic TMJ degenerative joints.</t>
  </si>
  <si>
    <t>🧑 Human
🎲 Randomized trial, sham-controlled
👥 32 participants
⌛ 3 weeks</t>
  </si>
  <si>
    <t>"As indicated in Table 1, mid-laser treatment provided a much greater decrease in pain that did the placebo treatment (no change in pain). Mid-laser treatment also provided a much greater improvement in TMJ biomechanics than did the placebo treatment. Indeed, mid-laser treatment produced significantly greated changes in each of the evaluation factors than did the placebo treatment (no changes) at p&lt;0.01."
Comment: Parameters were poorly reported.</t>
  </si>
  <si>
    <t>Device: COMBY-I, •ASA Medical Laser, Vicenza, Italy</t>
  </si>
  <si>
    <t>Gray</t>
  </si>
  <si>
    <t>Br Dent J</t>
  </si>
  <si>
    <t>Physiotherapy in the treatment of temporomandibular joint disorders: a comparative study of four treatment methods.</t>
  </si>
  <si>
    <t>"The four methods of physiotherapy tested were short-wave diathermy, megapulse, ultrasound and soft laser. There was no statistically significant difference in success rate between any of the four tested (range 70.4-77.7%) although each individually was significantly better than placebo treatment. The time of improvement appeared to vary between the four methods."
Note: Article not available online</t>
  </si>
  <si>
    <t>Hansson</t>
  </si>
  <si>
    <t>Infrared laser in the treatment of craniomandibular disorders, arthrogenous pain.</t>
  </si>
  <si>
    <t>🧑 Human
📄 Case series
👥 5 cases</t>
  </si>
  <si>
    <t>"The fast removal of intra-articular inflammation of the temporomandibular joint in five different patients after infrared laser application is described."</t>
  </si>
  <si>
    <t>Bezuur</t>
  </si>
  <si>
    <t>J Craniomandib Disord</t>
  </si>
  <si>
    <t>The effect of therapeutic laser treatment in patients with craniomandibular disorders.</t>
  </si>
  <si>
    <t>"The outcome of this study showed that therapeutic laser treatment was effective in a short time and still stable after one year in patients with an arthrogenous origin of craniomandibular pain. The maximum, mouth opening increased significantly within four days of treatment (P &amp;lt; 0.001). Although unsuccessful pre-laser treatment time through several professions ranged from 6 to 66 months, a total relief of pain was found in 80% of the arthrogenous patients after a mean period of six days. Further studies have to be developed regarding infrared laser therapy in patients with a myogenous origin of pain, and to compare the effect of various durations of exposure."
Note: Article not available online</t>
  </si>
  <si>
    <t>TMJ arthritis</t>
  </si>
  <si>
    <t>El-Qashty</t>
  </si>
  <si>
    <t>Photobiostimulation conjugated with stem cells or their secretome for temporomandibular joint arthritis in a rat model</t>
  </si>
  <si>
    <t>0.64</t>
  </si>
  <si>
    <t>38</t>
  </si>
  <si>
    <t>1 cm tip diameter</t>
  </si>
  <si>
    <t>"LLLT conjugated with ADSCs or ADSCs derived secretome can efficiently enhance the healing of arthritic TMJs."
Comment: No PBM-only group in this study.</t>
  </si>
  <si>
    <t>Tongue ulcer</t>
  </si>
  <si>
    <t>Histomorphometric Analysis of the Healing Capacity of Low-Level Laser on Thermally Induced Tongue Ulcers for Gamma-Irradiated Rats</t>
  </si>
  <si>
    <t>Gamma-irradiated animals</t>
  </si>
  <si>
    <t>"Results revealed significant improvement of ulcer healing clinically and histologically in both treatment groups compared to control. Moreover, IL-1β and TGF-β1 expression in both treatment groups was high at the earlier stage of healing then declined by time to reach a normal level."
"We concluded that gamma radiation-impaired mucosal healing could be related to the over expression of IL-1β and TGF-β1. LLLT, whether one session or fractionated, could be an effective treatment for postradiotherapeutic ulcers. The healing power of LLLT might be due to modulation of IL-1β and TGF-β1."</t>
  </si>
  <si>
    <t>Faruk</t>
  </si>
  <si>
    <t>Egypt
(Benha)</t>
  </si>
  <si>
    <t>J Mol Histol</t>
  </si>
  <si>
    <t>Possible healing effects of Salvadora persica extract (MISWAK) and laser therapy in a rabbit model of a caustic-induced tongue ulcers: histological, immunohistochemical and biochemical study</t>
  </si>
  <si>
    <t>PBM vs HILT vs Salvadora persica extract</t>
  </si>
  <si>
    <t>"The current study was conducted to evaluate the potential healing effects of topical Salvadora persica (SP) extract, low-level laser (LLL) and high-level laser (HLL) therapies in a rabbit model of caustic-induced tongue ulcers and explore the underlying mechanisms."
"The healing potential of topical SP, LLL and HLL therapy are mostly comparable."</t>
  </si>
  <si>
    <t>de Farias Gabriel</t>
  </si>
  <si>
    <t>Photobiomodulation therapy modulates epigenetic events and NF-κB expression in oral epithelial wound healing.</t>
  </si>
  <si>
    <t>0.16
/p</t>
  </si>
  <si>
    <t>"PBMT accelerated the repair of oral ulcers."
"We concluded that PBMT stimulates keratinocyte migration in the early stage of oral wound healing and keratinocyte differentiation at the final stage by modulating histone acetylation and NF-κB expression."</t>
  </si>
  <si>
    <t>Tongue wound</t>
  </si>
  <si>
    <t>Fortuna</t>
  </si>
  <si>
    <t>Evaluation of the use of chamomile in isolation and in association with laser photobiomodulation in the healing of rats oral mucosa</t>
  </si>
  <si>
    <t>Groups:
(1) Control
(2) Chamomile Fluid extract
(2) Chamomile Infusion
(3) Laser (G4)
(4) Chamomile Infusion + Laser</t>
  </si>
  <si>
    <t>"The G2 and G4 groups modulated the exudative and proliferative phases of inflammation, both clinically and histologically. The G3 and G5 groups did not show significant differences in relation to the G1 group in most of the evaluated parameters. Chamomile fluid extract and LPBM alone showed better clinical and histological responses for tissue repair than the association between these therapeutic modalities."</t>
  </si>
  <si>
    <t>Deepthi</t>
  </si>
  <si>
    <t>Salvaging the second molar with platelet-rich fibrin and photobiomodulation (970 nm diode laser) following third molar extraction</t>
  </si>
  <si>
    <t>"Second molars are more susceptible to periodontitis when present adjacent to periodontally hopeless third molars. It is crucial to restore the health of the second molar and to prevent a dry socket after third molar extraction. To ensure complete eradication of infection along with regeneration, mere nonsurgical periodontal therapy might be inadequate.
Thus, in this case report, high-level laser therapy (HLLT), advanced-platelet-rich fibrin (A-PRF), and low-level laser therapy (photobiomodulation [PBM]) were adapted to obtain a synergistic effect. HLLT was accomplished for decontamination and clot stabilization following the third molar extraction. Further, A-PRF was placed and irradiated with PBM on 3rd, 7th, 15th, and 21st days, postoperatively. There was reduced clinical probing depth and gain in clinical attachment level with a significant radiographic bone fill distal to second molar at 3 months follow-up."</t>
  </si>
  <si>
    <t>Salaberry</t>
  </si>
  <si>
    <t>Assessment of the pre-emptive effect of photobiomodulation in the postoperative period of impacted lower third molar extractions: A randomized, controlled, double-blind study protocol</t>
  </si>
  <si>
    <t>Is the photobiomodulation therapy effective in controlling post-surgical side effects after the extraction of mandibular third molars? A systematic review and meta-analysis</t>
  </si>
  <si>
    <t>"Where included 22 studies and 989 subjects, to all with a minimum follow-up of 7 days. Pain and oedema showed statistically significant results in favor to the active PBM group. Especially when laser applied in infrared mode, for pain and oedema at 48 h, MD = -1.80 (CI95% -2.88, -0.72) I² = 92.13% and MD = -1.45 (CI95% -2.42, -0.48) I² = 65.01%, respectively. The same is not true for trismus at 48 h, MD = 0.07 (CI95% -0.06, 0.21) I² = 3.26%. The meta-analysis also presented results in respect of laser site of application and number of PBM sessions."
"PBM with infrared laser, in a combination intraoral and extraoral application, in one session in the immediate postoperative period, has been shown to be effective to achieve the objectives of reducing pain and oedema after third molar extraction."</t>
  </si>
  <si>
    <t>A radiographic and histological study to compare red (650 nm) versus near infrared (810 nm) diode lasers photobiomodulation for alveolar socket preservation</t>
  </si>
  <si>
    <t>🧑 Human
⚔ Comparison study, randomized, double-blind
👥 20 participants
⌛ 15-day treatment / 3-month study</t>
  </si>
  <si>
    <t>650
810</t>
  </si>
  <si>
    <t>0.28 cm2 spot area</t>
  </si>
  <si>
    <t>"Radiographically, infrared (810 nm) Diode effect on alveolar bone surface area has significantly exceeded the red laser, while histologically, red (650 nm) Diode has demonstrated statistical significance regarding all parameters; newly formed bone surface area percentage, unmineralized bone area percentage and finally Osteocalcin bone marker reaction surface area percentage and optical density. 
Under the specified conditions and laser parameters, photobiomodulation using the 810 nm Diode got the upper hand radiographically, yet histologically, the red 650 nm Diode managed to dominate all histological parameters when both employed as an adjunct to alveolar socket preservation procedures."</t>
  </si>
  <si>
    <t>Device: "The Diode (GaAlAs) laser device used was fabricated at the Department of Laser Engineering, Higher Institute of Laser Enhanced Sciences, Cairo University, Egypt, emitting a continuous wave beam with power at 100 ml W."</t>
  </si>
  <si>
    <t>Falci</t>
  </si>
  <si>
    <t>Complementary and alternative therapies for managing postoperative pain after lower third molar surgery: a systematic review and network meta-analysis</t>
  </si>
  <si>
    <t>"Eighty-two papers were included in the qualitative analysis; 33 of them were included in the quantitative analyzes. 
NMA revealed that drainage tube and kinesio-taping were superior in controlling pain 24-hours postoperatively than no-treatment. 
At 48-hours follow-up, kinesio-taping and LLLT more effective than placebo and drainage tube; and kinesio-taping and LLLT were superior to no treatment. 
At 72 h postoperatively, ozone therapy was superior to placebo; and drainage tube, kinesio-taping, and LLLT were better than no treatment. At 7-days follow-up, ozone and LLLT were superior to placebo; and LLLT and kinesio-taping were superior to no treatment. 
The SUCRA-ranking placed drainage tube as top-ranking intervention at 48-hours (98.2%) and 72-hours (96%) follow-ups, and ozone (83.5%) at 7-days follow-up."</t>
  </si>
  <si>
    <t>Comparison of different dual-wavelength photobiomodulation protocols application in third molar extractions. A split-mouth randomized controlled trial</t>
  </si>
  <si>
    <t>🧑 Human
⚔ Comparison study, randomized, split-mouth, double-blind
👥 20 participants
⌛ single treatment -&gt; 90-day follow-up</t>
  </si>
  <si>
    <t>"The different dual-wavelength PBMT protocols induced a similar postoperative clinical course in third molar extraction surgeries, with a reduced occurrence of complications and a good healing pattern of hard and soft tissues."</t>
  </si>
  <si>
    <t>Özer &amp; İnci</t>
  </si>
  <si>
    <t>Effect of low-level laser therapy in wound healing of primary molar teeth extraction</t>
  </si>
  <si>
    <t>🧑 Human (pediatric)
🎲 Randomized trial
👥 40 participants
⌛ 7 days</t>
  </si>
  <si>
    <t>"There was a statistically significant difference between the groups in the Wong-Baker values in 3rd day (p &lt; 0.05). In soft tissue healing on the 3rd and 7th day, the nonepithelialized surface of the laser socket was smaller than that of the control group, and the measurement results were found to be statistically significant (p &lt; 0.05)."
"Although LLLT was not found to be very effective in reducing postoperative discomfort after extraction of primary molars, it provided better wound healing in extraction sockets."</t>
  </si>
  <si>
    <t>Clinical and thermographic evaluation after lower third molar extractions and the application of different photobiomodulation protocols: double-blind randomised clinical trial</t>
  </si>
  <si>
    <t>🧑 Human
🎲 Randomized trial, double-blind
👥 31 participants
⌛ 7 days</t>
  </si>
  <si>
    <t>Wavelength combination (no benefit)</t>
  </si>
  <si>
    <t>660+
808
808</t>
  </si>
  <si>
    <t>"The association of the 660 nm with 808 nm, and the increase in energy did not showed more benefits in pain reduction oedema, or acceleration of the closure of the soft tissues of the dental sockets of lower third molars, in the protocols used here."
"Clinical relevance: There is no need to combine lasers at wavelengths of 660 and 808 nm to reduce oedema, pain and repair of soft tissues after extraction of lower third molars."</t>
  </si>
  <si>
    <t>China
(Yantai)</t>
  </si>
  <si>
    <t>Effects of Photobiomodulation Therapy on Hard Tissue Healing in Rat Tooth Extraction Sockets</t>
  </si>
  <si>
    <t>51.7</t>
  </si>
  <si>
    <t>"Micro-CT analysis showed that the percentage of bone volume/tissue volume (TV) and bone mineral density were significantly higher in the experimental group compared to the control group on day 28 (p &lt; 0.05). Histopathological evaluation revealed that PBMT promoted new bone formation and accelerated bone remodeling. ELISA demonstrated a significant increase in alkaline phosphatase expression in the laser sides on days 7 and 14 (p &lt; 0.05)."</t>
  </si>
  <si>
    <t>Nd:YAG laser therapy on postoperative pain, swelling, and trismus after mandibular third molar surgery: a randomized double-blinded clinical study</t>
  </si>
  <si>
    <t>🧑 Human
🎲 Randomized trial, double-blind
👥 300 participants
⌛ single session -&gt; 72-hour follow-up</t>
  </si>
  <si>
    <t>PBM vs dexamethasone+loxoprofen</t>
  </si>
  <si>
    <t>300
(6 points, 50J per point)</t>
  </si>
  <si>
    <t>"Groups Nd and Nd+m had lower VAS scores at 6 h, 24 h, and 48 h (F = 13.80, p = 0.00), but the difference between the two groups was not significant (F = 1.34, p = 0.11). However, no significant difference was observed at 72 h (p = 0.10). There was no significant difference in swelling or trismus among the three groups (p &gt; 0.05)."
"NdLT is an effective approach to improve complications after M3 surgery."</t>
  </si>
  <si>
    <t>Device: "Nd:YAG laser (1064 nm, AT Fidelis Fotona, Ljubljana, Slovenia)"
Application and anatomical location: "The fiber tip made a non-contact circular motion over the hard and soft tissue surfaces of the extraction socket, which was then applied at 6 regions (buccal, lingual, mesial/distal buccal, mesial/distal lingual), 50 J per region, with a total energy of 300 J for disinfection and coagulation."</t>
  </si>
  <si>
    <t>Photobiomodulation in dental extraction therapy: Postsurgical pain reduction and wound healing</t>
  </si>
  <si>
    <t>"Of the 632 studies initially identified, 22 studies fulfilled the inclusion criteria. Postoperative pain and PBM were reported in 20 articles for 24 treatment groups, with treatment times ranging from 17 through 900 seconds and wavelengths from 550 through 1,064 nm. Clinical wound healing outcomes were reported in 6 articles for 7 groups with treatment times ranging from 30 through 120 seconds and wavelengths from 660 through 808 nm. PBM therapy was not associated with adverse events."
"There is future potential to integrate PBM after dental extraction therapy to improve postoperative pain and clinical wound healing. The amount of time spent delivering PBM will vary by wavelength and the type of device. Further investigation is needed to translate PBM therapy into human clinical care."</t>
  </si>
  <si>
    <t>Effects of red and infrared laser on post extraction socket repair in rats subjected to alendronate therapy</t>
  </si>
  <si>
    <t>"PBMT enhanced the healing of the post extraction sockets in rats subjected to ALN administration."</t>
  </si>
  <si>
    <t>Kelkar</t>
  </si>
  <si>
    <t>Effect of low-level laser therapy on post-extraction hemostasis in patients with hemophilia - A prospective cohort study</t>
  </si>
  <si>
    <t>🧑 Human
📄 Non-randomized study, controlled
👥 60 patients</t>
  </si>
  <si>
    <t>"The results showed a 22.42% reduction in average time taken to achieve hemostasis in the test group as compared with the control group."
"The authors believe that perioperative use of LLLT should be encouraged because it demonstrated a significantly reduced time for hemostasis among hemophilia patients."</t>
  </si>
  <si>
    <t>de Moraes &amp; Pinheiro</t>
  </si>
  <si>
    <t>Photobiomodulation for Pain Relief After Third Molar Extraction: A Randomized Double-Blind Split-Mouth Clinical Trial</t>
  </si>
  <si>
    <t>🧑 Human
🎲 Randomized trial, 
👥 30 participants
⌛ (?)</t>
  </si>
  <si>
    <t>"In the control group, pain increased significantly at 24 and 48 h after extraction (p = 0.0000), decreasing after 7 days (before: 0.36; immediately after: 1.06; 24 h: 4.26; 48 h: 2.53; 7 days: 0.36). In the PBM group, patients reported no pain at all time points, indicating effectiveness of local and systemic PBM in relieving pain after third molar extraction (p = 0.2151) (before: 0.30; immediately after: 0.36; 24 h: 0.86; 48 h: 0.30; 7 days: 0.03). PBM also had a modulatory effect on the inflammatory process and improved comfort after extraction."
"Combined local and systemic PBM can be useful for pain relief, swelling control, and quality-of-life improvement in patients undergoing third molar extraction."</t>
  </si>
  <si>
    <t>Lacerda-Santos</t>
  </si>
  <si>
    <t>Use of Photobiomodulation to Reduce Postoperative Pain, Edema, and Trismus After Third Molar Surgery: A Systematic Review and Meta-Analysis</t>
  </si>
  <si>
    <t>"Thirty-three RCTs were included in the systematic review and 23 of these were included in the meta-analyses.
The studies involved a total of 1,347 participants (56.6% female and 43.4% male) between 16 and 44 years of age.
A greater reduction in pain was found in the PBM group compared to the control group on the third postoperative day (SMD: -1.09; 95% CI: -1.63; -0.55; P &lt; .001; low certainty). 
Edema was discretely lower in the PBM group on the second postoperative day (SMD: -0.61; 95% CI: -1.09; -0.13; P &lt; .001; low certainty) and trismus was discretely lower in the PBM group on the seventh postoperative day (SMD: 0.48; 95% CI: 0.00; 0.96; P &lt; .001; very low certainty)."
"The evidence of the effect of PBM regarding the control of pain, edema, and trismus following third molar extractions is low or very low."</t>
  </si>
  <si>
    <t>Brazil
(Nova Friburgo)</t>
  </si>
  <si>
    <t>Do Antimicrobial Photodynamic Therapy and Low-Level Laser Therapy Influence Oral Health-Related Quality of Life After Molar Extraction?</t>
  </si>
  <si>
    <t>🧑 Human
🎲 Randomized trial, double-blind
👥 40 participants
⌛ 30-day follow-up</t>
  </si>
  <si>
    <t>Groups: 
(1) control
(2) aPDT
(3) PBM
(4) combination</t>
  </si>
  <si>
    <t>"The total scores indicated a significant improvement in the OHRQoL in the aPDT (7.10, standard deviation 4.18, P = .043), LLLT (6.40, SD 5.87, P = .025), and aPDT + LLLT (5.30, SD 3.59, P = .012) groups compared to that in the control group (12.90, SD 6.64) at T1. Patients undergoing extraction of lower mandibular molars with aPDT + LLLT had the lowest mean OHIP-14 total score at T1 (5.30) and T2 (0.70)."</t>
  </si>
  <si>
    <t>Prudente</t>
  </si>
  <si>
    <t>Efficacy of one-time application of low-level laser therapy in the management of complications after third molar surgery: A retrospective practice-based study</t>
  </si>
  <si>
    <t>🧑 Human
📄 Retrospective study (laser vs placebo)
👥 96 subjects
⌛ (?)</t>
  </si>
  <si>
    <t>"Self-reported annoyance and pain scores were lower for the side submitted to a 30-second laser radiation at a power of 0.3 W with the slow scanning technique (P&lt; 0.05)."</t>
  </si>
  <si>
    <t>Comparative Study of the Efficacy of Low-Level Laser Therapy and Dexamethasone in Reducing the Severity of Post-Operative Inflammatory Response Following Surgical Extraction of Mandibular Third Molars</t>
  </si>
  <si>
    <t>🧑 Human
⚔ Comparison study, randomized
👥 50 participants
⌛ single treatment -&gt; 5-day follow-up</t>
  </si>
  <si>
    <t>PBM vs dexamethasone</t>
  </si>
  <si>
    <t>"Trismus (4.61 ± 0.26 cm [p = 0.0001]) in the LLLT group was significantly less than the dexamethasone group (trismus: 3.82 ± 0.73 cm). Edema at different anatomic locations in the LLLT group was also significantly less than the dexamethasone group (Angle-tragus [p = 0.0008], angle-canthus [p = 0.0021], angle-ala [p = 0.0258], angle-commissure [p = 0.0168], angle-mentus [p = 0.0227])."
"This study demonstrates that LLLT was beneficial in reduction in edema and trismus compared to dexamethasone following surgical extraction of third molars."</t>
  </si>
  <si>
    <t>Sigaroodi</t>
  </si>
  <si>
    <t>Low-level laser and management of common complications after the mandibular third molar surgery: A double-blind randomized clinical trial</t>
  </si>
  <si>
    <t>🧑 Human
🎲 Randomized trial, double-blind, split-mouth
👥 32 participants
⌛ 2-day treatment / 7-day study</t>
  </si>
  <si>
    <t>2
(postop + 24h later)</t>
  </si>
  <si>
    <t>"Our findings showed that the LLLT had beneficial effects on the management of pain, edema, and trismus following after 3rd molar extraction surgery."</t>
  </si>
  <si>
    <t>Thorat &amp; Nilesh</t>
  </si>
  <si>
    <t>Efficacy of low-level laser therapy in the management of postoperative surgical sequelae after surgical removal of impacted mandibular third molars</t>
  </si>
  <si>
    <t>🧑 Human
🎲 Randomized trial
👥 30 participants
⌛ 2-day treatment / 7-day study</t>
  </si>
  <si>
    <t>10000
(?)</t>
  </si>
  <si>
    <t>120
IO
+
60
EO</t>
  </si>
  <si>
    <t>2
(24h interval)</t>
  </si>
  <si>
    <t>"LLLT with a diode laser of wavelength 980 nm can effectively reduce pain, swelling, and trismus in the postoperative phase after surgical extraction of the mandibular impacted third molar and promote healing at the operative site."</t>
  </si>
  <si>
    <t>Alqutub</t>
  </si>
  <si>
    <t>Photobiomodulation vs NSAIDs in the management of postoperative dentoalveolar pain</t>
  </si>
  <si>
    <t>🧑 Human
⚔ Comparison study, non-randomized
👥 46 participants
⌛ single treatment -&gt; 7-day follow-up</t>
  </si>
  <si>
    <t>"Considering the constraints of this study, NSAIDs were found to be significantly better at reducing pain than LLLT."
Comment: No negative control group. Modest differences between the groups.</t>
  </si>
  <si>
    <t>Device: "Laser HF® “Comfort,” Hager &amp; Werken, Germany"</t>
  </si>
  <si>
    <t>Momeni</t>
  </si>
  <si>
    <t>Extraoral low-level laser therapy can decrease pain but not edema and trismus after surgical extraction of impacted mandibular third molars: a randomized, placebo-controlled clinical trial</t>
  </si>
  <si>
    <t>🧑 Human
🎲 Randomized trial, split-mouth, sham-controlled
👥 25 participants
⌛ single treatment -&gt; 7-day follow-up</t>
  </si>
  <si>
    <t>"Single-session irradiation of 940 nm diode laser can effectively decrease pain following third molar extraction surgery."
Comment: The placebo extraction was 2 weeks after the PBM extraction.</t>
  </si>
  <si>
    <t>Gururaj</t>
  </si>
  <si>
    <t>India
(Shimoga)</t>
  </si>
  <si>
    <t>Assessment of Healing and Pain Response at Mandibular Third Molar Extraction Sites with and Without Pre- and PostOperative Photobiomodulation at Red and Near-Infrared Wavelengths: A Clinical Study</t>
  </si>
  <si>
    <t>🧑 Human
🎲 Randomized trial
👥 26 participants
⌛ 2-day treatment / 21-day study</t>
  </si>
  <si>
    <t>810
(day 1)
+
660
(day 2)</t>
  </si>
  <si>
    <t>2
(1 NIR + 1 red)</t>
  </si>
  <si>
    <t>"The results showed clinically significant improvements in healing index scores and pain scores of the experimental group than the control group (P &lt; 0.0001)."</t>
  </si>
  <si>
    <t>Almasri</t>
  </si>
  <si>
    <t>Low-Level Laser Therapy Role in Surgical Extractions: An Original Research</t>
  </si>
  <si>
    <t>🧑 Human
📄 Non-randomized study, controlled
👥 50 participants
⌛ 7-day study</t>
  </si>
  <si>
    <t>"LLLT can be successfully used for the surgical extractions."
Comment: The data provided seems somewhat erraneous, Table 1 presenting a suspicious number of the mean value "7.606" in multiple measurements.
Comment: The treatment is inadequately described. Even wavelength was not reported.</t>
  </si>
  <si>
    <t>Filho</t>
  </si>
  <si>
    <t>Effect of preemptive photobiomodulation associated with nimesulide on the postsurgical outcomes, oxidative stress, and quality of life after third molar surgery: a randomized, split-mouth, controlled clinical trial</t>
  </si>
  <si>
    <t>🧑 Human
🎲 Randomized trial, split-mouth, double-blind
👥 40 participants
⌛ single treatment -&gt; 7-day follow-up</t>
  </si>
  <si>
    <t>PBM vs nimesulide
Groups:
- nimesulide + PBM
- nimesulide + placebo
- placebo + PBM
- placebo + placebo</t>
  </si>
  <si>
    <t>808
(?)</t>
  </si>
  <si>
    <t>3.537</t>
  </si>
  <si>
    <t>600µm fiber</t>
  </si>
  <si>
    <t>1 (before surgery)</t>
  </si>
  <si>
    <t>"Preemptive use of nimesulide only delayed peak pain. LLLT reduced edema, trismus, and contributed to a better perception of quality of life."
Comment: Wavelength not reported in the paper, but Ga-Al-As laser used and based on the device webpage, the wavelength appears to be 808 nm.</t>
  </si>
  <si>
    <t>Device: Therapy XT®, DMC, São Carlos, São Paulo, Brazil</t>
  </si>
  <si>
    <t>Al-Shamiri</t>
  </si>
  <si>
    <t>Efficacy of laser therapy for alveolar osteitis: a systematic review of the available evidence</t>
  </si>
  <si>
    <t>"Out of the 296 identified articles, 14 clinical trials comprising 981 patients were included. 
The laser wavelengths, power output, and energy fluence showed a great variability across the included studies: 632.8 - 2940 nm, 16 mW - 10 W, and 0.2 - 85.7 J/cm2, respectively. All included studies found laser to be efficacious in alleviating pain and accelerating healing in patients with alveolar osteitis. Of the 14 included studies, 13 studies reported superior outcomes in favor of laser therapy as compared to conventional therapies."</t>
  </si>
  <si>
    <t>Space-making effect for new bone formation by suppressing scar contraction of mucosal epithelium of rat tooth extraction wound using diode laser and CO 2 laser treatment</t>
  </si>
  <si>
    <t>Socket preservation</t>
  </si>
  <si>
    <t>?
10600</t>
  </si>
  <si>
    <t>300
LLLT
/
1000
HILT</t>
  </si>
  <si>
    <t>"Both CO2 and diode laser irradiation of tooth extraction wounds decreases α-SMA-positive cells and TGF-β1-positive areas. Further, it causes a decrease in myofibroblast expression and suppresses the invasion of mucosal epithelium into the extraction socket. Therefore, laser irradiation may exert a space-making effect for new bone formation and also contribute to socket preservation."
Comment: Parameters inadequately reported.</t>
  </si>
  <si>
    <t>ALHarthi</t>
  </si>
  <si>
    <t>Photobiomodulation for Managing "Dry Socket": A Randomised Controlled Trial</t>
  </si>
  <si>
    <t>🧑 Human
🎲 Randomized trial
👥 55 participants
⌛ 3-day study</t>
  </si>
  <si>
    <t>PBM vs curettage vs curettage+Alveogyl vs combination</t>
  </si>
  <si>
    <t>18
(3p)</t>
  </si>
  <si>
    <t>85.7</t>
  </si>
  <si>
    <t>0.07
cm2
probe
area</t>
  </si>
  <si>
    <t>90
(3p)</t>
  </si>
  <si>
    <t>"PBMT following MC and Alveogyl dressing is more efficient in reducing SPP compared with MC with or without Alveogyl dressing in patients with AO."</t>
  </si>
  <si>
    <t>PBM application: "The laser tip was kept at an approximate delivery distance of 1 centimeter from the surface of the extraction socket."</t>
  </si>
  <si>
    <t>Acta Odontol Latinoam</t>
  </si>
  <si>
    <t>Efficacy of two low-level laser therapy protocols following lower third molar surgery - a randomized, double-blind, controlled clinical trial</t>
  </si>
  <si>
    <t>🧑 Human
⚔ Comparison study, randomized
👥 21 patients (42 teeth)
⌛ 3-day treatment / 7-day study</t>
  </si>
  <si>
    <t>1 or 3</t>
  </si>
  <si>
    <t>"Both protocols performed similarly for pain control, swelling and trismus. 
Therefore, for practical reasons, a single laser application in the immediate postoperative period could be indicated for the management of postoperative discomfort in lower third molar surgery."</t>
  </si>
  <si>
    <t>Appl Bionics Biomech</t>
  </si>
  <si>
    <t>🆘 [RETRACTED] Effects of Low-Level Laser Therapy on Osseous Defects Distal to Mandibular Second Molar after Extraction of Impacted Third Molar</t>
  </si>
  <si>
    <t>🧑 Human
🎲 Randomized trial
👥 59 participants
⌛ single treatment / 6-month study</t>
  </si>
  <si>
    <t>Retraction note: "his article has been retracted by Hindawi, as publisher, following an investigation undertaken by the publisher [1]. This investigation has uncovered evidence of systematic manipulation of the publication and peer-review process. We cannot, therefore, vouch for the reliability or integrity of this article."
Article: "The incidence of severe pain and mouth-opening limitation was significantly lower in the LLLT group than that in the control group. 
The amount of bone formation in the LLLT group was higher than that in the control group 3 months after the operation, and the difference was statistically significant. But the difference was not statistically significant 6 months after surgery."</t>
  </si>
  <si>
    <t>Vietnam
(Ho Chi Minh)</t>
  </si>
  <si>
    <t>Effect of Photobiomodulation Therapy on Reducing Acute Pain and Inflammation Following Surgical Removal of Impacted Mandibular Third Molars: A Randomized, Split-Mouth Clinical Trial</t>
  </si>
  <si>
    <t>🧑 Human
🎲 Randomized trial, split-mouth
👥 25 participants
⌛ ~3 days</t>
  </si>
  <si>
    <t>500
(?)</t>
  </si>
  <si>
    <t>"Within the first 48 h postoperatively, pain level, swelling, and trismus were significantly lower in the PBMT group (p &lt; 0.05)."</t>
  </si>
  <si>
    <t>Effect of the association of infra-red and red wavelength photobiomodulation therapy on the healing of post-extraction sockets of third lower molars: a split-mouth randomized clinical trial</t>
  </si>
  <si>
    <t>🧑 Human
🎲 Randomized trial, split-mouth
👥 20 participants
⌛ 7-day treatment / 90-day study</t>
  </si>
  <si>
    <t>282.64</t>
  </si>
  <si>
    <t>"The clinical analysis showed that PBMT reduced edema and improved the repair of oral mucosa at 7 days after surgery, while the tomographic analysis showed no significant differences between groups."</t>
  </si>
  <si>
    <t>de Barros</t>
  </si>
  <si>
    <t>Low-level laser therapy is effective in controlling postoperative pain in lower third molar extractions: a systematic review and meta-analysis</t>
  </si>
  <si>
    <t>"15 randomized clinical trials were included in this review.
A total of 648 patients (16-44 years) who received low-level laser therapy as an intervention and placebo in their control group were evaluated. The pain evaluation criterion was the Visual Analog Scale (VAS) on the second and seventh days after surgery.
Photobiomodulation with low-level laser showed statistically significant reduction in postoperative pain in lower third molar extractions, both on the second (MD: - 0.59; CI: - 0.92, - 0.27) and seventh day after surgery (MD: - 0.76; CI: - 1.21, - 0.32)."</t>
  </si>
  <si>
    <t>Yüksek &amp; Eroğlu</t>
  </si>
  <si>
    <t>Clinical evaluation of single and repeated sessions of photobiomodulation with two different therapeutic wavelengths for reducing postoperative sequelae after impacted mandibular third molar surgery: a randomized, double-blind clinical study</t>
  </si>
  <si>
    <t>🧑 Human
⚔ Comparison study
👥 40 participants
⌛ 1-2 day treatment / 7-day study</t>
  </si>
  <si>
    <t>Wavelength comparison
Intraoral+extraoral application</t>
  </si>
  <si>
    <t>0.14
0.50</t>
  </si>
  <si>
    <t>?
50</t>
  </si>
  <si>
    <t>2.1
2.8
cm2
spot
size</t>
  </si>
  <si>
    <t>"Within the study limitations, in PBM, the effects of 810 nm and 940 nm and those of single and repeated applications were similar regarding pain, swelling and trismus. Immediate postoperative PBM could be preferred to repeated applications performed by point application within a 24-hour period."
Comment: No negative control group in this study, only 2 groups of PBM.</t>
  </si>
  <si>
    <t>Dalapria</t>
  </si>
  <si>
    <t>LED photobiomodulation therapy combined with biomaterial as a scaffold promotes better bone quality in the dental alveolus in an experimental extraction model</t>
  </si>
  <si>
    <t>"LED combined with the biomaterial improved bone formation in the histological analysis and diminished bone degeneration (demonstrated by the reduction in AcP), promoting an increase in bone density and volume. LED may be an important therapy to combine with biomaterials to promote bone formation, along with the other known benefits of this therapy, such as the control of pain and the inflammatory process."</t>
  </si>
  <si>
    <t>An in-vivo study of photobiomodulation using 403 nm and 649 nm diode lasers for molar tooth extraction wound healing in wistar rats</t>
  </si>
  <si>
    <t>403
649</t>
  </si>
  <si>
    <t>"The red diode laser 649 nm has been shown to accelerate the process of proliferation in wound healing post molar extraction based on histopathological and immunohistochemical test results."</t>
  </si>
  <si>
    <t>Hadad</t>
  </si>
  <si>
    <t>Photobiomodulation Therapy Improves Postoperative Pain and Edema in Third Molar Surgeries: A Randomized, Comparative, Double-Blind, and Prospective Clinical Trial</t>
  </si>
  <si>
    <t>🧑 Human
🎲 Randomized trial, double-blind
👥 13 participants
⌛ single treatment -&gt; 72h follow-up</t>
  </si>
  <si>
    <t>"VAS showed that PBM controlled pain better (7.56 ± 6.25) than SHAM (32.25 ± 22.78) at 24 hours (P &lt; .001) and 48 hours (19.47 ± 9.27 and 39.87 ± 4.21, respectively) (P = .011).
VAS also showed that PBM controlled edema better (19.7 ± 13.27) than SHAM (32.38 ± 15.28) at 24 hours (P = .037) and 48 hours (19.47 ± 13.11 and 39.87 ± 22.77, respectively) (P = .002)."</t>
  </si>
  <si>
    <t>Use of low-level laser therapy to reduce postoperative pain, edema, and trismus following third molar surgery: A systematic review and meta-analysis</t>
  </si>
  <si>
    <t>"10 studies were selected for the final sample"
"Meta-analysis resulted in (SMD, -0.53; 95% CI, -0.82,-0.24), (SMD, -0.60; 95% CI, -0.81,-0.39), and (SMD, -0.62; 95% CI, -2.63, 1.39) for pain, edema, and trismus, respectively, indicating statistical success on pain and edema reduction, but not for trismus."</t>
  </si>
  <si>
    <t>Infrared Thermography in the Evaluation of Dental Socket Healing After Photobiomodulation Therapy: A Case Report</t>
  </si>
  <si>
    <t>"A 36-year-old male patient had teeth extractions (18 and 28). Four PBMT sessions (660 nm; 2 J per tooth) were performed in the region of tooth 28 and recorded with thermographic images to compare the healing process, bilaterally. In the first two postoperative sessions, the temperature was higher (hyperradiant) on the left side (treated). After the third laser application, the left side was hyporradiant. In later session, the treated side became hyperradiant compared to the control side. The alveolus of tooth 28 showed more rapid healing than tooth 18 over a period of 60 days."</t>
  </si>
  <si>
    <t>Nejat</t>
  </si>
  <si>
    <t>USA &amp; Iron</t>
  </si>
  <si>
    <t>Effect of Photobiomodulation on the Incidence of Alveolar Osteitis and Postoperative Pain following Mandibular Third Molar Surgery: A Double-Blind Randomized Clinical Trial</t>
  </si>
  <si>
    <t>🧑 Human
🎲 Randomized trial, double-blind
👥 80 participants
⌛ single-treatment -&gt; 7-day follow-up</t>
  </si>
  <si>
    <t>Alveolar osteitis</t>
  </si>
  <si>
    <t>660
(4p)
+
810
(6p)</t>
  </si>
  <si>
    <t>200
200</t>
  </si>
  <si>
    <t>0.313
0.400</t>
  </si>
  <si>
    <t>1
/point
+
3
/point</t>
  </si>
  <si>
    <t>1.6
6</t>
  </si>
  <si>
    <t>0.64
cm2
beam
area at tissue</t>
  </si>
  <si>
    <t>5
/point
15
/point</t>
  </si>
  <si>
    <t>"According to the findings of this study, photobiomodulation therapy reduced the incidence of AO following surgical removal of impacted mandibular third molars."
"As it shown in Table 4, a significantly meaningful difference in VAS score was found between the two groups during second to fifth days after operation"</t>
  </si>
  <si>
    <t>Device: THOR-DD2</t>
  </si>
  <si>
    <t>Dumić</t>
  </si>
  <si>
    <t>Slovenia &amp; Italy</t>
  </si>
  <si>
    <t>The effect of post-extraction socket preservation laser treatment on bone density 4 months after extraction: Randomized controlled trial</t>
  </si>
  <si>
    <t>🧑 Human
🎲 Randomized trial
👥 53 extractions
⌛ single treaetment -&gt; 4-month follow-up after extraction</t>
  </si>
  <si>
    <t>1064
+
2940</t>
  </si>
  <si>
    <t>"In the laser group, erbium (Er:YAG; 2940 nm) and neodymium (Nd:YAG; 1064 nm) lasers were used for degranulation, disinfection, de-epithelialization of the surrounding gingiva, clot stabilization, and photobiomodulation."
"Increase in bone density at the follow-up CBCT was significantly higher in laser than in control group (p &lt; 0.001). No post-operative pain, bleeding, or swelling was present in the laser group. In the control group, one patient had bleeding 3-5 days after extraction, two patients had swelling and three patients reported post-operative pain rated 3-5 on a 0-10 pain scale up to 3 days after extraction."
Comment: See full text for parameters (the light treatment has different phases)</t>
  </si>
  <si>
    <t>Dalirsani</t>
  </si>
  <si>
    <t>Effects of diode low-level laser therapy on healing of tooth extraction sockets: a histopathological study in diabetic rats</t>
  </si>
  <si>
    <t>"LLLT at 808 nm was able to significantly repress inflammation, improve osteoid formation, and promote vascularization in comparison to the non-treated sockets.
LLLT at 660 nm significantly suppressed inflammation and developed vascularization in comparison to the non-treated sockets, but failed to improve osteoid formation in the treated sockets.
This study suggests that LLLT could be considered as a reliable treatment for wound healing in diabetic experimental rats."</t>
  </si>
  <si>
    <t>Low-level laser therapy using laser diode 940 nm in the mandibular impacted third molar surgery: double-blind randomized clinical trial</t>
  </si>
  <si>
    <t>🧑 Human
🎲 Randomized trial, double-blind
👥 25 participants
⌛ single treatment -&gt; 7-day follow-up</t>
  </si>
  <si>
    <t>30
/point
(3 points)</t>
  </si>
  <si>
    <t>"The results indicate that the mean swelling and trismus before, during, 2 days after, and 7 days after the intervention did not differ significantly between the two studied groups. However, the results show that on the sixth and seventh days, the pain was significantly lower in the intervention group compared to the control group."</t>
  </si>
  <si>
    <t>Biology (Basel)</t>
  </si>
  <si>
    <t>Interaction between Laser Light and Osteoblasts: Photobiomodulation as a Trend in the Management of Socket Bone Preservation-A Review</t>
  </si>
  <si>
    <t>"Here, we present a review of the literature on the effect of PBM on bone healing, for the management of socket preservation."
"In conclusion, when irradiated using the appropriate parameters, PBM could improve osteoproliferation and osteoinduction for socket preservation in healthy and sick animal models and human subjects, as well as in the presence or not of an allograft or biomaterial. Wavelengths higher than 800 nm and irradiation longer than three applications, resulted in a better bone healing effect. However, the review of the current literature did not allow an unambiguous definition of therapy and suggests improving experimental set-up and performing more extensive randomized controlled trials as mandatory efforts to develop reproducible clinical therapies."</t>
  </si>
  <si>
    <t>Isolan</t>
  </si>
  <si>
    <t>Photobiomodulation therapy reduces postoperative pain after third molar extractions: A randomized clinical trial</t>
  </si>
  <si>
    <t>🧑 Human
🎲 Randomized trial
👥 44 participants (101 extractions)
⌛ single treatment -&gt; 48-hour follow-up</t>
  </si>
  <si>
    <t>66
(11 per point, 6 points)</t>
  </si>
  <si>
    <t>83
(?)</t>
  </si>
  <si>
    <t>"PBMT significantly reduce the postoperative pain scores when assessed 6, 24, and 48 hours after third molar extractions."</t>
  </si>
  <si>
    <t>The Effects of Photobiomodulation Therapy for Treatment of Alveolar Osteitis (Dry Socket): Systematic Review and Meta-Analysis</t>
  </si>
  <si>
    <t>PBM vs alveogyl (and other interventions)</t>
  </si>
  <si>
    <t>"For the treatment of dry socket, pain perception based on the VAS score, PBT on average has a 3.41 higher pain level reduction compared to alveogyl which seems to be both statistically and clinically significant.
 In addition, based on the GRADE score, the evidence seems to be of moderate quality.
Also, in the individual studies which were included in this systematic review, PBT seems to be more effective than other methods (Salicept, zinc-oxide eugenol, ozone, and photodynamic therapy) in pain reduction of patients with alveolar osteitis."</t>
  </si>
  <si>
    <t>Domah</t>
  </si>
  <si>
    <t>The Use of Low-Level Laser Therapy to Reduce Postoperative Morbidity After Third Molar Surgery: A Systematic Review and Meta-Analysis</t>
  </si>
  <si>
    <t>"Seventeen randomized controlled trials were included in this systematic review, all of which were considered to have a low risk of bias. Participants, aged 13 to 70 years, and 35% women, totaled 1064. Meta-analyses found significant reductions in standardized mean differences (SMDs) in swelling at day 2 and day 7 postoperatively (SMD, -0.611; 95% confidence interval, -0.968, -0.234 and SMD, -0.532; 95% confidence interval, -0.795, -0.269). There were nonsignificant reductions in SMD in pain and trismus at day 2 and day 7 postoperatively."
"LLLT significantly reduces swelling after extraction of mandibular third molars compared with placebo. LLLT has not shown to reduce postoperative pain and trismus. LLLT does not cause adverse effects."
"There is currently insufficient evidence available, to promote the investment in LLLT vs the net clinical benefit. Randomized controlled trials with larger sample size and standardized study design and outcome measures are required, to make definitive recommendations to clinicians on its use on patients."</t>
  </si>
  <si>
    <t>Hamid</t>
  </si>
  <si>
    <t>Efficacy of Flat-Top Hand-Piece Using 980 nm Diode Laser Photobiomodulation on Socket Healing after Extraction: Split-Mouth Experimental Model in Dogs</t>
  </si>
  <si>
    <t>46</t>
  </si>
  <si>
    <t>"We showed that maxillary sockets in the PBM group had higher bone density compared to control one at 3, 4, 5 weeks (P = 0.029, &lt;0.001, &lt;0.001), respectively. Mandibular sockets revealed no significant difference between PBM and control at 3 weeks (P = 0.347), while at 4 and 5 weeks PBM group showed higher bone density (P = 0.004, &lt;0.001)."</t>
  </si>
  <si>
    <t>Peimani</t>
  </si>
  <si>
    <t>Effect of Diode Low-level Laser Irradiation Time on Socket Healing</t>
  </si>
  <si>
    <t>"Among 24 rats, on the 3rd day, the percentage of macrophage and bone trabecula increased significantly in the 5 minute group (p = 0.041 and p &lt; 0.01, respectively). Other changes in days 3 and 7 were not statistically significant (p &gt; 0.05)."
Comment: There were three groups and only one time point in one group showed significant effect.</t>
  </si>
  <si>
    <t>Fraga</t>
  </si>
  <si>
    <t>Do Antimicrobial Photodynamic Therapy and Low-Level Laser Therapy Minimize Postoperative Pain and Edema After Molar Extraction?</t>
  </si>
  <si>
    <t>🧑 Human
🎲 Randomized trial, sham-controlled
👥 40 participants
⌛ single treatment -&gt; 7-day follow-up</t>
  </si>
  <si>
    <t>PBM vs PDT vs both vs control</t>
  </si>
  <si>
    <t>3
mm2
output
spot</t>
  </si>
  <si>
    <t>"Postoperative pain was lowest in the aPDT + LLLT group in the 1st, 2nd, 3rd, 5th, 6th, and 7th day after tooth extraction (P &lt; .05). There were no significant differences in edema among the groups (P &gt; .05)."</t>
  </si>
  <si>
    <t>Forte</t>
  </si>
  <si>
    <t>Photobiomodulation Therapy Reduces the Inflammatory Process without Inhibiting Bone Deposition in Rats in an Extraction Model</t>
  </si>
  <si>
    <t>"There was no significant difference in body mass variation (p = 0.828) and bone neoformation (p = 0.365) between the two groups, but the TG presented lower PMN (p &lt; 0.001), MN (p &lt; 0.001), and OC counts (p &lt; 0.001) and higher blood vessels count (p &lt; 0.001) throughout the repair process."
"PBMT attenuated the inflammatory process after exodontia without interfering with bone neoformation."</t>
  </si>
  <si>
    <t>Scarano</t>
  </si>
  <si>
    <t>Photobiomodulation Enhances the Healing of Postextraction Alveolar Sockets: A Randomized Clinical Trial With Histomorphometric Analysis and Immunohistochemistry</t>
  </si>
  <si>
    <t>🧑 Human
🎲 Randomized trial
👥 20 participants
⌛ 2 weeks</t>
  </si>
  <si>
    <t>"The histomorphometric analysis and immunohistochemistry showed that the tested sites, contrary to controls, were characterized by a lower presence of inflammatory cells, a more mature epithelium and myofibroblasts incorporated in a network of fibers parallel to the basal membrane, with little positivity to alpha-SMA antibodies and anti-myosin but positivity to anti-desmin."
Comment: The paper claims the total energy was 100 mJ which is implausible. If the output power was 1W, the total dose during 120 seconds would be 120 J.</t>
  </si>
  <si>
    <t>Does Combined Low-Level Laser and Light-Emitting Diode Light Irradiation Reduce Pain, Swelling, and Trismus After Surgical Extraction of Mandibular Third Molars? A Randomized Double-Blinded Crossover Study</t>
  </si>
  <si>
    <t>🧑 Human
🎲 Randomized trial, double-blind, crossover
👥 40 participants (80 teeth)
⌛ 2-day treatment / 7-day study</t>
  </si>
  <si>
    <t>LED phototherapy (laser + LED)</t>
  </si>
  <si>
    <t>632
(LED)
+
810
(laser)</t>
  </si>
  <si>
    <t>500
(total)</t>
  </si>
  <si>
    <t>5
+
2</t>
  </si>
  <si>
    <t>70
intraoral
and 35
extraoral
= total 105</t>
  </si>
  <si>
    <t>2
(after surgery and 24h later)</t>
  </si>
  <si>
    <t>"Preoperative scores of all scales were lower for both groups compared with days 3 and 7 (P &lt; .0001). Postoperative pain levels on days 3 and 7 were significantly less in the intervention group (P = .03 and P = .01, respectively). Compared with the control group, the postoperative trismus level of the intervention group was significantly less on day 3 (P = .006)."
"Combined LLL plus LED irradiation could be an effective therapy to decrease postoperative pain and swelling after impacted third molar extractions."</t>
  </si>
  <si>
    <t>Effectiveness of Low-Level Laser Irradiation in Reducing Pain and Accelerating Socket Healing After Undisturbed Tooth Extraction</t>
  </si>
  <si>
    <t>🧑 Human
🎲 Randomized trial, sham-controlled
👥 40 participants
⌛ 3-day treatment / 7-day study</t>
  </si>
  <si>
    <t>red vs NIR vs both vs control</t>
  </si>
  <si>
    <t>200
200
200</t>
  </si>
  <si>
    <t>6
/point
(3 points)</t>
  </si>
  <si>
    <t>4.21
21.4
2.1+
10.7</t>
  </si>
  <si>
    <t>30
30
15+
15</t>
  </si>
  <si>
    <t>2
(after extraction -&gt;  two days later)</t>
  </si>
  <si>
    <t>"There was no significant difference in pain scores among the groups at any of the assessment intervals (P &gt;0.05). The between-group differences in wound healing scores were small and insignificant (P &gt;0.05)."
"LLLT with 660 nm or 810 nm lasers or their combination had no greater effect than the placebo laser for reducing the complications of tooth extraction."</t>
  </si>
  <si>
    <t>Device: Thor DD2</t>
  </si>
  <si>
    <t>Kamal</t>
  </si>
  <si>
    <t>A Comparative Clinical Study between Concentrated Growth Factor and Low-Level Laser Therapy in the Management of Dry Socket</t>
  </si>
  <si>
    <t>🧑 Human
📄 Non-randomized study, controlled
👥 60 participants
⌛ single treatment -&gt; 21-day follow-up</t>
  </si>
  <si>
    <t>PBM vs concentrated growth factor vs conventional treatment</t>
  </si>
  <si>
    <t>30
/point
(3 points)
(??)</t>
  </si>
  <si>
    <t>"Conventional treatment group I took more than 7 days to match the healing phase of group II CGF treated socket and group III LLLT irradiated socket (p = 0.001)."
Comment: Wavelength not reported but Er:YAG is commonly 2940 nm.</t>
  </si>
  <si>
    <t>Photobiomodulation for Mucosal Repair in Patients Submitted to Dental Extraction After Head and Neck Radiation Therapy: A Double-Blind Randomized Pilot Study</t>
  </si>
  <si>
    <t>🧑 Human
🎲 Randomized trial, double-blind
👥 22 participants (40 procedures)
⌛ 4 weeks</t>
  </si>
  <si>
    <t>14
(5p)</t>
  </si>
  <si>
    <t>"Patients from G1 reported postoperative pain less frequently (G1 = 4, 21.1% × G2 = 14, 66.7%, p = 0.005), and also reported lower intake of analgesic pills at D7 (21.1% × 66.7%, p = 0.005%). 
PBMT had a significant positive impact on both postoperative pain (NNT = 2.192, CI95% = 1.372-5.445) and mucosal healing (NNT = 1.056, CI95% = 0.954-1.181)."</t>
  </si>
  <si>
    <t>Device: "A Flash Laser III (DMC, São Paulo, Brazil) was used (...)"</t>
  </si>
  <si>
    <t>Management of Dry Socket With Low-Level Laser Therapy</t>
  </si>
  <si>
    <t>🧑 Human
📄 Non-randomized study, controlled
👥 45 participants
⌛ single treatment -&gt; 7-day follow-up</t>
  </si>
  <si>
    <t>"Results showed that the LLLT-irradiated group II sockets showed a much lower VAS pain score of 1-2 as early as day 4, and a richer amount of granulation tissue compared to the conventional treated group I socket. The amount and rate of granulation tissue formation in the dry socket are inversely proportional to the pain score showing significant clinical effectiveness of LLLT on promoting the healing of the dry socket, with improvement in symptoms (P = .001). Conventionally treated dry sockets take at least 7 days to match the effective healing of an LLLT-irradiated dry socket."
Comment: Wavelength not mentioned, but the laser is Er:YAG, which are often 2940 nm.</t>
  </si>
  <si>
    <t>Device: Fotona Er:YAG, Europe</t>
  </si>
  <si>
    <t>Does the Low-Intensity Laser Protocol Affect Tissue Healing After Third Molar Removal?</t>
  </si>
  <si>
    <t>🧑 Human
🎲 Randomized trial, double-blind
👥 57 participants
⌛ 1-week treatment / 6-month study</t>
  </si>
  <si>
    <t>-
(4 points)</t>
  </si>
  <si>
    <t>2.25
7</t>
  </si>
  <si>
    <t>0.03
cm2
beam
area</t>
  </si>
  <si>
    <t>"Analysis of the variables showed statistically significant differences between both groups that received laser therapy, with values of 1.46 for edema control on the third day and 0.54 on the seventh day in group I (P = .017) and 1.26 and 0.52, respectively, in group II (P = .001) compared with 0.59 and 0.49, respectively, in the sham group (P = .702)"</t>
  </si>
  <si>
    <t>Salem S</t>
  </si>
  <si>
    <t>Saudi Arabia
(Al Qassim)</t>
  </si>
  <si>
    <t>Consequences of 660 nm Diode Laser Following Postsurgical Exodontia in Patients under Contraceptive Pills: A Randomized Double-blinded Clinical Trial.</t>
  </si>
  <si>
    <t>🧑 Human
🎲 Randomized trial, double-blind
👥 50 participants
⌛ single treatment -&gt; 7-day follow-up</t>
  </si>
  <si>
    <t>"Using 660 nm diode laser reduced the postsurgical discomforts (pain, edema, and trismus) and promote healing associated following transalveolar extraction of the lower third molar."</t>
  </si>
  <si>
    <t>Device: SIRO Laser, Sirona Dental Systems GmbH, Bensheim, Germany</t>
  </si>
  <si>
    <t>The Effect of Cigarette Smoking And Low-Level Laser Irradiation in RANK/RANKL/OPG Expression.</t>
  </si>
  <si>
    <t>"The results of this study concluded that the LLLT had a positive effect, whereas cigarette smoke had a negative effect on RANK, RANKL and OPG gene expression in bone remodeling process."</t>
  </si>
  <si>
    <t>John</t>
  </si>
  <si>
    <t>Comparative evaluation of Low Level Laser Therapy and cryotherapy in pain control and wound healing following orthodontic tooth extraction: A double blind study.</t>
  </si>
  <si>
    <t>🧑 Human
⚔ Comparison study
👥 62 participants
⌛ single treatment -&gt; 14-day follow-up</t>
  </si>
  <si>
    <t>200
(5 points)</t>
  </si>
  <si>
    <t>"LLLT has better analgesic and wound healing properties as compared to Cryotherapy, suggesting that LLLT should be preferred over cryotherapy whenever possible."</t>
  </si>
  <si>
    <t>Rosero</t>
  </si>
  <si>
    <t>Photobiomodulation as an adjunctive therapy for alveolar socket preservation: a preliminary study in humans.</t>
  </si>
  <si>
    <t>🧑 Human
🎲 Randomized trial, sham-controlled, split-mouth
👥 20 participants
⌛ 16-day treatment / 45-day study</t>
  </si>
  <si>
    <t>2.5
/p</t>
  </si>
  <si>
    <t>89</t>
  </si>
  <si>
    <t>0.028
mm2</t>
  </si>
  <si>
    <t>125
(5 points)</t>
  </si>
  <si>
    <t>7
/ 16 days</t>
  </si>
  <si>
    <t>"PBM samples exhibited higher number of organized and connected bone trabeculae along with higher density of blood vessels than Control. Control samples displayed a dense and highly cellular connective tissue at the central area accompanied by the presence of immature bone trabeculae at the periphery. 
Our results indicated that the PBM therapy improved the newly bone trabeculae formation and their connectivity which increased bone surface, indicating the positive effect of the laser on alveolar human socket repair."</t>
  </si>
  <si>
    <t>Utility of High Intensity Laser Therapy Combined with Photobiomodulation Therapy for Socket Preservation After Tooth Extraction.</t>
  </si>
  <si>
    <t>Socket preservation
Wavelength comparison</t>
  </si>
  <si>
    <t>10600
940</t>
  </si>
  <si>
    <t>"In the diode and CO2 groups, new bone formation and cancellous bone maturation were observed at an early stage of wound healing.
The number of myofibroblasts was significantly lower in the laser treatment groups than the control (p &lt; 0.001), and both treatment groups had a significantly higher alveolar crest height (p &lt; 0.01), with almost no concavity in the mucosa of the extraction wound."</t>
  </si>
  <si>
    <t>Choung</t>
  </si>
  <si>
    <t>Medicine (Kaunas)</t>
  </si>
  <si>
    <t>Effectiveness of Low-Level Laser Therapy with a 915 Nm Wavelength Diode Laser on the Healing of Intraoral Mucosal Wound: An Animal Study and a Double-Blind Randomized Clinical Trial.</t>
  </si>
  <si>
    <t>🧑 Human
🎲 Randomized trial, split-mouth
👥 16 participants (third molar extr.)
⌛ 8-day treatment / 14-day study
+ 🐀 Rat (mucosal wound)</t>
  </si>
  <si>
    <t>0.625</t>
  </si>
  <si>
    <t>187.5</t>
  </si>
  <si>
    <t>0.8
cm2
beam
area</t>
  </si>
  <si>
    <t>3
/ 8 days
(post-op d0, d1 and d7)</t>
  </si>
  <si>
    <t>"As a clinical study, a total of 16 patients with split-mouth design subjected to bilateral mandibular third molar extraction were allocated into the LLLT group and placebo group."
"In the clinical study, although there were no significant statistical differences between the LLLT and placebo groups in all inflammatory parameters, the early stage mucosal healing tendency of wound dehiscence was higher in the LLLT group than in the placebo group clinically on postoperative day 1."
"Repeated laser irradiation promoted mucosal wound healing of the rats."</t>
  </si>
  <si>
    <t>Device: "Dental 5, Bison Medical Co., Seoul, Korea"</t>
  </si>
  <si>
    <t>Feslihan &amp; Eroğlu</t>
  </si>
  <si>
    <t>Turkey
(Tekirdag)</t>
  </si>
  <si>
    <t>Can Photobiomodulation Therapy Be an Alternative to Methylprednisolone in Reducing Pain, Swelling, and Trismus After Removal of Impacted Third Molars?</t>
  </si>
  <si>
    <t>🧑 Human
⚔ Comparison study, randomized, sham-controlled
👥 30 participants (60 teeth)
⌛ two extractions with 3-week interval / 3-day treatment / 7-day follow-up after extraction</t>
  </si>
  <si>
    <t>Extraoral irradiation (masseter)
PBM vs methylprednisolone</t>
  </si>
  <si>
    <t>3
cm2
spot
size</t>
  </si>
  <si>
    <t>"There were no significant differences between the PBMT and methylprednisolone administration in terms of postoperative pain, edema, and trismus."
"Within the limits of the present study, PBMT was considered an alternative and a useful method for controlling inflammatory complications following impacted wisdom tooth surgery as it exhibited similar clinical efficacy to that of methylprednisolone."
Comment: No control group without any active intervention.</t>
  </si>
  <si>
    <t>Device. "a gallium–aluminum–arsenide (GaAlAs) diode laser device (CHEESE Dental Laser System, Wuhan Gigaa Optronics Technology Co., China)"</t>
  </si>
  <si>
    <t>Is Low-Level Laser Therapy Effective for Pain Control After the Surgical Removal of Unerupted Third Molars? A Randomized Trial.</t>
  </si>
  <si>
    <t>🧑 Human
🎲 Randomized trial, double-blind, split-mouth
👥 32 participants
⌛ single treatment -&gt; 72-hour follow-up</t>
  </si>
  <si>
    <t>0.04
cm2
tip area</t>
  </si>
  <si>
    <t>"At the times analyzed, the laser group presented better results than the control group. As for the times, there were differences in pain scores between T0 (8.03 ± 14.87) and T3 (2.66 ± 4.23), as well as T4 (3.36 ± 7.83), in the laser group and differences between T0 (19.76 ± 26.66) and T3 (7.11 ± 10.76), as well as T4 (6.26 ± 13.14), in the control group."</t>
  </si>
  <si>
    <t>Device: "MM Optics Twin Flex Evolution (Equipamentos OptoEletronicos, São Carlos, Brazil), a low-level laser designed for dental treatments"</t>
  </si>
  <si>
    <t>India
(Rohtak)</t>
  </si>
  <si>
    <t>Photobiomodulation Alleviates Postoperative Discomfort After Mandibular Third Molar Surgery.</t>
  </si>
  <si>
    <t>🧑 Human
🎲 Randomized trial, double-blind, crossover
👥 25 participants (50 teeth)
⌛ 7 days (per extraction)</t>
  </si>
  <si>
    <t>90
IO
+
270
EO</t>
  </si>
  <si>
    <t>"The sites treated with photobiomodulation showed a significant reduction in pain and swelling (P &lt; .05) compared with the sites in the placebo group. Moreover, an increase in mouth opening was noted after photobiomodulation compared with that in the placebo group, but this was not statistically significant (P &gt; .05)."
"The results of this study suggest that photobiomodulation is effective in reducing pain and swelling after mandibular third molar surgery. Hence, it can be used as an alternative and effective modality after surgical removal of mandibular third molars, thereby improving the quality of life of the patients."</t>
  </si>
  <si>
    <t>Device: "A diode laser (Endolaser 476 with probe; Enraf-Nonius, Rotterdam, The Netherland)"</t>
  </si>
  <si>
    <t>Comparison of Single Versus Multiple Low-Level Laser Applications on Bone Formation in Extraction Socket Healing in Rabbits (Histologic and Histomorphometric Study).</t>
  </si>
  <si>
    <t>1
5 (?)</t>
  </si>
  <si>
    <t>"This rabbit model showed that single or multiple diode laser applications can be used to enhance bone formation after tooth extraction."</t>
  </si>
  <si>
    <t>Efficacy of photobiomodulation on accelerating bone healing after tooth extraction: a systematic review.</t>
  </si>
  <si>
    <t>"After applying the inclusion criteria, ten studies were selected for review. Test subjects included humans (3), rats (5), and rabbits (2), either healthy or with specified systemic condition(s). Laser parameters applied varied between studies significantly. 
Six studies measured bone density or bone trabeculae percentage, while remaining studies measured secondary outcome measures such as osteogenesis markers, patient's self-reported pain scores, and clinical epithelial regeneration. No side effects of photobiomodulation have been reported. 
Higher concentration of osteogenesis markers Ocn and Runx2 were consistently reported across studies, as well as higher percentage of bony trabeculae and bone density. 
Within the limitations of this review, improvement in bone repair can be found when using photobiomodulation in extraction sockets."</t>
  </si>
  <si>
    <t>Tenis</t>
  </si>
  <si>
    <t>Brazil
(Liberdade)</t>
  </si>
  <si>
    <t>Efficacy of diode-emitting diode (LED) photobiomodulation in pain management, facial edema, trismus, and quality of life after extraction of retained lower third molars: A randomized, double-blind, placebo-controlled clinical trial.</t>
  </si>
  <si>
    <t>LED phototherapy
Retained third molars
Intraoral + extraoral irradiation</t>
  </si>
  <si>
    <t>660
(IO)
+
850
(EX)</t>
  </si>
  <si>
    <t>12
108</t>
  </si>
  <si>
    <t>"Although the use of low-power laser in the postoperative has shown good results in the control of postoperative sequelae, this is the first study on the efficacy of the use of LED in this situation."</t>
  </si>
  <si>
    <t>Intan</t>
  </si>
  <si>
    <t>J Phys: Conference Series</t>
  </si>
  <si>
    <t>Effect of low-level laser therapy (LLLT) on post-operative pain, trismus and quality of life (QOL) of patients undergoing extraction of impacted lower third molars</t>
  </si>
  <si>
    <t>Extraoral irradiation</t>
  </si>
  <si>
    <t>"The level of pain did not differ significantly (p = 0.801) between the LLLT and control groups on day 0 (Table 2). However, the LLLT group was seen to exhibit a greater decrease in pain between day 0 and day 3 (minimum VAS = 0) compared to the control group (minimum VAS = 2). Moreover, the pain was seen to have subsided completely in the LLLT group by day 7, but not in the control group. The Mann Whitney test showed a significant difference between the two groups on days 3 and 7 (p = 0.000)."
"These findings suggest that LLLT therapy successfully reduced and even completely eradicated trismus by day 7."
"The results of this study showed that LLLT (905 nm 18J/cm2 osis, 100 mW power) therapy can decrease post-operative pain and reduce trismus from day 3 in patients that have undergone surgical treatment of impacted lower third molars."
Comment: Inadequate parameter reporting.</t>
  </si>
  <si>
    <t>Device: "Lasermed 2100, GaAs"</t>
  </si>
  <si>
    <t>Çırak</t>
  </si>
  <si>
    <t>Turkey
(Afyon)</t>
  </si>
  <si>
    <t>Comparative evaluation of various low-level laser therapies on bone healing following tooth extraction: An experimental animal study.</t>
  </si>
  <si>
    <t>Dose response
Wavelength comparison</t>
  </si>
  <si>
    <t>655
655
830</t>
  </si>
  <si>
    <t>30
30
100
100</t>
  </si>
  <si>
    <t>6
10
6
10</t>
  </si>
  <si>
    <t>200
333
60
100</t>
  </si>
  <si>
    <t>"Laser groups showed faster bone healing and gallium-aluminum-arsenide lasers increased vascular immunoreactivity. The most widespread organized bone formation in the extraction socket was observed in the gallium-aluminum-arsenide laser group with the energy dose of 10 J/cm2 (p &lt; 0.05)."
"This study demonstrated that low-level laser therapies were effective on alveolar bone healing and that an energy dose of 10 J/cm2 did not have an inhibition effect on bone regeneration."</t>
  </si>
  <si>
    <t>Asutay</t>
  </si>
  <si>
    <t>Three-dimensional evaluation of the effect of low-level laser therapy on facial swelling after lower third molar surgery: A randomized, placebo-controlled study.</t>
  </si>
  <si>
    <t>🧑 Human
🎲 Randomized trial, sham-controlled
👥 45 participants
⌛ single treatment -&gt; 7-day follow-up</t>
  </si>
  <si>
    <t>Extraoral irradiation (masseter insertion)</t>
  </si>
  <si>
    <t>3
cm2
beam
area</t>
  </si>
  <si>
    <t>"There was no statistically significant difference in the edema and trismus between the groups. The pain level in [LLLT group] was significantly lower than that in [placebo group] at all-time points. Furthermore, the pain level in Group 2 was significantly lower than that in [control group] on day 7."</t>
  </si>
  <si>
    <t>Device: "gallium‑aluminum‑arsenide (GaAlAs) diode laser device (CHEESE Dental Laser System, Wuhan Gigaa Optronics Technology Company, China)"</t>
  </si>
  <si>
    <t>Sampaio-Filho</t>
  </si>
  <si>
    <t>Low-level laser treatment applied at auriculotherapy points to reduce postoperative pain in third molar surgery: A randomized, controlled, single-blinded study.</t>
  </si>
  <si>
    <t>🧑 Human
🎲 Randomized trial, sham-controlled
👥 42 participants (84 teeth)
⌛ 3-day treatment / 7-day study</t>
  </si>
  <si>
    <t>0.0354</t>
  </si>
  <si>
    <t>6
(6p)</t>
  </si>
  <si>
    <t>60
(6 points)</t>
  </si>
  <si>
    <t>"For this experimental model, application of a low-intensity laser at auriculotherapy points did not prevent postoperative pain following lower third molar surgery."
Comment: I think the result was not a big surprise. Irradiating ears to treat tooth doesn't seem likely to work.</t>
  </si>
  <si>
    <t>Device: "red diode laser (Therapy XT®)"</t>
  </si>
  <si>
    <t>Koparal</t>
  </si>
  <si>
    <t>Turkey
(Adiyaman)</t>
  </si>
  <si>
    <t>Effects of low-level laser therapy following surgical extraction of the lower third molar with objective measurement of swelling using a three-dimensional system.</t>
  </si>
  <si>
    <t>🧑 Human
🎲 Randomized trial
👥 45 participants
⌛ 1-2 days of treatment / 7-day study</t>
  </si>
  <si>
    <t>PBM (one dose) vs PBM (two doses) vs control</t>
  </si>
  <si>
    <t>3
cm2</t>
  </si>
  <si>
    <t>"The present study demonstrated that, although single-dose or two-dose LLLT had beneficial effects on the swelling, trismus and pain level, a significant reduction was only observed in the pain level at postoperative day 7."</t>
  </si>
  <si>
    <t>Device: "gallium-aluminum-arsenide (GaAlAs) diode laser device (Cheese Dental Laser System; Wuhan Gigaa Optronics Technology Co., Ltd., Wuhan, China)"</t>
  </si>
  <si>
    <t>Hamid MA</t>
  </si>
  <si>
    <t>Low-level Laser Therapy on Postoperative Pain after Mandibular Third Molar Surgery.</t>
  </si>
  <si>
    <t>🧑 Human
🎲 Randomized trial, sham-controlled
👥 30 participants
⌛ single treatment -&gt; 7-day follow-up</t>
  </si>
  <si>
    <t>9
(3 points)</t>
  </si>
  <si>
    <t>0.28
cm2
beam
area</t>
  </si>
  <si>
    <t>90
(3 points)</t>
  </si>
  <si>
    <t>"LLLT appeared to have a high significant effect on pain reduction; however, there was a mild increase in pain after the 4th day."
Comment: The pain reduction appears very clear in the first days, but the paradoxical increase in pain after a few days is interesting.</t>
  </si>
  <si>
    <t>Farhadi</t>
  </si>
  <si>
    <t>Evaluation of adjunctive effect of low-level laser Therapy on pain, swelling and trismus after surgical removal of impacted lower third molar: A double blind randomized clinical trial.</t>
  </si>
  <si>
    <t>🧑 Human
🎲 Randomized trial, double-blind
👥 24 participants
⌛ single treatment -&gt; 7-day follow-up</t>
  </si>
  <si>
    <t>Intraoral + extraoral
Green light 🟢</t>
  </si>
  <si>
    <t>2.5
IO
+
2.5
EO</t>
  </si>
  <si>
    <t>25
IO
+
25
EO</t>
  </si>
  <si>
    <t>"Under limitations of this study, using low-power laser with mentioned parameters, clinically reduces pain, swelling and trismus after surgical removal of impacted mandibular wisdom, but not statistically significant."</t>
  </si>
  <si>
    <t>Dawdy</t>
  </si>
  <si>
    <t>Efficacy of adjuvant laser therapy in reducing postsurgical complications after the removal of impacted mandibular third molars: A systematic review update and meta-analysis.</t>
  </si>
  <si>
    <t>"The authors included 21 studies. There was low-certainty evidence that LLLT results in less pain at 2 days after surgery (mean difference [MD], -1.42 on a 10 point scale; 95% confidence interval [CI], -2.18 to -0.67) and moderate certainty that it results in negligibly less pain at 7 days (MD, -0.59; 95% CI, -0.96 to -0.22); moderate-certainty evidence that LLLT has a negligible benefit on reducing trismus at 2 days (MD, -3.42 millimeters; 95% CI, -5.34 to -1.50) and at 7 days after surgery (MD, -2.30 mm; 95% CI, -3.96 to -0.64); lastly, there was moderate-certainty evidence that LLLT results in less postoperative swelling at 2 days (standardized MD, -0.82; 95% CI, -1.28 to -0.35) and low-certainty evidence that LLLT results in negligibly less postoperative swelling at 7 days after surgery (standardized MD, -0.17; 95% CI, -0.4 to 0.07). Low-quality evidence suggests that LLLT will not cause adverse effects."
"LLLT probably has negligible benefits but may not result in adverse events. Evidence does not support the use of LLLT in clinical practice to reduce complications after impacted mandibular third-molar surgical extractions."</t>
  </si>
  <si>
    <t>Raiesian</t>
  </si>
  <si>
    <t>Assessment of Low-Level Laser Therapy Effects After Extraction of Impacted Lower Third Molar Surgery.</t>
  </si>
  <si>
    <t>🧑 Human
🎲 Randomized trial, double-blind
👥 44 participants
⌛ 2-day treatment / 7-day study</t>
  </si>
  <si>
    <t>18
/p
(3p)</t>
  </si>
  <si>
    <t>180
(3p)</t>
  </si>
  <si>
    <t>"The mean score of pain 24 hours after surgery in the laser therapy group (2.3 ± 3.5) was significantly lower than the mean score of pain in the drug therapy (4.19 ± 3.09) (P = 0.036). Moreover, the mean score of pain at one week after surgery in the laser therapy group (0.13 ± 2.33) was significantly lower than the drug therapy group (1.43 ± 2.45) (P = 0.046).
The amount of swelling according to different measurements did not significantly differ between the two groups neither at 24 hours nor at 1 week after surgery."
"Our findings showed that LLLT was useful in reducing pain and could slightly reduce swelling compared to drug therapy in impacted third molar surgery."</t>
  </si>
  <si>
    <t>Device: "diode, fixed and contact mode laser (G-laser 25, Galbiati, Italy)"</t>
  </si>
  <si>
    <t>Petrini</t>
  </si>
  <si>
    <t>Effect of pre-operatory low-level laser therapy on pain, swelling, and trismus associated with third-molar surgery.</t>
  </si>
  <si>
    <t>🧑 Human
📄 Retrospective study
👥 45 patients</t>
  </si>
  <si>
    <t>Intraoral + extraoral</t>
  </si>
  <si>
    <t>"Pre-surgical LLLT treatment seems to increase the analgesic effect of LLLT. However, trismus and edema were reduced in both laser treated groups, independently from the period of irradiation."</t>
  </si>
  <si>
    <t>Device: G-Laser 25 Galbiati, Italy</t>
  </si>
  <si>
    <t>Dostalova</t>
  </si>
  <si>
    <t>Low-Level Laser Therapy After Wisdom Teeth Surgery: Evaluation of Immunologic Markers (Secretory Immunoglobulin A and Lysozyme Levels) and Thermographic Examination: Placebo Controlled Study.</t>
  </si>
  <si>
    <t>🧑 Human
📄 Non-randomized study, sham-controlled
👥 57 participants (213 teeth)
⌛ 4 days (?)</t>
  </si>
  <si>
    <t>6.4
mm2
probe
aperture</t>
  </si>
  <si>
    <t>Comment: In this study, baseline markers differed a lot between the groups. The results are impossible to interpret.</t>
  </si>
  <si>
    <t>Comunian</t>
  </si>
  <si>
    <t>Oral Maxillofac Surg</t>
  </si>
  <si>
    <t>Photobiomodulation with LED and laser in repair of mandibular socket rabbit: clinical evaluation, histological, and histomorphometric.</t>
  </si>
  <si>
    <t>780
laser
830
LED</t>
  </si>
  <si>
    <t>?
26</t>
  </si>
  <si>
    <t>50
150</t>
  </si>
  <si>
    <t>9
9</t>
  </si>
  <si>
    <t>"It was found that photobiomodulation with LASER and LED presented effects. However, only the LED demonstrated a beneficial effect on the process of bone repair in the dental alveoli of rabbits."
Comment: The photograph of rabbit being treated by LED light looks a little bit funny.</t>
  </si>
  <si>
    <t>Kahraman</t>
  </si>
  <si>
    <t>Turkey &amp; USA</t>
  </si>
  <si>
    <t>The Effects of Transcutaneous and Intraoral Low-Level Laser Therapy After Extraction of Lower Third Molars: A Randomized Single Blind, Placebo Controlled Dual-Center Study.</t>
  </si>
  <si>
    <t>🧑 Human
🎲 Randomized trial, sham-controlled
👥 60 participants 
⌛ single session (2 irradiations) -&gt; 7-day follow-up</t>
  </si>
  <si>
    <t>Intraoral (BTL 2000 device)
Extraoral (Lumenis device)
Intraoral vs extraoral</t>
  </si>
  <si>
    <t>2 
(before + after the extraction)</t>
  </si>
  <si>
    <t>"The results of this study suggest that single-session intraoral LLLT is more effective than extraoral application for reducing postoperative pain."
Comment: The article also reviews previous trials on this issue.</t>
  </si>
  <si>
    <t>Device: BTL 2000 (Medictinedic, Denmark) GaAlAs laser for intraoral PBM and Lumenis (Lumenis, Inc., Santa Clara, CA) for extraoral PBM.</t>
  </si>
  <si>
    <t>Landucci</t>
  </si>
  <si>
    <t>Efficacy of a single dose of low-level laser therapy in reducing pain, swelling, and trismus following third molar extraction surgery.</t>
  </si>
  <si>
    <t>🧑 Human
📄 Non-randomized study, controlled
👥 22 participants (44 teeth)
⌛ single treatment -&gt; 7-day follow-up</t>
  </si>
  <si>
    <t>-
(10 points: 4 IO and 6 EO)</t>
  </si>
  <si>
    <t>"Compared with the control group, the study group showed significant reductions in pain, swelling, and trismus at 48h and 7 days postoperatively. In conclusion, a single dose of LLLT was effective at reducing the postoperative discomforts (pain, swelling, and trismus) associated with third molar extraction surgery."
Comment: The parameters were poorly reported.
Comment: The treatment wasn't randomized, only the jaw side was.</t>
  </si>
  <si>
    <t>Device: Ga– Al–As, Twin Laser; MM Optics, Saõ Carlos, Saõ Paulo, Brazil</t>
  </si>
  <si>
    <t>Pedreira</t>
  </si>
  <si>
    <t>Thermographic and clinical evaluation of 808-nm laser photobiomodulation effects after third molar extraction.</t>
  </si>
  <si>
    <t>🧑 Human
🎲 Randomized trial
👥 24 participants
⌛ 7 days</t>
  </si>
  <si>
    <t>0.63</t>
  </si>
  <si>
    <t>-
(6 IO points, 
6 EO points)</t>
  </si>
  <si>
    <t>"A slight improvement was observed for swelling, pain and trismus in patients who received laser irradiation, although the differences were not statistically significant (P&gt;0.05). Laser therapy had a significant influence on the local circulation in the area near the temporomandibular joint, as determined by infrared thermography (P&lt;0.05)."
Comment: The randomization process described in a weird manner, is this a real RCT?
Comment: Paper retriavable via ResearchGate. The journal webpage doesn't appear to work.</t>
  </si>
  <si>
    <t>Sierra</t>
  </si>
  <si>
    <t>Choosing between intraoral or extraoral, red or infrared laser irradiation after impacted third molar extraction.</t>
  </si>
  <si>
    <t>Wisdom tooth
Wavelength comparison
Intraoral vs extraoral</t>
  </si>
  <si>
    <t>120
(4 points)</t>
  </si>
  <si>
    <t>"The intra-group analyses showed that 808 nm laser applied extra-orally favored reductions in postoperative facial swelling and trismus, although the inter-group comparisons revealed no statistically significant differences."</t>
  </si>
  <si>
    <t>Oral Surg</t>
  </si>
  <si>
    <t>The effect of the low-level laser therapy on healing and pain after tooth extraction: a systematic review</t>
  </si>
  <si>
    <t>"A decrease in pain level after tooth extraction was reported after low-level laser therapy; however, there is no evidence regarding the effect on tissue healing. Adequately powered and randomised controlled trials are required to address this issue."</t>
  </si>
  <si>
    <t>(Not in Pubmed yet)</t>
  </si>
  <si>
    <t>Pol</t>
  </si>
  <si>
    <t>Efficacy of Anti-Inflammatory and Analgesic of Superpulsed Low Level Laser Therapy After Impacted Mandibular Third Molars Extractions.</t>
  </si>
  <si>
    <t>🧑 Human
🎲 Randomized trial, split-mouth
👥 25 participants
⌛ 3-day treatment / 14-day study</t>
  </si>
  <si>
    <t>635
+
904-
910</t>
  </si>
  <si>
    <t>70
+
500</t>
  </si>
  <si>
    <t>"Results indicate that in the treated site SLLLT determines a reduction in pain and swelling statistically significant compared with the control site (P &lt; 0.05). The authors found that the effectiveness of laser therapy is in the first 5 days after surgery, showing a significant reduction of pain and swelling in the treated site than the control site."</t>
  </si>
  <si>
    <t>Device: GaAs laser diode (2 Lumix Dental, Fisioline, Verduno, Cuneo, Italy)</t>
  </si>
  <si>
    <t>Hamad</t>
  </si>
  <si>
    <t>Iraq
(Kurdistan)</t>
  </si>
  <si>
    <t>Effect of Diode Laser on Healing of Tooth Extraction Socket: An Experimental Study in Rabbits.</t>
  </si>
  <si>
    <t>"Diode laser application to tooth extraction socket has a positive effect on bone formation."</t>
  </si>
  <si>
    <t>Is Low-Level Laser Therapy Effective in the Management of Pain and Swelling After Mandibular Third Molar Surgery?</t>
  </si>
  <si>
    <t>🧑 Human
🎲 Randomized trial, double-blind
👥 40 participants
⌛ 4-day treatment / 7-day study</t>
  </si>
  <si>
    <t>Combined wavelengths
Intraoral + extraoral</t>
  </si>
  <si>
    <t>660
(IO)
+
810
(EO)</t>
  </si>
  <si>
    <t>200
+
200</t>
  </si>
  <si>
    <t>24
(4p)
+
24
(4p)</t>
  </si>
  <si>
    <t>86
+
21.4</t>
  </si>
  <si>
    <t>0.07
cm2
spot
0.28
cm2
spot</t>
  </si>
  <si>
    <t>120
(4 points)
+
90
(3 points)</t>
  </si>
  <si>
    <t>1
(post-op)
+
3
(post-op + d2 + d4)</t>
  </si>
  <si>
    <t>"Pain level was significantly lower in the laser than in the placebo side at all time points during the experiment (P &lt; .05). Swelling was significantly lower in the laser than in the placebo group on days 2, 4, and 7 after surgery (P &lt; .05)."</t>
  </si>
  <si>
    <t>Eroglu &amp; Keskin Tunc</t>
  </si>
  <si>
    <t>Effectiveness of Single Session of Low-Level Laser Therapy with a 940 nm Wavelength Diode Laser on Pain, Swelling, and Trismus After Impacted Third Molar Surgery.</t>
  </si>
  <si>
    <t>🧑 Human
🎲 Randomized trial, split-mouth, sham-controlled
👥 35 participants (70 teeth)
⌛ single treatment -&gt; 7-day follow-up</t>
  </si>
  <si>
    <t>Wisdom tooth</t>
  </si>
  <si>
    <t>50
(on 12 cm2 area?)</t>
  </si>
  <si>
    <t>"There was no statistically significant difference in pain, swelling, or trismus between the sides (Mann-Whitney U test p &gt; 0.05). However, according to the clinical outcomes, swelling and trismus were less in the laser-treated side than in the placebo side."</t>
  </si>
  <si>
    <t>Device: "diode laser device (Ezlase 940; Biolase Technology, Inc., Irvine, CA)"</t>
  </si>
  <si>
    <t>Efficacy of Low-Level Laser Therapy in the Management of Postoperative Pain in Children After Primary Teeth Extraction: A Randomized Clinical Trial.</t>
  </si>
  <si>
    <t>🧑 Human (pediatric)
🎲 Randomized trial, double-blind
👥 37 participants
⌛ single treatment -&gt; 3-day follow-up</t>
  </si>
  <si>
    <t>Primary teeth</t>
  </si>
  <si>
    <t>54
(3 points)</t>
  </si>
  <si>
    <t>180
(60 per point, 3 points)</t>
  </si>
  <si>
    <t>"Within the limitations of this study, LLLT application following primary molar extraction was not found to affect postoperative pain in children."</t>
  </si>
  <si>
    <t>Device. Cheese Dental Diode Laser; GIGAA LASER, Wuhan Gigaa Optronics Technology Co., China</t>
  </si>
  <si>
    <t>Alan</t>
  </si>
  <si>
    <t>Evaluation of the effects of the low-level laser therapy on swelling, pain, and trismus after removal of impacted lower third molar.</t>
  </si>
  <si>
    <t>🧑 Human
🎲 Randomized trial, split-mouth
👥 15 participants (30 teeth)
⌛ two extractions (interval at least a month): 2-day treatments -&gt; 7-day follow-ups</t>
  </si>
  <si>
    <t>"Although there were decreasing trismus, swelling, and pain level, with this LLLT, there was significant difference only in the 7th day pain level in the laser group compared with the control group."</t>
  </si>
  <si>
    <t>Effects of increased low-level diode laser irradiation time on extraction socket healing in rats.</t>
  </si>
  <si>
    <t>Dose response
Gene expression</t>
  </si>
  <si>
    <t xml:space="preserve">13.95
27.9
69.75
</t>
  </si>
  <si>
    <t xml:space="preserve">d = 0.3 mm (?)
0.043
cm2
area
</t>
  </si>
  <si>
    <t>60
120
300</t>
  </si>
  <si>
    <t>"LLLT increased the expressions of all tested genes, Runx2, collagen type 1, osteocalcin, platelet-derived growth factor-B, and vascular endothelial growth factor, in a time-dependent manner. The highest levels of gene expressions were in the 5-min group after 7 days. Five minutes of irradiation caused prominent increases of the expression of all tested proteins after both 3 and 7 days. The expression level of each protein in group 4 was higher by almost twofold compared with group 1 after 7 days. Laser irradiation for 5 min caused the highest expressions of genes and proteins related to bone healing. In conclusion, LLLT had positive effects on the early stages of bone healing of extraction sockets in rats, which were irradiation time-dependent."</t>
  </si>
  <si>
    <t>Fabre</t>
  </si>
  <si>
    <t>Anti-inflammatory and analgesic effects of low-level laser therapy on the postoperative healing process</t>
  </si>
  <si>
    <t>🧑 Human
📄 Single-arm trial
👥 10 participants
⌛ 4-day treatment / 5-day study</t>
  </si>
  <si>
    <t>0.035
cm2
beam
area</t>
  </si>
  <si>
    <t>8
/point
(4 points?)</t>
  </si>
  <si>
    <t>4
/4 days</t>
  </si>
  <si>
    <t>"The swelling and interincisal opening returned to normal 24 hours after the first low-level laser therapy application (Friedman test). Moreover, the pain intensity was reduced on the third postoperative day, according to the Friedman test."</t>
  </si>
  <si>
    <t>Device: "laser model Endophoton LLT 0107 (KLD Biosystems Electronic Equipment Ltd., Amparo, SP, Brazil)"</t>
  </si>
  <si>
    <t>Effect of low-intensity laser treatment on pain after extraction of impacted mandibular third molars: a randomised, controlled, clinical trial.</t>
  </si>
  <si>
    <t>Wisdom tooth
intraoral vs extraoral
Wavelength comparison</t>
  </si>
  <si>
    <t>652
808</t>
  </si>
  <si>
    <t>3.537
3.537</t>
  </si>
  <si>
    <t>106
106</t>
  </si>
  <si>
    <t>d =
0.094
cm</t>
  </si>
  <si>
    <t>120
120</t>
  </si>
  <si>
    <t>"We conclude that a single session of low intensity laser had no significant effect on the amount of pain under the conditions investigated."
Note: Even control group had very low pain levels to begin with, which might explain the lack of success in this study.
Comment: Parameters are very nicely reported in a table.</t>
  </si>
  <si>
    <t>Monea</t>
  </si>
  <si>
    <t>Romania
(Târgu Mureș)</t>
  </si>
  <si>
    <t>Bone healing after low-level laser application in extraction sockets grafted with allograft material and covered with a resorbable collagen dressing: a pilot histological evaluation.</t>
  </si>
  <si>
    <t>🧑 Human
🎲 Randomized trial
👥 30 participants
⌛ 21-day treatment / 120-day study</t>
  </si>
  <si>
    <t>"The histological results of the site treated with LLLT for 21 days, harvested at 60 days after grafting showed abundant new bone formation without any sign of inflammation. The same results were obtained in the control group not before 120 days post-surgery."
"It can be concluded that LLLT photobiomodulation can reduce the healing time after grafting the extraction socket."
Comment: Parameters were poorly reported... Even wavelength was left unmentioned, but the device name (OsseoPulse) was mentioned.</t>
  </si>
  <si>
    <t>Device: OsseoPulse</t>
  </si>
  <si>
    <t>Halon</t>
  </si>
  <si>
    <t>Tissue laser biostimulation promotes post-extraction neoangiogenesis in HIV-infected patients.</t>
  </si>
  <si>
    <t>🧑 Human
📄 Single-arm study
👥 27 participants (89 extractions)
⌛ 5 days</t>
  </si>
  <si>
    <t>HIV patients
Socket healing
Angiogenesis</t>
  </si>
  <si>
    <t>38
mm2</t>
  </si>
  <si>
    <t>"As a result, we report that biostimulating laser therapy in HIV-infected patients of varying degrees of immunodeficiency greatly accelerated post-extraction neoangiogenesis, regardless of the patient's gender, tooth position, number of roots, or number of CD4 lymphocytes in the blood. Application of low-level laser therapy for the treatment of tooth extraction wounds in HIV(+) patients greatly enhanced the formation of new blood vessels, which in turn promoted wound healing."</t>
  </si>
  <si>
    <t>"The device used in the study was Doris CTL 1106MX (diode laser; output, 5–250 mW; wavelength, 820 nm) by Laser Instruments (Warsaw, Poland)."</t>
  </si>
  <si>
    <t>Abdel-Alim</t>
  </si>
  <si>
    <t>A Comparative Study of the Effectiveness of Immediate Versus Delayed Photobiomodulation Therapy in Reducing the Severity of Postoperative Inflammatory Complications.</t>
  </si>
  <si>
    <t>🧑 Human
⚔ Comparison study, randomized 
👥 80 participants
⌛ two sessions /  5-day study</t>
  </si>
  <si>
    <t>Immediate LLLT vs delayed LLLT (1 day after operation)</t>
  </si>
  <si>
    <t>171
(?)</t>
  </si>
  <si>
    <t>2
(day 0 and 3 or 1 and 4)</t>
  </si>
  <si>
    <t>"Eighty patients with horizontally impacted mandibular third molars with no inferior alveolar canal approximation were recruited for this study. They were divided into two groups. The immediate group received PBM therapy immediately after surgery and on the 3rd day postoperatively. Subjects in the delayed group received PBM therapy on the 2nd and 4th days postoperatively. All subjects received 2 min of treatment using a 4 W laser beam, during which 171 J were delivered via a 2.8 cm(2) spot size."
"Clinical and statistical results showed a significant reduction in pain, trismus, and swelling in the immediate PBM therapy group compared with the delayed PBM therapy group."
Comment: The authors claim the dose is 171 J but I suppose they actually mean that the fluence is 171 J/cm2 based on the other parameters reported.</t>
  </si>
  <si>
    <t>Efficacy of LLLT in swelling and pain control after the extraction of lower impacted third molars.</t>
  </si>
  <si>
    <t>🧑 Human
🎲 Randomized trial
👥 59 participants
⌛ two treatments with 12-hour interval -&gt; 24-hour follow-up</t>
  </si>
  <si>
    <t>480</t>
  </si>
  <si>
    <t>2
(after surgery -&gt; again at 12h)</t>
  </si>
  <si>
    <t>A strangely written paper, but they claim that LLLT was beneficial.</t>
  </si>
  <si>
    <t>A systematic review and meta-analysis on the efficacy of low-level laser therapy in the management of complication after mandibular third molar surgery.</t>
  </si>
  <si>
    <t>Studies:
- Six RCTs in which involves 193 participants are included in the meta-analysis.
- Among them, three RCTs exhibit a moderate risk of bias, while the other three show a high bias risk.
Results:
- Compared with placebo laser/control group, pain is significantly reduced with LLLT on the first day (mean difference [MD] = -2.63, P = 0.005).
- The superiority of LLLT in pain control persists on the second day (MD = -2.34, P = 0.04) and the third day (MD = -3.40, P &lt; 0.00001).
- Moreover, LLLT reduces an average of 4.94 mm (MD = 4.94, P = 0.004) of trismus compared with placebo laser irradiation in the first 3 days.
- In the first 3 days after surgery, extraoral irradiation (MD = -0.69, P = 0.03) and intraoral combined with extraoral irradiation (MD = -0.65, P = 0.01) reduced facial swelling significantly.
- On the seventh day, the intraoral combined with extraoral irradiation group (MD = -0.32, P = 0.02) still showed benefit in relieving facial swelling.
Discussion:
- However, because of the heterogeneity of intervention and outcomes assessment and risk of bias of included trials, the efficacy is proved with limited evidence.
- In the future, well-designed RCTs with larger sample size will be required to provide clearer recommendations.</t>
  </si>
  <si>
    <t>Kazancioglu</t>
  </si>
  <si>
    <t>Comparison of the influence of ozone and laser therapies on pain, swelling, and trismus following impacted third-molar surgery.</t>
  </si>
  <si>
    <t>🧑 Human
🎲 Randomized trial
👥 20 participants
⌛ 7 days</t>
  </si>
  <si>
    <t>Wisdom tooth
PBM vs ozone vs ctrl
Extraoral irradiation (masseter insertion)</t>
  </si>
  <si>
    <t>"The pain level and the number of analgesics tablets taken were lower in the ozonated and LLLT applied groups than in the control group. This study showed that ozone and low power laser therapies had a positive effect on the patients' quality of life. Trismus in the LLLT group was significantly less than in the ozonated and control groups (p = 0.033). Ozone application showed no superiority in regards of postoperative swelling; however, LLLT group had significantly lower postoperative swelling."
Note: There seemed to be no placebo group. A comment was published, noting that this might affect the results.</t>
  </si>
  <si>
    <t>Device. gallium–aluminum–arsenide (GaAlAs) diode laser (Fotona XD-2, Fotona, Ljubljana, Slovenia)</t>
  </si>
  <si>
    <t>Oliveira Sierra</t>
  </si>
  <si>
    <t>Effect of low-level laser therapy on the post-surgical inflammatory process after third molar removal: study protocol for a double-blind randomized controlled trial.</t>
  </si>
  <si>
    <t>"The present study aims to provide a randomized, controlled, double-blind trial to compare four different LLLT parameters in relation to the outcomes of pain, swelling and muscle spasm following surgery for the extraction of impacted third molars and evaluate the effects os surgery on patients' quality os life (QOL)."</t>
  </si>
  <si>
    <t>Ferrante</t>
  </si>
  <si>
    <t>Effect of low-level laser therapy after extraction of impacted lower third molars.</t>
  </si>
  <si>
    <t>Wisdom tooth
Intraoral and extraoral irradiation</t>
  </si>
  <si>
    <t>180
(3 points)</t>
  </si>
  <si>
    <t>There was much less pain and swelling in LLLT group.</t>
  </si>
  <si>
    <t>Device: "a diode laser device (model: G-Laser 25 Galbiati, Italy)"</t>
  </si>
  <si>
    <t>Batinjan</t>
  </si>
  <si>
    <t>Assessing Health-Related Quality of Life with Antimicrobial Photodynamic Therapy (APDT) and Low Level Laser Therapy (LLLT) after Third Molar Removal.</t>
  </si>
  <si>
    <t>🧑 Human
🎲 Randomized trial
👥 150 participants
⌛ single treatment -&gt; 7-day follow-up</t>
  </si>
  <si>
    <t>Wisdom tooth
PBM vs PDT vs ctrl</t>
  </si>
  <si>
    <t>50
(PBM)
90
(PDT)</t>
  </si>
  <si>
    <t>180
60</t>
  </si>
  <si>
    <t>"The present study has approved the diode laser usage for significant enhancement of patient’s postoperative problems after third molar surgery. Both laser therapy modalities significantly reduced postoperative pain, swelling problems, halitosis and analgesic usage. The least postoperative problems were present in the group which received antimicrobial photodynamic (APDT) and low level laser therapy (LLLT)."</t>
  </si>
  <si>
    <t>This paper seems to be somewhat poorly written.
Device: laser HF (Hager and Werken GmbH and Co. Duisburg, Germany, 2009.)</t>
  </si>
  <si>
    <t>Korany</t>
  </si>
  <si>
    <t>Evaluation of socket healing in irradiated rats after diode laser exposure (histological and morphometric studies)</t>
  </si>
  <si>
    <t>Gamma radiation</t>
  </si>
  <si>
    <t>"In a rat model application of LLLT with a GaAIAs diode laser device can enhance bone healing and mineralisation in sockets subjected to gamma radiation."</t>
  </si>
  <si>
    <t>López-Ramírez</t>
  </si>
  <si>
    <t>Efficacy of low-level laser therapy in the management of pain, facial swelling, and postoperative trismus after a lower third molar extraction. A preliminary study.</t>
  </si>
  <si>
    <t>🧑 Human
🎲 Randomized trial, sham-controlled, split-mouth
👥 20 participants (40 teeth)
⌛ single treatment -&gt; 4-day follow-up</t>
  </si>
  <si>
    <t>d =
0.7 cm
(??)</t>
  </si>
  <si>
    <t>"The application of a low-level laser with the parameters used in this study did not show beneficial affects in reducing pain, swelling, and trismus after removal of impacted lower third molars."</t>
  </si>
  <si>
    <t>Device: Laser Smile™, Biolase®, San Clemente, USA</t>
  </si>
  <si>
    <t>Brignardello-Petersen</t>
  </si>
  <si>
    <t>Is adjuvant laser therapy effective for preventing pain, swelling, and trismus after surgical removal of impacted mandibular third molars? A systematic review and meta-analysis.</t>
  </si>
  <si>
    <t>"There was no benefit of LLEI on pain or swelling and a moderate benefit on trismus after removal of IMTMs. It is necessary to standardize the intervention and outcomes assessment and to conduct adequately powered, well-designed trials to evaluate the efficacy of LLEI."</t>
  </si>
  <si>
    <t>Paschoal &amp; Santos-Pinto</t>
  </si>
  <si>
    <t>Therapeutic effects of low-level laser therapy after premolar extraction in adolescents: a randomized double-blind clinical trial.</t>
  </si>
  <si>
    <t>🧑 Human
🎲 Randomized trial, double-blind
👥 14 participants
⌛ 4-day treatment / 15-day study</t>
  </si>
  <si>
    <t>Premolar extraction</t>
  </si>
  <si>
    <t>d = 1 mm</t>
  </si>
  <si>
    <t>51
(3 points)</t>
  </si>
  <si>
    <t>"Compared with the placebo group, the test group showed a lower intensity of pain, but this difference was not statistically significant at any time point. The wound healing process was similar in both groups."</t>
  </si>
  <si>
    <t>Device: "Thera Lase, DMC Sa˜o Carlos-SP, Brazil"</t>
  </si>
  <si>
    <t>Park &amp; Kang</t>
  </si>
  <si>
    <t>Effect of 980-nm GaAlAs diode laser irradiation on healing of extraction sockets in streptozotocin-induced diabetic rats: a pilot study.</t>
  </si>
  <si>
    <t>13.95</t>
  </si>
  <si>
    <t>"Histological observations and gene expression analyses revealed that groups 2 (normal rats with LLLT) and 4 (diabetic rats with LLLT) showed faster initial healing and more new alveolar bone formation than group 1 (normal rats without LLLT) and group 3 (diabetic rats without LLLT), respectively."</t>
  </si>
  <si>
    <t>Mozzati</t>
  </si>
  <si>
    <t>Influence of superpulsed laser therapy on healing processes following tooth extraction.</t>
  </si>
  <si>
    <t>🧑 Human
🎲 Randomized trial, split-mouth, sham-controlled
👥 10 participants (20 teeth)
⌛ single treatment -&gt; 7-day follow-up</t>
  </si>
  <si>
    <t>"Superpulsed laser irradiation prevented the increase of interleukin (IL)-1β, IL-6, IL-10, and cyclooxygenase-2 (COX-2), and induced an insignificant increase in collagen at 7 days after extraction, versus levels on day of extraction; no changes were found in the other parameters examined."
"Patients reported less pain at the site treated with superpulsed laser irradiation than at the control site."</t>
  </si>
  <si>
    <t>Kan</t>
  </si>
  <si>
    <t>Low-level laser therapy supported teeth extractions of two patients receiving IV zolendronate.</t>
  </si>
  <si>
    <t>Prevention of MRONJ</t>
  </si>
  <si>
    <t>808
(patient 2)
1064
(patient 1)</t>
  </si>
  <si>
    <t>500
1250</t>
  </si>
  <si>
    <t>120
120</t>
  </si>
  <si>
    <t>2 / 2 days
2 / 2 days</t>
  </si>
  <si>
    <t>"Satisfactory wound healing in both the surrounding soft and hard tissues was achieved. LLLT application combined with atraumatic surgical interventions under antibiotics prophylaxis is a preferable approach in patients with a risk of BRONJ development."</t>
  </si>
  <si>
    <t>Aras &amp; Güngörmüş</t>
  </si>
  <si>
    <t>Turkey (Gaziantep)</t>
  </si>
  <si>
    <t>Placebo-controlled randomized clinical trial of the effect two different low-level laser therapies (LLLT)--intraoral and extraoral--on trismus and facial swelling following surgical extraction of the lower third molar.</t>
  </si>
  <si>
    <t>🧑 Human
🎲 Randomized trial, sham-controlled
👥 48 participants
⌛ single treatment -&gt; 7-day follow-up</t>
  </si>
  <si>
    <t>Wisdom tooth
Intraoral vs extraoral vs placebo</t>
  </si>
  <si>
    <t>3
cm2
(?)</t>
  </si>
  <si>
    <t>"This study demonstrates that extraoral LLLT is more effective than intraoral LLLT for the reduction of postoperative trismus and swelling after extraction of the lower third molar."</t>
  </si>
  <si>
    <t>Device: "Doctor Smile erbium and diode laser, Lambda Scientifica S.r. l, Vicenza, Italy"</t>
  </si>
  <si>
    <t>Amarillas-Escobar</t>
  </si>
  <si>
    <t>Mexico
(San Luis Potosí)</t>
  </si>
  <si>
    <t>Use of therapeutic laser after surgical removal of impacted lower third molars.</t>
  </si>
  <si>
    <t>🧑 Human
🎲 Randomized trial, double-blind
👥 30 participants
⌛ 4-day treatment / 7-day study</t>
  </si>
  <si>
    <t>Wisdom tooth
Intraoral+Extraoral</t>
  </si>
  <si>
    <t>1 intraoral
+
3 extraoral</t>
  </si>
  <si>
    <t>"The experimental group exhibited a lower intensity of postoperative pain, swelling, and trismus than the control group, without significant statistical differences."
Comment: Parameters were poorly reported.</t>
  </si>
  <si>
    <t>Device: "Quantum IR 810; Laser Systems, Queretaro, Mexico"</t>
  </si>
  <si>
    <t>The effect of low-level laser therapy on trismus and facial swelling following surgical extraction of a lower third molar.</t>
  </si>
  <si>
    <t>🧑 Human
🎲 Randomized trial, sham-controlled
👥 32 participants
⌛ single treatment -&gt; 7-day follow-up</t>
  </si>
  <si>
    <t>"It was determined that the trismus and the swelling in LLLT group were significantly less than in the placebo group on postoperative days 2 and 7."</t>
  </si>
  <si>
    <t>Device: "Doctor Smile erbium and diode laser; Lambda Scientifica S.r.l, Vicenza, Italy"</t>
  </si>
  <si>
    <t>Kashani</t>
  </si>
  <si>
    <t>Sweden
(Trollhättan)</t>
  </si>
  <si>
    <t>A randomized double-blind comparative study of Biolight light therapy following surgical extraction of impacted lower third molars</t>
  </si>
  <si>
    <t>🧑 Human
🎲 Randomized trial, double-blind
👥 60 participants
⌛ single session (2 irradiations) -&gt; 7-day follow-up</t>
  </si>
  <si>
    <t>637
+
956</t>
  </si>
  <si>
    <t>0.0021
+
0.0055</t>
  </si>
  <si>
    <t>360
(preop)
+
600
(postop)</t>
  </si>
  <si>
    <t>1 (incl. two irradiations. pre-op and post-op)</t>
  </si>
  <si>
    <t>"The results from this study showed that Phototherapy using monochromatic light Biolight therapy had no significant differences compared to the placebo group."</t>
  </si>
  <si>
    <t>Device: "The Biolight® method is based on the biological effects of electromagnetic energy in the form of monochromatic, primarily infrared light. The light was administered using a special device, (the Biolight Care Device, Biolight® International AB, Stockholm, Sweden). The Biolight equipment is non-invasive and non-thermal based on the effect of pulsed monochromatic light in the visible or near-visible spectrum"</t>
  </si>
  <si>
    <t>Marković &amp; Todorović</t>
  </si>
  <si>
    <t>Serbia (Belgrade)</t>
  </si>
  <si>
    <t>Int J Oral Maxillofac Surg.</t>
  </si>
  <si>
    <t>Effectiveness of dexamethasone and low-power laser in minimizing oedema after third molar surgery: a clinical trial.</t>
  </si>
  <si>
    <t>🧑 Human
📄 Non-randomized study, controlled
👥 120 participants
⌛ single treatment -&gt; 1-day follow-up</t>
  </si>
  <si>
    <t>PBM vs PBM+dexamethasone (i.m.) vs PBM+dexamethasone (i.m. and oral) vs control</t>
  </si>
  <si>
    <t>"Statistical analysis of the obtained results (Wilcoxon rank test) pointed to a significant difference between all the study groups and the control patients."
"LPL irradiation with local use of dexamethasone (group 2) resulted in a statistically significant reduction of postoperative oedema in comparison to the other groups. No adverse effects of the procedure or medication were observed."
Comment: A good photograph of the LLLT treatment was supplied. 
Comment: Parameters were quite poorly reported.
Comment: The method of patient allocation to groups was not described, thus I describe the study as non-randomized.</t>
  </si>
  <si>
    <t>Device: Medicolaser 637 (photograph in the paper)</t>
  </si>
  <si>
    <t>Postoperative analgesia after lower third molar surgery: contribution of the use of long-acting local anesthetics, low-power laser, and diclofenac.</t>
  </si>
  <si>
    <t>🧑 Human
🎲 Randomized trial
👥 90 participants
⌛ single treatment -&gt; follow-up over postoperative period</t>
  </si>
  <si>
    <t>Intraoral irradiation
PBM vs diclofenac</t>
  </si>
  <si>
    <t>"In the second part of the study, low-power laser irradiation significantly reduced postoperative pain intensity in patients premedicated with diclofenac, compared with the controls."</t>
  </si>
  <si>
    <t>Device: "Medicolaser 637; Technoline, Belgrade, Serbia and Montenegro"</t>
  </si>
  <si>
    <t>Assessment of anti-inflammatory effect of 830nm laser light using C-reactive protein levels.</t>
  </si>
  <si>
    <t>🧑 Human
🎲 Randomized trial, sham-controlled
👥 24 participants
⌛ 2-day treatment (at 24h and 48h after surgery) -&gt;  1-day follow-up</t>
  </si>
  <si>
    <t>2
(at 24h and 48h)</t>
  </si>
  <si>
    <t>"CRP values were more symmetric and better distributed for the irradiated group (0.320 mg/dl) than for the control (0.862.mg/dl) 48 h after surgery, however there was no statistically significant difference. After 72 h, both groups had statistically similar CRP levels (0.272 and 0.608 mg/dl), because of the normal tendency of decreasing CRP levels."
Comment:  Although no statistical significance, quite notable relative differences...</t>
  </si>
  <si>
    <t>Device: "Laser Beam, Rio de Janeiro, RJ, Brazil"</t>
  </si>
  <si>
    <t>Kucerová</t>
  </si>
  <si>
    <t>Low-level laser therapy after molar extraction.</t>
  </si>
  <si>
    <t>🧑 Human
🎲 Randomized trial
👥 150 participants
⌛ single treatment -&gt; 6-month follow-up</t>
  </si>
  <si>
    <t>633
670</t>
  </si>
  <si>
    <t>5
20</t>
  </si>
  <si>
    <t>1.5
1.5</t>
  </si>
  <si>
    <t>"The low-level laser has no influence on the process of osseointegration. This effect was observed on fracture healing in rats using He-Ne laser radiation. We found no differences in the bone density when compared to the control group."
"Patients felt better after laser therapy was observed. The patients felt more comfort after laser therapy"
Comment: There were 3 different 670 nm groups with different pulsing frequencies (292 Hz, 9000 Hz and 5 Hz). The 633 nm lasesr group was also pulsed (5 Hz).
Comment: DOI identifier not shown on PubMed (10.1089/clm.2000.18.309)</t>
  </si>
  <si>
    <t>Device: "low-level diode laser MED 100N, (LASOTRONIC, Zug, Switzerland)" and "He-Ne Biostimul laser (MEDICOM, Prague, Czech Republic, wavelength 632.8 nm, output 5 mW)"</t>
  </si>
  <si>
    <t>Braams</t>
  </si>
  <si>
    <t>Ned Tijdschr Tandheelkd</t>
  </si>
  <si>
    <t>[Treatment with soft laser. The effect on complaints after the removal of wisdom teeth in the mandible].
[Article in Dutch]</t>
  </si>
  <si>
    <t>"The results of this study show that therapeutic low level laser treatment could not statistically reduce the postoperative pain, swelling, trismus and function impairment after extraction of lower third molars."</t>
  </si>
  <si>
    <t>Røynesdal</t>
  </si>
  <si>
    <t>The effect of soft-laser application on postoperative pain and swelling. A double-blind, crossover study.</t>
  </si>
  <si>
    <t>🧑 Human
📄 Non-randomized study (?), self-controlled, crossover, double-blind
👥 25 participants
⌛ single treatment (2 irradiations: pre and post-op) -&gt; 7-day follow-up</t>
  </si>
  <si>
    <t>2 (pre and post-op)</t>
  </si>
  <si>
    <t>"No statistically significant differences were observed in comparison of the experimental side with the placebo side."
Comment: Randomization not described in full text, thus I describe study as non-randomized here even though it could have been randomized.
Comment: The anatomical location of irradiation was not described. Also the treatment parameters were inadequately described.</t>
  </si>
  <si>
    <t>Device: "Biophoton laser (Roenvig Dental, Denmark)"</t>
  </si>
  <si>
    <t>Fernando</t>
  </si>
  <si>
    <t>A randomised double blind comparative study of low level laser therapy following surgical extraction of lower third molar teeth.</t>
  </si>
  <si>
    <t>🧑 Human
🎲 Randomized trial, split-mouth, double-blind
👥 64 participants
⌛ single treatment -&gt; 7-day follow-up</t>
  </si>
  <si>
    <t>Intraoral irradiation</t>
  </si>
  <si>
    <t>"The results showed that there was no evidence of a difference in pain and swelling on the third day after operation between laser and placebo sides. There was no difference between the two sides when they were assessed for healing 7 days after surgery."</t>
  </si>
  <si>
    <t>Device: "CBM Master 3 semi-conductor laser" "C. B. Medico, Grove House, 28 Joiners Lane, Chalfont St Peters. Buckinghamshire, SL9 OAA, UK"</t>
  </si>
  <si>
    <t>Clokie</t>
  </si>
  <si>
    <t>The effects of the helium-neon laser on postsurgical discomfort: a pilot study.</t>
  </si>
  <si>
    <t>🧑 Human
📄 Split-mouth study
👥 15 participants (30 teeth)</t>
  </si>
  <si>
    <t>"This study has demonstrated that the helium-neon laser (632.8 nanometre (nm) at 10 milliwatt (mW), when applied to the surgical site for three minutes immediately following third molar surgery, reduced postoperative pain on the day of surgery and on the first postoperative day. This finding was statistically significant."
Comment: Could not find full text, thus it's unknown whether this was a randomized study and what were the exact treatment parameters.</t>
  </si>
  <si>
    <t>Carrillo</t>
  </si>
  <si>
    <t>A randomized double-blind clinical trial on the effectiveness of helium-neon laser in the prevention of pain, swelling and trismus after removal of impacted third molars.</t>
  </si>
  <si>
    <t>🧑 Human
🎲 Randomized trial, double-blind
👥 100 participants</t>
  </si>
  <si>
    <t>PBM vs ibuprofen vs placebo</t>
  </si>
  <si>
    <t>"The effect of helium-neon (He-Ne) laser on the prevention of pain, swelling and trismus following the removal of an impacted third molar was studied in 100 patients randomly allocated to receive He-Ne laser, ibuprofen or placebo in a prospective double-blind parallel clinical trial.
Trismus was significantly reduced in the He-Ne laser and ibuprofen treatment groups. Pain was significantly less in the ibuprofen group with regard to He-Ne laser and placebo groups. Swelling was the same in the three treatment groups."</t>
  </si>
  <si>
    <t>Taube</t>
  </si>
  <si>
    <t>Proc Finn Dent Soc</t>
  </si>
  <si>
    <t>Helium-neon laser therapy in the prevention of postoperative swelling and pain after wisdom tooth extraction.</t>
  </si>
  <si>
    <t>🧑 Human
🎲 Randomized trial, split-mouth
👥 17 participants (34 teeth)</t>
  </si>
  <si>
    <t>"When it became apparent that conventional statistical analysis was revealing no difference in postoperative swelling and pain between the test and the control groups, the study was discontinued for ethical reasons."
Comment: Finnish studies on photobiomodulation (PBM/LLLT) are quite rare. This study was conducted by Sheila Taube, Jorma Piironen, Pekka Ylipaavalniemi.</t>
  </si>
  <si>
    <t>Takeda</t>
  </si>
  <si>
    <t>Japan
(Morioka)</t>
  </si>
  <si>
    <t>Irradiation effect of low-energy laser on alveolar bone after tooth extraction. Experimental study in rats.</t>
  </si>
  <si>
    <t>"A histopathological study of the initial healing of extraction wounds following low-energy laser irradiation, using a gallium-arsenide semi-conductor laser, was carried out in rats. The results suggest that this mode of treatment has a beneficial effect on initial bony wound healing. It was found that proliferation of fibroblasts was more prominent in the irradiated group, and so was the formation of trabecular osteoid tissue. The deposition of lead in the newly formed bone suggests a more rapid ossification in the irradiated group."</t>
  </si>
  <si>
    <t>Toxic epidermal necrolysis (TEN)</t>
  </si>
  <si>
    <t>Pediatric Dermatology</t>
  </si>
  <si>
    <t>Treatment of oral manifestations of toxic epidermal necrolysis with low‐level laser therapy in a pediatric patient</t>
  </si>
  <si>
    <t>Pediatric patient</t>
  </si>
  <si>
    <t>66.66
-133.33</t>
  </si>
  <si>
    <t>0.03 cm2</t>
  </si>
  <si>
    <t>480-
600</t>
  </si>
  <si>
    <t>"Here, we report a case of a 9-year-old girl who presented with blisters associated with an extensive vesicular rash and multiple ulcerations on the lips and oral cavity. A drug-induced hypersensitivity reaction to antibiotics was suspected, and a diagnosis of TEN was made."
"We demonstrate that LLLT may be an effective treatment of TEN‐related oral lesions. The therapy was well tolerated and might beconsidered as a routine protocol in the treatment of mucosal drug‐induced reactions. Definitive conclusions about the real contributionof LLLT for noncancer patient improvement depend on further studies."</t>
  </si>
  <si>
    <t>laser duo /MMOpstics (InGaAlP)</t>
  </si>
  <si>
    <t>Trauma / Fractures</t>
  </si>
  <si>
    <t>Bandari</t>
  </si>
  <si>
    <t>Therapeutic Effect of a Low-Level Laser on Acute Pain and Post-operative Mouth Opening After Closed Reduction of Mandibular-Condylar Fracture</t>
  </si>
  <si>
    <t>🧑 Human
🎲 Randomized trial
👥 40 participants
⌛ 6-month study</t>
  </si>
  <si>
    <t>7
/ 7 days (?)</t>
  </si>
  <si>
    <t>"There was no significant difference between the study groups in terms of the range of jaw motions. The mean VAS score was 56.85 (SD=3.817) in the intervention group and 60.95 (SD=4.861) in the placebo group, showing a statistically significant difference between the two groups at the end of the study (P=0.007)"
Comment: The difference is very small.
Comment: Poorly written paper... no baseline symptom data?</t>
  </si>
  <si>
    <t>de Assis Santos</t>
  </si>
  <si>
    <t>Effects of light-emitting diode (LED) therapy on sensory changes in the inferior alveolar nerve after surgical treatment of mandibular fractures: a randomized controlled trial</t>
  </si>
  <si>
    <t>7.64 (??)</t>
  </si>
  <si>
    <t>"Sensory changes were observed in 68.7% of all fractures upon admission, with 91.2% in the LEDT group and 78.8% in the CTRL group demonstrating complete remission during the final period of the study."</t>
  </si>
  <si>
    <t>Salari</t>
  </si>
  <si>
    <t>Effect of delayed photobiomodulation therapy on neurosensory recovery in patients with mandibular nerve neurotmesis following traumatic mandibular fracture: A randomized triple-blinded clinical trial</t>
  </si>
  <si>
    <t>🧑 Human
🎲 Randomized trial, triple-blind
👥 52 participants
⌛ 6-week treatment / 1-year study</t>
  </si>
  <si>
    <t>12-14</t>
  </si>
  <si>
    <t>"The results showed significantly improved light (cotton swab), light (wooden cotton swab), and sharp (dental needle) touch sensations, and two-point discrimination test in the PBMT group after the 10th, 11th, 10th, and 10th session, respectively. 
Two-way repeated measure ANOVA revealed that the trend of light touch sensation with cotton swab and two-point discrimination test was statistically significant (p-value = 0.002 and 0.001, respectively). 
The results of OHIP-14 test showed a significantly higher mean in the PBMT group 3 months after PBMT.
There was no statistically significant difference in EPT and thermal discrimination tests regarding the patients' group."
Comment: The abstract text can be interpreted as PBM success only in few measurement points, but in fact those are the starting points from which the between-group results start to differ significantly. In the subsequent measurements the differences are still significant (eg. OHIP-14 at 6 or 12 months).</t>
  </si>
  <si>
    <t>Effect of oral exercises and photobiomodulation therapy in the rehabilitation of patients with mandible fractures: randomized double-blind clinical trial</t>
  </si>
  <si>
    <t>🧑 Human
🎲 Randomized trial, double-blind
👥 14 participants
⌛ 1-month treatment / 3-month study</t>
  </si>
  <si>
    <t>6
/  ~5 weeks</t>
  </si>
  <si>
    <t>"Both groups showed normal MID (&gt; 35 mm) and food consistencies consumed 1 month after the surgical procedure, with no significant differences between them. Individuals in the PBM group had less pain response to exercise during all the weeks of intervention than the sham group (p &lt; 0.05). The patients presented a reduction in the painful response in MID and mandibular laterality movements 1 month after surgery compared to the preoperative period. In contrast, there was an improvement in laterality in the sham group only 3 months postoperatively and persistent pain in MID. There was no significant difference in facial sensitivity within and between groups during follow-up."
Comment: Modest benefit at most.</t>
  </si>
  <si>
    <t>Rehabilitation strategies in maxillofacial trauma: systematic review and meta-analysis.</t>
  </si>
  <si>
    <t>"Nine studies were included in the review with different therapy modalities: photobiomodulation, kinesiologic tape, hilotherapy, jaw exercises, and TENS. Only five studies had available data to be included in a meta-analysis. There were no differences between any of the proposed strategies and its controls to prevent trismus. "</t>
  </si>
  <si>
    <t>Lauriti</t>
  </si>
  <si>
    <t>Evaluation of the Effect of Phototherapy in Patients with Mandibular Fracture on Mandibular Dynamics, Pain, Edema, and Bite Force: A Pilot Study.</t>
  </si>
  <si>
    <t>🧑 Human
🎲 Randomized trial, sham-controlled
👥 12 participants
⌛ 60 days</t>
  </si>
  <si>
    <t>Mandibular fracture</t>
  </si>
  <si>
    <t>0.108
at target
(?)</t>
  </si>
  <si>
    <t>10
cm2
irr. area
1
cm2
beam area</t>
  </si>
  <si>
    <t>15
/ 60 days</t>
  </si>
  <si>
    <t>"The findings suggest improvements in the laser group in comparison with the sham group with regard to mandibular dynamics, a reduction in postoperative facial swelling, a reduction in pain, and an increase in bite force."
Comment: The differences don't appear to be very large. There isn't very good reportation of between-groups differences.</t>
  </si>
  <si>
    <t>Trismus (from radiotherapy)</t>
  </si>
  <si>
    <t>Photobiomodulation with Low-Level Laser in the Treatment of Trismus After Radiotherapy: A Case Report.</t>
  </si>
  <si>
    <t>🧑 Human
📄 Case report
⌛ 5-week treatment -&gt; 1-year follow-up</t>
  </si>
  <si>
    <t>Intraoral + Extraoral</t>
  </si>
  <si>
    <t>3
/point
(5 points)</t>
  </si>
  <si>
    <t>10
(twice a week)</t>
  </si>
  <si>
    <t>"The efficacy of the PBM protocol on the trismus after radiotherapy was evidenced by the decrease of pain and increase of the buccal opening."</t>
  </si>
  <si>
    <t>Ulcers</t>
  </si>
  <si>
    <t>Photobiomodulation and Antimicrobial Photodynamic Therapy for Oral Ulcers in a Patient With Thrombocytopenia Following Bone Marrow Transplantation</t>
  </si>
  <si>
    <t>PBM + aPDT</t>
  </si>
  <si>
    <t>0.3
/point
(PBM)
5
/point
(PDT)
(10 points)</t>
  </si>
  <si>
    <t>3
/point
(PBM)
50
/point
(PDT)</t>
  </si>
  <si>
    <t>"The lesions were managed using a combination of phototherapies (photobiomodulation and antimicrobial photodynamic therapies), totalizing 4 laser sessions. After 4 days, there was an important reduction in the severity of the lesions, with spontaneous disappearance of the crusts and reepithelization."</t>
  </si>
  <si>
    <t>Calazans</t>
  </si>
  <si>
    <t>Protocol for Low-level laser therapy in traumatic ulcer after troncular anesthesia: Case report in pediatric dentistry.</t>
  </si>
  <si>
    <t>2
(?)</t>
  </si>
  <si>
    <t>"The aim of this study was to report a protocol of use for low-level laser therapy (LLLT) in traumatic ulcer in the lower lip after inferior alveolar nerve block anesthesia (IANBA). 
A 3-year-old patient, male, undergoing treatment of carious lesions was submitted to an indirect pulp capping in tooth 74 under IANBA. The procedure was completed without intercurrences, but on next day, the child presented extensive traumatic ulcer in the left lower lip, with complaint of pain. 
Two sequential applications with LLLT were applied in punctual mode under pressure around the lesion. 
After 1 week, the mother reported significant improvement. After 30 days, the lesion was fully healed. In conclusion, LLLT promoted rapid analgesia and healing, being a good treatment alternative for traumatic ulcer after troncular anesthesia."</t>
  </si>
  <si>
    <t>Cabras</t>
  </si>
  <si>
    <t>Laser Photobiomodulation for a Complex Patient with Severe Hydroxyurea-Induced Oral Ulcerations.</t>
  </si>
  <si>
    <t>twice
weekly</t>
  </si>
  <si>
    <t>"In this case report laser photobiomodulation has achieved pain control and has contributed to the healing of oral ulcers without any adverse effect; this has permitted a reduction in the dose of systemic corticosteroids and the suspension of the use of the topic ones, due to the long-term stability of oral health, even after the interruption of LLLT sessions."</t>
  </si>
  <si>
    <t>Uncategorized (dental)</t>
  </si>
  <si>
    <t>Lasers in esthetic dentistry: soft tissue photobiomodulation, hard tissue decontamination, and ceramics conditioning.</t>
  </si>
  <si>
    <t>0.1
/point
(6p per tooth)</t>
  </si>
  <si>
    <t>2
/point
(6p per tooth)</t>
  </si>
  <si>
    <t>"Three different laser wavelengths were applied throughout the treatment with different purposes: Nd:YAG laser (1,064 nm) for dentin decontamination, diode (660 nm) for soft tissue biomodulation, and Er:YAG laser (2,940 nm) for inner ceramic surface conditioning. Lasers were successfully applied in the present case report as coadjutant in the treatment."</t>
  </si>
  <si>
    <t>Wound healing: biopsy</t>
  </si>
  <si>
    <t>Gaur</t>
  </si>
  <si>
    <t>India
(Muradnagar)</t>
  </si>
  <si>
    <t>Efficacy of Diode Laser Ablation and Low Level Laser Therapy on Healing and Bacterial Load Reduction at Intraoral Biopsy Site</t>
  </si>
  <si>
    <t>🧑 Human
🎲 Randomized trial
👥.
⌛ single treatment (?) -&gt; 4-day follow-up</t>
  </si>
  <si>
    <t>Leukoplakia biopsy</t>
  </si>
  <si>
    <t>1500
--&gt;
600</t>
  </si>
  <si>
    <t>"The results encourage the conjugation of conventional incisional punch biopsy with low level lasers to avoid systemic intervention for post biopsy complications."
Comment: Parameters inadequately reported.</t>
  </si>
  <si>
    <t>Vestibuloplasty</t>
  </si>
  <si>
    <t>Karas &amp; Gunpinar</t>
  </si>
  <si>
    <t>The Use Of Low Level Laser Therapy In Conjunction With Diode Laser-Assisted And Conventional Vestibuloplasty: Comparison Of Wound Healing And Vestibular Depth Gain</t>
  </si>
  <si>
    <t>🧑 Human
🎲 Randomized trial
👥 52 participants
⌛ 7-day treatment / 14-day study</t>
  </si>
  <si>
    <t>()320µm
optical
fiber)</t>
  </si>
  <si>
    <t>"Within the limits of this study, both methods yielded in vestibule depth gain. On the other hand, LLLT did not have an additional positive effect on mucosal wound healing."</t>
  </si>
  <si>
    <t>Device: "a 980 nm diode laser (Sirolaser Xtend, Dentsply Sirona) with an outpower of 1.5W, 320 μm optical fiber"
Application: "probe was positioned perpendicularly (...) was applied within a wound area using back and forth action at a distance of 1-2 mm from the tissue"</t>
  </si>
  <si>
    <t>Wound healing: buccal wound</t>
  </si>
  <si>
    <t>Comparative evaluation of the efficacy of ozone therapy and low level laser therapy on oral mucosal wound healing in rat experimental model</t>
  </si>
  <si>
    <t>PBM vs ozone vs ctrl</t>
  </si>
  <si>
    <t>"The present study demonstrated that both adjunctive ozone therapy and LLLT with a 940 nm diode laser provided significant improvement in parameters of acute inflammation and tissue repair in surgical oral mucosal wounds in rats."</t>
  </si>
  <si>
    <t>Wound healing: excision</t>
  </si>
  <si>
    <t>Comparison between the Effect of 810 nm and 940 nm Diode Laser Irradiation on Histopathological Changes in Iatrogenic Oral Ulcers: an Animal Study</t>
  </si>
  <si>
    <t>810
940</t>
  </si>
  <si>
    <t>"When comparing 810- and 940-nm diode lasers, 810 nm irradiation significantly decreased the severity of inflammation in oral wounds created on the buccal mucosa of rabbits in a time-dependent manner."</t>
  </si>
  <si>
    <t>Wound healing: gingival incisions</t>
  </si>
  <si>
    <t>Neiburger EJ</t>
  </si>
  <si>
    <t>J Mass Dent Soc</t>
  </si>
  <si>
    <t>Rapid healing of gingival incisions by the helium-neon diode laser.</t>
  </si>
  <si>
    <t>🧑 Human
📄 Non-randomized study, self-controlled
👥 58 participants
⌛(?)</t>
  </si>
  <si>
    <t>"Sixty-nine percent of the irradiated incisions healed faster than the control incisions. No significant difference in healing was noted when patients were compared by age, gender, race, and anatomic location of the incision."
"This study concludes that helium-neon diode lasers, at the previously mentioned energy level, increase the rate of gingival wound healing in 69 percent of patients, without any side effects."
Comment: Didn't have full text access</t>
  </si>
  <si>
    <t>Wound healing: gingival wounds (secondary intention)</t>
  </si>
  <si>
    <t>Effect of photobiomodulation in secondary intention gingival wound healing-a systematic review and meta-analysis</t>
  </si>
  <si>
    <t>"The application of PBM as an adjunct to periodontal surgeries resulted in a significant improvement in wound healing indices. The Landry wound healing index at the 7th post-operative day was significantly improved (SMD = 1.044 [95% CI 0.62-1.46]; p &lt; 0.01) in PBM + surgery groups compared to the control groups."
"There was also a statistically significant increase in the complete wound epithelialization (RR = 3.23 [95% CI 1.66-6.31]; p &lt; 0.01) at the 14th post-operative day compared to the control groups."</t>
  </si>
  <si>
    <t>Wound healing: incision</t>
  </si>
  <si>
    <t>Sardari &amp; Ahrari</t>
  </si>
  <si>
    <t>Dent Res J
(Isfahan)</t>
  </si>
  <si>
    <t>The effect of low-level helium-neon laser on oral wound healing</t>
  </si>
  <si>
    <t>"This study showed that He-Ne laser had no beneficial effects on incisional oral wound healing particularly in 5 days after laser therapy. Future research in the field of laser effects on oral wound healing in human is recommended."</t>
  </si>
  <si>
    <t>Parirokh</t>
  </si>
  <si>
    <t>Effect of low power laser on incisional wound healing</t>
  </si>
  <si>
    <t>"Statistically significant differences were found between fibroblast migration, acute and chronic inflammation of radiated groups and the control group at 5 days interval (p&lt;0.05). There was no statistically significant difference at 3 and 14 days between laser radiated and control groups."</t>
  </si>
  <si>
    <t>Wound healing: palatal wounds</t>
  </si>
  <si>
    <t>Photobiomodulation With 808-nm Diode Laser Enhances Gingival Wound Healing by Promoting Migration of Human Gingival Mesenchymal Stem Cells via ROS/JNK/NF-κB/MMP-1 Pathway</t>
  </si>
  <si>
    <t>"The percentage of wound closure was much higher when compared with the control group (Fig. 5b)."
"Taken together, these present results indicate that PBM might promote cell migration via the ROS/JNK/NF-κB pathway."</t>
  </si>
  <si>
    <t>da Silva Neves</t>
  </si>
  <si>
    <t>Comparison of two power densities on the healing of palatal wounds after connective tissue graft removal: randomized clinical trial.</t>
  </si>
  <si>
    <t>🧑 Human
🎲 Randomized trial
👥 54 participants
⌛ 2-week treatment / 90-day study</t>
  </si>
  <si>
    <t xml:space="preserve">30
60
</t>
  </si>
  <si>
    <t>0.06
cm2
irrad.
area</t>
  </si>
  <si>
    <t>"Group 1 presented statistically significant smaller wounds at day 7 (p &gt; 0.05). None of the patients presented scars at the operated area, and all of the patients reported mild discomfort, with low consumption of analgesic pills. We concluded that the protocol of 60 J/cm(2) provided faster wound healing 7 days after removing the connective tissue graft for root coverage."</t>
  </si>
  <si>
    <t>Device: "a Ga-Al-As diode laser (TheraLase 30 W, DMC Ltda, São Carlos, Brazil)"</t>
  </si>
  <si>
    <t>Keskiner</t>
  </si>
  <si>
    <t>Effect of Photobiomodulation on Transforming Growth Factor-β1, Platelet-Derived Growth Factor-BB, and Interleukin-8 Release in Palatal Wounds After Free Gingival Graft Harvesting: A Randomized Clinical Study.</t>
  </si>
  <si>
    <t>🧑 Human
🎲 Randomized trial
👥 30 participants
⌛ 5-day treatment / 12-day study</t>
  </si>
  <si>
    <t>0.28 cm2 spot area
1.5 cm2 appl. area</t>
  </si>
  <si>
    <t>"Observed increases in PWF TGF-β1, PDGF-BB, and IL-8 levels suggest that PBM may accelerate wound healing by stimulating production of selected mediators."</t>
  </si>
  <si>
    <t>Device: "an Nd:YAG (Fotona Fidelis III, Ljubljana, Slovenia) laser"; "an R24 handpiece with a spot size of 600 μm optical fiber"
Application: 1 cm from tissue; circular</t>
  </si>
  <si>
    <t xml:space="preserve">The effect of red, green and blue lasers on healing of oral wounds in diabetic rats
</t>
  </si>
  <si>
    <t>"The results of the present study provide evidence that wound healing is slower in control rats compared to the treatment groups. Moreover, the findings suggest that wound healing occurs faster with red laser compared to blue and green lasers."</t>
  </si>
  <si>
    <t>Effect of GaAIAs low-level laser therapy on the healing of human palate mucosa after connective tissue graft harvesting: randomized clinical trial.</t>
  </si>
  <si>
    <t>🧑 Human
🎲 Randomized trial
👥 32 participants
⌛ 2-week treatment / 60-day study</t>
  </si>
  <si>
    <t>"The test group presented statistically significant smaller wounds at days 14 and 45.
None of the patients presented a scar at the operated area, and colorimetry analysis revealed that there was no statistically significant difference between groups (p &gt; 0.05)."
"We concluded that LLLT irradiation can accelerate wound healing on palatine mucosa after connective tissue removal for root coverage techniques."</t>
  </si>
  <si>
    <t>Device: "a GaAlAs diode laser"
Application: "punctual contact (to reduce reflection)"</t>
  </si>
  <si>
    <t>Firat</t>
  </si>
  <si>
    <t>The effect of low-level laser therapy on the healing of hard palate mucosa and the oxidative stress status of rats.</t>
  </si>
  <si>
    <t>"The histopathological findings revealed reduced numbers of inflammatory cells on the 7th day, increased mitotic activity of fibroblasts on the 14th and 21st day, and the same degree of collagen synthesis and vascularization on the days 7, 14, and 21 in the LLLT group compared with the control group. No significant differences in total oxidative status and total antioxidant status were observed between the groups."
"LLLT using a GaAlAs laser at a wavelength of 940 nm and a dose of 10 J/cm(2) elicited a positive healing effect on palatal mucoperiosteal wounds likely via the induction of fibroblasts. The oxidative stress status was not affected by LLLT."</t>
  </si>
  <si>
    <t>The effects of low-level laser therapy on palatal mucoperiosteal wound healing and oxidative stress status in experimental diabetic rats.</t>
  </si>
  <si>
    <t>"The histopathological findings revealed reduced numbers of inflammatory cells, and increased mitotic activity of fibroblasts, collagen synthesis, and vascularization in rats in group 2. The total oxidative status was significantly decreased in the laser-treated group on the 21st day."
"LLLT elicits a positive healing effect on palatal mucoperiostal wounds, and modulates the oxidative status in experimental diabetic rats."</t>
  </si>
  <si>
    <t>Fahimipour</t>
  </si>
  <si>
    <t>The effect of He-Ne and Ga-Al-As laser light on the healing of hard palate mucosa of mice.</t>
  </si>
  <si>
    <t>633
830</t>
  </si>
  <si>
    <t>"LLLT with He-Ne laser compared to Ga-Al-As laser has a positive healing effect on hard palate gingival wounds in mice regardless of the radiation dose."</t>
  </si>
  <si>
    <t>Effect of low-level laser therapy on experimental wounds of hard palate mucosa in mice.</t>
  </si>
  <si>
    <t>3
7.5</t>
  </si>
  <si>
    <t>120
300</t>
  </si>
  <si>
    <t>"On day 3 of injury, the laser-treated wounds contained significantly lower neutrophils than the wounds in the control group. By day 7 after injury, the laser-treated wounds contained significantly more fibroblasts and at the same time contained significantly fewer macrophages."</t>
  </si>
  <si>
    <t>Wound healing: tongue incision</t>
  </si>
  <si>
    <t>Effects of laser therapy on experimental wound healing using oxidized regenerated cellulose hemostat</t>
  </si>
  <si>
    <t>"It was observed that the treated group exhibited a greater reduction in edema and inflammatory infiltrate."</t>
  </si>
  <si>
    <t>Safavi</t>
  </si>
  <si>
    <t>Effects of low-level He-Ne laser irradiation on the gene expression of IL-1beta, TNF-alpha, IFN-gamma, TGF-beta, bFGF, and PDGF in rat's gingiva.</t>
  </si>
  <si>
    <t>68
mm2
area</t>
  </si>
  <si>
    <t>"The gene expression of IL-1beta and IFN-gamma was significantly inhibited in the test groups (P &lt; 0.05), while the gene expression of PDGF and TGF-beta were significantly increased (P &lt; 0.05).
The case and control groups did not have a significant difference in the gene expression of TNF-alpha and bFGF (P &gt; 0.05).
These findings suggest that low-level He-Ne laser irradiation decreases the amount of inflammation and accelerates the wound healing process by changing the expression of genes responsible for the production of inflammatory cytokines."</t>
  </si>
  <si>
    <t>Erman Erdemli</t>
  </si>
  <si>
    <t>Turkey
(Nigde)</t>
  </si>
  <si>
    <t>Biochemical Changes Induced by Grapeseed Extract and Low Level Laser Therapy Administration During Intraoral Wound Healing in Rat Liver: An Experimental and in Silico Study.</t>
  </si>
  <si>
    <t>Liver parameters (MDA, GSH, SOD, CAT)</t>
  </si>
  <si>
    <t>"There was significant decrease in MDA levels of IW+LLLT, IW+GSE and IW+LLLT+GSE groups when compared with IW group in both 7th and 14th days (Tables 1 and 2)."
"CAT activities of IW+LLLT, IW+GSE and IW+LLLT+GSE groups liver tissues were increased compared to IW group in both sampling days (Table 1)."
"SOD activities of IW+LLLT, IW+GSE and IW+LLLT+GSE groups were statistically decreased when compared to IW group in both sampling days."</t>
  </si>
  <si>
    <t>Wagner</t>
  </si>
  <si>
    <t>Photobiomodulation regulates cytokine release and new blood vessel formation during oral wound healing in rats.</t>
  </si>
  <si>
    <t>0.32
1.6
(2p)</t>
  </si>
  <si>
    <t>"PBM increased the tissue levels of IL-1β at the early stage of oral wound healing (p &lt; 0.01) and increased the tissue levels of TNF-α during all stages of oral wound healing (p &lt; 0.05). PBM at a dose of 4 J/cm(2) produced more significant results regarding cytokine modulation and was associated with higher MVD at day 5. Collectively, these findings indicate that cytokine modulation and increased angiogenesis are among the basic mechanisms whereby PBM improves oral wound repair."</t>
  </si>
  <si>
    <t>Khan &amp; Arany</t>
  </si>
  <si>
    <t>Adv Wound Care (New Rochelle)</t>
  </si>
  <si>
    <t>Biophysical Approaches for Oral Wound Healing: Emphasis on Photobiomodulation.</t>
  </si>
  <si>
    <t>"Photobiomodulation is increasingly popular for wound care and specifically suitable for oral wound care. While some of its mechanisms are well worked out, others are being actively explored."</t>
  </si>
  <si>
    <t>Influence of different energy densities of laser phototherapy on oral wound healing.</t>
  </si>
  <si>
    <t>"A statistically significant acceleration in healing time was found with wounds treated with 4 J/cm2 LPT. Moreover, striking differences were found in the ulcer area, healing percentage, degree of reepithelialization, and collagen deposition. The most significant changes occurred after 5 days of irradiation. Based on the conditions employed in the present study, LPT is capable of accelerating the oral mucosa wound-healing process. Moreover, faster and more organized reepithelialization and tissue healing of the oral mucosa were achieved with an energy density of 4 J/cm2 in comparison to 20 J/cm2."</t>
  </si>
  <si>
    <t>Orthopedics</t>
  </si>
  <si>
    <t>Z Rheumatol</t>
  </si>
  <si>
    <t>[Low level laser therapy : A narrative literature review on the efficacy in the treatment of rheumatic orthopaedic conditions].</t>
  </si>
  <si>
    <t>"LLLT shows potential as an effective, noninvasive, safe and cost-efficient means to treat and prevent a variety of acute and chronic musculoskeletal conditions. Further randomized controlled studies, however, are required to confirm this positive assessment."</t>
  </si>
  <si>
    <t>Biophoton papers</t>
  </si>
  <si>
    <t>Mould</t>
  </si>
  <si>
    <t>Ultra weak photon emission-a brief review</t>
  </si>
  <si>
    <t>"Cells emit light at ultra-low intensities: photons which are produced as by-products of cellular metabolism, distinct from other light emission processes such as delayed luminescence, bioluminescence, and chemiluminescence. The phenomenon is known by a large range of names, including, but not limited to, biophotons, biological autoluminescence, metabolic photon emission and ultraweak photon emission (UPE), the latter of which shall be used for the purposes of this review. It is worth noting that the photons when produced are neither 'weak' nor specifically biological in characteristics. Research of UPE has a long yet tattered past, historically hamstrung by a lack of technology sensitive enough to detect it. Today, as technology progresses rapidly, it is becoming easier to detect and image these photons, as well as to describe their function. In this brief review we will examine the history of UPE research, their proposed mechanism, possible biological role, the detection of the phenomenon, and the potential medical applications."</t>
  </si>
  <si>
    <t>Non-chemical signalling between mitochondria</t>
  </si>
  <si>
    <t>Biophotons (?) (light-based remote signaling between mitochondria)</t>
  </si>
  <si>
    <t>"We found that mitochondria in one cuvette stressed by an electron transport chain inhibitor, antimycin, alters the respiration of mitochondria in an adjacent, but chemically and physically separate cuvette, significantly decreasing the rate of oxygen consumption compared to a control (p = &lt;0.0001 in MCF7 and MCF10A mitochondria). Moreover, the changes in O2-consumption were dependent on the origin of mitochondria (cancer vs. non-cancer) as well as the presence of "ambient" light. 
Our results support the existence of non-chemical signalling between isolated mitochondria. The experimental design suggests that the non-chemical communication is light-based, although further work is needed to fully elucidate its nature."</t>
  </si>
  <si>
    <t>⚙️ Mechanisms (review)</t>
  </si>
  <si>
    <t>"Herein, we propose a number of mechanisms of PBM that do not depend on cytochrome c oxidase. These include the photophysical aspects of PBM and the interactions with biophotons and mechanotransductive processes. These hypotheses are contingent on the effect of light on ion channels and the cytoskeleton, the production of biophotons, and the properties of light and biological molecules. Specifically, the processes we review are supported by the resonant recognition model (RRM)."</t>
  </si>
  <si>
    <t>Do Biophotons Play Any Role in Transcranial Photobiomodulation of the Brain?</t>
  </si>
  <si>
    <t>France &amp; Australia &amp; UK</t>
  </si>
  <si>
    <t>The code of light: do neurons generate light to communicate and repair?</t>
  </si>
  <si>
    <t>"In conclusion, there is a still-growing body of evidence that neurons self-generate light across a range of wavelengths, from ultraviolet to red and near infrared; and that this light, referred to as biophotons, has during evolution become a means of communication between neurons, informing each other on their different states of activity and homeostasis. Biophotons may also be used for repair when the neuron is damaged or in distress, either for itself or for others. We suggest that the beneficial effects of photobiomodulation pivot on engaging this biophoton communication and repair network.
Although there is so much that remains unclear of how and why biophotons are produced, as well as their precise functional significance, the therapeutic implications of de-coding the biophoton communication and repair network are enormous. Technically, the development of an ultrasensitive biophoton detection device that identifies mitochondrial pathology in distressed and/or damaged neurons of the living human brain and then guides therapeutic intervention (e.g., targeted photobiomodulation) would be a goal worthy of much endeavor and exploration."</t>
  </si>
  <si>
    <t>Zangari</t>
  </si>
  <si>
    <t>Photons detected in the active nerve by photographic technique</t>
  </si>
  <si>
    <t>"In this study we experimentally detected photons in the node of Ranvier by Ag+ photoreduction measurement technique, during electrically induced nerve activity. Our results suggest that in association to the action potential a photonic radiation takes place in the node."</t>
  </si>
  <si>
    <t>Van Wijk</t>
  </si>
  <si>
    <t>Netherlands &amp; China</t>
  </si>
  <si>
    <t>Integrating Ultra-Weak Photon Emission Analysis in Mitochondrial Research</t>
  </si>
  <si>
    <t>"Regarding these mechanisms, we should take into account that mitochondria produce the majority of ultra-weak photon emission (UPE), an aspect that is often ignored – this type of emission may serve as assay for ROS, thus providing new opportunities for a non-invasive diagnosis of mitochondrial dysfunction."</t>
  </si>
  <si>
    <t>Mothersill</t>
  </si>
  <si>
    <t xml:space="preserve">Radiat Prot Dosimetry </t>
  </si>
  <si>
    <t>Biophotons in radiobiology: inhibitors, communicators and reactors</t>
  </si>
  <si>
    <t>"There is ample evidence since the 1930’s for the emission of biophotons from organic material and for their biological activity. Recent results suggest that they can also be produced following exposure of cells to ionizing radiation and that in this situation they can induce bystander effects in unirradiated cells. The mechanisms by which biophotons produce bystander effects involves mitochondrial OXPHOS, p53 status and the production of exosomes with altered profiles. The processes enhance our understanding of intercellular communication under homeostatic and stress conditions."</t>
  </si>
  <si>
    <t>Environ Res</t>
  </si>
  <si>
    <t>Modulation of oxidative phosphorylation (OXPHOS) by radiation- induced biophotons.</t>
  </si>
  <si>
    <t>Bystander effect to radiation
Beta radiation</t>
  </si>
  <si>
    <t>"Overall, these results provide evidence for a link between biophoton emission and biomodulation of the mitochondrial ATP synthesis process. However, there are many aspects of biological modulation by radiation-induced biophotons which will require further elucidation."</t>
  </si>
  <si>
    <t>Ultraweak photon emission in the brain</t>
  </si>
  <si>
    <t>"Here, we investigate [ultraweak photon emission] in the brain from different points of view such as experimental evidences, theoretical modeling, and physiological significance."</t>
  </si>
  <si>
    <t>Tang &amp; Dai</t>
  </si>
  <si>
    <t>Biophoton signal transmission and processing in the brain</t>
  </si>
  <si>
    <t>"In this paper, we review the relevant experimental findings and discuss the possible underlying mechanisms of biophoton signal transmission and processing in the nervous system."</t>
  </si>
  <si>
    <t>Spatiotemporal imaging of glutamate-induced biophotonic activities and transmission in neural circuits</t>
  </si>
  <si>
    <t>"Here by developing and optimizing an in vitro biophoton imaging method, we characterize the spatiotemporal biophotonic activities and transmission in mouse brain slices. We show that the long-lasting application of glutamate to coronal brain slices produces a gradual and significant increase of biophotonic activities and achieves the maximal effect within approximately 90 min, which then lasts for a relatively long time (&gt;200 min).
The initiation and/or maintenance of biophotonic activities by glutamate can be significantly blocked by oxygen and glucose deprivation, together with the application of a cytochrome c oxidase inhibitor (sodium azide), but only partly by an action potential inhibitor (TTX), an anesthetic (procaine), or the removal of intracellular and extracellular Ca(2+)."
"These results suggest that the glutamate-induced biophotonic activities reflect biophotonic transmission along the axons and in neural circuits, which may be a new mechanism for the processing of neural information."</t>
  </si>
  <si>
    <t>Prasad &amp; Pospíšil</t>
  </si>
  <si>
    <t>Czech Republic
(Olomouc)</t>
  </si>
  <si>
    <t>Towards the two-dimensional imaging of spontaneous ultra-weak photon emission from microbial, plant and animal cells</t>
  </si>
  <si>
    <t>"Analysis of measuring parameters provides a detailed description of standard condition to be used for two-dimensional spontaneous ultra-weak photon imaging in microbes, plants and animals."</t>
  </si>
  <si>
    <t>Rastogi &amp; Pospísil</t>
  </si>
  <si>
    <t>Spontaneous ultraweak photon emission imaging of oxidative metabolic processes in human skin: effect of molecular oxygen and antioxidant defense system</t>
  </si>
  <si>
    <t>🧑 Human (n=1)</t>
  </si>
  <si>
    <t>"The effect of molecular oxygen and ROS scavengers on spontaneous ultraweak photon emission from human skin was monitored using a highly sensitive photomultiplier tube and charged coupled device camera. When spontaneous ultraweak photon emission was measured under anaerobic conditions, the photon emission was decreased, whereas under hyperaerobic condition the enhancement in photon emission was observed. Spontaneous ultraweak photon emission measured after topical application of glutathione, α-tocopherol, ascorbate, and coenzyme Q10 was observed to be decreased.
These results reveal that ROS formed during the cellular metabolic processes in the epidermal cells play a significant role in the spontaneous ultraweak photon emission. It is proposed that spontaneous ultraweak photon emission can be used as a noninvasive tool for the temporal and spatial monitoring of the oxidative metabolic processes and intrinsic antioxidant system in human skin."</t>
  </si>
  <si>
    <t>Dotta</t>
  </si>
  <si>
    <t>Canada
(Sudbury)</t>
  </si>
  <si>
    <t>Biophoton emissions from cell cultures: biochemical evidence for the plasma membrane as the primary source</t>
  </si>
  <si>
    <t>"Photon emissions were measured at ambient temperature (21°C) in complete darkness once per min from cultures of 10(6) cells during the 12 h following removal from 37°C. The energy of emission was about 10(-20) J/s/cell. Of 8 different cell lines, B16-BL6 (mouse melanoma cells) demonstrated the most conspicuous emission profile."
"Treatments with EGF and ionomycin produced rapid early (first 3 h) increases in energy emission while glutamine-free, sodium azide and wortmanin-treated cells showed a general diminishment 3 to 9 h later. The results suggested the most probable origin of the photon emission was the plasma cell membrane. Measures from cells synchronized at the M- and S-phase supported this inference."</t>
  </si>
  <si>
    <t>Biophotons as neural communication signals demonstrated by in situ biophoton autography</t>
  </si>
  <si>
    <t>"We found that different spectral light stimulation (infrared, red, yellow, blue, green and white) at one end of the spinal sensory or motor nerve roots resulted in a significant increase in the biophotonic activity at the other end. Such effects could be significantly inhibited by procaine (a regional anaesthetic for neural conduction block) or classic metabolic inhibitors, suggesting that light stimulation can generate biophotons that conduct along the neural fibers, probably as neural communication signals. The mechanism of biophotonic conduction along neural fibers may be mediated by protein-protein biophotonic interactions."</t>
  </si>
  <si>
    <t>Grass</t>
  </si>
  <si>
    <t>Biophotons, microtubules and CNS, is our brain a "holographic computer"?</t>
  </si>
  <si>
    <t>📖 Review / hypothesis</t>
  </si>
  <si>
    <t>"Neurons are large colourless cells with wide arborisations, have an active metabolism generating photons, contain little pigment, and have a prominent cytoskeleton consisting of hollow microtubules. As brain and spinal cord are protected from environmental light by bone and connective tissue, the signal to noise ratio should be high for photons as signal. Fluorescent and absorbing substances should interfere with such a communication system. Of all biogenic amines nature has chosen the ones with the strongest fluorescence as neurotransmitters for mood reactions: serotonin, dopamine and norepinephrine. If these mechanisms are of relevance our brain would have to be looked upon as a "holographic computer"."</t>
  </si>
  <si>
    <t>In vivo imaging of spontaneous ultraweak photon emission from a rat's brain correlated with cerebral energy metabolism and oxidative stress</t>
  </si>
  <si>
    <t>"The first demonstration of two-dimensional in vivo imaging of ultraweak photon emission from a rat's brain, using a highly sensitive photon counting apparatus, is reported in this paper. It was found that the emission intensity correlates with the electroencephalographic activity that was measured on the cortical surface and this intensity is associated with the cerebral blood flow and hyperoxia. To clarify the mechanism of photon emission, intensity changes from whole brain slices were examined under various conditions."
"The removal of glucose from the incubation medium suppressed the photon emission, and adding 50 mM potassium ions led to temporal enhancement of emission and subsequent depression. Rotenone (20 microM), an inhibitor of the mitochondrial electron transport chain, increased photon emission, indicating electron leakage from the respiratory chain. These results suggest that the photon emission from the brain slices originates from the energy metabolism of the inner mitochondrial respiratory chain through the production of reactive oxygen."</t>
  </si>
  <si>
    <t>Co-culture of mammalian and photosynthetic cells</t>
  </si>
  <si>
    <t>Dani</t>
  </si>
  <si>
    <t>The effect of continuous long-term illumination with visible light in different spectral ranges on mammalian cells</t>
  </si>
  <si>
    <t>"We observed that illumination with red light has no adverse effects on viability, metabolic activity and growth of the cells whereas exposure to white light has deleterious effects that can be attributed to its blue light portion. Quantification of intracellular glutathione did not reveal a clear correlation of this effect with an enhanced production of reactive oxygen species. Finally, our data indicate that the cytotoxic effect of short-wavelength light is predominantly a direct effect of cell illumination; photo-induced changes in the cell culture media play only a minor role."</t>
  </si>
  <si>
    <t>Niemtzow RC</t>
  </si>
  <si>
    <t>Non-Laser Red-Light Therapy and Its Role in the Acupuncture Clinic</t>
  </si>
  <si>
    <t>Tissue Engineering: Is It a Reliable Alternative to Animal and Human Models to Study Disease Using Photobiomodulation and Photodynamic Therapy?</t>
  </si>
  <si>
    <t>Mitochondrial Transplantation: Could Photobiomodulation Play a Role?</t>
  </si>
  <si>
    <t>Photobiomodulation: The Forth Side of Tissue Engineering Foursquare</t>
  </si>
  <si>
    <t>Guo &amp; Liu</t>
  </si>
  <si>
    <t>Quantitative and Integrative Photobiomodulation</t>
  </si>
  <si>
    <t>Traditional or Infrared Saunas and Photobiomodulation: What Do They Have in Common?</t>
  </si>
  <si>
    <t>Similar Is Not Equal: It Is Time to Create the Perfect Photobiomodulation Storm</t>
  </si>
  <si>
    <t>de Sousa &amp; Hamblin</t>
  </si>
  <si>
    <t>Brazil &amp; South Africa</t>
  </si>
  <si>
    <t>Digital Transformation of Photobiomodulation Therapy: A Step Forward to Become Mainstream?</t>
  </si>
  <si>
    <t>Cassano P</t>
  </si>
  <si>
    <t>Photomedicine and Pharmaceuticals: A Brain New Deal.</t>
  </si>
  <si>
    <t>"The proposed Brain New Deal refers to the potential synergy of interventions from the Pharmaceutical industry and the Photomedicine industry. To be more explicit, these two industries should together explore how their respective treatment modalities could complement each other."</t>
  </si>
  <si>
    <t>Photobiomodulation, Photomedicine, and Laser Surgery: A New Leap Forward Into the Light for the 21st Century.</t>
  </si>
  <si>
    <t>" The upcoming renaming of the Journal Photomedicine and Laser Surgery to become Photobiomodulation, Photomedicine, and Laser Surgery will mark a sea-change. There has never been a journal that was the accepted go-to venue to publish PBM articles, until now."</t>
  </si>
  <si>
    <t>Personalizing Photobiomodulation Therapy.</t>
  </si>
  <si>
    <t>"How do we apply a personalized approach to PBM therapy? Is there a genetically derived determinant for PBM outcomes, and can this be evaluated before making the decision to apply PBM therapy? And how can we combine a personalized/precision medicine approach with evidence based on randomized controlled trials in which trial participant characteristics are homogenized because of strict trial designs and restrictive inclusion and exclusion criteria? Does a new approach to translating research findings into practice need to be considered for PBM therapies?
It is now increasingly clear that the quantity and quality of appropriately designed PBM clinical trials have resulted in robust evidence for the use of laser and light PBM therapy for a range of musculoskeletal conditions. The WALT Dosage Recommendations (http://waltza.co.za/documentation-links/recommendations) are a clear demonstration of how the peer-reviewed literature has contributed to distilling research outcomes into clinically applicable guidelines for time-poor clinicians. In general, the WALT recommendations have significant utility, yet not all patients benefit. For instance, the WALT guidelines do not yet include the entirety of published conditions that have been treated with PBM therapy nor the range of wavelengths that are now available in the market."</t>
  </si>
  <si>
    <t>Photobiomodulation: An Accepted Therapeutic Modality?</t>
  </si>
  <si>
    <t>Janusian peregrinations and progress.</t>
  </si>
  <si>
    <t>"[L]et us consider photobiomodulation (PBM), its visibility in the scientific literature, and its acceptance in the mainstream. Readers of this journal generally understand the merits and limits of applying light in clinical and research scenarios. However, that is often not the case in the mainstream scientific and clinical communities, despite the publication of thousands of publications on the topic. Proponent ‘‘believers’’ would argue that there is a preponderance of literature that demonstrates the scientific validity of the PBM effect and supports its use.
Nonbelievers on the other hand, are either unaware of the literature or question its validity. This lack of knowledge or lack of acceptance has some interesting effects. Some of the so-called ‘‘believers’’ have asserted that the reason for this is either because PBM articles are not being published in, or alternatively should ‘‘only’’ be published in ‘‘high quality’’ or ‘‘high powered’’ journals rather than in journals such as Photomedicine and Laser Surgery, which are familiar with the discipline."</t>
  </si>
  <si>
    <t>Brugnera Junior &amp; Bagnato</t>
  </si>
  <si>
    <t>Biophotonics and the life sciences.</t>
  </si>
  <si>
    <t>The authors list some of the benefits of LLLT and photodynamic therapy (PDT).</t>
  </si>
  <si>
    <t>Bjordal JM</t>
  </si>
  <si>
    <t>Evidence-Based Medicine Turned Upside Down.</t>
  </si>
  <si>
    <t>The author critisizes Cochrane Collaboration. An excerpt:
"Another issue possibly indicating a decline in transparency is their current procedure for exclusion of trials if only average pain scores, and not dichotomous data of success, are reported. In their topical NSAID review, seven trials were excluded for not reporting dichotomous data. For low-level laser therapy (LLLT) trials, it has been more common to report mean pain scores rather than dichotomized outcomes. Consequently, our research group has reported both continuous and dichotomized outcome measures, to give the fullest picture of the evidence from available LLLT data. Omitting continuous data, which consist of more than half of the evidence, is in my opinion, scientifically unacceptable, whereas integrating both outcome measures will make the review conclusion more robust.
The question then is, why are continuous data omitted from meta-analyses. The most obvious reason is that it makes the results look better than they are."
Also, Osteoarthritis Research Society International (OARSI), is being criticized:
"LLLT was left out of the new OARSI guidelines because it was infrequently recommended by other guidelines.
That could be considered acceptable if the LLLT evidence was presented by OARSI at the top tier of the level of evidence, the quality of studies, and the effect size, but in 2014, it all changed when OARSI left the evidence mostly untouched, omitted LLLT completely, and founded their guidelines largely on expert consensus. After a quarter of a century with EBM, it is sad to witness how OARSI has effectively turned the evidence pyramid upside down. I should also add that 9 out of 17 members of the OARSI guideline board declare conflicts of interest with Big Pharma"
Conclusion: "Consequently, I prefer to seek advice directly from the data in high quality trials in osteoarthritis, rather than relying on biased expert opinions. I feel that I owe my patients the option of a safer nonpharmacological treatment alternative for their osteoarthritic pain."</t>
  </si>
  <si>
    <t>Anders JJ</t>
  </si>
  <si>
    <t>The International Year of Light: Celebrate and Educate.</t>
  </si>
  <si>
    <t>"In 2008, my collaborators and I published an article in IEEE Journal of Selected Topics in Quantum Electronics in which we reported that P2Y receptors, which are also endogenous receptors belonging to the G-protein-coupled superfamily, were involved in light-mediated neurite outgrowth. In this study, we used 810 nm wavelength light and hypothesized that neurite outgrowth was caused by increases in adenosine triphosphate (ATP) acting as a signaling molecule through the P2Y receptors. These findings suggest that G-protein coupled membrane receptors, which are ubiquitous and represent the largest superfamily of proteins in the body, may play a critical role in the response of cells to light." 
"The IYL 2015 is a time for celebrating light. It is also a time to celebrate the role of light in medicine. On a personal note, I am celebrating the pre-clinical and clinical experiments that have resulted in the significant increase in interest in photobiomodulation"</t>
  </si>
  <si>
    <t>Scientific rigor and strategic vision are the key points for going forward in photomedicine.</t>
  </si>
  <si>
    <t>An excerpt: "There are no other choices than scientific rigor, personal enthusiasm, and strategic vision, to go forward in photomedicine. Without these, chances would be missed to use light therapeutically to generate health and well-being in individuals"</t>
  </si>
  <si>
    <t>Robinson NG</t>
  </si>
  <si>
    <t>Laser acupuncture: keep it scientific.</t>
  </si>
  <si>
    <t>"Laser acupuncture is a rapidly developing discipline with a growing research basis. This wedding between laser and acupuncture, as in most marriages, is ‘‘for better or worse;’’usually with some of both. Like laser therapy, acupuncture can be approached scientifically; that is, one can describe its mechanisms of action with contemporary biomedical terminology[...]"</t>
  </si>
  <si>
    <t>Liu &amp; Kang</t>
  </si>
  <si>
    <t>Functional photobiomodulation.</t>
  </si>
  <si>
    <t>One man's light: mechanistic convergence of photobiomodulation and biological effects.</t>
  </si>
  <si>
    <t>Choy DS</t>
  </si>
  <si>
    <t>History of lasers in medicine.</t>
  </si>
  <si>
    <t>The author, inventor of the first laser knife (1962), tells interesting facts about lasers.</t>
  </si>
  <si>
    <t>Is it time to consider photobiomodulation as a drug equivalent?</t>
  </si>
  <si>
    <t>"The goal of the present Editorial is to highlight some important recent developments in clinical applications and in studies of cellular and molecular mechanisms behind the clinical findings."
Taru goes on to mention about LLLT/PBM research/usage related to wounds/ulcers, pain management, nervous system injuries, Parkinson's disease, stem cell stimulation, myocardial infarction, vitiligo, oral mucositis, depression/anxiety and gene expression.</t>
  </si>
  <si>
    <t>Laser biostimulation.</t>
  </si>
  <si>
    <t>Photobiomodulation: an enlightened path emerges.</t>
  </si>
  <si>
    <t>"Our path forward is best paved with careful research and methodical testing of parameters and treatment paradigms, coupled with honest evaluation of the results, both positive and negative. This balanced approach requires our constant vigilance and patience. The enlightened path becomes brighter as we proceed forward and continue to build responsibly on our collective efforts."</t>
  </si>
  <si>
    <t>Photobiomodulation</t>
  </si>
  <si>
    <t>"Currently, PBM is not only used to treat diseases, but also used to promote health."</t>
  </si>
  <si>
    <t>Minding the mind in photobiomodulation: it matters!</t>
  </si>
  <si>
    <t>Nocebo</t>
  </si>
  <si>
    <t>"It would be a good idea to consider the potential influence of nocebo effects and nocebo responses in the clinical and investigational applications of light in so-called low-level laser therapy (LLLT). There are numerous positive outcomes reported in the literature, as well as others that either demonstrated no effect or an effect that was indistinguishable from the control or placebo. We would be foolish to presume that all of the negative reports were caused by nocebo effects or responses. However, we should always be circumspect and vigilant as we describe the anticipated effects, outcomes, and responses to a particular treatment, light-based or not. It would be unethical not to provide accurate information to the patient or to withhold information from the patient during the informed consent process."</t>
  </si>
  <si>
    <t>Photobiomodulation, tissue effects and bystanders.</t>
  </si>
  <si>
    <t>Introduction to experimental and clinical studies using low-level laser (light) therapy (LLLT).</t>
  </si>
  <si>
    <t>In this article, Hamblin describes various LLLT/PBM studies that had been recently published.</t>
  </si>
  <si>
    <t>Low level laser therapy is not low.</t>
  </si>
  <si>
    <t>"Indeed, given the abundant beneficial effects uncovered so far, it seems safe to say that “low level laser therapy” is no longer low—yet another reason to abandon all references to low level and low everything else insofar as this form of treatment is concerned."
Note: Rachel Lubart published a letter to the editor regarding this paper (as a commentary). Here is an excerpt from Lubart's letter, highlighting the nomenclature and importance of withdrawing the term "laser" from the name of photobiomodulation:
"To conclude, I would like to note that the term 'laser therapy' is no longer relevant and must be replaced by 'light therapy.' The light sources may be lasers, LEDs, and broad-band nonpolarized devices, depending on the tissue irradiated."</t>
  </si>
  <si>
    <t>Fibrin &amp; PBM in tissue healing</t>
  </si>
  <si>
    <t>Application of Fibrin Associated with Photobiomodulation as a Promising Strategy to Improve Regeneration in Tissue Engineering: A Systematic Review</t>
  </si>
  <si>
    <t>"Among the preclinical studies, the most researched association of fibrin and PBM was the use of fibrin sealants in bone or nerve injuries; in clinical studies, the association of PBM with medication-related treatments osteonecrosis of the jaw (MRONJ)."</t>
  </si>
  <si>
    <t>Hypothesis</t>
  </si>
  <si>
    <t>Mathewson I</t>
  </si>
  <si>
    <t>Did human hairlessness allow natural photobiomodulation 2 million years ago and enable photobiomodulation therapy today? This can explain the rapid expansion of our genus's brain.</t>
  </si>
  <si>
    <t>"Assuming significant quantities of ATP are synthesised and brain energy and genetic expression changes occur as expected, this should be related to the fact that these early Homo people are envisaged as being active in dappled savannah sunlight for most of the 12 daylight hours. For the hairless ones, the extra ATP and the cerebral advantages would greatly improve their hunting abilities, giving them a big competitive advantage and allowing them to add more animal protein to their diet. When a few related individuals became hairless, these more adept, more energetic early humans, with much improved hunting skills, would find themselves in great demand as mates for the hairy ones."</t>
  </si>
  <si>
    <t>Photoimmunotherapy: A Novel Field With Overlapping Light Treatment Approaches</t>
  </si>
  <si>
    <t>Liposomal bupivacaine suspensions</t>
  </si>
  <si>
    <t>USA
(Del Rey Oaks, CA)</t>
  </si>
  <si>
    <t>Photobiomodulation therapy using a class 3b laser does not cause premature rupture of multivesicular liposomal bupivacaine suspensions in a cadaver model</t>
  </si>
  <si>
    <t>Dog cadaver model</t>
  </si>
  <si>
    <t>"The results of this proof-of-concept study suggest that concurrent use of LB and photobiomodulation may be safe, but in vivo studies at similar and stronger photobiomodulation settings are warranted."</t>
  </si>
  <si>
    <t>Molecularly generated light</t>
  </si>
  <si>
    <t>Ran &amp; Pu</t>
  </si>
  <si>
    <t>USA &amp; Singapore</t>
  </si>
  <si>
    <t>Angew Chem Int Ed Engl</t>
  </si>
  <si>
    <t>Molecularly generated light and its biomedical applications</t>
  </si>
  <si>
    <t>"Molecularly generated light, referred to here as "molecular light", mainly includes bioluminescence, chemiluminescence, and Cerenkov luminescence. Molecular light possesses unique dual features of being both a molecule and a source of light. Its molecular nature enables it to be delivered as molecules to regions deep within the body, overcoming the limitations of natural sunlight and physically generated light sources like lasers and LEDs. Simultaneously, its light properties make it valuable for applications such as imaging, photodynamic therapy, photo-oxidative therapy, and photobiomodulation. 
In this review article, we provide an updated overview of the diverse applications of molecular light and discuss the strengths and weaknesses of molecular light across various domains. Lastly, we present forward-looking perspectives on the potential of molecular light in the realms of molecular imaging, photobiological mechanisms, therapeutic applications, and photobiomodulation. While some of these perspectives may be considered bold and contentious, our intent is to inspire further innovations in the field of molecular light applications."</t>
  </si>
  <si>
    <t>Multifactorial interventions involving PBM</t>
  </si>
  <si>
    <t>Chun</t>
  </si>
  <si>
    <t>The Healthspan Project: A Retrospective Pilot of Biomarkers and Biometric Outcomes after a 6-Month Multi-Modal Wellness Intervention</t>
  </si>
  <si>
    <t>🧑 Human
📄 Single-arm trial
👥 25 participants
⌛ 6 months</t>
  </si>
  <si>
    <t>"In this six-month study, healthy adult participants (n = 25) received specific therapies, including whole-body cryotherapy, infrared sauna, and photobiomodulation, along with guidance on physical activity, diet, and alcohol intake. 
Serum biomarkers were measured for all participants, while a subset also received biometric assessments for body composition (n = 10) and heart rate variability (n = 7). 
Over the course of the study (mean (SD) follow-up days = 174 (130)), participants exhibited significant improvements in health. LDL cholesterol (-9.77 (15.43) md/dL) and hsCRP (-1.75 (2.66) mg/L) decreased significantly (p &lt; 0.05). 
HbA1c increased slightly (p &lt; 0.05), but the effect size was small (0.12 (0.13)%). 
The body composition subset lost overall body weight (-3.29 (3.75) kg), primarily body fat, while preserving lean muscle mass (p &lt; 0.05). Heart rate variability increased for those with existing cardiovascular risk factors (p &lt; 0.05). 
In conclusion, participation in the multimodal Healthspan protocol is associated with substantial improvements in health-related biomarkers and biometrics."</t>
  </si>
  <si>
    <t>Device: PlatinumLED, Kailua, HI, USA</t>
  </si>
  <si>
    <t>Low-Level Laser Therapy: "Western School" vs "Eastern School"</t>
  </si>
  <si>
    <t>"Thus, LLLT, on the one hand, is the method of Eastern medicine since the effect is carried out on the whole person and the initial response reactions of the body are considered as the main mechanism of the biomodulating action of LILI. On the other hand, LLLT complies with all the rules of Western medicine since the mechanisms of the biomodulating action of LILI are well understood and are considered exclusively in terms of the classical sciences – anatomy, physiology, biochemistry, and so on.
Eastern and Western medicine should not be opposed but used synergistically; each direction has its own advantages, while LLLT, combining these methodologies, achieves all the possibilities of the full potential of treatment."</t>
  </si>
  <si>
    <t>PBM and gender</t>
  </si>
  <si>
    <t>Evaluation of Gender Differences in Response to Photobiomodulation Therapy, Including Laser Acupuncture: A Narrative Review and Implication to Precision Medicine</t>
  </si>
  <si>
    <t>"A variety of cadaver, human, and experimental studies demonstrated results that gender effects were significant in PBM outcome responses, including differences in tendon structural and mechanical outcomes, and mitochondrial gene expression. One cadaver experiment showed that gender was more important than skin tone."</t>
  </si>
  <si>
    <t>Glazewski</t>
  </si>
  <si>
    <t>"The author presents the possibilities of using low-energy laser therapy in treatment according to the most up-to-date bibliography and his own observations. Therapeutic techniques presently used are discussed as well. The author attempts to explain the terms often applied in quantum medicine. Positive therapeutic results confirmed by advanced experiments and clinical observations contribute to extending the range of treatment methods used so far."</t>
  </si>
  <si>
    <t>Galletti G</t>
  </si>
  <si>
    <t>Low power laser therapy: a noninvasive highly effective therapeutic modality.</t>
  </si>
  <si>
    <t>"Over the past 15 years the author and his colleagues have treated over 1500 patients wit a wide range of pathological conditions using a variety of low power lasers (LPL) with different wavelengths and incident energy densities. The results have, however, been very good independent of these parameters. In the present study the authors offers his hypotheses as to why this should be, drawing on the physical characteristics of light and specific laser/tissue interaction models, and presents some clinical studies as examples of his experiences."</t>
  </si>
  <si>
    <t>Estimation of the optimal wavelengths for laser-induced wound healing.</t>
  </si>
  <si>
    <t>"We use the photon diffusion model, which is an analytical model for describing light transfer in biological tissues. We refer to the most common chromophores in human tissue and evaluate their volume fraction and concentration in skin cells. These empirically estimated mean wavelength-dependent absorption coefficients are then substituted in the theoretical expressions for the optical penetration depth in the tissue. The wavelengths, for which the penetration depth is the highest, are the optimal wavelengths to be used in wound healing treatments."</t>
  </si>
  <si>
    <t>Cotler HB</t>
  </si>
  <si>
    <t>Curr Orthop Pract</t>
  </si>
  <si>
    <t>A NASA discovery has current applications in orthopaedics.</t>
  </si>
  <si>
    <t>📰 Editorial / Mini-review</t>
  </si>
  <si>
    <t>"Low-level laser therapy (LLLT) has been actively used for nearly 40 yr, during which time it has been known to reduce pain, inflammation, and edema. It also has the ability to promote healing of wounds, including deep tissues and nerves, and prevent tissue damage through cell death. Much of the landmark research was done by the National Aeronautics and Space Administration (NASA), and these studies provided a springboard for many additional basic science studies."</t>
  </si>
  <si>
    <t>Pancreas</t>
  </si>
  <si>
    <t>Diabetes (streptozotocin)</t>
  </si>
  <si>
    <t>Pandolfo</t>
  </si>
  <si>
    <t>Photobiomodulation in diabetic rats: effects on morphological, pancreatic parameters and glucose homeostasis</t>
  </si>
  <si>
    <t>"The results showed that treated animals had higher values of body mass and higher values in the number of beta cells in the pancreas. In conclusion, PBM resulted in decreased weight loss in STZ-induced diabetic rats and presented a stimulatory effect on the pancreas of the treated animals, highlighting the promising effects of this therapy in the clinical condition of DM."</t>
  </si>
  <si>
    <t>Islets</t>
  </si>
  <si>
    <t>Am J Transplant</t>
  </si>
  <si>
    <t>Photobiomodulation promotes the functionality and viability of human pancreatic islets in basal conditions and under cytokine stress conditions</t>
  </si>
  <si>
    <t>🧪 In vitro / Letter to the Editor</t>
  </si>
  <si>
    <t>USA
(San Angelo, TX)</t>
  </si>
  <si>
    <t>The Effects of Photobiomodulation Therapy on Porcine Islet Insulin Secretion</t>
  </si>
  <si>
    <t>15.6
31.3</t>
  </si>
  <si>
    <t>"Insulin secretion was higher in samples exposed to 15.6 J/cm2 PBMT in low glucose (p &lt; 0.05), but not in high glucose. When evaluating sex differences, male islets had higher insulin secretion by 15.6 J/cm2 PBMT in low glucose compared with females (p &lt; 0.05). No significant differences were seen in high glucose. When compared within the control groups (0.0 J/cm2 PBMT), the relative changes on insulin secretion in high glucose was significantly higher on male islets (p &lt; 0.05), but not on female islets."</t>
  </si>
  <si>
    <t>Liebman</t>
  </si>
  <si>
    <t>Stimulatory responses in α- and β-cells by near-infrared (810 nm) photobiomodulation</t>
  </si>
  <si>
    <t>"Herein, we demonstrate that 810 nm PBM exposure at fluence of 9 J/cm2 can elevate the intracellular reactive oxygen species within 15 minutes following photostimulation. In addition, calcium spiking showed an approximately 3-fold increase in both ATC1 (α-cells) and BTC6 (β-cells) and correlates with hormone secretion in response to PBM stimulation."</t>
  </si>
  <si>
    <t>Irani</t>
  </si>
  <si>
    <t>Effect of low-level laser irradiation on in vitro function of pancreatic islets.</t>
  </si>
  <si>
    <t>40
50</t>
  </si>
  <si>
    <t>"These findings suggest that low-level laser irradiations improved islet cell function before transplantation."</t>
  </si>
  <si>
    <t>Pancreatitis</t>
  </si>
  <si>
    <t>Burduli &amp; Gutnova</t>
  </si>
  <si>
    <t>Russia
(Vladikavkaz)</t>
  </si>
  <si>
    <t>Effect of intravenous laser irradiation of the blood on plasma content of ceruloplasmin in patients with chronic pancreatitis</t>
  </si>
  <si>
    <t>🧑 Human
📄 Non-randomized study, controlled
👥 90 participants
⌛7 days</t>
  </si>
  <si>
    <t>1.5-
2.0</t>
  </si>
  <si>
    <t>The ceruloplasmin (CP) level was 1.3 in healthy individuals. In treatment group it decreased from 1.97 to 1.40. In control group it decreased from 1.91 to 1.63.</t>
  </si>
  <si>
    <t>Device: "Matriks VLOK apparatus for laser therapy"</t>
  </si>
  <si>
    <t>[Parameters of lipid peroxidation and antioxidative protection in patients with chronic pancreatitis treated by low-intensity laser therapy].
[Article in Russian]</t>
  </si>
  <si>
    <t>🧑 Human
📄 (?)
👥 118 patients</t>
  </si>
  <si>
    <t>"The objective of this study was to evaluate the influence of low-intensity laser therapy (LILT) on the processes of lipid peroxidation (LPO) and antioxidative protection (AOP) in patients with chronic pancreatitis. A total of 78 patients aged from 36 to 77 years were treated with LILT in addition to conventional therapy; the patients of the control group (n = 40) received only medicamentous therapy. Examination of the patients in the exacerbation phase of chronic pancreatitis revealed activation of LPO processes and differently-directed shifts of AOP components. These changes are supposed to reflect variations in the activity of the inflammatory processes in the pancreas and oxidative stress on this organ."</t>
  </si>
  <si>
    <t>Regeneration</t>
  </si>
  <si>
    <t>Photoactivation of Akt1/GSK3β Isoform-Specific Signaling Axis Promotes Pancreatic β-Cell Regeneration.</t>
  </si>
  <si>
    <t>0.2
0.4
0.8
1.2</t>
  </si>
  <si>
    <t>"In the present study, we showed that LPLI promoted β-cell replication and cell cycle progression through activation of Akt1/GSK3β isoform-specific signaling axis. Inhibition of PI3-K/Akt or GSK3 with specific inhibitors dramatically reduced or increased LPLI-induced β-cell replication, revealing Akt/GSK3 signaling axis was involved in β-cell replication and survival upon LPLI treatment."</t>
  </si>
  <si>
    <t>Type I diabetes</t>
  </si>
  <si>
    <t>Tatmatsu-Rocha</t>
  </si>
  <si>
    <t>Light-emitting diode modulates carbohydrate metabolism by pancreatic duct regeneration.</t>
  </si>
  <si>
    <t>4.49</t>
  </si>
  <si>
    <t>"Diabetic group treated with LED showed regeneration of islets and ducts (p = 0.001) on the pancreas. Intraperitoneal insulin tolerance test showed differences between the diabetic control and diabetic treated groups (p = 0.03). In diabetic control group, the hepatic glycogen content was 296% lower when compared with diabetic treated with LED. Furthermore, in the diabetic control group, the glycogen content of the gastrocnemius muscle was 706% smaller when compared with diabetic treated with LED.
This study shows that LED was able to modify morphological and metabolic features and also altered carbohydrate metabolism on irradiated pancreas in experimental model of diabetes."
"The costs for equipment acquisition and maintenance with LED are not expensive, and our results could stimulate more researchers to use phototherapy to develop translational applications as a new option of treatment for diabetic patients"</t>
  </si>
  <si>
    <t>Acute</t>
  </si>
  <si>
    <t>Lutfallah</t>
  </si>
  <si>
    <t>Curr Pain Headache Rep</t>
  </si>
  <si>
    <t>Low-Level Laser Therapy for Acute Pain: A Comprehensive Review</t>
  </si>
  <si>
    <t>"The present investigation aims to summarize current knowledge on the use of low-level laser therapy (LLLT), a cold laser non-pharmacological approach, in managing acute pain and to discuss important clinical findings and considerations when it comes to utilizing this treatment option in patients."</t>
  </si>
  <si>
    <t>Reuss</t>
  </si>
  <si>
    <t>Germany
(Nuremberg)</t>
  </si>
  <si>
    <t>Pain Rep</t>
  </si>
  <si>
    <t>Blue-light treatment reduces spontaneous and evoked pain in a human experimental pain model</t>
  </si>
  <si>
    <t>🧑 Human
🎲 Randomized trial, crossover
👥 30 participants
⌛ single session (1-hour treatment) per condition</t>
  </si>
  <si>
    <t>LED phototherapy
Red vs blue light 🔵 (wavelength comparison)
Groups: thermal control, blue light, red light</t>
  </si>
  <si>
    <t>450
630</t>
  </si>
  <si>
    <t>"Blue light substantially reduced spontaneous pain as assessed by numeric rating scale pain scoring. Similarly, pain quality was significantly altered as assessed by the German counterpart of the McGill Pain Questionnaire. Furthermore, blue light showed antihyperalgesic, antiallodynic, and antihypesthesic effects in contrast to red light or thermal control treatment."
Comment: Dose parameters were basically not reported. The power output of a single LED is apparently 800mW and the collar had 150 LEDs.</t>
  </si>
  <si>
    <t>Pain management using photobiomodulation: mechanisms, location, and repeatability quantified by pain threshold and neural biomarkers in mice.</t>
  </si>
  <si>
    <t>1.2-
36</t>
  </si>
  <si>
    <t>1
6
cm2</t>
  </si>
  <si>
    <t>"In the present study, the pain threshold in the right hind-paw of mice was studied, after PBM (...) applied to various anatomical locations. The pain threshold, measured with von Frey filaments, was increased more than 3-fold by PBM to the lower back (dorsal root ganglion, DRG), as well as to other neural structures along the pathway such as the head, neck and ipsilateral (right) paw. On the other hand, application of PBM to the contralateral (left) paw, abdomen and tail had no effect. 
The optimal effect occurred 2-3 hours post-PBM and disappeared by 24 hours. Seven daily irradiations showed no development of tolerance."
"These findings elucidate the mechanisms of PBM for pain and provide insights for clinical practice."</t>
  </si>
  <si>
    <t>Pigatto</t>
  </si>
  <si>
    <t>Light-Emitting Diode Phototherapy Reduces Nocifensive Behavior Induced by Thermal and Chemical Noxious Stimuli in Mice: Evidence for the Involvement of Capsaicin-Sensitive Central Afferent Fibers.</t>
  </si>
  <si>
    <t>(234)
390
(780)</t>
  </si>
  <si>
    <t>0.0104
0.0173
0.0346</t>
  </si>
  <si>
    <t>"Mice exposed to multisource LED (output power 234, 390, or 780 mW and power density 10.4, 17.3, and 34.6 mW/cm2, respectively, from 10 to 30 min of stimulation with a wavelength of 890 nm) showed rapid and significant reductions in formalin- and acetic acid-induced nocifensive behavior. This effect gradually reduced but remained significant for up to 7 h after LED treatment in the last model used."
"Moreover, LED (390 mW, 17.3 mW/cm2/20 min) irradiation also reduced nocifensive behavior in mice due to chemical [endogenous (i.e., glutamate, prostaglandins, and bradykinin) or exogenous (i.e., formalin, acetic acid, TRPs and ASIC agonist, and protein kinase A and C activators)] and thermal (hot plate test) stimuli. Finally, ablating central afferent C fibers abolished LED analgesia."
"These experimental results indicate that LED phototherapy reduces the acute painful behavior of animals caused by chemical and thermal stimuli and that LED analgesia depends on the integrity of central afferent C fibers sensitive to capsaicin. These findings provide new information regarding the underlying mechanism by which LED phototherapy reduces acute pain. Thus, LED phototherapy may be an important tool for the management of acute pain."
Comment: They used 535 mice in this study!</t>
  </si>
  <si>
    <t>Pires de Sousa</t>
  </si>
  <si>
    <t>Transcranial low-level laser therapy (810 nm) temporarily inhibits peripheral nociception: photoneuromodulation of glutamate receptors, prostatic acid phophatase, and adenosine triphosphate.</t>
  </si>
  <si>
    <t>The effects of transcranial PBM/LLLT on peripheral pain
Dose response</t>
  </si>
  <si>
    <t>7.2
36</t>
  </si>
  <si>
    <t>"We found that transcranial laser therapy (TLT) applied to mouse head with specific parameters (...) decreased the reaction to pain in the foot evoked either by pressure (von Frey filaments), cold, or inflammation (formalin injection) or in the tail (evoked by heat). The pain threshold increasing is maximum around 2 h after TLT, remains up to 6 h, and is finished 24 h after TLT."
"TLT increased ATP and prostatic acid phosphatase (an endogenous analgesic) and reduced the amount of glutamate receptor (mediating a neurotransmitter responsible for conducting nociceptive information). There was no change in the concentration of tubulin, a constituent of the cytoskeleton, and the H&amp;E staining revealed no tissue damage."</t>
  </si>
  <si>
    <t>Low-level laser therapy in acute pain: a systematic review of possible mechanisms of action and clinical effects in randomized placebo-controlled trials.</t>
  </si>
  <si>
    <t>- Nine randomized placebo-controlled trials (n = 609) were of acceptable methodological quality, and irradiated three or more points and/or more than 2.5 cm(2) at site of injury or surgical incision, with a total energy of 5.0-19.5 Joules.
- Results in these nine trials were significantly in favor of photoradiation groups over placebo groups in 15 out of 18 outcome comparisons.
- Poor and heterogeneous data presentation hampered statistical pooling of continuous data.
- Photoradiation can modulate inflammatory processes in a dose-dependent manner and can be titrated to significantly reduce acute inflammatory pain in clinical settings.</t>
  </si>
  <si>
    <t>Allodynia</t>
  </si>
  <si>
    <t>Photobiostimulation reverses allodynia and peripheral nerve damage in streptozotocin-induced type 1 diabetes</t>
  </si>
  <si>
    <t>Diabetic rats (streptozotocin)</t>
  </si>
  <si>
    <t>7.29
(9p)
0.81
/p</t>
  </si>
  <si>
    <t>0.13
cm2
spot
1.17
cm2
area
(9p)</t>
  </si>
  <si>
    <t xml:space="preserve">"The application of four sessions of low-level laser therapy was sufficient to reverse allodynia and protect peripheral nerve damage in diabetic rats."
"Figure 3 shows a decrease in pain sensitivity initiating after the first session of laser treatment."
</t>
  </si>
  <si>
    <t>Low-level laser therapy alleviates mechanical and cold allodynia induced by oxaliplatin administration in rats.</t>
  </si>
  <si>
    <t>62.5
(?)</t>
  </si>
  <si>
    <t>0.2
cm2
spot
0.8
cm2
total
area</t>
  </si>
  <si>
    <t>"LLLT relieved both cold and mechanical allodynia induced by oxaliplatin in rats. Oxaliplatin-related increases in protein levels of NGF and TRPM8 in DRG and SP in the dorsal horn were also reduced after LLLT."
"The findings of this study support LLLT as a potential treatment for oxaliplatin-induced neuropathy. Moreover, our findings suggest that SP, TRPM8, and NGF proteins in the superficial dorsal horn and DRG may be involved in an antiallodynic effect for LLLT."</t>
  </si>
  <si>
    <t>ET- B receptors involvement in peripheral opioid analgesia induced by light-emitting diode photobiomodulation in male and female mice</t>
  </si>
  <si>
    <t>0.0035
0.090</t>
  </si>
  <si>
    <t>"PBMT at an irradiance of 90 mW/cm2, was more effective than 3.5 mW/cm2. Bq-788 and naloxone administration prevented the effects of PBMT and SRTX S6c; however, PBMT did not influence peripheral ETB-Rs immunocontent.
The results suggest that irradiance influences PMBT effect; and that activation of ETB-R play a role in peripheral PBMT opioid induced analgesia. Lastly, PMBT effects do not appear to be sex-dependent."</t>
  </si>
  <si>
    <t>Analgesic effect of Photobiomodulation Therapy: An in vitro and in vivo study.</t>
  </si>
  <si>
    <t>800
970</t>
  </si>
  <si>
    <t>6
6</t>
  </si>
  <si>
    <t>"In our study, we examined the effect of two specific laser wavelengths, 800 and 970 nm, extensively applied in the clinical context and known to exert important analgesic effects. Our results point to mitochondria as the primary target of laser light in isolated dorsal root ganglion (DRG) neurons, reducing adenosine triphosphate content and increasing reactive oxygen species levels. 
Specifically, the 800 nm laser wavelength induced mitochondrial dysregulation, that is, increased superoxide generation and mitochondrial membrane potential. When DRG neurons were firstly illuminated by the different laser protocols and then stimulated with the natural transient receptor potential cation channel subfamily V member 1 (TRPV1) ligand capsaicin, only the 970 nm wavelength reduced the calcium response, in both amplitude and frequency. 
Consistent results were obtained in vivo in mice, by subcutaneous injection of capsaicin. "
"Our findings demonstrate that the effect of PBM depends on the wavelength used, with 800 nm light mainly acting on mitochondrial metabolism and 970 nm light on nociceptive signal transmission."</t>
  </si>
  <si>
    <t>Laser acupuncture-induced analgesic effect and molecular alterations in an incision pain model: a comparison with electroacupuncture-induced effects.</t>
  </si>
  <si>
    <t>Systemic effects (?)</t>
  </si>
  <si>
    <t>"All three LLLA treatments attenuated post-PI tactile allodynia in the ipsilateral paw, but only the 30-min red laser treatment affected the contralateral paw and had similar efficacy to that of EA. All laser treatments barely reduced heat hyperalgesia in both hind paws. At 3 days after PI, the 30-min red laser group showed reversed increases of PI-induced p-ERK, p-p38, and iNOS but not TNF expression in the spinal cord. Repetitive LLLA treatments ameliorated PI-induced mechanical pain. The inhibition of multiple sensitization signals highlights the unique clinical role of LLLA. Thus, LLLA is an alternative to EA as an adjuvant for postoperative pain control."</t>
  </si>
  <si>
    <t>Rev Dor</t>
  </si>
  <si>
    <t>Role of endogenous opioids in 820 nm low power laser analgesia in the knees of Wistar rats</t>
  </si>
  <si>
    <t>0.1160
cm2</t>
  </si>
  <si>
    <t>"Our study has observed that low power 820 nm laser analgesic effect has suffered significant interference and was antagonized by naloxone. To justify such effect, it is inferred that the group receiving naloxone and low power laser association has maintained pain in intra-group comparison for the third evaluation moment. It is then believed that laser might have induced endogenous opioids production and release by blood cells15, thus explaining our results."</t>
  </si>
  <si>
    <t>Peres e Serra &amp; Ashmawi</t>
  </si>
  <si>
    <t>Rev Bras Anestesiol</t>
  </si>
  <si>
    <t>Influence of naloxone and methysergide on the analgesic effects of low-level laser in an experimental pain model.</t>
  </si>
  <si>
    <t>"Low-Level Laser phototherapy proved to be an effective analgesic method, while non-coherent light did not show a similar effect. The use of naloxone blocked the analgesic effect of LPT, while methysergide did not affect LPT-induced analgesia."
"According to the parameter used in this study, LPT produced analgesia. Analgesia induced by laser phototherapy is mediated by peripheral opioid receptors. Laser phototherapy does not seem to interact with peripheral serotonergic receptors."
Comment: In one group, white light was used, but there's no description of the treatment parameters of that group.</t>
  </si>
  <si>
    <t>Pozza</t>
  </si>
  <si>
    <t>Analgesic action of laser therapy (LLLT) in an animal model.</t>
  </si>
  <si>
    <t>Formalin injection to paw
Wavelength comparison</t>
  </si>
  <si>
    <t>334
334</t>
  </si>
  <si>
    <t>"Laser therapy had an analgesic effect and red laser had the best results."</t>
  </si>
  <si>
    <t>Hagiwara</t>
  </si>
  <si>
    <t>Japan
(Yufu)</t>
  </si>
  <si>
    <t>Anesth Analg</t>
  </si>
  <si>
    <t>Pre-Irradiation of blood by gallium aluminum arsenide (830 nm) low-level laser enhances peripheral endogenous opioid analgesia in rats.</t>
  </si>
  <si>
    <t>Endogenous opioids
Systemic effects</t>
  </si>
  <si>
    <t>"These findings suggest that that LLLT pretreatment of blood induces analgesia in rats by enhancing peripheral endogenous opioid production, in addition to previously reported mechanisms."</t>
  </si>
  <si>
    <t>GaAlAs (830 nm) low-level laser enhances peripheral endogenous opioid analgesia in rats.</t>
  </si>
  <si>
    <t>200.7</t>
  </si>
  <si>
    <t>"LLLT produced an analgesic effect in inflamed peripheral tissue which was transiently antagonized by naloxone. Beta-endorphin precursor mRNA expression increased with LLLT, both in vivo and in vitro."</t>
  </si>
  <si>
    <t>Wedlock &amp; Shephard</t>
  </si>
  <si>
    <t>Psychol Rep</t>
  </si>
  <si>
    <t>Cranial irradiation with Gaalas laser leads to naloxone reversible analgesia in rats.</t>
  </si>
  <si>
    <t>6.4
12</t>
  </si>
  <si>
    <t>"When animals were tested immediately following laser irradiation at 12J/cm2 significant analgesia resulted. Treatment with naloxone at either dose antagonised this effect, but naloxone produced no significant hyperalgesia when given alone. This suggests that opioid peptide mechanisms mediate the analgesic action of low-intensity laser irradiation of the cranium."</t>
  </si>
  <si>
    <t>Wedlock</t>
  </si>
  <si>
    <t>Analgesic effects of cranial laser treatment in two rat nociception models.</t>
  </si>
  <si>
    <t>6
12
18
24
&amp;
12
18</t>
  </si>
  <si>
    <t>"Latency to lick hind paws on the hot plate was highly significantly prolonged by laser treatment across all doses and time periods, F(4, 126) = 4.51, p &lt; 0.01. There was good dose dependency for immediate observations, but at 24 h 18 J/cm2 was the most effective dose."
"Laser treatment also delayed tail flick responses at both doses and all time periods, F(2, 54) = 10.60, p &lt; 0.001, but 12 and 18 J/cm2 doses were similar in efficacy."</t>
  </si>
  <si>
    <t>Plasma acth and β-endorphin levels in response to low level laser therapy (lllt) for myofascial trigger points</t>
  </si>
  <si>
    <t>🧑 Human
🎲 Randomized trial, sham-controlled
👥 56 participants</t>
  </si>
  <si>
    <t>660
(LED)
670
(laser)
820
(laser)</t>
  </si>
  <si>
    <t>1
5
1
5
1
5</t>
  </si>
  <si>
    <t>"ACTH was shown to have a cumulative response to treatment with 1 J/cm2 infrared laser (p &lt; 0.001) and 5 J/cm2 red laser (p &lt; 0.05) responding significantly. β-endorphin was noted to be significantly elevated between days one and four (p &lt; 0.05) in subjects who received IR (5 J/cm2) laser. Results indicated that the analgesic response to phototherapy may be mediated through hormonal/opioid mechanisms, and that responses to LLLT are dose and wavelength dependent. A mechanism by which peripheral stimulation using LLLT may elicit activity in the central pathways is proposed."</t>
  </si>
  <si>
    <t>Device: "Intellect 800 (Class IIIB laser product, Chattanooga Australia Pty. Ltd.), and for the purposes of this study it was equipped with four probes: (1) gallium-aluminium-arsenide (...) (2) non-operating probe for placebo treatment (...) (3) 670 nm (red) 10 mW semiconductor laser diode (...) (4) 660 nm 9.5 mW monochromatic (red) light emitting diode (...)"</t>
  </si>
  <si>
    <t>Ponnudurai</t>
  </si>
  <si>
    <t>USA
(Newark, NJ)</t>
  </si>
  <si>
    <t>Acupunct Electrother Res</t>
  </si>
  <si>
    <t>Laser photobiostimulation-induced hypoalgesia in rats is not naloxone reversible.</t>
  </si>
  <si>
    <t>"Pre-treatment with low dose naloxone (2 mg/kg) did not reverse the hypoalgesic effect of LPBS. High dose naloxone (20 mg/kg) reversed only partially, but significantly, the hypoalgesic effect of LPBS measured by hot-plate, but not that measured by the tail-flick technique. These data suggest that mechanisms other than endogenous opioids may be involved in LPBS-induced hypoalgesia."</t>
  </si>
  <si>
    <t>Hypoalgesic effect of laser photobiostimulation shown by rat tail flick test.</t>
  </si>
  <si>
    <t>"LPBS of 4 Hz produced hypoalgesia of rapid onset and short duration while the response to 60 Hz was delayed and lasted longer. LPBS of 200 Hz did not produce any hypoalgesia."</t>
  </si>
  <si>
    <t>Anesthesia (regional)</t>
  </si>
  <si>
    <t>Nesioonpour</t>
  </si>
  <si>
    <t>Does low-level laser therapy enhance the efficacy of intravenous regional anesthesia?</t>
  </si>
  <si>
    <t>🧑 Human
🎲 Randomized trial, double-blind
👥 48 participants
⌛ single treatment -&gt; 24h follow-up</t>
  </si>
  <si>
    <t>0.25
cm2
contact
area</t>
  </si>
  <si>
    <t>60
(phase 1)
+
300
(phase 2)</t>
  </si>
  <si>
    <t>"The mean visual analogue scale scores were significantly lower in the laser-assisted group than in the lidocaine-only group on all measurements during and after operation (P&lt;0.05). The mean time to the first need for fentanyl administration during the operation was longer in the laser group (P=0.04). The total amount of fentanyl administered to patients was significantly lower in the laser-assisted group (P=0.003). The laser group needed significantly less pethidine for pain relief (P=0.001) and at a later time (P=0.002) compared with the lidocaine-only group. There was no difference between the groups in terms of mean arterial pressure and heart rate."
"The addition of gallium-aluminum-arsenide laser irradiation to intravenous regional anesthesia is safe, and reduces pain during and after the operation."</t>
  </si>
  <si>
    <t>Patients: "who were undergoing surgical fixation of distal radius fractures"
Device: "a continuous-wave Ga-Al-As device (Canadian Optic and Laser Production Center, Canada)"
Anatomical location: "over three nerve roots from C5 to C8 vertebrae on the affected side" and "tangential scanning irradiation on the affected limb for a total of 5 min from the lower border of the tourniquet through the forearm, wrist and fingers (Figure 1)"</t>
  </si>
  <si>
    <t>Anesthesia</t>
  </si>
  <si>
    <t>Aras</t>
  </si>
  <si>
    <t>Does low-level laser therapy have an antianesthetic effect? A review.</t>
  </si>
  <si>
    <t>"We review whether LLLT applied postoperatively to operated-on areas has an antianesthetic effect, that is, whether pain in the first hours after surgery was greater for patients who received LLLT than for control patients. Not too much evidence supports the antianesthetic effects of LLLT. However, additional experimental and clinical studies must be performed to investigate the effects of LLLT on the duration of anesthesia."</t>
  </si>
  <si>
    <t>Back pain</t>
  </si>
  <si>
    <t>Masoumipour</t>
  </si>
  <si>
    <t>Therapeutic Effects of Low-Level Laser Therapy on Pain and Disability of Patients with Failed Back Surgery Syndrome</t>
  </si>
  <si>
    <t>🧑 Human
📄 Single-arm trial
👥 50 participants
⌛ 3-week treatment -&gt; 6-month follow-up</t>
  </si>
  <si>
    <t>"NRS and ODI were significantly improved after treatment, as well as therapeutic effects, after 1 month and 6 months were also evident and comparison of the NRS and ODI showed significant difference."
"LLLT has a positive impact on pain and disability in patients with FBSS."</t>
  </si>
  <si>
    <t>Abdildin</t>
  </si>
  <si>
    <t>Kazakhstan
(Astana)</t>
  </si>
  <si>
    <t>High-intensity laser therapy in low back pain management: a systematic review with meta-analysis</t>
  </si>
  <si>
    <t>"The model favors the HILT group over the control group in terms of pain intensity after treatment (MD with 95% CI is -1.65 [-2.22, -1.09], p-value &lt; 0.00001, I2=67%), Oswestry disability index (MD with 95% CI is -0.67 [-1.22, -0.12], p-value = 0.02, I2=73%), and Roland disability index (MD with 95% CI is -1.36 [-1.76, -0.96], p-value &lt;0.00001, I2=0%). 
The patients in the high-intensity laser therapy had statistically significantly lower (low back) pain intensity compared to the patients in the control group. 
Based on three RCTs, our model also showed the positive effect of the HILT on LBP in terms of the Oswestry disability index and Roland disability index."</t>
  </si>
  <si>
    <t>Inocêncio</t>
  </si>
  <si>
    <t>Rev Bras Med Trab</t>
  </si>
  <si>
    <t>Systemic photobiomodulation in nursing professionals with chronic low back pain</t>
  </si>
  <si>
    <t>Cost analysis</t>
  </si>
  <si>
    <t>"The mean cost of photobiomodulation was R$ 25.30 ± 0.50, and the mean duration was 1,890 seconds ± 55.0. Regarding the first, fifth, and tenth sessions, labor costs were the highest (66%), followed by infrastructure (22%), supplies (9%), and the laser equipment, which presented the lowest cost (2.8%)."
"Systemic photobiomodulation was shown to be a low-cost therapy when compared to other therapies. The laser equipment represented the lowest cost in the general composition."</t>
  </si>
  <si>
    <t>J Integr Med</t>
  </si>
  <si>
    <t>Laser acupuncture combined with auricular acupressure improves low-back pain and quality of life in nurses: A randomized controlled trial</t>
  </si>
  <si>
    <t>🧑 Human
🎲 Randomized trial
👥 76 participants
⌛ 4 weeks</t>
  </si>
  <si>
    <t>"This study shows that 4-week LAA intervention reduced pain intensity and pain interference, and improved quality of life for hospital-based nurses with LBP. These effects were maintained continuously for at least 4 weeks after the intervention. The nonpharmacological intervention, LAA, may be another efficacious, feasible, noninvasive, analgesic intervention for LBP."</t>
  </si>
  <si>
    <t>Effects of low-power laser auriculotherapy on chronic spinal pain: Randomized clinical trial</t>
  </si>
  <si>
    <t>🧑 Human
🎲 Randomized trial
👥 47 participants
⌛ 5-week treatment -&gt; 15-day follow-up</t>
  </si>
  <si>
    <t>Auriculotherapy (irradiating the ears)</t>
  </si>
  <si>
    <t>"The results of this clinical trial suggest that the proposed intervention may be effective in reducing pain intensity and increasing the nociceptive threshold."</t>
  </si>
  <si>
    <t>Korea
(Naju)</t>
  </si>
  <si>
    <t>Efficacy of invasive laser acupuncture in treating chronic non-specific low back pain: A randomized controlled trial</t>
  </si>
  <si>
    <t>🧑 Human
🎲 Randomized trial, sham-controlled
👥 45 participants
⌛ 4-week treatment -&gt; 4-week follow-up</t>
  </si>
  <si>
    <t>Laser acupuncture (invasive)
Wavelength comparison</t>
  </si>
  <si>
    <t>63.69</t>
  </si>
  <si>
    <t>12/p
8 points?</t>
  </si>
  <si>
    <t>38217</t>
  </si>
  <si>
    <t>"The 650 group showed significant improvements in pain intensity and functional disability. The 830 group showed significant improvements in functional disability."</t>
  </si>
  <si>
    <t>Application: "With the participants in the prone position, the needles were vertically inserted in bilateral Shenshu (BL23), Qihaishu (BL24), Dachangshu (BL25), and Huantiao (GB30) points [25,26]. The depths of insertion were between 9 mm and 30 mm, depending on the location of the needle [27]. Noninvasive LA is applied to the skin at acupoints. In contrast, the ILA used in our study was irradiated at the tip of the acupuncture needle under the skin. "</t>
  </si>
  <si>
    <t>Nardin</t>
  </si>
  <si>
    <t>Effects of photobiomodulation and deep water running in patients with chronic non-specific low back pain: a randomized controlled trial</t>
  </si>
  <si>
    <t>🧑 Human
🎲 Randomized trial, sham-controlled
👥 60 participants
⌛ 4-week treatment / 6-week study (?)</t>
  </si>
  <si>
    <t>LED phototherapy
LED cluster (56 red diodes, 48 near-infrared diodes)</t>
  </si>
  <si>
    <t>8
/ 4 weeks
(?)</t>
  </si>
  <si>
    <t>"In the intragroup comparisons, there were statistically significant changes in the TGPBM and GPBM groups in the outcomes pain intensity, disability (reductions in both groups), and in cortisol (increased in the TGPBM and reduced in the GPBM); in the TGPLA group, there was a statistically significant reduction only in the outcome of pain intensity. 
In the intergroup comparison, in the comparison between TGPBM and TGPLA, there was a statistically significant difference in the level of cortisol, as well as in the comparison between TGPBM and GPBM, in which there was a statistically significant difference for this same outcome (cortisol) and for the 6WTA outcome."</t>
  </si>
  <si>
    <t>Device: "a multi-diode LED with cluster probe (THOR® DD2 control unit; THOR, London, UK)"</t>
  </si>
  <si>
    <t>Al-Shenqiti</t>
  </si>
  <si>
    <t>J Pak Med Assoc</t>
  </si>
  <si>
    <t>The efficacy of high-intensity laser therapy in low back pain: A critical appraisal</t>
  </si>
  <si>
    <t>"The search yielded only six studies that could be critically reviewed. This limited number of studies exhibited different treatment approaches, parameters, blinding procedures, symptom durations, irradiated areas and testing occasions. 
The studies assessing the efficacy of high-intensity laser therapy in treating low-back pain showed controversial findings, which may be due to diversity in treatment parameters, approaches, symptom duration, blinding and / or randomisation procedures and testing occasions."</t>
  </si>
  <si>
    <t>Panah</t>
  </si>
  <si>
    <t>Iran
(Qazvin)</t>
  </si>
  <si>
    <t>Comparative study of combination therapy with non-steroidal anti inflammatory drugs and different doses of low level laser therapy in acute low back pain</t>
  </si>
  <si>
    <t>🧑 Human
🎲 Randomized trial, sham-controlled
👥 65 participants
⌛ 4 weeks</t>
  </si>
  <si>
    <t>100
max
output</t>
  </si>
  <si>
    <t>9.9
mm2
spot
area</t>
  </si>
  <si>
    <t>"Findings showed that laser therapy plus drug therapy in comparison with drug therapy alone was a more effective method to relieve pain and disability in patient with acute low back pain"</t>
  </si>
  <si>
    <t>Device: "gallium-aluminum-arsenide diode 810-nm Metronome model 860 B (class3B) (Iran-Australia)"</t>
  </si>
  <si>
    <t>Effects of Photobiomodulation Therapy Combined with Exercise in Patients Who Have Chronic Low Back Pain: Protocol for a Randomized Controlled Trial</t>
  </si>
  <si>
    <t>"The findings will help determine whether adding PBMT to a physical therapist-supervised exercise protocol is more effective than the exercise protocol alone for persistent LBP. This study has the potential to guide clinical practice toward innovative ways of providing health care."</t>
  </si>
  <si>
    <t>Maher CG</t>
  </si>
  <si>
    <t>Photobiomodulation therapy for chronic low back pain: time to move on</t>
  </si>
  <si>
    <t>"de Souza Guimaraes et al. have provided that fresh perspective. They have moved the field forward by taking 2 important steps that all of us conducting clinical trials could learn from. First, in preparation for their trial, they conducted a systematic review of previous PBMT trials, but the important step was to include a past president of WALT as an author to provide expertise on interpreting the PBMT treatment regiments used in the reviewed trials. Second, in their trial published in this issue of PAIN, they followed the WALT recommended treatment regimen for low back pain. As a result, they present a result that should be beyond dispute: PBMT, using the treatment regimen recommended by WALT, does not reduce pain and disability in patients with chronic nonspecific LBP."
"What then are the take home messages from the de Souza Guimaraes trial? First, and most importantly, it clarifies that PBMT is ineffective fro chronic LBP, and clinicians should switch to known effective therapies and stop wasting finite resources and patient's time. Second, it hints at what might be the true reason for the conflicting PBMT trial results we have seen in the past. What seems to distinguish the trials is the quality of blinding. In trials where the placebo is indistinguishable from active PBMT such as in this trial[8] we tend to see negative results, whereas in trials where the placebo is clearly distinguishable[10] we often see positive results."</t>
  </si>
  <si>
    <t>Photobiomodulation therapy is not better than placebo in patients with chronic nonspecific low back pain: a randomised placebo-controlled trial</t>
  </si>
  <si>
    <t>🧑 Human
🎲 Randomized trial, double-blind
👥 148 participants
⌛ 4-week treatment / 12-month study</t>
  </si>
  <si>
    <t>"Photobiomodulation therapy was not better than placebo to reduce pain and disability in patients with chronic nonspecific LBP."
"The results of this trial demonstrate that active PBMT was not clinically superior to placebo. This result can be explained by factors such as placebo effect, the use of The Back Book [educational booklet] by all patients, or the favorable clinical course in patients with chronic LBP.  Thus, the results found in this trial do not support the use of PBMT to decrease pain intensity and disability in patients with chronic nonspecific LBP. Our results are generalisable only for patients with chronic LBP who received PBMT using the dose that adheres to the WALT recommendations."</t>
  </si>
  <si>
    <t>Device: "Multi Radiance Medical™ Super Pulsed Laser MR4™ console (Solon, OH, USA), with the LS50 (emitter with an area of 20 cm2) and SE25 (emitter with an area of 4 cm2) cluster probes as emitters" [description from ClinicalTrials.gov)</t>
  </si>
  <si>
    <t>Abdelbasset</t>
  </si>
  <si>
    <t>A Randomized Comparative Study between High-Intensity and Low-Level Laser Therapy in the Treatment of Chronic Nonspecific Low Back Pain</t>
  </si>
  <si>
    <t>LLLT vs HILT vs ctrl</t>
  </si>
  <si>
    <t>850
1064</t>
  </si>
  <si>
    <t>1200
1200</t>
  </si>
  <si>
    <t>50
150</t>
  </si>
  <si>
    <t>"1cm spot size"</t>
  </si>
  <si>
    <t>1800
900</t>
  </si>
  <si>
    <t>"Both LLLT and HILT groups showed a significant improvement of the Oswestry Disability Index (ODI), visual analogue scale (VAS), lumbar range of motion (ROM), and European Quality of Life (EuroQol) scores (p &gt; 0.05), while the control group did not show significant changes (p &gt; 0.05).
Comparison among the three study groups postintervention showed significant differences in the outcome measures (p &gt; 0.05), while comparison between the LLLT and HILT groups showed nonsignificant differences (p &gt; 0.05)."</t>
  </si>
  <si>
    <t>Device (LLLT): "diode laser device (Chattanooga Group, USA) of gallium-aluminum-arsenide (GaAlAs, infrared laser)"
Device (HILT): "BTL-6000 HILT"</t>
  </si>
  <si>
    <t>Short-term clinical efficacy of the pulsed Nd: YAG laser therapy on chronic nonspecific low back pain: A randomized controlled study</t>
  </si>
  <si>
    <t>🧑 Human
🎲 Randomized trial
👥 35 participants
⌛ 6 weeks</t>
  </si>
  <si>
    <t>30
cm2
appl.
area</t>
  </si>
  <si>
    <t>?
(phase 1)
30
(phase 2)</t>
  </si>
  <si>
    <t>"Significant improvements were observed in the Nd:YAG group (MODI, P &lt; .001; PDI, P = .007; VAS, P &lt; .001; lumbar ROM, P = .002), whereas the sham group showed no significant changes (MODI, P = .451; PDI, P = .339; VAS, P = .107; lumbar ROM, P = .296) after 6-week intervention. Between-group comparisons showed significant differences in tending toward the Nd:YAG group (MODI, P &lt; .001; PDI, P = .046; VAS, P &lt; .001; lumbar ROM, P = .003)."
"Regarding the present study outcomes, short-term pulsed Nd:YAG laser (6 weeks) may reduce functional disabilities and pain intensity, and improve the lumbar flexion ROM in patients with chronic nonspecific LBP. Further well-designed randomized controlled studies with large sample sizes should be conducted regarding laser treatment."
Comment: There may be some parameter reporting mistakes. For example, they use the term "energy density" for the unit "J" even though J denotes energy, not energy density.</t>
  </si>
  <si>
    <t>Device. BTL-6000 HIL, a pulsed Nd:YAG laser
Phases: First 2 weeks were called "intermediating phase" and the subsequent 4 weeks were called "contining phase", the dosing was different in these phases.</t>
  </si>
  <si>
    <t>Effects of Mulligan Mobilization and Low-Level Laser Therapy on Physical Disability, Pain, and Range of Motion in Patients with Chronic Low Back Pain: A Pilot Randomized Controlled Trial</t>
  </si>
  <si>
    <t>🧑 Human
🎲 Randomized trial
👥 49 participants
⌛ 4 weeks</t>
  </si>
  <si>
    <t>600
(??)</t>
  </si>
  <si>
    <t>"These results indicate that significant improvement in pain, function, and ROM may be achieved by a combination of [sustained natural apophyseal glides] and LLLT to treat chronic low back pain."
Comment: The article describes that PBM irradiation duration is 10 minutes, 12 minutes (90 sec * 8 points) and 20 minutes... This reporting seems contradictory.
Comment: Inadequate reporting of parameters.</t>
  </si>
  <si>
    <t>Device: "Therap HLA-200 (Hanil TM, Daegu, Korea)"
Anatomical location and irradiation duration: "a laser beam at a dose of 27 J/cm2 was focused on the eight most painful points in the paravertebral areas (L2 to S3), including the apophyseal capsules, dorsolumbar fascia, and interspinous ligaments for over 20 min for each session (...) Each point was irradiated for 90 s)</t>
  </si>
  <si>
    <t>Light-emitting diode photobiomodulation therapy for non-specific low back pain in working nurses: A single-center, double-blind, prospective, randomized controlled trial</t>
  </si>
  <si>
    <t>"This study is a prospective, single-center, double-blind, randomized, controlled study. This study aims to research the efficacy of a 2-week LED program for NSCLBP working nurse. Our results will be useful for patients, working nurses, nurses' aides, and other healthcare workers with chronic low back pain."</t>
  </si>
  <si>
    <t>J Physiother</t>
  </si>
  <si>
    <t>Photobiomodulation therapy does not decrease pain and disability in people with non-specific low back pain: a systematic review</t>
  </si>
  <si>
    <t>"Twelve randomised controlled trials were included (pooled n = 1,046). Most trials had low risk of bias. 
Compared with sham PBMT, the effect of PBMT on pain and disability was clinically unimportant in people with acute/subacute or chronic LBP. In people with chronic LBP, there was no clinically important difference between the effect of PBMT and the effect of exercise on pain or disability. Although benefits were observed on some other outcomes, these estimates were imprecise and/or based on low-quality evidence. 
PBMT was estimated to reduce pain (MD -11.20, 95% CI -20.92 to -1.48) and disability (MD -11.90, 95% CI -17.37 to -6.43) more than ultrasound, but these confidence intervals showed important uncertainty about whether the differences in effect were worthwhile or trivial. 
Conversely, PBMT was estimated to reduce pain (MD 19.00, 95% CI 9.49 to 28.51) and disability (MD 17.40, 95% CI 8.60 to 26.20) less than Tecar (Energy Transfer Capacitive and Resistive) therapy, with marginal uncertainty that these differences in effect were worthwhile."
"Current evidence does not support the use of PBMT to decrease pain and disability in people with non-specific LBP."</t>
  </si>
  <si>
    <t>Photobiomodulation Therapy is Able to Modulate PGE2 Levels in Patients With Chronic Non-Specific Low Back Pain: A Randomized Placebo-Controlled Trial.</t>
  </si>
  <si>
    <t>🧑 Human
🎲 Randomized trial, double-blind
👥 18 participants
⌛ single session</t>
  </si>
  <si>
    <t>3.0 +
3.5 +
3.07</t>
  </si>
  <si>
    <t>1620
(9 sites, 3min per site)</t>
  </si>
  <si>
    <t>"PBMT was able to decrease prostaglandin E2 levels at post-treatment compared with placebo, with a mean difference of -1470 pg/ml, 95% confidence interval -2906 to -33.67 in patients with LBP.
There was no difference between groups in the other measured outcomes. Patients did not report any adverse events."
"There were no statistically significant differences (P &gt; 0.05) for the TNF‐α levels with a mean difference of −0.16 (95% CI −0.52 to 0.20), IL‐6 levels with a mean difference of 0.01 (95% CI −0.91 to 0.93), and pain intensity with a mean difference of −0.66 (95% CI −2.62 to 1.30) between PBMT and placebo‐control at post‐treatment (Fig. 4)."</t>
  </si>
  <si>
    <t>Device: "Multi Radiance Medical Super Pulsed Laser MR4 console (Solon, OH), with SE25 (...) and LaserShower (...) cluster probes as emitters."</t>
  </si>
  <si>
    <t>Kholoosy</t>
  </si>
  <si>
    <t>Evaluation of the Therapeutic Effect of Low Level Laser in Controlling Low Back Pain: A Randomized Controlled Trial.</t>
  </si>
  <si>
    <t>🧑 Human
🎲 Randomized trial, sham-controlled
👥 40 participants (34 completed)
⌛ 1-month treatment / 3-month study</t>
  </si>
  <si>
    <t>0.16
(??)</t>
  </si>
  <si>
    <t>1.5-
4.5
(see full text)</t>
  </si>
  <si>
    <t>10-
30
(see full text)</t>
  </si>
  <si>
    <t>"There was significant improvement in pain (P&lt;0.001 for both groups), functional status (Case group: P &lt;0.001; control group: P=0.004) and spinal ROM (Case group: P &lt;0.001; control group: P =0.007) in both groups at the end of the first month, but these gains persisted for 3 months only in the case group (P &lt;0.001).
Regarding spinal tenderness, it was disappeared in 89.47% of the patients in the true laser group at the end of one month but remained unchanged in 73.33% of the subjects of the sham laser group."
"We concluded that laser therapy (in combination with NSAIDs) is an effective and long-lasting therapeutic strategy in bringing relief from LBP without any significant side effect."</t>
  </si>
  <si>
    <t>Rubira</t>
  </si>
  <si>
    <t>Comparison of the effects of low-level laser and pulsed and continuous ultrasound on pain and physical disability in chronic non-specific low back pain: a randomized controlled clinical trial.</t>
  </si>
  <si>
    <t>🧑 Human
🎲 Randomized trial
👥 100 participants
⌛ 4 weeks</t>
  </si>
  <si>
    <t>PBM vs ultrasound vs control</t>
  </si>
  <si>
    <t>18
(6 points)</t>
  </si>
  <si>
    <t>0.1309
cm2
contact
area</t>
  </si>
  <si>
    <t>"The three treated groups exhibited a decrease in pain (p &lt; 0.001); the Pulsed Laser Group showed the greater relative gain (91.2%), Meanwhile, the Control Group exhibited a worsening of - 5.8%. 
The three treated groups demonstrated improvement in the quality of pain (McGill) in the total, sensory and affective dimensions (p &lt; 0.005; p &lt; 0.002; p &lt; 0.013, respectively). All treated groups showed a decrease in functional disability (p &lt; 0.001), but the Pulsed Ultrasound Group showed the highest relative gain (83.3%)."
"The three modalities have significant effects to decreasing low back pain and improving functional disability in women with non-specific chronic low back pain, but the pulsed low-level laser had the best results on pain while the pulsed ultrasound had the best results on improve the functional disability."</t>
  </si>
  <si>
    <t>Device: "Laser Pulse (IBRAMED®)"</t>
  </si>
  <si>
    <t>Taradaj</t>
  </si>
  <si>
    <t>Effect of laser treatment on postural control parameters in patients with chronic nonspecific low back pain: a randomized placebo-controlled trial.</t>
  </si>
  <si>
    <t>🧑 Human
🎲 Randomized trial, sham-controlled
👥 68 participants
⌛ 3-week treatment -&gt; 3-month follow-up</t>
  </si>
  <si>
    <t>LLLT vs HILT vs placebo vs placebo</t>
  </si>
  <si>
    <t>785
1064</t>
  </si>
  <si>
    <t>8
60</t>
  </si>
  <si>
    <t>?
30
cm2
applicator</t>
  </si>
  <si>
    <t>480
600</t>
  </si>
  <si>
    <t>"Low- and high-intensity laser therapy does not lead to a significant improvement in postural sway in patients with NSLP compared with standard stabilization training based on short- and long-term observations."</t>
  </si>
  <si>
    <t>Device (HILT): "Cyborg Laser apparatus (Cosmogamma, Indonesia) with a Gallium-Aluminum-Arsenide (Ga-Al-As)"
Device (LLLT): "LAS-Expert apparatus (Physiomed Electromedizin, Germany)"</t>
  </si>
  <si>
    <t>Effects of photobiomodulation therapy on inflammatory mediators in patients with chronic non-specific low back pain: Protocol for a randomized placebo-controlled trial.</t>
  </si>
  <si>
    <t>Tantawy</t>
  </si>
  <si>
    <t>Bahrain
(Manama)</t>
  </si>
  <si>
    <t>Laser photobiomodulation is more effective than ultrasound therapy in patients with chronic nonspecific low back pain: a comparative study.</t>
  </si>
  <si>
    <t>PBM vs ultrasound vs ctrl</t>
  </si>
  <si>
    <t>0.1136</t>
  </si>
  <si>
    <t>30
(8p)</t>
  </si>
  <si>
    <t>17.05</t>
  </si>
  <si>
    <t>0.22
cm2
spot
1.76
cm2
area</t>
  </si>
  <si>
    <t>1200
(8p)</t>
  </si>
  <si>
    <t>"At the end of the study, there were significant improvements in pain, disability, and functional performance in the two experimental groups (p &lt; 0.05), but changes in the control group were non-significant. However, lumbar range of motion was significantly improved only in the lPBMt group (p &lt; 0.05). 
When the three groups were compared in terms of a change in clinical variables, there was a significant difference among the three groups in all measures in favor of lPBMt group."</t>
  </si>
  <si>
    <t>Device: "a Gallium-Aluminum-Arsenide (GaAlAs) device (FISIOLASER SCAN HP4, CHINESPORT, Udine, Italy)"</t>
  </si>
  <si>
    <t>Kolu</t>
  </si>
  <si>
    <t>Pak J Med Sci</t>
  </si>
  <si>
    <t>Comparison of high-intensity laser therapy and combination of transcutaneous nerve stimulation and ultrasound treatment in patients with chronic lumbar radiculopathy: A randomized single-blind study.</t>
  </si>
  <si>
    <t>🧑 Human
⚔ Comparison study
👥 54 participants
⌛ 2-week treatment -&gt; 4-week follow-up</t>
  </si>
  <si>
    <t>TENS+US+exercise vs hot+HILT+exercise</t>
  </si>
  <si>
    <t>132</t>
  </si>
  <si>
    <t>25
cm2
treatment
area</t>
  </si>
  <si>
    <t>600
(incl. 2 phases)</t>
  </si>
  <si>
    <t>"HILT and TENS+US combined with exercise were effective treatment modalities in decreasing the VAS and ODI scores. TENS+US combined with exercises were more effective than HILT combined with exercise."</t>
  </si>
  <si>
    <t>Device: BTL 6000</t>
  </si>
  <si>
    <t>Effects of photobiomodulation therapy in patients with chronic non-specific low back pain: protocol for a randomised placebo-controlled trial.</t>
  </si>
  <si>
    <t>Koldaş Doğan</t>
  </si>
  <si>
    <t>The effects of two different low level laser therapies in the treatment of patients with chronic low back pain: A double-blinded randomized clinical trial.</t>
  </si>
  <si>
    <t>🧑 Human
⚔ Comparison study, randomized, double-blind
👥 49 participants
⌛ 3-week treatment</t>
  </si>
  <si>
    <t>PBM (red) vs PBM (multi-wavelength)</t>
  </si>
  <si>
    <t>850
650+
785+
980</t>
  </si>
  <si>
    <t>100
7+
50+
10</t>
  </si>
  <si>
    <t>0.07 cm2
spot area
112 cm2
plaque (??) area</t>
  </si>
  <si>
    <t>480
1200</t>
  </si>
  <si>
    <t>"Laser therapy applied with combined He-Ne and Ga-Al-As provides more improvements in lateral flexion measurements and disability of the patients, however no superiority of the two different laser devices to one another were detected on pain severity."</t>
  </si>
  <si>
    <t>Mihaylova</t>
  </si>
  <si>
    <t>Bulgaria
(Varna)</t>
  </si>
  <si>
    <t>Scripta Scientifica Salutis Publicae</t>
  </si>
  <si>
    <t>The effect of polarized polychromatic non-coherent light (Bioptron) therapy on patients with lower back pain</t>
  </si>
  <si>
    <t>🧑 Human
🎲 Randomized trial
👥 60 participants
⌛ (??) -&gt; 1-month follow-up</t>
  </si>
  <si>
    <t>"The complex methodology incorporating basic treatment with the use of polarized polychromatic non-coherent low energy light yielded better results than just ba­sic treatment."
Comment: The effect was modestly stronger in the PBM group.
Comment: This journal is apparently "an official scientific journal of the Medical University of Varna".
Comment: The authors do not report parameters. However, wavelength (480-3400 nm) and power density (40 mW/cm2) can be found from other papers using Bioptron device.
Comment: They claim the treatmend is given "once a day" but they do not mention the number of treatment sessions (!).</t>
  </si>
  <si>
    <t>Notarnicola</t>
  </si>
  <si>
    <t>High level laser therapy for the treatment of lower back pain: clinical efficacy and comparison of different wavelengths.</t>
  </si>
  <si>
    <t>🧑 Human
⚔ Comparison study
👥 66 participants</t>
  </si>
  <si>
    <t>PBM vs PBM vs PBM (different protocols)
Wavelength comparison</t>
  </si>
  <si>
    <t>650
810
810+
980+
1064</t>
  </si>
  <si>
    <t>"In each group we verified a statistically significant improvement over time and that there was a relationship between the time and treatment (p less than 0.01). At T1 for all wavelengths we found a statistically significant improvement of three scores (p less than 0.01), which was maintained up to T4.
The group treated with 810 nm HELT, showed a better remission of pain on the VAS scale, and disability on the Oswestry Scale at T4 (p=0.01). Comparing T0-T1 the variation in the Roland Score was significant in the patients treated with 810 nm (p less than 0.01)."</t>
  </si>
  <si>
    <t>Holanda</t>
  </si>
  <si>
    <t>Photobiomodulation of the dorsal root ganglion for the treatment of low back pain: A pilot study.</t>
  </si>
  <si>
    <t>🧑 Human
⚔ Comparison study
👥 28 participants
⌛ single session -&gt; 1-month follow-up</t>
  </si>
  <si>
    <t>LLLT vs lidocaine vs radiofrequency
PBM of dorsal root ganglion (DRG)</t>
  </si>
  <si>
    <t>2800</t>
  </si>
  <si>
    <t>0.003
cm2
beam spot
size</t>
  </si>
  <si>
    <t>84
(1 point)</t>
  </si>
  <si>
    <t>"All patients in the local anesthetic and laser treatment groups reported a pain reduction of at least 50% immediately post-procedure and 10 out of 11 patients in the radiofrequency group reported a pain reduction of at least 50%. At 1 month post-treatment, the laser treatment group had the greatest number of patients who reported more than 50% pain relief based on PRS (7 out of 10 patients) while only 2 out of 7 patients and 3 out of 11 patients in the lidocaine and radiofrequency treatment groups respectively reported more than a 50% pain relief."
"Laser irradiation caused an immediate decrease in low back pain post-procedure similar to pain reduction caused by lidocaine injection."</t>
  </si>
  <si>
    <t>Device: "Photon Lase III® DCM, Brazil"
Anatomical location: "The aim of this study was to determine the efficacy of laser irradiation of the dorsal root ganglion of the second lumbar spinal nerve for chronic axial low back pain"
Application: "Light was delivered bilaterally through a 600mm optical fiber, that was cleaved at 908, polished and placed in the G18 needle. The tip of the fiber extended 5 mm beyond the tip of the needle in the second lumbar intervertebral foramen."</t>
  </si>
  <si>
    <t>Glazov</t>
  </si>
  <si>
    <t>Low-level laser therapy for chronic non-specific low back pain: a meta-analysis of randomised controlled trials.</t>
  </si>
  <si>
    <t>"We demonstrated moderate quality of evidence (GRADE) to support a clinically important benefit in LLLT for CNLBP in the short term, which was only seen following higher laser dose interventions and in participants with a shorter duration of back pain. Rigorously blinded trials using appropriate laser dosage would provide greater certainty around this conclusion."</t>
  </si>
  <si>
    <t>The effectiveness of low-level laser therapy for nonspecific chronic low back pain: a systematic review and meta-analysis.</t>
  </si>
  <si>
    <t>"Our findings indicate that LLLT is an effective method for relieving pain in NSCLBP patients. However, there is still a lack of evidence supporting its effect on function."</t>
  </si>
  <si>
    <t>Osti</t>
  </si>
  <si>
    <t>Tri-length laser therapy associated to tecar therapy in the treatment of low-back pain in adults: a preliminary report of a prospective case series.</t>
  </si>
  <si>
    <t>🧑 Human
📄 Single-arm trial
👥 66 participants
⌛ 3-week treatment / 8-week study</t>
  </si>
  <si>
    <t>Multifactorial intervention (PBM + tecar therapy)</t>
  </si>
  <si>
    <t>810+
980+
1064</t>
  </si>
  <si>
    <t>"Visual analogic scale (VAS) score significantly improved from an average value of 8.1 ± 1.58 pre-treatment to an average value 8-weeks post-treatment of 2.63 ± 2.74 (P &lt; .01). ODS values start from a pre-treatment average value of 53.0 ± 13.0 to a post-treatment average value of 23.5 ± 19.8 (P &lt; .01)."
"The conclusion of this study is that the association between laser therapy iLux-Triax® and tecar therapy Pharon® in the treatment of low-back pain, with or without leg pain, can significantly reduce pain and improve the quality of life in patients with degenerative and inflammatory problems."
Comment: The parameters were not reported.</t>
  </si>
  <si>
    <t>Device: "Tri-length laser I-Triax® (Mectronic Medicale, Bergamo, Italy)"</t>
  </si>
  <si>
    <t>Ip &amp; Fu</t>
  </si>
  <si>
    <t>Can intractable discogenic back pain be managed by low-level laser therapy without recourse to operative intervention?</t>
  </si>
  <si>
    <t>🧑 Human
📄 Single-arm study (prospective follow-up)
👥 50 patients
⌛ 12-week treatment -&gt; 5-year follow-up</t>
  </si>
  <si>
    <t>5.4
/p</t>
  </si>
  <si>
    <t>"All but one patient had significant improvement in their Oswestry Disability Index score, from a mean of 50% score to a mean of 10% score, at the end of treatment at 12 weeks. In addition, surprisingly, the improvement was found maintained at follow-up assessments 1 year and 5 years later. The one patient among the 50 patients who failed to respond eventually required surgery, while the others did not require surgery."
"We conclude that LLLT is a viable option in the conservative treatment of discogenic back pain, with a positive clinical result of more than 90% efficacy, not only in the short-term but also in the long-term, with lasting benefits."</t>
  </si>
  <si>
    <t>Device: Model not described in the full text, but Figure 2 shows a device with a "Raycome" text in it, and by googling it seems to be RG-JYBII model by Shenzhen Raycome Health Technology Co., Ltd</t>
  </si>
  <si>
    <t>Vallone</t>
  </si>
  <si>
    <t>Effect of diode laser in the treatment of patients with nonspecific chronic low back pain: a randomized controlled trial.</t>
  </si>
  <si>
    <t>🧑 Human
🎲 Randomized trial
👥 100 participants
⌛ 3 weeks</t>
  </si>
  <si>
    <t>1200
/point
(6 points)</t>
  </si>
  <si>
    <t>32
cm2
spot size</t>
  </si>
  <si>
    <t>60
/point
(6 points)</t>
  </si>
  <si>
    <t>"At the end of the 3 week period, the Laser+EX group showed a significantly greater decrease in pain than did the EX group. There was a significant difference between the two groups, with average Δ VAS scores of 3.96 (Laser+EX group) and 2.23 (EX group)."
Comment: Relatively large spot size compared to usual PBM!</t>
  </si>
  <si>
    <t>Device: "GaAlAs laser unit was used for this study (LEONARDO BIO, DMT dental medical technologies, Lissone, Italy) with a specific handpiece (32 cm2 spot size)"</t>
  </si>
  <si>
    <t>Low-dose laser acupuncture for non-specific chronic low back pain: a double-blind randomised controlled trial.</t>
  </si>
  <si>
    <t>🧑 Human
🎲 Randomized trial, double-blind
👥 144 participants
⌛ 8-week treatment -&gt; 12-month follow-up</t>
  </si>
  <si>
    <t>0.2
0.8
/point</t>
  </si>
  <si>
    <t>10
40
/point</t>
  </si>
  <si>
    <t>"The analysis showed no difference between sham and the laser groups at 6 weeks for pain or disability."
Comment: Compared to Vallone et al. study, the output power was 1000x lower. There can be large dose differences between PBM studies (although this is primarily a study of "laser acupuncture", not typical PBM).</t>
  </si>
  <si>
    <t>Long-term effect of high-intensity laser therapy in the treatment of patients with chronic low back pain: a randomized blinded placebo-controlled trial.</t>
  </si>
  <si>
    <t>🧑 Human
🎲 Randomized trial, sham-controlled
👥 72 participants
⌛ 4-week treatment -&gt; 12-week follow-up</t>
  </si>
  <si>
    <t>3000
(in 3 phases)</t>
  </si>
  <si>
    <t>0.2 cm2
spot size</t>
  </si>
  <si>
    <t>~900</t>
  </si>
  <si>
    <t>"HILT combined with exercise appears to be more effective in patients with CLBP than either HLLT alone or placebo laser with exercise."</t>
  </si>
  <si>
    <t>Evaluation of the effect of laser acupuncture and cupping with ryodoraku and visual analog scale on low back pain.</t>
  </si>
  <si>
    <t>🧑 Human
🎲 Randomized trial, double-blind
👥 60 participants
⌛ 5 days</t>
  </si>
  <si>
    <t>Laser acupuncture + soft cupping</t>
  </si>
  <si>
    <t>0,8 cm2
spot size</t>
  </si>
  <si>
    <t>No difference between active laser and placebo.
Note: The anatomical site of irradiation was leg, not back...</t>
  </si>
  <si>
    <t>Jovicić</t>
  </si>
  <si>
    <t>Clinical and functional evaluation of patients with acute low back pain and radiculopathy treated with different energy doses of low level laser therapy.</t>
  </si>
  <si>
    <t>🧑 Human
⚔ Comparison study
👥 66 participants
⌛ 2 weeks</t>
  </si>
  <si>
    <t>⚔ Different PBM doses
Dose response</t>
  </si>
  <si>
    <t>0.1
1.0
4.0
/point
(4 points)</t>
  </si>
  <si>
    <t>1 cm2
spot size</t>
  </si>
  <si>
    <t>16
160
640</t>
  </si>
  <si>
    <t>"The VAS scores were significantly lower in all the groups without a difference between the groups (p &gt; 0,05). Functional improvements were better in the third group treated with the dose of 4 J per point than in other two groups (p &lt; 0.05)."
"Three different energy doses of LLLT were equally effective in alleviating lumbar and leg pain without side effects, but the dose of 4 J per point seemed to be more effective in improving the activities of daily living and lumbar mobility."
Comment: Full text can be found via ResearchGate.</t>
  </si>
  <si>
    <t>Fiore</t>
  </si>
  <si>
    <t>Italy
(Foggia)</t>
  </si>
  <si>
    <t>Short-term effects of high-intensity laser therapy versus ultrasound therapy in the treatment of low back pain: a randomized controlled trial.</t>
  </si>
  <si>
    <t>🧑 Human
⚔ Comparison study, randomized
👥 30 participants
⌛ 3 weeks</t>
  </si>
  <si>
    <t>2600
(in 3 phases)</t>
  </si>
  <si>
    <t>0.760</t>
  </si>
  <si>
    <t>0.2 cm2
spot size
(?)</t>
  </si>
  <si>
    <t>"At the end of the 3-week intervention, participants in the HILT group showed a significantly greater decrease in pain (measured by the VAS) and an improvement of related disability (measured by the OLBPDQ) compared with the group treated with US therapy."</t>
  </si>
  <si>
    <t>Device. "neodymium YAG laser (Nd:YAG) to pulsated waveform, produced by HIRO 1.0 device (ASA srl, Arcugnano, Vicenza, Italy)"</t>
  </si>
  <si>
    <t>Saayman</t>
  </si>
  <si>
    <t>Chiropractic manipulative therapy and low-level laser therapy in the management of cervical facet dysfunction: a randomized controlled study.</t>
  </si>
  <si>
    <t>🧑 Human
🎲 Randomized trial
👥 60 participants
⌛ 3 weeks</t>
  </si>
  <si>
    <t>⚔ PBM vs chiropractic treatment vs both</t>
  </si>
  <si>
    <t>14-
19</t>
  </si>
  <si>
    <t>0.111-
0.151</t>
  </si>
  <si>
    <t>5.57-
7.56</t>
  </si>
  <si>
    <t>50
/p?</t>
  </si>
  <si>
    <t>"All 3 groups showed improvement in the primary and secondary outcomes. A combination of CMT and LLLT was more effective than either of the 2 on their own. Both therapies are indicated as potentially beneficial treatments for cervical facet dysfunction."</t>
  </si>
  <si>
    <t>Ohkuin</t>
  </si>
  <si>
    <t>Low level laser therapy (LLLT) for patients with sacroiliac joint pain.</t>
  </si>
  <si>
    <t>🧑 Human
📄 Single-arm trial
👥 9 participants
⌛ 5 weeks</t>
  </si>
  <si>
    <t>"Eight of the 9 patients showed significant pain improvement and 6 demonstrated significantly increased trunk mobility (P &lt;0.05 for both)."</t>
  </si>
  <si>
    <t>Device: MDL-2001 model, Matsushita Electric Corporation, Tokyo, Japan</t>
  </si>
  <si>
    <t>Konstantinovic</t>
  </si>
  <si>
    <t>Acute low back pain with radiculopathy: a double-blind, randomized, placebo-controlled study.</t>
  </si>
  <si>
    <t>🧑 Human
🎲 Randomized trial, double-blind
👥 546 participants
⌛ 3 weeks</t>
  </si>
  <si>
    <t>Radiculopathy
Groups: nimesulide + PBM vs nimesulide + sham-PBM vs nimesulide only</t>
  </si>
  <si>
    <t>"Statistically significant differences were found in all outcomes measured (p &lt; 0.001), but were larger in [nimesulide + LLLT group] than in [nimesulide group] (p &lt; 0.0005) and [nimesulide + sham-LLLT group] (p &lt; 0.0005).
The results in [nimesulide + sham-LLLT group] were better than in [nimesulide group] (p &lt; 0.0005)."
Comment: A surprisingly large study, and nice results for PBM.</t>
  </si>
  <si>
    <t>Charlusz</t>
  </si>
  <si>
    <t>Comparative analysis of analgesic efficacy of selected physiotherapy methods in low back pain patients.</t>
  </si>
  <si>
    <t>🧑 Human
⚔ Comparison study
👥 94 participants
⌛ (?)</t>
  </si>
  <si>
    <t>PBM vs ultrasoudn vs vacuum therapy</t>
  </si>
  <si>
    <t>0.510</t>
  </si>
  <si>
    <t>"In Group A, following low energy laser therapy, a statistically significant decrease in pain intensity was observed, together with decreased analgesic consumption compared to the other groups."</t>
  </si>
  <si>
    <t>Ay</t>
  </si>
  <si>
    <t>Is low-level laser therapy effective in acute or chronic low back pain?</t>
  </si>
  <si>
    <t>🧑 Human
🎲 Randomized trial, double-blind
👥 80 participants (40 acute, 40 chronic)
⌛ 3 weeks</t>
  </si>
  <si>
    <t>0.07 cm2
spot area</t>
  </si>
  <si>
    <t>480-
960</t>
  </si>
  <si>
    <t>"no significant differences were detected between four treatment groups with respect to all outcome parameters (p &gt; 0.05)"</t>
  </si>
  <si>
    <t>Laser acupuncture for chronic non-specific low back pain: a controlled clinical trial.</t>
  </si>
  <si>
    <t>🧑 Human
🎲 Randomized trial, double-blind
👥 96 participants
⌛ ~9-week treatment -&gt; 6-month follow-up</t>
  </si>
  <si>
    <t>0.2
/p</t>
  </si>
  <si>
    <t>weekly
(9.1 on avg)</t>
  </si>
  <si>
    <t>"This study did not show a specific effect for LA using infrared laser at 0.2 Joules per point for chronic low back pain."</t>
  </si>
  <si>
    <t>Device: "Ga-Al-As laser diode (Acupak, Melbourne, Australia)."</t>
  </si>
  <si>
    <t>Yousefi-Nooraie</t>
  </si>
  <si>
    <t>Low level laser therapy for nonspecific low-back pain.</t>
  </si>
  <si>
    <t>Based on the heterogeneity of the populations, interventions and comparison groups, we conclude that there are insufficient data to draw firm conclusions on the clinical effect of LLLT for low-back pain.</t>
  </si>
  <si>
    <t>In chronic low back pain, low level laser therapy combined with exercise is more beneficial than exercise alone in the long term: a randomised trial.</t>
  </si>
  <si>
    <t>🧑 Human
🎲 Randomized trial, double-blind
👥 61 participants
⌛ 6-week treatment -&gt; 6-week follow-up</t>
  </si>
  <si>
    <t>0.221
cm2</t>
  </si>
  <si>
    <t>~
1200</t>
  </si>
  <si>
    <t>"in the laser therapy plus exercise group pain had reduced by 1.8 cm (95% CI 0.1 to 3.3, p = 0.03), lumbar range of movement increased by 0.9 cm (95% CI 0.2 to 1.8, p &lt; 0.01) on the Schober Test and by 15 deg (95% CI 5 to 25, p &lt; 0.01) of active flexion, and disability reduced by 9.4 points (95% CI 2.7 to 16.0, p = 0.03) more than in the exercise group at 12 weeks."</t>
  </si>
  <si>
    <t>Gale</t>
  </si>
  <si>
    <t>Infrared therapy for chronic low back pain: a randomized, controlled trial.</t>
  </si>
  <si>
    <t>🧑 Human
🎲 Randomized trial, sham-controlled
👥 40 participants
⌛ 7 weeks</t>
  </si>
  <si>
    <t>Polychromatic light 🌈
PBM device design: waist wrap</t>
  </si>
  <si>
    <t>800-
1200</t>
  </si>
  <si>
    <t>(unclear, maybe daily for the duration of 7 weeks???)</t>
  </si>
  <si>
    <t>"The mean NRS scores in the treatment group fell from 6.9 of 10 to 3 of 10 at the end of the study. The mean NRS in the placebo group fell from 7.4 of 10 to 6 of 10."
"The IR therapy unit used was demonstrated to be effective in reducing chronic low back pain, and no adverse effects were observed."
Comment: It's not very clear from the text, how much the participants used the device. Also, no clear dose parameters provided.</t>
  </si>
  <si>
    <t>Device: Infrared lower back pain wrap (MSCT Infrared Wraps Inc, Canada) (see the photograph in full text)</t>
  </si>
  <si>
    <t>Efficacy of low power laser therapy and exercise on pain and functions in chronic low back pain.</t>
  </si>
  <si>
    <t>🧑 Human
🎲 Randomized trial, sham-controlled
👥 75 participants
⌛ 4 weeks</t>
  </si>
  <si>
    <t>904
(?)</t>
  </si>
  <si>
    <t>(unclear, see full text)</t>
  </si>
  <si>
    <t>"Low power laser therapy seemed to be an effective method in reducing pain and functional disability in the therapy of chronic LBP."</t>
  </si>
  <si>
    <t>Anatomic site: "Application of the laser was external over a series of standardized fields designed to include the L4 to L5 and L5 to S1 apophyseal capsules, dorsolumbar fascia, and interspinous ligaments, as well as the gluteal fascia, posterior sacroiliac ligaments, hamstrings, and gastro-soleus muscles of which pain points were palpated from the low back to the foot."
Irradiation details: "Two physical therapist investigators used a standard technique, with a gallium–arsenide laser"</t>
  </si>
  <si>
    <t>Laser therapy: a randomized, controlled trial of the effects of low-intensity Nd:YAG laser irradiation on musculoskeletal back pain.</t>
  </si>
  <si>
    <t>🧑 Human
🎲 Randomized trial, double-blind
👥 63 participants
⌛ 4-week treatment -&gt; 1-month follow-up</t>
  </si>
  <si>
    <t>0.542</t>
  </si>
  <si>
    <t>90
/point
(see full text)</t>
  </si>
  <si>
    <t>"Treatment with low-intensity 1.06 microm laser irradiation produced a moderate reduction in pain and improvement in function in patients with musculoskeletal low back pain. Benefits, however, were limited and decreased with time."</t>
  </si>
  <si>
    <t>Ohshiro &amp; Shirono</t>
  </si>
  <si>
    <t>Retroactive study in 524 patients on the application of the 830 nm gaaias diode laser in low reactive-level laser therapy (LLLT) for lumbago</t>
  </si>
  <si>
    <t>🧑 Human
📄 Retrospective study
👥 524 patients</t>
  </si>
  <si>
    <t>~45</t>
  </si>
  <si>
    <t>0.015 cm2
spot size</t>
  </si>
  <si>
    <t>twice per week until satisf. pain reduction</t>
  </si>
  <si>
    <t>"Some of the patients (81.6%) reported excellent or good immediate results, and 82% gave the same assessment for the delayed effect. No side-effects at all were reported, and patients have maintained the effective results during the follow-up period. 
The authors conclude that LLLT with the GaAlAs diode laser at the parameters as reported affords an easily applied, noninvasive, effective and safe therapeutic method for the treatment of pain entities in the lumbago group. Further controlled studies are needed to research in detail the possible mechanisms and pathways, although some are already known."</t>
  </si>
  <si>
    <t>Klein &amp; Eek</t>
  </si>
  <si>
    <t>USA
(Santa Barbara, CA)</t>
  </si>
  <si>
    <t>Low-energy laser treatment and exercise for chronic low back pain: double-blind controlled trial.</t>
  </si>
  <si>
    <t>🧑 Human
🎲 Randomized trial, double-blind
👥 20 participants
⌛ (?)</t>
  </si>
  <si>
    <t>"There were significant improvements in objective parameters in both the laser and placebo groups, but no relative advantage accrued to either group. Under the conditions of this study, low-energy laser stimulation plus exercise did not provide a significant advantage over exercise alone."
Note: According to Tuner&amp;Hode 1998, the power density was 0.1 J/cm2 instead of the stated 1.3 J/cm2.</t>
  </si>
  <si>
    <t>Brain processing of pain</t>
  </si>
  <si>
    <t>Rocha &amp; Chacur</t>
  </si>
  <si>
    <t>Modulatory effects of photobiomodulation in the anterior cingulate cortex of diabetic rats</t>
  </si>
  <si>
    <t>"Anterior Cingulate Cortex (ACC) has a crucial contribution to higher order pain processing. Photobiomodulation (PBM) has being used as integrative medicine for pain treatment and for a variety of nervous system disorders. This study evaluated the effects of PBM in the ACC of diabetic rats."
"Our data revealed that PBM decreased 79.5% of GFAP protein levels in the ACC of STZ rats. Moreover, STZ + PBM rats had protein levels of MOR increased 14.7% in the ACC. Interestingly, STZ + PBM rats had a decrease in 70.7% of GluR1 protein level in the ACC. Additionally, PBM decreased 45.5% of GAD65/67 protein levels in the ACC of STZ rats."</t>
  </si>
  <si>
    <t>Breast pain</t>
  </si>
  <si>
    <t>Tanzan Health Res Bull</t>
  </si>
  <si>
    <t>Low intensity laser therapy is comparable to bromocriptine-evening primrose oil for the treatment of cyclical mastalgia in Egyptian females.</t>
  </si>
  <si>
    <t>🧑 Human
⚔ Comparison study, double-blind
👥 80 participants
⌛ 20 days</t>
  </si>
  <si>
    <t>PBM vs bromocriptine-evening primrose oil</t>
  </si>
  <si>
    <t>633+
NIR (?)</t>
  </si>
  <si>
    <t>400 cm2
treatment area</t>
  </si>
  <si>
    <r>
      <rPr>
        <sz val="6.0"/>
      </rPr>
      <t xml:space="preserve">"A good response was observed in the laser group in 82.5%, compared to 63.9% in the bromocriptine/evening primrose group. There was a significant deference before and after treatment in both groups (P&lt;0.05). This difference was more for the drug treated group than for the laser treated group, but in the latter, it acted on a wider sector of patients. In conclusion, LILT is recommended as a new treatment modality for cyclical mastalgia."
Full text: </t>
    </r>
    <r>
      <rPr>
        <color rgb="FF1155CC"/>
        <sz val="6.0"/>
        <u/>
      </rPr>
      <t>http://www.bioline.org.br/pdf?rb07034</t>
    </r>
  </si>
  <si>
    <t>Cancer pain</t>
  </si>
  <si>
    <t>Laser-photobiomodulation on experimental cancer pain model in Walker Tumor-256</t>
  </si>
  <si>
    <t>"It was found that the W-256 + 1 J group showed a decrease in paw edema, a significant reduction in pain threshold. Higher levels of IL-10 and lower levels of COX-2 and Bdkrb1 were observed."</t>
  </si>
  <si>
    <t>Cannulation</t>
  </si>
  <si>
    <t>Singer</t>
  </si>
  <si>
    <t>Acad Emerg Med</t>
  </si>
  <si>
    <t>Laser-assisted anesthesia reduces the pain of venous cannulation in children and adults: a randomized controlled trial.</t>
  </si>
  <si>
    <t>🧑 Human
🎲 Randomized trial
👥 61 participants
⌛ single session (and a 1-week follow-up for side effects)</t>
  </si>
  <si>
    <t>Er:YAG laser</t>
  </si>
  <si>
    <t>2940
(?)</t>
  </si>
  <si>
    <t>"The mean pain of IV cannulation was significantly less (mean difference, 28.3 mm; 95% confidence interval = 17.9 to 38.7) in patients pretreated with the laser (10.0 mm; 95% confidence interval = 4.4 to 15.6) than with sham laser (38.3 mm; 95% confidence interval = 29.3 to 42.2). The difference in children was also significant. Application of the laser was painless in most patients."</t>
  </si>
  <si>
    <t>Laser-assisted anesthesia prior to intravenous cannulation in volunteers: a randomized, controlled trial.</t>
  </si>
  <si>
    <t>🧑 Human
🎲 Randomized trial
👥 30 participants
⌛ single session (and a 3-month follow-up for side effects)</t>
  </si>
  <si>
    <t>"Pretreatment of the skin with a laser device followed by a 5-minute topical lidocaine application reduces the pain of IV cannulation in volunteers."
Comment: The authors do not call the treatment "LLLT" or "photobiomodulation". Also, the wavelength is out the 600-1000nm range. However, the energy density is in the same range as in photobiomodulation.</t>
  </si>
  <si>
    <t>Capsaicin-induced pain</t>
  </si>
  <si>
    <t>An Efficacy of Photobiomodulation of 850 nm on Pain Reduction in a Human Oral Capsaicin Pain Model</t>
  </si>
  <si>
    <t>🧑 Human
📄 Non-randomized study, crossover, sham-controlled
👥 10 participants (?)
⌛ 4 single-session crossover phases</t>
  </si>
  <si>
    <t>0.10 cm2
spot size</t>
  </si>
  <si>
    <t>1 per phase</t>
  </si>
  <si>
    <t>"The PBM used in this study did not reduce oral burning sensations from capsaicin."</t>
  </si>
  <si>
    <t>📕
Device: "AsGaAl; TOP 250 Soft Laser, Berkmed Medikal, distributed by Medical Innovation-MI, Istanbul, Turkey"</t>
  </si>
  <si>
    <t>Chest pain</t>
  </si>
  <si>
    <t>Am Heart J</t>
  </si>
  <si>
    <t>New concepts in pain management and in the application of low-power laser for relief of cervicothoracic pain syndromes.</t>
  </si>
  <si>
    <t>📰 Editorial
(📄 Case series)</t>
  </si>
  <si>
    <t>"Preliminary studies suggest that the application of the low-power laser at appropriate anatomic areas may provide symptomatic relief; the laser has been safe and devoid of adverse events. This modality may thus be a primary therapy and is perhaps especially applicable to elderly patients or patients who do not tolerate or have adverse events to potent analgesic medications. It is important to emphasize that to maximize the efficacy of this modality, a good understanding of functional anatomy and pathophysiology of musculoskeletal chest pain and other cervicothoracic pain syndromes is essential. Further controlled studies are underway to verify these salutary observations."</t>
  </si>
  <si>
    <t>Chronic</t>
  </si>
  <si>
    <t>Buzza</t>
  </si>
  <si>
    <t>Selective neural inhibition via photobiomodulation alleviates behavioral hypersensitivity associated with small sensory fiber activation</t>
  </si>
  <si>
    <t>0.00785 
cm2 spot size</t>
  </si>
  <si>
    <t>"At emitter irradiances of 7.64 W/cm2 (for 240 s), 2.55 W/cm2 (for 720 s), and 7.64 W/cm2 (for 80 s) the heat hypersensitivity was relieved the day following photobiomodulation (PBM) treatment by 37 ± 8.1% (statistically significant, p &lt; 0.001), 26% ± 6% (p = 0.072), and 28 ± 6.1% (statistically significant, p = 0.032), respectively, and all three treatments reduced the hypersensitivity over the course of the experiment (13 days) at a statistically significant level (mixed-design analysis of variance, p &lt; 0.05). 
The increases in tissue temperature (5.3 ± 1.0 and 1.3 ± 0.4°C from 33.3°C for the higher and lower power densities, respectively) at the neural target were well below those typically associated with permanent action potential disruption."</t>
  </si>
  <si>
    <t>Fitzmaurice</t>
  </si>
  <si>
    <t>Whole-body photobiomodulation therapy for chronic pain: a protocol for a feasibility trial</t>
  </si>
  <si>
    <t>"A single-centre single-armed (no placebo group) feasibility study with an embedded qualitative component will be conducted. The intervention will comprise 18 treatments over 6 weeks, with 6-month follow-up, in the whole-body photobiomodulation device."
"A non-probability sample of 20 adult participants with a clinician diagnosis of chronic axial pain, polyarthralgia, myofascial pain or widespread pain will be recruited (self-referral and clinician referral)."</t>
  </si>
  <si>
    <t>Device: NovoTHOR</t>
  </si>
  <si>
    <t>Conditioned pain modulation</t>
  </si>
  <si>
    <t>Oono</t>
  </si>
  <si>
    <t>Photobiomodulation enhanced endogenous pain modulation in healthy volunteers</t>
  </si>
  <si>
    <t>🧑 Human
📄 Single-arm study, controlled (control session -&gt; 1h break -&gt; PBM session)
👥 30 participants
⌛ single session</t>
  </si>
  <si>
    <t>1.02 cm2 spot size</t>
  </si>
  <si>
    <t>1200
(2 points)</t>
  </si>
  <si>
    <t>"LPNILI enhanced endogenous pain modulation in healthy volunteers, particularly in women, as evaluated using CPM. CPM, TSP, and OA evaluations are potentially useful for discriminating PBM responders from non-responders."</t>
  </si>
  <si>
    <t>Device: "Super Lizer mini PROTM, Tokyo Iken Co., Ltd, Tokyo, Japan"</t>
  </si>
  <si>
    <t>Complex regional pain syndrome (CRPS)</t>
  </si>
  <si>
    <t>Canever</t>
  </si>
  <si>
    <t>Korean J Pain</t>
  </si>
  <si>
    <t>Effects of photobiomodulation on different application points and different phases of complex regional pain syndrome type I in the experimental model</t>
  </si>
  <si>
    <t>"PBM irradiation in the acute phase and in the affected paw showed better results in reducing edema, thermal and mechanical hyperalgesia, and in improving gait quality, demonstrating efficacy in treatment of CRPS-I symptoms."</t>
  </si>
  <si>
    <t>Dosimetry</t>
  </si>
  <si>
    <t>Photobiomodulation for pain relief: Model-based estimates of effective doses of light at the neural target</t>
  </si>
  <si>
    <t>Dose modeling</t>
  </si>
  <si>
    <t>"Accounting for irradiance at the target nerve yielded a clear separation of PBM doses that achieved small-fiber nerve block from those that did not. For both the 633 nm group and the 808-830 group, the irradiance separation threshold followed a nonlinear path with respect to PBM application duration, where shorter durations required higher irradiances, and longer durations required lower irradiances. Using the same modeling methods, irradiance was estimated as a function of depth from a transcutaneous source (distance from skin surface) for emitter output power using small or large emitter sizes."</t>
  </si>
  <si>
    <t>Photobiomodulation Therapy: A Possible Answer to the Opioid Crisis.</t>
  </si>
  <si>
    <t>"According to the National Institute on Drug Abuse (a branch of the National Institute of Health-NIH), every day &gt;130 people in the United States die from an overdose on opioid narcotics. In 2017 alone, there were 70,237 drug overdose deaths in the United States and, of those, 47.600 were due to opioid overdose."
"As a practicing dentist for &gt;48 years, I have seen a dramatic difference in how PBMT has eliminated use of narcotic pain prescriptions in my practice"
"Approximately 50% of my treatment time is spent treating facial pain on a referral basis. These are temporomandibular disorder cases, temporomandibular joint arthritis, myopathic pain, neuropathic pain, and trigeminal neuralgia. These are cases in the past where I often had to use opioid prescription to control the pain. I no longer prescribe opioids for these patients and have found PBMT to be effective in allowing patients to manage their pain. In the cases of neuropathic pain and trigeminal neuralgia, I often collaborate with their physician or neurologist to help get them off the use of opioids."
"Another area that shows promise in clinical studies and literature reviews is the use of PBM in the treatment of mucositis in cancer patients. Medicine had no answer for treating this problem and PBMT has prevented so many patients from starting on opioids."
"The door is now open, showing PBM can reduce the number of opioid prescriptions; it is up to the researchers to complete the story."</t>
  </si>
  <si>
    <t>Fibromyalgia</t>
  </si>
  <si>
    <t>Effects of photobiomodulation and an aerobic exercise on the level of pain and quality of life in women with fibromyalgia</t>
  </si>
  <si>
    <t>🧑 Human
🎲 Randomized trial, double-blind
👥 51 participants
⌛ 12 weeks</t>
  </si>
  <si>
    <t>"Both exercised and PBM irradiated volunteers present improvements in the variables analyzed."
Comment: All active interventions (PBM / exercise with sham PBM / exercise with PBM) were better than control, but PBM didn't augment the benefit of exercise.</t>
  </si>
  <si>
    <t>Whole-Body Photobiomodulation Therapy Propels the Fibromyalgia Patient into the Recomposition Phase: A Reflexive Thematic Analysis</t>
  </si>
  <si>
    <t>🧑 Human
📄 Single-arm study, qualitative study
👥 16 participants
⌛ 6 weeks</t>
  </si>
  <si>
    <t>"Sixteen trial participants (47.3 ± 10.9 years) took part in this study. The analysis produced three overarching themes that were previously identified from a baseline study (namely, 'Body Structure &amp; Function', 'Activities &amp; Participation', and 'Environment') with an additional five sub-themes that highlighted the intervention experience. Subsequently, four important processes were observed and identified: increased motivation; feeling proud; improved confidence; feeling like 'old self'. This ultimately culminated in the identification of a positive spiral, which we have termed 'recomposition'."</t>
  </si>
  <si>
    <t>Photobiomodulation therapy combined with static magnetic field is better than placebo in patients with fibromyalgia: a randomized placebo-controlled trial</t>
  </si>
  <si>
    <t>🧑 Human
🎲 Randomized trial, sham-controlled
👥 90 participants
⌛ 3-week treatment -&gt; 4-week follow-up</t>
  </si>
  <si>
    <t>630
+
850
+
905</t>
  </si>
  <si>
    <t>200
+
300
+
20</t>
  </si>
  <si>
    <t>24
+
36
+
2.4</t>
  </si>
  <si>
    <t>30 cm2 device aperture</t>
  </si>
  <si>
    <t>120
per site</t>
  </si>
  <si>
    <t>"A decrease in the degree-of-pain rating was observed in patients allocated to the PBMT-sMF group, decreasing the number of tender points when compared to placebo group at the end of treatment (P&lt;0.0001) and at the follow-up assessment (P&lt;0.0001). Patients did not report any adverse events."</t>
  </si>
  <si>
    <t>Device: "A multiwavelength FibroLux™ (Multi-Radiance Medical) comprising four super-pulsed infrared lasers (905 nm), eight infrared LEDs (850 nm), and eight red LEDs (630 nm) was used"</t>
  </si>
  <si>
    <t>Behav Sci (Basel)</t>
  </si>
  <si>
    <t>Whole-Body Photobiomodulation Therapy for Fibromyalgia: A Feasibility Trial</t>
  </si>
  <si>
    <t>🧑 Human
📄 Single-arm study
👥 21 participants
⌛ 6-week treatment / 24-week study</t>
  </si>
  <si>
    <t>Full-body PBM</t>
  </si>
  <si>
    <t>26740
cm2
emitting
surfaces</t>
  </si>
  <si>
    <t>"Patient global assessment revealed improvements at 6 weeks, with continued effect at 24 weeks. FM-specific quality of life at 24 weeks remained improved compared with baseline scores. The findings provided evidence to support a full-scale trial and showed promise regarding potential efficacy of this novel non-invasive treatment in an FM population."</t>
  </si>
  <si>
    <t>Device: "NovoTHOR® device (THOR Photomedicine Ltd: Amersham, Buckinghamshire, United Kingdom)" / 2400 LEDs</t>
  </si>
  <si>
    <t>Langhorst</t>
  </si>
  <si>
    <t>Germany
(Bamberg)</t>
  </si>
  <si>
    <t>Mild Water-Filtered Infrared-A Whole-Body Hyperthermia Reduces Pain in Patients with Fibromyalgia Syndrome-A Randomized Sham-Controlled Trial</t>
  </si>
  <si>
    <t>🧑 Human
🎲 Randomized trial, sham-controlled
👥 41 participants
⌛ 3-week treatment / 30-week study</t>
  </si>
  <si>
    <t>Polychromatic light 🌈
Full-body PBM
Hyperthermic PBM
Water-filtered infrared-A 
Systemic effects (no notable changes, see Table 2)</t>
  </si>
  <si>
    <t>0.120
(30min)
+
0.056
(30min)</t>
  </si>
  <si>
    <t>"Mild water-filtered infrared-A WBH effectively reduced pain intensity at the end of treatment and follow-up."</t>
  </si>
  <si>
    <t>Device: IRATHERM1000 hyperthermia device
Control group: control group received ~2.2% of the irradiation of intervention group</t>
  </si>
  <si>
    <t>Navarro-Ledesma</t>
  </si>
  <si>
    <t>Pain Ther</t>
  </si>
  <si>
    <t>Short-Term Effects of Whole-Body Photobiomodulation on Pain, Quality of Life and Psychological Factors in a Population Suffering from Fibromyalgia: A Triple-Blinded Randomised Clinical Trial</t>
  </si>
  <si>
    <t>🧑 Human
🎲 Randomized trial, triple-blind
👥 42 participants
⌛ 4-week treatment -&gt; 2-week follow-up</t>
  </si>
  <si>
    <t>LED phototherapy
Full-body PBM</t>
  </si>
  <si>
    <t>967 000
(from 2880 LEDs)</t>
  </si>
  <si>
    <t>"Whole-body PBM resulted in a significant reduction in pain and an improvement in quality of life in those participants suffering from FM after receiving 4 weeks of treatment."</t>
  </si>
  <si>
    <t>Changes in Circadian Variations in Blood Pressure, Pain Pressure Threshold and the Elasticity of Tissue after a Whole-Body Photobiomodulation Treatment in Patients with Fibromyalgia: A Tripled-Blinded Randomized Clinical Trial</t>
  </si>
  <si>
    <t>🧑 Human
🎲 Randomized trial, triple-blind
👥 40 participants
⌛ 4 weeks</t>
  </si>
  <si>
    <t>"Whole-body PBM produces changes in circadian blood pressure, the pain pressure threshold and the elasticity of tissue after a treatment program was carried out. However, more studies are needed to corroborate our findings as well as to better understand the underlying mechanisms."
Comment: Most between-group differences were non-significant.</t>
  </si>
  <si>
    <t>Ther Adv Chronic Dis</t>
  </si>
  <si>
    <t>Short- and long-term effects of whole-body photobiomodulation on pain, functionality, tissue quality, central sensitisation and psychological factors in a population suffering from fibromyalgia: protocol for a triple-blinded randomised clinical trial</t>
  </si>
  <si>
    <t>"This trial will investigate whether whole-body PBM therapy is effective at reducing pain intensity, improving functionality, quality of soft tissue, central sensitisation symptoms and psychological measurements. Furthermore, 3- and 6-month follow-up will investigate long-term efficacy of this treatment."</t>
  </si>
  <si>
    <t>Kisselev &amp; Moskvin</t>
  </si>
  <si>
    <t>Australia &amp; Russia</t>
  </si>
  <si>
    <t>The Use of Laser Therapy for Patients with Fibromyalgia: A Critical Literary Review.</t>
  </si>
  <si>
    <t>"When treating patients with fibromyalgia (FM), a comprehensive approach is required, using different methods of laser therapy and guided by well-known rules. These rules include setting all the correct parameters of the laser exposure (wavelength, operating mode, power, exposure, etc), limiting exposure and power to optimal values and limiting the total time of the procedure and the number of procedures per course."</t>
  </si>
  <si>
    <t>Acute low-level laser therapy effects on peripheral muscle strength and resistance in patients with fibromyalgia.</t>
  </si>
  <si>
    <t>🧑 Human
🎲 Randomized trial, double-blind, crossover
👥 37 participants (20 FM, 17 healthy)
⌛ single session</t>
  </si>
  <si>
    <t>Muscle strength</t>
  </si>
  <si>
    <t>90
/point
(6 points)</t>
  </si>
  <si>
    <t>"The use of acute LLLT in patients with FM was not able to improve peripheral muscle strength resistance compared with that in the healthy control group."
Comment: The authors write the intensity is "4 J" but commonly the term intensity is used for the J/cm2 unit. Thus maybe they mean "4 J/cm2"?
Comment: Parameters inadequately reported.</t>
  </si>
  <si>
    <t>Device: "GaAlAs laser device (Laserpulse; Ibramed, Brazil)"</t>
  </si>
  <si>
    <t>Low-Level Laser Therapy for Fibromyalgia: A Systematic Review and Meta-Analysis</t>
  </si>
  <si>
    <t>"The meta-analysis showed that patients receiving LLLT demonstrated significantly greater improvement in their FIQ scores (SMD: 1.16; 95% CI, 0.64-1.69), pain severity (SMD: 1.18; 95% CI, 0.82-1.54), number of tender points (SMD: 1.01; 95% CI, 0.49-1.52), fatigue (SMD: 1.4; 95% CI, 0.96-1.84), stiffness (SMD: 0.92; 95% CI, 0.36-1.48), depression (SMD: 1.46; 95% CI, 0.93-2.00), and anxiety (SMD: 1.46; 95% CI, 0.45-2.47) than those receiving placebo laser. Furthermore, when compared with the standardized exercise program alone, LLLT plus the standardized exercise program provided no extra advantage in the relief of symptoms. On the other hand, the results of the only RCT using combined LLLT/LED phototherapy showed significant improvement in most outcomes except for depression when compared to placebo. When compared with pure exercise therapy, combined LLLT/LED phototherapy plus exercise therapy had additional benefits in reducing the severity of pain, number of tender points, and fatigue."
Limitations: There were some limitations in this review, mostly because of the low-to-middle methodological quality of the selected studies; for example, there was no clear allocation process and only patients were blinded in most studies. In addition, one study used per-protocol analysis with a 20% loss to follow-up. On the other hand, the differences in laser types, energy sources, exposure times, and associated medication status in these studies may have resulted in some heterogeneity.</t>
  </si>
  <si>
    <t>Honda</t>
  </si>
  <si>
    <t>Japan (Nagasaki )</t>
  </si>
  <si>
    <t>Effects of Physical-Agent Pain Relief Modalities for Fibromyalgia Patients: A Systematic Review and Meta-Analysis of Randomized Controlled Trials</t>
  </si>
  <si>
    <t>11 RCT included ==&gt; 5 on LLLT
 "LLLT did not reduce VAS scores, but it significantly reduced both the number of tender points and Fibromyalgia Impact Questionnaire  score. 
Our analyses revealed that thermal therapy and LLLT had a partial effect on pain relief in FM patients, and this beneficial effect may have a positive influence on FM patients' health status."</t>
  </si>
  <si>
    <t>Germano Maciel</t>
  </si>
  <si>
    <t>Low-level laser therapy combined to functional exercise on treatment of fibromyalgia: a double-blind randomized clinical trial.</t>
  </si>
  <si>
    <t>🧑 Human
🎲 Randomized trial, double-blind
👥 22 participants
⌛ 8 weeks</t>
  </si>
  <si>
    <t>64
(16p)</t>
  </si>
  <si>
    <t>142.85</t>
  </si>
  <si>
    <t>680
(16p)</t>
  </si>
  <si>
    <t>"A reduction in pain and improvement in functional and muscular performance, depression, and quality of life were observed in both groups (p &lt; 0.05); however, with no significant differences between them (p &gt; 0.05). In conclusion, the benefic effects of functional exercise were not improved by combination with LLLT."
Comment: Some improvements seemed larger in laser group, without statistical significance.</t>
  </si>
  <si>
    <t>White</t>
  </si>
  <si>
    <t>Treatment of drug-resistant fibromyalgia symptoms using high-intensity laser therapy: a case-based review.</t>
  </si>
  <si>
    <t>📖 Review
+ 📄 Case report</t>
  </si>
  <si>
    <t>"In reviewing the peer-reviewed medical literature, LLLT appears to be an efective approach to improving pain control and accelerate healing when used as an adjuvant to analgesic medications and physiotherapy for superfcial medical and surgical conditions [17–22]. However, HILT has been reported to be more efective than LLLT in treating acute headache, degenerative joint conditions, lateral epicondylitis, neuropathic pain syndromes and a wide variety of musculoskeletal disorders [14, 15, 32, 33, 38–40]. 
This case report further suggests that the use of HILT at 42–75 W of power can produce more profound and long-lasting benefcial efects than a standard treatment protocol for fibromyalgia which incorporates less powerful laser treatments. 
We are currently performing a sham-controlled, double blind study utilizing 42 W HILT in patients with treatment-resistant FMS at UT Southwestern Medical Center in Dallas (ClinTrials Reg. NCT02948634). 
Although additional sham-controlled studies are clearly needed, use of more powerful photobiomodulation laser therapy could potentially improve the lives of millions of patients sufering from the painful symptoms of fbromyalgia while also reducing the risk of opioid dependence."
Comment: These authors obviously have a preference for "high-intensity laser therapy".</t>
  </si>
  <si>
    <t>Randomized, blinded, controlled trial on effectiveness of photobiomodulation therapy and exercise training in the fibromyalgia treatment.</t>
  </si>
  <si>
    <r>
      <rPr>
        <sz val="7.0"/>
      </rPr>
      <t xml:space="preserve">🧑 Human
🎲 Randomized trial, double-blind
👥 160 participants (80 per set)
⌛ 
</t>
    </r>
    <r>
      <rPr>
        <i/>
        <sz val="7.0"/>
      </rPr>
      <t>Set 1: acute effects (single session)
Set 2: 10-week study</t>
    </r>
  </si>
  <si>
    <t>Control vs PBM vs exercise vs exercise+PBM
LED phototherapy
LED array</t>
  </si>
  <si>
    <t>39.3
/location</t>
  </si>
  <si>
    <t>4
cm2
aperture of device</t>
  </si>
  <si>
    <t>300
/location</t>
  </si>
  <si>
    <t>1
or
2/week for 10 weeks</t>
  </si>
  <si>
    <t>"Set 1: pain threshold was improved with the phototherapy, and EXT improved the pain threshold for temporomandibular joint (right and left body side) and occipital site (right body side).
Set 2: there was improved pain threshold in several tender points with the phototherapy and EXT. There was an overlap of therapies to reduce the tender point numbers, anxiety, depression, fatigue, sleep, and difficulty sleeping on FIQ/RDC scores. Moreover, quality of life was improved with both therapies.
The phototherapy and EXT improved the pain threshold in FM women. A more substantial effect was noticed for the combined therapy, in which pain relief was accomplished by improving VAS and FIQ scores as well as quality of life."</t>
  </si>
  <si>
    <t>Device: "Pain Away/PainCure™ nine-diode cluster device (Multi Radiance Medical®, Solon, OH, USA)"
Anatomical locations: "10 tender points, which were reported for pain in all patients (occipital, cervical (near the C7), trapezius, supraspinatus, second costochondral joint, lateral epicondyle, gluteal/sacrum, greater trochanter, and medial knee border). The temporomandibular joint (TMJ, bilaterally) was also irradiated."</t>
  </si>
  <si>
    <t>Effects of exercise training and photobiomodulation therapy (EXTRAPHOTO) on pain in women with fibromyalgia and temporomandibular disorder: study protocol for a randomized controlled trial.</t>
  </si>
  <si>
    <t>Ruaro</t>
  </si>
  <si>
    <t>Low-level laser therapy to treat fibromyalgia.</t>
  </si>
  <si>
    <t>0.035
cm2
(spot)
1
cm2
(area per point)
(72 points)</t>
  </si>
  <si>
    <t>504
(72 points, 7s per point)</t>
  </si>
  <si>
    <t>"LLLT provided relief from fibromyalgia symptoms in patients and should be further investigated as a therapeutic tool for management in fibromyalgia."</t>
  </si>
  <si>
    <t>Device: "aluminum/gallium/arsenide (GaAlAs) diode laser (Ibramed, model Laserpulse, code 000689, serial number 1320)"
Anatomical location: "All 18 fibromyalgia tender points, according to the ACR, were irradiated. Radiation was applied at four locations around each point, with each location separated by a distance of 1 cm. The entire area encompassed by LLLT was 1 cm2 per point. Each patient received a total of 72 applications of radiation totaling 504 s (8 min and 24 s)."</t>
  </si>
  <si>
    <t>Romeyke &amp; Stummer</t>
  </si>
  <si>
    <t>J Musculoskelet Pain</t>
  </si>
  <si>
    <t>Multi-Modal Pain Therapy of Fibromyalgia Syndrome with Integration of Systemic Whole-Body Hyperthermia – Effects on Pain Intensity and Mental State: A Non-Randomised Controlled Study</t>
  </si>
  <si>
    <t>🧑 Human
📄 Non-randomized study, controlled
👥 130 participants
⌛ (see full text)</t>
  </si>
  <si>
    <t>Water-filtered infrared-A
Polychromatic light 🌈
Whole-body PBM
Hyperthermic PBM</t>
  </si>
  <si>
    <t>760-
1400
(?)</t>
  </si>
  <si>
    <r>
      <rPr>
        <sz val="6.0"/>
      </rPr>
      <t xml:space="preserve">"The integration of whole-body hyperthermia into the multi-modal pain therapy showed superior pain reduction [p = 0.023] and an improvement in the mental state of the patients [p = 0.055]."
Comment: This was primarily a hyperthermia study, but they are using water-filtered infrared-A as their method, so basically the results might be partially due to whole-body photobiomodulation. From the full text:
</t>
    </r>
    <r>
      <rPr>
        <i/>
        <sz val="6.0"/>
      </rPr>
      <t xml:space="preserve">"The Dr. Heckel method of infra-red whole-body hyperthermia was used [heckel – HAT 2000M]. The infra-red radiation contains a high fraction of short wavelengths near the visible region and is radiated together with light. Significant proportions penetrate the outer layer of skin and are absorbed in the tissue at such a depth that the blood carries the liberated heat away and distributes it in the body."
</t>
    </r>
    <r>
      <rPr>
        <sz val="6.0"/>
      </rPr>
      <t>Comment: In this study, patients were admitted to hospital for ~16 days, and they received "physical therapy, physiotherapy, detoxifying process, infiltration/acupuncture, psychotherapy/mind body and movement therapy". The active intervention group also received whole-body hyperthermia.</t>
    </r>
  </si>
  <si>
    <t>Panton</t>
  </si>
  <si>
    <t>USA
(Tallahassee, FL)</t>
  </si>
  <si>
    <t>Effects of Class IV laser therapy on fibromyalgia impact and function in women with fibromyalgia</t>
  </si>
  <si>
    <t>🧑 Human
🎲 Randomized trial
👥 38 participants
⌛ 4 weeks</t>
  </si>
  <si>
    <t>600
per
point
4200
total
daily</t>
  </si>
  <si>
    <t>10.63</t>
  </si>
  <si>
    <t>56.45
cm2
treatment
area</t>
  </si>
  <si>
    <t>60
per
point
420
total
daily</t>
  </si>
  <si>
    <t>"There were significant interactions for pain measured by the FIQ (LHT: 7.1±2.3 to 6.2±2.1 units; SHT: 5.8±1.3 to 6.1±1.4 units) and for upper body flexibility measured by the CS-PFP (LHT: 71±17 to 78±12 units; SHT: 77±12 to 77±11 units) with the LHT improving significantly compared to SHT. 
There was a time effect for the measure of FM impact measured by the FIQ, indicating that FM impact significantly improved from pre- to post-treatment in LHT (63±20 to 57±18 units), while no change was observed in the SHT (57±11 to 55±12 units)."</t>
  </si>
  <si>
    <t>Device: "LCT-1000 (LiteCure LLC, Newark, DE)"</t>
  </si>
  <si>
    <t>Walz</t>
  </si>
  <si>
    <t>Germany
(Bad Pyrmont)</t>
  </si>
  <si>
    <t>Der Schmerz</t>
  </si>
  <si>
    <r>
      <rPr>
        <b/>
        <sz val="7.0"/>
      </rPr>
      <t xml:space="preserve">Whole body hyperthermia in pain therapy: A controlled trial on patients with fibromyalgia
</t>
    </r>
    <r>
      <rPr>
        <b val="0"/>
        <i/>
        <sz val="7.0"/>
      </rPr>
      <t>[Article written in German]</t>
    </r>
  </si>
  <si>
    <t>🧑 Human
📄 Non-randomized study, controlled
👥 67 participants
⌛ 3-week treatment -&gt; 6-month follow-up</t>
  </si>
  <si>
    <t>Water-filtered infrared-A
Polychromatic light 🌈</t>
  </si>
  <si>
    <t>1-2 / week
for 3 weeks</t>
  </si>
  <si>
    <t>Hyperthermia with near-infrared (water-filtered infrared-A) reduced the symptoms more than the 'standard multimodal rehabilitation'. Three treatments during six weeks was associated with slightly better results than six treatments during six weeks. The beneficial effects partially lasted 6 months after the intervention.
Comment: In this study, patients chose their groups. Therefore the risk of bias (eg. selection bias) might be high.</t>
  </si>
  <si>
    <t>Fernández García</t>
  </si>
  <si>
    <t>Reumatol Clin</t>
  </si>
  <si>
    <r>
      <rPr>
        <b/>
        <sz val="7.0"/>
      </rPr>
      <t xml:space="preserve">Using a laser based program in patients diagnosed with fibromyalgia
</t>
    </r>
    <r>
      <rPr>
        <b val="0"/>
        <i/>
        <sz val="7.0"/>
      </rPr>
      <t>(Article in Spanish)</t>
    </r>
  </si>
  <si>
    <t>🧑 Human
🎲 Randomized trial
👥 31 participants</t>
  </si>
  <si>
    <t>Comment: This paper reported very slightly positive results. Parameters were reported very poorly and there is a formatting error in the table showing treatment results.</t>
  </si>
  <si>
    <t>Matsutani</t>
  </si>
  <si>
    <t>Brazil
(Osasco)</t>
  </si>
  <si>
    <t>Effectiveness of muscle stretching exercises with and without laser therapy at tender points for patients with fibromyalgia.</t>
  </si>
  <si>
    <t>🧑 Human
🎲 Randomized trial
👥 20 participants
⌛ 5 weeks</t>
  </si>
  <si>
    <t>"No significant differences were found between both groups."
"Laser therapy has not shown advantages when added to muscle stretching exercises."</t>
  </si>
  <si>
    <t>Device: GaAlAs, 830nm, average power 30mW, Laserpulse, IBRAMED Ltd., São Paulo, Brazil
Application: "probe head held at a right angle to the skin at each tender point"</t>
  </si>
  <si>
    <t>Brockow</t>
  </si>
  <si>
    <t>A randomized controlled trial on the effectiveness of mild water-filtered near infrared whole-body hyperthermia as an adjunct to a standard multimodal rehabilitation in the treatment of fibromyalgia.</t>
  </si>
  <si>
    <t>🧑 Human
🎲 Randomized trial
👥 139 participants
⌛ 3 weeks</t>
  </si>
  <si>
    <t>Water-filtered infrared-A
Polychromatic light 🌈
Whole-body PBM</t>
  </si>
  <si>
    <t>0.1257
-&gt;
0.0452</t>
  </si>
  <si>
    <t>Heating fibromyalgia patients (--&gt;38.1 celcius) yielded superior results compared to "multimodal treatment" (MR).</t>
  </si>
  <si>
    <t xml:space="preserve">Device: Iratherm 1000 </t>
  </si>
  <si>
    <t>Armagan</t>
  </si>
  <si>
    <t>Long-term efficacy of low level laser therapy in women with fibromyalgia: A placebo-controlled study</t>
  </si>
  <si>
    <t>🧑 Human
🎲 Randomized trial, sham-controlled
👥 32 participants
⌛ 2-week treatment -&gt; 6-month follow-up</t>
  </si>
  <si>
    <t>2
/ tender joint</t>
  </si>
  <si>
    <t>60
/ tender joint</t>
  </si>
  <si>
    <t>"Our results suggest that LLLT has both short- and long-term effectiveness in the treatment of fibromyalgia."
Comment: Magnitude of effect was relatively small, but there was none improvement in the placebo group.</t>
  </si>
  <si>
    <t>Device: Endolaser 476,Enraf Nonius, Netherlands</t>
  </si>
  <si>
    <t>Gür</t>
  </si>
  <si>
    <t>Effects of low power laser and low dose amitriptyline therapy on clinical symptoms and quality of life in fibromyalgia: a single-blind, placebo-controlled trial.</t>
  </si>
  <si>
    <t>🧑 Human
🎲 Randomized trial, sham-controlled
👥 75 participants
⌛ 2-week treatment / (?)</t>
  </si>
  <si>
    <t>PBM vs amitriptyline vs sham-PBM</t>
  </si>
  <si>
    <t>180
/t.p.</t>
  </si>
  <si>
    <t>"Our study suggests that both amitriptyline and laser therapies are effective on clinical symptoms and QOL in fibromyalgia and that Ga-As laser therapy is a safe and effective treatment in cases with FM. Additionally, the present study suggests that the Ga-As laser therapy can be used as a monotherapy or as a supplementary treatment to other therapeutic procedures in FM."
Comment: It seems the PBM intervention was 2 weeks, but in the amitriptyline group the full text mentions 8 week duration. So maybe the intervention time was longed for amitriptyline group?</t>
  </si>
  <si>
    <t>t.p. = tender point</t>
  </si>
  <si>
    <t>Efficacy of low power laser therapy in fibromyalgia: a single-blind, placebo-controlled trial.</t>
  </si>
  <si>
    <t>🧑 Human
🎲 Randomized trial, sham-controlled
👥 40 participants
⌛ 2 weeks</t>
  </si>
  <si>
    <t>10
/ weeks</t>
  </si>
  <si>
    <t>"Our study suggests that laser therapy is effective on pain, muscle spasm, morning sti#ness, and total tender point number in fibromyalgia and suggests that this therapy method is a safe and effective way of treatment in the cases with fibromyalgia."</t>
  </si>
  <si>
    <t>Thorsen</t>
  </si>
  <si>
    <t>Denmark</t>
  </si>
  <si>
    <t>Ugeskr Laeger</t>
  </si>
  <si>
    <r>
      <rPr>
        <b/>
        <sz val="7.0"/>
      </rPr>
      <t xml:space="preserve">[Low energy laser treatment--effect in localized fibromyalgia in the neck and shoulder regions]
</t>
    </r>
    <r>
      <rPr>
        <b/>
        <i/>
        <sz val="7.0"/>
      </rPr>
      <t>[Article in Danish]</t>
    </r>
  </si>
  <si>
    <t>🧑 Human
🎲 Randomized trial, double-blind
👥 36 participants
⌛ 2-week treatment</t>
  </si>
  <si>
    <t>4.5-
22.5</t>
  </si>
  <si>
    <t>6 / 
2 weeks</t>
  </si>
  <si>
    <t>"No significant effect was found, neither in pain relief nor in tablet intake between the laser and the placebo group. None of the participants reported any side-effects."</t>
  </si>
  <si>
    <t>Foot</t>
  </si>
  <si>
    <t>Izukura</t>
  </si>
  <si>
    <t>Low Level Laser Therapy in patients with chronic foot and ankle joint pain.</t>
  </si>
  <si>
    <t>🧑 Human
📄 Case series
👥 17 cases</t>
  </si>
  <si>
    <t>0.667</t>
  </si>
  <si>
    <t>20.1
(at 4 points)</t>
  </si>
  <si>
    <t>1.5 cm2
spot area</t>
  </si>
  <si>
    <t>"A visual analogue scale (VAS) was used to determine the effects of LLLT for the chronic pain and after the end of the treatment regimen a significant improvement was observed (p &lt; 0.01). All but 2 of the patients showed improvement: excellent (2) and good (13). After treatment, no significant differences were observed in the ankle joint range of motion, however."</t>
  </si>
  <si>
    <t>Device: MDL-2001, Matsushita Electric Corporation, Tokyo, Japan</t>
  </si>
  <si>
    <t>Jin &amp; Hyung</t>
  </si>
  <si>
    <t>Case Report Of A Tarsal Tunnel Syndrome Treated With Low Level Laser Therapy</t>
  </si>
  <si>
    <t>"We treated an intractable tarsal tunnel syndrome patient who was 39 years old and had no specific past history, The pain and gait disturbance had not responded to several conservative treatments. But 1 week's use of LLLT left the patient free from limping and pain. The effects were confirmed electrophysiologically. The authors think that LLLT could be useful for various kinds of nerve lesions."</t>
  </si>
  <si>
    <t>Headache &amp; Migraine</t>
  </si>
  <si>
    <t>Eur J Mes Res</t>
  </si>
  <si>
    <t>Intravascular laser irradiation of blood as novel migraine treatment: an observational study</t>
  </si>
  <si>
    <t>🧑 Human
📄 Non-randomized study, controlled
👥 24 participants</t>
  </si>
  <si>
    <t>PBM vs usual care
Intravascular PBM</t>
  </si>
  <si>
    <t>3.6-
18</t>
  </si>
  <si>
    <t>"The ILIB group, visual analog scale for pain (P = 0.001), Montreal Cognitive Assessment (P = 0.003), and Athens Insomnia Scale (P &lt; 0.001) symptom scores significantly improved after treatment. SPECT imaging showed a 1.27 ± 0.27 fold increase in rCBF after ILIB treatment, and no significant differences in the rehabilitation group."
"AIS score was significantly better (3.80 ± 4.16 vs. 6.33 ± 4.44, P = 0.031) in the ILIB treatment compared to the rehabilitation group at 1 month follow-up."</t>
  </si>
  <si>
    <t>Device: "TAIEX He–Ne Laser, YJ-ILIB-5, Bio-ILIB Human Energy Ltd, Taiwan"
Application: "A cannula was inserted into a suitable vein (median antebrachial, accessory cephalic, or cephalic vein), followed by inserting a fiber into the cannula to provide a path for the laser."</t>
  </si>
  <si>
    <t>Photobiomodulation for the Treatment of Primary Headache: Systematic Review of Randomized Clinical Trials</t>
  </si>
  <si>
    <t>"Four randomized clinical trials were included. Most of the included studies had an overall high risk of bias.
Compared to sham treatment, photobiomodulation had a clinically important effect on pain in individuals with primary headache. Despite the benefits reported for other outcomes, the estimates were imprecise, and the certainty of the evidence was graded as low.
These findings are considered insufficient to support the use of photobiomodulation in the treatment of primary headache."</t>
  </si>
  <si>
    <t>Loeb</t>
  </si>
  <si>
    <t>Arq Neuropsiquiatr</t>
  </si>
  <si>
    <t>Botulinum toxin A (BT-A) versus low-level laser therapy (LLLT) in chronic migraine treatment: a comparison.</t>
  </si>
  <si>
    <t>🧑 Human
⚔ Comparison study, randomized
👥 36 participants
⌛ 30-day treatment -&gt; 30-day follow-up</t>
  </si>
  <si>
    <t>33
/point
(31 points)</t>
  </si>
  <si>
    <t>10
/ 1 month</t>
  </si>
  <si>
    <t>"Our data showed that both treatments were able to reduce headache days, acute medication intake and decrease the intensity of pain. Anxiety was reduced in the BT-A group, while sleep disturbance was reduced in the LLLT group."</t>
  </si>
  <si>
    <t>Device: "Diode Laser II from DMC Equipment Import &amp; Export Ltd., Brazil"</t>
  </si>
  <si>
    <t>Peres MF</t>
  </si>
  <si>
    <t>Cephalalgia</t>
  </si>
  <si>
    <t>Low-level laser therapy for neck pain.</t>
  </si>
  <si>
    <t>"This letter is a call for the headache research community to look with more emphasis not only in LLLT use for primary headache disorders but also other non-pharmacological treatments for headaches, since today’s medicine is heavily biased towards pharmacological approaches to therapies because of massive investment by pharmaceutical companies, as opposed to a minimal government or public investment in non-commercial oriented therapies"</t>
  </si>
  <si>
    <t>Gottschling</t>
  </si>
  <si>
    <t>Laser acupuncture in children with headache: a double-blind, randomized, bicenter, placebo-controlled trial</t>
  </si>
  <si>
    <t>🧑 Human
🎲 Randomized trial, double-blind
👥 43 participants
⌛ 4 weeks</t>
  </si>
  <si>
    <t>~0.9
/point
(varying # of points)</t>
  </si>
  <si>
    <t>d = 
1 mm</t>
  </si>
  <si>
    <t>"The mean number of headaches per month decreased significantly by 6.4 days in the treated group (p&lt;0.001) and by 1.0 days in the placebo group (p=0.22).
Secondary outcome measures headache severity and monthly hours with headache decreased as well significantly at all time points compared to baseline (p&lt;0.001) and were as well significantly lower than those of the placebo group at all time points (p&lt;0.001)."</t>
  </si>
  <si>
    <t>Device. schwa-medico Modulas-Handy 2/99, Ehringshausen, Germany</t>
  </si>
  <si>
    <t>Ebneshahidi</t>
  </si>
  <si>
    <t>The effects of laser acupuncture on chronic tension headache--a randomised controlled trial.</t>
  </si>
  <si>
    <t>🧑 Human
🎲 Randomized trial
👥 50 participants
⌛ 3-week treatment -&gt; 3-month follow-up</t>
  </si>
  <si>
    <t>10.4
(8p)</t>
  </si>
  <si>
    <t>344
(8p)</t>
  </si>
  <si>
    <t>"There were significant differences between groups (P&lt;0.001) in changes from baseline in months one, two and three, in median score for headache intensity (treatment group -5, -3 and -2, placebo group -1, 0 and 0), median duration of attacks (treatment group -6, -4 and -4, placebo group -1, 0 and 0 hours), and median number of days with headache per month (treatment group -15, -10 and -8, placebo group -2, 0 and 0)."
"This study suggests that laser acupuncture may be an effective treatment for chronic tension-type headache, but the results should be confirmed in larger and more rigorous trials."</t>
  </si>
  <si>
    <t>Device: "Endolaser 476 (Enraf-Nonius, The Netherlands)"
Anatomic location: "Patients in the treatment group received low energy laser acupuncture to LU7, LI4, GB14, and GB20 bilaterally"</t>
  </si>
  <si>
    <t>Allais</t>
  </si>
  <si>
    <t>Non-pharmacological approaches to chronic headaches: transcutaneous electrical nerve stimulation, lasertherapy and acupuncture in transformed migraine treatment</t>
  </si>
  <si>
    <t>🧑 Human
⚔ Comparison study
👥 60 participants
⌛ 3-week treatment / 4-month study</t>
  </si>
  <si>
    <t>PBM vs TENS vs acupuncture</t>
  </si>
  <si>
    <t>60
/point
(~20 points?)
(treatment total ~25 minutes)</t>
  </si>
  <si>
    <t>10
(3 per week: Mon, Wed, Fri)</t>
  </si>
  <si>
    <t>"The number of days with headache per month significantly decreased during treatment in all groups. The response in the groups differed over time, probably due to the different timing of applications of the three methods. TENS, lasertherapy and acupuncture proved to be effective in reducing the frequency of headache attacks. Acupuncture showed the best effectiveness over time."</t>
  </si>
  <si>
    <t>Lavies NG</t>
  </si>
  <si>
    <t>Laser Acupuncture for Migraine and Muscle Tension Headache: A Double-Blind Controlled Trial</t>
  </si>
  <si>
    <t>🧑 Human
🎲 Randomized trial, double-blind
👥 20 participants
⌛ 6-week treatment -&gt; 6-week follow-up</t>
  </si>
  <si>
    <t>"Twelve patients with chronic migraine recruited from a neurology clinic or a self-help group were randomly allocated to receive either 6 weeks active laser acupuncture or 6 weeks dummy laser acupuncture."
"Each treatment period consisted of 6 treatments, one a week for six weeks, with the laser (Alfalaser) during which traditional Chinese acupuncture points were stimulated bilaterally for 40 seconds at each point. Points used were: LR.3, ST.36, LI.4, GB.20."
"There was a reduction in mean total headache score (combining duration and severity) of 18% in the active group and 43% in the control group following the first treatment period. This difference was not significant. Following the second treatment period, mean scores increased by 50% in the active group and 5% in the control group but again this difference was not significant due to inconsistent responses by some patients. When active and placebo treatments were computed for all patients, there were still no significant differences. It is concluded that laser acupuncture does not have an important clinical effect in migraine over and above the expected placebo response."
Comment: Parameters were very insufficiently reported. The dose might have been extremely low for PBM.</t>
  </si>
  <si>
    <t>Device: Alfalaser</t>
  </si>
  <si>
    <t>Treatment of migraine headaches using auricular acupuncture techniques</t>
  </si>
  <si>
    <t>🧑 Human
📄 Single-arm study
👥 107 participants
⌛ (see full text)</t>
  </si>
  <si>
    <t>0.5
or
less</t>
  </si>
  <si>
    <t>[Pain score (%) pretherapy was 100, posttherapy 28.7% and 1 year posttherapy 33.2%]
Comment: This form of laser 'acupuncture' seems suspicious, but the result was clearly positive.</t>
  </si>
  <si>
    <t>Amoils &amp; Kues</t>
  </si>
  <si>
    <t>USA
(Cincinnati, OH)</t>
  </si>
  <si>
    <t>The effect of low level laser therapy on acute headache syndromes</t>
  </si>
  <si>
    <t>🧑 Human
📄 Single-arm study
👥 10 participants
⌛ single session</t>
  </si>
  <si>
    <t>"There was a statistically significant decrease in headache when reassessed at 15 min. Although not statistically significant, low level laser therapy also appears to have a beneficial effect on associated autonomic symptoms.</t>
  </si>
  <si>
    <t>Heel pain</t>
  </si>
  <si>
    <t>Bidoki</t>
  </si>
  <si>
    <t>Iran J Med Sci</t>
  </si>
  <si>
    <t>Comparison of High-intensity Laser Therapy with Extracorporeal Shock Wave Therapy in the Treatment of Patients with Plantar Fasciitis: A Double-blind Randomized Clinical Trial</t>
  </si>
  <si>
    <t>🧑 Human
⚔ Comparison study, randomized, double-blind
👥 38 participants
⌛ 3-week treatment -&gt; 9-month follow-up</t>
  </si>
  <si>
    <t>HILT vs ESWT</t>
  </si>
  <si>
    <t>10 cm2</t>
  </si>
  <si>
    <t>"The VAS and HTI decreased 3 months after treatment in both groups, which was statistically significant (P&lt;0.001). The SF36 score in both groups increased 3 months after treatment, and this increase was statistically significant (P&lt;0.001). Although the two modalities were effective based on VAS, HTI, and SF36, a significant statistical difference was observed between them (P=0.03, P=0.006, P=0.002, respectively), and the HILT was more effective."</t>
  </si>
  <si>
    <t>Ketz</t>
  </si>
  <si>
    <t>USA
(Park City, UT)</t>
  </si>
  <si>
    <t>Photobiomodulation Therapy Plus Usual Care Is Better than Usual Care Alone for Plantar Fasciitis: A Randomized Controlled Trial</t>
  </si>
  <si>
    <t>🧑 Human
🎲 Randomized trial
👥 114 participants
⌛ 3-week treatment / 6-week controlled study / 26-week study for PBM groups</t>
  </si>
  <si>
    <t>"PBMT groups experienced a reduction in pain over the first three weeks (from an average of 4.5 to 2.8) after which their pain levels remained mostly constant, while the UC group experienced a smaller reduction in pain (from an average of 4 to 3.8). The effects on pain were not different between PBMT groups. PBMT in both treatment groups also improved function more than the UC group, again with the improvement occurring within the first three weeks."</t>
  </si>
  <si>
    <t>Thammajaree</t>
  </si>
  <si>
    <t>Effects of radial extracorporeal shockwave therapy versus high intensity laser therapy in individuals with plantar fasciitis: A randomised clinical trial</t>
  </si>
  <si>
    <t>🧑 Human
⚔ Comparison study
👥 32 participants
⌛ 3 weeks</t>
  </si>
  <si>
    <t>⚔ PBM vs radial extracorporeal shock wave therapy (rESWT)</t>
  </si>
  <si>
    <t>~300</t>
  </si>
  <si>
    <t>"Either HILT or rESWT could alleviate pain in individuals with plantar fasciitis significantly. However, HILT was better at reducing FFI (functional limitation domain) rather than rESWT."</t>
  </si>
  <si>
    <t>Device. "SH1, ASA Srl, Italy"</t>
  </si>
  <si>
    <t>Effects of photobiomodulation therapy (PBMT) on the management of pain intensity and disability in plantar fasciitis: systematic review and meta-analysis</t>
  </si>
  <si>
    <t>Koz</t>
  </si>
  <si>
    <t>Turkey
(Sakarya)</t>
  </si>
  <si>
    <t>Foot Ankle Surg</t>
  </si>
  <si>
    <t>Efficacies of extracorporeal shockwave therapy and low-level laser therapy in patients with plantar fasciitis</t>
  </si>
  <si>
    <t>🧑 Human
⚔ Comparison study (?)
👥 40 participants
⌛ 3 months (?)</t>
  </si>
  <si>
    <t>⚔ PBM vs extracorporeal shock wave therapy (ESWT)</t>
  </si>
  <si>
    <t>"The results of this study indicated significant improvements in terms of pain, functional status and daily life activities following the administration of either of the treatments. Furthermore, LLLT was found to be significantly more effective for alleviating pain than ESWT in the treatment of PF."</t>
  </si>
  <si>
    <t>Yetişir</t>
  </si>
  <si>
    <t>Comparison of effects of low level laser therapy and local corticosteroid injection in the treatment of plantar fasciitis</t>
  </si>
  <si>
    <t>🧑 Human
⚔ Comparison study
👥 56 participants
⌛ (?) treatment -&gt; 3-month follow-up</t>
  </si>
  <si>
    <t>⚔ PBM vs corticosteroid injection</t>
  </si>
  <si>
    <t>"Both LLLT and local corticosteroid injection for plantar fasciitis have positive effects for three months after treatment. However, LLLT is more effective than local corticosteroid injection at the end of the third month in local tenderness."</t>
  </si>
  <si>
    <t>Timurtaş</t>
  </si>
  <si>
    <t>Extracorporeal Shock Wave Therapy Versus Low Level Laser Therapy in The Treatment of Plantar Fasciitis: A Randomized Controlled Trial</t>
  </si>
  <si>
    <t>🧑 Human
⚔ Comparison study, randomized
👥 47 participants
⌛ 3 weeks</t>
  </si>
  <si>
    <t>5.6
(at 5 points)</t>
  </si>
  <si>
    <t>"LLLT was found to be superior to ESWT as an effective approach in the short-term management of PF."
Comment: The dose parameters were inadequately reported.</t>
  </si>
  <si>
    <t>Device: Chattanooga Vectra Genisys Transport Laser</t>
  </si>
  <si>
    <t>Naterstad</t>
  </si>
  <si>
    <t>Efficacy of low-level laser therapy in patients with lower extremity tendinopathy or plantar fasciitis: systematic review and meta-analysis of randomised controlled trials</t>
  </si>
  <si>
    <t>"LLLT was compared with placebo (10 trials), other interventions (5 trials) and as an add-on intervention (3 trials). The study quality was moderate to high."
"Overall, pain was significantly reduced by LLLT at completed therapy (13.15 mm Visual Analogue Scale (VAS; 95% CI 7.82 to 18.48)) and 4-12 weeks later (12.56 mm VAS (95% CI 5.69 to 19.42))."
"Overall, disability was significantly reduced by LLLT at completed therapy (Standardised Mean Difference (SMD)=0.39 (95% CI 0.09 to 0.7) and 4-9 weeks later (SMD=0.32 (95% CI 0.05 to 0.59))."
"Compared with placebo control, the recommended doses significantly reduced pain at completed therapy (14.98 mm VAS (95% CI 3.74 to 26.22)) and 4-8 weeks later (14.00 mm VAS (95% CI 2.81 to 25.19))."
"The recommended doses significantly reduced pain as an add-on to exercise therapy versus exercise therapy alone at completed therapy (18.15 mm VAS (95% CI 10.55 to 25.76)) and 4-9 weeks later (15.90 mm VAS (95% CI 2.3 to 29.51)). 
No adverse events were reported."
"LLLT significantly reduces pain and disability in lower extremity tendinopathy and plantar fasciitis in the short and medium term. Long-term data were not available. Some uncertainty about the effect size remains due to wide CIs and lack of large trials."</t>
  </si>
  <si>
    <t>Musculoskelet Sci Pract</t>
  </si>
  <si>
    <t>Effect of low-level laser therapy on pain and disability in patients with plantar fasciitis: A systematic review and meta-analysis</t>
  </si>
  <si>
    <t>"Fourteen studies (817 patients) met the study criteria.
Compared to the placebo group, LLLT improved pain (MD, -2.3; 95% CI: 2.6 to -2, I2 = 0%; 4 studies, N = 234: moderate-quality evidence) in the short term (0-6 weeks).
No significant difference in short-term disability was found for participants in the LLLT group compared to the placebo group.
Compared to the CR group, LLLT combined with CR improved pain (MD, -2.0; 95% CI: 2.9 to -1.1, I2 = 0%; 2 studies, N = 90: moderate-quality evidence) in the short term (0-6 weeks).
Compared to extracorporeal shock wave therapy, LLLT did not significantly reduce pain intensity in the short term (MD, 0.5; 95% CI: 2.0 to 2.9, I2 = 96%; 4 studies, N = 175: low-quality evidence)."</t>
  </si>
  <si>
    <t>Güloğlu &amp; Yalçın</t>
  </si>
  <si>
    <t>Turkey
(Kars)</t>
  </si>
  <si>
    <t>Comparison of effects of low-level laser therapy and extracorporeal shock wave therapy in calcaneal spur treatment: A prospective, randomized, clinical study</t>
  </si>
  <si>
    <t>🧑 Human
⚔ Comparison study
👥 62 participants
⌛ 3 weeks</t>
  </si>
  <si>
    <t>⚔ PBM vs ESWT</t>
  </si>
  <si>
    <t>"Both treatment modalities are effective and not superior to each other in terms of disability and activity limitation reduction, although a greater improvement in the FFI pain and total scores can be achieved with the ESWT."</t>
  </si>
  <si>
    <t>Alpturker</t>
  </si>
  <si>
    <t>Int J Rheumatol</t>
  </si>
  <si>
    <t>Evaluation Effects of Laser Therapy and Extracorporeal Shock Wave Therapy with Clinical Parameters and Magnetic Resonance Imaging for Treatment of Plantar Fasciitis in Patients with Spondyloarthritis: A Randomized Controlled Trial</t>
  </si>
  <si>
    <t>🧑 Human
⚔ Comparison study
👥 48 participants (40 completed)
⌛ (?)</t>
  </si>
  <si>
    <t>"Compared with the pretherapy, progress in the feet function by AOFAS and Roles-Maudsley scoring and decrease in VAS levels were statistically significant in both groups (p &lt; 0.001)."</t>
  </si>
  <si>
    <t>Naruseviciute &amp; Kubilius</t>
  </si>
  <si>
    <t>Lithuania
(Kaunas)</t>
  </si>
  <si>
    <t>The Effect of High-Intensity Versus Low-Level Laser Therapy in the Management of Plantar Fasciitis: Randomized Participant Blind Controlled Trial</t>
  </si>
  <si>
    <t>🧑 Human
⚔ Comparison study
👥 102 participants
⌛ 3-week treatment -&gt; 1-week follow-up</t>
  </si>
  <si>
    <t>⚔ PBM vs HILT</t>
  </si>
  <si>
    <t>785
(LLLT)
1064
(HILT)</t>
  </si>
  <si>
    <t>700
7000</t>
  </si>
  <si>
    <t>140
3000</t>
  </si>
  <si>
    <t>4
120</t>
  </si>
  <si>
    <t>35 cm2
25 cm2
beam area</t>
  </si>
  <si>
    <t>400
428</t>
  </si>
  <si>
    <t>8
/ 3 weeks</t>
  </si>
  <si>
    <t>"There was no statistically significant difference between the groups according to visual analogue scale (pain in general reduction in three weeks: 2.57(3.45) vs. 2.88(3.28) cm)"</t>
  </si>
  <si>
    <t>Yesil</t>
  </si>
  <si>
    <t>The effect of high intensity laser therapy in the management of painful calcaneal spur: a double blind, placebo-controlled study.</t>
  </si>
  <si>
    <t>🧑 Human
🎲 Randomized trial, double-blind
👥 42 participants
⌛ 3-week treatment / 12-week study</t>
  </si>
  <si>
    <t>Groups:
- Exercise + PBM
- Exercise + sham</t>
  </si>
  <si>
    <t>1281.1</t>
  </si>
  <si>
    <t>8.26
(?)</t>
  </si>
  <si>
    <t>"Although the evaluation parameters, except dynamic pedographic measurements, have improved in both groups, our study results showed no superiority of HILT over placebo. To conclude, when the main complaint is pain in patients, only exercise therapy can be an economical, practical, and reliable treatment."
Comment: Total fluence (8.26 J/cm2) calculated as a sum of individual fluences presented in Table 1.</t>
  </si>
  <si>
    <t>Device: "HIRO 3 device (ASA Laser, Arcugnano, Italy)"</t>
  </si>
  <si>
    <t>Parameters and Effects of Photobiomodulation in Plantar Fasciitis: A Meta-Analysis and Systematic Review.</t>
  </si>
  <si>
    <t>"7 randomized controlled trials were selected after final review and 4 were selected for meta-analysis. 
There was a significant difference between PBMT and control for Visual Analog Scale (Chi2 = 29.30; p &lt; 0.00001) with an I2 value of 90% in favor of PBMT versus the control. The overall effect of PBMT was statistically significant (p &lt; 0.02) with PBMT favoring for thickness of the plantar fascia reduction."
"The methodological quality was high for all the included studies with a median (range) PEDro score of 6 (5–8). The methodological quality of the seven RCTs3,9,10,21–24 was classified as good to fair. The individual PEDro scores are listed in Table 2."</t>
  </si>
  <si>
    <t>Clinical efficacy of low-level laser therapy in plantar fasciitis: A systematic review and meta-analysis.</t>
  </si>
  <si>
    <t>"A total of 6 randomized controlled trials were included. The meta-analysis indicated that compared with control group, visual analogue scale (VAS) score significantly decreased at the end point of the treatment in LLLT group. In addition, this improvement is continued for up to 3 months. However, no significant difference was observed according to the Foot Function Index-pain subscale (FFI-p)."
"This meta-analysis indicates that the LLLT in patients with PF significantly relieves the heel pain and the excellent efficacy lasts for 3 months after treatment."
Comment: Full text not accessed.</t>
  </si>
  <si>
    <t>Comparative effectiveness of extracorporeal shock wave, ultrasound, low-level laser therapy, noninvasive interactive neurostimulation, and pulsed radiofrequency treatment for treating plantar fasciitis: A systematic review and network meta-analysis.</t>
  </si>
  <si>
    <t>"Compared with placebo, LLLT showed the third-best short-term treatment effect [MD = 2.7, 95% CrI: (−0.42, 5.77)] in the network result, indicating its satisfactory short-term pain-relieving effects. Importantly, however, all studies included supported its short-term superiority; thus, long-term follow-up data are needed."</t>
  </si>
  <si>
    <t>Yinilmez Sanmak</t>
  </si>
  <si>
    <t>Turkey
(Mardin)</t>
  </si>
  <si>
    <t>Comparison of effects of low-level laser therapy and extracorporeal shock wave therapy in plantar fasciitis treatment: A randomized, prospective, single-blind clinical study.</t>
  </si>
  <si>
    <t>🧑 Human
⚔ Comparison study, randomized
👥 40 participants (34 completed)
⌛ 4-week treatment -&gt; 1-month follow-up</t>
  </si>
  <si>
    <t>⚔ PBM vs ESWL</t>
  </si>
  <si>
    <t>"A significant improvement in the VAS-pain and FFI scores and plantar fascia thickness was observed in both groups after treatment and one month after treatment, compared to pre-treatment values (p&lt;0.05). Changes over time in these outcome parameters were not different between study groups (p&gt;0.05)."</t>
  </si>
  <si>
    <t>Device: "BTL 4000 Lazer Topliner, BTL Industries Ltd., Cleveland, UK"</t>
  </si>
  <si>
    <t>Ordahan</t>
  </si>
  <si>
    <t>The effect of high-intensity versus low-level laser therapy in the management of plantar fasciitis: a randomized clinical trial.</t>
  </si>
  <si>
    <t>🧑 Human
⚔ Comparison study, randomized
👥 70 participants
⌛ 3 weeks</t>
  </si>
  <si>
    <t>904
1064</t>
  </si>
  <si>
    <t>240
-</t>
  </si>
  <si>
    <t>"The HILT group [1064 nm] demonstrated better improvement in all parameters than the LLLT group. Although both treatments improved the pain levels, function, and quality of life in patients with PF, HILT had a more significant effect than LLLT."
Comment: The parameter values presented in full text are not completely consistent. For example, they claim that HILT group received 8W light for 75s that would equal 150 J of energy, but 8 watts over 75 seconds should be 600 joules (8 W * 75 s = 600 J)</t>
  </si>
  <si>
    <t>Cinar</t>
  </si>
  <si>
    <t>Canada &amp; Cyprus</t>
  </si>
  <si>
    <t>Foot Ankle Int</t>
  </si>
  <si>
    <t>Combination Therapy Versus Exercise and Orthotic Support in the Management of Pain in Plantar Fasciitis: A Randomized Controlled Trial.</t>
  </si>
  <si>
    <t>🧑 Human
🎲 Randomized trial
👥 66 participants
⌛ ~3-week treatment / ~3-month study</t>
  </si>
  <si>
    <t>⚔ PBM vs ESWT vs ctrl</t>
  </si>
  <si>
    <t>830
or
850
(???)</t>
  </si>
  <si>
    <t>0 - 5.6</t>
  </si>
  <si>
    <t>300 - 420</t>
  </si>
  <si>
    <t>"When LLLT and ESWT were combined with usual care, LLLT was found to be more effective than ESWT in reducing pain in PF at short-term follow-up."
Comment: Parameters were strangely reported and wavelength is different in the abstract compared to full text.</t>
  </si>
  <si>
    <t>Ulusoy</t>
  </si>
  <si>
    <t>J Foot Ankle Surg</t>
  </si>
  <si>
    <t>Magnetic Resonance Imaging and Clinical Outcomes of Laser Therapy, Ultrasound Therapy, and Extracorporeal Shock Wave Therapy for Treatment of Plantar Fasciitis: A Randomized Controlled Trial.</t>
  </si>
  <si>
    <t>🧑 Human
⚔ Comparison study, randomized
👥 60 participants
⌛ 3-week treatment -&gt; 1-month follow-up (?)</t>
  </si>
  <si>
    <t>⚔ PBM vs US vs ESWT</t>
  </si>
  <si>
    <t>"Significant improvement was measured using the mean VAS, AOFAS scale, and HTI scores for all 3 groups. The thickness of the plantar fascia had decreased significantly on MRI in all 3 groups. The treatment success rate was 70.6% in the LLLT group, 65% in the ESWT group, and 23.5% in the US group. 
LLLT and ESWT proved significantly superior to US therapy using the primary efficacy criterion (p = .006 and p = .012, respectively), with no significant difference between the LLLT and ESWT groups (p &gt; .05). 
The treatment of chronic plantar fasciitis with LLLT and ESWT resulted in similar outcomes and both were more successful than US therapy in pain improvement and functional outcomes."</t>
  </si>
  <si>
    <t>Device: "LLLT, US therapy, and ESWT were performed by the same investigator (A.U.) using the BTL-5000 SWT combined device (BTL Turkey, Ankara, Turkey)"</t>
  </si>
  <si>
    <t>Canada &amp; Turkey</t>
  </si>
  <si>
    <t>Low-level laser therapy in the management of plantar fasciitis: a randomized controlled trial.</t>
  </si>
  <si>
    <t>🧑 Human
🎲 Randomized trial, sham-controlled
👥 49 participants
⌛ 3-week treatment -&gt; 3-month follow-up</t>
  </si>
  <si>
    <t>5.6
/point
(3 or 5 points?)</t>
  </si>
  <si>
    <t>80
/point
(3 or 5 points?)</t>
  </si>
  <si>
    <t>"There was a significant improvement in AOFAS-F total score at 3 weeks in both groups (LLLT, p &lt; 0.001; control, p = 0.002), but the improvements were seen only for the LLLT group for AOFAS-F total score (p = 0.04) and two individual items of AOFAS-F (walking distance (p &lt; 0.001) and walking surface (p = 0.01)) at 3 months. The groups were comparable with each other for both walking speed and cadence at all assessment times (p &gt; 0.05). Both groups showed significant reduction in pain over 3 months (LLLT, p &lt; 0.001; control, p = 0.01); however, the LLLT group had lower pain than the control group at 3 months (p = 0.03)."
"The combination therapy of LLLT with usual care is more effective to improve functional outcomes and activity-related pain when compared to usual care alone."</t>
  </si>
  <si>
    <t>Macias</t>
  </si>
  <si>
    <t>USA
(Boise, ID)</t>
  </si>
  <si>
    <t>Low-Level Laser Therapy at 635 nm for Treatment of Chronic Plantar Fasciitis: A Placebo-Controlled, Randomized Study.</t>
  </si>
  <si>
    <t>🧑 Human
🎲 Randomized trial, double-blind
👥 69 participants
⌛ 3-week treatment / 8-week study</t>
  </si>
  <si>
    <t>"At the final follow-up visit, the group participants demonstrated a mean improvement in heel pain with a visual analog scale score of 29.6 ± 24.9 compared with the placebo subjects, who reported a mean improvement of 5.4 ± 16.0, a statistically significant difference (p &lt; .001). Although additional studies are warranted, these data have demonstrated that low-level laser therapy is a promising treatment of plantar fasciitis."</t>
  </si>
  <si>
    <t>Device: MLS laser, Erchonia Corp, McKinney, TX</t>
  </si>
  <si>
    <t>Jastifer</t>
  </si>
  <si>
    <t>Low-Level Laser Therapy for the Treatment of Chronic Plantar Fasciitis: A Prospective Study.</t>
  </si>
  <si>
    <t>🧑 Human
📄 Single-arm study
👥 30 participants
⌛ 3-week treatment -&gt; 1-year follow-up</t>
  </si>
  <si>
    <t>51
(3 diodes, 17 mW each)</t>
  </si>
  <si>
    <t>1.476</t>
  </si>
  <si>
    <t>"Patients demonstrated a mean improvement in heel pain VAS from 67.8 out of 100 at baseline to 6.9 out of 100 at the 12-month follow-up period."
"Although further studies are warranted, this study shows that LLLT is a promising treatment of chronic plantar fasciitis."</t>
  </si>
  <si>
    <t>Kiritsi</t>
  </si>
  <si>
    <t>Ultrasonographic evaluation of plantar fasciitis after low-level laser therapy: results of a double-blind, randomized, placebo-controlled trial.</t>
  </si>
  <si>
    <t>🧑 Human
🎲 Randomized trial, double-blind
👥 30 participants (25 completed)
⌛ 6 weeks</t>
  </si>
  <si>
    <t>240
(4 diodes of 60 mW)</t>
  </si>
  <si>
    <t>0.16
+
0.08</t>
  </si>
  <si>
    <t xml:space="preserve">8.4
+
8.4
</t>
  </si>
  <si>
    <t>1.5 cm2
(tendon insert.) 
and
3.0 cm2
(medial border of fascia)
spot area</t>
  </si>
  <si>
    <t>"After LLLT, plantar fascia thickness in both groups showed significant change over the experimental period and there was a difference (before treatment and after treatment) in plantar fascia thickness between the two groups. However, plantar fascia thickness was insignificant (mean 3.627 +/- 0.977 mm) when compared with that in the placebo group (mean 4.380 +/- 1.0042 mm).
Pain estimation on the visual analogue scale had improved significantly in all test situations (after night rest, daily activities) after LLLT when compared with that of the placebo group. (P=0.006 and P=0.01, respectively). Additionally, when the difference in pain scores was compared between the two groups, the change was statistically significant (after night rest P=0.000; daily activities P=0.001)."</t>
  </si>
  <si>
    <t>Device: "a gallium–arsenide (GaAs) laser with an infrared wavelength of 904 nm (Irradia medical laser, M/D Laser Professional, Stockholm, Sweden)"</t>
  </si>
  <si>
    <t>A randomized controlled evaluation of low-intensity laser therapy: plantar fasciitis.</t>
  </si>
  <si>
    <t>🧑 Human
🎲 Randomized trial, double-blind
👥 32 participants
⌛ 4-week treatment -&gt; 4-week follow-up</t>
  </si>
  <si>
    <t>30
(measured: 27)</t>
  </si>
  <si>
    <t>0.955</t>
  </si>
  <si>
    <t>3
(1J + 2J at two points)</t>
  </si>
  <si>
    <t>0.03 cm2 spot size</t>
  </si>
  <si>
    <t>"Low-intensity IR laser therapy appears safe but, at least within the parameters of this study, is not beneficial in the treatment of plantar fasciitis."</t>
  </si>
  <si>
    <t>Hyperalgesia</t>
  </si>
  <si>
    <t>Photobiomodulation improves acute restraint stress-induced visceral hyperalgesia in rats</t>
  </si>
  <si>
    <t>"The results showed that photobiomodulation significantly suppressed the number of abdominal muscle contractions at average powers of 460, 70, and 18 mW. However, no significant suppression was observed at average powers of 1 W and 3.5 mW. This study suggests that photobiomodulation can alleviate visceral hyperalgesia induced by restraint stress, indicating its potential applicability to irritable bowel syndrome."</t>
  </si>
  <si>
    <t>Photobiomodulation reduces nociception and edema in a CFA-induced muscle pain model: effects of LLLT and LEDT</t>
  </si>
  <si>
    <t>Laser vs LED</t>
  </si>
  <si>
    <t>1.08
1.8
3</t>
  </si>
  <si>
    <t>"When we treated the CFA-induced myositis animals with PBMT (LLLT or LEDT), we observed a decrease in nociception and edema formation."</t>
  </si>
  <si>
    <t>Photobiomodulation Decreases Hyperalgesia in Complex Regional Pain Syndrome: An Experimental Mouse Model Subjected to Nicotine.</t>
  </si>
  <si>
    <t>12.6
25.2</t>
  </si>
  <si>
    <t>"The PBMT wavelengths in 660 and 830 nm groups had beneficial effects (P &lt; 0.05) in reducing mechanical and thermal hyperalgesia, but the effects at 660 nm were significantly better than 830 nm. 
At reducing edema, both wavelengths had significant effects statistically, absolutely no difference between them."
"The deleterious effects of nicotine were evident statistically and were softened when treated with PBMT (P &lt; 0.05)."</t>
  </si>
  <si>
    <t>J Pain</t>
  </si>
  <si>
    <t>Development and Characterization of An Injury-free Model of Functional Pain in Rats by Exposure to Red Light.</t>
  </si>
  <si>
    <t>Red light toxicity (through visual system)</t>
  </si>
  <si>
    <t>28800
/d</t>
  </si>
  <si>
    <t>5d</t>
  </si>
  <si>
    <t>"Rats were exposed to red light emitting diodes (RLED) (LEDs, 660 nanometer) at an intensity of 50 Lux for 8 hours daily for 5 days resulting in time- and dose-dependent thermal hyperalgesia and mechanical allodynia in both male and female rats."
"The pronociceptive effects of RLED were mediated through the visual system."
Comment: These researchers showed that red light might CAUSE increase pain sensitivity. As opposed to photobiomodulation, this effect is mediated by visual system.</t>
  </si>
  <si>
    <t>Modulation of exercise-induced muscular damage and hyperalgesia by different 630 nm doses of light-emitting diode therapy (LEDT) in rats.</t>
  </si>
  <si>
    <t>1.8
6.3
15.0</t>
  </si>
  <si>
    <t>1.2
4.2
10.0</t>
  </si>
  <si>
    <t>"In all LEDT groups, plasma CK activity was reduced to levels similar to those measured in the [sedentary control] group. 
Paw withdrawal threshold decreased in the [passive recovery] group (-11.9 g) when compared to the [sedentary control] group (2.2 g; p &lt; 0.01) and it was attenuated in the group LEDT 4.2 J/cm2 (-3.3 g, p &lt; 0.05). Less leukocyte infiltration and edema and fewer necrotic areas were found in histological sections of soleus muscle in LEDT (4.2 J/cm2) and LEDT (10.0 J/cm2) groups compared to the PR group. 
Also, LEDT (4.2 J/cm2) and LEDT (10.0 J/cm2) groups showed less immunostaining for TNF-α in macrophages or areas with necrosis of muscle fibers compared to the PR group. 
LEDT (4.2 J/cm2, 6.3 J) reduced muscle inflammation and nociception in animals submitted to [exercise-induced muscle damage]."</t>
  </si>
  <si>
    <t>Micheli</t>
  </si>
  <si>
    <t>Photobiomodulation therapy by NIR laser in persistent pain: an analytical study in the rat.</t>
  </si>
  <si>
    <t>"In CFA-treated rats, laser efficacy started 5 min after treatment and disappeared after 180 min. In rats that underwent CCI, two treatment protocols with similar fluence but different power output were tested using a new experimental device called Multiwave Locked System laser (MLS-HPP). Treatments began 7 days after injury and were performed during 3 weeks for a total of 10 applications. Both protocols reduced mechanical hyperalgesia and hindlimb weight bearing alterations until 60 min after treatment with a higher efficacy recorded for the animals treated using the higher power output. In conclusion, this study supports laser therapy as a potential treatment for immediate relief of chronic articular or neuropathic pain."</t>
  </si>
  <si>
    <t>Brazil
(Palhoça)</t>
  </si>
  <si>
    <t>Light-emitting diode therapy reduces persistent inflammatory pain: Role of interleukin 10 and antioxidant enzymes.</t>
  </si>
  <si>
    <t>Chronic inflammatory hyperalgesia induced by Complete Freund's Adjuvant (CFA)
LED phototherapy
Dose response</t>
  </si>
  <si>
    <t>1
cm2
(area)</t>
  </si>
  <si>
    <t>13
25
50</t>
  </si>
  <si>
    <t>"LEDT inhibited mechanical and thermal hyperalgesia induced by CFA injection.
LEDT did not reduce paw edema, neither influenced the levels of TNF-α and IL1-β; although it increased the levels of IL-10.
LEDT significantly prevented TBARS increase in both acute and chronic phases post-CFA injection; whereas protein carbonyl levels were reduced only in the acute phase.
LEDT induced an increase in both SOD and CAT activity, with effects observable in the acute but not in the chronic. And finally, pre-administration of naloxone or fucoidin prevented LEDT analgesic effect."</t>
  </si>
  <si>
    <t>Nadur-Andrade</t>
  </si>
  <si>
    <t>PLoS Negl Trop Dis</t>
  </si>
  <si>
    <t>Analgesic Effect of Photobiomodulation on Bothrops Moojeni Venom-Induced Hyperalgesia: A Mechanism Dependent on Neuronal Inhibition, Cytokines and Kinin Receptors Modulation.</t>
  </si>
  <si>
    <t>Hyperalgesia induced by snake poison</t>
  </si>
  <si>
    <t>1/2
?</t>
  </si>
  <si>
    <t>"These data demonstrate that LLLT interferes with mechanisms involved in nociception and hyperalgesia and modulates Bmv-induced nociceptive signal. The use of photobiomodulation in reducing local pain induced by Bothropic venoms should be considered as a novel therapeutic tool for the treatment of local symptoms induced after bothropic snakebites."</t>
  </si>
  <si>
    <t>Analgesic Effect of Light-Emitting Diode (LED) Therapy at Wavelengths of 635 and 945 nm on Bothrops moojeni Venom-Induced Hyperalgesia.</t>
  </si>
  <si>
    <t>LED phototherapy
Wavelength comparison (dose not matched)
PBM vs antivenom</t>
  </si>
  <si>
    <t>635
945</t>
  </si>
  <si>
    <t>110
120</t>
  </si>
  <si>
    <t>3.76
3.8</t>
  </si>
  <si>
    <t>41
38</t>
  </si>
  <si>
    <t>"Both 635 nm and 945 nm LED inhibited mechanical allodynia and hyperalgesia of mice alone or in combination with antivenom treatment, even when the symptoms were already present."</t>
  </si>
  <si>
    <t>MedicalExpress (Sáo Paulo)</t>
  </si>
  <si>
    <t>Antinociceptive action of Light Emitting Diode in an experimental model with hyperalgesia by capsaicin</t>
  </si>
  <si>
    <t>"The use of LED can be considered as a non-invasive analgesic method as it increases of the nociceptive threshold 24 hours after pain is induced."</t>
  </si>
  <si>
    <t>Analgesic effect of He-Ne (632.8 nm) low-level laser therapy on acute inflammatory pain.</t>
  </si>
  <si>
    <t>Carrageenan injection into hind paw
PGE2 injection into hind paw</t>
  </si>
  <si>
    <t>"We found that He-Ne stimulation increased the pain threshold by a factor between 68% and 95% depending on the injected drug. We also observed a 54% reduction on the volume increase of the edema when it was irradiated."</t>
  </si>
  <si>
    <t>Analgesic effect of Ga-Al-As diode laser irradiation on hyperalgesia in carrageenin-induced inflammation.</t>
  </si>
  <si>
    <t>180
/dose
(?)</t>
  </si>
  <si>
    <t>"Two doses of laser irradiation, given to the inflamed region immediately before and after the injection of carrageenin, partially (approximately 50%) inhibited the occurrence of hyperalgesia accompanied with a progression of inflammation. This analgesic effect was equal to that of indomethacin (4 mg/kg, i.o.). In another group, the hyperalgesia was removed almost completely for at least 24 hours by one dose of laser irradiation, which was given 3 hours after the carrageenin injection, whereas the edema was not inhibited."
"This analgesic effect, however, was partially (approximately 50%) antagonized with a dose of 10 mg/kg (i.p.) of naloxone and totally inhibited with 30 mg/kg."
"These results suggest that low-power laser irradiation on inflamed regions of carrageenin-treated rats has a marked analgesic effect and that certain mechanisms that are not related to endogenous opioids are involved in a part of the mechanisms of the analgesic effects."</t>
  </si>
  <si>
    <t>Infants: heel lancing</t>
  </si>
  <si>
    <t>Abbasoglu</t>
  </si>
  <si>
    <t>Laser acupuncture before heel lancing for pain management in healthy term newborns: a randomised controlled trial</t>
  </si>
  <si>
    <t>🧑 Human
🎲 Randomized trial
👥 42 participants
⌛ single session</t>
  </si>
  <si>
    <t>"Our results indicate that 0.3 J of LA at the Yintang point before heel lancing is less effective than oral sucrose for reducing the discomfort of this procedure."
Comment: Parameters were very poorly/insufficiently reported</t>
  </si>
  <si>
    <t>Device: Laser PREMIO-30 unit (Sedatelec, France)
PBM timing: 2 minutes before heel langing
PBM application: to the Yintang point (forehead / between eyebrows)</t>
  </si>
  <si>
    <t>Ischemic</t>
  </si>
  <si>
    <t>Failure to demonstrate any hypoalgesic effect of low intensity laser irradiation (830nm) of Erb's point upon experimental ischaemic pain in humans.</t>
  </si>
  <si>
    <t>🧑 Human
🎲 Randomized trial, sham-controlled
👥 48 participants
⌛ single session</t>
  </si>
  <si>
    <t>0.1
cm2
spot</t>
  </si>
  <si>
    <t>5
30
/point
(10 points)</t>
  </si>
  <si>
    <t>"These results do not provide convincing evidence for the clinical potential of low intensity laser irradiation as a pain relieving modality, at least at the parameters used. Further work is thus necessary to provide objective quantifiable data on the putative clinical efficacy of this modality and the relevance (if any) of irradiation parameters."</t>
  </si>
  <si>
    <t>Mokhtar</t>
  </si>
  <si>
    <t>Double-blind, placebo-controlled investigation of the effect of combined phototherapy/low intensity laser therapy upon experimental ischaemic pain in humans</t>
  </si>
  <si>
    <t>🧑 Human
🎲 Randomized trial, double-blind
👥 45 participants
⌛ single session</t>
  </si>
  <si>
    <t>LED phototherapy (30 LEDs and 1 laser diode)
Pulsing comparison (16 vs 73 Hz)
Groups:
- Placebo
- PBM 16 Hz
- PBM 73 Hz</t>
  </si>
  <si>
    <t>660+
820+
880+
950</t>
  </si>
  <si>
    <t>31.9</t>
  </si>
  <si>
    <t>12 cm2 facial area</t>
  </si>
  <si>
    <t>"Analysis of variance and appropriate post hoc tests demonstrated only a weak (but significant) hypoalgesic effect compared to placebo (P &lt; 0.05) in the treatment group irradiated at 16Hz for the sensory component of the MPQ; other comparisons were found to be nonsignificant."</t>
  </si>
  <si>
    <t>Joint pain</t>
  </si>
  <si>
    <t>Coradini</t>
  </si>
  <si>
    <t>Rev Bras Reumatol</t>
  </si>
  <si>
    <t>Comparison of low level laser, ultrasonic therapy and association in joint pain in Wistar rats.</t>
  </si>
  <si>
    <t>"Both modalities showed antinociceptive effects."</t>
  </si>
  <si>
    <t>Knee pain</t>
  </si>
  <si>
    <t>Photobiomodulation therapy for chronic knee pain in obese patients in pre-rehabilitation for bariatric surgery: randomised, placebo-controlled, double-blinded, clinical trial protocol</t>
  </si>
  <si>
    <t>Ozlu &amp; Atilgan</t>
  </si>
  <si>
    <t>The effect of high-intensity laser therapy on pain and lower extremity function in patellofemoral pain syndrome: a single-blind randomized controlled trial</t>
  </si>
  <si>
    <t>🧑 Human
🎲 Randomized trial, sham-controlled
👥 45 participants
⌛ 2-week treatment -&gt; 12-week follow-up</t>
  </si>
  <si>
    <t>12
+
150</t>
  </si>
  <si>
    <t>25 cm2 area</t>
  </si>
  <si>
    <t>"This study indicated that high-intensity laser therapy was found to be a more effective method in the treatment of patellofemoral pain syndrome after 3 months of follow-up compared to US-TENS combination and US-interferential current combination treatments. Also, HILT can be used as an effective method in combination with an appropriate exercise program including vastus medialis strengthening to reduce pain and increase functionality in the patients with PFPS."</t>
  </si>
  <si>
    <t>Device: "Nd:YAG Laser (iLux Laser device, Mectronic Medicale)"</t>
  </si>
  <si>
    <t>Photobiomodulation as an Adjunctive Treatment to Physiotherapy for Reduction of Anterior Knee Pain in Combat Soldiers: A Prospective, Double-Blind, Randomized, Pragmatic, Sham-Controlled Trial</t>
  </si>
  <si>
    <t>🧑 Human
🎲 Randomized trial, double-blind
👥 26 participants (46 knees)
⌛ 4-week treatment -&gt; 3-month follow-up</t>
  </si>
  <si>
    <t>LED phototherapy (+ laser)</t>
  </si>
  <si>
    <t>660+
850
(LED)
+
810
(laser)
+
810
(laser
cluster)</t>
  </si>
  <si>
    <t>1390
+
200
+
1000
(?)</t>
  </si>
  <si>
    <t>0.050
(LED array)
+
4.75
(laser)
+
6
(laser
cluster)</t>
  </si>
  <si>
    <t>3
+
142.5
+
180</t>
  </si>
  <si>
    <t>60
/point
+
30
/point
+
30
/point</t>
  </si>
  <si>
    <t>"Post-treatment pain was significantly reduced in the PT+PBM group, compared with baseline and sham (Δpain, VAS, mean ± SD: PT + PBM = -19 ± 23, P = 0.002; PT + Sham = -6 ± 21, P = 0.16; between groups, P = 0.032). At 3-month follow-up, pain reduction was similar between groups; however, the Kujala score was significantly improved only in the PBM-treated group (ΔKujala: PT + PBM = 11 ± 10, P = 0.003; PT + Sham = 5 ± 7, P = 0.059)."</t>
  </si>
  <si>
    <t>Device: "a commercial system (THOR Photomedicine Ltd., Chesham, UK) that includes a 660/850 nm LED cluster (...) single-point laser (...) and a laser cluster"</t>
  </si>
  <si>
    <t>Pocai</t>
  </si>
  <si>
    <t>Effect of photobiomodulation in the patellofemoral pain syndrome; randomized clinical trial in young women</t>
  </si>
  <si>
    <t>🧑 Human
🎲 Randomized trial
👥 30 participants
⌛ 4-week treatment -&gt; 1-month follow-up</t>
  </si>
  <si>
    <t>1500+
150
(?)</t>
  </si>
  <si>
    <t>"The results showed a reduction in pain only for the landing of the jump. As for the other variables there was no interaction of factors; the questionnaires used showed larger effect sizes for PBMG when compared to CG. It is possible to conclude that the use of PBM showed benefit in reducing pain at the time of landing of the jump and functional assessment questionnaires."</t>
  </si>
  <si>
    <t>Adjunctive use of combination of super-pulsed laser and light-emitting diodes phototherapy on nonspecific knee pain: double-blinded randomized placebo-controlled trial.</t>
  </si>
  <si>
    <t>🧑 Human
🎲 Randomized trial, double-blind
👥 86 participants
⌛ 4-week treatment -&gt; 1-month follow-up</t>
  </si>
  <si>
    <t>905+
875+
640</t>
  </si>
  <si>
    <t>"Our results demonstrate that phototherapy significantly decreased pain (p &lt; 0.05) from 10th treatment to follow-up assessments and significantly improved (p &lt; 0.05) SF-36® physical component summary at posttreatments and follow-up assessments compared to placebo. We conclude that combination of super-pulsed laser, red and infrared LEDs is effective to decrease pain and improve quality of life in patients with knee pain."</t>
  </si>
  <si>
    <t>Device: "Multi Radiance Medical™ (Solon, OH, USA) MR4™ Super Pulsed Laser Console system using the LaserShower and SE25 emitters"</t>
  </si>
  <si>
    <t>Montes-Molina</t>
  </si>
  <si>
    <t>Efficacy of interferential low-level laser therapy using two independent sources in the treatment of knee pain.</t>
  </si>
  <si>
    <t>🧑 Human
⚔ Comparison study, randomized
👥 152 participants
⌛ 3 weeks</t>
  </si>
  <si>
    <t xml:space="preserve">⚔ Interferential (dual) laser therapy vs Conventional laser therapy </t>
  </si>
  <si>
    <t>1.09</t>
  </si>
  <si>
    <t>30
(5p)
60
(10p)</t>
  </si>
  <si>
    <t>0.092 cm2 beam spot size</t>
  </si>
  <si>
    <t>"The VAS score results showed a statistically significant pain reduction throughout all sessions (p = 0.000)."
Comment: There were two active groups but no control group.</t>
  </si>
  <si>
    <t>Unraveling the parameters and biological mechanisms of CO2 laser therapy for acute pain relief</t>
  </si>
  <si>
    <t>Far-infrared
Pulsing (various frequencies compared)</t>
  </si>
  <si>
    <t>"In conclusion, this study provides insights into the optimal parameters and underlying mechanisms of CO2 laser therapy for effective pain relief, thereby paving the way for future clinical applications."</t>
  </si>
  <si>
    <t>Mechanisms and Pathways of Pain Photobiomodulation: A Narrative Review</t>
  </si>
  <si>
    <t>"This review synopsizes the pathways and mechanisms through which light modulates pain and the therapeutic utility of different colors and exposure modalities of light on pain. Recent advances in photobiomodulation provide a foundation for understanding this novel treatment for pain on which future translational and clinical studies can build upon."</t>
  </si>
  <si>
    <t>Pain Med</t>
  </si>
  <si>
    <t>Involvement of Substance P in the Analgesic Effect of Low-Level Laser Therapy in a Mouse Model of Chronic Widespread Muscle Pain.</t>
  </si>
  <si>
    <t>"LLLT with 685 nm at 8 J/cm2 was effective to reduce mechanical hyperalgesia in the chronic muscle pain model. The analgesic effect was abolished by pretreatment of NK1 receptor antagonist RP-67580. Likewise, LLLT showed no analgesic effect on Tac1-/- mice, in which the gene encoding substance P was deleted. Besides, pretreatment with the TRPV1 receptor antagonist capsazepine, but not the ASIC3 antagonist APETx2, blocked the LLLT analgesic effect."
"LLLT analgesia is mediated by the antinociceptive signaling of intramuscular substance P and is associated with TRPV1 activation in a mouse model of fibromyalgia or chronic muscle pain. The study results could provide new insight regarding the effect of LLLT in other types of chronic pain."</t>
  </si>
  <si>
    <t>Ferrara-Jr</t>
  </si>
  <si>
    <t>Photobiomodulation-induced analgesia in experimental temporomandibular disorder involves central inhibition of fractalkine.</t>
  </si>
  <si>
    <t>TMD (temporomandibular disorder)</t>
  </si>
  <si>
    <t>"PBM reversed the mechanical hypersensitivity of the animals by inhibiting the local inflammatory response, observed by the decrease of the inflammatory infiltrate in the masseter muscle of rats and by a central inhibition of fractalkine observed in the trigeminal ganglion. 
These data provide new insights into the mechanisms involved in the effects of photobiomodulation therapy emphasizing its therapeutic potential in the treatment of TMD."</t>
  </si>
  <si>
    <t>Chow &amp; Armati</t>
  </si>
  <si>
    <t>Photobiomodulation: Implications for Anesthesia and Pain Relief.</t>
  </si>
  <si>
    <t>"Evidence shows that PBM can inhibit nerve function in vivo, in situ, ex vivo, and in culture. Animal studies using noxious stimuli indicate nociceptor-specific inhibition with other studies providing direct evidence of local conduction block, leading to inhibited translation of pain centrally."
"Evidence of PBM-disrupted neuronal physiology affecting axonal flow, cytoskeleton organization, and decreased ATP is also presented. PBM changes are reversible with no side effects or nerve damage."
Comment: It is interesting that they are reporting decreased ATP instead of increased.</t>
  </si>
  <si>
    <t>830 nm laser irradiation induces varicosity formation, reduces mitochondrial membrane potential and blocks fast axonal flow in small and medium diameter rat dorsal root ganglion neurons: implications for the analgesic effects of 830 nm laser.</t>
  </si>
  <si>
    <t>"Photoacceptors in the mitochondrial membrane absorb laser and mediate the transduction of laser energy into electrochemical changes, initiating a secondary cascade of intracellular events. In neurons, this results in a decrease in MMP with a concurrent decrease in available ATP required for nerve function, including maintenance of microtubules and molecular motors, dyneins and kinesins, responsible for fast axonal flow. Laser-induced neural blockade is a consequence of such changes and provide a mechanism for a neural basis of laser-induced pain relief."
"The repeated application of laser in a clinical setting modulates nociception and reduces pain. The application of laser therapy for chronic pain may provide a non-drug alternative for the management of chronic pain."
[See additional info]</t>
  </si>
  <si>
    <t>Tuner commented: "By using high energies, the pain transmission in nerves is temporarily slowed down [4]. This is a useful option in many situations of acute pain. But on the other hand, the inflammatory background of the pain is also inhibited and the actual healing is slower."</t>
  </si>
  <si>
    <t>"There is strong evidence from 19 out of 22 controlled laboratory studies that photoradiation can modulate inflammatory pain by reducing levels of biochemical markers (PGE(2), mRNA Cox 2, IL-1beta, TNFalpha), neutrophil cell influx, oxidative stress, and formation of edema and hemorrhage in a dose-dependent manner (median dose 7.5 J/cm(2), range 0.3-19 J/cm(2))."
"Four comparisons with non-steroidal anti-inflammatory drugs (NSAIDs) in animal studies found optimal doses of photoradiation and NSAIDs to be equally effective."
"Seven randomized placebo-controlled trials found no significant results after irradiating only a single point on the skin overlying the site of injury, or after using a total energy dose below 5 Joules."
"Nine randomized placebo-controlled trials (n = 609) were of acceptable methodological quality, and irradiated three or more points and/or more than 2.5 cm(2) at site of injury or surgical incision, with a total energy of 5.0-19.5 Joules. Results in these nine trials were significantly in favor of photoradiation groups over placebo groups in 15 out of 18 outcome comparisons."
"Poor and heterogeneous data presentation hampered statistical pooling of continuous data. Categorical data of subjective improvement were homogeneous (Q-value = 7.1) and could be calculated from four trials (n = 379) giving a significant relative risk for improvement of 2.7 (95% confidence interval [CI], 1.8-3.9) in a fixed effects model."</t>
  </si>
  <si>
    <t>Mizutani</t>
  </si>
  <si>
    <t>A clinical study on serum prostaglandin E2 with low-level laser therapy.</t>
  </si>
  <si>
    <t>🧑 Human
📄 Single-arm study
👥 83 participants
⌛ 10-20 days</t>
  </si>
  <si>
    <t>15
/ trigger point
180
total per day</t>
  </si>
  <si>
    <t>10
(every day or every other day)</t>
  </si>
  <si>
    <t>"The analgesic effects were observed in 67 of 83 cases, or 80.7%. The VAS scores for the effective cases decreased after the irradiation series from 8.5 +/- 0.2, to 2.8 +/- 0.2 ( p &lt; 0.001)."
"The post-irradiation PGE(2) levels were lower than the pre-irradiation PGE(2) levels in the effective cases, which were 5.8 +/- 0.3 and 7.1 +/- 0.4 pg/mL, respectively ( p &lt; 0.05)."
"The serum PGE(2) levels are therefore considered to directly reflect nociceptive pain."</t>
  </si>
  <si>
    <t>Device: "gallium aluminium arsenide (GaAlAs) diode semi-conductor laser system, Mediator Soft 1000(r), manufactured by the Matsushita Electric Co., Ltd. (Tokyo Japan)"</t>
  </si>
  <si>
    <t>Navratil &amp; Dylevsky</t>
  </si>
  <si>
    <t>Mechanisms of the analgesic effect of therapeutic lasers in vivo</t>
  </si>
  <si>
    <t>"There are several different possible responses induced by non-invasive low level laser therapy (LLLT). The purpose of the present communication is to review the arrangement and characterization of these responses. By being aware of these effects, the laser therapist can acquire a physiological and morphological scheme making possible the appropriate choice of the site of application of LLLT, choice of the irradiation technique, and selection of appropriate doses."</t>
  </si>
  <si>
    <t>Effect of low‐intensity argon laser irradiation on mitochondrial respiration</t>
  </si>
  <si>
    <t>351
458
515</t>
  </si>
  <si>
    <t>"These results suggest that the 351 nm and the 458 nm laser irradiation may injure the mitochondrial inner membrane, while the 514.5 nm laser irradiation may slightly promote the rate of ATP synthesis."</t>
  </si>
  <si>
    <t>Mizokami</t>
  </si>
  <si>
    <t>LLLT (low reactive level laser therapy - a clinical study: relationship between pain attenuation and the serotonergic mechanism</t>
  </si>
  <si>
    <t>🧑 Human
📄 Single-arm study
👥 63 participants
⌛ (?)</t>
  </si>
  <si>
    <t>Plasma serotonin</t>
  </si>
  <si>
    <t>633
+
830</t>
  </si>
  <si>
    <t>10
+
60</t>
  </si>
  <si>
    <t>9.9 - 11.9
+
(?)</t>
  </si>
  <si>
    <t>180-
300
(red)
+
360-
600
(NIR)</t>
  </si>
  <si>
    <t>"On first time laser therapy, the change ratio of plasma serotonin had a stable tendency to give a statistically positive ratio (P&lt;0.001), by the tenth time the ratio had decreased and tended to give a negative ratio (P&lt;0.05) as a result of every other day irradiation. Furthermore, by every day repeated irradiation, the change ratio in plasma serotonin had altered to a negative ratio.
In this respect, the change ratio of plasma serotonin may be a good clinical indication for LLLT in the assessment of pain attenuation."</t>
  </si>
  <si>
    <t>Device: "The laser used in the study was a GaAlAs semiconductor from Mochida Pharmamedical Co. Tokyo and a He-Ne laser (Achoma L. L. II.) from Achoma Co. Tokyo." The GaAlAs semiconductor laser, known as The 'Luketron' system, was developed jointly by the Japan Medical Laser Laboratory and Matsushita Electric Co."
Patients: patients with neck and shoulder pain and occipital neuralgia</t>
  </si>
  <si>
    <t>Kudoh</t>
  </si>
  <si>
    <t>Low level laser therapy pain attenuation mechanisms, 1: Histochemical and biochemical effects of 830 nm gallium aluminium arsenide diode laser radiation on rat saphenous nerve Na-K-ATPase activity</t>
  </si>
  <si>
    <t>"15 s irradiation elicited the peak of activity, 30 s irradiation showed a decrease in the raised activity, and an irradiation time dependent inhibition of activity was noted after laser irradiation of 60 s and 120 s. Biochemical results, obtained by measuring the Na-K-ATPase activity through measurement of the release of inorganic phosphate, closely paralleled those results revealed by histochemical analysis. It is suggested that changes of Na-K-ATPnse activity in LLLT-treated peripheral neural tissue ate associated with the pain attenuation process."</t>
  </si>
  <si>
    <t>Jarvis</t>
  </si>
  <si>
    <t>Electrophysiologic recording and thermodynamic modeling demonstrate that helium-neon laser irradiation does not affect peripheral Adelta- or C-fiber nociceptors.</t>
  </si>
  <si>
    <t>🧪 In vitro? (🐇 Rabbit cornea)</t>
  </si>
  <si>
    <t>0.1-
5.0</t>
  </si>
  <si>
    <t>"Exposure of the neural receptive field and/or nerve bundle to a 4-mm diameter He-Ne laser (0-5 mW; 0-1800 sec) did not alter spontaneous or evoked neural activity. In addition, single unit action potential parameters were not altered by laser irradiation. Modeling of thermal changes produced by He-Ne radiation on corneal nerves indicated that effects predicted for receptor and axonal depths in both skin and cornea were minimal (less than 0.15 degrees C) and unlikely to alter sensory transduction or transmission."</t>
  </si>
  <si>
    <t>Maeda</t>
  </si>
  <si>
    <t>Morphological demonstration of low reactive laser therapeutic pain attenuation effect of the gallium aluminium arsenide diode laser</t>
  </si>
  <si>
    <t>"Following LLLT irradiation, the volume of mitochondria in the bradykinin-affected cells decreased (...) It can be assumed that the increased blood flow will absorb excess bradykinin from the affected area, thereby decreasing the bradykinin density, and thus loweing the level of neural activity."</t>
  </si>
  <si>
    <t>Multiple sites</t>
  </si>
  <si>
    <t>Silverman</t>
  </si>
  <si>
    <t>USA
(White Plains, NY)</t>
  </si>
  <si>
    <t>Effects of a single treatment with two nonthermal laser wavelengths on chronic neck and shoulder pain.</t>
  </si>
  <si>
    <t>🧑 Human
⚔ Comparison study
👥 87 participants
⌛ single session</t>
  </si>
  <si>
    <t>⚔ red+violet laser vs red laser
Neck pain
Shoulder pain</t>
  </si>
  <si>
    <t>635
405+
635</t>
  </si>
  <si>
    <t>4.68</t>
  </si>
  <si>
    <t>"Among subjects treated with the red and violet lasers, mean VAS neck and shoulder pain scores decreased from 65.0 to 35.2 (p&lt;0.0001). Most subjects in the study (75%) achieved ≥30% decrease in VAS scores. The decreased mean (SD) VAS scores remained 29.6 (16.7) and 29.3 (19.2) after 24 and 48 hrs, respectively. The secondary efficacy measures of change in range of motion ROM) and patient satisfaction also improved. There were no adverse events."</t>
  </si>
  <si>
    <t>Tam G</t>
  </si>
  <si>
    <t>Italy
(Tolmezzo)</t>
  </si>
  <si>
    <t>Low power laser therapy and analgesic action.</t>
  </si>
  <si>
    <t>🧑 Human
📄 Retrospective data (?)
👥 372 patients
⌛ treatment duration ~2-3 weeks</t>
  </si>
  <si>
    <t>over 10</t>
  </si>
  <si>
    <t>0.6 - 
6</t>
  </si>
  <si>
    <t>0.2 cm2
contact
spot
1.0 cm2
spot from 3 cm</t>
  </si>
  <si>
    <t>12 (on average)
(5 per week)</t>
  </si>
  <si>
    <t>"Treatment was performed on 372 patients (206 women and 166 men) during the period between May 1987 and January 1997. The patients, whose ages ranged from 25 to 70 years, with a mean age of 45 years, suffered from rheumatic, degenerative, and traumatic pathologies as well as cutaneous ulcers. The majority of patients had been seen by orthopedists and rheumatologists and had undergone x-ray examination"
"We achieved very good results, especially in cases of symptomatic osteoarthritis of the cervical vertebrae, sport-related injuries, epicondylitis, and cutaneous ulcers, and with cases of osteoarthritis of the coxa."</t>
  </si>
  <si>
    <t>Shiroto</t>
  </si>
  <si>
    <t>Pain attenuation with diode laser therapy: a retrospective study of the long-term LLLT experience in the private clinic environment</t>
  </si>
  <si>
    <t>🧑 Human
Retrospective</t>
  </si>
  <si>
    <t>"We report on a 130 month retrospective study of pain entities treated with 830 nm diode laser therapy carried out at the authors' clinic. In 11,139 mostly chronic pain patients (M:F 1:1.5) presenting with a total of 19,275 symptoms, an overall efficacy rate of 82 ± 5.7% was achieved"
"LLLT using a diode laser at 60 mW, 830 nm, continuous wave, in the contact pressure technique as used in the study, is therefore considered as a safe, effective and side effect free adjunctive therapeutic modality for intractable chronic and other pain types. "</t>
  </si>
  <si>
    <t>Toya</t>
  </si>
  <si>
    <t>Report on a computer-randomized double blind clinical trial to determine the effectiveness of the gaalas (830 nm) diode laser for pain attenuation in selected pain groups</t>
  </si>
  <si>
    <t xml:space="preserve">🧑 Human
🎲 Randomized trial, double-blind
👥 115 participants
⌛ </t>
  </si>
  <si>
    <t>"82% of those who received real treatment in the total population reported effective pain relief, compared with 42% of those who were assigned to receive sham treatment."</t>
  </si>
  <si>
    <t>Patients: "There were three groups: the extremity joint pain (35), cervical pain (39) and lumbar pain (41) groups."</t>
  </si>
  <si>
    <t>Mizekami</t>
  </si>
  <si>
    <t>Effect of diode laser for pain: a clinical study on different pain types</t>
  </si>
  <si>
    <t>🧑 Human
📄 Single arm study (3 subgroups) (?)
👥 206 participants</t>
  </si>
  <si>
    <t>2-5 per week until no improvem. seen on 2 consec. sessions</t>
  </si>
  <si>
    <t>"The effective rate was 81%: in shoulder/arm/neek syndrome pain. 78.9%: for lower back pain, 49.6%. "</t>
  </si>
  <si>
    <t>Device: "Panalas 4000 GaAlAs diode laser, operating at 830 nm, output power of 60 mW in continous wave. The system is marketed by Mochida Pharmaceutical Co, Tokyo, and was developed jointly by the Japan Medical Laser Laboratory and Matsushita Electric Co, Ltd."
Patients: "32 cases of occipital neuralgia; 57 cases of shoulder/arm/neck syndrome; and 117 cases of lumbago"</t>
  </si>
  <si>
    <t>Retrospective study of diode laser therapy for pain attenuation in 3635 patients: detailed analysis by questionnaire</t>
  </si>
  <si>
    <t>🧑 Human
📄 Survey / Retrospective study
👥 3635 patients</t>
  </si>
  <si>
    <t>37
(avg) (mean)</t>
  </si>
  <si>
    <t>"In a 46-month term, 3635 patients presented for pain attenuation with a gallium aluminium arsenide diode laser (830 nm. 60 mW, continuous wave. exposure time and number of sessions varied patient by patient). The mean age of the patients was 53.8 years. 
Analysis of subjective treatment assessment over the whole patient population showed an overall efficiency rate of 82.8%. A more detailed analysis of physiological and psychological effccts of laser therapy. both oral and by multi-part written questionnaire was administered to 1300 patients. all of whom required a minimum of 10 treatment sessions, 
The reply rate was 57.8%. or 752 patients. with a mean age of 57.2. The overall effective pain removal was assessed at 76%, with the treatment effect after a single irradiation lasting from nearly 9 h (16.5% of questionnaire respondents) to over 3 days (83,5%), From the questionnaire data it could be seen that the most efficient psychological improvements following laser therapy were in the areas of general well-being (67.6%). increased physical energy (60.2%) and improved steep (56.4%). 
Although this was not a controlled double blind study. the size of the population gives credence to the physiological and psychological effectiveness of the diode laser in pain therapy, even for the chronic type of pain."</t>
  </si>
  <si>
    <t>Musculoskeletal</t>
  </si>
  <si>
    <t>Jordan &amp; Egypt</t>
  </si>
  <si>
    <t>High-intensity versus low-level laser in musculoskeletal disorders</t>
  </si>
  <si>
    <t>"Twelve articles were included in this systematic review with a total population of 704 participants across various musculoskeletal pathologies including tennis elbow, carpal tunnel syndrome, chronic non-specific low back pain, knee arthritis, plantar fasciitis, and subacromial impingement. There were no statistical differences between the two interventions in pain, electrophysiological parameters, level of disability, quality of life, postural sway or pressure algometer, however, Low level laser therapy showed superiority in increasing grip strength compared to high intensity laser therapy while results were significant in favour of high intensity laser therapy regarding long head of biceps diameter and cross sectional area, supraspinatus thickness and echogenicity and acromio-humeral distance."
"The current literature suggests no superiority of both types of laser therapy in musculoskeletal disorders, however, more RCTs with larger sample size are required to reach a definitive conclusion regarding the superiority of either form of laser therapy in musculoskeletal disorders."</t>
  </si>
  <si>
    <t>The Adjuvant Therapy of Intravenous Laser Irradiation of Blood (ILIB) on Pain and Sleep Disturbance of Musculoskeletal Disorders</t>
  </si>
  <si>
    <t>🧑 Human
📄 Single-arm study
👥 76 participants
⌛ three or more 10-day treatment courses</t>
  </si>
  <si>
    <t xml:space="preserve">three courses (or more)
1 course = 10 sessions per 10 days
</t>
  </si>
  <si>
    <t>"The mean of all patients' initial VAS score was 5.35. After completing three courses of ILIB treatment, the mean VAS score decreased to 2.2, which indicated a significant reduction in pain intensity. 
Additionally, patients experienced sleep quality improvement levels from PSQI 8.97 to 5.53 upon completion of three courses of ILIB treatment."</t>
  </si>
  <si>
    <t>Low-intensity LASER and LED (photobiomodulation therapy) for pain control of the most common musculoskeletal conditions: a literature review</t>
  </si>
  <si>
    <t>"We observed that the photobiomodulation therapy offers a noninvasive, safe, drug-free, and side-effect-free method for pain relief of both acute and chronic musculoskeletal conditions as well as fibromyalgia."</t>
  </si>
  <si>
    <t>USA
(Pasadena, TX)</t>
  </si>
  <si>
    <t>Low-Level Laser Light Therapy Dosage Variables vs Treatment Efficacy of Neuromusculoskeletal Conditions: A Scoping Review</t>
  </si>
  <si>
    <t>Parameters vs outcome (analysis)</t>
  </si>
  <si>
    <t>" Although many articles were found on LLLT for neuromusculoskeletal conditions, the studies had amorphous parameters. A heterogeneity of reported doses precluded the synthesis of sufficient evidence to correlate dosage variables with improved or unimproved outcomes. Therefore, based on the current literature, dosage variables for the efficacy of LLLT for neuromusculoskeletal conditions are uncertain at this time."
"There was lack of statistical difference between the studies with improved vs unimproved outcomes. No statistical differences were noted between the dosage parameters and efficacy."</t>
  </si>
  <si>
    <t>The Beneficial Effects of High-Intensity Laser Therapy and Co-Interventions on Musculoskeletal Pain Management: A Systematic Review.</t>
  </si>
  <si>
    <t>"Approximately, 94% of included articles (n=18) revealed positive effects of HILT on pain. The effect sizes for HILT and placebo/comparator groups were 0.9-9.11 and 0.21-11.22 respectively. Also, the differences of effect size between two groups were between 0.03 to 5.85."
"It is early to determine that HILT may be an effective non-invasive agent in the management of musculoskeletal pain, as few studies have shown its clinical efficacy. Adding related co-interventions to HILT may enhance the beneficial effects of laser therapy. The variability of the study methods and outcomes suggests that further long-term follow-up, randomized controlled clinical trials with appropriate methodological design are needed regarding the effectiveness of HILT on pain."</t>
  </si>
  <si>
    <t>Clijsen</t>
  </si>
  <si>
    <t>Effects of low-level laser therapy on pain in patients with musculoskeletal disorders: a systematic review and meta-analysis.</t>
  </si>
  <si>
    <t>"Eighteen studies allowing for 21 head-to-head comparisons (totaling N.=1462 participants) were included. The pooled raw mean difference (D) in pain between LLLT and the control groups was -0.85 (95% CI: -1.22 to -0.48). There was high (I²=85.6%) and significant between study heterogeneity (Cochran's Q =139.2; df=20; P&lt;0.001). "
"This meta-analysis presents evidence that LLLT is an effective treatment modality to reduce pain in adult patients with musculoskeletal disorders. Adherence to WALT dosage recommendations seems to enhance treatment effectiveness."</t>
  </si>
  <si>
    <t>Siems</t>
  </si>
  <si>
    <t>Germany
(Bad Harzburg)</t>
  </si>
  <si>
    <t>Acta Biochim Pol</t>
  </si>
  <si>
    <t>Pain and mobility improvement and MDA plasma levels in degenerative osteoarthritis, low back pain, and rheumatoid arthritis after infrared A-irradiation.</t>
  </si>
  <si>
    <t>🧑 Human
Retrospective
👥 156 participants</t>
  </si>
  <si>
    <t>"Two-hundred and seven patients were divided into verum groups getting IR-irradiation, placebo groups getting visible, but not IR irradiation, and groups getting no irradiation."
"Taken together, the data strongly suggest IR-A irradiation as an effective and harmless method in prevention, therapy and rehabilitation of degenerative osteoarthritis, low back pain, and during non-inflammatory periods of RA"</t>
  </si>
  <si>
    <t>Device: "Patients were treated for two weeks with InfraCare HP 3631 and HP 3641 appliances (Philips, Netherlands)."</t>
  </si>
  <si>
    <t>Meersman &amp; Calderhead</t>
  </si>
  <si>
    <t>Belgium &amp; Japan</t>
  </si>
  <si>
    <t>The battle of laser therapy against medication in musculoskeletal disorders: collaboration, alliance or enemy?</t>
  </si>
  <si>
    <t>(Achilles tendinitis)</t>
  </si>
  <si>
    <t>"The present study examines first the scientific literature on the effect of LLLT on concomitantly ingested medication. The study comprises three parts: first, the literature study; second, how the literature has reported on possible LLLT-pain medication interactions; and third, the principal author's own study on laser pharmacology and Achilles tendinitis."</t>
  </si>
  <si>
    <t>Myofascial</t>
  </si>
  <si>
    <t>Palizgir</t>
  </si>
  <si>
    <t>Comparison of therapeutic effects of 940 nm diode laser acupuncture with transcutaneous electrical nerve stimulation in the myofascial pain dysfunction syndrome: a comparative randomized clinical trial</t>
  </si>
  <si>
    <t>🧑 Human
⚔ Comparison study, randomized
👥 78 participants</t>
  </si>
  <si>
    <t>⚔ TENS vs laser acupuncture</t>
  </si>
  <si>
    <t>The decreases in overall facial pain (P = 0.000), muscle tenderness (P = 0.000), and increase in MMO (P = 0.01, P = 0.001) were statistically significant compared to the baseline in the TENS and AL groups. No significant differences were detected between TENS and LA for overall facial pain, muscle tenderness, or MMO at 1 month follow-up (P &gt; 0.05). Both LA and TENS are effective physical therapies with promising effects on sign and symptom improvements in MPDS patients.</t>
  </si>
  <si>
    <t>Effectiveness of Photobiomodulation Therapy in the Treatment of Myofascial Pain Syndrome of the Upper Trapezius Muscle: A Systematic Review and Meta-Analysis</t>
  </si>
  <si>
    <t>"A total of 17 studies (944 patients) were included; data regarding participants, intervention parameters, outcome measures, time of measurement, and follow-up were extracted. 
"Assessment according to the PEDro scale revealed 12 high-quality, 3 fair-quality, and 2 low-quality studies. 
According to the GRADE system, studies exhibited low to medium quality of evidence, with medium ES [SMD -0.54 (95% CI -1.05 to -0.02)] for studies using PBMT alone and large ES [SMD -0.80 (95% CI -1.35 to -0.26)] for PBMT+EX."
"PBMT, when combined with EX, had more significant effects in reducing pain and increasing PPT compared with controls. 
The low-quality studies with low to moderate quality of evidence limit the confidence in the effect estimate and recommend further high-quality studies for standardization of treatment protocols and irradiation parameters."</t>
  </si>
  <si>
    <t>Effects of Dry Needling and Low-Power Laser for the Treatment of Trigger Points in the Upper Trapezius Muscle: A Randomized Clinical Trial</t>
  </si>
  <si>
    <t>PBM vs dry needling vs stretching</t>
  </si>
  <si>
    <t>"3 sessions for 2 weeks" (?)</t>
  </si>
  <si>
    <t>"The use of laser therapy and dry needling methods induced a rapid response to pain relief. There was no difference between the 2 forms of treatment in the short term."</t>
  </si>
  <si>
    <t>📕 available in july 2023</t>
  </si>
  <si>
    <t>Dalpiaz</t>
  </si>
  <si>
    <t>Dry Needling and Photobiomodulation Decreases Myofascial Pain in Trapezius of Women: Randomized Blind Clinical Trial</t>
  </si>
  <si>
    <t>🧑 Human
🎲 Randomized trial
👥 43 participants
⌛ single treatment -&gt; 1-month follow-up</t>
  </si>
  <si>
    <t xml:space="preserve">⚔ Groups:
- dry needling (DN)
- DN and PBM
- DN outside of trigger point
</t>
  </si>
  <si>
    <t>"DN added to PBM presented similar results compared to DNout and DN."</t>
  </si>
  <si>
    <t>Comparison of the effects between lasers applied to myofascial trigger points and to classical acupoints for patients with cervical myofascial pain syndrome</t>
  </si>
  <si>
    <t>🧑 Human
⚔ Comparison study
👥 100 participants</t>
  </si>
  <si>
    <t>"One hundred participants with cervical myofascial pain syndrome were randomly allocated to four treatment groups, including (1) acupoint therapy (AcuT), (2) acupoint control (AcuC), (3) trigger point therapy (TriT), and (4) trigger point control (TriC) groups."
"Immediate pain relief was observed in the TriT group (p &lt; 0.01). The TriT group showed improved cervical ROM in ipsilateral bending (p &lt; 0.01), while the AcuT group did not."
"Considering the risk of pneumothorax, laser therapy at trigger points for patients with cervical MPS may be a choice when acupuncture therapy is unavailable."</t>
  </si>
  <si>
    <t>Shahimoridi</t>
  </si>
  <si>
    <t>The Effectiveness of the Polarized Low-Level Laser in the Treatment of Patients With Myofascial Trigger Points in the Trapezius Muscles.</t>
  </si>
  <si>
    <t>🧑 Human
⚔ Comparison study
👥 64 participants
⌛ 2 weeks</t>
  </si>
  <si>
    <t>"PLLLT and LLLT can effectively treat MTrPs in the trapezius muscles and they reduce RP, LNM, PMTB, and SMTB in particular.
However, the effect of the LLLT was significantly greater than that of PLLLT. 
In accordance with the observed results, LLLT is recommended as an effective method for treating MTrPs."</t>
  </si>
  <si>
    <t>Device: "poly laser Trion LASER system (Sperian Co., Germany)"</t>
  </si>
  <si>
    <t>Front Dent</t>
  </si>
  <si>
    <t>A Comparative Study of Low-Level Laser Therapy and Transcutaneous Electrical Nerve Stimulation as an Adjunct to Pharmaceutical Therapy for Myofascial Pain Dysfunction Syndrome: A Randomized Clinical Trial.</t>
  </si>
  <si>
    <t>🧑 Human
🎲 Randomized trial
👥 108 participants
⌛ 5-week treatment / 8-week study</t>
  </si>
  <si>
    <t xml:space="preserve">⚔ PBM vs TENS vs ctrl
</t>
  </si>
  <si>
    <t>"Pain in the trapezius muscle and pain on mouth opening resolved faster in the laser + medication group. The recovery rate was faster in the mean muscle pain, general pain reported by patients, pain in the masseter and pterygoid muscles and pain and limitation in lateral movements in both laser + medication and TENS groups."</t>
  </si>
  <si>
    <t>Device: "Newtens 900F device (Novin Medical Engineering, Iran)"</t>
  </si>
  <si>
    <t>Király</t>
  </si>
  <si>
    <t>Hungary
(Gyor)</t>
  </si>
  <si>
    <t>Comparative study of shockwave therapy and low-level laser therapy effects in patients with myofascial pain syndrome of the trapezius.</t>
  </si>
  <si>
    <t>🧑 Human
⚔ Comparison study
👥 61 participants
⌛ 3-week treatment / 15-week study</t>
  </si>
  <si>
    <t>(808+
940)</t>
  </si>
  <si>
    <t>800-
2000
(see full text)</t>
  </si>
  <si>
    <t>3-9</t>
  </si>
  <si>
    <t>"The results of our study point to a conclusion that both laser and shockwave therapy are effective in myofascial pain syndrome, though we found shockwave therapy to be somewhat more beneficial."
Comment: Wavelength wasn't stated in the article, but according to the manufacturer of the device PR999 4W scanning laser, it emits a combination of 808 and 940 nm near-infrared light
Comment: See full text for additional details about the treatment parameters. They treated the area around the trigger point with different parameters.</t>
  </si>
  <si>
    <t>Device: "PR999 4W scanning laser; Medical Italia"</t>
  </si>
  <si>
    <t>Altindiş &amp; Güngörmüş</t>
  </si>
  <si>
    <t>Thermographic evaluation of occlusal splint and low level laser therapy in myofascial pain syndrome.</t>
  </si>
  <si>
    <t>🧑 Human
⚔ Comparison study
👥 20 participants
⌛ 3-week treatment -&gt; 3-month follow-up</t>
  </si>
  <si>
    <t>⚔ PBM vs stabilisation splint</t>
  </si>
  <si>
    <t>5
/zone</t>
  </si>
  <si>
    <t>10
/zone</t>
  </si>
  <si>
    <t>"It was concluded that both occlusal splint therapy and low level laser therapy were effective in the treatment of MPS, and when thermographic data were taken into account, LLLT treatments could provide more advantageous results in these patients."</t>
  </si>
  <si>
    <t>Device: "SIROLaser EXTEND (Sirona, Bensheim, Germany) 970 nm diode laser"</t>
  </si>
  <si>
    <t>Agung</t>
  </si>
  <si>
    <t>Low-level laser therapy and dry needling for myofascial pain syndrome of the upper trapezius muscle: An interventional study</t>
  </si>
  <si>
    <t>🧑 Human
⚔ Comparison study
👥 31 participants
⌛ 4 weeks</t>
  </si>
  <si>
    <t>⚔ PBM vs dry needling</t>
  </si>
  <si>
    <t>"Changes in VAS scores, pain tolerance values, and ROM were larger with low-level laser therapy than with dry needling."
Comment: Inadequate parameter reporting.</t>
  </si>
  <si>
    <t>Device: not described</t>
  </si>
  <si>
    <t>Effectiveness of low-level laser therapy on pain intensity, pressure pain threshold, and SF-MPQ indexes of women with myofascial pain.</t>
  </si>
  <si>
    <t>🧑 Human
🎲 Randomized trial, double-blind
👥 91 participants
⌛ 4-week treatment -&gt; 30-day follow-up</t>
  </si>
  <si>
    <t>⚔ PBM vs placebo vs ctrl
TMD patients</t>
  </si>
  <si>
    <t>20
30</t>
  </si>
  <si>
    <t>5
(mass &amp; temp)
7.5
(TMJ)</t>
  </si>
  <si>
    <t>0.034 cm2 spot area</t>
  </si>
  <si>
    <t>"In conclusion, the LLLT active or placebo are effective in reducing the overall subjective perception of myofascial pain (VAS and SF-MPQ indexes); however, they have no effectiveness in reducing the pain sensitivity in orofacial and corporal points (PPT increase)."
Comment: Even placebo was quite effective, so it seems there was not much space for any possible additional benefit from PBM. Maybe not the best possible setting for a LLLT study...</t>
  </si>
  <si>
    <t>Device: "GaAlAs laser (Twin Laser, MMOptics, São Carlos, São Paulo, Brazil)"</t>
  </si>
  <si>
    <t>Taheri</t>
  </si>
  <si>
    <t>Adv Biomed Res</t>
  </si>
  <si>
    <t>Comparative study of shock wave therapy and Laser therapy effect in elimination of symptoms among patients with myofascial pain syndrome in upper trapezius</t>
  </si>
  <si>
    <t>🧑 Human
⚔ Comparison study
👥 46 participants</t>
  </si>
  <si>
    <t>"According to this study results, we can conclude that shock wave and laser therapy results on similar effect in long-term for relieve of pain and eliminating symptoms in patients with myofascial but laser provides a faster optimal results.2
Comment: Wavelength and other relevant parameters not reported. The authors claim to have used "Indolaser" device which may not exist. It is possible they are referring to "Endolaser" devices which may have 808 and 905 nm wavelengths.</t>
  </si>
  <si>
    <t>Fluence-dependent effects of low-level laser therapy in myofascial trigger spots on modulation of biochemicals associated with pain in a rabbit model.</t>
  </si>
  <si>
    <t>"LLLT irradiation with fluences of 4.5 and 27 J/cm(2) at [myofascial trigger points] can significantly reduce SP level in [dorsal root ganglion].
LLLT with lower fluence of 4.5 J/cm(2) exerted lower levels of TNF-α and COX-2 expression in laser-treated muscle, but LLLT with higher fluence of 27 J/cm(2) elevated the levels of [β-endorphin] in serum, [dorsal root ganglion], and muscle."</t>
  </si>
  <si>
    <t>Sumen</t>
  </si>
  <si>
    <t>Turkey
(Denizli)</t>
  </si>
  <si>
    <t>Efficacy of low level laser therapy and intramuscular electrical stimulation on myofascial pain syndrome.</t>
  </si>
  <si>
    <t>🧑 Human
🎲 Randomized trial
👥 47 participants
⌛ 2-week treatment -&gt; 1-month follow-up</t>
  </si>
  <si>
    <t>⚔ Groups:
- Stretching exercise (SE)
- SE + PBM
- SE + intramusculular electrical stimulation</t>
  </si>
  <si>
    <t>5
max power</t>
  </si>
  <si>
    <t>"In this study we observed that both LLLT and IMS treatments added on to stretching are effective in improving pain parameters in patients with MPS."</t>
  </si>
  <si>
    <t>Device: "LP-5F1, Ito.Co, a portable laser device which has 10 Hz output mode and 670 nm wavelength"
Application: to upper trapezius muscle</t>
  </si>
  <si>
    <t>Effectiveness of occlusal splints and low-level laser therapy on myofascial pain.</t>
  </si>
  <si>
    <t>🧑 Human
🎲 Randomized trial, sham-controlled
👥 30 participants
⌛ 10-day treatment / 3-week study</t>
  </si>
  <si>
    <t>⚔ Groups
- occlusal splint
- PBM
- placebo</t>
  </si>
  <si>
    <t>20
/ trigger point</t>
  </si>
  <si>
    <t>"The pain score values decreased significantly after both LLLT (p &lt; 0.05) and occlusal splint therapy (p &lt; 0.05) compared to placebo group (p &lt; 0.05). There was no significant difference between LLLT and OS groups after treatment (p &gt; 0.05). OS and LLLT are effective for decreasing MP. In addition, this particular type of LLLT is as effective as occlusal splint for pain relief."
Comment: In the photograph, a red spot is seen, even though 1064nm should be invisible. It is possible that the device uses the red light just to help the targeting of the invisible NIR beam.</t>
  </si>
  <si>
    <t>Application: from 1 cm distance</t>
  </si>
  <si>
    <t>Dundar</t>
  </si>
  <si>
    <t>Effect of high-intensity laser therapy in the management of myofascial pain syndrome of the trapezius: a double-blind, placebo-controlled study.</t>
  </si>
  <si>
    <t>🧑 Human
🎲 Randomized trial, double-blind
👥 75 participants
⌛ 3-week treatment / 12-week study</t>
  </si>
  <si>
    <t>⚔ Groups
- HILT + exercise
- placebo HILT + exercise</t>
  </si>
  <si>
    <t>1060
(3 phases)</t>
  </si>
  <si>
    <t>0.2 cm2 spot size</t>
  </si>
  <si>
    <t>"HILT group showed greater improvement in pain scores, the neck disability index, and several subparts of the short-form 36 health survey (SF-36) (physical functioning, role limitations due to physical functioning, bodily pain, general health perceptions, social functioning, and role limitations due to emotional problems) than did the sham therapy group."
"We conclude that HILT is an effective therapeutic method in the treatment of patients with chronic MPS of the trapezius muscle."</t>
  </si>
  <si>
    <t>Device: "HIRO 3.0; ASA laser, Arcugnano, Italy"</t>
  </si>
  <si>
    <t>Manca</t>
  </si>
  <si>
    <t>Ultrasound and laser as stand-alone therapies for myofascial trigger points: a randomized, double-blind, placebo-controlled study.</t>
  </si>
  <si>
    <t>🧑 Human
🎲 Randomized trial
👥 60 participants
⌛ 2-week treatment -&gt; 12-week follow-up</t>
  </si>
  <si>
    <t>Pain (trigger points)
⚔ Groups:
- PBM
- placebo PBM
- ultrasound
- placebo ultrasound
- ctrl</t>
  </si>
  <si>
    <t>0.0225</t>
  </si>
  <si>
    <t>LLLT+ultrasound was not better than placebo. LLLT and placebo were better than control (no treatment).
Note: In the PubMed Commons, there is some discussion between Jan Tunér and the study author Andrea Manca.</t>
  </si>
  <si>
    <t>Öz</t>
  </si>
  <si>
    <t>Management of myofascial pain: low-level laser therapy versus occlusal splints.</t>
  </si>
  <si>
    <t>🧑 Human
⚔ Comparison study, randomized
👥 40 participants
⌛ 5 weeks</t>
  </si>
  <si>
    <t>⚔ PBM (5 weeks) vs occlusal splint (3 months)</t>
  </si>
  <si>
    <t>"This particular type of low-level laser therapy (820 nm, 3 J/cm2, 300-mW output power) is as effective as occlusal splint in pain release and mandibular movement improvement in MP."
Comment: According to this paper, occlusal splint was used 24h/day for 3 months which sounds unlikely. Also it seems that PBM was used for 5 weeks and occlusal splint for 3 months, so the interventions (and the evaluations) had different time scales.</t>
  </si>
  <si>
    <t>Device: "continuous lowintensity semiconductor (Doris Diode Laser, CTL 1106 MX; Warsaw, Poland)"</t>
  </si>
  <si>
    <t>Evaluation of low intensity laser therapy in myofascial pain syndrome.</t>
  </si>
  <si>
    <t>🧑 Human
🎲 Randomized trial, sham-controlled
👥 60 participants
⌛ 4-week treatment -&gt; 1-month follow-up</t>
  </si>
  <si>
    <t>50
60
70</t>
  </si>
  <si>
    <t>25
60
105</t>
  </si>
  <si>
    <t>"The analgesic effect of the LILT was similar to the placebo groups."
Comment: The parameters were inadequately reported.</t>
  </si>
  <si>
    <t>Device: "gallium-aluminum-arsenide (GaAlAs) diode laser (...) Twin Laser, MM Optics Ltda., Class IIIb laser product"</t>
  </si>
  <si>
    <t>The effect of gallium arsenide aluminum laser therapy in the management of cervical myofascial pain syndrome: a double blind, placebo-controlled study.</t>
  </si>
  <si>
    <t>🧑 Human
🎲 Randomized trial, double-blind
👥 64 participants
⌛ 3-week treatment / 4-week study</t>
  </si>
  <si>
    <t>450
max</t>
  </si>
  <si>
    <t>42
(6p)</t>
  </si>
  <si>
    <t>"In both groups, statistically significant improvements were detected in all outcome measures compared with baseline (p &lt; 0.05). However, no significant differences were obtained between the two groups (p &gt; 0.05).
In conclusion, although the laser therapy has no superiority over placebo groups in this study, we cannot exclude the possibility of effectivity with another treatment regimen including different laser wavelengths and dosages (different intensity and density and/or treatment interval)."</t>
  </si>
  <si>
    <t>Investigation of the effect of GaAs laser therapy on cervical myofascial pain syndrome.</t>
  </si>
  <si>
    <t>🧑 Human
🎲 Randomized trial, double-blind
👥 53 participants
⌛ 2-week treatment -&gt; 12-week follow-up</t>
  </si>
  <si>
    <t>"In conclusion, the results of our study have not shown the superiority of GaAs laser therapy over placebo in the treatment of cervical myofascial pain syndrome, but we suggest that further studies on this topic be done using different laser types and dosages in larger patient populations."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</si>
  <si>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Device: "Roland Serie Elettronica Pagani"</t>
  </si>
  <si>
    <t>Efficacy of 904 nm gallium arsenide low level laser therapy in the management of chronic myofascial pain in the neck: a double-blind and randomize-controlled trial.</t>
  </si>
  <si>
    <t>🧑 Human
🎲 Randomized trial, double-blind
👥 60 participants
⌛ 2-week treatment / 12-week study</t>
  </si>
  <si>
    <t>~2</t>
  </si>
  <si>
    <t>1 cm2 device surface</t>
  </si>
  <si>
    <t>180
/ trigger point</t>
  </si>
  <si>
    <t>"In active laser group, statistically significant improvements were detected in all outcome measures compared with baseline (P &lt; 0.01) while in the placebo laser group, significant improvements were detected in only pain score at rest at the 1 week later of the end of treatment. The score for self-assessed improvement of pain was significantly different between the active and placebo laser groups (63 vs. 19%) (P &lt; 0.01)."</t>
  </si>
  <si>
    <t>Device: "a Ga–As infrared laser, class III b Laser Product, with a wavelength of 904 nm, Frank Line IR 30, Fysiomed Belgium"</t>
  </si>
  <si>
    <t>Ceylan</t>
  </si>
  <si>
    <t>The effects of infrared laser and medical treatments on pain and serotonin degradation products in patients with myofascial pain syndrome. A controlled trial.</t>
  </si>
  <si>
    <t>🧑 Human
🎲 Randomized trial, sham-controlled
👥 46 participants
⌛ 10 days</t>
  </si>
  <si>
    <t>1.44
/p</t>
  </si>
  <si>
    <t>"At the end of the treatment, there was a statistically significant difference between the VAS values of the treatment and control groups. The 24-h urinary excretion of the 5-HIAA and 5-HT+5-HTP was significantly higher in the laser treatment group than in the placebo group."</t>
  </si>
  <si>
    <t>Device: "Gymna 200 laser"</t>
  </si>
  <si>
    <t>Simunovic Z</t>
  </si>
  <si>
    <t>Low level laser therapy with trigger points technique: a clinical study on 243 patients.</t>
  </si>
  <si>
    <t>🧑 Human
📄 Retrospective study</t>
  </si>
  <si>
    <t>633
820-830
904</t>
  </si>
  <si>
    <t>"Results measured according to VAS/VRS/PTM: in acute pain, diminished more than 70%; in chronic pain more than 60%. Clinical effectiveness (success or failure) depends on the correctly applied energy dose--over/underdosage produces opposite, negative effects on cellular metabolism. We did not observe any negative effects on the human body and the use of analgesic drugs could be reduced or completely excluded. LLLT suggests that the laser beam can be used as monotherapy or as a supplementary treatment to other therapeutic procedures for pain treatment."</t>
  </si>
  <si>
    <t>Snyder-Mackler</t>
  </si>
  <si>
    <t>Effects of helium-neon laser irradiation on skin resistance and pain in patients with trigger points in the neck or back.</t>
  </si>
  <si>
    <t>🧑 Human
🎲 Randomized trial, sham-controlled
👥 24 participants
⌛ ~1-week</t>
  </si>
  <si>
    <t>0.95 
(?)</t>
  </si>
  <si>
    <t>1 cm2 treatment area
(trigger point)</t>
  </si>
  <si>
    <t>3
/ ~1 week</t>
  </si>
  <si>
    <t>"Results indicated a statistically significant increase in skin resistance (p less than .001) and a decrease in pain (p less than .005) following laser treatment. There was not a significant correlation between skin resistance and pain across subjects. These data substantiate the previous findings of Snyder-Mackler and associates and demonstrate a reduction in pain. Helium-neon laser treatment, therefore, may be an effective adjunct to conventional physical therapy of these patients."</t>
  </si>
  <si>
    <t>Device: "Dynatron 1120* (...) * Dynatronics Research Corp, 270 W Crossroads Square, Salt Lake City, UT 84115"</t>
  </si>
  <si>
    <t>Ceccherelli</t>
  </si>
  <si>
    <t>Diode laser in cervical myofascial pain: a double-blind study versus placebo.</t>
  </si>
  <si>
    <t>🧑 Human
🎲 Randomized trial, double-blind
👥 27 participants</t>
  </si>
  <si>
    <t>"The results show a pain attenuation in the treated group and a statistically significant difference between the two groups of patients, both at the end of therapy and at the 3-month follow-up examination."</t>
  </si>
  <si>
    <t>Airaksinen</t>
  </si>
  <si>
    <t>Finland</t>
  </si>
  <si>
    <t>Effects of the infrared laser therapy at treated and non-treated trigger points</t>
  </si>
  <si>
    <t>🧑 Human
🎲 Randomized trial, crossover</t>
  </si>
  <si>
    <t>Trigger point pain</t>
  </si>
  <si>
    <t>"Our research study results suggest that infrared laser had an effect at the trigger points and that the treatment significantly increased the pain threshold."</t>
  </si>
  <si>
    <t>Waylonis</t>
  </si>
  <si>
    <t>Chronic myofascial pain: management by low-output helium-neon laser therapy.</t>
  </si>
  <si>
    <t>🧑 Human
DB
Crossover</t>
  </si>
  <si>
    <t>"Sixty-two patients were treated by using acupuncture points. Two sessions of five treatments were given six weeks apart. A crossover double-blind technique was used in the treatments. The clinical responses were assessed using portions of the McGill Pain Questionnaire. No statistical difference between the treatment and the placebo groups could be determined."</t>
  </si>
  <si>
    <t>Effect of helium-neon laser on musculoskeletal trigger points.</t>
  </si>
  <si>
    <t>🧑 Human
🎲 Randomized trial, sham-controlled
👥 24 participants
⌛ ~1 week</t>
  </si>
  <si>
    <t>0.014
/ trigger point (?)</t>
  </si>
  <si>
    <t>1 cm2 trigger point area</t>
  </si>
  <si>
    <t>"The results of a two-way analysis of covariance with one repeated measure showed a statistically significant increase (p less than .007) in skin resistance. This increase in an abnormal skin resistance pattern may accompany the resolution of pathological conditions."</t>
  </si>
  <si>
    <t>Lewith &amp; Machin</t>
  </si>
  <si>
    <t>A randomised trial to evaluate the effect of infra-red stimulation of local trigger points, versus placebo, on the pain caused by cervical osteoarthrosis.</t>
  </si>
  <si>
    <t>🧑 Human
🎲 Randomized trial
👥 26 participants (25 completed)
⌛ 2 weeks</t>
  </si>
  <si>
    <t>400-
2200</t>
  </si>
  <si>
    <t>4
/ ~2 weeks</t>
  </si>
  <si>
    <t>"In the group receiving treatment from the infra-red gun (IRS Medtec 100) 75% obtained significant pain relief. In the group receiving mock TNS 31% obtained significant pain relief. A chi-squared test comparing these two groups give a P value of 0.07."</t>
  </si>
  <si>
    <t>Device: IRS Medtec 100 (halogen)</t>
  </si>
  <si>
    <t>Neck</t>
  </si>
  <si>
    <t>Multimodal therapeutic intervention program associated with photobiomodulation therapy for individuals with chronic nonspecific neck pain: protocol for a clinical trial</t>
  </si>
  <si>
    <t>China
(Ganzhou)</t>
  </si>
  <si>
    <t>The effectiveness of high-intensity laser therapy in individuals with neck pain: a systematic review and meta-analysis</t>
  </si>
  <si>
    <r>
      <rPr>
        <sz val="6.0"/>
      </rPr>
      <t xml:space="preserve">"Eight RCTs were included and their PEDro scores were moderate to high. 
Compared with placebo, HILT was effective in improving pain intensity (SMD 2.12, 95%CI 1.24 to 3.00; moderate quality evidence), cervical flexion (SMD 1.31, 95%CI 0.27 to 2.35; moderate quality evidence), extension (SMD 1.43, 95%CI 0.24 to 2.63; moderate quality evidence), right lateral flexion (SMD 1.36, 95%CI 0.15 to 2.56; low-quality evidence). 
There was a trend of better outcome in functional activity after HILT (SMD 1.73, 95%CI -0.05 to 3.54; low quality evidence)."
Note: There is a letter and a reply published related to this paper (I haven't accessed those):
- Comments </t>
    </r>
    <r>
      <rPr>
        <color rgb="FF1155CC"/>
        <sz val="6.0"/>
        <u/>
      </rPr>
      <t>https://pubmed.ncbi.nlm.nih.gov/38262865/</t>
    </r>
    <r>
      <rPr>
        <sz val="6.0"/>
      </rPr>
      <t xml:space="preserve"> 
- Response </t>
    </r>
    <r>
      <rPr>
        <color rgb="FF1155CC"/>
        <sz val="6.0"/>
        <u/>
      </rPr>
      <t>https://pubmed.ncbi.nlm.nih.gov/38238204/</t>
    </r>
  </si>
  <si>
    <r>
      <rPr>
        <sz val="7.0"/>
      </rPr>
      <t xml:space="preserve">Neck </t>
    </r>
    <r>
      <rPr>
        <sz val="6.0"/>
      </rPr>
      <t>(and shoulder)</t>
    </r>
  </si>
  <si>
    <t>Sammons</t>
  </si>
  <si>
    <t>Assessing the Impact of High Photon Energy Wavelengths on the Treatment of Chronic Neck and Shoulder Pain</t>
  </si>
  <si>
    <t>🧑 Human
📄 Single-arm study
👥 43 participants
⌛ Single session</t>
  </si>
  <si>
    <t xml:space="preserve">Blue light 🔵 (violet) +
Green light 🟢
</t>
  </si>
  <si>
    <t>405+
520</t>
  </si>
  <si>
    <t>5+
7.5</t>
  </si>
  <si>
    <t>4.88</t>
  </si>
  <si>
    <t>"Results demonstrated subjects' VAS pain scores decreased from 71.79 to 34.02 (p &lt; 0.0001), while most participants in the study (81.4%) achieved a ≥30% decrease in pain scores."
Comment: It seems that new data from blue+green irradiation was compared to old research data with red or red+blue (violet)</t>
  </si>
  <si>
    <t>Device: Erchonia PL2000</t>
  </si>
  <si>
    <t>de la Barra Ortiz</t>
  </si>
  <si>
    <t>Effect of high-intensity laser therapy in patients with non-specific chronic neck pain: study protocol for a randomized controlled trial</t>
  </si>
  <si>
    <t>Efficacy of Low-Level Laser Therapy for the Treatment of Nonspecific Chronic Neck Pain: Low-Level Laser Therapy vs. Sham Laser</t>
  </si>
  <si>
    <t>🧑 Human
🎲 Randomized trial, sham-controlled
👥 40 participants
⌛ 4-week treatment -&gt; 4-week follow-up</t>
  </si>
  <si>
    <t>"This study showed a statistically significant reduction in chronic nonspecific neck pain in the LLLT group (P&lt;0.05)."</t>
  </si>
  <si>
    <t>Odagiri</t>
  </si>
  <si>
    <t>Japan
(Hamamatsu)</t>
  </si>
  <si>
    <t>Feasibility study of a LED light irradiation device for the treatment of chronic neck with shoulder muscle pain/stiffness</t>
  </si>
  <si>
    <t>🧑 Human
📄 Single-arm study
👥 10 participants
⌛ Single session</t>
  </si>
  <si>
    <t>57 (?)</t>
  </si>
  <si>
    <t>"Immediately after irradiation, the subjective symptoms of the neck with shoulder muscle stiffness and pain evaluated by a visual analog scale were improved from 58.3 mm ± 18.7 mm to 45.5 mm ± 21.5 mm and from 45.8 mm ± 23.3 mm to 39.4 mm ± 21.8 mm, respectively. The symptoms further improved after 15 minutes of irradiation."
"The skin temperature at the irradiated point increased from 34.3°C ± 1.1°C to 41.0°C ± 0.7°C. The increase in skin temperature was observed within approximately 5 cm of the irradiated area. There was no effect on the heart rate variability, a measure of the autonomic nervous system; however, the baroreflex sensitivity was slightly increased."</t>
  </si>
  <si>
    <t>Tehrani</t>
  </si>
  <si>
    <t>Efficacy of low-level laser therapy on pain, disability, pressure pain threshold, and range of motion in patients with myofascial neck pain syndrome: a systematic review and meta-analysis of randomized controlled trials</t>
  </si>
  <si>
    <t>"A total of 13 randomized controlled trials were included in this systematic review and meta-analysis. The data assessing laser effectiveness on different outcomes of 556 patients were considered for meta-analysis. 
Pooled results revealed that LLLT was significantly effective in pain reduction (MD = - 1.29, 95% CI = - 2.36; - 0.23, P &lt; 0.001). Also, secondary outcomes including PPT (SMD of 2.63, 95% CI = 0.96; 4.30, P &lt; 0.01) and right bending ROM (SMD of 3.44, 95% CI = 0.64; 6.24, P &lt; 0.01) were improved, while disability (MD of - 7.83, 95% CI = - 17.1; 0.08, P = 1.34) did not improve significantly after LLLT. 
Our meta-data revealed that LLLT may reduce myofascial neck pain and its related outcomes. LLLT is suggested to be used by clinicians along with other therapies such as manual and exercise therapy."</t>
  </si>
  <si>
    <t>De Toni</t>
  </si>
  <si>
    <t>Physiotherapeutic approach in seamstresses with neck pain: A single-blind, randomized clinical trial</t>
  </si>
  <si>
    <t>🧑 Human
🎲 Randomized trial
👥 36 participants
⌛ 5-week treatment / 6-week study</t>
  </si>
  <si>
    <t>38.4
(16p)</t>
  </si>
  <si>
    <t>0.116
cm2
beam
size</t>
  </si>
  <si>
    <t>1280
(16p)</t>
  </si>
  <si>
    <t>"Interventions with photobiomodulation, ultrasound, and exercise assist to pain, function, and muscular activation in seamstresses with neck pain."
Comment: According to Figure 2, PBM does not seem to provide any additional benefit to exercise.</t>
  </si>
  <si>
    <r>
      <rPr>
        <sz val="7.0"/>
      </rPr>
      <t xml:space="preserve">Neck </t>
    </r>
    <r>
      <rPr>
        <sz val="5.0"/>
      </rPr>
      <t>[and shoulder]</t>
    </r>
  </si>
  <si>
    <t>Photobiomodulation Therapy Combined with Static Magnetic Field Reduces Pain in Patients with Chronic Nonspecific Neck and/or Shoulder Pain: A Randomized, Triple-Blinded, Placebo-Controlled Trial</t>
  </si>
  <si>
    <t>🧑 Human
🎲 Randomized trial, triple-blind
👥 72 participants
⌛ 3-week treatment -&gt; 7-day follow-up</t>
  </si>
  <si>
    <t>Neck and shoulder pain</t>
  </si>
  <si>
    <t>~231</t>
  </si>
  <si>
    <t>"PBMT-sMF was able to reduce pain intensity in all time points tested compared to placebo (p &lt; 0.05). There was no difference between groups in the secondary outcomes (p &gt; 0.05)."</t>
  </si>
  <si>
    <t>Association of photobiomodulation therapy and therapeutic exercises in relation to pain intensity and neck disability in individuals with chronic neck pain: a systematic review of randomized trials</t>
  </si>
  <si>
    <t>"After verification and implementation of eligibility criteria, seven manuscripts were considered eligible for data analysis. These manuscripts had methodological quality between 5 and 8 points on the PEDro scale.
Most studies used low infrared laser therapy to perform PBMT, with a wide range of parameters and energy density between 2 and 7 J/cm2 and a total treatment time between 2 and 6 weeks. Four studies showed significant benefits in terms of pain intensity at short-term follow-up and one at intermediate-term follow-up. However, only one showed a minimal clinically important change. No studies have shown significant improvement in disability.
This review demonstrates that the association of PBMT with therapeutic exercises in general promotes significant benefits only for the intensity of pain. However, it does not seem to promote a minimally effective clinical difference in individuals with CNP."</t>
  </si>
  <si>
    <t>Kenareh</t>
  </si>
  <si>
    <t>Iran
(Yadz)</t>
  </si>
  <si>
    <t>The Comparison of The Efficacy of Photobiomodulation and Ultrasound in the Treatment of Chronic Non-specific Neck Pain: A Randomized Single-Blind Controlled Trial</t>
  </si>
  <si>
    <t>🧑 Human
🎲 Randomized trial, sham-controlled
👥 60 participants
⌛ 2-week treatment -&gt; 2-week follow-up</t>
  </si>
  <si>
    <t>15 +
100</t>
  </si>
  <si>
    <t>180+
360</t>
  </si>
  <si>
    <t>"The mean age of the participants was 37.53±9.52 and 41.16±7.85 years in physiotherapy and laser therapy respectively. The VAS score and NDI scores decreased after both kinds of interventions, and the effect of photobiomodulation was significantly higher than physiotherapy (P &lt; 0.001). Both treatment modalities significantly affect different aspects of chronic neck pain assessed by NDPS and BQN questionnaires and the effect of photobiomodulation was more prominent than physiotherapy."
"The findings of this study showed that photobiomodulation and physiotherapy can reduce chronic neck pain and its different aspects and the effect of laser therapy was significantly higher than physiotherapy."</t>
  </si>
  <si>
    <t>Device: "VELAS II-15B device (Wuhan Gigaa Optronics Technology, China)"</t>
  </si>
  <si>
    <t>Rampazo</t>
  </si>
  <si>
    <t>Photobiomodulation therapy and transcutaneous electrical nerve stimulation on chronic neck pain patients: Study protocol clinical trial (SPIRIT Compliant).</t>
  </si>
  <si>
    <t>"The findings of this study might clarify the importance of using the photobiomodulation therapy and transcutaneous electrical nerve stimulation for patients with chronic neck pain."</t>
  </si>
  <si>
    <t>Efficacy of Multiwave Locked System Laser on Pain and Function in Patients with Chronic Neck Pain: A Randomized Placebo-Controlled Trial.</t>
  </si>
  <si>
    <t xml:space="preserve">🧑 Human
🎲 Randomized trial, sham-controlled
👥 75 participants
⌛ </t>
  </si>
  <si>
    <t>⚔ Groups:
- MLS-PBM + EX
- LLLT-PBM + EX
- sham-PBM + EX</t>
  </si>
  <si>
    <t>808+
905
vs
830</t>
  </si>
  <si>
    <t>500+
54
500</t>
  </si>
  <si>
    <t>3.14 cm2 spot</t>
  </si>
  <si>
    <t>"MLS laser therapy in conjunction with exercises decreased pain and increased functional activity following 6 months of therapy. MLS laser therapy in combination with exercises is a more effective therapy for CNP compared to exercise plus LLLT or exercise alone."
Comment: In this paper, the scores didn't change in normal LLLT group but worsened in placebo group. In this sense, even LLLT was better than placebo. But best scores were achieved with this dual-wavelength "MLS laser therapy". I wonder why it was superior in this study.</t>
  </si>
  <si>
    <t>Efficacy of high-intensity laser therapy in the treatment of chronic neck pain: a randomized double-blind placebo-control trial.</t>
  </si>
  <si>
    <t>~2250</t>
  </si>
  <si>
    <t>"The combination of HILT + EX effectively increased cervical ROM, functional activity, and reduced pain after 6 weeks of treatment."</t>
  </si>
  <si>
    <t>Device: "HIRO 3 device (ASA, Arcugnano, Vicenza, Italy)"</t>
  </si>
  <si>
    <t>Spine J</t>
  </si>
  <si>
    <t>Are manual therapies, passive physical modalities, or acupuncture effective for the management of patients with whiplash-associated disorders or neck pain and associated disorders? An update of the Bone and Joint Decade Task Force on Neck Pain and Its Associated Disorders by the OPTIMa collaboration.</t>
  </si>
  <si>
    <t>(1) According to the abstract, evidence on LLLT seems negative: "LLLT does not offer benefits"
(2) Because of this conclusion, Roberta Chow published a Letter to the Editor, noting that the full text of the article suggests that there is "consistent evidence" for LLLT in neck pain and associated disorders.
(3) In their response, Wong et al mention that the abstract summarizes only the "new evidence", while the totality of data supports LLLT.</t>
  </si>
  <si>
    <t>Swedish Council on Health Technology Assessment (SBU)</t>
  </si>
  <si>
    <t>Laser Treatment of Neck Pain [Internet].</t>
  </si>
  <si>
    <t>"In cases of chronic neck pain, low effect laser therapy can provide relief from pain for 2–6 months after the completion of treatment. The studies have not especially focused on side effects, but no serious complications or side effects have been reported. 
There are no cost-effectiveness studies comparing low level laser to other treatments. Several well-executed studies are necessary to determine with certainty the effects of treatment with low level laser compared to placebo and other methods, above all in cases of acute pain, and with regard to function and working capacity, and to long-term effects."
SBU report: https://www.sbu.se/en/publications/sbu-assesses/laser-treatment-of-neck-pain/</t>
  </si>
  <si>
    <t>Kadhim-Saleh</t>
  </si>
  <si>
    <t>Is low-level laser therapy in relieving neck pain effective? Systematic review and meta-analysis.</t>
  </si>
  <si>
    <t>"This systematic review provides inconclusive evidence because of significant between-study heterogeneity and potential risk of bias. The benefit seen in the use of LLLT, although statistically significant, does not constitute the threshold of minimally important clinical difference."
In their critique of this paper, Bjordal et al mention that in this meta-analysis, one important paper was excluded for erroneous reasons, and that there were also other false statements and methodological shortcomings in the paper.
In a PubMed Commons comment, James Carroll (THOR Photomedicine Ltd) also critisizes the review in a similar manner as Bjordal et al.</t>
  </si>
  <si>
    <t>Gross</t>
  </si>
  <si>
    <t>Open Orthop J</t>
  </si>
  <si>
    <t>Low Level Laser Therapy (LLLT) for Neck Pain: A Systematic Review and Meta-Regression.</t>
  </si>
  <si>
    <t>"Of 17 trials, 10 demonstrated high risk of bias.
For chronic neck pain, there was moderate quality evidence (2 trials, 109 participants) supporting LLLT over placebo to improve pain/disability/QoL/GPE up to intermediate-term (IT).
For acute radiculopathy, cervical osteoarthritis or acute neck pain, low quality evidence suggested LLLT improves ST pain/function/QoL over a placebo.
For chronic myofascial neck pain (5 trials, 188 participants), evidence was conflicting; a meta-regression of heterogeneous trials suggests super-pulsed LLLT increases the chance of a successful pain outcome."</t>
  </si>
  <si>
    <t>Leaver</t>
  </si>
  <si>
    <t>Conservative interventions provide short-term relief for non-specific neck pain: a systematic review.</t>
  </si>
  <si>
    <t>"Treatment with laser therapy resulted in better pain outcomes at medium-term follow-up but not at short-term follow-up."
Note: Bjordal et al. published a critical correspondence on this paper, with this summary: "The bottom line is that we interpret the evidence as consistently showing that properly administered LLLT reduces pain and disability both in the short-term and in the medium-term."
[Bjordal's comment can be google'd as a pdf file: http://ajp.physiotherapy.asn.au/AJP/56-4/JPhysiotherv56i4Bjordal.pdf ]</t>
  </si>
  <si>
    <t>Low-level laser therapy for acute neck pain with radiculopathy: a double-blind placebo-controlled randomized study.</t>
  </si>
  <si>
    <t>🧑 Human
🎲 Randomized trial, double-blind
👥 60 participants
⌛ 3 weeks</t>
  </si>
  <si>
    <t>"LLLT gave more effective short-term relief of arm pain and increased range of neck extension in patients with acute neck pain with radiculopathy in comparison to the placebo procedure."</t>
  </si>
  <si>
    <t>Guzman J</t>
  </si>
  <si>
    <t>Canada
(Vancouver)</t>
  </si>
  <si>
    <t>Lancet</t>
  </si>
  <si>
    <t>Neck pain and low-level laser: does it work and how?</t>
  </si>
  <si>
    <t>"Today's findings on low-level laser therapy indicate that this non-invasive treatment provides pain relief in the short and medium term for people with neck pain. This evidence is more solid than that for many current interventions. Although mechanisms of action and effects on function and occupational outcomes are not clearly understood and warrant further impartial study, low-level laser therapy is an option worthy of consideration for management of non-specific neck pain."
Note: This was published as a comment to Chow's article in Lancet.</t>
  </si>
  <si>
    <t>Efficacy of low-level laser therapy in the management of neck pain: a systematic review and meta-analysis of randomised placebo or active-treatment controlled trials.</t>
  </si>
  <si>
    <t>Chronic neck pain</t>
  </si>
  <si>
    <t>The meta-analysis:
  "Patients in 11 trials reporting changes in visual analogue scale had pain intensity reduced by 19.86 mm (10.04-29.68)."
  "We show that LLLT reduces pain immediately after treatment in acute neck pain and up to 22 weeks after completion of treatment in patients with
    chronic neck pain."</t>
  </si>
  <si>
    <t>The effect of 300 mW, 830 nm laser on chronic neck pain: a double-blind, randomized, placebo-controlled study.</t>
  </si>
  <si>
    <t>🧑 Human
🎲 Randomized trial, double-blind
👥 90 participants
⌛ 7-week treatment / 12-week study</t>
  </si>
  <si>
    <t>"Low-level laser therapy (LLLT), at the parameters used in this study, was efficacious in providing pain relief for patients with chronic neck pain over a period of 3 months."
Editorial notes some issues regarding the randomization: "Although patients were randomly assigned to the laser group and placebo group, there was a substantial imbalance of baseline pain scores between the groups (i.e. a difference of 1.9 on a 10-points scale)."
"A systematic evaluation of the evidence for the efficacy of LLLT on pain reduction is hampered by the multitude of variables involved in these treatments, such as kind of laser device, wavelength, power, energy density, treatment frequency and duration, and method of application. There is a need for standard guidelines for the application of LLLT in chronic neck pain patients particularly regarding duration, frequency, and optimal and minimal dosages. Further randomized controlled trials should address these treatment variables and use large sample sizes and long-term follow-up."</t>
  </si>
  <si>
    <t>Device: "Diolase devices (DioLase Corporation of Mountain View California, USA)"</t>
  </si>
  <si>
    <t>Aigner</t>
  </si>
  <si>
    <t>Adjuvant laser acupuncture in the treatment of whiplash injuries: a prospective, randomized placebo-controlled trial.</t>
  </si>
  <si>
    <t>🧑 Human
🎲 Randomized trial, sham-controlled
👥 45 participants
⌛ ~2-3 weeks (until symptom-free)</t>
  </si>
  <si>
    <t>3 per week until asymptomatic</t>
  </si>
  <si>
    <t>"Adjuvant laser acupuncture with a 5 mW HeNe laser and an irradiation time of 15 s appears to be ineffective in the management of whiplash injuries."</t>
  </si>
  <si>
    <t>Chow &amp; Barnsley</t>
  </si>
  <si>
    <t>Systematic review of the literature of low-level laser therapy (LLLT) in the management of neck pain.</t>
  </si>
  <si>
    <t>"Significant positive effects were reported in four of five trials in which infrared wavelengths (lambda = 780, 810-830, 904, 1,064 nm) were used. 
Heterogeneity in outcome measures, results reporting, doses, and laser parameters precluded formal meta-analysis. Effect sizes could be calculated for only two of the studies."
"This review provides limited evidence from one RCT for the use of infrared laser for the treatment of acute neck pain (n = 71) and chronic neck pain from four RCTs (n = 202). Larger studies are required to confirm the positive findings and determine the most effective laser parameters, sites and modes of application."</t>
  </si>
  <si>
    <t>Acute cervical pain is relieved with gallium arsenide (GaAs) laser radiation. A double-blind preliminary study</t>
  </si>
  <si>
    <t>🧑 Human
🎲 Randomized trial, double-blind
👥 71 participants
⌛ 2 weeks</t>
  </si>
  <si>
    <t>150 µm2 spot size</t>
  </si>
  <si>
    <t>"The treatment was effective in 94.59% of patients in group A, and 38.24% of group B (P &lt; 0.0019)."
"These results suggest that GaAs laser radiation is an efficient and safe treatment for patients with acute cervical pain. Six years have passed since we incorporated the GaAs laser into our therapeutic arsenal and up to date we have irradiated more than two thousand patients with different kinds of pain and pain sites. The aim of this work is to evaluate the real therapeutic effect versus the placebo effect of laser therapy in patients with acute cervical pain in both the immediate effect and the possible latency of the pain relief with LLLT."</t>
  </si>
  <si>
    <t>Neck / Torticollis</t>
  </si>
  <si>
    <t>He J-Z</t>
  </si>
  <si>
    <t>154 cases of myogenic torticollis treated with low incident energy combination carbon dioxide and Helium Neon laser beam</t>
  </si>
  <si>
    <t>633
+
10600</t>
  </si>
  <si>
    <t>1-2
+
500-
1000</t>
  </si>
  <si>
    <t>"LLLT achieved a complete cure rate of 58.5% and an overall effective rate of 85%, the shortest treatment period being one course (23 infants) and 16 infants requiring the longest treatment period of six courses (16 weeks)."</t>
  </si>
  <si>
    <t>Neuropathic</t>
  </si>
  <si>
    <t>Effect of photobiomodulation on neuropathic pain of diabetic origin: a narrative review of the literature</t>
  </si>
  <si>
    <t>"Fourteen articles met the selection criteria, hence being selected and included in this narrative review. PBM showed to be a promising modality in relieving painful symptoms in DPN, especially when implemented in combination with other therapies, by improving the quality of life of diabetic patients."</t>
  </si>
  <si>
    <t>Time-dependent photobiomodulation management of neuropathic pain induced by spinal cord injury in male rats</t>
  </si>
  <si>
    <t>"The results showed PBM irradiation for 2 and 4 weeks had the same effects in improving hyperalgesia. In the case of allodynia and functional recovery, 4 W PBMT was more effective (p&lt;0.01). 4 W PBMT increased the Gad65 expression (p &lt;0.001) and reduced P2Y4R (p &lt;0.05) compared to SCI animals. The effects of 2 and 4 W PBMT were the same for IL1α, IL10, and P2X3 receptors. 4 W PBMT was more effective in reducing the complications of SCI such as pain and disability."</t>
  </si>
  <si>
    <t>Evaluation of epigenetic (HDAC, DNMT) and pain (Gad65, TGF) factors following photobiomodulation therapy in a neuropathic pain model</t>
  </si>
  <si>
    <t>"PBMT increased the pain threshold up to the point where it roughly met the pain threshold of the control group. After three weeks of treatment, both PBMT protocols demonstrated a reduction in allodynia and hyperalgesia. While some molecules, such as TGF-β and Gad65, increased following PBMT, we observed no inhibition of NRSF, HDAC1, and DNMT3a expression despite implementing two different protocols."</t>
  </si>
  <si>
    <t>Photobiomodulation reduces neuropathic pain after spinal cord injury by downregulating CXCL10 expression</t>
  </si>
  <si>
    <t>daily for 14 days</t>
  </si>
  <si>
    <t>"Our results provide new insights into the mechanisms by which PBM alleviates NP after SCI. We demonstrated that PBM significantly inhibited the activation of microglia and astrocytes and decreased the expression level of CXCL10. These effects appear to be related to the NF-κB signaling pathway."</t>
  </si>
  <si>
    <t>Central involvement of 5-HT1A receptors in antinociception induced by photobiomodulation in animal model of neuropathic pain</t>
  </si>
  <si>
    <t>"In von Frey test, the CCI + saline + PBM 50 J/cm2 group showed an increase in nociceptive threshold (p&lt;0.001) in all measurement moments in comparison with groups CCI + SALINE + PBM 0 J/cm2, CCI + WAY100635 + PBM 50 J/cm2, and CCI + WAY100635 + PBM 0 J/cm2. 
Similarly, in hot plate test, CCI + SALINE + PBM 50 J/cm2 group showed an increase in nociceptive threshold after application of PBM at 120 and 180 min.
Because of the results found, it can be suggested the involvement of 5-HT1A receptors in the central nervous system, since WAY100635 was able to reverse the antinociceptive effect provided by PBM in animals submitted to CCI."</t>
  </si>
  <si>
    <t>Iida</t>
  </si>
  <si>
    <t>Relationship between salivary alpha-amylase activity and pain relief scale score after low level laser therapy: a prospective interventional pilot study</t>
  </si>
  <si>
    <t>🧑 Human
📄 Single-arm trial
👥 30 participants</t>
  </si>
  <si>
    <t>"Subjects were instructed to report the pain relief induced by LLLT on the pain relief scale after the second sampling of saliva after LLLT. The pain relief scale consists of a numerical scale from 0 to 10, in which pain intensity before LLLT was considered 10."
"The mean pain relief scale score after LLLT was 6.6 ± 3.5."</t>
  </si>
  <si>
    <t>Device: Super Lizer PX™ (Tokyo Iken, Co., Ltd., Tokyo, Japan)</t>
  </si>
  <si>
    <t>Effects of photobiomodulation therapy on neuropathic pain in rats: evaluation of nociceptive mediators and infrared thermography</t>
  </si>
  <si>
    <t>"Substance P and TRPV1 levels increased in DRG of CCI rats compared to naive and sham rats and decreased after PBMT. Infrared thermography showed increased temperature of tarsal, metatarsal, tibia, and fibula regions in CCI rats, which was decreased after PBMT. "</t>
  </si>
  <si>
    <t>The effect of chondroitinase ABC and photobiomodulation therapy on neuropathic pain after spinal cord injury in adult male rats</t>
  </si>
  <si>
    <t>"Both ChABC, PBMT and the combination reduced allodynia and thermal hyperalgesia and improved functional recovery, but did not reduce mechanical hyperalgesia. Pain-related factors (BDNF and IL6) were decreased and anti-nociceptive factors (Gad65 and GDNF) were increased."</t>
  </si>
  <si>
    <t>Noma</t>
  </si>
  <si>
    <t>Application of oxytocin with low-level laser irradiation suppresses the facilitation of cortical excitability by partial ligation of the infraorbital nerve in rats: An optical imaging study.</t>
  </si>
  <si>
    <t>PBM vs oxytocin</t>
  </si>
  <si>
    <t>"The expanded area of cortical excitation caused by pl-ION was suppressed by OXT with LLLT but not by OXT or LLLT alone. 
These results suggest that the combined application of OXT and LLLT is effective in relieving the neuropathic pain induced by trigeminal nerve injury."</t>
  </si>
  <si>
    <t>Pain Pract</t>
  </si>
  <si>
    <t>Low intensity photobiomodulation decreases neuropathic pain in paw ischemia-reperfusion and spared nervus ischiadicus injury experimental models.</t>
  </si>
  <si>
    <t>0.0173</t>
  </si>
  <si>
    <t>20.8</t>
  </si>
  <si>
    <t>"The results showed that, in the ischemia-reperfusion model, the infrared LED had a significant effect on mechanical stimulation and cold allodynia on every day of treatment. 
In the spared nerve injury model, an analgesic effect was observed on every treatment day (when started on the 3rd and 7th days after the surgery). 
In both models, the effect was abolished when the treatment was interrupted. These findings suggest that photobiomodulation therapy may be a useful adjunct treatment for chronic pain."</t>
  </si>
  <si>
    <t>Effect of NIR laser therapy by MLS-MiS source against neuropathic pain in rats: in vivo and ex vivo analysis.</t>
  </si>
  <si>
    <t>10
/3wk</t>
  </si>
  <si>
    <t>"Laser (MLS-MiS) applications started 7 days after surgery and were performed ten times over a three week period showing a reduction in mechanical hypersensitivity and spontaneous pain that started from the first laser treatment until the end of the experiment. The ex vivo analysis highlighted the protective role of laser through the myelin sheath recovery in the sciatic nerve, inhibition of iNOS expression and enhancement of EAAT-2 levels in the spinal cord."</t>
  </si>
  <si>
    <t>de Andrade</t>
  </si>
  <si>
    <t>Effect of photobiomodulation therapy (808 nm) in the control of neuropathic pain in mice.</t>
  </si>
  <si>
    <t>0.27
0.54
1.20</t>
  </si>
  <si>
    <t>9
18
37</t>
  </si>
  <si>
    <t>~38</t>
  </si>
  <si>
    <t>"This study demonstrates that PBM in higher energy density (20, 40 J/cm2) is more effective in the control of neuropathic pain."</t>
  </si>
  <si>
    <t>The mechanistic basis for photobiomodulation therapy of neuropathic pain by near infrared laser light.</t>
  </si>
  <si>
    <t>0.270</t>
  </si>
  <si>
    <t>↓heat hyperalgesia, ↓cold allodynia, ↓mechanical hyperalgesia
"Of clinical relevance is the duration of the effect. As demonstrated, even after 21 days, the laser treated group showed less sensitivity to the heat stimulus compared to control group. For cold allodynia and mechanical hyperalgesia, the duration of the effect was 5 days"</t>
  </si>
  <si>
    <t>Kerdari</t>
  </si>
  <si>
    <t>Int Clin Neurosci J (not indexed in PubMed)</t>
  </si>
  <si>
    <t>Effects of 660nm low-level laser therapy on P2X3 expression of lumbar drg of adult male rats with neuropathic pain</t>
  </si>
  <si>
    <t>0.354</t>
  </si>
  <si>
    <t>0.238
cm2</t>
  </si>
  <si>
    <t>↑Bcl2, ↑GSH, ↓Bax, ↓P2X3, ↓mechanical and thermal threshold
"Based on our findings, the therapeutic effects of LLLT for NP act throughout cellular and molecular mechanisms which improve mitochondrial function that in turn improve cell function and prevent apoptosis. "
Comment: According to methods section, they also used a NIR laser, but the paper doesn't include any kind of a description of the group.</t>
  </si>
  <si>
    <t>Kobiela Ketz</t>
  </si>
  <si>
    <t>Germany
(Landstuhl)</t>
  </si>
  <si>
    <t>Characterization of Macrophage/Microglial Activation and Effect of Photobiomodulation in the Spared Nerve Injury Model of Neuropathic Pain.</t>
  </si>
  <si>
    <t>Irradiation of affected hind paw + dorsal root ganglia + spinal cord regions
Microglia (M2 activation by LLLT)</t>
  </si>
  <si>
    <t>1000
+
4500
+
1500</t>
  </si>
  <si>
    <t>0.043
+
0.043
+
0.043</t>
  </si>
  <si>
    <t>20
+
85.5
+
28.5</t>
  </si>
  <si>
    <t>20
+
19
+
19</t>
  </si>
  <si>
    <t>"Injured groups demonstrated mechanical hypersensitivity 1-30 days post-operatively. Photobiomodulation-treated animals began to recover after two treatments; at day 26, mechanical sensitivity reached baseline."
"Peripheral nerve injury caused region-specific macrophages/microglia activation along spinothalamic and dorsal-column medial lemniscus pathways. A pro-inflammatory microglial marker was expressed in the spinal cord of injured rats compared to photobiomodulation-treated and sham group."
"Photobiomodulation-treated dorsal root ganglion macrophages expressed anti-inflammatory markers."
"Photobiomodulation effectively reduced mechanical hypersensitivity, potentially through modulating macrophage/microglial activation to an anti-inflammatory phenotype."
Comment: The 'sham group' refers to sham surgery, not sham treatment.</t>
  </si>
  <si>
    <t>Low Level Laser Therapy alters satellite glial cell expression and reverses nociceptive behavior in rats with neuropathic pain</t>
  </si>
  <si>
    <t>Chronic constriction injury</t>
  </si>
  <si>
    <t>54
(9p)</t>
  </si>
  <si>
    <t>0.1
cm2
spot
0.9
cm2
area</t>
  </si>
  <si>
    <t>162
(9p)</t>
  </si>
  <si>
    <t>↓IL-1β, ↓CX3CL1, ↓gliosis of DRG, ↓hyperalgesia
"These data provide evidence that LLLT reverses CCI-induced behavioral hypersensitivity, reduces glial cell activation in the DRG and decrease pro-inflammatory cytokines; we suggest that this involvement of glial cells can be one potential mechanism in such effect."</t>
  </si>
  <si>
    <t>Photobiomodulation therapy reduces apoptotic factors and increases glutathione levels in a neuropathic pain model.</t>
  </si>
  <si>
    <t>"CCI decreased the pain threshold, 2-week photobiomodulation therapy significantly increased mechanical and thermal threshold, decreased P2X3 expression (p &lt; 0.001), and increased bcl2 expression (p &lt; 0.01), but it was not effective on the Bax expression. We speculated that although photobiomodulation therapy increased ROS generation, it increased antioxidants such as GSH."</t>
  </si>
  <si>
    <t>Masoumipoor</t>
  </si>
  <si>
    <t>Effects of 660- and 980-nm low-level laser therapy on neuropathic pain relief following chronic constriction injury in rat sciatic nerve.</t>
  </si>
  <si>
    <t>100
70</t>
  </si>
  <si>
    <t>0.354
0.248</t>
  </si>
  <si>
    <t>11.3
16.13</t>
  </si>
  <si>
    <t>"CCI decreased the pain threshold, whereas both wavelengths of LLLT for 2 weeks increased mechanical and thermal threshold significantly."
"Based on our findings, the laser with a 660-nm wavelength had better therapeutic effects than the laser with a 980-nm wavelength, so the former one may be used for clinical application in neuropathic cases; however, it needs more future studies."</t>
  </si>
  <si>
    <t>Jameie</t>
  </si>
  <si>
    <t>Med J Islam Repub Iran</t>
  </si>
  <si>
    <t>Combined therapeutic effects of low power laser (980nm) and CoQ10 on Neuropathic Pain in adult male rat.</t>
  </si>
  <si>
    <t>LLLT vs CoQ10</t>
  </si>
  <si>
    <t>"Based on our findings the combination of CoQ10 with LLLT showed better effects than each one alone. In this regard we believe that there might be cellular and molecular synergism in simultaneous use of CoQ10 and LLLT on pain relief."</t>
  </si>
  <si>
    <t>Ribas</t>
  </si>
  <si>
    <t>Int J Gen Med</t>
  </si>
  <si>
    <t>Use of low intensity laser treatment in neuropathic pain refractory to clinical treatment in amputation stumps.</t>
  </si>
  <si>
    <t>🧑 Human
📄 Case series
👥 3 cases
⌛ 3-week treatment -&gt; 4-month follow-up</t>
  </si>
  <si>
    <t>Amputation-related stump pain</t>
  </si>
  <si>
    <t>8-15</t>
  </si>
  <si>
    <t>"These patients underwent nine sessions of low-intensity laser therapy (LILT) to the stump - this is a new treatment that has been used to treat other pain disorders. All patients reported a decrease in the intensity of their pain and increased ability to perform daily living activities during a 4-month follow-up."</t>
  </si>
  <si>
    <t>Parris</t>
  </si>
  <si>
    <t>Anesth Prog</t>
  </si>
  <si>
    <t>Infrared laser diode irradiation has no behavioral or biochemical effect on pain in the sciatic nerve ligation-induced mononeuropathy in rat.</t>
  </si>
  <si>
    <t>830
904
or
cluster</t>
  </si>
  <si>
    <t>50
10</t>
  </si>
  <si>
    <t>1800
1800</t>
  </si>
  <si>
    <t>"All modalities of IR diode laser treatment did not produce any significant difference in the brain and spinal cord level of DYN on postoperative day 9 in all treatment groups. It is concluded that repeated IR diode laser treatment did not reduce hyperalgesia induced by sciatic nerve ligation in rats."</t>
  </si>
  <si>
    <t>Nociception</t>
  </si>
  <si>
    <t>Neuromodulation</t>
  </si>
  <si>
    <t>Direct Photobiomodulation Therapy on the Sciatic Nerve Significantly Attenuates Acute Nociceptive Sensitivity Without Affecting Motor Output</t>
  </si>
  <si>
    <t>"Capsaicin-induced hypersensitivities to mechanical (pin prick) and thermal (Hargreaves) noxious stimuli, associated with Aδ- and C-fibers, showed a maximal reduction of 70% and 56.2%, respectively, by direct PBM, when compared with a control group (vehicle injection, no PBM) on the same day."
"Force generation remained unchanged for up to 120 minutes after laser irradiation. In summary, direct PBM selectively inhibits C- and Aδ-fiber transmission while leaving Aɑ-, Aβ-, and motor-fiber activity intact."</t>
  </si>
  <si>
    <t>Investigation of the effects of therapeutic ultrasound or photobiomodulation and the role of spinal glial cells in osteoarthritis-induced nociception in mice</t>
  </si>
  <si>
    <t>PBM vs minocycline vs fluorocitrate</t>
  </si>
  <si>
    <t>"Our data showed that both single and chronic treatment with ultrasound or photobiomodulation attenuated the osteoarthritis-induced nociception. No differences in gait, knee joint temperature, or knee joint diameter were found. The intrathecal injection of minocycline and fluorocitrate decreased the osteoarthritis-induced nociception."
"These results suggest that osteoarthritis induces nociception and glial activation via spinal release of TNF-α and that the chronic treatment with ultrasound or photobiomodulation decreased nociception and TNF-α release."</t>
  </si>
  <si>
    <t>J Equine Vet Sci</t>
  </si>
  <si>
    <t>An Investigation Into the Short-Term Effects of Photobiomodulation on the Mechanical Nociceptive Thresholds of M. Longissimus and M. Gluteus Medius, in Relation to Muscle Firing Rate in Horses at Three Different Gaits</t>
  </si>
  <si>
    <t>Horse</t>
  </si>
  <si>
    <t>"No significant effect of treatment was noted for the MNTs. The AMG results were analyzed in terms of their temporal summation (T-score), where statistically significant improvements in the T-scores for M. longissimus and M. gluteus medius were noted for the different gaits."
"It is concluded that cold and LLLT causes a decrease in the firing frequency of horse muscles, a change that is similar to the effects of analgesia on muscles of subjects experiencing pain. However, for the first time, the present study reveals evidence that supports an effect of LLLT on muscle function."</t>
  </si>
  <si>
    <t>In vitro effects of Photobiomodulation Therapy on 50B11 sensory neurons: evaluation of cell metabolism, oxidative stress, mitochondrial membrane potential (MMP) and capsaicin-induced calcium flow</t>
  </si>
  <si>
    <t>800
970
800+
970</t>
  </si>
  <si>
    <t>"Calcium peak stimulated by capsaicin, the ligand of TRPV1 channel, was decreased in neurons pre-irradiated with the combination of the two wavelengths. Furthermore, delivering the 800 and 970 nm separately an increment of ATP, as well as MMP hyperpolarization were detected; notably, the 800 nm wavelength also increased ROS and O2 - levels."
"Our findings, obtained on an in vitro model of nociception, show the positive effect of PBMT on two potential photo-targets of NIR light, namely the TRPV1 channel and the mitochondria."</t>
  </si>
  <si>
    <t>Photobiomodulation therapy reduces acute pain and inflammation in mice.</t>
  </si>
  <si>
    <t>0.0847</t>
  </si>
  <si>
    <t>2.531
5.07
7.61
10.15</t>
  </si>
  <si>
    <t>"The red LED applied 60 s before the experiments, promoted reduction of the nociceptive neurogenic (1st phase) and inflammatory pain (2nd phase) induced by intraplantar (i.pl.) injection of formalin. This effect duration in the second phase was 180 min after pretreatment of the LED."
"Red LED also reduced nociception induced by intraperitoneal injection of acetic acid. Furthermore, red LED prevented nociception induced by i.pl. injection of cinnamaldehyde, capsaicin, menthol and acidified saline."
"The red LED was able to prevent nociception induced by intracellular signaling cascades activators, phorbol 12-myristate 13-acetate (PMA), bradykinin, forskolin and prostaglandin."
"In addition, red LED, respectively, from 30 to 90s demonstrated an antiedematogenic effect on ear edema and reduction the migration of inflammatory cells induced by single application of croton oil."
"Thus, the new findings in this study support some underlying mechanism by which red LED phototherapy reduces acute pain. However, need further clarification regarding analgesic and anti-inflammatory effect of the photobiomodulation in preclinical studies."
Comment: The clearest benefits were seen with 5.07 J/cm2. Higher doses, especially the highest one, were ineffective in many of the statistical analyses.</t>
  </si>
  <si>
    <t>Chia</t>
  </si>
  <si>
    <t>The Antinociceptive Effect of Light-Emitting Diode Irradiation on Incised Wounds Is Correlated with Changes in Cyclooxygenase 2 Activity, Prostaglandin E2, and Proinflammatory Cytokines.</t>
  </si>
  <si>
    <t>Hind paw wound
LED phototherapy</t>
  </si>
  <si>
    <t>"LED therapy attenuated the decrease in thermal withdrawal latency in all the irradiated groups and the decrease in the mechanical withdrawal threshold in the L-I group only. The expression levels of COX-2, PGE2, and IL-6 were significantly decreased in the three LED-treated groups, whereas IL-1β and TNF-α were significantly decreased only in the L-I group compared with their levels in the I groups (p &lt; 0.05)."
"LED therapy provides an analgesic effect and modifies the expression of COX-2, PGE2, and proinflammatory cytokines in incised skin."
Comment: The parameters are poorly reported. For example, spot size was not reported.</t>
  </si>
  <si>
    <t>Inhibitory effects of laser irradiation on peripheral mammalian nerves and relevance to analgesic effects: a systematic review.</t>
  </si>
  <si>
    <t>"We identified 44 studies suitable for inclusion. In 13 of 18 human studies, pulsed or continuous wave visible and continuous wave infrared (IR) LI slowed conduction velocity (CV) and/or reduced the amplitude of compound action potentials (CAPs). In 26 animal experiments, IR LI suppressed electrically and noxiously evoked action potentials including pro-inflammatory mediators. Disruption of microtubule arrays and fast axonal flow may underpin neural inhibition."
"This review has identified a range of laser-induced inhibitory effects in diverse peripheral nerve models, which may reduce acute pain by direct inhibition of peripheral nociceptors. In chronic pain, spinal cord changes induced by LI may result in long-term depression of pain. Incomplete reporting of parameters limited aggregation of data."</t>
  </si>
  <si>
    <t>Tamarova</t>
  </si>
  <si>
    <t>Fiziol Zh (1994)</t>
  </si>
  <si>
    <t>Antinociceptive effects of color polarized light in animal with formalin test</t>
  </si>
  <si>
    <t xml:space="preserve">Blue light 🔵
Green light 🟢
(also other colors)
Polychromatic light 🌈 </t>
  </si>
  <si>
    <t>"The red light was the most effective for pain behavior depression, analgesia averaged 64.1% and 54.4% accordingly."</t>
  </si>
  <si>
    <r>
      <rPr>
        <sz val="6.0"/>
      </rPr>
      <t xml:space="preserve">Full text: </t>
    </r>
    <r>
      <rPr>
        <color rgb="FF1155CC"/>
        <sz val="6.0"/>
        <u/>
      </rPr>
      <t xml:space="preserve">PDF
</t>
    </r>
    <r>
      <rPr>
        <sz val="6.0"/>
      </rPr>
      <t>Device: Bioptron, used with filters (red, orange, yellow, blue, green and violet)</t>
    </r>
  </si>
  <si>
    <t>Laakso &amp; Cabot</t>
  </si>
  <si>
    <t>Nociceptive scores and endorphin-containing cells reduced by low-level laser therapy (LLLT) in inflamed paws of Wistar rat.</t>
  </si>
  <si>
    <t>1
2.5</t>
  </si>
  <si>
    <t>"A dose of 1 J/cm(2) had no statistically significant effect on antinociceptive responses. A dose of 2.5 J/cm(2) demonstrated a statistically significant effect on paw pressure threshold ( p &lt; 0.029) compared to controls. There was no difference in paw thermal threshold responses and paw volumes at either dose."</t>
  </si>
  <si>
    <t>Laser irradiation abates neuronal responses to nociceptive stimulation of rat-paw skin.</t>
  </si>
  <si>
    <t>"Diode laser irradiation (830 nm, 40 mW, 3 min, continuous wave) of the saphenous nerve exposed from the muscle of the lower leg significantly inhibited neuronal discharges elicited by pinch (68.4 +/- 6.5%), cold (45.4 +/- 9.2%), and heat stimulation (49.2 +/- 11.3%). Neuronal discharges induced by brush stimulation (104.3 +/- 4.7%) were not affected by laser irradiation."
"Injection of turpentine, a chemical irritant, into the hind-paw skin (0.1 ml, SC) elicited neuronal discharges in the ipsilateral dorsal root, and these discharges were significantly inhibited or abolished by laser irradiation."
"These data suggest that laser irradiation may selectively inhibit nociceptive neuronal activities."</t>
  </si>
  <si>
    <t>Ga-Al-As laser irradiation inhibits neuronal activity associated with inflammation.</t>
  </si>
  <si>
    <t>Saphenous nerve</t>
  </si>
  <si>
    <t>"Laser irradiation inhibited both the asynchronous firing by that was induced by turpentine and increased part of the slow components of the action potentials. Thus, the laser irradiation selectively inhibited nociceptive signals at peripheral nerves."</t>
  </si>
  <si>
    <t>Diode laser irradiation selectively diminishes slow component of axonal volleys to dorsal roots from the saphenous nerve in the rat.</t>
  </si>
  <si>
    <t>"After 3 min irradiation, slowest conduction velocity group (&lt; 1.3 m/s) were totally diminished and 1.3-12 m/s group were reduced to 12-67%. In contrast, faster component (&gt; 12 m/s) was unaffected by laser irradiation. These findings suggest that laser irradiation may selectively target fibers conducting at slow velocities which include afferent axons from nociceptors."</t>
  </si>
  <si>
    <t>Lundeberg</t>
  </si>
  <si>
    <t>Effect of low power laser irradiation on nociceptive cells in Hirudo medicinalis.</t>
  </si>
  <si>
    <t>Leech</t>
  </si>
  <si>
    <t>1.56
0.07</t>
  </si>
  <si>
    <t xml:space="preserve">"The results show that low power laser irradiation does not: affect the membrane potential or the excitability of the nociceptive neurons, affect the mechanical pressure required to activate the nociceptors or their action potentials."
As mentioned by Hode&amp;Tuner: "In this study, Lars Hode did not take part but is listed as a co-author. He was asked before it started if he wanted to take part and he said yes. About half a year later he found out that it was published!"
</t>
  </si>
  <si>
    <t>Pain sensitization</t>
  </si>
  <si>
    <t>The Effect of Low-Level Light Therapy on Capsaicin-Induced Peripheral and Central Sensitization in Healthy Volunteers: A Double-Blinded, Randomized, Sham-Controlled Trial</t>
  </si>
  <si>
    <t>🧑 Human
🎲 Randomized trial, double-blind, self-controlled
👥 10 participants
⌛ single session</t>
  </si>
  <si>
    <t>"Low-level light therapy significantly increased the mechanical pain threshold, heat pain threshold, and decreased pain intensity."</t>
  </si>
  <si>
    <t>Device: "Repuls7, Repuls Lichtmedizintechnik GmbH, Vienna, Austria"</t>
  </si>
  <si>
    <t>Kate</t>
  </si>
  <si>
    <t>USA
(Wisconsin, MI)</t>
  </si>
  <si>
    <t>Optimal Laser Phototherapy Parameters for Pain Relief.</t>
  </si>
  <si>
    <t>"A total of 96 articles met the inclusion criteria for meta-analysis and yielded 232 effect sizes. 
The average effect size was highly significant: d = +1.36 (confidence interval [95% CI] = 1.04-1.68). Among all the parameters, total energy was found to have the greatest effect on pain relief and had the most prominent optimal ranges of 120-162 and 15.36-20.16 J, which always resulted in large effect sizes. The cross-validation accuracy of the optimal ranges for total energy was 68.57% (95% CI = 53.19-83.97). Fewer and less-prominent optimal ranges were obtained for the energy density and duration parameters. None of the remaining parameters was found to be independently related to pain relief outcomes."
Comment: I wonder what is the applicability of the results, because the optimal dose is probably also affected by anatomy and the other parameters (eg. wavelength).</t>
  </si>
  <si>
    <t>Pelvic</t>
  </si>
  <si>
    <t>Butrick &amp; Lamvu</t>
  </si>
  <si>
    <t>Urology</t>
  </si>
  <si>
    <t>Transvaginal Photobiomodulation Improves Pain in Women with Pelvic Muscle Tenderness and Interstitial Cystitis/Bladder Pain Syndrome: A Preliminary Observational Study</t>
  </si>
  <si>
    <t>🧑 Human
📄 Observational study</t>
  </si>
  <si>
    <t>"In real-world clinical settings, 2/3 women with IC/BPS who opted to undergo TV-PBM therapy reported significant decrease in pelvic pain and dysuria. These findings are promising; however, controlled studies are needed."</t>
  </si>
  <si>
    <t>Zipper</t>
  </si>
  <si>
    <t>Womens Health Rep (New Rochelle)</t>
  </si>
  <si>
    <t>Transvaginal Photobiomodulation for the Treatment of Chronic Pelvic Pain: A Pilot Study</t>
  </si>
  <si>
    <t>🧑 Human
📄 Single-arm trial</t>
  </si>
  <si>
    <t>5000-
8000</t>
  </si>
  <si>
    <t>3000-
3500</t>
  </si>
  <si>
    <t>"Thirteen women completed 9 treatments, and 10 women were successfully followed to 6 months. At baseline, the mean SF-MPQ score was 19.7 (standard deviation [SD] ± 5.9). Compared with baseline, 60% improved; the mean SF-MPQ score decreased to 10.0 (SD ±7.5, p = 0.004, d = 1.6) at 1 week after treatment, to 9.7 (SD ±7.9, p = 0.005, d = 1.7) at 3 months, and 8.2 (SD ±8.1, p = 0.002, d = 1.9) at 6 months."</t>
  </si>
  <si>
    <t>Frederice</t>
  </si>
  <si>
    <t>Vaginal stretching therapy and class IIIB vaginal laser treatment for pelvic floor myofascial pain: a randomized clinical trial</t>
  </si>
  <si>
    <r>
      <rPr>
        <sz val="7.0"/>
      </rPr>
      <t xml:space="preserve">🧑 Human
</t>
    </r>
    <r>
      <rPr>
        <i/>
        <sz val="7.0"/>
      </rPr>
      <t>Secondary publication to the J Sex Med paper? The participant data is identical.</t>
    </r>
  </si>
  <si>
    <t>⚔ Groups:
- VS + PBM
- VS + sham-PBM</t>
  </si>
  <si>
    <t>0.028 cm2 spot size</t>
  </si>
  <si>
    <t>10
/ 2 or 5 weeks (???)</t>
  </si>
  <si>
    <r>
      <rPr>
        <sz val="6.0"/>
      </rPr>
      <t xml:space="preserve">"There was a significant improvement in pain intensity (VAS) after treatment in both groups, with no difference between groups (p = 0.46)."
"VS and VS with near-infrared vaginal laser therapy were equally effective at decreasing myofascial pelvic pain and reducing urinary symptoms "
Comment: Regarding the treatment frequency, the abstract states "10 treatments over 2 weeks" but the full text states "10 sessions, twice a week". These two claims seem to contradict each other. The </t>
    </r>
    <r>
      <rPr>
        <i/>
        <sz val="6.0"/>
      </rPr>
      <t>J Sex Med</t>
    </r>
    <r>
      <rPr>
        <sz val="6.0"/>
      </rPr>
      <t xml:space="preserve"> paper claims "twice a week" so I suppose that the "10 sessions over 5 weeks" may be likely.</t>
    </r>
  </si>
  <si>
    <t>J Sex Med</t>
  </si>
  <si>
    <t>Effect of Vaginal Stretching and Photobiomodulation Therapy on Sexual Function in Women With Pelvic Floor Myofascial Pain - A Randomized Clinical Trial</t>
  </si>
  <si>
    <t>🧑 Human
🎲 Randomized trial, double-blind
👥 103 participants
⌛ (?)</t>
  </si>
  <si>
    <t>"We found that VS associated or not with PBMT may be effective in reducing complaints of painful intercourse, alleviating pain severity, and reducing the number of women with pelvic floor MP suffering from sexual dysfunction."</t>
  </si>
  <si>
    <t>J Comp Eff Res</t>
  </si>
  <si>
    <t>An observational cohort study of pelvic floor photobiomodulation for treatment of chronic pelvic pain</t>
  </si>
  <si>
    <t>🧑 Human
Observational</t>
  </si>
  <si>
    <t>"Compared with baseline, 64.5% of women showed improvement in overall pain, pain with bowel movement, intercourse, exercise, urination, sitting and vulvar pain (...) by treatment 9."
"This study has several limitations inherent to observational uncontrolled studies, including the inability to establish a causal link between the use of TV-PBM and improvement in pain."</t>
  </si>
  <si>
    <t>Physiotherapy practice</t>
  </si>
  <si>
    <t>McMeeken &amp; Stillman</t>
  </si>
  <si>
    <t>Perceptions of the clinical efficacy of laser therapy</t>
  </si>
  <si>
    <t>"Adoption of therapeutic lasers has been widespread throughout Australia in recent years. A questionnaire survey was conducted amongst therapists in Victoria who were believed to have purchased this apparatus. The study sought to determine the extent of laser use in Victoria; the indications, techniques, dosage, expectations and outcomes; and the background knowledge about lasers possessed by the respondents. 
The elbow and shoulder were the most commonly treated regions; tendonitis and ligamentous lesions the most frequently treated disorders; pain relief and wound healing the most commonly expected effects; and 30mm the average expected penetration. Although 57.9 per cent of respondents attended one or more seminars prior to purchasing lasers, journals and other reading were given as the most valuable source of knowledge."</t>
  </si>
  <si>
    <t>Low Level Laser Therapy: Current Clinical Practice in Northern Ireland</t>
  </si>
  <si>
    <t>📖 Review / survey</t>
  </si>
  <si>
    <t>"A two-stage postal survey was carried out among Chartered physiotherapists in Northern Ireland to assess current clinical practice in low level laser therapy (LLLT), and thus indicate appropriate areas for future research. Results from the analysis of 116 returned completed questionnaires (response rate=63.1%) are presented. These show that LLLT has become a relatively popular treatment modality within the province. Based upon the subjective ratings of respondents, LLLT seems indicated for a range of conditions, including rheumatoid arthritis, shingles, and various types of ulcer — but especially for burns, for which LLLT was rated ‘very effective’. However, 94% of respondents complained about the lack of information/instruction available to them on LLLT, especially concerning the selection of optimal treatment parameters. This may represent one reason for the variable results reported by physiotherapists in the treatment of a number of conditions which are recommended for LLLT by manufacturers (eg osteoarthritis and muscle spasms).
Given the popularity of LLLT, its apparent efficacy, and the dissatisfaction expressed by physiotherapists, future research should aim to establish laser's mechanisms of action, the optimal treatment parameters for therapeutic effects, and (based upon this) its efficacy in the treatment of selected conditions by means of properly organised and controlled clinical trials."</t>
  </si>
  <si>
    <t>Postoperative</t>
  </si>
  <si>
    <t>The Effects of Photobiomodulation Therapy on Post-Surgical Pain.</t>
  </si>
  <si>
    <t>"A total of 370 papers were studied and 10 articles that met inclusion criteria were selected for this review. Few of these articles were followed up. Surgery included a wide range of surgeries including mastectomy, breast augment post-fracture, episiotomy, tonsillectomy and hernia. 
The methodological quality score on the PEDro scale was between 5 and 11. 
8 trials reported positive effects and 2 trials reported negative effects. 
In order to study clinical effect size of laser therapy after surgery, only 4 papers met entry criteria and the mean effect sizes were 0.13 to 2.77. Accordingly, the best treatment protocol included a red laser dose of 4 J/cm2 for the post-operative pain of tonsillectomy, which was irradiated through the infra mandibular angle on the tonsils."</t>
  </si>
  <si>
    <t>Antinociceptive effects of low-level laser therapy at 3 and 8 j/cm2 in a rat model of postoperative pain: possible role of endogenous Opioids.</t>
  </si>
  <si>
    <t>1
2
3
4
5
6
7
8
9
10
11
12</t>
  </si>
  <si>
    <t>"Our results demonstrate, for the first time, that LLLT at 3 or 8 J/cm2 , but not at 1-2, 4-7, or 9-12 J/cm2 , induced an analgesic effect on postoperative pain. Naloxone, but not methysergide, blocked the LLLT-induced anti-nociceptive effect. Additionally, IL-1-β and TNF-α production significantly decreased after LLLT at 3 or 8 J/cm2 . Our results suggest that LLLT at 3 or 8 J/cm2 primarily modulates the endogenous opioids system and is not directly mediated by serotonergic receptors. Reduction of IL-1β and TNF-α may play a role in the antinociceptive action of LLLT."
Comment: Since the dose response wasn't very clear and most doses didn't work, I find that some o fthe conclusions of this paper sound a bit deceptive.</t>
  </si>
  <si>
    <t>Light-emitting diode therapy induces analgesia in a mouse model of postoperative pain through activation of peripheral opioid receptors and the L-arginine/nitric oxide pathway.</t>
  </si>
  <si>
    <t>Dose response
Biphasic dose response
LED phototherapy
PBM vs morphine
PBM vs nitroarginine (L-NOARG)</t>
  </si>
  <si>
    <t>1
3
5
7
9
11
13</t>
  </si>
  <si>
    <t>"In conclusion, our results demonstrate, for the first time, that LEDT (950 nm, 80 mW/cm2) induced a dose–response analgesic effect in the model of PI in mice. At the energy density of 9 J/cm2, LEDT presented the most significant results through (1) activation of peripheral opioid receptors which involve, at least in part, the recruitment of opioid-containing leukocytes to the PI site and (2) activation of the l-arginine/NO pathway."</t>
  </si>
  <si>
    <t>Radicular</t>
  </si>
  <si>
    <t>Kreczi &amp; Klingler</t>
  </si>
  <si>
    <t>A comparison of laser acupuncture versus placebo in radicular and pseudoradicular pain syndromes as recorded by subjective responses of patients.</t>
  </si>
  <si>
    <t>🧑 Human
🎲 Randomized trial
Crossover</t>
  </si>
  <si>
    <t>"Mean pain levels after laser treatment were statistically significantly lower than after placebo (p less than 0.001, t-test). In the cross over section laser treatment was more effective than placebo in 20 out of 21 patients and pain relief lasted longer after laser treatment in 18 out of 21 patients."</t>
  </si>
  <si>
    <t>Efficacy of Photobiomodulation Therapy in the Treatment of Pain and Inflammation: A Literature Review</t>
  </si>
  <si>
    <t>"A total of 11 articles were selected, all of them RCTs. Of the articles, five showed that PBM positively influences chronic pain, while another showed the same but only in the short term. In two other articles, the patient's inflammation improved markedly. In one article there was no improvement in chronic pain and in another, there was no improvement in inflammation."</t>
  </si>
  <si>
    <t>Light-emitting diode phototherapy: pain relief and underlying mechanisms</t>
  </si>
  <si>
    <t>"Here, we reviewed the phototherapeutic effects of LEDs on different pain conditions. We also discussed possible physicochemical and neurobiological mechanisms underlying LED therapy, especially its effects on inflammatory pain."</t>
  </si>
  <si>
    <t>Hall BH</t>
  </si>
  <si>
    <t>UAS
(Fremond, CA</t>
  </si>
  <si>
    <t>BOOK: Evaluation and Management of Chronic Pain for Primary Care</t>
  </si>
  <si>
    <t>Energy Based Therapies for Chronic Pain</t>
  </si>
  <si>
    <t>"Low level laser therapy (LLLT) is discussed as it was recommended by ACP for the nonpharmacological treatment of low back pain. The evidence for this technology is still being gathered and firm conclusions concerning various other forms of chronic pain cannot be made. Laser technology poses a risk for ocular damage, however, the LED versions of LLLT do not share that same risk."</t>
  </si>
  <si>
    <t>Dima</t>
  </si>
  <si>
    <t>Review of Literature on Low-level Laser Therapy Benefits for Nonpharmacological Pain Control in Chronic Pain and Osteoarthritis.</t>
  </si>
  <si>
    <t>"Based on current research, the utilization of LLLT for pain management and osteoarthritic conditions may be a complementary strategy used in clinical practice to provide symptom management for patients suffering from osteoarthritis and chronic pain."</t>
  </si>
  <si>
    <t>Cotler</t>
  </si>
  <si>
    <t>MOJ Orthop Rheumatol</t>
  </si>
  <si>
    <t>The Use of Low Level Laser Therapy (LLLT) For Musculoskeletal Pain.</t>
  </si>
  <si>
    <t>"The purpose of this paper is to review the use of LLLT for pain, the biochemical mechanisms of action, the dose response curves, and how LLLT may be employed by orthopedic surgeons to improve outcomes and reduce adverse events."</t>
  </si>
  <si>
    <t>Kingsley</t>
  </si>
  <si>
    <t>USA
(Kent, OH)</t>
  </si>
  <si>
    <t>Low-level laser therapy as a treatment for chronic pain.</t>
  </si>
  <si>
    <t>"What tends to plague research using LLLT as a treatment modality is that there is no standard of care. Studies differ in overall dosage and wavelength which limits the ability to accurately draw conclusions. Currently, there are also no long-term studies that have evaluated LLLT. Pain is a very complex condition that manifests itself in a variety of different forms. Perhaps there is no set standard of care that will encompass everyone's needs. However, it is clear that LLLT may be beneficial for many individuals suffering from pain, regardless of the condition that is causing it."</t>
  </si>
  <si>
    <t>Sciatica</t>
  </si>
  <si>
    <t>Bertolini</t>
  </si>
  <si>
    <t>Low-level laser therapy, at 830 nm, for pain reduction in experimental model of rats with sciatica.</t>
  </si>
  <si>
    <t>"Low-level laser was effective in reducing the painful condition."</t>
  </si>
  <si>
    <t>Shoulder</t>
  </si>
  <si>
    <t>Agir</t>
  </si>
  <si>
    <t>Int J Biometeorol</t>
  </si>
  <si>
    <t>Comparison of the efficacy of low intensity laser and peloid therapy in patients with subacromial impingement syndrome</t>
  </si>
  <si>
    <t>🧑 Human
🎲 Randomized trial, double-blind
👥 168 participants
⌛  (?)</t>
  </si>
  <si>
    <t>Groups:
- exercise
- exercise + PBM
- exercise + peloid</t>
  </si>
  <si>
    <t>"Statistically significant improvements in VAS, SPADI, SF-36, and ROM parameters were achieved after treatment and at 1 month follow-up compared to pretreatment in both active treatment groups (p &lt; .05). The third group showed significant improvements in ROM and SF-36 physical components after treatment and 1 month later (p &lt; .05). Low-level laser therapy or peloid therapy given in addition to home exercise therapy for SIS were found to have similar short-term effects on pain, functional status, quality of life and ROM."</t>
  </si>
  <si>
    <t>Nigeria
(Kano)</t>
  </si>
  <si>
    <t>Comparative effectiveness of low-level laser therapy versus muscle energy technique among diabetic patients with frozen shoulder: a study protocol for a parallel group randomised controlled trial</t>
  </si>
  <si>
    <t>"This will be the first randomised controlled trial to evaluate the comparative effectiveness of LLLT versus MET on both clinical and psychological parameters among diabetic patients with frozen shoulder."</t>
  </si>
  <si>
    <t>Sen</t>
  </si>
  <si>
    <t>Low-level laser therapy versus ultrasound therapy combined with home-based exercise in patients with subacromial impingement syndrome: A randomized-controlled trial</t>
  </si>
  <si>
    <t xml:space="preserve">🧑 Human
🎲 Randomized trial, double-blind
👥 60 participants
⌛ </t>
  </si>
  <si>
    <t xml:space="preserve">
Groups:
- exercise + PBM
- exercise + ultrasound
- exercise (control)</t>
  </si>
  <si>
    <t>"The LLLT combined with HBE is more effective than HBE program alone for relieving activity pain and improving shoulder functions in the short term. However, LLLT and US therapy do not provide additional effects in terms of pain and disability at three months."</t>
  </si>
  <si>
    <t>Effectiveness of high-intensity laser therapy in the treatment of patients with frozen shoulder: a systematic review and meta-analysis</t>
  </si>
  <si>
    <t>GRADE approach</t>
  </si>
  <si>
    <t>"Five trials met the eligibility criteria and were included in the review and meta-analysis, which pooled results from the visual analog scale (VAS), goniometry, and the shoulder pain and disability index (SPADI). 
Mean differences (MDs) for pain intensity and disability show a pooled effect in favor of HILT both for VAS (MD = - 2.23 cm, 95% CI: - 3.25, - 1.22) and SPADI (MD = - 10.1% (95% CI = - 16.5, - 3.7), changes that are statistical (p &lt; 0.01) and clinical. The MD for flexion (MD = 9.0°; 95% CI: - 2.36°, 20.3°; p = 0.12), abduction (MD = 3.4°; 95% CI: - 6.9°, 13.7°; p = 0.51), and external rotation (MD = - 0.95°; 95% CI: - 5.36°, 3.5°; p = 0.67) does not show statistical and clinical differences between groups after treatment. PI and disability changes were graded as important due to their clinical and statistical results. 
HILT into a physical therapy plan reduce pain and disability, but it does not outperform conventional physical therapy in improving shoulder ROM."</t>
  </si>
  <si>
    <t>Allaart</t>
  </si>
  <si>
    <t>France
(Annecy)</t>
  </si>
  <si>
    <t>Biomodulating healing after arthroscopic rotator cuff repair: the protocol of a randomised proof of concept trial (BIOHACK)</t>
  </si>
  <si>
    <t>"In this randomised, controlled proof of concept study, 146 patients undergoing arthroscopic repair of a full thickness posterosuperior or anterosuperior rotator cuff tear will be 1:1 randomly assigned to either a control group or to the additional biomodulation protocol group. The adjuvant biomodulation protocol consists of seven self-applicable therapies and will be administered during the first 6 weeks after surgery."
"This randomised controlled trial evaluates the possible cumulative effect of pragmatic application of cryobiomodulation, photobiomodulation and electrobiomodulation-collectively called biomodulation-on the bone-to-tendon healing process after rotator cuff repair."</t>
  </si>
  <si>
    <t>Efficacy of Low-level Laser Versus High-intensity Laser Therapy in the Management of Adhesive Capsulitis: A Randomized Clinical Trial</t>
  </si>
  <si>
    <t>🧑 Human
⚔ Comparison study, randomized
👥 40 participants
⌛ 3 weeks</t>
  </si>
  <si>
    <t>PBM (LLLT) vs PBM (HILT)</t>
  </si>
  <si>
    <t>904
(LLLT)
1064
(HILT)</t>
  </si>
  <si>
    <t>240
12000</t>
  </si>
  <si>
    <t>0.5
cm2
spot area
-</t>
  </si>
  <si>
    <t>"HILT + stretching exercise treatment was more effective than LLLT + stretching exercise for improving functional parameters and pain in patients with AC."</t>
  </si>
  <si>
    <r>
      <rPr>
        <sz val="7.0"/>
      </rPr>
      <t xml:space="preserve">Shoulder </t>
    </r>
    <r>
      <rPr>
        <sz val="6.0"/>
      </rPr>
      <t>(after arthroscopic surgery)</t>
    </r>
  </si>
  <si>
    <t>Abufoul</t>
  </si>
  <si>
    <t>Israel
(Nazareth)</t>
  </si>
  <si>
    <t>Photobiomodulation self-treatment at home after rotator cuff arthroscopic repair accelerates improvement in pain, functionality, and quality of life: A double-blind, sham-controlled, randomized clinical trial</t>
  </si>
  <si>
    <t>🧑 Human
🎲 Randomized trial, double-blind
👥 50 participants
⌛ 3-month treatment, 6-month study</t>
  </si>
  <si>
    <t>16.5</t>
  </si>
  <si>
    <t>daily for a month
-&gt; every other day</t>
  </si>
  <si>
    <t>"Both groups had similar improvements in CMS and ROM
However, compared to Sham, PBM significantly accelerated subjective pain reduction at 3 and 6 months (VAS mean ± SD, PBM-vs-Sham: ΔFU-3M 32 ± 33 vs. 16 ± 27, p = 0.040; ΔFU-6M: 41 ± 36 vs. 23 ± 26, p = 0.038), with a significantly higher proportion of patients achieving MCID at 3 months (76% vs. 48%, p = 0.027) and PASS at 6 months (48% vs. 23%, p = 0.044). PBM also significantly accelerated improvement in functionality and QOL at 6 months (QuickDASH ΔFU-6M: 30 ± 24 vs. 18 ± 14, p = 0.029; SF-12 physical component 6.8 ± 12.5 vs. 0.4 ± 8.6, p = 0.031; SF-12 mental component 8.5 ± 9.1 vs. 2.2 ± 12, p = 0.032)."
"Self-applied photobiomodulation following RCAS significantly accelerates decrease in pain and disability, and improves QOL. This nonpharmacologic add-on therapeutic modality is easy to use and encourages active patient involvement. Its potential use in rehabilitation following other surgeries should be considered."</t>
  </si>
  <si>
    <t>Device: B-Cure Laser
Treatment: "The patients were required to self‐administer the treatment daily for the first month, and every other day for the second‐ and thirdmonth postsurgery. The duration of each treatment session was up to 15 min."</t>
  </si>
  <si>
    <t>Liu S</t>
  </si>
  <si>
    <t>Chronic Supraspinatus Tendonitis Pain: An Integrative Approach for Treatment with Cross-Fiber Massage, Electroacupuncture, Far-Infrared Heat, and Photobiomodulation</t>
  </si>
  <si>
    <t>📖 Review (mini-review) / Opinion</t>
  </si>
  <si>
    <t>Analysis of pain relief and functional recovery in patients with rotator cuff tendinopathy through therapeutic ultrasound and photobiomodulation therapy: a comparative study</t>
  </si>
  <si>
    <t>🧑 Human
⚔ Comparison study
👥 75 participants
⌛ 4 weeks</t>
  </si>
  <si>
    <t>⚔ ultrasound vs NIR vs red vs US+NIR vs US+red
LED phototherapy</t>
  </si>
  <si>
    <t>640
850</t>
  </si>
  <si>
    <t>250
750</t>
  </si>
  <si>
    <t>22.5
22.5
(3p)</t>
  </si>
  <si>
    <t>90
30</t>
  </si>
  <si>
    <t>"Regarding the comparison of irradiated therapies and ultrasound, statistical analysis showed that IR-US was a better treatment than US for all 12 parameters. 
IR treatment exceeded US on 9 items, whereas that VR and VR-US therapies exceeded US in 7 and 10 parameters, respectively (p &lt; 0.05)."
"In conclusion, improvements in quality of life, pain intensity relief, shoulder amplitude motion, and muscle strength force obtained with ultrasound therapy are enhanced by adding infrared LED irradiation to ultrasound for patients suffering from rotator cuff tendinopathy."</t>
  </si>
  <si>
    <t>📕 (could be categorized as randomized if full text shows random allocation...)</t>
  </si>
  <si>
    <t>Zaki</t>
  </si>
  <si>
    <t>Comparison of low level and high power laser combined with kinesiology taping on shoulder function and musculoskeletal sonography parameters in subacromial impingement syndrome: a Randomized placebo-controlled trial</t>
  </si>
  <si>
    <t>🧑 Human
🎲 Randomized trial, sham-controlled
👥 30 participants</t>
  </si>
  <si>
    <t>LLLT vs HILT</t>
  </si>
  <si>
    <t>200
4000</t>
  </si>
  <si>
    <t>"[B]etween-group comparisons were not significant"</t>
  </si>
  <si>
    <t>Efficacy of low-level laser therapy combined with exercise for subacromial impingement syndrome: A randomised controlled trial</t>
  </si>
  <si>
    <t>🧑 Human
🎲 Randomized trial
👥 120 participants
⌛ 8-week treatment -&gt; 3-month follow-up</t>
  </si>
  <si>
    <t>⚔ Groups:
- LLLT
- EX
- LLLT + EX</t>
  </si>
  <si>
    <t>27
/shoulder</t>
  </si>
  <si>
    <t>0.5
cm2
point
area</t>
  </si>
  <si>
    <t xml:space="preserve">24
/ 8 weeks
</t>
  </si>
  <si>
    <t>"Low-level laser therapy combined with exercises reduce pain intensity, improve shoulder function and reduces pain intensity and medication intake over 3 months."</t>
  </si>
  <si>
    <t>Atan &amp; Bahar-Ozdemir</t>
  </si>
  <si>
    <t>Efficacy of high-intensity laser therapy in patients with adhesive capsulitis: a sham-controlled randomized controlled trial</t>
  </si>
  <si>
    <t>🧑 Human
🎲 Randomized trial, double-blind
👥 36 participants
⌛ 3-week treatment -&gt; 12-week follow-up</t>
  </si>
  <si>
    <t>"Fifteen sessions of HILT are superior to improve pain and quality of life but not superior in terms of disability or function in patients with adhesive capsulitis."</t>
  </si>
  <si>
    <t>Comparison of Low-Level Laser Treatment and Extracorporeal Shock Wave Therapy in Subacromial Impingement Syndrome: A Randomized, Prospective Clinical Study</t>
  </si>
  <si>
    <t>🧑 Human
⚔ Comparison study, randomized
👥 71 participants
⌛ 3-week treatment -&gt; 3-month follow-up</t>
  </si>
  <si>
    <t>300
(5 points)</t>
  </si>
  <si>
    <t>"In both groups, there was a significant improvement in all outcome measures (p &lt; 0.05) except the mental health score in the LLLT group. ESWT group showed more improvements in terms of SPADI disability and total scores, PSQI, and physical-mental health scores at the end of treatment (p &lt; 0.05). The improvement in VAS pain day and SPADI scores at the third month was significantly more evident in the ESWT group (p &lt; 0.05). 
Both LLLT and ESWT treatments are effective in the treatment of SIS in the short-medium term and can be used in clinical practice."
Comment: The claimed power is 10W but probably this isn't the power output if the total dose over 300 seconds is only 35 J. In this case  the power output is likely to be 117 mW (30000 mJ / 300 sec = 117 mW).</t>
  </si>
  <si>
    <t>Device: "ILUX Yag 1064, 10 W"</t>
  </si>
  <si>
    <t>Awotidebe</t>
  </si>
  <si>
    <t>Does Low-level Laser Therapy Provide Additional Benefits to Exercise in Patients with Shoulder Musculoskeletal Disorders? A Meta-analysis of Randomised Controlled Trials.</t>
  </si>
  <si>
    <t>"Eleven studies met the inclusion criteria for this review. Moderate evidence indicates that low-level laser therapy provides additional short-term benefit to exercise in improving overall pain (10cm-VAS) (6 RCTs, GRADE quality moderate) (WMD: 1.75; 95% CI: 1.43 to 2.07).
However, low evidence indicates that low-level laser therapy provides no additional benefit to exercise for shoulder function [5 RCTs; SWMD: -0.14; 95% CI: -0.79 to 0.25] and range of motions."
"Physiotherapists may consider the use of low-laser therapy as an adjunct to exercise in the short run to improve pain in patients with shoulder musculoskeletal disorders. However, low-laser therapy with exercise in the short-term is no more effective than exercise alone in improving shoulder function and range of motions."</t>
  </si>
  <si>
    <t>Aceituno-Gómez</t>
  </si>
  <si>
    <t>Spain
(Toledo)</t>
  </si>
  <si>
    <t>Efficacy of high-intensity laser therapy in subacromial impingement syndrome: a three-month follow-up controlled clinical trial.</t>
  </si>
  <si>
    <t>🧑 Human
Controlled
SB</t>
  </si>
  <si>
    <t>"The effect of high-intensity laser therapy plus exercise is not higher than exercise alone to reduce pain and improve functionality in patients with subacromial syndrome."</t>
  </si>
  <si>
    <t>Ökmen &amp; Ökmen</t>
  </si>
  <si>
    <t>Comparison of photobiomodulation therapy and suprascapular nerve-pulsed radiofrequency in chronic shoulder pain: a randomized controlled, single-blind, clinical trial.</t>
  </si>
  <si>
    <t>🧑 Human
🎲 Randomized trial, sham-controlled
👥 59 participants
⌛ 2-week treatment / 6-month study</t>
  </si>
  <si>
    <t>25
cm2
area</t>
  </si>
  <si>
    <t>"We established that PBMT and SSN-pulsed RF therapy are effective methods, in addition to exercise therapy, in patients with chronic shoulder pain. PBMT seems to be advantageous compared to SSN-pulsed RF therapy, as it is a noninvasive method."</t>
  </si>
  <si>
    <t>Device: "BTL-6000 High Intensity Laser device (BTL, Czech Republic)"</t>
  </si>
  <si>
    <t>Pekyavas &amp; Baltaci</t>
  </si>
  <si>
    <t>Short-term effects of high-intensity laser therapy, manual therapy, and Kinesio taping in patients with subacromial impingement syndrome.</t>
  </si>
  <si>
    <t>🧑 Human
⚔ Comparison study, randomized
👥 70 participants
⌛ 5 weeks</t>
  </si>
  <si>
    <t>⚔ Groups
- Kinesio taping
- EX
- Manual therapy
- HILT
HILT</t>
  </si>
  <si>
    <t>15
/  5 weeks
(?)</t>
  </si>
  <si>
    <t>"HILT and MT were found to be more effective in minimizing pain and disability and increasing ROM in patients with SAIS. Further studies with follow-up periods are required to determine the advantages of these treatments conclusively."</t>
  </si>
  <si>
    <t>Device: "an HIRO® 3.0 device reaching very high power peaks (3 kW) with an Nd:YAG pulsed source (wavelength 1064 nm) (Arcugnano, Via Volta, 9 Vicenza, Italy) (Fig. 4)"</t>
  </si>
  <si>
    <t>Karaca B</t>
  </si>
  <si>
    <t>Turkey
(Kirrikale)</t>
  </si>
  <si>
    <t>Effectiveness of High-Intensity Laser Therapy in Subacromial Impingement Syndrome.</t>
  </si>
  <si>
    <t>🧑 Human
⚔ Comparison study
👥 42 participants
⌛ 3-week treatment -&gt; 8-week follow-up (?)</t>
  </si>
  <si>
    <t>"Significant differences were observed between SPADI pain, disability, and total scores and UCLA scores of the patients."
Comment: No control group.</t>
  </si>
  <si>
    <t>Device: "An Nd:YAG laser device, using 1064 nm wavelength (BTL-6000 High Intensity Laser 12 W), was used in the present study. The device produces a maximum of 12 W power and has three different treatment modes. Analgesic and biostimulant modes were used in the present study (...)"</t>
  </si>
  <si>
    <t>Kibar</t>
  </si>
  <si>
    <t>Laser Acupuncture Treatment Improves Pain and Functional Status in Patients with Subacromial Impingement Syndrome: A Randomized, Double-Blind, Sham-Controlled Study.</t>
  </si>
  <si>
    <t>🧑 Human
🎲 Randomized trial, double-blind
👥 73 participants
⌛ 3 weeks</t>
  </si>
  <si>
    <t>44
(11 pts)</t>
  </si>
  <si>
    <t>0.07 cm2 spot area</t>
  </si>
  <si>
    <t>40
/point
(11 acupunct pts)</t>
  </si>
  <si>
    <t>"All parameters of pain and functional status in the treatment group were significantly better than those in the control group at week 3."</t>
  </si>
  <si>
    <t>Device: "gallium-aluminium-arsenide (GaAlAs, infrared laser) continuous wave diode laser device (Chattanooga Group, Vista, California, USA"</t>
  </si>
  <si>
    <t>Man Ther</t>
  </si>
  <si>
    <t>Short-term effects of high-intensity laser therapy on frozen shoulder: A prospective randomized control study.</t>
  </si>
  <si>
    <t>🧑 Human
🎲 Randomized trial, sham-controlled
👥 66 participants
⌛ 3-week treatment / 12-week study (?)</t>
  </si>
  <si>
    <t>"The HILT group had a lower pain VAS score at 3 weeks (3.2 ± 1.7 vs. 4.3 ± 2.2, p = 0.033) and 8 weeks (2.2 ± 2.0 vs. 3.4 ± 2.7, p = 0.042), however, no statistically significant difference in the pain VAS was observed between the two groups at the final follow-up (12 weeks). 
No statistical difference in the ROM and the satisfaction VAS was observed between the 2 groups at serial follow-ups."</t>
  </si>
  <si>
    <t>Device: "Hilthera®, Jeisys, Seoul, Korea"</t>
  </si>
  <si>
    <t>Jain &amp; Sharma</t>
  </si>
  <si>
    <t>The effectiveness of physiotherapeutic interventions in treatment of frozen shoulder/adhesive capsulitis: a systematic review.</t>
  </si>
  <si>
    <t>Frozen shoulder</t>
  </si>
  <si>
    <t>"39 articles describing the PTI were analyzed using Sackett's levels of evidence and were examined for scientific rigor. The PTI were given grades of recommendation that ranged from A to C."
"Low-level laser therapy is strongly suggested for pain relief and moderately suggested for improving function but not recommended for improving ROM. Corticosteroid injections can be used for stage 1 frozen shoulder. Acupuncture with therapeutic exercises is moderately recommended for pain relief, improving ROM and function. Electro- therapy can help in providing short-term pain relief. Continuous passive motion is recommended for short-term pain relief but not for improving ROM or function. Deep heat can be used for pain relief and improving ROM. Ultrasound for pain relief, improving ROM or function is not recommended."</t>
  </si>
  <si>
    <t>Kelle &amp; Kozanoglu</t>
  </si>
  <si>
    <t>Low-level laser and local corticosteroid injection in the treatment of subacromial impingement syndrome: a controlled clinical trial.</t>
  </si>
  <si>
    <t>🧑 Human
Controlled/SB</t>
  </si>
  <si>
    <t>9
/3wk</t>
  </si>
  <si>
    <t>"The effectiveness of low-level laser treatment was similar to that of local corticosteroid injection in patients with subacromial impingement syndrome. We concluded that both low-level laser treatment and corticosteroid injection were more effective than sham laser treatment."
Comment: Parameters were poorly reported.</t>
  </si>
  <si>
    <t>Yavuz</t>
  </si>
  <si>
    <t>Low-level laser therapy versus ultrasound therapy in the treatment of subacromial impingement syndrome: a randomized clinical trial.</t>
  </si>
  <si>
    <t>🧑 Human
⚔ Comparison study
👥 31 participants
⌛ 2-week treatment / 3-month study</t>
  </si>
  <si>
    <t>Subacromial impingement syndrome</t>
  </si>
  <si>
    <t>"The results suggest that efficacy of both treatments were comparable to each other in regarding reducing pain severity and functional disability in patients with subacromial impingement syndrome. Based on our findings, we conclude that low-level laser therapy may be considered as an effective alternative to ultrasound based therapy in patients with subacromial impingement syndrome especially ultrasound based therapy is contraindicated."</t>
  </si>
  <si>
    <t>Interferential laser therapy in the treatment of shoulder pain and disability from musculoskeletal pathologies: a randomised comparative study.</t>
  </si>
  <si>
    <t>🧑 Human
⚔ Comparison study
👥 200 participants
⌛ ~3 weeks</t>
  </si>
  <si>
    <t>⚔ single vs dual probe PBM ("interferential")</t>
  </si>
  <si>
    <t>35
70</t>
  </si>
  <si>
    <t>Interferential LLLT wasn't better than normal LLLT.</t>
  </si>
  <si>
    <t>Device: "Gentec-Electro-Optics, Inc. 445, St-Jean-Baptiste, Suite 160 Québec, QC Canada G2E 5NT (Model UP19K-15S-H5-DO, S/N 163116)"</t>
  </si>
  <si>
    <t>Effects of low-level laser therapy in combination with physiotherapy in the management of rotator cuff tendinitis.</t>
  </si>
  <si>
    <t>🧑 Human
🎲 Randomized trial
👥 50 participants
⌛ ~3-week treatment -&gt; 3-week follow-up</t>
  </si>
  <si>
    <t>Physiotherapy + LLLT</t>
  </si>
  <si>
    <t>1
cm2
(/p?)</t>
  </si>
  <si>
    <t>300
(15p?)</t>
  </si>
  <si>
    <t>"As one of physical modalities, gallium-arsenide low-power laser combined with conventional physiotherapy has superiority over routine physiotherapy from the view of decreasing pain and improving the patient's function, but no additional advantages were detected in increasing shoulder joint range of motion in comparison to other physical agents."</t>
  </si>
  <si>
    <t>Device: "infrared diode laser 476"</t>
  </si>
  <si>
    <t>Abrisham</t>
  </si>
  <si>
    <t>Additive effects of low-level laser therapy with exercise on subacromial syndrome: a randomised, double-blind, controlled trial.</t>
  </si>
  <si>
    <t>🧑 Human
🎲 Randomized trial, double-blind
👥 80 participants
⌛ 2 weeks</t>
  </si>
  <si>
    <t>"This study indicates that LLLT combined exercise is more effective than exercise therapy alone in relieving pain and in improving the shoulder ROM in patients with subacromial syndrome."
Comment: The parameters were poorly reported.</t>
  </si>
  <si>
    <t>Device: "Mustang-024, Russia"</t>
  </si>
  <si>
    <t>Dogan</t>
  </si>
  <si>
    <t>The effectiveness of low laser therapy in subacromial impingement syndrome: a randomized placebo controlled double-blind prospective study.</t>
  </si>
  <si>
    <t>🧑 Human
🎲 Randomized trial, double-blind
👥 52 participants
⌛ ~3 weeks</t>
  </si>
  <si>
    <t>14
(5 per week)</t>
  </si>
  <si>
    <t>"The Low level laser therapy seems to have no superiority over placebo laser therapy in reducing pain severity, range of motion and functional disability."</t>
  </si>
  <si>
    <t>Bal</t>
  </si>
  <si>
    <t>Low-level laser therapy in subacromial impingement syndrome.</t>
  </si>
  <si>
    <t>🧑 Human
🎲 Randomized trial
👥 44 participants
⌛ 2-week treatment / 12-week study</t>
  </si>
  <si>
    <t>⚔ Groups:
- Exercise + PBM
- Exercise</t>
  </si>
  <si>
    <t>0.0165</t>
  </si>
  <si>
    <t>"Our study was unable to demonstrate any distinct advantage of low-level laser therapy over exercise alone. Comprehensive home exercise programs should be the primary therapeutic option in the rehabilitation process in SIS."</t>
  </si>
  <si>
    <t>Santamato</t>
  </si>
  <si>
    <t>Short-term effects of high-intensity laser therapy versus ultrasound therapy in the treatment of people with subacromial impingement syndrome: a randomized clinical trial.</t>
  </si>
  <si>
    <t>🧑 Human
⚔ Comparison study, randomiaed
👥 70 participants
⌛ 2 weeks</t>
  </si>
  <si>
    <t>⚔ Groups:
- PBM (HILT)
- ultrasound</t>
  </si>
  <si>
    <t>2050</t>
  </si>
  <si>
    <t>"Statistically significant differences in change in pain, articular movement, functionality, and muscle strength (force-generating capacity) (VAS, CMS, and SST scores) were observed after 10 treatment sessions from the baseline for participants in the HILT group compared with participants in the US therapy group. In particular, only the difference in change of VAS score between groups (1.65 points) surpassed the accepted minimal clinically important difference for this tool."
"This study was limited by sample size, lack of a control or placebo group, and follow-up period."
Comment: Despite lack of control group, HILT was better than ultrasound, so probably it would also show better results than placebo.</t>
  </si>
  <si>
    <t>❗</t>
  </si>
  <si>
    <t>Yeldan</t>
  </si>
  <si>
    <t>The effectiveness of low-level laser therapy on shoulder function in subacromial impingement syndrome.</t>
  </si>
  <si>
    <t>🧑 Human
🎲 Randomized trial
👥 67 participants (60 completed)
⌛ 3 weeks</t>
  </si>
  <si>
    <t>Ëxercise+LLLT
Roland Serie Elettronica Pagani</t>
  </si>
  <si>
    <t>(see the comment)</t>
  </si>
  <si>
    <t>15 cm2 device head</t>
  </si>
  <si>
    <t>90
/point
(max 5 tender points)</t>
  </si>
  <si>
    <t>"We concluded that there is no fundamental difference between LLLT and placebo LLLT when they are supplementing an exercise programme for rehabilitation of patients with shoulder impingement syndrome."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</si>
  <si>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Device: "a GaAs diode laser instrument (Roland Serie Elettronica Pagani"</t>
  </si>
  <si>
    <r>
      <rPr>
        <b/>
        <color rgb="FF980000"/>
        <sz val="8.0"/>
      </rPr>
      <t>★</t>
    </r>
    <r>
      <rPr>
        <b/>
        <color rgb="FF980000"/>
        <sz val="6.0"/>
      </rPr>
      <t xml:space="preserve">
📷</t>
    </r>
  </si>
  <si>
    <t>Greece
(Sparta)</t>
  </si>
  <si>
    <t>Low-power laser treatment in patients with frozen shoulder: preliminary results.</t>
  </si>
  <si>
    <t>🧑 Human
🎲 Randomized trial, sham-controlled
👥 63 participants
⌛ 8-week treatment -&gt; 8-week follow-up</t>
  </si>
  <si>
    <t>14.4
(8p)</t>
  </si>
  <si>
    <t>"Relative to the placebo group, the active laser group had:
(1) a significant decrease in overall, night, and activity pain scores at the end of 4 wk and 8 wk of treatment, and at the end of 8 wk additional follow-up (16 wk post-randomization);
(2) a significant decrease in shoulder pain and disability index (SPADI) scores and Croft shoulder disability questionnaire scores at those same intervals; 
(3) a significant decrease in disability of arm, shoulder, and hand questionnaire (DASH) scores at the end of 8 wk of treatment, and at 16 wk posttreatment; and
(4) a significant decrease in health-assessment questionnaire (HAQ) scores at the end of 4 wk and 8 wk of treatment.
There was some improvement in range of motion, but this did not reach statistical significance."</t>
  </si>
  <si>
    <t>Device: "class 3B Laser M 1000, manufactured by Level-Laser Co. (Moglano Veneto-Milano, Italy)."</t>
  </si>
  <si>
    <t>Bingöl</t>
  </si>
  <si>
    <t>Low-power laser treatment for shoulder pain.</t>
  </si>
  <si>
    <t>🧑 Human
🎲 Randomized trial
👥 40 participants
⌛ 2 weeks</t>
  </si>
  <si>
    <t>2.98</t>
  </si>
  <si>
    <t>"The results of our study have shown better results in palpation sensitivity and passive extension, but no significant improvement in pain, active range, and algometric sensitivity in laser treatment group compared to the control group in the patients with shoulder pain."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
Note: Bjordal also published a criticism of this 2005 paper by Bingöl. In the criticism, Bjordal mentioned that the parameters in Bingöl's paper might be false.</t>
  </si>
  <si>
    <t>Saunders L</t>
  </si>
  <si>
    <t>UK
(Derby)</t>
  </si>
  <si>
    <t>The efficacy of low-level laser therapy in supraspinatus tendinitis</t>
  </si>
  <si>
    <t>🧑 Human
🎲 Randomized trial, double-blind
👥 24 participants
⌛ (?)</t>
  </si>
  <si>
    <t>"These data suggest that, in this small group of patients, laser therapy, advice and education improved certain symptoms of supraspinatus tendinitis, while the same advice and education but treatment with a dummy laser had no such beneficial consequences. Based on the results, low-power laser therapy with the parameters and dosage used in this study is recommended as a useful treatment for tendinitis, but the trial was limited by small numbers."</t>
  </si>
  <si>
    <t>Vecchio</t>
  </si>
  <si>
    <t>A double-blind study of the effectiveness of low level laser treatment of rotator cuff tendinitis.</t>
  </si>
  <si>
    <t>🧑 Human
🎲 Randomized trial, double-blind
👥 35 participants
⌛ 8 weeks</t>
  </si>
  <si>
    <t>3
/point
(max 5 tender points)</t>
  </si>
  <si>
    <t>"All responses improved from baseline but there was no difference between the two groups. These results fail to demonstrate the effectiveness of laser therapy in rotator cuff tendinitis."</t>
  </si>
  <si>
    <t>Device: "CB Medico Master III 830 nm Ga As AL diode"</t>
  </si>
  <si>
    <t>England</t>
  </si>
  <si>
    <t>UK
(Walsgrave)</t>
  </si>
  <si>
    <t>Low power laser therapy of shoulder tendonitis.</t>
  </si>
  <si>
    <t>🧑 Human
🎲 Randomized trial, sham-controlled
👥 30 participants
⌛ 2 weeks</t>
  </si>
  <si>
    <t>"Active laser therapy produced significant improvement over drug therapy for all three objective measures and pain. Naproxen sodium significantly improved only movement and function compared to dummy laser. These results demonstrate the effectiveness of laser therapy in tendonitis of the shoulder."</t>
  </si>
  <si>
    <t>Skin temperature changes</t>
  </si>
  <si>
    <t>Taguchi</t>
  </si>
  <si>
    <t>Thermographic Changes Following Laser Irradiation for Pain Relief</t>
  </si>
  <si>
    <t>🧑 Human
🎲 Randomized trial, double-blind
👥 124 participants
⌛ varying</t>
  </si>
  <si>
    <t>120-
300</t>
  </si>
  <si>
    <t>7-8 on average
(1-3 per week)</t>
  </si>
  <si>
    <t>"Effective pain relief was obtained in 45 of 63 patients (71%) in the group with laser irradiation (group A) and in 8 of 61 patients (13%) in the group without laser irradiation (group B). A statistical difference was found between groups A and B (χ2 test = 42.4, p &amp;lt; 0.01). 
Thermography was carried out on 20 patients for a total of 92 times. In group A, 16 of 29 thermograms (55%) showed a rise of skin temperature after 1 minute and 8 of 18 (44%) after 5 minutes. Of 20 patients, 15 were measured successively for 5 minutes, of which 7 of 16 (43%) showed a continuous rise of skin temperature. 
Laser irradiation accelerated microcirculation, which may be due to direct action on the vasomotor nerve."</t>
  </si>
  <si>
    <t>Device: "SKL-101 Seirin-Kasei Co., Shimizu, Japan"</t>
  </si>
  <si>
    <t>Stellate ganglion irradiation</t>
  </si>
  <si>
    <t>Effects of linearly polarized 0.6-1.6 microM irradiation on stellate ganglion function in normal subjects and people with complex regional pain (CRPS I).</t>
  </si>
  <si>
    <t>🧑 Human
📄 Single-arm study (1st part)
👥 6 participants (1st part)
🎲 Randomized study (2nd part), sham-controlled
👥 12 participants (2nd part)
⌛ (see full text)</t>
  </si>
  <si>
    <t>88.3</t>
  </si>
  <si>
    <t>"Three of six subjects with CRPS I and no control subjects experienced a sensation of warmth following active irradiation (P = 0.025). Two of the CRPS I subjects reported a &gt;50% pain reduction. However, four noted minimal or no change and improvement did not reach statistical significance for the group as a whole. No statistically significant changes in autonomic function were noted. There were no adverse consequences."</t>
  </si>
  <si>
    <t>Fender &amp; Diffee</t>
  </si>
  <si>
    <t>USA
(Arvada, CO)</t>
  </si>
  <si>
    <t>Physiological Responses In Chronic Pain Patients To A New LLLT Protocol</t>
  </si>
  <si>
    <t>"Use of Low Reactive Level Laser Therapy (LLLT) utilizing helium-neon lasers has increased lately especially in pain control. New protocols are being developed aimed at a complex of primary and secondary symptomologies. One of these protocols Stellate Ganglion Stimulation has shown in our research a unique set of developments. 
Targeting the area of the stellate ganglion is showing great promise in the rehabilitation of patients with a history of chronic musculoskeletal pain syndromes, but several patients with preexisting psychological symptomology have exacerbated during the initial stages of utilizaton of this protocol. Patients with a history of psychological diagnosis for dysthymia, anxiety, post traumatic stress disorder or minor diffuse brain injury have shown an exacerbation of these symptomologies during the initial phases of stimulation treatment. Overall, response to this form of therapy seems to be positive but some patients require dermatomal and/or site-specific therapy to maximize outcome."</t>
  </si>
  <si>
    <t>Surgical</t>
  </si>
  <si>
    <t>Sammons &amp; Shanks</t>
  </si>
  <si>
    <t>J Perioper Pract</t>
  </si>
  <si>
    <t>Efficacy of red low-level laser for postoperative pain management: A review of literature</t>
  </si>
  <si>
    <t>"A literature search was limited to randomised controlled trials that evaluated the use of red low-level laser therapy on postoperative pain. The results from the literature search found that seven studies met the search qualifications. The literature review findings demonstrated that red low-level laser therapy is a safe and effective treatment alternative for postoperative pain management. In addition to postoperative pain reduction, the findings of the literature revealed that red low-level laser therapy may promote healing and reduce the consumption of postoperative prescription analgesic drugs."</t>
  </si>
  <si>
    <t>Surgical: Tonsillectomy</t>
  </si>
  <si>
    <t>de Arruda</t>
  </si>
  <si>
    <t>Does photobiomodulation therapy improve the postoperative outcomes of tonsillectomy? A systematic review and meta-analysis</t>
  </si>
  <si>
    <t>"A total of 1183 articles were retrieved, of which only two were included for qualitative and quantitative analysis. 
The wavelengths were 685 nm and 980 nm with energy density set at 4 J/cm2. The mandibular angle and the surgical wound were the sites of laser irradiation. Individuals who had not undergone PBMT after tonsillectomy were more likely to report pain and odynophagia in the first 24 hours after surgery than individuals who had undergone PBMT after tonsillectomy (P&lt;0.001). Children who received PBMT after tonsillectomy were equally affected by pain and odynophagia in the first seven days after surgery compared to children who had not undergone PBMT after tonsillectomy (P&gt;0.05). However, both studies found a significant association of PBMT with reduced analgesic consumption."</t>
  </si>
  <si>
    <t>Celsi</t>
  </si>
  <si>
    <t>Photobiomodulation for Lowering Pain after Tonsillectomy: Low Efficacy and a Possible Unexpected Adverse Effect</t>
  </si>
  <si>
    <t>🧑 Human
🎲 Randomized trial
👥 22 participants</t>
  </si>
  <si>
    <t>Harmful effects from PBM (unsuccessful hemostasis in two patients)</t>
  </si>
  <si>
    <t>445+
660+
970</t>
  </si>
  <si>
    <t>6+
6+
12</t>
  </si>
  <si>
    <t>60
60
60</t>
  </si>
  <si>
    <t>"These data suggest that PBMT could increase post-surgical bleeding."</t>
  </si>
  <si>
    <t>Aghamohammadi</t>
  </si>
  <si>
    <t>Effect of low level laser application at the end of surgery to reduce pain after tonsillectomy in adults.</t>
  </si>
  <si>
    <t>🧑 Human
🎲 Randomized trial, sham-controlled
👥 60 participants
⌛ single treatment -&gt; 24h follow-up</t>
  </si>
  <si>
    <t>"In the laser group frequency of patients with pain sensation in each evaluated hour was lower than in the control group. The amount of pain decrease and analgesic consumption reduction was significantly higher in patients who received laser (P=0.01)."
"Based on the results of this study, use of low level lasers is effective in reducing tonsillectomy post surgical pain in adults."</t>
  </si>
  <si>
    <t>Da Silva</t>
  </si>
  <si>
    <t>Effects of Dexamethasone and Low-Level Laser Therapy on Pain, Swelling, and Quality of Life After Buccal Fat Pad Removal: A Clinical Trial</t>
  </si>
  <si>
    <t>🧑 Human
🎲 Randomized trial
👥 20 participants
⌛ 5-day treatment / 90-day treatment</t>
  </si>
  <si>
    <t>PBM vs dexamethasone
Oral surgery</t>
  </si>
  <si>
    <t>660
(IO)
+
808
(EO)</t>
  </si>
  <si>
    <t>2
(at 4 points)</t>
  </si>
  <si>
    <t>"There were no differences between the LLLT and DXM groups in pain or edema. In terms of the QOL, the LLLT group was significantly more comfortable when chewing than the DXM group (P &lt; .05).
The use of LLLT at a power of 100 mW and 2 J/cm2 per point had similar effects to oral DXM for the control of pain and edema, as well as in the QOL, except for masticatory function, which was significantly better in the LLLT group."</t>
  </si>
  <si>
    <t>Device: "GaAlAs laser (laser duo; MMOptics, S~ao Carlos, SP, Brazil)"</t>
  </si>
  <si>
    <t>Photobiomodulation therapy (PBMT) on acute pain and inflammation in patients who underwent total hip arthroplasty-a randomized, triple-blind, placebo-controlled clinical trial.</t>
  </si>
  <si>
    <t>🧑 Human
🎲 Randomized trial, triple-blind
👥 18 participants
⌛ single session</t>
  </si>
  <si>
    <t>Joint surgery pain
LED phototherapy
Systemic effects (blood cytokines)</t>
  </si>
  <si>
    <t>40.3
/point
(5 points)</t>
  </si>
  <si>
    <t>"The values for the visual analog scale as well as those in the analysis of TNF-α and IL-8 serum levels decreased in the active PBMt group compared to placebo-control group (p &lt; 0.05)."</t>
  </si>
  <si>
    <t>Alvarenga</t>
  </si>
  <si>
    <t>Effect of low-level laser therapy on pain and perineal healing after episiotomy: A triple-blind randomized controlled trial.</t>
  </si>
  <si>
    <t>🧑 Human
🎲 Randomized trial, triple-blind
👥 54 participants
⌛ 3-day treatment --&gt; 4-7 day follow-up</t>
  </si>
  <si>
    <t>0.04
cm2
(spot)
(9 pts)</t>
  </si>
  <si>
    <t>"The use of LLLT does not provide any benefit for treating postpartum perineal trauma using these specific protocol and parameters."
"Further research may be necessary to define an appropriate irradiation protocol to treat post-partum perineal pain."
Note. Jan Tunér wrote the following comment at PubMed Commons:
"The authors have used 780 nm, 20 mW, 0.04 cm2, 10 seconds, 0.2 J per point, 1.8 J per session. This is a very low energy. Energy (J) and dose (J/cm2) both have to be within the therapeutic window. By using a thin probe, a high dose can easily be reached but the energy here is much too low in my opinion. The authors quote Kymplova (2003) as having success with these parameters, but this is not correct. The multimode approach of Kymplova was as follows: The light sources were as follows: a laser of a wave length 670 nm, power 20 mW, with continuous alternations of frequencies 10 Hz, 25 Hz, and 50 Hz, a polarized light source of a 400-2,000 nm wavelength in an interval of power 20 mW and frequency 100 Hz and a monochromatic light source of a 660 nm wavelength and power 40 mW, with simultaneous application of a magnetic field at an induction 8 mT."</t>
  </si>
  <si>
    <t>Ebid &amp; El-Sodany</t>
  </si>
  <si>
    <t>Long-term effect of pulsed high-intensity laser therapy in the treatment of post-mastectomy pain syndrome: a double blind, placebo-control, randomized study.</t>
  </si>
  <si>
    <t>🧑 Human
🎲 Randomized trial, double-blind
👥 61 participants
⌛ 4-week treatment -&gt; 12-week follow-up</t>
  </si>
  <si>
    <t>3000
(see full text)</t>
  </si>
  <si>
    <t>"Shoulder ROM significantly increased in the laser group after 4 weeks of treatment and after 12 weeks of follow-up compared with the placebo group. VAS results showed a significant decrease post-treatment in the laser group relative to the placebo group, and QOL results showed a significant improvement in the laser group compared with the placebo group and still improved after 12 weeks of follow-up. HILT combined with an RPTP appears to be more effective in patients with PMPS than a placebo laser procedure with RPTP."</t>
  </si>
  <si>
    <t>Device: "HIRO 3 device (ASA Laser, Arcugnano, Italy)."</t>
  </si>
  <si>
    <t>The effect of low-level laser on postoperative pain after tibial fracture surgery: a double-blind controlled randomized clinical trial.</t>
  </si>
  <si>
    <t>🧑 Human
🎲 Randomized trial
👥 54 participants
⌛ single treatment (?) -&gt; 24h follow-up</t>
  </si>
  <si>
    <t>650+
808</t>
  </si>
  <si>
    <t>100+
300</t>
  </si>
  <si>
    <t>1 cm2 probe area</t>
  </si>
  <si>
    <t>30
20
/point</t>
  </si>
  <si>
    <t>"Laser group experienced less pain intensity in comparison with control group at second, fourth, eighth, 12(th), and 24(th) hours after surgery (P Value &lt; 0.05). In addition, the amount of consumed opioid in laser group was significantly less than the control group (51.62 ± 29.52 and 89.28 ± 35.54 mg, respectively; P Value, 0.008)."
"Low Level Laser Therapy is a proper method to reduce postoperative pain because it is painless, safe, and noninvasive and is easily accepted by patients."</t>
  </si>
  <si>
    <t>Santos Jde</t>
  </si>
  <si>
    <t>J Clin Nurs</t>
  </si>
  <si>
    <t>Low-level laser therapy for pain relief after episiotomy: a double-blind randomised clinical trial.</t>
  </si>
  <si>
    <t>🧑 Human
🎲 Randomized trial, double-blind
👥 113 participants
⌛ single session</t>
  </si>
  <si>
    <t>"The effect of laser in perineal pain relief was not demonstrated in this study. The dosage may not have been sufficient to provide relief from perineal pain after episiotomy during a vaginal birth."</t>
  </si>
  <si>
    <t>Midwifery</t>
  </si>
  <si>
    <t>A randomised clinical trial of the effect of low-level laser therapy for perineal pain and healing after episiotomy: a pilot study.</t>
  </si>
  <si>
    <t>"This pilot study showed that LLLT did not accelerate episiotomy healing. Although there was a reduction in perineal pain mean scores in the experimental group, we cannot conclude that the laser relieved perineal pain. This study led to the suggestion of a new research proposal involving another irradiation protocol to evaluate LLLT's effect on perineal pain relief."
Comment: Quite a low dose was used.</t>
  </si>
  <si>
    <t>The effect of infra-red diode laser irradiation on the duration and severity of postoperative pain: a double blind trial</t>
  </si>
  <si>
    <t>🧑 Human
🎲 Randomized trial, double-blind
👥 20 participants
⌛ single treatment -&gt; 5-day follow-up</t>
  </si>
  <si>
    <t>"There was a significant difference in the number of doses of narcotic analgesic (IM) required between the two groups. Controls n = 5,5: LLLT n = 2.5, No patient in the LLLT group required IM analgesia after 24 h. 
Similarly the requirement for oral analgesia was reduced in the LLLT group, Controls n = 9: LLLT n = 4. 
Control patients assessed their overall pain as moderate to severe compared with mild to moderate in the LLLT group. The results justify further evaluation on a larger trial population."</t>
  </si>
  <si>
    <t>Trigeminal neuralgia</t>
  </si>
  <si>
    <t>Case report: use of high-intensity laser therapy for treatment of trigeminal neuralgia</t>
  </si>
  <si>
    <t>"High-intensity laser therapy (HILT), known for treating many chronic pains, was explored for a 72 year-old patient with a complex medical history. Previous treatments had failed, and alternatives carried risks. HILT, a safe approach improving blood flow, was given for 3 days, targeting the painful area in the face. The patient experienced improved tissue oxygen supply and pain relief. The follow-up visit at 4 weeks showed sustained relief, enhanced jaw movement and no side effects. Although promising, further research is needed to confirm HILT's effectiveness for trigeminal neuralgia on a larger scale."</t>
  </si>
  <si>
    <t>Al-Azab</t>
  </si>
  <si>
    <t>Effect of electromagnetic therapy versus low-level laser therapy on diabetic patients with trigeminal neuralgia: a randomized control trial</t>
  </si>
  <si>
    <t>🧑 Human
🎲 Randomized trial
👥 126 participants
⌛ 2 months</t>
  </si>
  <si>
    <t>PBM vs electromagnetic therapy</t>
  </si>
  <si>
    <t>3/week for 2 months</t>
  </si>
  <si>
    <t>"After treatment, all groups improved significantly, with the laser group outperforming the electromagnetic group by a large margin. For irradiation, LLLT was more effective than EMT in reducing diabetic patients' trigeminal pain, and increasing masseter and temporalis muscles compound action potential amplitude in diabetic patients with TN."</t>
  </si>
  <si>
    <t>Photobiomodulation on trigeminal neuralgia: systematic review</t>
  </si>
  <si>
    <t>"Initially, 20 identified articles were collected varying between the years of 1983-2018, from which 6 were included. A total of 193 patients were evaluated; photobiomodulation was compared to conventional therapies, TENS, and therapy combinations with pharmacotherapy. The overall risk of bias was low, with some concerns in the randomization and double-blinding process; moreover, there are few reports in the literature. Photobiomodulation appears to be as effective as conventional therapies, being a coadjutant therapeutic opportunity for the treatment of trigeminal neuralgia."</t>
  </si>
  <si>
    <t>Therapeutic and Analgesic Efficacy of Laser in Conjunction With Pharmaceutical Therapy for Trigeminal Neuralgia.</t>
  </si>
  <si>
    <t>🧑 Human
🎲 Randomized trial, double-blind
👥 30 participants
⌛ 3 weeks</t>
  </si>
  <si>
    <t>"The severity of pain was lower at the end of treatment in the case compared to the control group so this difference was statistically significant (P=0.003). The severity of pain decreased in both groups over time. Significant difference was noted in this regard between the 2 groups either (P=0.003)."
Comment: The clinical significance is a bit unclear, since the differences between the groups are not very large.
Comment: Parameters were poorly reported.</t>
  </si>
  <si>
    <t>Falaki</t>
  </si>
  <si>
    <t>The Effect of Low-level Laser Therapy on Trigeminal Neuralgia: A Review of Literature.</t>
  </si>
  <si>
    <t>"However, in most studies laser therapy was associated with significant reduction in the intensity and frequency of pain compared with other treatment strategies, a few studies revealed that between laser and placebo group there was not any significant difference according to the analgesic effect. Low-level laser therapy could be considered in treatment of trigeminal neuralgia without any side effects."
Comment: This review wasn't very critical/extensive.</t>
  </si>
  <si>
    <t>Seada</t>
  </si>
  <si>
    <t>Comparison between Trans-Cranial Electromagnetic Stimulation and Low-Level Laser on Modulation of Trigeminal Neuralgia</t>
  </si>
  <si>
    <t>🧑 Human
⚔ Comparison study
👥 30 participants</t>
  </si>
  <si>
    <t>Patients with multiple sclerosis 
PBM vs transcranial electromagnetic stimulation</t>
  </si>
  <si>
    <t>0.150-
0.170</t>
  </si>
  <si>
    <t>900
(?)</t>
  </si>
  <si>
    <t>"There were significant improvements after treatment in both groups, with a significant difference between the Electromagnetic and Laser groups, in favor of the Electromagnetic group."</t>
  </si>
  <si>
    <t>Neurosurg Q</t>
  </si>
  <si>
    <t>Gasserian Ganglion Block With or Without Low-intensity Laser Therapy in Trigeminal Neuralgia: A Comparative Study</t>
  </si>
  <si>
    <t>🧑 Human
⚔ Comparison study, randomized
👥 42 participants
⌛ ?? -&gt; 6-month follow-up</t>
  </si>
  <si>
    <t>3-10
/point</t>
  </si>
  <si>
    <t>"The severity of pain was significantly lower in group A, from day 7 until the end of the study period (month 6). The number of carbamazepine tablets taken was also significantly lower in group A compared with group B from the initial months until the end of the study period (month 6). The period of a pain-free state was significantly higher in group A than in group B (P&lt;0.00l).""
Comment: LLLT was very clearly superior in this study.
Comment: Parameters were poorly reported. According to the paper, they used "Mustang 026 Russia, and the probe type was LO3"". The following paper ( http://proceedings.spiedigitallibrary.org/proceeding.aspx?articleid=887067 ) seems to have some data on these Russian lasers, but it seems impossible to retrieve the relevant parameters.
Comment: This journal isn't indexed in PubMed, and its' ranking is surprisingly poor: "Neurosciences 250/251"</t>
  </si>
  <si>
    <t>Device: "Mustang 026 Russia"</t>
  </si>
  <si>
    <t>Eckerdal &amp; Bastian</t>
  </si>
  <si>
    <t>Denmark
(Odense)</t>
  </si>
  <si>
    <t>Can low reactive-level laser therapy be used in the treatment of neurogenic facial pain? A double-blind, placebo controlled investigation of patients with trigeminal neuralgia</t>
  </si>
  <si>
    <t>🧑 Human
DB</t>
  </si>
  <si>
    <t>"The results demonstrate that of 16 patients treated with the laser probe, 10 were free from pain after completing treatment and 2 had noticeably less pain, while in 4 there was little or no change. After a one year follow-up, 6 patients were still entirely free from pain. In the group treated with the placebo system, i.e. the non-laser probe, one was free from pain, 4 had less pain, and the remaining 9 patients had little or no recovery. After one year only one patient was still completely free from pain."
"It is concluded that the present study clearly shows that LLLT treatment, given as described, is an effective method and an excellent supplement to conventional therapies used in the treatment of trigeminal neuralgia."</t>
  </si>
  <si>
    <t>Photomedicine, Not Opioids, for Chronic Pain.</t>
  </si>
  <si>
    <t>"Whereas opioids lead to addiction, photomedicine leads to healing. Photobiomodulation repairs tissue, relaxes muscles, reduces inflammation and edema, and restores circulation as well as nerve function to more normal levels. No opioid can match the reparative value of light. It is time for photomedicine practitioners to educate the public and the medical profession about this valuable, cost-effective, and well-received treatment option."</t>
  </si>
  <si>
    <t>Fulop</t>
  </si>
  <si>
    <t>A meta-analysis of the efficacy of laser phototherapy on pain relief.</t>
  </si>
  <si>
    <t>"Fifty-two effect sizes were computed from the 22 articles that met the inclusion criteria. The resulting overall mean effect size was highly significant; d = +0.84 (95% confidence interval = 0.44-1.23)."</t>
  </si>
  <si>
    <t>Nakaji</t>
  </si>
  <si>
    <t>Japan
(Aomori)</t>
  </si>
  <si>
    <t>Retrospective study of adjunctive diode laser therapy for pain attenuation in 662 patients: detailed analysis by questionnaire.</t>
  </si>
  <si>
    <t>🧑 Human
Survey</t>
  </si>
  <si>
    <t>"Subjects were 1,087 patients treated by LLLT at the Shiroto Clinic from April 1992 to August 1995. Questionnaires were sent to subjects in September and October 1996."
"The reply rate was 60.9%, comprising 662 questionnaires"
"The total efficacy rating (excellent plus good) immediately after LLLT was 46.8% in men and 47% in women. At the time of the survey, this rose to 73.3% in men and 76.8% in women, with positive effects also recorded on psychosomatic factors such as well-being, physical energy, general fatigue, mental vigor, and emotional stability. LLLT effects continued for 1-3 days."
"LLLT as used in the study is therefore considered safe, effective, and side-effect-free, making it an ideal adjunctive therapeutic modality for intractable chronic and other pain."</t>
  </si>
  <si>
    <t>Zarković</t>
  </si>
  <si>
    <t>Yugoslavia
(Zagreb)</t>
  </si>
  <si>
    <t>Effect of semiconductor GaAs laser irradiation on pain perception in mice.</t>
  </si>
  <si>
    <t>0.0004</t>
  </si>
  <si>
    <t>"Laser treatment induced further shortening of latencies, suggesting its stimulatory influence on pain perception."
Note: There is no reason to believe that this ultra-low dose of 0.41 mJ/cm2 would have had any biological effects.</t>
  </si>
  <si>
    <t>Acta Physiol Scand</t>
  </si>
  <si>
    <t>A comparative study of the pain-relieving effect of laser treatment and acupuncture.</t>
  </si>
  <si>
    <t>Spinal cord injury
PCPA (parachlorophenylalanine)</t>
  </si>
  <si>
    <t>"Our results indicate that the analgesic effects reported in humans with similar modes of low power laser might be due to placebo."
According to Hode&amp;Tuner, "the study was published without the knowledge of Lars Hode". This is interesting, since Hode's name is in the author list.
Regarding the researcher: [See additional info]</t>
  </si>
  <si>
    <t>Jan Carlstedt-Duke, the Dean of research of Karolinska Institute has written as follows:
"Following a number of allegations made 2002 – 2004, I carried out an investigation of Dr Thomas Lundeberg and his group. The result of this investigation was a clear indication of scientific fraud and malpractice. We therefore asked the Swedish Research Council’s expert group on scientific malpractice to make an independent investigation which, due to the complexity of the case, was completed on May 31st this year.
The conclusion of this investigation was that scientific malpractice was demonstrated with numerous examples of plagiarism within scientific publications and patent applications. Furthermore, the documentation of the research carried out and its description was so poor, and in many cases lacking, that it was impossible to determine if and when experiments were carried out or by whom. The conclusion of the Rector is that we completely lack confidence in Thomas Lundeberg as a scientist.
Thomas Lundeberg resigned from his position as professor at Karolinska Institutet in October 2003. He has not been associated with Karolinska Institutet since that time and has no affiliation with the university today. He resigned his position following confrontation concerning a manuscript that was used for a patent application and that was plagiarised from a published paper from another group and that contained manipulated data that could not be verified with documented primary data. All connections with Karolinska Institutet were severed following that incident."
Read more: http://www.laser.nu/lllt/pdf/Scientific_fraud_in_lasers.pdf</t>
  </si>
  <si>
    <t>Walker J</t>
  </si>
  <si>
    <t>Relief from chronic pain by low power laser irradiation.</t>
  </si>
  <si>
    <t>Osteoarthritis
Post-herpetic nrlg
Radiclpthy (sciatic)
Diabetic neuropthy
Trigeminal nrlg</t>
  </si>
  <si>
    <t>110+
(5+ points)</t>
  </si>
  <si>
    <t>"Of the patients with trigeminal neuralgia, post-herpetic neuralgia, sciatica and ostearthritis, 19 of 26 experienced pain relief without the use of drugs. Patients who received sham stimulation reported no analgesia. Subjects who were exposed to laser irradiation had a large increase in the urinary excretion of 5-hydroxyindoleacetic acid, the degradation product of serotonin."</t>
  </si>
  <si>
    <t>Broadband light</t>
  </si>
  <si>
    <t>Vaupel</t>
  </si>
  <si>
    <t>Int J Hyperthermia</t>
  </si>
  <si>
    <t>Biophysical and photobiological basics of water-filtered infrared-A hyperthermia of superficial tumors.</t>
  </si>
  <si>
    <t>"Thermography-controlled, water-filtered infrared-A (wIRA) is a novel, effective and approved heating technique listed in the ESHO quality assurance guidelines for superficial hyperthermia clinical trials (2017). In order to assess the special features and the potential of wIRA-hyperthermia (wIRA-HT), detailed and updated information about its physical and photobiological background is presented. 
wIRA allows for (a) application of high irradiances without skin pain and acute grade 2-4 skin toxicities, (b) prolonged, therapeutically relevant exposure times using high irradiances (150-200 mW/cm2) and (c) faster and deeper heat extension within tissues. The deeper radiative penetration depth is mainly caused by forward Mie-scattering. At skin surface temperatures of 42-43 °C, the effective heating depth is 15 mm (T ≥ 40 °C) and 20 mm (T ≥ 39.5 °C). 
Advantages of wIRA include its contact-free energy input, easy power steering by a feed-back loop, extendable treatment fields, real-time and noninvasive surface temperature monitoring with observation of dynamic changes during HT, and - if necessary - rapid protection of temperature-sensitive structures."</t>
  </si>
  <si>
    <t>Light-Emitting Diode Therapy and Low-Level Light Therapy Are Photobiomodulation Therapy.</t>
  </si>
  <si>
    <t>"The definition of PBMT had been purposely developed to be inclusive for all nonionizing light sources, including lasers, LEDs, and broadband light. Therefore, LEDs, lasers, and broadband light sources that emit wavelengths in the near infrared (NIR) and visible range have comparable and effective treatment dosages at the target tissue, and cause clinical effects by the same mechanistic basis as PBMT devices."</t>
  </si>
  <si>
    <t>Heiskanen &amp; Hamblni</t>
  </si>
  <si>
    <t>Photobiomodulation: lasers vs. light emitting diodes?</t>
  </si>
  <si>
    <t>📖 Review (perspective)</t>
  </si>
  <si>
    <t>"[We found] approximately 40 newer papers comparing the effectiveness of laser photobiomodulation to LED photobiomodulation in either animals, cell cultures or humans. The results of these studies are shortly presented in Tables 4, 5 and 6, respectively"
"[M]ost of these comparisons provisionally suggest that lasers could indeed be replaced by LEDs without significant worsening of the results."
"Advantages of LEDs include no laser safety considerations, ease of home use, ability to irradiate a large area of tissue at once, possibility of wearable devices, and much lower cost per mW. LED photobiomodulation is here to stay."</t>
  </si>
  <si>
    <t>Note: I am the first author of this paper.</t>
  </si>
  <si>
    <t>Russia
(Moscow</t>
  </si>
  <si>
    <t>Only lasers can be used for low level laser therapy.</t>
  </si>
  <si>
    <t>"The question of lasers' exclusivity, as well as the degree of influence of special properties of low-intensity laser illumination (LILI), such as coherence, polarity and monochromaticity, on the effectiveness of low level laser therapy (LLLT) continues to cause arguments. 
The study analyzes publications from 1973 to 2016, in which laser and conventional light sources are compared, and the following conclusions are drawn. 
First, there are a lot of publications with incorrect comparison or unfounded statements. 
Secondly, other sources of light are often meant by LILI without any justification. 
Thirdly, all studies, in which the comparison is carried out correctly and close parameters of the impact and the model are used, have a firm conclusion that laser light is much more effective. 
Fourthly, it is uniquely identified that the most important parameter that determines the efficiency of lasers is monochromaticity, i.e., a much narrower spectral width than for all other light sources. 
Only laser light sources can be used for LLLT!"
Comment: This appears to be somewhat a cherry-picked and radical opinion paper, ignoring more than 250 LED photobiomodulation papers and some of the more recent laser vs LED comparison studies.</t>
  </si>
  <si>
    <t>Kim &amp; Calderhead</t>
  </si>
  <si>
    <t>Is light-emitting diode phototherapy (LED-LLLT) really effective?</t>
  </si>
  <si>
    <t>"Provided an LED phototherapy system has the correct wavelength for the target cells, delivers an appropriate power density and an adequate energy density, then it will be at least partly, if not significantly, effective. The use of LED-LLLT as an adjunct to conventional surgical or nonsurgical indications is an even more exciting prospect. LED-LLLT is here to stay."</t>
  </si>
  <si>
    <t>The importance of the coherency.</t>
  </si>
  <si>
    <t>"The coherence of the laser light is an important optical parameter. It is not lost when the light enters tissue, but the length of coherence is reduced. Laser speckles are formed within the entire illuminated volume"
"Whenever compared, coherent light has so far demonstrated better results than non-coherent light."
"The superiority of coherent light is shown to be relevant only for bulk tissue. The pain-relieving and healing effect in superficial wounds may be good also for both coherent and non-coherent polarized light."
Comment: In order to argue for laser light (vs uncoherent light), Hode refers to several studies. Some of them are not very valid for these comparisons. For example, there was a study that compared 4J/cm2 dose of visible polarized broadband light to 4J/cm2 dose of 830nm laser light. There are several differences between these light setups, and the coherence is only one of them. However, some of the other studies seem valid.</t>
  </si>
  <si>
    <t>Laser (and LED) therapy is phototherapy.</t>
  </si>
  <si>
    <t>"All too often the laser phototherapy literature is written as if a laser is magical. Lasers can seem magical if their unique properties of micro-dot focusing, high intensity, possibility of ultrashort pulses, coherent radiation, and monochromaticity are all made use of. If the first four properties are not useful in a particular application, as is the case for laser phototherapy, then a laser is just an expensive light bulb, whose emitted radiation follows (except for coherence) all of the same laws of physics and chemistry that the same wavelength of radiation from a conventional (non-coherent) light source follows"
"More and more papers are appearing in the therapy literature using non-coherent light sources such as LEDs. In general, they are less expensive than lasers, and as discussed above, in phototherapy it is the wavelength of the light that is important, not the coherence or lack of same."</t>
  </si>
  <si>
    <t>Quality of light — is laser necessary for effective photobiostimulation?</t>
  </si>
  <si>
    <t>"Whether the effects gained by laser could be obtained as easily by cheaper (near-monochromatic) light emitting sources is yet to be fully established. The weight of research evidence to date indicates that there are few convincing arguments for the use of true laser. Photostimulation occurs using both true laser light and near-monochromatic but non-coherent, non-collimated light. On this basis, it seems unnecessary for the clinician to spend large sums of money on laser apparatus when simpler and inexpensive light sources may suffice."
"The lack of firm evidence in the literature to date should warn the clinician not to accept blindly any hyperbole from the manufacturer or sales representative. Zusman (1991) alerts the physiotherapist to the possibility of opportunism by both the laser manufacturer and clinicians using laser. It is timely to renew healthy scepticism when assessing the need for purchase of a laser unit."</t>
  </si>
  <si>
    <t>Greguss P</t>
  </si>
  <si>
    <t>Spie Proc 1353</t>
  </si>
  <si>
    <t>Biostimulation of tissue by laser radiation</t>
  </si>
  <si>
    <t>"Biostimulation is discussed from the platform of signal processing. A comprehensive evaluation of the data presented in more than 5000 reports shows that laser radiation has no qualitative properties differing from those of monochromatic noncoherent radiation of the same wavelength and the same environmental parameters."
Comment: The language in this paper is poor, but it seems interesting.</t>
  </si>
  <si>
    <t>Cooling (studying athermal effect of light)</t>
  </si>
  <si>
    <t>An experimental setup for the measurement of nonthermal effects during water-filtered infrared A-irradiation of mammalian cell cultures.</t>
  </si>
  <si>
    <t>"Here, data of temperature distribution in Petri dishes of different types filled with aqueous medium are presented which were estimated by model calculation for different setups of cooling. Additionally, the real temperature development was directly measured. Such a cooling unit enables long-term application of high wIRA irradiances and large doses without any detectable warming of the irradiated samples, in single cell layers. Using such a setup, thermal and athermal effects can be compared and in addition to that quantified."</t>
  </si>
  <si>
    <t>Device design with imaging</t>
  </si>
  <si>
    <t>Smart Low Level Laser Therapy System for Automatic Facial Dermatological Disorder Diagnosis</t>
  </si>
  <si>
    <t>Device design</t>
  </si>
  <si>
    <t>PBM combined w/ monitoring or imaging</t>
  </si>
  <si>
    <t>"Computer-aided diagnosis using dermoscopy images is a promising technique for improving the efficiency of facial skin disorder diagnosis and treatment. Hence, in this study, we propose a low-level laser therapy (LLLT) system with a deep neural network and medical internet of things (MIoT) assistance. 
The main contributions of this study are to 
(1) provide a comprehensive hardware and software design for an automatic phototherapy system, 
(2) propose a modified-U2-Net deep learning model for facial dermatological disorder segmentation, and 
(3) develop a synthetic data generation process for the proposed models to address the issue of the limited and imbalanced dataset. 
Finally, a MIoT-assisted LLLT platform for remote healthcare monitoring and management is proposed."</t>
  </si>
  <si>
    <t>IEEE</t>
  </si>
  <si>
    <t>Comput Biol Med</t>
  </si>
  <si>
    <t>A smart LED therapy device with an automatic facial acne vulgaris diagnosis based on deep learning and internet of things application</t>
  </si>
  <si>
    <t>"In this article, a smart LED therapy system for automatic facial acne vulgaris diagnosis based on deep learning and Internet of Things application is proposed. 
The main goals of this study were to 
(1) develop an LED therapy device with different power densities and LED grid control; 
(2) propose a deep learning model based on modified ResNet50 and YOLOv2 for an automatic acne diagnosis; and 
(3) develop a smartphone application for facial photography image capture and LED therapy parameter configuration. 
'Furthermore, a healthcare Internet of Things (H-IoT) platform for the connectivity between smartphone apps, the cloud server, and the LED therapy device is proposed to improve the efficiency of the treatment process."</t>
  </si>
  <si>
    <t>ACS Appl Mater Interfaces</t>
  </si>
  <si>
    <t>Wearable and Wavelength-Tunable Near-Infrared Organic Light-Emitting Diodes for Biomedical Applications</t>
  </si>
  <si>
    <t>Device design
+ 🧪 In vitro</t>
  </si>
  <si>
    <t>"Here, we report wearable and wavelength-tunable NIR OLEDs that employ a high-performance NIR emitter and an innovative architecture by replacing the ITO with a silver (Ag) electrode. The NIR OLEDs permit wavelength tuning of emissions from 700 to 800 nm and afford stable operation even under repeated bending conditions. The NIR OLEDs provide a lowered device temperature of 37.5 °C even during continuous operation under several emission intensities. 
In vitro experiments were performed with freshly fabricated NIR OLEDs. The outcomes were evaluated against experimental results performed using the same procedure utilizing blue, green, and red OLEDs. When exposed to NIR light irradiation, the promoting effect of cell proliferation surpassed the proliferative responses observed under the influence of visible light irradiation. The proliferation effect of human hair follicle dermal papilla cells is clearly related to the irradiation wavelength and time, thus underscoring the potential of wavelength-tunable NIR OLEDs for efficacious phototherapy. 
This work will open novel avenues for wearable NIR OLEDs in the field of biomedical application."</t>
  </si>
  <si>
    <t>Non-invasive treatment of ischemia/reperfusion injury: Effective transmission of therapeutic near-infrared light into the human brain through soft skin-conforming silicone waveguides</t>
  </si>
  <si>
    <t>"To translate [NIR] therapy into the clinic an effective technology must be developed that allows efficient delivery of [NIR] to the brain while addressing potential safety concerns. Here, we introduce [NIR] delivery waveguides (IDWs) which meet these demands."</t>
  </si>
  <si>
    <t>Improving Consistency of Photobiomodulation Therapy: A Novel Flat-Top Beam Hand-Piece versus Standard Gaussian Probes on Mitochondrial Activity</t>
  </si>
  <si>
    <t>"This work was motivated by this need to improve photobiomodulation devices and delivery approaches. We designed a novel hand-piece with a flat-top beam profile of irradiation. We compared the beam profile versus a standard hand-piece and a fibre probe.
We utilized isolated mitochondria and performed treatments at various spots within the beam, namely, the centre, left and right edge. We examined mitochondrial activity by assessing ATP synthesis with the luciferin/luciferase chemiluminescent method as a primary endpoint, while mitochondrial damage was assessed as the secondary endpoint.
We observed a uniform distribution of the power density with the flat-top prototype compared to a wide Gaussian beam profile with the standard fibre and standard hand-piece.
We noted increased production of ATP in the centre of all three beams with respect to the non-treated controls (p &lt; 0.05). Both the fibre and standard hand-piece demonstrated less increase in ATP synthesis at the edges than the centre (p &lt; 0.05). In contrast, ATP synthesis was increased homogenously in the flat-top handpiece, both in the centre and the edges of the beam. Fibre, standard hand-piece and the flat-top hand-piece prototype have discrete beam distribution characteristics. This significantly affected the mitochondrial activity with respect to their position within the treated areas. 
Flat-top hand-piece enhances the uniformity of photobiomodulation treatments and can improve the rigour and reproducibility of PBM clinical outcomes."</t>
  </si>
  <si>
    <t>Device measurements</t>
  </si>
  <si>
    <t>Girasol</t>
  </si>
  <si>
    <t>Laser light sources for photobiomodulation: The role of power and beam characterization in treatment accuracy and reliability</t>
  </si>
  <si>
    <t>Device testing</t>
  </si>
  <si>
    <t>"The power and light-emitting beam diameter of twenty-four therapeutic devices with an average age of 11±5 years, with an average weekly use of fewer than thirty minutes, were measured."
"The analyzed power varied between 2% to 134% of the values declared by the manufacturers. Differences in beam diameter of between 38% and 543% of the nominal values were also observed."
"Conclusion: There is a need for a shared effort on the part of laser manufacturers to improve standardization and consistency of laser output power and beam diameters. At the same time, medical laser operators should also consider development of standardized protocols for maintenance and monitoring equipment performance over time to correct for fluctuations that could ultimately impact on treatment outcomes."</t>
  </si>
  <si>
    <t>The influence of delivery power losses and full operating parametry on the effectiveness of diode visible-near infra-red (445-1064 nm) laser therapy in dentistry-a multi-centre investigation</t>
  </si>
  <si>
    <t>"From Fig. 1a, it should be noted that only six of the device products evaluated had mean LSM deviations not significantly different from zero. However, nine of them exhibited significant power losses (ranging from ca. − 10 to − 30%), and five of them displayed excessive LSM power outage levels (from ca. 10 to as much as 65%)."</t>
  </si>
  <si>
    <t>Calibration of low-level laser therapy equipment.</t>
  </si>
  <si>
    <t>"The LLLT devices showed a deficit in real average power that emphasized a lack of order in the application of this tool. The present study also showed the need for periodical calibration of LLLT equipment and a better technical knowledge of the therapists involved."</t>
  </si>
  <si>
    <t>Guirro &amp; Weis</t>
  </si>
  <si>
    <t>Radiant power determination of low-level laser therapy equipment and characterization of its clinical use procedures.</t>
  </si>
  <si>
    <t>"Forty lasers at 36 physical therapy clinics were selected."
"The determined mean potency was lower than the one claimed by the manufacturer (p &lt; 0.05). In 30 cases, the analyzed equipment presented a potency between 3 microW and 5.6 mW; in three cases, the potency was &gt;25 mW; and in seven cases, potency was nonexistent."
Comment: The nonexistent potency was noted only in 904nm devices, though represented the majority of all devices.</t>
  </si>
  <si>
    <t>Biphasic dose response in the anti-inflammation experiment of PBM</t>
  </si>
  <si>
    <t>"This article will discuss these parameter adjustments and will then also briefly introduce two controversial theories of the molecular and cellular mechanisms of PBM. A better understanding of the extent of dualistic dose response in low-intensity laser therapy is necessary to optimize clinical treatment."</t>
  </si>
  <si>
    <t>Near-Infrared Light and Skin: Why Intensity Matters</t>
  </si>
  <si>
    <t>Skin damage
Sunlight</t>
  </si>
  <si>
    <t>"NIR used to have a bad reputation on the basis of past studies using high-intensity artificial light sources (above the solar IR-A irradiance threshold) at high doses leading to detrimental effects (i.e., upregulation of matrix metalloproteinase-1). However, when looking at the other side of the coin and what we can learn from the sun, NIR intensity matters.
Hence, mimicking sunlight NIR intensity (30-35 mW/cm2) will rather trigger beneficial cutaneous effects. It is likely that intensity is more important than the fluence (dose) delivered. Moreover, the law of reciprocity (i.e., the biological effect is directly proportional to the total dose irrespective of intensity) does not always apply when considering tissue response in photobiology. In fact, the biphasic dose curve (Arndt-Schulz curve) of photobiomodulation establishes that if irradiance is lower than the physiological threshold value for a given target, it does not produce beneficial effects, even when -irradiation duration is extended. Also, photo-inhibitory deleterious effects may occur at higher irradiances.
Remarkably, the beneficial "sweet spot" in between corresponds to the irradiance of the sun. NIR might even precondition the skin from an evolutionary standpoint as exposure to early morning NIR wavelengths in sunlight may prepare the skin for upcoming mid-day harmful UVR. Consequently, NIR light appears to be the solution, not the problem."</t>
  </si>
  <si>
    <t>Review of light parameters and photobiomodulation efficacy: dive into complexity.</t>
  </si>
  <si>
    <t>"Photobiomodulation (PBM) therapy, previously known as low-level laser therapy, was discovered more than 50 years ago, yet there is still no agreement on the parameters and protocols for its clinical application. 
Some groups have recommended the use of a power density less than 100 mW/cm2 and an energy density of 4 to 10 J/cm2 at the level of the target tissue. Others recommend as much as 50 J/cm2 at the tissue surface. The wide range of parameters that can be applied (wavelength, energy, fluence, power, irradiance, pulse mode, treatment duration, and repetition) in some cases has led to contradictory results. 
In our review, we attempt to evaluate the range of effective and ineffective parameters in PBM. Studies in vitro with cultured cells or in vivo with different tissues were divided into those with higher numbers of mitochondria (muscle, brain, heart, nerve) or lower numbers of mitochondria (skin, tendon, cartilage). Graphs were plotted of energy density against power density. 
Although the results showed a high degree of variability, cells/tissues with high numbers of mitochondria tended to respond to lower doses of light than those with lower number of mitochondria. Ineffective studies in cells with high mitochondrial activity appeared to be more often due to over-dosing than to under-dosing."</t>
  </si>
  <si>
    <t>Chow RT</t>
  </si>
  <si>
    <t>Dose dilemmas in low level laser therapy - the effects of different paradigms and historical perspectives.</t>
  </si>
  <si>
    <t>"Low Level Laser Therapy (LLLT) is controversial because of conflicting outcomes in peer reviewed literature. The possible combination and permutation of laser parameters is almost infinite. Defining what is an appropriate dose of laser energy for anyone condition remains anecdotal. A number of factors have contributed to the heterogenity of the literature and the variable outcomes. This paper examines how the confusion between laser acupuncture and non-acupuncture laser therapy has added to the dose dilemmas faced by clinicians using LLLT. Both historical and scientific perspectives on these differences are used to compare these two paradigms of laser therapy. An understanding of these differences may foster a more rational development of LLLT protocols."</t>
  </si>
  <si>
    <t>Low-Level Laser Therapy and Light Energy</t>
  </si>
  <si>
    <t>Tunér &amp; Jenkins</t>
  </si>
  <si>
    <t>Sweden &amp; USA</t>
  </si>
  <si>
    <t>Parameter Reproducibility in Photobiomodulation</t>
  </si>
  <si>
    <t>"PBM has been used for &gt;50 years, and no serious side effects have been reported. In a decade when side effects of pharmaceuticals are alarming and antibiotic resistance is a threat, this treatment modality appears to be much needed in the medical armamentarium, but first the scientific strength needs to be increased, and this can only occur if the basic use and reporting of light parameters are improved."</t>
  </si>
  <si>
    <t>Bayat M</t>
  </si>
  <si>
    <t>The necessity for increased attention to pulsed low-level laser therapy.</t>
  </si>
  <si>
    <t>The author argues for superiority of pulsing in some circumstances. He mentions several studies to support his argument.</t>
  </si>
  <si>
    <t>Low level laser therapy (LLLT) and World Association for Laser Therapy (WALT) dosage recommendations.</t>
  </si>
  <si>
    <t>"In the near future, we think that we will also be able to identify therapeutic windows in nerve repair and peripheral nerve analgesia. The limited available evidence suggests already that this therapeutic window will have a somewhat higher dose range and, possibly, a higher power density than the WALT musculoskeletal dosage recommendations.
Only the future will show if we reach our ambitious goals of providing clinicians with the best recommendations. However, we sincerely believe that these are currently the best guidelines to be found for optimal administration of LLLT for musculoskeletal pain."</t>
  </si>
  <si>
    <t>The relevance of accurate comprehensive treatment parameters in photobiomodulation.</t>
  </si>
  <si>
    <t>"Correct measurement and reporting of dose remains a major problem in photobiomodulation literature; making it difficult to adequately interpret or reproduce and replicate published reports."
"In this issue of the Journal, Jenkins and Carroll present tabulations of treatment parameters and equipment-related parameters that could significantly enhance reproducibility of research reports, if complied with by research investigators and others."</t>
  </si>
  <si>
    <t>Standard parameters in laser phototherapy.</t>
  </si>
  <si>
    <t>"To foster uniformity and standardization of treatment parameters, published reports should, at all times, include a detailed description of treatment as well as the device used in performing such treatment. A description of the device should include the name of the manufacturer, the manufacturer’s geographical location, the equipment model, power output, the wavelength of the light source, including a description of the source, e.g., solid state, gas, laser diode, light-emitting diode, etc., and the shape, size and type of treatment applicator used in delivering treatment. 
Similarly, a detailed description of treatment parameters is necessary; and should include: (1) the irradiance or power density measured in W cm2, (2) the dose in the form of energy density or fluence measured in J/cm2, (3) the duration of each treatment session, preferably measured in seconds, (4) the frequency of treatment (i.e., the number of times treatment was done per week), and (5) the cumulative
dose given, i.e., the individual doses multiplied by the number of treatment sessions.Such reporting would yield the uniform standard profoundly needed to permit an objective comparison of studies in the literature."</t>
  </si>
  <si>
    <t>Terminology ... again!</t>
  </si>
  <si>
    <t>"'Laser is important/Laser is not important/polarization is important/wavelength is important' are also very common arguments heard at congresses and in papers: however, they are basics, and are fundamental to the correct understanding of what LLLT is or is not. Perhaps 'Low reactive-Level Laser Therapy' will become 'Low reactive-Level Light Therapy', fortunately they will share the same acronym!"</t>
  </si>
  <si>
    <t>Electromagnetic dosimetry</t>
  </si>
  <si>
    <t>Bioelectromagnetics</t>
  </si>
  <si>
    <t>Electromagnetic Dosimetry for Isolated Mitochondria Exposed to Near-Infrared Continuous-Wave Illumination in Photobiomodulation Experiments</t>
  </si>
  <si>
    <t>Simulation</t>
  </si>
  <si>
    <t>"This paper presents results on the electromagnetic field computed inside isolated mitochondria when they are exposed to near-infrared illuminations with reference to photobiomodulation experiments. The accurate calculation of the electromagnetic dose is considered to be important for a better understanding of the mechanism of interaction of light with these organelles and to improve the reliability and repeatability of the experiments. To get such results, we introduce several models. Even though they refer to a well-defined experimental setup, different models are necessary to take into account the possible different dispositions of the mitochondria, and of the differences in their dimensions and in their constitutive parameters. Different wavelengths and polarizations are considered as well. The effects of all parameters on the electromagnetic field inside mitochondria are discussed."</t>
  </si>
  <si>
    <t>Irradiance uniformity</t>
  </si>
  <si>
    <t>Homsirikamol</t>
  </si>
  <si>
    <t>Appl Opt</t>
  </si>
  <si>
    <t>Validation of uniformity-optimized irradiance distribution on a well-plate platform from a light-emitting-diode array</t>
  </si>
  <si>
    <t>"The computational optimization of irradiance distribution uniformity has been conducted in several studies to obtain the evenness of photoresponses on an irradiated surface using light-emitting-diode (LED) arrays. However, there has been little discussion on the precision of predictive simulations.
This study aims to validate the simulated irradiance predicted by a mathematical model on the working area of a six-well plate and investigate the spatial consistency of the photobleaching of methylene blue and IR-820 photosensitizers on the bottom of the different wells illuminated by using the local-search-optimized LED configurations.
The validation signified the negative deviation of both the measured irradiance and irradiance uniformity as compared to the simulated data. Despite the coefficients of variation observed as low as 1.9% and 7.4% for red-light and infrared irradiance, respectively, the photobleaching responses were found to be spatially diverse."</t>
  </si>
  <si>
    <t>Optica</t>
  </si>
  <si>
    <t>Method for the assessment of effects of a range of wavelengths and intensities of red/near-infrared light therapy on oxidative stress in vitro.</t>
  </si>
  <si>
    <t>670
810</t>
  </si>
  <si>
    <t>"Non-coherent Xenon light was filtered through narrow-band interference filters to deliver varying wavelengths (center wavelengths of 440, 550, 670 and 810 nm) and fluences (8.5x10(-3) to 3.8x10(-1) J/cm2) of light to cultured cells."
"While the fluences of R/NIR-LT used in the current study did not exert an effect on ROS generated by the cultured cells, the method of light delivery is applicable to other systems including isolated mitochondria or more physiologically relevant organotypic slice culture models, and could be used to assess effects on a range of outcome measures of oxidative metabolism."</t>
  </si>
  <si>
    <t>Role of Polarized Light in Photobiomodulation</t>
  </si>
  <si>
    <t>Good, better, best? The effects of polarization on Photobiomodulation Therapy.</t>
  </si>
  <si>
    <t>"The polarization of PBMT presents as an interesting variable to investigate further. Some evidence has shown when compared to NPPBMT, PPBMT can cause quicker and more organised wound healing and that it may be able to penetrate biological tissue more effectively when applied in a parallel orientation relative to the tissue being irradiated. However, more detailed mapping of cellular and molecular responses to the therapy is required to show a clear differentiation between PPBMT and NPPBMT, and other phototherapy modalities more broadly."</t>
  </si>
  <si>
    <t>Maturitas</t>
  </si>
  <si>
    <t>Therapeutic applications of polarized light: Tissue healing and immunomodulatory effects.</t>
  </si>
  <si>
    <t>"Polarized light therapy (PLT) utilizes visible-spectrum polarized light for a number of clinical applications. The advantage of polarized light is that it is able to penetrate the skin to a depth of up to 5 cm, reaching deeper tissues involved in wound healing. 
PLT has been shown to accelerate the healing process for ulcers, surgical wounds and dermal burns as well as a small number of musculoskeletal injuries. As research into the histological and physiological effects of PLT is largely absent, studies related to other light therapy modalities, largely low-level laser therapy, may pave the way to identify putative mechanisms by which PLT might exert its effects. Changes to cell signalling and secretion of substances required for wound healing have been identified in response to phototherapies. 
The reviewed literature suggests that PLT may be efficacious in some wound and injury healing contexts, though a gap in the literature exists regarding its mechanisms of action. Future studies should fully explain the therapeutic effects of PLT and the physiological mechanisms underpinning them."</t>
  </si>
  <si>
    <t>Fixler</t>
  </si>
  <si>
    <t>Optics and Lasers in Engineering</t>
  </si>
  <si>
    <t>Depolarization of light in biological tissues</t>
  </si>
  <si>
    <t>Original research w/ uncooked turkey meat</t>
  </si>
  <si>
    <t>"Recently in phototherapy the use of diodes and broadband light devices instead of lasers was suggested for economical and practical reasons. It has been argued that lasers are not superior to LEDs since they lose their coherence and polarization once they penetrate into biological tissues. However, the polarization point has never been experimentally proven. In this work, to the best of our knowledge, we have for the first time experimentally validated the conditions that affect the polarization state of light when laser illumination propagates through a biological tissue with and without flow."
"We found that the polarization of the laser is almost uninfluenced by light passing through a static tissue with a low reduced scattering coefficient of µs = 0.8 mm ^(-1) or when the flow direction is parallel to the polarization direction of the laser. However, it is partially lost when there is a flow of fluid through the tissue in a direction perpendicular to the laser’s polarization direction."</t>
  </si>
  <si>
    <t>Elementary processes in cells after light absorption do not depend on the degree of polarization: implications for the mechanisms of laser phototherapy.</t>
  </si>
  <si>
    <t>6.57</t>
  </si>
  <si>
    <t>65.7</t>
  </si>
  <si>
    <t>"The biological effect (stimulation of cell attachment) of light with lambda = 637 nm on cells in our model system was pronounced, but did not depend on the degree of light polarization. Elementary processes in cells (light absorption and photochemistry) do not appear to depend on the degree of light polarization."</t>
  </si>
  <si>
    <t>Importance of pulsing illumination parameters in low-level-light therapy.</t>
  </si>
  <si>
    <t>" Results demonstrated that, 72 h post-baseline, specific microsecond pulsing patterns had a more favorable impact on the ability of fibroblasts to produce collagen de novo than comparative conditions of continuous wave, pulsed 50% duty cycle, and millisecond pulsing domains. The cascade of events leading to collagen production by red illumination may be explained by the photodissociation of nitric oxide from cytochrome c oxidase. Short and intermittent light delivery might enhance this cellular event."</t>
  </si>
  <si>
    <t>Effect of pulsing in low-level light therapy.</t>
  </si>
  <si>
    <t>"There is some evidence that pulsed light does have effects that are different from those of continuous wave light. However further work is needed to define these effects for different disease conditions and pulse structures."
Hamblin mentions in (Lasers Surg Med 2010;42:447-9): "They reviewed the literature containing 33 studies of pulsed LLLT and found that out of nine studies that directly compared pulsed with CW light, six found a direct benefit for pulsing. They provided some mechanistic hypotheses for why pulsing could be superior to CW including increased penetration depth and kinetics of ion channels."</t>
  </si>
  <si>
    <t>How to Write a Good Photobiomodulation Article.</t>
  </si>
  <si>
    <t>Is there a measure for low power laser dose?</t>
  </si>
  <si>
    <t>"This review focuses on the physical and biological parameters proposed to make experimental and clinical protocols accurate and reproducible as well as suggests dose parameters based on biological effects induced by low power lasers."</t>
  </si>
  <si>
    <t>Jenkins &amp; Carroll</t>
  </si>
  <si>
    <t>Australia (Oakbank, SA)</t>
  </si>
  <si>
    <t>How to report low-level laser therapy (LLLT)/photomedicine dose and beam parameters in clinical and laboratory studies.</t>
  </si>
  <si>
    <t>The eight most important beam parameters to report:
- wavelength
- power
- irradiation time
- beam area at the skin or culture surface (this is not necessarily the same as the aperture size)
- pulse parameters
- anatomical location
- number of treatments
- interval between treatments</t>
  </si>
  <si>
    <t>Sliney &amp; International Commission on Illumination</t>
  </si>
  <si>
    <t>Radiometric quantities and units used in photobiology and photochemistry: recommendations of the Commission Internationale de L'Eclairage (International Commission on Illumination).</t>
  </si>
  <si>
    <t>"This note is to review the standardized terms and provide a background on how such terms are developed, with the hope that all readers will attempt to follow the standardized terminology."</t>
  </si>
  <si>
    <t>Calderhead G</t>
  </si>
  <si>
    <t>Japan
(Tochigi)</t>
  </si>
  <si>
    <t>Watt's A Joule?: On the importance of accurate and correct reporting of laser parameters in low reactive-laser therapy and photobioactivation research.</t>
  </si>
  <si>
    <t>"With the increase in acceptance of low reactive-level laser therapy. or LLLT, as a valid medicoscientific subset, there is a corresponding increase in the number of papers appearlng in the literature. Unfortunately, the majority of these papers are marred by inaccurate and inconsistent reporting of parameters, and incorrect use of inappropriate terminology. The correct and accepted scientific units and their use in describing an experiment or clinical application are next discussed: the orthodox reporting of the incident laser power in watts or milliwatts; the spot size or irradiated area in square centimetres; the exposure time in seconds: and the incident energy, measured in joules; and their derivative terms, power density: energy; and energy density are examined, The importance of correct and accurate reporting of experimental parameters to enable repetition by another worker in the field is stressed. The author suggests that the disparity in parameter reporting can probably account for the different results from different groups working on the ‘same’ experiment. "
"The author concludes that correct and accurate reporting of well-designed LLLT studies in an acceptable and consistent terminology will help to solidify the acceptance of LLLT in the medicoscientific community."</t>
  </si>
  <si>
    <t>Research methods</t>
  </si>
  <si>
    <t>Mignon &amp; Uzunbajakava</t>
  </si>
  <si>
    <t>Netherlands
(Eindhoven)</t>
  </si>
  <si>
    <t>Methods Mol Biol</t>
  </si>
  <si>
    <t>Method for Investigation of Photobiological Effects of Light on Human Skin Cells Mediated by Low Doses of Light.</t>
  </si>
  <si>
    <t>Devices</t>
  </si>
  <si>
    <t>"It has recently been reported that some of these photobiological responses triggered by low levels of light (or the so-called photobiomodulation) could initiate beneficial therapeutic effects. Identification of these effective light-based therapeutic solutions requires in-depth understanding of the parameter space. The physical, biological, and chemical conditions that need to be fulfilled to facilitate such positive photobiological effects are to be carefully deciphered.
Here, we provide the protocols that were specifically developed to investigate multidimensional parameter space driving photobiological interactions triggered by light (photobiomodulation) in the skin cells. The approach is based on the so-called design of experiment (DoE), a statistical method, which allows for the investigation of multidimensional parameters landscapes. This goes hand in hand with sharing practical tips for the design of light-based devices inducing these effects.
To exemplify practical applications of the developed methods and light-based devices, we disclose experimental data sets and emphasize robustness and reproducibility of the results."</t>
  </si>
  <si>
    <t>Selting W</t>
  </si>
  <si>
    <t>Laser Operating Parameters for Hard and Soft Tissue, Surgical and PBM Management</t>
  </si>
  <si>
    <t xml:space="preserve">"The purpose of this chapter is to explore the parameters that are important, and in some cases critical, to successful laser therapy. This discussion then leads to insights into specific lasers and tissues."
</t>
  </si>
  <si>
    <t>UK (Birmingham)</t>
  </si>
  <si>
    <t>The dark art of light measurement: accurate radiometry for low-level light therapy.</t>
  </si>
  <si>
    <t>For all papers reviewed, missing information for specific light parameters included
- wavelength (3%)
- light source type (8%)
- power (41%)
- pulse frequency (52%)
- beam area (40%)
- irradiance (43%)
- exposure time (16%)
- radiant energy (74%) and
- fluence (
"Frequent use of incorrect terminology was also observed within the reviewed literature."
"A poor understanding of photophysics is evident as a significant number of papers neglected to report or misreported important radiometric data. These errors affect repeatability and reliability of studies shared between scientists, manufacturers and clinicians and could degrade efficacy of patient treatments."</t>
  </si>
  <si>
    <t>Intricacies of dose in laser phototherapy for tissue repair and pain relief.</t>
  </si>
  <si>
    <t>Dosing</t>
  </si>
  <si>
    <t>"Inaccurate measurement and incorrect reporting of dosages are major shortcomings of phototherapy articles. As many as 30% of published reports in the field either lack relevant information needed to determine a dosage or report dosages that are altogether inaccurate."
"I define and discuss five key parameters that influence dosage, including 1) radiant power, 2) radiant energy, 3) power density, 4) energy density, and 5) wavelength, and use hypothetical cases to demonstrate how factors such as beam spot size, size of lesion, mode of treatment (contact, noncontact, or scanning), frequency of treatment, dose per treatment, and cumulative dose affect dosages and treatment outcomes. The potential effects of patient-related factors, such as etiology, pathology, tissue optical density, depth of target tissue, and skin pigmentation are discussed concurrently and strategies are suggested to improve dosage determination."</t>
  </si>
  <si>
    <t>It's all in the parameters: a critical analysis of some well-known negative studies on low-level laser therapy.</t>
  </si>
  <si>
    <t>Negative results</t>
  </si>
  <si>
    <t>"A study of 1,200 papers on LLLT has resulted in 85 positive and 35 negative double-blind studies. The negative studies have been scrutinized carefully in an effort to pinpoint possible reasons for the failures."
"In the following, the majority are double-blind studies, but some non-blinded and animal studies have been included to give typical examples of pitfalls."</t>
  </si>
  <si>
    <t>Are all the negative studies really negative?</t>
  </si>
  <si>
    <t>"This article presents an analysis of a number of frequently cited studies on the effects of low level laser therapy (LLLT). In many of these studies, the analysis uncovered one or more reasons for the negative findings reported, the most common being the use of extremely low doses. Other reasons included faulty inclusion criteria, inaccurate control group definition, ineffective methods of therapy, inadequate attention to systemic effects and tissue condition, and low incident power density. "</t>
  </si>
  <si>
    <t>Treatment techniques</t>
  </si>
  <si>
    <t>Nagasawa &amp; Kato</t>
  </si>
  <si>
    <t>A useful low reactive-level laser therapy methodology: the contact pressure laser technique</t>
  </si>
  <si>
    <t>""When the aperture of a laser irradiator and the point of focus of the laser beam are placed in contact with the target tissue with pressing on it is applied, the laser beam comes nearer to the target tissue""</t>
  </si>
  <si>
    <t>Wavelengths</t>
  </si>
  <si>
    <t>Photobiomodulation via multiple-wavelength radiations.</t>
  </si>
  <si>
    <t>"The present study aims to conduct a review of the literature addressing the results and applications of photobiomodulation induced by a combination of two or more radiations as well as their possible effects."</t>
  </si>
  <si>
    <t>PDT papers with PBM aspects</t>
  </si>
  <si>
    <t>Aniogo</t>
  </si>
  <si>
    <t>Photobiomodulation Improves Anti-Tumor Efficacy of Photodynamic Therapy against Resistant MCF-7 Cancer Cells</t>
  </si>
  <si>
    <t>"In the present study, we used PBM to mediate and improve the anti-tumor efficacy of zinc phthalocyanine tetrasulfonic acid (ZnPcS4)-PDT on resistant MCF-7 breast cancer cells and explore molecular changes associated with cell death. Different laser irradiation models were used for PBM and PDT combination."
"The combined treatment demonstrated an additive effect on the viability and Annexin-V/PI-staining cell death assessed through MTT assay and mitochondrial release of cytochrome c. Rhodamine (Rh123) showed increased affinity to mitochondrial disruption of the strategic treatment with PBM and PDT. Results from the autophagy assay indicate an interplay between the mitochondrial and autophagic proteins."
"These findings were indicative that PBM might improve the anti-tumor of PDT by inducing autophagy in resistant MCF-7 breast cancer cells that evade apoptosis."</t>
  </si>
  <si>
    <t>Autophagy and Apoptosis Induced in U87 MG Glioblastoma Cells by Hypericin-Mediated Photodynamic Therapy Can Be Photobiomodulated with 808 nm Light</t>
  </si>
  <si>
    <t>"Our results indicate that therapeutic hypericin concentrations can be reduced when PDT is combined with PBM. This will likely allow to reduce the damage induced in surrounding healthy tissues when PBM-hypericin-PDT is used for in vivo tumor treatments."</t>
  </si>
  <si>
    <t>Photobiomodulation effects on photodynamic therapy in HNSCC cell lines</t>
  </si>
  <si>
    <t>Squamous cell carcinoma cell lines SCC-25 and SCC-4</t>
  </si>
  <si>
    <t>"Photobiomodulation (PBM) enhanced PDT action in SCC-25 cells by increasing photosensitizer (PS) uptake and production of reactive oxygen species (ROS). The equivalent was not seen in SCC-4 cells compared to the PDT only group."</t>
  </si>
  <si>
    <t>Negri</t>
  </si>
  <si>
    <t>Photobiomodulation combined with photodynamic therapy using ruthenium phthalocyanine complexes in A375 melanoma cells: Effects of nitric oxide generation and ATP production.</t>
  </si>
  <si>
    <t>660
(PDT)
+
850
(PBM)</t>
  </si>
  <si>
    <t>"Similar experiments performed with PDT (660 nm) combined with PBM (850 nm) induced more photocytotoxicity using both [Ru(Pc)] and trans-[Ru(NO)(NO2)(Pc)]. This was interpreted as PBM increasing cell metabolism (ATP production) and the consequent higher uptake of the ruthenium phthalocyanine compounds and more efficient apoptosis. 
The use of metal-based photosensitizers combined with light therapy may represent an advance in the field of photodynamic therapy."</t>
  </si>
  <si>
    <t>AlClPc</t>
  </si>
  <si>
    <t>Synergistic effect of photobiomodulation and phthalocyanine photosensitizer on fibroblast signaling responses in an in vitro three-dimensional microenvironment</t>
  </si>
  <si>
    <t>0.1-
3.0</t>
  </si>
  <si>
    <t>"PBM at 1.2 J/cm2 and AlClPc/NE at 0.5 μM modified the fibroblast signaling response under 3D conditions, promoting collagen synthesis, ROS production, MMP-9 secretion, proliferation of the actin network, and facile myofibroblastic differentiation. PBM alone (at 1.2 J/cm2 and 0.3 J/cm2) had no significant effect on any of these parameters."</t>
  </si>
  <si>
    <t>ClAlPc/NE</t>
  </si>
  <si>
    <t>Castilho-Fernandes</t>
  </si>
  <si>
    <t>Adipogenic differentiation of murine bone marrow mesenchymal stem cells induced by visible light via photo- induced biomodulation.</t>
  </si>
  <si>
    <t>"Our results indicated that photo-induced biomodulation via visible light using AlClPc/NE and LLL can induce adipogenic differentiation of murine BM-MSCs. Therefore, cell therapy with BM-MSCs and photo-induced biomodulation may contribute to the development of new therapeutic strategies that are faster and more effective than traditional methods to trigger MSC differentiation."</t>
  </si>
  <si>
    <t>Curr Med Chem</t>
  </si>
  <si>
    <t>Photobiostimulation on wound healing treatment by ClAlPc-nanoemulsion from a multiple-wavelength portable light source on a 3D-human stem cell dermal equivalent.</t>
  </si>
  <si>
    <t>Dermal cells
Bone marrow mesenchymal stem cells
LED phototherapy
Wavelength comparison</t>
  </si>
  <si>
    <t>"The experimental tests were carried out using a LED portable to multiple waves (operating at 660 nm and 810 nm) at different doses to induce photobiostimulation (10 to 70 mJ.cm-2). Moreover, a photosensitizer drug was employed as a new advanced designed nanomaterial, being a nanoemulsion with biopolymers to obtain an efficient drug delivery system to release lipophilic compounds (...) 
Results showed that an appropriate photomodulation using the combination of both wavelengths (in the red and infrared range) is possible, such that it can contribute to wound healing therapy and/or other pathological skin disease treatment."</t>
  </si>
  <si>
    <t>In vitro evaluation of chloroaluminum phthalocyanine nanoemulsion and low-level laser therapy on human skin dermal equivalents and bone marrow mesenchymal stem cells.</t>
  </si>
  <si>
    <t>"A biological model was used as an in vitro skin equivalent based on a three-dimensional culture of fibroblasts and mesenchymal stem cells and denominated by dermal equivalent (DE). Results show that it is possible to use the photomodulation process to control the wound healing in a scratching process and to induce the biomolecules release, both of which are related with the inflammatory wound healing process."</t>
  </si>
  <si>
    <t>Zancanela</t>
  </si>
  <si>
    <t>The effect of photosensitizer drugs and light stimulation on osteoblast growth.</t>
  </si>
  <si>
    <t>"We observed that an increased number of viable cells was evident upon application of a laser dosage equal to 0.5 J/cm(2) when combined with 0.5 μmol/L of AlClPc/NE, suggesting cellular biostimulation."
"It was possible to demonstrate that low intensity laser irradiation can play an important role in promoting biostimulation of osteoblast cell cultures. Therefore, whether biostimulation of osteoblastic cell cultures by photodynamic therapy or the cytotoxic effect of this therapy occurs only depends upon the light dose, and the results can be completely reversed."</t>
  </si>
  <si>
    <t>In vivo attenuation profile of 660 nm and 830 nm wavelengths on human elbow skin and calcaneus tendon of different phototypes</t>
  </si>
  <si>
    <t>lig</t>
  </si>
  <si>
    <t>"The 830-nm laser presents higher light transmission on the skin than 660 nm. The distances between the application points can be different, with higher values for 830 nm than 660 nm."</t>
  </si>
  <si>
    <t>Aldalawi</t>
  </si>
  <si>
    <t>Malaysia &amp; Iraq</t>
  </si>
  <si>
    <t>Comparison of Wavelength-Dependent Penetration Depth of 532 nm and 660 nm Lasers in Different Tissue Types</t>
  </si>
  <si>
    <t>532
660</t>
  </si>
  <si>
    <t>"Chicken and beef of different thicknesses (1, 3, 5, 10, and 20 mm±0.2 mm) were used as in vitro tissue models. The samples were subjected to irradiation by a low-level laser diode of 532 and 660 nm in continuous mode for 10 minutes. with power densities of 167 and 142 J/cm2, respectively. Laser light transmission through the tissue was measured using a power meter."
"For beef samples, the 660 nm wavelength achieved a maximum transmission intensity of 30.7% at 1 cm thickness, while the 532 nm laser had a transmission intensity of 6.5%. Similarly, in chicken breast samples, the maximum transmission occurred at 1 cm thickness with 68.1% for the 660 nm wavelength and 18.2% for the 532 nm laser."</t>
  </si>
  <si>
    <t>Finlayson</t>
  </si>
  <si>
    <t>Depth Penetration of Light into Skin as a Function of Wavelength from 200 to 1000 nm</t>
  </si>
  <si>
    <t>200-
1000</t>
  </si>
  <si>
    <t>"As anticipated, we found that the penetration depth of light into skin varies with wavelength in accordance with the optical properties of skin. Penetration depth of ultraviolet radiation was also increased when the stratum corneum was thinner."</t>
  </si>
  <si>
    <t>Analysis of Low-Level Laser Transmission at Wavelengths 660, 830 and 904 Nm in Biological Tissue Samples</t>
  </si>
  <si>
    <t>"The transmitted power of LLLT on skin, fat, and muscle of tissues decreases with the increase of thicknesses, presenting minor attenuation on rat skin, pig fat, and pig muscle for 904 nm. The pig skin has the slight attenuation for 830 nm."</t>
  </si>
  <si>
    <t>Piao</t>
  </si>
  <si>
    <t>USA
(Stillwater, OK)</t>
  </si>
  <si>
    <t>Flexible nine-channel photodetector probe facilitated intraspinal multisite transcutaneous photobiomodulation therapy dosimetry in cadaver dogs.</t>
  </si>
  <si>
    <t>"We have developed a flexible nine-channel photodetection probe for deployment within the spinal canal of a dog after hemilaminectomy to measure transcutaneously transmitted PBMT irradiance at nine sites over an ∼8-cm length of the spinal canal."</t>
  </si>
  <si>
    <t>Haslerud</t>
  </si>
  <si>
    <t>Achilles Tendon Penetration for Continuous 810 nm and Superpulsed 904 nm Lasers Before and After Ice Application: An In Situ Study on Healthy Young Adults.</t>
  </si>
  <si>
    <t>Achilles tendon
Ice application</t>
  </si>
  <si>
    <t>810
904</t>
  </si>
  <si>
    <t>"The penetration of laser light increased significantly through healthy Achilles tendons subjected to 20 min of cooling. These findings occurred in the presence of a significant reduction in skin temperature and Achilles tendon thickness."</t>
  </si>
  <si>
    <t>Bordvik</t>
  </si>
  <si>
    <t>Penetration Time Profiles for Two Class 3B Lasers in In Situ Human Achilles at Rest and Stretched.</t>
  </si>
  <si>
    <t>Achilles tendon</t>
  </si>
  <si>
    <t>200
60</t>
  </si>
  <si>
    <t>"The 904 nm laser penetrates relatively more energy than the 810 nm laser in in situ human Achilles. Moreover, penetration from the super-pulsed 904 nm laser increased during exposure time, whereas penetration from the 810 nm laser was constant. In addition, stretching the Achilles causes a higher energy attenuation by the tissue."</t>
  </si>
  <si>
    <t>Guiselini</t>
  </si>
  <si>
    <t>Pilot study on laser propagation in maxillary and mandibular bone: Grey level image analysis for optical measurements.</t>
  </si>
  <si>
    <t>Maxilla, mandibula</t>
  </si>
  <si>
    <t>"Differences in optical properties were found between the mandibular and maxillary bones. The maxilla attenuated more light than the mandible at all sites, leading to a shallower penetration depth."</t>
  </si>
  <si>
    <t>Low-power laser therapy for carpal tunnel syndrome: effective optical power.</t>
  </si>
  <si>
    <t>Anders &amp; Wu</t>
  </si>
  <si>
    <t>Comparison of Light Penetration of Continuous Wave 810 nm and Superpulsed 904 nm Wavelength Light in Anesthetized Rats.</t>
  </si>
  <si>
    <t>"The percentages of light transmission (fluence rate) through muscle and skin were 7.42% (810 nm wavelength) and 4.01% (904 nm wavelength) and through skin were 24.63% (810 nm wavelength) and 19.94% (904 nm wavelength).
These data prove that transmission of CW 810 nm wavelength light through muscle and skin and skin alone is greater than transmission of superpulsed 904 nm wavelength light."</t>
  </si>
  <si>
    <t>Effects of tissue water content on the propagation of laser light during low-level laser therapy.</t>
  </si>
  <si>
    <t>"It was demonstrated that the distribution of laser fluence rate inside the target is strongly affected by tissue water content and its profile is determined by the water content dependency of optical properties at the laser wavelength."</t>
  </si>
  <si>
    <t>Hudson</t>
  </si>
  <si>
    <t>USA (CT)</t>
  </si>
  <si>
    <t>Penetration of laser light at 808 and 980 nm in bovine tissue samples.</t>
  </si>
  <si>
    <t>"For 808 nm, 1 mW/cm(2) was achieved at 3.4 cm, but for 980 nm, 1 mW/cm(2) was achieved at only 2.2 cm depth of tissue."
"It was determined that 808 nm of light penetrates as much as 54% deeper than 980 nm light in bovine tissue."</t>
  </si>
  <si>
    <t>Joensen</t>
  </si>
  <si>
    <t>Skin penetration time-profiles for continuous 810 nm and Superpulsed 904 nm lasers in a rat model.</t>
  </si>
  <si>
    <t>Neupane</t>
  </si>
  <si>
    <t>Nepal</t>
  </si>
  <si>
    <t>Effect of light emitting diodes in the photodynamic therapy of rheumatoid arthritis.</t>
  </si>
  <si>
    <t>Red, white, yellow and infra-red (IR) LEDs were tested to measure the optical penetration for soft tissue and their scattering.</t>
  </si>
  <si>
    <t>Esnouf</t>
  </si>
  <si>
    <t>Depth of penetration of an 850nm wavelength low level laser in human skin.</t>
  </si>
  <si>
    <t>🧑 Human skin samples</t>
  </si>
  <si>
    <t>d =
0.28 mm</t>
  </si>
  <si>
    <t>"The intensity of laser radiation reduced by 66% after being transmitted through a 0.784mm sample of human abdominal tissue. In this study most laser radiation was absorbed within the first 1mm of skin."</t>
  </si>
  <si>
    <t>Ryan &amp; Smith</t>
  </si>
  <si>
    <t>UK
(Hatfield)</t>
  </si>
  <si>
    <t>Ir Vet J</t>
  </si>
  <si>
    <t>An investigation into the depth of penetration of low level laser therapy through the equine tendon in vivo.</t>
  </si>
  <si>
    <t>Equine tendon</t>
  </si>
  <si>
    <t>"These results suggest that, when applying laser to a subcutaneous structure in the horse, the area should be clipped and cleaned beforehand."</t>
  </si>
  <si>
    <t>Bashkatov</t>
  </si>
  <si>
    <t>Optical properties of human skin, subcutaneous and mucous tissues in the wavelength range from 400 to 2000 nm</t>
  </si>
  <si>
    <t>"The optical properties of human skin, subcutaneous adipose tissue and human mucosa were measured in the wavelength range 400–2000 nm."</t>
  </si>
  <si>
    <t>Characterization of light penetration in rat tissues.</t>
  </si>
  <si>
    <t>🐀 Rat tissue slices</t>
  </si>
  <si>
    <t>"We have found that abdominal wall fat presents the lowest exponential decay when compared with liver, muscle, and kidney. The obtained values provided good data about the light distribution in those tissues when irradiated with a nondiffuse laser beam. For all tissues, we observed a spherical light distribution and exponential decay. Cirrhotic liver shows much stronger decay than healthy liver. These results are useful for several applications of laser for biostimulation a phototherapy."</t>
  </si>
  <si>
    <t>Attenuation and penetration of visible 632.8nm and invisible infra-red 904nm light in soft tissues</t>
  </si>
  <si>
    <t>"Collectively, our findings warrant the conclusions that 
(1) The calf muscles of the New Zealand white rabbit attenuates light in direct proportion to its thickness. In this tissue, light attenuation is not significantly affected by the overlying skin, a finding which may be applicable to other muscles. 
(2) The depth of penetration of a 632.8nm and 904nm light is not related to the average power of the light source. The depth of penetration is the same notwithstanding the average power of the light source. (
3) Compared to the 904nm wavelength, 632.8nm light is attenuated more by muscle tissue, suggesting that is is absorbed more readily than the 904nm wavelength or conversely that the 904nm wavelength penetrates more. Thus, wavelength plays a critical role in the depth of penetration of light."</t>
  </si>
  <si>
    <t>Kolárová</t>
  </si>
  <si>
    <t>Penetration of the laser light into the skin in vitro.</t>
  </si>
  <si>
    <t>633
675</t>
  </si>
  <si>
    <t>"Transmittance in granular tissue was about 2.5 times higher than that in normal skin. In the thickest skin sample (2 cm), approximately 0.3% of He-Ne laser and 2.1% of semiconductor laser light penetrated."</t>
  </si>
  <si>
    <t>Ohshiro</t>
  </si>
  <si>
    <t>Penetration depths of 830nm diode laser irradiation in the head and neck assessed using a radiographic phantom model and wavelength-specific imaging film</t>
  </si>
  <si>
    <t>Muller &amp; Wilson</t>
  </si>
  <si>
    <t>Phys Med Biol</t>
  </si>
  <si>
    <t>An update on the penetration depth of 630 nm light in normal and malignant human brain tissue in vivo.</t>
  </si>
  <si>
    <t>Castaño-Castaño</t>
  </si>
  <si>
    <t>Dosimetry in cranial photobiomodulation therapy: effect of cranial thickness and bone density</t>
  </si>
  <si>
    <t>405
532
665
785
810
830
980
1064</t>
  </si>
  <si>
    <t>"The study revealed no significant correlation between skull bone density and thickness and light penetration capability in photobiomodulation (PBM) therapy, challenging initial expectations. Wavelengths of 405 nm and 665 nm showed stronger correlations with bone density, suggesting a significant yet weak impact. Conversely, wavelengths of 532 nm, 785 nm, 810 nm, 830 nm, 980 nm, and 1064 nm showed low correlations, indicating minimal impact from bone density variations. However, data variability (R2 &lt; 0.4) suggests that neither density nor thickness robustly predicts light power traversing the bone, indicating penetration capability might be more influenced by bone thickness at certain wavelengths."</t>
  </si>
  <si>
    <t>750
940</t>
  </si>
  <si>
    <t>"To translate IRL therapy into the clinic an effective technology must be developed that allows efficient delivery of IRL to the brain while addressing potential safety concerns. Here, we introduce IRL delivery waveguides (IDWs) which meet these demands.
We employ a low-durometer silicone that comfortably conforms to the shape of the head, avoiding pressure points. Furthermore, instead of using focal IRL delivery points via fiberoptic cables, lasers, or light-emitting diodes, the distribution of the IRL across the entire area of the IDW allows uniform IRL delivery through the skin and into the brain, preventing “hot spots” and thus skin burns.
The IRL delivery waveguides have unique design features, including optimized IRL extraction step numbers and angles and a protective housing. The design can be scaled to fit various treatment areas, providing a novel IRL delivery interface platform.
Using fresh (unfixed) human cadavers and isolated cadaver tissues, we tested transmission of IRL via IDWs in comparison to laser beam application with fiberoptic cables. Using the same IRL output energies IDWs performed superior in comparison to the fiberoptic delivery, leading to an up to 95% and 81% increased IRL transmission for 750 and 940 nm IRL, respectively, analyzed at a depth of 4 cm into the human head."</t>
  </si>
  <si>
    <t>Cytochrome c oxidase-modulatory near-infrared light penetration into the human brain: Implications for the noninvasive treatment of ischemia/reperfusion injury</t>
  </si>
  <si>
    <t>Inhibitory PBM wavelengths</t>
  </si>
  <si>
    <t>750
940</t>
  </si>
  <si>
    <t>"In the present study, four fresh (unfixed) cadavers and isolated cadaver tissues were used to examine the transmission of infrared light through human biological tissues.
We conclude that the transmission of 750 and 940 nm IRL through 4 cm of cadaver head supports the viability of IRL to treat human brain ischemia/reperfusion injury and is similar for skin with different skin pigmentation."</t>
  </si>
  <si>
    <t>Hamdy &amp; Mohammed</t>
  </si>
  <si>
    <t>Investigating the Transmission Profiles of 808 Nm Laser Through Different Regions of the Rat's Head</t>
  </si>
  <si>
    <t>"The obtained results provide a relationship between laser incident power and the depth in the rat's head showing a higher optical transmission at the frontal part of the head than the middle or back regions due to the variations in the skull thickness. Therefore, the study revealed that the transmitted power of 808 nm laser at different incident locations on the head is nonlinear and variable due to different skull's thickness."</t>
  </si>
  <si>
    <t>Yuan</t>
  </si>
  <si>
    <t>Transcranial photobiomodulation with near-infrared light from childhood to elderliness: simulation of dosimetry.</t>
  </si>
  <si>
    <t>Simulation (Monte Carlo)</t>
  </si>
  <si>
    <t>"An overall decrease of energy deposition was found with increasing age. A strong negative correlation between the thickness of extracerebral tissues (ECT) and energy deposition was observed, suggesting that increasing ECT thickness over age is primarily responsible for reduced energy delivery. The F3-F4 position appears to be more efficient in reaching dlPFC compared to treating vmPFC via the Fp1-Fpz-Fp2 position."</t>
  </si>
  <si>
    <t>Penetration Profiles of Visible and Near-Infrared Lasers and Light-Emitting Diode Light Through the Head Tissues in Animal and Human Species: A Review of Literature.</t>
  </si>
  <si>
    <t>"The average penetration of transcranial red/NIR (630-810 nm) light ranged 60-70% in C57BL/6 mouse (skull), 1-10% in BALB/c mouse (skull), 10-40% in Sprague-Dawley rats (scalp plus skull), 20% in Oryctolagus cuniculus rabbit (skull), 0.11% in pig (scalp plus skull), and 0.2-10% in humans (scalp plus skull). 
The observed variation in the reported values is due to the difference in factors (e.g., wavelengths, light coherence, tissue thickness, and anatomic irradiation site) used by researchers. It seems that these data challenge the applicability of the animal model data on transcranial PBM to humans. 
Nevertheless, two animal models seem particularly promising, as they approximate penetration in humans: (I) Penetration of 808 nm laser through the scalp plus skull was 0.11% in the pig head; (II) Penetration of 810 nm laser through intact skull was 1.75% in BALB/c mouse."</t>
  </si>
  <si>
    <t>Selective photobiomodulation for emotion regulation: model-based dosimetry study.</t>
  </si>
  <si>
    <t>"We find that transcranial illumination at the F3-F4 location (based on 10-20 system) provides excellent light delivery to the dlPFC, while a light source located in close proximity to the cribriform plate is well-suited for reaching the vmPFC, despite the fact that accessing the latter location may require a minimally invasive approach."
"Different illumination wavelengths, ranging from 670 to 1064 nm, are studied and the amounts of light energy deposited to a wide range of brain regions are quantitatively compared. We find that 810 nm provided the overall highest energy delivery to the targeted regions.
Although our simulations carried out on locations and wavelengths are not designed to be exhaustive, the proposed illumination strategies inform the design of t-PBM systems likely to improve brain emotion regulation, both in clinical research and practice."</t>
  </si>
  <si>
    <t>Wang &amp; Li</t>
  </si>
  <si>
    <t>Which wavelength is optimal for transcranial low-level laser stimulation?</t>
  </si>
  <si>
    <t>"Here, we employed Monte Carlo modeling and visible human phantom to compute the penetrated photon fluence distribution within cerebral cortex. 
By comparing the fluence distribution, penetration depth, and the intensity of laser-tissue-interaction within brain among all candidate wavelengths, we found that 660, 810 nm performed much better than 980, 1064 nm with much stronger, deeper, and wider photon penetration into cerebral tissue. 660 nm was shown to be the best and slightly better than 810 nm. 
Our computational finding was in a surprising accordance with previous LLLT-neurobehavioral studies on mice. This study not only offered quantitative comparison among wavelengths in the effect of LLLT light penetration effectiveness but also anticipated a delightful possibility of online, precise, and visible optimization of LLLT illumination parameters."
Comment: The positive finding for 660 nm is a bit surprising, since usually it's assumed to penetrate somewhat poorly to tissue, compared to NIR.</t>
  </si>
  <si>
    <t>Hart &amp; Fitzgerald</t>
  </si>
  <si>
    <t>A new perspective on delivery of red-near-infrared light therapy for disorders of the brain.</t>
  </si>
  <si>
    <t>Brain
Sunlight</t>
  </si>
  <si>
    <t>"Calculations of the average irradiance of light delivered by sunlight demonstrate that sunlight can provide doses of light equivalent to -- and in some cases greater than -- those used in therapeutic trials."
"For targets deep within the brain, it is unlikely that sufficient doses of light can be delivered trans-cranially; therapeutic light must be supplied via optical fibers or implanted light sources."</t>
  </si>
  <si>
    <t>Tedford</t>
  </si>
  <si>
    <t>USA
(Poulsbo, WA)</t>
  </si>
  <si>
    <t>Quantitative analysis of transcranial and intraparenchymal light penetration in human cadaver brain tissue.</t>
  </si>
  <si>
    <t>🧑 Human cadaver</t>
  </si>
  <si>
    <t>660
808
940</t>
  </si>
  <si>
    <t>"The 808 nm wavelength light demonstrated superior CNS tissue penetration."</t>
  </si>
  <si>
    <t>Pitzschke</t>
  </si>
  <si>
    <t>Red and NIR light dosimetry in the human deep brain.</t>
  </si>
  <si>
    <t>671
808</t>
  </si>
  <si>
    <t>"Our study demonstrates that it is possible to illuminate deep brain tissues transcranially, transsphenoidally and via different application routes. This opens therapeutic options for sufferers of PD or other cerebral diseases necessitating light therapy."</t>
  </si>
  <si>
    <t>Near-infrared photonic energy penetration: can infrared phototherapy effectively reach the human brain?</t>
  </si>
  <si>
    <t>"Our recent tissue studies demonstrate no penetration of low level NIR energy through 2 mm of skin or 3 cm of skull and brain."
"However, at 10-15 W, 0.45%-2.90% of 810 nm light penetrated 3 cm of tissue. A 15 W 810 nm device (continuous or non-pulsed) NIR delivered 2.9% of the surface power density."
"Approximately 1.22% of the energy of 980 nm light at 10-15 W penetrated to 3 cm."
Comment: Hipskind (2019) published a critical commentary to this paper (10.1089/photob.2019.4620).</t>
  </si>
  <si>
    <t>Transcranial Near-Infrared Laser Transmission (NILT) Profiles (800 nm): Systematic Comparison in Four Common Research Species.</t>
  </si>
  <si>
    <t>🐁 Mouse brain
🐀 Rat brain
🐇 Rabbit brain
🧑 Human brain</t>
  </si>
  <si>
    <t>"NILT decreased from 40.10% (mouse) to 21.24% (rat) to 11.36% (rabbit) as skull thickness measured at bregma increased from 0.44 mm in mouse to 0.83 mm in rat and then 2.11 mm in rabbit."
"In human calvaria, where mean thickness ranged from 7.19 mm at bregma to 5.91 mm in the parietal skull, only 4.18% and 4.24% of applied near-infrared light was transmitted through the skull."</t>
  </si>
  <si>
    <t>Litscher &amp; Litscher</t>
  </si>
  <si>
    <t>Laser Therapy and Dementia: A Database Analysis and Future Aspects on LED-Based Systems</t>
  </si>
  <si>
    <t>405
532
589
658
810
830</t>
  </si>
  <si>
    <t>[Transmission factor was higher with 830nm LED than 810nm laser or 658nm laser]
Comment: Poorly written article, hard to understand.</t>
  </si>
  <si>
    <t>Hauessinger</t>
  </si>
  <si>
    <t>Simulation of Near-Infrared Light Absorption Considering Individual Head and Prefrontal Cortex Anatomy: Implications for Optical Neuroimaging</t>
  </si>
  <si>
    <t>From another paper by Hamblin in J Neuro Res. 2017:
"Haeussinger et al. (2011) estimated that the mean penetration depth (5% remaining intensity) of NIR light through the scalp and skull was 23.6 ± 0.7 mm.""</t>
  </si>
  <si>
    <t>Optical properties of selected native and coagulated human brain tissues in vitro in the visible and near infrared spectral range.</t>
  </si>
  <si>
    <t>🧑 Human brain</t>
  </si>
  <si>
    <t>360-
1100</t>
  </si>
  <si>
    <t>"The highest penetration depths for all tissues investigated were found in the wavelength range between 1000 and 1100 nm."</t>
  </si>
  <si>
    <t>Cats</t>
  </si>
  <si>
    <t>Kamlangchai</t>
  </si>
  <si>
    <t>Vet World</t>
  </si>
  <si>
    <t>Assessing the potential efficacy of 830-nanometer low-level laser therapy in cats: Extraoral applications</t>
  </si>
  <si>
    <t>🐈 Cat</t>
  </si>
  <si>
    <t>"Penetration efficacy was detectable for all fluences, distances, and transmission media, with an average buccal thickness of 2.68 mm. MOP did not differ between fluences of 2 and 6 J/cm2 (p = 0.19). In the absence of media, MOP was significantly higher compared with alcohol (p &lt; 0.05) but was not significantly different from normal saline solution (p = 0.26)."
"Extraoral application of LLLT demonstrated penetration efficacy through the buccal tissue with both contact and non-contact skin (&lt;10 mm)."</t>
  </si>
  <si>
    <t>Dental</t>
  </si>
  <si>
    <t>A Novel Investigational Preclinical Model to Assess Fluence Rate for Dental Oral Craniofacial Tissues</t>
  </si>
  <si>
    <t>"Light transmission was analyzed through several tissue combinations at distances of 2mm to 10mm. Maximum light fluence rates (mW/cm2) were compared across tissue types to reveal the effects of tissue heterogeneity."
"The study revealed that light fluence is affected by tissue composition, with dentin/enamel showing reduced transmission and soft tissue regions exhibiting elevated values. The porcine model has proven to be efficient in mimicking human tissue responses to light, enabling the potential to optimize future protocols."
"The porcine mandible cadaver is a novel model to understand the complex interactions between light and tissue. This study provides a foundation for future investigations into dosimetry optimization for PDT and PBM."</t>
  </si>
  <si>
    <t>A pilot study of laser energy transmission through bone and gingiva.</t>
  </si>
  <si>
    <t>"For each millimeter of increased bone thickness there was 6.81% reduction in laser energy (95% confidence interval, 5.02% to 8.60%). The gingival thickness had no statistically significant effect on energy penetration."</t>
  </si>
  <si>
    <t>Dogs</t>
  </si>
  <si>
    <t>Rosenblum</t>
  </si>
  <si>
    <t>USA
(Knoxville, TN)</t>
  </si>
  <si>
    <t>J Am Vet Med Assoc</t>
  </si>
  <si>
    <t>Use of a colorimeter is a viable method to measure melanin and erythema content in the context of laser beam attenuation by use of a class IV laser in different tissues in dogs</t>
  </si>
  <si>
    <t>"Our objective was to evaluate class IV laser beam attenuation (LBA) by canine tissues using a colorimeter to evaluate melanin and erythema indices."
"LBA was greater in unclipped (98.6 ± 0.4%) than clipped hair (94.6 ± 0.4%). The least LBA occurred in the pinna (93%) while the greatest occurred in the caudal vertebra (100%) and caudal semitendinosis muscles (100%). Each mm of tissue thickness resulted in LBA of 11.6%. Each unit increase in melanin index resulted in a 3.3% increase in LBA. There was no association of LBA with erythema index."
"We recommend clipping hair prior to photobiomodulation to decrease laser beam attenuation and using increased laser doses in thicker tissues and dogs with high melanin content."</t>
  </si>
  <si>
    <t>Hochman-Elam</t>
  </si>
  <si>
    <t>Can J Vet Res</t>
  </si>
  <si>
    <t>Effects of laser power, wavelength, coat length, and coat color on tissue penetration using photobiomodulation in healthy dogs.</t>
  </si>
  <si>
    <t>"As transmission was significantly reduced in darker and unshaved areas, higher power lasers may be necessary for darker pigmented dogs and shaving of hair is recommended before laser therapy."</t>
  </si>
  <si>
    <t>Equine</t>
  </si>
  <si>
    <t>Luna</t>
  </si>
  <si>
    <t>Penetration Profiles of a Class IV Therapeutic Laser and a Photobiomodulation Therapy Device in Equine Skin.</t>
  </si>
  <si>
    <t>905
980</t>
  </si>
  <si>
    <t>"Light penetration was greater in both kinds of skins in the PBMT (0.01303 ± 0.00778) versus class IV laser (0.00122 ± SD 0.00070) (P &lt; .001). 
The PBMT device provided a greater energy penetration than the class IV laser in unclipped light and dark skin, suggesting that the former may produce a better therapeutic effect. The color of the skin changes penetration profiles of PBMT."</t>
  </si>
  <si>
    <t>Duesterdieck-Zellmer</t>
  </si>
  <si>
    <t>USA
(Corvallis, OR)</t>
  </si>
  <si>
    <t>Ex vivo penetration of low-level laser light through equine skin and flexor tendons</t>
  </si>
  <si>
    <t>800
970</t>
  </si>
  <si>
    <t>"OBJECTIVE To measure penetration efficiencies of low-level laser light energy through equine skin and to determine the fraction of laser energy absorbed by equine digital flexor tendons (superficial [SDFT] and deep [DDFT])."
"As skin thickness increased, energy penetration of samples decreased. Only 1% to 20% and 0.1% to 4% of energy were absorbed by SDFTs and DDFTs, respectively, depending on skin color, skin thickness, and applied wavelength."</t>
  </si>
  <si>
    <t>Gingiva</t>
  </si>
  <si>
    <t>Evaluation of red light scattering in gingival tissue - in vivo study.</t>
  </si>
  <si>
    <t>"The results demonstrated that at a 3 mm distance from the laser probe, there is an attenuation of light intensity of 50%, along frontal and occlusal views. Light attenuation in gingival tissue should be considered when setting optimal parameters for antimicrobial photodynamic therapy or photobiomodulation."</t>
  </si>
  <si>
    <t>Chaki</t>
  </si>
  <si>
    <t>Three-dimensional irradiance and temperature distributions resulting from transdermal application of laser light to human knee-A numerical approach</t>
  </si>
  <si>
    <t>"This study simulates laser light propagation in an anatomically accurate human knee model to assess the light transmittance and light absorption-driven thermal changes for eight commonly used laser therapy wavelengths (600-1200 nm) at multiple skin-applied irradiances (W cm-2 ) with continuous wave (CW) exposures. It shows that of the simulated parameters, 2.38 W cm-2 (30 W, 20 mm beam radius) of 1064 nm light generated the least tissue heating -4°C at skin surface, after 30 s of CW irradiation, and the highest overall transmission-approximately 3%, to the innermost muscle tissue."</t>
  </si>
  <si>
    <t>Photobiomodulation for knee osteoarthritis: a model-based dosimetry study</t>
  </si>
  <si>
    <t>"The result showed that the divergence angle and the wavelength of the light source have a significant impact on the treatment doses. The optimal irradiation location was on both sides of the patella, where the largest dose could reach the articular cartilage."
"This optical model can be used to determine the key parameters in phototherapy and help the phototherapy of KOA patients."</t>
  </si>
  <si>
    <t>Occlusive dressing</t>
  </si>
  <si>
    <t>Can Photons Pass through Primary Coatings Used to Treat Cutaneous Wounds?</t>
  </si>
  <si>
    <t>"Six dressings (Supriderme, Membracel, Cuticell Contact, UrgoTul, Tegaderm, and Opsite Flexigrid) have a transmittance greater than 50% in most of the spectral range and therefore may remain on wounds during irradiation."
"It may not always be necessary to remove a primary dressing when lasers or LED lights are used to treat wounds. It is the authors' hope that the results of this article will increase the effectiveness of both photobiomodulation and primary dressings and reduce patient discomfort as well as the cost of primary dressings via a reduction in unnecessary dressing changes."</t>
  </si>
  <si>
    <t>Wachal</t>
  </si>
  <si>
    <t>Physical properties of hydrogel wound dressing and its use in low-level laser therapy (LLLT).</t>
  </si>
  <si>
    <t>"For the two wavelengths of 660 and 808 nm used in the biostimulation laser POLARIS 2, a dressing transmittance of 92 and 98%, respectively, was determined."</t>
  </si>
  <si>
    <t>Analysis of low-level laser radiation transmission in occlusive dressings.</t>
  </si>
  <si>
    <t>30
30
6.5</t>
  </si>
  <si>
    <t>"The power transmitted ranged between 98.6% and 0%, depending on the material and wavelength.
The dressings tested were BioFill, Hydrofilm, Confeel Plus 3533, Confeel 3218, DuoDERM Extra Thin, Hydrocoll, Micropore Nexcare, CIEX tape, Emplasto Sábia, CombiDERM, Band-aid, Actisorb Plus, in addition to polyvinylchloride (PVC) film, and transmitted power higher than 40% of the incident power, independently from the wavelength indicated for the association with LLLT."</t>
  </si>
  <si>
    <t>Lilge</t>
  </si>
  <si>
    <t>Low-level laser therapy for wound healing: feasibility of wound dressing transillumination.</t>
  </si>
  <si>
    <t>Although LLLT by transillumination of wound dressings is feasible for a variety of wound dressings without significant commitments in additional treatment time, the specific transmission of products not included in this study needs to be determined at the intended treatment wavelength. A transillumination approach may facilitate a faster rate of wound healing than LLLT applied to exposed wounds by reducing trauma and the risk of infection.</t>
  </si>
  <si>
    <t>Diagnostics (Basel)</t>
  </si>
  <si>
    <t>Validation of a Monte Carlo Modelling Based Dosimetry of Extraoral Photobiomodulation</t>
  </si>
  <si>
    <t>Monte Carlo modelling</t>
  </si>
  <si>
    <t>"The difference between the mean values of the measured transmission was within 12% from the respective transmission obtained using Monte Carlo simulations. The results of the study indicate that Monte Carlo modelling is a robust and reliable method for light dosimetry."</t>
  </si>
  <si>
    <t>Orbicularis oris</t>
  </si>
  <si>
    <t>Dose Analysis of Photobiomodulation Therapy in Stomatology</t>
  </si>
  <si>
    <t>"In the present study, light dose analysis was performed to measure the power density of light after penetrating the orbicularis oris."</t>
  </si>
  <si>
    <t>Kolari &amp; Airaksinen</t>
  </si>
  <si>
    <t>Finland
(Kuopio)</t>
  </si>
  <si>
    <t>Poor penetration of infra-red and helium neon low power laser light into the dermal tissue.</t>
  </si>
  <si>
    <t>"The penetration of both He-Ne and infra-red lasers was observed for only a few millimeters. The most important absorption was observed at the depth level of 0.4 and 0.5 mm. These results suggested that the dermal vascular plexus barrier seemed to decrease the penetration at that level. This finding should mean that the laser therapy did not have really direct effects on the deep tissues. However, the effects can be mediated by many different pathways."</t>
  </si>
  <si>
    <t>Spinal canal</t>
  </si>
  <si>
    <t>Transcutaneous transmission of photobiomodulation light to the spinal canal of dog as measured from cadaver dogs using a multi-channel intra-spinal probe.</t>
  </si>
  <si>
    <t>🐶 Dog cadaver</t>
  </si>
  <si>
    <t>Shuaib &amp; Bourisly</t>
  </si>
  <si>
    <t>Kuwait
(Kuwait city)</t>
  </si>
  <si>
    <t>Effects of Irradiation Parameters and Position on Photobiomodulation Therapy for Spinal Cord Injury Rat Phantom Model: A Dosimetry Simulation Study</t>
  </si>
  <si>
    <t>"The beam radius and position strongly affect the accumulated fluence within the injury site, whereas the NA appears to have a smaller effect on the accumulated fluence within the injury site. A large probe beam produces a uniform fluence distribution reaching the injury site, minimizing the effect of misplacing the probe at the center of the injury."</t>
  </si>
  <si>
    <t>Transl Neurosci</t>
  </si>
  <si>
    <t>Photobiomodulation Optimization for Spinal Cord Injury Rat Phantom Model.</t>
  </si>
  <si>
    <t>660
810
980</t>
  </si>
  <si>
    <t>"The aim of this study, therefore, is to evaluate the delivery of light in a 3D voxelated SCI rat model for PBMT using different irradiation parameters (wavelengths: 660, 810, and 980 nm; beam types: Gaussian and Flat beam; and beam diameters: 0.04-1.2 cm) using Monte Carlo simulation. This study also aids in providing standardization for preclinical research for PBMT, which will eventually translate into clinical standardization upon clinical research studies and results."</t>
  </si>
  <si>
    <t>Sex, but not skin tone affects penetration of red-light (660 nm) through sites susceptible to sports injury in lean live and cadaveric tissues.</t>
  </si>
  <si>
    <t>🧑 Human (live &amp; cadaver)</t>
  </si>
  <si>
    <t>"Penetration was unaffected by skin tone, increased with irradiance and relative bone/muscle composition, and decreased with greater tissue thickness and in males."
"Live and cadaveric tissue penetration did not differ statistically for tissues &lt;50 mm but cadavers required more red-light to penetrate &gt;50 mm."</t>
  </si>
  <si>
    <t>Suppository</t>
  </si>
  <si>
    <t>Antiinfectives and low-level light: a new chapter in photomedicine.</t>
  </si>
  <si>
    <t>Vaginal suppository</t>
  </si>
  <si>
    <t>"The 6-microm-thick suppository films were virtually transparent to the laser light, and the 1-mm-thick films totally attenuated it. Nanosuspension drops irradiated with 670-nm light needed more time to evaporate than controls."</t>
  </si>
  <si>
    <t>Quantifying light energy from 450 nm, 650 nm, 810 nm, and 980 nm wavelength lasers delivered through dental hard tissue</t>
  </si>
  <si>
    <t>450
650
810
980</t>
  </si>
  <si>
    <t>"The average attenuation coefficients (µ) were 2.55, 2.45, 1.87, and 5.42 cm−1 (± 10%) for the 980, 810, 650, and 450 nm groups, respectively."</t>
  </si>
  <si>
    <t>LED light attenuation through human dentin: a first step toward pulp photobiomodulation after cavity preparation.</t>
  </si>
  <si>
    <t>🧑 Human dentin samples</t>
  </si>
  <si>
    <t>450
630
850</t>
  </si>
  <si>
    <t>"In terms of minimum (0.2 mm) and maximum (1.0 mm) dentin thicknesses, the percentage of light attenuation varied from 49.3% to 69.9% for blue light, 42.9% to 58.5% for red light and 39.3% to 46.8% for infrared."</t>
  </si>
  <si>
    <t>Thermal effects</t>
  </si>
  <si>
    <t>Photothermal Effects of High-Energy Photobiomodulation Therapies: An In Vitro Investigation</t>
  </si>
  <si>
    <t>650
810
980
1064</t>
  </si>
  <si>
    <t>"Results acquired at similar parameters of irradiance indicated that the application of the 980 nm wavelength was associated with the highest rise in temperature, which decreased with other wavelengths in the order 980 &gt; 1064 ≈ 650 &gt;&gt;&gt; 810 nm (p &lt; 5 × 10-20). All wavelengths assessed were associated with a significant temperature increase, and with the exception of 810 nm, all exceeded the threshold of a 6 °C rise within the prescribed parameter limits."
"An extended discussion is presented, analysing the clinical significance of the study outcomes. Recommendations are made within the limits of this in vitro study in order to assist future clinical investigations."
"It has been proposed that a highly localised low-level thermal increase may offer some benefits to cellular physiology. This could range from a moderate enhancement of enzymic processes through to the activation of protective hormetic responses, which may be associated with analgesia, along with a wide variety of associated responses, a process resulting in cellular, local tissue, regional and systemic effects Indeed, it is recognised by the dermatology community that a small incremental rise in temperature of 1–2 °C can enhance the quality of healing processes [73,74]."
"We observed in our study here that higher output power with large applicators was able to generate some heat in the surface and sub-surface tissues. Low levels of intracellular thermal increases within the range of 2–6 °C are not notably harmful, although they can trigger defensive protective cellular apparatus [75,76,77]. By the selective generation of small localised thermal inclines, it may be possible to inhibit axons and hence contribute to the desired effect of analgesia. The mechanisms underlying the analgesic effects of PBMT could conceivably include photon-induced axonal inhibition arising from a hormetic response to an increase in intra-cellular ROS generation, together with an associated temperature increase [17,54,78,79,80,81]. Previous studies have indicated that HILT increases blood flow in soft tissue, which creates a favourable environment for biological repair and regeneration and which also promotes analgesic effects [82,83]."</t>
  </si>
  <si>
    <t>Bhattacharya &amp; Dutta</t>
  </si>
  <si>
    <t>Computational Modeling of the Photon Transport, Tissue Heating, and Cytochrome C Oxidase Absorption during Transcranial Near-Infrared Stimulation.</t>
  </si>
  <si>
    <t>Computational modeling</t>
  </si>
  <si>
    <t>"We simulated photon migration at 630 nm and 700 nm (red spectral region) and 810 nm (near-infrared spectral region). We found a temperature increase in the scalp below 0.25 °C and a minimal temperature increase in the gray matter less than 0.04 °C at 810 nm. Similar heating was found for 630 nm and 700 nm used for LLLT, so photothermal effects are postulated to be unlikely in the brain tissue."</t>
  </si>
  <si>
    <t>Souza-Barros</t>
  </si>
  <si>
    <t>Skin color and tissue thickness effects on transmittance, reflectance, and skin temperature when using 635 and 808 nm lasers in low intensity therapeutics.</t>
  </si>
  <si>
    <t>36
40</t>
  </si>
  <si>
    <t>0.192
0.214</t>
  </si>
  <si>
    <t>2/7/9/12</t>
  </si>
  <si>
    <t>"Dose had an increasing effect on temperature (0.7-1.6°C across the 6, 9, and 12 J doses); any effects of wavelength, skin color, and tissue thickness were insignificant compared to dose effects. Subjects themselves were not aware of the increased skin temperature."
"Skin heating appears not to be a concern when using 635 and 808 nm lasers at energy doses of up to 12 J and irradiance within American National Standards Institute standards."</t>
  </si>
  <si>
    <t>Grandinétti Vdos</t>
  </si>
  <si>
    <t>The thermal impact of phototherapy with concurrent super-pulsed lasers and red and infrared LEDs on human skin.</t>
  </si>
  <si>
    <t>905
+
875
+
640</t>
  </si>
  <si>
    <t>"No significant skin temperature increases were observed among the different skin color groups (p &gt; 0.05), age groups (p &gt; 0.05), or gender groups (p &gt; 0.05). Our results indicate that the concurrent use of super-pulsed lasers and pulsed red and infrared LEDs can be utilized in patients with all types of skin pigmentation without concern over safety or excessive tissue heating."</t>
  </si>
  <si>
    <t>Thermal effects of transcranial near-infrared laser irradiation on rabbit cortex</t>
  </si>
  <si>
    <t>0.022
0.056
0.111</t>
  </si>
  <si>
    <t>"Transcranial laser irradiation for 2 min at cortical power densities of 22.2 and 55.6 mW/cm(2) with continuous wave (CW) did not increase cortical temperature in rabbits.
With the same treatment regime, cortical power density at 111.1 mW/cm(2) increased brain temperature gradually by 0.5 °C over the 2 min exposure and returned to baseline values within 1-2 min post-irradiation."</t>
  </si>
  <si>
    <t>The thermal effects of therapeutic lasers with 810 and 904 nm wavelengths on human skin.</t>
  </si>
  <si>
    <t>810
904</t>
  </si>
  <si>
    <t>200
60</t>
  </si>
  <si>
    <t>6.37
1.67</t>
  </si>
  <si>
    <t>0.0314
cm2
0.0364
cm2</t>
  </si>
  <si>
    <t>"The thermal effects of LLLT at doses recommended by WALT-guidelines for musculoskeletal and inflammatory conditions are negligible (&lt;1.5°C) in light, medium, and dark skin. However, higher LLLT doses delivered with a strong 3B laser (200 mW) are capable of increasing skin temperature significantly and these photothermal effects may exceed the thermal pain threshold for humans with dark skin color."
Comment: The power density is very high in this study.</t>
  </si>
  <si>
    <t>Fontana</t>
  </si>
  <si>
    <t>Temperature variation at soft periodontal and rat bone tissues during a medium-power diode laser exposure.</t>
  </si>
  <si>
    <t>600
800
1000
1200</t>
  </si>
  <si>
    <t>d =
0.3
mm
(?)</t>
  </si>
  <si>
    <t>"This study contributes to the establishment of thermally safe working parameters of a diode medium power laser."</t>
  </si>
  <si>
    <t>Alteration of skin temperature during low-level laser irradiation at 830 nm in a mouse model.</t>
  </si>
  <si>
    <t>"Temperature increased with increasing fluences of exposure. The surface temperature change at 5.0 J/cm(2) was 6.25 x 10(-2) vs. 1.2 x 10(-2) degrees C/mW for black and white mice, respectively. The temperature change at 1.0 mm depth was 4.51 x 10(-2) vs. 0.83 x 10(-2), respectively."
"CW irradiation at 830 nm and 5.0 J/cm(2) fluence induces a small temperature increase at the surface and at 1 mm in depth. The smaller effects seen in white mice might be due in part to reflection. This suggests that the thermal effects of irradiation at 830 nm are unlikely to explain the LLLT effect. However skin color should be considered, particularly at higher fluences."</t>
  </si>
  <si>
    <t>Temperature changes induced by 809-nm GaAlAs laser at the implant-bone interface during simulated surface decontamination.</t>
  </si>
  <si>
    <t>"In mean, the critical threshold of 47 degrees C was exceeded after 9.0 s at 2.5 W, 12.5 s at 2.0 W, 18.0 s at 1.5 W and 30.5 s at 1.0 W."
"In an energy-dependent manner, implant surface decontamination with an 809-nm GaAlAs laser must be limited in time to allow the implant and bone to cool down. Clinical guidelines are presented to avoid tissue damage."</t>
  </si>
  <si>
    <t>To examine the adverse photothermal effects of extended dosage laser therapy in vivo on the skin and subcutaneous tissue in the rat model</t>
  </si>
  <si>
    <t>36
360</t>
  </si>
  <si>
    <t>180
1800</t>
  </si>
  <si>
    <t>"The authors conclude that, for the range of parameters quoted above, laser therapy is inherently photothermally safe for in vivo irradiated tissue, bringing about no macroscopic or microscopic change in tissue architecture which could be classed as ‘damage ’."</t>
  </si>
  <si>
    <t>Melanin density affects photobiomodulation outcomes in cell culture.</t>
  </si>
  <si>
    <t>"The Proliferation Index (PI) as measured by CyQuant assay was not statistically different amongst the groups in either cell line. MTT assay results demonstrated a significant dose response effect (p &lt; or = 0.05) in both cell lines with activity inversely proportional to melanin concentration."
"These results demonstrate that cutaneous melanin content should be taken into consideration in photobiomodulation paradigms. Further studies to quantify these effects are warranted."</t>
  </si>
  <si>
    <t>wIRA</t>
  </si>
  <si>
    <t>Spectral Remittance and Transmittance of Visible and Infrared-A Radiation in Human Skin-Comparison Between in vivo Measurements and Model Calculations.</t>
  </si>
  <si>
    <t>"Up to wavelengths of about 900 nm, both spectral remittance and spectral transmittance depended significantly on the individual contents of melanin and hemoglobin in the skin, whereas the contents of water and lipids mainly determined spectral slopes of both characteristics of interaction for wavelengths above about 900 nm."</t>
  </si>
  <si>
    <t>Peritoneum</t>
  </si>
  <si>
    <t>Peritonitis</t>
  </si>
  <si>
    <t>de Souza Costa</t>
  </si>
  <si>
    <t>Brazil
(São Sebastião)</t>
  </si>
  <si>
    <t>Photobiomodulation reduces neutrophil migration and oxidative stress in mice with carrageenan-induced peritonitis.</t>
  </si>
  <si>
    <t>0.0833</t>
  </si>
  <si>
    <t>0.24
1.2
(4p)</t>
  </si>
  <si>
    <t>0.6
cm2</t>
  </si>
  <si>
    <t>12
60
(/p?)</t>
  </si>
  <si>
    <t>4
/4h</t>
  </si>
  <si>
    <t>Laser irradiation at 1 and 5 J/cm2 reversed the inflammation (as indicated by neutrophil infiltration and oxidative stress).</t>
  </si>
  <si>
    <t>Low-level laser therapy (GaAs lambda = 904 nm) reduces inflammatory cell migration in mice with lipopolysaccharide-induced peritonitis.</t>
  </si>
  <si>
    <t>3
7.5
15</t>
  </si>
  <si>
    <t>"The 3-J/cm(2) exposure group showed the best results at 24 hours, with reductions of 77% in neutrophil and 49% in leukocyte counts."
"Low-level laser therapy (904 nm) can reduce inflammatory cell migration in mice with LPS-induced peritonitis in a dose-dependent manner."
Note: The single dose was given in three parts, within 3h.</t>
  </si>
  <si>
    <t>Polychromatic light</t>
  </si>
  <si>
    <t>Polychromatic light-induced osteogenic activity in 2D and 3D cultures</t>
  </si>
  <si>
    <t>"We decided to use a specially designed plasma arc light source providing wavelengths between 590 and 1500 nm"
"Light source used in this study induces formation of bone tissue and so, this light source is proposed as an appropriate system for in vitro bone tissue engineering applications"</t>
  </si>
  <si>
    <t>Purinergic signalling</t>
  </si>
  <si>
    <t>Extracellular ATP</t>
  </si>
  <si>
    <t>Modulation of extracellular ATP content of mast cells and DRG neurons by irradiation: studies on underlying mechanism of low-level-laser therapy.</t>
  </si>
  <si>
    <t>"Our results show that irradiation led to elevation of extracellular ATP level in the human mast cell line HMC-1 in a dose-dependent manner, which was accompanied by elevation of intracellular ATP content, an indicator for ATP synthesis, together with [Ca(2+)]i elevation, a trigger signal for exocytotic ATP release. In contrast to MCs, irradiation attenuated the extracellular ATP content of neurons, which could be abolished by ARL 67156, a nonspecific ecto-ATPases inhibitor. "</t>
  </si>
  <si>
    <t>Radiation</t>
  </si>
  <si>
    <t>Efficacy of photobiomodulation therapy on healing of ionizing irradiated bone: a systematic review of in vivo animal studies</t>
  </si>
  <si>
    <t>"Six studies have met the eligibility criteria and presented an overall regular quality according to the risk of bias assessment tools. 
All the studies utilized rat animal model and near-infrared laser PBM at low power output setting. 
Most of the studies showed increased new bone formation, osteocytes, osteoblasts, and vascularization networking, as a result of PBM therapy. However, only one out of the six studies has not shown any differences in bone healing in both lased and non-lased animal groups. Nevertheless, PBM therapy is a potential tool to improve bone healing induced by ionizing radiation. 
However, due to the scarce number of studies and the great variability of laser parameters and treatment protocols, a clear conclusion cannot be drawn. Hence, extensive preclinical in vivo studies are warranted to ensure these beneficial effects have been addressed prior to translational clinical trials."</t>
  </si>
  <si>
    <t>EMF</t>
  </si>
  <si>
    <t>Vorob'yeva</t>
  </si>
  <si>
    <t>Effects of He–Ne laser on Daphnia magna Straus manifested in subsequent generations</t>
  </si>
  <si>
    <t>Daphnia magna</t>
  </si>
  <si>
    <t>Crustacean</t>
  </si>
  <si>
    <t>"It is shown that laser light can partially compensate the negative impact of the attendant electromagnetic field on Daphnia."</t>
  </si>
  <si>
    <t>USA
(New York)</t>
  </si>
  <si>
    <t>Photobiomodulation Therapy to Mitigate Radiation Fibrosis Syndrome</t>
  </si>
  <si>
    <t>"This review summarizes the in vitro data, preclinical animal studies and clinical reports, which showcase the potential benefits of PBM treatments in preventing and reversing RFS."
Comment: The cited experimental evidence features fibrosis but not radiation fibrosis.</t>
  </si>
  <si>
    <t>Nrf2 played an important role in radiation protection effect of low-level laser exposed on umbilical cord mesenchymal stem cell.</t>
  </si>
  <si>
    <t>"LLLI treatment of cells significantly increased the erythrocyte count and number of myelopoiesis clones (P &lt; 0.05), but such improvements were reduced by Nrf2 RNAi pretreatment compared with cells transplanted without intervention.
Therefore, LLLI may improve the radiation protection effect through molecular mechanisms related to the Nrf2 antioxidant pathway."</t>
  </si>
  <si>
    <t>Abdel-Magied</t>
  </si>
  <si>
    <t>Biol Trace Elem Res</t>
  </si>
  <si>
    <t>Effect of Low-Level Laser on Some Metals Related to Redox State and Histological Alterations in the Liver and Kidney of Irradiated Rats.</t>
  </si>
  <si>
    <t>0.07
cm2
(6p?)</t>
  </si>
  <si>
    <t>180
/p</t>
  </si>
  <si>
    <t>"The results showed that LLLT 870 nm one time for 3 days post-irradiation revealed redistribution of iron (Fe), copper (Cu), zinc (Zn),calcium (Ca), magnesium (Mg), manganese (Mn), and selenium (Se) in the liver and kidney tissues. 
Moreover, LLLT attenuated the oxidative stress manifested by a marked reduction of hydrogen peroxide (H2O2), 4-hydroxynonenal (4-HNE), total oxidant state (TOS), and oxidative stress index (OSI) associated with a significant increase in total antioxidant status (TAS), glutathione (GSH) content, and glutathione peroxide (GPx), glutathione reductase (GRx), superoxide dismutase(SOD), and catalase (CAT) activities. 
Moreover, LLLT displayed an increase in glutathione-S-transferase (GSH-T) and ceruloplasmin activities and a decrease in the activity of gamma-glutamyl transferase (γ-GT). 
Besides, LLLT significantly attenuated the histological changes in the liver and kidney tissues, denoted by a reduction in the necrotic and degenerative changes of hepatocytes and an improvement in the corpuscles and tubules of the kidney. 
In conclusion, LLLT could be used as an adjuvant treatment post-exposure to radiation, while it is not beneficial to use it on the normal tissue."</t>
  </si>
  <si>
    <t>Efremova</t>
  </si>
  <si>
    <t>Czech Republic
(Kladno)</t>
  </si>
  <si>
    <t>Protective effect of 940 nm laser on gamma-irradiated mice.</t>
  </si>
  <si>
    <t>Gamma radiation
Biphasic dose response</t>
  </si>
  <si>
    <t>5000
5000
5000</t>
  </si>
  <si>
    <t>0.44
0.44
0.44</t>
  </si>
  <si>
    <t>3
12
18</t>
  </si>
  <si>
    <t>7
27
41</t>
  </si>
  <si>
    <t>Only the low-dose LLLT seemed to protect against the lethal effect of gamma radiation:
"In Table 4, we summarized the means for survival time for all groups and found that 50% of mice in the gamma-laser3 group and 9.1% of mice in the gamma-laser18 group had survived to the 30th day after gamma irradiation, but only in the first one was the difference in survival compared with the gamma group significant (p=0.007 vs. 0.875).
Meanwhile, survival in the gamma-laser3 group was significantly different than in other gamma-irradiated groups, except the gamma-laser18 group, in which p=0.23 in comparison with the gamma group."</t>
  </si>
  <si>
    <t>Low-level laser therapy on bone repair of rat tibiae exposed to ionizing radiation</t>
  </si>
  <si>
    <t>71.4</t>
  </si>
  <si>
    <t>alternate
days</t>
  </si>
  <si>
    <t>"LLLT increased the newly formed bone area during the initial phase of the tibiae repair process in rats exposed to IR."</t>
  </si>
  <si>
    <t>El-Maghraby</t>
  </si>
  <si>
    <t>Assessment of the effect of low-energy diode laser irradiation on gamma irradiated rats' mandibles.</t>
  </si>
  <si>
    <t>Bone repair
Oral (mandible)</t>
  </si>
  <si>
    <t>"Thin irregular bone trabeculae and widened marrow spaces were identified in the control group. The lased sides of groups 1 and 2 demonstrated regular, thick and continuous bone trabeculae."
"Normal-sized osteocytic lacunae were seen in the lased groups, as compared to the wide lacunar spaces noted in the control group. Histomorphometric analysis showed a significant increase in the area of bone trabeculae, as well as the width of compact bone, for the lased groups."
Note: A nicely written paper, with nice results and electron microscopy pictures of bone tissue! Only the parameters were a little bit poorly reported, but they are easy to calculate from the given values.</t>
  </si>
  <si>
    <t>Device: ora-laser 1030</t>
  </si>
  <si>
    <t>Heselich</t>
  </si>
  <si>
    <t>Germany
(Darmstadt)</t>
  </si>
  <si>
    <t>Near-infrared exposure changes cellular responses to ionizing radiation.</t>
  </si>
  <si>
    <t>Polychromatic light 🌈 (water-filtered infrared-A) ?
Fibroblasts
Retinal progenitor cells
Keratinocytes</t>
  </si>
  <si>
    <t>?-
1400</t>
  </si>
  <si>
    <t>"Our data show that previous exposure to naturally occurring doses of nonthermal NIR combined with clinically relevant X-ray doses leads to (1) increased genomic instability, indicated by elevated ratios of mitotic catastrophes, (2) increased ROS, (3) higher amounts of X-irradiated cells entering S-phase and (4) impaired DNA double-strand break repair. Taken together, our data show tremendous effects of NIR on cellular responses to X-rays, probably affecting the results of radiotherapy after NIR exposure during cancer treatment."</t>
  </si>
  <si>
    <t>Freitinger Skalická</t>
  </si>
  <si>
    <t>Indicators of oxidative stress after ionizing and/or non-ionizing radiation: superoxid dismutase and malondialdehyde.</t>
  </si>
  <si>
    <t>LLLT didn't protect from gamma radiation in this study.</t>
  </si>
  <si>
    <t>Abdul-Aziz &amp; Tuorkey</t>
  </si>
  <si>
    <t>Egypt
(Damanhour)</t>
  </si>
  <si>
    <t>Argon laser phototherapy could eliminate the damage effects induced by the ionizing radiation "gamma radiation" in irradiated rabbits.</t>
  </si>
  <si>
    <t>0.25
cm2</t>
  </si>
  <si>
    <t>"In conclusion, argon laser therapy appears propitious protective effect against the hazard effects of gamma radiation."</t>
  </si>
  <si>
    <t>Joyce</t>
  </si>
  <si>
    <t>UK
(Coleraine, Northern Ireland)</t>
  </si>
  <si>
    <t>Mutat Res</t>
  </si>
  <si>
    <t>Radioadaptation in Indian muntjac fibroblast cells induced by low intensity laser irradiation.</t>
  </si>
  <si>
    <t>660
820</t>
  </si>
  <si>
    <t>" LILI at 660, but not 820 nm, at 11.5 and 23.0 J/cm2, induced an apparent adaptive response in the form of a reduction in the frequency of radiation-induced chromosome aberrations, but not in cell survival. There was also a trend towards a reduction in the level of single-stranded and double-stranded DNA breaks induced by ionizing radiation when cells were preconditioned with LILI. However, this did not contribute to the reduced chromosome aberration frequency. Further analysis revealed that the reduced aberration frequency was caused by a laser-induced extension of G2 delay. The adaptive response was therefore the result of cell cycle modulation by LILI, at a wavelength where there is no known DNA damaging effect to induce the checkpoint mechanisms that are normally responsible for altering cell cycle progression."</t>
  </si>
  <si>
    <t>Irradiation with He--Ne laser can influence the cytotoxic response of HeLa cells to ionizing radiation.</t>
  </si>
  <si>
    <t>"In the case of He--Ne laser exposure 60 min before gamma-irradiation with doses &gt; 5 Gy, a fraction of more resistant cells was revealed: their Do was twice as high as the Do of the main population (3.6 and 1.7 Gy, respectively). A preexposure of cells to He--Ne laser (100 J/m2) 60 or 180 min before gamma-irradiation (5 Gy) also changed the shape of the growth curves as compared with gamma-irradiated cells (stimulation in exponential phase of growth)."
"It is proposed that the preexposure of cells to He--Ne laser radiation activates, in a subpopulation of cells, processes which speed up the repair of gamma-radiation damage. The possibility that the described phenomenon is an adaptive response of cells is discussed."</t>
  </si>
  <si>
    <t>Ionizing radiation</t>
  </si>
  <si>
    <t>Photobiomodulation effects on fibroblasts and keratinocytes after ionizing radiation and bacterial stimulus</t>
  </si>
  <si>
    <t>2
3
4
5</t>
  </si>
  <si>
    <t>"The present study showed that delivering 660 nm, 30 mW was effective to stimulate cell migration, proliferation and to accelerate wound healing. PBMT can modulate cytokines and pathways involved in wound repair. The different energy densities delivering distinct responses in vitro highlights that understanding laser parameters is fundamental to improve treatment strategies."</t>
  </si>
  <si>
    <t>Radiation-induced ulcers</t>
  </si>
  <si>
    <t>Pünchera</t>
  </si>
  <si>
    <t>Radiation-induced chronic ulcerations and fistulae successfully treated with photobiomodulation</t>
  </si>
  <si>
    <t>🧑 Human (?) (Letter)</t>
  </si>
  <si>
    <t>X-rays (on bone)</t>
  </si>
  <si>
    <t>Meller</t>
  </si>
  <si>
    <t>Micro-CT analysis of the mandibular bone microarchitecture of rats after radiotherapy and low-power laser therapy</t>
  </si>
  <si>
    <t>0.0028
cm2
spot</t>
  </si>
  <si>
    <t>"Trabecula separation (Tb.Sp) was lower in the LLG (p = 0.000) and ILG (p = 0.002) when compared to the CG. 
In the histomorphometry, there was no statistical difference between the groups in relation to all the analyzed variables. 
Micro-CT analysis showed that the LLLT, even applied at a distance, both in the immediate and late VMAT times, has an effect on the mandibular bone microarchitecture by increasing the volume and number of trabeculae and decreasing the spaces between them."</t>
  </si>
  <si>
    <t>X-rays</t>
  </si>
  <si>
    <t>Effect of Radiotherapy and Low-Level Laser Therapy on Circulating Blood Cells of Rats</t>
  </si>
  <si>
    <t>2
/point</t>
  </si>
  <si>
    <t>"Thirty-two adult male Wistar rats were used in this study. Samples were randomly assigned to three groups: control group (CG, n = 8), immediate laser group (24 hours) (ILG, n=12), and late laser group (120 hours) (LLG, n=12). The two laser groups were previously subjected to VMAT radiotherapy in a single dose of 12 Gy."
"The results obtained in the present study may contribute to the hypothesis that LLLT has a positive effect on maintenance or even an increase in red blood cell counts responsible for tissue oxygenation, even after the deleterious effects of radiotherapy. Therefore, studies with greater power of evidence should be conducted to confirm this hypothesis."</t>
  </si>
  <si>
    <t>Non-thermal near-infrared exposure photobiomodulates cellular responses to ionizing radiation in human full thickness skin models.</t>
  </si>
  <si>
    <t>🧪 In vitro (🧑 Human skin)</t>
  </si>
  <si>
    <t>Polychromatic light 🌈 (water-filtered near-infrared)</t>
  </si>
  <si>
    <t>600-
1400
(w/o
944-
1180)</t>
  </si>
  <si>
    <t>"This observation establishes that the impact of NIR on X-ray induced cellular stress response should be assigned a high clinical relevance for all cancer patients receiving radiotherapy. Because of possible inflictions with processes of damage repair, patients should be advised to avoid unsupervised exposure to NIR during X-radiation schedules. On the other side, this study suggests that a controlled pretreatment of cancerous lesions with NIR could become an alternative therapy approach, using i) lower radiation doses, and ii) applicable for patients with radio-resistant cancers."</t>
  </si>
  <si>
    <t>Evaluation of bone repair after radiotherapy by photobiomodulation-an animal experimental study</t>
  </si>
  <si>
    <t>"Clinically, even though the rats had gained body mass within the time of the experiment (p &lt; 0.05), those who has been submitted to the lasertherapy presented cutaneous inflammatory reactions. Regarding the histological findings, the number of osteocites (p &lt; 0.0001) and Harvers channels (p &lt; 0.0001) was significantly larger in the groups that had been radiated with laser during the experiment."</t>
  </si>
  <si>
    <t>Diukina</t>
  </si>
  <si>
    <t>Radiats Biol Radioecol</t>
  </si>
  <si>
    <t>[The effect of infrared and X-ray radiation on the production of reactive oxygen species in blood and induction of cytogenetic damage in the bone marrow of mice in vivo]. [Article in Russian]</t>
  </si>
  <si>
    <t>"The experiments performed have shown: 1) the level of the ROS production in blood of the mice exposed to IRL and X-rays at an adapting dose of 0.1 Gy reaches the peak value after 0.5 h and drops to the ROS level in untreated animals 5 h after either exposure; 2) irradiation of mice with IRL and X-rays at a dose of 0.1 Gy induces adaptive responses both in blood cells and bone marrow cells of mice. These adaptive responses were revealed only 5 h after both exposures, when the level of ROS production decreased to the ROS level in untreated animals; they are equal in magnitude and dynamics and persist up to 2 months."
Comment: The abstract says that LLLT energy density was 100 or 5 J/cm2, but the full text says that both LLLT groups had 100 J/cm2.</t>
  </si>
  <si>
    <t>Zharinov</t>
  </si>
  <si>
    <t>Late radiation lesions of urinary bladder and rectum in patients with prostate cancer after external radiation therapy and phototherapy with low power near infrared laser.</t>
  </si>
  <si>
    <t>🧑 Human
📄 Retrospective study (?)
👥 559 patients</t>
  </si>
  <si>
    <t>Prostate cancer patients
Radiation therapy / radiotherapy</t>
  </si>
  <si>
    <t>"In the control group the radiation damage of urinary bladder and rectum appeared in 7.6% and 10.7% of patients, while in the main group - in 1.95% and 2.92%, respectively (p &lt; 0.01).
Thus, the course of phototherapy with the near infrared low power laser at performance of radiotherapy decreases incidence of radiation damages of urinary bladder and rectum in patients with prostate cancer."</t>
  </si>
  <si>
    <t>Magnetic resonance imaging (MRI) controlled outcome of side effects caused by ionizing radiation, treated with 780 nm-diode laser -- preliminary results.</t>
  </si>
  <si>
    <t>"Six female patients suffering from painful mastitis after breast ionizing irradiation and one man suffering from radiogenic ulcer were treated"
"All patients showed complete clinical remission. The time-dependent contrast enhancement curve obtained by the evaluation of MR images demonstrated a significant decrease of enhancement features typical for inflammation in the affected area."
"Biomodulation by LLLT seems to be a promising treatment modality for side effects induced by ionizing radiation."</t>
  </si>
  <si>
    <t>Rezvani</t>
  </si>
  <si>
    <t>Br J Radiol</t>
  </si>
  <si>
    <t>Modification of late dermal necrosis in the pig by treatment with multi-wavelength light.</t>
  </si>
  <si>
    <t>Dermal necrosis</t>
  </si>
  <si>
    <t>660
+
820
+
880
+
950</t>
  </si>
  <si>
    <t>"Light treatment increased the ED50, the dose which causes dermal necrosis in 50% of the irradiated skin fields, from 20.10 +/- 0.12 Gy to 21.94 +/- 0.30 Gy. This difference, although small, was highly significant (p &lt; 0.001) and was equivalent to a dose modification factor (DMF) of 1.09. The effect of light treatment was minimal at incidence levels of less than the 50% but greater at higher levels of effect. These findings suggest that low-level light, when applied appropriately, may be useful in the prevention of late X-ray-induced damage to the dermis."</t>
  </si>
  <si>
    <t>Prevention of X‐ray‐induced late dermal necrosis in the pig by treatment with multi‐wavelength light</t>
  </si>
  <si>
    <t>0.22
0.54
1.08
2.16
4.32
10.8</t>
  </si>
  <si>
    <t>"Treatment with light pulsating at 2.5 Hz, 6–16 weeks after X‐irradiation, or treatment with light pulsating at 5 kHz, 4–16 weeks after X‐irradiation, did not have a significant effect on the incidence or the latency for the development of ischemia dermal necrosis irrespective of the exposure time to light at each treatment.  
With light pulsating at 5 kHz, no effect of light dose was observed. However, the overall incidence of dermal necrosis was significantly reduced (P = 0.001) to 52% in the X‐irradiated fields receiving treatment with 5 kHz light, 6–16 weeks after X‐irradiation. 
Treatment with light for only three days immediately after X‐irradiation with 5 kHz light had no beneficial effect. "</t>
  </si>
  <si>
    <t>Bulyakova &amp; Popova</t>
  </si>
  <si>
    <t>Russia [USSR]</t>
  </si>
  <si>
    <t>Stimulation of post-traumatic regeneration of skeletal muscles of old rats after x-ray irradiation</t>
  </si>
  <si>
    <t>0.002-
0.003</t>
  </si>
  <si>
    <t>"The experimental data thus showed that pulsed laser therapy or grafting of minced unirradiated muscle tissue can largely restore the regenerative capacity of the gastrocnemius muscle of old rats when depressed by x-ray irradiation;"</t>
  </si>
  <si>
    <t>Blinding</t>
  </si>
  <si>
    <t>Relf</t>
  </si>
  <si>
    <t>Blinding techniques in randomized controlled trials of laser therapy: an overview and possible solution</t>
  </si>
  <si>
    <t>"We reviewed 51 double blind randomized controlled trials (RCTs) of laser treatment.
Analysis revealed 58% of trials showed benefit of laser over placebo. However, less than 5% of the trials had addressed beam disguise or allocation concealment in the laser machines used. Many of the trials used blinding methods that rely on staff cooperation and are therefore open to interference or bias. This indicates significant deficiencies in laser trial methodology.
We report the development and preliminary testing of a novel laser machine that can blind both patient and operator to treatment allocation without staff participation. The new laser machine combines sealed preset and non-bypassable randomization codes, decoy lights and sound, and a conical perspex tip to overcome laser diode glow detection."</t>
  </si>
  <si>
    <t>Digital holographic microscopy</t>
  </si>
  <si>
    <t>Baczewska</t>
  </si>
  <si>
    <t>Method to analyze effects of low-level laser therapy on biological cells with a digital holographic microscope</t>
  </si>
  <si>
    <t>Research method introduction</t>
  </si>
  <si>
    <t>"Low-level laser therapy (LLLT) is a therapeutic tool that uses the photobiochemical interaction between light and tissue. Its effectiveness is controversial due to a strong dependence on dosimetric parameters.
In this work, we demonstrate that digital holographic microscopy is an effective label-free imaging technique to analyze the effects of LLLT on biological cells, and we propose the full methodology to create correct synthetic aperture phase maps for further extensive, highly accurate statistical analysis.
The proposed methodology has been designed to provide a basis for many other biological experiments using quantitative phase imaging.
We use SHSY-5Y and HaCaT cells irradiated with different doses of red light for the experiment. The analysis shows quantitative changes in cell dry mass density and the projected cell surface in response to different radiation doses."</t>
  </si>
  <si>
    <t>High-throughput single-cell live imaging</t>
  </si>
  <si>
    <t>USA
(Charlest, SC)</t>
  </si>
  <si>
    <t>High-throughput single-cell live imaging of photobiomodulation with multispectral near-infrared lasers in cultured T cells.</t>
  </si>
  <si>
    <t>ROS
Intracellular calcium</t>
  </si>
  <si>
    <t>1064
1270</t>
  </si>
  <si>
    <t>"Armed with this system, we revealed that 1-min exposure of cultured T cells with a specific combination of 1064 and 1270 nm NIR lasers at low irradiances suppressed intracellular calcium and mitochondrial ROS signal. "
"This optical platform is a powerful tool to study causal relationship between a specific parameter of NIR light and its biological effects. Such a platform is useful for a further mechanistic study on not only photobiomodulation but also other modalities in photomedicine."</t>
  </si>
  <si>
    <t>Researcher profiles</t>
  </si>
  <si>
    <t>Profile: Professor Mitsuo Motegi</t>
  </si>
  <si>
    <t>Interview</t>
  </si>
  <si>
    <t>Profile: Toshio Ohshiro, MD</t>
  </si>
  <si>
    <t>Past and future of LLLT/PBM</t>
  </si>
  <si>
    <t>Reproductive system</t>
  </si>
  <si>
    <t>Breast: Capsular contracture</t>
  </si>
  <si>
    <t>Azimi</t>
  </si>
  <si>
    <t>Low-Level Laser Treatment Is Ineffective for Capsular Contracture: Results of the LaTCon Randomized Controlled Trial.</t>
  </si>
  <si>
    <t>🧑 Human
🎲 Randomized trial, double-blind
👥 42 participants
⌛ 6-week treatment -&gt; 6-month follow-up</t>
  </si>
  <si>
    <t>960
/breast</t>
  </si>
  <si>
    <t>"There was no significant difference in the change in any patient-reported outcomes or clinician-reported outcomes of breast symmetry, shape, or naturalness for the two groups. There was a significantly greater improvement in clinician-reported breast softness (p &lt; 0.05) and degree of contracture (p &lt; 0.05) in the placebo group at both 1- and 6-month follow-up."
Comment: Parameters were not provided. However, some of them can be probably derived from the earlier Johnson et al. paper which used the same device.</t>
  </si>
  <si>
    <t>Device: Riancorp LTU-904</t>
  </si>
  <si>
    <t>The American Journal of Cosmetic Surgery</t>
  </si>
  <si>
    <t>Low-Level Laser Therapy: An Alternative Treatment for Capsular Contraction</t>
  </si>
  <si>
    <t>"Surgical intervention was avoided in 93.9% of patients with grade III and IV capsular contraction. Of the patients who avoided surgery, the laser improved the stiffness of the breast by 10–95% (average, 43.6%) and an overall improvement in comfort ranging from 10–95% (average, 48.2%)."</t>
  </si>
  <si>
    <t>Breast: Mammary gland</t>
  </si>
  <si>
    <t>Stoffel</t>
  </si>
  <si>
    <t>Transboundary and Emerging Diseases</t>
  </si>
  <si>
    <t>Low‐Energy He‐Ne‐Laser Irradiation of the Bovine Mammary Gland</t>
  </si>
  <si>
    <t>Cattle</t>
  </si>
  <si>
    <t>"No evidence for any stimulation of the healthy mammary gland or therapeutic effects on mastitis by low‐energy He‐Ne‐laser could be found."</t>
  </si>
  <si>
    <t>Breast: Mastitis (cattle)</t>
  </si>
  <si>
    <t>Malinowski</t>
  </si>
  <si>
    <t>Vet Ital</t>
  </si>
  <si>
    <t>The effect of low intensity laser irradiation of inflamed udders on the efficacy of antibiotic treatment of clinical mastitis in dairy cows.</t>
  </si>
  <si>
    <t>870-
970</t>
  </si>
  <si>
    <t>"The recovery rate after intramammary treatment with antibiotics was 43.7%. Irradiation with laser significantly (P &lt; 0.05%) increased the recovery rate by 31.2%. 
The recovery rate in the cow cohort receiving systemic treatment with antibiotics was 46.7%. The laser irradiation resulted in a 16.6% increase in recovery. 
Supportive treatment with laser irradiation increased recovery rates by 24.2%."</t>
  </si>
  <si>
    <t xml:space="preserve">Device: STP-99 laser device (STP Company, Garshino, Nizhny Novgorod, Russia) </t>
  </si>
  <si>
    <t>Oda</t>
  </si>
  <si>
    <t>Effect of low level laser acupuncture on subclinical mastitis and reproductive disorders in dairy cattle</t>
  </si>
  <si>
    <t>"The efficacy of LLLA for reproductive disorders, measured as the recurrence of heat within 1 month after beginning LLLA, was 80.4% (78.6% for persistent corpus luteum, 75% for quiescent ovary, 100.0% for silent heat and 0.0% for pyometra). The results suggest that low level laser acupuncture can be used as an alternative therapy for subclinical mastitis and reproductive disorders, excluding pyometra, in dairy cattle."</t>
  </si>
  <si>
    <t>Breast: Mastitis (rat)</t>
  </si>
  <si>
    <t>China
(Daqing)</t>
  </si>
  <si>
    <t>J Vet Med Sci</t>
  </si>
  <si>
    <t>Low-level laser therapy attenuates LPS-induced rats mastitis by inhibiting polymorphonuclear neutrophil adhesion.</t>
  </si>
  <si>
    <t>"The results showed that LPS-induced secretion of IL-1β and IL-8 significantly decreased after LLLT (650 nm, 2.5 mW, 30 mW/cm(2)). LLLT also inhibited intercellular adhesion molecule-1 (ICAM-1) expression and attenuated the LPS-induced decrease of the expression of CD62L and increase of the expression of CD11b. Moreover, LLLT also suppressed LPS-induced polymorphonuclear neutrophils (PMNs) entering the alveoli of the mammary gland. The number of PMNs in the mammary alveolus and the myeloperoxidase (MPO) activity were decreased after LLLT."</t>
  </si>
  <si>
    <t>Breast: Mastitis (sheep)</t>
  </si>
  <si>
    <t>Brazil
(Fernandópolis)</t>
  </si>
  <si>
    <t>Use of photodynamic therapy and photobiomodulation as alternatives for microbial control on clinical and subclinical mastitis in sheep</t>
  </si>
  <si>
    <t>PBM vs PDT</t>
  </si>
  <si>
    <t>"Comparing the treatments, aPDT stood out, as it was able to photoinactivate all bacteria."
Comment: PBM did not appear to have meaningful benefits in this study regarding the total bacterial counts.</t>
  </si>
  <si>
    <t>Cesarean section</t>
  </si>
  <si>
    <t>Dehghanpour</t>
  </si>
  <si>
    <t>Iran
(Tafresh)</t>
  </si>
  <si>
    <t>Evaluation of photobiomodulation effect on cesarean-sectioned wound healing: a clinical study</t>
  </si>
  <si>
    <t>🧑 Human
📄 Non-randomized study, controlled 
👥 80 participants
⌛ 10 days</t>
  </si>
  <si>
    <t xml:space="preserve">658
660
</t>
  </si>
  <si>
    <t>100
150-
350</t>
  </si>
  <si>
    <t>12
1
cm2
beam
area</t>
  </si>
  <si>
    <t>900-
2400
300-
540</t>
  </si>
  <si>
    <t>"The post-cesarean follow-up indicates that the patients treated by the laser therapy (intervention group) encounter better recovery than the control group."
Comment: Quite atypically written paper, somewhat difficult to understand.</t>
  </si>
  <si>
    <t>de Holanda Araujo</t>
  </si>
  <si>
    <t>Low-level laser therapy improves pain in postcesarean section: a randomized clinical trial.</t>
  </si>
  <si>
    <t>🧑 Human
🎲 Randomized trial, sham-controlled
👥 88 participants
⌛ 24h treatment -&gt; 24h follow-up</t>
  </si>
  <si>
    <t>Groups:
- control
- placebo
- PBM (4J/cm2)
- PBM (2J/cm2)</t>
  </si>
  <si>
    <t>1.2
2.4
(10 points)</t>
  </si>
  <si>
    <t>4/p
8/p
(10 points)</t>
  </si>
  <si>
    <t>2
(at 12h and 24h)</t>
  </si>
  <si>
    <t>"The effect sizes for NRS in placebo and control groups were 0.11 and 0.43, respectively. Experimental I presented an effect size of 0.71, and for experimental II, it was 0.69."
"Algometry revealed an effect size of 0.26 and 0.27 for the placebo and control groups, respectively. The experimental I and experimental group II presented large effect sizes of 0.91 and 0.88 for algometry, respectively.""
"This study suggests that LLLT was effective in relieving surgical wound pain after cesarean section."</t>
  </si>
  <si>
    <t>Poursalehan</t>
  </si>
  <si>
    <t>The Effect of Low-Level Laser on Postoperative Pain After Elective Cesarean Section</t>
  </si>
  <si>
    <t>🧑 Human
🎲 Randomized trial, double-blind
👥 80 participants
⌛ single session -&gt; 24h follow-up</t>
  </si>
  <si>
    <t>650
+
804</t>
  </si>
  <si>
    <t>100
+
200</t>
  </si>
  <si>
    <t>0.1-0.2</t>
  </si>
  <si>
    <t>21-30</t>
  </si>
  <si>
    <t>1-2</t>
  </si>
  <si>
    <t>"The results demonstrated significant reduction of pain in the laser group 1, 4, 8, 12, 16, 24 hours after surgery, compared with the control group (P value &lt; 0.05). Additionally, the average of total received analgesic in the group laser was less than the controls (P value = 0.006). The first request for analgesic in the laser received group was significantly longer than the controls (P value = 0.005)."
"Low power laser therapy is a good method to reduce postoperative pain due to the fact that it is a safe and non-invasive method which is also accepted by patients."</t>
  </si>
  <si>
    <t>Cervix</t>
  </si>
  <si>
    <t>Kovács L</t>
  </si>
  <si>
    <t>The stimulatory effect of laser on the physiological healing process of portio surface.</t>
  </si>
  <si>
    <t>🧑 Human
Retrospective
+ 📄 Case report</t>
  </si>
  <si>
    <t>"One hundred patients with portio ectopium and without pathological epithelial phenomena have been treated with a low-power helium neon laser device, a product of the Hungarian firm MOM. 
In 90 patients rapid epidermisation was observed within markedly shortened healing time. In the remaining ten patients regeneration was less rapid, but some degree of improvement was encountered in all cases. external cervical orifice, and in epidermisation of the surface of the ectopium. healing. 
Vaginal pH was regularly checked throughout the treatment period. The improvement was expressed in the behaviour of the papillae, in closure of the Electron or light microscopy of the treated area was performed in 20 patients after The method has proved very promising in the outpatient treatment of ectopium."</t>
  </si>
  <si>
    <t>Chicken reproductive axis</t>
  </si>
  <si>
    <t>Poult Sci</t>
  </si>
  <si>
    <t>Red light is necessary to activate the reproductive axis in chickens independently of the retina of the eye.</t>
  </si>
  <si>
    <t>"In summary, red light was required to stimulate the reproductive axis whereas green light was ineffective, and the effects of stimulatory wavelengths do not appear to require a functional retina of the eye."</t>
  </si>
  <si>
    <t>Childbirth</t>
  </si>
  <si>
    <t>Traverzim</t>
  </si>
  <si>
    <t>The Effect of Photobiomodulation on Analgesia During Childbirth: A Controlled and Randomized Clinical Trial</t>
  </si>
  <si>
    <t>🧑 Human
⚔ Comparison study
👥 29 participants
⌛ single session</t>
  </si>
  <si>
    <t>⚔ PBM vs hot shower during labour</t>
  </si>
  <si>
    <t>0.050 +
0.050</t>
  </si>
  <si>
    <t>108+
108</t>
  </si>
  <si>
    <t>"There was a statistically significant difference (p &lt; 0.05) in pain reduction evidenced by a millimetric visual scale, before and after application on G1-LED (7.92 ± 1.78). Regarding the other variables, there was no statistical difference between the groups when comparing fetal well-being, Apgar score and labor duration."</t>
  </si>
  <si>
    <t>Dairy cow reproduction</t>
  </si>
  <si>
    <t>Palubinskas</t>
  </si>
  <si>
    <t>Lithuania</t>
  </si>
  <si>
    <t>Pol J Vet Sci</t>
  </si>
  <si>
    <t>Improvement of dairy cow embryo yield with low level laser irradiation</t>
  </si>
  <si>
    <t>Cow</t>
  </si>
  <si>
    <t>65.93
(?)</t>
  </si>
  <si>
    <t>"The number of total recovered and transferable embryos was greater in the TG compared with the CG by 28.97% (p&lt;0.05) and 15.8% (p&gt;0.05), respectively."</t>
  </si>
  <si>
    <t>Dysmenorrhea</t>
  </si>
  <si>
    <t>Effect of photobiomodulation on alleviating primary dysmenorrhea caused by PGF2α</t>
  </si>
  <si>
    <t>460
630
850</t>
  </si>
  <si>
    <t>"In the present study, we found that infrared light, red light, blue light PBM, and thermal therapy exert varying degrees of pain relief and PGF2α inhibition in oxytocininduced female ICR mice, with red light PBM having the greatest impact. Low-level irradiation of red light PBM can restore calcium ion, ROS, ATP, and MMP levels in prostaglandin-F2α induced HUSM cells, with minimal negative effects on normal HUSM cells."</t>
  </si>
  <si>
    <t>Metabolomic study combined with the low-level light therapy of Chinese acupuncture points and combined oral contraceptives in treatment of primary dysmenorrhea: A prospective, multicenter, randomized controlled study</t>
  </si>
  <si>
    <t>🧑 Human
🎲 Randomized trial
🗺 Multicenter
👥 69 participants
⌛ 12 weeks</t>
  </si>
  <si>
    <t>PBM on acupoints
PLS-DA analysis
LED phototherapy</t>
  </si>
  <si>
    <t>"LLLT and COC might relieve dysmenorrhea by down-regulating PGD2, and LLLT might also relieve dysmenorrhea by up-regulating biliverdin. The level of cortisol and testosterone glucuronide after LLLT treatment was lower than that after COC treatment, which might lead to the difference in the clinical efficacy of the two treatments for dysmenorrhea."
Comment: The PLS-DA analysis may be inappropriate for metabolomics.</t>
  </si>
  <si>
    <t>China
(Peking)</t>
  </si>
  <si>
    <t>Comparative evaluation of low-level light therapy and ethinyl estradiol and desogestrel combined oral contraceptive for clinical efficacy and regulation of serum biochemical parameters in primary dysmenorrhoea: a prospective randomised multicentre trial</t>
  </si>
  <si>
    <t>🧑 Human
🎲 Randomized trial
🗺 Multicenter</t>
  </si>
  <si>
    <t>LED phototherapy
PBM on acupoints
PBM vs estradiol&amp;desogestrel</t>
  </si>
  <si>
    <t>"A more significant reduction in pain scores was observed in the DSG/EE group (39.25% vs. 59.52%, p &lt; 0.001)."
"Low-level light therapy with LED-based device applied on acupuncture points CV4 and CV6 demonstrated a similar level of dysmenorrhoea pain reduction to DSG/EE combined contraceptive."
Comment: No negative control group</t>
  </si>
  <si>
    <t>Pulsed high-intensity laser therapy versus low level laser therapy in the management of primary dysmenorrhea</t>
  </si>
  <si>
    <t>🧑 Human
⚔ Comparison study
👥 30 participants
⌛ (not reported)</t>
  </si>
  <si>
    <t>1064
(HILT)
???
(LLLT)</t>
  </si>
  <si>
    <t>"Comparison between the two groups showed a statistically non-significant difference in the severity of pain and pain alleviation at the end of the treatment course."
"Both pulsed HILT and LLLT are effective in the treatment of primary dysmenorrhea, with no significant differences between the two modalities."
Comment: No placebo/control group.</t>
  </si>
  <si>
    <t>High-intensity laser therapy versus pulsed electromagnetic field in the treatment of primary dysmenorrhea.</t>
  </si>
  <si>
    <t>🧑 Human
⚔ Comparison study
👥 52 participants
⌛ (not reported)</t>
  </si>
  <si>
    <t>⚔ HILT vs PEMF</t>
  </si>
  <si>
    <t>"Both HILT and PEMF are effective in the treatment of primary dysmenorrhea with HILT being superior to PEMF."
Comment: No placebo/control group.</t>
  </si>
  <si>
    <t>Korea
(Iksan &amp; Yangsan)</t>
  </si>
  <si>
    <t>Int J Gynaecol Obstet</t>
  </si>
  <si>
    <t>Randomized controlled trial of the efficacy and safety of self-adhesive low-level light therapy in women with primary dysmenorrhea.</t>
  </si>
  <si>
    <t xml:space="preserve">🧑 Human
🎲 Randomized trial, double-blind
🗺 Multicenter
👥 88 participants
⌛ 5-day treatments during 3 menstrual cycles </t>
  </si>
  <si>
    <t>0.0018</t>
  </si>
  <si>
    <t>5
/ 5 days
for 3 monthly cycles
(before menstr.)</t>
  </si>
  <si>
    <t>"At the final study visit, the reduction in scores using a visual analog scale was significantly greater in patients who received low-level light therapy (n=41; 4.34±2.22) than among those in the control group (n=38; 1.79±1.73; P&lt;0.001 when adjusted for age) No serious adverse events occurred."
"There was significantly less use of analgesia in the experimental group than in the control group (P = 0.031)."
Comment: The parameters are quite poorly reported... Also, strangely, according to the paper, the "power consumption" was 0.9 watts (900mW). It seems likely that power output was much lower, if the beam size is small and the light intensity is also quite low (0.0018 W/cm2).</t>
  </si>
  <si>
    <t>Device: "Similar to a previously described method [8], two acupuncture 151 points were selected (CV4 [approximately two fingerbreadths below 152 the umbilicus] and CV6 [approximately two fingerbreadths below CV4]) 153 as the treatment targets"</t>
  </si>
  <si>
    <t>Arch Gynecol Obstet</t>
  </si>
  <si>
    <t>Skin adhesive low-level light therapy for dysmenorrhoea: a randomized, double-blind, placebo-controlled, pilot trial.</t>
  </si>
  <si>
    <t>🧑 Human
🎲 Randomized trial, double-blind
👥 31 participants (2:1 group allocation)
⌛  5-day treatment before menstruation, repeated during second menstr. cycle for some patients (???) / follow-up for 5 menstr. cycles</t>
  </si>
  <si>
    <t>5*
/ 5 days
for 1-2 menstr. cycles (???)
(before menstr.)
(* 9-10 sessions with some subjects)</t>
  </si>
  <si>
    <t>"The pain reduction rate was 83 % in the active LLLT group, whereas there was only a slight and temporary reduction in pain in the placebo LLLT group. Changes of VAS within 6 months of LLLT showed statistical significance (p = 0.001) over placebo control."
"In conclusion, this study supported our hypothesis that the direct cause of dysmenorrhoea might not be changes in bioactive substances, such as hormone imbalance, a decrease in serotonin levels or excessive prostaglandin production, but the abnormal function of parts of smooth muscles in the uterus secondary to long-term deficient blood supply into smooth muscle tissue caused by disease or stress. This study also suggests that skin adhesive LLLT administered to acupuncture points might be an effective, simple, safe non-pharmacological method for the treatment of dysmenorrhoea. This study also shows the possibility that even low-level light stimulation on acupuncture points can relax smooth muscles of internal organs through meridians.
To the best of our knowledge, this is the first study on the treatment of dysmenorrhoea with skin adhesive LLLT administered to acupuncture points."
Comment: It is difficult to interpret how many 5-day treatment cycles patients received during the 5-month study period.</t>
  </si>
  <si>
    <t>Endometrium</t>
  </si>
  <si>
    <t>El Faham</t>
  </si>
  <si>
    <t>Has the time come to include low-level laser photobiomodulation as an adjuvant therapy in the treatment of impaired endometrial receptivity?</t>
  </si>
  <si>
    <t>Endometrium cells</t>
  </si>
  <si>
    <t>4.27</t>
  </si>
  <si>
    <t>"The current study proofed that LLLT was able to increase the proliferative and functional capacity of cultured endometrial cells."</t>
  </si>
  <si>
    <t>Erectile function</t>
  </si>
  <si>
    <t>Anita</t>
  </si>
  <si>
    <t>World J Mens Health</t>
  </si>
  <si>
    <t>Photobiomodulation as a Potential Therapy for Erectile Function: A Preclinical Study in a Cavernous Nerve Injury Model</t>
  </si>
  <si>
    <t>LED phototherapy
Wavelength comparison
Wavelength combination</t>
  </si>
  <si>
    <t>660
830
660+
830</t>
  </si>
  <si>
    <t>"The PBM treatment was administered for five consecutive days with a light-emitted diode (LED) device that delivers 660 nm±3% RED light, and near infra-red 830 nm±2% promptly administered following nerve-crushing surgery and achieved a notable restoration of erectile function approximately 90% of the control values."
"Although improvement of erectile function was observed in the RED and NIR groups, a combination of both treatments showed the best improvement in the PBM-treated group."</t>
  </si>
  <si>
    <t>Andrology</t>
  </si>
  <si>
    <t>Effect of near-infrared laser treatment on improving erectile function in rats with diabetes mellitus</t>
  </si>
  <si>
    <t>"NIR laser activated mitochondria, improved OS, repaired the damage to penile CC tissue structures caused by DM, and improved erectile function in DM rats. 
These results thus raise the possibility that human patients with DMED may respond to NIR therapy in a manner that parallels the responses we observed in animal study."</t>
  </si>
  <si>
    <t>Goldfish reproduction</t>
  </si>
  <si>
    <t>Fish Physiol Biochem</t>
  </si>
  <si>
    <t>Exogenous cortisol and red light irradiation affect reproductive parameters in the goldfish Carassius auratus</t>
  </si>
  <si>
    <t>Goldfish</t>
  </si>
  <si>
    <t>0.0001
0.00005</t>
  </si>
  <si>
    <t>"These results indicated that both cortisol and red light-emitting diode (LED) light increased GnIH expression and inhibited GnRH expression. In particular, red light irradiation suppressed reproductive responses as much as the cortisol treatment at 48 h. Thus, it could be an alternative method for suppressing reproductive responses in future aquacultures."</t>
  </si>
  <si>
    <t>Gonad maturity</t>
  </si>
  <si>
    <t>Photobiomodulation effect of infra-red laser on the level of gonad maturity in the Simese Catfish ( Pangasianodon hypophthalmus)</t>
  </si>
  <si>
    <t>Siamese catfish</t>
  </si>
  <si>
    <t>0.2
0.4
0.6
0.8</t>
  </si>
  <si>
    <t>"The purpose of this study is to determine how photo biomodulation therapy utilizing infrared diode laser irradiation (975.2 nm) affects the gonadal maturity level (GML) of male Siamese catfish (Pan-gasianodon hypothalamus)."
"According to the study's findings, photo biomodulation therapy with infrared diode laser exposure at a dose of 0.4 J/cm2 is the best way to increase the gonad maturity of male Siamese catfish."</t>
  </si>
  <si>
    <t>HPV (human papillomavirus)</t>
  </si>
  <si>
    <t>China
(Yinchuan)</t>
  </si>
  <si>
    <t>Efficacy and safety of combined high-dose interferon and red light therapy for the treatment of human papillomavirus and associated vaginitis and cervicitis: A prospective and randomized clinical study.</t>
  </si>
  <si>
    <t>🧑 Human
🎲 Randomized trial
👥 90 participants
⌛ 4-week treatment -&gt; 12-week follow-up</t>
  </si>
  <si>
    <t>7-10
(??)</t>
  </si>
  <si>
    <t>0.0025-
0.025
(??)</t>
  </si>
  <si>
    <t>"We found that the cure rates for vaginitis and cervicitis were significantly higher when red light therapy was added to high-dose IFN, suggesting potentially additive effects of the red light on the immune microenvironment"</t>
  </si>
  <si>
    <t>Device: "ML-1201; Wuhan Miracle Laser Co Ltd, Wuhan, China) had an output wavelength of 625±10 nm and optical power density of 2.5 to 25MW/cm2"
Comment: Logically, it should be 2.5 to 25 mW/cm2 (milliwatts, not megawatts). They also described the power ourput was 7-10 W, which sounds very unlikely. Therefore I suspect it is actually 7-10 mW.</t>
  </si>
  <si>
    <t>Infertility / Intrauterine adhesion</t>
  </si>
  <si>
    <t>Photobiomodulation therapy at 632 nm wavelength ameliorates intrauterine adhesion via activation of cAMP/PKA/CREB pathway</t>
  </si>
  <si>
    <t>"A rat IUA [intrauterine adhesion] model was established via mechanical injury, and PBM was applied intrauterinely. The uterine structure and function were evaluated using ultrasonography, histology, and fertility tests. PBM therapy induced a thicker, more intact, and less fibrotic endometrium. PBM also partly recovered endometrial receptivity and fertility in IUA rats. 
A cellular fibrosis model was then established with human endometrial stromal cells (ESCs) cultured in the presence of TGF-β1. PBM alleviated TGF-β1-induced fibrosis and triggered cAMP/PKA/CREB signaling in ESCs. 
Pretreatment with the inhibitors targeting this pathway weakened PBM's protective efficacy in the IUA rats and ESCs."</t>
  </si>
  <si>
    <t>Infertility</t>
  </si>
  <si>
    <t>Eghbaldoost</t>
  </si>
  <si>
    <t>Therapeutic Effects of Low-Level Laser on Male Infertility: A Systematic Review</t>
  </si>
  <si>
    <t>"All 14 in vitro studies that evaluated effectiveness reported that PBM was successful in increasing the proportion of progressive sperms in semen samples. 
Various methods were used to evaluate the safety. One study with a sample size of 58 concluded that PBM was not a safe treatment, whereas the other ten studies confirmed its safety.
Only one clinical trial evaluated the effect of laser acupuncture on male infertility and found improvements in sperm progressive motility without any serious adverse effects."</t>
  </si>
  <si>
    <t>Photobiomodulation Therapy for Male Infertility</t>
  </si>
  <si>
    <t>"In the field of reproductive science, PBM was employed to increment spermatozoa's metabolism, motility, and viability, due to its beneficial action on mitochondria, leading to an activation of the mitochondrial respiratory chain and to the ATP production. This treatment can be particularly useful to avoid the use of chemicals in the spermatozoa culture medium as well as to promote the spermatozoa survival and movement especially after thawing or in largely immotile sperm samples."</t>
  </si>
  <si>
    <t>Gynecol Endocrinol</t>
  </si>
  <si>
    <t>Laser irradiation pretreatment improves endometrial preparation of frozen-thawed embryo transfer in recurrent implantation failure patients.</t>
  </si>
  <si>
    <t>🧑 Human
Controlled</t>
  </si>
  <si>
    <t>"The clinical pregnancy rate (37.9%) and implantation rate (20.3%) were higher in the laser-treatment group than in the control group (35.5% and 15.9%, respectively, p = .844 and .518, respectively).
The live birth rate was higher in the laser-treatment group (27.6% vs. 25.8%, respectively, p = .876) and the miscarriage rate was lower in the laser-treatment group (18.2% and 27.3%, respectively, p = .611).
No side effects or complications from laser irradiation were encountered in patients who received the laser treatment."
Comment: Lack of randomization brings selection bias to the study.</t>
  </si>
  <si>
    <t>Effectiveness of low level laser therapy for treating male infertility.</t>
  </si>
  <si>
    <t>"The literature review showed that LLLT is beneficial in treating male infertility. Laser can significantly improve the survival, motility and speed of movement of spermatozoa. Laser therapy of patients with prostatitis and vesiculitis can eliminate infiltrative-exudative changes, improve reproductive and copulatory functions. Local illumination of red (635 nm) and infrared (904 nm) spectra should be combined with intravenous laser blood illumination (ILBI) of red (635 nm) and ultraviolet (UV) (365 nm) spectra."</t>
  </si>
  <si>
    <t>LLLT for Female Infertility: No Longer Just a Dream</t>
  </si>
  <si>
    <t>Personal Overview of the Application of LLLT in Severely Infertile Japanese Females.</t>
  </si>
  <si>
    <t>🧑 Human
📄 Retrospective study (?)
👥 701 patients</t>
  </si>
  <si>
    <t>avg
21</t>
  </si>
  <si>
    <t>"Seventy-four females (average age 39.28 yr) with severe infertility in whom assisted reproductive technology (ART) had been unsuccessful (average of 9.13 yr) participated in the first part of a study from October 1996 - April 2000. LLLT was applied (830 nm, CW, GaAlAs 60 mW diode LLLT) in Ohshiro's proximal priority technique (average 21.08 sessions) with or without other ART approaches. Based on successful outcomes, the study was then extended to March 2012, amassing a final total of 701 patients."
"Pregnancy was achieved in the first part of the trial in 16 patients (21.7% of 74) of whom 11 (68%) achieved successful live delivery. In the extended trial, pregnancy was achieved in 156 (22.3% of 701) with 79 live deliveries (50.1%)."
"The use of 830 nm LLLT in the proximal priority technique at the parameters used in the present study, on its own or as an adjunct to other techniques, resulted in successful induction of pregnancy in just over 21% of severely infertile females, with a substantial number of these achieving live births. No adverse events were noted in any patient. LLLT is a pain-free and sideeffect free modality which could give hope to the increasing numbers of older females with infertility in Japan and potentially worldwide. Multinational studies are warranted."</t>
  </si>
  <si>
    <t>Lasers in infertility treatment: irradiation of oocytes and spermatozoa.</t>
  </si>
  <si>
    <t>Hasan P</t>
  </si>
  <si>
    <t>The possible application of low reactive level laser therapy (lllt) in the treatment of male infertility</t>
  </si>
  <si>
    <t>Testicle irradiation</t>
  </si>
  <si>
    <t>"Four azoospermic and 16 oligospemiic male patients were treated with a 6mW He-Ne/2.5 mW pulsed GaAs diode laser with a dose of 1.3 J/cm2. Although no improvement was noted in the azoespermic subjects, the sperm count increased from 2 to 5 times in the oligospermic subjects. In addition. ejaculation of abnormal spermatozoa decreased in several subjects. Libido also increased in 15 of the 20 patients. From these findings it was concluded that LLLT offers a possible treatment for the oligospermic patient. particularly for the subfertile."</t>
  </si>
  <si>
    <t>Lactation</t>
  </si>
  <si>
    <t>Maged</t>
  </si>
  <si>
    <t>Am J Perinatol</t>
  </si>
  <si>
    <t>Effect of Low-Level Laser Therapy versus Electroacupuncture on Postnatal Scanty Milk Secretion: A Randomized Controlled Trial.</t>
  </si>
  <si>
    <t>🧑 Human
🎲 Randomized trial</t>
  </si>
  <si>
    <t>"The mean serum prolactin, infant weight, and visual analog scale (VAS) score were significantly increased in the three groups posttreatment when compared with their corresponding levels pretreatment. 
Posttreatment serum prolactin was significantly elevated in [electroacupuncture group] more than the other two groups (p = 0.001 and 0.012, respectively). Also, it was significantly elevated in [He-Ne laser group] more than in [control group] (p = 0.001). The mean value of infant weight was significantly elevated in [electroacupuncture group] when compared with its corresponding values in both [control group] (p = 0.001) and [He-Ne laser group] (p = 0.029). The VAS score was significantly increased in [He-Ne laser and electroacupuncture groups] when compared with [control group] (p = 0.001)."</t>
  </si>
  <si>
    <t>Mokmeli</t>
  </si>
  <si>
    <t>The application of low-level laser therapy after cesarean section does not compromise blood prolactin levels and lactation status.</t>
  </si>
  <si>
    <t>650
+
980
+
650 i.v.</t>
  </si>
  <si>
    <t>30
+
100
+
2.5</t>
  </si>
  <si>
    <t>27
+
60</t>
  </si>
  <si>
    <t>1.5
+
3.3</t>
  </si>
  <si>
    <t>"Although there was a difference between blood prolactin levels in the two groups, the difference was not statistically significant (p = 0.205). However, there was a statistically significant difference in the mean lymphocyte counts and number of vessel lumina, with higher numbers seen in the LLLT group."
"LLLT after cesarean section has no serious deleterious effects on lactation, and it helps to modulate metabolic processes and thus promotes wound healing post-surgery."</t>
  </si>
  <si>
    <t>Pre-eclampsia</t>
  </si>
  <si>
    <t>Griffin</t>
  </si>
  <si>
    <t>J Pregnancy</t>
  </si>
  <si>
    <t>Red Light Mitigates the Deteriorating Placental Extracellular Matrix in Late Onset of Preeclampsia and Improves the Trophoblast Behavior</t>
  </si>
  <si>
    <t>"We investigated how the oxidative ECM present in preeclampsia alters the behavior of first trimester extravillous trophoblasts. We demonstrate elevated levels of advanced glycation end products (AGE) and lipid oxidation end product 4-hydroxynonenal in preeclamptic ECM (28%, and 32% increase vs control, respectively) accompanied with 35% and 82% more 3-chlorotyrosine and 3-nitrotyrosine vs control, respectively.
Furthermore, we hypothesized that 670 nm phototherapy, which has antioxidant properties, reverses the observed trophoblast dysfunction as depicted in the improved migration and reduction in apoptosis. Since NO is critical for placentation, we examined eNOS activity in preeclamptic placentas compared to healthy ones and found no differences; however, 670 nm light treatment triggered enhanced NO availability presumably by using alternative NO sources.
Light exposure decreased apoptosis and restored trophoblast migration to levels in trophoblasts cultured on preeclamptic ECM. Moreover, 670 nm irradiation restored expression of Transforming Growth Factor (TGFβ) and Placental Growth Factor (PLGF) to levels observed in trophoblasts cultured on healthy placental ECM.
We conclude the application of 670 nm light can successfully mitigate the damaged placental microenvironment of late onset preeclampsia as depicted by the restored trophoblast behavior."</t>
  </si>
  <si>
    <t>Mammary implant</t>
  </si>
  <si>
    <t>Palhares</t>
  </si>
  <si>
    <t>Evaluation of low intensity laser's action on silicone mammary implant pseudocapsules in rats.</t>
  </si>
  <si>
    <t>"[LLLT group] animals had significant lower pressure. The histological study did not show a significant difference between the groups, but only a higher number of swollen vessels in [LLLT group]. The thickness of pseudocapsule around [LLLT group's] implants lower than in [control group]."</t>
  </si>
  <si>
    <t>Nipple trauma</t>
  </si>
  <si>
    <t>Gondim</t>
  </si>
  <si>
    <t>Effectiveness of photobiomodulation therapy on pain intensity in postpartum women with nipple or perineal trauma: protocol for a multicentre, double-blinded, parallel-group, randomised controlled trial</t>
  </si>
  <si>
    <t>"A double-blind, multicentre, parallel-group, randomised controlled trial will be performed in two public referral maternity hospitals in Brazil with 120 participants, divided into two arms: 60 participants in the nipple trauma arm and 60 participants in the perineal trauma arm."</t>
  </si>
  <si>
    <t>Cirico</t>
  </si>
  <si>
    <t>JBI Evid Synth</t>
  </si>
  <si>
    <t>The effectiveness of photobiomodulation therapy on nipple pain or nipple trauma treatment in lactating women: a systematic review protocol</t>
  </si>
  <si>
    <t>Systematic review protocol</t>
  </si>
  <si>
    <t>"This review will be conducted in accordance with JBI methodology for systematic reviews of effectiveness. The search strategy will search both published and unpublished studies, and the process of study selection, critical appraisal, data extraction and data synthesis will be performed in accordance to the JBI approach."</t>
  </si>
  <si>
    <t>The effect of a single irradiation of low-level laser on nipple pain in breastfeeding women: a randomized controlled trial.</t>
  </si>
  <si>
    <t>🧑 Human
🎲 Randomized trial, double-blind</t>
  </si>
  <si>
    <t>66.66</t>
  </si>
  <si>
    <t>"The laser protocol of a single application was not effective in reducing pain in women with damaged nipples."</t>
  </si>
  <si>
    <t>Effect of LED therapy for the treatment nipple fissures: Study protocol for a randomized controlled trial.</t>
  </si>
  <si>
    <t>"One hundred patients treated with a medical diagnosis of bilateral nipple trauma classified as nipple fissures or cracks will participate in the study, randomized into 2 groups: The control group will receive orientation regarding breast care and adequate breastfeeding techniques. The experimental group will receive the same orientation and phototherapy sessions using a device developed especially for the treatment of nipple trauma. Both groups will be followed up for 6 consecutive weeks."</t>
  </si>
  <si>
    <t>Buck</t>
  </si>
  <si>
    <t>Breastfeed Rev</t>
  </si>
  <si>
    <t>Low level laser therapy for breastfeeding problems.</t>
  </si>
  <si>
    <t>"There are a limited number of effective therapies available to support healing of damaged nipples during lactation. Low level laser therapy is a painless treatment, which appears to accelerate wound healing and ease pain. 
We present two case studies, which demonstrate the use of low level laser therapy in clinical practice."</t>
  </si>
  <si>
    <t>Coca</t>
  </si>
  <si>
    <t>Pain Manag Nurs</t>
  </si>
  <si>
    <t>Efficacy of Low-Level Laser Therapy in Relieving Nipple Pain in Breastfeeding Women: A Triple-Blind, Randomized, Controlled Trial.</t>
  </si>
  <si>
    <t>🧑 Human
🎲 Randomized trial, double-blind
👥 59 participants
⌛ 3-day treatment / symptom assessment before&amp;after each session (?)</t>
  </si>
  <si>
    <t>"The intervention group experienced a decrease of 2.0 centimeters in intensity of pain (p = .016) 24 hours after the first intervention and also presented lower levels of pain compared with the control group. 
Low-level laser therapy was considered effective for treating nipple lesions in breastfeeding women with pain, providing relief and prolonging exclusive breastfeeding. More clinical trials with different laser dosimetry and parameters are necessary to optimize laser therapy protocols for breastfeeding women."
Comment: The difference between the groups is modest at best.</t>
  </si>
  <si>
    <t>Device: "Laser Hand WL, MMOptics, S~ao Carlos, Brazil"</t>
  </si>
  <si>
    <t>LED phototherapy improves healing of nipple trauma: a pilot study.</t>
  </si>
  <si>
    <t>🧑 Human
🎲 Randomized trial, double-blind
👥 16 participants
⌛ 4 weeks</t>
  </si>
  <si>
    <t>"A significant difference between the experimental and control groups was observed for the healing of nipple lesions (p&lt;0.001). The pain intensity was significantly reduced only in the experimental group (p&lt;0.001)."
"Preliminary results demonstrated the prototype apparatus for LED phototherapy to be an effective tool in accelerating the healing of nipple trauma."
Comment: The baseline pain was higher in LED phototherapy group, so the reductions are difficult to compare.</t>
  </si>
  <si>
    <t>Pietschnig</t>
  </si>
  <si>
    <t>Use of soft laser in the therapy of sore nipples in breastfeeding women. [Abstract]</t>
  </si>
  <si>
    <t>"The mean number of treatment sessions was 6.92 (SD 3.72). The mean pain value was 9.17 (SD 0.89) in the beginning and 1.95 (SD0.76) at the last visit (...) 28 mothers went on breastfeeding, 2 were not sure, 1 mother quit."
Comment: There was no control group.</t>
  </si>
  <si>
    <t>Oocytes etc</t>
  </si>
  <si>
    <t>Photobiological effect of low-level laser irradiation in bovine embryo production system.</t>
  </si>
  <si>
    <t>"For cumulus cells, a significant increase in mitochondrial membrane potential and the number of cells progressing through the cycle could be observed. Significant increases on cyclin B and cyclin-dependent kinase (CDK4) levels were also observed. Concerning the oocytes, a significantly higher amount of total mitogen-activated protein kinase was found after 8 h of irradiation, followed by a decrease in all cell cycle genes transcripts, exception made for the CDK4. However, no differences were observed in meiotic progression or embryo production."
"In conclusion, LLLI is an efficient tool to modulate the granulosa cells and oocyte metabolism."</t>
  </si>
  <si>
    <t>The production of VEGF involving MAP kinase activation by low level laser therapy in human granulosa cells</t>
  </si>
  <si>
    <t>"VEGF production was significantly increased by LLLT in a time-dependent manner. MAP kinase activity was increased by LLLT. In addition it was enhanced by LLLT and follicle-stimulating hormone (FSH) stimulation."
"The results suggested that VEGF is induced by LLLT through mechanisms involving MAPK. The increase in VEGF may contribute to neovascularization, which in turn would promote various ovulation phenomena as well as follicular growth."</t>
  </si>
  <si>
    <t>Ovary</t>
  </si>
  <si>
    <t>Intravascular Laser Blood Irradiation (ILIB) Enhances Antioxidant Activity and Energy Metabolism in Aging Ovaries</t>
  </si>
  <si>
    <t>🧑 Human
📄 Non-randomized, controlled study
👥 75 participants</t>
  </si>
  <si>
    <t>"The analysis of gene expression patterns revealed intriguing findings in ILIB-treated patients compared to the untreated group. Notably, ILIB treatment resulted in significant upregulation of oxeiptosis-related genes AIFM1 and NRF2, suggesting a potential protective effect against oxidative stress-induced cell death. Furthermore, ILIB treatment led to a downregulation of glycolysis-associated gene hexokinase 2 (HK2), indicating a shift away from anaerobic metabolism, along with an increase in PDHA levels, indicative of enhanced mitochondrial function. Consistent with these changes, ILIB-treated patients exhibited elevated expression of the key TCA cycle genes citrate synthase (CS), succinate dehydrogenase complex subunit A (SDHA), and fumarate hydratase (FH), signifying improved energy metabolism."</t>
  </si>
  <si>
    <t>Oubiña</t>
  </si>
  <si>
    <t>Argentina
(Buenos Aires)</t>
  </si>
  <si>
    <t>Mol Cell Endocrinol</t>
  </si>
  <si>
    <t>Local application of low level laser therapy in mice ameliorates ovarian damage induced by cyclophosphamide</t>
  </si>
  <si>
    <t>PBM protection from cyclophosphamide
Cancer supportive care</t>
  </si>
  <si>
    <t>64
(96)
(128)</t>
  </si>
  <si>
    <t>80
(120)
(160)</t>
  </si>
  <si>
    <t>"LLLT application increased ovarian weight, serum progesterone concentration and P450scc protein levels compared to CTX alone. LLLT reduced the apoptosis in antral follicles and the BAX/BCL-2 ratio compared to CTX alone. Vascular morphology, analysed by CD31 and α-SMA immunostaining, was restored in LLLT-treated ovaries compared to CTX alone."</t>
  </si>
  <si>
    <t>Photobiomodulation can improve ovarian activity in polycystic ovary syndrome-induced rats.</t>
  </si>
  <si>
    <t>"The plasma levels of P4 and T were increased, and the LH plasma level was decreased by PBM stimulation. The number of ovarian follicles and corpus luteum were increased, and the number of ovarian cysts was decreased by PBM stimulation. Thus, reproductive and endocrine characteristics were modulated by PBM."</t>
  </si>
  <si>
    <t>Low level laser therapy (LLLT) modulates ovarian function in mature female mice.</t>
  </si>
  <si>
    <t>100
200</t>
  </si>
  <si>
    <t>"LLLT (200 J/cm2) increased the percentage of primary and preantral follicles, whilst decreasing the percentage of corpora lutea compared to control ovaries. LLLT-treated ovaries did not exhibit any changes regarding the number of primordial follicles. We observed a higher percentage of AMH-positive follicles (in early stages of development) in LLLT-treated ovaries compared to control ovaries. LLLT reduced the P4 concentration and the apoptosis in early antral follicles compared to control ones. 
LLLT caused a reduction in the endothelial cell area and an increase in the periendothelial cell area in the ovary. Additionally, LLLT was able to improve oocyte quality. Our findings suggest that local application of LLLT modulates follicular dynamics by regulating apoptosis and the vascular stability in mouse ovary. 
In conclusion, these data indicate that LLLT might become a novel and useful tool in the treatment of several pathologies, including female reproductive disorders."</t>
  </si>
  <si>
    <t>How do red and infrared low-level lasers affect folliculogenesis cycle in rat's ovary tissue in comparison with clomiphene under in vivo condition.</t>
  </si>
  <si>
    <t>Wavelength comparison
PBM vs clomiphene</t>
  </si>
  <si>
    <t>630
810</t>
  </si>
  <si>
    <t>"This indicates that NIRL increases ovarian activity to produce oocyte that certainly can be used in future studies for finding a cure to ovarian negligence to produce more oocyte and treat diseases caused by it like PCOS."</t>
  </si>
  <si>
    <t>PCOS</t>
  </si>
  <si>
    <t>Sahraeian</t>
  </si>
  <si>
    <t>Extracellular Vesicle-Derived Cord Blood Plasma and Photobiomodulation Therapy Down-Regulated Caspase 3, LC3 and Beclin 1 Markers in the PCOS Oocyte: An In Vitro Study</t>
  </si>
  <si>
    <t>1.85</t>
  </si>
  <si>
    <t>0.79
cm2
beam
area</t>
  </si>
  <si>
    <t>"The use of ECV and PBMT can increase the rate of fertilization and maturation of an oocyte and cause a decrease in apoptosis, autophagy, and ROS in a PCOS oocyte."</t>
  </si>
  <si>
    <t>Polat</t>
  </si>
  <si>
    <t>The effects of low-level laser therapy on polycystic ovarian syndrome in rats: three different dosages</t>
  </si>
  <si>
    <t>1
2
6</t>
  </si>
  <si>
    <t>1
cm2
beam area</t>
  </si>
  <si>
    <t>60
120
240</t>
  </si>
  <si>
    <t>"In conclusion, a 2 J/cm2 dosage of LLLT (L2 group) can be considered the most potentially effective treatment of PCOS in the rat. However, more studies are needed to determine the optimal dose of LLLT for the treatment of PCOS."
Comment: The parameters don't match... Between the L2 and L3 groups it's claimed the energy density is 2 and 6 J/cm2 but the difference in irradiation time is only 2-fold (not 3-fold).</t>
  </si>
  <si>
    <t>Disease model: "In the present experimental study, a single dosage of estradiol valerate (EV) was administered to induce PCOS in female rats. After administration of the EV for induction of PCOS, rats were divided into 5 groups"</t>
  </si>
  <si>
    <t>Penile anesthesia</t>
  </si>
  <si>
    <t>Waldinger</t>
  </si>
  <si>
    <t>Netherlands
(Amstelveen)</t>
  </si>
  <si>
    <t>Penile anesthesia in Post SSRI Sexual Dysfunction (PSSD) responds to low-power laser irradiation: a case study and hypothesis about the role of transient receptor potential (TRP) ion channels.</t>
  </si>
  <si>
    <t>mix</t>
  </si>
  <si>
    <t>"We report on a male patient who presented with a history of reversible loss of smell, taste and skin sensitivity occurring within a week after start of 20mg/day paroxetine-hemihydrate for a depressive period. Concurrently, patient suffered from penile anesthesia, scrotum hypesthesia, anejaculation and erectile difficulties with normal sexual desire. During 2.5 years of paroxetine treatment and throughout 2 years after paroxetine discontinuation, genital and sexual complaints persisted. Penile anesthesia was treated by LPLI with single and multi diode pulsed laser probes. After 20 LPLI-treatment sessions of 15min each, patient reported partial return of penile touch and temperature sensation. Clinical improvement of glans penis sensitivity was reported to 20% and 40%, compared to pre-paroxetine treatment penile sensitivity during erect and flaccid states, respectively. However, anejaculation and erectile difficulties remained unchanged. Briefly, in the current patient with early onset of PSSD, LPLI treatment reduced paroxetine-induced penile anesthesia."</t>
  </si>
  <si>
    <t>Peyronie's disease</t>
  </si>
  <si>
    <t>Dell'Atti &amp; Ronchi</t>
  </si>
  <si>
    <t>Italy
(Ancona)</t>
  </si>
  <si>
    <t>World J Urol</t>
  </si>
  <si>
    <t>Low-intensity laser diode plus extracorporeal shock wave therapy: a new treatment strategy in the management of Peyronie's disease</t>
  </si>
  <si>
    <t>🧑 Human
🎲 Randomized trial
👥 214 participants
⌛ 6-week treatment / 12-month study</t>
  </si>
  <si>
    <t>PBM as an adjunct of ESWT
Groups: ESWT vs ESTB+PBM</t>
  </si>
  <si>
    <t>980
(?)</t>
  </si>
  <si>
    <t>20-22</t>
  </si>
  <si>
    <t>"Three months after the treatment in G2 pain in an erection or during intercourse was resolved completely in 78.6% of the patients, whereas in 55.8% cases of G1 (p &lt; 0.003). G2 patients had a reduction of curvature degree after the 3 months treatment (p &lt; 0.002). However, mean plaque size decreased in both groups without statistically differences with baseline values."
"This study demonstrates an interesting therapeutic strategy when combined to the synergistic action of a shock wave therapy with low-intensity laser therapy on the stable plaques with significant benefits in terms of pain perception, penile curvature and sexual activity."
Comment: The parameters were inadequately reported. I assume the authors are generally not very familiar with PBM.</t>
  </si>
  <si>
    <t>Device: "LASEmaR® MINI (EUFOTON®s.r.l., Trieste, Italy)"</t>
  </si>
  <si>
    <t>Longo L</t>
  </si>
  <si>
    <t>Laser Photobiomodulation of the Induratio Penis Plastica or La Peyronie's Syndrome</t>
  </si>
  <si>
    <t>Prostate gland</t>
  </si>
  <si>
    <t>China
(Yantai City)</t>
  </si>
  <si>
    <t>New approach in the application of the helium-neonlaser in acupuncture therapy for prostatitis: a clinical study involving 114 cases</t>
  </si>
  <si>
    <t>🧑 Human
📄 Retrospective study (?)
👥 114 cases</t>
  </si>
  <si>
    <t>"This new method was based on the combination of both the biological effects of laser radiation of the human body and the therapeutic action of traditional Chinese needle acupuncture. The new method has been shown to be safe, effective. and simple to apply, The cure rate was 55.3 per cent, with a total effective rate of 99.1 per cent. This new modality may well improve the treatment of this and other diseases. and may service to stimulate the development of the combination of laser and traditional acupuncture."</t>
  </si>
  <si>
    <t>Sexual dysfunction</t>
  </si>
  <si>
    <t>Effects of transcranial photobiomodulation with near-infrared light on sexual dysfunction.</t>
  </si>
  <si>
    <t>🧑 Human
🎲 Randomized trial, double-blind
👥 20 participants
⌛ 8 weeks
(secondary analysis of ELATED trial)</t>
  </si>
  <si>
    <t>0.0362</t>
  </si>
  <si>
    <t>65.2</t>
  </si>
  <si>
    <t>57.4
cm2
(?)</t>
  </si>
  <si>
    <t>"The mean improvement in sexual function (decrease in SAFTEE sex total score) in subjects receiving t-PBM in NIR-mode was significantly greater than in subjects receiving sham-mode in the whole sample (NIR [n = 9] -2.55 ± 1.88 vs. sham [n = 11] -0.45 ± 1.21; z = 2.548, P = 0.011]) and in the completers (NIR [n = 5] -3.4 ± 1.95 vs. sham [n = 7] -0.14 ± 1.21; z = 2.576, P = 0.010])."
"This exploratory study with a small sample size indicates that repeated sessions of NIR t-PBM may be associated with therapeutic effects on sexual dysfunction. The latter appeared unrelated to the antidepressant effect of t-PBM in our cohort."</t>
  </si>
  <si>
    <t>Parvin</t>
  </si>
  <si>
    <t>The effects of photobiomodulation on the improvement of sperm parameters: A review study</t>
  </si>
  <si>
    <t>"Photobiomodulation (PBM) is a promising approach with a great potential for translational applications in the treatment of spermatozoa exhibiting low quality and motility. In this study, a comprehensive analysis of the existing literature, specifically examining the mechanisms of action of PBM has been presented."</t>
  </si>
  <si>
    <t>Tabatabaee</t>
  </si>
  <si>
    <t>Therapeutic Effects of Exosome Therapy and Photobiomodulation Therapy on the Spermatogenesis Arrest in Male Mice After Scrotum Hyperthermia</t>
  </si>
  <si>
    <t>"These findings show that EXO and PBMT can improve spermatogenesis caused by hyperthermia, reduce ROS and GSSG, and increase glutathione (GSH) and sperm quality."</t>
  </si>
  <si>
    <t>Improving human sperm motility via red and near-infrared laser irradiation: in-vitro study</t>
  </si>
  <si>
    <t>Human sperm</t>
  </si>
  <si>
    <t>650
980
650+
980</t>
  </si>
  <si>
    <t>"Results revealed almost 70%, 80% and 100% increase in the total motility after 3 min of the 650-nm, 980-nm and the combined laser irradiation, respectively. Additionally, the Sperm Chromatin Dispersion assay was carried out on sperm heads utilizing human sperm DNA fragmentation, demonstrating that none of the three laser types had any discernible effects."</t>
  </si>
  <si>
    <t>China
(Hangchou)</t>
  </si>
  <si>
    <t>Reprod Biol Endocrinol</t>
  </si>
  <si>
    <t>Applications of laser technology in the manipulation of human spermatozoa</t>
  </si>
  <si>
    <t>"This review summarizes the advancements and improvements of laser technologies in the manipulation of human spermatozoa, such as photobiomodulation therapy, laser trap systems for sperm analysis and sorting, laser-assisted selection of immotile sperm and laser-assisted immobilization of sperm prior to ICSI. The safety of those technologies used in ART is also discussed. This review will provide helpful and comprehensive insight into the applications of laser technology in the manipulation of human spermatozoa."</t>
  </si>
  <si>
    <t>Ziaeipour</t>
  </si>
  <si>
    <t>Photobiomodulation therapy reverses spermatogenesis arrest in hyperthermia-induced azoospermia mouse model</t>
  </si>
  <si>
    <t>~0.001</t>
  </si>
  <si>
    <t>0.03
0.2</t>
  </si>
  <si>
    <t>9
/ 21' days</t>
  </si>
  <si>
    <t>"After conducting experiments and analyzing the results, it has been revealed that the use of PBMT at a dosage of 0.03 J/cm2 has shown remarkable healing effects in the heat-induced azoospermia mouse model."</t>
  </si>
  <si>
    <t>Saylan</t>
  </si>
  <si>
    <t>Rev Int Androl</t>
  </si>
  <si>
    <t>Effects of photobiomodulation therapy on human sperm function</t>
  </si>
  <si>
    <t>36
cm2
aperture
size</t>
  </si>
  <si>
    <t>"Sperm motilities were significantly increased in photobiomodulation groups compared with the controls. Sperm motilities tended to be different between the 30 and 60min red light exposure groups; however, it was not statistically significant. When the motility grades were compared, no significant difference was observed in non-progressive motility sperms. While immotile sperms decreased significantly in the photobiomodulation groups compared to the control group, progressive sperms increased."</t>
  </si>
  <si>
    <t>Poorhassan</t>
  </si>
  <si>
    <t>Preclinical and Clinical Applications of Photobiomodulation Therapy in Sperm Motility: A Narrative Review</t>
  </si>
  <si>
    <t>"Photobiomodulation therapy (PBMT) using red to near-infrared (NIR) light is useful in oxidative stress restoration. It plays a therapeutic role in disorders such as asthenospermia, oligospermia cases, and cryopreserved sperm. It also enhances the metabolic capacity of sperm and increases the low-level and non-harmful intracellular content of Ca2+, nitric oxide (NO), and ROS in the stressed cells. Likewise, it modulates survival intracellular pathways and maintains the motility, viability, DNA, and acrosome integrity of sperm. This article reviews the state-of-the-art preclinical and clinical evidence regarding the efficacy of semen PBMT."</t>
  </si>
  <si>
    <t>Blanco-Prieto</t>
  </si>
  <si>
    <t>The effects of red LED light on pig sperm function rely upon mitochondrial electron chain activity rather than on a PKC-mediated mechanism</t>
  </si>
  <si>
    <t>Mechanisms
LED phototherapy</t>
  </si>
  <si>
    <t>620-
630</t>
  </si>
  <si>
    <t>"In conclusion, red LED light acts on sperm function via a direct effect on mitochondrial electron chain. Additionally, light-activated PKC pathways have a supplementary effect to that observed in the electron chain, thereby modulating sperm parameters such as motility and CCO activity."</t>
  </si>
  <si>
    <t>Safian</t>
  </si>
  <si>
    <t>Reprod Sci</t>
  </si>
  <si>
    <t>Comparative Effect of Photobiomodulation on Human Semen Samples Pre- and Post-Cryopreservation</t>
  </si>
  <si>
    <t>"Each semen sample was randomly divided into three groups (1 ml aliquot for each group): the control group (group one) underwent conventional sperm cryopreservation (n = 24), group two underwent pre-freezing PBM exposure (810 nm, diode laser, and 0.6 J/cm2) (n = 24), and group three underwent post freezing and thawing PBM exposure (n = 24)."
"Based on our results, PBM therapy prior to cryopreservation, even in the normal semen samples, plays a significant protective role against cryo-damage by preserving the functional parameters of spermatozoa."</t>
  </si>
  <si>
    <t>Catalán</t>
  </si>
  <si>
    <t>Animals (Basel)</t>
  </si>
  <si>
    <t>The Effects of Red Light on Mammalian Sperm Rely upon the Color of the Straw and the Medium Used</t>
  </si>
  <si>
    <t>"Our results showed that irradiation increased some motion variables, mitochondrial membrane potential, and intracellular ROS without affecting the integrities of the plasma membrane and acrosome."</t>
  </si>
  <si>
    <t>Cryobiology</t>
  </si>
  <si>
    <t>Photobiomodulation preconditioned human semen protects sperm cells against detrimental effects of cryopreservation</t>
  </si>
  <si>
    <t>"PBM preconditioning of cryopreserved semen samples most prominently increased the PSM percentage 30 min post thawing (p = 0.000). 
Application of PBM before cryopreservation significantly increased the number of viable spermatozoa (p = 0.000), increased significantly the number of spermatozoa with high MMP (p = 0.004) and decreased significantly the number of spermatozoa with low MMP post-thawing (P = 0. 007) compared to control group.
Cryopreserved human sperm cells with PBM preconditioning showed significant decrease in the levels of intracellular ROS (47.66 ± 2.14 versus 60.42 ± 3.16, p = 0.002) and lipid peroxidation (3.06 ± 0.13 versus 3.68 ± 0.27, p = 0.05)compared to control group."</t>
  </si>
  <si>
    <t>Crespo</t>
  </si>
  <si>
    <t>Photo Stimulation of Seminal Doses with Red LED Light from Duroc Boars and Resultant Fertility in Iberian Sows</t>
  </si>
  <si>
    <t>🧪 In vitro / Iberian sows</t>
  </si>
  <si>
    <t>LED phototherapy
Artificial insemination</t>
  </si>
  <si>
    <t>"Semen samples were obtained from 38 fertile Duroc boars."
"Photostimulation of the artificial insemination (AI) seminal doses was carried out by illuminating the samples with a red LED for 10 min, followed by 10 min of darkness, and finally 10 additional minutes of red light. The fertility study was conducted on two commercial farms using multiparous Iberian sows (farm A, n = 824; farm B, n = 2131), that were randomly assigned to LED (L) or control (C) groups. No differences were found between L and C groups in both farms (p &gt; 0.05) for parity, pregnancy rate, duration of pregnancy, farrowing rate, and litter size (total, alive, and stillborn piglets)."
"Under the production conditions for the Iberian breed, the photostimulation with red LED light using Duroc pig seminal doses was not effective in improving the fertility of Iberian sows."</t>
  </si>
  <si>
    <t>Rezaei</t>
  </si>
  <si>
    <t>Photobiomodulation Therapy Improves Spermatogenesis in Busulfan-Induced Infertile Mouse</t>
  </si>
  <si>
    <t>0.03
0.2</t>
  </si>
  <si>
    <t>"Photobiomodulation therapy with 0.03 J/cm2 energy densities group revealed a significant increase the testosterone hormone level and spermatogenic cells with the reduction of apoptotic cells and marked increase in GSH, ATP, and SDH levels and decrease the levels of MDA and ROS production in the busulfan-induced mice when compared with the control and sham groups.
In conclusion, the photobiomodulation therapy (0.03 J/cm2 energy density) may provide benefits on the spermatogenesis following busulfan injection and might be an alternative treatment to the patients with oligospermia and azoospermia in a dose-dependent manner."</t>
  </si>
  <si>
    <t>Espey</t>
  </si>
  <si>
    <t>Effects of Pulsed-Wave Photobiomodulation Therapy on Human Spermatozoa</t>
  </si>
  <si>
    <t>Human spermatozoa</t>
  </si>
  <si>
    <t>"Motility and velocity of sperm from asthenozoospermic patients (n = 42) and normozoospermic controls (n = 22) were measured."
"Exposure to laser energy-doses of 4 and 6 J/cm² improved sperm motility and velocity in asthenozoospermic patients. PBM exhibited no significant effect on DNA fragmentation level and expression of CD46 serving as a biomarker for acrosome integrity."</t>
  </si>
  <si>
    <t>Plavskii</t>
  </si>
  <si>
    <t>Effect of continuous wave, quasi-continuous wave and pulsed laser radiation on functional characteristics of fish spermatozoa</t>
  </si>
  <si>
    <t>Fish spermatozoa
Green light 🟢
Biphasic dose response</t>
  </si>
  <si>
    <t>"It is shown that the difference in biological effect of continuous wave, quasi-continuous wave, nano- and picosecond laser radiation is due to amplitude (peak) values of intensity. Using fluorescence analysis and luminol-dependent chemiluminescence assay, evidence for the participation of endogenous flavins and metal-free porphyrins in sensitized ROS formation (singlet oxygen, hydrogen peroxide, and hydroxyl radicals) in sturgeon sperm was obtained."</t>
  </si>
  <si>
    <t>Spain
(Bellaterra)</t>
  </si>
  <si>
    <t>Theriogenology</t>
  </si>
  <si>
    <t>Medium-term effects of the diluted pig semen irradiation with red LED light on the integrity of nucleoprotein structure and resilience to withstand thermal stress</t>
  </si>
  <si>
    <t>"Our results suggest that effects linked with red LED light irradiation would be consistently maintained in our experimental conditions for the first 48 h. Finally, the maintenance of light effect appears to depend upon the specific experimental design, the analyzed sperm parameters and the utilized irradiation patterns."</t>
  </si>
  <si>
    <t>Red LED Light Acts on the Mitochondrial Electron Chain of Mammalian Sperm via Light-Time Exposure-Dependent Mechanisms</t>
  </si>
  <si>
    <t>"Whereas exposure for 1 and 5 min significantly (p &lt; 0.05) decreased total motility and intracellular ATP levels, irradiation for 10 min induced the opposite effect.
Oligomycin A abolished the light-effects on intracellular ATP levels, O2 consumption and mitochondrial membrane potential, whereas compared to non-irradiated samples, FCCP significantly (p &lt; 0.05) increased O2 consumption when sperm were irradiated for 1 min. Both oligomycin A and FCCP significantly (p &lt; 0.05) decreased total motility.
Red-light increased cytochrome c oxidase activity with a maximal effect after 5 min of irradiation, which was abolished by both oligomycin A and FCCP. In conclusion, red-light modulates sperm mitochondrial function via electron chain activity in an exposition, time-dependent manner."</t>
  </si>
  <si>
    <t>Red-Light Irradiation of Horse Spermatozoa Increases Mitochondrial Activity and Motility through Changes in the Motile Sperm Subpopulation Structure</t>
  </si>
  <si>
    <t>"In conclusion, this study shows that red LED light stimulates motility and mitochondrial activity of horse sperm."</t>
  </si>
  <si>
    <t>Irradiating frozen-thawed stallion sperm with red-light increases their resilience to withstand post-thaw incubation at 38 °C</t>
  </si>
  <si>
    <t>"Our results indicate that red-light stimulation could help increase the resilience of frozen-thawed stallion sperm to withstand post-thaw incubation at 38 °C for 120 min and that these effects rely on the irradiation pattern.
Further research should evaluate whether light-stimulation could also have a positive on fertility rates after artificial insemination."</t>
  </si>
  <si>
    <t>Anal Methods</t>
  </si>
  <si>
    <t>Synchrotron radiation soft X-ray microscopy and low energy X-ray fluorescence to reveal elemental changes in spermatozoa treated with photobiomodulation therapy</t>
  </si>
  <si>
    <t>"In the present work, we exploited two PBMT protocols at an 800 nm wavelength on sperm derived from infertile individuals, detecting an increase in sperm motility 1 hour after irradiation. Moreover, in order to add new information about the molecular effect of PBMT, the content of some light elements was evaluated using high resolution X-ray fluorescence imaging. Interestingly, an increase in Na content was detected in the irradiated samples, possibly suggesting a role of this element in sperm motility; indeed, a low Na content was previously correlated with a poor sperm quality, low semen volume, and modest fertilization rate. Amplifying the knowledge of PBMT in the ART field will expedite the translational potentiality of the PBMT use in clinical settings."</t>
  </si>
  <si>
    <t>Comparative Effect of Low-intensity Laser Radiation in Green and Red Spectral Regions on Functional Characteristics of Sturgeon Sperm</t>
  </si>
  <si>
    <t>532
633</t>
  </si>
  <si>
    <t>"It is shown that, depending on the energy dose, the laser radiation in red and green spectral regions can have both stimulatory and inhibitory effects on spermatozoa motility.
Contrary to popular belief that the short-wavelength radiation has great prospects in reproductive biotechnologies (due to more efficient absorption of radiation by cellular chromophores and increased generation of ROS), convincing evidence of a more pronounced stimulatory effect of radiation in the red spectral region was obtained."</t>
  </si>
  <si>
    <t>Hasani</t>
  </si>
  <si>
    <t>Photobiomodulation restores spermatogenesis in the transient scrotal hyperthermia-induced mice.</t>
  </si>
  <si>
    <t>"Our outputs indicated that PBM could largely improve the sperms parameters and stereological parameters, like spermatogonia, primary spermatocyte, round spermatid and Leydig cells together with an increasing level of the serum testosterone and GSH activity compared to the scrotal hyperthermia induced mice. 
In addition, it was found that the diameter of seminiferous tubules, ROS production, as well as the expression of IL1-α, IL6, and TNF-α genes significantly decreased in the treatment groups by PBM compared to the scrotal hyperthermia induced mice, but there was not a significant difference in terms of testis weight and Sertoli cells between the studied groups."</t>
  </si>
  <si>
    <t>Photobiomodulation with 810 nm Wavelengths Improves Human Sperms' Motility and Viability In Vitro.</t>
  </si>
  <si>
    <t>"In this study, sperm motility, viability, and DFI data confirmed the superiority of the NIR laser at 0.6 J/cm2 energy density compared with the red and red+NIR PBM protocols."</t>
  </si>
  <si>
    <t>Red LED Light Acts on the Mitochondrial Electron Chain of Donkey Sperm and Its Effects Depend on the Time of Exposure to Light</t>
  </si>
  <si>
    <t>"The results obtained in the present study indicated that the effects of red LED light on fresh donkey sperm function are related to changes in mitochondria function. In effect, irradiation of donkey sperm resulted in an increase in mitochondrial membrane potential (MMP), the activity of cytochrome C oxidase and the rate of oxygen consumption.
In addition, in the absence of oligomycin A and FCCP, light-stimulation augmented the average path velocity (VAP) and modified the structure of motile sperm subpopulations, increasing the fastest and most linear subpopulation. In contrast, the presence of either Omy A or FCCP abolished the aforementioned effects.
Interestingly, our results also showed that the effects of red light depend on the exposure time applied, as indicated by the observed differences between irradiation protocols.
In conclusion, our results suggest that exposing fresh donkey sperm to red light modulates the function of their mitochondria through affecting the activity of the electron chain. However, the extent of this effect depends on the irradiation pattern and does not exclude the existence of other mechanisms, such as those related to thermotaxis."</t>
  </si>
  <si>
    <t>Effects of red-light irradiation on the function and survival of fresh and liquid-stored donkey semen</t>
  </si>
  <si>
    <t>"While specific light-patterns increased both sperm motility and mitochondrial activity, they did not affect sperm membrane integrity and had no clear impact on intracellular ROS levels.
The effects of irradiation patterns differed between fresh and cooled semen since, whereas 1 and 4 min patterns induced the greatest increments in the total and progressive motility of fresh semen, 4 min, 4-1-4 and 4-4-4 were the most suitable for cooled-stored samples. In both fresh diluted and cooled-stored semen, the motility increase observed after light-stimulation for 4 min was concomitant with changes in the percentages of spermatozoa with high mitochondrial membrane potential. 
In summary, this study shows, for the first time, that specific irradiation patterns increase sperm motility and mitochondrial activity in the donkey. 
Furthermore, the precise effect of red-light appears to depend on the specific functional status of cells, with separate effects on fresh and cooled samples."</t>
  </si>
  <si>
    <t>Ríos-Ramírez</t>
  </si>
  <si>
    <t>Mexico
(Apodaca, NL)</t>
  </si>
  <si>
    <t>The effect of green light on the motility of mouse sperm at two different temperatures.</t>
  </si>
  <si>
    <t>Mouse sperm
LED phototherapy
Green light 🟢</t>
  </si>
  <si>
    <t>490-
540</t>
  </si>
  <si>
    <t>"Firstly, we carried out experiments at 37 °C to confirm what previous researchers have observed before using red and blue light: that the overall sperm motility increases. 
Secondly, we studied the effects of green light at 10 °C and found that the motility drastically diminishes."</t>
  </si>
  <si>
    <t>Brazil
(Pirassununga)</t>
  </si>
  <si>
    <t>Does low-level laser therapy on degenerated ovine testes improve post-thawed sperm characteristics?</t>
  </si>
  <si>
    <t>Sheep (ram)</t>
  </si>
  <si>
    <t>28</t>
  </si>
  <si>
    <t>"LLLT treatment did not improve sperm quality from rams submitted to testicular insulation. Thus, testicular insulation and cryopreservation effects on spermatozoa were not attenuated by LLLT in this study."</t>
  </si>
  <si>
    <t>Blanco Prieto</t>
  </si>
  <si>
    <t>Reprod Domest Anim</t>
  </si>
  <si>
    <t>Red-light stimulation of boar semen prior to artificial insemination improves field fertility in farms: a worldwide survey.</t>
  </si>
  <si>
    <t>"Red-light stimulation increased farrowing rates in 27 farms, with an increase ranging from 0.2% to 9.1%. Similar results were observed in litter sizes. Suboptimal management after [artificial insemination] was suggested in those farms with no response to red-light stimulation."</t>
  </si>
  <si>
    <t>Device: MaXipig</t>
  </si>
  <si>
    <t>Pezo</t>
  </si>
  <si>
    <t>LED-based red light photostimulation improves short-term response of cooled boar semen exposed to thermal stress at 37°C.</t>
  </si>
  <si>
    <t>Boar semen
LED phototherapy</t>
  </si>
  <si>
    <t>"The results showed that the photostimulated group maintained total motility throughout the time, whereas a significant decrease in total motility was observed in the nonphotostimulated control group. Furthermore, for kinetic parameters of motility, a significant increase was observed in LIN, STR and WOB in photostimulated spermatozoa. 
Peroxynitrite production was significantly increased in the photostimulated spermatozoa, whereas viability, ROS production and intracellular Ca2+ levels were not affected by photostimulation. 
In conclusion, photostimulation of commercial boar semen has a positive effect on motility of spermatozoa subjected to a short-term moderate thermal stress, which was concomitant with an increase in peroxynitrite production."</t>
  </si>
  <si>
    <t>Effect of red light on optically trapped spermatozoa</t>
  </si>
  <si>
    <t>"Optical trapping provides a viable method of estimating sperm swimming forces. 633nm red light irradiation produced a statistically significant increase in mean squared displacement, which correlates with an increase in swimming force. 
We observed an average MSD of 0.026 μm2 and 0.016 μm2 with and without red light irradiation, yielding an estimated trapping force of 1.76 pN and 1.38 pN with and without red light irradiation, respectively."</t>
  </si>
  <si>
    <t>Luther</t>
  </si>
  <si>
    <t>Germany
(Hannover)</t>
  </si>
  <si>
    <t>Irradiation of semen doses with LED-based red light in a photo chamber does not improve in vitro quality of thermically stressed boar spermatozoa.</t>
  </si>
  <si>
    <t>Boar spermatozoa
LED phototherapy</t>
  </si>
  <si>
    <t>"During a subsequent long-term incubation at 38°C, neither sperm kinematic parameters nor mitochondria function or membrane integrity differed between control and treated samples (p &gt; .05). It is concluded that stimulation of semen doses in the LED-photo chamber does not improve quality of thermically stressed boar sperm in vitro. Other than the sperm traits tested here might be involved in the previously reported improvement of in vivo fertility."
Comment: Parameters not reported.</t>
  </si>
  <si>
    <t>Highland</t>
  </si>
  <si>
    <t>India
(Ahmedabad)</t>
  </si>
  <si>
    <t>Differential sensitivity of the human sperm cell to near infrared radiation.</t>
  </si>
  <si>
    <t>Human semen (fertile, infertile)</t>
  </si>
  <si>
    <t>750-
1100</t>
  </si>
  <si>
    <t>"It was observed that near infrared radiation (NIR) resulted in a loss of cell viability, increased lipid peroxidation leading to diminished membrane function, with a concomitant decline in SOD activity in the spermatozoa suggesting an increase in the damaging effect of free radicals."
Comment: They report using a 150W Philips infrared lamp from a 1m distance for 15 minutes. The total dose was not reported. The 750-1100nm range might refer to the peak, and it is probable that the lamp also produces some FIR and probably some visible light as well.</t>
  </si>
  <si>
    <t>Yeste</t>
  </si>
  <si>
    <t>Spain
(Girona)</t>
  </si>
  <si>
    <t>Anim Reprod Sci</t>
  </si>
  <si>
    <t>Impact of light irradiation on preservation and function of mammalian spermatozoa</t>
  </si>
  <si>
    <t>"Light irradiation has been demonstrated to exert positive effects on gametes, and particularly on sperm. In effect, a high number of studies conducted in several species, including humans, mice, pigs, cattle and sheep, and using different light sources (such as lasers and light-emitting diodes) have demonstrated that photo-stimulation increases sperm motility. In addition, other works have shown that sperm fertilizing ability both in vitro and in vivo can be increased following light irradiation; there are also some evidences pointing out to an extend of lifespan of preserved semen. Notwithstanding, no study has reported a detrimental effect of visible light on DNA integrity. 
The mechanisms through which light exerts its effects are not completely elucidated, but mounting evidence gives cell photosensitizers, especially those present in the mitochondria, a vital role. Stimulating these molecules turns into an increase in the production of ATP and Ca2+ influx, which contributes to explain the effects of light upon spermatozoa. Additionally, the presence of opsins in spermatozoa as well as the potential influence of light on the conformation of other proteins may also be involved in the sperm response to light. 
However, there are still a significant number of points that need to be addressed and their elucidation may contribute to increase the utilization of light irradiation for sperm preservation and ART."</t>
  </si>
  <si>
    <t>Of diamond surfaces, red light photobiomodulation and fertility: lessons from the laboratory</t>
  </si>
  <si>
    <t>"Sommers’ work demonstrates that PBM with red light at 670 nm improves spermatic function and viability in vitro and this effect augments the beneficial effects of using nanodiamond coated culture dishes (2,3,6,8-11). It also demonstrates that various cell lines respond differently to similar manipulations. This body of work also highlights the fact that the ubiquitous polystyrene culture dish can have a deleterious effect on outcomes. We would do well to recognize that the seemingly innocuous may not be and that we should remain cautious as we interpret experimental results and attempt to apply them. Every detail matters, even the seemingly mundane."</t>
  </si>
  <si>
    <t>Preece</t>
  </si>
  <si>
    <t>Red light improves spermatozoa motility and does not induce oxidative DNA damage.</t>
  </si>
  <si>
    <t>0.00566</t>
  </si>
  <si>
    <t>"The current study supports the notion that exposure to red light can improve sperm motility while producing little or no DNA damage to sperm cells."</t>
  </si>
  <si>
    <t>Specific LED-based red light photo-stimulation procedures improve overall sperm function and reproductive performance of boar ejaculates.</t>
  </si>
  <si>
    <t>"While incubating non-photo-stimulated sperm at 37 °C for 90 min decreased all sperm quality parameters, this reduction was prevented when the previously-described light procedure was applied. This effect was concomitant with an increase in the percentage of sperm with high mitochondrial membrane potential. When sperm were subjected to 'in vitro' capacitation, photo-stimulation also increased the percentage of sperm with capacitation-like changes in membrane structure. On the other hand, treating commercial semen doses intended for artificial insemination with the 10-10-10 photo-stimulation pattern significantly increased farrowing rates and the number of both total and live-born piglets for parturition.
Therefore, our results indicate that a precise photo-stimulation procedure is able to increase the fertilising ability of boar sperm via a mechanism that could be related to mitochondrial function."
Comment: Parameters not reported.</t>
  </si>
  <si>
    <t>Effects of photobiomodulation therapy (PBMT) on bovine sperm function.</t>
  </si>
  <si>
    <t>Bovine sperm</t>
  </si>
  <si>
    <t>5
7.5
10</t>
  </si>
  <si>
    <t>"Results showed significant effects depending on power while using 10 min of irradiation on motility parameters and mitochondrial potential. However, no effect was observed using 5 min of irradiation, regardless of power applied."
"In conclusion, PBMT is effective to modulate bovine sperm function. The effectiveness is dependent on the interaction between power applied and duration of irradiation, showing that these two parameters simultaneously influence sperm function.
In this context, when using the same fluency and energy with different combinations of power and time of exposure, we observed distinct effects, revealing that biological effects should be also based on simple parameters rather than only composite parameters such as fluency, irradiance and energy. Laser irradiation of frozen/thawed bovine semen led to an increase on mitochondrial function and motility parameters that could potentially improve fertility rates."</t>
  </si>
  <si>
    <t>Iaffaldano</t>
  </si>
  <si>
    <t>Helium-neon laser irradiation of cryopreserved ram sperm enhances cytochrome c oxidase activity and ATP levels improving semen quality.</t>
  </si>
  <si>
    <t>Rat sperm</t>
  </si>
  <si>
    <t>"In response to irradiation at 6.12 J/cm(2), mass sperm motility, progressive motility and viability increased (P &lt; 0.05), with no significant changes observed in the other investigated properties. In parallel, an increase (P &lt; 0.05) in ATP content was detected in the 6.12 J/cm(2)-irradiated semen samples.
Because mitochondria are the main cell photoreceptors with a major role played by cytochrome c oxidase (COX), the COX reaction was monitored using cytochrome c as a substrate in both control and irradiated samples. Laser treatment resulted in a general increase in COX affinity for its substrate as well as an increase in COX activity (Vmax values), the highest activity obtained for sperm samples irradiated at 6.12 J/cm(2) (P &lt; 0.05).
Interestingly, in these irradiated sperm samples, COX activity and ATP contents were positively correlated, and, more importantly, they also showed positive correlation with motility, suggesting that the improved sperm quality observed was related to mitochondria-laser light interactions."</t>
  </si>
  <si>
    <t>Ban Frangez</t>
  </si>
  <si>
    <t>Photobiomodulation with light-emitting diodes improves sperm motility in men with asthenozoospermia.</t>
  </si>
  <si>
    <t>Human sperm
LED phototherapy
Blue light 🔵</t>
  </si>
  <si>
    <t>850
625
+
660
+
850
470
625
+
660
+
470</t>
  </si>
  <si>
    <t>"This finding confirmed that photobiomodulation using LED improved the sperm motility in asthenozoospermia regardless of the wavelength."
Comment: Interesting result, since blue light was effective too.</t>
  </si>
  <si>
    <t>Salama &amp; El-Sawy</t>
  </si>
  <si>
    <t>Arch Ital Urol Androl</t>
  </si>
  <si>
    <t>Light-emitting diode exposure enhances sperm motility in men with and without asthenospermia: preliminary results.</t>
  </si>
  <si>
    <t>Human sperm
LED phototherapy</t>
  </si>
  <si>
    <t>0.50
1.24
2.48</t>
  </si>
  <si>
    <t>"Progressive sperm motility increased significantly after LED treatment at the different time intervals whether in washed (p = 0.000) or non-washed (p = 0.003) samples. The amount of the increase in motility in washed aliquots was significantly more (p = 0.000) than in naive semen. Sperm CK activity increased, but was not significant whilst there were no changes regarding HOS and ANBS."
"Red LED is a promising safe tool to boost sperm motility in vitro. This may have a great implication on maximizing the possibilities and outcomes of intrauterine insemination trials."</t>
  </si>
  <si>
    <t>The effect of low-level laser irradiation on sperm motility, and integrity of the plasma membrane and acrosome in cryopreserved bovine sperm.</t>
  </si>
  <si>
    <t>Bovine spern
Biphasic dose response</t>
  </si>
  <si>
    <t>"We conclude that LLLI may exert beneficial effects in the preservation of live sperm. A dose of 4 joules prior to cryopreservation was more effective than a dose of 6 joules in preserving sperm motility."</t>
  </si>
  <si>
    <t>Salman Yazdi</t>
  </si>
  <si>
    <t>Effect of 830-nm diode laser irradiation on human sperm motility.</t>
  </si>
  <si>
    <t>"Sperm motility of the control groups significantly decreased after 30, 45 and 60 min of irradiation, while those of irradiated groups remained constant or slightly increased by passing of time. Significant increases have been observed in doses of 4 and 6 J/cm(2) at the times of 60 and 45 min, respectively. SCD test also revealed a non-significant difference."</t>
  </si>
  <si>
    <t>Drozdov</t>
  </si>
  <si>
    <t>Dokl Biochem Biophys</t>
  </si>
  <si>
    <t>Influence of low-intensity red diode and laser radiation on the locomotor activity of sea urchin sperm.</t>
  </si>
  <si>
    <t>Sea urchin sperm</t>
  </si>
  <si>
    <t>650
635</t>
  </si>
  <si>
    <t>0.09
0.25
0.75
0.29</t>
  </si>
  <si>
    <t>0.00007
-
0.07
0.003</t>
  </si>
  <si>
    <t>"In this study, we showed that lowintensity red light diode and laser radiation affect the locomotor activity of sea urchin sperms, 2–5 times increasing the per centage of active cells depending on the time elapsed after exposure."</t>
  </si>
  <si>
    <t>Shahar</t>
  </si>
  <si>
    <t>Activation of sperm EGFR by light irradiation is mediated by reactive oxygen species.</t>
  </si>
  <si>
    <t xml:space="preserve">"In conclusion, we show here that irradiation of sperm with visible light, enhances their fertilization capacity via a mechanism requiring ROS, EGFR and HAM."
</t>
  </si>
  <si>
    <t>Firestone</t>
  </si>
  <si>
    <t>J Androl</t>
  </si>
  <si>
    <t>The effects of low-level laser light exposure on sperm motion characteristics and DNA damage.</t>
  </si>
  <si>
    <t>"Low-level laser light exposure appears to have a positive short-term effect on the motility of treated spermatozoa and did not cause any increase in DNA damage measured at 2 hours. We conclude that some cases of asthenospermia may be related to mitochondrial dysfunction. The implications of this study in terms of future clinical applications needs further investigation."</t>
  </si>
  <si>
    <t>The irradiation of rabbit sperm cells with He-Ne laser prevents their in vitro liquid storage dependent damage.</t>
  </si>
  <si>
    <t>Dose response
(Biphasic dose response?)
Cytochrome c oxidase</t>
  </si>
  <si>
    <t>"The aim of the study was to investigate the effects of different energy doses of helium-neon (He-Ne) laser irradiation on both mitochondrial bioenergetics functions and functional quality of rabbit spermatozoa during 48 h of in vitro liquid storage at 15 degrees C. 11 rabbit semen pools were each divided into four aliquots: three of them were irradiated with He-Ne laser with different energy doses (3.96, 6.12 and 9.00 J/cm(2)) being the last control kept under the same experimental conditions without irradiation. 
Sperm motility, viability and acrosome integrity were monitored together with cytochrome c oxidase (COX) activity and the cell energy charge (EC) at 0, 24 and 48 h of storage. 
Irradiated samples stored for 24 and 48 h better maintained motility (P &lt; 0.01), acrosome integrity (P &lt; 0.01) and viability (P &lt; 0.05) with respect to the control, particularly with the energy dose of 6.12 J/cm(2) that showed the most intense biostimulative effect. COX activity and EC were immediately increased by irradiation particularly in the treatments 6.12 and 9.00 J/cm(2) (P &lt; 0.05), that maintained their levels higher with respect to the control after 48 h of storage (P &lt; 0.01). COX activity of rabbit sperm cells was positively correlated with EC (P &lt; 0.05), viability (P &lt; 0.01) and acrosome integrity (P &lt; 0.05) parameters. 
These results indicate that the effects of He-Ne laser irradiation on sperm cells are mediated through the stimulation of the sperm mitochondrial respiratory chain and that this effect plays a significant role in the augmentation of the rabbit sperm cells' capability to survive during liquid storage conditions."</t>
  </si>
  <si>
    <t>Corral-Baqués</t>
  </si>
  <si>
    <t>The effect of low-level laser irradiation on dog spermatozoa motility is dependent on laser output power.</t>
  </si>
  <si>
    <t>Dog sperm</t>
  </si>
  <si>
    <t>6.8
15.4
33.1
49.7</t>
  </si>
  <si>
    <t>3.34</t>
  </si>
  <si>
    <t>"The results showed that different output powers affected dog semen motility parameters differently. The highest output power showed the most intense effects. Significant changes in the structure of the motile sperm subpopulation were linked to the different output powers used."</t>
  </si>
  <si>
    <t>Improvement of stored turkey semen quality as a result of He-Ne laser irradiation.</t>
  </si>
  <si>
    <t>Turkey sperm</t>
  </si>
  <si>
    <t>0.144-
10.8</t>
  </si>
  <si>
    <t>"The cell energy charge of irradiated samples was 200% higher than in the control. Laser irradiation increased the longevity of stored turkey spermatozoa, and might be a useful technique to enhance semen quality in long-term storage."</t>
  </si>
  <si>
    <t>Effect of 655-nm diode laser on dog sperm motility.</t>
  </si>
  <si>
    <t>"Average path velocity (VAP), linear coefficient (Lin) and beat cross frequency (BCF) were statistically and significantly different when compared to the control. The functional tests also showed a significant difference.
At these parameters, the 655-nm continuous-wave diode laser improves the speed and linear coefficient of the sperm."</t>
  </si>
  <si>
    <t>Ocaña-Quero</t>
  </si>
  <si>
    <t>Spain
(Cordoba)</t>
  </si>
  <si>
    <t>Biological effects of helium-neon (He-Ne) laser irradiation on acrosome reaction in bull sperm cells.</t>
  </si>
  <si>
    <t>Acrosome reaction
Bull sperm</t>
  </si>
  <si>
    <t>"It is conclude that the application of He-Ne laser irradiation at fluences from 2 to 16 J cm-2 induced the acrosome reaction and decreased the sperm mortality percentage in vitro of bull sperm cells."</t>
  </si>
  <si>
    <t>Breitbart</t>
  </si>
  <si>
    <t>Changes in calcium transport in mammalian sperm mitochondria and plasma membrane irradiated at 633 nm (HeNe laser).</t>
  </si>
  <si>
    <t>"It was found that there is an accelerated Ca2+ uptake by the mitochondria after low power HeNe irradiation and inhibition after high power. The flux of Ca2+ from the mitochondria was also examined and was found to be unaffected by the HeNe light. The ATP-dependent Ca2+ uptake by the bovine plasma membrane vesicles was not changed by the HeNe irradiation."</t>
  </si>
  <si>
    <t>Cohen</t>
  </si>
  <si>
    <t>Light irradiation of mouse spermatozoa: stimulation of in vitro fertilization and calcium signals.</t>
  </si>
  <si>
    <t>Mouse spermatozoa</t>
  </si>
  <si>
    <t>"Irradiation of mouse spermatozoa by 630 nm He-Ne laser was found to enhance the intracellular calcium levels and fertilizing potential of these cells. The effect of light on calcium transport and on fertilization rate was abrogated in the absence of Ca2+ during the irradiation time, indicating that the effect of light is Ca2+ dependent. The stimulatory effect of light on Ca2+ uptake was abolished in the presence of a voltage-dependent Ca(2+)-channel inhibitor nifedipine, indicating the involvement of a plasma membrane voltage-dependent Ca2+ channel. Furthermore, the stimulatory effect of light was completely inhibited by the mitochondrial uncoupler FCCP, indicating that laser irradiation might affect the mitochondrial Ca2+ transport mechanisms. 
A causal association between laser irradiation, reactive oxygen species (ROS) generation and sperm function was indicated by studies with ROS scavengers, superoxide dismutase (SOD) and catalase, and exogenous hydrogen peroxide. The SOD treatment, which enhanced H2O2 production, resulted in increased Ca2+ uptake and enhanced fertilization rate. On the other hand, catalase, which decomposes H2O2, impaired the light-induced stimulation in Ca2+ uptake and the fertilization rate. Taken together, the data suggest that H2O2 might be involved in the irradiation effects, and indeed laser irradiation enhances the production of H2O2 by spermatozoa. 
These results indicate that the effect of 630 nm He-Ne laser irradiation is mediated through the generation of H2O2 by the spermatozoa and that this effect plays a significant role in the augmentation of the sperm cells' capability to fertilize metaphase II-arrested eggs in vitro."</t>
  </si>
  <si>
    <t>Effect of light on calcium transport in bull sperm cells.</t>
  </si>
  <si>
    <t>633
780</t>
  </si>
  <si>
    <t>"he effect of light on calcium transport was studied. Bull sperm cells were irradiated with an He-Ne (630 mm) laser and a 780 nm diode laser at various energy doses, and 45Ca2+ uptake was measured by the filtration technique. It was found that there is an accelerated Ca2+ transport in the irradiated cells, which means that laser light can stimulate Ca2+ exchange through the cell membrane. This may cause transient changes in the cytoplasmic Ca2+ concentration which, in spermatozoa, has a regulatory role in control of motility and acrosome reaction, and in other cells can trigger mitosis."</t>
  </si>
  <si>
    <t>Israel
(Petah Tikva)</t>
  </si>
  <si>
    <t>Low energy narrow band non-coherent infrared illumination of human semen and isolated sperm.</t>
  </si>
  <si>
    <t>Human sperm
Non-coherent light</t>
  </si>
  <si>
    <t>"The mean value of motility grade calculated for the total number of 62 semen samples was 2.58 +/- 0.79 versus 2.17 +/- 0.75 (non illuminated controls), P less than 0.005. The mean value of motility grade of 23 samples of washed sperm was 2.89 +/- 0.77 versus 2.43 +/- 0.62, respectively (P less than 0.01). In two illuminated seminal plasma specimens, the viscosity was decreased by 8.8% and 14.8%, the protein content and pattern remained, however, unchanged."
"Neither the percentages of motile, viable and morphologically normal sperm, nor the fructose content of semen were found to be affected by the illumination."</t>
  </si>
  <si>
    <t>Kovalev EV</t>
  </si>
  <si>
    <t>[The effect of low-intensity laser radiation on spermatogenesis in men]. [Article in Russian]</t>
  </si>
  <si>
    <t>"Fifty-three males suffering from aspermatogenic sterility were exposed to low-intensity laser irradiation. The results suggest a conclusion on a stimulating effect of He-Ne laser on testicular function. Relevant laser stimulation is thought to hold promise for clinical purposes."</t>
  </si>
  <si>
    <t>Lenzi</t>
  </si>
  <si>
    <t>Arch Androl</t>
  </si>
  <si>
    <t>Laser radiation and motility patterns of human sperm.</t>
  </si>
  <si>
    <t xml:space="preserve">Human sperm
</t>
  </si>
  <si>
    <t>"Human sperm were exposed in vitro to laser radiation. An increase in progressive sperm motility was associated with a faster rate of sperm ATP consumption. Computer-assisted analysis of sperm motility confirmed the positive effect of laser irradiation on velocity and linearity of sperm."</t>
  </si>
  <si>
    <t>Testicle</t>
  </si>
  <si>
    <t>Photobiomodulation improved stereological parameters and sperm analysis factors in streptozotocin-induced type 1 diabetes mellitus.</t>
  </si>
  <si>
    <t>0.03
0.02</t>
  </si>
  <si>
    <t>"A significant increase was observed in the Sertoli cell count in both PBM groups, compared to the control group."
"Both PBM groups show significant increase in the Leydig cell count, compared to the control group. There were significant increases of the length in the seminiferous tubules in both PBM groups, compared to the control group."
The second PBM group showed a significant increase in the sperm count, compared to the control, and first PBM groups. The first PBM group showed a significant increase in sperm count, compared to the control group."
"The sperm motility and count were significantly increased in the second PBM group, compared to the control and first PBM groups. The sperm motility was significantly increased in the first PBM group, compared to the control group." 
"PBM with 0.2 J/cm2 and 0.03 J/cm2 energy densities significantly improved the stereological parameters and fresh sperm analysis factors, compared to the control group in STZ-induced T1DM in mice. Moreover, the PBM with 0.2 J/cm2 energy density was statistically more effective, compared to the 0.03 J/cm2."
Comment: Note that the effective energy density was quite low in this study (0.03 J/cm2 and 0.02 J/cm2).</t>
  </si>
  <si>
    <t>Laser device: MUSTANG 2000, LO7 pen, Technica Co., Moscow, Russia</t>
  </si>
  <si>
    <t>Low-level laser therapy to recovery testicular degeneration in rams: effects on seminal characteristics, scrotal temperature, plasma testosterone concentration, and testes histopathology.</t>
  </si>
  <si>
    <t>Ram</t>
  </si>
  <si>
    <t>28
56
(total
dose
during
study)</t>
  </si>
  <si>
    <t>"Thus, in concern to the results, it is possible to conclude that LLLT at energy of 28 J/cm2 , 808 nm of wavelength, and 30 mW of power output can induce semen injuries and increase the quantities of cells in seminiferous tubule when detected 32 days after LLLT treatment. However, this increase did not occur in a long time after the therapy and in animals that did not present testicular degeneration. LLLT in this condition is not efficient to increase serum testosterone concentration, and consequently, it is not efficient to stimulate Leydig cells. It is an evident need for further studies investigating the effect of LLLT in testicular degeneration with other protocols and other methods to measure its biostimulatory effects."</t>
  </si>
  <si>
    <t>Al-Ebady</t>
  </si>
  <si>
    <t>Iraq</t>
  </si>
  <si>
    <t>Int J Adv Res</t>
  </si>
  <si>
    <t>The effect of expose the rat testis to low level laser light on changing serum LH and testosterone levels</t>
  </si>
  <si>
    <t>Biphasic dose response
PBM-related harm</t>
  </si>
  <si>
    <t>4
12</t>
  </si>
  <si>
    <t>"The results showed that there was significant (P&lt;0.05) decrease in serum LH level in group ΙΙ when compared with group Ι and control, while serum T levels were not significantly higher between groups, and there was clear histopathological changes in right testes seminiferous tubules of group ΙΙ which exposed to 12 joules of laser light."</t>
  </si>
  <si>
    <t>Biomed Res</t>
  </si>
  <si>
    <t>The effects of low level laser therapy (LLLT) on the testis in elevating serum testosterone level in rats.</t>
  </si>
  <si>
    <t>670
808</t>
  </si>
  <si>
    <t>"Our results showed that the rate of tissue penetration was significantly higher in the 808 nm wavelength group as compared with the 670 nm wavelength group (P&lt;0.05); serum T level was not significantly higher in the experimental groups as compared with the control group; but serum T level was significantly elevated in the 670 nm wavelength group on day 4. Thus the LLLT using a 670-nm diode laser was effective in increasing serum T level without causing any visible histopathological side effects.
In conclusion, the LLLT might be an alternative treatment modality to the conventional types of testosterone replacement therapy."
Comment: This finding was published in a very-low impact journal, not indexed by PubMed.</t>
  </si>
  <si>
    <t>Taha &amp; Valojerdi</t>
  </si>
  <si>
    <t>Iran (Tehran)</t>
  </si>
  <si>
    <t>Quantitative and qualitative changes of the seminiferous epithelium induced by Ga. Al. As. (830 nm) laser radiation.</t>
  </si>
  <si>
    <t>PBM-related harm (high dose)
Biphasic dose response</t>
  </si>
  <si>
    <t>28.05
46.80</t>
  </si>
  <si>
    <t>"The number of germ cells specially the pachytene spermatocytes and elongated spermatids increased after 28.05 J/cm(2) laser radiation. Ultrastructural features of germ and Sertoli cells in this group were similar to that of control; while laser irradiation at 46.80 J/cm(2) had a destructive effect on the seminiferous epithelium such as dissociation of immature spermatids and evident ultrastructural changes in them."
"Moreover, it was revealed that low doses of laser light have a biostimulatory effect on the spermatogenesis and may provide benefits to the patients with oligospermia and azoospermia."</t>
  </si>
  <si>
    <t>Uterine wall</t>
  </si>
  <si>
    <t>Campeanu</t>
  </si>
  <si>
    <t>Near-infrared low-level laser stimulation of telocytes from human myometrium.</t>
  </si>
  <si>
    <t>"In conclusion, TCs from pregnant myometrium are more susceptible of reacting to LLLS than those from nonpregnant myometrium. Therefore, some implications are emerging for low-level laser therapy (LLLT) in uterine regenerative medicine."</t>
  </si>
  <si>
    <t>"Using the biomicroscopy method, we studied the reaction of arterial and venous vessels of the broad ligament of the uterus in outbred female rats to irradiation with helium-neon laser (λ=632.8 nm; power output 2 mW). Small arteries were found to be most sensitive to laser irradiation. The veins of the broad ligament of the uterus demonstrated lower reactivity to laser irradiation of the same duration than arterial vessels, which can be explained by morphological, functional, and hemodynamic differences."
Note: Full text not accessed.</t>
  </si>
  <si>
    <t>Vaginal mucosa</t>
  </si>
  <si>
    <t>New Insights into Photobiomodulation of the Vaginal Microbiome-A Critical Review</t>
  </si>
  <si>
    <t>"In this review, we will discuss the potential mechanisms and effects of photobiomodulation in the VMB."</t>
  </si>
  <si>
    <t>Blue Light-Emitting Diode Therapy for Chronic Vulvovaginitis Symptoms: A Series of Cases</t>
  </si>
  <si>
    <t>🧑 Human
📄 Case series
👥 8 cases</t>
  </si>
  <si>
    <t>3
(biweekly)</t>
  </si>
  <si>
    <t>"All eight women reported improvement or cure of at least one characteristic sign or symptom of vulvovaginitis, and five showed improvement in total FSFI and WHOQOL-bref scores."</t>
  </si>
  <si>
    <t>Zipper &amp; Lamvu</t>
  </si>
  <si>
    <t>Vaginal laser therapy for gynecologic conditions: re-examining the controversy and where do we go from here</t>
  </si>
  <si>
    <t>"Evidence supports the use of ablative vaginal lasers for symptoms of atrophy, dryness and pain associated with genitourinary syndrome of menopause; however, the duration of effect and long-term efficacy are unknown"
"Evidence is lacking to guide treatment protocols; therefore, vaginal ablative lasers should only be used with caution and following extensive patient counseling regarding limited evidence on efficacy and safety."
"Clinicians should understand the difference between ablative and non-ablative lasers (photobiomodulation); non-ablative lasers may have a lower risk of injury and can target deeper vaginal and pelvic tissues."
"Early research suggests transvaginal photobiomodulation may improve pain originating from deeper vaginal and pelvic tissues; however, more research is needed."</t>
  </si>
  <si>
    <t>Aesth Med</t>
  </si>
  <si>
    <t>Use of intravaginal device based on photobiomodulation for the treatment of vaginal dryness: a pilot study</t>
  </si>
  <si>
    <t>🧑 Human
📄 Single-arm study
👥 20 participant
⌛ 12-week treatment -&gt; 12-month follow-up</t>
  </si>
  <si>
    <t>LED phototherapy
PBM device design: intravaginal probe</t>
  </si>
  <si>
    <t>415+
660+
850</t>
  </si>
  <si>
    <t>50.9
cm2
device
area</t>
  </si>
  <si>
    <t>"Efficacy outcomes were: 
(1) vaginal tissue revascularization (34.6%); 
(2) reduction of dryness, stinging and dyspareunia measured using MBS (50%, 100%, and 50% respectively); 
(3) improvement of tissue characteristics using VHIS (16.1%); 
(4) mean amelioration of lubrication (94.6% [SD 8.7]) and pain (79.5% [SD 16.8])
one month after treatment"</t>
  </si>
  <si>
    <t>The Rationale for Photobiomodulation Therapy of Vaginal Tissue for Treatment of Genitourinary Syndrome of Menopause: An Analysis of Its Mechanism of Action, and Current Clinical Outcomes.</t>
  </si>
  <si>
    <t>📖 Review + preliminary clinical data</t>
  </si>
  <si>
    <t>"This article reviews the biological basis, symptoms, and management of GSM, and investigates the current status and rationale for the use of PBMT."
This review presents new results from Gaspar&amp;Leibaschoff trial which were previously presented in a congress: 
"Two groups of eight postmenopausal women with symptoms of vaginal dryness were recruited. All patients previously underwent laser treatment for vaginal dryness with excellent results. The PBMT group received eight treatments with the vSculpt at a frequency of two sessions weekly in the clinic along with exercises guided by a perineometer over 1 month."
"Biopsies were performed in six patients. (...) Figures 3–8 demonstrate the results. The epithelial tissue consistently exhibited parakeratosis with an increase in keratinocytes, with acanthosis and an increased glucogenic load at 3 months posttreatment."</t>
  </si>
  <si>
    <t>Device: vSculpt</t>
  </si>
  <si>
    <t>Pavie</t>
  </si>
  <si>
    <t>Blue light-emitting diode in healthy vaginal mucosa-a new therapeutic possibility.</t>
  </si>
  <si>
    <t>"Oncotic cytology done before and after therapy showed that the composition of the microflora remained normal in all participants. Vaginal pH remained unchanged in eight of the women and had a reduction in one woman (5.0-4.0). No adverse effects were observed during or after illumination."
Comment: Shortly, no effects.</t>
  </si>
  <si>
    <t>USA (WA)</t>
  </si>
  <si>
    <t>Int Urogynecol J</t>
  </si>
  <si>
    <t>Multimodal vaginal toning for bladder symptoms and quality of life in stress urinary incontinence.</t>
  </si>
  <si>
    <t>Home-use device</t>
  </si>
  <si>
    <t>662-
855</t>
  </si>
  <si>
    <t>"Treatment success was 84%, defined as &gt;50% improvement in pad weight relative to baseline. In the PP population, mean UDI-6 score improved by 50% (p &lt; 0.001) and IIQ-7 score improved by 69% (p &lt; 0.001). Sexual function quality of life improved by 54% for FSDS-R and 15% for FSFI (both p &lt; 0.001). Pelvic floor muscle strength significantly improved (p &lt; 0.001). 
Patient satisfaction with therapy was reported in 83% of patients. In the safety population, 2 (3.6%) adverse events were reported-1 urinary tract infection and 1 report of discomfort due to excessive warmth."</t>
  </si>
  <si>
    <t>Vaginal symptoms from cancer treatments</t>
  </si>
  <si>
    <t>Forret</t>
  </si>
  <si>
    <t>France
(Amiens)</t>
  </si>
  <si>
    <t>[Photobiomodulation and vulvovaginal disorders after anticancer treatments] [Article in French]</t>
  </si>
  <si>
    <t>"All patients had sexual dysfunction. Twenty-two patients received at least 6 sessions of photobiomodulation. Seventy-two percent (n=18) of patients felt better or much better after treatment (PGI-I≤2). The median improvement estimated by the patients was 65% (Q1=50%; Q3=72.5%). There was also a significant clinical improvement. No serious adverse events were reported. 
Due to the small number of patients in a heterogeneous population with no control group, we cannot extrapolate our results. However, the objective was to assess the status of these pathologies and the contribution of photobiomodulation in patients who have failed first-line treatment; and these results are encouraging."</t>
  </si>
  <si>
    <t>Vestibulodynia</t>
  </si>
  <si>
    <t>Lev-Sagie</t>
  </si>
  <si>
    <t>Low-Level Laser Therapy for the Treatment of Provoked Vestibulodynia-A Randomized, Placebo-Controlled Pilot Trial.</t>
  </si>
  <si>
    <t>🧑 Human
🎲 Randomized trial, double-blind
👥 34 participants
⌛ 6 weeks</t>
  </si>
  <si>
    <t>"Thirty-four patients with PVD participated, 18 received LLLT and 16 received placebo. In the clinical pain report at study completion, 14 of 18 patients (78%) receiving LLLT reported improvement compared with 7 of 16 (44%) in the placebo group (P = .042). This effect was not apparent in other outcome measurements. None of the patients reported side effects during the study. At 1-year follow-up, eight patients (57%) reported lasting improvement."
"Given the results of this pilot study, LLLT cannot currently be recommended as a treatment for PVD. Further studies with a larger population, various treatment protocols, and evaluation of LLLT in different subgroups of PVD are needed to define which patients can benefit from this therapy."</t>
  </si>
  <si>
    <t>Device: "Omega XP diode laser system (Omega Laser Systems, Essex, UK)"</t>
  </si>
  <si>
    <t>vulvar Lichen sclerosus</t>
  </si>
  <si>
    <t>Berthelsen</t>
  </si>
  <si>
    <t>Denmark
(Kolding)</t>
  </si>
  <si>
    <t>J Obstet Gynaecol</t>
  </si>
  <si>
    <t>Low-level laser therapy: an efficient supplement to treatments of vulvar Lichen sclerosus to improve quality of life</t>
  </si>
  <si>
    <t>🧑 Human
📄 Observational study
👥 100 patients (94 completed)
⌛ 8 weeks</t>
  </si>
  <si>
    <t>10
/ 8 weeks</t>
  </si>
  <si>
    <t>"There was a statistically significant improvement in seven of the eight domains of the HRQoL test after ten LLLT. We found the results of DoloTest to be statistically significant in all of the groups except for smoking (p &lt; 0.094)."</t>
  </si>
  <si>
    <t>Respiratory system</t>
  </si>
  <si>
    <t>Acute respiratory distress syndrome</t>
  </si>
  <si>
    <t>Low-level laser therapy (LLLT) acts as cAMP-elevating agent in acute respiratory distress syndrome.</t>
  </si>
  <si>
    <t>Alveolar macrophages (for in vitro experiments)</t>
  </si>
  <si>
    <t>↓neutrophil infiltration
↓TNF-α in BALF
↓LPS-induced alveolar macrophages TNF production
↓LPS-induced alveolar macrophages TNF-α mRNA expression
"Taken together, the results obtained in the present manuscript evidenced that LLLT potentiates the effect of rolipram on ALI by a mechanism that, at least initially, is not directly linked to generation of cAMP but involves the reduction of TNF-α mRNA expression in AM from mice in an experimental model of LPS aerosol-induced ALI."
Note: This paper also has a lot of data related to cAMP.</t>
  </si>
  <si>
    <t>Airway smooth muscle relaxation</t>
  </si>
  <si>
    <t>Aimbire</t>
  </si>
  <si>
    <t>Low level laser therapy partially restores trachea muscle relaxation response in rats with tumor necrosis factor alpha-mediated smooth airway muscle dysfunction.</t>
  </si>
  <si>
    <t>31.25</t>
  </si>
  <si>
    <t>0.22</t>
  </si>
  <si>
    <t>1.3</t>
  </si>
  <si>
    <t>"[LLLT] partially restored TSM relaxation response to isoproterenol. Tension reduction was 47.0 % (+/-2.85) in the laser-irradiated group compared to 22.0% (+/-2.21) in the control group (P &lt; 0.01).
Accumulation of cAMP was almost normalized after LLLT at 22.3 pmol/mg (+/-2.1) compared to 17.6 pmol/mg (+/-2.1) in the non-irradiated control group (P &lt; 0.01)."</t>
  </si>
  <si>
    <t>Allergic rhinitis</t>
  </si>
  <si>
    <t>Firouzabadi</t>
  </si>
  <si>
    <t>Int Arch Allergy Immunol</t>
  </si>
  <si>
    <t>Low-Level Laser Therapy for Allergic Rhinitis: A Systematic Review and Meta-Analysis</t>
  </si>
  <si>
    <t>"Sixteen studies were included in this review, and we found that nasal symptoms are alleviated post-LLLT in people with AR (SMD: -1.4, 95 CI: [-2.07 to -1.13], p value &amp;lt;0.001). 
RQLQ scores were also reduced after LLLT (SMD = -0.72, 95 CI: [-0.94 to -0.50], p value &amp;lt;0.001), and very few adverse events were reported. 
This meta-analysis, however, had significant publication bias and heterogeneity. 
When compared to a placebo, LLLT did not significantly improve nasal symptoms (SMD: -0.69, p value = 0.167), which might mean the post-LLLT nasal symptom alleviation is due to a placebo effect. 
Comparisons to other treatment modalities were too few to deduce anything meaningful, although it does appear that LLLT is less effective than UV lasers."</t>
  </si>
  <si>
    <t>Bouboulis</t>
  </si>
  <si>
    <t>USA
(Darien, CT)</t>
  </si>
  <si>
    <t>Twenty cases of perennial and seasonal allergic rhinitis treated with LumiMed® Nasal Device</t>
  </si>
  <si>
    <t>🧑 Human
📄 Case series
👥 20 participants
⌛ 10 days</t>
  </si>
  <si>
    <t>650-
690</t>
  </si>
  <si>
    <t>12-
24</t>
  </si>
  <si>
    <t>10 per nostril</t>
  </si>
  <si>
    <t>twice daily for 10 days</t>
  </si>
  <si>
    <t>"The results from these case studies indicated that of the 20 patients in this case study, 100% of patients experienced improvement in overall Total Nasal Symptom Score after using LumiMed Nasal Device. Of those patients, 40% brought their Total Nasal Symptom Score down to 0. Furthermore, 95% felt the LumiMed Nasal Device was comfortable to use, while 85% of patients felt the LumiMed Nasal Device was easy to use."</t>
  </si>
  <si>
    <t>Device. LumiMed Nasal Device</t>
  </si>
  <si>
    <t>Treatment Effect of Phototherapy with Low-Level Energy in Patients with Allergic Rhinitis: A Single-Arm Observational Study</t>
  </si>
  <si>
    <t>660+
940</t>
  </si>
  <si>
    <t>3/day
for
4 weeks</t>
  </si>
  <si>
    <t>"Low-power (5 mW) light irradiation (660 nm red light and 940 nm infrared) was effective in improving the symptoms of allergic rhinitis. In addition, symptom improvement became clear approximately a week after use. Further studies are required to reach a definitive conclusion."</t>
  </si>
  <si>
    <t>Koycu</t>
  </si>
  <si>
    <t>Am J Rhinol Allergy</t>
  </si>
  <si>
    <t>Effects of Combined Visible and Infrared Light Rhinophototherapy in Patients With Allergic Rhinitis</t>
  </si>
  <si>
    <t>🧑 Human
📄 Single-arm trial
👥 (?)
⌛ 4 weeks</t>
  </si>
  <si>
    <t>"Symptom scores including nasal itching, nasal discharge, nasal obstruction, sneezing, eye itching, throat itching, and ear itching all statistically decreased compared to baseline at the end of 4 weeks."</t>
  </si>
  <si>
    <t>Explore (NY)</t>
  </si>
  <si>
    <t>Intranasal low-level laser therapy versus acupuncture treatment for allergic rhinitis: A randomized, noninferiority trial: Intranasal low-level laser therapy versus acupuncture in allergic rhinitis: A noninferiority trial</t>
  </si>
  <si>
    <t>🧑 Human
⚔ Comparison study
👥 80 participants
⌛ 4 weeks</t>
  </si>
  <si>
    <t>⚔ PBM vs acupuncture
PBM device design: intranasal device</t>
  </si>
  <si>
    <t>"Both low-level laser therapy and acupuncture treatment gradually improved the total nasal symptom score, Rhinoconjunctivitis Quality of Life Questionnaire score and nasal endoscopy index in allergic rhinitis."
"This study showed that intranasal LLLT is noninferior compared to  [acupuncture] in terms of the TNSS; thus, it may be used as an alternative or adjunctive treatment option for relieving symptoms of AR."</t>
  </si>
  <si>
    <t>Device: "COBISTOP-S unit (CNG medical Co., Ltd., Ulsan, Republic of Korea)"</t>
  </si>
  <si>
    <t>Brazil
(Anápolis)</t>
  </si>
  <si>
    <t>Rhinophototherapy, an alternative treatment of allergic rhinitis: Systematic review and meta-analysis</t>
  </si>
  <si>
    <t>"All symptoms decreased considerably after phototherapy: rhinorrhea (ES• = -1.35; p &lt; 0.0001; I2 = 91.84%), sneezing (ES• = -1.24; p &lt; 0.0001; I2 = 91.43%), nasal pruritus (ES• = -1.10; p &lt; 0.0001; I2 = 91.43%); nasal obstruction (ES• = -1.11; p &lt; 0.0001; I2 = 91.88%). The effects were more significant in perennial allergic rhinitis than in the seasonal type."
"Considering the effect size and the statistical significance attained in our study, rhinophototherapy showed to be an effective treatment for reducing the nasal symptom scores triggered by AR."</t>
  </si>
  <si>
    <t>Karali</t>
  </si>
  <si>
    <t>Acta Otorhinolaryngol Ital</t>
  </si>
  <si>
    <t>Effect of rhinophototherapy on nasal congestion in patients with seasonal allergic rhinitis</t>
  </si>
  <si>
    <t>🧑 Human
🎲 Randomized trial
👥 64 participants</t>
  </si>
  <si>
    <t>UV-
visible</t>
  </si>
  <si>
    <t>1.6-
2.4</t>
  </si>
  <si>
    <t>6
/
2 wks</t>
  </si>
  <si>
    <t>"Our study shows that adding intranasal phototherapy with a combination of UVA, UVB and visible light therapy to nasal beclomethasone dipropionate treatment objectively improves nasal patency in patients with seasonal allergic rhinitis."</t>
  </si>
  <si>
    <t>Schapochnik</t>
  </si>
  <si>
    <t>Local (but not systemic) photobiomodulation treatment reduces mast cell degranulation, eicosanoids, and Th2 cytokines in an experimental model of allergic rhinitis</t>
  </si>
  <si>
    <t>LED phototherapy
Systemic effects (no observed effect)</t>
  </si>
  <si>
    <t>2.8
cm2
area</t>
  </si>
  <si>
    <t>"Our results showed that local PBM treatment reduced mast cell degranulation in the nasopharynx and nostrils; levels of leukotriene B4, thromboxane A2, and interleukin 4 (IL-4) in the nasopharynx; and gene expression of IL-4. Moreover, we showed higher levels and gene expression of IL-10 after local PBM treatment.
Systemic PBM treatment did not change any of the evaluated parameters."</t>
  </si>
  <si>
    <t>Increased Anti-Allergic Effects of Secretome of Low-Level Light Treated Tonsil-Derived Mesenchymal Stem Cells in Allergic Rhinitis Mouse Model</t>
  </si>
  <si>
    <t>"The aim of this study was to investigate the immunomodulatory effects of conditioned media from T-MSCs (T-MSCs-CM) treated with LLLT in allergic inflammation."
"Our animal study demonstrated reduced allergic symptoms and lower expression of total IgE and OVA-specific IgE in the LLLT-treated T-MSCs-CM group compared to the AR group and T-MSCs-CM alone. Moreover, we found that T-MSCs-CM treated with LLLT showed significantly decreased infiltration of eosinophils, neutrophils, and IL-17 cells in the nasal mucosa and reduced IL-4, IL-17, and IFN-γ expression in OVA-incubated splenocytes compared to the AR group."
"The present study suggests that T-MSCs-CM treated with LLLT may provide an improved therapeutic effect against nasal allergic inflammation than T-MSCs-CM alone."</t>
  </si>
  <si>
    <t>Clinical Efficacy and Safety of Low-Level Laser Therapy in Patients with Perennial Allergic Rhinitis: A Randomized, Double-Blind, Placebo-Controlled Trial</t>
  </si>
  <si>
    <t>🧑 Human
🎲 Randomized trial, double-blind
👥 67 participants (41 completed)
⌛ 4 weeks</t>
  </si>
  <si>
    <t>PBM device design: intranasal device</t>
  </si>
  <si>
    <t>670+
830</t>
  </si>
  <si>
    <t>3+
20</t>
  </si>
  <si>
    <t>2/day for 4 weeks
(morning + evening)</t>
  </si>
  <si>
    <t>"The LLLT group showed a significantly improved TNSS score compared to the sham treatment group for decreasing AR symptom severity (p = 0.011) and improving quality of life regarding nasal symptoms (p = 0.036) at the end of treatment. Throughout the treatment period, no severe adverse events occurred.
This clinical trial showed that LLLT is an effective and safe option for the management of AR regarding symptom relief and quality of life improvement."
Comment: Was the blinding successful? The other group received visible red light.</t>
  </si>
  <si>
    <t>Device: "Optowell®, Jeonju, Korea"</t>
  </si>
  <si>
    <t>Kennedy &amp; Robertson</t>
  </si>
  <si>
    <t>UK
(Worcestershire)</t>
  </si>
  <si>
    <t>Eur Ann Allergy Clin Immunol</t>
  </si>
  <si>
    <t>Study on the effect of phototherapy for inhibition of symptoms associated with allergic rhinitis.</t>
  </si>
  <si>
    <t>🧑 Human
🎲 Randomized trial, sham-controlled
👥 64 participants
⌛ 3 weeks</t>
  </si>
  <si>
    <t>mUV
+
vis
+
660
+
940</t>
  </si>
  <si>
    <t>2/day for 3 weeks</t>
  </si>
  <si>
    <t>"The TNSS showed that there was little change in the intensity of symptoms scored at the baseline and at the final study visit for participants in the placebo group (p = 0.09492); with only a slight change in numbers at each intensity level. The difference in the intensity of all symptoms scored at the baseline and at the final visit for the group using the photoperiod device was significantly lower (p = 0.00024***) (table IVb) with a reduction in the intensity of symptoms (table V)."
"The difference in the intensity of symptoms scored at the baseline, and at the final visit for the group using the photoperiod device was significantly lower. The device could potentially help improve the quality of life for allergy sufferers. Phototherapy may be suitable for sufferers either as a replacement therapy or used alongside traditional medication."</t>
  </si>
  <si>
    <t>Effects and safety of intranasal phototherapy for allergic rhinitis: Study protocol for a single-center, randomized, parallel (acupuncture-controlled), open-label, investigator-initiated, pilot study</t>
  </si>
  <si>
    <t>"The findings of this study will provide the basis for the design and implementation of RCTs investigating the effects and safety of intranasal phototherapy for AR. Additionally, it will provide preliminary evidence of intranasal phototherapy for use in AR."</t>
  </si>
  <si>
    <t>Bae</t>
  </si>
  <si>
    <t>Effects of Low-Level Laser Irradiation in a Mouse Model of Allergic Rhinitis.</t>
  </si>
  <si>
    <t>"LLLI exerted an antiallergic effect by decreasing local and systemic IL-4, IL-17, and IgE levels, as well as eosinophilic infiltration into the nasal mucosa, in a mouse model of AR by modulating ROS and NO levels. Diffusion-type LLLI exhibited greater efficacy against AR than straight-type LLLI."</t>
  </si>
  <si>
    <t>Moustafa</t>
  </si>
  <si>
    <t>Assessment of Allergic Rhinitis among Children after Low-Level Laser Therapy</t>
  </si>
  <si>
    <t>Laser acupuncture vs steroid + antihistamine + leukotriene antagonist</t>
  </si>
  <si>
    <t>12
(/6wks)</t>
  </si>
  <si>
    <t>"There was a significant improvement in the severity score symptoms in both groups through and by the end of the study."</t>
  </si>
  <si>
    <t>Irradiation points: 7 points around nose, 3 points in other body parts</t>
  </si>
  <si>
    <t>Jiang &amp; Wang</t>
  </si>
  <si>
    <t>Int J Otolaryngol</t>
  </si>
  <si>
    <t>Effect of Red Light Rhinophototherapy on Nasal Patency in Patients with Allergic Rhinitis.</t>
  </si>
  <si>
    <t>🧑 Human
🎲 Randomized trial
👥 60 participants
⌛ single treatment -&gt; 2-day follow-up</t>
  </si>
  <si>
    <t>36
/nostril</t>
  </si>
  <si>
    <t>"All rhinitis symptoms, including nasal congestion, significantly improved 30 minutes after a single RLRPT treatment, but worsened again, particularly for sneezing, 2 days later. Nasal resistance slightly decreased 30 minutes after RLRPT. 
The first minimal cross-sectional area did not change after RLRPT, but the second minimal cross-sectional area with the volume of the nasal cavity between 2.0 and 5.0 cm from the tip of the nosepiece significantly lessened."
"This study showed that RLRPL did not objectively improve patient's nasal patency."
"The improvement of rhinitis symptoms after RLRPT may have been affected by placebo-effects"</t>
  </si>
  <si>
    <t>Device: "Transverse Many Channels Laser Instrument (Transverse, Ind, Co., Ltd., Taipei, Taiwan)"</t>
  </si>
  <si>
    <t>Bella</t>
  </si>
  <si>
    <t>Rhinophototherapy in persistent allergic rhinitis.</t>
  </si>
  <si>
    <t>🧑 Human
🎲 Randomized trial, sham-controlled
👥 34 participants (25 completed)
⌛ 6-week treatment -&gt; 1-month follow-up</t>
  </si>
  <si>
    <t>Polychromatic light 🌈 (UVA + UVB + Visible light)
Persistent allergic rhinitis</t>
  </si>
  <si>
    <t>&lt; 5% UVB
25% UVA
70% visible</t>
  </si>
  <si>
    <t>1.6-
2.7
/nostril</t>
  </si>
  <si>
    <t>13
/ 6 weeks</t>
  </si>
  <si>
    <t>"All nasal symptom scores and nasal inspiratory peak flow measurements improved significantly in the Rhinolight® group relative to the placebo group and this finding persisted after 4 weeks of follow-up. The smell and mucociliary functions did not change significantly in either group. The number of ICAM-1 positive cells decreased non-significantly in the Rhinolight® group. No severe side-effects were reported during the treatment period. 
These results suggest that Rhinolight® treatment is safe and effective in persistent allergic rhinitis."</t>
  </si>
  <si>
    <t>Device: "Rhinolight device (Rhinolight Ltd., Szeged, Hungary)"</t>
  </si>
  <si>
    <t>Alyasin</t>
  </si>
  <si>
    <t>Iran J Allergy Asthma Immunol</t>
  </si>
  <si>
    <t>Short Time Efficiency of Rhinophototherapy in Management of Patients with Allergic Rhinitis Resistant to Medical Therapy.</t>
  </si>
  <si>
    <t>🧑 Human
🎲 Randomized trial, sham-controlled
👥 62 participants
⌛ 2-week treatment (?) / 12-week study</t>
  </si>
  <si>
    <t>Polychromatic light 🌈 (UVA + UVB + Visible light)</t>
  </si>
  <si>
    <t>1.6 -
2.4
(0.2 incr. every session)</t>
  </si>
  <si>
    <t>6
 / 2 weeks
(?)</t>
  </si>
  <si>
    <t>"We found out that phototherapy in the treatment group in comparison with placebo was effective in treatment of AR (p-value &lt;0.001). However, we recommend that for substantiation of the claim, further investigations are still required."</t>
  </si>
  <si>
    <t>Efficacy of endonasal phototherapy for relieving the symptoms of allergic rhinitis: Meta-analysis.</t>
  </si>
  <si>
    <t>"Overall, a total of 13 trials met the inclusion criteria of this study, with a total sample size of 679 patients."
"Phototherapy significantly reduced nasal symptoms compared with pretreatment values and improved quality of life. The endoscopic findings also significantly improved after phototherapy. In addition, the symptom score and disease-specific quality of life after treatment were significantly lower in the treatment group versus the sham group, and were similar to those in the antihistamine group."
"Phototherapy could provide nasal symptom relief and improve quality of life related to AR. However, when considering the insufficient evaluation of the efficacy of phototherapy according to the treatment methods and the high heterogeneity apparent in some parameters, further clinical trials with robust research methodologies should be conducted to confirm the results of this study."</t>
  </si>
  <si>
    <t>Yurttas</t>
  </si>
  <si>
    <t>Histopathological effects of intranasal phototherapy and nasal corticosteroids in allergic rhinitis in a rabbit model.</t>
  </si>
  <si>
    <t>Polychromatic light 🌈 (UVA + UVB + Visible light)
PBM vs mometasone furoate</t>
  </si>
  <si>
    <t>"In this study, we aimed to evaluate and compare the histopathological effects of intranasal phototherapy (Rhinolight) and nasal corticosteroid treatment on the nasal mucosa in allergic rhinitis in a rabbit model and we found that both treatment options significantly reduced inflammation in the nasal mucosa without increasing apoptosis of mucosal cells."</t>
  </si>
  <si>
    <t>Comparative study in the management of allergic rhinitis in children using LED phototherapy and laser acupuncture</t>
  </si>
  <si>
    <t>🧑 Human
⚔ Comparison study
👥 40 participants</t>
  </si>
  <si>
    <t>PBM vs laser acupuncture
LED phototherapy</t>
  </si>
  <si>
    <t>"There was a significant improvement in the severity score symptoms in both groups through and by the end of the follow up period."</t>
  </si>
  <si>
    <t>A comparative pilot study of symptom improvement before and after phototherapy in Korean patients with perennial allergic rhinitis.</t>
  </si>
  <si>
    <t>🧑 Human
📄 Single-arm study
👥 42 participants
⌛ 4 weeks</t>
  </si>
  <si>
    <t>0.195</t>
  </si>
  <si>
    <t>56 (?)
(twice daily over 4 weeks)</t>
  </si>
  <si>
    <t>Improvement of nasal obstruction, rhinorrhea, sneezing, itching in 68% of the patients.
"The overall RQLQ scores significantly improved by 45% from the baseline with the treatment after 4 weeks."
"These results indicate that phototherapy is an effective modality for treating perennial allergic rhinitis and is another option in the steroid-free management of immune-mediated mucosal diseases."</t>
  </si>
  <si>
    <t>Device: "narrow-band intranasal laser (Rhini Care_x0001_; SM Medical Co., Seoul, Korea)"</t>
  </si>
  <si>
    <t>Albu &amp; Baschir</t>
  </si>
  <si>
    <t>Romania
(Cluj-Napoca)</t>
  </si>
  <si>
    <t>Intranasal phototherapy versus azelastine in the treatment of seasonal allergic rhinitis.</t>
  </si>
  <si>
    <t>🧑 Human
⚔ Comparison study, randomized
👥 77 participants
⌛ 2 weeks</t>
  </si>
  <si>
    <t>PBM vs azelastine
Polychromatic light 🌈 (UVA + UVB + Visible light)</t>
  </si>
  <si>
    <t>"The study demonstrated that both azelastine and intranasal phototherapy are able to significantly improve TNSS, including individual nasal symptoms. Nevertheless, phototherapy reduced nasal obstruction better than azelastine (p=0.038). Both treatments were highly effective in improving RQLQ scores overall and in seven separate domains."</t>
  </si>
  <si>
    <t>Tatar</t>
  </si>
  <si>
    <t>Clin Exp Otorhinolaryngol</t>
  </si>
  <si>
    <t>Effects of rhinophototherapy on quality of life in persistant allergic rhinitis.</t>
  </si>
  <si>
    <t>🧑 Human
🎲 Randomized trial
👥 65 participants
⌛ 3-week treatment / 3-month study</t>
  </si>
  <si>
    <t>Polychromatic light 🌈 (UVA + UVB + Visible light)
Groups:
- mometasone + cetirizine
- mometasone + cetirizine + PBM</t>
  </si>
  <si>
    <t>"Improvements of all variables of the quality of life questionnaire, nasal symptom scores and VAS were statistically significant in the second group both on the first and the third months when compared with the first group."</t>
  </si>
  <si>
    <t>Yıldırım</t>
  </si>
  <si>
    <t>Effects of intranasal phototherapy on nasal microbial flora in patients with allergic rhinitis.</t>
  </si>
  <si>
    <t>🧑 Human
📄 Single-arm trial
👥 31 participants
⌛ 2 weeks</t>
  </si>
  <si>
    <t>"The scores of all total nasal symptoms (TNSS) (nasal obstruction, nasal pruritus, nasal discharge and sneezing) decreased significantly after intranasal phototherapy (p&lt; 0.0001)."
"The detected proliferation of bacteria in all positive cultures was not statistically different before and after treatments (Figure 1)."</t>
  </si>
  <si>
    <t>Effects of low level laser therapy on ovalbumin-induced mouse model of allergic rhinitis.</t>
  </si>
  <si>
    <t>"LLLT significantly inhibited total IgE, IL-4, and TARC expression in ovalbumin-induced mice at low dose irradiation. The protein expression level of IL-4 in spleen was inhibited in low dose irradiation significantly. IL-4 expression in EL-4 cells was inhibited in a dose dependent manner. Histological damages of the epithelium in the nasal septum were improved by laser irradiation with marked improvement at low dose irradiation."
"These results suggest that LLLT might serve as a new therapeutic tool in the treatment of AR with more effectiveness at low dose irradiation. To determine the optimal dose of laser irradiation and action mechanisms of laser therapy, further studies will be needed."</t>
  </si>
  <si>
    <t>Leong SC</t>
  </si>
  <si>
    <t>Rhinology</t>
  </si>
  <si>
    <t>Rhinophototherapy: gimmick or an emerging treatment option for allergic rhinitis?</t>
  </si>
  <si>
    <t>"Three different phototherapy medical devices were assessed: (1) Bionase(TM), (2) Allergy Reliever SN206 and (3) Rhinolight(®). Light wavelength used in these devices ranged from red light to ultraviolet. 
Clinical use of intranasal phototherapy appears to be safe and well tolerated. Most studies demonstrated symptomatic improvement and quality of life scores. No improvement in objective measures of nasal airflow was demonstrated. Beneficial effects of phototherapy on inflammatory markers remain equivocal. Phototherapy treatment results in DNA damage but does not appear to predispose to carcinogenesis. However, long-term prospective studies are required to verify this. 
The quality of published studies was variable and thus the current strength of recommending intranasal phototherapy is currently weak."</t>
  </si>
  <si>
    <t>Brehmer &amp; Schön</t>
  </si>
  <si>
    <t>Endonasal phototherapy significantly alleviates symptoms of allergic rhinitis, but has a limited impact on the nasal mucosal immune cells</t>
  </si>
  <si>
    <t>🧑 Human
📄 Single-arm trial
👥 10 participants
⌛ 2-week treatment -&gt; 10-day follow-up</t>
  </si>
  <si>
    <t>Polychromatic light 🌈 (UVA + UVB + Visible light)
PBM vs fexofenadine</t>
  </si>
  <si>
    <t>UVB
(5%)
+
UVA
(25%)
+
visible
(70%)</t>
  </si>
  <si>
    <t>120-
180
(grad. incr.)</t>
  </si>
  <si>
    <t>"All patients showed a significant clinical benefit post-treatment as assessed by standardised instruments, including total nasal symptom score, nasal congestion score, nasal itching score, sneezing score, nasal secretion score and impairment-to-health score.
However, we found no significant morphological changes, to, or quantitative differences in, the CD1a+, CD4, CD8 or CD31 cells before and 14 days after treatment.
Despite the positive clinical effect, the study revealed no effect of UV irradiation on the LC and other analysed cells of the nasal mucosa immune system. Possible reasons for this are discussed."</t>
  </si>
  <si>
    <t>Garaczi</t>
  </si>
  <si>
    <t>Intranasal phototherapy is more effective than fexofenadine hydrochloride in the treatment of seasonal allergic rhinitis: results of a pilot study.</t>
  </si>
  <si>
    <t>🧑 Human
🎲 Randomized trial
👥 18 participants
⌛ 2 weeks</t>
  </si>
  <si>
    <t xml:space="preserve">1.08-
1.62
(grad. incr. doses)
</t>
  </si>
  <si>
    <t>"In the rhinophototherapy group the individual scores significantly decreased compared with baseline for all of the parameters. In the fexofenadine HCl group none of the scores improved significantly at the end of the treatment except sneezing. TNS was significantly decreased in the rhinophototherapy group, but no significant change was observed in the fexofenadine HCl group after 2 weeks of treatment. 
In conclusion, we found that intranasal phototherapy is more efficient than fexofenadine HCl in reducing clinical symptoms for SAR."</t>
  </si>
  <si>
    <t>Apuhan</t>
  </si>
  <si>
    <t>Histopathological evaluation of the effect of intranasal phototherapy on nasal mucosa in rabbits.</t>
  </si>
  <si>
    <t>Polychromatic light 🌈 (UVA + UVB + Visible light)
Safety of rhinophototherapy</t>
  </si>
  <si>
    <t>"In this study, we demonstrate that UV displays no harmful effects on the nasal mucosa cells of rabbits following 2 weeks of intranasal phototherapy."</t>
  </si>
  <si>
    <t>Cingi</t>
  </si>
  <si>
    <t>Ther Adv Respir Dis</t>
  </si>
  <si>
    <t>Phototherapy for allergic rhinitis: a prospective, randomized, single-blind, placebo-controlled study.</t>
  </si>
  <si>
    <t>🧑 Human
🎲 Randomized trial, sham-controlled
👥 79 participants
⌛ 2-week treatment -&gt; 1-month follow-up</t>
  </si>
  <si>
    <t>1.6-
2.4
(grad. incr. doses)</t>
  </si>
  <si>
    <t>"Total nasal scores decreased in both groups but the decrease was highly significant in the active treatment group when compared with the placebo (p &lt; 0.001)."</t>
  </si>
  <si>
    <t>Device: "Rhinolight III; Rhinolight Ltd,Szeged, Hungary"</t>
  </si>
  <si>
    <t>The effects of phototherapy on quality of life in allergic rhinitis cases</t>
  </si>
  <si>
    <t>🧑 Human
📄 Single-arm trial
👥 100 participants
⌛ 2-week treatment -&gt; 3-month follow-up</t>
  </si>
  <si>
    <t xml:space="preserve">Polychromatic light 🌈 (UVA + UVB + Visible light)
</t>
  </si>
  <si>
    <t>"We aimed to investigate the efficacy of phototherapy in improving the quality of life of patients with allergic rhinitis using Rhinoconjunctivitis Quality of Life Questionnaire, besides checking the total symptom scores of 100 consecutive cases.
When the previous and after treatment data were compared, statistically significant differences were found in all quality of life variables (P &lt; 0.001). These results suggest that phototherapy is an effective method to relieve symptoms of allergic rhinitis and has a positive effect on the quality of life of allergic patients."
"Most evident improvements are in nasal symptoms, activity limitations and sleep parameters."</t>
  </si>
  <si>
    <t>Emberlin &amp; Lewis</t>
  </si>
  <si>
    <t>UK
(Worcester)</t>
  </si>
  <si>
    <t>Curr Med Res Opin</t>
  </si>
  <si>
    <t>Pollen challenge study of a phototherapy device for reducing the symptoms of hay fever.</t>
  </si>
  <si>
    <t>🧑 Human
🎲 Randomized trial, double-blind
👥 112 participants (101 completed)
⌛ 2 weeks</t>
  </si>
  <si>
    <t>652+
940</t>
  </si>
  <si>
    <t>0.52</t>
  </si>
  <si>
    <t>3/day for 14 days</t>
  </si>
  <si>
    <t>"Significant reductions in severity of symptom scores were found for sneezing, running nose, running eyes and itchy mouth/palate (p &lt; or = 0.05). No significant differences were found in the results for itchy eyes, itchy nose, itchy throat, ECPs, PIFn and PEFn. No adverse events occurred."</t>
  </si>
  <si>
    <t>Device: "phototherapy device SN-206 is manufactured and distributed by Lloyds Pharmacy Ltd, UK"</t>
  </si>
  <si>
    <t>J Bionic Eng</t>
  </si>
  <si>
    <t>Nature Inspired Hay Fever Therapy</t>
  </si>
  <si>
    <t>In 2008 in the course of the facial rejuvenation routine all the characteristic symptoms of hay fever – very intense in previous years – disappeared in response to the daily WARP 10 irradiation.</t>
  </si>
  <si>
    <t>Device: WARP10</t>
  </si>
  <si>
    <t>Koreck</t>
  </si>
  <si>
    <t>Effects of intranasal phototherapy on nasal mucosa in patients with allergic rhinitis.</t>
  </si>
  <si>
    <t>🧑 Human
📄 Single-arm trial
👥 8 participants
⌛ 2-week treatment -&gt; 2-month follow-up</t>
  </si>
  <si>
    <t>"Our results suggest that UV damage induced by intranasal phototherapy is efficiently repaired in nasal mucosa."</t>
  </si>
  <si>
    <t>Device: "Rhinolight, Hungary"</t>
  </si>
  <si>
    <t>J Allergy Clin Immunol</t>
  </si>
  <si>
    <t>Rhinophototherapy: a new therapeutic tool for the management of allergic rhinitis.</t>
  </si>
  <si>
    <t>🧑 Human
🎲 Randomized trial, double-blind
👥 49 participants
⌛ 3 weeks</t>
  </si>
  <si>
    <t>"Rhinophototherapy was tolerated well and resulted in a significant improvement of clinical symptoms for sneezing (P &lt; .016), rhinorrhea (P &lt; .007), nasal itching (P &lt; .014), and total nasal score (P &lt; .004). None of the scores improved significantly in the control group. "
Comment: Low dose visible light was used as control group.</t>
  </si>
  <si>
    <t>Device: "Rhinolight Ltd, Szeged, Hungary"</t>
  </si>
  <si>
    <t xml:space="preserve">Romania
</t>
  </si>
  <si>
    <t>SPIE Proc 4166</t>
  </si>
  <si>
    <t>Self-organizing phenomena at membrane level and low-level laser therapy of rhinitis</t>
  </si>
  <si>
    <t>🧑 Human (pediatric)
🎲 Randomized trial, sham-controlled
👥 62 participants
⌛ 3 months</t>
  </si>
  <si>
    <t>630+
670</t>
  </si>
  <si>
    <t>60
/ 3 months
(2 per day during irradiation days)</t>
  </si>
  <si>
    <t>"The initial investigations with fiberoptic rhinoscope revealed a swollen, pale and edematous mucosa, with increased nasal sections, which may be watery to mucoid. At the end of LLLT, the symptoms of rhinitis like sneezing, nasal congestion, stuffy nose, mouth breathing, snoring - have disappeared and the aspect of nasal mucosa was normal. The results could be explained in the new scenario of self-organizing phenomena at membrane level. The physiological beneficial effects may be correlated and possibly explained by self-organizing paradigms. Our result warrant that LLL is a very good therapy modality for children suffering from allergic rhinitis."</t>
  </si>
  <si>
    <t>Neuman&amp;Finkelstein</t>
  </si>
  <si>
    <t>Ann Allergy Asthma Immunol</t>
  </si>
  <si>
    <t>Narrow-band red light phototherapy in perennial allergic rhinitis and nasal polyposis.</t>
  </si>
  <si>
    <t>🧑 Human
🎲 Randomized trial, double-blind (?)
👥 90 participants
⌛ 2 weeks</t>
  </si>
  <si>
    <t>LED phototherapy
PBM device design: intranasal device</t>
  </si>
  <si>
    <t>42
/ 14 days</t>
  </si>
  <si>
    <t>"Allergic rhinitis, if uncomplicated by polyps or chronic sinusitis, can be effectively treated by narrow-band red light illumination of the nasal mucosa at 660 nm, with marked alleviation of clinical symptoms."
Comment: If I remember correctly, the sham group results in abstract contradict a little bit with the results presented in full text (improvement in 3% vs 21%).
Comment: The sham-controlling is suboptimal, since it's bright red light vs no light.</t>
  </si>
  <si>
    <t>Device: "Bionase unit (Amcor Ltd, Israel)"</t>
  </si>
  <si>
    <t>Takeyoshi</t>
  </si>
  <si>
    <t>Japan
(Ehime)</t>
  </si>
  <si>
    <t>Low reactive-level infrared diode laser irradiation of the area over the stellate ganglion, and stellate ganglion block in treatment of allergic rhinitis: A preliminary comparative study</t>
  </si>
  <si>
    <t>🧑 Human
⚔ Comparison study, non-randomized
👥 32 participants
⌛ treatment period 1 month at maximum</t>
  </si>
  <si>
    <t>⚔ Groups:
- stellate ganglion block
- stellate ganglion PBM</t>
  </si>
  <si>
    <t>600
420</t>
  </si>
  <si>
    <t>"Thus a better efficacy was obtained in the SGL group in a shorter period with fewer treatment sessions required compared to the SGB group. SGL using the GaAlAs diode laser at the parameters used in the present study was therefore concluded to be effective as a therapy for allergic rhinitis, and offers the additional advantages of being painless and easy to apply, side effect free and well-tolerated by all ages of patient."</t>
  </si>
  <si>
    <t>Otsuka</t>
  </si>
  <si>
    <t>The combination of low reactive-level laser therapy (lllt) and stellate ganglion block for the treatment of allergic rhinitis</t>
  </si>
  <si>
    <t>"We have applied unilateral stellate ganglion block (SGB) and low reactive-level laser therapy (LLLT) on the contralateral stellate ganglion as a treatment for allergic rhinitis. At the early stage of treatment, a remarkable improvement in the patient's condition was recognized. It is suggested that this combination of low reactive-level laser therapy and stellate ganglion block treatment is effective from the point of minimizing side effects from SGB, for shortening the period of treatment duration and giving an overall better result than SGB alone. "</t>
  </si>
  <si>
    <t>Asthma</t>
  </si>
  <si>
    <t>Photobiomodulation Therapy Restores IL-10 Secretion in a Murine Model of Chronic Asthma: Relevance to the Population of CD4 + CD25 + Foxp3 + Cells in Lung</t>
  </si>
  <si>
    <t>5
/point?
(3 points)</t>
  </si>
  <si>
    <t>0.045
cm2</t>
  </si>
  <si>
    <t>15
/5 weeks</t>
  </si>
  <si>
    <t>"Our results showed that PBM decreases macrophages, neutrophils, and lymphocytes in the bronchoalveolar lavage fluid (BALF). Moreover, PBM decreased the release of cytokines by the lung, mucus, and collagen in the airways and pulmonary mechanics."</t>
  </si>
  <si>
    <t>Transcutaneous systemic photobiomodulation reduced lung inflammation in experimental model of asthma by altering the mast cell degranulation and interleukin 10 level</t>
  </si>
  <si>
    <t>"Our results showed that TSPBM reduced the cell migration and mast cell degranulation without altering the tracheal responsiveness and ovalbumin antibody titers. Indeed, TSPBM increased the levels of interleukin 10 (IL-10) in the BAL fluid without altering the gene expression of cytokines in the lung tissue."</t>
  </si>
  <si>
    <t>Brochetti</t>
  </si>
  <si>
    <t>Beneficial effects of infrared light-emitting diode in corticosteroid-resistant asthma</t>
  </si>
  <si>
    <t>Neutrophilic asthma</t>
  </si>
  <si>
    <t>"Our experimental model was capable to induce neutrophilic asthma. Besides that, the corticosteroid treatment did not reverse the lung cell migration as well as the levels of leukotriene B4, and interleukins 17 and 6."
The treatment with ILED reduced the lung cell migration; myeloperoxidase activity; mast cell degranulation; and the levels of leukotriene B4, thromboxane B2, prostaglandin E2, tumoral necrosis factor alpha, and interleukins 17 and 6. Still, ILED increased the level of interleukin 10. 
In conclusion, we showed promisor effects of ILED when irradiated directly in the respiratory tract as adjuvant treatment of corticosteroid-resistant asthma."</t>
  </si>
  <si>
    <t>Moskvin &amp; Khadartsev</t>
  </si>
  <si>
    <t>Methods of effective low-level laser therapy in the treatment of patients with bronchial asthma (literature review)</t>
  </si>
  <si>
    <t>"At present, the used drugs only maintain a state of temporary remission, simultaneously having a negative effect on various organs and structures and causing side effects. At the same time, the experts have ignored more than 50 years of successful experience of low-level laser therapy, the results of hundreds of studies proving the effectiveness of the method in treating patients with all forms of bronchial asthma. It is proved that therapeutic and periodic (2-4 per year) courses of low-level laser therapy can significantly decrease the frequency and severity of attacks, reduce or cancel the reception of medicines, as well as negative consequences."
"We note that there are very few publications published on the topic outside of Russia. Russian scientists, as always, are ahead of world science and low-level laser therapy practice."</t>
  </si>
  <si>
    <t>Respir Med</t>
  </si>
  <si>
    <t>Improvement of asthma control after laser acupuncture and its impact on exhaled 8-isoprostane as an oxidative biomarker in chronic bronchial asthma</t>
  </si>
  <si>
    <t>🧑 Human
Controlled
👥 72 participants</t>
  </si>
  <si>
    <t>Irradiation of 9 acupoints</t>
  </si>
  <si>
    <t>"The study revealed that, there was significant improvement with respect to asthma symptoms and ACQ score in LASER group after one month treatment compared to sham group. Also, the airway resistance and exhaled breath 8 isoprostane significantly improved in response to the laser therapy."</t>
  </si>
  <si>
    <t>Allergy</t>
  </si>
  <si>
    <t>Light-emitting diode-based photobiomodulation reduces features of allergic asthma in mice.</t>
  </si>
  <si>
    <t>LED phototherapy
PBM vs dexamethasone</t>
  </si>
  <si>
    <t>"Overall, our results demonstrated that L-PBM could effectively suppress asthmatic parameters in a mouse model of allergic asthma. These beneficial effects of L-PBM may be mediated by inhibition of Th2 response and bronchoconstrictive mediators via suppression of the MAPK/NF-κB signaling pathway. Additionally, endogenous NO produced by L-PBM seems to affect airway smooth muscle relaxation; however, further detailed studies are needed to uncover the underlying cellular and molecular mechanisms."
"L-PBM could hence be a potential novel therapeutic approach and an effective alternative to corticosteroids in asthma treatment.
Comment: The photograph is in the supplementary files (figs1).</t>
  </si>
  <si>
    <t>Rigonato-Oliveira</t>
  </si>
  <si>
    <t>Int J Inflam</t>
  </si>
  <si>
    <t>Effect of Low-Level Laser Therapy (LLLT) in Pulmonary Inflammation in Asthma Induced by House Dust Mite (HDM): Dosimetry Study</t>
  </si>
  <si>
    <t>1
3
5
7.5</t>
  </si>
  <si>
    <t>"The results showed that LBI was able to modulate the pulmonary inflammation observed by reducing the number of cells in Bronchoalveolar Lavage Fluid (BALF) as well as reducing the percentage of neutrophils, eosinophils and T lymphocytes. On the other hand, LLLT increased the level of IL-10 and reduced levels of IL-4, IL-5 and IL-13 in BALF. LLLT was able to reduce the production of mucus, peribronchial eosinophils, collagen deposition, bronchoconstriction index, and bronchial and muscular thickening in the airways. 
We concluded that the use of LLLT in the treatment of chronic inflammation of the airways attenuated the inflammatory process and functional and structural parameters. We emphasize, in general, that the 1J and 3J laser presented better results."</t>
  </si>
  <si>
    <t>Dabbous</t>
  </si>
  <si>
    <t>Evaluation of the improvement effect of laser acupuncture biostimulation in asthmatic children by exhaled inflammatory biomarker level of nitric oxide.</t>
  </si>
  <si>
    <t>🧑 Human (pediatric)
🎲 Randomized trial
👥 48 participants
⌛ 4 weeks</t>
  </si>
  <si>
    <t>180
(18p)</t>
  </si>
  <si>
    <t>"In the case (laser) group, 91.7 % of patients experienced an improvement in the level of asthma control versus 25 % in the control group (p &lt; 0.001). This was associated with a significant decrease of the breath condensate FENO concentration (p &lt; 0.001) and significant increase of spirometry parameters (p &lt; 0.001) in the case (laser) group. Application of laser acupuncture treatment given with conventional therapy can effectively improve bronchial asthma more than prescription of medications alone could."</t>
  </si>
  <si>
    <t>Respir Physiol Neurobiol</t>
  </si>
  <si>
    <t>Low-level laser therapy inhibits bronchoconstriction, Th2 inflammation and airway remodeling in allergic asthma.</t>
  </si>
  <si>
    <t>"Reduction of [bronchial hyperresponsiveness] post LLLT coincided with lower RhoA expression in bronchial muscle as well as reduction in eosinophils and eotaxin. LLLT also diminished ICAM expression and Th2 cytokines as well as signal transducer and activator of transduction 6 (STAT6) levels in lungs from challenged mice.
Our results demonstrated that LLLT reduced [bronchial hyperresponsiveness] via RhoA and lessened allergic lung inflammation via STAT6."
Comment: In this study, the authors refer to many russian human studies on LLLT and airways.</t>
  </si>
  <si>
    <t>Effect of low-level laser therapy on allergic asthma in rats.</t>
  </si>
  <si>
    <t>LLLT vs budesonide</t>
  </si>
  <si>
    <t>d =
4 cm</t>
  </si>
  <si>
    <t>"LLLT could reduce levels of IL-4 and increase IFN-γ levels in bronchoalveolar lavage fluid and serum, meanwhile reduce serum IgE levels. Flow cytometry assay showed that LLLT can regulate the Th1/Th2 imbalance of asthmatic rats. LLLT had a similar effect to that of budesonide."
"These findings suggest that the mechanism of LLLT treatment of asthma is by adjustment of Th1/Th2 imbalance. Thus, LLLT could take over some of the effects of budesonide for the treatment of asthma, thereby reducing some of the side effects of budesonide."</t>
  </si>
  <si>
    <t>Elseify</t>
  </si>
  <si>
    <t>J Complement Integr Med</t>
  </si>
  <si>
    <t>Laser acupuncture in treatment of childhood bronchial asthma.</t>
  </si>
  <si>
    <t>🧑 Human (pediatric)
🎲 Randomized trial
👥 50 participants
⌛ 3-week treatment -&gt; 1-month follow-up</t>
  </si>
  <si>
    <t>d = 0.2 mm</t>
  </si>
  <si>
    <t>"Started with 36 patients suffering daytime and nocturnal symptoms, ended with two patients suffering nocturnal symptoms (p &lt; 0.001). Also, 48 patients reported better exercise tolerance (p &lt; 0.001). Forced expiratory volume in the first second, forced vital capacity, and peak expiratory flow % increased from 81.8±25.2, 85.4±21.5, and 71.8±22.9 to 98.5±28.1, 104.3±26.2, and 84.3±24.1, respectively (p &lt; 0.001). ACQ improved from 13.9±3.8 to 23.3±3.6 (p &lt; 0.001), 92% of patients became well controlled. Inhaled steroids dose decreased from 200-450 to 0-200 μg/day and all patients stopped short acting B2 agonist (SABA) rescue (p &lt; 0.01, 0.001)."
"CONCLUSION: low-intensity laser acupuncture can be safe and effective treatment in asthmatic children."</t>
  </si>
  <si>
    <t>Bronchial hyperresponsiveness</t>
  </si>
  <si>
    <t>Mafra de Lima</t>
  </si>
  <si>
    <t>Low level laser therapy (LLLT): attenuation of cholinergic hyperreactivity, beta(2)-adrenergic hyporesponsiveness and TNF-alpha mRNA expression in rat bronchi segments in E. coli lipopolysaccharide-induced airway inflammation by a NF-kappaB dependent mechanism.</t>
  </si>
  <si>
    <t>↓BSM hyperreactivity to cholinergic agonist
↑BSM relaxation to isoproterenol
↓TNF-alpha mRNA expression
"An NF-kappaB antagonist (BMS205820) blocked the LLLT effect"
"The results obtained in this work indicate that the LLLT effect on alterations in responsiveness of airway smooth muscles observed in TNF-alpha-induced experimental acute lung inflammation seems to be dependent of NF-kappaB activation."</t>
  </si>
  <si>
    <t>Effect of low level laser therapy on bronchial hyper-responsiveness.</t>
  </si>
  <si>
    <t>↓TNF-α, ↓inositol phosphate accumulation, ↓(TNF-α)-induced contractile response to carbachol, ↓IP3R mRNA
"We conclude that LLLT can reduce Ca2+ sensitization and inositol phosphate accumulation in rat BSM cells in a TNF-α-induced bronchial hyper-responsiveness model."</t>
  </si>
  <si>
    <t>Cigarette smoke</t>
  </si>
  <si>
    <t>The MAPKinase Signaling and the Stimulatory Protein-1 (Sp1) Transcription Factor Are Involved in the Phototherapy Effect on Cytokines Secretion from Human Bronchial Epithelial Cells Stimulated with Cigarette Smoke Extract</t>
  </si>
  <si>
    <t>PBM vs dexamethasone
PBM vs N-acetylcysteine</t>
  </si>
  <si>
    <t>"The results suggest that phototherapy has a dual effect on BEAS cells because it downregulates the IL-8 secretion by interfering with CSE-mediated signaling pathways, and oppositely upregulates the IL-10 secretion through of Sp1 transcription factor."
"In the present manuscript, we demonstrated that phototherapy decreases the apoptosis index of BEAS stimulated with CSE, which indicates that the phototherapy increased the time-life of structural cells that have a pivotal role in initiating an acute lung inflammation, since the secretion of the pro-inflammatory cytokines, such as IL-8/KC, is fundamental to the neutrophil recruitment in the lung tissue."</t>
  </si>
  <si>
    <t>COPD</t>
  </si>
  <si>
    <t>Effect of photobiomodulation in the balance between effector and regulatory T cells in an experimental model of COPD</t>
  </si>
  <si>
    <t>3 (?)</t>
  </si>
  <si>
    <t>0.045 cm2 area</t>
  </si>
  <si>
    <t>daily for 7 weeks</t>
  </si>
  <si>
    <t>"This result showed that PBM improves COPD symptomatology, reducing the number of inflammatory cells (macrophages, neutrophils and lymphocytes), the levels of IFN-γ among others, and increased IL-10. We also observed a decrease of collagen, mucus, bronchoconstriction index, alveolar enlargement, CD4+, CD8+, CD4+STAT4+, and CD4+IFN-γ+ cells. In addition, in the treated group, we found an increase in CD4+CD25+Foxp3+ and CD4+IL-10+ T cells."</t>
  </si>
  <si>
    <t>Effects of photobiomodulation as an adjunctive treatment in chronic obstructive pulmonary disease: a narrative review</t>
  </si>
  <si>
    <t>"A total of 12 articles were selected and reviewed in this study. Based on the present review, PBM is helpful in reducing lung inflammation through decreasing the inflammatory cytokines and chemokines at multiple levels and increasing anti-inflammatory cytokines. In addition, PBM also improves both peripheral and respiratory muscle metabolism and promote angiogenesis. This review demonstrated that PBM is a promising adjunctive treatment modality for COPD management which merits further validation."</t>
  </si>
  <si>
    <t>Acute effects of photobiomodulation therapy applied to respiratory muscles of chronic obstructive pulmonary disease patients: a double-blind, randomized, placebo-controlled crossover trial.</t>
  </si>
  <si>
    <t>🧑 Human
🎲 Randomized trial, double-blind, crossover
👥 12 participants
⌛ single session -&gt; 24h follow-up</t>
  </si>
  <si>
    <t>LED phototherapy (array of 69 LEDs)</t>
  </si>
  <si>
    <t>630+
830</t>
  </si>
  <si>
    <t>350+
340</t>
  </si>
  <si>
    <t>"No significant interactions were found for spirometric variables, maximal respiratory pressures, and cirtometry. However, there was a Time × Condition interaction (F = 18.63; p = 0.001; η2p = 0.62) in the walked distance on the 6MWT, with a significant increase after photobiomodulation intervention (p &lt; 0.01) compared with the baseline."</t>
  </si>
  <si>
    <t>Acute effects of photobiomodulation therapy (PBMT) combining laser diodes, light-emitting diodes, and magnetic field in exercise capacity assessed by 6MST in patients with COPD: a crossover, randomized, and triple-blinded clinical trial.</t>
  </si>
  <si>
    <t>🧑 Human
🎲 Randomized trial, double-blind, crossover
👥 21 participants
⌛ 1 session per phase (1 week per phase)</t>
  </si>
  <si>
    <t>LED phototherapy
PBM + magnetic field</t>
  </si>
  <si>
    <t>30
/site</t>
  </si>
  <si>
    <t>1 active
1 placebo</t>
  </si>
  <si>
    <t>"PBMT/magnetic field applied before 6MST significantly increased the number of steps during the cardiopulmonary exercise test when compared to the results with placebo (129.8 ± 10.6 vs 116.1 ± 11.5, p = 0.000). 
PBMT/magnetic field treatment also led to a lower score for the perception of breathlessness (3.0 [1.0-7.0] vs 4.0 [2.0-8.0], p = 0.000) and lower limb fatigue (2.0 [0.0-5.0] vs 4.0 [0.0-7.0], p = 0.001) compared to that with placebo treatment. 
This study showed that the combined application of PBMT and magnetic field increased the number of steps during the 6MST and decreased the sensation of dyspnea and lower limb fatigue in patients with COPD."
"Our findings do not elucidate if the contention of a magnetic field in the cluster device is a differential component for performance enhancement."</t>
  </si>
  <si>
    <t>Egypt J Bronchol</t>
  </si>
  <si>
    <t>Low-level laser therapy in chronic obstructive lung disease</t>
  </si>
  <si>
    <t>🧑 Human
🎲 Randomized trial
👥 30 participants
⌛ 2 weeks</t>
  </si>
  <si>
    <t>"Overall, 100% of laser patients showed improvement in mMRC scale by at least one grade versus 46% in control. In laser group, 6 min walk test was 24.4±10.4 before versus 52.9±14.7 m at the end of the study (P=0.001). In control, it was 32.4±14.9 versus 40.1±19.2, (P=0.003). No echocardiographic changes were noticed before versus after the study."
"Significant clinical improvement of 6 min walk test and mMRC scale grading after LLLT therapy was observed. No detrimental effects of LLLT on left ventricle or right ventricle functions or pulmonary artery systolic pressure were seen."
Comment: The authors used acupuncture points and they believe in meridians... The authors also write that the study is "randomized", but they did not allocate the patients randomly to the groups (instead they just chose the first 15 patients to intervention group). Also, the authors did not report how long they irradiated the patients or what was the dose of light.</t>
  </si>
  <si>
    <t>da Cunha Moraes</t>
  </si>
  <si>
    <t>Low-Level Laser Therapy Reduces Lung Inflammation in an Experimental Model of Chronic Obstructive Pulmonary Disease Involving P2X7 Receptor</t>
  </si>
  <si>
    <t>0.785
cm2
spot size</t>
  </si>
  <si>
    <t>30
/p
(7p??)</t>
  </si>
  <si>
    <t>"Our results showed that LLLT significantly reduced the number of inflammatory cells and the proinflammatory cytokine secretion such as IL-1β, IL-6, and TNF-α in bronchoalveolar lavage fluid (BALF). 
We also observed that LLLT decreased collagen deposition as well as the expression of purinergic P2X7 receptor. 
On the other hand, LLLT increased the IL-10 release. 
Thus, LLLT can be pointed as a promising therapeutic approach for lung inflammatory diseases as COPD."
Comment: The results are very interesting. The difference to control group is huge in many markers.</t>
  </si>
  <si>
    <t>Mehani</t>
  </si>
  <si>
    <t>Immunomodulatory effects of two different physical therapy modalities in patients with chronic obstructive pulmonary disease.</t>
  </si>
  <si>
    <t>🧑 Human
⚔ Comparison study
👥 40 participants
⌛ 8 weeks</t>
  </si>
  <si>
    <t>Laser acupuncture (LA)
⚔ Groups:
- inspiratory muscle training
- LA</t>
  </si>
  <si>
    <t>904
?</t>
  </si>
  <si>
    <t>2/day, 3/week for 2 months</t>
  </si>
  <si>
    <t>"There was a reduction in the concentration of plasma IL-6 associated with an increase in CD4+/CD8+ ratio in both groups, but laser was superior to inspiratory muscle training. IL-6 and CD4+/CD8+ were negatively correlated."
"Both inspiratory muscle training and low level laser therapy are effective physical therapy modalities in promoting immune disturbances. The results also supported the superior role of LLLT over IMT in managing immune disturbances."
Comment: Parameters were very poorly reported.</t>
  </si>
  <si>
    <t>Aksenova &amp; Burduli</t>
  </si>
  <si>
    <t>Ter Arkh</t>
  </si>
  <si>
    <t>[Pathogenetic effects of low-intensity laser therapy for chronic obstructive pulmonary disease].
[Article in Russian]</t>
  </si>
  <si>
    <t>"Laser therapy used in the combination treatment of patients with COPD promotes correction of the typical pathological processes."</t>
  </si>
  <si>
    <t>Peron</t>
  </si>
  <si>
    <t>Human Tubal-Derived Mesenchymal Stromal Cells Associated with Low Level Laser Therapy Significantly Reduces Cigarette Smoke-Induced COPD in C57BL/6 mice.</t>
  </si>
  <si>
    <t>COPD
Stromal cell therapy</t>
  </si>
  <si>
    <t>LLLT augmented the beneficial effect of stromal cell therapy.</t>
  </si>
  <si>
    <t>Phototherapy with combination of super-pulsed laser and light-emitting diodes is beneficial in improvement of muscular performance (strength and muscular endurance), dyspnea, and fatigue sensation in patients with chronic obstructive pulmonary disease.</t>
  </si>
  <si>
    <t>🧑 Human
🎲 Randomized trial, crossover, sham-controlled
👥 13 participants
⌛ 2 sessions with 1-week washout</t>
  </si>
  <si>
    <t>COPD
Muscular performance
LED phototherapy
LED cluster</t>
  </si>
  <si>
    <t>180
(total)</t>
  </si>
  <si>
    <t>1 PBM, 
1 placebo</t>
  </si>
  <si>
    <t>"Significant differences were also found for MVIC (104.8 ± 26.0 N · m vs. 87.2 ± 24.0 N · m, p = 0.000), sensation of dyspnea (1 [0-4] vs. 3 [0-6], p = 0.003), and fatigue in the lower limbs (2 [0-5] vs. 5 [0.5-9], p = 0.002) in favor of phototherapy.
We conclude that the combination of super-pulsed lasers and LEDs administered to the femoral quadriceps muscle of patients with COPD increased the PT by 20.2% and the TW by 12%. 
Phototherapy with a combination of super-pulsed lasers and LEDs prior to exercise also led to decreased sensation of dyspnea and fatigue in the lower limbs in patients with COPD."
Comment: The parameters are quite complex in this study - read the full text for further information.</t>
  </si>
  <si>
    <t>Acute effects of light emitting diodes therapy (LEDT) in muscle function during isometric exercise in patients with chronic obstructive pulmonary disease: preliminary results of a randomized controlled trial.</t>
  </si>
  <si>
    <t>🧑 Human
🎲 Randomized trial, crossover, sham-controlled
👥 10 participants
⌛ 2 sessions with 48h washout (1 active, 1 sham)</t>
  </si>
  <si>
    <t>Muscle function
LED phototherapy</t>
  </si>
  <si>
    <t>"A single application of LEDT minimizes muscle fatigue and increases isometric endurance time."</t>
  </si>
  <si>
    <t>Effects of light-emitting diodes on muscle fatigue and exercise tolerance in patients with COPD: study protocol for a randomized controlled trial.</t>
  </si>
  <si>
    <t>Kashanskaia &amp; Fedorov</t>
  </si>
  <si>
    <t>Vopr Kurortol Fizioter Lech Fiz Kult.</t>
  </si>
  <si>
    <t>[Low-intensity laser radiation in the combined treatment of patients with chronic obstructive bronchitis].
[Article in Russian]</t>
  </si>
  <si>
    <t>"Application of low-intensity laser radiation in combination with other therapeutic modalities for the treatment of patients with chronic obstructive bronchitis accelerates elimination of clinical symptoms, increases its efficiency, promotes drainage function of the bronchi, facilitates normalization of the patient's immune status, and contributes to the optimization of lipid peroxidation processes."</t>
  </si>
  <si>
    <t>Diaphragm</t>
  </si>
  <si>
    <t>Brazil (São José dos Campos)</t>
  </si>
  <si>
    <t>Low-level laser therapy can reduce lipopolysaccharide-induced contractile force dysfunction and TNF-alpha levels in rat diaphragm muscle.</t>
  </si>
  <si>
    <t>LPS-induced diaphragm muscle weakness</t>
  </si>
  <si>
    <t>↑maximal tetanic force developed by diaphragm muscle
↑diaphragm muscle contractile force
 ↓TNF-α concentration of rat diaphragm
"We conclude that LLLT can inhibit the release of TNF-α in the rat diaphragm muscle after LPS injection and thereby reduce the impairment of the contractile dysfunction in rat diaphragm muscle. Further studies are warranted in this novel area of research to elucidate the exact mechanism of LLLT action."</t>
  </si>
  <si>
    <t>Dyspnea</t>
  </si>
  <si>
    <t>Respir Care</t>
  </si>
  <si>
    <t>Alleviation of Dyspnea Sensation by Phototherapy in Healthy Adults.</t>
  </si>
  <si>
    <t>🧑 Human
🎲 Randomized trial, crossover, sham-controlled
👥 28 participants
⌛ 2 sessions within 1 week (1 active, 1 sham)</t>
  </si>
  <si>
    <t>Polychromatic light 🌈
Stellate ganglion PBM</t>
  </si>
  <si>
    <t>"There were significant changes from baseline at R = 10 cm H2O/L/s (P = .007), R = 20 cm H2O/L/s (P = .005), and R = 30 cm H2O/L/s (P = .009). For each resistive load, the mean dyspnea sensation score was lower with stellate ganglion irradiation compared with sham irradiation, with significant differences (P = .003 at R = 0 cm H2O/L/s; P &lt; .001 at R = 10, 20, 30 cm H2O/L/s). There was a significantly lower slope of the dyspnea response for the linear regression of the loads and Borg scores in the stellate ganglion irradiation versus sham treatment (P = .003)."
"Stellate ganglion irradiation significantly alleviated dyspnea induced by an external inspiratory load in healthy adults. Stellate ganglion irradiation might be an option to treat dyspnea in some cases. Further studies in individuals with diverse types of dyspnea and clinical settings are warranted."</t>
  </si>
  <si>
    <t>Device: Super Lizer PX (Tokyo Iken, Tokyo, Japan)</t>
  </si>
  <si>
    <t>Intravascular laser irradiation of blood (ILIB) used to treat lung diseases: a short critical review</t>
  </si>
  <si>
    <t>"We selected a total of 10 clinical studies using either ILIB or VPBM, in addition to 2 experimental studies in animals. 
The respiratory diseases treated in these studies included bronchitis, asthma, pneumonia, and tuberculosis.
The results showed overall beneficial effects on lung diseases, characterized by a reduction in the inflammatory cascade and antioxidant effects, improvement of hemodynamic parameters, the efficiency of gas exchange, and reduction of hospitalization periods. 
In conclusion, all studies showed promising effects of ILIB in both animal and human studies. The studies did not discuss any disadvantages or contraindications. However, further studies are needed in order to understand the dosimetry, and the literature is lacking in randomized, controlled clinical trials. Thus, this review highlights the need for additional studies using this approach."</t>
  </si>
  <si>
    <t>Lung fibrosis</t>
  </si>
  <si>
    <t>Low-level laser therapy attenuates lung inflammation and airway remodeling in a murine model of idiopathic pulmonary fibrosis: Relevance to cytokines secretion from lung structural cells.</t>
  </si>
  <si>
    <t>0.6
cm2
skin
area</t>
  </si>
  <si>
    <t>"LLLT reduced both migration of inflammatory cells and deposition of collagen fibers in the lungs. In addition, LLLT downregulated pro-inflammatory cytokines and upregulated the IL-10 secretion from fibroblasts and pneumocytes. Laser therapy greatly reduced total lung TGFβ. 
Systemically, LLLT also reduced the inflammatory cells counted in blood. There is no statistical difference in inflammatory parameters studied between mice of the basal group and the laser-treated mice. 
Data obtained indicate that laser effectively attenuates the lung inflammation, and the airway remodeling in experimental pulmonary fibrosis is driven to restore the balance between the pro- and anti-inflammatory cytokines in lung and inhibit the pro-fibrotic cytokines secretion from fibroblasts."</t>
  </si>
  <si>
    <t>Photobiomodulation therapy improves both inflammatory and fibrotic parameters in experimental model of lung fibrosis in mice.</t>
  </si>
  <si>
    <t>LED phototherapy
Fibrosis induction by bleomycin</t>
  </si>
  <si>
    <t>"Our results showed that PBMT significantly reduced the number of inflammatory cells in the alveolar space, collagen production, interstitial thickening, and static and dynamic pulmonary elastance. In addition, we observed reduced levels of IL-6 e CXCL1/KC released by pneumocytes in culture as well as reduced level of CXCL1/KC released by fibroblasts in culture. We can conclude that the PBMT improves both inflammatory and fibrotic parameters showing a promising therapy which is economical and has no side effects."</t>
  </si>
  <si>
    <t>Lung hemorrhage</t>
  </si>
  <si>
    <t>Effect of low-level laser therapy on hemorrhagic lesions induced by immune complex in rat lungs.</t>
  </si>
  <si>
    <t>Hemorrhage
LLLT vs celecoxib vs dexamethasone</t>
  </si>
  <si>
    <t>2.6</t>
  </si>
  <si>
    <t>"LLLT at a dose of 2.6 Joules/cm(2) induces a reduction of HI (hemorrhagic index) levels and MPO activity in hemorrhagic injury that is not significantly different from celecoxib. Dexamethasone is slightly more effective than LLLT in reducing HI, but not MPO activity."</t>
  </si>
  <si>
    <t>Lung inflammation</t>
  </si>
  <si>
    <t>Arjmand &amp; Rahim</t>
  </si>
  <si>
    <t>Clin Pathol</t>
  </si>
  <si>
    <t>The Probable Protective Effect of Photobiomodulation on the Immunologic Factor's mRNA Expression Level in the Lung: An Extended COVID-19 Preclinical and Clinical Meta-analysis</t>
  </si>
  <si>
    <t>"Studies on using PBM in lung injury modeling with samples collected from lung tissue to observe IL-1β, TNF-α, IL-10, and IL-6 mRNA expression were included."
"The main properties of 13 articles on 384 animals included in this meta-analysis with a wide range of species include rats (n = 10) and rabbits (n = 3). 
The analysis revealed that PBMT reduced the mRNA expression of TNFα (SMD: -3.70, 95% CI: -6.29, -1.11, P = .005,I 2 = 71%) and IL-1β (SMD: -5.85, 95% CI: -8.01, -3.69, P &lt; .00001,I 2 = 37%) significantly, but no statistically significant reduction in IL-6 (SMD: -2.89, 95% CI: -5.79, 0.01, P = .05,I 2 = 88%) was observed compared with the model controls. Also, PBMT increased IL-10 mRNA expression significantly compared with the model controls (SMD: 1.04, 95% CI: 0.43, 1.64, P = .0008,I 2 = 17%)."
"This meta-analysis revealed that the PBMT utilizes beneficial anti-inflammatory effects and modulation of the immune system on lung damage in animal models and clinical studies. However, animal models and clinical studies appear limited considering the evidence's quality; therefore, large clinical trials are still required."</t>
  </si>
  <si>
    <t>Raji</t>
  </si>
  <si>
    <t>The Probable Protective Effect of Photobiomodulation on the Inflammation of the Airway and Lung in COVID-19 Treatment: A Preclinical and Clinical Meta-Analysis</t>
  </si>
  <si>
    <t>"After applying the exclusion criteria, the main properties of 13 articles on 384 animals included in this meta-analysis with a wide range of species include rat (n = 10) and rabbit (n = 3).
The analysis revealed that PBM therapy reduced TNFα (SMD:-3.75, 95% CI: -4.49, -3.02, P &lt; 0.00001, I2 = 10%), IL-1β (SMD:-4.65, 95% CI: -6.15, -3.16, P &lt; 0.00001, I2 = 62%), and IL-6 (SMD:-4.20, 95% CI: -6.42, -1.97, P = 0.0002, I2 = 88%) significantly compared with the model controls.
Hence, PBM therapy increased IL-10 significantly compared with the model controls (SMD:-4.65, 95% CI: -6.15, -3.16, P &lt; 0.00001, I2 = 62%).
PBM therapy also reduced MPO activity (SMD:-2.13, 95% CI: -3.38, -0.87, P = 0.0009, I2 = 64%) and vascular permeability (SMD:-2.59, 95% CI: -4.40, -0.77, P = 0.0052, I2 = 71%) in the lung using the Evans blue extravasation technique significantly compared with the model controls."
"This systematic review and meta-analysis revealed that the PBM therapy does utilize beneficial anti-inflammatory effect, modulation of the immune system, lung permeability, or bronchoalveolar lavage on lung damage in both animal models and clinical studies. However, animal model and clinical studies appear limited considering the quality of the included evidences; therefore, large clinical trials are still required."</t>
  </si>
  <si>
    <t>Light-Emitting Diode treatment ameliorates allergic lung inflammation in experimental model of asthma induced by ovalbumin.</t>
  </si>
  <si>
    <t>Ovalbumin-induced experimental asthma in Balb/c mice
LED phototherapy</t>
  </si>
  <si>
    <t>2
+
2
+
2
=
6
(?)</t>
  </si>
  <si>
    <t>"Our results showed that LED treatment in asthmatic mice reduced the lung cell infiltration, the mucus production, the oedema, and the tracheal's contractile response."
"This study may provide important information about the effects of LED, and in addition, it may open the possibility of a new approach for the treatment of asthma."</t>
  </si>
  <si>
    <t>Beneficial effect of low-level laser therapy in acute lung injury after i-I/R is dependent on the secretion of IL-10 and independent of the TLR/MyD88 signaling</t>
  </si>
  <si>
    <t>MyD88−/− and C57Bl/6 mice</t>
  </si>
  <si>
    <t>0.375
(?)</t>
  </si>
  <si>
    <t>67.5</t>
  </si>
  <si>
    <t>↑IL-10 mRNA expression in lung tissue
↓MPO in lung tissue, ↓lung vascular permeability, ↓lung edema, ↓neutrophil infiltration, ↓ICAM-1 expression in lung tissue, ↓IL-8 mRNA expression in lung tissue
"Although LLLT is known as an anti-inflammatory agent, in the present study, we have evidenced that laser therapy can attenuate the acute lung injury after i-I/R through an action mechanism that involves the increase of the anti-inflammatory protein IL-10."</t>
  </si>
  <si>
    <t>Costa Carvalho</t>
  </si>
  <si>
    <t>The chemokines secretion and the oxidative stress are targets of low-level laser therapy in allergic lung inflammation.</t>
  </si>
  <si>
    <t>Allergic lung inflammation</t>
  </si>
  <si>
    <t>"Laser-treated allergic mice presented reduction of both the ICAM-1 and eosinophil in the lungs. RANTES, CCL8, CCL3 and eotaxins were reduced in BALF of laser-treated allergic mice. In allergic mice lung LLLT decreased the CCR1 and CCR3 and restored the oxidative stress balance as well. Laser decreased the lipidic peroxidation in allergic mice lung as much as increased SOD, GPx and GR. It shows that LLLT on allergic lung inflammation involves leukocyte-attractant chemokines and endogenous antioxidant. Based on results, LLLT may ultimately become a non- invasive option in allergic lung disease treatment."
Comment: The parameters were well reported.</t>
  </si>
  <si>
    <t>Cury</t>
  </si>
  <si>
    <t>Low level laser therapy reduces acute lung inflammation without impairing lung function.</t>
  </si>
  <si>
    <t>Intratracheal LPS -&gt; Lung inflammation</t>
  </si>
  <si>
    <t>""Similarly to other authors, we detected a significant increase in the expression of several pro-inflammatory cytokines (TNF-α, IL-1β, IL-6), that was inhibited by laser treatment"
"There was a marked increase in the expression of MCP-1 in the animals exposed to LPS, which was significantly reduced by laser irradiation. We suggest that this was one of the mechanisms by which LLLT reduced the number of inflammatory cells in the lung"
"The LLLT application induced a significant decrease in both inflammatory cells influx and inflammatory mediators secretion. These effects did not affect lung mechanical properties, since no change was observed in tissue resistance or elastance. In conclusion LLLT is able to reduce inflammatory reaction in lungs exposed to LPS without affecting the pulmonary function and recovery."</t>
  </si>
  <si>
    <t>Miranda da Silva</t>
  </si>
  <si>
    <t>Low Level Laser Therapy Reduces the Development of Lung Inflammation Induced by Formaldehyde Exposure.</t>
  </si>
  <si>
    <t>Formaldehyde exposure</t>
  </si>
  <si>
    <t>16.2
(9p)
(?)</t>
  </si>
  <si>
    <t>12.86</t>
  </si>
  <si>
    <t>"The treatment with LLLT reduced the development of neutrophilic lung inflammation induced by FA, as observed by the reduced number of leukocytes, mast cells degranulated, and a decreased myeloperoxidase activity in the lung. Moreover, LLLT also reduced the microvascular lung permeability in the parenchyma and the intrapulmonary bronchi. Alterations on the profile of inflammatory cytokines were evidenced by the reduced levels of IL-6 and TNF-α and the elevated levels of IL-10 in the lung."
"Together, our results showed that LLLT abolishes FA-induced neutrophilic lung inflammation by a reduction of the inflammatory cytokines and mast cell degranulation. This study may provide important information about the mechanisms of LLLT in lung inflammation induced by a pollutant."</t>
  </si>
  <si>
    <t>Low-level laser therapy attenuates the myeloperoxidase activity and inflammatory mediator generation in lung inflammation induced by gut ischemia and reperfusion: a dose-response study.</t>
  </si>
  <si>
    <t>"With exception of 1J/cm(2), LLLT reduced MPO activity as well as IL-1β levels in the lungs from inflamed mice. LLLT was also markedly effective in reducing both IL-6 and TNF expression and levels in the lungs from mice submitted to i-I/R in all laser doses studied. Otherwise, LLLT significantly increased the protein levels of IL-10 in inflamed mice by i-I/R; however only in the dose of 1J/cm(2)."
"We conclude that the LLLT is able to control the neutrophils activation and proinflammatorycytokines release into the lungs in a model of i-I/R in mice."</t>
  </si>
  <si>
    <t>Low level laser therapy reduces acute lung inflammation in a model of pulmonary and extrapulmonary LPS-induced ARDS.</t>
  </si>
  <si>
    <t>240
(3p)</t>
  </si>
  <si>
    <t>"LLLT significantly reduced pulmonary and extrapulmonary inflammation in LPS-induced ARDS, as demonstrated by reduced number of total cells (p&lt;0.001) and neutrophils (p&lt;0.001) in BAL, reduced levels of IL-1beta, IL-6, KC and TNF-alpha in BAL fluid and in serum (p&lt;0.001), as well as the number of neutrophils in lung parenchyma (p&lt;0.001). LLLT is effective to reduce pulmonary inflammation in both pulmonary and extrapulmonary model of LPS-induced ARDS."</t>
  </si>
  <si>
    <t>Low-level laser therapy restores the oxidative stress balance in acute lung injury induced by gut ischemia and reperfusion.</t>
  </si>
  <si>
    <t>0.0384</t>
  </si>
  <si>
    <t>6.9</t>
  </si>
  <si>
    <t>↑GSH, ↑HSP70 expression, ↑PPARy expression, ↓lung injury, ↓edema, ↓neutrophils influx, ↓MPO activity, ↓ICAM-1 mRNA expression, ↓ROS
"Results indicate that laser effect in attenuating the acute lung inflammation is driven to restore the balance between the pro- and antioxidants mediators rising of PPARy expression and consequently the HSP70 production."</t>
  </si>
  <si>
    <t>Suppressive effect of low-level laser therapy on tracheal hyperresponsiveness and lung inflammation in rat subjected to intestinal ischemia and reperfusion.</t>
  </si>
  <si>
    <t>Tracheal and lung function after intestinal I/R</t>
  </si>
  <si>
    <t>"LLLT (660 nm, 7.5 J/cm(2)) restored the tracheal hyperresponsiveness and hyporesponsiveness in all the periods after intestinal reperfusion.
Although LLLT reduced edema and MPO activity, it did not do so in all the postreperfusion periods. It was also observed with the ICAM-1 expression.
In addition to reducing both TNF-α and iNOS, LLLT increased IL-10 in the lungs of animals subjected to i-I/R.
The results indicate that LLLT can control the lung's inflammatory response and the airway reactivity dysfunction by simultaneously reducing both TNF-α and iNOS."</t>
  </si>
  <si>
    <t>"The animals were irradiated once on the skin over the upper bronchus."</t>
  </si>
  <si>
    <t>Dual Effect of low-level laser therapy (LLLT) on the acute lung inflammation induced by intestinal ischemia and reperfusion: Action on anti- and pro-inflammatory cytokines.</t>
  </si>
  <si>
    <t>Acute lung inflammation
PBM vs TNF/IL-10 antibodies</t>
  </si>
  <si>
    <t>"The results indicate that the LLLT attenuates the i-I/R-induced acute lung inflammation which favor the IL-10 production and reduce TNF generation."</t>
  </si>
  <si>
    <t>Low intensity laser therapy (LILT) in vivo acts on the neutrophils recruitment and chemokines/cytokines levels in a model of acute pulmonary inflammation induced by aerosol of lipopolysaccharide from Escherichia coli in rat.</t>
  </si>
  <si>
    <t>Acute lung inflammation</t>
  </si>
  <si>
    <t>"LILT inhibited pulmonary edema and endothelial cytoskeleton damage, as well as neutrophil influx and activation.
Similarly, the LILT reduced the TNF-α and IL-1β, in lung and BALF. LILT prevented lung ICAM-1 up-regulation. The rise of CINC-1 and MIP-2 protein levels in both lung and BALF, and the lung mRNA expressions for IL-10, were unaffected.
Data suggest that the LILT effect is due to the inhibition of ICAM-1 via the inhibition of TNF-α and IL-1β."</t>
  </si>
  <si>
    <t>Low-level laser therapy decreases levels of lung neutrophils anti-apoptotic factors by a NF-kappaB dependent mechanism.</t>
  </si>
  <si>
    <t>↓Bcl-xL mRNA in lung neutrophils
↓A1 mRNA in lung neutrophils
"LLLT effect on mRNA expression of Bcl-xL and A1 in lung neutrophils was blocked by pretreatment with BMS 205820. From these results, it is reasonable to suggest that the anti-inflammatory effect of LLLT can be mediated by NF-κB."</t>
  </si>
  <si>
    <t>Low level laser therapy (LLLT) decreases pulmonary microvascular leakage, neutrophil influx and IL-1beta levels in airway and lung from rat subjected to LPS-induced inflammation.</t>
  </si>
  <si>
    <t>"LLLT attenuated lung permeability. In addition, there was reduced neutrophil influx, myeloperoxidase activity and both IL-1beta in BAL and IL-1beta mRNA expression in trachea obtained from animals subjected to LPS-induced inflammation."</t>
  </si>
  <si>
    <t>Low-level laser therapy induces dose-dependent reduction of TNFalpha levels in acute inflammation.</t>
  </si>
  <si>
    <t>Lung injury by ovalbumin+antibody
LLLT vs chlorpromazine
Biphasic dose response</t>
  </si>
  <si>
    <t>1
2.5
5</t>
  </si>
  <si>
    <t>0.0125
0.0313
0.0625</t>
  </si>
  <si>
    <t>0.04
0.11
0.22</t>
  </si>
  <si>
    <t>"LLLT at a dose of 0.11 Joules reduced the TNF_x0001_ concentration in bronchoalveolar lavage fluid to 50.2 (95% CI, 49.4–51.0), which was significantly lower (p &lt; 0.001) than the control group and the other LLLT groups of 0.04 and 0.22 Joules, respectively."</t>
  </si>
  <si>
    <t>Effect of LLLT Ga-Al-As (685 nm) on LPS-induced inflammation of the airway and lung in the rat.</t>
  </si>
  <si>
    <t>Airway inflammation caused by LPS injection
LLLT vs celecoxib</t>
  </si>
  <si>
    <t>"Our results demonstrate that LLLT produced anti-inflammatory effects on RTHR, BAL and lung neutrophils influx in association with inhibition of COX-2-derived metabolites."</t>
  </si>
  <si>
    <t>Lung injury</t>
  </si>
  <si>
    <t>Repair effect of photobiomodulation combined with human umbilical cord mesenchymal stem cells on rats with acute lung injury</t>
  </si>
  <si>
    <t>Stem cells + PBM</t>
  </si>
  <si>
    <t>"In vivo, PBM-intervened hUCMSCs intuitively reduce thickness of alveolar septum, excessive secretion of inflammatory factors, relieves bleeding, edema and fibrosis. As a physical intervention, PBM further strengthens the therapeutic effect of hUCMSCs and depicted a hopeful therapy in ALI treatment."</t>
  </si>
  <si>
    <t>Lung injury (from LPS)</t>
  </si>
  <si>
    <t>Artificial Intelligence-Assisted Terahertz Imaging for Rapid and Label-Free Identification of Efficient Light Formula in Laser Therapy</t>
  </si>
  <si>
    <t>"LLLT is an effective therapeutic method for ALI. It took more than 4 h for the identification of efficient light formulas with different light wavelengths and irradiation times using biological methodological parameters, including weight, TAC, SOD, and IL-1β."
"The cell density has been proven as a high-sensitive diagnostic indicator of the injury area in THz biomedical imaging in several studies [55]. In this paper, the THz images of ALI were assembled with the reflectivity of the acquired THz signal and compared with the cell density."
"The results indicate that the therapeutic effect of LLLT with different light wavelengths and irradiation times for ALI can be identified using this method with a high accuracy of 91.22% in 33 s, which is more than 400 times faster than the biological methodology and more than 200 times faster than the scanning terahertz imaging technology."</t>
  </si>
  <si>
    <t>Brazil
(Vassouras)</t>
  </si>
  <si>
    <t>Low-power infrared laser modulates mRNA levels from genes of base excision repair and genomic stabilization in heart tissue from an experimental model of acute lung injury</t>
  </si>
  <si>
    <t>"Our results showed that there was a reduction of mRNA relative levels from ATM gene and an increase of mRNA relative levels from P53 gene in the heart of animals with ALI when compared to the control group. In addition, there was an increase of mRNA relative levels from OGG1 and APE1 gene in hearts from animals with ALI when compared to the control group. After irradiation, an increase of mRNA relative levels from ATM and OGG1 gene was observed at 20 J cm-2."</t>
  </si>
  <si>
    <t>Low-power infrared laser modulates telomere length in heart tissue from an experimental model of acute lung injury</t>
  </si>
  <si>
    <t>3.541</t>
  </si>
  <si>
    <t>"Although the telomeres were shortened and mRNA levels of TRF1 gene were increased in nontreated controls, the low-power infrared laser irradiation increased the telomere length at 10 J cm-2 in cardiac tissue of animals affected by LPS-induced acute lung injury, which suggests that telomere maintenance is a part of the photobiomodulation effect induced by infrared radiation."</t>
  </si>
  <si>
    <t>Effect of systemic photobiomodulation in the course of acute lung injury in rats</t>
  </si>
  <si>
    <t>"Our results point to the beneficial effects of systemic PBM on the LPS-induced ALI, as it reduced the number of neutrophils recruited into the bronchoalveolar lavage, myeloperoxidase activity, and also reduced interleukins (IL) 1β, IL-6, and IL-17 in the lung. 
Even considering the promising results, we highlight the importance of further studies to understand the mechanisms involved, and especially the dosimetry, so that in near future, we can apply this knowledge in clinical practice."</t>
  </si>
  <si>
    <t>Photobiomodulation prevents DNA fragmentation of alveolar epithelial cells and alters the mRNA levels of caspase 3 and Bcl-2 genes in acute lung injury.</t>
  </si>
  <si>
    <t>LPS injection</t>
  </si>
  <si>
    <t>3.571</t>
  </si>
  <si>
    <t>2
5</t>
  </si>
  <si>
    <t>2
5
/p</t>
  </si>
  <si>
    <t>"Data show that caspase-3 mRNA levels are reduced and Bcl-2 mRNA levels increased in ALI after low power infrared laser exposure when compared to the non-exposed ALI group. DNA fragmentation increased in inflammatory infiltrate cells and reduced in alveolar cells. Our research shows that photobiomodulation can alter relative mRNA levels in genes involved in the apoptotic process and DNA fragmentation in inflammatory and alveolar cells after lipopolysaccharide-induced acute lung injury. Also, inflammatory cell apoptosis is part of the photobiomodulation effects induced by exposure to a low power infrared laser."</t>
  </si>
  <si>
    <t>Cell Biol Int</t>
  </si>
  <si>
    <t>Lung inflammation and endothelial cell damage are decreased after treatment with phototherapy (PhT) in a model of acute lung injury induced by Escherichia coli lipopolysaccharide in the rat.</t>
  </si>
  <si>
    <t>Airway inflammation caused by LPS injection</t>
  </si>
  <si>
    <t>"PhT reduced lung edema, the accumulation of TNF-alpha in the lung, and myeloperoxidase (MPO) activity. However, PhT was not efficient in reducing of TNF-alpha concentration in both serum and neutrophils of blood after LPS. 
In another series of experiments, in vitro assays of the effects of PhT effect on mouse pulmonary arterial endothelium cells (MPAECs) after TNF-alpha showed that the laser restores the MPAECs damage induced at 6 or 24h after TNF-alpha. These results suggest the PhT effect on ALI is partly due to inhibition of TNF-alpha release from neutrophils and lung cells."</t>
  </si>
  <si>
    <t>Lung injury (in sepsis)</t>
  </si>
  <si>
    <t>Photobiomodulation with 630-nm LED Inhibits M1 Macrophage Polarization via STAT1 Pathway Against Sepsis-Induced Acute Lung Injury</t>
  </si>
  <si>
    <t>"Histopathology analysis showed that alveolar injury, inflammatory cells infiltration, and hemorrhage were suppressed in CLP mice after 630 nm LED irradiation. 
The ratio of wet/dry weigh of lung tissue was significantly inhibited by irradiation. 
The number of leukocytes was reduced in bronchoalveolar lavage fluid. Reverse transcription-quantitative polymerase chain reaction (RT-qPCR) results and enzyme-linked immunosorbent assay showed that 630 nm LED irradiation significantly inhibited the mRNA and protein levels of M1 macrophage-related genes in the lung of CLP-induced septic mice. 
Meanwhile, LED irradiation significantly inhibited signal transducer and activator of transcription 1 (STAT1) phosphorylation in the lung of septic mice. 
In vitro experiments showed that 630 nm LED irradiation significantly inhibited M1 genes mRNA and protein expression in THP-1-derived M1 macrophages without affecting the cell viability. LED irradiation also significantly inhibited the level of STAT1 phosphorylation in THP-1-derived M1 macrophages."</t>
  </si>
  <si>
    <t>Influence of photobiomodulation therapy on the treatment of pulmonary inflammatory conditions and its impact on COVID-19</t>
  </si>
  <si>
    <t>Cecum ligation and puncture (acute lung injury)</t>
  </si>
  <si>
    <t>1.68
/p
(3p)</t>
  </si>
  <si>
    <t>"In the results, it was possible to observe that the treatment with PBMT reduced inflammatory infiltrates, thickening of the alveolar septum, and lung injury score when compared to the ALI group. In addition, PBMT showed lower immunoexpression of IL-1β.
Therefore, based on the results observed in the present study, it can be concluded that treatment with PBMT (infrared low-level laser therapy) was able to induce an adequate tissue response capable of modulating the signs of inflammatory process in ALI, one of the main complications of COVID-19."</t>
  </si>
  <si>
    <t>da-Palma-Cruz</t>
  </si>
  <si>
    <t>Photobiomodulation modulates the resolution of inflammation during acute lung injury induced by sepsis.</t>
  </si>
  <si>
    <t>"Our results showed that after 3 days of LED treatment the blood and bronchoalveolar lavage (BAL) cells as well as interleukins (IL) including IL-6 and IL-17 were reduced. No differences were observed in the bone marrow cells, tracheal reactivity, and lipoxin A4 and resolvin E2. 
Indeed, after 7 days of LED treatment the bone marrow cells, lymphocytes, and lipoxin A4 were increased, while IL-6, IL-17, and IL-10 were decreased. No differences were observed in the blood cells and tracheal reactivity. 
Thus, our results showed that LED treatment attenuated ALI induced by sepsis by modulating the cell mobilization from their reserve compartments. In addition, we also showed later effects of the LED up to 7 days after the treatment. 
This study proposes photobiomodulation as therapeutic adjuvant to treat ALI."</t>
  </si>
  <si>
    <t>da Silva Sergio</t>
  </si>
  <si>
    <t>Low-power laser alters mRNA levels from DNA repair genes in acute lung injury induced by sepsis in Wistar rats.</t>
  </si>
  <si>
    <t>8
20
(4p/
lung)</t>
  </si>
  <si>
    <t>"Our research shows that [acute lung injury] alter mRNA levels from genes related to base and nucleotide excision repair genes, suggesting that DNA repair is part of cell response to sepsis, and that photobiomodulation could modulate the mRNA levels from these genes in lung tissue."</t>
  </si>
  <si>
    <t>Low power infrared laser modifies the morphology of lung affected with acute injury induced by sepsis</t>
  </si>
  <si>
    <t>"Data showed that exposure to low-power infrared laser in both fluences reduced the thickening of interalveolar septa in lungs affected by ALI, increasing the alveolar space; however, inflammatory infiltrate was still observed. Our research showed that exposure to low-power infrared laser improves the lung parenchyma in Wistar rats affected by ALI, which could be an alternative approach for treatment of inflammatory lung injuries."</t>
  </si>
  <si>
    <t>Beneficial effects of Red Light-Emitting Diode treatment in experimental model of acute lung injury induced by sepsis</t>
  </si>
  <si>
    <t>Sepsis-induced acute lung injury
LED phototherapy
Green light (didn't work) 🟢</t>
  </si>
  <si>
    <t>660
(520)</t>
  </si>
  <si>
    <t>"Red LED treatment reduced neutrophil influx and the levels of interleukins 1β, 17 A and, tumor necrosis factor-α; in addition to enhanced levels of interferon γ in the bronchoalveolar fluid. Moreover, red LED treatment enhanced the RNAm levels of IL-10 and IFN-γ. It also partially reduced the elevated oxidative burst and enhanced apoptosis, but it did not alter the translocation of nuclear factor κB, the expression of toll-like receptor 4 (TLR4), as well as, oedema or mucus production in their lung tissues."
"It is suggested that LED applications are an inexpensive and non-invasive additional treatment for sepsis."
"In order to confirm that the red color, in fact, is the best wavelength to treat lung disease, we treated the animals with green LED that wavelength is 520 nm. Results obtained showed that green LED did not reverse the increased cell influx into the alveolar space as well as inflammatory cytokines such as IL-17, IL-1beta and TNF-alpha (supplementary data)."</t>
  </si>
  <si>
    <t>Lung injury (ventilator-induced)</t>
  </si>
  <si>
    <t>Fazza</t>
  </si>
  <si>
    <t>Effect of low-level laser therapy on the inflammatory response in an experimental model of ventilator-induced lung injury</t>
  </si>
  <si>
    <t>"The VILI group showed a greater acute lung injury (ALI) score with an increase in neutrophil infiltration, higher neutrophil count in the BAL fluid and greater cytokine mRNA expression compared to the PMV groups (p &lt; 0.05). 
The VILI + laser group when compared to the VILI group showed a lower ALI score (0.35 ± 0.08 vs. 0.54 ± 0.13, p &lt; 0.05), alveolar neutrophil infiltration (7.00 ± 5.73 vs. 21.50 ± 9.52, p &lt; 0.05), total cell count (1.90 ± 0.71 vs. 4.09 ± 0.96 × 105, p &lt; 0.05) and neutrophil count in the BAL fluid (0.60 ± 0.37 vs. 2.28 ± 0.48 × 105, p &lt; 0.05). 
Moreover, LLLT induced a decrease in pro-inflammatory and an increase of anti-inflammatory mRNA levels compared to the VILI group (p &lt; 0.05). 
In conclusion, LLLT was found to reduce the inflammatory response in an experimental model of VILI."</t>
  </si>
  <si>
    <t>Nasal polyposis</t>
  </si>
  <si>
    <t>Kiricsi</t>
  </si>
  <si>
    <t>Ir J Med Sci</t>
  </si>
  <si>
    <t>Open, prospective, multicenter study on postoperative intranasal phototherapy in nasal polyposis</t>
  </si>
  <si>
    <t>🧑 Human
🎲 Randomized trial
🗺 Multicenter
👥 30 participants</t>
  </si>
  <si>
    <t>Polychromatic light 🌈 (30% UV, 70% visible)</t>
  </si>
  <si>
    <t>280-
650</t>
  </si>
  <si>
    <t>"We found that the recurrence of nasal polyps was significantly diminished, and based on video-endoscopic measurements, the size and grade of recurrent polyps were significantly smaller in the phototherapy-receiving group. Nasal obstruction values and NOSE were significantly better throughout the follow-up period in the mUV-VIS light-treated group than in the intranasal steroid monotreatment group."</t>
  </si>
  <si>
    <t>Nosebleed (epistaxis)</t>
  </si>
  <si>
    <t>Acta Otolaryngol</t>
  </si>
  <si>
    <t>Low-intensity diode laser combined with nasal glucocorticoids in the treatment of recurrent epistaxis in children: a randomized controlled trail</t>
  </si>
  <si>
    <t>🧑 Human (pediatric)
🎲 Randomized trial
👥 44 participants
⌛ 2 weeks (??)</t>
  </si>
  <si>
    <t>"After treatment, the effective rate of the Laser group in epistaxis (23/24, 95.8%) was higher than the Control group (16/20, 80%) (p &lt; .05). The VAS scores of the children complicated with AR in the two groups both improved after treatment, however, the variation of VAS score (3.02 ± 1.50) in the Laser group was greater than the Control group (1.83 ± 1.56) (p &lt; .05)."
"As a safe and efficient method, Lid laser treatment can effectively alleviate epistaxis and inhibit symptoms of AR in children."</t>
  </si>
  <si>
    <t>Olfactory dysfunction</t>
  </si>
  <si>
    <t>Neuroradiol J</t>
  </si>
  <si>
    <t>The brain functional connectivity alterations in traumatic patients with olfactory disorder after low-level laser therapy demonstrated by fMRI</t>
  </si>
  <si>
    <t>🧑 Human
📄 Non-randomized study, controlled
👥 24 participants
⌛ 4-6 week treatment / 10-week study</t>
  </si>
  <si>
    <t>8
/ 4-6 weeks</t>
  </si>
  <si>
    <t>"Compared to controls, laser-treated patients showed increased activation in the cingulate, rectus gyrus, and some parts of the frontal gyrus. Shorter pathlength (p = 0.047) and increased local efficiency (p = 0.043) within the olfactory network, as well as decreased inter-network connectivity within the whole brain were observed in patients after laser surgery. Moreover, higher clustering and local efficiency were related to higher TDI score, as manifested in increased sensitivity to identify odors."</t>
  </si>
  <si>
    <t>Shalaby</t>
  </si>
  <si>
    <t>Photobiomodulation Therapy Restores Olfactory Function Impaired by Photothrombosis in Mouse Olfactory Bulb</t>
  </si>
  <si>
    <t>0.325</t>
  </si>
  <si>
    <t>"PBM treatment accelerated the recovery of impaired olfaction following PT by suppressing inflammatory cytokines and enhancing both glial and vascular factors (e.g., GFAP, IBA-1, and CD31). PBM therapy during the acute phase of ischemia improves the compromised olfactory function by modulating microenvironments and inflammation status of the affected tissue."</t>
  </si>
  <si>
    <t>Pharynx</t>
  </si>
  <si>
    <t>Gomez-Villamandos</t>
  </si>
  <si>
    <t>Spain
(Córdoba)</t>
  </si>
  <si>
    <t>He-Ne laser therapy by fibroendoscopy in the mucosa of the equine upper airway.</t>
  </si>
  <si>
    <t>"Irradiated lesions cicatrized at 10.5 days and nonirradiated lesions cicatrized at 18.0 days. Statistical analysis revealed highly significant differences (P &lt; 0.0001) between the irradiated and control groups. Histological study of the control samples showed epithelial coagulation necrosis, edema, and microthrombi. However, in samples from the irradiated lesions no inflammatory edema, numerous active fibroblasts, connective tissue, and intensive epithelial regeneration were observed."</t>
  </si>
  <si>
    <t>Pleurisy</t>
  </si>
  <si>
    <t>Boschi</t>
  </si>
  <si>
    <t>Anti-Inflammatory effects of low-level laser therapy (660 nm) in the early phase in carrageenan-induced pleurisy in rat.</t>
  </si>
  <si>
    <t>Pleurisy
Biphasic dose response</t>
  </si>
  <si>
    <t>0.9
2.1
4.2</t>
  </si>
  <si>
    <t>57-
74</t>
  </si>
  <si>
    <t>"LLLT-660 nm induced an anti-inflammatory effect characterized by inhibition of either total or differential leukocyte influx, exudation, total protein, NO, IL-6, MCP-1, IL-10, and TNF-alpha, in a dose-dependent manner. Under these conditions, laser treatment with 2.1 J was more effective than 0.9 and 4.2 J."</t>
  </si>
  <si>
    <t>Steroid receptor antagonist mifepristone inhibits the anti-inflammatory effects of photoradiation.</t>
  </si>
  <si>
    <t>0.0031</t>
  </si>
  <si>
    <t>0.08
cm2
spot
size</t>
  </si>
  <si>
    <t>3/3h</t>
  </si>
  <si>
    <t>"Total leukocyte cell counts revealed that in carrageenan-induced pleurisy, photoradiation significantly reduced the number of leukocyte cells (p &lt; 0.0001, mean 34.5 [95% CI: 32.8-36.2] versus 87.7 [95% CI: 81.0-94.4]), and that the effect of photoradiation could be totally blocked by adding the cortisol antagonist mifepristone (p &lt; 0.0001, mean 34.5 [95% CI: 32.1-36.9] versus 82.9 [95%CI: 70.5-95.3])."
"The steroid receptor antagonist mifepristone significantly inhibited the anti-inflammatory effect of photoradiation."</t>
  </si>
  <si>
    <t>Spontaneous effects of low-level laser therapy (650 nm) in acute inflammatory mouse pleurisy induced by carrageenan.</t>
  </si>
  <si>
    <t>0.24
0.6
1.2
(from 3 treatments?)</t>
  </si>
  <si>
    <t>"LLLT administered at 1-3 h after the induction of inflammatory pleurisy significantly reduces the inflammatory cell migration measured. Under these conditions and at 2.5 mW, 7.5 J/cm(2) was more effective than 3 J/cm(2) and 15 J/cm(2)."</t>
  </si>
  <si>
    <t>Pneumonia</t>
  </si>
  <si>
    <t>Systemic Effects of Photobiomodulation on Blood Components in the Treatment of Community-Acquired Pneumonia</t>
  </si>
  <si>
    <t>🧑 Human
📄 Non-randomized study, blinded (?)
👥 21 participants
⌛ 7 days</t>
  </si>
  <si>
    <t>" The phototherapy was performed with a vest with an array of 300 LEDs (940 nm) mounted on an area of 36 × 58 cm and positioned in the patient's anterior thoracic and abdominal regions. The total power was 6 W, with 15 min of irradiation time."
"There was a statistically significant recovery difference after treatment in the LED group compared with the CON group for erythrocytes, hemoglobin, leukocytes, segmented and band neutrophils, lymphocytes, and monocytes (p &lt; 0.05).
The greatest differences between the LED and CON groups were lymphocyte count reduction (60% vs. 16%), erythrocyte increase (86% vs. 35%), and leukocyte reduction (28% vs. 15%)."</t>
  </si>
  <si>
    <t>Geralde</t>
  </si>
  <si>
    <t>Pneumonia treatment by photodynamic therapy with extracorporeal illumination - an experimental model.</t>
  </si>
  <si>
    <r>
      <rPr>
        <sz val="7.0"/>
      </rPr>
      <t xml:space="preserve">Pneumonia caused by </t>
    </r>
    <r>
      <rPr>
        <i/>
        <sz val="7.0"/>
      </rPr>
      <t>Streptococcus pneumoniae</t>
    </r>
  </si>
  <si>
    <t>"Notably, a small decrease in CFU was also observed in infected mice treated with light alone as compared to untreated controls, which however did not reach the level of significance. This effect may potentially be attributable to light effects which have been shown to stimulate the immune system (Møller et al. 2005; Aranow 2011)."
Note: This is a photodynamic therapy (PDT) study that also had a positive control group receiving only light.</t>
  </si>
  <si>
    <t>Rhinosinusitis</t>
  </si>
  <si>
    <t>Efficacy of Low-Level Laser Therapy in a Rabbit Model of Rhinosinusitis</t>
  </si>
  <si>
    <t>670
+
830</t>
  </si>
  <si>
    <t>3
+
20</t>
  </si>
  <si>
    <t>"Tissue inflammation revealed a significant improvement in the laser-treated group compared with the RS and natural recovery groups (p &lt; 0.01). In addition, sinus opacification in the CT scans and cytokine expression was reduced in the laser-treated group, though without statistical significance."</t>
  </si>
  <si>
    <t>Naghdi</t>
  </si>
  <si>
    <t>Use of low-level laser therapy for patients with chronic rhinosinusitis: a single-blind, sham-controlled clinical trial</t>
  </si>
  <si>
    <t>🧑 Human
📄 Single-arm trial with a placebo phase
👥 20 participants
⌛ 5-day sham phase -&gt; 2-day washout -&gt; 5-day active phase (??)</t>
  </si>
  <si>
    <t>33
/point</t>
  </si>
  <si>
    <t>5 sham
-&gt;
5 active</t>
  </si>
  <si>
    <t>"Total symptom score significantly improved after real laser (p = 0.015, Cohen's d = 0.69). The percentage improvement for real laser (34.12 ± 46.43) was significantly better than the sham laser (5.02 ± 37.34, Z = - 2.23, p = 0.026). No significant improvements were observed after sham laser."</t>
  </si>
  <si>
    <t>Afify Abdulrashid</t>
  </si>
  <si>
    <t>Laser Therapy Versus Electromagnetic Field on Mucosal Membrane Thickening in Children With Chronic Rhinosinusitis.</t>
  </si>
  <si>
    <t>🧑 Human
⚔ Comparison study, randomized
👥 30 participants
⌛ 1 month</t>
  </si>
  <si>
    <t>⚔ PBM vs PEMF</t>
  </si>
  <si>
    <t>1.5
(?)</t>
  </si>
  <si>
    <t>"This study showed that there were statistically significant improvements in mucosal membrane thickness in both groups (P&lt;0.05), while there was no statistically significant difference between groups (P&gt;0.05)."
Comment: No control group.</t>
  </si>
  <si>
    <t>Dulguerov</t>
  </si>
  <si>
    <t>Rhinophototherapy in chronic rhinosinusitis: a double blind randomized placebo-controlled trial.</t>
  </si>
  <si>
    <t>🧑 Human
🎲 Randomized trial, double-blind
👥 50 participants
⌛ 3-week treatment -&gt; 1-month follow-up</t>
  </si>
  <si>
    <t>310-
600</t>
  </si>
  <si>
    <t>"Results in the rhinophototherapy and placebo group were not significantly different and failed to reduce patient-reported outcomes measures (Rhinosinusits Disability Index, Visual Analogic Scale of symptom severity) and objective scores (rhinomanometry, olfactory thresholds, nasal Nitic Oxide concentrations), immediately and one month after treatment."</t>
  </si>
  <si>
    <t>Device: "RhinolightTM (Rhinolight Ltd, Szeged, Hungary. Range 310-600 nm.)"</t>
  </si>
  <si>
    <t>Prospective, multicenter, randomized clinical study to evaluate the clinical efficacy and tolerability of long term mixed ultraviolet and visible light phototherapy in eosinophil nasal polyps.</t>
  </si>
  <si>
    <t>🧑 Human
🎲 Randomized trial
👥 87 participants (76 completed)
⌛ 12-week treatment -&gt; 3-month follow-up</t>
  </si>
  <si>
    <t>6 
-&gt;
9
after first 2 weeks</t>
  </si>
  <si>
    <t>"Our data suggests that mixed ultraviolet/visible light phototherapy led to improvement in chronic rhinosinusitis with nasal polyps. Nasal symptoms, sense of smell and nasal obstruction improved even 3 months after the end of phototherapy, which is an outstanding importance in this chronic disease. "</t>
  </si>
  <si>
    <t>Device: "Rhinolight Inc., Hungary"</t>
  </si>
  <si>
    <t>Mortazavi</t>
  </si>
  <si>
    <t>Intra-oral low level laser therapy in chronic maxillary sinusitis: A new and effective recommended technique</t>
  </si>
  <si>
    <t>🧑 Human
📄 Single-arm trial
👥 20 participants
⌛ 16 days (?)</t>
  </si>
  <si>
    <t>8
/ 16 days</t>
  </si>
  <si>
    <t>"All variables and all symptoms of patients were improved using intra-oral low-level laser and this improvement was statistically significant (P value&lt;0.05)."</t>
  </si>
  <si>
    <t>A pilot study into the effect of low-level laser therapy in patients with chronic rhinosinusitis.</t>
  </si>
  <si>
    <t>Chronic rhinosinusitis</t>
  </si>
  <si>
    <t>Total symptom score was improved 39% at 2 weeks and 46% at 4 weeks.
"The therapeutic effect was sustained for a mean of 5 months. This pilot study indicates that LLLT applied for 4 weeks improves symptoms in patients with CRS."</t>
  </si>
  <si>
    <t>Krespi&amp;Kizhner</t>
  </si>
  <si>
    <t>Phototherapy for chronic rhinosinusitis.</t>
  </si>
  <si>
    <t>🧑 Human
⚔ Comparison study
👥 23 participants
⌛ single treatment -&gt; 1-week follow-up</t>
  </si>
  <si>
    <t>⚔ Groups:
- 940nm laser
- indocyanine green + 810nm laser</t>
  </si>
  <si>
    <t>500
500
(?)</t>
  </si>
  <si>
    <t>"NILI of the nasal sinuses with or without PA agents proved to be beneficial objectively and subjectively in CRS patients who failed medical and surgical therapies."</t>
  </si>
  <si>
    <t>Kruchinina</t>
  </si>
  <si>
    <t>Vestn Otorinolaringol</t>
  </si>
  <si>
    <t>[Therapeutic effect of helium-neon laser on microcirculation of nasal mucosa in children with acute and chronic maxillary sinusitis as measured by conjunctival biomicroscopy].</t>
  </si>
  <si>
    <t>"The results give evidence that laser therapy produced a positive effect on microcirculation and reduced the potential of relapses. Low-energy helium-neon laser affected mostly vessel permeability (decrease of perivascular edema) and blood rheology (red blood cell aggregation). In terms of circulation changes, laser therapy was more beneficial in the case of acute maxillary sinusitis. Circulation lesions, that persisted after laser therapy in some patients with chronic maxillary sinusitis, can be attributed to stable morphological changes in the wall architectonics of microvessels of the nasal mucosa."</t>
  </si>
  <si>
    <t>Trachea</t>
  </si>
  <si>
    <t>Takahashi</t>
  </si>
  <si>
    <t>Thorac Cardiovasc Surg</t>
  </si>
  <si>
    <t>Neovascularization effect with He-Ne laser in the rat trachea.</t>
  </si>
  <si>
    <t>Transplanted tracheal tissue (beneath the abdominal skin)</t>
  </si>
  <si>
    <t>"Neovascularization was significantly more pronounced in the irradiated groups that in the non-irradiated group. In the B groups, vascular counts were 148 +/- 58 in group B0 (n = 6), 146 +/- 56 in group B2 (n = 5), and 147 +/- 49 in group B4 (n = 5). There was no significant difference between the irradiated and non-irradiated B groups. Laser irradiation was determined to stimulate neovascularization, and the possibility of a clinical application for this procedure was suggested."</t>
  </si>
  <si>
    <t>Tracheal fenestration</t>
  </si>
  <si>
    <t>Photomodulative effects of low-level laser therapy on tracheal fenestration developed in in vivo model</t>
  </si>
  <si>
    <t>"Irradiation at the tracheal fenestration site with an energy density of 20 J/cm2 improves the wound healing, as shown at 2 weeks after tracheostomy. Histological analysis shows significantly decreased acute inflammation and granulation tissue, as well as better cartilage regeneration and less tracheal wall thickening. Therefore, LLLT demonstrates therapeutic potential for preventing tracheal stenosis and granuloma after tracheostomy."</t>
  </si>
  <si>
    <t>Tracheal stenosis</t>
  </si>
  <si>
    <t>Combinatorial prophylactic effect of phlorotannins with photobiomodulation against tracheal stenosis</t>
  </si>
  <si>
    <t>"The current study demonstrated the biomodulatory effect of PT-combined BL on human tracheal fibroblasts and tracheal fenestration rodent models."</t>
  </si>
  <si>
    <t>Acta Otorrinolaringol Esp</t>
  </si>
  <si>
    <t>Using low level laser therapy to reduce early postoperative airway obstruction following modified Hogan's flap.</t>
  </si>
  <si>
    <t>🧑 Human (pediatric)
🎲 Randomized trial, double-blind
👥 30 participants
⌛ single treatment -&gt; 3-day follow-up</t>
  </si>
  <si>
    <t>"The mean of the average oxygen saturation was significantly less in the control group in the 1st and 2nd day as compared to the laser group. The need for oxygen and the incidence of OSA in the first 3 days were significantly higher in the control group as compared to the laser group. The degree of edema showed no significant difference in the first day but was significantly higher in the control group in the 2nd and 3rd days. Hence, the need of steroids was significantly higher in the control group in the first 3 days."
Comment: Parameters were poorly reported.</t>
  </si>
  <si>
    <t>Device: "SIR Laser Advance®, Sirona®-Germany"</t>
  </si>
  <si>
    <t>Maliev</t>
  </si>
  <si>
    <t>Probl Tuberk</t>
  </si>
  <si>
    <t>[Treatment of nonspecific endobronchitis with low-intensity laser irradiation (experimental study)].
[Article in Russian]</t>
  </si>
  <si>
    <t>Experimental purulent endobronchitis (PE)</t>
  </si>
  <si>
    <t>Low-level laser therapy (LLLT) attenuates RhoA mRNA expression in the rat bronchi smooth muscle exposed to tumor necrosis factor-alpha.</t>
  </si>
  <si>
    <t>"We conclude that LLLT administered with this protocol, reduces RhoA mRNA expression and BSM contraction force in TNF-alpha-induced BSM hyperreactivity."</t>
  </si>
  <si>
    <t>Rheumatology</t>
  </si>
  <si>
    <t>Beneficial Effects of Near-Infrared Light Photobiomodulation in Linear Morphea: A Case Report</t>
  </si>
  <si>
    <t>"We report a patient with biopsy-proven infraorbital linear morphea responding to 940 nm near-infrared light photobiomodulation treatments."
"The patient had excellent cosmesis without textural changes or hypopigmentation despite her darker skin complexion (Fitzpatrick phototype III) after tri-weekly treatments for 8 months."</t>
  </si>
  <si>
    <t>von Felbert</t>
  </si>
  <si>
    <t>Irradiation with water-filtered infrared A plus visible light improves cutaneous scleroderma lesions in a series of cases.</t>
  </si>
  <si>
    <t xml:space="preserve">🧑 Human
📄 Case series
👥 10 cases
</t>
  </si>
  <si>
    <t>580-
1400</t>
  </si>
  <si>
    <t>"wIRA(+VIS) therapy led to a marked improvement, persistent even during long-term follow-up, in 7 out of 10 patients with CS. Of the other patients, 1 showed decreased sclerosis and disease activity and developed a worsening after cessation of therapy. In 2 further patients, where previous UVA1 treatment had failed to reduce disease activity, wIRA(+VIS) produced a slight decrease in sclerosis, but disease activity was still present."
"wIRA(+VIS) appears to be effective in the treatment of CS. Durometry proved to be helpful in assessing the degree of sclerosis and in documenting the response to therapy in these patients."</t>
  </si>
  <si>
    <t>Meffert</t>
  </si>
  <si>
    <t>Dermatol Monatsschr</t>
  </si>
  <si>
    <t>[Mild infrared A hyperthermia in treatment of systemic scleroderma]. [Article in German]</t>
  </si>
  <si>
    <t>🧑 Human
📄 (?)
👥 7 cases</t>
  </si>
  <si>
    <t>"Acral skin rewarming became regular immediately after irradiation and kept improved, as compared with pre-treatment values, for at least 18 weeks. All the patients told about a comfortable feeling of warmth after each treatment lasting for one two days. Three out of the seven reported lower frequency and severity of Raynaud attacks."</t>
  </si>
  <si>
    <t>Systemic sclerosis</t>
  </si>
  <si>
    <t>Spinella</t>
  </si>
  <si>
    <t>Rheumatol Ther</t>
  </si>
  <si>
    <t>Photobiomodulation Therapy: A New Light in the Treatment of Systemic Sclerosis Skin Ulcers</t>
  </si>
  <si>
    <t>🧑 Human
📄 Retrospective study
👥 12 subjects
⌛ 2-month treatment</t>
  </si>
  <si>
    <t>"We retrospectively analyzed 12 consecutive SSc patients with a total of 15 [skin ulcers] on finger hands."
"The application of EmoLED® in addition to debridement apparently produced faster healing of SU. Complete healing of SU was recorded in 41.6% cases during EmoLED® treatment. Significant improvements in SU area, length, and width, wound bed, and related pain were observed in EmoLED® patients from T0 to T8 [= 8 weeks]."
"Control subjects treated with standard systemic/local therapies merely showed an amelioration of SU area and width at the end of the follow-up."</t>
  </si>
  <si>
    <t>Safety of PBM/LLLT</t>
  </si>
  <si>
    <t>Zúñiga-González</t>
  </si>
  <si>
    <t>Mexico
(Guadalajara)</t>
  </si>
  <si>
    <t>Micronuclei analysis in mice peripheral blood exposed to polarized polychromatic noncoherent light (Bioptron® Light)</t>
  </si>
  <si>
    <t>"Bioptron lamp does not cause damage to the genetic material of SKH1 mice, by means of the micronucleus test in peripheral blood."</t>
  </si>
  <si>
    <t>Blue light PBM to eyes</t>
  </si>
  <si>
    <t>Photochemical Retinopathy induced by blue light emitted from a light-emitting diode Face Mask</t>
  </si>
  <si>
    <t>Blue light toxicity to eyes (🔵)</t>
  </si>
  <si>
    <t>460-
470
+
620-
680
+
760-
900</t>
  </si>
  <si>
    <t>"A 37-year-old woman presented to the clinic with complaints of distorted vision in her right eye. The patient was exposed to blue light from an LED face mask (Cellreturn LED therapy mask, BUJA CO, Korea) for 20 min once every 2 days for skin care from 1 month before presentation. When using the LED face mask, the patient reported that she had opened her eyes and continued with the routine tasks of daily life, as recommended by the manufacturer."
"The patient was diagnosed with blue LED-induced photochemical retinopathy and intravitreal bevacizumab was injected. Seven days after injection, subretinal fluid decreased and best corrected distance visual acuity was 20/20 in the right eye. (Fig. ​(Fig.3B).3B). After 4 weeks, dysmorphopsia symptoms were improved and the photoreceptor layer was improved on OCT; however, the site of disruption in the retinal pigment epithelium layer remained excavated (Fig. ​(Fig.33C)."</t>
  </si>
  <si>
    <t>Blue light PBM to skin</t>
  </si>
  <si>
    <t>Kala</t>
  </si>
  <si>
    <t>A Reproducible Method for Assessing the Effects of Blue Light Using in-vitro Human Skin Tissues</t>
  </si>
  <si>
    <t>"Exposure to blue light for 6 hours for 5 consecutive days (total intensity of 30 J/cm2 ) increased the expression of genes that regulate inflammation and oxidative stress pathways and decreased the expression of genes that maintain skin barrier and tissue integrity. Exposure to blue light significantly increased protein biomarkers associated with aging, inflammation and tissue damage."
"Our results showed that consistent blue light exposure produced skin damage via alterations in biological pathways that are associated with skin aging. This work provides a new, reproducible in vitro testing method for assessing the effects of blue light on human skin using gene expression, protein ELISA and IHC staining."</t>
  </si>
  <si>
    <t>Reported Side Effects, Weight and Blood Pressure, After Repeated Sessions of Transcranial Photobiomodulation.</t>
  </si>
  <si>
    <r>
      <rPr>
        <sz val="7.0"/>
      </rPr>
      <t xml:space="preserve">🧑 Human
🎲 Randomized trial, double-blind
👥 18 participants
⌛ 8 weeks
</t>
    </r>
    <r>
      <rPr>
        <i/>
        <sz val="7.0"/>
      </rPr>
      <t>(secondary analysis of ELATED-2)</t>
    </r>
  </si>
  <si>
    <t>LED phototherapy
18 participants from ELATED-2 study</t>
  </si>
  <si>
    <t>"More subjects in the NIR t-PBM group experienced side effects compared to sham, but only a trend for statistical significance was observed (χ2 = 3.60; df = 1; p = 0.058). The rate of side effects described by participants as "severe" in intensity was low and similar between the treatment groups (χ2 = 0.4; df = 1; p = 0.53), with no serious adverse events. Most side effects resolved during the study and treatment interruption were not required. 
Changes in weight and systolic blood pressure across groups were neither significant nor approached significance. In the NIR t-PBM group, diastolic blood pressure increased and reached statistical-however not clinical-significance (5.67 ± 7.26 vs. -6.13 ± 6.88; z = -2.40, p = 0.016)."
"This small-sample, exploratory study indicates repeated sessions of NIR t-PBM might be associated with treatment-emergent side effects. The systemic metabolic and hemodynamic profile of repeated t-PBM appeared benign. Future studies with larger samples and longer follow-up are needed to more accurately determine the side-effect profile and safety of NIR t-PBM."</t>
  </si>
  <si>
    <t>Senova</t>
  </si>
  <si>
    <t>Experimental assessment of the safety and potential efficacy of high irradiance photostimulation of brain tissues.</t>
  </si>
  <si>
    <t>10.000
-
60.000</t>
  </si>
  <si>
    <t>90
90</t>
  </si>
  <si>
    <t>"This study demonstrates the ability to illuminate cortical layers to a depth of several millimeters using pulsed red light without detrimental thermal damages."</t>
  </si>
  <si>
    <t>No evidence for toxicity after long-term photobiomodulation in normal non-human primates.</t>
  </si>
  <si>
    <t>🐒 Monkey (macaque)</t>
  </si>
  <si>
    <t>"We found no evidence for photobiomodulation generating an inflammatory glial response or neuronal degeneration near the implant site; further, photobiomodulation did not induce an abnormal activation or mitochondrial stress in nearby cells, nor did it cause an abnormal arrangement of the surrounding vasculature (endothelial basement membrane). "
"In summary, we found no histological basis for any major biosafety concerns associated with photobiomodulation [for 12 weeks] delivered by our intracranial approach and our findings set a key template for progress onto clinical trial on patients with Parkinson's disease."</t>
  </si>
  <si>
    <t>Brain cells</t>
  </si>
  <si>
    <t>Sagar</t>
  </si>
  <si>
    <t>Coupling of transient near infrared photonic with magnetic nanoparticle for potential dissipation-free biomedical application in brain.</t>
  </si>
  <si>
    <t>"We demonstrated that transient NIR irradiation in presence of MNPs is dissipation free and safe for brain cells. Our results suggest that MNPs-NIR phototargeting does not have adverse effect on the viability, growth behavior and plasticity of brain cells. Thus, selected power density of ~1.5 W/cm2 and 2 minute time window for 808 nm NIR exposure in this report will open a referral point to explore higher power density laser for brain cells. This opens up a regime that can provide an exceptional opportunity for the safe use of this novel combinatorial approach for various biomedical innovations."</t>
  </si>
  <si>
    <t>Eye safety</t>
  </si>
  <si>
    <t>Retinal Damage After Repeated Low-level Red-Light Laser Exposure</t>
  </si>
  <si>
    <t>"A 12-year-old female individual presented with bilateral vision loss for 2 weeks after 5-month application of repeated low-level red-light (RLRL) laser exposure (Eyerising [Suzhou Xuanjia Optoelectronics Technology]) for bilateral moderate myopia (...) After 3 months without RLRL therapy, the bilateral outer retinal damage partially recovered (Figure 2C and D), and the visual acuity improved to 20/25 OU (...)"</t>
  </si>
  <si>
    <t>DNA</t>
  </si>
  <si>
    <t>Near-Infrared Light Does Not Induce DNA Damage in Human Dermal Fibroblasts</t>
  </si>
  <si>
    <t>66
132
264</t>
  </si>
  <si>
    <t>"Commercially available LED NIR (830 ± 5 nm) panels (66, 132, and 264 J/cm2 ) did not result in DNA damage measured by cyclobutene pyrimidine dimers and pyrimidine-6,4-pyrimidone photoproducts in HDFs compared to temperature-matched controls immediately, 3 hours, and 24 hours following irradiation and compared to positive and negative controls. This demonstrates that LED-NIR does not damage DNA in HDFs in vitro."</t>
  </si>
  <si>
    <t>Visible red light does not induce DNA damage in human dermal fibroblasts</t>
  </si>
  <si>
    <t>320
640
1280</t>
  </si>
  <si>
    <t>"We found that 320 J/cm2 , 640 J/cm2 , and 1280 J/cm2 RL (633 ± 6 nm) did not induce measurable DNA damage in the form of cyclobutane pyrimidine dimers (CPD) or 6-4 photoproducts (6-4PP) immediately, three hours, and twenty-four hours following irradiation."</t>
  </si>
  <si>
    <t>Furlanetto</t>
  </si>
  <si>
    <t>In Vivo Analysis of Photobiomodulation Genotoxicity Using the Somatic Mutation and Recombination Test.</t>
  </si>
  <si>
    <t>Dose response
PBM-related harm</t>
  </si>
  <si>
    <t>3
5
10
20</t>
  </si>
  <si>
    <t>"The doses 5, 10, and 20 J/cm2 induced significant increase in the total number of spots compared with the negative control. The highest frequency of spots was caused by the 10 J/cm2."
"Besides recombination events, the quantitative and qualitative analysis of mutant hairs revealed the occurrence of mutagenic events, both punctual and chromosomal. In addition, the results point to a dose-dependent response."</t>
  </si>
  <si>
    <t>Transgenerational genomic instability in the first generation offspring of mice exposed to low-intensity red and near-infrared irradiation in vivo</t>
  </si>
  <si>
    <t xml:space="preserve">633
633
850
</t>
  </si>
  <si>
    <t xml:space="preserve">0.00016
0.00016
0.022
</t>
  </si>
  <si>
    <t>5
100
600</t>
  </si>
  <si>
    <t>"Transgenerational genomic instability in the first generation offspring of mice exposed to lowintensity infrared laser (632.8 nm) and light-emitting-diode infrared irradiation (850 nm) was investigated in vivo. It was found that the level of spontaneous damage in bone marrow according to the micronucleus test, the level of reactive oxygen species in whole blood, and the mass index of lymphoid organs in all of the descendants of irradiated mice did not increase."</t>
  </si>
  <si>
    <t>Drugs and Lactation Database (LactMed)</t>
  </si>
  <si>
    <t>Phototherapy</t>
  </si>
  <si>
    <t>"In general, laser therapy and phototherapy are considered acceptable during breastfeeding."</t>
  </si>
  <si>
    <t>Wipf</t>
  </si>
  <si>
    <t>Skin cancer in patients treated with photobiomodulation for alopecia: a retrospective chart review</t>
  </si>
  <si>
    <t>🧑 Human
📄 Retrospective study
👥 204 patients</t>
  </si>
  <si>
    <t>"This  preliminary  data  does  not  suggest  that  PBM  results in increased rates of skin cancer over the time period examined. This aligns with a literature review revealing  just  one  reported  skin  cancer  arising  in  PBM   treatment   sites   for   alopecia   that   was   not   attributed  to  device  use  [3]."</t>
  </si>
  <si>
    <t>Photobiomodulation: A Systematic Review of the Oncologic Safety of Low-Level Light Therapy for Aesthetic Skin Rejuvenation</t>
  </si>
  <si>
    <t>"A focused systematic review was performed, wherein safety data from clinical trials of PBM for skin rejuvenation was supplemented by analyses of in vitro data using cells derived from human skin and human neoplastic cells and in vivo data of tumors of the skin, oral cavity and breast."
"Within established parameters, red/near infrared light mainly enhances proliferation of healthy cells without a clear pattern of influence on cell viability. The same light parameters mainly reduce neoplastic cell proliferation and viability or else make no difference. Invasiveness potential (appraised by cell migration assays and/or differential gene expression) is equivocal. PBM does not induce dysplastic change in healthy cells. In vivo tumor models yield varied results with no clear pattern emerging. There are no relevant clinical trials data linking PBM with any significant adverse events including the finding of a new or recurrent malignancy."</t>
  </si>
  <si>
    <t>Szymański</t>
  </si>
  <si>
    <t>Poland
(Magdalenka)</t>
  </si>
  <si>
    <t>Effects of 445 nm, 520 nm, and 638 nm Laser Irradiation on the Dermal Cells</t>
  </si>
  <si>
    <t>PBM-related harm (high dose)</t>
  </si>
  <si>
    <t>445
520
638</t>
  </si>
  <si>
    <t>"The 445 nm irradiation was cytotoxic to BJ-5ta (≥58.7 J/cm2) but not to Ker-CT cells (...)
The 520 nm irradiation was cytotoxic to BJ-5ta (≥468.4 J/cm2) and Ker-CT (≥385.7 J/cm2) cells (..)
The 638 nm irradiation was cytotoxic to BJ-5ta and Ker-CT cells (≥151.5 J/cm2)."
"At high fluences, 455 nm, 520 nm, and 638 nm irradiation, representing blue, green, and red light spectra, are hazardous to keratinocytes and fibroblasts. However, laser irradiation may benefit the cells at low fluences by modulating the cell cycle and proliferation rate."</t>
  </si>
  <si>
    <t>Safety of light emitting diode-red light on human skin: two randomized controlled trials.</t>
  </si>
  <si>
    <t>🧑 Human
🎲 Randomized trial (STARS-1)
👥 60 participants
🎲 Randomized trial (STARS-2)
👥 55 participants
⌛ 3 weeks</t>
  </si>
  <si>
    <t>160-
640
(see full text)</t>
  </si>
  <si>
    <t>"LED-RL is safe up to 320 J/cm2 for skin of color and 480 J/cm2 for non-Hispanic Caucasian individuals. LED-RL may exert differential cutaneous effects depending on race and ethnicity, with darker skin being more photosensitive."</t>
  </si>
  <si>
    <t>Device: "Omnilux new-U handheld LED device (GlobalMed Technologies, Glen Ellen, CA)"</t>
  </si>
  <si>
    <t>A single-blind, dose-escalation, phase I study of high-fluence light-emitting diode-red light on Caucasian non-Hispanic skin: study protocol for a randomized controlled trial.</t>
  </si>
  <si>
    <t>Pham</t>
  </si>
  <si>
    <t>Persistent Erythema Ab Igne Occurring After Low-Level Laser Therapy for Lipolysis.</t>
  </si>
  <si>
    <t>650-
660</t>
  </si>
  <si>
    <t>"A 44-year-old woman presented with complaints of asymptomatic, red “burns” with small “bumps” on her bilateral upper arms for the past 6 months after LLLT lipolysis treatment (i-Lipo; Chromogenex Technologies Ltd, South Wales, United Kingdom). Immediately after treatment, the patient noticed the areas were red and swollen. Since having the procedure, erythema and skin changes had decreased in severity. "
"i-Lipo is a Food and Drug Administration-approved LLLT device using 650 to 660 nm (energy output of 38 · 40 mW, total 1.3 W). Patients receive a total of 8 treatments, each less than 30 minutes, over the course of 1 to 2 months"</t>
  </si>
  <si>
    <t>Photobiomodulation and diffusing optical fiber on spinal cord's impact on nerve cells from normal spinal cord tissue in piglets</t>
  </si>
  <si>
    <t>🐖 Piglet</t>
  </si>
  <si>
    <t>"Our results showed that a 14-day experimental application of photobiomodulation on piglets was not toxic to the surrounding spinal and nerve cells. We found no histological basis for biosafety concerns associated with photobiomodulation on the lamina, and our findings set a key template for progress regarding clinical trials on SCI patients."</t>
  </si>
  <si>
    <t>Lazzarini</t>
  </si>
  <si>
    <t>Keratinocytes Exposed to Blue or Red Light: Proteomic Characterization Showed Cytoplasmic Thioredoxin Reductase 1 and Aldo-Keto Reductase Family 1 Member C3 Triggered Expression</t>
  </si>
  <si>
    <t>465
658</t>
  </si>
  <si>
    <t>0.001
0.084
0.001
0.110</t>
  </si>
  <si>
    <t>"Low-irradiance blue or red light exposure did not show an alteration in the cell viability, cell death or cell cycle progression. 
High-irradiance blue or red light reduced the cell viability, induced cell death and cell cycle G2/M arrest, increased the reactive oxygen species (ROS) and altered the mitochondrial density and morphology. The proteomic profile revealed a pivotal role of Cytoplasmic thioredoxin reductase 1 (TXNRD1) and Aldo-keto reductase family 1 member C3 (AKR1C3) in the response of the HaCaT cells to high-irradiance blue or red light exposure."</t>
  </si>
  <si>
    <t>Ferreiraw</t>
  </si>
  <si>
    <t>Photobiomodulation-blue and red LED: protection or cellular toxicity? In vitro study with human fibroblasts</t>
  </si>
  <si>
    <t>4
18
4
18</t>
  </si>
  <si>
    <t xml:space="preserve">"The blue light demonstrated cell protection potential by reducing free radical formation and protecting the cell membrane by decreasing double-stranded DNA strands.
On the other hand, the red light showed less potential for cell protection due to the risk of associating more significant nitric oxide formation with increased reactive oxygen species formation, in addition to having a greater amount of extracellular DNA."
"Despite the consolidated effects of red light in treating wounds, there was a potential toxic effect of this wavelength in the doses studied."
</t>
  </si>
  <si>
    <t>Engel</t>
  </si>
  <si>
    <t>Cell lineage responses to photobiomodulation therapy.</t>
  </si>
  <si>
    <t>Fibroblasts
Keratinocytes
Reactive oxygen species (ROS)</t>
  </si>
  <si>
    <t>"We observed keratinocytes have increased sensitivity to laser irradiances (&gt;0.047 W/cm2 , 300 sec, 14.2 J/cm2 ) compared to the fibroblast cells (&gt;0.057 W/cm2 , 300 sec, 15.1 J/cm2 ) (p &lt; 0.0001). Laser treatments were noted to generate increased reactive oxygen species (ROS) levels in keratinocytes compared to fibroblasts that appeared to inversely correlate with higher basal catalase expression. To validate these observations, melatonin was used to treat keratinocytes to induce catalase activity (p &lt; 0.0001). Increased melatonin-induced catalase levels were noted to significantly improve keratinocyte survival to phototoxic laser doses."</t>
  </si>
  <si>
    <t>Safety assessment of trans-tympanic photobiomodulation.</t>
  </si>
  <si>
    <t>A very high LLLT dose (7560J) was associated with tympanic membrane injury.</t>
  </si>
  <si>
    <t>Rahn</t>
  </si>
  <si>
    <t>Water-filtered infrared A reduces chlamydial infectivity in vitro without causing ex vivo eye damage in pig and mouse models.</t>
  </si>
  <si>
    <t>Ex vivo (🐁 Mouse, 🐖 Pig)
🧪 In vitro (cells)</t>
  </si>
  <si>
    <t>Chlamydial infection
Polychromatic light 🌈</t>
  </si>
  <si>
    <t>"Irradiation did not reduce cell viability and there was no indication of retinal damage post treatment. Additionally, temperatures during wIRA exposure did not markedly exceed physiological eye temperatures, suggesting that hyperthermia-related lesions are unlikely."</t>
  </si>
  <si>
    <t>Brazil
(Maracana)</t>
  </si>
  <si>
    <t>DNA damage in blood cells exposed to low-level lasers.</t>
  </si>
  <si>
    <t>Wavelength comparison
PBM-related harm</t>
  </si>
  <si>
    <t>25/
50/
100</t>
  </si>
  <si>
    <t>"Data show that exposure to low-level red and infrared lasers induce DNA damage depending on fluence, power and emission mode, which are targeted by Fpg and endonuclease III."
"Oxidative DNA damage should be considered for therapeutic efficacy and patient safety in clinical applications based on low-level red and infrared lasers."</t>
  </si>
  <si>
    <t>Weisman &amp; Lewis</t>
  </si>
  <si>
    <t>Ann Intern Med</t>
  </si>
  <si>
    <t>Low-level laser liposuction and hypertriglyceridemia.</t>
  </si>
  <si>
    <t>Hypertriglyceridemia</t>
  </si>
  <si>
    <t>"Case Report: We had been following a 64-year-old man for 15 years for type 2 diabetes and combined hyperlipidemia; his triglyceride level was typically between 2.3 and 3.4 mmol/L (200 and 300 mg/dL). During a routine clinic visit, his triglyceride level was 16.2 mmol/L (1435 mg/dL)"
"Discussion: Some devices that provide low-level laser therapy have been approved by the U.S. Food and Drug Administration for noninvasive liposuction. Laser light is applied to the target area for 10 to 20 minutes, and this procedure is repeated over 6 to 12 treatment sessions. Low-level laser therapy does not alter tissue temperature, visibly change the tissue structure at the macroscopic level, or result in adipocyte destruction or lipolysis. Rather, temporary structural damage to adipocyte membranes allows release of triglycerides into the interstitial space and then into the circulation, where they can be metabolized (3). Low-level laser therapy has been shown in placebo-controlled, randomized trials to statistically and clinically significantly decrease waist circumference (3, 4)."
"That a patient having noninvasive liposuction is likely to have an elevated body mass index, which itself is associated with hypertriglyceridemia, is particularly concerning. On the basis of our experience, we believe that a baseline screening lipid profile might be indicated in patients with risk factors for hypertriglyceridemia before having low-level laser therapy because these patients may have increased risk for acute severe hypertriglyceridemia associated with this procedure."</t>
  </si>
  <si>
    <t>McCarthy</t>
  </si>
  <si>
    <t>Long-term safety of single and multiple infrared transcranial laser treatments in Sprague-Dawley rats.</t>
  </si>
  <si>
    <t>2.23</t>
  </si>
  <si>
    <t>268</t>
  </si>
  <si>
    <t>"Single and multiple applications of transcranial laser therapy with 808-nm CW laser light at a nominal power density of 10 mW/cm(2) at the surface of the cerebral cortex appears to be safe in Sprague-Dawley rats 1 year after treatment."</t>
  </si>
  <si>
    <t>Jensen-Waern, Ekman</t>
  </si>
  <si>
    <t>Sweden
(Uppsala)</t>
  </si>
  <si>
    <t>Effects of a 2-week treatment with pulsed monochromatic light in healthy pigs: a clinical and morphological study</t>
  </si>
  <si>
    <t>637+
956</t>
  </si>
  <si>
    <t>"In healthy pigs, no adverse effects of low-energy photon therapy on the clinical state of health or on the morphology of different tissues were observed."</t>
  </si>
  <si>
    <t>Ilic</t>
  </si>
  <si>
    <t>Effects of power densities, continuous and pulse frequencies, and number of sessions of low-level laser therapy on intact rat brain.</t>
  </si>
  <si>
    <t>"Both the scores from standard neurological tests and the histopathological examination indicated that there was no long-term difference between laser-treated and control groups up to 70 days post-treatment. The only rats showing an adverse neurological effect were those in the 750 mW/cm2 (about 100-fold optimal dose), CW mode group."
"Long-term safety tests lasting 30 and 70 days at optimal 10x and 100x doses, as well as at multiple doses at the same power densities, indicate that the tested laser energy doses are safe under this treatment regime."</t>
  </si>
  <si>
    <t>Cell survival, DNA, and protein damage in B14 cells under low-intensity near-infrared (810 nm) laser irradiation</t>
  </si>
  <si>
    <t>3.75
7.50
11.25
15.00</t>
  </si>
  <si>
    <t>"We can conclude that laser irradiation used (810 nm, 200 mW, 3.75-11.25 J/cm(2)) did not produce any considerable cytotoxic or genotoxic effects in B14 cells. Moreover, laser irradiation reduced cellular protein damage (protein carbonyl groups) produced by biological oxidant HOCl."</t>
  </si>
  <si>
    <t>Grzesiak-Janas</t>
  </si>
  <si>
    <t>Int J Occup Med Environ Health</t>
  </si>
  <si>
    <t>Exposure of eyes to laser radiation during dental surgery.</t>
  </si>
  <si>
    <t>"Fifty patients admitted to the clinic because of dental surgery were subjected to biostimulative laser therapy. Ophthalmological examinations were performed in each patient prior and after laserotherapy. The results were estimated according to the occurrence of lacrimation, redness of the conjunctiva, photophobia and the changed retinal reflex to the light. No pathological changes were revealed in the treated patients who had used protective glasses during the laserotherapy."</t>
  </si>
  <si>
    <t>Wolbarsht</t>
  </si>
  <si>
    <t>Low‐level laser therapy (LLLT) and safety considerations</t>
  </si>
  <si>
    <t>"Although the low‐power HeNe lasers and diode lasers used for low‐level laser therapy (LLLT) and photoactivation of biological processes are usually thought to be “safe”, the possibility that such lasers can cause biological effects raises the question of whether such laser action may, under some conditions, be adverse and thus be unsafe. Some research data can be interpreted as evidence for adverse effects. Laser safety standards classify all CW HeNe lasers with an output power below 1 mW as “Class 2,” as they are not considered a realistic hazard, whereas most HeNe lasers with an output power between 1 and 15 mW are Class 3A or 3B. Most diode lasers used for LLLT are considered Class 3B. Safety control measures for ocular hazards are expected for Class 3A and 3B laser exposures, but any adverse effects of LLLT will result from long‐duration, high‐level doses to parts other than the eyes. The hazards will be systemic rather than ocular, and, thus, need evaluation. The safety implications of current knowledge regarding LLLT are discussed with regard to the demonstrated effects in cell cultures, and on vitamin D synthesis in regard to calcium metabolism in adults."</t>
  </si>
  <si>
    <t>Calderhead &amp; Inomata</t>
  </si>
  <si>
    <t>A study on the possible haemorrhagic effects of extended infrared diode laser irradiation on encapsulated and exposed synovial membrane articular tissue in the rat</t>
  </si>
  <si>
    <t>"Evaluation of any photoinduced thermal damage was made both macroscopically and with blinded microscopic histological assessment. No damage was macroscopically visible, and no difference was found in the histology of the control, indirectly and directly-irradiated synovial membrane specimens. The authors conclude that, at the wavelength and delivery parameters given, even with extended dosage, laser therapy has no adverse photothermal effects on encapsulated or exposed synovial membrane in vivo."</t>
  </si>
  <si>
    <t>Sleep medicine</t>
  </si>
  <si>
    <t>Viarengo</t>
  </si>
  <si>
    <t>Evaluation of intravascular irradiation of blood in children with sleep bruxism: Study protocol for a randomized controlled clinical trial</t>
  </si>
  <si>
    <t>Immediate Evaluation of the Effect of Infrared LED Photobiomodulation on Childhood Sleep Bruxism: A Randomized Clinical Trial</t>
  </si>
  <si>
    <t xml:space="preserve">🧑 Human (pediatric)
🎲 Randomized trial
👥 30 participants
⌛ </t>
  </si>
  <si>
    <t>2.675</t>
  </si>
  <si>
    <t>420
/muscle</t>
  </si>
  <si>
    <t>Effect of Photobiomodulation on Salivary Cortisol, Masticatory Muscle Strength, and Clinical Signs in Children with Sleep Bruxism: A Randomized Controlled Trial</t>
  </si>
  <si>
    <t>🧑 Human (pediatric)
🎲 Randomized trial
👥 76 participants
⌛ 6 weeks</t>
  </si>
  <si>
    <t>Laser acupuncture (PBM on acupuncture points)</t>
  </si>
  <si>
    <t>12
(12 p)</t>
  </si>
  <si>
    <t>0.04 cm2 spot area
0.48 cm2 irrad. area</t>
  </si>
  <si>
    <t>"A statistically significant difference was found between the frequency of children with headache before and after treatment in G1 (p = 0.0005) and G2 (p = 0.0001), with no significant differences between the two groups (G1 and G2)."</t>
  </si>
  <si>
    <t>Device: "Therapy EC—DMC"</t>
  </si>
  <si>
    <t>Effects of Photobiomodulation in Children with Down Syndrome and Possible Sleep Bruxism: Protocol For A Randomized, Controlled, Blind, Clinical Trial: Study protocol clinical trial (SPIRIT compliant).</t>
  </si>
  <si>
    <t>Evaluation of the effectiveness of infrared light-emitting diode photobiomodulation in children with sleep bruxism: Study protocol for randomized clinical trial.</t>
  </si>
  <si>
    <t>Guillain-Barré syndrome</t>
  </si>
  <si>
    <t>Chang &amp; Chang</t>
  </si>
  <si>
    <t>The effects of intravascular photobiomodulation on sleep disturbance caused by Guillain-Barré syndrome after Astrazeneca vaccine inoculation: Case report and literature review</t>
  </si>
  <si>
    <t>Intravascular laser (ILIB)</t>
  </si>
  <si>
    <t>5
/ 5 days (?)</t>
  </si>
  <si>
    <t>"We used the Pittsburgh Sleep Quality Index before and after intravascular laser irradiation. There was a marked improvement in the sleep duration, efficiency, and overall sleep quality. The initial score was 12 out of 21 and the final score was 7 out of 21."</t>
  </si>
  <si>
    <t>Restless legs syndrome (RLS)</t>
  </si>
  <si>
    <t>Mohammadi</t>
  </si>
  <si>
    <t>Clin Med Res</t>
  </si>
  <si>
    <t>Effect of Near-Infrared Light Therapy Based on Acupoints on the Severity of Restless Legs Syndrome in Patients Undergoing Hemodialysis: A Single-Blind Randomized Controlled Trial.</t>
  </si>
  <si>
    <t>🧑 Human
🎲 Randomized trial, sham-controlled
👥 60 participants
⌛ 4-week treatment -&gt; 2-week follow-up</t>
  </si>
  <si>
    <t>Laser acupuncture (PBM on acupoints)</t>
  </si>
  <si>
    <t>"The results indicated that there were statistically and clinically significant differences between the intervention and control groups at the end of the intervention sessions (P &lt; 0.001, MD = 3.8). However, after the treatment was discontinued, the difference was not clinically significant (MD = 2.4)."
"The present study showed that the application of NIR light to acupoints in the legs and feet was as an effective treatment for attenuating the symptoms of RLS in hemodialysis patients."
Comment: The improvement was quite modest.</t>
  </si>
  <si>
    <t>Mitchell</t>
  </si>
  <si>
    <t>Comparison of two infrared devices in their effectiveness in reducing symptoms associated with RLS.</t>
  </si>
  <si>
    <t>🧑 Human
⚔ Comparison study, randomized
👥 25 participants
⌛ 4 weeks</t>
  </si>
  <si>
    <t>⚔ Anodyne PBM vs HealthLight PBM
LED phototherapy
Wavelength comparison (device comparison)</t>
  </si>
  <si>
    <t>650
890</t>
  </si>
  <si>
    <t>"Although the two near-infrared light devices used different wavelengths and frequencies and one device used additional red light, they both produced significant improvement in the symptoms associated with RLS after 4 weeks of treatment."</t>
  </si>
  <si>
    <t>Devices: Anodyne and HealthLight</t>
  </si>
  <si>
    <t>Restless legs syndrome and near-infrared light: An alternative treatment option.</t>
  </si>
  <si>
    <t>🧑 Human
🎲 Randomized trial
👥 34 participants
⌛ 4-week treatment -&gt; 4-week follow-up</t>
  </si>
  <si>
    <t>LED phototherapy
LED array (Anodyne)</t>
  </si>
  <si>
    <t>62.4</t>
  </si>
  <si>
    <t>"After 4 weeks of treatment the treatment group had a significantly greater improvement in restless legs syndrome symptoms than the control group (p&lt;0.001); improvement was still significant after 4 weeks posttreatment compared to baseline (p&lt;0.001). Treatment with near-infrared light does decrease symptoms associated with RLS as demonstrated in lower IRLS scores."</t>
  </si>
  <si>
    <t>Device: Anodyne</t>
  </si>
  <si>
    <t>Brain Waste Removal System and Sleep: Photobiomodulation as an Innovative Strategy for Night Therapy of Brain Diseases</t>
  </si>
  <si>
    <t>"In our pioneering study, we discovered that tPBM performed during sleep stimulates Aβ clearance from the mouse brain more effectively than tPBM applied during wakefulness [28]."
"Based on the fact that the BWRS is activated during deep (NREM) sleep, we hypothesize that tPBM during night sleep might be more effective for the therapy of brain diseases than tPBM during the day."</t>
  </si>
  <si>
    <t>The effect of photobiomodulation on the brain during wakefulness and sleep</t>
  </si>
  <si>
    <t>"In this review, we consider the potential differential effects of photobiomodulation dependent on the state of arousal. We speculate that the effects of photobiomodulation is on different cells and systems depending on whether it is applied during wakefulness or sleep, that it may follow a circadian rhythm. We speculate further that the arousal-dependent photobiomodulation effects are mediated principally through a biophoton - ultra-weak light emission - network of communication and repair across the brain."</t>
  </si>
  <si>
    <t>Sleep apnea</t>
  </si>
  <si>
    <t>de Camargo</t>
  </si>
  <si>
    <t>Photobiomodulation by low-level laser therapy in patients with obstructive sleep apnea: Study protocol clinical trial (SPIRIT compliant).</t>
  </si>
  <si>
    <t>"EXPECTED RESULTS: In the individuals with [obstructive sleep apnea], photobiomodulation through LLLT will decrease the [apnea/hypopnea index]. Additionally, when LLLT is applied in the oral cavity, a highly vascularized region, this may cause improvements in the vascular function and in the autonomic and hemodynamic control."</t>
  </si>
  <si>
    <t>Sleep deprivation-induced harms</t>
  </si>
  <si>
    <t>Lutfy</t>
  </si>
  <si>
    <t>Neurochem Res</t>
  </si>
  <si>
    <t>Transcranial Irradiation Mitigates Paradoxical Sleep Deprivation Effect in an Age-Dependent Manner: Role of BDNF and GLP-1</t>
  </si>
  <si>
    <t>"Our results showed that NIR photobiomodulation (PBM) attenuated cognitive deterioration made by SD in young, but not senile rats, while both sleep-deprived young and senile rats exhibited decreased anxiety (mania)-like behavior in response to PBM. NIR PBM had an inhibitory effect on AChE, enhanced the production of ACh, attenuated ROS, and regulated cell apoptosis factors such as Bax and Bcl-2. NIR increased mRNA expression of BDNF and GLP-1 in senile rats, thus facilitating neuronal survival and differentiation. The present findings also revealed that age exerts an additive factor to the cellular assaults produced by SD where hippocampal damages made in 2-month rats were less severe than those of the aged one."</t>
  </si>
  <si>
    <t>Photomodulatory effects in the hypothalamus of sleep-deprived young and aged rats</t>
  </si>
  <si>
    <t>"The results revealed that TLT treatment has enhanced the antioxidant status, prevented oxidative insults, suppressed neuroinflammation, regulated CCO activity, reduced apoptotic markers, and tuned the survival genes (BDNF &amp; GLP-1) in hypothalamic tissue of SD young and aged rats."</t>
  </si>
  <si>
    <t>Sleep quality</t>
  </si>
  <si>
    <t>The impact of photobiomodulation on sleep and life quality in hemodialysis patients: A randomized controlled trial</t>
  </si>
  <si>
    <t>🧑 Human
🎲 Randomized trial
👥 40 participants
⌛ (?)</t>
  </si>
  <si>
    <t>"830 nm laser was used to radiate on the palm (at dose of 256.10 J/cm2), ST 36 and KI 1 acupoints (at dose of 109.76 J/cm2)"
"After 830 nm laser radiation, lower global Pittsburgh Sleep Quality Index and Athens Insomnia Scale scores were observed, accompanied by higher physical and mental component summary scores in MOS 36-item short-form health survey version 2 and a global World Health Organization Quality of Life Brief Version score. The laser group also showed significant improvements in QoL and sleep quality indicators. Additionally, pain levels decreased on the third day and after one month according to visual analogue scale."</t>
  </si>
  <si>
    <t>Effects of Intravascular Photobiomodulation on Insomnia, Muscle Soreness, and Biochemistry Profiles: An Eight-Year Retrospective Cohort</t>
  </si>
  <si>
    <t>🧑 Human
📄 Retrospective study
👥 183 patients (18 with insomnia) (128 with pain)</t>
  </si>
  <si>
    <t>"iPBM therapy is an efficient, beneficial, and feasible treatment that increases HGB and HCT. While the results of this study do not support the suggestion that iPBM reduces drug use, further larger studies using symptom scales are needed to confirm the changes in insomnia and muscle soreness after iPBM treatment."
Comment: Low-quality study (non-randomized)</t>
  </si>
  <si>
    <t>J Clin Sleep Med</t>
  </si>
  <si>
    <t>A randomized, sham-controlled trial of a novel near-infrared phototherapy device on sleep and daytime function</t>
  </si>
  <si>
    <t>Evening PBM (before sleep)</t>
  </si>
  <si>
    <t>660+
740+
810+
870</t>
  </si>
  <si>
    <t>"Objective sleep parameters, as measured by actigraphy, did not differ between the active or sham groups, but improved self-reported sleep, as well as perceived improvements in relaxation and mood, were observed among active but not sham users. Both active and sham users improved in insomnia severity index (ISI) score by the end of the trial."</t>
  </si>
  <si>
    <t>Giménez</t>
  </si>
  <si>
    <t>Netherlands
(Groningen)</t>
  </si>
  <si>
    <t>Biology</t>
  </si>
  <si>
    <t>Effects of Near-Infrared Light on Well-Being and Health in Human Subjects with Mild Sleep-Related Complaints: A Double-Blind, Randomized, Placebo-Controlled Study</t>
  </si>
  <si>
    <t>🧑 Human
🎲 Randomized trial, double-blind
👥 56 participants
⌛ 4 weeks</t>
  </si>
  <si>
    <t>Morning PBM
Seasonal effect (winter PBM vs summer PBM)</t>
  </si>
  <si>
    <t>1
4
6.5</t>
  </si>
  <si>
    <t>"The results showed PBM treatment only at 6.5 J·cm−2 to have consistent positive benefits on well-being and health, specifically improving mood, reducing drowsiness, reducing IFN-γ, and resting heart rate. This was only observed in winter."</t>
  </si>
  <si>
    <t>Valverde</t>
  </si>
  <si>
    <t>Neurel Regen Res</t>
  </si>
  <si>
    <t>Lights at night: does photobiomodulation improve sleep?</t>
  </si>
  <si>
    <t>"In animal models, these wavelengths, when applied at night, have been reported to stimulate the removal of fluid and toxic waste-products from the brain; that is, they improve the brain's inbuilt house-keeping function. We suggest that transcranial nocturnal photobiomodulation, by improving brain function at night, will help improve the health and well-being of many individuals, by enhancing the quality of their sleep."</t>
  </si>
  <si>
    <t>Rentz</t>
  </si>
  <si>
    <t>Full-Body Photobiomodulation Therapy Is Associated with Reduced Sleep Durations and Augmented Cardiorespiratory Indicators of Recovery</t>
  </si>
  <si>
    <t>🧑 Human
📄 Observational study
👥 12 participants</t>
  </si>
  <si>
    <t>average 8.5 sessions per player</t>
  </si>
  <si>
    <t>"Enhanced cardiorespiratory indicators of recovery following PBMT, despite significant reductions in sleep duration, suggest that it may be an effective modality for maintaining adequate recovery from the high stress loads experienced by elite athletes."</t>
  </si>
  <si>
    <t>Device: "NovoTHOR full-body light bed (THOR Photomedicine Ltd., Chesham, United Kingdom)"</t>
  </si>
  <si>
    <t>Brain Photobiomodulation Improves Sleep Quality in Subjective Cognitive Decline: A Randomized, Sham-Controlled Study</t>
  </si>
  <si>
    <t>🧑 Human
🎲 Randomized trial, sham-controlled
👥 58 participants
⌛ 6 days</t>
  </si>
  <si>
    <t>"We found no differences in sleep efficiency change (F = 211, p = 0.279), REM stage percent change (F = 420, p = 0.91), and wake-up time (F = 212, p = 0.277) between the two groups. 
The sleep efficiency and REM were improved within the true light group on the fifth day. 
The true light group perform better than the control group in the n-back test, the accuracy was higher in the 2-back test (88.6% versus 79.6%, p = 0.001), and the reaction time in 1-back was shorter (544.80±202.00 versus 592.87±222.05, p = 0.003)."</t>
  </si>
  <si>
    <t>Red light and the sleep quality and endurance performance of Chinese female basketball players.</t>
  </si>
  <si>
    <t>🧑 Human
🎲 Randomized trial, sham-controlled
👥 20 participants
⌛ 2 weeks</t>
  </si>
  <si>
    <t>14
/ 14 days
(nights)</t>
  </si>
  <si>
    <t>"The 14-day whole-body irradiation with red-light treatment improved the sleep, serum melatonin level, and endurance performance of the elite female basketball players (P &lt; .05). We found a correlation between changes in global Pittsburgh Sleep Quality Index and serum melatonin levels (r = -0.695, P = .006)."</t>
  </si>
  <si>
    <t>Device: "a whole-body red-light treatment machine (Shanghai Dayou PDT Technology Co, Ltd, Shanghai, China)"</t>
  </si>
  <si>
    <t>Hemilaminectomy</t>
  </si>
  <si>
    <t>Bennaim</t>
  </si>
  <si>
    <t>Preliminary evaluation of the effects of photobiomodulation therapy and physical rehabilitation on early postoperative recovery of dogs undergoing hemilaminectomy for treatment of thoracolumbar intervertebral disk disease.</t>
  </si>
  <si>
    <t>"This study found no difference in recovery-related variables among dogs that received photobiomodulation therapy, physical rehabilitation with sham photobiomodulation treatment, or sham photobiomodulation treatment only. Larger studies are needed to better evaluate effects of these postoperative treatments on dogs treated surgically for intervertebral disk disease."</t>
  </si>
  <si>
    <t>Spinal column</t>
  </si>
  <si>
    <t>Axial spondyloarthritis</t>
  </si>
  <si>
    <t>Klemm</t>
  </si>
  <si>
    <t>Germany
(Bad Nauheim)</t>
  </si>
  <si>
    <t>Serial locally applied water-filtered infrared a radiation in axial spondyloarthritis - a randomized controlled trial</t>
  </si>
  <si>
    <t>🧑 Human
🎲 Randomized trial
👥 71 participants
⌛ 6 days</t>
  </si>
  <si>
    <t>"71 patients completed the trial (IG: 36 patients, control group (CG) 35 patients). sl-wIRAR led to a significant pain reduction measured by a numeric rating scale (p &lt; .0005) and in comparison, to the CG (p = .006).
sl-wIRAR treatment resulted in a significant reduction in the Bath Anyklosing Spondylitis Disease Activity Index (BASDAI) (p = .004) and Bath Ankylosing Spondylitis Functional Index (p = .004) with no significant difference to the CG.
TNF-α levels were significantly decreased (p = .001) only in the IG with a significant difference to the CG (p = .01). 26 (76%) of patients in the IC reduced their NSAID therapy after trial completion."
"sl-wIRAR treatment in axSpA leads to a rapid reduction in pain allowing NSAID dosage reduction. A reason for these desirable effects could be a change in TNFα levels."</t>
  </si>
  <si>
    <t>Draper</t>
  </si>
  <si>
    <t>J Small Anim Pract</t>
  </si>
  <si>
    <t>Low-level laser therapy reduces time to ambulation in dogs after hemilaminectomy: a preliminary study.</t>
  </si>
  <si>
    <t>🐶 Dog
Controlled</t>
  </si>
  <si>
    <t>25
(?)</t>
  </si>
  <si>
    <t>60
/area</t>
  </si>
  <si>
    <t>"The time to achieve a modified Frankel score of 4 was significantly lower (P=0.0016) in the low-level laser therapy group (median 3.5 days) than the control group (median 14 days)."</t>
  </si>
  <si>
    <t>Intravertebral disks</t>
  </si>
  <si>
    <t>Tramontana</t>
  </si>
  <si>
    <t>Laser biostimulation effects on invertebral disks: histological evidence on intra-observer samples. Retrospective double-blind study.</t>
  </si>
  <si>
    <t>🧑 Human
🎲 Randomized trial, double-blind
👥 60 participants
⌛ 4 weeks</t>
  </si>
  <si>
    <t>633+
950</t>
  </si>
  <si>
    <t>6.5+
5000</t>
  </si>
  <si>
    <t>1125</t>
  </si>
  <si>
    <t>"It has been shown a higher number of mucopolysaccharides and young newly formed elastic fibers in the group that was treated with laser irradiation with a statistically significant difference, compared to the placebo group (p&lt; 0.0001)."
"Laser biostimulation can be an effective strategy in the therapy of the invertebral disks."
Comment: What does the 'retrospective' mean in the context of this study? The description of methods is somewhat unusual.</t>
  </si>
  <si>
    <t>Effects of Photobiomodulation on Annulus Fibrosus Cells Derived From Degenerative Disc Disease Patients Exposed to Microvascular Endothelial Cells Conditioned Medium</t>
  </si>
  <si>
    <t>465
525
645</t>
  </si>
  <si>
    <t>"Our results show that PBM selectively inhibited the EC-mediated production of inflammatory mediators, catabolic enzymes, and neurotrophins by human AF cells in a dose- and wavelength-dependent manner. These results suggest that PBM could be a superior and advanced treatment strategy for IVD degeneration."</t>
  </si>
  <si>
    <t>Photobiomodulation of extracellular matrix enzymes in human nucleus pulposus cells as a potential treatment for intervertebral disk degeneration.</t>
  </si>
  <si>
    <t>465
525
630</t>
  </si>
  <si>
    <t>16/32/64
16/32/64
16/32/64</t>
  </si>
  <si>
    <t>"In summary, we hypothesized that PBM may control the gene and protein expression of MMPs or TIMPs in human NP cells. Thus, we investigated the effects of PBM, at various wavelengths (630, 525, and 465 nm) and doses (16, 32, and 64 J/cm2), on the regulation of ECM-modifying enzymes in MCM-stimulated human NP cells. 
Our data show that PBM at 630 and 525 nm successfully and dose-dependently suppressed the expression of MMP-1 without altering TIMP-2 production. Consistent with our results, other study observed that photo irradiation at 660 nm showed upregulation of collagen and down regulation MMP-1 in vitro."</t>
  </si>
  <si>
    <t>Phototherapy suppresses inflammation in human nucleus pulposus cells for intervertebral disc degeneration.</t>
  </si>
  <si>
    <t>"Importantly, phototherapy attenuated the protein and gene expression of pain-related factor IL-6 at all doses and wavelengths. 
Interestingly, phototherapy also modulated the protein and gene expression of IL-8, which is responsible for the anabolic response, at a wavelength of 465 nm at all doses, in human NP cells. 
These findings suggested that phototherapy, at an optimal dose and wavelength, might be a useful therapeutic tool to treat IVD degeneration."</t>
  </si>
  <si>
    <t>Photobiomodulation on human annulus fibrosus cells during the intervertebral disk degeneration: extracellular matrix-modifying enzymes.</t>
  </si>
  <si>
    <t>470
525
635</t>
  </si>
  <si>
    <t>16
32
64</t>
  </si>
  <si>
    <t>"We showed that the MCM-stimulated AF cells express imbalanced ratios of TIMPs (TIMP-1 and TIMP-2) and MMPs (MMP-1 and MMP-3). PBM selectively modulated the production of ECM-modifying enzymes in AF cells. These results suggest that PBM can be a therapeutic tool for degenerative IVD disorders."</t>
  </si>
  <si>
    <t>Low level light therapy modulates inflammatory mediators secreted by human annulus fibrosus cells during intervertebral disc degeneration in vitro.</t>
  </si>
  <si>
    <t>405
532
650</t>
  </si>
  <si>
    <t>"LLLT markedly inhibited secretion of IL-6 at 405 nm in a time-dependent manner. Level of IL-8 was significantly decreased at all wavelengths in a time-dependent manner."</t>
  </si>
  <si>
    <t>Lumbar disc degeneration</t>
  </si>
  <si>
    <t>Borshchenko</t>
  </si>
  <si>
    <t>Biological non-ablative repair of lumbar discs by transforaminal intradiscal laser irradiation: MRI quantitative analysis of the effects-preliminary report</t>
  </si>
  <si>
    <t>🧑 Human
📄 Single-arm trial
👥 28 participants</t>
  </si>
  <si>
    <t>7.8
cm2
avg
area</t>
  </si>
  <si>
    <t>"The mean value of MRI signal intensity from the irradiated discs increased by 14% (p &lt;&lt;&lt; 0.001). The control bone measurement revealed no difference in signal intensity (p = 0.83). The adjacent non-irradiated discs slightly increased their signal (p &lt; 0.05). T2 WI follow-up within 5 years revealed a steady increase of the signal and the irradiated discs healing.
LLLI of degenerated intervertebral discs by 1.56-μm Er fiber laser produces increase of MRI disc signal within the first year after treatment that confirms regenerative response of the disc and could lay in the basis of clinical improvement. Further assessment on the effect is mandatory."</t>
  </si>
  <si>
    <t>Clin Interv Aging</t>
  </si>
  <si>
    <t>Photobiomodulation using high- or low-level laser irradiations in patients with lumbar disc degenerative changes: disappointing outcomes and remarks.</t>
  </si>
  <si>
    <t>786
1064</t>
  </si>
  <si>
    <t>"After applying verum or placebo laser irradiation, therapeutic progress was observed in all comparative groups; however, no statistically significant differences were observed among the procedures."</t>
  </si>
  <si>
    <t>Lumbar disc protrusion</t>
  </si>
  <si>
    <t>Efficacy of high intensity laser therapy in treatment of patients with lumbar disc protrusion: A randomized controlled trial.</t>
  </si>
  <si>
    <t>🧑 Human
🎲 Randomized trial
👥 63 participants
⌛ 2-week treatment -&gt; 1-month follow-up</t>
  </si>
  <si>
    <t>7500
(in 3 phases)</t>
  </si>
  <si>
    <t>"A significant difference was noted in ODI, lumbar flexion range, and angle of straight leg raising between groups after two weeks of treatment (P&lt; 0.05). Non-statistical significant difference was observed in lumbosacral portion pain and lower limb radiation pain with VAS (P&gt; 0.05)."</t>
  </si>
  <si>
    <t>Device (HILT): "BTL-6000"</t>
  </si>
  <si>
    <t>Lumbar radiculopathy</t>
  </si>
  <si>
    <t>Correlation Analysis Between Pain Intensity, Functional Disability and Range of Motion Using Low-Level Laser Therapy in Patients With Discogenic Lumbar Radiculopathy: A Cross-sectional Study</t>
  </si>
  <si>
    <t>"For acute LBP with discogenic lumbar radiculopathy, LLLT at a wavelength of 830-nm and a dose of 3 J/point in conjunction with conventional physical therapy had no significant correlation, but rather weak to moderate values with pain intensity, functional disability, and L-ROM. It means that all the variables are interrelated to each other to some extent; any change in one variable brings about change in other variables whether in a positive or negative direction. LLLT was also observed to have no significant side effects during and after use."</t>
  </si>
  <si>
    <t>J Healthc Eng</t>
  </si>
  <si>
    <t>Effectiveness of Low-Level Laser Therapy in Patients with Discogenic Lumbar Radiculopathy: A Double-Blind Randomized Controlled Trial</t>
  </si>
  <si>
    <t>🧑 Human
🎲 Randomized trial, crossover
👥 120 participants</t>
  </si>
  <si>
    <t>0.300 /
0.67
(?)</t>
  </si>
  <si>
    <t>12
(4p)</t>
  </si>
  <si>
    <t>"The LLLT is proved as an efficient adjunct therapy to conventional physical therapy for discogenic lumbar radiculopathy."</t>
  </si>
  <si>
    <t>Radicular cervical spondylosis</t>
  </si>
  <si>
    <t>Li X-H</t>
  </si>
  <si>
    <t>China
(Xiaguan)</t>
  </si>
  <si>
    <t>Laser therapy for radicular cervical spondylosis</t>
  </si>
  <si>
    <t>"A total of 90 patients with radicular cervical spondylosis were treated by laser therapy combined with Traditional Chinese Medicine. The results showed that a total effective rate was 94.4% (11 cases demonstrated full recovery, 28 were graded markedly effective, and 46 improved). The author believes that this therapy for cervical spondylosis seems to be more effective and to have no side-effects compared with traction and drug therapy."</t>
  </si>
  <si>
    <t>Spinal disk herniation</t>
  </si>
  <si>
    <t>Comparison of high-intensity laser therapy and combination of ultrasound treatment and transcutaneous nerve stimulation on cervical pain associated with cervical disc herniation: A randomized trial</t>
  </si>
  <si>
    <t>"Both of therapeutic modalities demonstrated analgesic efficacy and improved the function in patients affected by CDH after 4 weeks of therapy (total 20 treatment sessions in 5 days a week). Both the HILT plus exercise program and the TENS / US plus exercise program were found to be effective in improving cervical range of motion and quality of life by reducing pain."</t>
  </si>
  <si>
    <t>Low intensity laser and LED therapies associated with lateral decubitus position and flexion exercises of the lower limbs in patients with lumbar disk herniation: clinical randomized trial.</t>
  </si>
  <si>
    <t>🧑 Human
🎲 Randomized trial, sham-controlled (?)</t>
  </si>
  <si>
    <t>LED phototherapy
LED vs LLLT
Placebo effect</t>
  </si>
  <si>
    <t>904
(laser)
945
(LED)</t>
  </si>
  <si>
    <t>38
100</t>
  </si>
  <si>
    <t>0.238
0.100</t>
  </si>
  <si>
    <t>80
80
(20p)</t>
  </si>
  <si>
    <t>0.23
0.1</t>
  </si>
  <si>
    <t>0.16
1
cm2</t>
  </si>
  <si>
    <t>2080
800</t>
  </si>
  <si>
    <t>15
15</t>
  </si>
  <si>
    <t>"We can conclude that in the treatment of L4-L5 and L5-S1 LDH with radiculopathy, LED, associated with lateral decubitus position and flexion exercises of the lower limbs, showed better therapeutic performance for radicular pain, gait claudication, and functional disability."
Comment: In this study, LLLT fared as well as placebo (still a great improvement), but LED seemed to lead to a little bit better results. The improvement in the placebo group was huge. which is worth noting, and might indicate that the placebo effect in LLLT might be very large.
Comment: The parameters were nicely reported.</t>
  </si>
  <si>
    <t>Thoracolumbar disk extrusion</t>
  </si>
  <si>
    <t>Bruno</t>
  </si>
  <si>
    <t>Italy
(Zola Predosa)</t>
  </si>
  <si>
    <t>Perilesional photobiomodulation therapy and physical rehabilitation in post-operative recovery of dogs surgically treated for thoracolumbar disk extrusion.</t>
  </si>
  <si>
    <t>"All dogs treated with laser therapy showed improved neurological status (Modified Frankel Score more than 3 within 30 days of physiotherapy starting) if deep nociception on admission was maintained (P = 0.04). However, Kaplan-Meier analysis did not show any statistical difference in time to regain ambulatory ability, although there was a tendency for a shorter mean time of 14.2 ± 8.55 days in the laser group versus 24 ± 18.49 days in the no laser group."</t>
  </si>
  <si>
    <t>Sponges (Porifera)</t>
  </si>
  <si>
    <t>Chondrosia reniformis</t>
  </si>
  <si>
    <t>Near-Infrared 810 nm Light Affects Porifera Chondrosia reniformis (Nardo, 1847) Regeneration: Molecular Implications and Evolutionary Considerations of Photobiomodulation-Animal Cell Interaction</t>
  </si>
  <si>
    <t>"PBM sped up C. reniformis regeneration when compared to the controls. Particularly, transforming growth factor TGF3 and TGF6 upregulation during the early phase of regeneration and TGF5 upregulation 120 h postinjury in the irradiated samples supports the positive effect of PBM in sponge tissue recovery."</t>
  </si>
  <si>
    <t>Stem cells &amp; regeneration</t>
  </si>
  <si>
    <t>Peat</t>
  </si>
  <si>
    <t>In Vitro Effects of High-Intensity Laser Photobiomodulation on Equine Bone Marrow-Derived Mesenchymal Stem Cell Viability and Cytokine Expression.</t>
  </si>
  <si>
    <t>9.77</t>
  </si>
  <si>
    <t>"No difference in viability was detected between irradiated and control MSCs. Irradiated cells demonstrated slightly lower proliferation rates, but remained within 3.5% confluence of control cells. Twenty-four hours after irradiation, irradiated MSCs demonstrated a significant increase in expression of interleukin (IL)-10 and vascular endothelial growth factor (VEGF) compared with control MSCs."</t>
  </si>
  <si>
    <t>Stem Cells Dev</t>
  </si>
  <si>
    <t>Low-Level Laser Effect on Proliferation, Migration, and Antiapoptosis of Mesenchymal Stem Cells.</t>
  </si>
  <si>
    <t>Mechanisms, mitochondria, ATP</t>
  </si>
  <si>
    <t>"The mechanism of the effects included proliferation rate increase mediated by increased S phase proportion; mitochondrial biogenesis and function alteration mediated by fusion (Mfn1, Mfn2, and Opa-1) and fission (Fis1, Drp-1, and MTP18)-related proteins, NRF1, TFAM, PGC-1a, and upregulated intracellular ROS and NO concentration; migration acceleration through the ERK1/2 and FAK pathway and upregulation of growth factors such as HGF and PDGF; and resistance to apoptosis with increased Bcl-2 and decreased Bax, or through tunneling nanotube formation between LLL-treated MSCs and 5-fluorouracil-induced apoptotic MSCs.
These observations suggested that LLLs enhanced stem cell survival and therapeutic function, which could appear to be an innovative pretreatment in the application of MSCs."</t>
  </si>
  <si>
    <t>Adipose-derived stem cells</t>
  </si>
  <si>
    <t>Photobiomodulation: a novel approach to promote trans-differentiation of adipose-derived stem cells into neuronal-like cells</t>
  </si>
  <si>
    <t>525
825</t>
  </si>
  <si>
    <t>"Our findings reveal that adipose-derived stem cells can indeed trans-differentiate into neuronal cells when exposed to inducers, with pre-induced cells exhibiting higher rates of proliferation and trans-differentiation compared with the control group. Interestingly, green laser light stimulation led to notable morphological changes indicative of enhanced trans-differentiation, while near-infrared photobiomodulation notably increased the expression of neuronal markers. 
Through biochemical analysis and enzyme-linked immunosorbent assays, we observed marked improvements in viability, proliferation, membrane permeability, and mitochondrial membrane potential, as well as increased protein levels of neuron-specific enolase and ciliary neurotrophic factor."</t>
  </si>
  <si>
    <t>A comparative evaluation of the effects of 635 nm laser on cell proliferation and osteogenic differentiation of buccal fat pad mesenchymal stem cells</t>
  </si>
  <si>
    <t>200
300
400
500</t>
  </si>
  <si>
    <t>"According to the MTT assay, none of the mentioned powers of 635 nm diode laser had significant effect on cell proliferation. Cells irradiated with power of 400 mW and 500 mW significantly showed a greater number of necrotic cells compared to the control group in Day 4. Cells irradiated with 300 mW power significantly exhibited a greater amount of nodule formation compared to all groups."
"Results of this study indicated that 635 nm diode laser with energy density of 4 J/cm2 has a positive effect inducing osteogenic differentiation when applying with a power of 300 mW in buccal fat pad mesenchymal stem cells."</t>
  </si>
  <si>
    <t>How long does the biological effect of a red light-emitting diode last on adipose-derived mesenchymal stem cells?</t>
  </si>
  <si>
    <t>"AdMSCs were irradiated three times every 48 h. Twenty-four hours after the last irradiation, there was a higher MTT absorbance, followed by a decrease after 48 h."</t>
  </si>
  <si>
    <t>Roets</t>
  </si>
  <si>
    <t>Three-Dimensional Cell Culture of Adipose-Derived Stem Cells in a Hydrogel with Photobiomodulation Augmentation</t>
  </si>
  <si>
    <t>525
825</t>
  </si>
  <si>
    <t>"The ADSCs exhibited a rounded morphology and were dispersed throughout the gel as individual cells or spheroid aggregates. Importantly, both PBM and 3D culture framework displayed no cytotoxic effects on the cells, while PBM significantly enhanced the proliferation rates of ADSCs."</t>
  </si>
  <si>
    <t>Exploring the biphasic dose-response effects of photobiomodulation on the viability, migration, and extracellular vesicle secretion of human adipose mesenchymal stem cells</t>
  </si>
  <si>
    <t>"We observed a biphasic dose-response in hADSCs' viability and migration after PBM exposure (0-10 J/cm2), with the 5 J/cm2 group showing significantly higher cell viability and migration ability than other groups. Additionally, at the optimal dose of 5 J/cm2, we used nanoparticle tracking analysis (NTA) and found a 6.25-fold increase in the concentration of extracellular vesicles (EVs) derived from hADSCs (PBM/ADSC-EVs) compared to untreated cells (ADSC-EVs)."
"These findings demonstrate that PBM not only improves the viability and migration of hADSCs but also significantly increases the EV yield."</t>
  </si>
  <si>
    <t>Hyun</t>
  </si>
  <si>
    <t>J Control Release</t>
  </si>
  <si>
    <t>Fibroblast function recovery through rejuvenation effect of nanovesicles extracted from human adipose-derived stem cells irradiated with red light</t>
  </si>
  <si>
    <t>"In this study, we have developed a method using red light irradiated human adipose-derived stem cells (hADSCs) derived NV (R-NVs) for enhancing the therapeutic efficacy and rejuvenating hDFs. Through red light irradiation, we were able to significantly increase the content of stemness factors and angiogenic biomolecules in R-NVs. Treatment with these R-NVs was found to enhance the migration ability and leading to rejuvenation of old hDFs to levels similar to those of young hDFs. In subsequent in vivo experiments, the treatment of old hDFs with R-NVs demonstrated a superior skin wound healing effect, surpassing that of young hDFs."</t>
  </si>
  <si>
    <t>Ferro</t>
  </si>
  <si>
    <t>Influence of Different Photobiomodulation Parameters on Multi-Potent Adipose Tissue Mesenchymal Cells In Vitro</t>
  </si>
  <si>
    <t>660
830</t>
  </si>
  <si>
    <t>0.5
2
4</t>
  </si>
  <si>
    <t>"According to the results found, we can conclude that both wavelengths were effective; however, the 830 nm laser was more effective in terms of cell proliferation compared with the 660 nm laser. The 660 nm wavelength showed a significant increase in cell death when compared with the 830 nm laser."</t>
  </si>
  <si>
    <t>Mansano</t>
  </si>
  <si>
    <t>Light-emitting Diode Can Enhance the Metabolism and Paracrine Action of Mesenchymal Stem Cells</t>
  </si>
  <si>
    <t>0.5
2.0
4.0</t>
  </si>
  <si>
    <t>up to 3</t>
  </si>
  <si>
    <t>"LED did not induce changes in cell count, DNA damage, and oxidative stress. 
A significant repercussion of the LED has been noticed after three irradiations with 4 J cm-2 . AdMSCs had higher levels of IL-6, IGF-1, and NOx index. 
A higher ATP content and MMT/Resazurin assay were identified in AdMSCs irradiated three times with 4 J cm-2 . 
Mitochondrial basal respiration, maximal respiration and proton leak under metabolic stress were reduced by 0.5 and 2 J cm-2 irradiations."
"These data showed that three LED irradiations with 4 J cm-2 may be a suitable parameter for future AdMSCs therapy because of its improved metabolic activity, ATP content, and IL-6, IGF-1, and nitric oxide secretion."</t>
  </si>
  <si>
    <t>Effect of photobiomodulation on the behaviour of mesenchymal stem cells in three-dimensional cultures</t>
  </si>
  <si>
    <t>1-7 per day</t>
  </si>
  <si>
    <t>"In 3D, cell proliferation increased at high energy (6 J) and after a single dose of irradiation, while in 2D, metabolic activity and proliferation was enhanced only after 3 doses and independently of the energy. 
More than 1 dose was needed to promote ROS secretion both in 2D and 3D culture conditions. 
Interestingly, a decrease of IL-8 secretion was detected only in 3D after 3-7 daily irradiations."</t>
  </si>
  <si>
    <t>Nd:YAG-photobiomodulation enhanced ADSCs multilineage differentiation and immunomodulation potentials</t>
  </si>
  <si>
    <t>Colitis (mouse model) treated with ADCSc + LLLT</t>
  </si>
  <si>
    <t>0.5
1.0
2.0
4.0</t>
  </si>
  <si>
    <t>"Nd:YAG-based photobiomodulation dose-dependently promoted ADSCs proliferation and migration; 1 J/cm2 showed the best promotion effect on proliferation. Moreover, Nd:YAG photobiomodulation promoted ADSCs osteogenic differentiation and brown adipose adipogenic differentiation. 
The potential immunomodulation assays showed Nd:YAG photobiomodulation improved Anti-inflammation capacity of ADSCs and photobiomodulation irradiated ADSCs effectively alleviated DSS-induced colitis severity in vivo."</t>
  </si>
  <si>
    <t>Ann Plast Surg</t>
  </si>
  <si>
    <t>Biophotonic Effects of Low-Level Laser Therapy on Adipose-Derived Stem Cells for Soft Tissue Deficiency: WAPSCD Submission</t>
  </si>
  <si>
    <t>🧪 In vitro
+ 🧑 Human</t>
  </si>
  <si>
    <t>467
527
623</t>
  </si>
  <si>
    <t>"Low-level laser (622.7 nm) illumination on cell cultures in vitro increased ADSCs proliferation, type 1 procollagen expression, collagen production, as well as MMP-1, MMP-2, and MMP-9 relative expression. Statistical analysis demonstrated a significant difference in red light (622.7 nm) versus green light (527.1 nm) and blue light (467.3 nm, P &lt; 0.05). No significant differences were noted between the effects of green and blue lights. In clinical application, all patients attained significant improvement with treatment in the final outcome assessment after 6 months."
"Clinical results from 20 patients treated for soft tissue deficiency were collected for assessment of ADSC-assisted lipotransfer."</t>
  </si>
  <si>
    <t>Light-Emitting Diode Can Enhance the Metabolism and Paracrine Action of Mesenchymal Stem Cells</t>
  </si>
  <si>
    <t>163.5
cm2
beam
size</t>
  </si>
  <si>
    <t>1
or
3
(every 48h)</t>
  </si>
  <si>
    <t>"These data showed that three LED irradiations with 4 J/cm2 may be a suitable parameter for future AdMSCs therapy because of its improved metabolic activity, ATP content, and IL-6, IGF-1, and nitric oxide secretion."</t>
  </si>
  <si>
    <t>Device: LEDbox</t>
  </si>
  <si>
    <t>Tamimi</t>
  </si>
  <si>
    <t>Anti-inflammatory effect of green photobiomodulation in human adipose-derived mesenchymal stem cells</t>
  </si>
  <si>
    <t>"The MTT assay showed that PBM increased cell proliferation on day 5 after irradiation compared to day 3 and decreased on day 7 compared to day 5. In addition, gene expression analysis in hADMSCs using RNA-seq revealed down-regulation of inflammatory genes including CSF2, CXCL2, 3, 5, 6, 8, and CCL2, 7. 
These results indicate that 532 nm PBM with the parameters used in this study has a time-dependent effect on hADMSCs proliferation as well as anti-inflammatory potential."</t>
  </si>
  <si>
    <t>NIR irradiation of human buccal fat pad adipose stem cells and its effect on TRP ion channels</t>
  </si>
  <si>
    <t>3
(once every 48h)</t>
  </si>
  <si>
    <t>"The pulsed setting showed the best viability results (P &lt; 0.05) and was used for osteogenic differentiation evaluations."
"Laser irradiation of BFP-ASC by a diode 940 nm in pulsed mode with an energy density of 3 J/cm2 in three sessions with 48-h intervals increased viability of these cells. Gene expression evaluations showed no significant effect on Runx2 expression, but the downstream pathway of Runx2, such as expression of Osterix and ALP, was affected, and the TRPV1 channel seems to be involved; however, no significant effect was observed for TRPC channel."</t>
  </si>
  <si>
    <t>Fallahi</t>
  </si>
  <si>
    <t xml:space="preserve">Spectrochim Acta A Mol Biomol Spectrosc
</t>
  </si>
  <si>
    <t>Effects of photobiomodulation on mitochondrial function in diabetic adipose-derived stem cells in vitro</t>
  </si>
  <si>
    <t>"The results revealed that PBM significantly increased ATP quantification (p = 0.05) and MMP activity (p = 0.000) in diabetic-ADSCs in vitro compared to the control diabetic-ADSCs; however, it significantly decreased ROS quantification (p = 0.002) and PINK1(p = 0.003) and PARKIN gene expression (p = 0.046) in diabetic-ADSCs."</t>
  </si>
  <si>
    <t>van Rensburg</t>
  </si>
  <si>
    <t>Promoting Immortalized Adipose-Derived Stem Cell Transdifferentiation and Proliferation into Neuronal-Like Cells through Consecutive 525 nm and 825 nm Photobiomodulation</t>
  </si>
  <si>
    <t>525+
825</t>
  </si>
  <si>
    <t>"Within the preinduced groups, results indicated that cells treated with IT2 and consecutive PBM upregulated differentiation the most morphologically and physiologically."</t>
  </si>
  <si>
    <t>BMC Biotechnol</t>
  </si>
  <si>
    <t>940 nm diode laser induced differentiation of human adipose derived stem cells to temporomandibular joint disc cells</t>
  </si>
  <si>
    <t>Differentiation into TMJ joint cells</t>
  </si>
  <si>
    <t>"This study describes stimulatory techniques utilized to differentiate ADSCs into fibroblastic and chondrogenic phenotypes using diode lasers at 940 nm. The study proposes a new treatment model for patients with degenerative disc diseases of the TMJ."</t>
  </si>
  <si>
    <t>Ebrahimi-Kia</t>
  </si>
  <si>
    <t>The Effect of bisphenol A and Photobiomodulation Therapy on Autophagy-Related Genes Induction in Adipose Tissue-Derived Stem Cells</t>
  </si>
  <si>
    <t>0.28</t>
  </si>
  <si>
    <t>"BPA and [PBM] induce autophagy and adiposeness in ADSCs in a dose-dependent manner."
Comment: Parameters inadequately (unclearly) reported.</t>
  </si>
  <si>
    <t>Enhancing therapeutic efficacy of human adipose-derived stem cells by modulating photoreceptor expression for advanced wound healing</t>
  </si>
  <si>
    <t>⚙️ Mechanisms
Green light 🟢
LED phototherapy (OLED)</t>
  </si>
  <si>
    <t>"Collectively, this report provides a concept of wound healing improved by hADSCs, including OPN4 stimulated by OLED irradiation with a wavelength peak of 532 nm."
Comment: Dose parameters not reported.</t>
  </si>
  <si>
    <t>Schneider</t>
  </si>
  <si>
    <t>The impact of photobiomodulation on the chondrogenic potential of adipose-derived stromal/stem cells</t>
  </si>
  <si>
    <t>Green light 🟢
Blue light 🔵
LED phototherapy</t>
  </si>
  <si>
    <t>475
516
635</t>
  </si>
  <si>
    <t>"We were able to demonstrate that PBM can be used to enhance or hamper chondrogenesis of ASC, and that success depends on treatment parameters and intrinsic cellular potential."</t>
  </si>
  <si>
    <t>Spectrochim Acta A Mol Biomol Spectrosc</t>
  </si>
  <si>
    <t>The effect of photobiomodulation therapy on antioxidants and oxidative stress profiles of adipose derived mesenchymal stem cells in diabetic rats</t>
  </si>
  <si>
    <t>ADSCs from diabetic rats</t>
  </si>
  <si>
    <t>"PBMT may improve diabetic- ADSC function in vitro by increasing levels of cell viability, and gene expression of antioxidant agents (SOD1, CAT, and TAC), and significantly decreasing of levels of PDT, apoptosis, ROS, and gene expression of oxidative stress biomarkers (NOX1 and NOX4)."</t>
  </si>
  <si>
    <t>Crous</t>
  </si>
  <si>
    <t>Biochimie</t>
  </si>
  <si>
    <t>Single and consecutive application of near-infrared and green irradiation modulates adipose derived stem cell proliferation and affect differentiation factors</t>
  </si>
  <si>
    <t>525
825
525+
825</t>
  </si>
  <si>
    <t>"The results showed that concurrent use of NIR-green irradiation significantly stimulated ADMSC proliferation, increasing population density and cellular ATP. Furthermore, NIR-green showed a time dependent increase in ROS production and was significantly higher at 7 days."</t>
  </si>
  <si>
    <t>Siedlecka</t>
  </si>
  <si>
    <t>Biostimulative effect of laser on growth of mesenchymal stem/stromal cells in vitro</t>
  </si>
  <si>
    <t>635
2940</t>
  </si>
  <si>
    <t>"Growth stimulation of hAT-MSCs after 5 Hz Er:YAG laser exposure, 0.1 J/cm2 dose for 4 s and 0.3 J/cm2 dose for 4 s was shown in comparison with the control group. Significant growth stimulation of hAT-MSCs after diode laser irradiation in doses of 1-4 J/cm2 was demonstrated compared to the control group."
"The presented results indicate that both lasers, Er:YAG and diode can be used to stimulate stem/stromal cell growth in vitro. The biostimulative effect of laser therapy on stromal cells may be used in the future in aesthetic dermatology in combined laser and cell therapy."</t>
  </si>
  <si>
    <t>Laser-Induced Differentiation of Human Adipose-Derived Stem Cells to Temporomandibular Joint Disc Cells</t>
  </si>
  <si>
    <t>Differentiation to TMJ disc cells</t>
  </si>
  <si>
    <t>"More than 90% of viable cells were observed in all experimental groups, with an increase in ATP proliferation. Flow cytometry analyses and immunofluorescence demonstrated the presence of chondrogenic and fibroblastic cell surface markers at 1- and 2-week post-irradiation."
"This study has demonstrated methods to induce the differentiation of ADSCs toward fibroblastic and chondrogenic phenotypes with a 660 nm diode laser. The study also proposes a future alternative method of treatment for patients with degenerative TMJ disc disorders and presents a positive prospect in the application of photobiomodulation and ADSCs in the treatment of degenerative TMJ disc."</t>
  </si>
  <si>
    <t>Zare</t>
  </si>
  <si>
    <t>Photobiomodulation with 630 plus 810 nm wavelengths induce more in vitro cell viability of human adipose stem cells than human bone marrow-derived stem cells.</t>
  </si>
  <si>
    <t>Wavelength comparison
Cell line comparison</t>
  </si>
  <si>
    <t>630
633
810
630+
810</t>
  </si>
  <si>
    <t>"Our study demonstrated that PBM with the combined 630 + 810 nm lasers significantly stimulated cell viability, and significantly decreased PDT and apoptosis of hBM-MSCs and hASCs in vitro. We reported new in vitro evidence where PBM administered at 630 nm (one and two times, 0.6 and 1.2 J/cm2) and 630 + 810 nm (three times, 2.4 J/cm2) significantly increased hASC cell viability compared to its control and the PBM-treated hBM-MSC groups."</t>
  </si>
  <si>
    <t>Photobiomodulation effect on the proliferation of adipose tissue mesenchymal stem cells.</t>
  </si>
  <si>
    <t>Biphasic dose respnose</t>
  </si>
  <si>
    <t>0.56
1.96
5.04</t>
  </si>
  <si>
    <t>20
70
180</t>
  </si>
  <si>
    <t>14
49
126</t>
  </si>
  <si>
    <t>3
3
3</t>
  </si>
  <si>
    <t>"Mitochondrial activity evaluated by MTT revealed the statistical difference in the first 24 h for group with more high energy when compared to control group; and in the 72 h for two irradiated groups when compared to the control group. The trypan blue test showed significant differences at the end of the experiment for two irradiated groups LG1 (4.52 × 104 ± 0.2) and LG2 (4.85 × 104 ± 0.8), when compared to the control group (1.87 × 104 ± 0.7). Both tests failed to be statistically different at the end of the experiment for groups LG1 and LG2 and observed a reduction in cellular mitochondrial growth and activity for group LG3. We conclude that PBM with energy close to 0.56 and 1.96 J promote proliferation of hASCs, and higher energy, such as 5.04 J, can be harmful."</t>
  </si>
  <si>
    <t>Priglinger</t>
  </si>
  <si>
    <t>Photobiomodulation of freshly isolated human adipose tissue-derived stromal vascular fraction cells by pulsed light-emitting diodes for direct clinical application.</t>
  </si>
  <si>
    <t>Human adipose tissue-derived stromal vascular fraction cells
Blue light 🔵
Green light 🟢</t>
  </si>
  <si>
    <t>"The colony-forming unit fibroblast assay revealed a significantly increased colony size after LLLT with red light compared with untreated cells, whereas the frequency of colony-forming cells was not affected. LLLT with green and red light resulted in a stronger capacity to form vascular tubes by SVF when cultured within 3D fibrin matrices compared with untreated cells, which was corroborated by increased number and length of the single tubes and a significantly higher concentration of vascular endothelial growth factor."
"Our study showed beneficial effects after LLLT on the vascularization potential and proliferation capacity of SVF cells. Therefore, LLLT using pulsed light-emitting diode light might represent a new approach for activation of freshly isolated SVF cells for direct clinical application."</t>
  </si>
  <si>
    <t>Low-level laser irradiation promotes proliferation of cryopreserved adipose-derived stem cells.</t>
  </si>
  <si>
    <t>16
33</t>
  </si>
  <si>
    <t>"The Irradiated Groups (0.5 and 1.0J/cm2) showed an increased cell proliferation (p&lt;0.05) when compared to the Control Group, however no significant difference between the two energy densities was observed. Flow cytometry revealed a percentage of viable cells higher than 99% in all groups."</t>
  </si>
  <si>
    <t>Nurković</t>
  </si>
  <si>
    <t>Serbia
(Novi Pazar)</t>
  </si>
  <si>
    <t>Combined effects of electromagnetic field and low-level laser increase proliferation and alter the morphology of human adipose tissue-derived mesenchymal stem cells.</t>
  </si>
  <si>
    <t>"In conclusion, EMF and/or LLL treatment accelerated the proliferation of hAT-MSCs without compromising their viability, and therefore, they may be used in stem cell tissue engineering."
Comment: The parameters seem a bit contradictory...</t>
  </si>
  <si>
    <t>Effect of Low-Level Laser Therapy on Human Adipose-Derived Stem Cells: In Vitro and In Vivo Studies.</t>
  </si>
  <si>
    <t>0.0835
(in vitro)
0.1
(rat)</t>
  </si>
  <si>
    <t>0.05
(in vitro)
0.01
(rat)</t>
  </si>
  <si>
    <t>900
(in vitro)
1800
(in vitro)</t>
  </si>
  <si>
    <t>2
(in vitro)
7
(rat)</t>
  </si>
  <si>
    <t>"Our study showed that LLLT could enhance the proliferation and viability of ADSCs. The ADSCs enhanced by LLLT could be applied in various clinical fields. With the use of LLLT, the proliferation and viability of various cells can be enhanced, besides ADSCs."
Comment: It seems that the parameters ("power density x time" compared to "energy density") do not match each others. The energy density was probably higher than the authors report.</t>
  </si>
  <si>
    <t>Effects of low level laser therapy on attachment, proliferation, and gene expression of VEGF and VEGF receptor 2 of adipocyte-derived mesenchymal stem cells cultivated under nutritional deficiency.</t>
  </si>
  <si>
    <t>(Dose response? Biphasic dose response?)</t>
  </si>
  <si>
    <t>"In conclusion, LLLT on human and rat MSCs might upregulate VEGF messenger RNA (mRNA) expression and modulate cell adhesion and proliferation distinctively."</t>
  </si>
  <si>
    <t>Adipogenesis</t>
  </si>
  <si>
    <t>Alterted Adipogenesis of Human Mesenchymal Stem Cells by Photobiomodulation Using 1064 Nm Laser Light</t>
  </si>
  <si>
    <t>hMSCs
Dose response</t>
  </si>
  <si>
    <t>"At a low fluence (8.8 J/cm2 ) the ATP increase was essentially negligible, whereas a higher fluence induced a significant increase. 
In the laser-stimulated cells, PBM over time decreased the ROS level compared with the non-treated control group and significantly reduced the extent of adipogenesis. 
A reduction in the ROS level was correlated with a diminished lipid accumulation, reduced production of adipose-specific genetic markers, and delayed the chemically intended adipogenesis."</t>
  </si>
  <si>
    <t>Apical papilla stem cells</t>
  </si>
  <si>
    <t>Ramírez</t>
  </si>
  <si>
    <t>Colombia
(Popayán)</t>
  </si>
  <si>
    <t>Osteogenic potential of apical papilla stem cells mediated by platelet-rich fibrin and low-level laser</t>
  </si>
  <si>
    <t>"Overall, we demonstrated for the first time that the combination of [platelet-rich fibrin] and LLLT would be an excellent therapeutic tool that can be employed for dental, oral, and craniofacial repair and other tissue engineering applications."</t>
  </si>
  <si>
    <t>Combination of Dental-Capping Agents with Low Level Laser Therapy Promotes Proliferation of Stem Cells from Apical Papilla</t>
  </si>
  <si>
    <t>"Our conclusion is that LLLT can serve as an enhancer of SCAP proliferation and differentiation rate when added to dental-capping agents such as MTA, EMD, and biodentine. Thus, LLLT combination with effective capping materials will serve as a promising option for dental tissue repair."</t>
  </si>
  <si>
    <t>Combination of Dental Capping Agents With LowLevel Laser Therapy Increases the Cell Viability Percent of Stem Cells From Apical Papilla (SCAPs)</t>
  </si>
  <si>
    <t>"Combination of MTA, CEM, EMD and LLLT resulted in significantly increased SCAPs viability as compared with other treatment groups. Increased SCAPs proliferation and viability were also observed in groups treated with the combination of MTA and CEM with EMD. However, the SCAPs survival rate in all defined time spans was reduced after treatment with MTA and CEM alone."</t>
  </si>
  <si>
    <t>Effect of diode low level laser and red light emitting diode irradiation on cell proliferation and osteogenic/odontogenic differentiation of stem cells from the apical papilla</t>
  </si>
  <si>
    <t>Diode low level laser irradiation with 4 J/cm2 energy density and red LED irradiation enhanced osteogenic differentiation of SCAPs without adversely affecting cell viability.</t>
  </si>
  <si>
    <t>Shu</t>
  </si>
  <si>
    <t>Irradiation with a red light-emitting diode enhances the proliferation of stem cells of apical papilla via the ERK5 signalling pathway</t>
  </si>
  <si>
    <t>0.5
1
3
5</t>
  </si>
  <si>
    <t>"Red LEDs irradiation enhances the proliferation of SCAPs via the ERK5 signalling pathway by upregulating the expression of C-Jun, Jun B, and Cyclin D1."</t>
  </si>
  <si>
    <t>Gutiérrez</t>
  </si>
  <si>
    <t>Low-Level Laser Irradiation Promotes Proliferation and Differentiation on Apical Papilla Stem Cells</t>
  </si>
  <si>
    <t>"LLLT promotes proliferation, osteogenic differentiation, and VEGF and TGFβ2 expression on SCAPs. LLLT is a practical approach for the preconditioning of SCAPs in vitro for future regenerative therapies. More studies are needed to determine the underlying molecular processes that determine the mechanism of the LLLT."</t>
  </si>
  <si>
    <t>Bone marrow stem cells</t>
  </si>
  <si>
    <t>Chailakhyan</t>
  </si>
  <si>
    <t>Laser Thermo-Photobiomodulation of Bone Marrow Mesenchymal Stem Cells</t>
  </si>
  <si>
    <t>"We studied the effect of laser radiation of moderate intensity with a wavelength of 970 nm on the efficiency of colony formation of rat bone marrow mesenchymal stem cells (MSC) in vitro. 
In this case, photobimodulation and thermal heating of MSC occur simultaneously. This combined laser treatment allows increasing the number of colonies by 6 times in comparison with the control and by more than 3 times in comparison with thermal heating alone. The mechanism of such an increase is associated with combined thermal and light effects of laser radiation of moderate intensity, which stimulates cell proliferation. This phenomenon can be used as the basis for solving the most important task of cell transplantation, associated with the expansion of autologous stem cells and activation of their proliferative potential."</t>
  </si>
  <si>
    <t>Photobiomodulation (800 nm Light-Emitting Diode) Treatment Promotes Bone Mesenchymal Stem Cell Proliferation Via Long Noncoding RNA MEG3-MicroRNA-217-5P Pathway</t>
  </si>
  <si>
    <t>"In the present study, we revealed that photobiomodulation (800 nm LED) could increase the mRNA level of MEG3, and protein levels of Notch2, Hes1, and Hey2. Moreover, we also identified that upregulated MEG3 could act as a miR-217-5p sponge to activate the Notch signaling pathway."</t>
  </si>
  <si>
    <t>Si</t>
  </si>
  <si>
    <t>Low-level laser therapy with different irradiation methods modulated the response of bone marrow mesenchymal stem cells in vitro</t>
  </si>
  <si>
    <t>0.714
0.714
0.025</t>
  </si>
  <si>
    <t>0.07
0.07
1.96
cm2
spot
respectiv:
1.96
0.35
1.96
cm2
irrad.</t>
  </si>
  <si>
    <t>28
157
28</t>
  </si>
  <si>
    <t>"BMSCs were inoculated in 24-well plates and then irradiated or not (control) with a laser using three different irradiation methods. The irradiation methods were spot irradiation, covering irradiation, and scanning irradiation according to different spot areas (0.07 cm2 or 1.96 cm2) and irradiation areas (0.35 cm2 or 1.96 cm2), respectively."
"The presented results indicate that the biostimulative effects of LLLT on BMSCs was influenced by the irradiation method, and the covering irradiation is more favorable method to promote the proliferation and osteogenic differentiation of BMSCs."</t>
  </si>
  <si>
    <t>Photobiomodulation treatments drive osteogenic versus adipocytic fate of bone marrow mesenchymal stem cells reversing the effects of hyperglycemia in diabetes</t>
  </si>
  <si>
    <t>"Despite no differences on cell morphology, the effect of DM on cells was confirmed by a decreased gene expression of bone markers and matrix production of dOB, and an increased expression of adipocyte and lipid accumulation of dAD, compared to heatlhy cells. On the other hand, PBM reversed the effects of dOB and dAD."</t>
  </si>
  <si>
    <t>Lewandowski</t>
  </si>
  <si>
    <t>The red-light emitting diode irradiation increases proliferation of human bone marrow mesenchymal stem cells preserving their immunophenotype</t>
  </si>
  <si>
    <t>0.007
0.017
0.030</t>
  </si>
  <si>
    <t>"Therefore, LED irradiation at a wavelength of 630 nm, energy density 4 J/cm2, and power density 17 mW/cm2 can effectively increase the number of viable hBM-MSCs in vitro."</t>
  </si>
  <si>
    <t xml:space="preserve">Eur Rev Med Pharmacol Sci
</t>
  </si>
  <si>
    <t>The effect of 805 nm near-infrared photobiomodulation on proliferation and differentiation of bone marrow stem cells in murine rats</t>
  </si>
  <si>
    <t>1.27
5.08
8.89
12.7</t>
  </si>
  <si>
    <t>"According to our findings, 1.27 J/cm2 was the optimal energy density value that significantly increased the BMSC proliferation at the output of 1.5 W with the power density of 1.27 W/cm2. On 1.27 J/cm2, there was a significant difference compared to the control group on the first day, and the osteogenic differentiation increased significantly on the 4th day compared to the 1st day."</t>
  </si>
  <si>
    <t>LLLI promotes BMSC proliferation through circRNA_0001052/miR-124-3p</t>
  </si>
  <si>
    <t>"In the present study, LLLI promoted the proliferation of BMSCs, which was consistent with previous studies. We first found that LLLI treatment could significantly decrease the expression of circRNA_0001052 in BMSCs. This result strongly suggests that circRNA_0001052 plays an essential role in BMSC proliferation in response to LLLI treatment, which is a potential therapeutic approach with clinical applications."
Comment: The reported dose parameters do not seem to match... 10 mW/cm2 for 180 seconds equals 1.8 J/cm2, not 3.84 J/cm2.</t>
  </si>
  <si>
    <t>Eroglu</t>
  </si>
  <si>
    <t>Photobiomodulation has rejuvenating effects on aged bone marrow mesenchymal stem cells</t>
  </si>
  <si>
    <t>3
4.5
6</t>
  </si>
  <si>
    <t>"Here, we present an effective strategy to reverse aging of mouse bone marrow mesenchymal stem cells (BM-MSCs) by restoring their mitochondrial functionality using photobiomodulation (PBM) therapy. Following the characterization of young and aged MSCs, our results show that a near-infrared PBM treatment delivering 3 J/cm2 is the most effective modality for improving mitochondrial functionality and aging markers."</t>
  </si>
  <si>
    <t>Cell Tissue Res</t>
  </si>
  <si>
    <t>The effects of 808-nm near-infrared laser light irradiation on actin cytoskeleton reorganization in bone marrow mesenchymal stem cells</t>
  </si>
  <si>
    <t>"Considering the importance of actin cytoskeleton reorganization, which controls a range of cell metabolic activities, comprising shape change, proliferation and differentiation, the aim of the current work is to assess whether PBM therapy, using a flat-top hand-piece at higher-fluence irradiation on BMSCs, is able to switch photon signals into the stimulation of biochemical/differentiating pathways involving key activators that regulate de novo actin polymerization.
Namely, for the first time, we unearthed the role of the flat-top hand-piece at higher-fluence irradiation on cytoskeletal characteristics of BMSCs."</t>
  </si>
  <si>
    <t>Effect of Photobiomodulation Therapy on the Increase of Viability and Proliferation of Human Mesenchymal Stem Cells.</t>
  </si>
  <si>
    <t>"For irradiation, two wavelengths (808 and 905 nm) with the following parameters were used: power density 195, 230, and 318 mW/cm 2 , doses of energy 3, 10, and 20 J (energy density 0.93-6.27 J/cm 2 ), and in continuous (CW) or pulsed emission (PE) (frequencies 1,000 and 2,000 Hz)."
"There were statistically significant increases of cell viability and proliferation after irradiation at 3 J (CW; 1,000 Hz), 10 J (1,000 Hz), and 20 J (2,000 Hz)."</t>
  </si>
  <si>
    <t>Low-level laser irradiation modulates the proliferation and the osteogenic differentiation of bone marrow mesenchymal stem cells under healthy and inflammatory condition.</t>
  </si>
  <si>
    <t>2
4
8
16</t>
  </si>
  <si>
    <t>"Our results demonstrated LLLT could significantly promote BMSC proliferation and osteogenesis at densities of 2 and 4 J/cm2. LLLT at density of 8 J/cm2 could promote the proliferation and osteogenesis of i-BMSCs. However, LLLT at 16 J/cm2 significantly suppressed the proliferation and osteogenesis of BMSCs both in healthy and in inflammatory microenvironment."</t>
  </si>
  <si>
    <t>Tedesco AC</t>
  </si>
  <si>
    <t>Fallahnezhad</t>
  </si>
  <si>
    <t>Effect of low-level laser therapy and oxytocin on osteoporotic bone marrow-derived mesenchymal stem cells.</t>
  </si>
  <si>
    <t>0.0016</t>
  </si>
  <si>
    <t>1.96
cm2</t>
  </si>
  <si>
    <t>"We conclude that LLLT significantly improved cell viability, enhanced the osteogenic potential of the OVX-BMMSCs, and increased the extracellular levels of the TGF-β, IGF-I, and ALP."</t>
  </si>
  <si>
    <t>Ferreira-Silva</t>
  </si>
  <si>
    <t>Stem Cell Rev</t>
  </si>
  <si>
    <t>Beneficial Role of Low-Intensity Laser Irradiation on Neural β-tubulin III Protein Expression in Human Bone Marrow Multipotent Mesenchymal Stromal Cells.</t>
  </si>
  <si>
    <t>0.0055</t>
  </si>
  <si>
    <t>0.40
0.75
1.50</t>
  </si>
  <si>
    <t>0.01
0.02
0.04</t>
  </si>
  <si>
    <t>8
15
30</t>
  </si>
  <si>
    <t>"We concluded that the methods using low-level laser irradiation and/or nanoparticles showed an up-regulation of neural-protein expression in hMSCs that could be used to facilitate cellular therapy protocols in the near future."</t>
  </si>
  <si>
    <t>Cell Physiol Biochem</t>
  </si>
  <si>
    <t>Effects of Blue Light Emitting Diode Irradiation On the Proliferation, Apoptosis and Differentiation of Bone Marrow-Derived Mesenchymal Stem Cells.</t>
  </si>
  <si>
    <t>LED phototherapy
Blue light</t>
  </si>
  <si>
    <t>"Taken together, our study demonstrated that blue LED light inhibited cell proliferation, inhibited osteogenic differentiation, and induced apoptosis in BMSCs, which are associated with increased ROS production and DNA damage. These findings may provide important insights for the application of LEDs in future BMSC-based therapies."</t>
  </si>
  <si>
    <t>Evaluation of the Proliferative Effects Induced by Low-Level Laser Therapy in Bone Marrow Stem Cell Culture.</t>
  </si>
  <si>
    <t>1-
12</t>
  </si>
  <si>
    <t>The parameters used to irradiate DBMSC increased significantly proliferation without producing high levels of reactive oxygen species (ROS).</t>
  </si>
  <si>
    <t>Low-level visible light (LLVL) irradiation promotes proliferation of mesenchymal stem cells.</t>
  </si>
  <si>
    <t>Biphasic dose response (?)
Polychromatic light 🌈</t>
  </si>
  <si>
    <t>2.4
4.8
7.2</t>
  </si>
  <si>
    <t>"Illumination of the MSCs resulted in almost twofold increase in cell number as compared to controls. Elevated reactive oxygen species and nitric oxide production was also observed in MSCs cultures following illumination with broadband visible light. The present study clearly demonstrates the ability of broadband visible light illumination to promote proliferation of MSCs in vitro. These results may have an important impact on wound healing."
Comment: In the 2.4 J/cm2 group, the cell number was paradoxically smaller than in the control group... This is a bit strange, since usually the "harms" come from higher doses. Maybe it was just a lack of benefit because of a too small dose, or something. I would say it's a bit dishonest that the authors did not comment this in their brief full text.</t>
  </si>
  <si>
    <t>Effects of low level light irradiation on the migration of mesenchymal stem cells derived from rat bone marrow.</t>
  </si>
  <si>
    <t>LED phototherapy
Scratch wound assay
Wavelength comparison</t>
  </si>
  <si>
    <t>630
±34
850
±84</t>
  </si>
  <si>
    <t>0.015
0.010</t>
  </si>
  <si>
    <t>254
384</t>
  </si>
  <si>
    <t>"Wound healing assay showed both red and NIR light irradiation increased cell mobility. Red and NIR light enhanced transmembrane migration of rbMSCs up to 292.9% and 263.6% accordingly. This agreed with enzymatic activities of MMP-2 and MMP-9 enhanced by irradiation. F-actin accumulation and distribution correlated to increased migration in light-irradiated MSCs. Reactive oxygen species production as well as the expression of pFAK and pNF-кB were elevated after red and NIR LLLI. 
The study demonstrated that red and NIR LLLI increased rbMSCs migration and identified the phosphorylation of FAK and NF-кB as critical steps for the elevated cell migration upon LLLI"</t>
  </si>
  <si>
    <t>Leonida</t>
  </si>
  <si>
    <t>Effects of low-level laser irradiation on proliferation and osteoblastic differentiation of human mesenchymal stem cells seeded on a three-dimensional biomatrix: in vitro pilot study</t>
  </si>
  <si>
    <t>"After 7 days, proliferation was significantly increased in scaffolds treated with laser, compared with the control scaffold. After 14 days, however, laser irradiation did not appear to have any further effect on cell proliferation. As concerns differentiation, an exponential increase was observed after 14 days of laser irradiation, with respect to the control group.
However, this was a pilot study with very limited sample size, we conclude, that low-level laser irradiation might lead to a reduction in healing times and potentially reduces risks of failure."</t>
  </si>
  <si>
    <t>Photoactivation of bone marrow mesenchymal stromal cells with diode laser: effects and mechanisms of action.</t>
  </si>
  <si>
    <t>Mechanisms (?)</t>
  </si>
  <si>
    <t>"It was found that MSC proliferation was significantly enhanced after laser irradiation, as judged by time lapse videomicroscopy and EdU incorporation. 
This phenomenon was associated with the up-regulation and activation of Notch-1 pathway, and with increased membrane conductance through voltage-gated K(+) , BK and Kir, channels and T- and L-type Ca(2+) channels. We also showed that MSC proliferation was mainly dependent on Kir channel activity, on the basis that the cell growth and Notch-1 up-regulation were severely decreased by the pre-treatment with the channel inhibitor Ba(2+) (0.5 mM). Interestingly, the channel inhibition was also able to attenuate the stimulatory effects of diode laser on MSCs, thus providing novel evidence to expand our knowledge on the mechanisms of biostimulation after LLLI. 
In conclusions, our findings suggest that diode laser may be a valid approach for the preconditioning of MSCs in vitro prior cell transplantation."</t>
  </si>
  <si>
    <t>MicroRNA-193 pro-proliferation effects for bone mesenchymal stem cells after low-level laser irradiation treatment through inhibitor of growth family, member 5.</t>
  </si>
  <si>
    <t>"Taken together, these results strongly suggest that miR-193 plays a critical part in MSC proliferation in response to LLLI stimulation, which is potentially amenable to therapeutic manipulation for clinical application."</t>
  </si>
  <si>
    <t>Red-light light-emitting diode irradiation increases the proliferation and osteogenic differentiation of rat bone marrow mesenchymal stem cells.</t>
  </si>
  <si>
    <t>LED phototherapy
Osteogenesis</t>
  </si>
  <si>
    <t>0.005
0.015</t>
  </si>
  <si>
    <t>"The growth of MSCs was enhanced by red-light LLLI, and the effect became more obvious at low cell density. A single dose of LLLI led only to a short-term increase in MSCs proliferation. A maximal increase in cell proliferation was observed with multiple exposures of LLLI at 15 mW/cm(2) and 4 J/cm(2). The number of colony-forming unit fibroblasts increased when cells were illuminated under the optimal parameter. During osteogenesis, significant increases (p &lt; 0.01) in both alkaline phosphatase and osteocalcin expressions were found in the MSCs that received light irradiation."
"Our data demonstrated that MSCs proliferation was enhanced by multiple exposures to LLLI from 630-nm LEDs, and cell growth depended on the plating density. Furthermore, multiple dose of LLLI could enhance the osteogenic potential of rat MSCs."</t>
  </si>
  <si>
    <t>Li &amp; Leu</t>
  </si>
  <si>
    <t>Effects of low level red-light irradiation on the proliferation of mesenchymal stem cells derived from rat bone marrow.</t>
  </si>
  <si>
    <t>0.005
0.010
0.015</t>
  </si>
  <si>
    <t>2 or 4</t>
  </si>
  <si>
    <t>"The results showed that the proliferation of MSCs plated at the low density (100 cells/well) and high density (1000 cells/well) was enhanced by multiple exposures of red-light LED treatment. The rate of proliferation of MSCs plated at the high density was not as high as those plated at the low density. The optimal parameter for LLLI was at irradiance of 15 mW/cm2, and radiant exposure of 4 J/cm2. The effect on the proliferation of cells by single dose irradiation was temporary. Multiple stimuli may be necessary for the enhancement of cell growth."</t>
  </si>
  <si>
    <t>Buccal fat pad</t>
  </si>
  <si>
    <t>Homayouni</t>
  </si>
  <si>
    <t>Effect of 980 nm photobiomodulation delivered by a handpiece with Gaussian vs. Flat-Top profiles on proliferation and differentiation of buccal fat pad stem cells</t>
  </si>
  <si>
    <t>Flat-top vs gaussian beam profile</t>
  </si>
  <si>
    <t>"Based on the MTT and Annexin V test results, both test groups outperformed the control group in degrees of cell proliferation during the first day of laser irradiation (p &lt; 0.05). After one and two times irradiation, the expression of osteogenic markers in the test groups was significantly higher than the control group. PBM with Flat-Top and Gaussian handpieces can enhance ossification and cell differentiation regardless of the type of handpieces."</t>
  </si>
  <si>
    <t>Chondrogenesis</t>
  </si>
  <si>
    <t>Bozhokin</t>
  </si>
  <si>
    <t>Low-intensity photobiomodulation at 632.8 nm increases tgfβ3, col2a1, and sox9 gene expression in rat bone marrow mesenchymal stem cells in vitro</t>
  </si>
  <si>
    <t>"Chondrogenic effects of low-intensity He-Ne laser photobiomodulation and cytokine Tgfβ3 (10 ng/μL) were analyzed and compared after 21 days."
"It was found that the responsible for chondrogenesis genes expression (tgfβ3, col2a1, sox9) increased under the action of specific laser photobiomodulation during the observation period (from 0 to 21 days). The chondrogenic differentiation effect under the laser irradiation is less significant than Tgfβ3 cytokine effect."</t>
  </si>
  <si>
    <t>Chondrogenic mRNA expression in prechondrogenic cells after blue laser irradiation</t>
  </si>
  <si>
    <t>"These results, for the first time, provide functional evidence that mRNA expression relating to chondrogenesis is increased, and Ap-2alpha is decreased immediately after laser irradiation. As this technique could readily be applied in situ to control the differentiation of cells at an implanted site within the body, this approach may have therapeutic potential for the restoration of damaged or diseased tissue."</t>
  </si>
  <si>
    <t>Cryopreservation</t>
  </si>
  <si>
    <t>Photobiomodulation as an antioxidant substitute in post-thawing trauma of human stem cells from the apical papilla</t>
  </si>
  <si>
    <t>LED phototherapy
Pulsing</t>
  </si>
  <si>
    <t>"Near-infrared radiation (NIR) at 950 nm was effective in reducing cell death caused by hydrogen peroxide induced-oxidative stress.
Cryodamage also leads to apoptosis of cells, which can be avoided by irradiation at 950 nm NIR. Irradiation as post-processing for cryopreservation had an antioxidant effect that reduced both cellular and mitochondrial ROS. It also increased mitochondrial mass and activated mitochondrial activity, resulting in increased MMP, ATP generation, and increased cytochrome c oxidase activity. In addition, NIR increased alkaline phosphatase (ALP) activity, a biomarker of differentiation.
As a result, we identified that 950 nm NIR PBM solves cryodamage in human stem cells from the apical papilla, indicating its potential as an alternative to antioxidants for treatment of post-thawing trauma, and further estimated its mechanism."</t>
  </si>
  <si>
    <t>Diabetic stem cells</t>
  </si>
  <si>
    <t>Photobiomodulation therapy compensate the impairments of diabetic bone marrow mesenchymal stem cells.</t>
  </si>
  <si>
    <t>0.5
1
2</t>
  </si>
  <si>
    <t>"Our results demonstrated that DMSCs have significantly lower survival (P &lt; 0.05) and proliferation rates (P &lt; 0.001), and dramatically higher population doubling time (PDT, P &lt; 0.001) and apoptosis rates (P &lt; 0.001) as compared to NMSCs. Moreover, PBM with energy density of 1 J/cm2 and the periodicity of 1 or 2 times could improve diabetic MSC capabilities in the term of survival, proliferation, and apoptosis. Considering these findings, it is suggested that PBM could improve the ability of diabetic MSCs in vitro prior to transplantation or may rise their capabilities in their native niche in vivo."</t>
  </si>
  <si>
    <t>Endometrial organoids</t>
  </si>
  <si>
    <t>Gebril</t>
  </si>
  <si>
    <t>Reprod biol</t>
  </si>
  <si>
    <t>Bio-modulated mice epithelial endometrial organoids by low-level laser therapy serves as an invitro model for endometrial regeneration</t>
  </si>
  <si>
    <t>"LLLT produced a proliferative effect on the epithelial mouse organoids confirmed by Ki67 and PCNA IHC. The organoids could regenerate the epithelial layer of the endometrium in vitro on DUM and LLLT could help in this process."</t>
  </si>
  <si>
    <t>Hepatocyte-like cells</t>
  </si>
  <si>
    <t>Waki</t>
  </si>
  <si>
    <t>Effects of green light-emitting diode irradiation on hepatic differentiation of hepatocyte-like cells generated from human adipose-derived mesenchymal cells</t>
  </si>
  <si>
    <t>"GLED irradiation increased Alpha-1 antitrypsin and Ornithine transcarbamylase gene expression, promoted Cytochrome P450 3A4 activity and urea synthesis, and elevated intracellular ROS, ATP and Ca2+ levels. OPN3 expression was significantly more upregulated in GLED-irradiated HLCs than in the non-irradiated HLCs. No significant difference in cell viability or apoptosis was observed between GLED-irradiated and non-irradiated HLCs. 
GLED irradiation can promote hepatocyte maturation and functions through OPN3. GLED irradiation also stimulated mitochondrial function via Ca2+/ATP/ROS activation. GLED irradiation has potential to support cell-based transplantation in patients."</t>
  </si>
  <si>
    <t>Inner-ear hair cells</t>
  </si>
  <si>
    <t>Mol Ther Methods Clin Dev</t>
  </si>
  <si>
    <t>Enhanced Inner-Ear Organoid Formation from Mouse Embryonic Stem Cells by Photobiomodulation.</t>
  </si>
  <si>
    <t>"In this study, we determined the optimal condition to differentiate the ESCs into the otic organoid using different culture techniques and PBM parameters. The efficiency of organoid formation within the embryoid body (EB) was dependent on the cell density of the hanging drop. 
PBM, using 630 nm wavelength light-emitting diodes (LEDs), further improved the differentiation of inner-ear hair cell-like cells coupled with reactive oxygen species (ROS) overexpression. Transcriptome analysis showed the factors that are responsible for the effect of PBM in the formation of otic organoids, notably, the downregulation of neural development-associated genes and the hairy and enhancer of split 5 (Hes5) gene, which inhibits the differentiation of prosensory cells to hair cells.
These data enrich the current differentiation protocols for generating inner-ear hair cells."</t>
  </si>
  <si>
    <t>Myogenesis</t>
  </si>
  <si>
    <t>In vitro effects of low-level laser irradiation for bone marrow mesenchymal stem cells: proliferation, growth factors secretion and myogenic differentiation.</t>
  </si>
  <si>
    <t>0
0.5
1.0
2.0
5.0</t>
  </si>
  <si>
    <t>“LLLI stimulates proliferation, increases growth factors secretion and facilitates myogenic differentiation of BMSCs. Therefore, LLLI may provide a novel approach for the preconditioning of BMSCs in vitro prior to transplantation.”</t>
  </si>
  <si>
    <t>LLLI = Low-level laser (light) irradiation
BMSCs = bone marrow-derived mesenchymal stem cells
MSCs = mesenchumal stem cells
CSCs = cardiac stem cells</t>
  </si>
  <si>
    <t>Wollman &amp; Rochkind</t>
  </si>
  <si>
    <t>Muscle fiber formation in vitro is delayed by low power laser irradiation</t>
  </si>
  <si>
    <t>"In our rat myogenic cell line (L8) system the LPLI induced a delay of 5 to 6 hours in the onset of fusion of the myoblasts compared to the nonirradiated cells. The creatine kinase activity and the incorporation of labelled thymidine of the irradiated cultures were similar to the pattern of behaviour of these parameters in the control cultures. Thus, we have extended the longevity of the myoblasts population. We assume that the delay in fusion was induced by the increase of the motility of the myoblasts in culture, so that rearrangements of physical contacts or of membrane components were needed to resume fusion."</t>
  </si>
  <si>
    <t>Neural differentiation</t>
  </si>
  <si>
    <t>Neuronal differentiation potential of primary and immortalized adipose stem cells by photobiomodulation</t>
  </si>
  <si>
    <t>"Based on the expression of nestin, an early neuronal marker an exposure to 5, 10 and 15 J/cm2 of NIR and growth inducers for 14 days the primary ASCs demonstrated a higher neuronal differentiation potential compared to the immortalized ASCs. However, newly differentiated cells from either of these ASCs did not reveal βIII-tubulin, an intermediate neuronal marker even by 21 days of differentiation."</t>
  </si>
  <si>
    <t>Effect of Photobiomodulation Therapy on Differentiation of Mesenchymal Stem Cells Derived from Impacted Third Molar Tooth into Neuron-like Cells</t>
  </si>
  <si>
    <t>"PBMT with both wavelengths significantly increased β-tubulin and MAP2 expression in neural inductive medium with highest expression mean in 980-nm group. PBMT with 810 and 980-nm lasers could be a promising adjunctive method in differentiation of DF-originated MSCs into neural cells."</t>
  </si>
  <si>
    <t>Topaloglu &amp; Bakay</t>
  </si>
  <si>
    <t>Mechanistic approaches to the light-induced neural cell differentiation: Photobiomodulation vs Low-Dose Photodynamic Therapy</t>
  </si>
  <si>
    <t>"It has been observed that both of these modalities were successful at neural cell differentiation. PBM at 1 J/cm2 and low-dose PDT at 3 J/cm2 energy densities provided the best differentiation profiles which were proved by the over-expressions of SYN-1 and GAP43 genes."</t>
  </si>
  <si>
    <t>Photobiomodulation-Induced Differentiation of Immortalized Adipose Stem Cells to Neuronal Cells</t>
  </si>
  <si>
    <t>"We found that PBM increased the yield of neurons and effected stem cell differentiation through modulation of cellular metabolism and redox status."</t>
  </si>
  <si>
    <t>Effect of photobiomodulation on neural differentiation of human umbilical cord mesenchymal stem cells.</t>
  </si>
  <si>
    <t>3/6/9
3/6/9</t>
  </si>
  <si>
    <t>"We found that irradiation with 635-nm laser increased cell proliferation, and that with 808 nm laser by itself and combined with cerebrospinal fluid treatment generated significant neuron-like morphological changes in the cells at 72 h. 
Nestin showed high positive expression at 24 h in the 808 nm group. The expression of GFAP increased in the 808-nm combined inducer group at 24 h but decreased at 72 h. The expression of neuN protein increased only at 72 h in both the 808-nm combined inducer group and inducer group. 
We concluded that 808 nm laser irradiation could help CSF to induce neuronal differentiation of hUC-MSCs in early stage and tend to change to neuron rather than glial cells."</t>
  </si>
  <si>
    <t>Portugal
(Covilhã)</t>
  </si>
  <si>
    <t>Acta Biomater</t>
  </si>
  <si>
    <t>Blue light potentiates neurogenesis induced by retinoic acid-loaded responsive nanoparticles</t>
  </si>
  <si>
    <t>"Data showed that neural stem cells from the subventricular zone (SVZ) exposed to blue light (405nm laser) transiently induced NADPH oxidase-dependent ROS, resulting in β-catenin activation and neuronal differentiation, and increased RARα levels. Additionally, the same blue light stimulation was capable of triggering the release of RA from light-responsive nanoparticles (LR-NP)."</t>
  </si>
  <si>
    <t>Dehghani-Soltani</t>
  </si>
  <si>
    <t>Effects of light emitting diode irradiation on neural differentiation of human umbilical cord-derived mesenchymal cells.</t>
  </si>
  <si>
    <t>Green light 🟢 (and red too)
LED phototherapy</t>
  </si>
  <si>
    <t>530
630</t>
  </si>
  <si>
    <t>"Together, the results of our study indicate that the given dose of red and especially green LED irradiation on hUCM cells could successfully enhance neurogenic gene expression. However, when neural lineage differentiation proteins production is considered, red and especially green led irradiation could enhance RA effects on nestin, β-tubulin III and O4 after 14 days and GFAP after 21 days. Because light stimulation is dose dependent and the penetration of light beam in different tissues is variable, it is not possible to extend in vitro results directly to in vivo applications. However, as LED irradiation is economic, safe and easy to use, our results suggest that further studies in the animal models can lead to possible application of LED irradiation as a useful tool for promotion of neuronal repair and nerve regeneration."</t>
  </si>
  <si>
    <t>Neural stem cells</t>
  </si>
  <si>
    <t>Photobiomodulation of Neurogenesis through the Enhancement of Stem Cell and Neural Progenitor Differentiation in the Central and Peripheral Nervous Systems</t>
  </si>
  <si>
    <t>"In this review, we have reviewed research on the effects of PBM on neurogenesis in the central nervous system (e.g., animal brains) and the peripheral nervous system (e.g., peripheral sensory neural structures) and sought its potential as a therapeutic tool for intractable neural degenerative disorders."</t>
  </si>
  <si>
    <t>Biofabrication</t>
  </si>
  <si>
    <t>3D printing scaffold coupled with low level light therapy for neural tissue regeneration.</t>
  </si>
  <si>
    <t>"Over culturing time of 14 day in vitro, the laser stimulation promoted neuronal differentiation of neural stem cells, while the glial differentiation was suppressed based on results of both immunocytochemistry studies and real-time quantitative reverse transcription polymerase chain reaction testing. These findings suggest that integration of 3D printing and LLLT might provide a powerful methodology for neural tissue engineering."</t>
  </si>
  <si>
    <t>Mohaghegh</t>
  </si>
  <si>
    <t>Evaluating the effect of strontium ranelate and photobiomodulation on cementogenic and osteogenic differentiation of buccal fat pad-derived stem cells: An in vitro study</t>
  </si>
  <si>
    <t xml:space="preserve">660
880
</t>
  </si>
  <si>
    <t>"All study groups had significantly higher osteogenic differentiation than the control group (p &lt; 0.05), and no significant difference existed between the 660 and 808 nm groups (p = 0.97). Compared to the Str group, 660 nm and 880 nm group samples had significantly lower osteogenic differentiation (p &lt; 0.0001), while other groups did not show a significant difference. 
Regarding cementogenic differentiation, the 660 nm group showed higher values than the 808 nm group (p &lt; 0.01). Compared with the Str group, 660 nm, 660 nm + Str, and 808 nm + Str groups showed significantly higher gene expression (p &lt; 0.05). 
In the case of osteogenic differentiation, although photobiomodulation alone had a lower inducing effect than strontium ranelate, combining 808 nm diode lasers and strontium ranelate may provide the best results. Moreover, using a 660 nm diode laser and exposing stem cells to strontium ranelate can be the most effective approach to induce cementogenic differentiation."</t>
  </si>
  <si>
    <t>Furtado</t>
  </si>
  <si>
    <t>Osteoinductive activity of photobiomodulation in an organotypic bone model</t>
  </si>
  <si>
    <t>🧪 In vitro (ex vivo bone culture: organotypic embryonic chicken femur model)</t>
  </si>
  <si>
    <t>4
/ 11 days</t>
  </si>
  <si>
    <t>"Exposing femora to both RED and NIR wavelengths led to a notable increase in the expression of osteochondrogenic transcription factors (i.e., SOX9 and RUNX2), correlating with enhanced mineralization. Notably, NIR irradiation further elevated the expression of bone matrix-related genes and fostered enhanced deposition and maturation of fibrillar collagen. 
This study demonstrates that PBM has the potential to enhance osteogenic functionality within a translational organotypic bone culture system, with the NIR wavelength showing remarkable capabilities in augmenting the formation and maturation of the collagenous matrix."</t>
  </si>
  <si>
    <t>Albaqami</t>
  </si>
  <si>
    <t>Photobiomodulation effects of blue light on osteogenesis are induced by reactive oxygen species</t>
  </si>
  <si>
    <t>Blue light 🔵
⚙️ Mechanisms of blue light PBM (reactive oxygen species)</t>
  </si>
  <si>
    <t>"Results showed that Saos-2 cell viability and metabolic activity were maintained upon blue light exposure compared to unilluminated controls, indicating no negative effects. To the contrary, blue light exposure significantly increased (p &lt; 0.05) alkaline phosphatase activity and Saos-2 cell mediated mineralization."
"Together, these results suggest that the beneficial effects of blue light-mediated PBM on osteogenesis may be induced by controlled release of ROS."</t>
  </si>
  <si>
    <t>Regen Ther</t>
  </si>
  <si>
    <t>Enhancing osteogenic differentiation in adipose-derived mesenchymal stem cells with Near Infra-Red and Green Photobiomodulation</t>
  </si>
  <si>
    <t>"The investigative outcomes revealed that a combination of PBM treatment and osteogenic differentiation inducers stimulated promising early osteogenic differentiation of immortalised ADMSCs. The NIR-Green PBM combination did appear to offer great potential for immortalised ADMSC differentiation into early osteoblasts amongst selected assays, however, further investigations will be required to establish the effectivity of this novel wavelength combination."</t>
  </si>
  <si>
    <t>Çevik</t>
  </si>
  <si>
    <t>Investigation of the optimal light parameters for photobiomodulation to induce osteogenic differentiation of the human bone marrow stem cell and human umbilical vein endothelial cell co-culture</t>
  </si>
  <si>
    <t>"Even though all PBM-treated groups exhibited better results compared to the control group, 5 J/cm2 energy density induced faster cell proliferation and migration at both wavelengths. The increases in ATP and NO levels as signaling molecules, and the increases in DNA, ALPase, and calcium contents as osteogenic markers were higher in the groups treated with 5 J/cm2 energy density at both wavelengths. Only a slight change was obtained in the level of intracellular ROS after any light applications. 
It can be concluded that NO release has a very important role together with ATP production in PBM therapy to trigger DNA synthesis, ALPase activity, and mineralization for osteogenic differentiation of the hBMSC and HUVEC co-culture at 655 and 808 nm of wavelengths."</t>
  </si>
  <si>
    <t>Biomater Adv</t>
  </si>
  <si>
    <t>Synergistic effects of integrin binding peptide (RGD) and photobiomodulation therapies on bone-like microtissues to enhance osteogenic differentiation</t>
  </si>
  <si>
    <t>"Combined therapies of RGD and PBM were more successful to induce osteogenic differentiation than single therapies. Especially, RGD + PBM at 655 nm group exhibited a higher capability of osteogenic differentiation via ROS production, ATP synthesis, and NO release."</t>
  </si>
  <si>
    <t>Photobiomodulation therapy at red and near-infrared wavelengths for osteogenic differentiation in the scaffold-free microtissues</t>
  </si>
  <si>
    <t>"1 J/cm2 at 655 nm of wavelength and 5 J/cm2 at 808 nm of wavelength were the most effective energy densities for osteogenic differentiation on SFMs with triple light treatment."</t>
  </si>
  <si>
    <t>The effects of Twinlight laser treatment on the titanium surface proliferation and osteogenic differentiation of mesenchymal stem cells</t>
  </si>
  <si>
    <t>"Twinlight laser treatment promoted cell proliferation, inhibited the expression of inflammatory cytokines, and effectively enhanced the osteogenic differentiation of cells on a titanium surface."</t>
  </si>
  <si>
    <t>J Tissue Eng</t>
  </si>
  <si>
    <t>Steering the multipotent mesenchymal cells towards an anti-inflammatory and osteogenic bias via photobiomodulation therapy: How to kill two birds with one stone</t>
  </si>
  <si>
    <t>"We aimed to present how photobiomodulation therapy (PBM-t) can manipulate MSCs to render them an extraordinary anti-inflammatory and osteogenic instrument. Moreover, we discuss the outcomes of different PBM-t protocols on MSCs, concluding with some perplexities and complexities of PBM-t in vivo but encouraging and feasible in vitro solutions."</t>
  </si>
  <si>
    <t>Shimohira</t>
  </si>
  <si>
    <t>Low-Level Erbium-Doped Yttrium Aluminum Garnet Laser Irradiation Induced Alteration of Gene Expression in Osteogenic Cells from Rat Calvariae</t>
  </si>
  <si>
    <t>3.1
8.2</t>
  </si>
  <si>
    <t>"Er:YAG laser irradiation, especially at 3.1 J/cm2, showed positive effect on the expression of genes related to bone formation in osteogenic cells, without inducing significant cell damage. These findings may represent critical mechanisms of early bone formation after Er:YAG laser irradiation."</t>
  </si>
  <si>
    <t>Low-level laser irradiation enhances the proliferation and osteogenic differentiation of PDLSCs via BMP signaling</t>
  </si>
  <si>
    <t>"Our results demonstrated LLLT could promote the proliferation and osteogenesis of PDLSCs at 2-6 J/cm2 and LLLT at 8 J/cm2 significantly suppress osteogenic differentiation of PDLSCs. Moreover, LLLT stimulated the secretion of TNFα and IL-β1. Finally, we found the irradiation positively modulates the P-Smad1/5/8 level. When the cells were treated with LDN-193189, the proliferation and osteogenic effects of LLLT on PDLSCs were attenuated."</t>
  </si>
  <si>
    <t>Photobiomodulation: An Effective Approach to Enhance Proliferation and Differentiation of Adipose-Derived Stem Cells into Osteoblasts</t>
  </si>
  <si>
    <t>"In this article, the potential for differentiating ADSCs into osteoblasts and the various methods used, including biological induction, chemical induction, and PBM, will be addressed. Likewise, the optimal laser parameters that could improve the proliferation and differentiation of ADSC, translating into clinical success, will be commented on."</t>
  </si>
  <si>
    <t>Ruan</t>
  </si>
  <si>
    <t>Irradiation by High-Intensity Red Light-Emitting Diode Enhances Human Bone Marrow Mesenchymal Stem Cells Osteogenic Differentiation and Mineralization Through Wnt/β-catenin Signaling Pathway</t>
  </si>
  <si>
    <t>"The results indicate that high-intensity red LED irradiation increases BMSC osteogenic differentiation and mineralization via Wnt/β-catenin activation. Therefore, short duration irradiation with a portable high-intensity LED may be used as a potential approach in hard tissue regeneration therapy."</t>
  </si>
  <si>
    <t>Irradiation with blue light-emitting diode enhances osteogenic differentiation of stem cells from the apical papilla.</t>
  </si>
  <si>
    <t>420-
480</t>
  </si>
  <si>
    <t>"Our results confirmed that low-energy blue LED at 1 J/cm2, 2 J/cm2, 3 J/cm2, and 4 J/cm2 could inhibit the proliferation of SCAPs and promotes osteogenic differentiation of SCAPs. Further in vitro studies are required to explore the mechanisms of the effects by low-energy blue LED."</t>
  </si>
  <si>
    <t>Photobiomodulation effects on osteogenic differentiation of adipose-derived stem cells.</t>
  </si>
  <si>
    <t>"635 nm and 809 nm laser irradiation had no effect on the cell viability on days 7 and 14, except for 0.5 J/cm2 group at 14th day after 635 nm irradiation (p &lt; 0.05). Cell proliferation was not changed significantly.
Mineralization was increased significantly in 809 nm laser groups but no enhancement was detected in the osteogenic differentiation by ALP activity and gene expression results.
In 0.5 and 1 J/cm2 groups, ALP and COL1A expressions were down regulated at day 7 after 809 nm laser exposure.
These results suggest that PBM may alter osteogenic differentiation of ADSC and increase mineralization but further investigation is needed to define adequate parameters."</t>
  </si>
  <si>
    <t>J Biol Phys</t>
  </si>
  <si>
    <t>Influence of electromagnetic waves, with maxima in the green or red range, on the morphofunctional properties of multipotent stem cells.</t>
  </si>
  <si>
    <t>525
632</t>
  </si>
  <si>
    <t>"When the samples were illuminated with a green light, no significant photostimulatory effect was observed. Red light, on the other hand, had an evident photostimulatory effect. It is shown that photostimulation with a red light decreases the enzymatic activities of mitochondrial dehydrogenases and enhances the viability of cells, their proliferative activity, and their ability to form bone tissue. It is also established that red light stimulates cell proliferation, while not activating the genes that increase the risk of the subsequent malignant transformation of cells or their death. 
This paper discusses the possible role of hydrogen peroxide in the processes examined."
"As shown above, irradiation of aqueous solutions with the light sources used in our experiments leads to the formation of H2O2 (Fig. 6). Earlier it was established that dipoles of oxygen molecules dissolved in water are photoreceptors of laser radiation (632.8 and 1264 nm), which is based on their transition into the singlet state [59]. This phenomenon is called the light-oxygen effect. The general scheme of H2O2 formation with the light-oxygen effect was established earlier [60]."
Comment: Apparently the authors suggest that irradiating water with 632 nm leads to hydrogen peroxide (H2O2) formation.</t>
  </si>
  <si>
    <t>Improvement in viability and mineralization of osteoporotic bone marrow mesenchymal stem cell through combined application of photobiomodulation therapy and oxytocin.</t>
  </si>
  <si>
    <t>1.91
cm2
beam
area</t>
  </si>
  <si>
    <t>"Both PBMT and PBMT + OT treatments could promote mineralization of OVX-BMMSC in the culture medium at early and middle stages of osteogenic induction process. Both OT and PBMT + OT treatments could promote mineralization of OVX-BMMSC in vitro at late stages of osteogenic induction process."</t>
  </si>
  <si>
    <t>Photobiomodulation with single and combination laser wavelengths on bone marrow mesenchymal stem cells: proliferation and differentiation to bone or cartilage.</t>
  </si>
  <si>
    <t>485
532
660
810</t>
  </si>
  <si>
    <t>30
30
30
200</t>
  </si>
  <si>
    <t>0.266
0.266
0.167
1.333</t>
  </si>
  <si>
    <t>0.113
0.113
0.180
0.150
cm2</t>
  </si>
  <si>
    <t>15
15
24
3</t>
  </si>
  <si>
    <t>"Stimulatory effects on osteogenesis were seen for [red and [near-infrared] lasers, while [green] laser had inhibitory effects."</t>
  </si>
  <si>
    <t>Çakmak</t>
  </si>
  <si>
    <t>Photostimulation of osteogenic differentiation on silk scaffolds by plasma arc light source.</t>
  </si>
  <si>
    <t>Human mesenchymal stem cells (hMSCs) seeded on 3D silk scaffolds
Polychromatic light 🌈</t>
  </si>
  <si>
    <t>0.092</t>
  </si>
  <si>
    <t>"The results showed that photostimulation with a polychromatic light source (...) enhanced osteogenic differentiation of hMSCs according to higher alkaline phosphatase (ALP) activity, collagen and calcium content, osteogenic gene expressions, and matrix mineralization. 
In conclusion, we suggest that the plasma arc light source that was used here has a great potential for bone regeneration."</t>
  </si>
  <si>
    <t>Tani</t>
  </si>
  <si>
    <t>Red (635 nm), Near-Infrared (808 nm) and Violet-Blue (405 nm) Photobiomodulation Potentiality on Human Osteoblasts and Mesenchymal Stromal Cells: A Morphological and Molecular In Vitro Study.</t>
  </si>
  <si>
    <t>Human osteoblasts
Mesenchymal stromal cells
Blue light
Wavelength comparison</t>
  </si>
  <si>
    <t>"Confocal immunofluorescence and RT-PCR analyses indicated that red PBM (i) on both cell types increased vinculin-rich clusters, osteogenic markers expression (Runx-2, alkaline phosphatase, osteopontin) and mineralized bone-like nodule structure deposition and (ii) on hMSCs induced stress fiber formation and upregulated the expression of proliferation marker Ki67. 
Interestingly, osteoblast responses to red light were mediated by Akt signaling activation, which seems to positively modulate reactive oxygen species levels. 
Violet-blue light-irradiated cells behaved essentially as untreated ones and NIR irradiated ones displayed modifications of cytoskeleton assembly, Runx-2 expression and mineralization pattern. 
Although within the limitations of an in vitro experimentation, this study may suggest PBM with 635 nm laser as potential effective option for promoting/improving bone regeneration."</t>
  </si>
  <si>
    <t>China
(Weifang)</t>
  </si>
  <si>
    <t>Low-level laser irradiation promotes the differentiation of bone marrow stromal cells into osteoblasts through the APN/Wnt/β-catenin pathway.</t>
  </si>
  <si>
    <t>Bone marrow stromal cells (BMSCs)</t>
  </si>
  <si>
    <t>"In summary, LLLI can promote osteogenesis and inhibit adipocytes formation, thus attenuating bone resorption of osteoclasts. The mechanism of LLLI is that it promotes the entry of β-catenin into the nucleus and regulates the Wnt pathway and the differentiation direction of mesenchymal stem cells through the APN signal pathway, thus promoting bone formation."</t>
  </si>
  <si>
    <t>The Effects of Photobiomodulation of 808 nm Diode Laser Therapy at Higher Fluence on the in Vitro Osteogenic Differentiation of Bone Marrow Stromal Cells.</t>
  </si>
  <si>
    <t>"These in vitro studies provide for first time the initial proof that the PBM of the 808 nm diode laser therapy with flat-top hand-piece delivery system at a higher-fluence irradiation of 64 J/cm2 (1 W/cm2) can modulate BMSCs differentiation in enhancing osteogenesis."</t>
  </si>
  <si>
    <t>Bayat &amp; Jalalifirouzkouhi</t>
  </si>
  <si>
    <t>Presenting a Method to Improve Bone Quality Through Stimulation of Osteoporotic Mesenchymal Stem Cells by Low-Level Laser Therapy.</t>
  </si>
  <si>
    <t>"Comprehensive research was performed using PubMed, and biostimulatory effect of LLLT on bony cells and MSCs were studied."
"LLLT can stimulate growth, proliferation, and differentiation of SCs in vitro and in vivo. This ability of LLLT is an essential prerequisite for performing experiments related to disease control in humans. Thus, laser-treated osteoporotic autologous BMMSCs may represent a promising therapeutic method to protect the bones in patients with OP and prevent fractures in these patients. Therefore, researchers hypothesize that transplantation of in vitro laser-treated autologous cultured osteoporotic BMMSCs that have the appropriate osteogenic phenotype into sites at risk for development of osteoporotic bone may result in improved bone structure. In this respect, investigators have successfully used LLLT to restore autologous osteoporotic MSCs in vitro. Subsequently, these cells have been differentiated into osteoblast cell lines with the use of laser treatment after which they were transplanted into osteoporotic animal models."
"This technique might improve bone quality and structure. However, additional research must be undertaken to understand the underlying mechanisms of this treatment, validate its effectiveness, and assess the feasibility for clinical application of LLLT to treat MSCs in regeneration of osteoporotic bone."</t>
  </si>
  <si>
    <t>Photobiomodulation of mesenchymal stem cells encapsulated in an injectable rhBMP4-loaded hydrogel directs hard tissue bioengineering.</t>
  </si>
  <si>
    <t>🐁 Mouse (+🧪 In vitro)</t>
  </si>
  <si>
    <t>0.08
0.14</t>
  </si>
  <si>
    <t>4
7</t>
  </si>
  <si>
    <t>"In the presence of rhBMP4, cell odonto/osteogenic differentiation was premature and markedly improved in the photoactivated MSCs. An in vivo calvarial critical sized defect model demonstrated significant increase in bone formation after PBM treatment.
Finally, a balance in the reactive oxygen species levels may be related to the favorable results of PBM and rhBMP4 association.
PBM may act in synergism with rhBMP4 and is a promise candidate to direct and accelerate hard tissue bioengineering."</t>
  </si>
  <si>
    <t>Green laser light irradiation enhances differentiation and matrix mineralization of osteogenic cells.</t>
  </si>
  <si>
    <t>"Our results highlight that this LLLT experimental protocol with green light (KTP, 532 nm) at 4 J/cm(2) has a positive effect on the osteogenic differentiation of murine bone marrow stromal cells. These preliminary results could be used as a basis to further investigate the effect of this KTP laser protocol on bone tissue engineering models in vivo and in vitro."</t>
  </si>
  <si>
    <t>Effects of light-emitting diode irradiation on the osteogenesis of human umbilical cord mesenchymal stem cells in vitro.</t>
  </si>
  <si>
    <t>"In conclusion, low levels of LED light at a wavelength of 620 nm enhance the proliferation and osteogenic differentiation of hUMSCs during a long culture period."</t>
  </si>
  <si>
    <t>The effect of noncoherent red light irradiation on proliferation and osteogenic differentiation of bone marrow mesenchymal stem cells.</t>
  </si>
  <si>
    <t>0.00667</t>
  </si>
  <si>
    <t>150
300
600</t>
  </si>
  <si>
    <t>"In conclusion, nonconherent red light can promote proliferation but cannot induce osteogenic differentiation of MSCs in normal media, while it enhances osteogenic differentiation and decreases proliferation of MSCs in media with osteogenic supplements."</t>
  </si>
  <si>
    <t>China
(Taiwan)</t>
  </si>
  <si>
    <t>Low-power GaAlAs laser irradiation promotes the proliferation and osteogenic differentiation of stem cells via IGF1 and BMP2</t>
  </si>
  <si>
    <t>"In conclusion, our study suggests that LPLI may induce IGF1 expression to promote both the proliferation and osteogenic differentiation of D1 cells, whereas it may induce BMP2 expression primarily to enhance osteogenic differentiation."</t>
  </si>
  <si>
    <t>Korea
(Jeonnam)</t>
  </si>
  <si>
    <t>Red light of 647 nm enhances osteogenic differentiation in mesenchymal stem cells</t>
  </si>
  <si>
    <t>"These data suggest that osteogenic differentiation of mesenchymal stem cells (MSCs) in ODM is enhanced by LED light exposure."</t>
  </si>
  <si>
    <t>Bouvet-Gerbettaz</t>
  </si>
  <si>
    <t>France (Nice)</t>
  </si>
  <si>
    <t>Effects of low-level laser therapy on proliferation and differentiation of murine bone marrow cells into osteoblasts and osteoclasts.</t>
  </si>
  <si>
    <t>808nm LLLT didn’t alter murine bone progenitor cell proliferation or differentiation.</t>
  </si>
  <si>
    <t>Abramovitch-Gottlib</t>
  </si>
  <si>
    <t>Beer-Sheva</t>
  </si>
  <si>
    <t>Low level laser irradiation stimulates osteogenic phenotype of mesenchymal stem cells seeded on a three-dimensional biomatrix.</t>
  </si>
  <si>
    <t>"The results obtained from the irradiated samples showed enhanced tissue formation, appearance of phosphorous peaks and calcium and phosphate incorporation to newly formed tissue. Moreover, in irradiated samples ALP activity was significantly enhanced in early stages and notably reduced in late stages of culturing. These findings of cell and tissue parameters up to 28 days of culture revealed higher ossification levels in irradiated samples compared with the control group.
We suggest that both the surface properties of the 3D crystalline biomatrices and the LLLI have biostimulatory effects on the conversion of MSCs into bone-forming cells and on the induction of ex-vivo ossification."</t>
  </si>
  <si>
    <t>Combined effects of photobiomodulation and alendronate on viability of osteoporotic bone marrow-derived mesenchymal stem cells.</t>
  </si>
  <si>
    <t>Osteoporotic bone marrow mesenchymal stem cells (BMMSCs)
PBM vs alendronate</t>
  </si>
  <si>
    <t>"It was concluded that PBM significantly increased cell viability of OVX-BMMSCs compared to control -OVX-BMMSCs and healthy -BMMSCs."</t>
  </si>
  <si>
    <t>Tenogenic induction</t>
  </si>
  <si>
    <t>Gomiero</t>
  </si>
  <si>
    <t>Italy &amp; Belgium</t>
  </si>
  <si>
    <t>Vet Res Commun</t>
  </si>
  <si>
    <t>Tenogenic induction of equine mesenchymal stem cells by means of growth factors and low-level laser technology.</t>
  </si>
  <si>
    <t>660
905</t>
  </si>
  <si>
    <t>"In conclusion, the present study might furnish significant suggestions for developing an efficient approach for tenocyte induction since the external administration of bFGF2 and TGFβ3, along with LLLT, influences the differentiation of PB-MSCs towards the tenogenic fate."</t>
  </si>
  <si>
    <t>Umbilical cord stem cells</t>
  </si>
  <si>
    <t>830 nm photobiomodulation therapy promotes engraftment of human umbilical cord blood-derived hematopoietic stem cells</t>
  </si>
  <si>
    <t>"Here, we report the ability of photobiomodulation therapy (PBMT) to significantly enhance the engraftment efficacy of hUCB HSCs and progenitor cells (HSPCs). hUCB CD34+ cells were illuminated at a fluence of 2 J/cm2 with a near-infrared light (830 nm) transmitted by an array of light-emitting diodes (LED) prior to infusion of NOD/SCID-IL2Rγ-/- mice. The pre-treatment resulted in a threefold higher of the mean percentage of human CD45+ cells in the periphery of the mice compared to sham-treated CD34+ cells."</t>
  </si>
  <si>
    <t>Photobiomodulation Therapy in the Proliferation and Differentiation of Human Umbilical Cord Mesenchymal Stem Cells: An In Vitro Study</t>
  </si>
  <si>
    <t>"The highest cell proliferation and cell differentiation occurred in the OSTEO+PBMT group, followed by the PBMT, OSTEO and CONTROL groups respectively, at the observed times (P &lt;0.05)."</t>
  </si>
  <si>
    <t>Dehghani Soltani</t>
  </si>
  <si>
    <t>Different effects of energy dependent irradiation of red and green lights on proliferation of human umbilical cord matrix-derived mesenchymal cells.</t>
  </si>
  <si>
    <t>Red and green light 🟢
Biphasic dose response
Wavelength comparison</t>
  </si>
  <si>
    <t xml:space="preserve">532
630
</t>
  </si>
  <si>
    <t>0.318
0.636
0.954
1.59
3.18
6.36
9.54
12.72</t>
  </si>
  <si>
    <t>60
120
180
300
600
1200
1800
2400</t>
  </si>
  <si>
    <t>"The present study clearly demonstrates the ability of red and green lights irradiation to promote proliferation of hUCM cells in vitro. The energy applied to the cells through LED irradiation is an effective factor with paradoxical alterations. Green light inserted a much profound effect at special dosages than red light."</t>
  </si>
  <si>
    <t>Epithelial colony forming units</t>
  </si>
  <si>
    <t>Photobiomodulation Therapy Promotes Expansion of Epithelial Colony Forming Units.</t>
  </si>
  <si>
    <t>Laser vs LED
LED phototherapy</t>
  </si>
  <si>
    <t>"This study noted a dose-dependent effect of 810 nm laser on increasing eCFUs, either in terms of size or numbers.
Comparisons of different wavelengths and light sources noted better efficacy of collimated and coherent lasers compared to LEDs and broad-band light."
"PBM therapy promotes expansion of eCFUs that represent progenitors and stem cell populations capable of contributing to tissue repair and regeneration."</t>
  </si>
  <si>
    <t>Macrophage polarization</t>
  </si>
  <si>
    <t>Woo</t>
  </si>
  <si>
    <t>Korea
(Sacheon)</t>
  </si>
  <si>
    <t>Photobiomodulation enhances M2 macrophage polarization properties of tonsil-derived mesenchymal stem cells</t>
  </si>
  <si>
    <t>Co-culture of stem cells and macrophages
LED phototherapy</t>
  </si>
  <si>
    <t>"PBM treatment was used as a priming method for TMSCs to improve therapeutic efficacy. TMSCs were subjected to multi-dose PBM treatments before co-culture with M1 activated (1 μg/mL lipopolysaccharide, LPS) macrophage cells"
"No significant anti-inflammatory response was observed for TMSCs co-cultured with macrophage cells without PBM. But PBM treatment of TMSCs with 630 nm LED array at 30 J reduced expression of inducible nitric oxide synthase, iNOS (M1) and increased expression of Arginase-1, Arg-1 (M2) phenotype macrophage markers. Anti-inflammatory cytokine interleukin-1 receptor antagonist (IL-1RA) gene expression also increased significantly. 
Based on the results, PBM priming of TMSCs supports M2 macrophage polarization."</t>
  </si>
  <si>
    <t>Hind limb ischemia</t>
  </si>
  <si>
    <t>Enhanced angiogenic effect of adipose-derived stromal cell spheroid with low-level light therapy in hind limb ischemia mice.</t>
  </si>
  <si>
    <t>transplanted human adipose-derived mesenchymal stem cells (hASCs)
LED phototherapy</t>
  </si>
  <si>
    <t>"Spheroid + LLLT group had enhanced the tissue regeneration, including angiogenesis, compared with the ASC group. The spheroid ASCs contributed to tissue regeneration via differentiation and secretion of growth factors. In the spheroid + LLLT group, the survival of spheroid hASCs increased with a concomitant decrease in apoptosis of spheroid hASCs in the ischemic hind limb.
The secretion of growth factors was stimulated in the spheroid + LLLT group compared with the ASCs and spheroid group.
These data suggested that LLLT is an effective biostimulator of spheroid hASCs in tissue regeneration that enhanced the survival of ASCs and stimulated the secretion of growth factors in the ischemic hind limb."</t>
  </si>
  <si>
    <t>Mineralisation</t>
  </si>
  <si>
    <t>Mohamad</t>
  </si>
  <si>
    <t>Photobiomodulation of mineralisation in mesenchymal stem cells</t>
  </si>
  <si>
    <t>"The positive effects of light on MSC proliferation are well documented; and recently, several studies have determined the outcomes of PBM on mineralised tissue differentiation in MSC populations. As PBM effects are biphasic, it is important to understand the underlying cellular regulatory mechanisms, as well as, provide accurate details of the irradiation conditions, to optimise and standardise outcomes. This review article focuses on the use of red, near-infra-red (R/NIR) and blue wavelengths to promote the mineralisation potential of MSCs; and also reports on the possible molecular mechanisms which underpin transduction of these effects."</t>
  </si>
  <si>
    <t>Reviews, editorials, etc.</t>
  </si>
  <si>
    <t>Enhancing the Therapeutic Potential of Mesenchymal Stem Cells with Light-Emitting Diode: Implications and Molecular Mechanisms</t>
  </si>
  <si>
    <t>"Ten articles met the search criteria and were included in this review (...)
The LED has been shown to induce greater cellular viability, proliferation, differentiation, and secretion of growth factors. The set of information available leads to proposing a complex signaling cascade for the action of photobiomodulation, including angiogenic factors, singlet oxygen, mitogen-activated protein kinase/extracellular signal-regulated protein kinase, Janus kinase/signal transducer, and reactive oxygen species.
In conclusion, although our results suggest that LED can boost MSCs, a nonuniformity in the experimental protocol, bias, and the limited number of studies reduces the power of systematic review. Further research is essential to find the optimal LED irradiation parameters to boost MSCs function and evaluate its impact in the clinical setting."</t>
  </si>
  <si>
    <t>The Effect of Photobiomodulation on Human Mesenchymal Cells: A Literature Review</t>
  </si>
  <si>
    <t>"Photobiomodulation is a promising technology that can impact on cell viability, differentiation, proliferation, or migration, leading to enhance its regenerative capacity."</t>
  </si>
  <si>
    <t>Biological Responses of Stem Cells to Photobiomodulation Therapy.</t>
  </si>
  <si>
    <t>"Studies demonstrated that red to near-infrared light is absorbed by the mitochondrial respiratory chain. Mitochondria are the significant sources of reactive oxygen species (ROS). Mitochondria play an important role in metabolism, energy generation, and are also involved in mediating the effects induced by PBMT. PBMT may result in the increased production of (ROS), nitric oxide (NO), adenosine triphosphate (ATP), and cyclic adenosine monophosphate (cAMP). These changes in turn initiate cell proliferation and induce the signal cascade effect.</t>
  </si>
  <si>
    <t>The Effect of Photobiomodulation Therapy on the Differentiation, Proliferation, and Migration of the Mesenchymal Stem Cell: A Review.</t>
  </si>
  <si>
    <t>"42 articles were found relevant. Generally, most of the studies demonstrated that different laser parameters increased the proliferation, migration, and differentiation of the MSCs, except the results of two studies which were contradictory. In fact, changing the parameters of a low-power laser would affect the results. On the other hand, the source of the stem cells was reported as a key factor. In addition, the combination of lasers with other therapeutic approaches was found to be more effective."
"The different parameters of lasers has been found to be effective in the proliferation, differentiation, and migration of the MSCs and in general, a low-power laser has a positive effect on the MSCs, helping to improve different disease models."</t>
  </si>
  <si>
    <t>Zamani</t>
  </si>
  <si>
    <t>Modulatory effect of photobiomodulation on stem cell epigenetic memory: a highlight on differentiation capacity.</t>
  </si>
  <si>
    <t>"This review article highlighted the potency of laser irradiation (low-level intensities) in the differentiation of stem cells by modulation of methylation. The analysis of these modalities could help us to understand the underlying mechanisms participating in the therapeutic effects of photobiomodulation."</t>
  </si>
  <si>
    <t>Facchin</t>
  </si>
  <si>
    <t>World J Stem Cells</t>
  </si>
  <si>
    <t>Physical energies to the rescue of damaged tissues.</t>
  </si>
  <si>
    <t>"We discuss the novel perspectives disclosed by mechanobiology, bioelectromagnetism, and photobiomodulation, both in term of fundamental basic science and in light of the biomedical implication of using physical energies to govern (stem) cell fate."</t>
  </si>
  <si>
    <t>Photobiomodulation Therapy: Communicating with Stem Cells for Regeneration?</t>
  </si>
  <si>
    <t>Wharton's jelly-derived mesenchymal cells</t>
  </si>
  <si>
    <t>Muneekaew</t>
  </si>
  <si>
    <t>Taiwan
(Taipei City)</t>
  </si>
  <si>
    <t>Control of stem cell differentiation by using extrinsic photobiomodulation in conjunction with cell adhesion pattern</t>
  </si>
  <si>
    <t>Differentiation</t>
  </si>
  <si>
    <t>0.020
0.050
0.100
0.300</t>
  </si>
  <si>
    <t>"n this work, it is demonstrated that the combination of extrinsic photobiomodulation and collagen-covered microislands could be used to induce differentiation of Wharton's jelly mesenchymal stem cells (WJ-MSCs) with the differentiation direction dictated by the specific island topography without use of chemical factors. Both neurogenic differentiation and adipogenic differentiation could be attained with a rate surpassing that using chemical factors."</t>
  </si>
  <si>
    <t>Vakhrushev</t>
  </si>
  <si>
    <t>Effect of Low-Level Laser Irradiation on Proliferative Activity of Wharton's Jelly Mesenchymal Stromal Cells.</t>
  </si>
  <si>
    <t>0.04
0.4
4.0</t>
  </si>
  <si>
    <t>"An increase in cell proliferative activity was detected after daily laser irradiations; the maximum stimulating effect was achieved at a dose of 0.04 J/cm2. These results substantiate medical use of lasers for expansion of cells intended for transplantation."</t>
  </si>
  <si>
    <t>Babaee</t>
  </si>
  <si>
    <t>Photobiomodulation and gametogenic potential of human Wharton's jelly-derived mesenchymal cells.</t>
  </si>
  <si>
    <t>1.9</t>
  </si>
  <si>
    <t>"Exposure of hWJM cells to polarized and non-polarized red LED (625 nm, 1.9 J/cm2) with or without BMP4+RA pre-treatment effectively differentiated them into germ lineage when the gene expression pattern (Fragilis, DAZL, VASA, SCP3 and Acrosin) and protein synthesis (anti-DAZL, anti-VASA, anti-SCP3 and anti-Acrosin antibodies) of the induced cells was evaluated. 
These data demonstrated that photobiomodulation may be applied for gametogenic differentiation in-vitro."</t>
  </si>
  <si>
    <t>Effects of polarized and non-polarized red-light irradiation on proliferation of human Wharton's jelly-derived mesenchymal cells.</t>
  </si>
  <si>
    <t>LED phototherapy
Polarized light vs non-polarized
Dose response</t>
  </si>
  <si>
    <t>0.318
0.636
0.954</t>
  </si>
  <si>
    <t>"Cell density increased to a significant level both in PL and NPL irradiation at 0.954 J/cm2 following WST-1 assay. Staining of irradiated and non-irradiated cells with Hoechst after 3 and 6 days revealed an increased proliferation rate in irradiated cells, but the non-irradiated cells proliferated more than irradiated cells at day 9 of cultivation. Similar results were obtained in trypan blue assay. Scratch repair test for 18 h with an interval of 6 h did not reveal a significant difference between irradiated and non-irradiated cells. In addition, CFU-F assay in PL irradiated cells was higher than control when 500 cells/plate was cultivated. Totally, this study revealed that hUCM cells could be induced to achieve higher number of cells by PL and NPL red-light irradiation after 48 h."
Comment: The results seem too modest to be practically significant.</t>
  </si>
  <si>
    <t>Assessing the role of combination of stem cell and light-based treatments on skin wound repair: A meta-analysis</t>
  </si>
  <si>
    <t>📊 Meta-analysis (preclinical research)</t>
  </si>
  <si>
    <t>"Seven examinations from 2012 to 2022 were recruited for the current analysis including 106 animals with SWs. Photobiomodulation therapy (PBT) plus SCs had a significantly higher wound closure rate (WCR) (MD, 9.08; 95% CI, 5.55-12.61, p &lt; 0.001) compared to SCs in animals with SWs. However, no significant difference was found between PBT plus SCs and SCs on wound tensile strength (WTS) (MD, 2.01; 95% CI, -0.42 to 4.44, p = 0.10) in animals with SWs. The examined data revealed that PBT plus SCs had a significantly higher WCR, however, no significant difference was found in WTS compared to SCs in animals with SWs. Nevertheless, caution should be exercised while interacting with its values since all the chosen examinations were found with a low sample size and a low number of examinations were found for the comparisons studied for the meta-analysis."</t>
  </si>
  <si>
    <t>Transplantation of photobiomodulation-preconditioned diabetic stem cells accelerates ischemic wound healing in diabetic rats</t>
  </si>
  <si>
    <t>630+
810
(in vitro)
890
(in vivo)</t>
  </si>
  <si>
    <t>"Preconditioning diabetic AD-MSCs with photobiomodulation in vitro plus photobiomodulation in vivo significantly hastened healing in the diabetic rat model of an ischemic infected delayed healing wound."</t>
  </si>
  <si>
    <t>Enhancement of Ischemic Wound Healing by Spheroid Grafting of Human Adipose-Derived Stem Cells Treated with Low-Level Light Irradiation.</t>
  </si>
  <si>
    <t>🐁 Mouse
(+ 🧪 In vitro)</t>
  </si>
  <si>
    <t>"These findings suggest that transplantation of an ASC spheroid treated with low-level light may be an effective form of stem cell therapy for treatment of a wound bed."</t>
  </si>
  <si>
    <t>The implication of blue light-emitting diode on mesenchymal stem cells: a systematic review</t>
  </si>
  <si>
    <t>"The application of blue light (400-480 nm) in photobiotherapy remains controversial. This systematic review aimed to collect and analyze the biological effects of blue light-emitting diode (LED) on mesenchymal stem cells (MSCs). 
Inclusion and exclusion criteria were formulated, and relevant English articles from January 1982 to September 2022 were searched in PubMed, Scopus, and Web of Science. 
Nine articles with a medium (n = 4) to low (n = 5) risk of bias were included. Most of the MSCs reported were derived from human tissue; only one article used MSCs derived from mouse. 
The wavelength of the LED used was in the 400-480 nm range, and the irradiation modes were continuous (n = 8) and pulse waves (n = 1). A chiral polarizer was used in one such study in which the irradiance was 14 mW/cm2 and the irradiation time was 24 h. The energy densities used in other studies were between 0.378 and 72 J/cm2, and the irradiation times were between 10 and 3600 s. 
Blue LED light can inhibit proliferation and promote differentiation of MSCs in an appropriate energy density range, which may be related to the activation of transient receptor potential vanilloid 1 (TRPV1). Additionally, polarized light may reduce the toxic effects of blue light on MSCs. 
However, the heterogeneity of the design schemes and LED parameters, as well as the small number of studies, limited the conclusiveness of the review. Therefore, further studies are needed to determine the optimal irradiation strategy for promoting MSC function."</t>
  </si>
  <si>
    <t>Current and Future Trends in Adipose Stem Cell Differentiation into Neuroglia.</t>
  </si>
  <si>
    <t>"Studies have shown that photobiomodulation improves the use of stem cell transplantation for neurological applications. This review investigates current neuro-differentiation inducers and suitable methodologies, including photobiomodulation, utilizing ASCs for induction of differentiation into neuronal lineages."</t>
  </si>
  <si>
    <t>Low level lasers effect on proliferation, migration and anti-apoptosis of mesenchymal stem cells.</t>
  </si>
  <si>
    <t>Mitochondrial biogenesis</t>
  </si>
  <si>
    <t>3-
4.5</t>
  </si>
  <si>
    <t>"The mechanism of the effects included
proliferation rate increasing mediated by increased S phase proportion;
mitochondria biogenesis and function altering mediated by fission (Fis1 and 2, Drp-1), fusion (Mfn1 and 2, Opa-1) regulators , NRF1, TFAM , PGC-1a and upregulated intracellular ROS and NO concentration;
migration acceleration via ERK1/2 and FAK pass way and upregulation of grow factors such as HGF and PDGF;
resistant to apoptosis with increased Bcl-2 and decreased Bax, or through Tunneling nanotubes (TNTs) formation between LLL treated MSCs and 5-fluorouracil induced apoptotic MSCs ."
"These observations suggested LLL enhanced stem cell survival and therapeutic function, which could appear to an innovative pre-treatment in the application of MSCs."
Comment: While the results are very interesting, parameters were extremely poorly reported, making the paper quite useless...</t>
  </si>
  <si>
    <t>Effect of Photobiomodulation on Mesenchymal Stem Cells.</t>
  </si>
  <si>
    <t>"The energy density of the laser was 0.7-9 J/cm2. The power used for visible light was 30-110 mW and that used for infrared light was 50-800 mW. Nearly all studies showed that low-level laser therapy had a positive effect on cell proliferation. Similar outcomes were found for LED; however, some studies suggest that the laser alone is not effective, and should be used as an adjunct tool."
"This review concluded that doses of 0.7-4 J/cm2 and wavelengths of 600-700 nm are appropriate for light therapy. The results were dependent upon different parameters; therefore, optimization of parameters used in light therapy to obtain favorable results is required to provide more accurate comparison."</t>
  </si>
  <si>
    <t>Low-level laser therapy with helium-neon laser improved viability of osteoporotic bone marrow-derived mesenchymal stem cells from ovariectomy-induced osteoporotic rats.</t>
  </si>
  <si>
    <t>633
810</t>
  </si>
  <si>
    <t>3
50</t>
  </si>
  <si>
    <t>0.6/
1.2/
2.4</t>
  </si>
  <si>
    <t>1.91
1.91
cm2</t>
  </si>
  <si>
    <t>"LLLT can enhance the viability and proliferation rate of healthy and especially osteoporotic autologous BMMSCs that could be very useful in regenerative medicine for the treatment of OP and fracture of patients who are OP-dependent"</t>
  </si>
  <si>
    <t>Effect of low-level laser therapy on mesenchymal stem cell proliferation: a systematic review.</t>
  </si>
  <si>
    <t>"From 463 references obtained, only 19 papers met the search criteria and were included in this review.
The analysis of the papers showed a concentration of experiments using LLLT on stem cells derived from bone marrow, dental pulp, periodontal ligament, and adipose tissue.
Several protocols were used to irradiate the cells, with variations on wavelength, power density, radiation time, and state of light polarization.
Most studies demonstrated an increase in the proliferation rate of the irradiated cells. It can be concluded that the laser therapy positively influences the in vitro proliferation of stem cells studied, being necessary to carry out further experiments on other cell types and to uniform the methodological designs."</t>
  </si>
  <si>
    <t>Mvula &amp; Abrahamse</t>
  </si>
  <si>
    <t>Differentiation Potential of Adipose-Derived Stem Cells When Cocultured with Smooth Muscle Cells, and the Role of Low-Intensity Laser Irradiation.</t>
  </si>
  <si>
    <t>"Cell viability and proliferation increased significantly in the cocultured groups that were exposed to LILI alone, as well as in combination with growth factors. Further, there was a significant decrease in the expression of stem cell markers with a concomitant increase in SMC markers."</t>
  </si>
  <si>
    <t>Emelyanov &amp; Kiryanova</t>
  </si>
  <si>
    <t>Photomodulation of proliferation and differentiation of stem cells by the visible and infrared light.</t>
  </si>
  <si>
    <t>The systematic review:
 - The analysis revealed the importance of cell type when choosing the cell irradiation parameters.
 - The influence of wavelength on the SC proliferation rate seemed to be nonsignificant.
 - The high values of increased proliferation or differentiation were obtained using high power density, low energy density, and short exposure time.
 - SC exposure to light without inducers did not lead to their differentiation
 - The maximum differentiation was achieved using irradiation parameters different from the ones needed to achieve the maximum proliferation
   of the same cells.</t>
  </si>
  <si>
    <t>Low-level laser irradiation induces in vitro proliferation of mesenchymal stem cells.</t>
  </si>
  <si>
    <t>"Bone marrow-derived mesenchymal stem cells responded to laser therapy in a dose-dependent manner. Higher cell growth was observed when the cells were irradiated with a dose of 1.0 J/cm2, especially after 24 hours (p&lt;0.01). Adipose-derived mesenchymal stem cells responded better to a dose of 1.0 J/cm2, but higher cell proliferation was observed after 48 hours (p&lt;0.05) and 72 hours (p&lt;0.01). Neither nuclear alterations nor a significant change in cell viability was detected in the studied groups."
"Low-level laser irradiation stimulated the proliferation of mouse mesenchymal stem cells without causing nuclear alterations. The biostimulation of mesenchymal stem cells using laser therapy might be an important tool for regenerative therapy and tissue engineering."</t>
  </si>
  <si>
    <t>Soleimani</t>
  </si>
  <si>
    <t>The effects of low-level laser irradiation on differentiation and proliferation of human bone marrow mesenchymal stem cells into neurons and osteoblasts--an in vitro study.</t>
  </si>
  <si>
    <t>2
3
4
6</t>
  </si>
  <si>
    <t>“The effect of LLLI on differentiation and proliferation of BMSCs is dose-dependent. Considering these findings, LLLI could improve current in vitro methods of differentiating BMSCs prior to transplantation.”</t>
  </si>
  <si>
    <t>Regenerative medicine, stem cells, and low-level laser therapy: future directives.</t>
  </si>
  <si>
    <t>de Villiers</t>
  </si>
  <si>
    <t>Influence of low intensity laser irradiation on isolated human adipose derived stem cells over 72 hours and their differentiation potential into smooth muscle cells using retinoic acid.</t>
  </si>
  <si>
    <t>"LILI at a wavelength of 636 nm and a fluence of 5 J/cm(2) does not induce differentiation of isolated hADSCs over a 72 h period, and increases cellular viability and proliferation. hADSCs can be differentiated into SMCs within 14 days using RA."</t>
  </si>
  <si>
    <t>Mvula</t>
  </si>
  <si>
    <t>Effect of low-level laser irradiation and epidermal growth factor on adult human adipose-derived stem cells.</t>
  </si>
  <si>
    <t>"The results indicate that low-level laser irradiation in combination with EGF enhances the proliferation and maintenance of ADSCs in vitro."</t>
  </si>
  <si>
    <t>The effect of low level laser irradiation on adult human adipose derived stem cells.</t>
  </si>
  <si>
    <t>"Using the trypan blue exclusion test, the cellular viability of irradiated cells increased by 1% at 24 h and 1.6% at 48 h but was not statistically significant. However, the increase of cellular viability as measured by ATP luminescence was statistically significant at 48 h (p &lt; 0.05).
Proliferation of irradiated cells, measured by optical density, resulted in statistically significant increases in values compared to nonirradiated cells (p &lt; 0.05) at both time points.
Western blot analysis and immunocytochemical labeling indicated an increase in the expression of stem cell marker beta1-integrin after irradiation."
"These results indicate that 5 J/cm(2) of laser irradiation can positively affect human adipose stem cells by increasing cellular viability, proliferation, and expression of beta1-integrin."</t>
  </si>
  <si>
    <t>Stem cell proliferation under low intensity laser irradiation: a preliminary study.</t>
  </si>
  <si>
    <t>"Under the conditions of this study it was possible to conclude that the cell strain hDPSC responds positively to laser phototherapy by improving the cell growth when cultured under nutritional deficit conditions."</t>
  </si>
  <si>
    <t>Low-level laser irradiation (LLLI) promotes proliferation of mesenchymal and cardiac stem cells in culture.</t>
  </si>
  <si>
    <t>Cardiac stem cells</t>
  </si>
  <si>
    <t>“The present study clearly demonstrates the ability of LLLI to promote proliferation of MSCs and CSCs in vitro.”</t>
  </si>
  <si>
    <t>Stevens-Johnson syndrome</t>
  </si>
  <si>
    <t>Laser phototherapy for Stevens-Johnson syndrome: a case report.</t>
  </si>
  <si>
    <t>15
100</t>
  </si>
  <si>
    <t>0.375
3.571</t>
  </si>
  <si>
    <t>0.04
cm2
0.028
cm2</t>
  </si>
  <si>
    <t>10
/p
2
/p</t>
  </si>
  <si>
    <t xml:space="preserve">"Because of the lack of progress of the patient, the LPT was selected."
"By 6 days after his initial session of LPT, most of the patient's intraoral lesions had disappeared, and the few that remained were painless; the patient was able to eat solid food by himself and was removed from the ICU. Ten sessions of LPT were conducted in the hospital."
</t>
  </si>
  <si>
    <t>Sunlight</t>
  </si>
  <si>
    <t>Bone health</t>
  </si>
  <si>
    <t>Sunarno</t>
  </si>
  <si>
    <t>Indonesia
(Semarang)</t>
  </si>
  <si>
    <t>Iran J Public Health</t>
  </si>
  <si>
    <t>Vitamin D Supplementation and Sun Exposure Maintain Blood Pressures of Pregnant Women and Increase Birth Weight in a Randomized Controlled Trial</t>
  </si>
  <si>
    <t>🧑 Human
📄 Randomized trial (108 participants)</t>
  </si>
  <si>
    <t>Vitamin D vs sunlight (17 weeks) vs control</t>
  </si>
  <si>
    <t>U</t>
  </si>
  <si>
    <t>N</t>
  </si>
  <si>
    <t>L</t>
  </si>
  <si>
    <t>I</t>
  </si>
  <si>
    <t>G</t>
  </si>
  <si>
    <t>H</t>
  </si>
  <si>
    <t>T</t>
  </si>
  <si>
    <t>"Systolic blood pressure decreased in the vitamin D group only (P=0.019)."</t>
  </si>
  <si>
    <t>Effects of walking and sun exposure on bone density and balance in elderly with osteopenia</t>
  </si>
  <si>
    <t>🧑 Human
📄 Randomized trial (?)</t>
  </si>
  <si>
    <t>"The lumbar L1-L4 BMD was higher in all intervention groups (P &lt; 0.05), with the daytime-walking group outperforming the others. There was no significant difference between the night-time-walking and sun-exposure-only groups (P &gt; 0.05)."</t>
  </si>
  <si>
    <t>Hoel &amp; de Gruijl</t>
  </si>
  <si>
    <t>USA
(Charleston, SC)</t>
  </si>
  <si>
    <t>Sun Exposure Public Health Directives</t>
  </si>
  <si>
    <t>"There have been many public health recommendations for avoiding UV radiation exposures. This is primarily due to concerns about skin cancer and especially melanoma, the most serious type of skin cancer. However, UV radiation is also known as the primary source of vitamin D and other compounds needed for good health. 
This brief commentary lists several of the many important recent studies of adverse health effects associated with low sun exposure, including some specific cancers, multiple sclerosis, diabetes, cardiovascular disease, autism, Alzheimer’s disease, and age-related macular degeneration. 
Our conclusion is that non-burning UV exposure is a health benefit and—in moderation—should be recommended as such."</t>
  </si>
  <si>
    <t>Correlations. Allergy and asthma</t>
  </si>
  <si>
    <t>Lefebvre</t>
  </si>
  <si>
    <t>Sci Total Environ</t>
  </si>
  <si>
    <t>Early exposure to sunlight and allergic morbidity: The PARIS birth cohort</t>
  </si>
  <si>
    <t>Observational (cohort)</t>
  </si>
  <si>
    <t>"The trajectory with the highest exposure to early solar radiation had a reduced risk of sensitization at 8-9 years compared to the trajectory with the lowest exposure (p = 0.06). The association was statistically significant in the vitamin D supplementation group. Solar radiation during prenatal and postnatal periods was significantly associated with a lower risk of sensitization at 8-9 years (for one interquartile range (IQR) increase, adjusted odds ratio (aOR): 0.47; 95 % confidence interval (CI): 0.25-0.87 and 0.84; 0.7-1.00, respectively). Increased prenatal exposure to solar radiation was significantly associated with a lower risk of asthma at 8-9 years (for one IQR increase, aOR: 0.32; 95 % CI: 0.1-0.96)."</t>
  </si>
  <si>
    <t>Correlations. Arthritis</t>
  </si>
  <si>
    <t>Gisslander</t>
  </si>
  <si>
    <t>Sweden
(Lund)</t>
  </si>
  <si>
    <t>Rheumatol Adv Pract</t>
  </si>
  <si>
    <t>Can active sun exposure decrease the risk of giant cell arteritis and polymyalgia rheumatica in women?</t>
  </si>
  <si>
    <t>"Active sun exposure did not affect the risk of developing GCA or PMR in women in a cohort with restricted latitudinal variability."
"We could not see an increased risk of developing PMR or GCA in women avoiding sun exposure. Likewise, high sun exposure was not protective of PMR and GCA. "</t>
  </si>
  <si>
    <t>OUP</t>
  </si>
  <si>
    <t>Correlations: Cancer</t>
  </si>
  <si>
    <t>Cheah</t>
  </si>
  <si>
    <t>Cancer Epidemiol</t>
  </si>
  <si>
    <t>Sunlight, vitamin D, vitamin D receptor polymorphisms, and risk of multiple myeloma: A systematic review</t>
  </si>
  <si>
    <t>📚 Systematic review (mostly observational)</t>
  </si>
  <si>
    <t>"There was insufficient evidence to support an effect of any sunlight or vitamin D related exposure on MM risk."</t>
  </si>
  <si>
    <t>Nazario</t>
  </si>
  <si>
    <t>Puerto Rico
(San Juan)</t>
  </si>
  <si>
    <t>Cancer Epidemiol Biomarkers Prev</t>
  </si>
  <si>
    <t>Sun Exposure Is Associated with Reduced Breast Cancer Risk among Women Living in the Caribbean: The Atabey Study in Puerto Rico</t>
  </si>
  <si>
    <t>Observational
(case-control)</t>
  </si>
  <si>
    <t>"Adjusted breast cancer odds were lower for the highest tertile of the [sun exposure index] (ORadj = 0.47; 95% CI, 0.29-0.74). Results were similar within strata of estrogen receptor status. In analyses stratified by constitutive skin pigmentation, among participants with darker skin color, breast cancer risk was lower with more sun exposure (ORadj = 0.33; 95% CI, 0.16-0.70)."</t>
  </si>
  <si>
    <t>Grant WB</t>
  </si>
  <si>
    <t>Review of Recent Advances in Understanding the Role of Vitamin D in Reducing Cancer Risk: Breast, Colorectal, Prostate, and Overall Cancer</t>
  </si>
  <si>
    <t>"According to ecological studies, solar UVB doses are inversely correlated with incidence/mortality rates for about 20 cancer types. 
Observational studies support a role of higher 25(OH)D concentrations in reducing risk of breast and colorectal cancer incidence and mortality rates but, for prostate cancer, in increasing incidence rates while reducing mortality rates."</t>
  </si>
  <si>
    <t>A Review of the Evidence Supporting the Vitamin D-Cancer Prevention Hypothesis in 2017</t>
  </si>
  <si>
    <t>"The vitamin D-cancer prevention hypothesis has been evaluated through several types of studies, including geographical ecological studies related to indices of solar ultraviolet-B (UVB) dose (the primary source of vitamin D for most people), observational studies related to UVB exposure or serum 25-hydroxyvitamin D [25(OH)D] concentrations, laboratory studies of mechanisms, and clinical trials. 
Each approach has strengths and limitations. Ecological studies indirectly measure vitamin D production and incorporate the assumption that vitamin D mediates the effect of UVB exposure."</t>
  </si>
  <si>
    <t>Moukayed &amp; Grant</t>
  </si>
  <si>
    <t>United Arab Emirates &amp; USA</t>
  </si>
  <si>
    <t>Rev Endocr Metab Disord</t>
  </si>
  <si>
    <t>The Roles of UVB and Vitamin D in Reducing Risk of Cancer Incidence and Mortality: A Review of the Epidemiology, Clinical Trials, and Mechanisms</t>
  </si>
  <si>
    <t>"We first review the mechanisms whereby vitamin D can reduce cancer incidence and increase survival then review epidemiological studies of solar UVB doses and serum 25- hydroxyvitamin D [25(OH)D] concentrations on incidence and/or mortality rates for these types of cancer as well as the vitamin D plus calcium clinical trials reported to date."
"Geographical ecological studies have played a very important role in linking solar ultraviolet-B (UVB) exposure and vitamin D to reduced risk of many cancers. 
The UVB–vitamin D–cancer hypothesis was first proposed in 1980 by the brothers Cedric and Frank Garland after they saw the first atlas of cancer mortality rates in the U.S. colon cancer rates were lowest in the southwest and highest in the northeast. The Garland brothers had just driven from San Diego to Baltimore, and they knew that it was sunny in the southwest but rather cloudy in the northwest. They reasoned that the most important role of UVB exposure was production of vitamin D, and so they proposed that as the link between UVB exposure and reduced colon cancer mortality rates [98]. 
They and others later linked solar UVB exposure to reduced risk of incidence and/or mortality from breast, ovarian, pancreatic, prostate cancer and non-Hodgkin’s lymphoma before 2002 [99]. At that time, a total of 15 types of cancer with inverse correlations between solar UVB dose and mortality rates in the U.S. attributed to vitamin D production were identified [99]."</t>
  </si>
  <si>
    <t>Marshall &amp; Byrne</t>
  </si>
  <si>
    <t>Does Sunlight Protect Us From Cancer?</t>
  </si>
  <si>
    <t>"Evidence is building that sunlight may be protective against some internal malignancies. Because patients with these tumours are often vitamin D deficient, this has led some to propose that vitamin D supplementation will be beneficial in the treatment of these cancers. However, the results from already completed trials have been disappointing which has given weight to the argument that there must be something else about sunlight that explains its cancer-protecting properties."
"As discussed throughout this special edition, one cannot ignore the evidence that exposure to sunlight is associated with protection from a range of diseases including multiple sclerosis, asthma, cardiovascular disease and cancer. On the other hand, it would be negligent to ignore the evidence, or lack there-of, that vitamin D supplementation alone has very little impact on these same diseases.
Without discounting the contribution that UV-induced vitamin D might play in these processes, we are forced to conclude that sunlight, rather than vitamin D alone, is responsible for the protection against these diseases, including cancer."</t>
  </si>
  <si>
    <t>Garland</t>
  </si>
  <si>
    <t>J Steroid Biochem Mol Biol</t>
  </si>
  <si>
    <t>Cloud Cover-Adjusted Ultraviolet B Irradiance and Pancreatic Cancer Incidence in 172 Countries</t>
  </si>
  <si>
    <t>Ecological study</t>
  </si>
  <si>
    <t>"There was an inverse association of cloud-adjusted UVB irradiance with incidence of pancreatic cancer that persisted after adjustment. This result is consistent with an inverse association of overall vitamin D deficiency in countries with lower UVB irradiance with risk of pancreatic cancer. Further research on the role of 25(OH)D in reduction of pancreatic cancer in individuals would be desirable to expand the limited avenues available for prevention of this highly fatal disease."</t>
  </si>
  <si>
    <t>Roles of Solar UVB and Vitamin D in Reducing Cancer Risk and Increasing Survival</t>
  </si>
  <si>
    <t>"There exist over 15 types of cancer for which UVB exposure and/or 25-hydroxyvitamin D [25(OH)D] concentrations have been found associated with reduced risk."</t>
  </si>
  <si>
    <t>Mohr</t>
  </si>
  <si>
    <t>Are Low Ultraviolet B and Vitamin D Associated With Higher Incidence of Multiple Myeloma?</t>
  </si>
  <si>
    <t>"Associations of latitude and UVB irradiance with age-standardized incidence rates of multiple myeloma were analyzed for 175 countries while controlling for sex-specific obesity prevalence, cigarette consumption, and alcohol consumption using multiple linear regression"
"Incidence rates of multiple myeloma were greater at higher latitudes (R(2) for latitude for males=0.31, p&lt;0.0001; females R(2)=0.27, p&lt;0.0001). In regression models for males (R(2)=0.62, p&lt;0.0001) and females (R(2)=0.51, p&lt;0.0001), UVB irradiance was independently inversely associated with incidence rates."
"Age-adjusted incidence rates of multiple myeloma were higher in countries with lower solar UVB irradiance. Further investigation is warranted in individuals of the association of prediagnostic serum 25(OH)D with risk."</t>
  </si>
  <si>
    <t>Cuomo</t>
  </si>
  <si>
    <t>Low Cloud Cover-Adjusted Ultraviolet B Irradiance Is Associated With High Incidence Rates of Leukemia: Study of 172 Countries</t>
  </si>
  <si>
    <t>"Leukemia incidence rates were inversely associated with cloud-adjusted UVB irradiance in males (p ≤ 0.01) and females (p ≤ 0.01) in both hemispheres."</t>
  </si>
  <si>
    <t>Solar Ultraviolet Irradiance and Cancer Incidence and Mortality</t>
  </si>
  <si>
    <t>"Ecological studies of cancer incidence and/or mortality rates with respect to indices of solar UVB doses have also been reported for Australia, China, France, Japan, and Spain with largely similar findings. In addition, several studies using nonmelanoma skin cancer as the index of solar UVB dose have found reduced internal cancer incidence and/or mortality rates, especially in sunny countries."
"A study of cancer incidence with respect to 54 categories of occupation in five Nordic countries, using lip cancer less lung cancer as the UVB index, found this index inversely correlated with 14 types of internal cancers for males and four for females."
"Observational studies with respect to UVB doses and serum 25-hydroxyvitamin D [25(OH)D] concentrations also support the hypothesis."</t>
  </si>
  <si>
    <t>Cancer Causes Control</t>
  </si>
  <si>
    <t>Ultraviolet Exposure and non-Hodgkin's Lymphoma: Beneficial and Adverse Effects?</t>
  </si>
  <si>
    <t>"Studies of risk of non-Hodgkin's lymphoma have found both direct and inverse correlations with respect to solar ultraviolet (UV) doses. Reduced risk is generally found in midlatitudes, while increased risk is generally found at higher latitudes. 
It is suggested that reduced risk arises from vitamin D production from UVB irradiance, while increased risk arises from immunosuppression associated with UVA irradiance. The ratio of UVA to UVB increases with increasing latitude."</t>
  </si>
  <si>
    <t>Neuroepidemiology</t>
  </si>
  <si>
    <t>Low Ultraviolet B and Increased Risk of Brain Cancer: An Ecological Study of 175 Countries</t>
  </si>
  <si>
    <t>"The incidence rates of brain cancer were higher at higher latitudes (R(2) for males = 0.45, p ≤ 0.0001; R(2) for females = 0.35, p &lt; 0.0001). After adjustment for potential confounders, UVB irradiance (p ≤ 0.0001) and modeled serum 25(OH)D were inversely associated with incidence rates."</t>
  </si>
  <si>
    <t>Am J Prev Med</t>
  </si>
  <si>
    <t>Ultraviolet B Irradiance and Incidence Rates of Bladder Cancer in 174 Countries</t>
  </si>
  <si>
    <t>"Bladder cancer incidence rates were higher in countries at higher latitudes than those nearer to the equator (r=-0.66, 95% CI=-0.74, -0.57, p&lt;0.01). 
Ultraviolet B irradiance was independently inversely associated with incidence rates of bladder cancer after controlling for per capita cigarette consumption (beta=-0.28, 95% CI=-0.51, -0.05; R(2) for model=0.38, p&lt;0.0001). 
Further, UVB irradiance was also inversely associated with incidence rates after controlling for per capita health expenditure (beta=-0.23, 95% CI=-0.36, -0.01; R(2) for model=0.49, p&lt;0.0001) in a separate regression model."</t>
  </si>
  <si>
    <t>Breast J</t>
  </si>
  <si>
    <t>Relationship Between Low Ultraviolet B Irradiance and Higher Breast Cancer Risk in 107 Countries</t>
  </si>
  <si>
    <t>"A multiple regression approach was used to examine the contributions of ultraviolet B (UVB) irradiance to age-standardized incidence rates of breast cancer in the 107 countries with data on these covariates-total column ozone thickness, per capita intake of alcohol and energy from animal and vegetable sources, cigarettes, proportion of female population overweight, and total fertility. 
Age-standardized incidence rates were substantially higher at latitudes distant from the equator (R2 = 0.43, p &lt; 0.0001). The dose-response gradient between modeled serum 25(OH)D levels and incidence rates of breast cancer followed a standard inverse dose-response curve. Increasing increments in serum 25(OH)D in the range above 22 ng/mL were associated with incrementally lower incidence rates of breast cancer. "
"There was a protective effect of UVB irradiance on risk of breast cancer that was independent of fertility rate, proportion of the population overweight, alcohol intake, animal energy intake, and other covariates."</t>
  </si>
  <si>
    <t>J Epidemiol Community Health</t>
  </si>
  <si>
    <t>Could Ultraviolet B Irradiance and Vitamin D Be Associated With Lower Incidence Rates of Lung Cancer?</t>
  </si>
  <si>
    <t>"Latitude was positively related to incidence rates in men (R(2) = 0.55, p&lt;0.01) and women (R(2) = 0.36, p&lt;0.01). In men, cigarette consumption (p&lt;0.001) was positively related to risk, whereas UVB irradiance was inversely associated (p = 0.003). There were positive associations with UVB absorbers, in particular cloud cover (p = 0.05) and aerosol optical depth (p = 0.005). The R(2) for the model was 0.78 (p&lt;0.001).
UVB irradiance was also inversely associated with incidence rates in women (p = 0.0002), whereas cigarette consumption (p&lt;0.001), total cloud cover (p = 0.02) and aerosol optical depth (p = 0.005) were positively associated. The R(2) for the model was 0.77 (p&lt;0.001)."</t>
  </si>
  <si>
    <t>Porojnicu</t>
  </si>
  <si>
    <t>Lung Cancer</t>
  </si>
  <si>
    <t>Seasonal and Geographical Variations in Lung Cancer Prognosis in Norway. Does Vitamin D From the Sun Play a Role?</t>
  </si>
  <si>
    <t>Observational</t>
  </si>
  <si>
    <t>"The present results support the hypothesis that sun-induced Vitamin D improves cancer prognosis (...) Additionally, when analyzing separately the two residential regions with significant variations in the levels of UV and SCC, it became apparent that living in the southeast represents a further benefit."</t>
  </si>
  <si>
    <t>Prev Med</t>
  </si>
  <si>
    <t>Is Ultraviolet B Irradiance Inversely Associated With Incidence Rates of Endometrial Cancer: An Ecological Study of 107 Countries</t>
  </si>
  <si>
    <t>"Incidence rates were higher at higher latitudes (R2=0.47, p&lt;0.01). According to multiple regression, UVB irradiance adjusted for cloud cover was negatively associated with incidence rates (p=0.02), while proportion of population overweight (p=0.004), intake of energy from animal sources (p=0.01) and per capita health expenditure (p&lt;0.0001) were positively associated with incidence rates (overall R2=0.73, p&lt;0.0001)."</t>
  </si>
  <si>
    <t>Grant &amp; Garland</t>
  </si>
  <si>
    <t>The Association of Solar Ultraviolet B (UVB) With Reducing Risk of Cancer: Multifactorial Ecologic Analysis of Geographic Variation in Age-Adjusted Cancer Mortality Rates</t>
  </si>
  <si>
    <t>"Fifteen types of cancer were inversely-associated with UVB."
"The results regarding solar UVB should be studied further with additional observational and intervention studies of vitamin D indices and cancer incidence, mortality and survival rates."</t>
  </si>
  <si>
    <t>Correlations: Cardiovascular</t>
  </si>
  <si>
    <t>Mexico
(Cuernavaca)</t>
  </si>
  <si>
    <t>J Womens Health (Larchmt)</t>
  </si>
  <si>
    <t>Sun Exposure and Intima-Media Thickness in the Mexican Teachers' Cohort Study</t>
  </si>
  <si>
    <t>"We observed that cumulative sun exposure was inversely associated with IMT and subclinical carotid atherosclerosis. If these findings are further replicated and seen for other cardiovascular outcomes, sun exposure could be an easy, affordable strategy to lower overall cardiovascular risk."</t>
  </si>
  <si>
    <t>Weller</t>
  </si>
  <si>
    <t>J Am Heart Assoc</t>
  </si>
  <si>
    <t>Does Incident Solar Ultraviolet Radiation Lower Blood Pressure?</t>
  </si>
  <si>
    <t>Hemodialysis patients</t>
  </si>
  <si>
    <t>"Temperature, UVA and UVB were all linearly and inversely associated with SBP. This relationship remained statistically significant after correcting for temperature."
"In hemodialysis patients, in addition to environmental temperature, incident solar UV radiation is associated with lower SBP. This raises the possibility that insufficient sunlight is a new risk factor for hypertension, perhaps even in the general population."</t>
  </si>
  <si>
    <t>Mackay</t>
  </si>
  <si>
    <t>UK
(Glasgow)</t>
  </si>
  <si>
    <t>UVA and Seasonal Patterning of 56 370 Myocardial Infarctions Across Scotland, 2000-2011</t>
  </si>
  <si>
    <t>"Ultraviolet A exposure was inversely associated with myocardial infarction independent of ambient temperature (coefficient, -0.05; 95% CI, -0.09, -0.01; P=0.015) and ultraviolet B UVB (coefficient, -0.05; 95% CI, -0.09, -0.02; P=0.004)."
"Further research is required to explore whether an ultraviolet-mediated mechanism different to vitamin D, such as nitric oxide-mediated vasodilatation, may play a causal role in the seasonal and geographical patterning of myocardial infarction."</t>
  </si>
  <si>
    <t>Onozuka &amp; Hagihara</t>
  </si>
  <si>
    <t>Environ Pollut</t>
  </si>
  <si>
    <t>Solar Radiation and Out-Of-Hospital Cardiac Arrest in Japan</t>
  </si>
  <si>
    <t>"Low solar radiation was associated with a substantial attributable risk for [out-of-hospital cardiac arrest]. Our findings suggest that public health efforts to reduce OHCA burden should consider the solar radiation level."</t>
  </si>
  <si>
    <t>Eur Heart J Qual Care Clin Outcomes</t>
  </si>
  <si>
    <t>Out-of-hospital Cardiac Arrest Attributable to Sunshine: A Nationwide, Retrospective, Observational Study</t>
  </si>
  <si>
    <t>[A] greater number of [out-of-hospital cardiac arrest] cases occurred in patients who were only exposed to sunshine for short periods of time each day. "</t>
  </si>
  <si>
    <t>Correlations: Circadian health</t>
  </si>
  <si>
    <t>Time spent in outdoor light is associated with mood, sleep, and circadian rhythm-related outcomes: A cross-sectional and longitudinal study in over 400,000 UK Biobank participants</t>
  </si>
  <si>
    <t>"UK Biobank participants reported spending a median of 2.5 daylight hours (IQR = 1.5–3.5 h) outdoors per day. 
Each additional hour spent outdoors during the day was associated with lower odds of lifetime major depressive disorder (95% CI OR:0.92–0.98), antidepressant usage (OR:0.92–0.98), less frequent anhedonia (OR:0.93–0.96) and low mood (OR:0.87–0.90), greater happiness (OR:1.41–1.48) and lower neuroticism (incident rate ratio, IRR:0.95–0.96), independent of demographic, lifestyle, and employment covariates. 
In addition, each hour of daytime light was associated with greater ease of getting up (OR:1.46–1.49), less frequent tiredness (OR:0.80–0.82), fewer insomnia symptoms (OR:0.94–0.97), and earlier chronotype (adjusted odds ratio; OR:0.75–0.77)."</t>
  </si>
  <si>
    <t>Correlations: Cognitive</t>
  </si>
  <si>
    <t>BMC Med</t>
  </si>
  <si>
    <t>Time spent in outdoor light is associated with the risk of dementia: a prospective cohort study of 362094 participants</t>
  </si>
  <si>
    <t>"RCS showed a J-shaped relationship between time spent in outdoor light and the dementia risk, with the lowest risk at three change points (1.5 h/day on average, 2 h/day in summer, and 1 h/day in winter)."</t>
  </si>
  <si>
    <t>Komulainen</t>
  </si>
  <si>
    <t>Long-term residential sunlight exposure associated with cognitive function among adults residing in Finland</t>
  </si>
  <si>
    <t>"In domain-specific analyses, greater residential exposure to sunlight over 1, 2 and 5 years prior to the cognitive function assessment was associated with better performance on new learning and visual memory (b = 0.10, 95% CI = 0.00, 0.20; b = 0.16, 95% CI = 0.04, 0.28; b = 0.19, 95% CI = 0.08, 0.31) and sustained attention (b = 0.15, 95% CI = 0.05, 0.25; b = 0.18, 95% CI = 0.06, 0.30; b = 0.17, 95% CI = 0.05, 0.29), but worse performance on reaction time (b = - 0.12, 95% CI = - 0.22, - 0.02; b = -0.15, 95% CI = - 0.28, - 0.02; b = - 0.18, 95% CI = - 0.30, - 0.05). 
Residential sunlight exposure was not associated with executive function."
"These findings suggest long-term residential sunlight exposure may be an environmental factor influencing cognitive function among a cognitively healthy cohort residing in Northern Europe."</t>
  </si>
  <si>
    <t>Correlations: Depression</t>
  </si>
  <si>
    <t>Jahrami</t>
  </si>
  <si>
    <t>Nutrients</t>
  </si>
  <si>
    <t>Vitamin D Doses from Solar Ultraviolet and Dietary Intakes in Patients with Depression: Results of a Case-Control Study</t>
  </si>
  <si>
    <t>"Patients with depression had a lower dose of vitamin D (IU) per day with 234, 153, and 81 per day from all sources, sunlight exposure, and dietary intake, respectively. "</t>
  </si>
  <si>
    <t>Correlations: Development</t>
  </si>
  <si>
    <t>Hastie</t>
  </si>
  <si>
    <t>Antenatal Exposure to Solar Radiation and Learning Disabilities: Population Cohort Study of 422,512 Children</t>
  </si>
  <si>
    <t>"Total antenatal sunshine hours (highest quintile; adjusted OR 0.89; 95% CI: 0.86, 0.93; p &lt; 0.001) and ultraviolet B exposure (highest quintile; adjusted OR 0.55; 95% CI: 0.51, 0.60; p &lt; 0.001) were inversely associated with learning disabilities with evidence of a dose-relationship. The latter association was independent of ultraviolet A exposure."
"Low maternal exposure to ultraviolet B radiation may play a role in the seasonal patterning of learning disabilities."</t>
  </si>
  <si>
    <t>Correlations: Eyes</t>
  </si>
  <si>
    <t>Naqvi</t>
  </si>
  <si>
    <t>Pakistan
(Rawalpindi)</t>
  </si>
  <si>
    <t>Sunlight Exposure: A Protective Role in the Development of Myopia</t>
  </si>
  <si>
    <t>"Spearman's correlation was used for right SER with time outdoors in summers (r= +0.25, p=0.008) and winters (r= +0.243, p=0.010), indicating an inverse relationship with myopia."</t>
  </si>
  <si>
    <t>Correlations: Frailty</t>
  </si>
  <si>
    <t>Soenarti</t>
  </si>
  <si>
    <t>Indonesia
(Malang)</t>
  </si>
  <si>
    <t>Geriatr Gerontol Int</t>
  </si>
  <si>
    <t>Cognitive status and low sun exposure as frailty major risk factor among older people in a rural area of East Java, Indonesia: A cross-sectional study</t>
  </si>
  <si>
    <t>"Multivariate analysis showed that the intrinsic factors low cognitive status (odds ratio [OR], 3.052 [95% confidence interval (CI), 1.691-5.508]) and older age (OR, 3.073 [95% CI, 1.637-5.767]) were associated with frailty among the older adults in a rural area. Depression was also associated with frailty (OR, 2.458 [95% CI, 0.465-12.985]). From extrinsic factors, we also found that low sun exposure (OR, 2.931 [95% CI, 1.650-5.204]) and unemployment (OR, 1.997 [95% CI, 1.112-3.588]) were associated with frailty."
"For the Indonesian elderly in this study, low cognitive status, older age, depression, low sun exposure, and unemployment were associated with frailty. Understanding the modifiable risk factors of frailty can provide a valuable reference for future prevention and intervention."</t>
  </si>
  <si>
    <t>Correlations: Healthy habits</t>
  </si>
  <si>
    <t>Am J Hum Biol</t>
  </si>
  <si>
    <t>Is more prolonged sun exposure associated with healthier life habits and obesity indicators in Portuguese children?</t>
  </si>
  <si>
    <t>"The present study aimed to investigate associations among sun exposure time, obesity indicators, and lifestyle habits in children."
"Linear regression analysis showed that sun exposure time presented a negative association with Body Mass Index (β = -0.09, 95% CI: -0.18; -0.003; p = .042), body fat % (β = -0.31, 95%; CI: -0.54; -0.07; p = .010), computer time (β = -0.08, 95% CI: -0.12; - 0.05; p &lt; .0001) and a positive association with active play time (β = 0.22, 95% CI: 0.17; 0.27; p &lt; .0001) and total time of physical activity practice (β = 10.01, 95% CI: 4.52; 15.20; p &lt; .0001)."</t>
  </si>
  <si>
    <t>Correlations: Infections</t>
  </si>
  <si>
    <t>Muhammad</t>
  </si>
  <si>
    <t>Thailand</t>
  </si>
  <si>
    <t>Trop Biomed</t>
  </si>
  <si>
    <t>Sunlight exposure might account for the relatively low COVID-19 morbidity and mortality in tropical countries</t>
  </si>
  <si>
    <t>"Analyses of sunlight exposure data found that specific photovoltaic power output, global horizontal irradiation, diffuse horizontal irradiation and global tilted irradiation at optimum angle were significantly inversely correlated to COVID-19-related morbidity and mortality. This suggests that stronger sunlight exposure potentially leads to lower COVID-19-related morbidity and mortality."</t>
  </si>
  <si>
    <t>Long-Term Exposure to Ambient PM 2.5, Sunlight, and Obesity: A Nationwide Study in China</t>
  </si>
  <si>
    <t>"The association between PM2.5 and obesity varied according to sunshine duration, with the highest ORs of 1.56 (95% CI 1.28-1.91) for obesity and 1.66 (95% CI 1.34-2.07) for abdominal obesity in the bottom quartile of sunlight exposure (3.21-5.34 hours/day)."</t>
  </si>
  <si>
    <t>Sunlight ultraviolet radiation dose is negatively correlated with the percent positive of SARS-CoV-2 and four other common human coronaviruses in the U.S</t>
  </si>
  <si>
    <t>"The results indicated that the monthly average percent positive of four common coronaviruses was significantly negatively correlated with the sunlight UV radiation dose."</t>
  </si>
  <si>
    <t>Whittemore PB</t>
  </si>
  <si>
    <t>USA
(Malibu, CA)</t>
  </si>
  <si>
    <t>Am J Infect Control</t>
  </si>
  <si>
    <t>COVID-19 Fatalities, Latitude, Sunlight, and Vitamin D</t>
  </si>
  <si>
    <t>"This study is the first to document a statistically significant correlation between a country's latitude and its COVID-19 mortality and is consistent with other research regarding latitude, Vitamin D deficiency, and COVID-19 fatalities. Limitations of this study are noted."
"Evidence is presented suggesting a direct correlation between sunlight exposure and reduced mortality."</t>
  </si>
  <si>
    <t>Grant &amp; Giovannucci</t>
  </si>
  <si>
    <t>Dermatoendocrinol</t>
  </si>
  <si>
    <t>The Possible Roles of Solar ultraviolet-B Radiation and Vitamin D in Reducing Case-Fatality Rates From the 1918-1919 Influenza Pandemic in the United States</t>
  </si>
  <si>
    <t>"Substantial correlations were found for associations of July UVB dose with case fatality rates (r = -0.72, p = 0.009) and rates of pneumonia as a complication of influenza (r = -0.77, p = 0.005)."</t>
  </si>
  <si>
    <t>Correlations: Intestinal disease</t>
  </si>
  <si>
    <t>Shivananda</t>
  </si>
  <si>
    <t>Gut</t>
  </si>
  <si>
    <t>Incidence of Inflammatory Bowel Disease Across Europe: Is There a Difference Between North and South? Results of the European Collaborative Study on Inflammatory Bowel Disease (EC-IBD)</t>
  </si>
  <si>
    <t>D</t>
  </si>
  <si>
    <t>E</t>
  </si>
  <si>
    <t>"Rates of [ulcerative colitis] in northern centres were 40% higher than those in the south (...) and for [Crohn's disease] they were 80% higher"</t>
  </si>
  <si>
    <t>Correlations: Kidney disease</t>
  </si>
  <si>
    <t>The Impact of Sunlight Exposure on Mortality of Patients With End Stage Renal Disease</t>
  </si>
  <si>
    <t>"The daily sunlight exposure was significantly decreased in the case group compared with the control group (P = 0.004). Sunlight exposure was associated with all-cause death overall (ORs [95% CI]: 0.99 [0.98-0.99], P = 0.042) in a fully adjusted model."
"These findings suggest that sunlight exposure is inversely correlated with all-cause mortality in dialysis patients."</t>
  </si>
  <si>
    <t>Correlations: Mental health</t>
  </si>
  <si>
    <t>Risk Manag Healthc Policy</t>
  </si>
  <si>
    <t>Association Between Sunlight Exposure and Mental Health: Evidence from a Special Population Without Sunlight in Work</t>
  </si>
  <si>
    <t>"The average K10 score of [operating room nurse]s was 25.41. ORNs exhibit poorer mental health than other populations. Poor mental health was negatively associated with greater sunlight exposure hours per day (β=−0.378) and sleep regularity (β=−3.341). Poor mental health was positively associated with chronic disease (β=3.514)."
"This study indicated that the positive association between sunlight exposure and mental health existed."</t>
  </si>
  <si>
    <t>Taylor&amp;Francis</t>
  </si>
  <si>
    <t>Correlations: Metabolic health</t>
  </si>
  <si>
    <t>Kaur</t>
  </si>
  <si>
    <t>BMC Public Health</t>
  </si>
  <si>
    <t>Exploring the relationship between sunlight exposure, psychological health, and gestational weight gain: a prospective observational study</t>
  </si>
  <si>
    <t>Observational (cohort) (prospective)</t>
  </si>
  <si>
    <t>"Sunlight exposure was found to have no significant relationship with sleep and total [gestational weight gain]."</t>
  </si>
  <si>
    <t>Maarse</t>
  </si>
  <si>
    <t>Netherlands
(Leiden)</t>
  </si>
  <si>
    <t>Nutr Metab Cardiovasc Dis</t>
  </si>
  <si>
    <t>Associations between outdoor temperature and bright sunlight with metabolites in two population-based European cohorts</t>
  </si>
  <si>
    <t>"Increased bright sunlight duration is associated with an improved metabolic profile whilst higher outdoor temperature may adversely impact cardiometabolic health."</t>
  </si>
  <si>
    <t>Noordam</t>
  </si>
  <si>
    <t>J Clin Endocrinol Metab</t>
  </si>
  <si>
    <t>Associations of Outdoor Temperature, Bright Sunlight, and Cardiometabolic Traits in Two European Population-Based Cohorts</t>
  </si>
  <si>
    <t>"Bright sunlight, but not outdoor temperature, might be associated with increased insulin sensitivity and lower triglyceride levels."</t>
  </si>
  <si>
    <t>Correlations: Mortality</t>
  </si>
  <si>
    <t>Grant</t>
  </si>
  <si>
    <t>Seasonal Variations of U.S. Mortality Rates: Roles of Solar ultraviolet-B Doses, Vitamin D, Gene Exp Ression, and Infections</t>
  </si>
  <si>
    <t>"Death rates in the U.S. show a pronounced seasonality. The broad seasonal variation shows about 25% higher death rates in winter than in summer with an additional few percent increase associated with the Christmas and New Year's holidays. A pronounced increase in death rates also starts in mid-September, shortly after the school year begins."
"Researchers have identified several factors showing seasonal variation that could possibly explain the seasonal variations in mortality rate. These factors include seasonal variations in solar ultraviolet-B(UVB) doses and serum 25-hydroxyvitamin D [25(OH)D] concentrations, gene expression, ambient temperature and humidity, UVB effects on environmental pathogen load, environmental pollutants and allergens, and photoperiod (or length of day). The factors with the strongest support in this analysis are seasonal variations in solar UVB doses and 25(OH)D concentrations."</t>
  </si>
  <si>
    <t>Lindqvist</t>
  </si>
  <si>
    <t>J Intern Med</t>
  </si>
  <si>
    <t>Avoidance of Sun Exposure Is a Risk Factor for All-Cause Mortality: Results From the Melanoma in Southern Sweden Cohort</t>
  </si>
  <si>
    <t>"We found that all-cause mortality was inversely related to sun exposure habits. The mortality rate amongst avoiders of sun exposure was approximately twofold higher compared with the highest sun exposure group, resulting in excess mortality with a population attributable risk of 3%."</t>
  </si>
  <si>
    <t>Correlations: Multiple sclerosis</t>
  </si>
  <si>
    <t>Hedström</t>
  </si>
  <si>
    <t>J Neurol</t>
  </si>
  <si>
    <t>Low Sun Exposure Increases Multiple Sclerosis Risk Both Directly and Indirectly</t>
  </si>
  <si>
    <t>Observational (case-control)</t>
  </si>
  <si>
    <t>"Our findings indicate that low sun exposure acts both directly on MS risk as well as indirectly, by leading to low vitamin D levels. The protective effect of sun exposure thus seems to involve both vitamin D and non-vitamin D pathways, which is of relevance for prevention, in particular for those with a genetic susceptibility to MS."</t>
  </si>
  <si>
    <t>Simpson Jr</t>
  </si>
  <si>
    <t>J Neurol Neurosurg Psychiatry</t>
  </si>
  <si>
    <t>Latitude Continues to Be Significantly Associated With the Prevalence of Multiple Sclerosis: An Updated Meta-Analysis</t>
  </si>
  <si>
    <t>Observational (📊 Meta-analysis)</t>
  </si>
  <si>
    <t>"There was a significant positive gradient in time-corrected MS prevalence with increasing latitude (5.27/100 000 per degree latitude), attenuating slightly to 4.34/100 000 on age-standardisation, these associations persisting on adjustment for ascertainment method."
"This new meta-analysis confirms that MS prevalence is still strongly positively associated with increasing latitude and that the gradient is increasing, suggesting that potentially modifiable environmental factors, such as sun exposure, are still strongly associated with MS risk."</t>
  </si>
  <si>
    <t>Magalhaes</t>
  </si>
  <si>
    <t>Int J Epidemiol</t>
  </si>
  <si>
    <t>Shedding Light on the Link Between Early Life Sun Exposure and Risk of Multiple Sclerosis: Results From the EnvIMS Study</t>
  </si>
  <si>
    <t>"The accumulation model was found to be the best model, which demonstrated a nearly 50% increased risk of MS comparing lowest reported summer sun exposure with highest [risk ratio (RR) = 1.47 (1.24, 1.74)]. 
The latent sun exposure behaviour group, characterized by low sun exposure during summer and winter and high sun protection use, had the highest risk of MS; a 76% increased risk as compared with the group with high sun exposure and low sun protection use [RR = 1.76 (1.27, 2.46)]"</t>
  </si>
  <si>
    <t>Lucas &amp; Harris</t>
  </si>
  <si>
    <t>Australia
(Perth &amp; Canberra)</t>
  </si>
  <si>
    <t>On the Nature of Evidence and 'Proving' Causality: Smoking and Lung Cancer vs. Sun Exposure, Vitamin D and Multiple Sclerosis</t>
  </si>
  <si>
    <t>"For low sun exposure/vitamin D as risk factors for MS, the evidence is weaker, with smaller effect sizes, but coherent across a range of sources of evidence, and biologically plausible. The association is less direct-smoking is directly toxic and carcinogenic to the lung, but sun exposure/vitamin D modulate the immune system, which in turn may reduce the risk of immune attack on self-proteins in the central nervous system. Opinion about whether there is sufficient evidence to conclude that low sun exposure/vitamin D increase the risk of multiple sclerosis, is divided. "
"General public health advice to receive sufficient sun exposure to avoid vitamin D deficiency (&lt;50 nmol/L) should also ensure any benefits for multiple sclerosis, but must be tempered against the risk of skin cancers."</t>
  </si>
  <si>
    <t>Sun Exposure Across the Life Course Significantly Modulates Early Multiple Sclerosis Clinical Course</t>
  </si>
  <si>
    <t>"We found that preonset sun exposure was protective against subsequent conversion to MS and relapses. 
While consistent associations between postonset sun exposure or serum 25(OH)D level and clinical course were not evident, possibly masked by behavior change, those participants who markedly increased their sun exposure demonstrated a reduced MS conversion and relapse hazard, suggesting beneficial effects of sun exposure on clinical course."</t>
  </si>
  <si>
    <t>DeLuca &amp; Plum</t>
  </si>
  <si>
    <t>UVB Radiation, Vitamin D and Multiple Sclerosis</t>
  </si>
  <si>
    <t>"Because vitamin D is produced in skin by the impact of ultraviolet light, Goldberg hypothesized that low incidence of multiple sclerosis (MS) in equatorial regions of the planet resulted from a suppression of MS by vitamin D. 
This idea was supported by an inverse correlation of MS incidence to blood levels of 25 hydroxyvitamin D. Both clinical experience and experimental work in mice failed to support this idea and instead vitamin D deficiency actually suppresses the animal model of MS or EAE. Quite opposite to the original hypotheses of Goldberg, a narrow band of ultraviolet light at 300–315 nm suppresses EAE by a mechanism not involving vitamin D. 
This review follows the tortuous route of investigation leading to this finding while clinical trials are in progress to determine if narrow band UV light can in fact suppress human MS."</t>
  </si>
  <si>
    <t>The Absence of 25-hydroxyvitamin D3-1α-hydroxylase Potentiates the Suppression of EAE in Mice by Ultraviolet Light</t>
  </si>
  <si>
    <t>"We used NBUVB lamps (10KJ/m(2)) to irradiate both wild type (WT) and 1α-hydroxylase knockout mice (CYP27B1 KO) that were then induced to develop EAE. There was a complete elimination of EAE development by NBUVB in the KO mice. On the other hand, the NBUVB treatment of WT mice reduced but did not eliminate the severity or incidence of EAE. 
This suggests that the presence of 1,25-dihydroxyvitamin D3 actually counteracts the suppressive effect of NBUVB."</t>
  </si>
  <si>
    <t>Lucas</t>
  </si>
  <si>
    <t>Neurodegener Dis Manag</t>
  </si>
  <si>
    <t>Ultraviolet Radiation, Vitamin D and Multiple Sclerosis</t>
  </si>
  <si>
    <t>"There is compelling epidemiological evidence that the risk of developing multiple sclerosis is increased in association with low levels of sun exposure, possibly because this is associated with low vitamin D status. Recent work highlights both vitamin D and non-vitamin D effects on cellular immunity that suggests that higher levels of sun exposure and/or vitamin D status are beneficial for both MS risk and in ameliorating disease progression.
Here we review this recent evidence, focusing on regulatory cells, dendritic cells, and chemokines and cytokines released from the skin following exposure to ultraviolet radiation."</t>
  </si>
  <si>
    <t>Jelinek</t>
  </si>
  <si>
    <t>Latitude, Sun Exposure and Vitamin D Supplementation: Associations With Quality of Life and Disease Outcomes in a Large International Cohort of People With Multiple Sclerosis</t>
  </si>
  <si>
    <t>"We detected significant associations between latitude, deliberate sun exposure and vitamin D supplementation and health outcomes of this large group of people with MS."</t>
  </si>
  <si>
    <t>Knippenberg</t>
  </si>
  <si>
    <t>Acta Neurol Scand</t>
  </si>
  <si>
    <t>Higher Levels of Reported Sun Exposure, and Not Vitamin D Status, Are Associated With Less Depressive Symptoms and Fatigue in Multiple Sclerosis</t>
  </si>
  <si>
    <t>"We found that higher levels reported sun exposure, rather than 25(OH)D levels, were associated with less depressive symptoms and levels of fatigue. The role of UV or light therapy will need to be evaluated in randomized controlled trials to confirm an effect on these symptoms in MS."</t>
  </si>
  <si>
    <t>Bjørnevik</t>
  </si>
  <si>
    <t>Mult Scler</t>
  </si>
  <si>
    <t>Sun Exposure and Multiple Sclerosis Risk in Norway and Italy: The EnvIMS Study</t>
  </si>
  <si>
    <t>"A significant association between infrequent summer outdoor activity and increased MS risk was found in Norway and in Italy. The association was strongest between the ages of 16 and 18 years in Norway (odds ratio (OR) 1.83, 95% confidence interval (CI) 1.30-2.59), and between birth and age 5 years in Italy (OR 1.56, 95% CI 1.16-2.10)."
"Converging evidence from different measures underlines the beneficial effect of sun exposure on MS risk."</t>
  </si>
  <si>
    <t>Zivadinov</t>
  </si>
  <si>
    <t>Interdependence and contributions of sun exposure and vitamin D to MRI measures in multiple sclerosis</t>
  </si>
  <si>
    <t>"Increased summer sun exposure was associated with increased grey matter volume (GMV, r(p)=0.16, p=0.019) and whole brain volume (WBV, r(p)=0.20, p=0.004) after correcting for Extended Disability Status Scale in the MS group.
Inclusion of 25-hydroxy vitamin D3 levels did not substantially affect the positive associations of sun exposure with WBV (r(p)=0.18, p=0.003) and GMV (r(p)=0.14, p=0.026) in the MS group."
"Sun exposure may have direct effects on MRI measures of neurodegeneration in MS, independently of vitamin D."</t>
  </si>
  <si>
    <t>Latitude Is Significantly Associated With the Prevalence of Multiple Sclerosis: A Meta-Analysis</t>
  </si>
  <si>
    <t>"This, the most comprehensive review of MS prevalence to date, has confirmed a statistically significant positive association between MS prevalence and latitude globally. Exceptions to the gradient in the Italian region and northern Scandinavia are likely a result of genetic and behavioural-cultural variations. 
The persistence of a positive gradient in Europe after adjustment for HLA-DRB1 allele frequencies strongly supports a role for environmental factors which vary with latitude, the most prominent candidates being ultraviolet radiation (UVR)/vitamin D."</t>
  </si>
  <si>
    <t>Tremlett</t>
  </si>
  <si>
    <t>Monthly Ambient Sunlight, Infections and Relapse Rates in Multiple Sclerosis</t>
  </si>
  <si>
    <t>"Relapse rates were inversely associated with [erythemal ultraviolet radiation] and serum 25(OH)D levels and positively associated with [upper respiratory tract] infections."</t>
  </si>
  <si>
    <t>Correlations: Oral health</t>
  </si>
  <si>
    <t>A Review of the Role of Solar ultraviolet-B Irradiance and Vitamin D in Reducing Risk of Dental Caries</t>
  </si>
  <si>
    <t>"This paper reviews the history of studies of dental caries with respect to vitamin D, geographical location and available solar UVB doses. In addition, data on mean dental health rank by state for US servicemen from three periods, 1918, 1934 and 1943, were used in regression analyses with respect to summertime solar UVB doses and an index for mottled enamel, a proxy for natural fluoridation of drinking water, for 1935. 
There was a significant inverse correlation for dental health rank with respect to solar UVB from doses of 4.0 to 6.5 kJ/m(2) with little change thereafter. Adding data for mottled enamel rates for the states with UvB doses &lt;6.6 kJ/m(2) improved the adjusted R(2) from 0.45 to 0.52."</t>
  </si>
  <si>
    <t>Correlations: Schizophrenia</t>
  </si>
  <si>
    <t>Sunshine duration and risks of schizophrenia hospitalizations in main urban area: Do built environments modify the association?</t>
  </si>
  <si>
    <t xml:space="preserve">Obsevational </t>
  </si>
  <si>
    <t>"We observed that inadequate sunshine duration (&lt;5.3 h) was associated with an increase in schizophrenia hospital admissions, with a maximum relative risk of 1.382 (95 % confidence interval (CI): 1.069-1.786) at 2.9 h. In turn, adequate sunshine duration reduced the risk of schizophrenia hospitalizations."</t>
  </si>
  <si>
    <t>Correlations: Skin cancer</t>
  </si>
  <si>
    <t>Dennis LK</t>
  </si>
  <si>
    <t>Cumulative Sun Exposure and Melanoma in a Population-Based Case-Control Study: Does Sun Sensitivity Matter?</t>
  </si>
  <si>
    <t>"Minimal associations were seen with total hours of sun exposure early in life. However, an interaction was seen between fair skin color and lifetime hours of sun exposure, where the strongest associations with CM were seen among medium-skinned and dark-skinned participants"</t>
  </si>
  <si>
    <t>Peters</t>
  </si>
  <si>
    <t>Int Arch Occup Environ Health</t>
  </si>
  <si>
    <t>Burden of Non-Melanoma Skin Cancer Attributable to Occupational Sun Exposure in Canada</t>
  </si>
  <si>
    <t>Analysis</t>
  </si>
  <si>
    <t>"In 2011, 6.31% (4556 cases) of non-melanoma skin cancer cases were estimated to be attributable to occupational exposure to solar ultraviolet radiation. The majority of these cases occurred in men in the agriculture or construction industries."</t>
  </si>
  <si>
    <t>Newton-Bishop</t>
  </si>
  <si>
    <t>Relationship between sun exposure and melanoma risk for tumours in different body sites in a large case-control study in a temperate climate</t>
  </si>
  <si>
    <t>"Holiday sun exposure was not associated with an increased melanoma risk although this may be in part because reported sun exposure overall was much lower in those with a sun-sensitive phenotype, particularly among controls."
"Head and neck melanoma was associated with less sun exposure on holidays at low latitudes (OR 0.39, 95% CI (0.23-0.68) for &gt;13 h/year compared to &lt;3.1). Overall the clearest relationship between reported sun exposure and risk was for average weekend sun exposure in warmer months, which was protective (OR 0.67, 95% CI 0.50-0.89 for highest versus lowest tertile of exposure)."</t>
  </si>
  <si>
    <t>Berwick</t>
  </si>
  <si>
    <t>Sun exposure and mortality from melanoma</t>
  </si>
  <si>
    <t>"Sunburn, high intermittent sun exposure, skin awareness histories, and solar elastosis were statistically significantly inversely associated with death from melanoma."
"Sun exposure is associated with increased survival from melanoma."</t>
  </si>
  <si>
    <t>Arch Environ Health</t>
  </si>
  <si>
    <t>Occupational sunlight exposure and melanoma in the U.S. Navy</t>
  </si>
  <si>
    <t>"Compared with the U.S. civilian population, personnel in indoor occupations had a higher age-adjusted incidence rate of melanoma, i.e., 10.6 per 100,000 (p = .06). Persons who worked in occupations that required spending time both indoors and outdoors had the lowest rate, i.e., 7.0 per 100,000 (p = .06). Incidence rates of melanoma were higher on the trunk than on the more commonly sunlight-exposed head and arms."
"Findings on the anatomical site of melanoma from this study suggest a protective role for brief, regular exposure to sunlight and fit with recent laboratory studies that have shown vitamin D to suppress growth of malignant melanoma cells in tissue culture."</t>
  </si>
  <si>
    <t>Correlations: Type 1 Diabetes</t>
  </si>
  <si>
    <t>The Association Between Ultraviolet B Irradiance, Vitamin D Status and Incidence Rates of Type 1 Diabetes in 51 Regions Worldwide</t>
  </si>
  <si>
    <t>"Incidence rates were generally higher at higher latitudes (R2 = 0.25, p &lt; 0.001). 
According to multiple regression, UVB irradiance adjusted for cloud cover was inversely associated with incidence rates (p &lt; 0.05), while per capita health expenditure (p &lt; 0.004) was positively associated (overall R2 = 0.42, p &lt; 0.0001)."</t>
  </si>
  <si>
    <t>Correlations: Type 2 Diabetes</t>
  </si>
  <si>
    <t>Shore-Lorenti</t>
  </si>
  <si>
    <t>Clin Endocrinol (Oxf)</t>
  </si>
  <si>
    <t>Shining the light on Sunshine: a systematic review of the influence of sun exposure on type 2 diabetes mellitus-related outcomes</t>
  </si>
  <si>
    <t>"There was moderate evidence to support a role of recreational sun exposure in reducing odds of T2DM incidence. High-level evidence was lacking; evidence presented for other outcomes was of low or insufficient level."</t>
  </si>
  <si>
    <t>Diabetes Res Clin Pract</t>
  </si>
  <si>
    <t>Are Active Sun Exposure Habits Related to Lowering Risk of Type 2 Diabetes Mellitus in Women, a Prospective Cohort Study?</t>
  </si>
  <si>
    <t>Observational
(cohort)</t>
  </si>
  <si>
    <t>"Our findings indicated that women with active sun exposure habits were at a 30% lower risk of having DM, as compared to those with non-active habits. There was an inverse relation between this risk reduction and BMI."</t>
  </si>
  <si>
    <t>Sunlight Exposure and Phototherapy: Perspectives for Healthy Aging in an Era of COVID-19</t>
  </si>
  <si>
    <t>"In this review article, we performed a literature search in PubMed and provided an overview of basic and clinical data regarding the impact of sunlight exposure and vitamin D3 on public health."</t>
  </si>
  <si>
    <t>Sharun</t>
  </si>
  <si>
    <t>Ann Med Surg (Lond)</t>
  </si>
  <si>
    <t>COVID-19 and sunlight: Impact on SARS-CoV-2 transmissibility, morbidity, and mortality</t>
  </si>
  <si>
    <t>"Therefore, based on the available data, the incidence, mortality, and recovery rate in patients with COVID-19 is considered to be correlated with sunlight exposure and vitamin D levels. We can also hypothesize that there exists an interesting link between sunlight exposure, latitude, and vitamin D status with COVID-19 incidence, fatality and recovery rates. However, further studies are warranted to estimate the optimum level of sunlight exposure as well as the possible role of vitamin D supplementation for decreasing the incidence and fatality rate of COVID-19 in high-risk populations."</t>
  </si>
  <si>
    <t>Intervention: Depression</t>
  </si>
  <si>
    <t>Wang &amp; Chen</t>
  </si>
  <si>
    <t>Taiwan
(Taoyuan City)</t>
  </si>
  <si>
    <t>The effects of sunlight exposure therapy on the improvement of depression and quality of life in post-stroke patients: A RCT study</t>
  </si>
  <si>
    <t>"This study was a single-blind design randomized controlled intervention with sunlight exposure design. The population were stroke patients with tendency to depression. Exposed to sunlight for at least 30 min per day, at least 14 days of exposure duration of 4 weeks. A total of 46 patients were 23 patients in the experimental group and the control group."
"After the data was analyzed with the generalized estimating equation (GEE), significant improvement was noted among the experimental ground in 2nd post-test depression score, daily function in the first and second post-test Barthel Index score. There was no significant improvement in cognitive function."</t>
  </si>
  <si>
    <t>Intervention: Postsurgical symptoms</t>
  </si>
  <si>
    <t>Walch</t>
  </si>
  <si>
    <t>Psychosom Med</t>
  </si>
  <si>
    <t>The effect of sunlight on postoperative analgesic medication use: a prospective study of patients undergoing spinal surgery</t>
  </si>
  <si>
    <t>"A prospective study of pain medication use was conducted in 89 patients undergoing elective cervical and lumbar spinal surgery where they were housed on either the "bright" or "dim" side of the same hospital unit."
"Patients staying on the bright side of the hospital unit were exposed to 46% higher-intensity sunlight on average (p = .005). Patients exposed to an increased intensity of sunlight experienced less perceived stress (p = .035), marginally less pain (p = .058), took 22% less analgesic medication per hour (p = .047), and had 21% less pain medication costs (p = .047)."</t>
  </si>
  <si>
    <t>Holick &amp; Hossein-Nezhad</t>
  </si>
  <si>
    <t>Am J Clin Nutr</t>
  </si>
  <si>
    <t>The D-lemma: Narrow-Band UV Type B Radiation Versus Vitamin D Supplementation Versus Sunlight for Cardiovascular and Immune Health</t>
  </si>
  <si>
    <t>Vitamin D vs sunlight vs UVR</t>
  </si>
  <si>
    <t>"As noted by the authors, during exposure to sunlight there are innumerable photochemical and biological processes that occur in the skin. These include, among others, the production and release of nitric oxide, carbon monoxide, and β-endorphin; increased expression of the proopiomelanocortin gene, resulting in an increase in adrenocorticotropin hormone; and enhancement of collagen synthesis and wound healing, to name a few (3–5). These processes are controlled by various energies (i.e., wavelengths within the solar spectrum including UVA, UVB, and visible and infrared radiation) (4).
In addition, it is well documented that solar exposure has a direct influence on the immune system, inducing immune tolerance and enhancing the production of cathelicidin to reduce infection by virulent pathogens (4–6).
Therefore, the observation by Ponda et al. (1) that exposure to narrow-band UVB radiation had a different effect on gene expression in both the peripheral blood and skin compared with oral vitamin D3 was not unexpected."
"The sunshine vitamin D3 is just one of the many photochemicals and photo-byproducts produced in the skin that have important implications for overall health."</t>
  </si>
  <si>
    <t>Weller RB</t>
  </si>
  <si>
    <t>JAMA Cardiol</t>
  </si>
  <si>
    <t>Beneficial Effects of Sunlight May Account for the Correlation Between Serum Vitamin D Levels and Cardiovascular Health</t>
  </si>
  <si>
    <t>Vitamin D vs sunlight</t>
  </si>
  <si>
    <t>"In their latest meta-analysis of the association of vitamin D with cardiovascular disease, Barbarawi et al once again show that vitamin D plays no part in cardiovascular health. Bolland et al showed that by 2006, enough data had been collected to confirm beyond doubt that vitamin D supplementation has no effect at diminishing cardiovascular and cerebrovascular disease. And yet the trials and articles keep coming. Maybe people need repeated affirmation that the earth is indeed round, the sun rises in the east, and that vitamin D deficiency is correlated with but does not cause heart disease
A more important question is why is there such a strong correlation between low vitamin D levels and heart disease? Barbarawi et al mention confounding by exercise, diet, and prevalent chronic disease yet omit to mention sun exposure. "
"Vitamin D is a sensitive marker for UVB radiation exposure from sunlight, and prospective cohort studies show that sunlight exposure is dose-dependently correlated with reduced all-cause mortality and particularly reduced cardiovascular mortality. Human skin contains large stores of nitrogen oxides, which are photoreleased on UV exposure, mobilizing nitric oxide to the systemic circulation and lowering blood pressure."</t>
  </si>
  <si>
    <t>Mental health</t>
  </si>
  <si>
    <t>Nagare</t>
  </si>
  <si>
    <t>Access to Daylight at Home Improves Circadian Alignment, Sleep, and Mental Health in Healthy Adults: A Crossover Study</t>
  </si>
  <si>
    <t>🧑 Human
Crossover
👥 20 participants</t>
  </si>
  <si>
    <t>"In this crossover study, 20 residents spent one week in their apartments with electrochromic glass windows and another week with functionally standard windows with blinds."
"Calibrated light sensors revealed higher daytime circadian-effective light levels with the electrochromic glass windows, and participants exhibited consistent melatonin onset, a 22-min earlier sleep onset, and higher sleep regularity. In the blinds condition, participants exhibited a 15-min delay in dim light melatonin onset, a delay in subjective vitality throughout the day, and an overall lower positive affect."</t>
  </si>
  <si>
    <t>Review (general)</t>
  </si>
  <si>
    <t>Sunlight: Time for a Rethink?</t>
  </si>
  <si>
    <t>"UVR is a skin carcinogen, yet no studies link sun exposure to increased all-cause mortality. Epidemiological studies from the United Kingdom and Sweden link sun exposure with reduced all-cause, cardiovascular, and cancer mortality. Vitamin D synthesis is dependent on UVB exposure. Individuals with higher serum levels of vitamin D are healthier in many ways, yet multiple trials of oral vitamin D supplementation show little benefit. Growing evidence shows that sunlight has health benefits through vitamin D-independent pathways, such as photomobilization of nitric oxide from cutaneous stores with reduction in cardiovascular morbidity. Sunlight has important systemic health benefit as well as risks."</t>
  </si>
  <si>
    <t>Neale</t>
  </si>
  <si>
    <t>Aust N Z J Public Health</t>
  </si>
  <si>
    <t>Balancing the risks and benefits of sun exposure: A revised position statement for Australian adults</t>
  </si>
  <si>
    <t>📖 Review (position statement)</t>
  </si>
  <si>
    <t>"The balance of risks and benefits of sun exposure is not the same for everybody. For people at very high risk of skin cancer, the risks of exposure likely outweigh the benefits; sun protection is essential. Conversely, people with deeply pigmented skin are at low risk of skin cancer but at high risk of vitamin D deficiency; routine sun protection is not recommended. For those at intermediate risk of skin cancer, sun protection remains a priority, but individuals may obtain sufficient sun exposure to maintain adequate vitamin D status."</t>
  </si>
  <si>
    <t>The effects of exposure to solar radiation on human health</t>
  </si>
  <si>
    <t>"Despite the clearly established harms, exposure to UV radiation also has benefits for human health. While the best recognised benefit is production of vitamin D, beneficial effects mediated by factors other than vitamin D are emerging. For both sun exposure and vitamin D, there is increasingly convincing evidence of a positive role in diseases related to immune function, including both autoimmune diseases and infection."</t>
  </si>
  <si>
    <t>Sun Exposure - Hazards and Benefits</t>
  </si>
  <si>
    <t>"In this narrative review we will provide a brief update of hazards and benefits of sun exposure focused on an updated, balanced, and evidence-based view."</t>
  </si>
  <si>
    <t>Erem &amp; Razzaque</t>
  </si>
  <si>
    <t>Vitamin D-independent benefits of safe sunlight exposure</t>
  </si>
  <si>
    <t>"This review examines the beneficial effects of ultraviolet radiation on systemic autoimmune diseases, including multiple sclerosis and type I diabetes, where the epidemiological evidence for the vitamin D-independent effects of sunlight is most apparent."</t>
  </si>
  <si>
    <t>de Assis</t>
  </si>
  <si>
    <t>How does the skin sense sun light? An integrative view of light sensing molecules</t>
  </si>
  <si>
    <t>"Nevertheless, although UV radiation has been demonized, less is known about the consequences of sun exposure while using sunscreen, which can lead to high visible light exposure. UV and visible light play key roles in vitamin D synthesis, reduction of blood pressure, among other beneficial effects.
In this review, we aim to provide a comprehensive view of the wide range of responses of the human skin to sunlight by revisiting data on the beneficial and harmful effects of UV and visible light. We start by exploring the interaction of photons in the skin at several levels including physical (depth of photon penetration), chemical (light absorption and subsequent photochemical events), and biological (how cells and tissues respond).
Skin responses to sun exposure can only be comprehensively understood through a consideration of the light-absorbing molecules present in the skin, especially the light-sensing proteins called opsins. Indeed, many of the cellular responses to sun exposure are modulated by opsins, which act as the “eyes of the skin”."</t>
  </si>
  <si>
    <t>Lindqvist PG</t>
  </si>
  <si>
    <t>On the Relationship Between Sun Exposure and All-Cause Mortality</t>
  </si>
  <si>
    <t>"Increasing sun exposure is related to lower prevalence of death in cardiovascular disease (CVD), type 2 diabetes, and other noncancer non-CVD. In this chapter we aim to make a short update on the knowledge regarding sun exposure and all-cause mortality. Data support the hypothesis that low sun exposure habits are a major risk factor for all-cause mortality.
Low sun exposure is related to an increased risk of death due to CVD and noncancer/non-CVD, and a minor reduction in risk of cancer. Active sun exposure habits have a dual effect; it increases the incidence of skin cancer, but also improves the prognosis in terms of all-cause mortality. In a low solar intensity region, we should carefully assess both risk and benefits of sun exposure in order to obtain balanced recommendations."</t>
  </si>
  <si>
    <t>Shin DW</t>
  </si>
  <si>
    <t>Korea
(Chungju)</t>
  </si>
  <si>
    <t>Anim Cells Syst (Seoul)</t>
  </si>
  <si>
    <t>Various biological effects of solar radiation on skin and their mechanisms: implications for phototherapy</t>
  </si>
  <si>
    <t>"Chronic exposure to UVR generally causes skin damage and eventually induces wrinkle formation and reduced elasticity of the skin. Several studies have shown that infrared rays (IR) also lead to the breakdown of collagen fibers in the skin. However, several reports have demonstrated that the appropriate use of UVR or IR can have beneficial effects on skin-related diseases. Additionally, it has been revealed that visible light of different wavelengths has various biological effects on the skin. Interestingly, several recent studies have reported that photoreceptors are also expressed in the skin, similar to those in the eyes."</t>
  </si>
  <si>
    <t>Alfredsson</t>
  </si>
  <si>
    <t>Sweden &amp; Australia &amp; USA &amp; etc.</t>
  </si>
  <si>
    <t>Insufficient Sun Exposure Has Become a Real Public Health Problem</t>
  </si>
  <si>
    <t>"Studies in the past decade indicate that insufficient sun exposure may be responsible for 340,000 deaths in the United States and 480,000 deaths in Europe per year, and an increased incidence of breast cancer, colorectal cancer, hypertension, cardiovascular disease, metabolic syndrome, multiple sclerosis, Alzheimer's disease, autism, asthma, type 1 diabetes and myopia.
Vitamin D has long been considered the principal mediator of beneficial effects of sun exposure. However, oral vitamin D supplementation has not been convincingly shown to prevent the above conditions; thus, serum 25(OH)D as an indicator of vitamin D status may be a proxy for and not a mediator of beneficial effects of sun exposure. 
New candidate mechanisms include the release of nitric oxide from the skin and direct effects of ultraviolet radiation (UVR) on peripheral blood cells."</t>
  </si>
  <si>
    <t>Finland &amp; USA</t>
  </si>
  <si>
    <t>Sunlight and Health: Shifting the Focus From Vitamin D3 to Photobiomodulation by Red and Near-Infrared Light</t>
  </si>
  <si>
    <t>"Both sun exposure and serum vitamin D levels have been associated with lower risks of all-cause mortality and chronic age-related diseases, e.g., cancer, diabetes and cardiovascular disease, in epidemiological studies. These associations have mainly been ascribed to beneficial effects of vitamin D. However, a vast body of randomized controlled trials (RCTs) and Mendelian randomization studies have failed to confirm any major health benefits from vitamin D supplementation. In this review, we present tentative evidence showing that red and near-infrared light, both being present in sunlight, could explain the associations between sunlight exposure and better health status."</t>
  </si>
  <si>
    <t>Gorman</t>
  </si>
  <si>
    <t>Curr Opin Endocrinol Metab Res</t>
  </si>
  <si>
    <t>Sun exposure: An environmental preventer of metabolic dysfunction?</t>
  </si>
  <si>
    <t>"Emerging preclinical findings suggest that some sun exposure is necessary for optimal metabolic health, with new evidence for beneficial effects of UVR-induced nitric oxide in regulation of important metabolic pathways in the liver and brown adipose tissue."</t>
  </si>
  <si>
    <t>Grandi &amp; D'Ovidio</t>
  </si>
  <si>
    <t>Balance Between Health Risks and Benefits for Outdoor Workers Exposed to Solar Radiation: An Overview on the Role of Near Infrared Radiation Alone and in Combination With Other Solar Spectral Bands</t>
  </si>
  <si>
    <t>"Near infrared or infrared A (IRA) accounts for over 40% of the solar spectrum (SS) and is able to reach subcutaneous tissue as well as the retina (...) 
A growing body of evidence coming from in vitro studies indicates that IRA is involved in cellular reactive oxygen species (ROS) production and may interfere with the respiratory chain in the mitochondria. Moreover, it can modulate gene expression and some metabolic pathways. The biological action of IRA is only partly attributable to a thermal mechanism, should it be also involved in photochemical ones"</t>
  </si>
  <si>
    <t>Human health in relation to exposure to solar ultraviolet radiation under changing stratospheric ozone and climate</t>
  </si>
  <si>
    <t>Comment: A review article with almost 400 references summarizing a lot of research related to sunlight. However, it does not mention red/NIR wavelengths.</t>
  </si>
  <si>
    <t>Queirós &amp; Freitas</t>
  </si>
  <si>
    <t>Portugal
(Lisbon)</t>
  </si>
  <si>
    <t>Sun Exposure: Beyond the Risks</t>
  </si>
  <si>
    <t>"In the last few years, several connections between solar exposure and prevention and/or treatment of several diseases have been discussed, with studies suggesting that regular solar exposure may be beneficial for conditions such as colorectal, breast, prostate, and pancreatic cancer; non-Hodgkin lymphoma; arterial hypertension; obesity; type 2 diabetes mellitus and metabolic syndrome; nonalcoholic hepatic steatosis; multiple sclerosis; Alzheimer disease; and several psychiatric disturbances. 
In most cases, UV radiation's beneficial effects are mediated through vitamin D; however, studies show that in other instances other mediators are responsible for these associations, specifically nitric oxide. Moderation is therefore essential, as a strict strategy of total sun avoidance may be inadequate."</t>
  </si>
  <si>
    <t>Powers &amp; Murphy</t>
  </si>
  <si>
    <t>Ireland
(Sligo)</t>
  </si>
  <si>
    <t>Sunlight Radiation as a Villain and Hero: 60 Years of Illuminating Research</t>
  </si>
  <si>
    <t>"We need sunlight radiation, just not too little or too much, and finally we are equipped with enough knowledge to strike the right balance."</t>
  </si>
  <si>
    <t>Razzaque MS</t>
  </si>
  <si>
    <t>Sunlight Exposure: Do Health Benefits Outweigh Harm?</t>
  </si>
  <si>
    <t>"Numerous studies have shown that sunlight exposure can provide protection to a wide variety of diseases, ranging from different types of tumors to hypertension to type 1 diabetes to multiple sclerosis. Moreover, studies have shown that avoiding sunlight may influence the initiation and progression of some of these diseases."
"Since hypovitaminosis D status usually reflects reduced sunlight exposure, the obvious primary replacement should be safe sunlight exposure, and not exogenous supplements."</t>
  </si>
  <si>
    <t>Bhatnagar</t>
  </si>
  <si>
    <t>USA
(Louisville, KY)</t>
  </si>
  <si>
    <t>Circ Res</t>
  </si>
  <si>
    <t>Environmental Determinants of Cardiovascular Disease</t>
  </si>
  <si>
    <t>"Despite the well-studied relationship between sunlight and vitamin D, it remains plausible that vitamin D levels reflect general health status and that there may be additional unidentified factors linking sunlight to cardiovascular health."</t>
  </si>
  <si>
    <t>Fleury</t>
  </si>
  <si>
    <t>Sun Exposure and Its Effects on Human Health: Mechanisms Through Which Sun Exposure Could Reduce the Risk of Developing Obesity and Cardiometabolic Dysfunction</t>
  </si>
  <si>
    <t>"In this review, we detail the evidence around the cardiometabolic protective effects of UVR and suggest mechanistic pathways through which UVR could be beneficial."</t>
  </si>
  <si>
    <t>Blood Purif</t>
  </si>
  <si>
    <t>Sunlight Has Cardiovascular Benefits Independently of Vitamin D</t>
  </si>
  <si>
    <t>"Sunlight has beneficial effects on cardiovascular risk factors independently of vitamin D (...) Sunlight is a risk factor for skin cancer, but sun avoidance may carry more of a cost than benefit for overall good health."</t>
  </si>
  <si>
    <t>The Role of Geographical Ecological Studies in Identifying Diseases Linked to UVB Exposure and/or Vitamin D</t>
  </si>
  <si>
    <t>"Using a variety of approaches, researchers have studied the health effects of solar ultraviolet (UV) radiation exposure and vitamin D. This review compares the contributions from geographical ecological studies with those of observational studies and clinical trials. 
Health outcomes discussed were based on the author's knowledge and include anaphylaxis/food allergy, atopic dermatitis and eczema, attention deficit hyperactivity disorder, autism, back pain, cancer, dental caries, diabetes mellitus type 1, hypertension, inflammatory bowel disease, lupus, mononucleosis, multiple sclerosis, Parkinson disease, pneumonia, rheumatoid arthritis, and sepsis. Important interactions have taken place between study types; sometimes ecological studies were the first to report an inverse correlation between solar UVB doses and health outcomes such as for cancer, leading to both observational studies and clinical trials. 
In other cases, ecological studies added to the knowledge base. Many ecological studies include other important risk-modifying factors, thereby minimizing the chance of reporting the wrong link. Laboratory studies of mechanisms generally support the role of vitamin D in the outcomes discussed. 
Indications exist that for some outcomes, UVB effects may be independent of vitamin D. This paper discusses the concept of the ecological fallacy, noting that it applies to all epidemiological studies."</t>
  </si>
  <si>
    <t>Hoel</t>
  </si>
  <si>
    <t>The Risks and Benefits of Sun Exposure 2016</t>
  </si>
  <si>
    <t>"This review of recent studies and their analyses consider the risks and benefits of sun exposure which indicate that insufficient sun exposure is an emerging public health problem. 
This review considers the studies that have shown a wide range health benefits from sun/UV exposure. These benefits include among others various types of cancer, cardiovascular disease, Alzheimer disease/dementia, myopia and macular degeneration, diabetes and multiple sclerosis. 
The message of sun avoidance must be changed to acceptance of non-burning sun exposure sufficient to achieve serum 25(OH)D concentration of 30 ng/mL or higher in the sunny season and the general benefits of UV exposure beyond those of vitamin D."</t>
  </si>
  <si>
    <t>van der Rhee</t>
  </si>
  <si>
    <t>Netherlands
(Den Haag)</t>
  </si>
  <si>
    <t>Regular Sun Exposure Benefits Health</t>
  </si>
  <si>
    <t>"Since it was discovered that UV radiation was the main environmental cause of skin cancer, primary prevention programs have been started. These programs advise to avoid exposure to sunlight. However, the question arises whether sun-shunning behaviour might have an effect on general health. During the last decades new favourable associations between sunlight and disease have been discovered."
"There is growing observational and experimental evidence that regular exposure to sunlight contributes to the prevention of colon-, breast-, prostate cancer, non-Hodgkin lymphoma, multiple sclerosis, hypertension and diabetes. Initially, these beneficial effects were ascribed to vitamin D. Recently it became evident that immunomodulation, the formation of nitric oxide, melatonin, serotonin, and the effect of (sun)light on circadian clocks, are involved as well. In Europe (above 50 degrees north latitude), the risk of skin cancer (particularly melanoma) is mainly caused by an intermittent pattern of exposure, while regular exposure confers a relatively low risk. The available data on the negative and positive effects of sun exposure are discussed. Considering these data we hypothesize that regular sun exposure benefits health."</t>
  </si>
  <si>
    <t>González Maglio</t>
  </si>
  <si>
    <t>Sunlight Effects on Immune System: Is There Something Else in Addition to UV-Induced Immunosuppression?</t>
  </si>
  <si>
    <t>"Sunlight, composed of different types of radiation, including ultraviolet wavelengths, is an essential source of light and warmth for life on earth but has strong negative effects on human health, such as promoting the malignant transformation of skin cells and suppressing the ability of the human immune system to efficiently detect and attack malignant cells. UV-induced immunosuppression has been extensively studied since it was first described by Dr. Kripke and Dr. Fisher in the late 1970s. 
However, skin exposure to sunlight has not only this and other unfavorable effects, for example, mutagenesis and carcinogenesis, but also a positive one: the induction of Vitamin D synthesis, which performs several roles within the immune system in addition to favoring bone homeostasis."
"But sunlight includes much more than UV and visible light. Infrared- (IR-) A radiation (780–1400 nm), which accounts for more than 30% of sunlight, can penetrate deeply into the skin and promote the production of ROS and MMP-1 by skin cells (...)"
"The IR/far red light mediated photobiomodulation has been described as an effective treatment for cutaneous infection by methicillin-resistant Staphylococcus aureus [92, 93], experimental autoimmune encephalitis (a mouse model of multiple sclerosis) [94], and brain disorders in humans [95]."</t>
  </si>
  <si>
    <t>Baggerly</t>
  </si>
  <si>
    <t>USA &amp; Germany</t>
  </si>
  <si>
    <t>J Am Coll Nutr</t>
  </si>
  <si>
    <t>Sunlight and Vitamin D: Necessary for Public Health</t>
  </si>
  <si>
    <t>"The World Health Organization's International Agency for Research on Cancer recommends avoiding outdoor activities at midday, wearing clothing to cover the whole body, and daily use of sunscreen on usually exposed skin (...) 
These recommendations are understandable from the viewpoint of preventing the 3.5 million new cases of and 2000 deaths from nonmelanoma skin cancer in the United States each year [4], but they neglect the fact that we have a long cultural history of appreciation of the sun and use of UV radiation for healing purposes. 
Moreover, they neglect that we have evolved with physiological adaptations to help protect the skin from the sun [5] when we are mindful of our exposure and do not burn. They neglect the fact that increased sun exposure, based on latitude, has been associated with protection from several different types of cancer [6–15], type 1 diabetes [16], multiple sclerosis [17,18], and other diseases [19–23]. They also neglect the fact that exposure to the sun induces beneficial physiological changes beyond the production of vitamin D."</t>
  </si>
  <si>
    <t>Australia
(Subiaco)</t>
  </si>
  <si>
    <t>Can Skin Exposure to Sunlight Prevent Liver Inflammation?</t>
  </si>
  <si>
    <t>"There are a number of potentially interdependent mechanisms whereby vitamin D could dampen liver inflammation, by inhibiting hepatocyte apoptosis and liver fibrosis, modulating the gut microbiome and through altered production and transport of bile acids. While there has been a focus on vitamin D, other mediators induced by sun exposure, such as nitric oxide may also play important roles in curtailing liver inflammation."</t>
  </si>
  <si>
    <t>Mead NM</t>
  </si>
  <si>
    <t>Environ Health Perspect</t>
  </si>
  <si>
    <t>Benefits of Sunlight: A Bright Spot for Human Health</t>
  </si>
  <si>
    <t>Lucas &amp; Ponsonby</t>
  </si>
  <si>
    <t>Considering the Potential Benefits as Well as Adverse Effects of Sun Exposure: Can All the Potential Benefits Be Provided by Oral Vitamin D Supplementation?</t>
  </si>
  <si>
    <t>"Exposure to ultraviolet radiation (UVR) is associated with both adverse and beneficial health effects. While many of the adverse effects of excessive exposure are well known, the adverse effects of insufficient UVR exposure are less clear-cut, but may include a heightened risk of several cancers and autoimmune disorders as well as of bone diseases such as rickets, osteomalacia and osteoporosis. 
Although some of the postulated beneficial effects of UVR exposure may occur through the maintenance of adequate levels of vitamin D, it is not clear that this can account for all of these effects. 
We briefly review the epidemiological literature with respect to vitamin D, UVR exposure and autoimmune diseases. We further outline alternative pathways, whereby UVR could alter the risk of development of some cancers and autoimmune disorders, independent of effects on vitamin D synthesis. 
Recognition of the beneficial effects of UVR exposure has led to a reconsideration of sun avoidance policies. It is important to recognize that all of the beneficial effects of UVR exposure may not occur only through UVR-induced vitamin D synthesis. Thus maintaining current sun avoidance policies while supplementing food with vitamin D may not be sufficient to avoid the risks of insufficient exposure to UVR."</t>
  </si>
  <si>
    <t>Review (ultraviolet effects / safety)</t>
  </si>
  <si>
    <t>Hart</t>
  </si>
  <si>
    <t>Annu Rev Pathol</t>
  </si>
  <si>
    <t>Exposure to Ultraviolet Radiation in the Modulation of Human Diseases</t>
  </si>
  <si>
    <t>"This review focuses primarily on the beneficial effects for human health of exposure to ultraviolet radiation (UVR). UVR stimulates anti-inflammatory and immunosuppressive pathways in skin that modulate psoriasis, atopic dermatitis, and vitiligo; suppresses cutaneous lesions of graft-versus-host disease; and regulates some infection and vaccination outcomes (...) 
For systemic diseases such as multiple sclerosis, type 1 diabetes, asthma, schizophrenia, autism, and cardiovascular disease, any positive consequences of UVR exposure are more speculative, but could occur through the actions of UVR-induced regulatory cells and mediators, including 1,25-dihydroxy vitamin D3, interleukin-10, and nitric oxide. 
Reduced UVR exposure is a risk factor for the development of several inflammatory, allergic, and autoimmune conditions, including diseases initiated in early life. This suggests that UVR-induced molecules can regulate cell maturation in developing organs."</t>
  </si>
  <si>
    <t>Are current guidelines for sun protection optimal for health? Exploring the evidence</t>
  </si>
  <si>
    <t>"Exposure of the skin to ultraviolet (UV) radiation is the main risk factor for skin cancer, and a major source of vitamin D, in many regions of the world. Sun protection messages to minimize skin cancer risks but avoid vitamin D deficiency are challenging, partly because levels of UV radiation vary by location, season, time of day, and atmospheric conditions."</t>
  </si>
  <si>
    <t>Ultraviolet Radiation, Vitamin D and the Development of Obesity, Metabolic Syndrome and type-2 Diabetes</t>
  </si>
  <si>
    <t xml:space="preserve">"This review explores the potential for ultraviolet radiation (UVR), derived from sun exposure, to affect the development of obesity and two of its metabolic co-morbidities, type-2 diabetes and metabolic syndrome.
We here discuss the potential benefits (or otherwise) of exposure to UVR based on evidence from pre-clinical, human epidemiological and clinical studies and explore and compare the potential role of UVR-induced mediators, including vitamin D and nitric oxide.
Overall, emerging findings suggest a protective role for UVR and sun exposure in reducing the development of obesity and cardiometabolic dysfunction, but more epidemiological and clinical research is required that focuses on measuring the direct associations and effects of exposure to UVR in humans."
</t>
  </si>
  <si>
    <t>Bora &amp; Cantorna</t>
  </si>
  <si>
    <t>USA
(University Park, PA)</t>
  </si>
  <si>
    <t>The Role of UVR and Vitamin D on T Cells and Inflammatory Bowel Disease</t>
  </si>
  <si>
    <t>"There is limited data demonstrating an effect of UVR on experimental IBD but the mechanisms of UVR suppression in IBD have not been defined. There are several shared effects of vitamin D and UVR on T cells including inhibition of proliferation and suppression of IFN-γ and IL-17 producing T cells. Conversely UVR decreases and vitamin D increases IL-4 production from T cells."
"Together the data suggest that UVR suppression of T cells and potentially IBD are both vitamin D dependent and independent."</t>
  </si>
  <si>
    <t>Wright &amp; Weller</t>
  </si>
  <si>
    <t>Risks and Benefits of UV Radiation in Older People: More of a Friend Than a Foe?</t>
  </si>
  <si>
    <t>"Public health advice has tended to concentrate on the dangers of sun exposure despite the absence of any data that increased sun exposure correlates with raised all-cause mortality. Inadequate sun exposure carries its own risks, and the older population are particularly sun deprived as recorded by low serum Vitamin D levels and lack of outdoor activity. Sunlight has health benefits dependently and independently of vitamin D synthesis."
"Advice on healthy sun exposure needs to be reconsidered, with reduction in all-cause mortality and morbidity as the primary end point."</t>
  </si>
  <si>
    <t>Bataille V</t>
  </si>
  <si>
    <t>Curr Oncol Rep</t>
  </si>
  <si>
    <t>Sun Exposure, Sunbeds and Sunscreens and Melanoma. What Are the Controversies?</t>
  </si>
  <si>
    <t>"As UV exposure is the only environmental factor ever linked to melanoma, it is still prudent to avoid excessive sun exposure and sunburn especially in poor tanners. However, the impact of strict sun avoidance, which should not be recommended, may take years to be apparent as vitamin D deficiency is a now a common health issue in Caucasian populations, with a significant impact on health in general."</t>
  </si>
  <si>
    <t>Hart &amp; Gorman</t>
  </si>
  <si>
    <t>Clin Biochem Rev</t>
  </si>
  <si>
    <t>Exposure to UV Wavelengths in Sunlight Suppresses Immunity. To What Extent Is UV-induced Vitamin D3 the Mediator Responsible?</t>
  </si>
  <si>
    <t>"Although low vitamin D3 levels have been associated with increased prevalence and progression of human autoimmune diseases, the benefits of supplementation with vitamin D3 have not been definitive. Vitamin D3 levels are a measure of past sun exposure but vitamin D3-dependent and vitamin D3-independent immunosuppressive effects of UVR may play a role in control of autoimmune diseases."</t>
  </si>
  <si>
    <t>Juzenieze &amp; Moan</t>
  </si>
  <si>
    <t>Beneficial Effects of UV Radiation Other Than via Vitamin D Production</t>
  </si>
  <si>
    <t>"Several human skin diseases, like psoriasis, vitiligo, atopic dermatitis and localized scleroderma, can be treated with solar radiation (heliotherapy) or artificial UV radiation (phototherapy). UV exposure can suppress the clinical symptoms of multiple sclerosis independently of vitamin D synthesis. Furthermore, UV generates nitric oxide (NO), which may reduce blood pressure and generally improve cardiovascular health. UVA-induced NO may also have antimicrobial effects and furthermore, act as a neurotransmitter. Finally, UV exposure may improve mood through the release of endorphins."</t>
  </si>
  <si>
    <t>Balk</t>
  </si>
  <si>
    <t>Pediatrics</t>
  </si>
  <si>
    <t>Ultraviolet Radiation: A Hazard to Children and Adolescents [technical report]</t>
  </si>
  <si>
    <t>"Sunlight sustains life on earth. Sunlight is essential for vitamin D synthesis in the skin. The sun's ultraviolet rays can be hazardous, however, because excessive exposure causes skin cancer and other adverse health effects. Skin cancer is a major public health problem; more than 2 million new cases are diagnosed in the United States each year (...) The risk of skin cancer is increased when people overexpose themselves to sun and intentionally expose themselves to artificial sources of UVR."</t>
  </si>
  <si>
    <t>Ultraviolet Radiation: A Hazard to Children and Adolescents [policy statement]</t>
  </si>
  <si>
    <t>"Ultraviolet radiation (UVR) causes the 3 major forms of skin cancer: basal cell carcinoma; squamous cell carcinoma; and cutaneous malignant melanoma. Public awareness of the risk is not optimal, overall compliance with sun protection is inconsistent, and melanoma rates continue to rise. The risk of skin cancer increases when people overexpose themselves to sun and intentionally expose themselves to artificial sources of UVR. Yet, people continue to sunburn, and teenagers and adults alike remain frequent visitors to tanning parlors. 
Pediatricians should provide advice about UVR exposure during health-supervision visits and at other relevant times. Advice includes avoiding sunburning, wearing clothing and hats, timing activities (when possible) before or after periods of peak sun exposure, wearing protective sunglasses, and applying and reapplying sunscreen."</t>
  </si>
  <si>
    <t>Bull World Health Organ</t>
  </si>
  <si>
    <t>Is the Current Public Health Message on UV Exposure Correct?</t>
  </si>
  <si>
    <t>"Here, we review the evolution of current sun exposure practices and sun-safe messages and consider not only the benefits, but also the detrimental effects that such messages may have."</t>
  </si>
  <si>
    <t>Reichrath J</t>
  </si>
  <si>
    <t>Germany
(Homburg/Saar)</t>
  </si>
  <si>
    <t>The Challenge Resulting From Positive and Negative Effects of Sunlight: How Much Solar UV Exposure Is Appropriate to Balance Between Risks of Vitamin D Deficiency and Skin Cancer?</t>
  </si>
  <si>
    <t>"There is no doubt that solar ultraviolet (UV) exposure is the most important environmental risk factor for the development of non-melanoma skin cancer. Therefore, sun protection is of particular importance to prevent these malignancies, especially in risk groups. However, 90% of all requisite vitamin D has to be formed in the skin through the action of the sun-a serious problem, for a connection between vitamin D deficiency and a broad variety of independent diseases including various types of cancer, bone diseases, autoimmune diseases, hypertension and cardiovascular disease has now been clearly indicated in a large number of epidemiologic and laboratory studies."</t>
  </si>
  <si>
    <t>Skin effects</t>
  </si>
  <si>
    <t>Napolitano</t>
  </si>
  <si>
    <t>Impact of sun exposure on adult patients affected by atopic dermatitis</t>
  </si>
  <si>
    <t>Retrospective</t>
  </si>
  <si>
    <t>"The sunlight effect was considered beneficial by 68/114 (59.6%) of patients. In particular, 38/114 patients (33.3%%) reported the improvement of AD and 30/114 (26.3%) the complete resolution of the disease during summer holiday."
"Our data seem to suggest that sun exposure is beneficial in most patients, but not in all patients. In fact, sun exposure does not appear to improve skin symptoms or even aggravate them in about 4 out of 10 patients."</t>
  </si>
  <si>
    <t>Systematic review</t>
  </si>
  <si>
    <t>Systematic Review of the Effects of Ultraviolet Radiation on Markers of Metabolic Dysfunction</t>
  </si>
  <si>
    <t>"We identified 25 studies in which the effects of UVR on metabolic outcomes were examined, including: narrowband ultraviolet B phototherapy (nbUVB, n = 12); psoralen ultraviolet A phototherapy (n = 4); other types of UVR phototherapy (n = 5); and sun exposure advice (n = 5)."
"Most studies recruited a small number of participants (≤100), who were middle-aged individuals undergoing treatment for psoriasis flare, with phototherapy or sun exposure advice administered for ≤12 weeks."
"There were few studies in which markers of glucose metabolism were assessed, with some beneficial effects of sun exposure (but not phototherapy) reported. LDL-cholesterol levels were lower in individuals receiving sun exposure advice, while treatment with nbUVB reduced blood concentrations of inflammatory markers (C-reactive protein and interleukin-6)."</t>
  </si>
  <si>
    <t>Scragg</t>
  </si>
  <si>
    <t>New Zealand
(Auckland)</t>
  </si>
  <si>
    <t>Association of Sun and UV Exposure With Blood Pressure and Cardiovascular Disease: A Systematic Review</t>
  </si>
  <si>
    <t>"Identified studies could not be combined quantitatively in meta-analysis because of different exposure measures. Solar exposure was inversely associated with BP in 3 out of 4 cross-sectional publications, and with CVD and/or total mortality in 5 out of 6 publications of cohort studies. 
Two of the cohort studies reported inverse associations between sun exposure and CVD, after adjusting for serum 25-hydroxyvitamin D. 
Five clinical trials with an appropriate control group were identified, the outcome being BP. Two trials compared UVB with UVA (as control), with only one finding a significant reduction in BP (after 6 weeks). Three trials compared short-term UVA exposure (&lt;30 min) with placebo (or crossover control), of which two reported short-term lowering of BP."
"This review has identified a small body of evidence that suggests sun exposure protects against high BP and CVD, but further research is required to determine if this is independent of vitamin D."</t>
  </si>
  <si>
    <t>Ultraviolet radiation: anti-infective effects</t>
  </si>
  <si>
    <t>Moderate Low UVB Irradiation Modulates Tumor-associated Macrophages and Dendritic Cells and Promotes Antitumor Immunity in Tumor-bearing Mice</t>
  </si>
  <si>
    <t>U l t r a v i o l e t   r a d i a t i o n
(280-400 nm)</t>
  </si>
  <si>
    <t>"Our findings demonstrate that moderate low UVB irradiation inhibits M2-like tumor-associated macrophages, increases CD103+ cDC1s and promotes antitumor immunity in mice with an established tumor."</t>
  </si>
  <si>
    <t>Schuit</t>
  </si>
  <si>
    <t>USA
(Frederick, MD)</t>
  </si>
  <si>
    <t>J Infect Dis</t>
  </si>
  <si>
    <t>Airborne SARS-CoV-2 Is Rapidly Inactivated by Simulated Sunlight</t>
  </si>
  <si>
    <t>"Decay rates in simulated saliva, under simulated sunlight levels representative of late winter/early fall and summer were 0.121±0.017 min-1 (90% loss: 19 minutes) and 0.379±0.072 min-1 (90% loss: 6 minutes), respectively. 
The mean decay rate without simulated sunlight across all relative humidity levels was 0.008±0.011 min-1 (90% loss: 125 minutes)."</t>
  </si>
  <si>
    <t>Ratnesar-Shumate</t>
  </si>
  <si>
    <t>Simulated Sunlight Rapidly Inactivates SARS-CoV-2 on Surfaces</t>
  </si>
  <si>
    <t>"Ninety percent of infectious virus was inactivated every 6.8 minutes in simulated saliva and every 14.3 minutes in culture media when exposed to simulated sunlight representative of the summer solstice at 40oN latitude at sea level on a clear day."</t>
  </si>
  <si>
    <t>Ultraviolet radiation: experimental research</t>
  </si>
  <si>
    <t>Haapasalo</t>
  </si>
  <si>
    <t>Finland
(Tampere)</t>
  </si>
  <si>
    <t>Influence of ultraviolet A1 exposures on mood states: a randomized controlled study</t>
  </si>
  <si>
    <t>U l t r a v i o l e t   r a d i a t i o n
(UV-A1: 340-400 nm)</t>
  </si>
  <si>
    <t>"Forty-one healthy participants aged 19-55 years were randomized to receive either UV-A1 (n = 21) or control (n = 20) exposures (violet light, 390-440 nm). The irradiations were administered on three consecutive mornings on the skin of the buttocks and middle back."
"Mood improved among those subjected to UV-A1 exposures compared with the controls (p = 0.031). Individuals with more pronounced morningness had mood improvement (p = 0.011), whereas those with more pronounced eveningness did not (p = 0.41). At follow-up of one week after the last irradiation the mood improvement had disappeared."</t>
  </si>
  <si>
    <t>Hazell</t>
  </si>
  <si>
    <t>UK
(Didcot)</t>
  </si>
  <si>
    <t>Low-dose daylight exposure induces nitric oxide release and maintains cell viability in vitro</t>
  </si>
  <si>
    <t>Daylight with or without filters</t>
  </si>
  <si>
    <t>"Any potential positive effects conferred via sunlight exposure have to be carefully balanced against carcinogenic effects. 
Here we provide evidence UK sunlight exposure upregulates the cardio protectant nitric oxide (NO) within in vitro skin cell lines with negligible increases in DNA damage and cell death at 1 SED, when compared against unexposed samples. 
The whole of the ultraviolet A (UV-A) spectrum appears to be responsible for NO release, with efficiency higher at exposures closer to shorter UV-A wavelengths and decreasing with wavelength increases. 
These results support further in vivo work, which could be of benefit for demographics such as the elderly (that exhibit a natural decline in NO bioavailability)."
Comment: Interesting lab study using direct daylight exposure for a cell culture!</t>
  </si>
  <si>
    <t>Bauwens</t>
  </si>
  <si>
    <t>Belgium
(Namur)</t>
  </si>
  <si>
    <t>Senescence Induced by UVB in Keratinocytes Impairs Amino Acids Balance</t>
  </si>
  <si>
    <t>U l t r a v i o l e t   r a d i a t i o n</t>
  </si>
  <si>
    <t>"In this work, we developed an in vitro model of UVB-induced premature senescence in normal human epidermal keratinocytes. UVB-induced senescent keratinocytes display a common senescent phenotype resulting in an irreversible cell cycle arrest, an increase in the proportion of senescence-associated β-galactosidase‒positive cells, unrepaired DNA damage, and a long-term DNA damage response activation. 
Moreover, UVB-induced senescent keratinocytes secrete senescence-associated secretory phenotype factors that influence cutaneous squamous cell carcinoma cell migration. Finally, a global transcriptomic study highlighted that senescent keratinocytes present a decrease in the expression of several amino acid transporters, which is associated with reduced intracellular levels of glycine, alanine, and leucine. 
Interestingly, the chemical inhibition of the glycine transporter SLC6A9/Glyt1 triggers senescence features."</t>
  </si>
  <si>
    <t>Dhamrait</t>
  </si>
  <si>
    <t>Characterising Nitric Oxide-Mediated Metabolic Benefits of Low-Dose Ultraviolet Radiation in the Mouse: A Focus on Brown Adipose Tissue</t>
  </si>
  <si>
    <t>"Our results suggest that non-burning (low-dose) UVR suppresses the BAT 'whitening', steatotic and pro-diabetic effects of consuming a high-fat diet through skin release of nitric oxide, with some metabolic and immune pathways in iBAT regulated by UVR independently of nitric oxide."</t>
  </si>
  <si>
    <t>Irving</t>
  </si>
  <si>
    <t>UV Light Suppression of EAE (A Mouse Model of Multiple Sclerosis) Is Independent of Vitamin D and Its Receptor</t>
  </si>
  <si>
    <t>"Our results demonstrate that UV light suppression of EAE occurs in the absence of vitamin D production and in the absence of VDR."</t>
  </si>
  <si>
    <t>Ferguson</t>
  </si>
  <si>
    <t>Exposure to Solar Ultraviolet Radiation Limits Diet-Induced Weight Gain, Increases Liver Triglycerides and Prevents the Early Signs of Cardiovascular Disease in Mice</t>
  </si>
  <si>
    <t>"We have trialled an intervention with solar UV in obese and atherosclerosis-prone mice. We have discovered that solar-simulated UV can significantly limit diet-induced obesity and reduce atheroma development in mice fed a diet high in sugar and fat. The optimal regime for this benefit was exposure once a week to solar UV equivalent to approximately 30 min of summer sun. Exposure to this optimal dose of solar UV also led to a significant increase in liver triglycerides which may protect the liver from damage."</t>
  </si>
  <si>
    <t>Regular Exposure to Non-Burning Ultraviolet Radiation Reduces Signs of Non-Alcoholic Fatty Liver Disease in Mature Adult Mice Fed a High Fat Diet: Results of a Pilot Study</t>
  </si>
  <si>
    <t>"The severity of liver steatosis, fibrosis and inflammation were reduced in older adult mice exposed twice a week to ultraviolet radiation (from 29 weeks of age), compared to mock-irradiated mice, with some evidence for reduced hepatic mRNAs for tnf and tgfß1 (not fatp2 nor fasN)."
"Our studies suggest frequent exposure to low levels of sunlight may reduce the severity of hepatic steatosis induced in older adults living in environments of high caloric intake."</t>
  </si>
  <si>
    <t>Mult Scler J Exp Transl Clin</t>
  </si>
  <si>
    <t>A randomised, controlled clinical trial of narrowband UVB phototherapy for clinically isolated syndrome: The PhoCIS study</t>
  </si>
  <si>
    <t>"By 12 months, 100% of those in the no phototherapy arm and 70% in the phototherapy arm had converted to [multiple sclerosis], although this difference was not statistically significant."</t>
  </si>
  <si>
    <t>Cell</t>
  </si>
  <si>
    <t>Moderate UV Exposure Enhances Learning and Memory by Promoting a Novel Glutamate Biosynthetic Pathway in the Brain</t>
  </si>
  <si>
    <t>"Sunlight exposure is known to affect mood, learning, and cognition. However, the molecular and cellular mechanisms remain elusive. Here, we show that moderate UV exposure elevated blood urocanic acid (UCA), which then crossed the blood-brain barrier."
Single-cell mass spectrometry and isotopic labeling revealed a novel intra-neuronal metabolic pathway converting UCA to glutamate (GLU) after UV exposure.
This UV-triggered GLU synthesis promoted its packaging into synaptic vesicles and its release at glutamatergic terminals in the motor cortex and hippocampus. Related behaviors, like rotarod learning and object recognition memory, were enhanced after UV exposure.
All UV-induced metabolic, electrophysiological, and behavioral effects could be reproduced by the intravenous injection of UCA and diminished by the application of inhibitor or short hairpin RNA (shRNA) against urocanase, an enzyme critical for the conversion of UCA to GLU."</t>
  </si>
  <si>
    <t>Monaghan</t>
  </si>
  <si>
    <t>UK
(Hamilton)</t>
  </si>
  <si>
    <t>The Effects of Two Different Doses of ultraviolet-A Light Exposure on Nitric Oxide Metabolites and Cardiorespiratory Outcomes</t>
  </si>
  <si>
    <t>"The present study is the first to determine that at least 20 J cm2 of UV-A exposure (~ 30 min of Mediterranean summer sunshine) is required to significantly increase plasma [NO2−] in healthy human participants. Surprisingly, elevations in plasma NO availability were not met with a significant reduction in BP, which has been consistently observed in previous studies. 
These contrasting data may relate to experimental differences in UV-A exposure protocols or inter-individual variability in responses between participants. Although BP was not reduced in this study, UV-A exposure in doses of either 10 or 20 J cm2 reduced resting V˙O2 and RMR. 
These data provide further evidence to suggest that environmental exposures of sunlight may have a meaningful impact on cardiovascular and metabolic functions."</t>
  </si>
  <si>
    <t>Fujii</t>
  </si>
  <si>
    <t>J Pharmacol Sci</t>
  </si>
  <si>
    <t>Effects of Irradiation With Narrowband-Ultraviolet B on Up-Regulation of Histamine H 1 Receptor mRNA and Induction of Apoptosis in HeLa Cells and Nasal Mucosa of Rats</t>
  </si>
  <si>
    <t>"Here, we show that low dose irradiation with 310 nm NB-UVB alleviates nasal symptoms in toluene 2,4-diisocyanate (TDI)-sensitized allergy model rats."</t>
  </si>
  <si>
    <t>Ponda</t>
  </si>
  <si>
    <t>A Randomized Clinical Trial in Vitamin D-deficient Adults Comparing Replenishment With Oral Vitamin D 3 With Narrow-Band UV Type B Light: Effects on Cholesterol and the Transcriptional Profiles of Skin and Blood</t>
  </si>
  <si>
    <t>"There were also no differences within groups or between groups for changes in total or HDL cholesterol or triglycerides. Transcriptional profiling of skin and blood, however, revealed significant upregulation of immune pathway signaling with oral vitamin D3 but significant downregulation with UVB"</t>
  </si>
  <si>
    <t>J Endocrinol</t>
  </si>
  <si>
    <t>Sub-erythemal Ultraviolet Radiation Reduces Metabolic Dysfunction in Already Overweight Mice</t>
  </si>
  <si>
    <t>"[65% UVB, 35% UVA] (but not [4% UVB, 96% UVA]) significantly reduced mouse weights and weight gain, compared to mice fed a high-fat diet (only). These effects were dependent on nitric oxide. Conversely, [4% UVB, 96% UVA] (but not [65% UVB, 35% UVA]) significantly reduced circulating LDL cholesterol. 
Both light sources reduced fasting insulin levels, and the extent of hepatic steatosis; the latter was reversed by topical application of cPTIO, suggesting an important role for skin release of nitric oxide in preventing hepatic lipid accumulation. 
These results suggest that there may be a number of benefits achieved by regular exposure to safe (non-burning) levels of sunlight or UV-containing phototherapy, with effects potentially dependent on the predominance of the wavelengths of UVR administered."</t>
  </si>
  <si>
    <t>UV Light Selectively Inhibits Spinal Cord Inflammation and Demyelination in Experimental Autoimmune Encephalomyelitis</t>
  </si>
  <si>
    <t>"As expected, UVR (10kJ/m(2)) inhibits inflammation and demyelination of the spinal cord. 
Most significant, UVR dramatically reduced spinal cord chemokine CCL5 mRNA and protein levels. UVR also suppressed IL-10 in skin and spleen but not the spinal cord. 
As expected from the UVR action on skin, macrophage population and IFN-γ levels are increased in that organ. UVR had no effect on lymphocyte proliferation and IFN-γ in spleen.
From these measurements, we suggest that UVR suppression of EAE prevents the migration of inflammatory cells into the CNS by a focal inhibition of chemokine CCL-5 in the CNS and a systemic elevation of immunosuppressive IL-10."</t>
  </si>
  <si>
    <t>Muggeridge</t>
  </si>
  <si>
    <t>Acute Whole Body UVA Irradiation Combined With Nitrate Ingestion Enhances Time Trial Performance in Trained Cyclists</t>
  </si>
  <si>
    <t>"These findings demonstrate that exposure to UV-A light alone does not alter the physiological responses to exercise or improve performance in a laboratory setting. 
A combination of UV-A and NIT, however, does improve cycling TT performance in this environment, which may be due to a larger increase in NO availability."</t>
  </si>
  <si>
    <t>Breuer</t>
  </si>
  <si>
    <t>Germany
(Münster)</t>
  </si>
  <si>
    <t>Ultraviolet B Light Attenuates the Systemic Immune Response in Central Nervous System Autoimmunity</t>
  </si>
  <si>
    <t>Mice
+ 🧑 Human</t>
  </si>
  <si>
    <t>"Local UVB radiation of the skin influences systemic immune reactions and attenuates systemic autoimmunity via the induction of skin-derived tolerogenic DCs and Tregs."</t>
  </si>
  <si>
    <t>Geldenhuys</t>
  </si>
  <si>
    <t>Ultraviolet Radiation Suppresses Obesity and Symptoms of Metabolic Syndrome Independently of Vitamin D in Mice Fed a High-Fat Diet</t>
  </si>
  <si>
    <t>UVR vs vitamin D</t>
  </si>
  <si>
    <t>"Here we investigate whether UVR and/or vitamin D supplementation modifies the development of obesity and type 2 diabetes in a murine model of obesity. 
Long-term suberythemal and erythemal UVR significantly suppressed weight gain, glucose intolerance, insulin resistance, nonalcoholic fatty liver disease measures; and serum levels of fasting insulin, glucose, and cholesterol in C57BL/6 male mice fed a high-fat diet. However, many of the benefits of UVR were not reproduced by vitamin D supplementation."</t>
  </si>
  <si>
    <t>Suppression of Experimental Autoimmune Encephalomyelitis by 300-315nm Ultraviolet Light</t>
  </si>
  <si>
    <t>"The results demonstrate that NB-UVB (300-315nm) is largely responsible for light-induced suppression of EAE and its effect is not via production of vitamin D."</t>
  </si>
  <si>
    <t>Acute Erythemal Ultraviolet Radiation Causes Systemic Immunosuppression in the Absence of Increased 25-hydroxyvitamin D3 Levels in Male Mice</t>
  </si>
  <si>
    <t>"Erythemal UVR (≥ 4 kJ/m(2)) suppressed contact hypersensitivity responses (T helper type-1 or -17), aspects of allergic airway disease (T helper type-2) and also the in vivo priming capacity of bone marrow-derived dendritic cells to a similar degree in female and male vitamin D(3)-deficient mice. 
Thus, in male mice, UVR-induced 25(OH)D(3) is not essential for mediating the immunosuppressive effects of erythemal UVR."</t>
  </si>
  <si>
    <t>Becklund</t>
  </si>
  <si>
    <t>UV Radiation Suppresses Experimental Autoimmune Encephalomyelitis Independent of Vitamin D Production</t>
  </si>
  <si>
    <t>"Our results indicate that continuous treatment with UVR dramatically suppresses clinical signs of EAE. Interestingly, disease suppression occurs with only a modest, transient increase in serum 25(OH)D(3) levels. Further analysis demonstrated that the levels of 25(OH)D(3) obtained upon UVR treatment were insufficient to suppress EAE independent of UVR treatment."</t>
  </si>
  <si>
    <t>Ultraviolet safety</t>
  </si>
  <si>
    <t>McKenzie &amp; Lucas</t>
  </si>
  <si>
    <t>New Zealand &amp; Australia</t>
  </si>
  <si>
    <t>Reassessing Impacts of Extended Daily Exposure to Low Level Solar UV Radiation</t>
  </si>
  <si>
    <t>Model calculations</t>
  </si>
  <si>
    <t>"Currently, health agencies recommend that no sun-protection is required when the UV Index (UVI) is less than 3. We use high-quality data from spectroradiometers and model calculations to demonstrate that this simplification is seriously flawed, particularly for mid-latitude conditions. For days when the peak UVI is below the threshold for advising protection, the daily dose of sun-burning UV available frequently far exceeds the threshold for damage to fair skin. This may have important health consequences, as populations at mid latitudes include a significant proportion with fair skin that is susceptible to damage."</t>
  </si>
  <si>
    <t>Working in sunlight</t>
  </si>
  <si>
    <t>Ioannou</t>
  </si>
  <si>
    <t>Greece
(Trikala)</t>
  </si>
  <si>
    <t xml:space="preserve">Int J Environ Res Public Health
</t>
  </si>
  <si>
    <t>The Impacts of Sun Exposure on Worker Physiology and Cognition: Multi-Country Evidence and Interventions</t>
  </si>
  <si>
    <t>Observational + Randomized</t>
  </si>
  <si>
    <t>"A set of four case-control (n = 109), randomized-controlled (n = 7), cross-sectional (n = 78), and intervention (n = 47) studies was conducted across three countries to investigate the effects of sun exposure on worker physiology and cognition."
"Working under the sun worsens the physiological heat strain experienced and compromises cognitive function, even when the level of heat stress is thought to be the same as being in the shade. Wearing light-colored clothes can limit the physiological heat strain experienced by the body."</t>
  </si>
  <si>
    <t>Autonomic nervous system response</t>
  </si>
  <si>
    <t>Kastyro</t>
  </si>
  <si>
    <t>Low-Intensity Laser Therapy As a Method to Reduce Stress Responses after Septoplasty</t>
  </si>
  <si>
    <t>"ULF, LF, HF, total HRV power were significantly lower in group 2, compared to group 1. In the period from 6 to 24 h after septoplasty, patients of group 1 experienced higher pain than patients with PBMT (p &lt; 0.001)."
"The use of PBMT after septoplasty against the background of nasal tamponade helps to reduce the severity of pain syndrome and the inflammatory response to surgical stress and, consequently, leads to less pronounced changes in the autonomic nervous system in response to surgical stress."</t>
  </si>
  <si>
    <t>Abdominal surgery</t>
  </si>
  <si>
    <t>Photobiomodulation Improved the First Stages of Wound Healing Process After Abdominoplasty: An Experimental, Double-Blinded, Non-randomized Clinical Trial</t>
  </si>
  <si>
    <t>🧑 Human
Non-🎲 Randomized trial
DB</t>
  </si>
  <si>
    <t>520+
590+
645</t>
  </si>
  <si>
    <t>"Within six months following surgery, significantly improved quality of the scars on the treated side compared with the untreated side was reported by patients and experienced professionals according to Vancouver Scar Scale, Patient and Observer Scar Assessment Scale (p &lt; 0.05) and standardized photographs (p &lt; 0.05). 
At 1 year of follow-up, patients observed no differences between the treated and untreated sides of the scars."</t>
  </si>
  <si>
    <t>Hartel</t>
  </si>
  <si>
    <t>Randomized clinical trial of the influence of local water-filtered infrared A irradiation on wound healing after abdominal surgery.</t>
  </si>
  <si>
    <t>🧑 Human
🎲 Randomized trial, double-blind
👥 111 participants
⌛ 9 days</t>
  </si>
  <si>
    <t>Abdominal surgery
Polychromatic light 🌈 (water-filtered infrared A)</t>
  </si>
  <si>
    <t>590-
1400</t>
  </si>
  <si>
    <t>18
/ 9 days
(?)</t>
  </si>
  <si>
    <t>"Main variables of interest were: wound healing assessed on a visual analogue scale (VAS) by the surgeon (median 88.6 versus 78.5 respectively; P &lt; 0.001) or patient (median 85.8 versus 81.0; P = 0.040), postoperative pain (median decrease in VAS score during irradiation 13.4 versus 0; P &lt; 0.001), subcutaneous oxygen tension after irradiation (median 41.6 versus 30.2 mmHg; P &lt; 0.001) and subcutaneous temperature after irradiation (median 38.9 versus 36.4 degrees C; P &lt; 0.001). The overall result, in terms of wound healing, pain and cosmesis, measured on a VAS by the surgeon (median 79.0 versus 46.8; P &lt; 0.001) or patient (79.0 versus 50.2; P &lt; 0.001) was better after wIRA irradiation."
"Postoperative irradiation with wIRA can improve normal postoperative wound healing and may reduce costs in gastrointestinal surgery."
Comment: Control group received radiation of 590-780nm. Detailed irradiation parameters for either group were not provided.</t>
  </si>
  <si>
    <t>Bariatric surgery</t>
  </si>
  <si>
    <t>Ojea</t>
  </si>
  <si>
    <t>Beneficial Effects of Applying Low-Level Laser Therapy to Surgical Wounds After Bariatric Surgery.</t>
  </si>
  <si>
    <t>🧑 Human
🎲 Randomized trial, sham-controlled
👥 85 participants
⌛ 7 days</t>
  </si>
  <si>
    <t>0.495</t>
  </si>
  <si>
    <t>0.20
cm2</t>
  </si>
  <si>
    <t>"LLLT applied with the described protocol led to a decrease by biochemical markers and wound temperature compared with the placebo, which indicated that LLLT was able to control the inflammatory process;
in addition, seroma and pain were reduced and cicatrization was improved by this preventive procedure."</t>
  </si>
  <si>
    <t>Device: "CW diode laser (MMOptics)"</t>
  </si>
  <si>
    <t>Cardiac surgery</t>
  </si>
  <si>
    <t>Murugan</t>
  </si>
  <si>
    <t>Effectiveness of low-level laser therapy compared with other conventional therapies on wound healing and pain reduction in patients with median sternotomy: a systematic review protocol</t>
  </si>
  <si>
    <t>Protocol (for 📚 Systematic review)</t>
  </si>
  <si>
    <t>"This review will include only randomized controlled trials that studied the effects of low-level laser therapy used as a monotherapy or in combination with other conventional therapies in promoting wound healing and reducing pain in adult patients with median sternotomy."</t>
  </si>
  <si>
    <t>Moghadam</t>
  </si>
  <si>
    <t>Iran
(Sabzevar)</t>
  </si>
  <si>
    <t>Low level laser therapy: a promising adjunct therapeutic modality for pain control after coronary artery bypass graft surgery.</t>
  </si>
  <si>
    <t>Letter to editor</t>
  </si>
  <si>
    <t>"In conclusion, it seems that LLLT can be used as a non-invasive, easily applied, effective, and safe adjunct therapeutic modality for postoperative pain control after CABG surgery. However, further well-design studies are warranted to determine and confirm the potential clinical value of LLLT for postoperative pain management after CABG surgery, as well as its optimal choice of parameters such as power density, wavelength, pulse structure, and influence/timing of the irradiation, which can influence the effectiveness of this therapeutic modality."</t>
  </si>
  <si>
    <t>Helmy</t>
  </si>
  <si>
    <t>Low-level laser therapy versus trunk stabilization exercises on sternotomy healing after coronary artery bypass grafting: a randomized clinical trial.</t>
  </si>
  <si>
    <t>⚔ Groups: 
- PBM
- exercise
- control</t>
  </si>
  <si>
    <t>"LLLT and trunk stabilization exercises were found to be the most effective methods for sternotomy healing post-CABG surgery, with LLLT offering superior performance in the case of the upper sternum while trunk stabilization exercises were more effective for the lower sternum."</t>
  </si>
  <si>
    <t>Device: "probe laser device (Petra, Laserklasse 2 M, Germany)"</t>
  </si>
  <si>
    <t>Gonzaga</t>
  </si>
  <si>
    <t>Effectiveness of Low-Intensity Laser Therapy on Tissue Repair Following Saphenectomy in Patients Who Underwent Coronary Artery Bypass Graft: A Randomized, Double-Blind Study.</t>
  </si>
  <si>
    <t>🧑 Human
🎲 Randomized trial, double-blind
👥 40 participants
⌛ 4 days</t>
  </si>
  <si>
    <t>1.05</t>
  </si>
  <si>
    <t>5.7
/point
(20 points)</t>
  </si>
  <si>
    <t>"The LG group presented a reduction of the areas of hematoma and hyperemia (p = 0.0003) and better border closure (p = 0.009), when compared with the PG group."
"The proposed LLLT protocol improved the tissue repair following saphenectomy in CABG patients."
Comment: The dose parameters seem somewhat contradictory, e.g. how does one calculate the claims 1.2 J energy?</t>
  </si>
  <si>
    <t>Barros</t>
  </si>
  <si>
    <t>Low-intensity LED therapy (λ 640 ± 20 nm) on saphenectomy healing in patients who underwent coronary artery bypass graft: a randomized, double-blind study.</t>
  </si>
  <si>
    <t>640
± 20</t>
  </si>
  <si>
    <t>1.77 cm2</t>
  </si>
  <si>
    <t>152
/point
(8 points)</t>
  </si>
  <si>
    <t>"The results showed that in the experimental group, there were less bleeding points and no dehiscence in saphenectomy, as compared to the placebo group. There was also a smaller area of hematoma and hyperemia in the experimental group (p &lt; 0.0009). These data lead to the conclusion that the type of phototherapy protocol employed can assist in tissue repair."</t>
  </si>
  <si>
    <t>Ann Card Anaesth</t>
  </si>
  <si>
    <t>Low-intensity laser (660 NM) has analgesic effects on sternotomy of patients who underwent coronary artery bypass grafts.</t>
  </si>
  <si>
    <t>🧑 Human
🎲 Randomized trial, double-blind
👥 90 participants
⌛ 8-day treatment / 1-month study</t>
  </si>
  <si>
    <t>2.4
/point
(8 points)</t>
  </si>
  <si>
    <t>1.06</t>
  </si>
  <si>
    <t>0.4 cm2 spot size</t>
  </si>
  <si>
    <t>60
/point
(8 points)</t>
  </si>
  <si>
    <t>"The laser group had a greater decrease in pain with analogous results, as indicated by both the VAS and the McGill questionnaire (P ≤ 0.05) on sensory and affective scores, on days 6 and 8 postsurgery compared to the placebo and control groups."</t>
  </si>
  <si>
    <t>Device: "Laser Hand MM Optics®"</t>
  </si>
  <si>
    <t>Photobiomodulation (Laser and LED) on Sternotomy Healing in Hyperglycemic and Normoglycemic Patients Who Underwent Coronary Bypass Surgery with Internal Mammary Artery Grafts: A Randomized, Double-Blind Study with Follow-Up.</t>
  </si>
  <si>
    <t>🧑 Human
🎲 Randomized trial, double-blind (?)
👥 120 participants
⌛ 8-day treatment / 1-month study</t>
  </si>
  <si>
    <t>640
(laser)
660
(LED)</t>
  </si>
  <si>
    <t>1.06
0.24</t>
  </si>
  <si>
    <t>"LLLT and LED groups had similarly less hyperemia and less incision bleeding or dehiscence (p ≤ 0.005) and the outcomes were also analogous between hyperglycemic and normoglycemic patients, which indicates no difference observed in an intragroup analysis (p ≥ 0.05)."</t>
  </si>
  <si>
    <t>Device (laser): "Laserhand MM Optics"
Device (LED): "Microdont portable equipment"</t>
  </si>
  <si>
    <t>Low-Level Laser and Light-Emitting Diode Therapy for Pain Control in Hyperglycemic and Normoglycemic Patients Who Underwent Coronary Bypass Surgery with Internal Mammary Artery Grafts: A Randomized, Double-Blind Study with Follow-Up.</t>
  </si>
  <si>
    <t>🧑 Human
🎲 Randomized trial, double-blind
👥 120 participants
⌛ 8-day treatment / 1-month study</t>
  </si>
  <si>
    <t>640
(laser)
660
(LED)</t>
  </si>
  <si>
    <t>40
70</t>
  </si>
  <si>
    <t>0.1
0.03</t>
  </si>
  <si>
    <t>2.4/p
10.1/p
(8 points)</t>
  </si>
  <si>
    <t>6 (ED)
1.06 (SAEF)
6 (ED)
0.24
(SAEF)</t>
  </si>
  <si>
    <t>0.4
cm2
1.77
cm2
spot size</t>
  </si>
  <si>
    <t>60
/point
152
/point
(8 points)</t>
  </si>
  <si>
    <t>"LLLT and LED had similar analgesic effects in hyperglycemic and normoglycemic patients, better than placebo and control groups."</t>
  </si>
  <si>
    <t>Device (laser): "Laserhand MM Optics"
Device (LED): "LED Microdont"</t>
  </si>
  <si>
    <t>Low-intensity laser (660 nm) on sternotomy healing in patients who underwent coronary artery bypass graft: a randomized, double-blind study.</t>
  </si>
  <si>
    <t>🧑 Human
🎲 Randomized trial, double-blind
👥 32 participants
⌛ 8-day treatment / 1-month study</t>
  </si>
  <si>
    <t>"The sternotomy incisions in the LLLT group demonstrated less hyperemia, incisional bleeding, and dehiscence (p ≤ 0.005)."</t>
  </si>
  <si>
    <t>Karlekar</t>
  </si>
  <si>
    <t>Assessment of feasibility and efficacy of Class IV laser therapy for postoperative pain relief in off-pump coronary artery bypass surgery patients: A pilot study.</t>
  </si>
  <si>
    <t>LCT-1000™ (LiteCure Medical)</t>
  </si>
  <si>
    <t>150
cm2</t>
  </si>
  <si>
    <t>"The mean (standard deviation [SD]) VRS of all the 100 patients just before application of the first dose of laser was 7.31 (0.94) while on MMT; the same fell to 4.0 (1.279) and 3.40 (2.697) at 1 h and 24 h respectively following first dose of laser. The change of VRS over first 24 h among all the 100 patients was statistically significant (P = 0.000). Laser was re-applied in 40 patients whose VRS was ≥5 (mean [SD] - 6.38 [0.868]) at 24th h. After receiving the 2nd dose of laser the VRS scores fell significantly (P = 0.000) and became 0 at 54th h. No patients required 3rd dose of the laser. No patient required rescue analgesic while on laser therapy."</t>
  </si>
  <si>
    <t>The effects of LED emissions on sternotomy incision repair after myocardial revascularization: a randomized double-blind study with follow-up.</t>
  </si>
  <si>
    <t>6
(ED)
1.2
(SAEF)</t>
  </si>
  <si>
    <t>"Three researchers blindly analyzed the incision photographs to determine hyperemia and wound closure, and they found that the LED group had both less hyperemia and less incision bleeding or dehiscence. The LED therapy (640 nm) had an analgesic effect on the sternotomies of patients who underwent CABG, increasing their incision healing and preventing dehiscence."</t>
  </si>
  <si>
    <t>Low-level laser therapy prevents prodromal signal complications on saphenectomy post myocardial revascularization.</t>
  </si>
  <si>
    <t>🧑 Human
🎲 Randomized trial
👥 14 participants
⌛ 3-day treatment -&gt; 3-day follow-up</t>
  </si>
  <si>
    <t>19</t>
  </si>
  <si>
    <t>2
(2nd and 4th post-op day)</t>
  </si>
  <si>
    <t>"In the Laser Group: all seven patients showed significant improvement, whereas the Control Group had twice as many complications, including critical rates of incisional dehiscence."</t>
  </si>
  <si>
    <t>Device: "Twin Laser from MM Optics, Saõ Carlos-SP, Brazil"</t>
  </si>
  <si>
    <t>Dixit</t>
  </si>
  <si>
    <t>Photobiomodulation of surgical wound dehiscence in a diabetic individual by low-level laser therapy following median sternotomy.</t>
  </si>
  <si>
    <t>Diabetic patient
Delayed CABG sternotomy wound healing
LED phototherapy</t>
  </si>
  <si>
    <t>660
(34 LEDs)
+
950
(35 LEDs)</t>
  </si>
  <si>
    <t>14
sternum
4
shouldr</t>
  </si>
  <si>
    <t>"After irradiation, proliferation of healthy granulation tissue was observed with decrease in scores of PUSH for sternal dehiscence and VAS for bilateral shoulders and sternal dehiscence. We found that LLLT irradiation could be a novel method of treatment for chronic sternal dehiscence following coronary artery bypass grafting, as it augments wound healing with an early closure of the wound deficit."</t>
  </si>
  <si>
    <t>Rev Bras Cir Cardiovasc</t>
  </si>
  <si>
    <t>Low level laser therapy in acute dehiscence saphenectomy: therapeutic proposal.</t>
  </si>
  <si>
    <t>"The results revealed granulated tissue, reduction of inflammatory process and analgesic effect since the first application. In this pilot study, LLLT has shown a considerable role as a wound healing agent, through a new proposal for efficient, safe and noninvasive therapy."</t>
  </si>
  <si>
    <t>Graft donor site</t>
  </si>
  <si>
    <t>Carboni</t>
  </si>
  <si>
    <t>The effects of photobiomodulation using LED on the repair process of skin graft donor sites</t>
  </si>
  <si>
    <t>🧑 Human
📄 Case series
Controlled</t>
  </si>
  <si>
    <t>0.0026</t>
  </si>
  <si>
    <t>1.53</t>
  </si>
  <si>
    <t>"PBM did not induce changes in the re-epithelialization period, wound area or wound quality scores of the Bates-Jensen Scale but did induce a reduction in pain compared to the group treated with Membracel® alone."</t>
  </si>
  <si>
    <t>Aljasir</t>
  </si>
  <si>
    <t>Germany
(Offenbach am Main)</t>
  </si>
  <si>
    <t>GMS Interdiscip Plast Reconstr Surg DGPW</t>
  </si>
  <si>
    <t>Management of donor site infections in split-thickness skin graft with water-filtered infrared-A (wIRA)</t>
  </si>
  <si>
    <t>3 daily for 5 weeks</t>
  </si>
  <si>
    <t>A 61-year-old male was referred to our burn center with burn injuries. The burn percentage was 20% (...) Patient was treated with split-thickness skin graft (...)
8 months later, the patient was referred to us from his primary care physician for management of infected open wounds in donor sites (...) Wound cultures showed Staphylococcus aureus, Escherichia coli and Staphylococcus epidermidis (Methicillin-resistent, MRSE) bacteria. Patient was a heavy smoker and suffered from multiple sclerosis (...)
One day after admission we performed a surgical debridement and removed the hypertrophic granulation tissue. After the operation we started daily wound dressing with a non-adherent antimicrobial alginate dressing (Silvercell®) and irradiation with water-filtered infrared-A (wIRA) (...)
After 5 weeks the patient was discharged with healed donor sites left thigh and left lower leg and nearly totally healed sites left forearm and left upper arm"</t>
  </si>
  <si>
    <t>Device (wIRA): "“Hydrosun 505®” model (Hydrosun Medizintechnik, Müllheim, Germany)"</t>
  </si>
  <si>
    <t>Monstrey</t>
  </si>
  <si>
    <t>Eur J Plast Surg</t>
  </si>
  <si>
    <t>The effect of polarized light on wound healing</t>
  </si>
  <si>
    <t>🧑 Human
🎲 Randomized trial, self-controlled, sham-controlled
👥 20 participants
⌛ 12 days (+ a one-year follow-up)</t>
  </si>
  <si>
    <t>Polychromatic light 🌈 (polarized)</t>
  </si>
  <si>
    <t>2.4
/minute
14.4 
/6min</t>
  </si>
  <si>
    <t>"For all variables, except for infection and blister formation which was not seen in either group, highly significantly better scores were obtained in the donor sites treated with polarized light. Inter-observer agreement was acceptable to very good in all outcome variables. The results of this study demonstrated that polarized light had a beneficial effect on the healing of these standardized wounds, resulting in a faster epithelialization and an improved quality of early scar tissue formation."</t>
  </si>
  <si>
    <t>Patients: burn patients
Device: Bioptron
Application: 10cm distance from donor site</t>
  </si>
  <si>
    <t>Kiyoizumi T</t>
  </si>
  <si>
    <t>Low level diode laser treatment for hematomas under grafted skin and its photobiological mechanisms</t>
  </si>
  <si>
    <t>🧑 Human
📄 Case series
👥 2 participants
+ 🧪 In vitro</t>
  </si>
  <si>
    <t>"In conclusion, two photobiological effects of the low level diode laser were observed.
First, the low level diode laser activates PGI2 secretion in human endothelial cells which causes vasodilatation. This explains the mechanism of hematoma absorption by improved circulation and the mechanism of enhanced skin flap survival area as well.
Second, the low level diode laser degradates the fibrin net through its physical energy. In clinical cases the low level diode laser was applied to grafted skin to achieve hematoma absorption without any side effects and obtained quite satisfactory results."</t>
  </si>
  <si>
    <t>Device: "Panalas-4000 by Matsushita Electric Co. (Osaka, Japan)"</t>
  </si>
  <si>
    <t>Graft integration</t>
  </si>
  <si>
    <t>Brazil
(Jaboticabal)</t>
  </si>
  <si>
    <t>Evaluation of angiogenesis, inflammation, and healing on irradiated skin graft with low-level laser therapy in rats (Rattus norvegicus albinus wistar).</t>
  </si>
  <si>
    <t>Skin graft</t>
  </si>
  <si>
    <t>6
10</t>
  </si>
  <si>
    <t>"It is concluded the exhibition of the skin grafts to 6 J/cm2 or 10 J/cm2 dose every 5 days improved the healing and the modulation of the local inflammation."</t>
  </si>
  <si>
    <t>Effects of photobiomodulation therapy in the integration of skin graft in rats.</t>
  </si>
  <si>
    <t>"The histopathological analysis revealed that the laser PBM showed better adhesion of the graft when compared to the control group. Likewise, the morphometric analysis of mast cells, blood vessels, and collagen showed a statistically significant increase in the animals irradiated with the laser PBM when compared to the control group. 
In addition, immunohistochemical analysis demonstrated that the laser PBM showed statistically higher immunoexpression of FGF when compared to the CG. However, IL-4 immunoexpression did not show statistical difference between the experimental groups. 
From the results obtained in the present study, it can be suggested that laser photobiomodulation was effective in promoting the integration and viability of total skin grafts in rats."</t>
  </si>
  <si>
    <t>Photobiomodulation Increases Viability in Full-Thickness Grafts in Rats Submitted to Nicotine.</t>
  </si>
  <si>
    <t>Wavelength comparison
Skin graft</t>
  </si>
  <si>
    <t>"The PBM at both wavelengths promoted a facilitating effect on the integration of the skin graft under nicotine and had a more significant effect on the thickness of the epidermis and expression of angiogenesis without nicotine at a wavelength of 830 nm. Different wavelengths influence responses related to the viability of cutaneous grafts in rats submitted to nicotine."</t>
  </si>
  <si>
    <t>Inguinal herniation</t>
  </si>
  <si>
    <t>Effects of low-level laser therapy on pain and scar formation after inguinal herniation surgery: a randomized controlled single-blind study.</t>
  </si>
  <si>
    <t>🧑 Human
🎲 Randomized trial, sham-controlled
👥 28 participants
⌛ 7-day treatment -&gt; 6-month follow-up</t>
  </si>
  <si>
    <t>1.04
/p
(10p/
scar)</t>
  </si>
  <si>
    <t>26
/p
(10p/
scar)</t>
  </si>
  <si>
    <t>"G1 showed significantly better results in the VSS totals (2.14 +/- 1.51) compared with G2 (4.85 +/- 1.87); in the thickness measurements (0.11 cm) compared with G2 (0.19 cm); and in the malleability (0.14) compared with G2 (1.07). The pain score was also around 50% higher in G2."
"Infra-red LLLT (830 nm) applied after inguinal-hernia surgery was effective in preventing the formation of keloids. In addition, LLLT resulted in better scar appearance and quality 6 mo postsurgery."</t>
  </si>
  <si>
    <t>Knee arthroplasty</t>
  </si>
  <si>
    <t>Bahrami</t>
  </si>
  <si>
    <t>Arthroplast Today</t>
  </si>
  <si>
    <t>Low-Level Laser and Light Therapy After Total Knee Arthroplasty Improves Postoperative Pain and Functional Outcomes: A Three-Arm Randomized Clinical Trial</t>
  </si>
  <si>
    <t>🧑 Human
🎲 Randomized trial
👥 45 participants
⌛ 3-day treatment / 12-month study</t>
  </si>
  <si>
    <t>Laser vs bioptron light vs ctrl
Polychromatic light 🌈</t>
  </si>
  <si>
    <t>804
480-
3400</t>
  </si>
  <si>
    <t>-
0.040</t>
  </si>
  <si>
    <t>10
(2p)</t>
  </si>
  <si>
    <t>10 (?)
600</t>
  </si>
  <si>
    <t>"The preoperative scores were similar between groups. 
A higher ROM was observed with the LLLT group at all follow-ups except at the 12-month follow-up (3-month ROM: 116.8° vs 104.0° vs 92.3°; P &lt; .001). 
The knee swelling at 3 months was similar between the LLLT and light groups (2.1 cm), which was lower than that in controls (2.1 cm, P &lt; .001). Furthermore, visual analog scale pain decreased more in the LLLT group than in other groups (8.5 vs 7.2 vs 6.0 points) at 3 months (P = .04) but was similar at 12 months (P &gt; .05). 
Also, the LLLT group consumed fewer opiate painkillers during the first month (48.3 vs 60.3 mg of oxycodone, P = .02). 
In the LLLT group, the KSS at 3 and 12 months and the KSS function score at 3 months exceeded minimally clinically important differences (P &lt; .05)."</t>
  </si>
  <si>
    <t>Low-level laser acupuncture reduces postoperative pain and morphine consumption in older patients with total knee arthroplasty: A randomized placebo-controlled trial</t>
  </si>
  <si>
    <t>🧑 Human
🎲 Randomized trial, sham-controlled
👥 82 participants</t>
  </si>
  <si>
    <t>18
(6p)</t>
  </si>
  <si>
    <t>60
(6p)</t>
  </si>
  <si>
    <t>"Low-level LA gradually reduced older patients' postoperative pain intensity and morphine consumption within the first 72 h after their TKA for osteoarthritis. Low-level LA may have benefits as an adjuvant pain management technique for clinical care."
Comment: The parameters were insufficiently reported. According to a Google search, it seems the TI-816-3E2 device has a beam area of less than 1 cm2.</t>
  </si>
  <si>
    <t>Device: "TRANS laser phototherapy device (Type TI-816-3E2, Transverse Industries Corporation Limited, Taipei, Taiwan)"</t>
  </si>
  <si>
    <t>Braz J Anesthesiol</t>
  </si>
  <si>
    <t>Pilot study of the effect of therapeutic photobiomodulation on postoperative pain in knee arthroplasty</t>
  </si>
  <si>
    <t>"Nine participants undergoing primary TKA submitted to spinal anesthesia, sedation, ultrasound-guided obturator and Femoral nerve Block analgesia, and photobiomodulation Therapy (FBMT) were evaluated regarding postoperative pain and morphine consumption. FBMT sessions were performed in the Immediate Postoperative period (IPO) and after 24 hours.
Participants received 16.7±15 mg of morphine up to the third postoperative day. At IPO, mean pain score was 4.8±3.2 and 5.6±3.5, at rest and on movement, respectively."
Comment: No control group</t>
  </si>
  <si>
    <t>Pre-Conditioning and Post-Operative Photobiomodulation Therapy by a Novel Light Patch System for Knee Arthroplasty: A Protocol for a Phase 1 Study.</t>
  </si>
  <si>
    <t>450+
640</t>
  </si>
  <si>
    <t>"PBMT will be applied for 30 min daily for 7 days pre-operatively using a novel light patch system (CareWear®) with both 450 nm (6.75 mW/cm2) and 640 nm (2.25 mW/cm2) microdiodes."
"This study will provide an assessment of feasibility of using PBMT applied using a novel light patch system for management of pain symptoms and swelling, and aiding recovery of patients undergoing TKA. The results of this feasibility study will contribute to planning of the design and methods of a large clinical trial."</t>
  </si>
  <si>
    <t>Lower extremity surgical wounds</t>
  </si>
  <si>
    <t>Perper</t>
  </si>
  <si>
    <t>Blinded, Randomized, Controlled Trial Evaluating the Effects of Light-Emitting Diode Photomodulation on Lower Extremity Wounds Left to Heal by Secondary Intention</t>
  </si>
  <si>
    <t>🧑 Human
🎲 Randomized trial
👥 14 participants</t>
  </si>
  <si>
    <t>"The number of days required for wounds to heal was greater in the treatment group (63.2 ± 12.2 days) than in the control group (48.67 ± 11.1 days), although this difference was not statistically significant (p = .07)."</t>
  </si>
  <si>
    <t>Myelomeningocele repair</t>
  </si>
  <si>
    <t>Pilot study in neonates using low-level laser therapy in the immediate postoperative period of myelomeningocele</t>
  </si>
  <si>
    <r>
      <rPr>
        <sz val="7.0"/>
      </rPr>
      <t xml:space="preserve">🧑 Human
📄 Single-arm trial / historical control
👥 13 participants
</t>
    </r>
    <r>
      <rPr>
        <i/>
        <sz val="7.0"/>
      </rPr>
      <t xml:space="preserve">(Duplicate data)
</t>
    </r>
  </si>
  <si>
    <t>"This pilot study showed a significant decline in dehiscence of surgical wounds in neonates submitted to low-level laser therapy as compared to controls (7.69 versus 17.39%, respectively), demonstrating this is an effective, safe and noninvasive treatment method."
Comment: This paper has the same data as the other Pinto paper from 2010.</t>
  </si>
  <si>
    <t>Pediatr Neurosurg</t>
  </si>
  <si>
    <t>Novel treatment immediately after myelomeningocele repair applying low-level laser therapy in newborns: a pilot study.</t>
  </si>
  <si>
    <t>🧑 Human
📄 Single-arm trial / historical control
👥 13 participants</t>
  </si>
  <si>
    <t>"This pilot study disclosed a significant decline in dehiscences of the surgical wounds in neonates who were submitted to LLLT (7.69 vs. 17.39%)."</t>
  </si>
  <si>
    <t>Plastic surgery</t>
  </si>
  <si>
    <t>Hersant</t>
  </si>
  <si>
    <t>Current indications of low-level laser therapy in plastic surgery: a review.</t>
  </si>
  <si>
    <t xml:space="preserve"> Systematic review:
  - Thirteen studies on animals showed that LLLT had efficacy in the improvement of flap survival.
  -  LLLT seemed to improve chronic burn scars in humans, and acute wound healing in animals.
  - LLLT cannot be considered as a valid therapeutic option for venous ulcers
  - Alopecia: published studies did not show that LLLT had efficacy for this indication
  - Skin aging: only two studies are reported showing that LLLT globally improved aging of skin</t>
  </si>
  <si>
    <t>Skin flap</t>
  </si>
  <si>
    <t>Photobiomodulation in promoting increased Skin Flap Viability: a systematic review of animal studies</t>
  </si>
  <si>
    <t>"Twenty-five studies were selected from 54 original articles that addressed PBMT with low-level laser (LLL) or light-emitting diode (LED) in agreement with the qualifying requirements. Laser parameters varied markedly across studies. 
In the selected studies, the low-level laser in the visible red spectrum was the most frequently utilized PBMT, although the LED PBMT showed a similar improvement in skin-flap necrosis. 
Ninety percent of the studies assessing the outcomes of the effects of PBMT reported smaller areas of necrosis in skin flap. Studies have consistently demonstrated the ability of PBMT to improve skin flap viability in animal models. Evidence suggests that PBMT, through enhancing angiogenesis, vascular density, mast cells, and VEGF, is an effective therapy for decrease necrotic tissue in skin flap surgery."</t>
  </si>
  <si>
    <t>Esteves</t>
  </si>
  <si>
    <t>Photobiomodulation effect in tumoral necrosis factor-alpha(TNF-α) on the viability of random skin flap in rats</t>
  </si>
  <si>
    <t>0-29
7.30</t>
  </si>
  <si>
    <t>"Higher energy doses are more efficacious than lower energy doses for modulating TNF-α expression. PBM with an energy dose of 7.30 J was effective in reducing the expression of TNF-α and increase skin flap viability."</t>
  </si>
  <si>
    <t>Brazil
(Ararangua)</t>
  </si>
  <si>
    <t>Viability of transverse rectus abdominis musculocutaneous flap treated with photobiomodulation and therapeutic ultrasound: an experimental model</t>
  </si>
  <si>
    <t>PBM vs therapeutic ultrasound</t>
  </si>
  <si>
    <t>"The data obtained in this study demonstrated that the both electrophysical agents obtained higher efficacy in maintaining the viability of TRAM [transverse rectus abdominis musculocutaneous flap] in mice. 
In comparison of the groups, the therapeutic ultrasound, when used with a frequency of 1Mhz, in pulsed mode, with 2.0 W/cm2 of intensity, and SATA of 0,4 W/cm2 and PBM 830 nm when used 5 J/cm2, demonstrated higher efficacy in maintaining the viability of TRAM in mice; however, the therapeutic ultrasound has more potential to maintain the viability of the flap."</t>
  </si>
  <si>
    <t>Hamushan</t>
  </si>
  <si>
    <t>Postconditioning With Red-Blue Light Therapy Improves Survival of Random Skin Flaps in a Rat Model</t>
  </si>
  <si>
    <t>Red-blue light (🔴🔵)</t>
  </si>
  <si>
    <t>"The mean percentage of skin flap survival was 59 ± 10% for the control group, 69 ± 7% for the red light group, and 79 ± 9% for the red-blue light group (P &lt; 0.01)."
"This study showed that postconditioning with red-blue light therapy can enhance the survival of random skin flap by improving angiogenesis and NO releasing."</t>
  </si>
  <si>
    <t>Preemptive treatment with photobiomodulation therapy in skin flap viability.</t>
  </si>
  <si>
    <t>3.3
(3p)
12
(3p)</t>
  </si>
  <si>
    <t xml:space="preserve">"In the first experimental period, a greater number of vessels were found, as well as mast cells in GP1 compared to the CG and greater expression of fibroblast growth factor and vascular endothelial growth factor in the GP1 and GP4 groups compared to the CG. 
In the second experimental period, GP1 presented a lower percentage of necrotic tissue, a higher number of vessels and a percentage of cells labeled with both VEGF and hypoxia indicible factor alpha (HIF-1α) compared to the CG, FGF in GP1, GP4 and G4 when compared to the CG."
Groups: CG = control group /// GP1 = preemptive PBM (1.1J / point) /// GP4 = preemptive PBM (4J / point) /// G1 = PBM after surgery (1.1J / point) /// G4 = PBM after surgery (4J / point)
Comment: The GP1 group had a significantly lower necrosis area compared to control group. GP4 and G1 also had a positive trend while G4 showed very similar necrosis compared to control group.
</t>
  </si>
  <si>
    <t>Photobiomodulation with polychromatic light increases zone 4 survival of transverse rectus abdominis musculocutaneous flap.</t>
  </si>
  <si>
    <t>Polychromatic light 🌈
Prevention vs. treatment vs. control</t>
  </si>
  <si>
    <t>0.130
(??)</t>
  </si>
  <si>
    <t>"Application of PBM in polychromatic fashion enhances skin flap survival in experimental TRAM flap model both on preoperative basis as a delay procedure or as a therapeutic approach."
Comment: Parameters were very insufficiently reported. No reporting of time, energy or energy density.</t>
  </si>
  <si>
    <t>Martignano</t>
  </si>
  <si>
    <t>Comparison of two different laser photobiomodulation protocols on the viability of random skin flap in rats.</t>
  </si>
  <si>
    <t>"Group I (GI) was submitted to simulated laser photobiomodulation; group II (GII) was submitted to laser photobiomodulation at three points in the flap cranial base, and group III (GIII) was submitted to laser photobiomodulation at 12 points distributed along the flap."
"GII animals presented a statistically significant decrease for the necrosis area when compared to the other groups, and a statistically significant increase in the quantification of collagen when compared to the control. We did not observe a statistical difference between the TGFβ and FGF expression in the different groups evaluated. The application of laser photobiomodulation at three points of the flap cranial base was more effective than at 12 points regarding the reduction of necrosis area."</t>
  </si>
  <si>
    <t>Effect of 810 nm Near-Infrared Laser on Revascularization of Ischemic Flaps in Rats.</t>
  </si>
  <si>
    <t>11.30</t>
  </si>
  <si>
    <t>"The irradiated flaps showed significantly better flap survival than the control flaps. H&amp;E staining showed that the irradiated flaps had clear tissue structure and little inflammatory cell infiltration. The control flaps demonstrated comparatively worse results. Vascular endothelial growth factor staining showed that the difference in integrated OD between the irradiated flaps and the control flaps was not statistically significant. α-smooth muscle actin and factor VIII staining showed significantly greater numbers of arterioles and capillaries in the irradiated flaps than the control flaps after 4 days of irradiation."
"PBMT with 810 nm NIR laser could enhance ischemic flap revascularization and increase flap viability."</t>
  </si>
  <si>
    <t>Yasunaga</t>
  </si>
  <si>
    <t>Near-Infrared Irradiation Increases Length of Axial Pattern Flap Survival in Rats.</t>
  </si>
  <si>
    <t>1100-
1800</t>
  </si>
  <si>
    <t>"Results: The irradiated side showed elongation of flap survival compared with the nonirradiated side (73.3 ± 11.7 mm vs 67.3 ± 14.9 mm, respectively, P = .03). Conclusions: Near-infrared irradiation increases the survival length of axial pattern flaps in rats."</t>
  </si>
  <si>
    <t>Enhanced survival of ischemic skin flap by combined treatment with bone marrow-derived stem cells and low-level light irradiation.</t>
  </si>
  <si>
    <t>39</t>
  </si>
  <si>
    <t>"LLLI promoted BMSC migration and tube formation. The flap survival rate of combined treated group was significantly higher than that of the control group. Histologic results demonstrated a significant increase in neovascularization in the combined treatment group.
This study demonstrates that combination treatment of BMSCs and LLLI could enhance the survival of ischemic skin flap in a mouse model."</t>
  </si>
  <si>
    <t>Human adipose-derived stem cell spheroid treated with photobiomodulation irradiation accelerates tissue regeneration in mouse model of skin flap ischemia.</t>
  </si>
  <si>
    <t>"The PBM-spheroid hASCs transplanted into the skin flap ischemia differentiated into endothelial cells and remained differentiated. Transplantation of PBM-spheroid hASCs into the skin flap ischemia significantly elevated the density of vascular formations through angiogenic factors released by the skin flap ischemia and enhanced tissue regeneration at the lesion site. Consistent with these results, the transplantation of PBM-spheroid hASCs significantly improved functional recovery compared with PBS, monolayer-cultured hASCs, and not-PBM-spheroid treatment.
These findings suggest that transplantation of PBM-spheroid hASCs may be an effective stem cell therapy for the treatment of skin flap ischemia."</t>
  </si>
  <si>
    <t>Cells Tissues Organs</t>
  </si>
  <si>
    <t>Angiogenic Synergistic Effect of Adipose-Derived Stromal Cell Spheroids with Low-Level Light Therapy in a Model of Acute Skin Flap Ischemia.</t>
  </si>
  <si>
    <t>"Compared with the spheroid group, skin flap healing was enhanced in the spheroid + LLLT group, including the neovascularization and regeneration of skin appendages. The survival of hASCs was enhanced by decreased apoptosis of hASCs in the skin flaps of the spheroid + LLLT group. The secretion of growth factors was stimulated in the spheroid + LLLT group compared with the ASC and spheroid groups. These data suggest that LLLT was an effective biostimulator of spheroid hASCs in the skin flaps, enhancing the survival of hASCs and stimulating the secretion of growth factors."</t>
  </si>
  <si>
    <t>Prevention of skin flap necrosis by use of adipose-derived stromal cells with light-emitting diode phototherapy.</t>
  </si>
  <si>
    <t>These data suggest that LLLT is an effective biostimulator of ASCs in vascular regeneration, which enhances the survival of ASCs and stimulates the secretion of growth factors in skin flaps.</t>
  </si>
  <si>
    <t>Low level laser therapy increases angiogenesis in a model of ischemic skin flap in rats mediated by VEGF, HIF-1α and MMP-2.</t>
  </si>
  <si>
    <t>30
40
30
40</t>
  </si>
  <si>
    <t>"In this study we showed that LLLT may improve the healing of skin flaps by enhancing the amount of new vessels formed in the tissue. Both 660 nm and 780 nm lasers were able to modulate VEGF secretion, MMP-2 activity and HIF-1α expression in a dose dependent manner."</t>
  </si>
  <si>
    <t>Nishioka</t>
  </si>
  <si>
    <t>LED (660 nm) and laser (670 nm) use on skin flap viability: angiogenesis and mast cells on transition line.</t>
  </si>
  <si>
    <t>660
laser
670
LED</t>
  </si>
  <si>
    <t>0.14
0.14
2.49</t>
  </si>
  <si>
    <t>"LED and LLLT with the same total energies were effective in increasing viability of random skin flaps. LED was more effective in increasing the number of mast cells and blood vessels in the transition line of random skin flaps."</t>
  </si>
  <si>
    <t>Effects of 830 and 670 nm laser on viability of random skin flap in rats.</t>
  </si>
  <si>
    <t>2.52</t>
  </si>
  <si>
    <t>"LLLT was effective in increasing random skin flap viability in rats. The 670 nm laser presented more satisfactory results than the 830 nm laser."</t>
  </si>
  <si>
    <t>Esteves Junior</t>
  </si>
  <si>
    <t>Low-level laser irradiation, cyclooxygenase-2 (COX-2) expression and necrosis of random skin flaps in rats.</t>
  </si>
  <si>
    <t>20
100</t>
  </si>
  <si>
    <t>0.71
3.57</t>
  </si>
  <si>
    <t>0.29
7.3
/p</t>
  </si>
  <si>
    <t>10.36
260.7</t>
  </si>
  <si>
    <t>"COX-2 expression was lower in the group irradiated at 7.3 J than in the sham-treated group and the group irradiated at 0.29 J (P &lt; 0.001). Low-level laser therapy was effective in decreasing random skin flap necrosis in rats using a laser energy of 7.30 J per point. Laser irradiation also decreased the expression of COX-2 in the flap pedicle."</t>
  </si>
  <si>
    <t>Low-level laser therapy on the viability of skin flap in rats subjected to deleterious effect of nicotine.</t>
  </si>
  <si>
    <t>0.429</t>
  </si>
  <si>
    <t>"The laser proved to be an effective way to decrease the area of necrosis in rats subjected to nicotine, making them similar to the control group."</t>
  </si>
  <si>
    <t>Effect of low-level laser therapy with output power of 30 mW and 60 mW in the viability of a random skin flap.</t>
  </si>
  <si>
    <t>"LLLT (660 nm) with 30-mW and 60-mW output power was efficient in the increase of skin flap viability, but there was no difference between them."</t>
  </si>
  <si>
    <t>Effect of low-level laser therapy on malondialdehyde concentration in random cutaneous flap viability.</t>
  </si>
  <si>
    <t>"LLLT was effective in increasing the random skin-flap viability in rats, and the 670 nm laser was efficient in reducing the MDA concentration."</t>
  </si>
  <si>
    <t>Influence of the use of laser phototherapy (lambda660 or 790 nm) on the survival of cutaneous flaps on diabetic rats.</t>
  </si>
  <si>
    <t>Diabetic rat
Wavelength comparison</t>
  </si>
  <si>
    <t>660 (?)
790</t>
  </si>
  <si>
    <t>40 or 2.5
?</t>
  </si>
  <si>
    <t>"LPT was effective in increasing angiogenesis as seen on irradiated subjects and was more pronounced when IR laser light was used."
"Necrosis was more evident for [red light group]"</t>
  </si>
  <si>
    <t>Low-level laser therapy (670 nm) on viability of random skin flap in rats.</t>
  </si>
  <si>
    <t>3
6
12
24</t>
  </si>
  <si>
    <t>"Our study showed that the 670 nm laser was efficient to increase the viability of the skin flap, at all fluences used, with a tendency of reaching better results at higher doses."</t>
  </si>
  <si>
    <t>Effect of application site of low-level laser therapy in random cutaneous flap viability in rats.</t>
  </si>
  <si>
    <t>"The diode laser was effective in increasing skin flap viability in rats, and laser irradiation of a point 2.5 cm from the cranial base flap was found to be the most effective."</t>
  </si>
  <si>
    <t>The effects of 660 nm and 780 nm laser irradiation on viability of random skin flap in rats.</t>
  </si>
  <si>
    <t>"Control group showed a necrotic area of 62.83%. Interestingly, no statistically significant differences were found among the treated groups and the control group."
"This present study showed that 660 nm and 780 nm lasers at doses of 30 and 40 J/cm(2) were not effective for decreasing the necrotic area of the skin flaps in rats."</t>
  </si>
  <si>
    <t>Mittermayr</t>
  </si>
  <si>
    <t>Mol Med</t>
  </si>
  <si>
    <t>Blue laser light increases perfusion of a skin flap via release of nitric oxide from hemoglobin</t>
  </si>
  <si>
    <t>Blue light 🔵
Nitric oxide</t>
  </si>
  <si>
    <t>blue</t>
  </si>
  <si>
    <t>"Systemic infusion of NO-Hb in rats affected neither systemic circulation (mean arterial pressure) nor local tissue perfusion (Doppler blood flow imaging system.
In contrast, a clear enhancement of local tissue perfusion was observed in epigastric flap when elevated NO-Hb levels in blood were combined with local He-Cd laser irradiation focused on the left epigastric artery. 
The enhancement of regional tissue perfusion was not accompanied by any detectable changes in systemic circulation. 
This study demonstrates that blue laser irradiation improves local tissue perfusion in a controlled manner stimulating NO release from NO-Hb complexes."</t>
  </si>
  <si>
    <t>Experimental model for low level laser therapy on ischemic random skin flap in rats</t>
  </si>
  <si>
    <t>"Group 1 reached an average necrotic area of 48.86%, Group 2 - 23.14%. After the statistic analysis, compared with the control group, Group 2 showed a statistically significant increase in survival area (p&lt;0.001)."</t>
  </si>
  <si>
    <t>Pinfildi</t>
  </si>
  <si>
    <t>Helium-neon laser in viability of random skin flap in rats.</t>
  </si>
  <si>
    <t>"The He-Ne laser irradiation was efficient to increase random skin flap viability in rats."</t>
  </si>
  <si>
    <t>Kubota J</t>
  </si>
  <si>
    <t>Japan
(Mitaka City)</t>
  </si>
  <si>
    <t>Effects of diode laser therapy on blood flow in axial pattern flaps in the rat model.</t>
  </si>
  <si>
    <t>185</t>
  </si>
  <si>
    <t>"LSF demonstrated significant increased blood flow in the flaps at 5 and 10 min postirradiation in all experimental groups compared with the control animals. At five days postirradiation, there was significantly better survival of the flaps in all the experimental groups compared with the controls ( p&lt;0.01), but no significant difference was seen between any of the experimental groups.
We conclude that laser therapy increases the blood flow and perfusion of transferred flaps, and that this has significant effects on the survival of the flaps. One possible mechanism of modulation of the autonomic nervous system is discussed."</t>
  </si>
  <si>
    <t>Amir</t>
  </si>
  <si>
    <t>Br J Plast Surg</t>
  </si>
  <si>
    <t>The influence of helium-neon laser irradiation on the viability of skin flaps in the rat.</t>
  </si>
  <si>
    <t>2.9</t>
  </si>
  <si>
    <t>"In conclusion, postoperative low-energy (2.9 J/cm(2)) He-Ne laser irradiation of the expected ischaemic zone of the rat flap can enlarge the surviving area. Irradiation of the whole expected ischaemic zone seems to be superior to irradiating the transition zone alone."
Note: Rick J. Smith published a short comment on this paper... A caption:
"The helium-neon laser is probably not injurious to tissues, and it gives you something to do while you are waiting for necrotic tissue to demarcate. However, before you can infer that it is beneficial to wound healing, you need a much better model!"</t>
  </si>
  <si>
    <t>Kubota &amp; Ohshiro</t>
  </si>
  <si>
    <t>The effects of diode laser lllt on flap survival: measurement of flap microcirculation with laser speckle flowmetry</t>
  </si>
  <si>
    <t>"It was concluded that GaAlAs diode LLLT increased early perfusion of the experimental flaps, thereby possibly accelerating early stage wound repair while at the same time controlling the inflammatory response, thus giving the irradiated flaps a better and earlier ‘take’."
Comment: The photograph shows only the device (not the irradiation process), but it's interesting.</t>
  </si>
  <si>
    <t>Smith</t>
  </si>
  <si>
    <t>USA
(Grand Rapids, MI)</t>
  </si>
  <si>
    <t>The effect of low-energy laser on skin-flap survival in the rat and porcine animal models.</t>
  </si>
  <si>
    <t>🐀 Rat
🐖 Pig</t>
  </si>
  <si>
    <t>"No beneficial effect was seen with low-energy laser preoperative and postoperative treatment of skin flaps in the rat and porcine models."</t>
  </si>
  <si>
    <t>Kami</t>
  </si>
  <si>
    <t>Effects of low-power diode lasers on flap survival.</t>
  </si>
  <si>
    <t>"The survival area was increased significantly in both groups receiving laser therapy, probably due to the observed proliferation of blood vessels around the irradiated points and an increase in blood flow."</t>
  </si>
  <si>
    <t>TRAM flap</t>
  </si>
  <si>
    <t>Photobiomodulation laser and pulsed electrical field increase the viability of the musculocutaneous flap in diabetic rats.</t>
  </si>
  <si>
    <t>Diabetic rats
Dose response</t>
  </si>
  <si>
    <t>0.27
3.9</t>
  </si>
  <si>
    <t>10
140</t>
  </si>
  <si>
    <t>9
130</t>
  </si>
  <si>
    <t>"Laser 660 nm, fluence 140 J/cm2 (3.9 J) showed better results than the 10 J/cm2 (0.27 J) related to reduction of the area of necrosis and the number of leukocytes, increased mast cells, increased thickness of the epidermis, increased vascular endothelial growth factor, increased fibroblast growth factor and increase of newly formed blood vessels in diabetic animals.
The laser and pulsed electrical field increase the viability of the musculocutaneous flap in diabetic rats."</t>
  </si>
  <si>
    <t>Laser photobiomodulation (830 and 660 nm) in mast cells, VEGF, FGF, and CD34 of the musculocutaneous flap in rats submitted to nicotine.</t>
  </si>
  <si>
    <t>"PBM with a wavelength of 830 nm increased the viability of the TRAM flap, with a smaller area of necrosis, increased number of mast cells, and higher expression of VEGF and CD34. PBM increases the viability of musculocutaneous flaps treated with to nicotine."
Note: The photograph quality is low.</t>
  </si>
  <si>
    <t>What is better in TRAM flap survival: LLLT single or multi-irradiation?</t>
  </si>
  <si>
    <t>"LLLT at energy densities of 6 to 144 J/cm(2) was efficient to increase angiogenesis and VEGF levels and promote viability in TRAM flaps in rats."</t>
  </si>
  <si>
    <t>Effect of low-level laser therapy on mast cells in viability of the transverse rectus abdominis musculocutaneous flap.</t>
  </si>
  <si>
    <t>"LLLT at a wavelength of 670 nm was effective at reducing the necrotic area, and we found that it can stimulate mast cells growth to increase vascular perfusion."</t>
  </si>
  <si>
    <t>Rhinoplasty</t>
  </si>
  <si>
    <t>Karimi</t>
  </si>
  <si>
    <t>Effect of Photobiomodulation on Ecchymosis after Rhinoplasty: A Randomized Single-Blind Controlled Trial.</t>
  </si>
  <si>
    <t>🧑 Human
🎲 Randomized trial, sham-controlled
👥 60 participants
⌛ single treatment -&gt; 6-day follow-up</t>
  </si>
  <si>
    <t>660+
830+
840</t>
  </si>
  <si>
    <t>1800
(session)</t>
  </si>
  <si>
    <t>"Moreover, ecchymosis was compared between the two groups as well. The low-power laser group had significantly better outcomes according to ecchymosis grading (p = 0.005* ) (Table 3)."
Comment: No difference between pain (VAS) coutcomes between the groups.</t>
  </si>
  <si>
    <t>Device: "portable BioFlex Laser Therapy system (Toronto, Canada)"</t>
  </si>
  <si>
    <t>Syndromes</t>
  </si>
  <si>
    <t>Gulf War Illness</t>
  </si>
  <si>
    <t>Photobiomodulation for Gulf War Illness?</t>
  </si>
  <si>
    <t>Martin</t>
  </si>
  <si>
    <t>Transcranial Photobiomodulation to Improve Cognition in Gulf War Illness</t>
  </si>
  <si>
    <t>🧑 Human
🎲 Randomized trial, double-blind
👥 48 participants
⌛ 7.5-week treatment -&gt; 1-month follow-up</t>
  </si>
  <si>
    <t>(many devices used simult.)
(see full text)</t>
  </si>
  <si>
    <t>15
/ 7.5 weeks</t>
  </si>
  <si>
    <t>"This study was underpowered (n = 48), with large heterogeneity at Entry. This likely contributed to significance or trend to significance, for only two of the NP tests (Digit Span Forwards; Trails 4, Number/Letter Sequencing) and only one general health measure, the SF-36V Plus, Physical Component Score. More subjects receiving Real, self-reported increased concentration, relaxation and sleep."
"Controlled studies with newer, transcranial LED home treatment devices are warranted; this is expected to increase enrollment."
Note: Multiple devices were used simultaneously in this study.</t>
  </si>
  <si>
    <t>Devices: "Treatments were administered using three types of LED devices, simultaneously at each visit – this included (1) an LED-lined helmet (Photomedex or Thor); (2) LED cluster heads for ear placements (except when the larger, Thor helmet was used which covered the ears); and (3) two intranasal LED applicators."
Device (helmet): "NIR LED-lined helmet was manufactured by PhotoMedex, Inc., Horsham, PA (Figures 2A,B); or by Thor Photomedicine, Inc., London, UK; Hampstead, MD (Figures 2F,G)."
Device (cluster heads): "Two NIR LED cluster heads (each, 2-inch diameter) were manufactured by MedX Health, Mississauga, ON, Canada"
Device (intranasal): "Two intranasal LEDs (red and NIR single-diode applicators) were manufactured by Vielight, Inc., Toronto, Canada; Hayward, CA"</t>
  </si>
  <si>
    <t>Mil Med</t>
  </si>
  <si>
    <t>Improvements in Gulf War Illness Symptoms After Near-Infrared Transcranial and Intranasal Photobiomodulation: Two Case Reports.</t>
  </si>
  <si>
    <t>🧑 Human
📄 Case series
👥 2 cases
⌛ 12 weeks</t>
  </si>
  <si>
    <t>0.025
intra
nasal
0.075
anterior
0.100
posterior</t>
  </si>
  <si>
    <t>"This report describes the first documentation of improved GWI symptoms in two GW veterans following 12 weeks of PBM treatments."</t>
  </si>
  <si>
    <t>Device: Vielight Neuro Alpha</t>
  </si>
  <si>
    <t>Gordon &amp; Johnstone</t>
  </si>
  <si>
    <t>Remote photobiomodulation: an emerging strategy for neuroprotection.</t>
  </si>
  <si>
    <t>Heart &amp; Brain</t>
  </si>
  <si>
    <t>Photobiomodulation Therapy of Cells in the Bone Marrow: A Novel Therapeutic Approach in Cell Therapy and Regenerative Medicine.</t>
  </si>
  <si>
    <t>"Application of rPBMT to the BM to photobiostimulate stem cells for the benefit of the infarcted heart seems to be a safe procedure for application in humans, and offers a novel approach in cell therapy adjunctive to the PPCI in patients post-AMI"</t>
  </si>
  <si>
    <t>A pilot study on the effects of transcutaneous and transmucosal laser irradiation on blood pressure, glucose and cholesterol in women</t>
  </si>
  <si>
    <t>🧑 Human
🎲 Randomized trial
👥 36 participants</t>
  </si>
  <si>
    <t>PBM: radial artery vs sublingual vs intranasal radiation</t>
  </si>
  <si>
    <t>"The results of the present study indicate that ILIB can be safely used as an adjunct method to regulate blood pressure (systolic and diastolic), glucose, triglycerides and cholesterol (total, LDL and HDL). The results of the present study have clearly demonstrated that, independently of irradiation route (either transcutaneous or transmucosal), laser therapy with wavelengths within the visible spectrum (606 nm) are capable to facilitate patients to achieve homeostasis."
"Despite these promising results, the results of the present study also indicate the need for additional studies (I) focused on the elucidation of the mechanisms of action by which photophysical effects are modulating biochemical reactions in humans, and (II) to determine the longitudinal (6 months–1 year) effects of ILIB."</t>
  </si>
  <si>
    <t>Salmon health</t>
  </si>
  <si>
    <t>Murzina</t>
  </si>
  <si>
    <t>Russia
(Petrozavodsk)</t>
  </si>
  <si>
    <t>The Effects of Low-Level Helium-Neon (He-Ne) Laser Irradiation on Lipids and Fatty Acids, and the Activity of Energetic Metabolism Enzymes and Proteome in the Blastula Stage and Underyearlings of the Atlantic Salmon Salmo salar: A Novel Approach in Salmonid Restoration Procedures in the North</t>
  </si>
  <si>
    <t>Atlantic salmon</t>
  </si>
  <si>
    <t>"Low mortality rates of eggs were determined during embryogenesis, as well as increased weight gain and lower morality rates of underyearlings in the experimental group. 
This is confirmed by changes in a number of interrelated indicators of lipid metabolism: a decrease in total lipids content, including diacylglycerols, triacylglycerols, cholesterol esters, and the phospholipids content remained unchanged. 
The embryos in the blastula stage (experimental group) had higher aerobic capacity and an increase in pentose phosphate pathway activity."</t>
  </si>
  <si>
    <t>Effects of the invasive and non-invasive systemic photobiomodulation using low-level laser in experimental models: A systematic review</t>
  </si>
  <si>
    <t>"[N]ine articles were included in the present review for the critical evaluation of the effectiveness of systemic PBM with low-level laser in the treatment of experimental (animal) models."
"Among the studies included in this review, non-invasive VPBM was the modality of choice for animal models in which the effect of light on blood circulation was evaluated, with positive effects reported regarding blood pressure control [33], blood flow [31], and a reduction in hypotension-induced oxidative stress [30]."
"The studies included in the present review showed the effects of ILIB on circulatory enzyme markers in animal models of diabetes [29] and peripheral nerve injury [32]. Moreover, non-invasive VPBM achieved positive effects on erythrocyte structure and the circulatory system in a hypercholesterolemia model [41]."
"The studies selected for the present review showed that systemic PBM using either the invasive ILIB or non-invasive VPBM modality is able to modulate different systems and processes, with pronounced effects on blood circulation, blood pressure control, blood flow as well as a reduction in hypotension-induced oxidative stress and circulatory enzyme markers in animal models of diabetes, peripheral nerve injury and hypercholesterolemia. Effects were found on the structure of erythrocytes, the circulatory system as well as skin and muscle tissue repair processes."</t>
  </si>
  <si>
    <t>Targeting the body to protect the brain: inducing neuroprotection with remotely-applied near infrared light.</t>
  </si>
  <si>
    <t>Alzheimer's disease</t>
  </si>
  <si>
    <t>"In practical terms, the indirect protective effects of NIr were an unexpected bonus to the value of direct NIr irradiation, for they overcome the problem of tissue penetration, currently a major barrier to the clinical application of light-based therapies to brain disorders."</t>
  </si>
  <si>
    <t>Evaluation of corticosterone and IL-1β, IL-6, IL-10 and TNF-α expression after 670-nm laser photobiomodulation in rats.</t>
  </si>
  <si>
    <t>Corticosterone
Cytokines</t>
  </si>
  <si>
    <t>"At 6 h after surgery, a significant increase in corticosterone and a significant reduction in the levels of IL-1β and IL-6 in tissues of irradiated wounds were observed when compared to controls (p &lt; 0.05). The levels of TNF-α and IL-10 expression were not significantly different between the groups at different time intervals.
Thus, this study strongly suggests a systemic and local biomodulation of low-level laser therapy as indicated by the blood levels of corticosterone and the tissue expression of IL-1β and IL-6, respectively."</t>
  </si>
  <si>
    <t>Tendons</t>
  </si>
  <si>
    <t>Shriya</t>
  </si>
  <si>
    <t>Effectiveness of Low-Level Laser Therapy Combined With Eccentric Exercise in Treating Midportion Achilles Tendinopathy: A Randomized Controlled Trial</t>
  </si>
  <si>
    <t>🧑 Human
🎲 Randomized trial, sham-controlled
👥 60 participants
⌛ 8-week treatment / 24-week study</t>
  </si>
  <si>
    <t>5 cm2 beam area
(10 spots of 0.5 cm2)</t>
  </si>
  <si>
    <t>2/week for 4 weeks 
--&gt;
then 1/week for 4 weeks</t>
  </si>
  <si>
    <t>"Both groups showed significant improvement in VISA-A and VAS scores over time (p &lt; 0.001), but there was no statistically significant difference between the groups at any time point (p &gt; 0.05)."
Comment: Control group reveiced visible red light ("placebo LLLT was given for two minutes using a dummy red light shining out of the end of the laser probe, visible on the skin"). No parameters reported. In some situations, this kind of methodology can be problematic because visible red light may also be an active treatment with beneficial effects on the symptoms.</t>
  </si>
  <si>
    <t>Tenforde</t>
  </si>
  <si>
    <t>BMJ Open Sport Exerc Med</t>
  </si>
  <si>
    <t>Research protocol to evaluate the effectiveness of shockwave therapy, photobiomodulation and physical therapy in the management of non-insertional Achilles tendinopathy in runners: a randomised control trial with elective cross-over design</t>
  </si>
  <si>
    <t>Arch Rehabil Res Clin Transl</t>
  </si>
  <si>
    <t>Photobiomodulation Associated With Conservative Treatment for Achilles Tendon Rupture: A Double-Blind, Superiority, Randomized Controlled Trial</t>
  </si>
  <si>
    <t>🧑 Human
🎲 Randomized trial
👥 34 participants
⌛ 12-week treatment -&gt; 4-week follow-up</t>
  </si>
  <si>
    <t>658+
858+
904</t>
  </si>
  <si>
    <t>"There were no significant differences in outcomes between the 2 groups (P&gt;.05) except in pain during walking, which was significantly lower in the PBMG in week 12 (P&lt;.01, effect size=0.56) and week 16 (P&lt;.01, effect size=0.55)."</t>
  </si>
  <si>
    <t>☹
📷</t>
  </si>
  <si>
    <t>Achilles tendon (+ tibial nerve)</t>
  </si>
  <si>
    <t>Effect of electrophysical resources on healing of neurotendinous injury in an experimental model of type I diabetes and kidney disease</t>
  </si>
  <si>
    <t>Injury of achilles tendon and tibial nerve in animals with diabetic kidney injury
PBM vs ILIB vs cryotherapy</t>
  </si>
  <si>
    <t>808
LLLT
660
ILIB</t>
  </si>
  <si>
    <t>100
100</t>
  </si>
  <si>
    <t>3
36</t>
  </si>
  <si>
    <t>30
360</t>
  </si>
  <si>
    <t>"Cryotherapy promoted reduction in inflammatory exudate and organization of collagen fibers, in addition to the absence of signs of tissue necrosis, in the groups treated with and without the disease.
ILIB therapy showed reduction in inflammatory exudate and organization of collagen fibers, in addition to the absence of signs of tissue necrosis in the group of sick animals. The animals in this group also showed significant reduction in glycemic levels during treatment.
The application of LLLT showed increased inflammatory exudate, low organization of collagen fibers and low sign of tissue degeneration and necrosis."
Comment: Somewhat poorly written and hard-to-understand paper with typographic errors in figures etc...</t>
  </si>
  <si>
    <t>Júnior</t>
  </si>
  <si>
    <t>Brazil
(Fonseca)</t>
  </si>
  <si>
    <t>Treatment of partial injury of the calcaneus tendon with heterologous fibrin biopolymer and/or photobiomodulation in rats</t>
  </si>
  <si>
    <t>0.23</t>
  </si>
  <si>
    <t>"The findings suggest that the HFB and PBM treatments, isolated or associated, were effective in reducing the volume of the edema, stimulating the repair process. However, the use of HFB alone was more effective in promoting the tendon repair process."</t>
  </si>
  <si>
    <t>Akamatsu</t>
  </si>
  <si>
    <t>Photobiomodulation therapy increases collagen II after tendon experimental injury</t>
  </si>
  <si>
    <t>3/
wk</t>
  </si>
  <si>
    <t>"PBM effectively interferes in tendon tissue repair after injury by stimulating mesenchymal cell proliferation and the synthesis of collagen type II, which is suggested to provide structural support to the interstitial tissues during the healing process of the Achilles tendon."</t>
  </si>
  <si>
    <t>Evangelista</t>
  </si>
  <si>
    <t>Brazil
(Diamandina)</t>
  </si>
  <si>
    <t>Photobiomodulation therapy on expression of HSP70 protein and tissue repair in experimental acute Achilles tendinitis</t>
  </si>
  <si>
    <t>"PBM therapy increased the expression of the HSP70, number of fibroblasts, and amount of collagen in the acute Achilles tendinitis in rats."</t>
  </si>
  <si>
    <t>Effect of Low Intensity Photobiomodulation Associated With Norbixin-Based Poly (Hydroxybutyrate) Membrane on Post-Tenotomy Tendon Repair. In Vivo Study</t>
  </si>
  <si>
    <t>"The histological analysis showed a significant reduction in inflammatory cells in the ML1, ML2 and ML3 groups (p=0.0056, p=0.0018 and p&lt;0.0001, respectively) compared to those in the LED group. There was greater proliferation of fibroblasts in the ML1 (p&lt;0.0001) and L3 (p&lt;0.0001) groups. A higher concentration of type I collagen was also observed in the ML1 group (p=0.0043) replacing type III collagen."
Comment: There is no negative control group in this study.</t>
  </si>
  <si>
    <t>Martimbianco</t>
  </si>
  <si>
    <t>Photobiomodulation with low-level laser therapy for treating Achilles tendinopathy: a systematic review and meta-analysis.</t>
  </si>
  <si>
    <t>Four trials (119 participants) were analyzed.
Laser therapy associated to eccentric exercises when compared to eccentric exercises and sham had very low to low certainty of evidence in pain and function assessment. Despite one trial favored laser therapy at two months (mean difference (MD) -2.55, 95% confidence interval (95% CI) -3.87 to -1.23), the CIs did not include important differences between groups at 3 and 13 months.
The function assessment showed an improvement favoring the placebo group at one month (MD 9.19, 95% CI -16.16 to -2.23) and non-significant difference between groups at 3 and 13 months. 
Adverse events were poorly reported but restricted to minor events related to the exercises.</t>
  </si>
  <si>
    <t>Lopes Silva</t>
  </si>
  <si>
    <t>Systematic review of Photobiomodulation Therapy (PBMT) on the experimental calcaneal tendon injury in rats.</t>
  </si>
  <si>
    <t>" A total of 225 studies were found based on the descriptors used, and only 33 studies were eligible.
Light parameters identified per point of irradiation were approximately 60 mW (continuous mode at infrared spectra), 2 W/cm2 , 2 J and 45 J/cm2 .
Light parameters at red spectra, continuous versus pulsed mode, PBMT combined or compared with other therapies such as ultrasound, and studies using unhealthy rats (ovariectomized and/or diabetic models) were also identified and grouped according these similarities.
The main effects found were decreased inflammatory markers and signs of inflammatory process. PBMT (laser/LED) has positive effects in reducing the inflammatory and time for tissue repair in animal models of tendon injury and/or tendinitis using parameters identified."</t>
  </si>
  <si>
    <t>Locke</t>
  </si>
  <si>
    <t>USA
(Newark, DE)</t>
  </si>
  <si>
    <t>J Orthop Res</t>
  </si>
  <si>
    <t>Photobiomodulation Does Not Influence Maturation and Mildly Improves Functional Healing of Mouse Achilles Tendons.</t>
  </si>
  <si>
    <t>810+
980
810+
980</t>
  </si>
  <si>
    <t>0.030
0.300</t>
  </si>
  <si>
    <t>"During maturation and healing, collagen alignment, cell number, and nuclear shape were unaffected by chronic PBM therapy."
"We found a sex-dependent effect of PBM therapy during healing on mechanical outcomes (e.g., increased stiffness and Young's modulus for PBM-treated females, and increased strain at ultimate stress for PBM-treated males). Mitochondria-related gene expression was marginally influenced by PBM therapy for both maturation and healing studies."</t>
  </si>
  <si>
    <t>Corrigan</t>
  </si>
  <si>
    <t>Transl Sports Med</t>
  </si>
  <si>
    <t>Immediate effect of photobiomodulation therapy on Achilles tendon morphology and mechanical properties: an exploratory study.</t>
  </si>
  <si>
    <t>🧑 Human
🎲 Randomized trial
Self-controlled</t>
  </si>
  <si>
    <t>PBM safety on achilles tendons</t>
  </si>
  <si>
    <t>67.5
cm2
treatment
area</t>
  </si>
  <si>
    <t>"When treated with a laser-induced PBM treatment, healthy and pathologic Achilles tendons do not have immediate (within 4 hours) changes in tendon morphology or mechanical properties. These findings suggest that PBM therapy can be administered before other clinical treatments or high-load activities."</t>
  </si>
  <si>
    <t>Fernandes de Jesus</t>
  </si>
  <si>
    <t>Photobiomodulation of Matrix Metalloproteinases in Rat Calcaneal Tendons.</t>
  </si>
  <si>
    <t>10
/d</t>
  </si>
  <si>
    <t>"MP-3 levels remained close to normal in all experimental groups (p &gt; 0.05); however, reductions (p &lt; 0.05) in MMP-1 and MMP-13 levels were detected in the groups submitted to one, three, and seven low level laser therapy applications."
"The photobiomodulation protocol was able to reduce MMP-1 and MMP-13 levels in injured calcaneal tendons."</t>
  </si>
  <si>
    <t>Effects of Therapy with Light Emitting Diode (LED) in the Calcaneal Tendon Lesions of Rats: A Literature Review.</t>
  </si>
  <si>
    <t>"After application of eligibility criteria 8 works were selected, in which positive results were found after the application of the LED. Regarding the main results found with phototherapy, we observed a significant reduction in inflammation. Only one article mentioned little reduction of inflammation. In relation to the number of sessions, there was wide variation, with an average of approximately 5 sessions every 24 hours. 
Studies in this review pointed out, therefore, positive results in the repair of the calcaneal tendon after therapy with irradiation LED; however, carrying out more experimental studies that help the standardization of parameters to be used in this therapy for further clinical studies becomes necessary."</t>
  </si>
  <si>
    <t>Lucke</t>
  </si>
  <si>
    <t>Low-level laser and adipose-derived stem cells altered remodelling genes expression and improved collagen reorganization during tendon repair.</t>
  </si>
  <si>
    <t>"Transplanted ASCs migrated to the transected region, and all treatments altered the remodelling genes expression. The LLL was the most effective in the collagen reorganization, followed by its combination with ASCs."</t>
  </si>
  <si>
    <t>Brazil 
(Natal)</t>
  </si>
  <si>
    <t>Effect of photobiomodulation and exercise on early remodeling of the Achilles tendon in streptozotocin-induced diabetic rats.</t>
  </si>
  <si>
    <t>"Their results suggest a beneficial interaction of combining both treatment strategies i.e., aerobic exercise and LPBM, on the biomechanical properties, tissue morphology and the expression of matrix molecules in diabetic tendons."</t>
  </si>
  <si>
    <t>Comparison of Photobiomodulation and Anti-Inflammatory Drugs on Tissue Repair on Collagenase-Induced Achilles Tendon Inflammation in Rats.</t>
  </si>
  <si>
    <t>PBM vs diclofenac &amp; dexamethasone</t>
  </si>
  <si>
    <t>"Diclofenac and dexamethasone reduced inflammatory signs during the first 2 days, although there was prolongation of the inflammatory phase and slower normalization of tendon quality, particularly in the dexamethasone group. LLLT prevented hemorrhage, reduced inflammation severity, and preserved tendon morphology compared with the other groups."
"LLLT showed a significant superiority over commonly used anti-inflammatory pharmaceutical agents in acute collagenase-induced tendinitis."</t>
  </si>
  <si>
    <t>Photobiomodulation for Achilles Tendinopathy.</t>
  </si>
  <si>
    <t>Effects of low-level laser therapy on the modulation of tissue temperature and hyperalgesia following a partial Achilles tendon injury in rats.</t>
  </si>
  <si>
    <t>Pain &amp; tissue temperature</t>
  </si>
  <si>
    <t>1.4
2.1</t>
  </si>
  <si>
    <t>50
75</t>
  </si>
  <si>
    <t>28
42</t>
  </si>
  <si>
    <t>"LLLT at a wavelength of 808 nm and dose of 2.1 J administered immediately following a partial injury to the Achilles tendon led to a reduction in tissue temperature and hyperalgesia at the injury site in rats, especially 48 hours after injury."</t>
  </si>
  <si>
    <t>Low-Level Laser Therapy and Cryotherapy as Mono- and Adjunctive Therapies for Achilles Tendinopathy in Rats.</t>
  </si>
  <si>
    <t>Tendon injury</t>
  </si>
  <si>
    <t>"Our results demonstrate that cryotherapy in combination with LLLT can produce an anti-inflammatory "add-on" effect."
"The order of therapy administration seems essential, as superior histology and biomechanical results were found in the cryotherapy first/LLLT group."</t>
  </si>
  <si>
    <t>Tumilty</t>
  </si>
  <si>
    <t>Photobiomodulation and eccentric exercise for Achilles tendinopathy: a randomized controlled trial.</t>
  </si>
  <si>
    <t>🧑 Human
🎲 Randomized trial
👥 80 participants
⌛ 4-week PBM treatment / 12-week study</t>
  </si>
  <si>
    <t>⚔ Groups:
- Exercise 1 + PBM
- Exercise 2 + PBM
- Exercise 1 + sham
- Exercise 2 + sham</t>
  </si>
  <si>
    <t>980+
810</t>
  </si>
  <si>
    <t>8
/.4 weeks</t>
  </si>
  <si>
    <t>LLLT seemed to improve the benefits of exercise, but only in the group which had exercise sessions only twice a week.</t>
  </si>
  <si>
    <t>Device (laser): "Lightforce EX unit (Litecure LLC, Newark, NJ, USA)"</t>
  </si>
  <si>
    <t>Mårdh &amp; Lund</t>
  </si>
  <si>
    <t>Sweden (Stockholm)</t>
  </si>
  <si>
    <t>High Power Laser for Treatment of Achilles Tendinosis - a Single Blind Randomized Placebo Controlled Clinical Study.</t>
  </si>
  <si>
    <t>🧑 Human
🎲 Randomized trial, sham-controlled
👥 40 participants
⌛ 3-5 week treatment / 8-12 week study</t>
  </si>
  <si>
    <t>520
(10 points)</t>
  </si>
  <si>
    <t>0.78 cm2 spot size</t>
  </si>
  <si>
    <t>6
/ 3-5 weeks</t>
  </si>
  <si>
    <t>"The between group difference were significant in four of nine questions regarding loading activities of the FAOS subscale. Assessed pain thresholds were found increased in the HPLT group, as compared to the placebo HPLT group. At individual level, the results varied."
"The results indicate that HPLT may provide a future option for treatment of Achilles tendinosis related pain, but further studies are warranted."</t>
  </si>
  <si>
    <t>Device: "a new laser treatment technique, high power laser treatment (HPLT) (Swiss DynaLaser®)"
Application: "Skin contact, slight pressure on 10 points on each side over painful area"</t>
  </si>
  <si>
    <t>Da Ré Guerra</t>
  </si>
  <si>
    <t>Low-level laser therapy modulates pro-inflammatory cytokines after partial tenotomy.</t>
  </si>
  <si>
    <t>16
(CW)
32
(P)</t>
  </si>
  <si>
    <t>"Our results showed that the pulsed LLLT seems to exert an anti-inflammatory effect over injured tendons, with reduction of the release of proinflammatory cytokines, such as TNF-α and the decrease in the i-NOS activity. Thanks to the pain reduction and the facilitation of movement, there was a stimulation in the TGF-β and IL-1β release.
In conclusion, we believe that pulsed LLLT worked effectively as a therapy to reestablish the tendon integrity after rupture."</t>
  </si>
  <si>
    <t>Photobiomodulation therapy on collagen type I and III, vascular endothelial growth factor, and metalloproteinase in experimentally induced tendinopathy in aged rats.</t>
  </si>
  <si>
    <t>Collagenase-induced tendinopathy</t>
  </si>
  <si>
    <t>"Our findings indicate that PBMT may lead to the improvement and acceleration of inflammation when compared to tendinopathy aged group."</t>
  </si>
  <si>
    <t>Helrigle</t>
  </si>
  <si>
    <t>Effects of low-intensity non-coherent light therapy on the inflammatory process in the calcaneal tendon of ovariectomized rats.</t>
  </si>
  <si>
    <t>0.032
(?)</t>
  </si>
  <si>
    <t>120
/p
(3p)</t>
  </si>
  <si>
    <t>"It was concluded that low-intensity LED treatment using the parameters and wavelength of 945 nm in the time periods studied reduced the release of IL-6 and TNF-α and increased the release of IL-10, thereby improving the inflammatory response in OVX rats."</t>
  </si>
  <si>
    <t>Low-Level Laser Therapy (780 nm) on VEGF Modulation at Partially Injured Achilles Tendon.</t>
  </si>
  <si>
    <t>LLLT did not stimulate the expression of VEGF in the treated Achilles tendons.</t>
  </si>
  <si>
    <t>The effects of laser treatment in tendinopathy: a systematic review.</t>
  </si>
  <si>
    <t>"After the analysis, we selected three articles that showed that the use of low-level laser therapy, compared to placebo, is effective in treatment of tendinopathy. Despite the need for more studies about this theme, the low-level laser therapy demonstrates consistent results in the treatment of tendinopathy."</t>
  </si>
  <si>
    <t>Moura Júnior Mde</t>
  </si>
  <si>
    <t>Assessing the biochemical changes of tendons of rats in an experimental model of tenotomy under therapeutic ultrasound and LEDs (625 and 945 nm) by near-infrared Raman spectroscopy.</t>
  </si>
  <si>
    <t>Tenotomy
LED phototherapy
Wavelength comparison</t>
  </si>
  <si>
    <t>625
945</t>
  </si>
  <si>
    <t>"LED therapy at 625 nm showed an increase in collagen synthesis, contributing to the process of tendon healing."</t>
  </si>
  <si>
    <t>Torres-Silva</t>
  </si>
  <si>
    <t>The low level laser therapy (LLLT) operating in 660 nm reduce gene expression of inflammatory mediators in the experimental model of collagenase-induced rat tendinitis.</t>
  </si>
  <si>
    <t>Collagenase-induced tendinitis</t>
  </si>
  <si>
    <t>"The laser irradiation (660 nm, 100 mW, 3 J) used in the treatment of the tendinitis induced by collagenase in Achilles tendon in rats was effective in the reduction of important pro-inflammatory markers such as IL-6 and TNF-α, becoming a promising tool for the treatment of tendon diseases."</t>
  </si>
  <si>
    <t>Achilles Tendon Vascularization of Proximal, Medial, and Distal Portion Before and After Partial Lesion in Rats Treated with Phototherapy.</t>
  </si>
  <si>
    <t>Vascularization
Wavelength comparison</t>
  </si>
  <si>
    <t>"Low-level laser therapy (LLLT) had no effect on the studied parameters."</t>
  </si>
  <si>
    <t>Low-level laser therapy in IL-1β, COX-2, and PGE2 modulation in partially injured Achilles tendon.</t>
  </si>
  <si>
    <t>"LLLT decreased Achilles tendon's inflammatory process."</t>
  </si>
  <si>
    <t>Effects of Therapeutic Physical Agents on Achilles Tendon Microcirculation.</t>
  </si>
  <si>
    <t>🧑 Human
⚔ Comparison study
👥 51 participants
⌛ single session</t>
  </si>
  <si>
    <t>⚔ Groups:
- ultrasound
- interferential current
- low-level laser
- vibration massage</t>
  </si>
  <si>
    <t>635+
650+
690</t>
  </si>
  <si>
    <t>5.4
18</t>
  </si>
  <si>
    <t>"No significant THb and StO2 differences were found after the application of interferential current or low-level laser."</t>
  </si>
  <si>
    <t>Device: "red laser probe (BOM-L1TRSF58, Omegawave Inc., Tokyo, Japan)"</t>
  </si>
  <si>
    <t>Allahverdi</t>
  </si>
  <si>
    <t>Evaluation of low-level laser therapy, platelet-rich plasma, and their combination on the healing of Achilles tendon in rabbits.</t>
  </si>
  <si>
    <t>Partial tenotomy</t>
  </si>
  <si>
    <t>"The results for these parameters showed that PRP or LLLT alone has significant advantages over untreated animals (P &lt; 0.05). Furthermore, it was found that the combined treatment with PRP and LLLT is even more efficient."</t>
  </si>
  <si>
    <t>K30 hand-held probe, AZOR, Technica, Russia, 650 nm</t>
  </si>
  <si>
    <t>Effects of low-power LED and therapeutic ultrasound in the tissue healing and inflammation in a tendinitis experimental model in rats.</t>
  </si>
  <si>
    <t>Collagenase-induced tendinitis
LED phototherapy</t>
  </si>
  <si>
    <t>"Histomorphometric analysis showed lower number of fibroblasts on the 14th day of therapy for the US-treated group, compared to the TD and LED, indicating lower tissue inflammation. Raman showed that the LED group had an increase in the amount of collagen I and III from the 7th to the 14th day, which would indicate more organized fibers and a better quality of the healing, and US showed lower collagen I synthesis in the 14th day compared to H, indicating a lower tissue reorganization."</t>
  </si>
  <si>
    <t>Xavier</t>
  </si>
  <si>
    <t>Brazil (Diamantina)</t>
  </si>
  <si>
    <t>Low-level light-emitting diode therapy increases mRNA expressions of IL-10 and type I and III collagens on Achilles tendinitis in rats.</t>
  </si>
  <si>
    <t>"LED (880 nm) was effective in increasing mRNA expression of IL-10 and type I and III collagen. Therefore, LED therapy may have potentially therapeutic effects on Achilles tendon injuries."</t>
  </si>
  <si>
    <t>Mast cell curve-response in partial Achilles tendon rupture after 830 nm phototherapy.</t>
  </si>
  <si>
    <t>Tendon rupture by direct trauma</t>
  </si>
  <si>
    <t>LLLT was shown to increase the quantity of mastocytes in the assessment periods compared with the simulation groups.</t>
  </si>
  <si>
    <t>Marcos</t>
  </si>
  <si>
    <t>J Mech Behav Biomed Mater</t>
  </si>
  <si>
    <t>Biomechanical and biochemical protective effect of low-level laser therapy for Achilles tendinitis.</t>
  </si>
  <si>
    <t>Collagenase-induced tendinitis
PBM vs diclofenac</t>
  </si>
  <si>
    <t>10
30</t>
  </si>
  <si>
    <t>"The treatment by non-steroidal anti-inflammatory drugs such as diclofenac sodium produces a low protective effect and can affect the short-term biochemical and biomechanical properties. On the contrary, it is shown that LLLT exhibits the best results in terms of MMPs reduction and mechanical properties recovery. Thus, LLLT looks to be a promising and consistent treatment for tendinopathies."
Star: This article contains a lot of data - might be interesting to experts.</t>
  </si>
  <si>
    <t>Guerra Fda</t>
  </si>
  <si>
    <t>Pulsed LLLT improves tendon healing in rats: a biochemical, organizational, and functional evaluation.</t>
  </si>
  <si>
    <t>Partial transection of tendon</t>
  </si>
  <si>
    <t>"In conclusion, pulsed LLLT leads to increased organization of collagen bundles and improved gait recovery."</t>
  </si>
  <si>
    <t>Low-level laser therapy on tissue repair of partially injured achilles tendon in rats.</t>
  </si>
  <si>
    <t>Partial tendon injury</t>
  </si>
  <si>
    <t>"LLLT stimulated collagen I proliferation, improving the injured Achilles tendons' healing process."</t>
  </si>
  <si>
    <t>Aliodoust</t>
  </si>
  <si>
    <t>Evaluating the effect of low-level laser therapy on healing of tentomized Achilles tendon in streptozotocin-induced diabetic rats by light microscopical and gene expression examinations.</t>
  </si>
  <si>
    <t>Surgical tenotomy</t>
  </si>
  <si>
    <t>0.00524 cm2</t>
  </si>
  <si>
    <t>88
(44p)</t>
  </si>
  <si>
    <t>"The chi-square test showed that LLLT significantly reduced inflammation in non-diabetic rats compared with their non-diabetic controls (p = 0.02). LLLT significantly decreased inflammation in diabetic rats on days 5 (p = 0.03) and 10 (p = 0.02) compared to the corresponding control diabetic rats. According to the student's t test, LLLT significantly increased TGF-β1 gene expression in healthy (p = 0.000) and diabetic (p = 0.000) rats compared to their relevant controls.
The He-Ne laser was effective in altering the inflammatory reaction and increasing TGF-β1 gene production."</t>
  </si>
  <si>
    <t>Analysis of the effect of phototherapy in model with traumatic Achilles tendon injury in rats.</t>
  </si>
  <si>
    <t>Injury by contusion</t>
  </si>
  <si>
    <t>"It was concluded that treatment with LIL in the parameters used and the times studied reduces migration of inflammatory cells and improves the quality of repair while reducing the functional limitations."</t>
  </si>
  <si>
    <t>Nouruzian</t>
  </si>
  <si>
    <t>Effect of low-level laser therapy on healing of tenotomized Achilles tendon in streptozotocin-induced diabetic rats.</t>
  </si>
  <si>
    <t>Tenotomy + diabetes</t>
  </si>
  <si>
    <t>2.9
11.5
4.3</t>
  </si>
  <si>
    <t>0.0052
cm2</t>
  </si>
  <si>
    <t>"LLLT at 2.9 J/cm(2) to the tenotomized Achilles tendons in the non-diabetic and diabetic rats significantly increased the strength and maximum stress of repairing Achilles tendons in our study."</t>
  </si>
  <si>
    <t>Low-level laser therapy combined with platelet-rich plasma on the healing calcaneal tendon: a histological study in a rat model.</t>
  </si>
  <si>
    <t>7.0</t>
  </si>
  <si>
    <t>20
/point
(3p)</t>
  </si>
  <si>
    <t>"Results showed that the deposition of collagen type I was higher when treatment with PRP and LLLT was combined, suggesting a faster regeneration of the tendon."</t>
  </si>
  <si>
    <t>LLLT improves tendon healing through increase of MMP activity and collagen synthesis.</t>
  </si>
  <si>
    <t>Tenotomy</t>
  </si>
  <si>
    <t>16
32</t>
  </si>
  <si>
    <t>6
or
13</t>
  </si>
  <si>
    <t>"Our results indicate that the pulsed LLLT improved the remodeling of the ECM during the healing process in tendons through activation of MMP-2 and stimulation of collagen synthesis."</t>
  </si>
  <si>
    <t>Low-level laser therapy in experimental model of collagenase-induced tendinitis in rats: effects in acute and chronic inflammatory phases.</t>
  </si>
  <si>
    <t>0.107</t>
  </si>
  <si>
    <t>1.54</t>
  </si>
  <si>
    <t>"Our results suggest that LLLT with parameters employed in the present study was able to modulate IL-10, VEGF, MMP1, and MMP13 mRNA gene expression both in acute than in chronic tendon inflammation. However, further studies are needed to establish optimal parameters for LLLT."</t>
  </si>
  <si>
    <t>Clinical effectiveness of low-level laser therapy as an adjunct to eccentric exercise for the treatment of Achilles' tendinopathy: a randomized controlled trial.</t>
  </si>
  <si>
    <t>🧑 Human
🎲 Randomized trial
👥 40 participants
⌛ 4-week PBM treatment / 52-week study</t>
  </si>
  <si>
    <t xml:space="preserve">0.1
</t>
  </si>
  <si>
    <t xml:space="preserve">18
(6p)
</t>
  </si>
  <si>
    <t>"The clinical effectiveness of adding LLLT to eccentric exercises for the treatment of Achilles' tendinopathy has not been demonstrated using the parameters in this study."
(See Comment &amp; Reply. According to Bjordal&amp;Lopes-Martins, the actual dose was more than 10x smaller than Tumilty et al. reported in their paper.)</t>
  </si>
  <si>
    <t>Rowe</t>
  </si>
  <si>
    <t>Conservative management of midportion Achilles tendinopathy: a mixed methods study, integrating systematic review and clinical reasoning.</t>
  </si>
  <si>
    <t>Evidence was moderate for LLLT.</t>
  </si>
  <si>
    <t>Ng &amp; Chung</t>
  </si>
  <si>
    <t>China (Hong Kong)</t>
  </si>
  <si>
    <t>Effects of a therapeutic laser and passive stretching program for treating tendon overuse.</t>
  </si>
  <si>
    <t>Achilles overuse</t>
  </si>
  <si>
    <t>0.44</t>
  </si>
  <si>
    <t>"We conclude that a therapeutic laser and combined laser with passive stretching might slow down the decrease in Achilles tendon strength but would not be able to stop the pathological changes of overuse from developing."</t>
  </si>
  <si>
    <t>Low-level laser therapy in collagenase-induced Achilles tendinitis in rats: analyses of biochemical and biomechanical aspects.</t>
  </si>
  <si>
    <t>35.71
107.14</t>
  </si>
  <si>
    <t>"Biomechanical properties were preserved in the laser-treated groups when compared to collagenase and diclofenac groups. We conclude that LLLT was able to reduce tendon inflammation and to preserve tendon resistance and elasticity."</t>
  </si>
  <si>
    <t>Laraia</t>
  </si>
  <si>
    <t>Effect of low-level laser therapy (660 nm) on acute inflammation induced by tenotomy of Achilles tendon in rats.</t>
  </si>
  <si>
    <t>214</t>
  </si>
  <si>
    <t>"We conclude that LLLT is an important modulator of inflammatory cytokines release after injury in Achilles tendon."</t>
  </si>
  <si>
    <t>An experimental study of low-level laser therapy in rat Achilles tendon injury.</t>
  </si>
  <si>
    <t xml:space="preserve">Blunt trauma
</t>
  </si>
  <si>
    <t>0.158</t>
  </si>
  <si>
    <t>"There was a significant increase in tendon thickness in the active LLLT group when compared with the placebo group (p &lt; 0.05) and there were no significant differences between the placebo and uninjured left tendons. There were no significant differences in UTS between laser-treated, placebo-treated and uninjured tendons.
Laser irradiation of the Achilles tendon at 0.158 W/cm(2) for 50 s (3 J) administered within the first 30 min after blunt trauma, and repeated after 15 h, appears to lead to edema of the tendon measured 23 hours after LLLT. "</t>
  </si>
  <si>
    <t>Low-level laser therapy (LLLT; 780 nm) acts differently on mRNA expression of anti- and pro-inflammatory mediators in an experimental model of collagenase-induced tendinitis in rat.</t>
  </si>
  <si>
    <t>"LLLT in both acute and chronic phases decreased IL-6, COX-2, and TGF-β expression after tendinitis, respectively, when compared to tendinitis groups: IL-6, COX-2, and TGF-β.
The LLLT not altered IL-1β expression in any time, but reduced the TNF-α expression; however, only at chronic phase. We conclude that LLLT administered with this protocol reduces one of features of tendinopathies that is mRNA expression for pro-inflammatory mediators."</t>
  </si>
  <si>
    <t>Different power settings of LLLT on the repair of the calcaneal tendon.</t>
  </si>
  <si>
    <t>Partial tendon rupture</t>
  </si>
  <si>
    <t>40
60
80
100</t>
  </si>
  <si>
    <t>1.4
2.14
2.8
3.5</t>
  </si>
  <si>
    <t>21
14
10.5
8.4</t>
  </si>
  <si>
    <t>"Low-level laser therapy resulted in significantly greater amounts of type III collagen (output powers of 60 mW or more) and type I collagen (output power of 80 mW), however, no significant differences between groups were found in the realignment of collagen fibers."</t>
  </si>
  <si>
    <t>Infrared (810 nm) low-level laser therapy in rat achilles tendinitis: a consistent alternative to drugs.</t>
  </si>
  <si>
    <t>Collagenase-induced tendinitis
PBM vs diclofenac
Biphasic dose response</t>
  </si>
  <si>
    <t>1
3
6</t>
  </si>
  <si>
    <t>"As LLLT seems to act on inflammation through a selective inhibition of the COX-2 isoform in collagenase-induced tendinitis, LLLT may have potential to become a new and safer nondrug alternative to coxibs."
"We found that LLLT dose of 3 J significantly reduced inflammation through less COX-2-derived gene expression and PGE(2) production, and less edema formation compared to nonirradiated controls."</t>
  </si>
  <si>
    <t>Anti-inflammatory effects of low-level light emitting diode therapy on Achilles tendinitis in rats.</t>
  </si>
  <si>
    <t>4+
(?)</t>
  </si>
  <si>
    <t>"Our results showed that LED decreases the inflammatory cells influx and mRNA expression to IL-1 beta, IL-6, tumor necrosis factor-alpha (TNF-alpha) in both phase, and cyclooxygenase-2 (COX-2) just in initial phase (P &lt; 0.05)."</t>
  </si>
  <si>
    <t>Wood</t>
  </si>
  <si>
    <t>Collagen changes and realignment induced by low-level laser therapy and low-intensity ultrasound in the calcaneal tendon.</t>
  </si>
  <si>
    <t>"Ultrasound, LLLT, and the combined use of LLLT and US resulted in greater synthesis of type I collagen"</t>
  </si>
  <si>
    <t>Bastos</t>
  </si>
  <si>
    <t>Comparative study of laser and LED systems of low intensity applied to tendon healing</t>
  </si>
  <si>
    <t>LED phototherapy
Laser vs LED</t>
  </si>
  <si>
    <t>685
630+
830?
880</t>
  </si>
  <si>
    <t>"The results showed a real efficiency of treatments based on LEDT and confirmed that LILT seems to be effective on healing process. Although absence of coherence of LED light, tendon healing treatment with this feature was satisfactory and can certainly replace treatments based on laser light applications. Applications of infrared laser at 830 nm and LED 880 nm were more efficient when the aim is a good organization, aggregation, and alignment of the collagen bundles on tendon healing. However, more research is needed for a safety and more efficient determination of a protocol with LED."</t>
  </si>
  <si>
    <t>Effect of low level laser therapy (830 nm) with different therapy regimes on the process of tissue repair in partial lesion calcaneous tendon.</t>
  </si>
  <si>
    <t>3
5
7</t>
  </si>
  <si>
    <t>"Low intensity laser therapy was effective in the improvement of collagen fibers organization of the calcaneous tendon after undergoing a partial lesion."</t>
  </si>
  <si>
    <t>Taiwan (Kaohsiung)</t>
  </si>
  <si>
    <t>Low-level laser irradiation promotes cell proliferation and mRNA expression of type I collagen and decorin in porcine Achilles tendon fibroblasts in vitro.</t>
  </si>
  <si>
    <t>820+
635
(?)</t>
  </si>
  <si>
    <t>540
1080
1620</t>
  </si>
  <si>
    <t>"When compared to the control group, the cell proliferation of irradiated Achilles tendon fibroblasts in the other three groups increased significantly by 13% +/- 0.8% (Group 2), 30% +/- 0.4% (Group 3), and 12% +/- 0.6% (Group 4) respectively. But progressively higher laser intensity did not achieve a correspondingly higher cell proliferation effect in Achilles tendon fibroblasts.
The mRNA expressions of decorin and type I collagen in fibroblasts with LLLI were significantly higher (p &lt; 0.05). Therefore, suitable dosages of LLLI may result in more effective tissue healing by promoting type I collagen and decorin synthesis. However, these positive effects of LLLI on the repair of the Achilles tendon in humans should be further investigated in clinic."</t>
  </si>
  <si>
    <t>The effects of low-level light emitting diode on the repair process of Achilles tendon therapy in rats.</t>
  </si>
  <si>
    <t>"This study demonstrated that LED interfered in the repair process of the tendon tissue, reducing the number of fibroblasts in the initial periods and improving the quality of the repair in all periods studied."</t>
  </si>
  <si>
    <t>Laser therapy in the treatment of achilles tendinopathy: a pilot study.</t>
  </si>
  <si>
    <t>🧑 Human
🎲 Randomized trial, double-blind
👥 20 participants
⌛ 4-week treatment / 12-week study</t>
  </si>
  <si>
    <t>2.375</t>
  </si>
  <si>
    <t>0.0364 cm2 spot size</t>
  </si>
  <si>
    <t>"Within groups, there was a significant difference (p &lt; 0.05) between baseline scores and the two evaluation periods of 4 and 12 wk for all of the outcome measures, except for eccentric strength in the placebo group at 4 wk (p = 0.11) (Tables 2 and 3). However, differences between groups were minimal."</t>
  </si>
  <si>
    <t>"Thor DD Laser Therapy Unit (Thor International Ltd., Chesham, Buckinghamshire, England), a class 3B laser"</t>
  </si>
  <si>
    <t>Stergioulas</t>
  </si>
  <si>
    <t>Am J Sports Med</t>
  </si>
  <si>
    <t>Effects of low-level laser therapy and eccentric exercises in the treatment of recreational athletes with chronic achilles tendinopathy.</t>
  </si>
  <si>
    <t>🧑 Human
🎲 Randomized trial
👥 52 participants
⌛ 8-week treatment / 12-week study</t>
  </si>
  <si>
    <t>"Low-level laser therapy, with the parameters used in this study, accelerates clinical recovery from chronic Achilles tendinopathy when added to an EE regimen. For the LLLT group, the results at 4 weeks were similar to the placebo LLLT group results after 12 weeks."</t>
  </si>
  <si>
    <r>
      <rPr>
        <b/>
        <color rgb="FF980000"/>
        <sz val="9.0"/>
      </rPr>
      <t xml:space="preserve">★
</t>
    </r>
    <r>
      <rPr>
        <b/>
        <color rgb="FF980000"/>
        <sz val="6.0"/>
      </rPr>
      <t>☹
📷</t>
    </r>
  </si>
  <si>
    <t>Elwakil TF</t>
  </si>
  <si>
    <t>Egypt (Cairo)</t>
  </si>
  <si>
    <t>An in-vivo experimental evaluation of He-Ne laser photostimulation in healing Achilles tendons.</t>
  </si>
  <si>
    <t>🐇 Rabbit tendons</t>
  </si>
  <si>
    <t>"The histopathological findings suggest the favorable qualitative pattern of the newly synthesized collagen of the regenerating tendons after He-Ne laser photostimulation. The biomechanical results support the same favorable findings from the functional point of view as denoted by the better biomechanical properties of the regenerating tendons after He-Ne laser photostimulation with statistical significance (p &lt;or= 0.01) at most of the biomechanical parameters"
Star: Paper was supplied with photographs of Achilles tendon and LLLT.
Comment: Parameters were insufficiently reported.</t>
  </si>
  <si>
    <t>Br J Sports Med</t>
  </si>
  <si>
    <t>A randomised, placebo controlled trial of low level laser therapy for activated Achilles tendinitis with microdialysis measurement of peritendinous prostaglandin E2 concentrations.</t>
  </si>
  <si>
    <t>🧑 Human
🎲 Randomized trial, self-controlled
👥 7 participants (14 treated tendons)
⌛ single session</t>
  </si>
  <si>
    <t>0.5 cm2 spot area</t>
  </si>
  <si>
    <t>"LLLT at a dose of 5.4 J per point can reduce inflammation and pain in activated Achilles tendinitis."
Comment: The baseline values of pain differed between the groups, which might make the results a little bit less impressive.</t>
  </si>
  <si>
    <t>Device: "a GaAs laser with an infrared wavelength of 904 nm (Irradia AB, Stockholm, Sweden)"</t>
  </si>
  <si>
    <t>Carrinho</t>
  </si>
  <si>
    <t>Comparative study using 685-nm and 830-nm lasers in the tissue repair of tenotomized tendons in the mouse.</t>
  </si>
  <si>
    <t>685
/
830</t>
  </si>
  <si>
    <t>3
/
10</t>
  </si>
  <si>
    <t>"All wavelengths and fluences used in this study were efficient at accelerating the healing process of Achilles tendon post-tenotomy, particularly after the 685-nm laser irradiation, at 3 J/cm(2). It suggests the existence of wavelength tissue specificity and dose dependency."</t>
  </si>
  <si>
    <t>Salate</t>
  </si>
  <si>
    <t>Effect of In-Ga-Al-P diode laser irradiation on angiogenesis in partial ruptures of Achilles tendon in rats.</t>
  </si>
  <si>
    <t>2.5
10</t>
  </si>
  <si>
    <t>"LLLT of different intensities seems to promote neovascularization in damaged Achilles tendons of rats after partial rupture compared to controls."</t>
  </si>
  <si>
    <t>Fillipin</t>
  </si>
  <si>
    <t>Brazil (Rio Grande do Sul)</t>
  </si>
  <si>
    <t>Low-level laser therapy (LLLT) prevents oxidative stress and reduces fibrosis in rat traumatized Achilles tendon.</t>
  </si>
  <si>
    <t>"LLLT by Ga-As laser reduces histological abnormalities, collagen concentration, and oxidative stress in an experimental model of Achilles tendon injury. Reduction of fibrosis could be mediated by the beneficial effects on the oxidant/antioxidant balance."</t>
  </si>
  <si>
    <t>Turkey (Kayseri)</t>
  </si>
  <si>
    <t>Comparison of the effects of laser, ultrasound, and combined laser + ultrasound treatments in experimental tendon healing.</t>
  </si>
  <si>
    <t>Traumatized tendons</t>
  </si>
  <si>
    <t>"Although US, L, and combined US + L treatments increased tendon healing biochemically and biomechanically more than the control groups, no statistically significant difference was found between them."</t>
  </si>
  <si>
    <t>Enwemeka &amp; Reddy</t>
  </si>
  <si>
    <t>The biological effects of laser therapy and other physical modalities on connective tissue repair processes</t>
  </si>
  <si>
    <t>633
904</t>
  </si>
  <si>
    <t>"Our results demonstrate that: (1) appropriate doses of each modality, i.e., early functional activities, ultrasound, He-Ne and Ga-As laser therapy augment collagen synthesis, modulate maturation of newly synthesized collagen, and overall, enhance the biomechanical characteristics of the repaired tendons. (2) Combinations of either of the two lasers with early function and either ultrasound or electrical stimulation further promote collagen synthesis when compared to functional activities alone. However, the biomechanical effects measured in tendons receiving the multi-therapy were similar, i.e., not better than the earlier single modality trials. "</t>
  </si>
  <si>
    <t>Meersman</t>
  </si>
  <si>
    <t>Laser pharmacology and achilles tendinopathy</t>
  </si>
  <si>
    <t>Multifactorial treatment</t>
  </si>
  <si>
    <t>660+
830+
904</t>
  </si>
  <si>
    <t>"The subjects were 100 successive athletes with chronic Achilles tendinopathy who had undergone conservative treatment for six months without positive results. 
This study used a combination of Photodynamic Therapy with Plenosol® intradermal and 660nm LT, followed by a cooling down treatment using Ubiquinon, Ferrum and Cu+ + subcutaneous infiltration, 
LT with 660nm, 830nm and 904nm. After an average of 4 treatments in 14 days, healing was achieved in 16 days and training was resumed in 90% of the patients. With these results, it was concluded that a good knowledge of the interaction between laser and pharmacology could reduce treatment time, even for chronic cases of Achilles tendinopathy."
Comment: This study used a multifactorial treatment. It cannot be used as a proof of efficacy of LLLT but it is a nice historical piece.</t>
  </si>
  <si>
    <t>Gum</t>
  </si>
  <si>
    <t>Combined ultrasound, electrical stimulation, and laser promote collagen synthesis with moderate changes in tendon biomechanics.</t>
  </si>
  <si>
    <t>"The tendons were excised and compared with control tendons. Multitherapy treatment produced a 14% increase in maximal strength, a 42% increase in load-at-break, a 20% increase in maximal stress, a 45% increase in stress-at-break, a 21% increase in maximal strain, and a 14% increase in strain-at-break. Similarly, multitherapy treatment was associated with an increase in Young's modulus of elasticity of 31%, an increase in energy absorption at maximum load of 9%, and an increase in energy absorption at load-at-break of 11%. 
Biochemical analysis of the tendons showed an increase of 23% in the total amount of collagen in the multitherapy-treated tendons, with fewer mature crosslinks (decrease of 6%). Electron micrographs revealed no ultrastructural or morphologic changes in the tendon fibroblasts or in the extracellular matrix. The improvements measured in tendons receiving multitherapy were consistent but less remarkable compared with our earlier works with single modality protocols. 
The results warrant the hypothesis that the beneficial effects of ultrasound and laser photostimulation on tendon healing may counteract one another when applied simultaneously."
Comment: AsGa laser was used, but wavelength was not mentioned. I assume it was 904nm, because gallium arsenide lasers tend to be 904nm often.</t>
  </si>
  <si>
    <t>Darre</t>
  </si>
  <si>
    <t>Denmark
(Gentofte)</t>
  </si>
  <si>
    <r>
      <rPr>
        <b/>
        <sz val="7.0"/>
      </rPr>
      <t xml:space="preserve">[Laser therapy of Achilles tendinitis]
</t>
    </r>
    <r>
      <rPr>
        <b/>
        <i/>
        <sz val="7.0"/>
      </rPr>
      <t>[Article in Danish]</t>
    </r>
  </si>
  <si>
    <t>🧑 Human
🎲 Randomized trial, double-blind
👥 89 participants
⌛ (?)</t>
  </si>
  <si>
    <t>"No statistically significant differences in the number of consultations, morning stiffness, tenderness, crepitation, swelling, redness, VAS-score of pain and degree of unfitness for duty were found between the two treatment groups."</t>
  </si>
  <si>
    <t>The Application of Photobiomodulation on Mesenchymal Stem Cells and its Potential Use for Tenocyte Differentiation</t>
  </si>
  <si>
    <t>"Recent studies have examined the potential for PBM to improve MSC therapy use in tendinopathy by promoting viability, proliferation, and differentiation. As well as enhance tendon regeneration. This review focuses on Photobiomodulation and MSC therapy applications in regenerative medicine and their potential for tendon tissue engineering."</t>
  </si>
  <si>
    <t>Porto Biomed J</t>
  </si>
  <si>
    <t>Light stimulation on tenocytes: A systematic review of in vitro studies</t>
  </si>
  <si>
    <t>📚 Systematic review (in vitro data)</t>
  </si>
  <si>
    <t>"Six studies were included. Tenocytes from the Achilles tendon were used by 83.3% of the studies, with 16.7% utilizing the deep digital flexor tendon, with cells in passage 2 to 5."
"The application of light to tenocytes resulted in positive effects reported by all studies, including an increase in cell proliferation and migration, and higher protein and gene expression of tendon biomarkers. Studies presented a lack of standardization on reporting light stimulation parameters and experimental methodologies, leading to low methodological quality. There was a high risk of selection, performance, detection, and reporting bias."</t>
  </si>
  <si>
    <t>Alzyoud</t>
  </si>
  <si>
    <t>Jordan
(Zarqa)</t>
  </si>
  <si>
    <t>Effect of light-emitting diodes, platelet-rich plasma, and their combination on the activity of sheep tenocytes.</t>
  </si>
  <si>
    <t>Biphasic dose response
LED phototherapy</t>
  </si>
  <si>
    <t>4
8
20</t>
  </si>
  <si>
    <t>15
cm2</t>
  </si>
  <si>
    <t>"Results showed that sheep tenocyte-cultured groups treated with 5% platelet-rich plasma alone or combined with 4 J/cm2 light-emitting diode have increased viability significantly when compared to control group after a 48 h, while light-emitting diode treatment has not decreased cell migration significantly when compared with control."
Comment: No significant beneficial effects from PBM in this study. In some assays, there were nonsignificant positive trends.</t>
  </si>
  <si>
    <t>Second messengers mediating the proliferation and collagen synthesis of tenocytes induced by low-level laser irradiation.</t>
  </si>
  <si>
    <t>Tenocyte function</t>
  </si>
  <si>
    <t>"The findings suggested that LLLT stimulated ATP production and increased intracellular calcium concentration. Directly or indirectly via production of TGF-β1, these second messengers mediated the proliferation of tenocytes and synthesis of collagen."</t>
  </si>
  <si>
    <t>Taiwan (Taoyuan County)</t>
  </si>
  <si>
    <t>Low-level laser irradiation stimulates tenocyte proliferation in association with increased NO synthesis and upregulation of PCNA and cyclins.</t>
  </si>
  <si>
    <t>Tenocyte proliferation</t>
  </si>
  <si>
    <t>"The results revealed that tenocytes proliferation was enhanced dose dependently by laser. NO secretion was increased after laser treatment. PCNA and cyclins E, A, and B1 were upregulated by laser. In conclusion, low-level laser irradiation stimulates tenocyte proliferation in a process that is mediated by upregulation of NO, PCNA, and cyclins E, A, and B1."</t>
  </si>
  <si>
    <t>Low-level laser irradiation stimulates tenocyte migration with up-regulation of dynamin II expression.</t>
  </si>
  <si>
    <t>Tenocyte migration</t>
  </si>
  <si>
    <t>1.0
1.5
2.0</t>
  </si>
  <si>
    <t>"In conclusion, low-level laser irradiation stimulates tenocyte migration in a process that is mediated by up-regulation of dynamin 2, which can be suppressed by dynasore."</t>
  </si>
  <si>
    <t>de Quervain's tenosynovitis</t>
  </si>
  <si>
    <t>Chongkriengkrai</t>
  </si>
  <si>
    <t>Effectiveness of high-intensity laser application combined with splinting and therapeutic exercise in subacute de Quervain's tenosynovitis: A pilot study</t>
  </si>
  <si>
    <t>🧑 Human
🎲 Randomized trial, sham-controlled
👥 19 participants
⌛ 3-week treatment -&gt; 3-week follow-up</t>
  </si>
  <si>
    <t>80 + 800
(2 phases)</t>
  </si>
  <si>
    <t>8 + 80</t>
  </si>
  <si>
    <t>1 cm2 spot area
~10 cm2 treatment area</t>
  </si>
  <si>
    <t>"No significant differences were found between the HILT group and the sham group across all evaluated outcomes."</t>
  </si>
  <si>
    <t>Outcome of low level lasers versus ultrasonic therapy in de Quervain's tenosynovitis.</t>
  </si>
  <si>
    <t>🧑 Human
⚔ Comparison study
👥 30 participants
⌛ 14 days</t>
  </si>
  <si>
    <t>⚔ PBM vs ultrasonic therapy</t>
  </si>
  <si>
    <t>30-
40</t>
  </si>
  <si>
    <t>4.910
cm2</t>
  </si>
  <si>
    <t>"On comparing both the groups, no statistically significant difference was found. However, looking at the mean values, the grip strength and VAS showed better improvement in the US Th. group as compared to the laser therapy group."</t>
  </si>
  <si>
    <t>Device: "A class 3 B (IEC 825) solid state Ga – As-Al infrared laser (Endolaser 476, Enraf Nonius, Holland) with a pencil probe"</t>
  </si>
  <si>
    <t>Digital flexor tendons</t>
  </si>
  <si>
    <t>Poorpezeshk</t>
  </si>
  <si>
    <t>Early Low-Level Laser Therapy Improves the Passive Range of Motion and Decreases Pain in Patients with Flexor Tendon Injury.</t>
  </si>
  <si>
    <t>🧑 Human
🎲 Randomized trial
👥 97 participants (114 fingers)
⌛ 4 weeks</t>
  </si>
  <si>
    <t>660
+
890</t>
  </si>
  <si>
    <t>0.025
15</t>
  </si>
  <si>
    <t>2
+
5.85</t>
  </si>
  <si>
    <t xml:space="preserve">1 cm2
0.002 cm2 </t>
  </si>
  <si>
    <t>80
+
60
/point
(?)</t>
  </si>
  <si>
    <t>8-10
/ 4 weeks</t>
  </si>
  <si>
    <t>"There was a significant increase in PROM (t = 82.925, p = 0.000) and a significant pain reduction (t = -11.96, p = 0.000) in the LLLT group, compared with the control group. All Patients in the LLLT group were satisfied."</t>
  </si>
  <si>
    <t>Device: "Mustang 2000 Laser device (Technical Co., Moscow, Russia) with two probes of red (KLO4) and infrared laser (LO7)"</t>
  </si>
  <si>
    <t>de Mattos</t>
  </si>
  <si>
    <t>Effect of phototherapy with light-emitting diodes (890 nm) on tendon repair: an experimental model in sheep.</t>
  </si>
  <si>
    <t>"The absence of lameness and a significant improvement (p &lt; 0.05) in the sensitivity to pain during palpation were observed in the treated group. Furthermore, a significant reduction in oedema and an increased number of vessels (p &lt; 0.05) were observed in this group with the B-mode and power Doppler US, respectively. No significant difference in the evolution of the lesion was found. There was a histological difference (p &lt; 0.05) in neovascularisation in the treated group.
Phototherapy with 890-nm light-emitting diodes decreases the inflammatory process."</t>
  </si>
  <si>
    <t>Iacopetti</t>
  </si>
  <si>
    <t>Effect of MLS(®) laser therapy with different dose regimes for the treatment of experimentally induced tendinopathy in sheep: pilot study.</t>
  </si>
  <si>
    <t>MLS laser therapy
Biphasic dose response (?)</t>
  </si>
  <si>
    <t>500
+
54</t>
  </si>
  <si>
    <t>2.5
5.0</t>
  </si>
  <si>
    <t>3.14
cm2
+
3.14
cm2</t>
  </si>
  <si>
    <t>"In this study, clinical and histological evaluation demonstrated that a therapeutic dose &lt;5 J/cm(2) furnished an anti-inflammatory effect, and induced a decrease of fibroblasts and vessel area. Overall, our results suggest that MLS laser therapy was effective in improving collagen fiber organization in the deep digital flexor tendon."
"The aggravation of the inflammatory condition, observed during the applications of MLS laser therapy in the first group, seems to indicate that, for the treatment of an acute tendinitis with this type of laser emission, the dose of 5 J/cm2 was excessive for the therapeutic effect. Results from histological examinations indicate that both treatments induced a statistically significant cell number decrease, although only in the second group did the values return to normal. Moreover, the MLS dose of 2.5 J/ cm2 (group 2) caused a significant decrease of the vessel area"</t>
  </si>
  <si>
    <t>Ozkan</t>
  </si>
  <si>
    <t>Investigation of the supplementary effect of GaAs laser therapy on the rehabilitation of human digital flexor tendons.</t>
  </si>
  <si>
    <t>🧑 Human
🎲 Randomized trial, double-blind
👥 25 participants (41 digital flexor injuries)
⌛ 2-week treatment / 11-week study (?)</t>
  </si>
  <si>
    <t>"The results of the study showed a significant improvement in the laser-treated group only for the parameter of edema reduction (p &lt; 0.01) but the difference between the two groups was non-significant for pain reduction, hand grip strength, and functional evaluation performed according to Strickland and Buck-Gramcko systems using total active motion and fingertip-to distal palmar crease distance parameters (p &gt; 0.05)."
Comment: The final results were very good both for placebo and laser. Therefore, supplementary laser treatment might be not warranted for this condition.
Comment: In a 2010 paper, professor Bjordal wrote that the device used in this study emits almost no near-infrared: "Measurements were inconsistent and the results showed that single-diode probes emitted outputs down to only 0.07 mW, which was less than 0.5% of the stated output shown on the display on the laser unit.""
(Source: https://www.medicaljournals.se/jrm/content/html/10.2340/16501977-0576 )</t>
  </si>
  <si>
    <t>Device: "infrared-27 GaAs diode laser instrument (Roland Serie Elettronica Pagani) with the wavelength of 904 nm"</t>
  </si>
  <si>
    <t>Doyle</t>
  </si>
  <si>
    <t>The Effects of Low-Level Laser Therapy on Pain Associated With Tendinopathy: A Critically Appraised Topic.</t>
  </si>
  <si>
    <t>Tendinopathy</t>
  </si>
  <si>
    <t>"Although LLLT significantly decreases pain from baseline, its use may be no better than placebo or traditional treatments such as ultrasound, moist heat packs, electrical stimulation, or therapeutic exercise to reduce pain associated with tendinopathy. Total accumulated joules across the treatment sessions may need to be taken into account as a parameter."</t>
  </si>
  <si>
    <t>Patellar tendinopathy</t>
  </si>
  <si>
    <t>Effects of Low-Level Laser Therapy and Eccentric Exercises in the Treatment of Patellar Tendinopathy</t>
  </si>
  <si>
    <t>🧑 Human
🎲 Randomized trial
👥 21 participants
⌛ 4 weeks</t>
  </si>
  <si>
    <t>1.592</t>
  </si>
  <si>
    <t>d = 0.4
cm</t>
  </si>
  <si>
    <t>24
/ 4 weeks</t>
  </si>
  <si>
    <t>"The laser + exercise group had significantly greater improvements in all the outcomes than the other two groups (), except nonsignificant difference in pain relief between the laser + exercise group and the laser group. In conclusion, LLLT combined with eccentric exercises is superior to LLLT alone and eccentric exercises alone to reduce pain and improve function in patients with patellar tendinopathy."</t>
  </si>
  <si>
    <t>Histological, Physiological and Biomechanical Effects of Low-Level Laser Therapy on Tendon Healing in Animals and Humans: A Systematic Review</t>
  </si>
  <si>
    <t>📚 Systematic review (animal and human data)</t>
  </si>
  <si>
    <t>"Fifty-five studies were included (50 animal and five human studies). 
Animal studies revealed that LT had stimulating effects on collagen organization, collagen I and collagen II formation, matrix metalloproteinase (MMP)-8, transforming growth factor β1, vascular endothelial growth factor, hydroxyproline, maximum load, maximum elongation before breaking, and tendon stiffness. 
However, LLLT had inhibitory effects on the number of inflammatory cells, histological scores, relative amount of collagen III, cyclooxygenase-2, prostaglandin E2 (PGE2), interleukin-6, tumor necrosis factor-α, MMP-1, and MMP-3. 
Although one human study found that LLLT reduced the concentration of PGE2 in peritendinous tissue of the Achilles tendon, other human studies revealed that the effects of LLLT on the physiology and biomechanics of human tendons remained uncertain. 
LLLT facilitates tendon healing through various histological, physiological, and biomechanical effects in animal models. Only post-LLLT anti-inflammatory effects were found in human studies."</t>
  </si>
  <si>
    <t>Lyu</t>
  </si>
  <si>
    <t>The Functions and Mechanisms of Low-Level Laser Therapy in Tendon Repair (Review)</t>
  </si>
  <si>
    <t>"The repair mechanisms of LLLT are different in the three phases of tendon repair. In the inflammatory phase, LLLT mainly activates a large number of VEGF and promotes angiogenesis under hypoxia. During the proliferation phase, LLLT increases the amount of collagen type III by promoting the proliferation of fibroblasts. Throughout the remodeling phase, LLLT mainly activates M2 macrophages and downregulates inflammatory factors, thus reducing inflammatory responses. However, it should also be noted that in the final phase of tendon repair, the use of LLLT causes excessive upregulation of some growth factors, which will lead to tendon fibrosis. 
In summary, we need to further investigate the functions and mechanisms of LLLT in the treatment of tendon injury and to clarify the nature of LLLT for the treatment of diverse tendon injury diseases."</t>
  </si>
  <si>
    <t>The efficacy of low-level laser therapy for shoulder tendinopathy: a systematic review and meta-analysis of randomized controlled trials.</t>
  </si>
  <si>
    <t>Shoulder tendinopathy</t>
  </si>
  <si>
    <t>"Seventeen randomized controlled trials (RCTs) met the inclusion criteria, and 13 RCTs were of high and 4 RCTs of moderate methodological quality.
Significant and clinically important pain relief was found with weighted mean differences (WMD) over placebo, for LLLT as monotherapy at 20.41 mm (95% CI: 12.38 to 28.44) and as adjunct to exercise therapy at 16.00 mm (95% CI: 11.88 to 20.12)."</t>
  </si>
  <si>
    <t>Tendinitis</t>
  </si>
  <si>
    <t>Lögdberg-Andersson</t>
  </si>
  <si>
    <t>Sweden
(Österåker)</t>
  </si>
  <si>
    <t>Low level laser therapy (LLLT) of tendinitis and myofascial pains a randomized, double-blind, controlled study</t>
  </si>
  <si>
    <t>🧑 Human
🎲 Randomized trial, double-blind
👥 176 participants
⌛ ~4 weeks</t>
  </si>
  <si>
    <t>Tendinitis:
Shoulder tendinitis, Epicondylitis, Trochanteritis, Other tendinitis
Myofascial pains:
Shoulder pain, Tension headache, Other myofascial pains</t>
  </si>
  <si>
    <t>0.5-
1.0</t>
  </si>
  <si>
    <t>6
/ 3-4 weeks</t>
  </si>
  <si>
    <t>"Laser therapy had a significant, positive effect compared with placebo measured from the first assessment to the third assessment, four weeks after the end of treatment. Laser treatment was most effective on acute tendinitis."</t>
  </si>
  <si>
    <t>Photobiomodulation for Tendinopathy: A Review of Preclinical Studies</t>
  </si>
  <si>
    <t>"Twenty two articles were included, half of them were partially transected, while the other half were partially traumatized. 
The most common wavelengths used were 660, 830, and 904 nm with energy density range between 1 and 17 J/cm2 and applied mostly daily. 
Fourteen studies (64%) relied merely on a single assessment. 
Histological measurements were the most common method of evaluation (75%) and 35% of studies used chemical measures. 
Mechanical outcomes were reported in four, and two studies demonstrate significant effects. 
Photobiomodulation has the potential to enhance tendon structure and function, however, inevitable embedded heterogeneity related to study design and quality of methods, light parameters delivered, and evaluations methods renders the ability to establish unified treatment parameters difficult. "</t>
  </si>
  <si>
    <t>The effect of low-level red and near-infrared photobiomodulation on pain and function in tendinopathy: a systematic review and meta-analysis of randomized control trials</t>
  </si>
  <si>
    <t>"A total of 17 trials were included (n = 835).
When compared solely to other interventions PBM resulted in similar decreases in pain (MD -0.09; 95% CI - 0.79 to 0.61) and a smaller improvement in function (SMD -0.52; 95% CI - 0.81 to - 0.23).
When PBM plus exercise was compared to sham treatment plus exercise, PBM demonstrated greater decreases in pain (MD 1.06; 95% CI 0.57 to 1.55) and improved function (MD 5.65; 95% CI 0.25 to 11.04).
When PBM plus exercise was compared to other interventions plus exercise, no differences were noted in pain levels (MD 0.31; 95% CI - 0.07 to 0.70).
Most studies were judged as low-risk of bias. The outcome measures were classified as very low to moderate evidence quality according to the Grading of Recommendation, Development and Evaluation tool."</t>
  </si>
  <si>
    <t>Girgis &amp; Duarte</t>
  </si>
  <si>
    <t>Phys Ther Sport</t>
  </si>
  <si>
    <t>Physical therapy for tendinopathy: An umbrella review of systematic reviews and meta-analyses</t>
  </si>
  <si>
    <t>📊 Meta-analysis (umbrella review)</t>
  </si>
  <si>
    <t>"40 SRs and/or MAs were included in qualitative synthesis, whereas only 5 MAs were included in quantitative synthesis. Low-level laser therapy (LLLT) intervention showed a pooled improvement in pain reduction of 1.53 cm; 95% CI, [1.14, 1.91] (I2 = 1.9%, p = 0.361) on visual analogue scale, and grip strength of 9.59 kg; 95% CI, [5.90, 13.27]."
"Moderate-quality evidence may support these following interventions: LLLT revealed a statistically and potentially clinically significant improvement in pain and function on the short-term. Extracorporeal shockwave therapy showed a statistically significant enhancement in pain and function at all follow-up durations; however, its clinical significance was undetermined. Eccentric exercise was supported by qualitative evidence only. Caution is advised when interpreting results due to possible pathological differences in tendinopathy at each region."</t>
  </si>
  <si>
    <t>Tennis elbow</t>
  </si>
  <si>
    <t>Comparison of extracorporeal shock wave therapy and high-intensity laser therapy on pain, grip strength, and function in patients with lateral epicondylalgia: a randomized controlled study</t>
  </si>
  <si>
    <t>🧑 Human
🎲 Randomized trial
👥 42 participants
⌛ 2-week treatment -&gt; 4-week follow-up</t>
  </si>
  <si>
    <t>4000
+
6000</t>
  </si>
  <si>
    <t>0.3
cm2
spot
size</t>
  </si>
  <si>
    <t>75
+
750</t>
  </si>
  <si>
    <t>"Inter-group comparison of the mean differences between baseline and end values showed that the HILT group was superior in all outcomes (P &lt; 0.05)."
Comment: Wavelength not reported in full text... BTL-6000 device seems to have to difference models, with one having 810+980 nm wavelengths and the other 1064 nm... It seems that in HILT studies the 1064 nm version is more common.</t>
  </si>
  <si>
    <t>Device: "high-intensity laser device (BTL-6000, UK)"</t>
  </si>
  <si>
    <t>Turgay</t>
  </si>
  <si>
    <t>Acta Orthop Traumatol Turc</t>
  </si>
  <si>
    <t>Comparison of low level laser therapy and extracorporeal shock wave in treatment of chronic lateral epicondylitis</t>
  </si>
  <si>
    <t>🧑 Human
⚔ Comparison study
👥 52 participants
⌛ 15-day treatment -&gt; 1-week follow-up</t>
  </si>
  <si>
    <t>15
/ 15 days (?)</t>
  </si>
  <si>
    <t>"Evidence from this study revealed that although both treatment modalities were effective in the treatment of CLE, ESWT seemed to more effective in pain relief and functional recovery than LLLT."</t>
  </si>
  <si>
    <t>Celik &amp; Anaforoglu Kulunkoglu</t>
  </si>
  <si>
    <t>Photobiomodulation Therapy Versus Extracorporeal Shock Wave Therapy in the Treatment of Lateral Epicondylitis.</t>
  </si>
  <si>
    <t>🧑 Human
⚔ Comparison study
👥 43 participants
⌛ 4-week treatment -&gt; 12-week follow-up</t>
  </si>
  <si>
    <t>0.5
cm2
spot
3.0
cm2
area</t>
  </si>
  <si>
    <t>"Improvements for elbow extension and shoulder flexion strength and for VAS movement were observed only in the PBMT group, whereas improvement of handgrip strength was present in both groups (p &lt; 0.05). 
However, handgrip strength was superior in the PBMT group than in the ESWT group (p = 0.02)."
Comment: A black-and-white photograph of PBM application is included in the full text.</t>
  </si>
  <si>
    <t>Mamais</t>
  </si>
  <si>
    <t>Effectiveness of Low Level Laser Therapy (LLLT) in the treatment of Lateral elbow tendinopathy (LET): an umbrella review.</t>
  </si>
  <si>
    <t>"Seven papers met the inclusion criteria for the umbrella review, Five papers were of moderate and two of low methodological quality."
"All reviews reported benefits associated with laser therapy Vs other intervention or placebo, however the significance of the identified benefits differed between studies and reviews. No review reported negative effects of laser therapy or harm to patients. All reviews noted significant variance between included studies with 2 reviews citing statistically significant heterogeneity. It is essential to consider this in the interpretation of these data."
"This umbrella review found poor results for the effectiveness of LLLT in the management of LET. Therefore, further research with well-designed RCTs is required to provide meaningful evidence on the effectiveness (absolute and relative) of LLLT for the management of LET."</t>
  </si>
  <si>
    <t>Baktir</t>
  </si>
  <si>
    <t>The short-term effectiveness of low-level laser, phonophoresis, and iontophoresis in patients with lateral epicondylosis.</t>
  </si>
  <si>
    <t>🧑 Human
⚔ Comparison study, randomized
👥 37 participants
⌛ 3 weeks</t>
  </si>
  <si>
    <t>⚔ Groups:
- LLLT
- phonophoresis
- iontophoresis</t>
  </si>
  <si>
    <t>0.12
(?)</t>
  </si>
  <si>
    <t>~1200
(?)</t>
  </si>
  <si>
    <t>"In our study, we observed that LLLT provides a benefit only for pain, whereas iontophoresis is beneficial for both pain and function. If the effect size is evaluated, LLLT is more influential than iontophoresis for decreasing pain."
Comment: Parameters were poorly reported.</t>
  </si>
  <si>
    <t>Device: "A GaAs diode laser instrument (Roland Serie Elettronica Pagani IR27/1; Italy)"</t>
  </si>
  <si>
    <t>Salli</t>
  </si>
  <si>
    <t>Comparison of High Intensity Laser and Epicondylitis Bandage in the Treatment of Lateral Epicondylitis.</t>
  </si>
  <si>
    <t>🧑 Human
⚔ Comparison study
👥 65 participants
⌛ 2-week treatment -&gt; 4-week follow-up (?)</t>
  </si>
  <si>
    <t>(see full text)
(unclear reporting)</t>
  </si>
  <si>
    <t>"Both groups showed significant improvement in all evaluated parameters including pain scores, hand grip strength, disability, and SF-36 scores at sixth week after the treatment (all p&lt;0.05). A comparison of percentage changes in parameters between treatment groups did not show a significant difference, except for resting visual analog scale (p=0.036) and SF-36 physical component subscale (p=0.049) scores which indicated better improvement in HILT group."
Comment: Parameters are very poorly (an unclearly) explained. I guess we could still assume they used 1064nm light similarly as in many other "HILT" studies.</t>
  </si>
  <si>
    <t>Akkurt</t>
  </si>
  <si>
    <t>Long term effects of high intensity laser therapy in lateral epicondylitis patients.</t>
  </si>
  <si>
    <t>3000</t>
  </si>
  <si>
    <t>"Whereas VAS activity, DASH, and HGST scores increased after treatment until post-treatment 6 months significantly (p = 0.001), VAS resting scores remained stable (p = 0.476). A statistically significant improvement was also evident in the physical and mental components of SF-36 scores following treatment until post-treatment 6 months compared to pre-treatment scores (p = 0.001)."
"In conclusion, the results of the present study suggest that HILT is a reliable, safe, and effective treatment option in LE patients in the short and long term considering pain, functional status, and quality of life"
Comment: No control group, but promising improvements.</t>
  </si>
  <si>
    <t>Effectiveness of high-intensity laser therapy and splinting in lateral epicondylitis; a prospective, randomized, controlled study.</t>
  </si>
  <si>
    <t>🧑 Human
🎲 Randomized trial, sham-controlled
👥 93 participants
⌛ 3-week treatment / 12-week study</t>
  </si>
  <si>
    <t>⚔ Groups:
- PBM (HILT)
- sham
- counterforce brace</t>
  </si>
  <si>
    <t>1275
(during 3 phases)</t>
  </si>
  <si>
    <t>"HILT and brace groups showed significant improvements for most evaluation parameters (pain scores, grip strength, disability scores, and several subparts of the short-form 36 health survey (physical function, role limitations due to physical functioning, bodily pain, general health, and vitality)) after treatment (after 4 and 12 weeks). However, the improvements in evaluation parameters of the patients with LE in HILT and brace groups were not reflected to ultrasonographic findings."
Comment: They apparently did not do HILT versus sham tests for statistical significance. However, HILT group had significant improvements in most variables while sham group didn't improve (no placebo effect).</t>
  </si>
  <si>
    <t>Efficacy of physical therapy for the treatment of lateral epicondylitis: a meta-analysis.</t>
  </si>
  <si>
    <t xml:space="preserve">"Bjordal et al. [7] analyzed 7 studies of LLLT for the treatment of LE. In contrast to Bjordal et al. [7] this meta-analysis identified only 2 LLLT studies which both, met inclusion criteria and published sufficient data for meta-analysis. This meta-analysis did not include six studies which were included in Buchbinder et al. [2]. Five studies were excluded due to not reported standard deviations [9, 13, 25, 26, 27], one was not included since the underlying data is not published [28, 29, 30, 31, 32, 33, 34, 35]."
"Due to the small number of studies this meta-analysis offers no interpretation concerning the effectiveness of LLLT in the treatment for LE. Bjordal et al. [7] concluded that LLLT was safe and effective and that it acted in a dose dependent manner."
</t>
  </si>
  <si>
    <t>Sims</t>
  </si>
  <si>
    <t>Hand (N Y)</t>
  </si>
  <si>
    <t>Non-surgical treatment of lateral epicondylitis: a systematic review of randomized controlled trials.</t>
  </si>
  <si>
    <t>📖 Review (~systematic)</t>
  </si>
  <si>
    <t>"Early studies of laser therapy did not show an effect of treatment whereas more recent investigations did show substantial improvement for patients treated with laser therapy over those who received placebo therapy. These beneficial effects were most apparent at 1 to 4 months of follow-up."</t>
  </si>
  <si>
    <t>Tonk</t>
  </si>
  <si>
    <t>India
(Meerut)</t>
  </si>
  <si>
    <t>Platelet rich plasma versus laser therapy in lateral epicondylitis of elbow</t>
  </si>
  <si>
    <t>🧑 Human
⚔ Comparison study
👥 81 participants
⌛ 10-day treatment -&gt; 12-month follow-up</t>
  </si>
  <si>
    <t>⚔ PBM vs platelet-rich plasma (PRP)</t>
  </si>
  <si>
    <t>300
/session</t>
  </si>
  <si>
    <t>10 (?)</t>
  </si>
  <si>
    <t>"We had seen that within group comparison for laser therapy results are statistically significant. The Nirschl pain score decreases continuously from baseline up to 12 month except immediately. When both treatment methods were compared then it was observed that these two methods differ significantly from immediate to 12 month except 3 week and 2 month. It was evident that until 2 week pain score was higher significantly in injection method (Group 1) when compared with laser (Group 2). From 3 months the pain score was lower significantly in injection group when compared with laser group and was statistically significant.
It can be concluded that low level laser therapy is better in the short term period, but upto 1 year followup, injection PRP therapy is better than laser therapy."
Comment: Dose parameters were not reported.</t>
  </si>
  <si>
    <t>Canada
(Castlegar)</t>
  </si>
  <si>
    <t>The effectiveness of therapeutic class IV (10 W) laser treatment for epicondylitis.</t>
  </si>
  <si>
    <t>🧑 Human
🎲 Randomized trial, double-blind
👥 16 participants
⌛ 18-day treatment -&gt; 1-year follow-up</t>
  </si>
  <si>
    <t>6.6</t>
  </si>
  <si>
    <t>45
cm2</t>
  </si>
  <si>
    <t>8
/ 18 days</t>
  </si>
  <si>
    <t>"In the laser treated group handgrip strength improved by 17 ± 3%, 52 ± 7%, and 66 ± 6% at 3, 6, and 12 months respectively; function improved by 44 ± 1%, 71 ± 3%, and 82 ± 2%, and pain with resistance to extension of the middle finger was reduced by 50 ± 6%, 93 ± 4%, and 100 ± 1% at 3, 6 and 12 months, respectively.
In contrast, no changes were seen until 12 months following sham treatment (12 months: strength improved by 13 ± 2%, function improved by 52 ± 3%, pain with resistance to extension of the middle finger reduced by 76 ± 2%)."</t>
  </si>
  <si>
    <t>Emanet</t>
  </si>
  <si>
    <t>Investigation of the effect of GaAs laser therapy on lateral epicondylitis.</t>
  </si>
  <si>
    <t>🧑 Human
🎲 Randomized trial, sham-controlled
👥 49 patients (50 elbows)
⌛ 3-week treatment / 12-week study</t>
  </si>
  <si>
    <t>"Although low energy laser therapy had no advantage compared to placebo in patients with LE for the short term, a significant improvement, particularly in functional parameters, was achieved in the long term. Laser, which has relatively no side effects, might be included among long-term treatment options for LE."
Comment: In my opinion, the 12wk differences between LLLT and placebo are very small. It seems they didn't measure the statistical significance of the differences between the groups.</t>
  </si>
  <si>
    <t>Device: "Endolaser 422-230 VAC, laser probe one diode laser, LP 100; Enraf-Nonius, Rotterdam, the Netherlands"</t>
  </si>
  <si>
    <t>Taiwan
(Miaoli)</t>
  </si>
  <si>
    <t>Therapeutic effects of low-level laser on lateral epicondylitis from differential interventions of Chinese-Western medicine: systematic review.</t>
  </si>
  <si>
    <t>"We selected ten articles, and in seven of them the irradiation was conducted on tender points or MTrPs in the experimental groups. In two other articles, the irradiation was conducted on acupuncture points, and the last one was conducted on both kinds of points. 
Only three articles provided sufficient data for meta-analysis.
The results revealed that applying LLLT on tender points or MTrPs is an effective means to improve the effect size (ES) of pain release after treatment (pooled ES: 0.71, 95% CI: 0.82- approximately 0.60) and follow-up (pooled ES: 1.05, 95% CI: 1.16- approximately 0.94). LLLT application was also able to increase the grip force, ROM, and weight test (p &lt; 0.05)."
Comment: In this systematic review, studies were reviewed according to PEDro.</t>
  </si>
  <si>
    <t>Comparing the effects of exercise program and low-level laser therapy with exercise program and polarized polychromatic non-coherent light (bioptron light) on the treatment of lateral elbow tendinopathy.</t>
  </si>
  <si>
    <t>🧑 Human
⚔ Comparison study
👥 50 participants (40 completed)
⌛ 4-week treatment -&gt; 3-month follow-up</t>
  </si>
  <si>
    <t>⚔ Groups:
- Exercise + LLLT
- Exercise + Bioptron
Polychromatic light 🌈</t>
  </si>
  <si>
    <t>904
vs
480-
3400</t>
  </si>
  <si>
    <t>0.130
0.040</t>
  </si>
  <si>
    <t>3.51
(6p)</t>
  </si>
  <si>
    <t>-
2.4</t>
  </si>
  <si>
    <t>180
(6 points)
1080
(3 areas)</t>
  </si>
  <si>
    <t>"There were no significant differences in the reduction of pain and the improvement of function between the groups at the end of treatment and at the 3-mo follow-up (p &gt; 0.0005 on the independent t-test)."
"The results suggest that the combination of an exercise program with LLLT or polarized polychromatic non-coherent light is an adequate treatment for patients with LET. Further research to establish the relative and absolute effectiveness of such a treatment approach is needed."
Comment: There was no negative control group.</t>
  </si>
  <si>
    <t>Device (LLLT): "class 3B Laser M 1000 (Level-Laser Co., Moglano Veneto-Milano, Italy)"</t>
  </si>
  <si>
    <t>A systematic review with procedural assessments and meta-analysis of low level laser therapy in lateral elbow tendinopathy (tennis elbow).</t>
  </si>
  <si>
    <t>"18 randomised placebo-controlled trials (RCTs) were identified with 13 RCTs (730 patients) meeting the criteria for meta-analysis. 12 RCTs satisfied half or more of the methodological criteria. Publication bias was detected by Egger's graphical test, which showed a negative direction of bias."
"The weighted mean difference (WMD) for pain relief was 10.2 mm [95% CI: 3.0 to 17.5] and the RR for global improvement was 1.36 [1.16 to 1.60]."
"Trials which targeted acupuncture points reported negative results, as did trials with wavelengths 820, 830 and 1064 nm."
"In a subgroup of five trials with 904 nm lasers and one trial with 632 nm wavelength where the lateral elbow tendon insertions were directly irradiated, WMD for pain relief was 17.2 mm [95% CI: 8.5 to 25.9] and 14.0 mm [95% CI: 7.4 to 20.6] respectively, while RR for global pain improvement was only reported for 904 nm at 1.53 [95% CI: 1.28 to 1.83]. LLLT doses in this subgroup ranged between 0.5 and 7.2 Joules."
"LLLT administered with optimal doses of 904 nm and possibly 632 nm wavelengths directly to the lateral elbow tendon insertions, seem to offer short-term pain relief and less disability in LET, both alone and in conjunction with an exercise regimen. This finding contradicts the conclusions of previous reviews which failed to assess treatment procedures, wavelengths and optimal doses."</t>
  </si>
  <si>
    <t>Oken</t>
  </si>
  <si>
    <t>The short-term efficacy of laser, brace, and ultrasound treatment in lateral epicondylitis: a prospective, randomized, controlled trial.</t>
  </si>
  <si>
    <t>🧑 Human
🎲 Randomized trial, sham-controlled
👥 58 participants
⌛ 2-week treatment -&gt; 4-week follow-up</t>
  </si>
  <si>
    <t>"The results show that, in patients with lateral epicondylitis, a brace has a shorter beneficial effect than US and laser therapy in reducing pain, and that laser therapy is more effective than the brace and US treatment in improving grip strength."</t>
  </si>
  <si>
    <t>Bjordal J</t>
  </si>
  <si>
    <t>Letter to the editor: inadequate statistical analysis hides significant effect of low level laser therapy in carpel tunnel syndrome.</t>
  </si>
  <si>
    <t>In this paper, Bjordal argues that Evcik's study actually noticed significant effects, but they weren't just noted in the original statistical analyses. He allso mentions that Evcik used possibly a suboptimal dose (too high energy).</t>
  </si>
  <si>
    <t>🧑 Human
🎲 Randomized trial
👥 81 participants
⌛ 2-week treatment / 12-week study</t>
  </si>
  <si>
    <t>14
(or 27*)</t>
  </si>
  <si>
    <t>"In using LLLT, (1) there was no difference relative to pain relief and functional capacity during the follow-up in CTS patients; (2) there were positive effects on hand and pinch grip strengths."
Comment: According to Bjordal's commentary, the dose might be 27 joules instead of 14 joules.</t>
  </si>
  <si>
    <t>Lam &amp; Cheing</t>
  </si>
  <si>
    <t>Effects of 904-nm low-level laser therapy in the management of lateral epicondylitis: a randomized controlled trial.</t>
  </si>
  <si>
    <t>🧑 Human
🎲 Randomized trial
👥 39 participants
⌛ 3-week treatment -&gt; 3-week follow-up</t>
  </si>
  <si>
    <t>0.275
/tender point
(0.66 total avg = 2.4 tender points)</t>
  </si>
  <si>
    <t>11
/tender point</t>
  </si>
  <si>
    <t>"Significantly greater improvements were shown in all outcome measures with the laser group than with the placebo group (p &lt; 0.0125), except in the two subsections of DASH."
"This study revealed that LLLT in addition to exercise is effective in relieving pain, and in improving the grip strength and subjective rating of physical function of patients with lateral epicondylitis."</t>
  </si>
  <si>
    <t>Device: "Phyaction (model 796), a gallium-arsenide (Ga-As) laser device, with a 25-W probe (model 242)"</t>
  </si>
  <si>
    <t>Effects of low-level laser and plyometric exercises in the treatment of lateral epicondylitis.</t>
  </si>
  <si>
    <t>🧑 Human
🎲 Randomized trial, sham-controlled
👥 50 participants
⌛ 8-week treatment -&gt; 8-week follow-up</t>
  </si>
  <si>
    <t>⚔ Groups:
- Plyometric exercise + PBM
- Plyometric exercise + sham</t>
  </si>
  <si>
    <t>2,4</t>
  </si>
  <si>
    <t>30
/p
(6p)</t>
  </si>
  <si>
    <t>"Relative to the group B, the group A had
(1) a significant decrease of pain at rest at the end of 8 weeks of the treatment (p &lt; 0.005) and at the end of following up period (p &lt; 0.05),
(2) a significant decrease in pain at palpation and pain on isometric testing at 8 weeks of treatment (p &lt; 0.05), and at 8 weeks follow-up (p &lt; 0.001),
(3) a significant decrease in pain during middle finger test at the end of 8 weeks of treatment (p &lt; 0.01), and at the end of the follow-up period (p &lt; 0.05),
(4) a significant decrease of pain during grip strength testing at 8 weeks of treatment (p &lt; 0.05), and at 8 weeks follow-up (p &lt; 0.001),
(5) a significant increase in the wrist range of motion at 8 weeks follow-up (p &lt; 0.01),
(6) an increase in grip strength at 8 weeks of treatment (p &lt; 0.05) and at 8 weeks follow-up (p &lt; 0.01), and
(7) a significant increase in weight-test at 8 weeks of treatment (p &lt; 0.05) and at 8 weeks follow-up (p &lt; 0.005)."
"The results suggested that the combination of laser with plyometric exercises was more effective treatment than placebo laser with the same plyometric exercises at the end of the treatment as well as at the follow-up."</t>
  </si>
  <si>
    <t>Device: "class 3B Laser M 1000 (Level-Laser Co., Moglano Veneto-Milano, Italy)"</t>
  </si>
  <si>
    <t>Re: "low-level laser therapy and lateral epicondylitis" Maher S. Phys Ther. 2006;86:1161-1167.</t>
  </si>
  <si>
    <t>"The assessment of low-level laser therapy (LLLT) in lateral epicondylitis by Maher in the August issue of Physical Therapy’s Evidence in Practice section needs some commentary. The negative conclusion is not surprising based on the few studies the author was able to retrieve; however, the conclusion may still be wrong for a number of reasons: [...]"
"It is a bit frustrating to see yet another commentary about how ineffective laser is, when in fact it may be very effective when used properly for this condition."
This was interesting: "A number of studies with negative results in lateral elbow tendinopathy9,10 state that they included patients who received steroid injections shortly before randomization. A number of LLLT trials have not specified whether such treatment had been given, which may seriously confound the results. Our research group11,12 has shown that the anti-inflammatory effect of LLLT is erased by steroids and down-regulated cortisol receptors. In addition, it has been shown that a group that received steroid injections had significantly poorer outcomes than a control group on a waiting list after 6 months.13"</t>
  </si>
  <si>
    <t>Comparison of effects of Cyriax physiotherapy, a supervised exercise programme and polarized polychromatic non-coherent light (Bioptron light) for the treatment of lateral epicondylitis</t>
  </si>
  <si>
    <t>🧑 Human
⚔ Comparison study
👥 75 participants
⌛ 4-week treatment -&gt; 24-week follow-up</t>
  </si>
  <si>
    <t>Polychromatic light 🌈
⚔ Groups:
- PBM (Bioptron)
- Cyriax physiotherapy
- supervised exercise</t>
  </si>
  <si>
    <t>360
/point
(3 points)</t>
  </si>
  <si>
    <t>"The supervised exercise programme should be the first treatment option for therapists when they manage lateral epicondylitis patients. If this is not possible, Cyriax physiotherapy and polarized polychromatic non-coherent light (Bioptron light) may be suitable."
Comment: No proper (placebo) control group. The PBM group improved clearly during the study but it cannot be said whether it's causally related to the intervention. Exercise was more effective than PBM.</t>
  </si>
  <si>
    <t>Stasinopoulos &amp; Johnson</t>
  </si>
  <si>
    <t>Effectiveness of low-level laser therapy for lateral elbow tendinopathy.</t>
  </si>
  <si>
    <t>"Nine RCTs fulfilled the criteria and were included in the review. Although these studies had satisfactory methodology, shortcomings were not absent; poor results were revealed as to the effectiveness of LLLT for LET management."
"LLLT need not be ruled out for LET as it is a dose-response modality, and the optimal treatment dose has obviously not yet have been discovered. Further research with well-designed RCTs is needed to establish the absolute and relative effectiveness of this intervention for LET."
Comment: The conclusion in the abstract is very well said. LLLT is a dose-reponse modality, and the optimal treatment dose needs to be discovered for every indication.
Note: Roberta Chow published a commentary ("Laser Acupuncture Studies Should Not Be Included in Systematic Reviews of Phototherapy"), with some useful mentions.</t>
  </si>
  <si>
    <t>Laser therapy: a randomized, controlled trial of the effects of low intensity Nd:YAG laser irradiation on lateral epicondylitis.</t>
  </si>
  <si>
    <t>🧑 Human
🎲 Randomized trial, double-blind
👥 52 participants
⌛ 4-week treatment -&gt; 28-35 day follow-up</t>
  </si>
  <si>
    <t>0.204</t>
  </si>
  <si>
    <t>12.24</t>
  </si>
  <si>
    <t>d = 5 cm</t>
  </si>
  <si>
    <t>60
/site 
(7 sites)</t>
  </si>
  <si>
    <t>"Treatment with low intensity 1.06-microm laser irradiation within the parameters of this study was a safe but ineffective treatment of lateral epicondylitis. Further research seems warranted in this controversial area."</t>
  </si>
  <si>
    <t>Simunovic</t>
  </si>
  <si>
    <t>Switzerland &amp; Croatia</t>
  </si>
  <si>
    <t>Treatment of medial and lateral epicondylitis--tennis and golfer's elbow--with low level laser therapy: a multicenter double blind, placebo-controlled clinical study on 324 patients.</t>
  </si>
  <si>
    <t>🧑 Human
⚔ Comparison study, randomized, double-blind, crossover for some patients
🗺 Multicenter
👥 324 participants
⌛ (complex; see full text)</t>
  </si>
  <si>
    <t>⚔ Groups:
- trigger point PBM
- scanning PBM
- combination PBM</t>
  </si>
  <si>
    <t>633+
830+
904</t>
  </si>
  <si>
    <t>The best result was achieved with combination therapy (trigger points + scanning). Total relief of the pain with consequently improved functional ability was achieved in 82% of acute and 66% of chronic cases</t>
  </si>
  <si>
    <t>Papadopoulos</t>
  </si>
  <si>
    <t>UK
(Southampton)</t>
  </si>
  <si>
    <t>Low-level laser therapy does not aid the management of tennis elbow</t>
  </si>
  <si>
    <t>🧑 Human
🎲 Randomized trial, double-blind
👥 29 participants
⌛ (?)</t>
  </si>
  <si>
    <t>"This suggests that LLLT at the dosage and duratiion used in this study is without benefit in the short-term management of painful tennis elbow."</t>
  </si>
  <si>
    <t>Krasheninnikoff</t>
  </si>
  <si>
    <t>No effect of low power laser in lateral epicondylitis.</t>
  </si>
  <si>
    <t>🧑 Human
🎲 Randomized trial, double-blind
👥 36 participants
⌛ 4-week treatment -&gt; 10-week follow-up</t>
  </si>
  <si>
    <t>3.6
/p</t>
  </si>
  <si>
    <t>"We conclude that low power laser offers no advantage over placebo in the treatment of musculoskeletal pain as lateral epicondylitis."</t>
  </si>
  <si>
    <t>Vasseljen</t>
  </si>
  <si>
    <t>Norway
(Trondheim)</t>
  </si>
  <si>
    <t>Low level laser versus placebo in the treatment of tennis elbow.</t>
  </si>
  <si>
    <t>🧑 Human
🎲 Randomized trial, double-blind
👥 30 participants
⌛ 3-week treatment -&gt; 4-week follow-up &amp; 6-month follow-up</t>
  </si>
  <si>
    <t>18
(from 12 diodes)</t>
  </si>
  <si>
    <t>8
(3 per week)</t>
  </si>
  <si>
    <t>"A significant improvement in the laser compared to the placebo group was found on visual analog scale (p = 0.02) and grip strength (p = 0.03) tests four weeks after treatment. In this study low level laser therapy was shown to have an effect over placebo; however, as a sole treatment for lateral epicondylitis it is of limited value."</t>
  </si>
  <si>
    <t>Device: "Combi laser C501 (Schreuder Instrumenten, Holland)"</t>
  </si>
  <si>
    <t>Low-level Laser versus Traditional Physiotherapy in the Treatment of Tennis Elbow</t>
  </si>
  <si>
    <t>🧑 Human
⚔ Comparison study
👥 30 participants
⌛ 3-week treatment -&gt; 4-week follow-up</t>
  </si>
  <si>
    <t>⚔ PBM vs physiotherapy</t>
  </si>
  <si>
    <t>0.32</t>
  </si>
  <si>
    <t>"From selection to the last assessment, a significant decrease in pain (p1 &lt; 0.01) was found in both groups, and grip strength increased significantly both in the physiotherapy (p1 = 0.01) and the laser group (p1 = 0.02). Comparing the two groups, a significant decrease in pain (p2 &lt; 0.01) was found in the traditional therapy compared to the laser group. Both treatment regimes involved in this trial relieved the symptoms of tennis elbow significantly in about half the cases, but low-level laser therapy was no more effective than traditional physiotherapy."</t>
  </si>
  <si>
    <t>Haker &amp; Lundeberg</t>
  </si>
  <si>
    <t>Lateral epicondylalgia: report of noneffective midlaser treatment.</t>
  </si>
  <si>
    <t>🧑 Human
🎲 Randomized trial, sham-controlled
👥 58 participants</t>
  </si>
  <si>
    <t>4?
+
5</t>
  </si>
  <si>
    <t>"The statistical analysis showed no significant differences in subjective or objective outcome between the laser and placebo treatments after the treatment period. However, the objective outcome indicated a difference in favor of the placebo treatment (p less than .06)."</t>
  </si>
  <si>
    <t>Is low-energy laser treatment effective in lateral epicondylalgia?</t>
  </si>
  <si>
    <t>🧑 Human
🎲 Randomized trial, double-blind
👥 49 participants
⌛ 3-4 week treatment -&gt; 12-month follow-up</t>
  </si>
  <si>
    <t>0.36
/point
(6 points)</t>
  </si>
  <si>
    <t>0.2
mm2</t>
  </si>
  <si>
    <t>10
(2-3 per week)</t>
  </si>
  <si>
    <t>"The statistical analysis showed that the laser treated group had a significant improvement in some objective outcomes after the treatment period and at the 3 mo follow-up, but there were no significant differences in the subjective outcomes between the groups. Irradia laser treatment may be a valuable therapy in lateral epicondylalgia, if carried out as described in this study. However, further studies are necessary before low energy laser can be employed as a pain-relieving method."</t>
  </si>
  <si>
    <t>Device: "Mid 1500 Irradia laser"</t>
  </si>
  <si>
    <t>Laser treatment applied to acupuncture points in lateral humeral epicondylalgia. A double-blind study.</t>
  </si>
  <si>
    <t>Acupuncture points</t>
  </si>
  <si>
    <t>0.36
/p</t>
  </si>
  <si>
    <t>"No significant differences were observed between the laser and the placebo group in relation to the subjective or objective outcome after 10 treatments or at the follow-ups."</t>
  </si>
  <si>
    <t>Device: "Mid 1500 IRRADIA laser machine"</t>
  </si>
  <si>
    <t>Effect of laser versus placebo in tennis elbow.</t>
  </si>
  <si>
    <t>Tennis Elbow</t>
  </si>
  <si>
    <t>633
904</t>
  </si>
  <si>
    <t>1.56
0.07</t>
  </si>
  <si>
    <t>&lt; 0.1
/joint
&lt; 0.005
/joint</t>
  </si>
  <si>
    <t>"The results show that laser treatment is not significantly better than placebo in treating tennis elbow."
Comment: The dose is surprisingly low.</t>
  </si>
  <si>
    <t>Tenosynovitis</t>
  </si>
  <si>
    <t>J Rheum Dis</t>
  </si>
  <si>
    <t>Effects of light-emitting diode therapy on hand stiffness and pain in non-steroidal anti-inflammatory drug-refractory patients with tenosynovitis</t>
  </si>
  <si>
    <t>🧑 Human
📄 Single-arm study
👥 12 participants
⌛ 4-week treatment -&gt; 4-week follow-up</t>
  </si>
  <si>
    <t>595+
850</t>
  </si>
  <si>
    <t>"After undergoing LEDT, participants showed clinically significant improvements in VAS pain scores at weeks 2, 4, and 8 compared to their baseline, and in VAS stiffness scores at weeks 4 and 8."</t>
  </si>
  <si>
    <t>Device: BELLALUX, MD-031R</t>
  </si>
  <si>
    <t>Tibial tendon</t>
  </si>
  <si>
    <t>Koltak &amp; Yurt</t>
  </si>
  <si>
    <t>Comparison of the effects of low level laser and insoles on pain, functioning, and muscle strength in subjects with stage 2 posterior tibial tendon dysfunction: A randomized study</t>
  </si>
  <si>
    <t>🧑 Human
⚔ Comparison study
👥 52 participants
⌛ 5-week treatment -&gt; 9-month follow-up</t>
  </si>
  <si>
    <t>0.7 - 7</t>
  </si>
  <si>
    <t>~360 
/ session
(55 per point, 3 points per foot)</t>
  </si>
  <si>
    <t>14
(3 per week)</t>
  </si>
  <si>
    <t>"Both treatments are effective in reducing treating foot pain, as well as improving the function in subjects with stage 2 PTTD. However, at the end of the 9-month follow-up, it was seen that insoles were more effective. Neither method had a clinically important effect on muscle strength."</t>
  </si>
  <si>
    <t>Device: "Laser device (Cattanooga Vectra Genisys Transport, Cattanooga Group, USA) and a Ga/Al/As laser beam of 850 nm wavelength"</t>
  </si>
  <si>
    <t>Lopes-Martins RA</t>
  </si>
  <si>
    <t>Tendinitis, an open avenue for low-level laser therapy.</t>
  </si>
  <si>
    <t>"Therefore, we consider that there is an open field for promising research in LLLT as a consistent treatment for tendinopathies."</t>
  </si>
  <si>
    <t>Phys Ther Rev</t>
  </si>
  <si>
    <t>Low Level Laser Therapy for Tendinopathy. Evidence of A Dose–Response Pattern</t>
  </si>
  <si>
    <t>"Seven trials were excluded for not meeting validity criteria on treatment procedure or trial design. Twelve of the remaining 13 trials investigated the effect of LLLT for patients with subacute and chronic tendinopathy, and provided a pooled mean effect of 21% [95% confidence interval (CI) 5.9–36.1]. If results from only the nine trials adhering to assumed optimal treatment parameters were included, the mean effect over placebo increased to 32% (95% CI: 23.0–41.0). LLLT can reduce pain in subacute and chronic tendinopathy if a valid treatment procedure and location-specific dose is used."</t>
  </si>
  <si>
    <t>Low level laser treatment of tendinopathy: a systematic review with meta-analysis.</t>
  </si>
  <si>
    <t>Tendinopathy: Achilles and epicondylitis
Importance of dosage</t>
  </si>
  <si>
    <t>The meta-analysis:
  - Twenty-five controlled clinical trials met the inclusion criteria.
  - There were conflicting findings from multiple trials: 12 showed positive effects and 13 were inconclusive or showed no effect.
  - Dosages used in the 12 positive studies would support the existence of an effective dosage window that closely resembled current
    recommended guidelines.
  - In two instances where pooling of data was possible, LLLT showed a positive effect size; in studies of lateral epicondylitis that scored
     &gt; or =6 on the PEDro   scale, participants' grip strength was 9.59 kg higher than that of the control group; for participants with Achilles
     tendinopathy, the effect was 13.6 mm less pain on a 100 mm visual analogue scale."</t>
  </si>
  <si>
    <t>Gärtner C</t>
  </si>
  <si>
    <t>Low reactive-level laser therapy (LLLT) in rheumatology: A review of the clinical experience in the author's laboratory</t>
  </si>
  <si>
    <t>"Advances in the application of low reactive-level laser therapy (LLLT) in the treatment of rheumatologic disease entities are presented from the author's experience in a major rheumatology centre in Cologne, Germany. The literature is reviewed, showing clear evidence for the effectiveness of LLLT in this field."
"An uncontrolled clinical study on the effectiveness of LLLT using a 904 nm diode GaAs laser and a mixed 904 nm and 632.8 nm (HeNe) laser in the treatment of intractable chronic tendinopathies is reported, with effective rates well over 80% for pain both at rest and in motion."</t>
  </si>
  <si>
    <t>Thyroid</t>
  </si>
  <si>
    <t>Hormones</t>
  </si>
  <si>
    <t>Serra &amp; Silveira</t>
  </si>
  <si>
    <t>Near-infrared irradiation of the thyroid area: effects on weight development and thyroid and parathyroid secretory patterns.</t>
  </si>
  <si>
    <t>LED phototherapy
Safety</t>
  </si>
  <si>
    <t>"No significant variations in weight development or changes in the secretory patterns of the thyroid and parathyroid glands exposed to near-infrared stimulation were observed, confirming the safety of this light source in the identification of the parathyroid glands."</t>
  </si>
  <si>
    <t>Morcos</t>
  </si>
  <si>
    <t>Phototherapeutic Effect of Low-Level Laser on Thyroid Gland of Gamma-Irradiated Rats.</t>
  </si>
  <si>
    <t>0.0021</t>
  </si>
  <si>
    <t>0.252</t>
  </si>
  <si>
    <t>5.73
cm2
area</t>
  </si>
  <si>
    <t>"Results revealed improvement in thyroid function, liver function and antioxidant levels, and the blood cells count after LLLT."</t>
  </si>
  <si>
    <t>Effect of three different protocols of low-level laser therapy on thyroid hormone production after dental implant placement in an experimental rabbit model.</t>
  </si>
  <si>
    <t>"Although not reaching abnormal values, LLLT applied to the mandible influenced thyroid function in this model."</t>
  </si>
  <si>
    <t>Fronza</t>
  </si>
  <si>
    <t>Assessment of the systemic effects of low-level laser therapy (LLLT) on thyroid hormone function in a rabbit model.</t>
  </si>
  <si>
    <t>"With the irradiation protocol used in this study, LLLT did not affect thyroid function in rabbits as assessed by circulating serum triiodothyronine and thyroxine levels."</t>
  </si>
  <si>
    <t>Evaluation of low intensity laser effects on the thyroid gland of male mice.</t>
  </si>
  <si>
    <t>"The hormonal level of mice was altered, being statistically significant between the first day of application and seven days after the last application. Despite the few animals used in this study, there was no morphological alteration in the histological cuts of the thyroid gland."</t>
  </si>
  <si>
    <t>Hypothyroidism</t>
  </si>
  <si>
    <t>The effect of low-level laser therapy on the oxidative stress level and quality of life in patients with Hashimoto's thyroiditis</t>
  </si>
  <si>
    <t>🧑 Human
🎲 Randomized trial, sham-controlled
👥 46 participants
⌛ 3-week treatment -&gt; 3-month follow-up</t>
  </si>
  <si>
    <t>"There was no change in thyroid function and autoimmunity at the end of the treatment between the two groups (p &gt; 0.05). 
Improvements in glutathione levels and quality of life were significantly higher in the active treatment group than in the sham-controlled group. LLLT was found to be more effective on OS and quality of life in patients with HT than in patients in the sham-controlled group.""</t>
  </si>
  <si>
    <t>Berisha-Muharremi</t>
  </si>
  <si>
    <t>Kosovo
(Prishtina)</t>
  </si>
  <si>
    <t>Efficacy of Combined Photobiomodulation Therapy with Supplements versus Supplements alone in Restoring Thyroid Gland Homeostasis in Hashimoto Thyroiditis: A Clinical Feasibility Parallel Trial with 6-Months Follow-Up</t>
  </si>
  <si>
    <t>🧑 Human
📄 Non-randomized study, controlled
👥 74 participants (38 completed)
⌛ 3-week treatment -&gt; 6-month follow-up</t>
  </si>
  <si>
    <t>20
/point
(8 points)</t>
  </si>
  <si>
    <t>"Our findings showed significant improvement in group 1 parameters (PBM+ supplements) compared with group 2 (supplements only) in terms of weight loss and reduction in the following parameters: BMI, hip and waist circumference, waist/hip ratio, TSH, antiTPO, antiTG and treatment dose of LT4 (p &lt; 0.05)."
"Our results, for the first time, demonstrated an efficacy of PBM delivered at a lower fluence with supplements in restoring thyroid function, anthropometric parameters and lifestyle factors in patients with HT. Hence, extensive studies with a longer follow-up period are warranted."</t>
  </si>
  <si>
    <t>Device: Omega XP, Laser Systems Limited, Essex, UK
Application: In contact with the skin / Stationary application
Measurements: at pretreatment -&gt; 3-month posttreatment -&gt; 6-month posttreatment
TSH (PBM): 3.50 -&gt; 0.85 -&gt; 1.25 || FT4 (PBM): 1.34 -&gt; 3.08 -&gt; 1.85 || FT3 (PBM): 3.70 -&gt; 5.8 -&gt; 5.15
TSH (ctrl): 2.92 -&gt; 3.35 -&gt; 3.05    || FT4 (ctrl): 1.53 -&gt; 1.36 -&gt; 1.28    || FT3 (ctrl): 4.10 -&gt; 3.90 -&gt; 3.80
TPOAb (PBM): 523.60 -&gt; 100.15 -&gt; 88.25 || BMI (PBM): 29.71 -&gt; 28.39 -&gt; 27.69
TPOAb (ctrl): 219.75 -&gt; 167.50 -&gt; 171.85  || BMI (ctrl): 30.69 -&gt; 30.80 -&gt; 30.92</t>
  </si>
  <si>
    <t>Low-Level Laser Therapy in the Treatment of Autoimmune Thyroiditis</t>
  </si>
  <si>
    <t>"Investigations indicated that besides current treatment strategies, LLLT could be a promising therapeutic approach for the treatment of AIT."</t>
  </si>
  <si>
    <t>Mun</t>
  </si>
  <si>
    <t>Effect of Low-level Laser Therapy on Propylthiouracil-induced Hypothyroidism Model Mice: A Pilot Study</t>
  </si>
  <si>
    <t>"LLLT did not affect the thyroid gland function in PTU-induced hypothyroidism mice."</t>
  </si>
  <si>
    <t>Ercetin</t>
  </si>
  <si>
    <t>Impact of Photobiomodulation on T3/T4 Ratio and Quality of Life in Hashimoto Thyroiditis.</t>
  </si>
  <si>
    <t>🧑 Human
🎲 Randomized trial
👥 350 participants
⌛ 3-day treatment -&gt; 3-month follow-up</t>
  </si>
  <si>
    <t>16
(8p)</t>
  </si>
  <si>
    <t>28.57</t>
  </si>
  <si>
    <t>0.56
cm2
area
irradiated
(incl. 8 points)</t>
  </si>
  <si>
    <t>20
(/point?)</t>
  </si>
  <si>
    <t>6
 / 3 days</t>
  </si>
  <si>
    <t>"As we compare both groups, the increase in T3 levels and T3/T4 ratio was markedly superior in Group 1 (p = 0.0001). The decrease in thyroid peroxidase antibody (TPO Ab) levels was also significantly different between both groups (p = 0.0001). Hormone replacement needs were also significantly decreased in Group 1 compared with Group 2 (p = 0.03)."
"All patients demonstrated a decrease in LT4 doses and 60 (28.5%) patients stopped using LT4 completely at the end of third month."
Comment: The paper title mentions 'quality of life' but the results don't address the changes in quality of life. Also, TSH values are not shown in the results.</t>
  </si>
  <si>
    <t>Device: "continuous wave GaAIAs-type diode laser [Intelect Mobile Laser, Model No: 2779, Product Year: 2016; Chattanooga Group (A Division of Encore Medical), Hixton, TN] with a treatment area of 0.07 cm2 (circular beam shape)"</t>
  </si>
  <si>
    <t>Höfling</t>
  </si>
  <si>
    <t>Int J Endocrinol</t>
  </si>
  <si>
    <t>Safety and Efficacy of Low-Level Laser Therapy in Autoimmune Thyroiditis: Long-Term Follow-Up Study.</t>
  </si>
  <si>
    <r>
      <rPr>
        <sz val="7.0"/>
      </rPr>
      <t xml:space="preserve">🧑 Human
📄Follow-up of a randomized trial
👥 43 participants
⌛ 6-year follow-up after original RCT
</t>
    </r>
    <r>
      <rPr>
        <i/>
        <sz val="7.0"/>
      </rPr>
      <t>(secondary publication of Höfling et al. 2013)</t>
    </r>
  </si>
  <si>
    <t>Autoimmune hypothyroidism</t>
  </si>
  <si>
    <t>17.68</t>
  </si>
  <si>
    <t>2
/point
(~20 points)</t>
  </si>
  <si>
    <t>707</t>
  </si>
  <si>
    <t>0.2827
mm2
beam
area</t>
  </si>
  <si>
    <t>"The levothyroxine dose required by group L was significantly lower than that required by group P (P = 0.002). The anti-TPO and anti-Tg levels did not differ between the groups."
"LLLT, by the methods described, has been shown to be safe for the treatment of hypothyroidism"</t>
  </si>
  <si>
    <t>Effects of low-level laser therapy on the serum TGF-β1 concentrations in individuals with autoimmune thyroiditis.</t>
  </si>
  <si>
    <r>
      <rPr>
        <sz val="7.0"/>
      </rPr>
      <t xml:space="preserve">🧑 Human
</t>
    </r>
    <r>
      <rPr>
        <i/>
        <sz val="7.0"/>
      </rPr>
      <t>(secondary publication of Höfling et al. 2013)</t>
    </r>
  </si>
  <si>
    <t>"This finding suggested that the significant increase in serum TGF-β1 levels in patients with CAT-induced hypothyroidism was associated with the thyroid LLLT procedure. Future studies of the effect of LLLT on TGF-β1 gene expression in thyroid tissue are necessary to confirm these findings."</t>
  </si>
  <si>
    <t>Low-level laser in the treatment of patients with hypothyroidism induced by chronic autoimmune thyroiditis: a randomized, placebo-controlled clinical trial.</t>
  </si>
  <si>
    <t>🧑 Human
🎲 Randomized trial, sham-controlled
👥 43 participants
⌛ 5-week treatment -&gt; 30-day post-treatment period -&gt; 9-month follow-up starting with LT4 withdrawal</t>
  </si>
  <si>
    <t>"The results showed a significant difference in the mean levothyroxine dose required to treat the hypothyroidism between the L group (38.59 ± 20.22 μg/day) and the P group (106.88 ± 22.90 μg/day, P&lt;0.001). Lower TPOAb (P=0.043) and greater echogenicity (P&lt;0.001) were also noted in the L group."</t>
  </si>
  <si>
    <t>Irradiated points: "The total number of perforations within the contours of the gland varied based on the size of the thyroid projection area on the skin, which was determined with the aid of ultrasound. Thus, the larger the demarcated area, the greater the number of irradiated points."
Irradiated points: It seems that based on the Höfling et al. 2014 paper's Fig. 1, the number of irradiated points is approximately 20.</t>
  </si>
  <si>
    <t>ISRN Endocrinol</t>
  </si>
  <si>
    <t>Assessment of the effects of low-level laser therapy on the thyroid vascularization of patients with autoimmune hypothyroidism by color Doppler ultrasound.</t>
  </si>
  <si>
    <r>
      <rPr>
        <sz val="7.0"/>
      </rPr>
      <t>🧑 Human
(</t>
    </r>
    <r>
      <rPr>
        <i/>
        <sz val="7.0"/>
      </rPr>
      <t>same patient sample as in Höfling et al. 2013</t>
    </r>
    <r>
      <rPr>
        <sz val="7.0"/>
      </rPr>
      <t>)</t>
    </r>
  </si>
  <si>
    <t>LLLT improved thyroid vascularization in the patients.</t>
  </si>
  <si>
    <t>Low-level laser therapy in chronic autoimmune thyroiditis: a pilot study.</t>
  </si>
  <si>
    <t>🧑 Human
Pilot study</t>
  </si>
  <si>
    <t>38-
208</t>
  </si>
  <si>
    <t>38-108</t>
  </si>
  <si>
    <t>0.2827
mm2</t>
  </si>
  <si>
    <t>The first English paper on treating hypothyroid patients with LLLT. 47% of patients could discontinue thyroxine medication.</t>
  </si>
  <si>
    <t>Morphology</t>
  </si>
  <si>
    <t>Brazil
(Igrejinha)</t>
  </si>
  <si>
    <t>Systemic Effects of Photobiomodulation on the Morphology of the Thyroid and Sublingual Glands: A Study in Rabbits</t>
  </si>
  <si>
    <t>Sublingual gland (salivary glands)</t>
  </si>
  <si>
    <t>"PBM, based on the irradiation protocol used in this study, does not cause morphological changes in the thyroid and sublingual glands when used to stimulate peri-implant bone healing in the rabbit mandible."</t>
  </si>
  <si>
    <t>Parrado</t>
  </si>
  <si>
    <t>A quantitative investigation of microvascular changes in the thyroid gland after infrared (IR) laser radiation.</t>
  </si>
  <si>
    <t>3.12</t>
  </si>
  <si>
    <t>0.0961
cm2
spot</t>
  </si>
  <si>
    <t>"Electron microscopic analysis revealed an increased luminal area in the capillaries of the irradiated rats. They also presented a decrease in endothelial cell thickness and vesicular diameter and an increase in vesicle numerical density. This latter increase is indicative of presumptive changes in capillary permeability, but the possible functional significance of these morphological changes in the endothelial cells requires further investigation."
Full text: http://revistas.um.es/hh/article/viewFile/128091/119331</t>
  </si>
  <si>
    <t>Lerma</t>
  </si>
  <si>
    <t>The effect of HeNe laser radiation on the thyroid gland of the rat.</t>
  </si>
  <si>
    <t>"In summary, it is clear that low-intensity laser irradiation produces mild focal lesions in the thyroid follicular cells, which ultimately revert to normal. In the long term, the more significant pathological changes were an increase in the number of peroxisomes and the formation of free or intramitochondrial crystalline structures. The absence of clinical signs and changes in serum hormonal levels were related to the low degree of the lesions described."</t>
  </si>
  <si>
    <t>Parafollicular cells</t>
  </si>
  <si>
    <t>Ayala &amp; Hernandez</t>
  </si>
  <si>
    <t>Structural and immunohistochemical study of the effects of low incident energy infrared laser radiation on thyroid ‘c’ cells in white rats demonstrates an increased immunohistochemical reaction</t>
  </si>
  <si>
    <t>10-
60</t>
  </si>
  <si>
    <t>"Thyroid tissue from the IR-L treated animals demonstrated an increase in the ‘C’ cell population, and immunohistochemical hyperactivity with signs of calcitonin. "</t>
  </si>
  <si>
    <t>Radiation-induced thyroid dysfunction</t>
  </si>
  <si>
    <t>Effect of Photobiomodulation on Restoration of Ionization Radiation-Induced Thyroid Dysfunction Through p53 and Retinoblastoma Signaling</t>
  </si>
  <si>
    <t>"PBM restored ionizing radiation-induced thyroid follicular cell dysfunction by increasing cAMP proliferation and expression. PBM is effective for ionizing radiation-induced hypothyroidism by complementing cell proliferation and cAMP, presenting a novel method for clinical application."</t>
  </si>
  <si>
    <t>The Use of a Light-Emitting Diode Device for Neck Rejuvenation and Its Safety on Thyroid Glands</t>
  </si>
  <si>
    <t>🧑 Human
📄 Single-arm study
👥 30 participants
⌛ 16-week treatment -&gt; 8-week follow-up</t>
  </si>
  <si>
    <t>LED phototherapy
LED array (60 red LEDs and 60 NIR LEDs)</t>
  </si>
  <si>
    <t>daily for 16 weeks</t>
  </si>
  <si>
    <t>"Evaluation using the Lemperle wrinkle scale and global improvement scales by both investigators and subjects showed significant improvement after 16 weeks of daily application, as well as 8 weeks after discontinuation. Biophysical parameters, such as hydration, elasticity, and density, also showed significant improvements.
Hence, the long-term use of the LED device was safe and effective for neck rejuvenation, and showed no significant side effects on the adjacent thyroid and parathyroid glands."</t>
  </si>
  <si>
    <t>Patients: "Adult women with clinically visible skin aging or wrinkles on the neck were eligible for this study."
Device: "The home-use light-emitting diode (LED) neck device (SWL1, LG Electronics, Seoul, Korea)"; see Figure 1
Thyroid hormone levels at baseline, week 16 (post-treatment) and week 24 (after follow-up):
TSH:    1.90 -&gt; 1.60 -&gt; 1.71
T4:       7.51 -&gt; 7.09 -&gt; 7.41
T3:       0.90 -&gt; 1.06 -&gt; 1.59
TpoAb: 10.0 -&gt; 9.79 -&gt; 9.28 
TgAb:   16.9 -&gt; 26.5 -&gt; 25.3</t>
  </si>
  <si>
    <t>Environmental toxicants</t>
  </si>
  <si>
    <t>Vorobyeva</t>
  </si>
  <si>
    <t>Effects of photobiomodulation on Daphnia magna Straus and their sensitivity to toxicant.</t>
  </si>
  <si>
    <t>Daphnia magna straus</t>
  </si>
  <si>
    <t>"It was found that PBM in some cases significantly influenced the fertility of both irradiated crustaceans and their non-irradiated offspring."
"By selecting two fluences (9±2 mJ/cm2 reducing fertility and 4.3±0.9 J/cm2 increasing it) the effect of these on toxicity of cadmium sulfate was evaluated."
"These experiments have shown that prior irradiation with low-intensity light of a helium-neon laser with 632.8 nm wavelength can change the sensitivity of aquatic organisms to toxin cadmium sulfate. The degree and direction of changes depend on the toxicant concentration and the irradiation dose."</t>
  </si>
  <si>
    <r>
      <rPr>
        <sz val="7.0"/>
      </rPr>
      <t xml:space="preserve">Snake venom </t>
    </r>
    <r>
      <rPr>
        <sz val="5.0"/>
      </rPr>
      <t>(Bothrops leucurus)</t>
    </r>
  </si>
  <si>
    <t>Brazil
(Ilhéus)</t>
  </si>
  <si>
    <t>Effect of combined red and infrared wavelengths on inflammation, hemorrhage, and muscle damage caused by Bothrops leucurus snake venom</t>
  </si>
  <si>
    <t>every 24h for 144h</t>
  </si>
  <si>
    <t>"Both wavelengths reduced the intensity of inflammation and the combination between them significantly intensified the anti-inflammatory response. Photobiomodulation also changed the type of inflammatory infiltrate observed and RIG had the highest percentage of mononuclear cells in relation to the other groups. 
Hemorrhage intensity was significantly lower in treated animals and RIG had the highest number of individuals in which this variable was classified as mild. As for collagen deposition, there was a significant increase in RG in relation to CG, in RIG in relation to CG and in RIG in relation to IG. 
Photobiomodulation proved to be effective in the treatment of inflammation and hemorrhage caused by B. leucurus venom and stimulated collagen deposition. Better results were obtained with the combined wavelengths."</t>
  </si>
  <si>
    <t>Photobiomodulation mitigates Bothrops jararacussu venom-induced damage in myoblast cells by enhancing myogenic factors and reducing cytokine production</t>
  </si>
  <si>
    <t>"The PBM applied to C2C12 cells exposed to BjsuV promoted cell migration, increase the expression of myogenic factors (Pax7, MyF5, MyoD and myogenin), reduced the levels of proinflammatory cytokines, IL1-β, IL-6, TNF-alfa, and increased the levels of anti-inflammatory cytokine IL-10. In addition, PBM downregulates the expression of NF-kB, and had no effect on p38 MAKP."
"These data demonstrated that protection of the muscle cell by PBM seems to be related to the increase of myogenic factors as well as the modulation of inflammatory mediators. PBM therapy may offer a new therapeutic strategy to address the local effects of snakebite envenoming by promoting muscle regeneration and reducing the inflammatory process."</t>
  </si>
  <si>
    <t>JAMA Intern Med</t>
  </si>
  <si>
    <t>Photobiomodulation Therapy to Treat Snakebites Caused by Bothrops atrox: A Randomized Clinical Trial</t>
  </si>
  <si>
    <t>🧑 Human
🎲 Randomized trial, double-blind
👥 60 participants
⌛ single treatment (?) -&gt; 48-h follow-up -&gt; 4-6 month second follow-up (?)</t>
  </si>
  <si>
    <t>red+
NIR
(??)</t>
  </si>
  <si>
    <t>"Creatine kinase was significantly lower in the LLLT group (mean [SD], 163.7 [160.0] U/L) 48 hours after admission in relation to the comparator (412.4 [441.3] U/L) (P = .03). 
Mean (SD) pain intensity (2.9 [2.7] vs 5.0 [2.4]; P = .004), circumference measurement ratio (6.6% [6.6%] vs 17.1% [11.6%]; P &lt; .001), and edema extent (25.8 [15.0] vs 40.1 [22.7] cm; P = .002) were significantly lower in the LLLT group in relation to the comparator. 
No difference was observed between the groups regarding the mean difference between the bite site temperature and the contralateral limb. 
Secondary infections, necrosis, disability outcomes, and the frequency of need for analgesics were similar in both groups. No adverse event was observed."</t>
  </si>
  <si>
    <t>Bothrops atrox mice experimental envenoming treatment using light-emitting diode (led) as an adjunct therapy to conventional serum therapy</t>
  </si>
  <si>
    <t>3.6
/point
(1 point?)</t>
  </si>
  <si>
    <t>1.2
cm2
beam
area</t>
  </si>
  <si>
    <t>"The evaluation of the treatment alone showed that serum therapy is not effective for the treatment of local damage and photobiomodulation demonstrated to be an effective therapy to reduce leukocyte infiltration, hemorrhage, and myotoxicity in experimental envenoming; dexamethasone proved to be a good resource for the treatment of the inflammatory process reducing the leukocyte infiltration. The association of serum therapy, LED, and dexamethasone was the best treatment to reduce the local effects caused by Bothrops atrox venom."</t>
  </si>
  <si>
    <t>Device: "model Super Bright LEDs, Inc., St. Louis, MO, USA"</t>
  </si>
  <si>
    <t>Clinical effects of combined red and infrared wavelengths in the treatment of local injuries caused by Bothrops leucurus snake venom</t>
  </si>
  <si>
    <t>daily
(up to 6 days)</t>
  </si>
  <si>
    <t>"The treatments prevented the loss of the proprioception reflex, accelerated the reestablishment of the damaged area, and reduced claudication, local hemorrhage, and edematogenic activity caused by bothropic venom. Both wavelengths reduced serum concentrations of creatine kinase (CK) and aspartate aminotransferase (AST) and increased muscle concentration of CK."
"The combined wavelengths caused a significant reduction in serum enzyme concentrations and a better clinical response when compared to the isolated treatments."</t>
  </si>
  <si>
    <t>Photobiomodulation therapy on local effects induced by juvenile and adult venoms of Bothrops alternatus</t>
  </si>
  <si>
    <t>"Edema, inflammatory infiltrate, hyperalgesia, and myonecrosis were analyzed. Both venoms induced significant edema and myonecrosis in the gastrocnemius muscle. Hyperalgesia in the mice paw and a prominent leukocyte infiltrate into the peritoneum were also observed. PBM significantly reduced all evaluated parameters."</t>
  </si>
  <si>
    <t>Light Emitting Diode Photobiomodulation Enhances Oxidative Redox Capacity in Murine Macrophages Stimulated with Bothrops jararacussu Venom and Isolated PLA2s</t>
  </si>
  <si>
    <t>"These findings show that LED photobiomodulation treatment protects macrophages, at least in part, by reducing oxidative stress caused B. jararacussu venom and toxins."</t>
  </si>
  <si>
    <t>Benefits of Sebastiania hispida (Euphorbiaceae) extract and photobiomodulation therapy as potentially adjunctive strategies to be explored against snake envenoming</t>
  </si>
  <si>
    <t>0.16
cm2
spot
size</t>
  </si>
  <si>
    <t>"Gastrocnemius of [plant extract] and [laser irradiation] groups had a significant reduction of edema and creatine kinase (CK) activities and a greater Myogenin (MyoG) expression compared to VBm group, with the plant extract efficacy better than laser exposure."
Comment: The 35mW power output over 18 seconds should equal to 0.63 joules instead of the reported 0.04 joules.</t>
  </si>
  <si>
    <t>Exploring the ability of low-level laser irradiation to reduce myonecrosis and increase Myogenin transcription after Bothrops jararacussu envenomation</t>
  </si>
  <si>
    <t>"PBMT was able to reduce the myonecrotic area at 48 and 72 h after envenomation. There was a significant increase of MyoG mRNA expression at 72 h after venom injection. 
The data suggest that beyond the protective effect promoted by PBMT against Bjssu-induced myonecrosis, the low-level laser irradiation was able to stimulate the satellite cells, thus enhancing the muscle repair by improving myogenic differentiation."</t>
  </si>
  <si>
    <t>Lauria</t>
  </si>
  <si>
    <t>Effects of photobiomodulation therapy on the local experimental envenoming by Bothrops leucurus snake</t>
  </si>
  <si>
    <t>40
70</t>
  </si>
  <si>
    <t>1.000
1.750</t>
  </si>
  <si>
    <t>4.8
4.2</t>
  </si>
  <si>
    <t>120
105</t>
  </si>
  <si>
    <t>120
60</t>
  </si>
  <si>
    <t>"PBMT promoted anti-hypernociception in BLV-injected mice; irradiation with the 660 nm laser resulted in faster effect onset than the 780 nm laser. Both laser protocols reduced paw edema formation, whether irradiation was performed immediately or half an hour after venom injection. BLV-induced hemorrhage was not altered by PBMT.
Laser irradiation delayed, but did not prevent myotoxicity caused by BLV, as shown by a late increase in CK activity and histopathological alterations. PBMT was effective in the control of some of the major local effects of BLV refractory to antivenom."</t>
  </si>
  <si>
    <t>Chem Biol Interact</t>
  </si>
  <si>
    <t>Effect of light emitting diode photobiomodulation on murine macrophage function after Bothrops envenomation</t>
  </si>
  <si>
    <t>3.6
/point</t>
  </si>
  <si>
    <t>"LED treatment caused an increase in the viability of macrophages incubated with BjV. This treatment reduced reactive oxygen species (ROS) and nitric oxide (NO) production by macrophages after incubation with BjV. However, LED treatment did not interfere with IL-1β and IL-10 production by macrophages after incubation with BjV.
In conclusion, this study showed that LED treatment has the potential to be used in combination with conventional serum therapy to prevent or minimize the progression of local to severe symptoms after Bothrops envenomation."</t>
  </si>
  <si>
    <t>Device (LED): "model Super Bright LEDs, Inc., St. Louis, MO, USA"</t>
  </si>
  <si>
    <t>Gouveia</t>
  </si>
  <si>
    <t>Photobiomodulation reduces cell death and cytokine production in C2C12 cells exposed to Bothrops venoms.</t>
  </si>
  <si>
    <t>4.4</t>
  </si>
  <si>
    <t>"Our results showed that the application of PBM increases cell viability and decreases cell death by apoptosis and necrosis. Moreover, the release of pro-inflammatory interleukins was also reduced. The data reported here indicate that PBM resulted in cytoprotection on myoblast C2C12 cells after venom exposure. This protection involves the modulation of cell death mechanism and decreased pro-inflammatory cytokine release."</t>
  </si>
  <si>
    <t>Pereira Dos Reis</t>
  </si>
  <si>
    <t>Light emitting diode (LED) photobiomodulation therapy on murine macrophage exposed to Bothropstoxin-I and Bothropstoxin-II myotoxins.</t>
  </si>
  <si>
    <t>"In this study, we analysed the photobiomodulation effect of LED on the activation of murine macrophages induced by BthTX-I or BthTX-II isolated from Bothrops jararacussu venom. 
Photobiomodulation caused an increase in mitochondrial metabolism and a considerable decrease in cytotoxicity in murine macrophages. Moreover, it induced a decrease in reactive oxygen species and nitrogen liberation. However, photobiomodulation caused an increase in macrophage phagocytic capacity and lipid droplet formation."</t>
  </si>
  <si>
    <t>Light Emitting Diode (LED) therapy reduces local pathological changes induced by Bothrops asper snake venom.</t>
  </si>
  <si>
    <t>44
40</t>
  </si>
  <si>
    <t>"LED treatment reduced edema formation in the plantar region and gastrocnemius muscle and significantly reduced neutrophil migration and hyperalgesia after the venom injection. 
Also, both infrared LED and red LED treatment significantly reduced myonecrosis, as revealed by muscle CK and plasma CK levels. Histological analysis corroborated the reduction in the extent of venom-induced myonecrosis."
"Results demonstrated that venom subjected to prior irradiation showed the same toxicity profile observed with nonirradiated venom, demonstrating that the beneficial effects of LED treatment on venom-induced damage are not mediated by a direct inactivation of venom toxins by LED light"</t>
  </si>
  <si>
    <t>Photobiomodulation therapy on bothrops snake venom-induced local pathological effects: A systematic review.</t>
  </si>
  <si>
    <t>"Sixteen studies were selected from 54 original articles targeted PBMT (low-level laser or light emitting diode) as a complementary tool for local effects treatment induced by snakebites, and all its assessments. Articles were critically assessed by two independent raters with a structured tool for rating the research quality. 
PBMT demonstrate to be a promising tool for local treatment effects caused by snakebite by reducing local edema, hyperalgesia, leukocyte influx and myonecrosis and accelerating tissue regeneration related to myotoxicity. However, the mechanism is not well understood and additional studies are needed."</t>
  </si>
  <si>
    <t>Vibrational spectroscopy of muscular tissue intoxicated by snake venom and exposed to photobiomodulation therapy.</t>
  </si>
  <si>
    <t>"The infrared spectra suggest that laser treatment was able to change protein in tissue and that such change indicates collagen as the main target. We hypothesize that the findings reflect remodeling of ECM with key participation of collagen and faster tissue recovery for an anabolic condition."</t>
  </si>
  <si>
    <t>Int J Biol Macromol</t>
  </si>
  <si>
    <t>Photobiomodulation of local alterations induced by BthTX-I, a phospholipase A2 myotoxin from Bothrops jararacussu snake venom: In vivo and in vitro evaluation.</t>
  </si>
  <si>
    <t>🐁 Mouse
(+🧪 In vitro)</t>
  </si>
  <si>
    <t>In vitro: C2C12 cells</t>
  </si>
  <si>
    <t>"PBM significantly reduced paw edema formation, peritoneal leukocyte influx and PGE2 synthesis, but increased the viability of C2C12 muscle cells after BthTX-I incubation. These findings demonstrate that PBM attenuated the inflammatory events induced by BthTX-I."</t>
  </si>
  <si>
    <t>Effects of photobiomodulation therapy on Bothrops moojeni snake-envenomed gastrocnemius of mice using enzymatic biomarkers.</t>
  </si>
  <si>
    <t>10
35</t>
  </si>
  <si>
    <t>1.2
0.64(?)</t>
  </si>
  <si>
    <t>0.07
0.16
cm2</t>
  </si>
  <si>
    <t>120
18</t>
  </si>
  <si>
    <t>"GaAs laser promoted faster photobiomodulation therapy (PBMT) effects, and the GaAs group exhibited a better clinical outcome than the HeNe group. Within the GaAs group, the serum levels of CK, LDH, AP, AST, and myoglobin, which were increased by the physiological effects of the venom, were reduced to initial baseline before snake envenomation in less time than those irradiated by the HeNe laser. However, the group receiving irradiation from the HeNe laser returned the levels of ALP activity to baseline faster than those of the GaAs group. Histopathological analysis revealed enhanced muscle regeneration in mice groups treated with both lasers. 
PBM promoted by GaAs and HeNe showed well-developed centrally nucleate regenerating cells and an increased number of newly formed blood vessels when compared to unirradiated muscle. We therefore suggest that GaAs had the best outcomes likely derived from a deeper penetrating longer wavelength."
Comment: In the 904nm group, the paper states that the total energy was 0.04 J even though when you calculate based on area*energy density or power*time, you get approximately 0.64 J. It's possible that the actual dose was 0.64 and not 0.04 joules.
Comment: According to the paper, power densities are 0.03 and 0.21 mW/cm2. These values are not possibly to calculate from power output and spot size, and the order of magnitude is completely wrong. It seems that the parameter reporting has gone very wrong in this paper.
[See Additional info (on the right) for extra thoughts on the errors in this paper.]</t>
  </si>
  <si>
    <t>Comment by Peter Jenkins (on FB):
"Although I am no longer surprised, I am always disappointed when such errors and omissions in key parameters make it past reviewers and editors who absolutely should know better. In this case, the errors are many and varied. 
In Table 1, the HeNe parameters appear to be correct, except that [A] the Power Density is under-reported by a factor of 1000 (if the 120 second emission period and the Energy Density is assumed to be somewhat correct); and, [B] the reported beam Spot Size is (most likely) that at aperture, rather than at the target site, which is stated to be at 1 cm distance. 
The GaAs parameters, however, are more difficult to untangle. Again the PD is obviously under-reported by a factor of 1000, but in this case the stated PD is correct assuming the Spot Size is that at the irradiated surface and not the aperture. One could then assume that the ED is also correct, but then the Energy is understated by a factor of 1000.
But therein lies the point: In a scientific paper one should NOT have to ASSUME anything, especially the values of critical parameters that constitute the MEDICINE and the DOSE, and which can (and SHOULD!!!) be measured.
There are also other problems with this work, but they are, perhaps, for another time. 
For now, I would agree with the authors' conclusion, that "...our results suggest that PBMT can be a promising, non-invasive tool to be used as adjuvant of serum therapy in pre-clinical tests viewing to counteract the local and systemic effects of envenoming by Bothrops snakes. The mechanism behind this action is a relevant matter to pursue.". 
However, pursuing the mechanism is made more difficult by the fact that, in mis-reporting critical parameters, the Authors have ensured their work cannot be accurately reproduced and, so, can now only be considered junk science. Further, the peer-review and editorial processes are complicit in this failure."</t>
  </si>
  <si>
    <t>Effect of photobiomodulation on endothelial cell exposed to Bothrops jararaca venom.</t>
  </si>
  <si>
    <t>4
5</t>
  </si>
  <si>
    <t>"PBM at 660 and 780 nm wavelength was able to increase cellular viability and decrease the release of LDH and the loss of cellular integrity. In addition, the concentration of pro-inflammatory cytokine IL1-β was reduced after PBM by both wavelengths.
The data reported herein indicates that irradiation with red or near-infrared laser resulted in protection on endothelial cells after exposure to Bothrops venom and could be, at least in part, a reasonable explanation by the beneficial effects of PBM inhibiting the local effects induced by Bothrops venoms, in vivo."</t>
  </si>
  <si>
    <t>Low-Level Laser Therapy (904 nm) Counteracts Motor Deficit of Mice Hind Limb following Skeletal Muscle Injury Caused by Snakebite-Mimicking Intramuscular Venom Injection.</t>
  </si>
  <si>
    <t>"The venom + laser group kept the values at 3 hours post-Bjssu equal to that at 24 hours before Bjssu injection indicating that the GaAs laser therapy improved spatially and temporally gait parameters at the critical injury period caused by Bjssu."</t>
  </si>
  <si>
    <t>Photobiomodulation Protects and Promotes Differentiation of C2C12 Myoblast Cells Exposed to Snake Venom.</t>
  </si>
  <si>
    <t>"Infrared and red laser at all energy densities were able to considerably decrease venom-induced cytotoxicity. Laser irradiation induced myoblasts to differentiate into myotubes and this effect was accompanied by up regulation of MyoD and specially myogenin. Moreover, LLL was able to reduce the extracellular while increased the intracellular ATP content after venom exposure."</t>
  </si>
  <si>
    <t>Photobiostimulation reduces edema formation induced in mice by Lys-49 phospholipases A2 isolated from Bothrops moojeni venom.</t>
  </si>
  <si>
    <t>LLLT+LED
LLLT vs LED
LED phototherapy
Wavelength comparison
PBM vs antivenom</t>
  </si>
  <si>
    <t>685
(laser)
635
945
(LED)</t>
  </si>
  <si>
    <t>2.2
4.0
3.8</t>
  </si>
  <si>
    <t>15
41
38</t>
  </si>
  <si>
    <t>2
2
2</t>
  </si>
  <si>
    <t>"LLL and LED irradiation significantly reduced the edema formation by both myotoxins from 1 up to 6 hours after the injection. Both LLL and LEDs were similar in reducing the edema formation induced by myotoxins. The combined photobiostimulation with antivenom had the same effect in reducing edema as treatment with the LLL or LEDs alone."</t>
  </si>
  <si>
    <t>Aranha de Sousa</t>
  </si>
  <si>
    <t>Brazil
(Macapa)</t>
  </si>
  <si>
    <t>Effects of a low-level semiconductor gallium arsenide laser on local pathological alterations induced by Bothrops moojeni snake venom.</t>
  </si>
  <si>
    <t>"The results indicated that GaAs laser irradiation can help in reducing some local effects produced by the B. moojeni venom in mice, stimulating phagocytosis, proliferation of myoblasts and the regeneration of muscle fibers."</t>
  </si>
  <si>
    <t>Effects of photobiostimulation on edema and hemorrhage induced by Bothrops moojeni venom.</t>
  </si>
  <si>
    <t>685
635
945</t>
  </si>
  <si>
    <t>"In conclusion, both LLL and LED irradiation reduced venom-induced local effects even though symptoms were already present."</t>
  </si>
  <si>
    <t>Low-level laser therapy promotes vascular endothelial growth factor receptor-1 expression in endothelial and nonendothelial cells of mice gastrocnemius exposed to snake venom.</t>
  </si>
  <si>
    <t>"At 3 days, LLLT increased angiogenesis (80%:HeNe vs 40%:GaAs), decreased neutrophils and increased proliferation of regenerating cells. However, after 21 days, myoregeneration observed in the [633nm] group appeared delayed compared with the V group. As LLLT improved revascularization, the suggestive delay in myoregeneration could be a dose-response inhibitory effect caused by multiple irradiations in myogenesis."</t>
  </si>
  <si>
    <t>Doin-Silva</t>
  </si>
  <si>
    <t>The ability of low level laser therapy to prevent muscle tissue damage induced by snake venom.</t>
  </si>
  <si>
    <t>🐀 Rat nerve-muscle prepa🐀 Ration</t>
  </si>
  <si>
    <t>Myonecrosis</t>
  </si>
  <si>
    <t xml:space="preserve">0.2
cm2
</t>
  </si>
  <si>
    <t>"We conclude that HeNe laser irradiation at a dosage of 3.5 J cm(-2) effectively reduces myonecrosis and the neuromuscular transmission blocking effect caused by B. jararacussu snake venom."</t>
  </si>
  <si>
    <t>Effect of low-level laser therapy in the myonecrosis induced by Bothrops jararacussu snake venom.</t>
  </si>
  <si>
    <t>Myonecrosis
LLLT vs antivenom</t>
  </si>
  <si>
    <t>"LLLT significantly reduced myonecrosis by 83.5% at 24 h (p &lt; 0.05) but not at 3 h, and AV therapy alone was ineffective for reducing myonecrosis at 3 and 24 h."</t>
  </si>
  <si>
    <t>Effect of low-level laser therapy in the inflammatory response induced by Bothrops jararacussu snake venom.</t>
  </si>
  <si>
    <t>"In conclusion, LLLT significantly reduced the edema and leukocyte influx into the envenomed muscle, suggesting that LLLT should be considered as a potentially therapeutic approach for the treatment of the local effects of Bothrops species."</t>
  </si>
  <si>
    <t>Effects of the Ga-As laser irradiation on myonecrosis caused by Bothrops Moojeni snake venom.</t>
  </si>
  <si>
    <t>0.0176
cm2</t>
  </si>
  <si>
    <t>5
8</t>
  </si>
  <si>
    <t>"Ga-As irradiation significantly decreased the amount of myonecrosis in all the periods tested (P &lt; 0.05)."</t>
  </si>
  <si>
    <t>Spider venom</t>
  </si>
  <si>
    <t>J Drug Target</t>
  </si>
  <si>
    <t>The combined treatment of gold nanoparticles associated with photobiomodulation accelerate the healing of dermonecrotic lesion</t>
  </si>
  <si>
    <t>Groups:
- prednisolone + laser 
- GNPs + laser
- Pred-GNPs + laser</t>
  </si>
  <si>
    <t>"All treatments combinations were effective in promoting the reduction of necrotic tissue and erythema."
Comment: No negative control group?</t>
  </si>
  <si>
    <t>Wasp venom</t>
  </si>
  <si>
    <t>Grześk</t>
  </si>
  <si>
    <t>Modulatory effect of laser irradiation on mastoparan-7-induced contraction.</t>
  </si>
  <si>
    <t>Ex vivo
(🐀 Rat)</t>
  </si>
  <si>
    <t>"The primary aim of the present study was to evaluate the modulatory effect of laser stimulation on vascular smooth muscle contraction induced by direct stimulation of G-protein with mastoparan-7. Experiments were performed on isolated and perfused tail arteries of Wistar rats."
"The results from the present study suggested that contraction induced by direct activation of G-protein with mastoparan-7 may by effectively inhibited by laser radiation, and that the effect was associated with an inhibition of Ca2+ influx from both intracellular and extracellular Ca2+ stores."
Comment: Parameters were poorly reported.</t>
  </si>
  <si>
    <t>Turtles</t>
  </si>
  <si>
    <t>Skin and shell ulceration</t>
  </si>
  <si>
    <t>Kraut</t>
  </si>
  <si>
    <t>Germany
(Birkenfeld)</t>
  </si>
  <si>
    <t>Tierarztl Prax Ausg K Kleintiere Heimtiere</t>
  </si>
  <si>
    <t>Laser therapy in a soft-shelled turtle (Pelodiscus sinensis) for the treatment of skin and shell ulceration. A case report.</t>
  </si>
  <si>
    <t>Soft-shelled turtle
📄 Case report</t>
  </si>
  <si>
    <t>"The presented case report describes aetiology including differential diagnoses, diagnostic procedures and therapy of a soft-shelled turtle (Pelodiscus sinensis) suffering from a septicaemic ulcerative dermatitis. Central aspect hereby is the positive curing effect of laser therapy on skin and shell lesions."</t>
  </si>
  <si>
    <t>Ultra-low level laser</t>
  </si>
  <si>
    <t>Italy
(Cassino)</t>
  </si>
  <si>
    <t>Ultra-Low-Level Laser Therapy and Acupuncture Libralux: What Is so Special?</t>
  </si>
  <si>
    <t>Review / Advertisement ?</t>
  </si>
  <si>
    <t>Gallamini</t>
  </si>
  <si>
    <t>Biolite: A Patented Ultra-Low-Level Laser-Therapy Device for Treating Musculoskeletal Pain and Associated Impairments.</t>
  </si>
  <si>
    <t>Advertisement</t>
  </si>
  <si>
    <t>Italy
(Arenzano)</t>
  </si>
  <si>
    <t>Ultra-low-level laser therapy.</t>
  </si>
  <si>
    <t>"The present paper reviews the existing experimental evidence available on ULLLT. Furthermore, the puzzling issue of the biophysical mechanisms that lie at the basis of the method is explored and some hypotheses are proposed. Besides presenting the state-of-the-art about this novel photobiostimulation therapy, the present paper aims to open up an interdisciplinary discussion and stimulate new research on this subject."</t>
  </si>
  <si>
    <t>Uncategorized</t>
  </si>
  <si>
    <t>Jaswal</t>
  </si>
  <si>
    <t>Colloids Surf B Biointerfaces</t>
  </si>
  <si>
    <t>Nanographene-Au fine-tuning to intensify plasmonic-resonance of polymeric hybrid bionanosystem for synergistic phototherapy and nerve photobiomodulation</t>
  </si>
  <si>
    <t>"More than 90% of cancer cells, breast cancer (MCF-7) as well as colon cancer (CT-26), ablated after 5 min of low NIR (808 nm) laser power (0.72 W/cm2) illumination with nRGO@AuNP-PCL (2.0 mg) aligned nanofibrous scaffolds. Besides, the nRGO@AuNP-PCL (2.0 mg) provided an extraordinary microenvironment for adhesion, nerve growth, proliferation, and differentiation of PC12 and S42 cells which mimics the natural extracellular matrix. The 2.5-fold increase in neurite length was observed with NIR illumination after 3 days whereas 1.7-fold was found without NIR illumination after 7 days in comparison to PCL (pure)."
"The current findings will be useful to provide a new crucial approach for preparing biocompatible multifunctional composite plasmonic nanofibers as a highly efficient distinct platform for photothermal therapies and promising bioimplants to overcome the loss of sensation after cancer surgery through nerve photobiomodulation."</t>
  </si>
  <si>
    <t>Feeling the Heat: Evolutionary and Microbial Basis for the Analgesic Mechanisms of Photobiomodulation Therapy.</t>
  </si>
  <si>
    <t>Pain / analgesia mechanisms</t>
  </si>
  <si>
    <t>"This discussion article is referenced from an expanded range of peer reviewed publications, including literature associated with evolutionary biology, microbiology, oncology, and photo-optical imaging technology, amongst others."
"Materials drawn from many disparate disciplines is described. By inference from the current evidence base, a novel theory is offered to partially explain the cellular basis of PBM-induced analgesia. It is proposed that this may involve the activity of a class of transmembrane proteins known as uncoupling proteins. Furthermore, it is proposed that this may activate the heat stress protein response and that intracellur microthermal inclines may be of significance in PBM analgesia. It is suggested that the PBM dose response as a simple binary model of PBM effects as represented by the Arndt-Schulz law is clinically less useful than a multiphasic biological response."</t>
  </si>
  <si>
    <t>Dias Schalch</t>
  </si>
  <si>
    <t>Photomodulation of the osteoclastogenic potential of oral squamous carcinoma cells.</t>
  </si>
  <si>
    <t>"The irradiation of SCC9 cells with PBM with an energy density of 4 J/cm2 decreased the pro-osteoclastogenic potential of those cells. This may represent a potential useful side effect of PBM therapy. PBM (using recommended parameters for mucositis treatment) decreases the osteoclastogenic potential of oral squamous carcinoma cells."</t>
  </si>
  <si>
    <t>Havel</t>
  </si>
  <si>
    <t>Diode laser-induced tissue effects: in vitro tissue model study and in vivo evaluation of wound healing following non-contact application.</t>
  </si>
  <si>
    <t>Homeostasis &amp; stress</t>
  </si>
  <si>
    <t>Microenvironment Dependent Photobiomodulation on Function-Specific Signal Transduction Pathways</t>
  </si>
  <si>
    <t>"A low level laser irradiation or monochromatic light may promote the activation of partially activated NSP and/or its redundant NSP so that it may induce the second-order phase transition of a function from its dysfunctional one far from its FSH to its normal one in a function-specific microenvironment and may also induce the first-order functional phase transition of the normal function from low level to high level."
Comment: Quite a strange paper...</t>
  </si>
  <si>
    <t>Photobiomodulation on Stress</t>
  </si>
  <si>
    <t>"LLL cannot modulate a successful stress, but can modulate a chronic stress until it is successful."
Comment: Quite a strange paper...</t>
  </si>
  <si>
    <t>Liposomes</t>
  </si>
  <si>
    <t>The effect of MLS laser radiation on cell lipid membrane.</t>
  </si>
  <si>
    <t>"The fluidity and stability of liposomes subjected to such irradiation changed depending on the parameters of radiation used."</t>
  </si>
  <si>
    <t>Tissue repair</t>
  </si>
  <si>
    <t>Laser therapy in the tissue repair process: a literature review.</t>
  </si>
  <si>
    <t>"The majority of authors report that laser therapy speeds up the process of tissue repair, but further studies are suggested to determine the best parameters to be used."</t>
  </si>
  <si>
    <t>The efficacy of low-power lasers in tissue repair and pain control: a meta-analysis study.</t>
  </si>
  <si>
    <t>"The positive effect of treatment on specific indices of tissue repair was evident in the treatment effect sizes determined as follows:
collagen formation (d = +2.78),
rate of healing (d = +1.57),
tensile strength (d = +2.13),
time needed for wound closure (d = +0.76),
tensile stress (d = +2.65),
number and rate of degranulation of mast cells (d = +1.87),
and flap survival (d = +1.95).
Further, analysis revealed the positive effects of various wavelengths of laser light on tissue repair, with 632.8 nm having the highest treatment effect (d = +2.44) and 780 nm the least (d = 0.60). The overall treatment effect for pain control was positive as well (d = +1.11)."</t>
  </si>
  <si>
    <t>Urology / Gynaecology</t>
  </si>
  <si>
    <t>Nocturnal enuresis (pediatric)</t>
  </si>
  <si>
    <t>The Effects of Laser Acupuncture Therapy on Nocturnal Enuresis: A Systematic Review and Meta-Analysis</t>
  </si>
  <si>
    <t>"Eleven studies using laser acupuncture therapy (LAT), involving 927 participants, were included for a systematic review."
"LAT seems to be an effective and safe treatment for NE; however, the quality of evidence available in the literature was relatively low."</t>
  </si>
  <si>
    <t>Overactive bladder</t>
  </si>
  <si>
    <t>Efficacy and safety of skin-adhesive low-level light therapy for overactive bladder: a Phase III study</t>
  </si>
  <si>
    <t>🧑 Human
🎲 Randomized trial, double-blind
🗺 Multicenter
👥 160 participants
⌛ 12 weeks</t>
  </si>
  <si>
    <t>3/day
for 12 weeks</t>
  </si>
  <si>
    <t>"Compared with those in the sham group, the numbers of UUI and urinary incontinence episodes in the LLLT group were significantly decreased at week 12 (UUI, (-1.0 ± 1.7 vs. -0.4 ± 2.5, P = 0.003; urinary incontinence, -1.1 ± 1.9 vs. -0.5 ± 2.9, P=0.002). 
Furthermore, the OABSS, UDI-6, and IIQ-7 scores at week 12 tended to be better in the LLLT group than in the sham group."</t>
  </si>
  <si>
    <t>Anatomical location: "We selected two of the acupuncture points often used to treat OAB, namely, CV6 (Qihai), approximately two fingerbreadths inferior to the umbilicus, and CV4 (Guanyuan), approximately two fingerbreadths inferior to CV4 (Fig. ​(Fig.2).2)."</t>
  </si>
  <si>
    <t>Urinary incontinence</t>
  </si>
  <si>
    <t>Effect of photobiomodulation associated with strengthening pelvic floor muscles in volunteers with urinary incontinence: a randomized, double-blinded, and placebo-controlled clinical trial</t>
  </si>
  <si>
    <t>🧑 Human (♀)
🎲 Randomized trial
👥 22 participants
⌛ (?)</t>
  </si>
  <si>
    <t>3
/ point
(18 total)</t>
  </si>
  <si>
    <t>30
/ point</t>
  </si>
  <si>
    <t>"We concluded that photobiomodulation treatment showed significant efficacy in relation to muscle fatigue in the pelvic apparatus right after a strengthening program in women with stress urinary incontinence."
Comment: The authors mostly report the within-group differences. The between-group differences are nonexistent for many outcomes.</t>
  </si>
  <si>
    <t>Pilates Method and/or Photobiomodulation Therapy Combined to Static Magnetic Field in Women with Stress Urinary Incontinence: A Randomized, Double-Blind, Placebo-Controlled Clinical Trial</t>
  </si>
  <si>
    <t>🧑 Human
🎲 Randomized trial
👥 38 participants
⌛ 12 weeks</t>
  </si>
  <si>
    <t>⚔ PBM+sMF vs pilates vs combination</t>
  </si>
  <si>
    <t>54.15
/session</t>
  </si>
  <si>
    <t>240
(4 sites)</t>
  </si>
  <si>
    <t>No differences between the groups (PBM vs PBM+pilates vs pilates)</t>
  </si>
  <si>
    <t>Urinary bladder</t>
  </si>
  <si>
    <t>Low Urin Tract Symptoms</t>
  </si>
  <si>
    <t>Pulse Diode Laser Irradiation (830 nm) of Lumbosacral Spinal Roots Diminished Hyperreflexia-Induced by Acetic Acid or Prostaglandin E2 Infusion in Rat Urinary Bladder.</t>
  </si>
  <si>
    <t>1000
(CW)
10000
(P)</t>
  </si>
  <si>
    <t>1.5
cm2</t>
  </si>
  <si>
    <t>"During continuous saline infusion to the urinary bladder, neither continuous (1 W) nor pulse (10 W) laser irradiation altered the intercontraction interval and nerve firing during distention of the bladder. Pulse laser, but not continuous laser irradiation, increased the intercontraction interval with AA or PGE2 infusion and diminished nerve firing during distention of the bladder with AA or PGE2 infusion."</t>
  </si>
  <si>
    <r>
      <rPr>
        <b/>
        <color rgb="FF980000"/>
        <sz val="9.0"/>
      </rPr>
      <t xml:space="preserve">★
</t>
    </r>
    <r>
      <rPr>
        <b/>
        <color rgb="FF980000"/>
        <sz val="6.0"/>
      </rPr>
      <t>📷
📹</t>
    </r>
  </si>
  <si>
    <t>Vestibular system</t>
  </si>
  <si>
    <t>Near infrared (NIr) light increases expression of a marker of mitochondrial function in the mouse vestibular sensory epithelium.</t>
  </si>
  <si>
    <t>"Figure 2 shows a significant increase in β-actin normalized SOD-1 expression of more than 2-fold in young NIr-treated animals compared to young sham-treated animals (p &lt; 0.01) and young NIr-blocked animals (p &lt; 0.01). Older NIr-treated animals also showed more than a 2-fold up-regulation of SOD-1 when compared with older NIr-blocked animals (p &lt; 0.05)."
"Since there are currently no available, affordable, non-invasive methods of therapy to improve vestibular hair cell function, the application of external NIr radiation provides a potential strategy to counteract the impact of aging on cellular metabolism inthe vestibular sensory epithelium."
Star: The article contains a very high-quality video depicting many of the relevant phases of the study execution. Two photographs are also supplied.
Comment: Parameters weren't reported, though they can be found from other papers of the same research group.</t>
  </si>
  <si>
    <t>Veterinary medicine</t>
  </si>
  <si>
    <t>Bovine: navel wounds (neonatal)</t>
  </si>
  <si>
    <t>de Souza Faria</t>
  </si>
  <si>
    <t>Application of phototherapy for the healing of the navels of neonatal dairy calves.</t>
  </si>
  <si>
    <t>Bovine (calf)</t>
  </si>
  <si>
    <t>Omphalitis</t>
  </si>
  <si>
    <t>0.385
cm2</t>
  </si>
  <si>
    <t>"The results revealed that phototherapy hastened the falling off the umbilical stump, accelerated navel healing, and reduced the mortality rate in newborn calves. Therefore, this study introduced a preventive and adjuvant after birth treatment that proved to be effective in reducing the incidences of omphalitis and newborn mortality."</t>
  </si>
  <si>
    <t>Bovine:teat wounds</t>
  </si>
  <si>
    <t>Ghamsari</t>
  </si>
  <si>
    <t>Br Vet J</t>
  </si>
  <si>
    <t>Evaluation of wound healing of the teat with and without low level laser therapy in dairy cattle by laser doppler flowmetry in comparison with histopathology, tensiometry and hydroxyproline analysis</t>
  </si>
  <si>
    <t>"The epidermis in LLLT groups more closely resembled the normal epidermis, and collagen fibres were denser, thicker and better arranged in LLLT than in non-LLLT groups. LDF, tensiometry and hydroxyproline analysis correlated well with histopathological examination."</t>
  </si>
  <si>
    <t>Histopathological effects of low level laser therapy on secondary healing of teat wounds in dairy cattle</t>
  </si>
  <si>
    <t>1.21
2.42
3.64</t>
  </si>
  <si>
    <t>300
600
900</t>
  </si>
  <si>
    <t>"The posthealing histoarchitectural view of irradiated specimens, particularly in Groups A and B, suggests that low level laser therapy has a beneficial influence on wound healing."</t>
  </si>
  <si>
    <t>Evaluation of low level laser therapy on open wound healing of the teat in dairy cattle</t>
  </si>
  <si>
    <t>"The durations of healing were 18.5 ± 0.5 days for group A; 19 ± 0.7 days for group B; 23 ± 0.7 days for group C; and 24.5 ± 0.5 days for group D, respectively."</t>
  </si>
  <si>
    <t>Dogs: alopecia X</t>
  </si>
  <si>
    <t>Comparison between melatonin versus melatonin and photobiomodulation versus photobiomodulation in the treatment of Alopecia X in German Spitz dogs: Clinical, randomized, double-blind, parallel, non-inferiority protocol</t>
  </si>
  <si>
    <t>Dogs: cognitive dysfunction</t>
  </si>
  <si>
    <t>Transcranial photobiomodulation therapy improves cognitive test scores in dogs with presumptive canine cognitive dysfunction: A case series of five dogs</t>
  </si>
  <si>
    <t>🐶 Dog (n= 5, case series)</t>
  </si>
  <si>
    <t>"Cognitive scores showed improvement in 4/5 dogs at 30 days (27.6% reduction) and all dogs at 60 days (43.4% reduction). There were no adverse effects attributable to tPBMT."
"Results of our small case series suggest that tPBMT may improve cognitive scores in dogs with moderate to severe CCD by 30 days of application and the improvement is sustained at 60 days. Further studies are needed to ascertain optimal tPBMT protocols for CCD."</t>
  </si>
  <si>
    <t>Dogs: dermatitis</t>
  </si>
  <si>
    <t>Declara</t>
  </si>
  <si>
    <t>Evaluation of the Impact of Near-Infrared Multiwavelength Locked System Laser Therapy on Skin Microbiome in Atopic Dogs</t>
  </si>
  <si>
    <t>🐶 Dog (n= 20), self-controlled</t>
  </si>
  <si>
    <t>"The results showed that while microbiome composition and diversity were not significantly affected, PBM could play a role in modulating the abundance of specific bacterial species, in particular Staphylococcus, that represent a major skin pathogenic strain. To the best of the authors' knowledge, this is the first study to investigate the potential impact of MLS® laser therapy on the skin microbiome in atopic dogs."</t>
  </si>
  <si>
    <t>Device: "Multiwavelength Locked Laser System, MLS®"</t>
  </si>
  <si>
    <t>Schnedeker</t>
  </si>
  <si>
    <t>USA
(Fairfax, VA)</t>
  </si>
  <si>
    <t>Is low-level laser therapy useful as an adjunctive treatment for canine acral lick dermatitis? A randomized, double-blinded, sham-controlled study</t>
  </si>
  <si>
    <t>🐶 Dog
🎲 Randomized trial, double-blind</t>
  </si>
  <si>
    <t>470+
640+
(?)</t>
  </si>
  <si>
    <t>3.93</t>
  </si>
  <si>
    <t>"Thirteen dogs (six CG, seven TG) were enrolled. There were no significant differences in median LVAS, lesion/ulcer size or thickness of the ALD lesion between TG and CG. There was a significantly greater increase (24%) in hair growth in TG (P = 0.0081) compared to CG."</t>
  </si>
  <si>
    <t>Perego</t>
  </si>
  <si>
    <t>Low-level laser therapy: Case-control study in dogs with sterile pyogranulomatous pododermatitis</t>
  </si>
  <si>
    <t>Pyogranulomatous pododermatitis</t>
  </si>
  <si>
    <t>"Given the positive results of this first clinical study, it would be interesting to extend the number of dogs treated to confirm the validity of low level laser therapy in sterile pyogranulomatous pododermatitis in the dog."</t>
  </si>
  <si>
    <t>Device: "The laser used for this study was the B-808- CURE LLLT (Good-Energies), a portable laser for human use, lightweight (173 g), and equipped with rechargeable batteries. It is a diode laser having a GaAlAs solid medium, with a power of 250 mW (micro-pulsed to ensure greater effectiveness and penetration) and a wavelength of 808 nm (infrared). The energy density is 0.9 J/min/cm2 , whereas the peak energy of 14.4 J/min is for the entire treated surface"</t>
  </si>
  <si>
    <t>Dogs: dermatology</t>
  </si>
  <si>
    <t>Italy
(Lodi)</t>
  </si>
  <si>
    <t>Vet Sci</t>
  </si>
  <si>
    <t>Critically Appraised Topic on Low-Level Laser Therapy (LLLT) in Dogs: An Advisable Treatment for Skin Diseases?</t>
  </si>
  <si>
    <t>"The evaluation of the best accessible evidence in July 2022 suggests that fluorescence biomodulation (FBM), a type of LLLT, can, in combination with systemic antibiotic therapy, be a promising and effective adjunctive treatment for canine interdigital pyoderma and canine deep pyoderma. Furthermore, the evidence suggests that the use of LLLT is not recommended as a therapy for pedal pruritus secondary to canine atopic dermatitis. For other canine skin diseases included in the CAT, although LLLT appears to be a promising treatment, there is not yet good scientific evidence to recommend its use."</t>
  </si>
  <si>
    <t>Dogs: diarrhea</t>
  </si>
  <si>
    <t>The effect of photobiomodulation therapy on the management of chronic idiopathic large-bowel diarrhea in dogs</t>
  </si>
  <si>
    <t>2400+
9600</t>
  </si>
  <si>
    <t>500
cm2
area
(entire
abdomen)</t>
  </si>
  <si>
    <t>"PBMT significantly improved clinical signs and frequency of diarrhea episodes compared to psyllium husk."</t>
  </si>
  <si>
    <t>Dogs: fractures</t>
  </si>
  <si>
    <t>Mexico &amp; USA</t>
  </si>
  <si>
    <t>Vet Med Sci</t>
  </si>
  <si>
    <t>Photobiomodulation therapy combined with static magnetic field in tibial fracture healing of a dog: A case report</t>
  </si>
  <si>
    <t>🐶 Dog (case report)</t>
  </si>
  <si>
    <t>LED phototherapy (+ laser diode)</t>
  </si>
  <si>
    <t>42
/ 21 days</t>
  </si>
  <si>
    <t>"This case report has reported the use of PBMT-sMF in order to accelerate and improve bone healing following a MIPO procedure on a complete transverse fracture in the proximal tibia of a puppy."</t>
  </si>
  <si>
    <t>Dogs: furunculosis</t>
  </si>
  <si>
    <t>Marchegiani</t>
  </si>
  <si>
    <t>Italy
(Camerino)</t>
  </si>
  <si>
    <t>Front Vet Sci</t>
  </si>
  <si>
    <t>Fluorescence Biomodulation for Canine Interdigital Furunculosis: Updates for Once-Weekly Schedule</t>
  </si>
  <si>
    <t>440-
460</t>
  </si>
  <si>
    <t>0.055-
0.129</t>
  </si>
  <si>
    <t>"The results obtained demonstrated that once weekly application of FBM exerts the same beneficial effect on interdigital furunculosis healing as per twice weekly, indicating that once weekly regimen is well tolerated and is yielding similar results to twice weekly applications."</t>
  </si>
  <si>
    <t>Dogs: Gingivitis</t>
  </si>
  <si>
    <t>Veterinary Dental Photobiomodulation: Assessing Post-Treatment Gingival Inflammation in Canines</t>
  </si>
  <si>
    <t>🐶 Dog (n = 45)</t>
  </si>
  <si>
    <t>"The results indicate that the canines who received a single photobiomodulation treatment on the left dental arcade demonstrated a decrease in inflammation and erythema."</t>
  </si>
  <si>
    <t>J Vet Dent</t>
  </si>
  <si>
    <t>The Effect of Photobiomodulation Therapy on Inflammation Following Dental Prophylaxis</t>
  </si>
  <si>
    <t>🐶 Dog (n = 47)</t>
  </si>
  <si>
    <t>"The PBMT group (PG) showed significantly lower gingivitis scores from day 1 to 15 post-treatment."</t>
  </si>
  <si>
    <t>Dogs: osteoarthritis</t>
  </si>
  <si>
    <t>A Preliminary Report on the Combined Effect of Intra-Articular Platelet-Rich Plasma Injections and Photobiomodulation in Canine Osteoarthritis</t>
  </si>
  <si>
    <t>🐶 Dog (n = 30)</t>
  </si>
  <si>
    <t>⚔ Groups:
- PRP
- PBM
- PRP+PBM</t>
  </si>
  <si>
    <t>350 cm2 treatment area</t>
  </si>
  <si>
    <t>6
/ 3 weeks
(unevenly)
(1st month)
-&gt;
2 / 2 months</t>
  </si>
  <si>
    <t>"All treatments produced clinically significant improvements compared to the assessment on treatment day. The combination of PRP and photobiomodulation produced greater, longer-lasting improvements."</t>
  </si>
  <si>
    <t>Italy &amp; UK</t>
  </si>
  <si>
    <t>Effects of low-level laser therapy on impaired mobility in dogs with naturally occurring osteoarthritis</t>
  </si>
  <si>
    <t>🐶 Dog (n = 23)</t>
  </si>
  <si>
    <t>"The number of daily activities increased during week 2 (161,674; SD, 103,666) and remained higher than baseline (93,481; SD, 107,878) until week 6 (179,309; SD, 126,044; p &lt; 0.001). Daily step count increased from week 1 (4472; SD, 3427) compared to baseline (1109; SD, 1061) and remained higher than the baseline until the end of week 6 (8416; SD, 3166; p &lt; 0.001)."
Comment: No control group</t>
  </si>
  <si>
    <t>A randomized double-blinded controlled trial on the effects of photobiomodulation therapy in dogs with osteoarthritis</t>
  </si>
  <si>
    <t>🐶 Dog (n = 40)</t>
  </si>
  <si>
    <t>⚔ PBM vs meloxicam</t>
  </si>
  <si>
    <t>980
or
808+
980
(if light coat color)</t>
  </si>
  <si>
    <t>"Better results were observed in PBMT at 
+8 days (P = 0.01 for PSS, P = 0.04 for function and COI), 
+15 days (P = 0.01 for PSS and function, P = 0.02 for PIS and function, P = 0.03 for COI and P = 0.04 for Liverpool Osteoarthritis in Dogs [LOAD])  and 
+30 days (P = 0.01 for function and gait, P = 0.02 for COI, and P = 0.04 for PIS, PSS, and LOAD). 
Joint range of motion improved in PBMT from +15 to 90 days. Kaplan-Meier estimators showed that PBMT produced longer periods with better results."</t>
  </si>
  <si>
    <t>Barger</t>
  </si>
  <si>
    <t>J Am Anim Hosp Assoc</t>
  </si>
  <si>
    <t>Low-Level Laser Therapy for Osteoarthritis Treatment in Dogs at Missouri Veterinary Practice.</t>
  </si>
  <si>
    <t>"A qualitative survey was electronically distributed to practicing veterinarians in the state of Missouri to evaluate the frequency of use and economic impact of low-level laser therapy (LLLT) for the treatment of osteoarthritis (OA) in dogs in Missouri. The survey response rate was 10% (89/867).Approximately half (43%) of respondents had LLLT units, of which all used LLLT for OA treatment in dogs. 
In respondents without LLLT units, 20% referred patients for LLLT OA treatment. Training was most often obtained in-house by a representative of the LLLT unit manufacturer (76%). Treatment dose was largely unknown and chosen by predetermined settings on the LLLT unit (65%). In the majority of patients (84%), no treatment site preparation was performed.  An average of four patients with OA were treated per wk with an average cost per treated joint of $28 (range: $15–45).
This study provides insight into the current clinical use and estimated annual economic impact ($6.2 million per year) of treating a single OA joint in dogs with LLLT by Missouri veterinarians. The frequency with which LLLT is used in the treatment of OA combined with the variation in training and treatment protocols supports the need for further research regarding the application and efficacy of LLLT in dogs with OA."</t>
  </si>
  <si>
    <t>Dogs: periocular dermatitis</t>
  </si>
  <si>
    <t>Knollinger</t>
  </si>
  <si>
    <t>Treatment of canine periocular dermatitis with rhytidectomy (surgical face-lift) and fluorescence photobiomodulation: A case report</t>
  </si>
  <si>
    <t>"Canine periocular dermatitis may be associated with excessive facial folds and heavy brows (EFF-HB). There is no gold standard therapy for EFF-HB-associated periocular dermatitis, and conventional medical management may fail. Herein, we describe periocular fluorescence photobiomodulation and rhytidectomy as novel approaches to treat EFF-HB-associated periocular dermatitis refractory to medical management."</t>
  </si>
  <si>
    <t>Dogs: wounds</t>
  </si>
  <si>
    <t>Hoisang</t>
  </si>
  <si>
    <t>Assessment of wound area reduction on chronic wounds in dogs with photobiomodulation therapy: A randomized controlled clinical trial</t>
  </si>
  <si>
    <t>🐶 Dog
🎲 Randomized trial</t>
  </si>
  <si>
    <t>830
660+
875+
905</t>
  </si>
  <si>
    <t>"A significant difference in the percentage of wound area reduction was noted between the C and PBMT groups (L1 and L2; p&lt;0.05). The average percentages of wound area reduction at the end of the study (15 days) were 42.39±20.58, 56.98±24.82, and 61.81±27.18 in the C, L1, and L2 groups, respectively."</t>
  </si>
  <si>
    <t>Rico-Holgado</t>
  </si>
  <si>
    <t>Effect of Low-Level Laser Therapy on Bacterial Counts of Contaminated Traumatic Wounds in Dogs</t>
  </si>
  <si>
    <t>🐶 Dog (clinical)
🎲 Randomized trial, sham-controlled
👥 14 participants</t>
  </si>
  <si>
    <t>660+
800+
905+
970</t>
  </si>
  <si>
    <t>2
6</t>
  </si>
  <si>
    <t>"A statistically significant reduction in the average count of colony forming units was observed in group B (2 J/cm2) when compared to placebo group C. Group B also showed improved wound scores. No clinically adverse effects were observed in the patients treated with LLLT."
Comment: The sample size is very small for a study comparing three groups.</t>
  </si>
  <si>
    <t>Salvaggio</t>
  </si>
  <si>
    <t>Effect of the topical Klox fluorescence biomodulation system on the healing of canine surgical wounds</t>
  </si>
  <si>
    <t>🐶 Dog (n = 10)</t>
  </si>
  <si>
    <t>Fluorescence PBM</t>
  </si>
  <si>
    <t>"Half of the length of each surgical wound was treated with Phovia, and the remaining 50% was treated with saline solution on the first day after surgery and every 3 days until day 13."
"Phovia therapy improved re-epithelialization, decreased dermal inflammation, and improved matrix formation in uncomplicated cutaneous incisional wounds by regulating the expression of key biological mediators."</t>
  </si>
  <si>
    <t>Wardlaw</t>
  </si>
  <si>
    <t>USA
(Starkville, MS)</t>
  </si>
  <si>
    <t>Laser Therapy for Incision Healing in 9 Dogs</t>
  </si>
  <si>
    <t>850
670</t>
  </si>
  <si>
    <t>"The surgical incisions in four dogs healed faster and more cosmetically with PBM induced by laser therapy using 8 J/cm2 daily for 7 days. The improved healing and cosmetic score could be seen beginning at day 7 and continued to be improved for 3 weeks after surgery."</t>
  </si>
  <si>
    <t>Kurach</t>
  </si>
  <si>
    <t>USA
(East Lansing, MI)</t>
  </si>
  <si>
    <t>The Effect of Low-Level Laser Therapy on the Healing of Open Wounds in Dogs</t>
  </si>
  <si>
    <t>🐶 Dog
Self-controlled</t>
  </si>
  <si>
    <t>Experimental wounds (secondary intention)</t>
  </si>
  <si>
    <t>1.125</t>
  </si>
  <si>
    <t>"There was no difference between LAS and CON wounds for all parameters, including histology."</t>
  </si>
  <si>
    <t>Lucroy</t>
  </si>
  <si>
    <t>Low-intensity laser light-induced closure of a chronic wound in a dog</t>
  </si>
  <si>
    <t>"Objective: To describe the application of low-intensity laser light for treatment of a chronic, full-thickness skin wound in a dog."
"The wound diminished in size during the course of laser treatments and was completely healed by day 21. No post-treatment complications occurred."</t>
  </si>
  <si>
    <t>Exotic pets</t>
  </si>
  <si>
    <t>Sabater González</t>
  </si>
  <si>
    <t>USA
(Athens, GA)</t>
  </si>
  <si>
    <t>Vet Clin North Am Exot Anim Pract</t>
  </si>
  <si>
    <t>Technological Advances in Wound Treatment of Exotic Pets.</t>
  </si>
  <si>
    <t>"Although most research about the use of technological advances for wound healing was performed in laboratory animals but oriented to human medicine, recent technological advances allowed its application not only to small animals but also to exotic pets. 
This article reviews the literature available about some of these techniques (negative wound pressure therapy, photobiomodulation [laser therapy], electrical stimulation therapy, therapeutic ultrasonography, hyperbaric oxygen therapy), and other advances in wound management (skin expanders, xenografts, and bioengineered autologous skin substitutes) in exotic pet species."</t>
  </si>
  <si>
    <t>Horses: bone spavin</t>
  </si>
  <si>
    <t>Zielińska</t>
  </si>
  <si>
    <t>A Case Series of 11 Horses Diagnosed with Bone Spavin Treated with High Intensity Laser Therapy (HILT)</t>
  </si>
  <si>
    <t>"At post-treatment orthopedic examination, 4 horses (36%) had improved 2 lameness grades (in the 5 grade American Association of Equine practitioners lameness scale), 4 horses (36%) had improved 1 lameness grade and 3 horses (28%) did not improve."
"Therefore, it seems probable that the application of HILT in horses suffering from bone spavin may decrease joint pain, which influences visual lameness reduction."</t>
  </si>
  <si>
    <t>Horses: injuries</t>
  </si>
  <si>
    <t>Effects of High Intensity Laser Therapy in the Treatment of Tendon and Ligament Injuries in Performance Horses</t>
  </si>
  <si>
    <t>808+
980</t>
  </si>
  <si>
    <t>"After the treatment, pain, swelling and lameness were significantly improved by HILT compared with the control group (p = 0.023, 0.008 and 0.044, respectively). 
No significant changes were found in lesion echogenicity degree between both groups in measurements taken during treatment (p = 0.188) and after treatment (p = 0.070). 
For lesion percentage reduction, the statistical modelling showed a significant improvement in the HILT group compared with the control group during (p = 0.038) and after treatment (p = 0.019). 
In conclusion, HILT promoted analgesic and anti-oedema effects, with visual lameness reduction in horses with tendon and ligament injuries, and reduced lesion percentage but did not influence change in lesion echogenicity."</t>
  </si>
  <si>
    <t>Quiney</t>
  </si>
  <si>
    <t>UK
(Newmarket)</t>
  </si>
  <si>
    <t>Management of Primary Injuries of the Medial Collateral Ligament of the Carpus in Two Horses.</t>
  </si>
  <si>
    <t>Horse
(📄 Case series)</t>
  </si>
  <si>
    <t>1064 (?)
(Nd:YAG)</t>
  </si>
  <si>
    <t>"This case report describes the successful management of two horses with medial carpal collateral ligament injury. This is a rare cause of forelimb lameness and existing reports indicate a poor prognosis for return to athletic function with conservative management.
Both horses were treated with a combination of box rest with controlled exercise and high-intensity laser therapy (HILT). Both horses returned to previous athletic function, one at Grand Prix level dressage and one at Novice level eventing."</t>
  </si>
  <si>
    <t>Horses: pain</t>
  </si>
  <si>
    <t>Haussler</t>
  </si>
  <si>
    <t>Effects of Low-Level Laser Therapy and Chiropractic Care on Back Pain in Quarter Horses.</t>
  </si>
  <si>
    <t>"Low-level laser therapy, as applied in this study, produced significant reductions in back pain, epaxial muscle hypertonicity, and trunk stiffness. Combined laser therapy and chiropractic care produced similar reductions, with additional significant decreases in the severity of epaxial muscle hypertonicity and trunk stiffness."
Note: No negative control group.</t>
  </si>
  <si>
    <t>Horses: tendinopathy</t>
  </si>
  <si>
    <t>Pluim</t>
  </si>
  <si>
    <t>Belgium
(Merelbeke)</t>
  </si>
  <si>
    <t>Res Vet Sci</t>
  </si>
  <si>
    <t>Short- and long term follow-up of 150 sports horses diagnosed with tendinopathy or desmopathy by ultrasonographic examination and treated with high-power laser therapy</t>
  </si>
  <si>
    <t>635+
660+
810+
980</t>
  </si>
  <si>
    <t>"Notwithstanding the wide variability in lameness score at admission, there was a statistically significant overall improvement in both lameness and ultrasonographic scores the day after cessation of laser therapy (week 2) and 4 weeks later (week 6), across all types and stages of tendinopathy or desmopathy and both for horses diagnosed with a single disorder and for horses suffering from multiple causes of lameness. 
The lack of a control group precludes drawing of any conclusions about causal effects, but this finding can be considered quite interesting, as the improvement manifests after a much shorter time interval than described in literature for other treatment modalities."
Comment: Dose parameters not reported.</t>
  </si>
  <si>
    <t>Horses: wounds</t>
  </si>
  <si>
    <t>Michanek</t>
  </si>
  <si>
    <t>Equine Vet J</t>
  </si>
  <si>
    <t>Effect of infrared and red monochromatic light on equine wound healing.</t>
  </si>
  <si>
    <t>Punch excision wound</t>
  </si>
  <si>
    <t>0.0023
0.0064</t>
  </si>
  <si>
    <t>95+
185</t>
  </si>
  <si>
    <t>"The wound area (P = .2-.9) and degree of swelling (P = .2-1.0) did not differ between treated and control groups on any day. There was a significant difference (P = .03) in healing time between control (49.0, 95% CI = 35.4-62.6 days) and treated wounds (51.8, 95% CI = 38.7-64.8 days)."
"The results of this study do not indicate any clinically relevant positive effect of pulsating visible red light and NIR light on the healing of experimental skin wounds in horses, compared with no treatment."</t>
  </si>
  <si>
    <t>Dahlgren</t>
  </si>
  <si>
    <t>USA
(Blacksburg, VA)</t>
  </si>
  <si>
    <t>Vet Clin North Am Equine Pract</t>
  </si>
  <si>
    <t>Regenerative Medicine Therapies for Equine Wound Management.</t>
  </si>
  <si>
    <t>"Low-level laser therapy (LLLT) is a form of photobiomodulation, in other words, the application of light to a tissue to promote healing, reduce inflammation, and relieve pain (...)"</t>
  </si>
  <si>
    <t>Horses</t>
  </si>
  <si>
    <t>The effects of low energy lasers on soft tissue in veterinary medicine</t>
  </si>
  <si>
    <t>"Studies indicate that both helium-neon irradiation and infrared irradiation can reduce inflammation in tissue and promote healing with reduced scar tissue formation. Statistical evaluations were performed on horses using a 904 nm infrared laser on bowed tendons, check ligaments, plantar desmitis and pharyngeal lymphoid hyperplasia. In all diseases the post therapy race time showed a majority equaling or exceeding the post-injury race time."</t>
  </si>
  <si>
    <t>Low level laser therapy in horses</t>
  </si>
  <si>
    <t>"Of 19 cases. 12 (63.2 per cent) were cured, five (26.3 per cent) were improved and two (10.5 per cent) were unchanged. It was concluded that clinical application of low-level laser therapy. such as contact and/or laser acupuncture technique. is non-invasive and not painful for animals and is effective in pa{n suppression and improvement of inflammatory reaction. especially in acute and mild cases."</t>
  </si>
  <si>
    <t>Poultry science</t>
  </si>
  <si>
    <t>Archer</t>
  </si>
  <si>
    <t>USA
(Kleberg, TX)</t>
  </si>
  <si>
    <t>How does red light affect layer production, fear, and stress?</t>
  </si>
  <si>
    <t>"The results indicate that including red light in the spectrum of light layers are reared under can lower stress susceptibility but had no effect on fear response or production parameters when compared to white light."</t>
  </si>
  <si>
    <t>Bunch J</t>
  </si>
  <si>
    <t>USA
(Pullman, WA)</t>
  </si>
  <si>
    <t>Vet Clin North Am Small Anim Pract</t>
  </si>
  <si>
    <t>Photobiomodulation (Therapeutic Lasers): An Update and Review of Current Literature</t>
  </si>
  <si>
    <t>"Photobiomodulation therapy, also commonly known as laser therapy, continues to grow in popularity in veterinary medicine. It is the use of red and near-infrared light to simulate healing, relieve pain, and reduce inflammation. The potential variety of conditions for which it can be used as an adjunctive, non-invasive modality has propelled its use in both veterinary rehabilitation, sports medicine, and general practice. In the last decade, clinical research has grown with increasing evidence for efficacy for some conditions but mixed to limited in others and many conditions not represented."</t>
  </si>
  <si>
    <t>Millis &amp; Bergh</t>
  </si>
  <si>
    <t>USA
(Knoxville, TX)</t>
  </si>
  <si>
    <t>A Systematic Literature Review of Complementary and Alternative Veterinary Medicine: Laser Therapy</t>
  </si>
  <si>
    <t>"The literature review showed conflicting study results and unclear application for clinical use. This can be explained by the wide variety of treatment parameters used in the searched studies, such as wavelength, laser class, dose, and effect, as well as the frequency and duration of treatment. Although some beneficial effects were reported for light therapy, the studies also had limited scientific quality regarding these therapies, with a high or moderate risk of bias."</t>
  </si>
  <si>
    <t>Current Applications and Future Perspectives of Fluorescence Light Energy Biomodulation in Veterinary Medicine</t>
  </si>
  <si>
    <t>"Research on PBM has led to the development of several light-generating devices and sources that can benefit a wide range of clinical indications. A novel approach to PBM is through application of a fluorescence light energy (FLE) system consisting of blue light which activates topical photoconverter hydrogel containing specialized chromophores (molecules able to be excited by certain wavelengths) that generate fluorescence [34,35]."</t>
  </si>
  <si>
    <t>Hochman L</t>
  </si>
  <si>
    <t>Top Companion Anim Med</t>
  </si>
  <si>
    <t>Photobiomodulation Therapy in Veterinary Medicine: A Review</t>
  </si>
  <si>
    <t>"This review will cover the history of the modality, basic principles, proposed mechanisms of action, evidence-based clinical indications, and will guide the practitioner through its application in practice."</t>
  </si>
  <si>
    <t>Pryor &amp; Millis</t>
  </si>
  <si>
    <t>Therapeutic laser in veterinary medicine.</t>
  </si>
  <si>
    <t>"It is estimated that close to 20% of veterinary hospitals in North America are using a therapeutic laser in their practice. Although lasers have been used for many years, it has been only in the past 5 or 6 years that use of laser therapy has become so widespread."
"Laser therapy is an increasingly studied modality that can be a valuable tool for veterinary practitioners. Mechanisms of action have been studied and identified for the reduction of pain and inflammation and healing of tissue. Understanding the basics of light penetration into tissue allows evaluation of the correct dosage to deliver for the appropriate condition, and for a particular patient based on physical properties. New applications are being studied for some of the most challenging health conditions and this field will continue to grow."
Note: The first author is affiliated with LiteCure.</t>
  </si>
  <si>
    <t>Godine</t>
  </si>
  <si>
    <t>USA
(Ruckersville, VA)</t>
  </si>
  <si>
    <t>Low level laser therapy (LLLT) in veterinary medicine.</t>
  </si>
  <si>
    <t>"The use of therapeutic LEDs and lasers in veterinary medicine has seen a steep increase in the past decade.1 It is the fastest growing new treatment modality in present day veterinary clinical practice. Equine practitioners have long used photobiomodualtion (PBM) for treating wounds as well as tendon and joint injuries; however, companion animal veterinarians have largely fueled the recent growth. Spurred on by effusive testimonials in monthly veterinary news magazines and aggressive marketing by largely class IV laser companies, veterinarians are steadily adding light therapy to their practices."</t>
  </si>
  <si>
    <t>USA
(Colchester, CT)</t>
  </si>
  <si>
    <t>Introduction to therapeutic lasers in a rehabilitation setting.</t>
  </si>
  <si>
    <t>Review (topical review)</t>
  </si>
  <si>
    <t>"Laser therapy, or photobiostimulation, is becoming a popular modality in the animal rehabilitation setting. It is used widely for the treatment of pain reduction, reduction of inflammation, and wound care and healing. Applications in the rehabilitation setting include postoperative cases, osteoarthritis, treatment of pain of a known origin, soft tissue injuries, and wounds."</t>
  </si>
  <si>
    <t>Voice</t>
  </si>
  <si>
    <t>Vocal fatigue</t>
  </si>
  <si>
    <t>Pontes</t>
  </si>
  <si>
    <t>CoDAS</t>
  </si>
  <si>
    <t>Opinion of speech-language pathologist on the use of photobiomodulation in the vocal clinic</t>
  </si>
  <si>
    <t>Survey (of speech-language pathologists)</t>
  </si>
  <si>
    <t>"Twenty-nine speech-language pathologists of both sexes participated."
"Participants stated that PBM is a resource that can be used in the area of ​​voice to improve performance in sung (86.2%, 25) and spoken (82.8%, 24), in addition to its application in cases of inflammatory processes in the vocal folds (79.3%, 23). As for dosimetry parameters, the most used wavelength was 808 - 830nm (37.9%, 11) and 660/808nm simultaneously (37.9%, 11), with a dose of 3-5 J per point for the patients with inflammatory processes in the vocal folds (51.7%, 15) and 6-9 J (44.8%, 13) per point for patients whose objective was improvement/conditioning."</t>
  </si>
  <si>
    <t>Kagan &amp; Heaton</t>
  </si>
  <si>
    <t>J Voice</t>
  </si>
  <si>
    <t>The Effectiveness of Low-Level Light Therapy in Attenuating Vocal Fatigue.</t>
  </si>
  <si>
    <t>🧑 Human
🎲 Randomized trial
👥 16 participants
⌛ single treatment -&gt; 1-hour follow-up</t>
  </si>
  <si>
    <t>LED phototherapy
LED array (60 red LEDs and 28 NIR LEDs)
Wavelength comparison
Thermic effects</t>
  </si>
  <si>
    <t>628+
828</t>
  </si>
  <si>
    <t>0.07
0.055</t>
  </si>
  <si>
    <t>"Red light significantly normalized the combination of PTP, IPSV, and RFF measures compared to other conditions."
"The red setting heats the neck surface to approximately 43.3°C, whereas the IR setting heats the neck surface to 35.5°C based on a thermometer" [see Additional info]
"Results indicate that red light may be effective in improving acoustic, aerodynamic, and self-perceptual markers of vocal fatigue. Although these findings indicate that LLLT is a promising treatment for vocal fatigue, future work is needed to determine optimal light doses, whether wavelengths are more efficacious in combination vs isolation, and when the doses should be applied relative to phonotrauma (before, after, or both) for providing fatigue resistance or hastening recovery.
LLLT is a simple, potentially efficacious treatment for vocal fatigue that could have wide clinical relevance to populations with voice disorders or occupations with high voice use demands."</t>
  </si>
  <si>
    <t>Device: "One popular handheld LED device commercially available OTC for LLLT is the Omnilux New-U, which emits both red (628 nm) and IR (828 nm) lights, and has been shown to reduce the appearance of periorbital wrinkles. This device was selected because of its portability and commercial availability, as well as its ability to produce both red and IR wavelengths."; photos included in Figure 1; "Two Omnilux New-U devices were yoked together into a collar device so that the lights emit directly over the thyroid laminae"
Thermal effects: "The red setting heats the neck surface to approximately 43.3°C, whereas the IR setting heats the neck surface to 35.5°C based on a thermometer (Omega HH506R, Omega, Norwalk, Connecticut, USA) attached with surgical tape to the skin over the thyroid lamina. For the heat control (no light), sham devices were created by covering the Plexiglas cover of the LLLT units with optically opaque polymer tape and cloth tape (Figure 1C). The heat controls created a sustained temperature between 42.2°C and 43.5°C when the red light setting was active (with light transmission blocked)"</t>
  </si>
  <si>
    <t>Vocal fold</t>
  </si>
  <si>
    <t>The Effects of Photobiomodulation on Vocal Fold Wound Healing: In Vivo and In Vitro Studies.</t>
  </si>
  <si>
    <t>🐇 Rabbit
+ 🧪 In vitro</t>
  </si>
  <si>
    <t>"PBM can inhibit inflammatory reaction and promote the secretion of HA to decrease the deposition of collagen and regenerate vocal fold tissue without scar."</t>
  </si>
  <si>
    <t>Vocal rehabilitation</t>
  </si>
  <si>
    <t>Behlau</t>
  </si>
  <si>
    <t>Reducing the gap between science and clinic: lessons from academia and professional practice - part B: traditional vocal therapy techniques and modern electrostimulation and photobiomodulation techniques applied to vocal rehabilitation</t>
  </si>
  <si>
    <t>"There are more studies on electrostimulation in vocal rehabilitation than with photobiomodulation; however, scientific evidence for these two modern techniques is still limited. Knowledge and caution are required for the application of either technique."</t>
  </si>
  <si>
    <t>Warts</t>
  </si>
  <si>
    <t>Plantar warts</t>
  </si>
  <si>
    <t>Er:YAG laser ablation of plantar verrucae with red LED therapy-assisted healing.</t>
  </si>
  <si>
    <t>🧑 Human
📄 Case series
👥 58 patients
⌛ 10-day treatment</t>
  </si>
  <si>
    <t>Wound healing after laser ablation
LED phototherapy</t>
  </si>
  <si>
    <t>"From the author's experience in 121 cases, the Er:YAG laser is ideally suited for precise and speedy ablation of plantar verrucae with minimal thermal damage to surrounding tissue, which, when coupled with visible red LED therapy, has given excellent, accelerated, and pain-free healing in these difficult-to-treat and slow-to-heal lesions with very low recurrence rates."
Comment: The photograph is black-and-white.</t>
  </si>
  <si>
    <t>Device: Omnilux Revive 633</t>
  </si>
  <si>
    <t>Water-filtered infrared-A</t>
  </si>
  <si>
    <t>Möckel</t>
  </si>
  <si>
    <t>Influence of water-filtered infrared-A (wIRA) on reduction of local fat and body weight by physical exercise.</t>
  </si>
  <si>
    <t>Polychromatic light 🌈
Metabolic health
Thermal effects (see the Discussion part of full text)</t>
  </si>
  <si>
    <t>500-
1400</t>
  </si>
  <si>
    <t>"The “sum of circumferences of waist, hip, and both thighs of each patient” decreased during the 4 weeks significantly more (p&lt;.001) in the wIRA group than in the control group (resulting from equally directed effects at all three body regions): medians and interquartile ranges: -8.0 cm (-10.5 cm/-4.1 cm) vs. -1.8 cm (-4.4 cm/0.0 cm)"
"As well “body weight of each patient” decreased during the 4 weeks markedly more in the wIRA group than in the control group: -1.9 kg (-4.0 kg /0.0 kg) vs. 0.0 kg (-1.5 kg /+0.4 kg), see Figure 4 (Fig. 4) "
"Blood variables of interest before and after the treatment period in the wIRA group and the control group are listed in Table 2 (Tab. 2). They remained unchanged or showed some slight improvements during the treatment period, concerning most variables with no obvious differences between the two groups; insulin showed a slight trend to decrease in the wIRA group and to increase in the control group."</t>
  </si>
  <si>
    <t>Device: "irradiation unit 'Hydrosun® 6000' with 10 wIRA radiators (Hydrosun® Medizintechnik, Müllheim, Germany, radiator type 500, 4 mm water cuvette, yellow filter, water-filtered spectrum 500-1400 nm)"</t>
  </si>
  <si>
    <t>Clinical wIRA-hyperthermia: heating properties and effectiveness in lower trunk regions and its accordance with ESHO quality criteria for superficial hyperthermia</t>
  </si>
  <si>
    <t>0.0146</t>
  </si>
  <si>
    <t>"Tissue depths with T90 ≥ 40 °C and T50 &gt; 41 °C were ≤10 mm, and ≤20 mm for Tmax ≤ 43 °C. The temperature decay time after termination of irradiation was 1-5 min. Corresponding temperatures were ≤42.2 °C for CEM43 and ≤41.8 °C for CEM43T90, i.e., they are inadequate for direct thermal cell killing."</t>
  </si>
  <si>
    <t>Tissue oxygenation</t>
  </si>
  <si>
    <t>Thomsen</t>
  </si>
  <si>
    <t>Improved Oxygenation of Human Skin, Subcutis and Superficial Cancers Upon Mild Hyperthermia Delivered by WIRA-Irradiation</t>
  </si>
  <si>
    <t>🧑 Human (healthy volunteers)</t>
  </si>
  <si>
    <t>"Pre-treatment skin surface temperature was 34.6 °C. Upon wIRA exposure, average skin surface temperatures reached 41.6 °C within 5-12 min. Maximum tissue temperatures of 41.8 °C were found at a tissue depth of 1 mm, with a steady decline in deeper tissue layers (41.6 °C @ 5 mm, 40.8 °C @ 10 mm, 40.6 °C @ 15 mm, and 40.1 °C @ 20 mm)."
"Tissue heating was accompanied by a significant increase in tissue pO2 values [e.g., at a tissue depth of 13 mm mean pO2 rose from 46 mmHg to 81 mmHg (@ T = 40.5 °C). In the post-heating phase (+ 5 min), pO2 was 79 mmHg (@ T = 38 °C) and 15 min post-heat pO2 was 72 mmHg (@ T = 36.8 °C)]. pO2 values remained elevated for 30-60 min post-heat."</t>
  </si>
  <si>
    <t>Künzli</t>
  </si>
  <si>
    <t>Ann Surg</t>
  </si>
  <si>
    <t>Impact of preoperative local water-filtered infrared A irradiation on postoperative wound healing: a randomized patient- and observer-blinded controlled clinical trial.</t>
  </si>
  <si>
    <t>wIRA appeared to reduce surgical site infections and post-operative pain.</t>
  </si>
  <si>
    <t>n = 400</t>
  </si>
  <si>
    <t>1064 nm</t>
  </si>
  <si>
    <t>Penberthy &amp; Vorwaller</t>
  </si>
  <si>
    <t>USA
(Winter Park, FL)</t>
  </si>
  <si>
    <t>Utilization of the 1064 nm Wavelength in Photobiomodulation: A Systematic Review and Meta-Analysis</t>
  </si>
  <si>
    <t>"The 22 independent studies meeting inclusion criteria focused on knee arthropathies, spine, shoulder/elbow, wound, gynecological, or osteoporosis with evaluation of pain, function, quality of life, range of motion (ROM), and anatomy. 
Pain was reduced with statistical significance (P&lt;0.05) in 90% of study assessments (n=20) and 100% of studies focused on the knee (n=6). 
Of 18 studies assessing functional outcome measures, 100% demonstrated statistically significant improvements. 
Follow-up assessments up to 6 months in 5 knee arthritis studies revealed long-term pain reduction after cessation of treatment. 
Improvements in wound healing, bone mineral density, and knee cartilage thickness were demonstrated. The largest effect sizes observed were pain reduction in knee arthritis (average Cohen's d effect size=2.46)."</t>
  </si>
  <si>
    <t>Antimicrobial blue &amp; UVC &amp; PDT</t>
  </si>
  <si>
    <t>Leanse</t>
  </si>
  <si>
    <t>Antimicrobial blue light: A 'Magic Bullet' for the 21st century and beyond?</t>
  </si>
  <si>
    <t>"Over the past decade, antimicrobial blue light (aBL) at 400 - 470 nm wavelength has demonstrated immense promise as an alternative approach for the treatment of multidrug-resistant infections. Since our last review was published in 2017, there have been numerous studies that have investigated aBL in terms of its, efficacy, safety, mechanism, and propensity for resistance development. In addition, researchers have looked at combinatorial approaches that exploit aBL and other traditional and non-traditional therapeutics. To that end, this review aims to update the findings from numerous studies that capitalize on the antimicrobial effects of aBL, with a focus on: efficacy of aBL against different microbes, identifying endogenous chromophores and targets of aBL, Resistance development to aBL, Safety of aBL against host cells, and Synergism of aBL with other agents. We will also discuss our perspective on the future of aBL."</t>
  </si>
  <si>
    <t>Hamblin &amp; Abrahamse</t>
  </si>
  <si>
    <t>USA &amp; South Africa</t>
  </si>
  <si>
    <t>Druv Dev Res</t>
  </si>
  <si>
    <t>Can light-based approaches overcome antimicrobial resistance?</t>
  </si>
  <si>
    <t>"This mini-review will cover three cutting-edge approaches that use light-based techniques to kill antibiotic-resistant microbial species, and treat localized infections. 
First, we will discuss antimicrobial photodynamic inactivation using rationally designed photosensitizes combined with visible light, with the added possibility of strong potentiation by inorganic salts such as potassium iodide. 
Second, the use of blue and violet light alone that activates endogenous photoactive porphyrins within the microbial cells. 
Third, it is used for "safe UVC" at wavelengths between 200 nm and 230 nm that can kill microbial cells without damaging host mammalian cells. 
We have gained evidence that all these approaches can kill multidrug resistant bacteria in vitro, and they do not induce themselves any resistance, and moreover can treat animal models of localized infections caused by resistant species that can be monitored by noninvasive bioluminescence imaging. 
Light-based antimicrobial approaches are becoming a growing translational part of anti-infective treatments in the current age of resistance."</t>
  </si>
  <si>
    <t>Curr Opin Pharmacol</t>
  </si>
  <si>
    <t>Light based anti-infectives: ultraviolet C irradiation, photodynamic therapy, blue light, and beyond</t>
  </si>
  <si>
    <t>"Owing to the worldwide increase in antibiotic resistance, researchers are investigating alternative anti-infective strategies to which it is supposed microorganisms will be unable to develop resistance. 
Prominent among these strategies, is a group of approaches which rely on light to deliver the killing blow. 
As is well known, ultraviolet light, particularly UVC (200-280 nm), is germicidal, but it has not been much developed as an anti-infective approach until recently, when it was realized that the possible adverse effects to host tissue were relatively minor compared to its high activity in killing pathogens. 
Photodynamic therapy is the combination of non-toxic photosensitizing dyes with harmless visible light that together produce abundant destructive reactive oxygen species (ROS). 
Certain cationic dyes or photosensitizers have good specificity for binding to microbial cells while sparing host mammalian cells and can be used for treating many localized infections, both superficial and even deep-seated by using fiber optic delivered light. 
Many microbial cells are highly sensitive to killing by blue light (400-470 nm) due to accumulation of naturally occurring photosensitizers such as porphyrins and flavins. Near infrared light has also been shown to have antimicrobial effects against certain species. 
Clinical applications of these technologies include skin, dental, wound, stomach, nasal, toenail and other infections which are amenable to effective light delivery."</t>
  </si>
  <si>
    <t>Blue &amp; Green</t>
  </si>
  <si>
    <t>JID Innov</t>
  </si>
  <si>
    <t>The Influence of Blue Light Exposure on Reconstructed 3-Dimensional Skin Model: Molecular Changes and Gene Expression Profile</t>
  </si>
  <si>
    <t>400-
450
380-
780</t>
  </si>
  <si>
    <t>"Samples submitted to repeated exposure showed reduced AK2 and DDX47, whereas they showed increased PABPC3 gene expression, revealing a significantly negative impact. RT-PCR validation assay with exposed 3-dimensional skin compared with unexposed control regarding 1 and 4 days of incubation showed increased IL-6 signaling mechanism activation and signal transducer and activator of transcription 3 gene STAT3 gene expression, whereas it showed decreased peroxisome proliferator-activated receptor signaling mechanism activation, suggesting an influence on inflammatory pathways. We also demonstrate upregulated gene expression of KIT, MAPK2, and PI3KC in samples from exposed condition, corroborating previous findings related to pigmentation signaling stimuli. These results reveal, to our knowledge, previously unreported data that enable studies on molecular response correlation of in vitro digital blue light exposure and human skin studies."</t>
  </si>
  <si>
    <t>Suitthimeathegorn</t>
  </si>
  <si>
    <t>Singapore &amp; China</t>
  </si>
  <si>
    <t>Direct and Indirect Effects of Blue Light Exposure on Skin: A Review of Published Literature</t>
  </si>
  <si>
    <t>"The results of in vitro, in vivo and clinical studies show that blue light produces direct and indirect effects on the skin. The most significant direct effects are the excessive generation of reactive oxygen and nitrogen species, and hyperpigmentation. Reactive oxygen and nitrogen species cause DNA damage and modulate the immune response. Indirect effects of blue light include disruption of the central circadian rhythm regulation via melatonin signaling and local circadian rhythm regulation via direct effects on skin cells."</t>
  </si>
  <si>
    <t>Japan
(Tsukuba)</t>
  </si>
  <si>
    <t>Low energy multiple blue light-emitting diode light Irradiation promotes melanin synthesis and induces DNA damage in B16F10 melanoma cells</t>
  </si>
  <si>
    <t>Blue light 🔵
Safety
Tumor cells</t>
  </si>
  <si>
    <t>"In our results, low energy density multiple blue light inhibited cell proliferation and metastatic capability with a weak phototoxicity. Blue light also promoted intracellular reactive oxygen species and caused DNA damage. Furthermore, the melanin synthesis was also promoted by low energy density multiple blue light exposure."
"Together, these results indicate that longer wavelength and low energy density blue light multiple exposure is still harmful to our cells. Furthermore, prolonged exposure to screens likely induces dull skin through induction of melanin synthesis. These results further mentioned us should paid more attention to controlling the daily use of digital device."</t>
  </si>
  <si>
    <t>Nakayama</t>
  </si>
  <si>
    <t>Blue Laser Irradiation Decreases the ATP Level in Mouse Skin and Increases the Production of Superoxide Anion and Hypochlorous Acid in Mouse Fibroblasts</t>
  </si>
  <si>
    <t>"Blue laser irradiation caused a decrease in the ATP level in the mouse skin and triggered the generation of superoxide anion and hypochlorous acid, whereas nitric oxide and peroxynitrite were not detected. Moreover, blue laser irradiation resulted in reduced cell viability."</t>
  </si>
  <si>
    <t>Near infrared spectroscopy reveals instability in retinal mitochondrial metabolism and haemodynamics with blue light exposure at environmental levels</t>
  </si>
  <si>
    <t>Blue light 🔵
Light toxicity</t>
  </si>
  <si>
    <t>"We examine the impact of continuous 420 nm at environmental energy levels on retinal mitochondrial metabolism and haemodynamics in vivo in real time using broadband near-infrared spectroscopy. One hour environmental exposure to 420 nm induces significant metabolic instability in retinal mitochondria and blood signals, which continues for up to 1 h post blue exposure."</t>
  </si>
  <si>
    <t>Mitochondria are specifically vulnerable to 420nm light in drosophila which undermines their function and is associated with reduced fly mobility</t>
  </si>
  <si>
    <t>"We examine the impact of 420nm exposure on drosophila melanogaster mitochondria and its impact on fly mobility.
Daily 15 mins exposures for a week significantly reduced mitochondrial complex activities and increased mitochondrial inner membrane permeability, which is a key metric of mitochondrial health. Adenosine triphosphate (ATP) levels were not significantly reduced and mobility was unchanged.
There are multiple options for energy/time exposure combinations, but we then applied single 420nm exposure of 3h to increase the probability of an effect on ATP and mobility, and both were significantly reduced. ATP and mitochondrial membrane permeability recovered and over corrected at 72h post exposure. However, despite this, normal mobility did not return.
Hence, the effect of short wavelengths on mitochondrial function is to reduce complex activity and increasing membrane permeability, but light exposure to reduce ATP and to translate into reduced mobility needs to be sustained."</t>
  </si>
  <si>
    <t>Biphasic Effects of Blue Light Irradiation on Human Umbilical Vein Endothelial Cells</t>
  </si>
  <si>
    <t>Blue light 🔵
Biphasic dose response
LED phototherapy</t>
  </si>
  <si>
    <t>"The results showed that low fluence blue light irradiation promoted the fundamental cell activities, including cell viability, migration and angiogenesis by activating the angiogenic pathways such as the VEGF signaling pathway.
In contrast, high fluence illumination caused the opposite effect on those activities by upregulating pro-apoptotic signaling cascades like ferroptosis, necroptosis and the p53 signaling pathways."</t>
  </si>
  <si>
    <t>Green light extends Drosophila longevity</t>
  </si>
  <si>
    <t>Drosophila</t>
  </si>
  <si>
    <t>457
550
675</t>
  </si>
  <si>
    <t>"Here we show the effect of visible light in Drosophila melanogaster is wavelength specific. Life span was significantly extended by green light, whereas blue light reduced longevity dramatically, and minor impact was observed with red light.
While oxidative stress, heat stress, or caloric restriction does not contribute to the beneficial effect of green light, our study found that the life span extension effect of green light might be mediated by microbiota or photosensitive micronutrients in food medium.
In conclusion, we report that green light can extend longevity and present the potential of light as a noninvasive therapy for aging-related diseases."
"Red light (675 ± 75 nm) only slightly affected life span, with minor negative effect at 3000 lx."</t>
  </si>
  <si>
    <t>Bonnans</t>
  </si>
  <si>
    <t>Blue light: Friend or foe ?</t>
  </si>
  <si>
    <t>Acne
Blue light 🔵</t>
  </si>
  <si>
    <t>415
470
415+
470</t>
  </si>
  <si>
    <t>"Dose dependent increases of ROS production were obtained on keratinocytes exposed to increasing 415 nm LED exposures. However, a ROS decreasing first phase was observed on keratinocytes exposed to 415 + 470 nm LED exposures. Moreover, comparing the same doses of 415 nm wavelength and (415 + 470 nm) wavelength combination, 415 nm alone is more damaging than the 415 + 470 nm exposures. In case of increase in ROS, decrease in OPN1 SW photoreceptor and fragmentation of fibrillin-1 dermal fiber were observed.
When conditions of ROS decrease were experienced, an increase in LL37 antimicrobial peptide and a modulation of IL-8 inflammatory response were noted, suggesting improvement in acne signs. Clinical results confirmed the benefits on inflammatory lesions on subjects with acne."
"Blue lights can induce beneficial and adverse effects, depending on the dose and on the spectrum width of the exposure."</t>
  </si>
  <si>
    <t>Manipulation of Living Cells With 450 Nm Laser Photobiomodulation</t>
  </si>
  <si>
    <t>"Through 450 nm laser PBM, the adhesion of the cultured cells was significantly improved and resisted the digestion of 0.1% trypsin."
"This convenient method did not require special biomaterial processing, has no impact on cell viability and functions, and required no changes to the conventional cell culture conditions."</t>
  </si>
  <si>
    <t>Castellano-Pellicena</t>
  </si>
  <si>
    <t>Does blue light restore human epidermal barrier function via activation of Opsin during cutaneous wound healing?</t>
  </si>
  <si>
    <t>🧪 In vitro
(+ex vivo)</t>
  </si>
  <si>
    <t>LED phototherapy
Wavelength comparison
Blue light 🔵
Green light 🟢</t>
  </si>
  <si>
    <t>447
blue
505
530
green
655
red
850
(IR)</t>
  </si>
  <si>
    <t>2/30
2/30
2/30
30
60</t>
  </si>
  <si>
    <t xml:space="preserve">"Both blue and red light stimulated the metabolic activity of cultured keratinocytes. Low levels of blue light reduced DNA synthesis and stimulated differentiation of keratinocytes. While low levels of blue light did not alter keratinocyte migration in a scratch wound assay, higher levels inhibited migration. Gene silencing of OPN3 in keratinocytes was effective (87% reduction). The rate of DNA synthesis in OPN3 knockdown keratinocytes did not change following irradiation with blue light, however, the level of differentiation was decreased."
Comment: 2 J/cm2 of blue&amp;green light and 3 J/cm2 of red light had a small positive effect on metabolic activity of epidermal keratinocytes. 30 J/cm2 of blue&amp;green light didn't have any effect on the metabolic activity. 60 J/cm2 of NIR had a nearly-significant effect.
</t>
  </si>
  <si>
    <t>Photobiomodulation (blue and green light) encourages osteoblastic-differentiation of human adipose-derived stem cells: role of intracellular calcium and light-gated ion channels.</t>
  </si>
  <si>
    <t>Human adipose-derived stem cells
Blue light 🔵
Green light 🟢
Wavelength comparison</t>
  </si>
  <si>
    <t>420
540
660
810</t>
  </si>
  <si>
    <t>"The 420 nm and 540 nm wavelengths were more effective in stimulating osteoblast differentiation compared to 660 nm and 810 nm. Intracellular calcium was higher after 420 nm and 540 nm, and could be inhibited by capsazepine and SKF96365, which also inhibited osteogenic differentiation. We hypothesize that activation of light-gated calcium ion channels by blue and green light could explain our results."</t>
  </si>
  <si>
    <t>Gene expression profiling reveals aryl hydrocarbon receptor as a possible target for photobiomodulation when using blue light.</t>
  </si>
  <si>
    <t>41.4</t>
  </si>
  <si>
    <t>Are the mitochondrial respiratory complexes blocked by NO the targets for the laser and LED therapy?</t>
  </si>
  <si>
    <t>Blue light 🔵 (effective)
Green light 🟢 (ineff.)
Red light (ineffective)
Mechanisms (nitric oxide)
Controversy
LED phototherapy
Wavelength comparison</t>
  </si>
  <si>
    <t>"It was found that nitric oxide (300 nM-10 μM) suppresses mitochondrial respiration. Laser irradiation of mitochondria (442 nm, 3 J cm(-2)) partly restored mitochondrial respiration (approximately by 70 %)."
"Irradiation with green laser (532 nm) or red LED (650 nm) in the same dose had no reliable effect."
Comment: This result seems to go against the notion that red light would affect NO binding by cytochrome oxidase. Therefore, the result seems to conflict with the idea of LLLT mechanism by photodissociation of NO.</t>
  </si>
  <si>
    <t>Alon</t>
  </si>
  <si>
    <t>Promotion of neural sprouting using low-level green light-emitting diode phototherapy.</t>
  </si>
  <si>
    <t>Neuroblastoma cell line (SH-SY5Y)
Green light 🟢
LED phototherapy</t>
  </si>
  <si>
    <t>"We captured and analyzed the cell morphology before LED treatment, immediately after, and 12 and 24 h after treatment. Our study demonstrated that LED illumination increases the amount of sprouting dendrites in comparison to the control untreated cells. This treatment also resulted in more elongated cells after treatment in comparison to the control cells and higher levels of expression of a differentiation related gene. This result is a good indication that the proposed method could serve in phototherapy treatment for increasing sprouting and enhancing neural network formation."</t>
  </si>
  <si>
    <t>Green light emitting diodes accelerate wound healing: characterization of the effect and its molecular basis in vitro and in vivo.</t>
  </si>
  <si>
    <t>LED phototherapy
Wound healing
Blue light 🔵
Green light 🟢
Wavelength comparison</t>
  </si>
  <si>
    <t>456
518
638</t>
  </si>
  <si>
    <t>"In conclusion, we demonstrate that green LEDs promote wound healing by inducing migratory and proliferative mediators, which suggests that not only red LEDs but also green LEDs can be a new powerful therapeutic strategy for wound healing."</t>
  </si>
  <si>
    <t>Stimulation of TRPV1 by Green Laser Light.</t>
  </si>
  <si>
    <t>Xenopus oocyte</t>
  </si>
  <si>
    <t>Blue light 🔵
Green light 🟢
Wavelength comparison
TRP channels</t>
  </si>
  <si>
    <t xml:space="preserve">406
532
637
</t>
  </si>
  <si>
    <t>"Red (637 nm) as well as blue (406 nm) light neither affected membrane currents in oocytes nor did it modulate capsaicin-induced current. In contrast, green laser light (532 nm) produced power-dependent activation of TRPV1. 
In conclusion, we could show that green light is effective at the cellular level to activate TRPV1. To which extend green light is of medical relevance needs further investigation."</t>
  </si>
  <si>
    <t>Comorosan</t>
  </si>
  <si>
    <t>Green light radiation effects on free radicals inhibition in cellular and chemical systems.</t>
  </si>
  <si>
    <t>Green light 🟢
Melanocytes</t>
  </si>
  <si>
    <t>"Standard melanocyte cultures were UV-irradiated and the induced cellular reactive oxygen species (ROS) were quantified by the fluorescence technique. The same cell cultures, previously protected by a 24h GL exposure, displayed a significantly lower ROS production. 
A simple chemical reaction is subsequently chosen, in which the production of free radicals is well defined. Paraffin wax and mineral oil were GL irradiated during thermal degradation and the oxidation products checked by chemiluminescence [CL] and Fourier transform infrared spectra [FT-IR]. The same clear inhibition of the radical oxidation of alkanes is recorded. 
A quantum chemistry modeling of these results is performed and a mechanism involving a new type of Rydberg macromolecular systems with implications for biology and medicine is suggested."
"Within this scientific evidence we suggest a possible interpretation of our results and advance a Rydberg conjecture: due to the [green light] irradiation the system is excited to a higher state in which it may form a Rydberg-type of molecular system, more stable in the excited state than in the ground one, and less reactive, resulting in a lower oxidation capability"
Comment: So apparently they claim that the green light's anti-oxidation effects happen even in non-biological chemical reactions.</t>
  </si>
  <si>
    <t>Clinical and histological effects of blue light on normal skin</t>
  </si>
  <si>
    <t>🧑 Human
📄 Single-arm study
👥 8 participants
⌛ 5 days</t>
  </si>
  <si>
    <t>"Visible blue light, as given in the present study, does not cause deoxyribonucleic acid damage or early photo-ageing. The biological effects of blue light on normal skin are transient melanogenesis and inexplicable vacuolization without resulting apoptosis. In conclusion, the (short-term) use of visible blue light in dermatological practice is safe."</t>
  </si>
  <si>
    <t>Green light effects on biological systems: a new biophysical phenomenon.</t>
  </si>
  <si>
    <t>"Cells grown in [green light], prior to UV irradiation, present a clear surprising protective effect with surviving values close to the controls. A GL antioxidant effect is suggested to be mediated through GL influence on cellular water cluster dynamics. To test this hypothesis, reactive oxygen species (ROS) are determined in cell cultures."</t>
  </si>
  <si>
    <t>Effects of low power laser irradiation on intracellular calcium and histamine release in RBL-2H3 mast cells.</t>
  </si>
  <si>
    <t>Blue light 🔵
Green light 🟢
TRP channels</t>
  </si>
  <si>
    <t>405
532</t>
  </si>
  <si>
    <t>"After laser irradiation, the amount of intracellular calcium ([Ca2+]i) was increased, followed by histamine release, as measured by confocal fluorescence microscopy with Fluo-3/AM staining and a fluorescence spectrometer with o-phthalaldehyde staining, respectively. The histamine release was mediated by the increment of [Ca2+]i from the influx of the extracellular buffer solution through the cation channel protein, transient receptor potential vanilloid 4 (TRPV4). The TRPV4 inhibitor, Ruthenium Red (RR) can effectively block such histamine release, indicating that TRPV4 was the key factor responding to laser irradiation. 
These induced responses of mast cells may provide an explanation for the biological effects of laser irradiation on promoting wound healing, as histamine is known to have multi-functions on accelerating wound healing."
Comment: They used blue and green lights.</t>
  </si>
  <si>
    <t>The response of Na+/K+ -ATPase of human erythrocytes to green laser light treatment.</t>
  </si>
  <si>
    <t>Green light 🟢
Erythrocytes</t>
  </si>
  <si>
    <t>"A positive effect of green laser light on Na(+)/K(+)-ATPase activity was observed. The dependence of enzymatically liberated inorganic phosphate on light fluence showed a linear correlation (R(2)=0.96, P=0.0005) for all fluences applied (9.5-63.3 J.cm(-2))."</t>
  </si>
  <si>
    <t>Shnitkind</t>
  </si>
  <si>
    <t>Anti-inflammatory properties of narrow-band blue light.</t>
  </si>
  <si>
    <t>Immortalized keratinocyte cell lines (HaCaT and hTERT)
Blue light 🔵</t>
  </si>
  <si>
    <t>(312)
420</t>
  </si>
  <si>
    <t>0.050
0.054
0.134</t>
  </si>
  <si>
    <t>"The level of IL-1alpha decreased by 82% in HaCaT and by 75% in hTERT cells when exposed to blue light. It decreased by 95% in HaCaT and by 91% in hTERT cells when blue light was used in combination with UVB. ICAM-1 expression was similarly reduced in HaCaT, but not in hTERT cells."
"These results expand the properties of narrow-band blue light in modulating the inflammatory process and will facilitate testing of its phototherapeutic applications in different inflammatory skin conditions."</t>
  </si>
  <si>
    <t>Green light emitting diode irradiation enhances fibroblast growth impaired by high glucose level.</t>
  </si>
  <si>
    <t>Green light 🟢
LED phototherapy</t>
  </si>
  <si>
    <t>"A Mann-Whitney U test revealed a higher proliferation rate (p = 0.001) in all irradiated cultures in comparison with the controls."
"According to these results, the effectiveness of green LED irradiation on fibroblasts in hyperglycemic circumstances is established. Future in vivo investigation would be worthwhile to investigate whether there are equivalent positive results in diabetic patients."</t>
  </si>
  <si>
    <t>Diseases</t>
  </si>
  <si>
    <t>CO2 Laser for Esthetic Healing of Injuries and Surgical Wounds with Small Parenchymal Defects in Oral Soft Tissues</t>
  </si>
  <si>
    <t>Shingyochi</t>
  </si>
  <si>
    <t>A Low-Level Carbon Dioxide Laser Promotes Fibroblast Proliferation and Migration through Activation of Akt, ERK, and JNK.</t>
  </si>
  <si>
    <t>0.1
0.5
1.0
2.0
5.0</t>
  </si>
  <si>
    <t>"In MTS and cell migration assays, fibroblast proliferation and migration were promoted after LLLT with a CO2 laser at 1.0 J/cm2. Western blot analysis revealed that Akt, ERK, and JNK activities were promoted in fibroblasts after LLLT with a CO2 laser at 1.0 J/cm2. Moreover, inhibition of Akt, ERK, or JNK significantly blocked fibroblast proliferation and migration."
"These findings suggested that LLLT with a CO2 laser would accelerate wound healing by promoting the proliferation and migration of fibroblasts. Activation of Akt, ERK, and JNK was essential for CO2 laser-induced proliferation and migration of fibroblasts."</t>
  </si>
  <si>
    <t>Prignano</t>
  </si>
  <si>
    <t>Fractional CO2 laser: a novel therapeutic device upon photobiomodulation of tissue remodeling and cytokine pathway of tissue repair.</t>
  </si>
  <si>
    <t>🧑 Human
📄 Single-arm study
👥 18 participants</t>
  </si>
  <si>
    <t>2.07
2.77
4.15</t>
  </si>
  <si>
    <t>"Different but significant improvements in wrinkles, skin texture, and hyperpigmentation were definitely obtained when using 2.07, 2.77, and 4.15 J/cm(2), indicating fractional CO(2) laser as a valuable tool in photorejuvenation with good clinical results, rapid downtime, and an excellent safety profile."</t>
  </si>
  <si>
    <t>A pilot study on the effects of far-infrared-emitting fabric on neuromuscular performance of knee extensor and male fertility</t>
  </si>
  <si>
    <t>🧑 Human
🎲 Randomized trial, double-blind, crossover
👥 4 participants (neuromusc), 6 participants (fertility)</t>
  </si>
  <si>
    <t>far-infrared</t>
  </si>
  <si>
    <t>"FIR improved the knee extensor neuromuscular performance of healthy resistance-trained individuals, with 112.4 ± 7.8 h accumulated, and did not affect their seminal parameters (conventional or sperm DNA fragmentation), with 113.1 ± 10.2 h accumulated."</t>
  </si>
  <si>
    <t>Far-infrared-emitting fabric improves neuromuscular performance of knee extensor</t>
  </si>
  <si>
    <t>🧑 Human
🎲 Randomized trial, double-blind, crossover
👥 24 participants
⌛ 4 days per phase / 1-week washout between 2 phases</t>
  </si>
  <si>
    <t>"FIR improved the neuromuscular performance of knee extensors in resistance-trained males regardless of changes on temperature and EMG. The present results suggest that the FIR could optimize the neuromuscular performance with 82 ± 19 h of wear."</t>
  </si>
  <si>
    <t>Fukui</t>
  </si>
  <si>
    <t>Japan
(Minato)</t>
  </si>
  <si>
    <t>Effects of far infrared light on Alzheimer's disease-transgenic mice</t>
  </si>
  <si>
    <t>"We exposed 5xFAD mice to far infrared light for 5 months. Among the far infrared-exposed AD mice, body weights were significantly decreased, and the levels of nerve growth factor and brain-derived neurotrophic factor protein were significantly increased in selected brain areas (compared to those in non-irradiated AD mice).
However, cognition and motor function (as assessed by Morris water maze and Rota Rod tests, respectively) did not differ significantly between the irradiated and non-irradiated AD mouse groups."</t>
  </si>
  <si>
    <t>Djuretić</t>
  </si>
  <si>
    <t>Infrared radiation from cage bedding moderates rat inflammatory and autoimmune responses in collagen-induced arthritis</t>
  </si>
  <si>
    <t>9300
approx
broadband</t>
  </si>
  <si>
    <t>"In conclusion, our study (i) showed that the exposure of rats to infrared radiation from IR cage-bedding moderates the development of autoimmune joint inflammation, and consequently has beneficial effects on global spontaneous pain score and welfare and (ii) pointed to rather complex immunomodulatory and anti-inflammatory mechanisms underlying this phenomenon"</t>
  </si>
  <si>
    <t>Sakugawa</t>
  </si>
  <si>
    <t>Antiedematous Effect Promoted by Occlusion of Legs with Compressive Socks Containing Infrared-Emitting Ceramic Particulates.</t>
  </si>
  <si>
    <t>🧑 Human
🎲 Randomized trial, sham-controlled
👥 36 participants
⌛ 28 days</t>
  </si>
  <si>
    <t>10000
approx.</t>
  </si>
  <si>
    <t>8h per day</t>
  </si>
  <si>
    <t>28 days of sock wearing</t>
  </si>
  <si>
    <t>"Data showed a statistically significant reduction in the edema volume for the BC group compared with the placebo group: 78.9 ± 10.7 mL versus 41.3 ± 5.6 mL, p = 0.003. 
Further, there was also greater pain relief for the BC group when compared with the placebo group, with a pain decrease of 7.0 ± 0.2 U versus 3.3 ± 0.2 U, respectively, on the VAS from 0 to 10 (p = 0.024). "</t>
  </si>
  <si>
    <t>Korea
(Chunchon)</t>
  </si>
  <si>
    <t>Protective potentials of far-infrared ray against neuropsychotoxic conditions</t>
  </si>
  <si>
    <t>"In this mini-review, we have discussed with the protective potentials mediated by FIR against [methamphetamine]-induced psychotoxic burdens."</t>
  </si>
  <si>
    <t>Far-infrared protects vascular endothelial cells from advanced glycation end products-induced injury via PLZF-mediated autophagy in diabetic mice.</t>
  </si>
  <si>
    <t>"In nicotinamide/streptozotocin-induced diabetic mice, FIR therapy reduced serum AGEs and AGEs deposition at the vascular endothelium. FIR therapy also reduced diabetes-induced inflammatory markers in the vascular endothelium and improved vascular endothelial function. These protective effects of FIR therapy were not found in PLZF-knockout mice."</t>
  </si>
  <si>
    <t>China
(Yanji)</t>
  </si>
  <si>
    <t>Preconditioning with far-infrared irradiation enhances proliferation, cell survival, and migration of rat bone marrow-derived stem cells via CXCR4-ERK pathways.</t>
  </si>
  <si>
    <t>3000-
25000
(peak at
8200)</t>
  </si>
  <si>
    <t>"Overall, these findings provide the first evidence that FIR confers a real and significant benefit on the preconditioning of BMSCs, and might lead to novel strategies for improving BMSC therapy for cardiac ischemia."</t>
  </si>
  <si>
    <t>Loturco</t>
  </si>
  <si>
    <t>Biol Sport</t>
  </si>
  <si>
    <t>Effects of far infrared rays emitting clothing on recovery after an intense plyometric exercise bout applied to elite soccer players: a randomized double-blind placebo-controlled trial.</t>
  </si>
  <si>
    <t>🧑 Human
🎲 Randomized trial, double-blind
👥 21 participants
⌛ 3 nights of FIR clothes</t>
  </si>
  <si>
    <t>5000-
20000</t>
  </si>
  <si>
    <t>3 nights of wearing FIR clothes</t>
  </si>
  <si>
    <t>"DOMS effect sizes were greater in FIR (moderate at 48 h, ES = 0.737 and large at 72 h, ES = 0.844), suggesting that FIR clothes may reduce perceived DOMS after an intense plyometric session performed by soccer players."</t>
  </si>
  <si>
    <t>Constantin</t>
  </si>
  <si>
    <t>Romania (Bucharest)</t>
  </si>
  <si>
    <t>CO2 laser increases the regenerative capacity of human adipose-derived stem cells by a mechanism involving the redox state and enhanced secretion of pro-angiogenic molecules.</t>
  </si>
  <si>
    <t>"CO2 laser has a beneficial effect on stem cells by mechanisms that are not clearly elucidated. We hypothesize that the effect of fractional CO2 laser on human adipose-derived stem cells (ADSC) could be due to changes in redox homeostasis and secretion of factors contributing to cellular proliferation and angiogenic potential."
"In conclusion, the mechanisms underlying the benefic effect of CO2 laser on ADSC are the activation of the redox pathways which increases cell proliferation and enhances secretion of angiogenic molecules."</t>
  </si>
  <si>
    <t>Shui</t>
  </si>
  <si>
    <t>Far-infrared therapy for cardiovascular, autoimmune, and other chronic health problems: A systematic review.</t>
  </si>
  <si>
    <t>"Physical therapy (physiotherapy), a complementary and alternative medicine therapy, has been widely applied in diagnosing and treating various diseases and defects. Increasing evidence suggests that convenient and non-invasive far-infrared (FIR) rays, a vital type of physiotherapy, improve the health of patients with cardiovascular disease, diabetes mellitus, and chronic kidney disease. Nevertheless, the molecular mechanisms by which FIR functions remain elusive. Hence, the purpose of this study was to review and summarize the results of previous investigations and to elaborate on the molecular mechanisms of FIR therapy in various types of disease. In conclusion, FIR therapy may be closely related to the increased expression of endothelial nitric oxide synthase as well as nitric oxide production and may modulate the profiles of some circulating miRNAs; thus, it may be a beneficial complement to treatments for some chronic diseases that yields no adverse effects."</t>
  </si>
  <si>
    <t>Eur J Vasc Endovasc Surg</t>
  </si>
  <si>
    <t>Post-angioplasty far infrared radiation therapy improves 1-year angioplasty-free hemodialysis access patency of recurrent obstructive lesions.</t>
  </si>
  <si>
    <t>🧑 Human
📄 Observational</t>
  </si>
  <si>
    <t>"The study provides data regarding far infrared (FIR) radiation therapy on recurrent hemodialysis (HD) access stenosis that has been treated with balloon angioplasty. The positive results obtained show that FIR radiation therapy following balloon angioplasty is beneficial in the case of recurrent HD access stenosis, especially arteriovenous graft stenosis, in terms of improving the angioplasty-free patency at 1 year. The data may be clinically valid for management of recurrent HD access stenosis and guidance of FIR radiation therapy."</t>
  </si>
  <si>
    <t>Vatansever &amp; Hamblin</t>
  </si>
  <si>
    <t>Photonics Lasers Med</t>
  </si>
  <si>
    <t>Far infrared radiation (FIR): its biological effects and medical applications.</t>
  </si>
  <si>
    <t>"Far infrared (FIR) radiation (λ = 3-100 μm) is a subdivision of the electromagnetic spectrum that has been investigated for biological effects. 
The goal of this review is to cover the use of a further sub-division (3- 12 μm) of this waveband, that has been observed in both in vitro and in vivo studies, to stimulate cells and tissue, and is considered a promising treatment modality for certain medical conditions. 
Technological advances have provided new techniques for delivering FIR radiation to the human body. Specialty lamps and saunas, delivering pure FIR radiation (eliminating completely the near and mid infrared bands), have became safe, effective, and widely used sources to generate therapeutic effects. Fibers impregnated with FIR emitting ceramic nanoparticles and woven into fabrics, are being used as garments and wraps to generate FIR radiation, and attain health benefits from its effects."</t>
  </si>
  <si>
    <t>Cardiovasc Diabetol</t>
  </si>
  <si>
    <t>Far infra-red therapy promotes ischemia-induced angiogenesis in diabetic mice and restores high glucose-suppressed endothelial progenitor cell functions.</t>
  </si>
  <si>
    <t>Diabetic mice
Angiogenesis</t>
  </si>
  <si>
    <t>"Administration of IFR therapy promoted collateral flow recovery and new vessel formation in STZ-induced diabetic mice, and these beneficial effects may derive from enhancement of EPC functions and homing process."</t>
  </si>
  <si>
    <t>Shapiro</t>
  </si>
  <si>
    <t>Infrared light excites cells by changing their electrical capacitance.</t>
  </si>
  <si>
    <t>&gt; 1500</t>
  </si>
  <si>
    <t>"Here we show that infrared light excites cells through a novel, highly general electrostatic mechanism. Infrared pulses are absorbed by water, producing a rapid local increase in temperature. This heating reversibly alters the electrical capacitance of the plasma membrane, depolarizing the target cell. This mechanism is fully reversible and requires only the most basic properties of cell membranes."</t>
  </si>
  <si>
    <t>Biological effect of far-infrared therapy on increasing skin microcirculation in rats.</t>
  </si>
  <si>
    <t>"In conclusion, FIR therapy exerts a NO-related biological effect to increase skin microcirculation in rats. This might bring into perspective the clinical application of FIR to treat ischemic disease by augmenting L-arginine/NO pathway."</t>
  </si>
  <si>
    <t>Effects of infrared radiation on skin photo-aging and pigmentation.</t>
  </si>
  <si>
    <t>🧑 Human
📄 Single-arm study
👥 20 participants
⌛ 6 months
+ 🧪 In vitro</t>
  </si>
  <si>
    <t>900 000 - 1 000 000</t>
  </si>
  <si>
    <t>daily for 6 months</t>
  </si>
  <si>
    <t>"These results suggest that infrared radiation may have beneficial effects on skin texture and wrinkles by increasing collagen and elastin contents from the stimulated fibroblasts. Therefore, skin treatment with infrared radiation may be an effective and safe non-ablative remodeling method, and may also be useful in the treatment of photo-aged skin."</t>
  </si>
  <si>
    <t>Toyokawa</t>
  </si>
  <si>
    <t>Promotive effects of far-infrared ray on full-thickness skin wound healing in rats.</t>
  </si>
  <si>
    <t>"Wound healing was significantly more rapid with than without FIR. Skin blood flow and skin temperature did not change significantly before or during FIR irradiation.
Histological findings revealed greater collagen regeneration and infiltration of fibroblasts that expressed transforming growth factor-beta1 (TGF-beta1) in wounds in the FIR group than in the group without FIR. Stimulation of the secretion of TGF-beta1 or the activation of fibroblasts may be considered as a possible mechanisms for the promotive effect of FIR on wound healing independent of skin blood flow and skin temperature."</t>
  </si>
  <si>
    <t>Green light: pain</t>
  </si>
  <si>
    <t>Neurobiol Dis</t>
  </si>
  <si>
    <t>Glutamatergic and GABAergic neurons in the vLGN mediate the nociceptive effects of green and red light on neuropathic pain</t>
  </si>
  <si>
    <t>Green light 🟢 (visually mediated effect, not PBM)</t>
  </si>
  <si>
    <t>"Green light produces antinociception by activating glutamatergic neurons in vLGN, and red light promotes nociception by activating GABAergic neurons in vLGN. Together, these results demonstrate that different colors of light exert different pain modulation effects by regulating glutamatergic and GABAergic subpopulations in the vLGN."</t>
  </si>
  <si>
    <t>Green light exposure elicits anti-inflammation, endogenous opioid release and dampens synaptic potentiation to relieve post-surgical pain</t>
  </si>
  <si>
    <t>"In this study, we demonstrate that green light exposure reduced post-surgical hypersensitivity in rats.
Moreover, this therapy potentiated the antinociceptive effects of morphine and ibuprofen on mechanical allodynia in male rats. Importantly, in female rats, GLED potentiated the antinociceptive effects of morphine but did not affect that of ibuprofen.
We showed that green light increases endogenous opioid levels while lessening synaptic plasticity and neuroinflammation.
Importantly, this study reveals new insights into how light exposure can affect neuroinflammation and plasticity in both genders."</t>
  </si>
  <si>
    <t>Green Light Antinociceptive and Reversal of Thermal and Mechanical Hypersensitivity Effects Rely on Endogenous Opioid System Stimulation</t>
  </si>
  <si>
    <t>"Through behavioral and gene editing approaches, we identified that green light provides antinociception via modulation of the endogenous opioid system in the spinal cord."</t>
  </si>
  <si>
    <t>Ibrahim</t>
  </si>
  <si>
    <t>Long-lasting antinociceptive effects of green light in acute and chronic pain in rats</t>
  </si>
  <si>
    <t>28800
(8h/day)</t>
  </si>
  <si>
    <t>"Rats receiving green LED light (wavelength 525 nm, 8 h/d) showed significantly increased paw withdrawal latency to a noxious thermal stimulus; this antinociceptive effect persisted for 4 days after termination of last exposure without development of tolerance. No apparent side effects were noted and motor performance was not impaired. 
Despite LED exposure, opaque contact lenses prevented antinociception. Rats fitted with green contact lenses exposed to room light exhibited antinociception arguing for a role of the visual system."</t>
  </si>
  <si>
    <t>Noseda</t>
  </si>
  <si>
    <t>Migraine photophobia originating in cone-driven retinal pathways</t>
  </si>
  <si>
    <t>Human (not PBM research)</t>
  </si>
  <si>
    <t>"In conclusion, this study demonstrates that green light is least likely to exacerbate migraine headache and that at low intensities it may even be therapeutic by reducing the headache intensity. The soothing effects of green are likely to involve a complex psychobiology ( Hurlbert and Ling, 2007 ; Palmer and Schloss, 2010 ; Strauss et al. , 2013 )."</t>
  </si>
  <si>
    <t>NIR (1072 nm)</t>
  </si>
  <si>
    <t>Cutaneous effects of photobiomodulation with 1072 nm light</t>
  </si>
  <si>
    <t>"1072 NIR can reach more cells throughout the epidermis and dermis compared to other parts of the electromagnetic spectrum traditionally used in phototherapy to provide unique and targeted benefits. 1072 NIR light-emitting diodes are commercially available and therefore hold tremendous potential to become accessible, affordable treatment options. Given the increased demand and market size for aesthetics for men that remains untapped, there is opportunity for future research to elucidate the potential for this wavelength as a safe and effective treatment."</t>
  </si>
  <si>
    <t>Infrared</t>
  </si>
  <si>
    <t>Tsai &amp; Hamblin</t>
  </si>
  <si>
    <t>Taiwan &amp; USA</t>
  </si>
  <si>
    <t>Biological effects and medical applications of infrared radiation.</t>
  </si>
  <si>
    <t>"Infrared (IR) radiation is electromagnetic radiation with wavelengths between 760nm and 100,000nm. Low-level light therapy (LLLT) or photobiomodulation (PBM) therapy generally employs light at red and near-infrared wavelengths (600-100nm) to modulate biological activity. Many factors, conditions, and parameters influence the therapeutic effects of IR, including fluence, irradiance, treatment timing and repetition, pulsing, and wavelength.
Increasing evidence suggests that IR can carry out photostimulation and photobiomodulation effects particularly benefiting neural stimulation, wound healing, and cancer treatment. Nerve cells respond particularly well to IR, which has been proposed for a range of neurostimulation and neuromodulation applications, and recent progress in neural stimulation and regeneration are discussed in this review. 
The applications of IR therapy have moved on rapidly in recent years. For example, IR therapy has been developed that does not actually require an external power source, such as IR-emitting materials, and garments that can be powered by body heat alone. Another area of interest is the possible involvement of solar IR radiation in photoaging or photorejuvenation as opposites sides of the coin, and whether sunscreens should protect against solar IR? 
A better understanding of new developments and biological implications of IR could help us to improve therapeutic effectiveness or develop new methods of PBM using IR wavelengths."</t>
  </si>
  <si>
    <t>Cutaneous effects of infrared radiation: from clinical observations to molecular response mechanisms.</t>
  </si>
  <si>
    <t>"Human skin is exposed to infrared (IR) radiation (760 nm-1 mm) from natural as well as artificial sources that are increasingly used for cosmetic or medical purposes. Epidemiological data and clinical observations, however, indicate that IR radiation cannot be considered as totally innocuous to human skin. In particular, IR radiation, similar to ultraviolet radiation, seems to be involved in photoaging and potentially also in photocarcinogenesis. The molecular consequences resulting from IR exposure are virtually unknown. Recent studies, however, have begun to shed light on the basic molecular processes such as cellular signal transduction and gene expression triggered by exposure to IR radiation. In response to IR irradiation, mitogen-activated protein kinase signaling pathways were activated mediating the upregulation of matrix metalloproteinase-1 expression. This previously unrecognized molecular 'IR response' shows that IR radiation is capable of specifically interfering with cellular functions and provides a molecular basis for biological effects of IR on human skin."</t>
  </si>
  <si>
    <t>Mid-infrared</t>
  </si>
  <si>
    <t>Mid infrared light treatment attenuates cognitive decline and alters the gut microbiota community in APP/PS1 mouse model.</t>
  </si>
  <si>
    <t>7700-
10000</t>
  </si>
  <si>
    <t>3600
for
6wk</t>
  </si>
  <si>
    <t>"We found that APP/PS1 mice treated with MIR light had improved learning and memory abilities and reduced amyloid-β (Aβ) plaque load in the brain. We also surprisingly found that the gut microbiota composition in APP/PS1 mice treated with MIR light returned to normal (wild type mice) levels."
Comment: Dosing parameters were not reported.</t>
  </si>
  <si>
    <t>Worms</t>
  </si>
  <si>
    <t>Earthworm: Dendrobaena veneta</t>
  </si>
  <si>
    <t>Eur J Histochem</t>
  </si>
  <si>
    <t>The earthworm Dendrobaena veneta (Annelida): A new experimental-organism for photobiomodulation and wound healing.</t>
  </si>
  <si>
    <t>Dendrobaena veneta</t>
  </si>
  <si>
    <t>"Three successive treatments, one every 24 hours, were concluded as sufficient to promote the wound healing, by effects on muscular and blood vessel contraction, decrement of bacteria load, reduction of inflammatory processes and tissue degeneration. D. veneta was demonstrated to be a reliable experimental organism that meets well the 3Rs principles and the National Science Foundation statement."</t>
  </si>
  <si>
    <t>The photobiomodulation effect of higher-fluence 808-nm laser therapy with a flat-top handpiece on the wound healing of the earthworm Dendrobaena veneta: a brief report.</t>
  </si>
  <si>
    <t>"In conclusion, the flat-top handpiece 808-nm phototherapy with higher power and fluence promotes the wound healing in the D. veneta new animal model through muscular contraction, which reduces the wound area, and via inhibition of the inflammatory process demonstrated by the reduction of the coelomic plug and of the non-cholinergic AChE production."</t>
  </si>
  <si>
    <t>Flatworm: Dugesia tigrina</t>
  </si>
  <si>
    <t>Wu &amp; Persinger</t>
  </si>
  <si>
    <t>Increased mobility and stem-cell proliferation rate in Dugesia tigrina induced by 880nm light emitting diode.</t>
  </si>
  <si>
    <t>Dugesia tigrina</t>
  </si>
  <si>
    <t>"These findings suggest that non-coherent light sources with power-densities about 1000 times lower than contemporary low-power laser settings remain effective in generating photobiostimulation effects and warrants further investigation on stem-cell proliferation induced by near-infrared light emitting diodes."</t>
  </si>
  <si>
    <t>Braz J Biol</t>
  </si>
  <si>
    <t>A study of low power laser on the regenerative process of Girardia tigrina (Girard,1850) (Turbellaria; Tricladida; Dugesiidae).</t>
  </si>
  <si>
    <t>60
180</t>
  </si>
  <si>
    <t>"The head fragment after 1 minute of irradiation presented a better organized tissue scheme, when compared with the other treatments. Aspects of the body fragments submitted to 3 minutes of light treatment were very similar to fragments that had not been injured. It can be concluded that there are changes in the quality of regeneration when treated with low power laser under the conditions mentioned above."</t>
  </si>
  <si>
    <t>Low power laser radiation at 685 nm stimulates stem-cell proliferation rate in Dugesia tigrina during regeneration.</t>
  </si>
  <si>
    <t>"A remarkable increase in stem cells counts for the fourth day of regeneration was observed when the regenerating worms was stimulated by the laser radiation. Our findings encourage further research works on the influence of optical radiation onto stem cells and tissue regeneration."</t>
  </si>
  <si>
    <t>Flatworm: Schmidtea mediterranea</t>
  </si>
  <si>
    <t>Ermakov</t>
  </si>
  <si>
    <t>Russia
(Puschkino)</t>
  </si>
  <si>
    <t>Opposite effects of low intensity light of different wavelengths on the planarian regeneration rate.</t>
  </si>
  <si>
    <t>Schmidtea mediterranea</t>
  </si>
  <si>
    <t>LLLT vs LED
Green light 🟢
Blue light 🔵
Wavelength comparison</t>
  </si>
  <si>
    <t>420
463
520
533
635
638.5</t>
  </si>
  <si>
    <t>"It was found that a one-time exposure of regenerating planarians with low-intensity red light diodes stimulated head blastema growth in a dose-dependent manner (up to 40%). 
The green light exposure of planarians resulted in the opposite effect, showing a reduced head blastema growth rate by up to 21%. 
The blue light exposure did not lead to any changes in the rate of head blastema growth."
"The maximum effects of light exposure were observed at a dose of 175.2 mJ/cm2."
"No significant differences were revealed in the dynamics of neoblasts' (planarian stem cells) proliferation under red and green light exposure. However, the RT-PCR gene expression analysis of 46 wound-induced genes revealed their up-regulation upon red LED light exposure, and down-regulation upon green light exposure."
"Thus, we have demonstrated that the planarian regeneration process is rather sensitive to the effects of low-intensity light radiation of certain wavelengths, the biological activity of red and green light being dictated by the different expression of the genes regulating transcriptional activity."</t>
  </si>
  <si>
    <t>Roundworm: C Elegans</t>
  </si>
  <si>
    <t>De Magalhaes Filho</t>
  </si>
  <si>
    <t>USA
(Berkeley, CA)</t>
  </si>
  <si>
    <t>Visible light reduces C. elegans longevity.</t>
  </si>
  <si>
    <t>C Elegans</t>
  </si>
  <si>
    <t>~650-
700</t>
  </si>
  <si>
    <t>"Longer wavelengths such as yellow (600 ± 60 nm) and red (675 ± 20 nm) in permanent illumination were also sufficient to decrease the lifespan with the respective mean survival of 11.3 ± 0.4 days (Fig. 4g) and 13.2 ± 0.4 days (Fig. 4h)."
Note: The control (dark) lifespan was 19.2 days.
Comment: The negative effect might be related to biphasic dose response. I calculated that the red light group received approximately 2.5 mW/cm2 intensity of light. I am not sure how long exposure the worms received daily, but if it was 24h per day, then the energy density would be 216 J/cm2 per day, which might be too much and therefore harmful.</t>
  </si>
  <si>
    <t>Duggett NA</t>
  </si>
  <si>
    <t>THESIS [Durham University]</t>
  </si>
  <si>
    <t>Photobiomodulation in Animal Models of Ageing and Alzheimer's Disease</t>
  </si>
  <si>
    <t>"Chronic IR1072 exposure Caenorhabditis elegans was shown to consistently extend lifespan. This model system aided in establishing pathways essential for biological effects of IR1072, demonstrating the importance of HSF1 driven pathways, in particular those requiring HSP70. In conclusion, this research revealed mechanisms initiated by photobiomodulation at IR1072 that act to reestablish homeostasis, profoundly reduce amyloid load, prevent cell stress and cell death."</t>
  </si>
  <si>
    <t>Abrasion</t>
  </si>
  <si>
    <t>Blue-LED-Light Photobiomodulation of Inflammatory Responses and New Tissue Formation in Mouse-Skin Wounds</t>
  </si>
  <si>
    <t>0.69</t>
  </si>
  <si>
    <t>20.7</t>
  </si>
  <si>
    <t>"We can observe an increase in the cellular infiltrate response, and in mast-cell density and their degranulation index correlated to the expression of the major histocompatibility complex after 24 h. Furthermore, after six days, the vessel density increases with the expression of the platelet-derived growth factor in the mast cells. Finally, collagen deposition and morphology in the treated wounds appear more similar to unwounded skin"
"Blue-light photobiomodulation stimulates several cellular processes that are finely coordinated by mast cells, leading to more rapid wound healing and a better-recovered skin morphology."</t>
  </si>
  <si>
    <t>Blue LED light modulates inflammatory infiltrate and improves the healing of superficial wounds</t>
  </si>
  <si>
    <t>20.6</t>
  </si>
  <si>
    <t>"Our preliminary results indicated that the early activation of cells belonged to a cellular infiltrate and involved the first phase of wound healing,7 thus leading to a faster recovery of the treated wound."</t>
  </si>
  <si>
    <t>Hopkins</t>
  </si>
  <si>
    <t>Low-Level Laser Therapy Facilitates Superficial Wound Healing in Humans: A Triple-Blind, Sham-Controlled Study.</t>
  </si>
  <si>
    <t>🧑 Human
🎲 Randomized trial, triple-blind, between-group-controlled and self-controlled
👥 22 participants
⌛ 10-day treatment -&gt; 10-day follow-up</t>
  </si>
  <si>
    <t>Superficial wounds
Laser clusted (46 diodes)
Systemic effects</t>
  </si>
  <si>
    <t>660
+
820
+
870
+
880
+
940
+
950</t>
  </si>
  <si>
    <t>8
on
average</t>
  </si>
  <si>
    <t>19.6
cm2
cluster
head
area</t>
  </si>
  <si>
    <t>"At days 6, 8, and 10, follow-up testing revealed that the laser group had smaller wounds than the sham group for both the treated and the untreated wounds (P &lt; .05) (Figure ​(Figure2).2)."
"These data indicate that LLLT is an effective modality to facilitate wound contraction of partial-thickness wounds."</t>
  </si>
  <si>
    <t>Experimental wound: "Two standardized 1.27-cm(2) abrasions were induced on the anterior forearm."
Device: "Omega Excel, Omega Laser Systems, Crawley, UK"</t>
  </si>
  <si>
    <t>Accident injuries</t>
  </si>
  <si>
    <t>Wound healing of animal and human body sport and traffic accident injuries using low-level laser therapy treatment: a randomized clinical study of seventy-four patients with control group.</t>
  </si>
  <si>
    <t>🧑 Human
🎲 Randomized trial
👥 126 participants
⌛ 18-day treatment / 20-day study
+ 🐇 Rabbits</t>
  </si>
  <si>
    <t>633+
830
(human)
633+
830+
904
(animal)</t>
  </si>
  <si>
    <t>18
/ 18 days</t>
  </si>
  <si>
    <t>"After comparing the healing process between two groups of patients, we obtained the following results: wound healing was significantly accelerated (25%-35%) in the group of patients treated with LLLT. Pain relief and functional recovery of patients treated with LLLT were significantly improved comparing to untreated patients."</t>
  </si>
  <si>
    <t xml:space="preserve">Device (830nm): "ALPHA MED-2000 infrared diode laser (GaAlAs, 830 nm; continuous wave; 120 mW maximum output power, spot size 5 mm in diameter)"
Device (633nm): "MED-1000 HeNe laser (632.8 nm; 10 mW output power; spot size 2 mm in diameter) coupled with an infrared diode laser (904 nm; pulsed wave; 30 mW maximum output power"
Devices (manufacturer): "All devices used in this study were made by Lasotronic, Zug, Switzerland."
</t>
  </si>
  <si>
    <t>Bruises</t>
  </si>
  <si>
    <t>Krikorian</t>
  </si>
  <si>
    <t>Use of he-ne laser for treatment of soft tissue trauma: evaluation by - gallium-67 citrate scanning*.</t>
  </si>
  <si>
    <t>"During the first 12 days after injury, both (He-Ne laser) treated and nontreated rats healed rapidly with no observable differences"</t>
  </si>
  <si>
    <t>Buerger disease</t>
  </si>
  <si>
    <t>Effect of low level laser irradiation on indolent ulcers caused by buerger,s disease; literature review and preliminary report</t>
  </si>
  <si>
    <t>🧑 Human
📄 Case series
👥 3 cases
⌛ 3-month tx (case 1), 13-month tx (case 2), 8-month tx and still continuing (case 3)</t>
  </si>
  <si>
    <t>0.18-
2.7</t>
  </si>
  <si>
    <t>3-5 sessions per week
 (see full text)</t>
  </si>
  <si>
    <t>"Two of the three patients were completely healed, with a one-year follow-up, and the third patient is still undergoing treatment, but with an excellent prognosis, All three patients reported a significant reduction of pain, and demonstrated fast and significant reduction in inflammation and oedema, accompanied by fast and clear demarcation of the necrotic area, and fast granulation of the ulcer's surface, The wounds healed with minimal scarring, Antibiotics had to be used additionally to the LLLT in two of the three reported cases, Infrared thermography was used to evaluate the effect of LLLT on the microvasculature in the affected area, showing on average a 0.9°C increase in temperature."</t>
  </si>
  <si>
    <t>Burns (clinical)</t>
  </si>
  <si>
    <t>Low-level laser for the management of head-and-neck burn wounds</t>
  </si>
  <si>
    <t>"In the current case report, adding LLLT to the conventional approach for burn wound care resulted in an important clinical improvement of the patient's orofacial conditions within approximately 5 days."</t>
  </si>
  <si>
    <t>The efficacy of low-level laser therapy for the healing of second-degree burn wounds on lower limbs of glucocorticoid-dependent patients</t>
  </si>
  <si>
    <t>🧑 Human
📄 Non-randomized study, controlled
👥 62 participants.
⌛ 21 days</t>
  </si>
  <si>
    <t>630-
650</t>
  </si>
  <si>
    <t>12 x 
12 cm radiation area</t>
  </si>
  <si>
    <t>every
other
day (?)</t>
  </si>
  <si>
    <t>"Compared with the control group, the observation group showed higher wound healing rate, fewer wound secretions, and more relief in marginal response. Clinical observation showed that 630-650-nm red light could effectively reduce wound purulent drainage/discharge, relieve the marginal response as well as pain, and promote wound healing."</t>
  </si>
  <si>
    <t>Device: Carnation-22; Lifotronic, Shenzhen, China</t>
  </si>
  <si>
    <t>Elmelegy</t>
  </si>
  <si>
    <t>Aesthetic treatment of acute burns of the face using electro-photobiomodulation</t>
  </si>
  <si>
    <t>🧑 Human
📄 Single-arm study
👥 42 participants
⌛ (?)</t>
  </si>
  <si>
    <t>Intense pulsed light + radiofrequency</t>
  </si>
  <si>
    <t>"Clinical assessment showed excellent results in 34 (81%) patients, good results in 6 (14.3%) patients, fair results in two (4.7%) patients, and no poor results were reported. The results of this clinical trial showed that intense pulsed light and radiofrequency therapy can rapidly heal deep skin burns without the need for surgery."
Comment: The treatment is intense pulsed light but they still call it photobiomodulation (?)</t>
  </si>
  <si>
    <t>Venceslau</t>
  </si>
  <si>
    <t>Effects of photobiomodulation on re-epithelialization of burn wound: protocol for a randomized controlled trial</t>
  </si>
  <si>
    <t>"This is a double-blinded, three-arm parallel-group, randomized controlled superiority trial. Individuals of both sexes, aged over 18 years, and with second-degree burns will be included. The sample will be divided into three groups of 13 individuals: two will receive LED therapy (red or infrared) and one placebo. Pain, pruritus, skin temperature, and wound size will be assessed daily."</t>
  </si>
  <si>
    <t>Australia &amp; Iran</t>
  </si>
  <si>
    <t>Effects of Photobiomodulation and Split-Thickness Skin Grafting in the Prognosis of Wound Healing in Children with Deep Burn Ulcers</t>
  </si>
  <si>
    <t>🧑 Human
⚔ Comparison study</t>
  </si>
  <si>
    <t>PBM vs split-thickness skin grafting</t>
  </si>
  <si>
    <t>0.6
cm2
spot
size</t>
  </si>
  <si>
    <t>every
other day
10-12
sessions</t>
  </si>
  <si>
    <t>"This is the first study to compare PBM and STSG in burn ulcers in children. Results indicated that PBM was an effective alternative to STSG, significantly decreasing the rate of scar and hypertrophic scar formation. Potential mechanisms of PBM that may be involved in burn tissue repair are discussed."</t>
  </si>
  <si>
    <t>Mellergaard</t>
  </si>
  <si>
    <t>Evaluation of Fluorescent Light Energy for the Treatment of Acute Second-degree Burns</t>
  </si>
  <si>
    <t>🧑 Human
📄 Single-arm trial
+ ex vivo</t>
  </si>
  <si>
    <t>FLE (fluorescent light energy)</t>
  </si>
  <si>
    <t>"A specialized type of PBM therapy utilizes a biophotonic platform that consists of a gel containing chromophores, which are activated by a light-emitting diode (LED) lamp. This combination creates a spectral output of fluorescent light energy (FLE) in a broad spectrum of wavelengths ranging from 400 to 700 nm."
"Healing was reported for all 18 patients treated with FLE for acute second-degree burns without reported adverse effects or development of infections. Furthermore, preliminary ex vivo skin model data suggest that FLE impacts different cellular pathways including essential immune-modulatory mechanisms."</t>
  </si>
  <si>
    <t>Nilforoushzadeh</t>
  </si>
  <si>
    <t>An Open-Label Study of Low-Level Laser Therapy Followed by Autologous Fibroblast Transplantation for Healing Grade 3 Burn Wounds in Diabetic Patients.</t>
  </si>
  <si>
    <t>"The mean wound size before treatment was 16.28 cm2 . All patients' burn wounds healed completely after 10-12 weeks. C"</t>
  </si>
  <si>
    <t>The Efficacy of Carbone Dioxide Laser Debridement Along With Low-Level Laser Therapy in Treatment of a Grade 3 Necrotic Burn Ulcer in a Paraplegic Patient (A Case Report).</t>
  </si>
  <si>
    <t>10600
+
650
+
808</t>
  </si>
  <si>
    <t>"The patient was a 20-year-old paraplegic girl with a grade 3 necrotic burn ulcer for 3 weeks. 
We used a fractional Co2 laser along with chemical debridement with trichloroacetic acid (TCA 80%) and low-level laser therapy (LLLT) with a 808 nm infrared laser, 6 J/cm2 for the necrotic area, and a 650 nm red laser, 2 J/cm2 for the open wound area. 
Complete healing occurred after 25 sessions without surgery."</t>
  </si>
  <si>
    <t>Vaghardoost</t>
  </si>
  <si>
    <t>Effect of low-level laser therapy on the healing process of donor site in patients with grade 3 burn ulcer after skin graft surgery (a randomized clinical trial).</t>
  </si>
  <si>
    <t>🧑 Human
🎲 Randomized trial, double-blind
👥 11 participants (18 donor sites randomized)
⌛ 8 days</t>
  </si>
  <si>
    <t>Skin graft surgery healing</t>
  </si>
  <si>
    <t>0.25
cm2
radiation area</t>
  </si>
  <si>
    <t>"The size of donor site reduced in both groups during the 7-day study period (P &lt; 0.01) and this reduction was significantly greater in the laser group (P = 0.01). In the present study, for the first time, we evaluate the effects of LLLT on the healing process of donor site in burn patients. The results showed that local irradiation of red laser accelerates wound healing process significantly."
Comment: According to abstract, wavelenth is 655 nm and according to full text it is 650 nm.</t>
  </si>
  <si>
    <t>Device: "Portable Laser Probe (PLP), 650 nm (...) Canadian Optic Laser Center, COL laser, Canada,"
Application: contact</t>
  </si>
  <si>
    <t>Evaluation of the Effects of Low Level Laser Therapy on the Healing Process After Skin Graft Surgery in Burned Patients (A Randomized Clinical Trial).</t>
  </si>
  <si>
    <t>🧑 Human
🎲 Randomized trial, self-controlled
👥 9 participants
⌛ 7 days</t>
  </si>
  <si>
    <t>655
wound
bed
+
808
margins</t>
  </si>
  <si>
    <t>150
+
200</t>
  </si>
  <si>
    <t>2
6</t>
  </si>
  <si>
    <t>0.25
cm2
1
cm2
radiation area</t>
  </si>
  <si>
    <t>"The rate of wound dehiscence after skin graft surgery was significantly lower in laser treated group in comparison to control group which received only classic dressing (P=0.019)."
"The results showed LLLT to be a safe effective method which improves graft survival and wound healing process and decreases the rate of wound dehiscence in patients with deep burn ulcers."</t>
  </si>
  <si>
    <t>Device: "Portable laser probe (PLP) (...) Canadian Optic Laser Center, COL laser, Canada (...) and portable 3 L, 808 nm infra-red"</t>
  </si>
  <si>
    <t>Ebid</t>
  </si>
  <si>
    <t>Long-term effects of pulsed high-intensity laser therapy in the treatment of post-burn pruritus: a double-blind, placebo-controlled, randomized study.</t>
  </si>
  <si>
    <t xml:space="preserve">🧑 Human
🎲 Randomized trial, double-blind
👥 49 participants
⌛ </t>
  </si>
  <si>
    <t>HILT (with HIRO 3 device)
Itching</t>
  </si>
  <si>
    <t>0.2
cm2
spot size</t>
  </si>
  <si>
    <t>~900
(in 3 phases)
(see full text)</t>
  </si>
  <si>
    <t>"VAS results significantly decrease, hand grip strength significantly improved, and cetirizine intake significantly decreased post-treatment in the ALG relative to the PLG. HILT combined with cetirizine seems more effective in patients with post-burn pruritus than a placebo laser procedure with cetirizine."</t>
  </si>
  <si>
    <t>Device: "pulsed Nd:YAG laser (HIRO 3 machine, ASA Laser company, Italy)"
Application: "handpiece in contact with and perpendicular to the treated area on the forearm and hand (...) initial phase was performed with fast manual scanning in transverse and longitudinal directions on the affected area (...) intermediate phase was applied to 16 points of the itching area of the forearm and hand (...) In the final phase, the HILT was applied in the same way as the initial phase except that the scanning was done slowly"</t>
  </si>
  <si>
    <t>Low-intensity LED therapy (658 nm) on burn healing: a series of cases.</t>
  </si>
  <si>
    <t>0.31</t>
  </si>
  <si>
    <t>309-662 per session
(see full text)</t>
  </si>
  <si>
    <t>0.13
cm2
spot size
(1 LED)
5
cm2
probe area
(12 LEDs)</t>
  </si>
  <si>
    <t>23
/spot</t>
  </si>
  <si>
    <t>1-10
(every second day)</t>
  </si>
  <si>
    <t>"The burns treated with LED showed higher epithelization, with keratinocytes and fibroblasts proliferation, increased collagen synthesis, decreased pain, and pruritus. In conclusion, there was a faster clinical improvement in the irradiated limbs."</t>
  </si>
  <si>
    <t>Device: "Endophoton KLD Biosystems©"
Dosing: "The total amount of energy, defined in joules (J) applied to the burn area at each treatment session, was defined by the extent of the lesion."</t>
  </si>
  <si>
    <t>Dahmardehei</t>
  </si>
  <si>
    <t>Effects of low level laser therapy on the prognosis of split-thickness skin graft in type 3 burn of diabetic patients: a case series.</t>
  </si>
  <si>
    <t>🧑 Human
📄 Case series
👥 13 cases</t>
  </si>
  <si>
    <t>Grade 3 burn ulcer
(candidate for amputation)</t>
  </si>
  <si>
    <t>650
+
810
+
660
(i.v.)</t>
  </si>
  <si>
    <t>2
6</t>
  </si>
  <si>
    <t>7-10, 
before
surgery
--&gt;
3-15
after
surgery
(10-15 total)</t>
  </si>
  <si>
    <t>"The results of this study showed complete healing in the last 8 weeks for all patients who were candidates for amputation. In this case series, we present 13 cases of diabetic ulcer with type 3 burn wound, candidate for amputation, who healed completely using LLLT and STSG. This is the first time that these two techniques are combined for treatment of burn ulcer in diabetic patients. Using LLLT with STSG might be a promising treatment for burn victims especially diabetic patients."
Star: The results were interesting, supplied with scary/interesting photographs.</t>
  </si>
  <si>
    <t>A conservative approach for deep dermal burn wounds using polarised-light therapy.</t>
  </si>
  <si>
    <t>🧑 Human
📄 Single-arm trial
👥 22 participants
⌛ 3.2-week treatment (on average), 10-month follow up (on average)</t>
  </si>
  <si>
    <t>daily until healing,
time to wound closure 3.2 weeks on average</t>
  </si>
  <si>
    <t>"In 22 out of 67 patients with deep dermal burn wounds, clinical evaluation revealed only a very limited potential for spontaneous healing, and, despite the fact that the majority of the surgeons (four out of six) would have recommended surgery, these patients were treated conservatively with polarised-light therapy (400-2000 nm, 40 m W cm(-2), 2.4 J cm(-2)) until complete closure. 
Evaluation by a panel of four surgeons, all experts in burn surgery, revealed that conservative treatment of these deep dermal wounds with polarised-light irradiation resulted in a significantly shorter healing time, with almost no hypertrophic scarring, and optimal aesthetic and functional results at long-term follow-up. No extension of the hospital stay was required."
"[E]stimated time for healing was found to be significantly longer (P &lt; 0.001) than the actual healing time, with mean values of 41 days and 22 days, respectively"</t>
  </si>
  <si>
    <t>Device: "linearly polarised light source (Bioptron, Mrnchaltorf, Switzerland)"
Application: at a distance of 10 cm</t>
  </si>
  <si>
    <t>Clinical analysis of 100 cases of scald injury cured by hene laser acupuncture in combination with scanning LLLT</t>
  </si>
  <si>
    <t>🧑 Human
📄 Single-arm trial
👥 100 participants</t>
  </si>
  <si>
    <t>5
/ 5 days
per course
(1-2 courses per patient)</t>
  </si>
  <si>
    <t>"The success rates were as follows: recovered-87%; improved-9%; no change-4%, 
Acupuncture was carried out for 3-4 min : and scanning for 5-10 min per treatment, once per day, 5 days per course. Fresh scalds healed quickly after one course, with two courses sufficient for the remainder. Most injuries healed well with no scar. Minor scarring occurred in three patients only. HeNe lascr acupuncture and LLLT offer the physician a noninvasive and effective way to deal with scald injuries."</t>
  </si>
  <si>
    <t>Burns (preclinical)</t>
  </si>
  <si>
    <t>Firouz</t>
  </si>
  <si>
    <t>Testing the effects of photobiomodulation on angiogenesis in a newly established CAM burn wound model</t>
  </si>
  <si>
    <t>🧪 In vitro (chorioallantoic membrane assay)</t>
  </si>
  <si>
    <t>"PBM promoted angiogenesis in burn wounds on day 4 (p = 0.005). Furthermore, there was a not significant trend toward a higher number of vessels for day 6 (p = 0.065) in the irradiated group. Changes in diameter (p = 0.129) and the burn area (p = 0.131) were not significant. Our results suggest that CAM can be a suitable model for studying burn wounds."</t>
  </si>
  <si>
    <t>Effects of photobiomodulation with blue Light Emitting Diode (LED) on the healing of skin burns</t>
  </si>
  <si>
    <t>"The results suggest that, depending on the period, blue LED can modulate the healing processes of third-degree skin burns, such as re-epithelialization, inflammatory response, mast cell concentration, myofibroblast differentiation and TGF-β1 immunoexpression. Despite these effects, this therapy does not seem to have significant influence on the retraction of these wounds."</t>
  </si>
  <si>
    <t>Use of adipose derived stem cells accelerates the healing process in third-degree burns</t>
  </si>
  <si>
    <t>"We showed significant re-epithelialization as well as an improvement in the healing process in the ADSC+, LLLT and ADSC+LLLT groups. We observed effects in the reduction of the inflammatory phase, increase in angiogenesis, decrease in oedema, greater collagen deposition, and better organization of the extracellular matrix compared to the other treatments."</t>
  </si>
  <si>
    <t>Effects including photobiomodulation of galactomannan gel from Cassia grandis seeds in the healing process of second-degree burns</t>
  </si>
  <si>
    <t>PBM vs gel* vs both vs control
(* Cassia grandis seeds' galactomannan gel)</t>
  </si>
  <si>
    <t>"In view of the macroscopic and microscopic observations, the isolated treatments (Gel or Laser) effectively accelerated healing; however, the association (Laser+Gel) promoted re-epithelialization and stromal remodeling with better evolution of epithelium recovery due to the positive synergistic effect, thus emerging as a promising therapeutic alternative in the repair of burns."</t>
  </si>
  <si>
    <t>Priyadarshi</t>
  </si>
  <si>
    <t>India
(Delhi)</t>
  </si>
  <si>
    <t>Dual-NIR wavelength (pulsed 810 nm and superpulsed 904 nm lasers) photobiomodulation therapy synergistically augments full-thickness burn wound healing: A non-invasive approach</t>
  </si>
  <si>
    <t>810+
904
810
904</t>
  </si>
  <si>
    <t>"The present findings revealed that PBM with dual-NIR wavelength synergistically augmented burn wound healing compared to control and standalone treatments."
"The efficacy of combined treatment was exhibited by significantly enhanced wound area contraction (α-smooth muscle actin), proliferation (PCNA, cytokeratin-14, TGF-β2), angiogenesis (HIF-1α, CD31), ECM accumulation/ organization (collagen type 3, fibronectin), dermal hydration (AQP3), calcium homeostasis (TRPV3, calmodulin), and bioenergetics activation (CCO, AMPK-α, ATP)"
"Collectively, PBM with dual-NIR wavelength (pulsed/ superpulsed-mode) treatment accelerates full-thickness burn wound healing, which could be used as a non-invasive translational approach in clinical significance in conjunction with existing burn wound care management."</t>
  </si>
  <si>
    <t>India
(Timarpur)</t>
  </si>
  <si>
    <t>Effect of combination of photobiomodulation 904 nm superpulsed laser therapy and Hippophae rhamnoides L. on third-degree burn wound healing</t>
  </si>
  <si>
    <t xml:space="preserve">PBM vs sea buckthorn extract </t>
  </si>
  <si>
    <t>"Dual treatment increased wound area contraction compared to control and either treatment alone. Immunohistochemical analyses exhibited increased angiogenesis, dermal hydration, collagen synthesis, and maintained redox homeostasis as evidenced by enhanced expression (p &lt; 0.05) of CD31, aquaporin3, collagen type 3, Nrf2, and HO1 in combination group compared with control."</t>
  </si>
  <si>
    <t>Rev Lat Am Enfermagem</t>
  </si>
  <si>
    <t>Preclinical study of experimental burns treated with photobiomodulation and Human Amniotic Membrane, both isolated and associated</t>
  </si>
  <si>
    <t>"The histological analysis of the burn injuries showed a decrease in inflammation (p&lt;0.0001) and an increase in proliferation of fibroblasts (p&lt;0.0001) mainly at 7 days in all treatments related to the control group. At 14 days, the greater effectiveness in accelerating the healing process was significant (p&lt;0.0001) in the Low-Level Laser Therapy group associated with the Human Amniotic Membrane."</t>
  </si>
  <si>
    <t>Wound contraction rate in excised and unexcised burn wounds with laser photobiomodulation: Systematic review and meta-analysis of preclinical studies</t>
  </si>
  <si>
    <t>📊 Meta-analysis (animal studies)</t>
  </si>
  <si>
    <t xml:space="preserve">"Thirteen studies were included in the qualitative analysis and six in the quantitative analysis. 
Two weeks after the lesion, laser PBM favoured the wound contraction percentage, increasing the closure rate in excised burn wounds (SMD= 1.34, CI 95% 0.41 to 2.27, 0.41-2.27, I2=0%, =0%, low certainty of evidence. 
In unexcised burns, it was uncertain whether laser PBM increased or diminished the wound contraction rate (SMD=1.22(SMD=1.22 CI 95% -0.05 to 2.49, I2=68%; =68%; very low certainty of evidence)."
"In the animal model, laser PBM is effective in increasing the wound contraction rate in excised burns. However, due to the low certainty of the evidence, uncertainty remains about the true magnitude of the effect of laser on wound contraction in animals; our results should therefore be interpreted with caution."
</t>
  </si>
  <si>
    <t>Effects of photobiomodulation therapy with red LED on inflammatory cells during the healing of skin burns</t>
  </si>
  <si>
    <t>"The results suggest that red LED, according to the protocol used, modulates the number of inflammatory cells in the early stages of the healing of third-degree skin burns. Nevertheless, this low-intensity light therapy may not, be efficient in reducing the number of neutrophils and lymphocytes in advanced stages of the repair process of skin burns."</t>
  </si>
  <si>
    <t>Yadav</t>
  </si>
  <si>
    <t>Superpulsed 904 nm laser photobiomodulation combined with coenzyme Q10 synergistically augment burn wound healing</t>
  </si>
  <si>
    <t>"Collectively, the combined therapy of PBM and CoQ10 is highly effective than either treatment alone in augmenting burn wound healing by efficiently attenuating oxidative stress and enhancing cellular proliferation, collagen deposition and bioenergetics activation.</t>
  </si>
  <si>
    <t>Accelerated burn wound healing with photobiomodulation therapy involves activation of endogenous latent TGF-β1</t>
  </si>
  <si>
    <t>"This work examined the efficacy of PBM treatments in a full-thickness burn wound healing in C57BL/6 mice. We first optimized the PBM protocol by monitoring tissue surface temperature and histology.
We noted this dynamic irradiance surface temperature-monitored PBM protocol improved burn wound healing in mice with elevated TGF-β signaling (phospho-Smad2) and reduced inflammation-associated gene expression."
"Finally, to investigate specific contributions of TGF-β1 signaling in these PBM-burn wound healing, we utilized a chimeric TGF-β1/β3 knock-in (TGF-β1Lβ3/Lβ3) mice. PBM treatments failed to activate the chimeric TGF-β1Lβ3/Lβ3 complex and failed to improve burn wound healing in these mice. These results suggest activation of endogenous latent TGF-β1 following PBM treatments plays a key role in burn wound healing."</t>
  </si>
  <si>
    <t>Keshri</t>
  </si>
  <si>
    <t>Photobiomodulation effects of pulsed-NIR laser (810 nm) and LED (808 ± 3 nm) with identical treatment regimen on burn wound healing: A quantitative label-free global proteomic approach</t>
  </si>
  <si>
    <t>810
(laser)
808
(LED)</t>
  </si>
  <si>
    <t>24
24</t>
  </si>
  <si>
    <t>"The proteomic analysis clearly revealed the common biological processes indicated by modulation of similar biological pathways (known for tissue repair process) associated with neuronal (4), metabolic (10), vascular (3), inflammation (4) and cell signaling (12) in both laser and LED treated groups."
"This study profoundly signifies that both laser and LED in 810 nm wavelength range at pulsed-mode (10 Hz) are equally effective for PBM-mediated potential treatment to accelerate burn wound healing."
Comment: The journal is a new one (from 2020) and it should not be confused with J Photochem Photobiol B or Photochem Photobiol.</t>
  </si>
  <si>
    <t>Photobiomodulation Therapy in Burn Wound Healing: Systematic Review and Meta-Analysis of Preclinical Studies</t>
  </si>
  <si>
    <t>"Thirty-eight studies were included. PBMT favored wound contraction (mean difference = -11.47, 95% confidence interval -19.87 to -3.08, I2 = 0%; moderate certainty of evidence). PBMT also favored angiogenesis at doses between 11 and 20 J/cm2, and increased the collagenization rate."</t>
  </si>
  <si>
    <t>Application of Solidago chilensis and laser improved the repair of burns in diabetic rats</t>
  </si>
  <si>
    <t>PBM vs S. chilensis extract</t>
  </si>
  <si>
    <t>0.36
/p (?)
(4p)</t>
  </si>
  <si>
    <t>4.93</t>
  </si>
  <si>
    <t>12
/p (?)
(4p)</t>
  </si>
  <si>
    <t>"The treatments improved the repair of burns in diabetic rats, since it reduced the inflammatory infiltrate and favored the collagen organization presenting similar effects in the burn repair of the diabetics."</t>
  </si>
  <si>
    <t>Role of 904 nm superpulsed laser-mediated photobiomodulation on nitroxidative stress and redox homeostasis in burn wound healing.</t>
  </si>
  <si>
    <t>"Photobiomodulation treatment significantly decreased reactive oxygen species, nitric oxide, and lipid peroxidation levels as compared to non-irradiated control. 
Further, protective action of PBM against protein oxidative damage was evidenced by reduced protein carbonylation and advanced oxidation protein product levels along with significantly enhanced endogenous antioxidants levels of SOD, catalase, GPx, GST, reduced glutathione, and thiol (T-SH, Np-SH, P-SH).
Biochemical changes aid in reduction of oxidative stress and maintenance of redox homeostasis, which further well corroborated by significantly up-regulated protein expression of Nrf 2, hemeoxygenase (HO-1), and thioredoxin reductase 2 (Txnrd2)."
"Photobiomodulation with 904 nm superpulsed laser led to reduction of nitroxidative stress, induction of endogenous antioxidants, and maintenance of redox homeostasis that could play a vital role in augmentation of burn wound healing."</t>
  </si>
  <si>
    <t>Effect Of Photobiomodulation Associated With Cell Therapy In The Process Of Cutaneous Regeneration In Third Degree Burns In Rats.</t>
  </si>
  <si>
    <t>1.96</t>
  </si>
  <si>
    <t>"Through the data presented in the present study, it was possible to conclude that PBM when associated with MSCs is able to contribute and accelerate the healing process of total thickness burns through the modulation of inflammation and tissue organization, guaranteeing the formation of a quality cutaneous tissue."</t>
  </si>
  <si>
    <t>Ocon</t>
  </si>
  <si>
    <t>Effects and parameters of the photobiomodulation in experimental models of third-degree burn: systematic review.</t>
  </si>
  <si>
    <t>"A total of 17 studies were selected from 1182 original articles targeted on photobiomodulation therapy and third-degree burns. Two independent raters with a structured tool for rating the research quality critically assessed the articles. 
Although the small number of studies limits the conclusions, the current literature research indicates that photobiomodulation therapy can be an effective short-term approach to accelerate the healing process of third-degree burns, to increase and modulate the inflammatory process, to accelerate the proliferation of fibroblasts, and to enhance the quality of the collagen network. 
However, differences still exist in the terminology used to describe the parameters and the dose of photobiomodulation therapy."</t>
  </si>
  <si>
    <t>Lamaro-Cardoso</t>
  </si>
  <si>
    <t>Photobiomodulation associated to cellular therapy improve wound healing of experimental full thickness burn wounds in rats.</t>
  </si>
  <si>
    <t>1.07
3.5</t>
  </si>
  <si>
    <t>"In conclusion PBM promotes a synergistic outcome with SVF therapy with a dose dependent effect potentializing wound healing of experimental full thickness burns in rats through amplification of early inflammatory response, enhanced angiogenesis, fibroblast content, accentuated wound contraction and collagen concentration."</t>
  </si>
  <si>
    <t>Photobiomodulation of red and green lights in the repair process of third-degree skin burns.</t>
  </si>
  <si>
    <t>LED phototherapy
Green light 🟢</t>
  </si>
  <si>
    <t>520
630</t>
  </si>
  <si>
    <t>"The results suggest greater potential of the green light to stimulate angiogenesis in the initial periods and myofibroblastic differentiation in the final periods of the repair of third-degree skin burns. Red light may stimulate further re-epithelialization and wound retraction, especially in advanced repair phases."</t>
  </si>
  <si>
    <t>J Tissue Viability</t>
  </si>
  <si>
    <t>Photobiomodulation and bacterial cellulose membrane in the treatment of third-degree burns in rats.</t>
  </si>
  <si>
    <t>1
(/p?)</t>
  </si>
  <si>
    <t>"The LG demonstrated greater amount of blood vessels and immune expression of VEGF."</t>
  </si>
  <si>
    <t>Vasconcellos</t>
  </si>
  <si>
    <t>Influence of laser therapy on the dynamic formation of extracellular matrix in standard second degree burns treated with bacterial cellulose membrane</t>
  </si>
  <si>
    <t>0.04
cm2
spot
size
4
cm2
area</t>
  </si>
  <si>
    <t xml:space="preserve">"It is concluded that in this current study the laser when used alone (Group I) hasn't influenced collagen deposition neither has it acted on fiber pattern (fibril and/or reticular). Moreover, laser application hasn't accelerated the repair of wounds caused by inflicted second-degree burns."
Comment: The reported parameters seem strange, especially the "1.000 mW/cm2" intensity. </t>
  </si>
  <si>
    <t>de Alencar Fernandes Neto</t>
  </si>
  <si>
    <t>Effect of blue LED on the healing process of third-degree skin burns: clinical and histological evaluation.</t>
  </si>
  <si>
    <t>"It was observed that there were no statistically significant differences in the Wound Retention Index (WRI) of the BLUE group in relation to CTR group (p &gt; 0.05) at the evaluation times. 
After 14, 21, and 28 days, it was observed that the animals in the BLUE group consumed more feed than animals in the CTR group (p &lt; 0.05). At 7 days, there was a statistically significant increase in the angiogenic index (AI) in BLUE (median: 6.2) when compared to CTR (median: 2.4) (p = 0.01) and all animals in BLUE had already started re-epithelialization. 
This study suggests that blue LED, at the dosimetry used, positively contributed in important and initial stages of the healing process of third-degree skin burns."</t>
  </si>
  <si>
    <t>Therapeutic efficacy of early photobiomodulation therapy on the zones of stasis in burns: An experimental rat model study.</t>
  </si>
  <si>
    <t>"At 96 hours after injury, the proportion of necrosis in the stasis of LWs of LG differed significantly to others. TM, HMGB1, and caspase 3 immunohistochemistry revealed significantly lower positive staining rates in the LW of LG rats relative to other burn wounds at 96 h (p &lt;0.05 for all), as well as a significantly higher skin blood flow relative to the SW and all CG burn wounds (p &lt;0.05). 
The NO content in the stasis area was significantly higher in the LW of LG, compared to other wounds, at 24 and 96 hours after injury (p &lt;0.05). The TNF-α level was significantly lower in the LW of LG than in other wounds at 96 h (p &lt;0.05). 
Early, local photobiomodulation therapy can effectively ameliorate injury progression in the zone of stasis. However, these beneficial effects are limited to the directly irradiated sites, with no systemic effects."</t>
  </si>
  <si>
    <t>Combination of medicinal honey and 904 nm superpulsed laser-mediated photobiomodulation promotes healing and impedes inflammation, pain in full-thickness burn.</t>
  </si>
  <si>
    <t>Cytochrome c oxidase
ATP levels</t>
  </si>
  <si>
    <t>"Animals were randomly allocated into 4 experimental groups: control (C), PBM superpulsed 904 nm laser treated (PBMT), honey treated (HT) and combined treatment (CT). 
The dual treatment exhibited an enhanced wound area contraction and hexosamine content as compared to the other groups. Histopathological analysis revealed increased cellular proliferation, extracellular matrix accumulation and decreased inflammation in the CT group. 
Further, the CT group demonstrated synergistically attenuated inflammation, pain and enhanced cell adhesion, migration as evidenced by significantly reduced protein expression of TNF-α, NF-κB, IL-1β, COX-2, substance-P receptor and up-regulation of fibronectin, respectively as compared with the other groups."
"The CT group showed a significant (p &lt; .05) increased CCO activity (96%) and ATP production (7-fold) as compared with control. PBMT group exhibited a significant increased level of CCO and ATP, as reported earlier [6]."</t>
  </si>
  <si>
    <t>Evaluation of the low-level laser therapy application parameters for skin burn treatment in experimental model: a systematic review.</t>
  </si>
  <si>
    <t>"In the end, 22 [studies] were evaluated, and the main parameters were presented. The analyzed studies presented both LLLT use in continuous and pulsed mode. Differences between the parameters used (power, fluence, and total energy) were observed. In addition, the protocols are distinct as to the type of injury and the number of treatment sessions. Among the results obtained by the authors are the improvements in the local microcirculation and cellular proliferation; however, a study reported no effects with LLLT as a treatment."
"LLLT is effective in accelerating the healing process. However, there is immense difficulty in establishing the most adequate protocol, due to the great discrepancy found in the applied dosimetry values."</t>
  </si>
  <si>
    <t>da Silva Melo</t>
  </si>
  <si>
    <t>LED phototherapy in full-thickness burns induced by CO2 laser in rats skin.</t>
  </si>
  <si>
    <t>"The LED phototherapy shows anti-inflammatory effects, improves angiogenesis, and stimulates the migration and proliferation of fibroblasts. The T CD8+ lymphocytes were more common in burned areas compared to T CD4+ lymphocytes since statistically significant differences were observed in the LED group compared to the NT group after 7 days of treatment. 
These results showed that LED phototherapy performs positive influence in full-thickness burns repair from the healing process modulated by cellular immune response. The obtained results allowed inferring that burns exhibit a characteristic cell immune response and this cannot be extrapolated to other wounds such as incision and wounds induced by punch, among others."</t>
  </si>
  <si>
    <t>Evaluation of therapeutic laser influences on the healing of third-degree burns in rats according to different wavelengths</t>
  </si>
  <si>
    <t>405
532
660
810</t>
  </si>
  <si>
    <t>"Statistical analyses of the 'wound contraction' changes between five groups during the study showed more reduction in wound size in all laser groups in comparison with the control group; but these differences were not statistically significant except between red and blue lasers on the last day of experiment."</t>
  </si>
  <si>
    <t>Maligieri</t>
  </si>
  <si>
    <t>Differing energy densities with laser 670nm InGaP controls inflammation and collagen reorganization in burns.</t>
  </si>
  <si>
    <t>0.36
0.72
(4p)</t>
  </si>
  <si>
    <t>4.93
9.86</t>
  </si>
  <si>
    <t>0.073
cm2</t>
  </si>
  <si>
    <t>12
24</t>
  </si>
  <si>
    <t>18
18</t>
  </si>
  <si>
    <t>"The energy density of 9.86J/cm2 was more effective in promoting cellular responses related to neoangiogenesis, decreasing inflammation and collagen fibers reorganization."</t>
  </si>
  <si>
    <t>Experimental burns: Comparison between silver sulfadiazine and photobiomodulation.</t>
  </si>
  <si>
    <t>0.00625</t>
  </si>
  <si>
    <t>"On the 14th day, the laser and sulfadiazine groups had mild inflammatory response, while the control group showed an intense inflammatory process, with statistical significance between laser and control groups"
"Laser and sulfadiazine groups no longer had granulation tissue, opposite to what was seen in the control group. The presence of hair follicles and ulcer did not significantly differ between groups."
Comment: A black-and-white photograph of irradiation is supplied.</t>
  </si>
  <si>
    <t>Photobiomodulatory effects of superpulsed 904nm laser therapy on bioenergetics status in burn wound healing.</t>
  </si>
  <si>
    <t>"The present study recapitulated the benefits of LLLT in enhancing CCO activity and ATP synthesis in injured tissue. In addition to this, our results also displayed the role of cellular redox homeostasis in regulation of energy generation. These findings indicated that superpulsed 904 nm LLLT favor aerobic regulation of cellular energy metabolism and a synchronized evasion from the anaerobic glycolysis in burn wound healing."
Comment: The huge increase in ATP levels is very interesting. Many other changes were also noted.</t>
  </si>
  <si>
    <t>Effect of Low-Power Laser (LPL) and Light-Emitting Diode (LED) on Inflammatory Response in Burn Wound Healing.</t>
  </si>
  <si>
    <t>Wavelength comparison
LLLT vs LED 
LED phototherapy</t>
  </si>
  <si>
    <t>632
(LED)
660
(laser)
850
(LED)
904
(laser)</t>
  </si>
  <si>
    <t>"Taken together, these results suggest that LPL 660 nm and LED 850 nm appear reduced in the inflammatory response and oxidative stress parameters, thus decreasing dermal necrosis and increasing granulation tissue formation, in fact accelerating the repair of burn wounds."</t>
  </si>
  <si>
    <t>Rathnakar</t>
  </si>
  <si>
    <t>Photo-biomodulatory response of low-power laser irradiation on burn tissue repair in mice.</t>
  </si>
  <si>
    <t>Wavelength comparison
Dose response
Biphasic dose response</t>
  </si>
  <si>
    <t>633
785
830</t>
  </si>
  <si>
    <t>1/2/3/4/6</t>
  </si>
  <si>
    <t>"In summary, low-power lasers at wavelength 632.8, 785, and 830 nm have shown beneficial effects in burn wound healing, compared to untreated controls. Further, 3-J/cm2 fluence of 830 nm exhibited the best response among the other wavelengths and fluences under study in enhancing wound repair in full thickness burn injury in mice.
The treatment promoted proliferation, neovascularization, deposition of collagen, denser packing of connective tissue, and epithelialization at faster rate to contract the wound, compared to untreated controls.
Surprisingly, the response observed in the single exposure of 3-J/cm2 treatment of 830 nm was equivalent to the reference standard applied on daily basis."
Star: Nice work with a huge amount of mice (n=170).</t>
  </si>
  <si>
    <t>Microsc Res Tech</t>
  </si>
  <si>
    <t>Comparative effects of two different doses of low-level laser therapy on wound healing third-degree burns in rats.</t>
  </si>
  <si>
    <t>3rd degree burn
Dose response</t>
  </si>
  <si>
    <t>12.5
25</t>
  </si>
  <si>
    <t>0.04
cm2
beam</t>
  </si>
  <si>
    <t>"Therefore, our findings suggest that the use of 25 J/cm(2) and 1 J of energy was more effective in stimulating the cellular processes involved in tissue repair on third-degree burns in rats by reducing the inflammatory phase, and stimulating angiogenesis, thus restoring the local microcirculation which is essential for cell migration."</t>
  </si>
  <si>
    <t>Low-level red laser improves healing of second-degree burn when applied during proliferative phase.</t>
  </si>
  <si>
    <t>2nd degree burn</t>
  </si>
  <si>
    <t>"Low-level red laser exposure contributes to the process of tissue repair of second-degree burns, but the intervention during proliferative phase is crucial in the final outcome of the repair process."</t>
  </si>
  <si>
    <t>de Vasconcelos Catão</t>
  </si>
  <si>
    <t>Effects of red laser, infrared, photodynamic therapy, and green LED on the healing process of third-degree burns: clinical and histological study in rats.</t>
  </si>
  <si>
    <t>3rd degree burn
Wavelength comparison
Green light 🟢</t>
  </si>
  <si>
    <t>"Laser λ660 nm and λ780 nm showed the largest wound reductions in all groups (p = 0.001). In conclusion, red laser, infrared, photodynamic therapy, and green LED favored the healing process of third-degree burns in rats."</t>
  </si>
  <si>
    <t>Superpulsed (Ga-As, 904 nm) low-level laser therapy (LLLT) attenuates inflammatory response and enhances healing of burn wounds.</t>
  </si>
  <si>
    <t>4
or
7</t>
  </si>
  <si>
    <t>"The irradiated animals showed a significant reduction in wound area (50%, p &lt; 0.05) on eighth day post-wounding compared with the non-irradiated control animals (18%, p &lt; 0.05)"
"Irradiated group exhibited enhanced DNA, total protein, hydroxyproline and hexosamine contents compared to the control and silver sulfadiazine (reference care) treated groups.
LLLT exhibited decreased TNF-α level and NF-kB, and up-regulated protein levels of VEGF, FGFR-1, HSP-60, HSP-90, HIF-1α and matrix metalloproteinases-2 and 9 compared to the controls.
In conclusion, LLLT using superpulsed 904 nm laser reduced the inflammatory response and was able to enhance cellular proliferation, collagen deposition and wound contraction in the repair process of burn wounds."</t>
  </si>
  <si>
    <t>Catarino</t>
  </si>
  <si>
    <t>InGaP 670-nm laser therapy combined with a hydroalcoholic extract of Solidago chilensis Meyen in burn injuries.</t>
  </si>
  <si>
    <t>0.41</t>
  </si>
  <si>
    <t>"The results showed that InGaP laser irradiation at 670 nm alone and combined with extract of S. chilensis promoted significant tissue repair responses in this experimental model, increasing the number of fibroblasts, collagen fibres and newly formed blood vessels throughout the experimental period and decreasing the number of granulocytes in burn wounds of second degree in all treated groups. Exclusive treatment of burn wounds with the hydroalcoholic extract of S. chilensis provided similar quantitative results to those seen in the untreated group throughout the experimental period. Therefore, it was observed in the L and LS groups different responses in the expression of TGF-β1 and VEGF. 
The application of 670-nm laser alone or combined with the extract of S. chilensis promoted favourable responses in tissue repair of second-degree burns in this experimental model."</t>
  </si>
  <si>
    <t>Expression of DNA repair genes in burned skin exposed to low-level red laser.</t>
  </si>
  <si>
    <t>"Low-level red laser exposure (1) reduces the expression of APE1 messenger (mRNA), (2) increases the expression of OGG1 mRNA, (3) reduces the expression of XPC mRNA, and (4) increases the expression of XPA mRNA both in laser and later laser groups. Red laser exposure at therapeutic fluences alters the expression of genes related to base excision and nucleotide excision pathways of DNA repair during wound healing of burned skin."</t>
  </si>
  <si>
    <t>Belli</t>
  </si>
  <si>
    <t>Application of 670 nm InGaP laser and microcurrent favors the healing of second-degree burns in Wistar rats</t>
  </si>
  <si>
    <t>4.94</t>
  </si>
  <si>
    <t>0.0073
cm2</t>
  </si>
  <si>
    <t>"The applied alone and alternate of laser and microcurrent reduced the number of inflammatory cells and increased the number of newly formed vessels and fibroblasts, collagen fiber content and fiber reorganization. The two treatments also favorably modified the expression of VEGF and TGF-β1, inducing angiogenesis and decreasing the inflammation time."</t>
  </si>
  <si>
    <t>Digital photogrammetry and histomorphometric assessment of the effect of non-coherent light (light-emitting diode) therapy (λ640 ± 20 nm) on the repair of third-degree burns in rats.</t>
  </si>
  <si>
    <t>3rd degree burn
LED phototherapy</t>
  </si>
  <si>
    <t>"These results demonstrate that the combination of silver sulfadiazine with LED therapy (λ = 640 ± 20 nm, 4 J/cm(2), without contact) improves healing of third-degree burn wounds, significantly reduces the lesion area and increases the granulation tissue, increases the number of fibroblasts, promotes collagen synthesis and prevents burn infections by accelerating recovery."
Comment: Parameters were well reported.</t>
  </si>
  <si>
    <t>Fiório</t>
  </si>
  <si>
    <t>Brazil
(Chapecó)</t>
  </si>
  <si>
    <t>Effect of low-level laser therapy on types I and III collagen and inflammatory cells in rats with induced third-degree burns.</t>
  </si>
  <si>
    <t>3rd degree burn</t>
  </si>
  <si>
    <t>0.05
0.05</t>
  </si>
  <si>
    <t>6.6
8.4</t>
  </si>
  <si>
    <t>3
4</t>
  </si>
  <si>
    <t>180
240
(3p)</t>
  </si>
  <si>
    <t>"Laser irradiation (both 3 and 4 J/cm(2)) resulted in reduction in the inflammatory process and improved collagen deposition, thereby ameliorating the healing of third-degree burns."</t>
  </si>
  <si>
    <t>Chiarotto</t>
  </si>
  <si>
    <t>Brasil
(Araras)</t>
  </si>
  <si>
    <t>Effects of laser irradiation (670-nm InGaP and 830-nm GaAlAs) on burn of second-degree in rats.</t>
  </si>
  <si>
    <t>2nd degree burn
Wavelength comparison</t>
  </si>
  <si>
    <t>30
40</t>
  </si>
  <si>
    <t>0.36
0.48</t>
  </si>
  <si>
    <t>4.93
4.48</t>
  </si>
  <si>
    <t xml:space="preserve">0.073
0.107
cm2
</t>
  </si>
  <si>
    <t>"Morphometric analysis showed that different lasers 670-nm InGaP and 830-nm GaAlAs reduced the number of granulocytes and an increase of newly formed vessels in radiated lesions. The 670-nm InGaP laser therapy was more effective in increasing the number of fibroblasts.
The different treatments modified the expression of VEGF and TGF-β1, when compared with lesions not irradiated.
The different types of light sources showed similar effects, improved the healing of second-degree burns and can help for treating this type of injury. Despite the large number of studies with LLTI application in second-degree burns, there is still divergence about the best irradiation parameters to be used."</t>
  </si>
  <si>
    <t>Anti-inflammatory effect of low-intensity laser on the healing of third-degree burn wounds in rats.</t>
  </si>
  <si>
    <t>"We conclude that the AlGaInP laser used in dosages of 3 and 6 J/cm(2) favors the healing of third-degree burn wounds induced in rats."</t>
  </si>
  <si>
    <t>Lee &amp; Kim</t>
  </si>
  <si>
    <t>The systemic effect of 830-nm LED phototherapy on the wound healing of burn injuries: A controlled study in mouse and rat models.</t>
  </si>
  <si>
    <t>🐁 Mouse
🐀 Rat</t>
  </si>
  <si>
    <t>Systemic effects (wound on back; irradiation on abdomen)
LED phototherapy</t>
  </si>
  <si>
    <t>"LED phototherapy on the abdomen produced faster wound healing of the uniform burn wounds than in animals with the same burn wounds that did not receive LED phototherapy, strongly suggesting the systemic effect of phototherapy."
Comment: This study used only five animals, which is a huge limitation.</t>
  </si>
  <si>
    <t>Effect of incoherent LED radiation on third-degree burning wounds in rats.</t>
  </si>
  <si>
    <t>"The inflammatory cells as well as the damaged area at the 8th day after burns were significantly lower for the LED-treated group when compared to control. Furthermore, the LED phototherapy effect on cellular migration was even more pronounced at the 16th day."
"Our results indicated that the treatment with a LED system was clearly effective in reducing the number of inflammatory cells and improving the healing process in an experimental model of third-degree burnings."</t>
  </si>
  <si>
    <t>Effect of low-level laser therapy (660 nm) on the healing of second-degree skin burns in rats.</t>
  </si>
  <si>
    <t>"Histopathological analysis revealed a significant decrease in the necrotic area in the laser-treated group compared to the controls at days 7 and 14 post-injury.
COX-2 positive cells were found in a strong pattern in the group submitted to laser therapy after 7 days. Regarding VEGF immunomarker, a significant VEGF immunoexpression was detected in the laser-exposed group after 14 days when compared to the negative control group.
Taken together, our results demonstrate that laser therapy is able to promote skin repair of burned rats as a result of decreasing necrotic area and an up-regulation of COX-2 and VEGF immunoexpression."</t>
  </si>
  <si>
    <t>Khoshvaghti</t>
  </si>
  <si>
    <t>Effect of low-level treatment with an 80-Hz pulsed infrared diode laser on mast-cell numbers and degranulation in a rat model of third-degree burn.</t>
  </si>
  <si>
    <t>3rd degree burn
Mast cells</t>
  </si>
  <si>
    <t>0.924</t>
  </si>
  <si>
    <t>"We conclude that LLLT can significantly decrease total numbers of mast cells during the proliferation and remodeling phases of healing in a rat model of third-degree burn."</t>
  </si>
  <si>
    <t>Effect of photodynamic therapy on the healing of cutaneous third-degree-burn: histological study in rats.</t>
  </si>
  <si>
    <t>9
/p</t>
  </si>
  <si>
    <t>"LLLT and PDT acted as a biostimulating coadjuvant agent, balancing the undesirable effect of the burn on the wound healing process, acting mainly in the early healing stages, hastening inflammation and increasing collagen deposition."</t>
  </si>
  <si>
    <t>Low-level laser therapy with a pulsed infrared laser accelerates second-degree burn healing in rat: a clinical and microbiologic study.</t>
  </si>
  <si>
    <t>70?</t>
  </si>
  <si>
    <t>2.3
11.7</t>
  </si>
  <si>
    <t>"Pulsed LLLT with 11.7 J/cm(2)/890 nm of a deep second-degree burn model in rat significantly increased the rate of wound closure compared with control burns."
Comment: The paper says they used 70-watt output, but it is more likely it was 70 milliwatts.</t>
  </si>
  <si>
    <t>Al-Watban</t>
  </si>
  <si>
    <t>Visible lasers were better than invisible lasers in accelerating burn healing on diabetic rats.</t>
  </si>
  <si>
    <t>Diabetic rats
Green light 🟢
Wavelength comparison</t>
  </si>
  <si>
    <t>532
633
810
980</t>
  </si>
  <si>
    <t>5
10
20
30</t>
  </si>
  <si>
    <t>"LLLT at the appropriate treatment parameters can accelerate burn healing on diabetic rats using both visible and invisible lasers. The effects of visible lasers were better than those of invisible lasers in accelerating burn healing on diabetic rats in this study."</t>
  </si>
  <si>
    <t>Vasheghani</t>
  </si>
  <si>
    <t>Low-level laser therapy using 80-Hz pulsed infrared diode laser accelerates third-degree burn healing in rat.</t>
  </si>
  <si>
    <t>0.396</t>
  </si>
  <si>
    <t xml:space="preserve">"LLLT using an 80-Hz pulsed infrared diode laser accelerated third-degree burn healing in rat." [17.6 vs 19.6 days]
</t>
  </si>
  <si>
    <t>Low-level laser therapy with pulsed infrared laser accelerates third-degree burn healing process in rats.</t>
  </si>
  <si>
    <t>"Pulsed LLLT with 11.7 J/cm(2)/890 nm of a third-degree burn in a rat model significantly increased wound-closure rate compared with control burns."
Comment: The paper says they used 70-watt output, but it is more likely it was 70 milliwatts.</t>
  </si>
  <si>
    <t>Effect of low-level laser therapy on mast cells in second-degree burns in rats.</t>
  </si>
  <si>
    <t>"LLLT of deep second-degree cutaneous burns in rats significantly increased the number of intact mast cells during the inflammatory and proliferative phases of healing, and decreased the total number of mast cells during the remodeling phase."</t>
  </si>
  <si>
    <t>The use of light photobiomodulation on the treatment of second-degree burns: a histological study of a rodent model.</t>
  </si>
  <si>
    <t>LLLT vs polychromatic polarized light
Polychromatic light 🌈
LLLT vs non-coherent
Wavelength comparison</t>
  </si>
  <si>
    <t>660
780
400-
2000</t>
  </si>
  <si>
    <t>35/40
35/40
40</t>
  </si>
  <si>
    <t>"The analysis of the results demonstrated that the damaged tissue was able to efficiently absorb and process the light at all tested wavelengths.
LPBM at 660 nm showed better results at early stages of wound healing. However, the use of 780-nm laser light had beneficial effects throughout the experimental period, with the animals growing newly-formed tissue similar to normal dermis."
"Despite our findings that the use of both types of light energy improved the healing of second-degree burns at the early stages, long-term assessment is needed to verify if this improvement will influence the final results of treatment."</t>
  </si>
  <si>
    <t>Effectiveness of laser photobiomodulation at 660 or 780 nanometers on the repair of third-degree burns in diabetic rats.</t>
  </si>
  <si>
    <t>3rd degree burn
Diabetic rats
Wavelength comparison</t>
  </si>
  <si>
    <t>20
(?)</t>
  </si>
  <si>
    <t>"The use of 780-nm laser energy was not as effective as 660-nm energy, but it had positive effects at early stages on the onset and development of inflammation.
At the end of the experimental period the primary effect seen was on the amount and quality of the granulation tissue.
The 660-nm laser at 20 J/cm(2), when used on a daily basis, was more effective than the 780-nm laser for improving the healing of third-degree burns in the diabetic rats beginning at the early stages post-burn."</t>
  </si>
  <si>
    <t>A comparative study of the effects of laser photobiomodulation on the healing of third-degree burns: a histological study in rats.</t>
  </si>
  <si>
    <t>3rd degree burn
Wavelength comparison</t>
  </si>
  <si>
    <t>"The results showed more deposition of collagen fibers, larger amounts of granulation tissue, less edema, a more vigorous inflammatory reaction, and increased revascularization on all laser-treated animals. These features were more evident at early stages when the 660-nm laser was used, and were more evident throughout the experimental period for the animals receiving 780-nm laser therapy."</t>
  </si>
  <si>
    <t>Effects of low-level laser therapy on mast cell number and degranulation in third-degree burns of rats.</t>
  </si>
  <si>
    <t>38.2
76.4</t>
  </si>
  <si>
    <t>"LLLT on the experimental third-degree burns significantly increased the total number of mast cells during the inflammation phase of wound healing"</t>
  </si>
  <si>
    <t>Karadag</t>
  </si>
  <si>
    <t>The efficacy of linear polarized polychromatic light on burn wound healing: an experimental study on rats.</t>
  </si>
  <si>
    <t>2nd degree burn
Polychromatic light 🌈</t>
  </si>
  <si>
    <t>"Linear polarized polychromatic light seems to be effective in the treatment of burn wounds and in the promotion of healing. This may be related to linear polarized polychromatic light stimulation of epithelialization and vascularization."</t>
  </si>
  <si>
    <t>Effect of low-level helium-neon laser therapy on the healing of third-degree burns in rats.</t>
  </si>
  <si>
    <t>"It is concluded that LL He-Ne LT induced the destruction of S. aureus and P. aeruginosa in third-degree burns of rats, yet at the same time our histological findings showed that LL He-Ne LT caused a significant increase in the mean of blood vessel sections on day 7 after third degree burns and a decrease in the mean of the depth of new epidermis on day 16 after the same burns in rats."</t>
  </si>
  <si>
    <t>Effect of low-level laser therapy on the healing of second-degree burns in rats: a histological and microbiological study.</t>
  </si>
  <si>
    <t>LLLT vs nitrofurazone</t>
  </si>
  <si>
    <t>"The number of macrophages at day 16, and the depth of new epidermis at day 30, was significantly less in the laser treated groups in comparison with control and nitrofurazone treated groups (P=0.000). Staphylococcus epidermidis was found in the 70% of rat wounds in the laser treated groups in comparison with 100% of rats in the control group. S. aureus was found in the 40% rat wounds in the nitrofurazone treated group, but there was not found in the wounds of laser treated, and control groups.
It is concluded that low-level laser therapy of deep second-degree burn caused significant decrease in the number of macrophage and depth of new epidermis. In addition, it decreased incidence of S. epidermidis and S. aureus."</t>
  </si>
  <si>
    <t>Al-Watban &amp; Delgado</t>
  </si>
  <si>
    <t>Burn healing with a diode laser: 670 nm at different doses as compared to a placebo group.</t>
  </si>
  <si>
    <t>1
5
9
19
29
38</t>
  </si>
  <si>
    <t>3/wk
5/wk</t>
  </si>
  <si>
    <t>"In reference to the control group, no significant difference in healing was observed. In comparing both treatment schedules, there was likewise no significant difference at any day in both age-groups. Notably in younger rats, accelerated healing was observed with the highest rate in the lower range of doses (1 and 5 J/cm2), 12.4% and 11.6%, respectively."
"This experiment affirms that the beneficial effect on burn healing in rats is indeed affected by an interplay of several factors."</t>
  </si>
  <si>
    <t>Effects of low-intensity polarized visible laser radiation on skin burns: a light microscopy study.</t>
  </si>
  <si>
    <t>Liquid nitrogen-induced burns</t>
  </si>
  <si>
    <t>"Histological analysis showed that the healing of irradiated wounds was faster than that of non-irradiated wounds.
Moreover, it was observed that skin wound repair is dependent on polarization orientation with respect to a referential axis as the animal's spinal column. Consequently, "L(//)" was completely healed after 17 days, whereas "L (perpendicular) " showed a moderate degree of healing after the same period."</t>
  </si>
  <si>
    <t>Effects of 1047-nm neodymium laser radiation on skin wound healing.</t>
  </si>
  <si>
    <t>"Lesions 1 and 2 were illuminated using Nd:YLF pulsed laser radiation. Lesion 1 was irradiated with linear polarization parallel with the rat spinal column. Lesion 2 was irradiated using the same protocol, but the light polarization was aligned with the perpendicular relative orientation. Control lesions were not irradiated. We have taken photographs from the wound areas on the 3rd, 7th, 10th, 14th, and 17th postoperative day for a biometrical analysis. The results have shown that lesion 1 healed faster than the control lesions (p &lt; 0,05), which presented a smaller degree of healing after 14 days postwounding."</t>
  </si>
  <si>
    <t>Schlager</t>
  </si>
  <si>
    <t>Healing of burns after treatment with 670-nanometer low-power laser light.</t>
  </si>
  <si>
    <t>"In the present study, irradiation of burns with a 250-mW/670-nm laser light produced no beneficial effects on wound-healing processes."</t>
  </si>
  <si>
    <t>Low-power laser light in the healing of burns: a comparison between two different wavelengths (635 nm and 690 nm) and a placebo group.</t>
  </si>
  <si>
    <t>635
690</t>
  </si>
  <si>
    <t>"Between and within groups, diameter, redness, and edema of the wounds were similar throughout the entire observation period. Irradiation of the burns did not accelerate wound healing when compared with control wounds."
"We conclude that neither 690 nm nor 635 nm low-power laser light produced any beneficial effects on the healing processes of burns in rats."</t>
  </si>
  <si>
    <t>Effect of helium-neon laser irradiation on serum lipid peroxide concentrations in burnt mice.</t>
  </si>
  <si>
    <t>Serum lipid peroxides</t>
  </si>
  <si>
    <t>"In the laser treated group, the lipid peroxide concentrations remained relatively constant and were significantly depressed relative to the control group 4 h following burning (P less than 0.0001, two-sample t-test)."</t>
  </si>
  <si>
    <t>Am J Surg</t>
  </si>
  <si>
    <t>Effect of laser rays on wound healing.</t>
  </si>
  <si>
    <t>0.5 - 10</t>
  </si>
  <si>
    <t>"Low doses of laser were found to stimulate the regeneration not only of mechanically induced wounds but also of burns. The wound-healing stimulated by laser radiation involves an increased rate of epithelial growth, which may eventually be the starting point of neoplastic growth."</t>
  </si>
  <si>
    <t>Kamrava</t>
  </si>
  <si>
    <t>The histological and clinical effects of 630 nanometer and 860 nanometer low-level laser on rabbits' ear punch holes.</t>
  </si>
  <si>
    <t>AZOR-2000 device (RUS)</t>
  </si>
  <si>
    <t>14.6
(?)</t>
  </si>
  <si>
    <t>"LLLT improved cartilage formation and reduced inflammation and formation of granulation tissue. More accurate results on its healing effects warrant studies with larger sample sizes."
"At the fourth measurement session, the mean punch hole diameter in the laser-treated group was 1.0 mm smaller than that in the control group—an inter-group difference that was not statistically significant."
"Although LLLT had no statistically significant effect on the healing time of the punched hole, the histological effects led to increased growth of perichondrial cells, reduced granulation tissue with better organization, and increased longitudinal cartilage growth in the rabbits’ ears."</t>
  </si>
  <si>
    <t>Brazil
(São José do Rio Preto)</t>
  </si>
  <si>
    <t>Cross-Over Study Evaluating Photobiomodulation in Pain Control in the Lower Limb</t>
  </si>
  <si>
    <t>🧑 Human
📄 Single-arm study
👥 20 participants
⌛ single treatment / 4-day study</t>
  </si>
  <si>
    <t>"red"</t>
  </si>
  <si>
    <t>"An improvement in pain immediately after the first session was experienced by 18/20 patients; these patients remained pain-free for at least four days. One patient had suffered much pain during the entire day; a biopsy with culture and antibiogram was performed with the pain improving after treating an infection with appropriate antibiotics. However, one other case reported no improvement in the pain."
Comment: Parameters insufficiently reported.</t>
  </si>
  <si>
    <t>Device: "Ecco Reability, Ecco Fibras, Campinas, Brazil"</t>
  </si>
  <si>
    <t>Pavlov</t>
  </si>
  <si>
    <t>Ukraine
(Kharkiv)</t>
  </si>
  <si>
    <t>Pol Merkur Lekarski</t>
  </si>
  <si>
    <t>Activation of reparative processes of chronic wounds using photobiomodulation therapy (experimental study)</t>
  </si>
  <si>
    <t>"Changes in the expression of the studied indicators were found in the blood serum of animals with chronic wounds when using photobiomodulation therapy: an increase in platelet-derived growth factor concentrations, the levels of reactive oxygen species and interleukin-1β did not have statistically signif i cant differences compared to the corresponding indicators of animals in the control group. There were no significant differences in the indicators of platelet aggregation activity in the control and experimental groups of animals."
"The findings suggest that photobiomodulation therapy may promote wound healing by increasing platelet-derived growth factor levels. Histological studies have shown that using photobiomodulation therapy helps reduce inflammation and better organization of collagen fibers in animals of the experimental group."</t>
  </si>
  <si>
    <t>Bao</t>
  </si>
  <si>
    <t>Efficacy of lidocaine wet compress combined with red-light irradiation for chronic wounds</t>
  </si>
  <si>
    <t>🧑 Human
🎲 Randomized trial
👥 150 participants
⌛ 28 days (?)</t>
  </si>
  <si>
    <t>"During the initial dressing change, no noticeable differences were observed in the pain levels experienced by the two groups, indicating similar pain tolerance. However, during the second and third dressing changes, the experimental group reported significantly less pain than the control group. Furthermore, over 28 d, the experimental group required fewer dressing changes than the control group."
Comment: PBM parameters not reported</t>
  </si>
  <si>
    <t>Ricci &amp; Pittarello</t>
  </si>
  <si>
    <t>Blue light photobiomodulation for reactivation of healing in wounds not responding to standard therapy</t>
  </si>
  <si>
    <t>🧑 Human
📄 Single-arm study
👥 59 participants
⌛ 4 weeks</t>
  </si>
  <si>
    <t>"Wounds were divided into groups according to aetiology: hard-to-heal venous wound (30.5%); hard-to-heal arterial and mixed wounds (16.9%); hard-to-heal inflammatory wound (22.0%); other hard-to-heal wounds (13.6%); and acute wound (16.9%). 
The mean reduction in wound area at the end of the four-week treatment period with blue light compared with baseline was 51.38% (p&lt;0.001) across all wounds. 
Among subgroups, the best performance was obtained for hard-to-heal venous wounds, achieving a 63.36% (p&lt;0.001) mean reduction in wound size, and acute wounds, achieving a mean reduction of 82.76% (p&lt;0.001).
The greatest mean change in wound bed score was seen at the end of the four-week treatment period with blue light, with an increase in the mean score from 8.6 at baseline to 12.8 at week four (77.2%; p&lt;0.001). 
There was a clear decrease in pain during blue light treatment, achieving a reduction in the average numeric rating scale (NRS) from 4.3 at baseline to 1.8 at week 4 (53.23%; p &lt;0.001). At week 4, the highest proportion of complete healing was seen in acute (100.0%) and venous wounds (83.3%)."</t>
  </si>
  <si>
    <t>Patients: "patients with hard-to-heal skin lesions (mean duration 23.9 months) of the lower limb"</t>
  </si>
  <si>
    <t>The associations between diode laser (810 nm) therapy and chronic wound healing and pain relief: Light into the chronic wound patient's life</t>
  </si>
  <si>
    <t>🧑 Human
📄 Retrospective study
👥 89 subjects
⌛ until healing (avg 22.7d in treated and 37.4 in ctrls)</t>
  </si>
  <si>
    <t>"The wound healing time of the diode laser treatment group was 22.71 ± 8.99 days, which was significantly shorter than that of the control group (37.44 ± 23.42 days). 
The pain relief index of the diode laser treatment group was 0.081 ± 0.055, which was significantly increased compared with that of the control group (0.057 ± 0.033). 
Our findings suggest that diode laser irradiation has the potential to promote healing in chronic wounds and relieve wound pain."</t>
  </si>
  <si>
    <t>Di Lodovico</t>
  </si>
  <si>
    <t>Antimicrobial Combined Action of Graphene Oxide and Light Emitting Diodes for Chronic Wound Management</t>
  </si>
  <si>
    <t>PBM vs PDT vs control</t>
  </si>
  <si>
    <t>630
880</t>
  </si>
  <si>
    <t>Comment: It seems that light alone (groups B1 and B3) had some effect against S. aureus but not P. aeruginosa?</t>
  </si>
  <si>
    <t>Biophotonic Effects of Low-Level Laser Therapy at Different Wavelengths for Potential Wound Healing</t>
  </si>
  <si>
    <t>🧑 Human
📄 Single-arm study
👥 60 participants
⌛ 8 weeks
+ 🧪 In vitro</t>
  </si>
  <si>
    <t>633
clinical
450
520
633
in vitro</t>
  </si>
  <si>
    <t>133
cm2
treatment
area</t>
  </si>
  <si>
    <t>"Of the 60 patients, 42 were male and 18 were female, and their ages ranged from 38 to 71 years (mean, 51 years). All patients attained significant improvement with treatment" [no data shown]
"Under the fluorescence microscope, patients who received 633 nm red light illumination showed a concomitant increase in fibroblast collagen type I production (Figure 5A,B). The ranges of serum bFGF and VEGF levels before LLLT were 2.1–10.5 pg/mL (median 4.9) and 39–150 pg/mL (median 91.1), respectively. The ranges of serum bFGF and VEGF levels after 633 nm LLLT were 14.5–30.9 pg/mL (median 25.9) and 193–250 pg/mL (median 201.8), respectively. Significantly elevated bFGF and VEGF levels indicated their critical roles in wound healing (p &lt; 0.05)."</t>
  </si>
  <si>
    <t>Combined Treatment of Photobiomodulation and Arginine on Chronic Wound Healing in an Animal Model</t>
  </si>
  <si>
    <t>PBM vs arginine</t>
  </si>
  <si>
    <t>200
300</t>
  </si>
  <si>
    <t>"High-PBM and low-PBM+ARG have biostimulatory and antibacterial effects on slow-healing wounds, which were shown by significant increases in wound closure rates, wound strength, and inhibition of Staphylococcus aureus growth."
Comment: The numerous analyses in this paper show quite varying results. It may be unclear whether the effects are really true.</t>
  </si>
  <si>
    <t>Clinical effects of high-intensity laser therapy on patients with chronic refractory wounds: a randomised controlled trial</t>
  </si>
  <si>
    <t>🧑 Human
🎲 Randomized trial
👥 59 participants
⌛ 3 weeks</t>
  </si>
  <si>
    <t>accord. to wound area</t>
  </si>
  <si>
    <t>"The BWAT scores significantly decreased in the treatment group compared with the control group at the end of 3-week treatment (difference=-3.6; 95% CI -6.3 to-0.8; p&lt;0.01). Similarly, patients in treatment group showed a significant reduction of PUSH scores compared with the control group (difference=-5.3; 95% CI -8.1 to -2.6; p&lt;0.01)."
"The therapeutic effects of HILT on chronic refractory wounds are significant and far more superior to those of conventional wound dressing."</t>
  </si>
  <si>
    <t>Wound type: trauma (~70%), ulcer (~25%), diabetic foot (7%)
Device: BTL-6000, BTL Company, UK
Application: "The probe was suspended 2 cm above the wound edge, and the wound area was quickly scanned in a horizontal direction."</t>
  </si>
  <si>
    <t>Fraccalvieri</t>
  </si>
  <si>
    <t>Ital J Dermatol Venerol</t>
  </si>
  <si>
    <t>Effectiveness of Blue light photobiomodulation therapy in the treatment of chronic wounds. Results of the Blue Light for Ulcer Reduction (B.L.U.R.) Study</t>
  </si>
  <si>
    <t>🧑 Human
📄 self-controlled
🗺 Multicenter
👥 90 participants
⌛ (?)</t>
  </si>
  <si>
    <t>"At week 10, the wounds treated with EmoLED in addition to Standard Care showed a smaller residual wound area compared to the wounds treated with Standard of Care alone: 42.1% vs 63.4% (p=0.029). The difference is particularly evident in venous leg ulcers, 33.3% vs 60.1% (p=0.007).
17 treated wounds and 12 controls showed complete healing at week 10. Patients showed a significant reduction in pain (p = 2*10-7)."
"Blue Light treatment in addition to Standard of Care accelerates consistently the re-epithelialization rate of chronic wounds, especially venous leg ulcers and increases the chances of total wound healing in 10 weeks."
["Each patient has been used as control of him/herself, therefore no masking or randomization was deemed necessary."]</t>
  </si>
  <si>
    <t>📕
Device: "EmoLED (Emoled Srl, Sesto Fiorentino, Florence, Italy)"</t>
  </si>
  <si>
    <t>Experimental Study of the Effect of Photobiomodulation Therapy on the Regulation of the Healing Process of Chronic Wounds</t>
  </si>
  <si>
    <t>"The results of the histological examination indicated a positive effect of PBM therapy with the applied parameters on the repair processes of chronic wounds."</t>
  </si>
  <si>
    <t>Use of a High-Power Laser for Wound Healing: A Case Report.</t>
  </si>
  <si>
    <t>245
cm2
treated
wound
area</t>
  </si>
  <si>
    <t>78
initially
-&gt;
less later</t>
  </si>
  <si>
    <t>"Complete wound healing occurred 64 days after treatment began."
"Treatment with an unfocused high-power laser at a dose of 3.18 J/cm² applied once a week was effective in aiding the healing process and tissue repair of the treated patient."</t>
  </si>
  <si>
    <t>Application: "scanning technique with a velocity of 1 cm/s"</t>
  </si>
  <si>
    <t>Elessawy</t>
  </si>
  <si>
    <t>Int J Low Extrem Wounds</t>
  </si>
  <si>
    <t>Effect of Light-Emitting Diode Irradiation on Chronic Nonhealed Wound After Below-Knee Amputation.</t>
  </si>
  <si>
    <t>650-
950*
(?)</t>
  </si>
  <si>
    <t>"A clear improvement in the results of wound healing surface area was found in group A, with an improvement percentage of 50.63%, when compared with group B, which used the standard medical treatment alone, with an improvement percentage of 43.96%."</t>
  </si>
  <si>
    <t>* Device: WARP 10 LED (Quantum Devices Inc, Barneveld, NY) (Comment: Based on my previous understanding, this device is usually 670 nm and not 650-950 nm?)
Application: "The device was held vertically against each wound covered by a transparent film by direct contact with slight pressure to minimize power loss due to beam divergence."</t>
  </si>
  <si>
    <t>Romanelli</t>
  </si>
  <si>
    <t>Evaluation of fluorescence biomodulation in the real-life management of chronic wounds: the EUREKA trial.</t>
  </si>
  <si>
    <t>🧑 Human
📄 Single-arm study, multicenter, observational
👥 99 patients (52 VLU, 32 FDU, 15 PU)
⌛ Treatment until wound closure, up to 16 weeks (VLU, PU) or 24 weeks (DFU) --&gt; 8-week follow-up</t>
  </si>
  <si>
    <t>Polychromatic light 🌈
Fluorescence-based PBM</t>
  </si>
  <si>
    <t>440-
460
(LED)
-&gt;
broadband
light
(fluorescence)</t>
  </si>
  <si>
    <t>biweekly</t>
  </si>
  <si>
    <t>"The gel used in the system is a topical photo-converter wound gel containing specific chromophores which are illuminated by a LED activator, which is a device delivering photons with wavelengths between 440nm and 460nm, and a power density between 55mW/cm2 and 129mW/ cm2, at a distance of 5cm from the light source. Upon illumination by the LED activator, the chromophores produce fluorescence in the visible range with a broad spectrum of wavelengths."
"We enrolled 100 subjects, with the final analysis including 99 patients/ulcers consisting of 52 VLUs, 32 DFUs and 15 PUs. Total wound closure at the end of the study was achieved in 47 patients by aetiology: 26 VLUs (50% of VLUs); 16 DFUs (50% of DFUs); and five PUs (33.3% of PUs). The mean wound area regression at last study assessment was significant for VLUs (41.0%; p&lt;0.001) and DFUs (52.4%; p&lt;0.001). "
"The study confirmed a positive efficacy profile of the FB system in inducing the wound healing process in three different types of hard-to-heal chronic wounds. The treatment was shown to be safe and well tolerated by the patients, with a significant improvement in patient QoL. This approach offers an effective modality for the treatment of hard-to-heal chronic ulcers."</t>
  </si>
  <si>
    <t>Aragona</t>
  </si>
  <si>
    <t>Photobiomodulation with polarized light in the treatment of cutaneous and mucosal ulcerative lesions.</t>
  </si>
  <si>
    <t>🧑 Human
📄 Single-arm study
👥 30 participants
⌛ 3 months</t>
  </si>
  <si>
    <t>"After 2 months, a reduction of 50% of the lesions was recorded in 18 patients (60%), while in the remaining patients a slower healing was observed. The total wound healing was achieved after 3 months in 13 patients (43%). The examined parameters of the symptom were exudation, pain and signs of infection. Results at 1 and 3 months were, Exudation: at 1 month reduction and positive modulation was observed in 16 patients (53%) and in 25 patients at 3 months; Pain: (evaluated with Vas scale), decreased in 21 patients at 1 month (70%) and in 100% of cases at 3 months; Infections: regressed or disappeared in 100% of cases after the first month. "
Comment: The parameters listed in this spreadsheet is not listed in the abstract, but is common for most Bioptron studies</t>
  </si>
  <si>
    <t>Device: Bioptron® Light Therapy System device</t>
  </si>
  <si>
    <t>Photobiomodulation in the treatment of chronic non-responding wounds</t>
  </si>
  <si>
    <t>🧑 Human
📄 Case series
👥 8 patients
⌛ 3-month treatment</t>
  </si>
  <si>
    <t>"We used PBM for the examination of skin lesions, which were not responding to other therapies. LumiHealTM protocol treatment has been applied for 3 months on 8 patients affected by infected vascular ulcers of the lower limbs resistant to previous treatments. 
Three patients reached positive results immediately, and the remaining 5, at the first follow-up."</t>
  </si>
  <si>
    <t>Efficiency of a New Combined Laser Therapy in Patients With Trophic Ulcers of Lower Extremities and Chronic Venous Insufficiency.</t>
  </si>
  <si>
    <t>🧑 Human
🎲 Randomized trial (?)
👥 68 participants
⌛ 2-week treatment -&gt; 6-month follow-up</t>
  </si>
  <si>
    <t>External + intravenous laser</t>
  </si>
  <si>
    <t>635
(PBM)
+
365-
405
+
520-
525
(intra-
venous)</t>
  </si>
  <si>
    <t>"As follows from the table data, in the group treated by conventional method, average TU cleansing time was 9.8 ± 0.2 days, generation of granulation tissue was identified in 10.3 ± 0.8 days and а healing (50% epithelialization) in 28.1 ± 1.4 days.
In the second group [receiving PBM and intravenous light], the average time of cleansing from purulo-necrotic masses, granulation occurrence and ulcer epithelialization took, respectively: 6.4 ± 0.4, 7.1 ± 0.6 and 12.8 ± 1.6 days."</t>
  </si>
  <si>
    <t>Device: "physiotherapeutic device LASMIK was used (Registration Certificate in Russia № RZN 2015/2687 dated 25.05.2015)"</t>
  </si>
  <si>
    <t>India J Plast Surg</t>
  </si>
  <si>
    <t>Closure of chronic non healing ankle ulcer with low level laser therapy in a patient presenting with thalassemia intermedia: Case report.</t>
  </si>
  <si>
    <t>🧑 Human
📄 Case report
⌛ 6-week treatment -&gt; 6-month follow-up</t>
  </si>
  <si>
    <t>660+
950</t>
  </si>
  <si>
    <t>"Irradiation with LED is a novel method of treatment of chronic wound in thalassemia intermedia, as irradiation with LED can result in complete healing in six weeks with no recurrence at the irradiated site even after follow-up of 6 months."</t>
  </si>
  <si>
    <t>Bonini-Domingos &amp; Valente</t>
  </si>
  <si>
    <t>Rev Bras Hematol Hemoter</t>
  </si>
  <si>
    <t>Low-level laser therapy of leg ulcer in sickle cell anemia</t>
  </si>
  <si>
    <t>0.01-
0.06</t>
  </si>
  <si>
    <t>5
(twi ce weekly)</t>
  </si>
  <si>
    <t>"This easily applied therapy was effective and fast in the management of the ulcer and improved the quality of life of the patient."</t>
  </si>
  <si>
    <t>Sobanko &amp; Alster</t>
  </si>
  <si>
    <t>Efficacy of low-level laser therapy for chronic cutaneous ulceration in humans: a review and discussion.</t>
  </si>
  <si>
    <t>"The available data suggest that the addition of LLLT in humans does not improve wound healing as thevast majority of comparisons in these studies do not demonstrate any differences in the relevant outcomes. Of course, it is difficult to entirely ignore the many observations of clinicians over the past 40 years on the subject of LLLT. Additionally, there are in vitro and animal studies that clearly show improvement of factors that, in theory, should facilitate wound healing in chronic wounds."
"Although bench research does not always translate into successful human therapies, the hope of using this modality as an adjunctive measure in the future should not be ruled out. Once a true pathophysiologic mechanism of the low-level laser in tissue is elucidated and the milieu of the wound healing model is better understood, it is reasonable to believe that this can beapplied to humans. Of course, research that focuses on the cellular and molecular mechanisms of LLLT is necessary. Advances in techniques such as cDNA microarray technology and confocal microscopy should further help the cause. If it is then believed to work inhumans, larger, better-controlled studies must be per-formed to determine the appropriate laser parameters and treatment protocol, including the number, frequency, and duration of treatment sessions. Until these steps occur, LLLT should not be routinely recommended to patients."</t>
  </si>
  <si>
    <t>Saltmarche AE</t>
  </si>
  <si>
    <t>Canada
(Mississauga)</t>
  </si>
  <si>
    <t>Low level laser therapy for healing acute and chronic wounds - the extendicare experience.</t>
  </si>
  <si>
    <t>🧑 Human
📄 Single-arm trial
👥 16 participants (incl. 23 open wounds + 4 at-risk areas)
⌛ 9 weeks</t>
  </si>
  <si>
    <t>week 1:
daily
weeks 2-9:
3x per week until healing</t>
  </si>
  <si>
    <t>"The percentage of wound closure is presented in Table 4, demonstrating that the majority (57·1%) of the wounds obtained a significant percentage of closure."
"Staff rated low level laser, easy to learn and use, effective for the majority of their residents worth the additional time. Staff requested a continuation of low level laser even after study completion."</t>
  </si>
  <si>
    <t>A new approach to ulcer treatment using broadband visible light</t>
  </si>
  <si>
    <t>🧑 Human
📄 Single-arm trial
👥 20 participants
⌛ 8-12 week treatment</t>
  </si>
  <si>
    <t>Polychromatic light 🌈
Diabetic and venous ulcers</t>
  </si>
  <si>
    <t>3/d</t>
  </si>
  <si>
    <t>"Each ulcer was irradiated for 5 minutes three times a day. Success was defined as the complete healing of the ulcer. A complete cure was observed in 70% of the patients. The duration of the therapy was 8-12 weeks. The new broadband visible light source seems to have a strong effect on the complete healing of ulcers."</t>
  </si>
  <si>
    <t>Defocused diode laser therapy (830 nm) in the treatment of unresponsive skin ulcers: a preliminary trial.</t>
  </si>
  <si>
    <t>6.3
-
21</t>
  </si>
  <si>
    <t>28.7
cm2
(?)</t>
  </si>
  <si>
    <t>"In all five patients, the ulcers healed completely between 3 weeks and 7 months (22.8 +/- 19.3 weeks), without recurrence during a minimum 12-month follow-up."
"Defocused 830 nm diode laser therapy was well tolerated, and was very effective in the treatment of this small number of compromised skin ulcers of different aetiologies and in a large range of patient ages. Further controlled studies in larger populations are required. Defocused diode laser therapy nonetheless appears to be a very useful adjunctive method in the treatment of slow-to-heal and non-healing skin ulcers."
Comment: The LLLT photo is black-and-white.</t>
  </si>
  <si>
    <t>Vienna
(Austria)</t>
  </si>
  <si>
    <t>Induction of complete wound healing in recalcitrant ulcers by low-intensity laser irradiation depends on ulcer cause and size.</t>
  </si>
  <si>
    <t>🧑 Human
📄 Single-arm trial
👥 20 participants
⌛ varying treatment duration</t>
  </si>
  <si>
    <t>6-123</t>
  </si>
  <si>
    <t>"Twenty patients with the same number of ulcers, which had previously been treated by conventional wound care for a median period of 34 weeks (range: 3-120 weeks) without any significant evidence of healing, were included in the study. 
Concerning the underlying disorders, patients were divided into four groups: diabetes, arterial insufficiency, radio damage and autoimmune vasculitis (...)
Our results indicate that low-intensity laser irradiation could be a valuable non-invasive tool for the induction of wound healing in recalcitrant ulcers, and that healing time is correlated with the ulcer cause and size."</t>
  </si>
  <si>
    <t>Device: "Luketron MDL-1005 GaAlAs diode laser system"</t>
  </si>
  <si>
    <t>Iusim</t>
  </si>
  <si>
    <t>Evaluation of the degree of effectiveness of biobeam low level narrow band light on the treatment of skin ulcers and delayed postoperative wound healing.</t>
  </si>
  <si>
    <t>🧑 Human
🎲 Randomized trial, sham-controlled
👥 21 participants
⌛ (?)</t>
  </si>
  <si>
    <t>Wavelength comparison
Delayed treatment-resistant open wounds</t>
  </si>
  <si>
    <t>"Group 1 was treated with red low level narrow band (LLNB) light (660 nm); group 2 was treated with infrared LLNB light (940 nm); and group 3 was treated with a placebo such as the Biobeam machine (no light irradiation). 
Group 1 showed a significant improvement compared to groups 2 and 3 (t-test)."</t>
  </si>
  <si>
    <t>Diabetic foot ulcer: PDT clinical studies</t>
  </si>
  <si>
    <t>Pantó</t>
  </si>
  <si>
    <t>Drugs Contect</t>
  </si>
  <si>
    <t>Efficacy and safety of photodynamic therapy with RLP068 for diabetic foot ulcers: a review of the literature and clinical experience</t>
  </si>
  <si>
    <t>🧑 Human
📄 Case series
👥 4 cases
+ 📖 Review
(PDT study, not PBM)</t>
  </si>
  <si>
    <t>"This article reports previously published evidence and presents four unpublished clinical cases of DFUs treated in the real-life setting with PDT."</t>
  </si>
  <si>
    <t>Device: "a portable LED light device (VULNOLIGHT, Molteni Therapeutics S.R.L., Italy)"</t>
  </si>
  <si>
    <t>The benefits of antimicrobial photodynamic therapy with RLP068 in the management of diabetic foot ulcers</t>
  </si>
  <si>
    <t>🧑 Human
📄 Case series
👥 4 cases
(PDT study, not PBM)</t>
  </si>
  <si>
    <t>"Based on available evidence, the authors of this article treated some patients with DFUs; four exemplary cases are reported here, showing results in agreement with the clinical study, obtained in the real-life setting."</t>
  </si>
  <si>
    <t>A Study on the Macroscopic Morphometry of the Lesion Area on Diabetic Ulcers in Humans Treated with Photodynamic Therapy Using Two Methods of Measurement</t>
  </si>
  <si>
    <t>🧑 Human
📄 Non-randomized study, controlled
👥 12 participants
⌛ 3-week treatment
(PDT study, not PBM)</t>
  </si>
  <si>
    <t>0.04
mm2
beam
area</t>
  </si>
  <si>
    <t>8
/point
(see full text)</t>
  </si>
  <si>
    <t>"Results show that PDT accelerates the closure of ulcer wounds and to evaluate the wound area, different measurement methods can be used to follow-up the tissue repair process."</t>
  </si>
  <si>
    <t>Device: Laserpulse IBRAMED, Amparo, Brazil
PDT dye: methylene blue 0.01%
Control group: conventional treatment (no light)
Wound area by nominal size (cm2): 22.43 -&gt; 20.59 (ctrl) and 14.40 -&gt; 11.16 (PDT) (see Table 4 for individual data)
Wound area by ImageJ (cm2): 6.75 -&gt; 6.35 (ctrl) and 7.26 -&gt; 5.40 (PDT) (see Table 3 for individual data)</t>
  </si>
  <si>
    <t>Tardivo</t>
  </si>
  <si>
    <t>A clinical trial testing the efficacy of PDT in preventing amputation in diabetic patients</t>
  </si>
  <si>
    <t>🧑 Human
📄 Non-randomized study, controlled
👥 34 participants
⌛ 2-year follow-up
(PDT study, not PBM)</t>
  </si>
  <si>
    <t>400-
725
+
640</t>
  </si>
  <si>
    <t>twice a week</t>
  </si>
  <si>
    <r>
      <rPr>
        <sz val="6.0"/>
      </rPr>
      <t>"An inexpensive PDT protocol was developed and applied to 18 patients with osteomyelitis, classified as Grade 3 on the Wagner scale. Only one of these patients suffered amputation. At least two of them were cured from resistant bacteria strains without intravenous antibiotic therapy. In the control group of 16 patients, all of them ended up suffering amputation. 
The rate of amputation in the PDT group was 0.029 times the rate in the control group and the difference is clearly statistically significant (p = 0.002)."
Comment 1: Tardivo et al published another paper (</t>
    </r>
    <r>
      <rPr>
        <color rgb="FF1155CC"/>
        <sz val="6.0"/>
        <u/>
      </rPr>
      <t>Tardivo et al. 2015</t>
    </r>
    <r>
      <rPr>
        <sz val="6.0"/>
      </rPr>
      <t>) and in that dataset, amputations were avoided in 85.5% of patients (total 62 patients), most of the patients being Wagner 3 (45 patients) and some being even Wagner 4 (5 patients). 
Comment 2: In a more recent paper (</t>
    </r>
    <r>
      <rPr>
        <color rgb="FF1155CC"/>
        <sz val="6.0"/>
        <u/>
      </rPr>
      <t>Tardivo et al. 2017</t>
    </r>
    <r>
      <rPr>
        <sz val="6.0"/>
      </rPr>
      <t>), it was noted that PDT led to almost 100% healing of foot ulcers with initial Wagner 3 severity (total 57 patients) (only one amputation), with faster healing rate in patients whose wounds were not surgically debrided. The PDT duration was 115 days on average.
Comment 3: There is some literature describing methylene blue &amp; gentian violet containing wound dressings being used in DFU treatment (</t>
    </r>
    <r>
      <rPr>
        <color rgb="FF1155CC"/>
        <sz val="6.0"/>
        <u/>
      </rPr>
      <t>Lullove 2017</t>
    </r>
    <r>
      <rPr>
        <sz val="6.0"/>
      </rPr>
      <t>).</t>
    </r>
  </si>
  <si>
    <t>Patients: Wagner 3, DFUs with osteomyelitis
PDT dyes: methylene blue and O-toluidine blue</t>
  </si>
  <si>
    <t>Morley</t>
  </si>
  <si>
    <t>Phase IIa randomized, placebo-controlled study of antimicrobial photodynamic therapy in bacterially colonized, chronic leg ulcers and diabetic foot ulcers: a new approach to antimicrobial therapy</t>
  </si>
  <si>
    <r>
      <rPr>
        <sz val="7.0"/>
      </rPr>
      <t xml:space="preserve">🧑 Human
🎲 Randomized trial
👥 32 participants
⌛ single treatment / 3-month study
</t>
    </r>
    <r>
      <rPr>
        <i/>
        <sz val="7.0"/>
      </rPr>
      <t>(PDT study, not PBM)</t>
    </r>
  </si>
  <si>
    <t>Multiple diagnoses: DFU and other foot ulcers
PDT+light vs placebo+light</t>
  </si>
  <si>
    <t>570-
670</t>
  </si>
  <si>
    <t>"After 3 months, 50% (four of eight) of patients with actively treated chronic leg ulcer showed complete healing, compared with 12% (one of eight) of patients on placebo."</t>
  </si>
  <si>
    <t>Wound size: 4.1 cm2 (initial PDT), 14.8 (initial placebo)
Wound size (DFU only): 0.8 cm2 (initial PDT), 0.5 cm2 (initial placebo)
Wound healing (1 week, 1 mo, 2 mo, 3 mo): 13%, 56%, 75%, 94% (PDT) and 0%, 10%, 31%, 56% (placebo)
Device (PDT): "CureLight 01(TM) (Photocure Ltd, Oslo, Norway; emission 570– 670 nm)"
PDT dye: PPA904 [3,7-bis(N,N-dibutylamino) phenothiazin-5-ium bromide]</t>
  </si>
  <si>
    <t>Mannucci</t>
  </si>
  <si>
    <t>Photodynamic topical antimicrobial therapy for infected foot ulcers in patients with diabetes: a randomized, double-blind, placebo-controlled study—the D.A.N.T.E (Diabetic ulcer Antimicrobial New Topical treatment Evaluation) study</t>
  </si>
  <si>
    <r>
      <rPr>
        <sz val="7.0"/>
      </rPr>
      <t xml:space="preserve">🧑 Human
🎲 Randomized trial
👥 62 participants
⌛ single treatment / 15-day study
</t>
    </r>
    <r>
      <rPr>
        <i/>
        <sz val="7.0"/>
      </rPr>
      <t>(PDT study, not PBM)</t>
    </r>
  </si>
  <si>
    <t>"No significant variations were observed in ulcer dimensions (data not shown)."</t>
  </si>
  <si>
    <t>PDT dye: "RLP068 is a novel cationic zinc phthalocyanine derivative, activated by exposure to red light"</t>
  </si>
  <si>
    <t>Diabetic foot ulcer</t>
  </si>
  <si>
    <t>Adherence to Self-care and Quality of Life of Patients with Diabetic Foot Ulcers Treated with Low-Level Laser Therapy: An Exploratory Study</t>
  </si>
  <si>
    <t>🧑 Human
🎲 Randomized trial, sham-controlled, exploratory
👥 62 participants
⌛ 10 weeks</t>
  </si>
  <si>
    <t>10
8
4</t>
  </si>
  <si>
    <t>"Whereas LG2 had the highest percentage of complete healing up to the 5th week (47.06%) and LG1 had the highest percentage of healing up to the 10th week (85.71%), the CG had the lowest percentages in both weeks (16.67% and 33.33%, respectively; Figure 2B)."</t>
  </si>
  <si>
    <t>Effect of Using Photobiomodulation (660 Nanometers) for the Treatment of Diabetic Ulcers: Protocol for a Randomized Controlled Trial</t>
  </si>
  <si>
    <t>Waluyo &amp; Hidayat</t>
  </si>
  <si>
    <t>Indonesia
(Makassar)</t>
  </si>
  <si>
    <t>Low-Level Laser Therapy (LLLT) for Diabetic Foot Ulcer in Uncontrolled Diabetes: A Case Report of Improved Wound Healing</t>
  </si>
  <si>
    <t>🧑 Human
📄 Case report
⌛ 12 weeks</t>
  </si>
  <si>
    <t>"A 55-year-old male patient presented with a history of DM, diabetic neuropathy, and diabetic foot. The patient had uncontrolled blood sugar levels, with an HbA1C of 9.3%. The patient received therapy in the form of wound care with normal saline, topical antibiotics, and LLLT, with a dose of 10 J/cm² with a frequency of therapy 3 times per week. After 12 weeks of therapy, there was improvement, characterized by wound tissue growth and no significant adverse effects during therapy."</t>
  </si>
  <si>
    <t>Dose-response and efficacy of 904 nm photobiomodulation on diabetic foot ulcers healing: a randomized controlled trial</t>
  </si>
  <si>
    <t>🧑 Human
🎲 Randomized trial, double-blind
👥 80 participants
⌛ 10 weeks</t>
  </si>
  <si>
    <t>Dose response
Groups:
- PBM 4 J/cm2
- PBM 8 J/cm2
- PBM 10 J/cm2
- placebo</t>
  </si>
  <si>
    <t>"GaAs 904 nm PBM yielded a clinically and significant ulcer size rate reduction of diabetic foot ulcers, independently of energy density range (p &lt; 0.05). However, 10 J/cm² had 60% of completely healed ulcers and the highest proportion of patients reaching 50% of ulcer reduction rate after 5 weeks of treatment. In addition, only 10 J/cm² showed a significant difference between control group after a 10-week follow-up (p &lt; 0.05)."</t>
  </si>
  <si>
    <t>Torkaman</t>
  </si>
  <si>
    <t>Effects of Photobiomodulation Therapy on the Expression of Hypoxic Inducible Factor, Vascular Endothelial Growth Factor, and Its Specific Receptor: A Randomized Control Trial in Patients with Diabetic Foot Ulcer</t>
  </si>
  <si>
    <t>11
/ 4 weeks</t>
  </si>
  <si>
    <t>"Following the intervention, the results revealed that the PBM group had significantly lower levels of VEGF than the placebo group (p = 0.005). The %DWSA was significantly higher in the PBM group compared to the placebo group (p = 0.003). Moreover, VEGF showed a significant negative correlation with %DWSA (p &lt; 0.001)."
Note: DWSA = decrease in the wound surface area</t>
  </si>
  <si>
    <t>Patients: "grade II DFUs"</t>
  </si>
  <si>
    <t>Karimpour</t>
  </si>
  <si>
    <t>Unveiling Therapeutic Potential: A Systematic Review of Photobiomodulation Therapy and Biological Dressings for Diabetic Foot Ulcers</t>
  </si>
  <si>
    <t>"PBT modalities involving distinct probes and wavelengths exhibit the potential to enhance tissue perfusion, expedite healing, and impede wound progression, reducing the need for invasive interventions."</t>
  </si>
  <si>
    <t>Physical therapy in diabetic foot ulcer: Research progress and clinical application</t>
  </si>
  <si>
    <t>"Here, we summarised the characteristics and progress of the physical therapy methods for the DFU, emphasised the important role of appropriate exercise and nutritional supplementation in the treatment of DFU, and discussed the application prospects of non-traditional physical therapy such as electrical stimulation (ES), and photobiomodulation therapy (PBMT) in the treatment of DFU based on clinical experimental records in ClinicalTrials.gov."</t>
  </si>
  <si>
    <t>J Diabetes Res</t>
  </si>
  <si>
    <t>Current Therapeutic Modalities for the Management of Chronic Diabetic Wounds of the Foot</t>
  </si>
  <si>
    <t>"This review discusses the causes of diabetic wounds and current therapeutic modalities for the management of DFUs, specifically wound debridement and dressing, TENS, nanomedicine, shockwave therapy, HBOT, TOT, and PBM."
"The ease of application of PBM and its effect on alleviating pain and reducing infection makes it a more favourable therapy for healing DFUs, thereby increasing the quality of life of diabetic patients [76]."</t>
  </si>
  <si>
    <t>Taha</t>
  </si>
  <si>
    <t>Effect of Polarized Light Therapy (Bioptron) on Wound</t>
  </si>
  <si>
    <t>🧑 Human
🎲 Randomized trial, sham-controlled
👥 40 participants
⌛ 2 months</t>
  </si>
  <si>
    <t>"There was a significant reduction in ulcer surface area between groups in favor of the light therapy group, with a relative ulcer size reduction of 51.44% ± 23.76% compared with 24.5% ± 9.6% in the control group (p &lt; 0.001). Besides, a significant difference was observed between groups in the microbial cultures (p = 0.02); by the end of the 8th week, the number of patients with negative ulcer culture was 12 (60%) in the light therapy group compared with 3 (15%) in the control group."</t>
  </si>
  <si>
    <t>Patients: age 50-70 years; DFU of grade 1 or 2 on the Wagner scale with size of 0.5 to 2 cm. Patients were excluded if they were treated by other light therapy, took drugs affecting wound healing (eg. anticoagulants, antineoplastic, immunosuppressive), had pressure ulced, had history of deep venous thrombosis or had skin disease.
Ulcer surface area (initial vs final): 1.63 to 0.96 cm2 (PBM), 1.67 to 1.25 cm2 (ctrl)
Ulcer volume (initial vs final): 0.64 to 0.28 cm2 (PBM), 0.66 to 0.45 cm2 (ctrl)</t>
  </si>
  <si>
    <t>Derakshan</t>
  </si>
  <si>
    <t>The Combined Effects of a Methacrylate Powder Dressing (Altrazeal Powder) and Photobiomodulation Therapy on the Healing of a Severe Diabetic Foot Ulcer in a Diabetic Patient: A Case Report</t>
  </si>
  <si>
    <t>PBM + methacrylate powder</t>
  </si>
  <si>
    <t>1
cm2
spot
area</t>
  </si>
  <si>
    <t>140
(35 points)
(4s per point)</t>
  </si>
  <si>
    <t>16
/ 16 weeks</t>
  </si>
  <si>
    <t>"In this case report, for the first time, we applied photobiomodulation therapy (PBMT) and Altrazeal powder together to treat a severe case of DFU in a 47-year-old woman who was suffering from type 1 diabetes. Along with the progress of combination therapy, we observed that the ulcer area was significantly reduced, and the wound healed within 16 weeks."</t>
  </si>
  <si>
    <t>Device: "Novin Tech laser machine (Novin Tech Co., Iran)"
Wound description: "35 cm2 full-thickness cutaneous wound in the medial part of her right foot (Wagner Ulcer Grade Classification System: grade 4), which was not treated with the routine treatment of DFU (Irrigation with Saline, debridement, and Antibiotic therapy for 35 days)"</t>
  </si>
  <si>
    <t>Dhlamini &amp; Houreld</t>
  </si>
  <si>
    <t>Clinical Effect of Photobiomodulation on Wound Healing of Diabetic Foot Ulcers: Does Skin Color Needs to Be Considered?</t>
  </si>
  <si>
    <t>"All the clinical trials adopted for this review show evidence that PBM together with conventional treatment results in an increased healing rate of DFUs; however, only one study adjusted their protocol according to skin color. There are not enough studies conducted on people of color to determine the safety and efficacy of PBM therapy in such ethnic groups. Future randomized, placebo-controlled clinical trials are necessary on PBM and DFUs and should take skin color into consideration."</t>
  </si>
  <si>
    <t>Houreld N</t>
  </si>
  <si>
    <t>Healing Effects of Photobiomodulation on Diabetic Wounds</t>
  </si>
  <si>
    <t>"PBM produces photophysical and photochemical changes within cells without eliciting thermal damage. It has been shown to promote tissue regeneration and speed up wound repair by reducing inflammation and oxidative stress, accelerating cell migration and proliferation, and promoting extracellular matrix production and release of essential growth factors. 
The shortage of rigorous, well-designed clinical trials makes it challenging to assess the scientific impact of PBM on DFUs, and lack of understanding of the underlying mechanisms also hinders the conventional use of this therapy. This review gives a glimpse into diabetic wound healing and PBM, and the effects of PBM on diabetic wound healing."</t>
  </si>
  <si>
    <t>Wound Manag Prev</t>
  </si>
  <si>
    <t>Diabetic Foot Wounds Treated With Human Amniotic Membrane and Low-level Laser Therapy: A Pilot Clinical Study</t>
  </si>
  <si>
    <t>🧑 Human
📄 Non-randomized study, controlled
👥 27 participants
⌛ 4 weeks</t>
  </si>
  <si>
    <t>PBM vs human amniotic membrane (HAM) vs ctrl</t>
  </si>
  <si>
    <t>0.49</t>
  </si>
  <si>
    <t>13
/point
(how many points?)</t>
  </si>
  <si>
    <t>16
/ 4 weeks</t>
  </si>
  <si>
    <t>"Diabetic foot ulcer wound area as well as PUSH and VAS scores showed more improvement for patients with DM receiving LLLT or HAM than for the control group, but the differences were not significant. Larger studies are needed to compare these treatment modalities."</t>
  </si>
  <si>
    <t>Patients: age 30-59 years; stage 2 or 3 DFU (Revised National Pressure Ulcer Advisory Panel Pressure Injury Staging System); wound size max 3 cm x 7 cm (mean area 1.9 - 5.5 cm2 depending on the group)
Device: "Laser pulse"; "Brazilian Medical Equipment Industry [IBRAMED]; Amparo, Brazil)"
Application: tip of the laser placed 1 cm from wound</t>
  </si>
  <si>
    <t>Wadee</t>
  </si>
  <si>
    <t>J Diabetes Metab Disord</t>
  </si>
  <si>
    <t>The influence of low- intensity laser irradiation versus hyperbaric oxygen therapy on transcutaneous oxygen tension in chronic diabetic foot ulcers: a controlled randomized trial</t>
  </si>
  <si>
    <t>🧑 Human
🎲 Randomized trial
👥 75 participants
⌛ 6 weeks</t>
  </si>
  <si>
    <t>670+
850+
880+
950
(33 diodes)</t>
  </si>
  <si>
    <t>"MANOVA revealed a statistically insignificant difference in the control group, while statistically significant improvement in both the LILI and HBOT groups."
"Both LILI and HBOT may be used as adjunctive methods to improve TcPO2 that accelerate healing in CDFUs. HBOT may be favorable in the improvement of TcPO2 than LILI."</t>
  </si>
  <si>
    <t>Device and application: "Chattanooga group of encores medical, Intellect Advanced Mobile Laser, USA"; "LILI was applied using contact technique by 33 Diode Cluster Applicator, which was arranged to produce total power output 1440 mW with the following wavelengths: 5 × 850 nm 200 mW Lasers, 12 × 670 nm 10mW,8 × 880 nm 25 mW, 8 × 950 nm 15mW and energy density (fluency) was adjusted for 4 J/Cm2 with a pulse frequency of 10 kHz."</t>
  </si>
  <si>
    <t>Contemp Clin Trials</t>
  </si>
  <si>
    <t>Dose-response and efficacy of low-level laser therapy on diabetic foot ulcers healing: Protocol of a randomized controlled trial</t>
  </si>
  <si>
    <t>"This trial can potentially provide important information and assist in clinical decision-making regarding DFU treatment with LLLT."</t>
  </si>
  <si>
    <t>Sutton</t>
  </si>
  <si>
    <t>Foot (Edinb)</t>
  </si>
  <si>
    <t>Photobiomodulation and diabetic foot and lower leg ulcer healing: A narrative synthesis</t>
  </si>
  <si>
    <t>"Regardless of the laser characteristics chosen, in the majority of studies PBM as a treatment for DFUs improved healing rate when compared with standard wound care alone. However, weaknesses across the studies indicate that further research is required."</t>
  </si>
  <si>
    <t>Photobiomodulation for Diabetic Foot Ulcers? Show Me!</t>
  </si>
  <si>
    <t>"Why isn't photobiomodulation (PBM) being used more widely for acceleration of healing of diabetic foot ulcers (DFUs)? In this editorial, we offer a reason and suggest a convincing imaging method that may provide early objective evidence of probable efficacy."</t>
  </si>
  <si>
    <t>Haze</t>
  </si>
  <si>
    <t>Treatment of diabetic foot ulcers in a frail population with severe co-morbidities using at-home photobiomodulation laser therapy: a double-blind, randomized, sham-controlled pilot clinical study</t>
  </si>
  <si>
    <t>🧑 Human
🎲 Randomized trial, double-blind
👥 20 participants
⌛ 12 weeks</t>
  </si>
  <si>
    <t>480
per
area</t>
  </si>
  <si>
    <t>daily
up
to
12
wk</t>
  </si>
  <si>
    <t>"With the numbers available, PBM-treated group had significantly greater %reduction compared to sham (area [cm2], baseline vs endpoint: PBM 10 (...) cm2 vs 0.2 (...) cm2; sham, 7.9 (...) cm2 vs 4.6 (...) cm2, p = 0.018 by Mann-Whitney U test). "
"Direct comparison of percent closure at the study termination showed a significant healing effect of active laser treatment over sham treatment (...) 97% (...) vs 49% (...), p=0.018 by MW-U test)"
"Wound closure &gt; 90% occurred in 7 of 10 PBM-treated patients but in only 1 of 10 sham patients (p = 0.006). No adverse device effects were observed."
"The total number of AEs and SAEs per group was 2 and 3, respectively, for the active group, and 4 and 4, respectively, for the control group."</t>
  </si>
  <si>
    <t>Patients: "Patients (age = 63 ± 11 years, male:female 13:7) with insulin-dependent diabetes type 2, neuropathy, peripheral artery disease, significant co-morbidities, and large osteomyelitis-associated DFUs (University of Texas grade ≥ III)"; "All wounds were considered chronic showing no signs of healing with standard care for a minimum of 3 weeks. The median surface area of the wounds was 8 cm2 (minimum to maximum 3 to 54 cm2 )"
Device: B-cure laser
Application: "The device was applied by direct contact with the wound"</t>
  </si>
  <si>
    <t>Nair</t>
  </si>
  <si>
    <t>Photobiomodulation as an Adjunct Therapy in Wound Healing</t>
  </si>
  <si>
    <t>🧑 Human
📄 Case series
👥 11 cases
⌛ 1-3 months (per patient)</t>
  </si>
  <si>
    <t>660+
800+
970</t>
  </si>
  <si>
    <t>30000
(?)</t>
  </si>
  <si>
    <t>"Three wounds ie, 3 diabetic foot ulcers and 1 nonhealing ulcer were closed completely. Meanwhile, the other 7 ulcers are at 68.2% to 99% in terms of wound area reduction and new granulomatous tissue was present indicating high healing potential."
Comment: Parameters inadequately reported.
Comment: Many before-after photographs of ulcers.</t>
  </si>
  <si>
    <t>Device: "K-Laser Cube 3 with Class IV laser system, and device classification of IIb"</t>
  </si>
  <si>
    <t>The effect of low-level laser therapy on diabetic foot ulcers: A meta-analysis of randomised controlled trials</t>
  </si>
  <si>
    <t>"A total of 13 randomised controlled trials (RCTs) and 413 patients were analysed.
Compared with the control group, LLLT significantly increased the complete healing rate (risk ratio [RR] = 2.10, 95% confidence interval [CI] 1.56-2.83, P &lt; .00001), reduced the ulcer area (standardised mean difference [SMD] = 3.52, 95% CI 1.65-5.38, P = .0002), and shortened the mean healing time (SMD = -1.40, 95% CI -1.90 to -0.91, P &lt; .00001) of patients with DFUs.
The quality of the evidence was very low according to the GRADE system.
LLLT is a promising and effective adjuvant treatment to accelerate the healing of DFUs. Further evidence from larger samples and higher quality RCTs is needed to prove the effect of LLLT and to determine the most appropriate parameters for the healing of DFUs."</t>
  </si>
  <si>
    <t>Mendes-Costa</t>
  </si>
  <si>
    <t>Photobiomodulation: systematic review and meta-analysis of the most used parameters in the resolution diabetic foot ulcers</t>
  </si>
  <si>
    <t>"There were seventeen studies found on PubMed and four on LILACS. Among these, seven were selected, according to the inclusion and exclusion criteria. Two out of the seven matching studies obtained a high score, and five obtained a low score, on the Jadad scale. The studies settled on the use of 600-nm and 800-nm wavelength spectrum. Most of the analyzed papers on photobiomodulation on diabetic foot ulcers did not describe the detailed parameters in their methodology. None of the studies featured the maximum score with regard to the Jadad scale for methodological quality. The relations of energy versus wavelength and power versus wavelength were divergent among the parameters on the papers. Therefore, it is necessary to analyze the parameters for an optimized power value in order to improve the results of the treatment."</t>
  </si>
  <si>
    <t>Efficacy of low-level light therapy for improving healing of diabetic foot ulcers: A systematic review and meta-analysis of randomized controlled trials</t>
  </si>
  <si>
    <t>"Meta-analysis revealed that 30.90% of the ulcer area was significantly reduced in the therapy group compared with the control group (Z = 3.95, P &lt; .001) with a very large effect (g = 2.81). A 4.2 cm2 reduction of the ulcer area was observed in the therapy group compared with the control group (Z = 2.17, P = .03) with a very large effect (g = 1.37). In addition, diabetic foot ulcers in the therapy group was 4.65 times more likely to heal completely than those in the control group (Z = 3.02, P = .003)."</t>
  </si>
  <si>
    <t>Auto-Administered Photobiomodulation on Diabetic Leg Ulcers Treatment: A New Way to Manage It?</t>
  </si>
  <si>
    <t>0.0555</t>
  </si>
  <si>
    <t>14.4
/minute</t>
  </si>
  <si>
    <t>44
(3.2
/minute)</t>
  </si>
  <si>
    <t>"A 84-year-old woman affected by diabetes type 2 and positive for diabetes complications had diagnosis for an ulcerative lesion of 1 cm diameter on her right leg and started a treatment of the lesion applying the B-Cure Laser Pro (Erika Carmel, Haifa, Israel) on her own with a fluence per minute of 3.2 J/cm2 for 2 sessions of 15 minutes by cutaneous application."
"After a week of treatment, the ulcer dried and crusted, finally providing complete healing after 30 days of treatment."</t>
  </si>
  <si>
    <t>Device: B-cure Laser Pro</t>
  </si>
  <si>
    <t>Brazil
(Piaui)</t>
  </si>
  <si>
    <t>A Systematic Review and Meta-Analysis of the Effects of Low-Level Laser Therapy in the Treatment of Diabetic Foot Ulcers.</t>
  </si>
  <si>
    <t>"Thirteen RCTs with a total of 361 participants were included in this review. Three RCTs reported a reduction in the percentage size of the ulcers and were included in the meta-analysis. 
The meta-analysis of the percentage size difference demonstrated a significant reduction in ulcer size in the LLLT group compared with controls (22.96 [95% confidence interval = 18.22-27.69; z = 9.51, P &lt; .0001]). Treatment with 632.8 to 685 nm, 50 mW/cm2, 3 to 6 J/cm2, and irradiation for 30 to 80 seconds, 3 times weekly for a month is of benefit to patients with DFU. 
LLLT is effective and safe for the treatment of DFU. Additionally, well-designed, high-quality studies are needed to allow its ideal parameterization for clinical practice."</t>
  </si>
  <si>
    <t>Raizman &amp; Gavish</t>
  </si>
  <si>
    <t>Canada &amp; Israel</t>
  </si>
  <si>
    <t>Can J Diabetes</t>
  </si>
  <si>
    <t>At-Home Self-Applied Photobiomodulation Device for the Treatment of Diabetic Foot Ulcers in Adults With Type 2 Diabetes: Report of 4 Cases.</t>
  </si>
  <si>
    <t>🧑 Human
📄 Case series
👥 4 cases
⌛ 1 - 2.5 week treatment</t>
  </si>
  <si>
    <t>🎚 Pulsing (15 kHz)
At-home device</t>
  </si>
  <si>
    <t>5
/minute</t>
  </si>
  <si>
    <t>4.5
cm2
beam
area</t>
  </si>
  <si>
    <t>240
(3 anatomic locations)</t>
  </si>
  <si>
    <t>3 - 5 (?)
during
1 - 2.5 weeks</t>
  </si>
  <si>
    <t>"In the cases presented, all wounds closed within 1 to 3 weeks with no reported adverse events. Patients found the routine easy to follow and painless. In wounds that involved pain, patients reported pain reduction after 1 to 3 treatments. Based on our previous experience with these patients, self-applied PBM as an adjunct therapy led to accelerated healing and rapid pain alleviation compared with standard care alone."</t>
  </si>
  <si>
    <t>Device. B-Cure Laser Pro; Good Energies, Haifa, Israel</t>
  </si>
  <si>
    <t>Bayat &amp; Chien</t>
  </si>
  <si>
    <t>Combined Adipose-Derived Mesenchymal Stem Cells and Photobiomodulation Could Modulate the Inflammatory Response and Treat Infected Diabetic Foot Ulcers.</t>
  </si>
  <si>
    <t>Adipose-derived mesenchymal stem cells</t>
  </si>
  <si>
    <t>"There is a positive effect of the combined application of ASC and PBM in some ischemic tissues. We suggest that pre-clinical and translational studies of the combined application of ASC and PBM on delayed healing and an infected ulcer model would provide sufficient information to support the development of this regimen as a treatment for diabetic patients who have delayed healing and infected DFUs. To achieve optimal treatment outcomes for planning clinical trials, the timing and dosage of PBM combined with ASCs should be included at different stages of diabetic ulcer models by performing more animal, preclinical, and translational experiments."</t>
  </si>
  <si>
    <t>Vitoriano</t>
  </si>
  <si>
    <t>Brazil
(Eusébio)</t>
  </si>
  <si>
    <t>Comparative study on laser and LED influence on tissue repair and improvement of neuropathic symptoms during the treatment of diabetic ulcers.</t>
  </si>
  <si>
    <t>🧑 Human
⚔ Comparison study, randomized
👥 12 participants
⌛ 5 weeks</t>
  </si>
  <si>
    <t>⚔ LLLT vs LED
LED phototherapy</t>
  </si>
  <si>
    <t>830
(laser)
850
(LED)</t>
  </si>
  <si>
    <t>30
48</t>
  </si>
  <si>
    <t>0.84
1.05
(??)</t>
  </si>
  <si>
    <t>0.25
0.20</t>
  </si>
  <si>
    <t>15.48
14.64</t>
  </si>
  <si>
    <t>0.116
0.196
cm2</t>
  </si>
  <si>
    <t>28
/point
22
/point</t>
  </si>
  <si>
    <t>10
/ 5 weeks
(?)</t>
  </si>
  <si>
    <t>"There was improvement of the neuropathic signs and symptoms, also improvement of the tissue repair in the two therapeutic modalities; however, the laser presented a higher rate of speed in relation to the LED."
Comment: Parameters in abstract and in full text (Table 1) are contradicting each others.</t>
  </si>
  <si>
    <t>Patients: stage A wounds according to classification of University of Texas (no infection, no ischemia); initial wound area ~1.5 cm2
Device (laser): "diode laser gallium-aluminum-arsenide (GaAIAs) device (Saphire Line, IBRAMED, Amparo, Brazil)"
Device (LED): "LED device was a prototype"
Application: contact</t>
  </si>
  <si>
    <t>Brazil
(Gama)</t>
  </si>
  <si>
    <t>Regeneration of Diabetic Foot Ulcers Based on Therapy with Red LED Light and a Natural Latex Biomembrane.</t>
  </si>
  <si>
    <t>🧑 Human
🎲 Randomized trial
👥 15 participants
⌛ 6 weeks</t>
  </si>
  <si>
    <t>PBM + latex biomembrane
LED phototherapy</t>
  </si>
  <si>
    <t>635-
640</t>
  </si>
  <si>
    <t>daily (?)
for 6 weeks</t>
  </si>
  <si>
    <t>"The average healing rates of GI,  GII [control], and GIII were 77.0, 51.4, and 80%, respectively."
Comment: Very small control group. Difficult to make conclusions from such a small sample. No difference in CRU% between the groups.</t>
  </si>
  <si>
    <t>Patients: "diagnosed with DM for more than 10 years and were affected by neuropathic DFUs" (Table 1 for additional info)
Device: Rapha system
Application: "[PBM] equipment was positioned over the wound, as shown in Fig. 1c, and the LED light was turned on for 35 min"</t>
  </si>
  <si>
    <t>Sangma</t>
  </si>
  <si>
    <t>Int Surg J</t>
  </si>
  <si>
    <t>Efficacy of low level infrared light therapy on wound healing in patients with chronic diabetic foot ulcers: a randomised control trial</t>
  </si>
  <si>
    <t>🧑 Human
🎲 Randomized trial
👥 52 participants
⌛ 15 days</t>
  </si>
  <si>
    <t>???</t>
  </si>
  <si>
    <t>15
/ 15 days</t>
  </si>
  <si>
    <t>"Mean reduction in the ulcer area was 375.30 mm in the control group and 893.56 mm in the study group and this differences between the two groups was statistically significant (p&lt;0.010)."
Comment: Wavelength not reported. Parameters poorly reported. Journal not indexed in PubMed.</t>
  </si>
  <si>
    <t>Patients: "The  inclusion  criteria  is  all  diagnosed  Type  II  diabetes mellitus  Wagner  Grade-1  Diabetic  foot  Ulcer  of  at  least more  than  4  weeks  duration,  less  than  6×6  cm,  with negative  culture  were  studied.  The  exclusion  criteria  is clinical signs of ischaemia, osteomyelitis and uncontrolled  diabetes  with  FBS&gt;200  mg."
Device: model not described
Application: "local irradiation of the ulcer bed and ulcer margins" (no further details provided)</t>
  </si>
  <si>
    <t>A randomized controlled trial comparing helium-neon laser therapy and infrared laser therapy in patients with diabetic foot ulcer.</t>
  </si>
  <si>
    <t>🧑 Human
⚔ Comparison study
👥 65 participants
⌛ 8 weeks</t>
  </si>
  <si>
    <t>⚔ PBM (633nm) vs PBM (904nm)
Wavelength comparison</t>
  </si>
  <si>
    <t>0.015
0.040</t>
  </si>
  <si>
    <t>5
6</t>
  </si>
  <si>
    <t>?
1
cm2
spot</t>
  </si>
  <si>
    <t>acc.
wound
area:
90s per cm2</t>
  </si>
  <si>
    <t>"The present study demonstrates that HNLT and ILT have similar effects to control diabetic foot ulcer in a short-term (up to 8 weeks). Eight weeks of laser therapy have beneficial impacts in diabetic foot ulcer."
Comment: No information on how many PBM sessions there were?</t>
  </si>
  <si>
    <t>Patients: "Sixty-five diabetic [hospital] patients with grades I and II foot ulcers (based on Wegener Scale) were selected according to the following criteria: age between 50 and 60 years of age, body mass index (BMI) of 30, and free of any metabolic-related medical conditions such as nephropathy, cardiomyopathy, recent myocardial infarction, or pulmonary problems." [Comment: It seems the average BMI was 30 so maybe their inclusion criteria was BMI close to 30. Interesting."]
Ulcer duration (baseline): ~9 months
Ulcer size: Initial ulcer area ~10 cm2; final ulcer area ~4 cm2 in both intervention groups
Device (helium-neon, 633 nm): "ASA Medical laser device, manufactured by ASA Terza-via Alessandro, Italy"
Device (904 nm): "PHYACTION 792/796 manufactured in The Netherlands by Uniphy BV"</t>
  </si>
  <si>
    <t>Maiya</t>
  </si>
  <si>
    <t>Photobiomodulation therapy in neuroischaemic diabetic foot ulcers: a novel method of limb salvage.</t>
  </si>
  <si>
    <t>🧑 Human
📄 Single-arm study
👥 17 participants
⌛ 26-day mean closure time</t>
  </si>
  <si>
    <t>632.8
660
850</t>
  </si>
  <si>
    <t>0.05 -
0.15</t>
  </si>
  <si>
    <t>3.1
3.4</t>
  </si>
  <si>
    <t>based
on ulcer
area (?)</t>
  </si>
  <si>
    <t xml:space="preserve">720
-&gt;
later
</t>
  </si>
  <si>
    <t>6/week
until
healing</t>
  </si>
  <si>
    <t>"PBMT can be effectively used as a treatment mode for neuroischaemic DFUs in patients with type 2 diabetes. Graded mobilisation with focused foot care could improve the function of people living with type 2 diabetes with a chronic DFU."</t>
  </si>
  <si>
    <t>Device: "helium–neon laser (LASER SS-5000, Technomed, Electronics, India)"</t>
  </si>
  <si>
    <t>Vicenti</t>
  </si>
  <si>
    <t>Italy 
(Bari)</t>
  </si>
  <si>
    <t>New insights into the treatment of non-healing diabetic foot ulcers</t>
  </si>
  <si>
    <t>Photobiomodulation (PBM) therapy revealed effective in the treatment of DFUs in two RCTs, but a standardization of therapeutic protocols as well as level-I studies are needed.</t>
  </si>
  <si>
    <t>Efficacy of Low-Level Light Therapy for Treatment of Diabetic Foot Ulcer: A Systematic Review and Meta-Analysis of Randomized Controlled Trials.</t>
  </si>
  <si>
    <t>"Seven RCTs involving 194 participants were eligible for this systematic review and meta-analysis. The results of meta-analysis showed that LLLT has emerged as a potential noninvasive treatment for DFUs, as LLLT was found to effectively reduce the ulcer area [weighted mean difference (WMD) 34.18, 95% confidence intervals (CI) 19.38-48.99, P &lt; 0.00001], improve the complete healing rate [odds ratio (OR) 6.72, 95% CI 1.99-22.64, P = 0.002]. Qualitative analysis of the included RCTs found that LLLT also played a role in the treatment of DFUs through promoting rapid granulation formation and shortening ulcer closure time, as well as alleviating foot ulcer pain. None of the treatment-related adverse event was reported."
"LLLT was recognized as a potential method in the comprehensive treatment of DFUs. Further well designed and high-quality studies are required to confirm the role of LLLT in the management of DFUs."</t>
  </si>
  <si>
    <t>Frangež</t>
  </si>
  <si>
    <t>Phototherapy with LED Shows Promising Results in Healing Chronic Wounds in Diabetes Mellitus Patients: A Prospective Randomized Double-Blind Study.</t>
  </si>
  <si>
    <t>🧑 Human
⚔ Comparison trial, randomized, double-blind
👥 60 participants
⌛ 8 weeks</t>
  </si>
  <si>
    <t>⚔ PBM vs PBM
LED phototherapy
Chronic diabetic wounds "below the knee"</t>
  </si>
  <si>
    <t>625+
660+
850
(PBM)
580-
900
(ctrl)</t>
  </si>
  <si>
    <t>0.576+
1.704+
0.120
(= 2.4)
0.72</t>
  </si>
  <si>
    <t>"After 8 weeks, the mean surface in the LED group was 56% of the baseline surface and 65% in the Co-group (p &gt; 0.05). 
Falanga score evaluation showed significantly faster wound bed healing in the LED group compared with the Co-group (p &lt; 0.05)."
Comment: There was only 3.3x total energy difference between PBM and the so-called "control group". It could explain the small difference between the groups. Because of this, I label this study as a "comparison trial" with no actual negative control group.</t>
  </si>
  <si>
    <t>Patients: "60 consecutive patients with diabetes mellitus and chronic wounds below the knee referred to the University Medical Center Ljubljana (...) Exclusion criteria were patients whose wound surface was too large (over 15 · 20 cm) or patients with wounds expanding to several planes, meaning an even distribution of light through irradiation could not be guaranteed"
Device (LED): "Ortholumm, Votan, Slovenia"
Device (ctrl): "automobile light bulbs were built into the same LED housing and red filters were added"
Application: at 10 cm distance from wound</t>
  </si>
  <si>
    <t>de Alencar Fonseca Santos</t>
  </si>
  <si>
    <t>Effects of Low-Power Light Therapy on the Tissue Repair Process of Chronic Wounds in Diabetic Feet.</t>
  </si>
  <si>
    <t>🧑 Human
🎲 Randomized trial
👥 18 participants
⌛ 4 weeks</t>
  </si>
  <si>
    <t>0.06
cm2
dot
size</t>
  </si>
  <si>
    <t xml:space="preserve">13/p
</t>
  </si>
  <si>
    <t xml:space="preserve">"The Laser Group presented a significant increase of the tissue repair index when compared with the Control Group, with a significant statistical difference (p &lt; 0.013). There was no significant difference between the groups in all the weeks using the PUSH scale."
Comment: Strangely the figures seem to show a large difference in PUSH scores between the groups but the abstract says there is no significant difference in the PUSH score... 
</t>
  </si>
  <si>
    <t>Patients: "individuals 30–59 years of age, with chronic wounds on their feet; carriers of DM with postprandial capillary blood glucose ranging between 140 and 350 mg/dL; noninfected lesion with II and III depth staging degree, 7 cm maximum length and 3 cm maximum width and a minimum of 0.5 cm2 , not higher than 21 cm2 ; and wounds presenting a tissue in granulation stage and little exudate"
Some outcomes:
- wound healing index (76% vs 51%)
- pressure ulcer scale at 4 weeks (PUSH) (2.88 vs 7.00)
- visual analogue scale for pain (VAS) (2.33 vs 0.77)
- final area (1.63 vs 0.32 cm2)
Device: LLLT equipment (Indu´stria Brasileira de Equipamentos Me´dicos—Ibramed)
Application: "pen remained at a perpendicular position to the edge of the lesion, in a punctual mode with contact, the tip of the pen protected by a PVC film"</t>
  </si>
  <si>
    <t>Salvi</t>
  </si>
  <si>
    <t>Effect of low-level light therapy on diabetic foot ulcers: a near-infrared spectroscopy study.</t>
  </si>
  <si>
    <t>🧑 Human
📄 Single arm (2 subgroups)
👥 56 participants (45 DFU, 11 healthy ctrls)
⌛ single session</t>
  </si>
  <si>
    <t>PBM + ultraviolet
LED phototherapy</t>
  </si>
  <si>
    <t>20
(1st irrad.)
80
(2nd irrad.)</t>
  </si>
  <si>
    <t>1.75
cm2
(??)
(or much more?)</t>
  </si>
  <si>
    <t>630
1050</t>
  </si>
  <si>
    <t>single session with 2 phases (?)</t>
  </si>
  <si>
    <t>"Overall, our results demonstrate that LLLT improves blood flow and autonomic nervous system regulation in DFU and the importance of light intensity in therapeutic protocols."</t>
  </si>
  <si>
    <t>Device (LED): "A commercially available device (Healite II, Lutronic Corporation, Korea) was used"
Device design: "The light source consisted of 10 arrays of 150 continuous pulse light-emitting diode (LED), with a spot size of 1.75 cm and the following three wavelengths: 415, 633, and 830 nm."
Application: ~10 cm away from wound surface</t>
  </si>
  <si>
    <t>Res Biomed Eng</t>
  </si>
  <si>
    <t>A system for treatment of diabetic foot ulcers using led irradiation and natural latex</t>
  </si>
  <si>
    <t>🧑 Human
📄 Non-randomized study, controlled
👥 5 participants with 10 ulcers
⌛ 28-day treatment</t>
  </si>
  <si>
    <t>LED phototherapy
At-home device</t>
  </si>
  <si>
    <t>"For each ulcer, an index for quantifying the percentage ulcer recovery, named CRU(%), has been calculated; a CRU(%) = 0% means no healing, and a CRU(%) = 100% means total healing."
"There were statistically significant increases of CRU(%) of 51.8% (p = 0.022), for the CG, and of 78.4% (p &lt; 0.001), for the EG."</t>
  </si>
  <si>
    <t>SciELO</t>
  </si>
  <si>
    <t>Tchanque-Fossuo</t>
  </si>
  <si>
    <t>Low-level Light Therapy for Treatment of Diabetic Foot Ulcer: A Review of Clinical Experiences.</t>
  </si>
  <si>
    <t>"LLLT is an emerging and promising treatment modality to current alternatives that are costly and have shown limited success. Based upon the published evidence, we envision additional research may allow for stronger recommendation with LLLT for treatment of DFU."</t>
  </si>
  <si>
    <t>A systematic review of low-level light therapy for treatment of diabetic foot ulcer.</t>
  </si>
  <si>
    <t>"This systematic review reports that LLLT has significant potential to become a portable, minimally invasive, easy-to-use, and cost effective modality for treatment of DFU. To enthusiastically recommend LLLT for treatment of DFU, additional studies with comparable laser parameters, screening period to exclude rapid healers, larger sample sizes and longer follow-up periods are required. We envision future stringent RCTs may validate LLLT for treatment of DFU."</t>
  </si>
  <si>
    <t>Rev Esc Enferm USP</t>
  </si>
  <si>
    <t>Low-level laser therapy and Calendula officinalis in repairing diabetic foot ulcers.</t>
  </si>
  <si>
    <t>🧑 Human
🎲 Randomized trial
👥 32 participants
⌛ 30 days</t>
  </si>
  <si>
    <t>LLLT vs Calendula officinalis oil vs both vs ctrl</t>
  </si>
  <si>
    <t>12.566
mm2</t>
  </si>
  <si>
    <t>"We conclude that LLLT isolated or in combination with Calendula officinalis oil is effective in relieving pain due to its anti-inflammatory action, and in reducing the total area of ulcers by stimulating neovascularization and accelerating cell proliferation, thereby contributing to improving possible morbidities that may occur as consequence of Diabetes Mellitus."</t>
  </si>
  <si>
    <t>Patients: "Eligibility criteria were decompensated type II diabetic patients of both genders, aged 40-70 years with fasting blood glucose values between 150 and 350 mg/dL, presenting an ulcer in the lower limb and were being followed at the Diabetic foot outpatient clinic."
Device: "Laser - HTM manufacturer"
Application: "For the purposes of LLLT, the pen was held perpendicular to the wound with punctual contact, and at equidistant points around and on the wound bed. Wound protection was made with transparent film."</t>
  </si>
  <si>
    <t>Mathur</t>
  </si>
  <si>
    <t>Low-level laser therapy as an adjunct to conventional therapy in the treatment of diabetic foot ulcers.</t>
  </si>
  <si>
    <t>🧑 Human
🎲 Randomized trial
👥 30 participants
⌛ 15 days</t>
  </si>
  <si>
    <t>60
/p?</t>
  </si>
  <si>
    <t>"Percentage ulcer area reduction was 37 ± 9% in the LLLT group and 15 ± 5.4% in the control group (p &lt; 0.001)."
Comment: The difference in the improvement was quite modest (Fig. 2).</t>
  </si>
  <si>
    <t>Nteleki</t>
  </si>
  <si>
    <t>Semin Vasc Surg</t>
  </si>
  <si>
    <t>Conventional podiatric intervention and phototherapy in the treatment of diabetic ulcers</t>
  </si>
  <si>
    <t xml:space="preserve">🧑 Human
🎲 Randomized trial*, sham-controlled, case series-type reporting
👥 7 participants (15 ulcers)
⌛ treatment up to 90 days (until healing) </t>
  </si>
  <si>
    <t>LED phototherapy
Three groups: (1) podiatry + sham PBM, (2) podiatry + PBM on ulcers, (3) podiatry + PBM on ulcers and lymphatic nodes</t>
  </si>
  <si>
    <t>405
+
800</t>
  </si>
  <si>
    <t>16
cm2
beam size</t>
  </si>
  <si>
    <t>51
/point
+
68
/ lymph
nodes</t>
  </si>
  <si>
    <t>2/week
until healing
(max 90 days)</t>
  </si>
  <si>
    <t>"The rate of healing increased in all three groups, however, in this study, 67% of ulcers that were managed received some form of phototherapeutic intervention and 40% of those ulcers resolved completely in a period of &lt;8 weeks with no adverse effects being reported by any of the participants."
* Comment: Only 2 patients in placebo group. This small sample size does not allow any meaningful comparisons.</t>
  </si>
  <si>
    <t>Patients: "Inclusion criteria: type 2 diabetes with neuropathic or mixed (venous and arterial) ulcers; lower extremity ulcer; stable or worsening ulcer which has been present for a minimum of 4 weeks; willingness to participate and commitment to the study; and signed consent to participate in the study. Exclusion criteria: evidence of acute cellulitis, osteomyelitis or gangrene; presence of any of one or more medical conditions including renal, hepatic, hematologic, neurologic, or immune disease not related to diabetes; presence of malignant disease (other than basal cell carcinoma) not in remission for more than 5 years; use of oral or parenteral corticosteroids, immunosuppressive, or cytotoxic agents; known infection with HIV or presence of AIDS; use of other investigational drug or device within 30 days of recruitment into the study; and other leg ulcers, such as ulcers due to decubiti or vasculitis"
Device: Photizo® Physiotherapist 642
Device design: "The 1,200 mW cluster probe used (...) has three 630 nm light emitting diodes (LEDs; visible red light; total power output 405 mW) and eight 850 nm LEDs (infrared light; total power output 800 mW). The diameter of the cluster head was 46 mm, and the beam spot size was 16 cm2 (power density of 75 mW/cm2 )."
Application: probe was pressed slightly onto the ulcer; one spot at a time was irradiated until the whole wound was irradiated; edges of wound were treated first; lymph nodes of the affected limb (groin + behind the knee) were also irradiated</t>
  </si>
  <si>
    <t>Maltese</t>
  </si>
  <si>
    <t>A pilot study to evaluate the efficacy of class IV lasers on nonhealing neuroischemic diabetic foot ulcers in patients with type 2 diabetes.</t>
  </si>
  <si>
    <r>
      <rPr>
        <sz val="7.0"/>
      </rPr>
      <t xml:space="preserve">🧑 Human
📄 Non-randomized study, controlled
👥 11 participants
⌛ 12 weeks
</t>
    </r>
    <r>
      <rPr>
        <i/>
        <sz val="7.0"/>
      </rPr>
      <t>(Published as a letter)</t>
    </r>
  </si>
  <si>
    <t>Nonhealing foot ulcer</t>
  </si>
  <si>
    <t>4 λ:s</t>
  </si>
  <si>
    <t>Patients: "Wagner stage 1 and 2 neuroischemic DFUs of five patients with type 2 diabetes who were nonresponsive to conventional treatment for at least 12 weeks"
"Within the 12-week follow-up, four of five laser-treated patients (80%) had a complete ulcer resolution (most ulcers healed after 4.6 weeks). In the control group, no ulcer healing occurred by week 12."
Comment: Parameters were not reported.</t>
  </si>
  <si>
    <t>Patients: "Wagner stage 1 and 2 neuroischemic DFUs of five patients with type 2 diabetes who were nonresponsive to conventional treatment for at least 12 weeks"; initial ulcer area ~2.3 cm2
Device: "an advanced class IV laser (emitting four wavelengths)"; in the acknowledgements the authors thank K-Laser USA and VBS Direct Ltd for providing the laser equipment.
Application: not described</t>
  </si>
  <si>
    <t>Healing of diabetic ulcers using photobiomodulation.</t>
  </si>
  <si>
    <t xml:space="preserve"> A good mini-review on studies of diabetic wound/ulcer healing and LLLT/PBM.
 "If this treatment modality is to become better recognized for the healing of diabetic ulcers, larger, well controlled clinical studies with
  statistically significant results are required. There is a definite need to generate new treatment modalities to improve diabetic wound
  healing, and photobiomodulation has an unmistakable place in this"</t>
  </si>
  <si>
    <t>Feitosa</t>
  </si>
  <si>
    <t>Effects of the Low-Level Laser Therapy (LLLT) in the process of healing diabetic foot ulcers.</t>
  </si>
  <si>
    <t>🧑 Human
🎲 Randomized trial
👥 16 participants
⌛ 30 days</t>
  </si>
  <si>
    <t>"There was a significant decrease in the size of the wound when compared to the control group (p&lt;0.05). The pain was also reported as having an intense improvement in the treated group."
"The low-level laser treatment seems to be an efficient method, viable, painless and of low costs concerning the tissue repair ulcers in a diabetic foot."</t>
  </si>
  <si>
    <t>Patients: "The sample was composed by 16 non controlled type II-diabetic patients, ulcer carriers in the lower limb"; baseline ulcer area 2.55 cm2 (ctrl) and 7.98 cm2 (PBM)
Device: "Laser -HTM"
Application: "punctual without contact (approximate distance of 1 mm), with the pen being held perpendicular to the wound, in equidistant points around it"</t>
  </si>
  <si>
    <t>Beckmann</t>
  </si>
  <si>
    <t>Low level laser therapy for the treatment of diabetic foot ulcers: a critical survey.</t>
  </si>
  <si>
    <t>"Finally, we adopted 22 eligible references; 8 of them were cell studies, 6 were animal studies, and 8 were clinical trials. Cell studies and animal studies gave evidence of cellular migration, viability, and proliferation of fibroblast cells, quicker reepithelization and reformed connective tissue, enhancement of microcirculation, and anti-inflammatory effects by inhibition of prostaglandine, interleukin, and cytokine as well as direct antibacterial effects by induction of reactive oxygen species (ROS). The transferral of these data into clinical medicine is under debate. 
The majority of clinical studies show a potential benefit of LLLT in wound healing of diabetic ulcers. But there are a lot of aspects in these studies limiting final evidence about the actual output of this kind of treatment method. I
n summary, all studies give enough evidence to continue research on laser therapy for diabetic ulcers, but clinical trials using human models do not provide sufficient evidence to establish the usefulness of LLLT as an effective tool in wound care regimes at present. Further well designed research trials are required to determine the true value of LLLT in routine wound care."</t>
  </si>
  <si>
    <t>Chandrasekaran</t>
  </si>
  <si>
    <t>India
(Coimbatore)</t>
  </si>
  <si>
    <t>Short-term multimodal phototherapy approach in a diabetic ulcer patient.</t>
  </si>
  <si>
    <t>🧑 Human
📄 Case report
⌛ 5-week treatment -&gt; 3-month follow-up</t>
  </si>
  <si>
    <t>PBM + antimicrobial ultraviolet</t>
  </si>
  <si>
    <t>250
(wound
steril.)
+
820
(wound
edges)
+
660+
880
(wound
bed)</t>
  </si>
  <si>
    <t>-
+
25
+
-</t>
  </si>
  <si>
    <t>-
+
0.140
+
0.120</t>
  </si>
  <si>
    <t>[E3 dose]
+
2
(wound
edges)
+
4
(wound
bed)</t>
  </si>
  <si>
    <t>23
/ 5 weeks</t>
  </si>
  <si>
    <t>"A total of 23 sessions of low-intensity laser therapy and UVC irradiation were administered over a five-week period. The infected surgical wound healed completely."
"The stump granulation had started on Day 12 of treatment. Wound culture of the stump was negative for P. aeruginosa and S. aureus. The stump was completely healed by Day 60 of the initial treatment. Follow-up two months after the initial assessment did not reveal any reappearance of ulcer in the patient"</t>
  </si>
  <si>
    <t>Device (UVC): "UVC was applied using a White Mercury Vapour Lamp (Model CRG 111)"
Device (PBM): "Laser treatment was applied using a 'Prometheus' P pen and cluster probe"
Parameter details: The power density of 820nm was 140 mW/cm2. The power density of 660+880 is 120 mW/cm2.</t>
  </si>
  <si>
    <t>Kajagar</t>
  </si>
  <si>
    <t>Indian J Surg</t>
  </si>
  <si>
    <t>Efficacy of low level laser therapy on wound healing in patients with chronic diabetic foot ulcers-a randomised control trial.</t>
  </si>
  <si>
    <t>🧑 Human
🎲 Randomized trial
👥 68 participants
⌛ 15 days</t>
  </si>
  <si>
    <t>"Initial ulcer area was 2608.03 mm(2) in study group and 2747.17 mm(2) in control group (p = 0.361). Final ulcer area was 1564.79 mm(2) in study group and 2424.75 mm(2) in control group (p = 0.361). Percentage ulcer area reduction was 40.24 [...] in study group and 11.87 [...] in control group (p &lt; 0.001, Z = 7.08). Low Level Laser Therapy is beneficial as an adjunct to conventional therapy in the treatment of diabetic foot ulcers (DFU)."
Comment: Parameters were reported extremely inadequately, most of relevant information being absent.</t>
  </si>
  <si>
    <t>Patients: "Type 2 DM patients with Meggitt-Wagner grade I DFUs of at least 4 weeks’ duration were included. Those with clinical signs of ischaemia and ankle brachial pressure index (ABI) less than 0.9 were excluded from the study.";; initial ulcer area is 26-27 cm2 on average
Device: "An LLLT device with a multidiode cluster probe (Thor International Ltd)" (Thor-LX)</t>
  </si>
  <si>
    <t>A randomized clinical trial on the effect of low-level laser therapy on chronic diabetic foot wound healing: a preliminary report.</t>
  </si>
  <si>
    <t>🧑 Human
🎲 Randomized trial, double-blind
👥 23 participants
⌛ 20 weeks</t>
  </si>
  <si>
    <t>1
cm2
irrad.
area
approx</t>
  </si>
  <si>
    <t>6/week
for 2 weeks
-&gt; every other day until healing</t>
  </si>
  <si>
    <t>"At week 4, the size of ulcers decreased significantly in the LLLT group (p = 0.04). After 20 weeks, in the LLLT group, eight patients had complete healing and in the placebo group only three patients experienced complete wound healing.
The mean time of complete healing in LLLT patients (11 weeks) was less than that in placebo patients (14 weeks) though the difference was not statistically significant."</t>
  </si>
  <si>
    <t>Patients: "Patients having a diabetic foot ulcer for a minimum of 12 weeks with ulcer stage I and II according to the Wagner classification who were capable of giving informed consent, understanding instructions, and co-operating with study protocol completely were enrolled in this study. The exclusion criteria were the presence of active infection requiring hospitalization, gangrene, systemic diseases such as collagen-vascular diseases, renal failure, evidence of ischemia, pregnancy, and history of photosensitivity."
Device: "a laser device (BTL, 685 nm, 50 mW)"
Application: "noncontact mode at the distance of 1 cm from the skin surface"</t>
  </si>
  <si>
    <t>Landau</t>
  </si>
  <si>
    <t>Visible light-induced healing of diabetic or venous foot ulcers: a placebo-controlled double-blind study.</t>
  </si>
  <si>
    <t>🧑 Human
🎲 Randomized trial, double-blind
👥 20 participants (16 completed)
⌛ 12-week treatment / follow-up avg ~17 weeks</t>
  </si>
  <si>
    <t>Polychromatic light 🌈
At-home device</t>
  </si>
  <si>
    <t>0.180
(PBM)
0.010
(ctrl)</t>
  </si>
  <si>
    <t>(see 
Fig. 1)</t>
  </si>
  <si>
    <t>240
/session
(twice daily)</t>
  </si>
  <si>
    <t>twice
per day for 12 weeks</t>
  </si>
  <si>
    <t>"At the end of the follow up, all the wounds were closed in 9 out of 10 patients (90%) from the treatment group, whereas in the placebo group only 2 out of 6 patients exhibited closed wounds (33%). The reduction in wound size in the treatment group versus the placebo group was 89% and 54%, respectively."
"In this small scale placebo-controlled double-blind study, broadband (400-800 nm) visible light was an effective modality for the treatment of leg or foot ulcers."
Comment: Control group also received light.
Comment: 10 participants (19 ulcers) in PBM group. 6 participants (6 ulcers) in control group.</t>
  </si>
  <si>
    <t>Device: "Vireo (QRay Ltd., Haifa Bay, Israel)"
Patients: "unsuccessfully treated diabetic or venous foot ulcers, grade 1 or 2 (venous ulcer &lt;4 cm2 ) of at least 8 weeks’ duration"
Application: "Patients were instructed to treat their wound twice a day by using the Vireo (Fig. 1) over the entire wound area at a distance of 2 cm, each time for 4 min/treatment. Patients, who exhibited several distant wounds, were instructed to treat each wound for the full treatment time. Each patient kept a diary in which the treatments were logged."</t>
  </si>
  <si>
    <t>Minatel</t>
  </si>
  <si>
    <t>Phototherapy promotes healing of chronic diabetic leg ulcers that failed to respond to other therapies.</t>
  </si>
  <si>
    <t>🧑 Human
🎲 Randomized trial, double-blind
👥 14 participants (23 ulcers)
⌛ 90 days</t>
  </si>
  <si>
    <t>LED phototherapy
LED array of 32x890nm and 4x660nm diodes.</t>
  </si>
  <si>
    <t>5
cm2
LED
cluster</t>
  </si>
  <si>
    <t>30
/spot
(until whole ulcer was irradiated)</t>
  </si>
  <si>
    <t>twice per week</t>
  </si>
  <si>
    <t>"By day 90, 58.3% of [PBM-treated] ulcers had healed fully and 75% had achieved 90-100% healing. In contrast, only one "placebo" treated ulcer healed fully by day 90; no other ulcer attained &gt; or =90% healing."
Comment: The control group received light from a similar probe but only one (1 of 4) red diodes and zero (0 of 32) NIR diodes active, thus producing less than 5 mW of output power (instead of 500 mW). It is possible this could have a slight effect as speculated by Enwemeka (see additional info column).</t>
  </si>
  <si>
    <t>Patients: "Ulcer is present for a minimum of 4 weeks during which it has been either stable or worsening,"
Device: "Dynatron Solaris 705(R) device"
From Enwemeka's 2011 paper "The Relevance of Accurate Comprehensive Treatment Parameters in Photobiomodulation":
"For example, the significance of two parameters—total energy and total cumulative dose—which hitherto were either ignored or unaccounted for, is vividly illustrated by a recent report7 involving what was considered to be “placebo” phototherapy.
In this example, the investigators had two identical treatment applicators; the only difference being that all but 1 of the 36 diodes in the “placebo” applicator were disabled, reducing the irradiance to &lt;1.0 mW/cm2; whereas the output of the real treatment applicator was kept at 100 mW/cm2. As expected, treatment with the real applicator prompted faster healing of treated ulcers from the very beginning of therapy. Overall, it gave better results than the “placebo” treatment. However, the small amount of light emitted by the placebo applicator was not totally ineffective as was anticipated. Indeed, after the initial 45 days of treatment during which placebo-treated ulcers worsened, the ulcers began to heal virtually as nicely as those in the real treatment group did from the very beginning. This finding suggests that once the total amount of energy, that is, energy delivered at each treatment session multiplied by the total number of treatments, reached a certain threshold, the so-called “placebo” treatment began to engender positive healing."</t>
  </si>
  <si>
    <t>Phototherapy (LEDs 660/890nm) in the treatment of leg ulcers in diabetic patients: case study</t>
  </si>
  <si>
    <t>🧑 Human
📄 Case series
👥 2 cases (9 ulcers)</t>
  </si>
  <si>
    <t>660
660+
890</t>
  </si>
  <si>
    <t>5
500
(?)</t>
  </si>
  <si>
    <t>"This study evaluated the use of phototherapy in the healing of mixed leg ulcers in two diabetic patients (type 2) with arterial hypertension."
"The following analyses of ulcers with software Image J showed that probe 2 presented mean healing rates of 0.6; 0.7 and 0.9, whereas probe 1 had 0.2; 0.4 and 0.6 at 30, 60 and 90 days, respectively."</t>
  </si>
  <si>
    <t>Landau &amp; Schattner</t>
  </si>
  <si>
    <t>Yale J Biol Med</t>
  </si>
  <si>
    <t>Topical hyperbaric oxygen and low energy laser therapy for chronic diabetic foot ulcers resistant to conventional treatment.</t>
  </si>
  <si>
    <t>🧑 Human
📄 Single-arm study (w/ subgroups)
👥 100 participants
⌛ mean duration of treatment 3.2 months</t>
  </si>
  <si>
    <t>PBM + hyperbaric oxygen (combination treatment only)</t>
  </si>
  <si>
    <t>concurr.
with oxygen tx (2-3 per week)</t>
  </si>
  <si>
    <t>"In conclusion, although the study was open and uncontrolled, an 81 percent healing of DFU in patients who previously did not respond to a comprehensive treatment program, constitutes an intriguing preliminary result. Thus, THBO/LEL therapy may be a safe, simple, and inexpensive early adjunctive treatment for patients with chronic diabetic foot ulcers. Our findings should prompt its evaluation by large randomized controlled trials."</t>
  </si>
  <si>
    <t>Patients: "100 consecutive patients without ganrene whose ulcers remained refractory to at least 14 weeks (median 17 weeks) of comprehensive conventional treatment"
Device: "Unilaser Scan 60 (Elettronica, Pagany, Italy)"</t>
  </si>
  <si>
    <t>Diabetic neuropathic foot ulcer: successful treatment by low-intensity laser therapy.</t>
  </si>
  <si>
    <t>🧑 Human
📄 Case report
⌛ 4-week treatment -&gt; 9-month follow-up</t>
  </si>
  <si>
    <t>Diabetic neuropathic foot ulcer</t>
  </si>
  <si>
    <t>"After a total of 16 sessions of low-intensity laser therapy using a 670-nm diode laser administered within a 4-week period the ulcer healed completely. During a follow-up period of 9 months, there was no recurrence of the ulcer even though the patient's metabolic condition remained unstable."</t>
  </si>
  <si>
    <t>Device: diode laser; Helbo Medizintechnik, Gallspach, Austria</t>
  </si>
  <si>
    <t>Forsch Komplementarmed</t>
  </si>
  <si>
    <t>Healing of Bone Affections and Gangrene with Low-Intensity Laser Irradiation in Diabetic Patients Suffering from Foot Infections.</t>
  </si>
  <si>
    <t>0.5
cm2
irrad.
area</t>
  </si>
  <si>
    <t>34
/ 12 weeks
(case 1)
43
/ 16 weeks
(case 2)</t>
  </si>
  <si>
    <t>"Within a mean period of 14 weeks not only a complete healing of the diabetic gangrenes but also a radiographically determined reestablishment of corticalis and remineralisation of preexisting bone affections could be achieved."</t>
  </si>
  <si>
    <t>Effect Of Helium-neon Laser Therapy (LLLT) On Wound Healing In A Torpid Vasculogenic Ulcer On The Foot: A Case Report</t>
  </si>
  <si>
    <t>830
--&gt;
633</t>
  </si>
  <si>
    <t>"Despite two months as an inpatient and a variety of therapeutic modalities, including infrared diode laser (GaAlAs, 60 mW c/w, power density of approximately 3 W/cm2), the ulcer failed to heal. 
HeNe LLLT was then started (8.5 mW c/w, scanned mode, power density 27 W/cm2), twice per day, 10 minutes per session. After one month, considerable improvement was seen in both healing and pain removal, and the ulcer had healed completely after five months, with complete pain removal. 
It is suggested that, for open wounds requiring direct irradiation to the wound bed, the HeNe laser at 632.8 nm is most effective, applied in the noncontact scanning mode."</t>
  </si>
  <si>
    <t>Diabetic (clinical)</t>
  </si>
  <si>
    <t>Kong</t>
  </si>
  <si>
    <t>Long-Term Outcome of Photobiomodulation Therapy for Refractory Diabetic Wound After Secretory Carcinoma of the Parotid Gland Surgery: A Case Report</t>
  </si>
  <si>
    <t>"We reported a 55-year-old male patient with refractory diabetic wound after secretory carcinoma of the parotid gland surgery responding to 810 nm laser."
"After PBMT, the refractory diabetic wound healed gradually without adverse events. During follow-up 5-years, the healed wound remained stable and showed no signs of recurrence."</t>
  </si>
  <si>
    <t>Baracho</t>
  </si>
  <si>
    <t>Rev Gaucha Enferm</t>
  </si>
  <si>
    <t>LED phototherapy in tissue repair of chronic wounds in people with diabetes: a systematic review</t>
  </si>
  <si>
    <t>"Fromthe total of 840 references, eight articles were selected, that evaluated the effectiveness of LED phototherapy in wounds of diabetic patients."
"LED light proved to be beneficial in tissue repair, with increased production in collagen and fibroblasts, angiogenesis, reduction of inflammation and, consequently, a decrease in lesion size."
Comment: Paper includes some hard-to-find reports such as the Russian paper Ivanova et al. 2018</t>
  </si>
  <si>
    <t>Diabetic (preclinical)</t>
  </si>
  <si>
    <t>Vatandoust</t>
  </si>
  <si>
    <t>Photobiomodulation preconditioned diabetic adipose derived stem cells with additional photobiomodulation: an additive approach for enhanced wound healing in diabetic rats with a delayed healing wound</t>
  </si>
  <si>
    <t>630+
810
(cells)
890
(wound)</t>
  </si>
  <si>
    <t>"The rats were grouped into: (1) control group; (2) diabetic-stem cells were transversed into the injury site; (3) diabetic-stem cells were transversed into the injury site then the injury site exposed to PBM; (4) diabetic stem cells were preconditioned with PBM and implanted into the wound; (5) diabetic stem cells were preconditioned with PBM and transferred into the injury site, then the injury site exposed additional PBM. "
"While AD-MSC + PBM was well than the single use of AD-MSC or PBM, the best results were achieved with PBM preconditioned AD-MSC, plus additional PBM of the injury."</t>
  </si>
  <si>
    <t>Biphasic photobiomodulation of inflammation in mouse models of common wounds, infected wounds, and diabetic wounds</t>
  </si>
  <si>
    <t>Infected wounds</t>
  </si>
  <si>
    <t>450+
630+
810</t>
  </si>
  <si>
    <t>"PBM promoted healing of all three kinds of wounds, but the inflammatory manifestations in each were significantly different. 
In common wounds, PBM slightly increased the aggregation of inflammatory cells and expression of IL-6 but had no effect on the inflammatory score. 
For wounds in a high level of inflammation caused by infection, PBM significantly increased TNF-α expression in the first 3 d of treatment but quickly eliminated inflammation after the acute phase. 
For the diabetic wounds in a low level of inflammation, PBM intervention significantly increased inflammation scores and prevented neutrophils from falling below baseline levels at the end of the 14 d observation period."</t>
  </si>
  <si>
    <t>Pourhashemi</t>
  </si>
  <si>
    <t>Iran
(Shahrud)</t>
  </si>
  <si>
    <t>Photobiomodulation and conditioned medium of adipose-derived stem cells for enhancing wound healing in rats with diabetes: an investigation on the proliferation phase</t>
  </si>
  <si>
    <t>1.8
(?)</t>
  </si>
  <si>
    <t>"The combined and individual application of h-ASC-CM and PBM remarkably could accelerate the proliferation phase of wound healing in the IIDHWM for TIDM in rats, as indicated by improved MRSA control, wound strength, and stereological evaluation. Furthermore, the combination of h-ASC-CM and PBM demonstrated better outcomes compared to the individual application of either h-ASC-CM or PBM alone."</t>
  </si>
  <si>
    <t>Zaccaron</t>
  </si>
  <si>
    <t>IL-1β Antagonist Receptor Peptide Associated with Photobiomodulation Accelerates Diabetic Wound Tissue Repair</t>
  </si>
  <si>
    <t>Groups:
- wound only (as in all groups)
- DM
- DM+PBM
- DM+DAP
- DM+PBM+DAP
PBM vs IL-1β inhibitor</t>
  </si>
  <si>
    <t>"The results obtained demonstrate that the DM + EW + PBM + DAP 1-2 group caused a reduction in the levels of pro-inflammatory cytokines, an increase in anti-inflammatory cytokines, and an increase in TGF-β and maintenance of the cellular redox state with a consequent reduction in levels of inflammatory infiltrate and concomitant stimulation of type III collagen gene expression, as well as a decrease in the size of the wound in square centimeter 6 days after the injury. 
Only the combination of therapies was able to favor the process of tissue regeneration due to the development of an approach capable of acting at different stages of the regenerative process, through the mechanisms of action of interventions on the inflammatory process by avoiding its stagnation and stimulating progression of regeneration."</t>
  </si>
  <si>
    <t>Moheghi</t>
  </si>
  <si>
    <t>Anti-inflammatory, Antioxidant, and Wound-Healing Effects of Photobiomodulation on Type-2 Diabetic Rats</t>
  </si>
  <si>
    <t>"PBM treatments significantly sped up the inflammatory and proliferating processes in a DHIIWM in DM2 animals by modifying the inflammatory reaction and boosting fibroblast proliferation. Overall, the current findings indicated substantially better results in the PBM groups than in the CG groups."
Comment: Parameters are reported in unclear manner.</t>
  </si>
  <si>
    <t>Device: "MUSTANG 2000 LO7 pen, Technica Co., Russia"</t>
  </si>
  <si>
    <t>Sohrabi</t>
  </si>
  <si>
    <t>Promising improvement in infected Wound Healing in Type two Diabetic rats by Combined effects of conditioned medium of human adipose-derived stem cells plus Photobiomodulation</t>
  </si>
  <si>
    <t>15
(6 per week)</t>
  </si>
  <si>
    <t>"Outcomes of the wound closure ratio (WCR) results, tensiometrical microbiological, and stereological assessment followed almost identical patterns. While the outcomes of h-ASC-COM + PBM, PBM only, and h-ASC-COM only regimes were significantly better for all evaluated methods than those of group 1(all, p &lt; 0.001), PBM alone and h-ASC-COM + PBM therapy achieved superior results than h-ASC-COM only (ranged from p = 0.05 to p &lt; 0.001). In terms of tensiometrical and stereological examinations, the results of h-ASC-COM + PBM experienced better results than the PBM only (all, p &lt; 0.001)."</t>
  </si>
  <si>
    <t>Device: "Mustang 2000, Technica Co., Russia, L07"</t>
  </si>
  <si>
    <t>Asadi</t>
  </si>
  <si>
    <t>Acceleration of a delayed healing wound repair model in diabetic rats by additive impacts of photobiomodulation plus conditioned medium of adipose-derived stem cells</t>
  </si>
  <si>
    <t>"PBM, CM, and CM + PBM interventions substantially enhanced the maturation stage of the wound healing process in IIDHWM of TIDM rats by mitigating the inflammatory response and reducing CFU count. Moreover, these treatments promoted new tissue formation in the wound bed and improved wound strength. Notably, the combined effects of CM + PBM surpassed the individual effects of CM and PBM."</t>
  </si>
  <si>
    <t>Interaction of the AKT and β-catenin signalling pathways and the influence of photobiomodulation on cellular signalling proteins in diabetic wound healing</t>
  </si>
  <si>
    <t>"Diabetic wounds are chronic and are characterised by the inability of skin cells to act in response to reparative inducements. Serine/threonine kinase, protein kinase B or AKT (PKB/AKT), is a central connection in cell signalling induced by growth factors, cytokines and other cellular inducements, and is one of the critical pathways that regulate cellular proliferation, survival, and quiescence. AKT interacts with a variety of other pathway proteins including glycogen synthase kinase 3 beta (GSK3β) and β-catenin. Novel methodologies based on comprehensive knowledge of activated signalling pathways and their interaction during normal or chronic wound healing can facilitate quicker and efficient diabetic wound healing. 
In this review, we focus on interaction of the AKT and β-catenin signalling pathways and the influence of photobiomodulation on cellular signalling proteins in diabetic wound healing."</t>
  </si>
  <si>
    <t>Hekmat</t>
  </si>
  <si>
    <t>Combined Use of Photobiomodulation and Curcumin-Loaded Iron Oxide Nanoparticles Significantly Improved Wound Healing in Diabetic Rats Compared to Either Treatment Alone</t>
  </si>
  <si>
    <t>"All treatment groups showed a substantial escalation in the wound closure rate, a substantial reduction in the count of methicillin-resistant Staphylococcus aureus (MRSA), a substantial improvement in wound strength, a substantially improvement in stereological parameters compared to the control group, however, the PBM+CUR group was superior to the other treatment groups (all, P≤0.05)."</t>
  </si>
  <si>
    <t>Morajev</t>
  </si>
  <si>
    <t>Photobiomodulation, alone or combined with adipose-derived stem cells, reduces inflammation by modulation of microRNA-146a and interleukin-1ß in a delayed-healing infected wound in diabetic rats</t>
  </si>
  <si>
    <t>MRSA</t>
  </si>
  <si>
    <t>890
630+
810</t>
  </si>
  <si>
    <t>"ad-ADS plus PBM, ad-ADS, and PBM all improved the inflammatory phase of wound healing in an IIDHWM in TIDM1 rats by reducing inflammatory cells (neutrophils, macrophages) and IL-1ß, and increasing miRNA-146a."
"The ad-ADS+PBM combination was better than either ad-ADS or PBM alone, because of the higher proliferative and anti-inflammatory effects of the PBM+ad-ADS regimen."</t>
  </si>
  <si>
    <t>Omidi</t>
  </si>
  <si>
    <t>Application of combined photobiomodulation and curcumin-loaded iron oxide nanoparticles considerably enhanced repair in an infected, delayed-repair wound model in diabetic rats compared to either treatment alone</t>
  </si>
  <si>
    <t>"We determined therapy with PBM + CUR, PBM alone, and CUR alone substantially accelerated diabetic wound healing in an IIDHWM of TIDM rats compared to control group. Concomitantly, the PBM + CUR and PBM groups attained significantly enhanced results for WCR, stereological parameters, and wound strength than the CUR group, with the PBM + CUR results being superior to those of the PBM group."</t>
  </si>
  <si>
    <t>Wavelength-Dependent Effects of Photobiomodulation for Wound Care in Diabetic Wounds</t>
  </si>
  <si>
    <t>Wavelength comparison
Blue light 🔵
Green light 🟢
Pulsed light (all groups)</t>
  </si>
  <si>
    <t>470
540
635</t>
  </si>
  <si>
    <t>"The difference in average relative wound area compared to the control was significant (...) on day 12 in the red light-treated group (48.6 ± 16.5%) compared to the control group (73.1 ± 33.4%)."
"In summary, wound treatment with pulsed red or green light resulted in improved wound healing in diabetic mice. Since impeded wound healing in diabetic patients poses an ever-increasing socio-economic problem, LED therapy may be an effective, easily applied and cost-efficient supportive treatment for diabetic wound therapy."</t>
  </si>
  <si>
    <t>The stereological, immunohistological, and gene expression studies in an infected ischemic wound in diabetic rats treated by human adipose-derived stem cells and photobiomodulation</t>
  </si>
  <si>
    <t>PBM vs stem cells vs both</t>
  </si>
  <si>
    <t>3.46</t>
  </si>
  <si>
    <t>"Totally, in terms of stereological and immuno-histological tests, and also gene expression HIF-1α and VEGF-A, the results of PBM + ha-ADS were superior (additive) to PBM, and ha-ADS alone treatments."</t>
  </si>
  <si>
    <t>Razack</t>
  </si>
  <si>
    <t>Cellulose nanofibrils reinforced chitosan-gelatin based hydrogel loaded with nanoemulsion of oregano essential oil for diabetic wound healing assisted by low level laser therapy</t>
  </si>
  <si>
    <t>nanoemulgel+LLLT</t>
  </si>
  <si>
    <t>"In vivo results revealed the rapid healing effects of the dual therapy in diabetic rat models with foot ulcers: a maximum healing rate of 97.5 %, minimum scar formation, increased granulation, enhanced reepithelialization, and a drastic decrease in inflammation and neutrophil infiltration within the treatment period compared to monotherapy and control."
"In summary, the combinatorial therapy of nanoemulgel and low-level laser therapy is a promising regimen for managing diabetic foot ulcers with a rapid healing effect."</t>
  </si>
  <si>
    <t>Intia
(Manipal)</t>
  </si>
  <si>
    <t>Dose-response relationship of photobiomodulation therapy and oxidative stress markers in healing dynamics of diabetic neuropathic ulcers in Wistar rats</t>
  </si>
  <si>
    <t>4
6
8
10
12
15</t>
  </si>
  <si>
    <t>"Photobiomodulation therapy of dosages 4, 6, and 8 J/cm2 is effective and is a promising adjuvant modality in treating diabetic neuropathic ulcers. There was a strong dose-response relationship in the experimental groups treated with 4, 6 and 8 J/ cm2."</t>
  </si>
  <si>
    <t>Dose-response Relationship of Photobiomodulation Therapy on Matrix Metalloproteinase in Healing Dynamics of Diabetic Neuropathic Ulcers- An in Vivo Study</t>
  </si>
  <si>
    <t>"Photobiomodulation therapy of dosages 4, 6, and 8J/cm2 showed better wound healing properties with optimized levels of matrix metalloproteinases-1 and 8. We observed a strong dose-response in the experimental group treated with 6 and 8J/ cm2."</t>
  </si>
  <si>
    <t>Tadi</t>
  </si>
  <si>
    <t>Photobiomodulation isolated or associated with adipose-derived stem cells allograft improves inflammatory and oxidative parameters in the delayed-healing wound in streptozotocin-induced diabetic rats</t>
  </si>
  <si>
    <t>PBM vs stem cell allograft
MRSA infection</t>
  </si>
  <si>
    <t>"The associated treatment of PBM+ADS was more effective than the individual impacts of alone PBM and ADS because of the additive anti-inflammatory and proliferative effects of PBM plus ADS treatments."</t>
  </si>
  <si>
    <t>Ardeshirzadeh</t>
  </si>
  <si>
    <t>The combined use of photobiomodulation and curcumin-loaded iron oxide nanoparticles significantly improved wound healing in diabetic rats compared to either treatment alone</t>
  </si>
  <si>
    <t>PBM vs iron-loaded curcumin iron oxide nanoparticles</t>
  </si>
  <si>
    <t>"The impact of CUR + PBM was superior to that of either PBM or CUR alone. It is suggested that CUR + PBM could be used as a MC stabilizer for the effective treatment of some related human diseases."</t>
  </si>
  <si>
    <t>Rahmannia</t>
  </si>
  <si>
    <t>Impact of photobiomodulation on macrophages and their polarization during diabetic wound healing: a systematic review</t>
  </si>
  <si>
    <t>"After screening abstracts and full texts, 14 articles were included in our analysis. Among them, 4 articles were about the effect of PBM on macrophages in type 2 diabetes and also found 10 articles about the impact of PBM on macrophages in type 1 diabetes. 
The obtained data from most of the reviewed studies affirmed that the PBM alone or combined with other agents (e.g., stem cells) could moderate the inflammatory response and accelerate the wound healing process in pre-clinical diabetic wound models. However, only very few studies conducted the detailed functions of polarized macrophages and M2 subtypes in wound healing of diabetic models under the influence of PBM. 
Further pre-clinical and clinical investigations are still needed to investigate the role of M2 macrophages, especially its M2c subtype, in the healing processes of diabetic foot ulcers in clinical and preclinical settings."</t>
  </si>
  <si>
    <t>Optimization of photo-biomodulation therapy for wound healing of diabetic foot ulcers in vitro and in vivo</t>
  </si>
  <si>
    <t>Wavelength comparison
Polychromatic light 🌈
Systemic effects
LED phototherapy</t>
  </si>
  <si>
    <t>425
510
630
730
850
or
combination</t>
  </si>
  <si>
    <t>5/week
for
21 days</t>
  </si>
  <si>
    <t>"In a mimic DFU (mDFU) rat model, PBM (425, 630, 730, and 850 nm, and a combination light strategy) promoted mDFU healing."
"The wounds on the right foot were irradiated (irradiated foot), while the left foot (non-irradiated foot) was used as a self-control and verification model of the systemic effects of PBM."
Interestingly, the healing speed of the non-irradiated foot with PBM at 630 nm, 730 nm, 850 nm, and PBMcom was significantly faster compared with the control group (Fig. 6(h)), non-irradiated foot) (...) This implies that treatment with PBM increases immunity in rats."</t>
  </si>
  <si>
    <t>Regulatory Processes of the Canonical Wnt/β-Catenin Pathway and Photobiomodulation in Diabetic Wound Repair</t>
  </si>
  <si>
    <t>"This review largely focuses on the role of key signalling pathways in human skin wound repair, specifically, the canonical Wnt/β-catenin pathway, and the effects of PBM on chronic wound healing."</t>
  </si>
  <si>
    <t>Synergistic Effects of Photobiomodulation Therapy with Combined Wavelength on Diabetic Wound Healing In Vitro and In Vivo</t>
  </si>
  <si>
    <t>"PBMT using combined wavelengths significantly sped up the healing process with increasing angiogenesis density, collagen deposition, and alleviating inflammation in vivo. Moreover, combined wavelength irradiation promoted cell proliferation and migration, and NO production, as well as reduced reactive oxygen species and inflammation in vitro."</t>
  </si>
  <si>
    <t>Mehrvar</t>
  </si>
  <si>
    <t>Quant Imaging Med Surg</t>
  </si>
  <si>
    <t>670 nm photobiomodulation improves the mitochondrial redox state of diabetic wounds</t>
  </si>
  <si>
    <t>LED phototherapy
Diabetic mice</t>
  </si>
  <si>
    <t>5/wk</t>
  </si>
  <si>
    <t>"Using an excisional model of wound healing, we demonstrated that 670 nm (FR) PBM improved mitochondrial bioenergetics and stimulated the rate of wound healing in diabetic db/db mice.
Wound closure and the RR of diabetic wounds in response to 670 nm PBM (4.5 J/cm2, 60 mW/cm2 for 90 s per day, 5 days/week) were compared to the sham-treated group.
At day 9 of post-wounding, we observed a 43% decrease in the wound area and a 75% increase in RR in FR-treated diabetic mice compared to sham-treated diabetic mice."</t>
  </si>
  <si>
    <t>Photobiomodulation in diabetic wound healing: A review of red and near-infrared wavelength applications</t>
  </si>
  <si>
    <t>"This review presents the extent to which the potential of red and NIR wavelengths have been harnessed in PBMT for diabetic wound healing. Important research challenges and gaps are identified and discussed, and future directions mapped out."</t>
  </si>
  <si>
    <t>Arch Physiol Biochem</t>
  </si>
  <si>
    <t>Effect of photobiomodulation therapy on inflammatory cytokines in healing dynamics of diabetic wounds: a systematic review of preclinical studies</t>
  </si>
  <si>
    <t>"We have included five preclinical studies in the present systematic review for qualitative analysis. These studies evaluated the effect of PBMT at different wavelengths, dosage, and time on wound healing in DM."
"The systematic review concludes that PBMT regulates inflammatory cytokines levels, enhances cell proliferation, and migration, thereby improving the wound healing properties."</t>
  </si>
  <si>
    <t>Combined effects of metformin and photobiomodulation improve the proliferation phase of wound healing in type 2 diabetic rats.</t>
  </si>
  <si>
    <t>Diabetic rats (type 2)
LLLT vs metformin</t>
  </si>
  <si>
    <t>"PBM and PBM + metformin treatments significantly increased wound strength at inflammation and proliferation steps of wound healing respectively. PBM, metformin, and PBM + metformin groups significantly decreased inflammatory cells at inflammation and proliferation steps of wound healing. PBM, metformin, and PBM + metformin groups significantly improved granulation tissue formation by increasing fibroblasts, and new blood vessel formation at inflammation and proliferation steps of wound healing. 
Metformin significantly increased M2 macrophages than other treatment groups at inflammation and proliferation steps of wound healing. Simultaneously, PBM significantly decreased M2 macrophages than control group. 
We concluded PBM and PBM + metformin treatments significantly hastened repair at the inflammation and proliferation steps of repairing skin injury in a non-genetic model of T2 DM. PBM + metformin showed a synergistic impact. There were not a positive relation between M2 macrophage number and wound strength in the studied groups. The details of the molecular mechanisms of PBM, and PBM + metformin treatments of repairing wounds in animals, and treatment of DFUs of patients with T2 DM should be elucidated by further research."</t>
  </si>
  <si>
    <t>Combined effects of photobiomodulation and curcumin on mast cells and wound strength in wound healing of streptozotocin-induced diabetes in rats</t>
  </si>
  <si>
    <t>"Photobiomodulation significantly improved the healing process in diabetic animals and significantly decreased the total number of mast cells. The increased numbers of mast cells in the diabetic control group negatively affected tensiometric properties of the ischemic skin wound."</t>
  </si>
  <si>
    <t>Cytokine Growth Factor Rev</t>
  </si>
  <si>
    <t>Role of the PI3K/AKT (mTOR and GSK3β) signalling pathway and photobiomodulation in diabetic wound healing.</t>
  </si>
  <si>
    <t>Mechanisms
Cell signaling</t>
  </si>
  <si>
    <t>"PBM is efficient in the visible red and near-infrared electromagnetic spectrum, and fluencies ranging from 2 to 6 J/cm2. However, cellular and molecular mechanisms induced by PBM are not fully understood. In this review we discuss PBM and the PI3K/AKT pathway with specific focus on the mTOR and GSK3β downstream activity in diabetic wound healing."</t>
  </si>
  <si>
    <t>Stereological and gene expression examinations on the combined effects of photobiomodulation and curcumin on wound healing in type one diabetic rats.</t>
  </si>
  <si>
    <t>Diabetic rats
PBM vs curcumin</t>
  </si>
  <si>
    <t>200
/p</t>
  </si>
  <si>
    <t>"Both the PBM and PBM + curcumin groups significantly increased wound healing by modulation of the inflammatory response, and increased fibroblast values and angiogenesis. The PBM group increased bFGF and SDF-1α according to stereological and gene expression analyses compared with the other groups. 
The PBM and PBM + curcumin groups significantly increased the skin injury repair process to more rapidly reach the proliferation phase of the wound healing in T1DM rats."</t>
  </si>
  <si>
    <t>Device: Mustang 2000, LO7 probe; Technica Co., Russia</t>
  </si>
  <si>
    <t>USA &amp; Iran</t>
  </si>
  <si>
    <t>Improvement in infected wound healing in type 1 diabetic rat by the synergistic effect of photobiomodulation therapy and conditioned medium.</t>
  </si>
  <si>
    <t>"In the CM + PBMT, CM, and PBMT groups, significant decreases were induced in the number of neutrophils (...) and macrophages (...), and significant increases in the number of fibroblasts (...) and angiogenesis (...), compared with those of the control group (...). Interestingly, the findings of the stereological examination in the CM + PBMT group were statistically more significant than those in the other groups. In the PBMT group, in most cases, the expression of bFGF, HIF-1α, and SDF-1α, on day 4 (...) and day 7 (...) were more significant than those in the control (...) and other treatment groups."</t>
  </si>
  <si>
    <t>Mitochondrial dynamics (fission and fusion) and collagen production in a rat model of diabetic wound healing treated by photobiomodulation: comparison of 904 nm laser and 850 nm light-emitting diode (LED).</t>
  </si>
  <si>
    <t>Diabetic rat
LLLT vs LED</t>
  </si>
  <si>
    <t>850
(LED)
904
(laser)</t>
  </si>
  <si>
    <t>48
40</t>
  </si>
  <si>
    <t>1
2.4</t>
  </si>
  <si>
    <t>14.69
18.33</t>
  </si>
  <si>
    <t>0.196
cm2
0.131
cm2</t>
  </si>
  <si>
    <t>22
60</t>
  </si>
  <si>
    <t>"LED showed the best results to minimize inflammation and stimulate the formation of new vessels. Laser demonstrated the best action to stimulate the formation of new collagen fibers. There were additional differences between LLLT and LED effects on the factors involved in mitochondrial function (FIS1 and MFN2)"</t>
  </si>
  <si>
    <t>Effects of Photobiomodulation on Degranulation and Number of Mast Cells and Wound Strength in Skin Wound Healing of Streptozotocin-Induced Diabetic Rats.</t>
  </si>
  <si>
    <t>13
?</t>
  </si>
  <si>
    <t>"We conclude that photobiomodulation and CM alone and or in combination significantly accelerated the healing process in a rat with a diabetic and ischemic wound, and significantly decreased the total number of mast cells and degranulation of mast cells. We suggest that the increased number of type 2 mast cells in the control group adversely affected the tensiometric properties of wounds in this group."</t>
  </si>
  <si>
    <t>Stereological and molecular studies on the combined effects of photobiomodulation and human bone marrow mesenchymal stem cell conditioned medium on wound healing in diabetic rats.</t>
  </si>
  <si>
    <t>"Application of [conditioned medium] and [pulse wave photobiomodulation], alone or in combination accelerated the process of wound healing in T1DM rats.
The results of combined application of [conditioned medium] and [pulse wave photobiomodulation], indicated a synergistic effect, and the combination treatment was statistically more effective than single applications of CM or PW PBM."</t>
  </si>
  <si>
    <t>The effect of combined photobiomodulation and curcumin on skin wound healing in type I diabetes in rats.</t>
  </si>
  <si>
    <t>"It was remarkably attained that PW PBM significantly accelerated the process of wound healing in the STZ-induced TIDM. The PW PBM was statistically more compelling compared to the curcumin and PWPBM + curcumin. PW PBM, curcumin, and PWPBM + curcumin significantly decreased colony forming units compared to the control and placebo groups."</t>
  </si>
  <si>
    <t>Egypt
(Beni-Suef)</t>
  </si>
  <si>
    <t>Quercetin and low level laser therapy promote wound healing process in diabetic rats via structural reorganization and modulatory effects on inflammation and oxidative stress.</t>
  </si>
  <si>
    <t>PBM vs quercetin</t>
  </si>
  <si>
    <t>"The study also concluded that the treatment with quercetin in association with LLLT was better in improving wound healing in non-diabetic and diabetic rats than the use of either of each."</t>
  </si>
  <si>
    <t>*</t>
  </si>
  <si>
    <t>Improved Wound Remodeling Correlates with Modulated TGF-beta Expression in Skin Diabetic Wounds Following Combined Red and Infrared Photobiomodulation Treatments.</t>
  </si>
  <si>
    <t>660
(+)
880</t>
  </si>
  <si>
    <t>"We noted that the combination of red and infrared laser treatments correlated with decreased TGF-β1 levels at late stages in healing. There was no statistical significance with any treatments at an earlier time point. This study emphasizes the role of appropriate laser treatment protocols in modulating wound healing and remodeling responses."
Comment: Read the full text when it becomes available. I'm unable to interpret the results yet (based on pubmed abstract only).</t>
  </si>
  <si>
    <t>J Exp Ther Oncol</t>
  </si>
  <si>
    <t>Acute effects of low-level laser therapy (660 nm) on oxidative stress levels in diabetic rats with skin wounds.</t>
  </si>
  <si>
    <t>"LLLT was effective in decreasing MDA levels in acute surgical [skin] wounds in diabetic rats."</t>
  </si>
  <si>
    <t>Malaysia
(Johor)</t>
  </si>
  <si>
    <t>Influence of low power density on wound healing in streptozotocin-induced diabetic rats</t>
  </si>
  <si>
    <t>0.200
0.400</t>
  </si>
  <si>
    <t>"Therefore, it can be concluded that PBMT has potential in promoting wound healing under the low power density (0.2 W cm−2) condition."</t>
  </si>
  <si>
    <t>Eissa &amp; Salih</t>
  </si>
  <si>
    <t>The influence of low-intensity He-Ne laser on the wound healing in diabetic rats.</t>
  </si>
  <si>
    <t>"The results showed that the laser-treated group healed (wounds were totally closed) faster compared to the control group. In numbers, the laser-treated group healed on average at the 21st day (0.0 ± 0.0 cm) (P ≤ 0.005), whereas the control group healed after 40 days or even 60 days in some cases (sample no. 2). This confirms that laser promotes the tissue repair process of diabetic wounds and reduces the healing period to the half."</t>
  </si>
  <si>
    <t>The effect of combined photobiomodulation and metformin on open skin wound healing in a non-genetic model of type II diabetes.</t>
  </si>
  <si>
    <t>Diabetic rats (DM2)
MUSTANG 2000 device with LO7 pen
PBM vs metformin</t>
  </si>
  <si>
    <t>1.92</t>
  </si>
  <si>
    <t>"PBM significantly decreased colony-forming units (CFUs) 7days after wound infliction compared to the placebo group (LSD test, p=0.012).
Metformin significantly enhanced the biomechanical property (stress high load) of the wounds compared to the placebo group (LSD test, p=0.028). We observed the same significant result for PBM compared to the placebo group (LSD test, p=0.047).
PBM significantly accelerated the wound healing process and significantly reduced CFUs of bacteria in a non-genetic rat model of TII DM."</t>
  </si>
  <si>
    <t>The Role of Matrix Metalloproteinases in Diabetic Wound Healing in relation to Photobiomodulation</t>
  </si>
  <si>
    <t>"Low intensity laser irradiation (LILI) or photobiomodulation (PBM) is known to stimulate several wound healing processes; however, its role in matrix proteins and diabetic wound healing has not been fully investigated. This review focuses on the role of MMPs in diabetic wound healing and their interaction in PBM."</t>
  </si>
  <si>
    <t>USA (Boston, MA) &amp; Brazil
(São Paulo)</t>
  </si>
  <si>
    <t>Low-level laser therapy (904nm) can increase collagen and reduce oxidative and nitrosative stress in diabetic wounded mouse skin.</t>
  </si>
  <si>
    <t>0.305</t>
  </si>
  <si>
    <t>0.13</t>
  </si>
  <si>
    <t>"The increased production of collagen and decreased oxidative and nitrosative stress suggests that LLLT may be a viable therapeutic alternative in diabetic wound healing."
Star: The parameters were exceptionally well reported. Worth a look!</t>
  </si>
  <si>
    <t>Mao</t>
  </si>
  <si>
    <t>Additive enhancement of wound healing in diabetic mice by low level light and topical CoQ10.</t>
  </si>
  <si>
    <t>Diabetic mice
LLLT + topical CoQ10
LED phototherapy
ATP</t>
  </si>
  <si>
    <t>"LLLT followed by topical CoQ10 enhanced wound healing by 68~103% in diabetic mice in the first week and more than 24% in the second week compared with untreated controls. All wounds were fully healed in two weeks following the dual treatment, in contrast to only 50% wounds or a fewer being fully healed for single or sham treatment."
"The accelerated healing was corroborated by at least 50% higher hydroxyproline levels, and tripling cell proliferation rates in LLLT and CoQ10 treated wounds over controls. The beneficial effects on wound healing were probably attributed to additive enhancement of ATP production by LLLT and CoQ10 treatment."</t>
  </si>
  <si>
    <t>Ranjbar &amp; Takhtfooladi</t>
  </si>
  <si>
    <t>The effects of photobiomodulation therapy on Staphylococcus aureus infected surgical wounds in diabetic rats. A microbiological, histopathological, and biomechanical study.</t>
  </si>
  <si>
    <t>Diabetic rats
Infection (staph)</t>
  </si>
  <si>
    <t>"The result revealed that PBMT resulted in a significant decrease in S. aureus CFU in the PBMT group in comparison to the control group (P&lt;0.05). The length of wounds, in the 2nd and 3rd weeks, in the PBMT group were significantly shorter compared to the control group (P&lt;0.05). PBMT caused a significant increase in the histological parameters in comparison to the control group (P&lt;0.05). Moreover, PBMT significantly increased the breaking strength of the surgical scars produced in the skin of the PBMT group when compared to the control group (P&lt;0.05)."
"Photobiomodulation therapy may be useful in the management of wound infection through a significant bacterial growth inhibition and an acceleration of wound healing process."</t>
  </si>
  <si>
    <t>Biophotonic effect of diode laser irradiance on tensile strength of diabetic rats.</t>
  </si>
  <si>
    <t>0.1
0.5</t>
  </si>
  <si>
    <t>30/
60/
120</t>
  </si>
  <si>
    <t>"The tensile strength was optimized after treated with high-power diode laser. The photostimulation effect was revealed by accelerated healing process and enhanced tensile strength of wound. Laser photostimulation on tensile strength in diabetic wound suggests that such therapy facilitates collagen production in diabetic wound healing."</t>
  </si>
  <si>
    <t>Organic light emitting diode improves diabetic cutaneous wound healing in rats.</t>
  </si>
  <si>
    <t>In vitro: hyperglycemic diabetic cell culture
LED vs LLLT
LED phototherapy</t>
  </si>
  <si>
    <t>623
(broad
band)
635</t>
  </si>
  <si>
    <t>0.007
0.010
0.010</t>
  </si>
  <si>
    <t>0.2
1.0
5.0
5.0</t>
  </si>
  <si>
    <t>In vitro:
↑total ATP concentration
↑metabolic activity (MTS assay)
↑cell proliferation (CyQuant assay)
In vivo:
↑wound closure
↑histological score
↑fibroblast growth factor-2 expression</t>
  </si>
  <si>
    <t>Santana</t>
  </si>
  <si>
    <t>Tissue responses to postoperative laser therapy in diabetic rats submitted to excisional wounds</t>
  </si>
  <si>
    <t>4
1</t>
  </si>
  <si>
    <t>"Independently of the energy density, laser therapy accelerated wound closure by approximately 40% in the first three days in comparison to the control group. Laser therapy increased acute inflammatory infiltrate until Day 3."
"Both laser groups exhibited more myofibroblasts and better collagen organization than the control group."</t>
  </si>
  <si>
    <t>Effect of equal daily doses achieved by different power densities of low-level laser therapy at 635 nm on open skin wound healing in normal and diabetic rats.</t>
  </si>
  <si>
    <t>Open skin wound</t>
  </si>
  <si>
    <t>LLLT decreased the infiltration of polymorphonuclear leukocytes. It also stimulated neovascularization of the tissue and early formation of collagen fibres.</t>
  </si>
  <si>
    <t>Shedding light on a new treatment for diabetic wound healing: a review on phototherapy.</t>
  </si>
  <si>
    <t>"At the correct laser parameters, LILI has shown to increase migration, viability, and proliferation of diabetic cells in vitro; there is a stimulatory effect on the mitochondria with a resulting increase in adenosine triphosphate (ATP). In addition, LILI also has an anti-inflammatory and protective effect on these cells. In light of the ever present threat of diabetic foot ulcers, infection, and amputation, new improved therapies and the fortification of wound healing research deserves better prioritization. In this review we look at the complications associated with diabetic wound healing and the effect of laser irradiation both in vitro and in vivo in diabetic wound healing."</t>
  </si>
  <si>
    <t>Dancáková</t>
  </si>
  <si>
    <t>Low-level laser therapy with 810 nm wavelength improves skin wound healing in rats with streptozotocin-induced diabetes.</t>
  </si>
  <si>
    <t>"In diabetic rats, the histology of LLLT-treated excisions revealed a similar healing response to that in nondiabetic controls, with significantly more mature granulation tissue than in the sham-treated diabetic control group. LLLT reduced the loss of tensile strength, and increased the incision wound stiffness significantly compared with sham-irradiated rats, but this did not achieve the same level as in the nondiabetic controls."</t>
  </si>
  <si>
    <t>Sharifian</t>
  </si>
  <si>
    <t>Histological and gene expression analysis of the effects of pulsed low-level laser therapy on wound healing of streptozotocin-induced diabetic rats.</t>
  </si>
  <si>
    <t>"Pulsed LLLT at 0.2 J/cm(2) accelerated the wound healing process in both non-diabetic and diabetic rats as measured by histological characteristics and semi-quantitative bFGF gene expression."</t>
  </si>
  <si>
    <t>Effects of microcurrent application and 670 nm InGaP low-level laser irradiation on experimental wound healing in healthy and diabetic Wistar rats</t>
  </si>
  <si>
    <t>"In conclusion, laser therapy and microcurrent stimulation exert beneficial effects on wound healing in both healthy and diabetic animals."</t>
  </si>
  <si>
    <t>Effects of Low-Intensity Laser Irradiation on Wound Healing in Diabetic Rats</t>
  </si>
  <si>
    <t>Diabetic rats
Dose response: intensity variation with same energy density</t>
  </si>
  <si>
    <t>0.005
0.010
0.020</t>
  </si>
  <si>
    <t>"LISL could obviously promote wound contraction, fibroblasts proliferation, and collagen synthesis, alter bFGF and TGF-β1 expression, and reduce inflammatory reaction in the early and middle phases of chronic wound-healing process. "
"LIL at 20 mW/cm2 performed more effective than the one at 5 or 10 mW/cm2 in the evaluated histological parameters and wound contraction percentage."</t>
  </si>
  <si>
    <t>Dadpay</t>
  </si>
  <si>
    <t>Effects of pulsed infra-red low level-laser irradiation on open skin wound healing of healthy and streptozotocin-induced diabetic rats by biomechanical evaluation.</t>
  </si>
  <si>
    <t>Diabetic rats
Dose response (?)</t>
  </si>
  <si>
    <t>30
200</t>
  </si>
  <si>
    <t>"Laser irradiation with 0.03J/cm(2) significantly decreased the maximum load for wound repair in healthy rats (p=0.015). Laser irradiation with 0.2J/cm(2) significantly increased the maximum load in wounds from the healthy control (p=0.021) and diabetic (p&lt;001) groups.
Laser treatments with a pulsed infrared laser at 0.2J/cm(2) significantly accelerated wound healing in both healthy and diabetic rats."</t>
  </si>
  <si>
    <t>Hegde</t>
  </si>
  <si>
    <t>Effect of laser dose and treatment schedule on excision wound healing in diabetic mice.</t>
  </si>
  <si>
    <t>Diabetic mice
Dose response
Biphasic dose response</t>
  </si>
  <si>
    <t>d = 15 mm</t>
  </si>
  <si>
    <t>"Results of this study indicated that the single exposure of 3 J cm(-2) laser dose applied immediately after the wounding caused a significant reduction in the mean area under the curve and the mean healing time along with the elevated levels of collagen and glucosamine contents in the tissue compared to the controls."
Comment: It seems that all of the doses were better than the diabetic control, but 3 J/cm2 had the best effect.</t>
  </si>
  <si>
    <t>Jahangiri Noudeh</t>
  </si>
  <si>
    <t>A combination of 670 nm and 810 nm diode lasers for wound healing acceleration in diabetic rats.</t>
  </si>
  <si>
    <t>500
+
250</t>
  </si>
  <si>
    <t>10
+
12</t>
  </si>
  <si>
    <t>48
+
50</t>
  </si>
  <si>
    <t>"Overall, our study showed results of measured wound healing parameters that were not significantly different in the LLLT group compared with the control group. The urine volume increase in non-diabetic rats after LLLT was an incidental observation that warrants future study."
Comment: Maybe the dose was too high?</t>
  </si>
  <si>
    <t>Laser photobiomodulation of wound healing in diabetic and non-diabetic mice: effects in splinted and unsplinted wounds.</t>
  </si>
  <si>
    <t>18
80</t>
  </si>
  <si>
    <t>0.36
1.6</t>
  </si>
  <si>
    <t>"Healing of splinted wounds was delayed compared to unsplinted wounds, but laser irradiation (1.6 J/day, 7 days) stimulated healing by re-epithelization and granulation tissue formation."
Comment: The higher dose was better.</t>
  </si>
  <si>
    <t>Laser photobiostimulation of wound healing: defining a dose response for splinted wounds in diabetic mice.</t>
  </si>
  <si>
    <t>0.8
1.6
3.2</t>
  </si>
  <si>
    <t>32-
43
mm2
area</t>
  </si>
  <si>
    <t>"Irradiation with 660 nm, 80 mW at an energy density of 3.7-5.0 J/cm² each day for 7 days caused the maximal stimulation of healing in splinted wounds of diabetic mice."</t>
  </si>
  <si>
    <t>Güngörmüş &amp; Akyol</t>
  </si>
  <si>
    <t>Effect of biostimulation on wound healing in diabetic rats.</t>
  </si>
  <si>
    <t>"Treatment with laser biostimulation showed a beneficial effect on wound healing in diabetic rats. It can be concluded that low-level laser therapy (808 nm laser at 10 J/cm(2)) can have a beneficial effect on diabetic wound healing, when used at 2 d intervals over 5 d."</t>
  </si>
  <si>
    <t>Dall Agnol</t>
  </si>
  <si>
    <t>Comparative analysis of coherent light action (laser) versus non-coherent light (light-emitting diode) for tissue repair in diabetic rats.</t>
  </si>
  <si>
    <t>Diabetic rats
LLLT vs LED
LED phototherapy</t>
  </si>
  <si>
    <t>640
(LED)
660
(laser)</t>
  </si>
  <si>
    <t>"The coherent and non-coherent lights produced similar effects during a period of 168 h after the lesions had been made.
For the group composed of diabetic animals, 72 h after creation of the lesion, it was observed that the therapy with LEDs had been more efficient than that with the laser in the reduction of the wounds' diameters."</t>
  </si>
  <si>
    <t>Photo-stimulatory effect of low energy helium-neon laser irradiation on excisional diabetic wound healing dynamics in Wistar rats.</t>
  </si>
  <si>
    <t>"The biochemical analysis and clinical observation suggested that 3-6 J/cm(2) laser photo stimulation facilitates the tissue repair process by accelerating collagen production in diabetic wound healing."</t>
  </si>
  <si>
    <t>Al-Watban FA</t>
  </si>
  <si>
    <t>Laser therapy converts diabetic wound healing to normal healing.</t>
  </si>
  <si>
    <t>532
633
810
980
510-
872
10600</t>
  </si>
  <si>
    <t>143
140
200
200
272
300</t>
  </si>
  <si>
    <t>0.0204
0.0156
0.0222
0.0222
0.0136
0.0664</t>
  </si>
  <si>
    <t>5/
10/
20/
30</t>
  </si>
  <si>
    <t xml:space="preserve">
4.5-20
cm2
(area)</t>
  </si>
  <si>
    <t>1-36
min</t>
  </si>
  <si>
    <t xml:space="preserve">"In this induced-diabetes model, wound and burn healing were improved by 40.3% and 45%, respectively, in 633-nm laser dosimetry experiments, and diabetic wound and burn healing was accelerated by phototherapy. This indicates that the healing rate was normalized in the phototherapy-treated diabetic rats."
Star: A remarkably huge study with 893 rats! </t>
  </si>
  <si>
    <t>Low-level laser therapy enhances wound healing in diabetic rats: a comparison of different lasers.</t>
  </si>
  <si>
    <t>"The wound healing on control rats with diabetes was slower than on control rats without diabetes. LLLT at appropriate treatment parameters can enhance the wound healing on diabetic rats. The optimum wavelength was 633 nm, and the optimum incident dose was 10 J/cm(2) in our study."</t>
  </si>
  <si>
    <t>Analysis of the influence of low-power HeNe laser on the healing of skin wounds in diabetic and non-diabetic rats.</t>
  </si>
  <si>
    <t>0.025
cm2
spot
3
cm2
area</t>
  </si>
  <si>
    <t>"The results obtained from the samples taken on the third, seventh and fourteenth days after wounding demonstrated that the laser-treated group presented a statistically significant (p&lt;0.05) greater mean quantity of collagen fibers than in the non-treated group, both for diabetic rats (p = 0.0104) and for non-diabetic rats (p = 0.039)."</t>
  </si>
  <si>
    <t>Rabelo</t>
  </si>
  <si>
    <t>Comparison between wound healing in induced diabetic and nondiabetic rats after low-level laser therapy.</t>
  </si>
  <si>
    <t>0.025
cm2</t>
  </si>
  <si>
    <t>"Quantitative histopathological analysis confirmed the results of the qualitative analysis through histological microscope slides. When comparing tissue components (inflammatory cells, vessels and fibroblast/area), we found that treated animals had a less intense inflammatory process than controls."</t>
  </si>
  <si>
    <t>Effect of low intensity helium-neon (He-Ne) laser irradiation on diabetic wound healing dynamics.</t>
  </si>
  <si>
    <t>"The analysis of the biochemical parameters and histopathological parameters of the wounds showed that the laser-treated group healed faster and better as compared to the control group (p &lt; 0.0001).
The laser-treated group healed on average by the 18th day whereas, the control group healed on average by the 59th day."</t>
  </si>
  <si>
    <t>Photobiomodulation improves cutaneous wound healing in an animal model of type II diabetes.</t>
  </si>
  <si>
    <t>Sand 🐀 Rat</t>
  </si>
  <si>
    <t>"Significant improvement in wound healing histology and wound closure were found following treatment with 4 J/cm(2) (16 mW, 250-sec treatments for 4 consecutive days; p &lt; 0.05). The 4 J/cm(2) dosage significantly improved histology and closure of wounds in the diabetic group in comparison to the non-irradiated diabetic group."</t>
  </si>
  <si>
    <t>Comparison of the photostimulatory effects of visible He-Ne and infrared Ga-As lasers on healing impaired diabetic rat wounds.</t>
  </si>
  <si>
    <t>"Analysis of wound collagen revealed a significant increases in total collagen (14%), salt soluble collagen (31%), acid soluble (14%), and insoluble collagen (50%) with simultaneous decrease in pepsin soluble collagen (19%) in the Ga-As laser-treated wounds compared to controls.
Comparisons of these results with the earlier findings revealed that the He-Ne laser appears to be superior to the Ga-As laser, at the parameters of treatment tested, in promoting the wound healing in diabetic rats."</t>
  </si>
  <si>
    <t>Polychromatic LED therapy in burn healing of non-diabetic and diabetic rats.</t>
  </si>
  <si>
    <t>Diabetic rats
LED phototherapy
Polychromatic light 🌈</t>
  </si>
  <si>
    <t>510-
543
+
594-
599
+
626-
639
+
640-
670
+
842-
879</t>
  </si>
  <si>
    <t>"Burn healing was impaired significantly during diabetes by -46.17%.
Polychromatic LED treatment using 5, 10, 20, and 30 J/cm2 incident doses influenced healing by 6.85%, 4.93%, -4.18%, and -5.42% in the non-diabetic rats;
and 73.87%, 76.77%, 60.92%, and 48.77% in the diabetic rats, relative to their controls, respectively."
"The effect of polychromatic LED in non-diabetic rats was insignificant; however, it simulated the trend of stimulation and inhibition seen using low-level lasers. Significant stimulation observed in the diabetic rats demonstrated the usefulness of polychromatic LED in diabetic burn healing."</t>
  </si>
  <si>
    <t>Effect of NASA light-emitting diode irradiation on molecular changes for wound healing in diabetic mice.</t>
  </si>
  <si>
    <t xml:space="preserve">LED phototherapy
Diabetic mice
</t>
  </si>
  <si>
    <t>"Our studies have revealed certain tissue regenerating genes that were significantly upregulated upon LED treatment when compared to the untreated sample. Integrins, laminin, gap junction proteins, and kinesin superfamily motor proteins are some of the genes involved during regeneration process."
"We believe that the use of NASA light-emitting diodes (LED) for light therapy will greatly enhance the natural wound healing process, and more quickly return the patient to a preinjury/illness level of activity." 
"This work is supported and managed through the Defense Advanced Research Projects Agency (DARPA) and NASA Marshall Space Flight Center-SBIR Program."</t>
  </si>
  <si>
    <t>830-nm irradiation increases the wound tensile strength in a diabetic murine model.</t>
  </si>
  <si>
    <t>"Low-power laser irradiation at 830 nm significantly enhances cutaneous wound tensile strength in a murine diabetic model. Further investigation of the mechanism of LLLT in primary wound healing is warranted."</t>
  </si>
  <si>
    <t>Diabetic</t>
  </si>
  <si>
    <t>Near-infrared irradiation stimulates cutaneous wound repair: laboratory experiments on possible mechanisms.</t>
  </si>
  <si>
    <t>Halogen lamp (emission peak 970nm) with an emission filter 700-1300 nm
Polychromatic light 🌈</t>
  </si>
  <si>
    <t>"In animal models, the rate of wound closure was significantly accelerated by repeated exposures."
"The TGF-beta1 and MMP-2 content of the medium of cultured cells was significantly elevated after irradiation. The amount of MMP-2 mRNA extracted from irradiated fibroblasts was also upregulated. Negative results in thermal controls suggested that the action of the light was athermic in nature."</t>
  </si>
  <si>
    <t>Acta Chirurgica Austriaca</t>
  </si>
  <si>
    <t>Low intensity laser therapy in wound healing — a review with special respect to diabetic angiopathies</t>
  </si>
  <si>
    <t>"A large number of in vivo studies on the effects of low intensity laser irradiation on wound healing show a lack of accuracy on dosimetric data and appropriate controls. Despite this fact, data from appropriately designed studies seem to indicate that this type of phototherapy should be considered a valuable (adjuvant) therapy for otherwise therapy-refractory wound-healing disorders including such in diabetic patients."</t>
  </si>
  <si>
    <t>Laser photostimulation accelerates wound healing in diabetic rats</t>
  </si>
  <si>
    <t>"Measurements of the biomechanical properties of the laser-treated wounds indicated there was a marginal increase in maximum load (16%), stress (16%), strain (27%), energy absorption (47%) and toughness (84%) compared to control wounds of diabetic rats.
Biochemical assays revealed that the amount of total collagen was significantly increased in laser treated wounds (274 +/- 8.7 microg) over the control wounds (230 +/- 8.4 microg). "</t>
  </si>
  <si>
    <t>Forney &amp; Mauro</t>
  </si>
  <si>
    <t>Using lasers in diabetic wound healing.</t>
  </si>
  <si>
    <t>"Lasers are a treatment choice that appeals to patients. Early research suggests that laser therapy may have a role in hastening wound healing. Attempts have been made to use helium neon, CO2, and KTP lasers in encouraging wound healing in diabetics. We will review the English literature related to laser use in diabetic wound healing and discuss the concept of the use of nondestructive lasers for biostimulation. Further research is needed to assess effectiveness of biostimulation for diabetic wound healing."
""Nondestructive or low-energy lasers are an attractive but unproven modality to improve wound healing. In vitro and animal studies suggest that these lasers may hasten wound healing but the clinical utility of this therapy has not yet been defined in humans. Well-controlled trials are needed to determine whether this approach is effective, and if effective, the optimum patient populations and treatment schedules."</t>
  </si>
  <si>
    <t>Low-intensity laser irradiation improves skin circulation in patients with diabetic microangiopathy.</t>
  </si>
  <si>
    <t>Diabetic microangiopathy</t>
  </si>
  <si>
    <t>"After a single transcutaneous low-intensity laser irradiation, a statistically significant rise in skin temperature was noted (P &lt; 0.001 by ANOVA for repeated measurements), whereas in the sham-irradiated control group, a slight but significant drop in temperature (P &lt; 0.001) was found."</t>
  </si>
  <si>
    <t>Effects of photostimulation on wound healing in diabetic mice</t>
  </si>
  <si>
    <t>"Laser irradiation enhanced the percentage of wound closure over time as compared to the negative control group (58.4 +/- 2.6 vs. 40.8 +/- 3.4 at day 10 and 95.7 +/- 2 vs. 82.3 +/- 3.6 at day 20, P &lt; .01).
Histological evaluation showed that laser irradiation improved wound epithelialization, cellular content, granulation tissue formation, and collagen deposition in laser-treated wounds as compared to the negative control group (6.4 +/- 0.16 vs. 3.8 +/- 0.13 at day 10 and 12 +/- 0.21 vs. 8.2 +/- 0.31, P &lt; .01)."</t>
  </si>
  <si>
    <t>Digital ulcers (systemic sclerosis)</t>
  </si>
  <si>
    <t>Hughes</t>
  </si>
  <si>
    <t>A feasibility study of a novel low-level light therapy for digital ulcers in systemic sclerosis.</t>
  </si>
  <si>
    <t>🧑 Human
📄 Case series
👥 8 patients (5 completed)
⌛ 3-week treatment / 8-week study</t>
  </si>
  <si>
    <t>405+
660+
850</t>
  </si>
  <si>
    <t>"LTTT for DUs is safe, feasible, and well tolerated. There was an early tentative suggestion of treatment efficacy."</t>
  </si>
  <si>
    <t>Doxorubicin-induced wounds</t>
  </si>
  <si>
    <t>da Silva Freitas</t>
  </si>
  <si>
    <t>Effects of photobiomodulation (660 nm laser) on anthracycline extravasation: An experimental study</t>
  </si>
  <si>
    <t>PBM vs topical hyaluronidase</t>
  </si>
  <si>
    <t>"The results evidenced that the association of PBM (660 nm - 1 J) with topical hyaluronidase (65 UTR) on DOX extravasation was effective in reducing the local effects and assisted in the wound healing process, as well as that PBM alone was able to prevent the appearance of lesions."
Comment: In this study, many rats died prematurely, possibly due to hyaluronidase toxicity.</t>
  </si>
  <si>
    <t>Effects of photobiomodulation on wound contraction in rats undergoing doxorubicin extravasation: a histomorphometric analysis</t>
  </si>
  <si>
    <t>"The combination of photobiomodulation (660 nm-1 J) with topical hyaluronidase (65 UTR) proved to be effective in the process of wound healing due to extravasation of doxorubicin, and can be incorporated into the practice of clinical oncology."</t>
  </si>
  <si>
    <t>Electrocauterization wounds</t>
  </si>
  <si>
    <t>Manoel</t>
  </si>
  <si>
    <t>Photobiomodulation and Photodynamic Therapy applied after electrocauterization for skin healing optimization in rats</t>
  </si>
  <si>
    <t>PBM vs PDT vs control
LED phototherapy</t>
  </si>
  <si>
    <t>"The Injury+LED and Injury+ALA+LED groups controlled inflammation and oxidative stress, favoring angiogenesis, fibroblasts proliferation and collagen formation. Therefore, the PBM or PDT was effective in tissue formation with thinner eschar and epidermis, resulting in less scarring after electrocauterization."</t>
  </si>
  <si>
    <t>Excision (secondary intention)</t>
  </si>
  <si>
    <t>Investigating the Relevance of Cyclic Adenosine Monophosphate Response Element-Binding Protein to the Wound Healing Process: An In Vivo Study Using Photobiomodulation Treatment</t>
  </si>
  <si>
    <t>"PBM treatment significantly reduced the size of the wounds on day 3 and day 7, particularly in the skin wound group (p &lt; 0.05 on day 3, p &lt; 0.001 on day 7). The density of collagen expression was significantly higher in the PBM treatment group (in skin wound, p &lt; 0.05 on day 3, p &lt; 0.001 on day 7, and p &lt; 0.05 on day 14; in oral wound, p &lt; 0.01 on day 7). The TGF-β/TNF-α ratio and the p-CREB/CREB ratio showed a parallel trend during wound healing. 
Our findings suggested that the CREB has potential as a meaningful marker to track the wound healing process."</t>
  </si>
  <si>
    <t>Device: "a laser with a wavelength of 808 nm (WELS01; WelsMeditech Co., Cheonan, Republic of Korea) was utilized"</t>
  </si>
  <si>
    <t>Sales</t>
  </si>
  <si>
    <t>Mar Biotechnol (NY)</t>
  </si>
  <si>
    <t>Association of a Skin Dressing Made With the Organic Part of Marine Sponges and Photobiomodulation on the Wound Healing in an Animal Model</t>
  </si>
  <si>
    <t>4
(4 points)</t>
  </si>
  <si>
    <t>6 (or 7) (?)</t>
  </si>
  <si>
    <t>"SEM demonstrates that the marine collagen dressing presented pores and interconnected fibers and adequate mechanical strength. Furthermore, in the microscopic analysis, an incomplete reepithelialization and the presence of granulation tissue with inflammatory infiltrate were observed in all experimental groups. 
In addition, foreign body was identified in the DG and DPG. COX2, TGFβ, FGF, and VEGF immunostaining was observed predominantly in the wound area of all experimental groups, with a statistically significant difference for FGF immunostaining score of DPG in relation to CG. 
The marine collagen dressing presented adequate physical characteristics and its association with PBM presented favorable biological effects to the skin repair process."</t>
  </si>
  <si>
    <t>Photobiomodulation Facilitates Rat Cutaneous Wound Healing by Promoting Epidermal Stem Cells and Hair Follicle Stem Cells Proliferation</t>
  </si>
  <si>
    <t>10
15
30</t>
  </si>
  <si>
    <t>1 cm2 irrad. area (larger than wound)</t>
  </si>
  <si>
    <t>100
150
300</t>
  </si>
  <si>
    <t>"PBM accelerates wound healing by enhancing reepithelialization through promoting ESCs and HFSCs proliferation and elevating the expression of genes associated with stem cells and cell adhesion. This may provide a valuable alternative strategy to promote wound healing and reepithelialization by modulating the proliferation of skin derived stem cells and regulating genes related to cell adhesion."</t>
  </si>
  <si>
    <t>Cha</t>
  </si>
  <si>
    <t>Korea
(Bucheon)</t>
  </si>
  <si>
    <t>Effect of a portable light emitting diode device on wound healing in a rat model</t>
  </si>
  <si>
    <t>0.0111
0.0222</t>
  </si>
  <si>
    <t>"Percentage wound closure was significantly higher in 22.2 mW/cm2 irradiated wounds than that in the control wounds on days 7 and 10. The area of collagen deposition was remarkably larger in 22.2 mW/cm2 irradiated wounds than that in the control, with more horizontally organized fibres. CD31 immunostaining confirmed a significant increase in the number of microvessels in 22.2 mW/cm2 irradiated wounds than that in the control wounds, although there was no difference in VEGF immunostaining."
Comment: Very modest effect according to actual data. Also, this paper speaks of comparing 22.2 mW/cm2 vs 11.1 mW/cm2 but the data of the latter group seems to be omitted.</t>
  </si>
  <si>
    <t>Control group: "LED irradiation was applied every 24 h for 30 min on the left-side wound by direct contact, while the right-side wound served as a non-irradiated control."</t>
  </si>
  <si>
    <t>Low-power laser in increasing doses improve wound healing process in rats</t>
  </si>
  <si>
    <t>3
or
1 -&gt; 3 -&gt; 5
(incr. dose)</t>
  </si>
  <si>
    <t>"LLLT optimized wound healing, being able to reduce the number of inflammatory cells in the initial phase of the healing process and stimulate angiogenesis, followed by the formation of more organized scar tissue and greater deposition of type I collagen."
Comment: No real differences in wound area, though</t>
  </si>
  <si>
    <t>Busanello-Costa</t>
  </si>
  <si>
    <t>Red LED light therapy associated with epidermal growth factor on wound repair process in rats</t>
  </si>
  <si>
    <t>0.5
cm2
area</t>
  </si>
  <si>
    <t>7 or 8 (??)</t>
  </si>
  <si>
    <t>"The results demonstrated that EGF/LED group presented a higher wound healing index."
"This research shows that EGF and LED modulate inflammatory process and increase the vascularity. In addition, treatment of EGF associated with LED promoted a more evident positive effect for increasing TGF-β expression and may be promising resources in the clinical treatment of cutaneous wounds."</t>
  </si>
  <si>
    <t>Features of cellular and molecular mechanisms of re-gulation of reparative processes in chronic wounds using photobiomodulation therapy</t>
  </si>
  <si>
    <t>"The study showed the following changes in the expression of intercellular mediators in the blood serum of animals with chronic wounds when using photobiomodulation therapy: a decrease in the levels of interleukin-1β (p&gt;0.05) and tumour necrosis factor-alpha (p&lt;0.05); increased concentrations of interleukin-4 (p&lt;0.05); the concentrations of interleukin-6, granulocyte macrophage colony stimulating factor, and interleukin-10 were not significantly changed. 
The histological study showed better organization of collagen fibers in the experimental group."</t>
  </si>
  <si>
    <t>Photobiomodulation associated with lipid nanoparticles and hyaluronic acid accelerate the healing of excisional wounds</t>
  </si>
  <si>
    <t>165
(5p)</t>
  </si>
  <si>
    <t>"As for the analysis of wound contraction in cm2, all therapeutic proposals were able to reduce the total area of the wound and favor the formation of tissue when compared to the untreated group; however, the groups that associated with the PBM showed a statistically greater tissue contraction, independent of the molecules applied."</t>
  </si>
  <si>
    <t>Optimal Fluence and Duration of Low-Level Laser Therapy for Efficient Wound Healing in Mice</t>
  </si>
  <si>
    <t>1
4
40</t>
  </si>
  <si>
    <t>"The most effective fluence level was 40 J/cm2 at day 5, as determined by monitoring wound closure."</t>
  </si>
  <si>
    <t>Low-level laser treatment promotes skin wound healing by activating hair follicle stem cells in female mice</t>
  </si>
  <si>
    <t>Biphasic dose response
Punch excision wound</t>
  </si>
  <si>
    <t xml:space="preserve">"The analysis of the percent of wound closure showed that healing was accelerated (significantly from 5 to 10 days) in the LLLT-Low group, but there was no clear change in the LLLT-High group."
</t>
  </si>
  <si>
    <t>USA
(Research Triangle, NC)</t>
  </si>
  <si>
    <t>Comp Med</t>
  </si>
  <si>
    <t>Effects of Buprenorphine, Chlorhexidine, and Low-level Laser Therapy on Wound Healing in Mice</t>
  </si>
  <si>
    <t>PBM vs chlorhexidine vs buprenorphine
Punch excision wound
Dermal abrasion wound</t>
  </si>
  <si>
    <t>"When comparing the wound area on the above days to the original wound area, no significant differences in healing were observed for any of the treatment groups at any time period for either study. Given the results of these studies, we believe that systemic buprenorphine, topical chlorhexidine, and LLLT can be used without impairing or delaying wound healing in mice."</t>
  </si>
  <si>
    <t>Photobiomodulation therapy was more effective than photobiomodulation plus arginine on accelerating wound healing in an animal model of delayed healing wound</t>
  </si>
  <si>
    <t>PBM vs arginine
Dorsal full-thickness bipedicle skin flap (10 × 3.5 cm) --&gt; punch excision at midpoint of flap
Punch excision wound</t>
  </si>
  <si>
    <t>"Overall, our findings showed that PBMT alone had significantly better results than the Arg 2% alone and control groups."
"The anti-inflammatory and repairing effects of PBMT on an ischemic and delayed healing wound model in rats were shown by significant improvements in wound strength, stereological parameters, and gene expressions of bFGF, VEGF-A, and SDF-1α."</t>
  </si>
  <si>
    <t>Hartmann</t>
  </si>
  <si>
    <t>Oxidative stress is involved in LLLT mechanism of action on skin healing in rats</t>
  </si>
  <si>
    <t>"LLLT maintained hematocrit and hemoglobin levels until the 3rd day of treatment. Surprisingly, LLLT increased total leukocytes levels compared to control until the 3rd day. The effects of LLLT on mitochondrial activity were demonstrated by the significant increase in MTT levels in both inflammatory and regenerative phases (from the 1st to the 7th day), but only when associated with skin injury.
The results indicated that LLLT modulated the inflammatory response intensity and accelerated skin tissue healing by a mechanism that involved oxidative damage reduction mostly at early stages of skin healing (inflammatory phase)."</t>
  </si>
  <si>
    <t>Open Med (Wars)</t>
  </si>
  <si>
    <t>Fluorescent light energy modulates healing in skin grafted mouse model</t>
  </si>
  <si>
    <t>Excisional wound (full thickness)</t>
  </si>
  <si>
    <t>500-610</t>
  </si>
  <si>
    <t>"Both the FLE systems emit similar FLE emission spectra between 500 and 610 nm, as previously described [13,15]."
"Results demonstrated that FLE treatment initially accelerated re-epithelialization and rete ridge formation, while later reduced neovascularization, collagen deposition, myofibroblast and mast cell accumulation, and connective tissue growth factor expression."
"While there was no visible difference in gross morphology, we found that FLE treatment promoted a balanced collagen remodeling."</t>
  </si>
  <si>
    <t>The Combined Effect of Photobiomodulation and Curcumin on Acute Skin Wound Healing in Rats</t>
  </si>
  <si>
    <t>"There was markedly improved wound contraction in the curcumin (7.5 ± 0.57; P =0.000), PBM (8.5 ± 1.2; P =0.000), and PBM + curcumin (14.5 ± 4.3; P =0.002) groups relative to the control group (25 ± 6)."</t>
  </si>
  <si>
    <t>Hendler</t>
  </si>
  <si>
    <t>Comparison of photobiomodulation in the treatment of skin injury with an open wound in mice</t>
  </si>
  <si>
    <t>Wavelength comparison
Open skin wound (1.5cm x 1.5cm incisions)</t>
  </si>
  <si>
    <t>"A significant difference in the number of fibroblasts was observed between the 830- and 660-nm photobiomodulation groups and the naive and sham groups. When comparing photobiomodulation wavelength, the 830-nm groups were more effective, and we emphasize the groups irradiated at 5 points, which showed an improvement in macroscopic analysis and epidermis thickness, an increase in the number of vessels, and a lower number of fibroblasts on the 14th day after skin injury."</t>
  </si>
  <si>
    <t>Prahbu</t>
  </si>
  <si>
    <t>Photobiomodulation invigorating collagen deposition, proliferating cell nuclear antigen and Ki67 expression during dermal wound repair in mice</t>
  </si>
  <si>
    <t>"The findings of the current investigation have distinctly exhibited the assenting influence of red laser light on excisional wound healing in Swiss albino mice by augmenting cell proliferation and collagen deposition."</t>
  </si>
  <si>
    <t>Effect of photobiomodulation therapy on the proliferation phase and wound healing in rats fed with an experimental hypoproteic diet</t>
  </si>
  <si>
    <t>Wounds with aggravating factors (malnutrition)
Punch excision wound</t>
  </si>
  <si>
    <t>"There were significant differences between the normoproteic groups and their respective treated groups (p &lt; 0.05), as well as to treated and untreated hypoproteic groups in histopathologic analysis semi-quantitatively and immunohistochemistry for MMP-3 and 9, in which PBMT was able to decrease immunostaining. Moreover, there was a decrease in collagen deposition with the statistical difference (p &lt; 0.05) for both collagen types III and I. 
In conclusion, PBMT application was proved effective in the treatment of cutaneous wounds in rats submitted to a hypoproteic diet."</t>
  </si>
  <si>
    <t>do Valle</t>
  </si>
  <si>
    <t>Photobiomodulation drives pericyte mobilization towards skin regeneration</t>
  </si>
  <si>
    <t>"Doppler analysis showed a significant increase in the blood flow in the photoactivated wounds, while marked vascular supply was observed histologically. Histochemical analysis has indicated more advanced stages of tissue repair after photoactivation."
"These data suggest that photobiomodulation significantly accelerates tissue repair through its vascular effects with direct recruitment of pericytes to the injury site."</t>
  </si>
  <si>
    <t>Archibald</t>
  </si>
  <si>
    <t>USA
(Raleigh, NC)</t>
  </si>
  <si>
    <t>Vet Med Int</t>
  </si>
  <si>
    <t>Effect of Multiradiance Low-Level Laser Therapy and Topical Silver Sulfadiazine on Healing Characteristics of Dermal Wounds in Marine Toads ( Rhinella marina)</t>
  </si>
  <si>
    <t>Toad (Marine toad)</t>
  </si>
  <si>
    <t>"Visual assessments and histologic scoring did not identify a benefit of laser therapy or SSD as compared to controls. Laser therapy and SSD, at the doses and dosing schedule utilized in this pilot study, appear to be safe and well-tolerated treatments in marine toads, but may not be warranted for uncomplicated skin wounds in this species."</t>
  </si>
  <si>
    <t>Mendes</t>
  </si>
  <si>
    <t>ACS Biomater Sci Eng</t>
  </si>
  <si>
    <t>Effects of the Association between Photobiomodulation and Hyaluronic Acid Linked Gold Nanoparticles in Wound Healing</t>
  </si>
  <si>
    <t>Circular or square incision</t>
  </si>
  <si>
    <t>"Taken together, these results allow us to observe that the combination of PBM + GNPs-HA optimized the secretion of anti-inflammatory cytokines, proliferation and cell differentiation growth factors, and made an earlier transition to the chronic phase, contributing to the repair process."</t>
  </si>
  <si>
    <t>Improvement of full-thickness rat skin wounds by photobiomodulation therapy (PBMT): A dosimetric study.</t>
  </si>
  <si>
    <t>"Our data showed that the group receiving multiple treatments over the first week post wounding, applied at 10 J/cm2 at each of 5 points on and around the wound (group L5) presented the best improvement of wound closure, higher cytokeratin 10, lower macrophage infiltration, and greater tissue resistance to rupture. 
We conclude that PBMT improves the skin wound healing process, and the outcomes were directly related to the chosen laser parameters and irradiation mode."</t>
  </si>
  <si>
    <t>Brazil
(Bahia)</t>
  </si>
  <si>
    <t>Participation of the Immune System and Hedgehog Signaling in Neoangiogenesis Under Laser Photobiomodulation.</t>
  </si>
  <si>
    <t>Angiogenesis
Punch excision wound</t>
  </si>
  <si>
    <t xml:space="preserve">"At late stages of wound healing, neoangiogenesis persisted as revealed for the number of CD31+ cells (P = 0.016) and NG2+ and smooth muscle alpha actin positive pericytes (P = 0.025), for both experimental groups. By day 21, laser-treated group had decreased CD68+ cells (P = 0.032) and increased CD8+ (P = 0.038). At remodeling stage, there were positive cells for the hedgehog signaling pathway family which seemed to be activated. </t>
  </si>
  <si>
    <t>An improvement in acute wound healing in rats by the synergistic effect of photobiomodulation and arginine.</t>
  </si>
  <si>
    <t>PBM vs arginine
Excisional wound (full thickness)</t>
  </si>
  <si>
    <t>"PBM + ARG 2% and PBM treatment regimens significantly improved wound strength and almost all stereological parameters, compared to the control and ARG."
Comment: Apparently the combination of PBM and arginine led to larger wound area than either of the treatments alone, not necessarily suggesting a synergistic effect?</t>
  </si>
  <si>
    <t>Ghaemi</t>
  </si>
  <si>
    <t>Comparison and Evaluation of the Low-Level Laser and the Red and Blue LED Effects on Wound Healing in Rabbit.</t>
  </si>
  <si>
    <t>LLLT vs LED
Excisional wound (full thickness)</t>
  </si>
  <si>
    <t>450-
470
(LED)
630-
680
(LED)
650
(laser)</t>
  </si>
  <si>
    <t>"The red laser group showed better results compared to the control group and either the LED groups. Comparing LEDs, the red LED performed better than the blue LED."
"This study confirmed the significant effects of the LLL and LEDs on wound healing. Comparing the LLL and LED, the LED may be a better choice, especially for bedridden or debilitated patients. The LED may also more cost effective in wound healing in comparison with the LLL."
Comment: The dose parameters in the abstract and full text are contradictory.</t>
  </si>
  <si>
    <t>Nanoscale</t>
  </si>
  <si>
    <t>Mussel-inspired cryogels for promoting wound regeneration through photobiostimulation, modulating inflammatory responses and suppressing bacterial invasion.</t>
  </si>
  <si>
    <t>0.02-
0.03
(?)</t>
  </si>
  <si>
    <t>"The cryogel shows high anti-oxidative activity to eliminate overproduced reactive oxygen species during inflammatory responses. Furthermore, the cryogel exhibits photothermally assisted antibacterial activity to prevent bacterial invasion. 
Thus, by combining the photobiostimulation of infrared light, the cryogel realizes bio-chemo-photothermal synergistic therapy for accelerating the complete skin-thickness wound healing by simultaneously suppressing adverse events due to its antibacterial activity and anti-oxidative ability, and promoting cell activities and tissue regeneration. 
Our work therefore presents the great promise shown by this multifunctional biopolymer cryogel as a flexible wound dressing with combinatory therapy for accelerating wound healing."
"The in vivo results revealed that all the groups under NIR irradiation show better tissue regeneration and wound healing than the groups without NIR irradiation control, demonstrating the intrinsic therapeutic effects of NIR photothermal treatment on skin tissue regeneration."</t>
  </si>
  <si>
    <t>Effects of Different Protocols of Low-Level Laser Therapy on Collagen Deposition in Wound Healing.</t>
  </si>
  <si>
    <t>Excision wound (thickness unconfirmed)</t>
  </si>
  <si>
    <t>660
660
780</t>
  </si>
  <si>
    <t>20
16
20</t>
  </si>
  <si>
    <t>"It was concluded that all protocols induced an increase in collagen scar. However, the protocol 2 (16 J /cm2, daily application) promoted the most significant increases in collagen deposition, accelerated maturation of collagen and showed the best architecture of the final fibrous scarring."</t>
  </si>
  <si>
    <t>Iran 
(Tehran)</t>
  </si>
  <si>
    <t>An improvement in acute wound healing in mice by the combined application of photobiomodulation and curcumin-loaded iron particles</t>
  </si>
  <si>
    <t>LLLT vs. curcumin vs. LLLT + curcumin
Punch excision wound</t>
  </si>
  <si>
    <t>0.0108</t>
  </si>
  <si>
    <t>12
(6/
wk)</t>
  </si>
  <si>
    <t>"Curcumin nanoparticles, pulse wave laser, and pulse wave laser + curcumin nanoparticles accelerate wound healing, through a significant increase in wound closure rate, as well as wound strength, and a significant decrease in Staphylococcus aureus counts. Furthermore, the statistical analysis of their data suggests that the combined treatment of pulse wave laser + curcumin nanoparticles enhances the wound closure rate, and wound strength, compared to the laser and curcumin nanoparticles alone."</t>
  </si>
  <si>
    <t>MUSTANG 2000, LO7 probe; Technica Co., Russia</t>
  </si>
  <si>
    <t>Gammel</t>
  </si>
  <si>
    <t>Effects of low-level laser therapy on the healing of surgically closed incisions and surgically created open wounds in dogs.</t>
  </si>
  <si>
    <t>"LLLT did not appear to influence the healing of surgically created incisions and small wounds with the methodology reported here."</t>
  </si>
  <si>
    <t>Otterço</t>
  </si>
  <si>
    <t>Effect of photobiomodulation (670 nm) associated with vitamin A on the inflammatory phase of wound healing.</t>
  </si>
  <si>
    <t>PBM vs vitamin A
Punch excision wound</t>
  </si>
  <si>
    <t>"The results indicate that proposed treatments were effective on the healing process improved by LG and LG + VitAG."</t>
  </si>
  <si>
    <t>Munap</t>
  </si>
  <si>
    <t>Wavelength and dose-dependent effects of photobiomodulation therapy on wound healing in rat model</t>
  </si>
  <si>
    <t>808
880
1064</t>
  </si>
  <si>
    <t>"The result in part 1 showed that 808 nm was the optimal wavelength to give the highest wound closure percentage at 94.08%  ±  6.5%, meanwhile power density of 40–60 mW cm−2 better accelerated the healing rate than other groups in part 2."</t>
  </si>
  <si>
    <t>Photobiomodulation mechanisms in the kinetics of the wound healing process in rats.</t>
  </si>
  <si>
    <t>14.28</t>
  </si>
  <si>
    <t>"The histopathological analysis (HE) showed a statistically significant difference for lower values of inflammatory infiltrate in LG versus CG on the 16th day; and for the increase of collagen in the 11th and 16th days of treatment. There was a statistically significant difference in the increase of VEGF on the 11th day for LG; decrease of TNF-α on the 4th and 11th day for LG, and increase of collagen type 1 on the 4th and 16th days for LG. The birefringence analysis of the percentage of collagen fibers presented on the 11th day of treatment revealed a greater quantity and significant statistical difference. Collagen fibers showed improved organization and arrangement on the 11th day for LG."</t>
  </si>
  <si>
    <t>Cusack</t>
  </si>
  <si>
    <t>Gross and histologic evaluation of effects of photobiomodulation, silver sulfadiazine, and a topical antimicrobial product on experimentally induced full-thickness skin wounds in green iguanas (Iguana iguana).</t>
  </si>
  <si>
    <t>Iguana</t>
  </si>
  <si>
    <t>Non-mammalian species, lizard
Punch excision wound</t>
  </si>
  <si>
    <t>"Photobiomodulation at 10 J/cm2 appeared to be a safe treatment that was tolerated well by green iguanas, but it did not result in substantial improvement in histologic evidence of wound healing, compared with results for other treatments or no treatment."</t>
  </si>
  <si>
    <t>Influence of gold nanoparticles on wound healing treatment in rat model: Photobiomodulation therapy.</t>
  </si>
  <si>
    <t>Gold nanoparticles on wounds (?)
Punch excision wound</t>
  </si>
  <si>
    <t>9
(1/d)</t>
  </si>
  <si>
    <t>"The group of rats subjected to AuNPs with PBMT shows significantly accelerated wound closure compared to other groups. Histological results indicate that AuNPs and PBMT group is more effective in stimulating angiogenesis and triggers inflammatory response at early stage."</t>
  </si>
  <si>
    <t>Sue-Kyung</t>
  </si>
  <si>
    <t xml:space="preserve">Korean Journal of Dermatology </t>
  </si>
  <si>
    <t>Low Level Light Therapy Using an 830-nm Light Emitting Diode Promotes Wound Healing via TGF-β/SMAD Pathway Activation</t>
  </si>
  <si>
    <t>"The overall wound closure percentage was highest during the first 10 days when an 830-nm LED was used. The wound closure process was accelerated when the irradiation was initiated immediately after wounding. Irradiation using 830-nm LED upregulated TGF-β and collagen-1 but downregulated SMAD7."</t>
  </si>
  <si>
    <t>BVS</t>
  </si>
  <si>
    <t>Fiorio</t>
  </si>
  <si>
    <t>Photobiomodulation therapy action in wound repair skin induced in aged rats old: time course of biomarkers inflammatory and repair.</t>
  </si>
  <si>
    <t>Wounds with aggravating factors (aging)
Punch excision wound</t>
  </si>
  <si>
    <t>"LLLT is effective in the modulation of inflammatory mediators IL-6, CINC-1, VEGF, MMP-3, MMP-9 and TIMP-2 as well as increased collagen production in aged animals during different phases of the tissue regeneration process. However, the effects of PBMT obtained in the aged animals (aged LLLT group) suggest that new dosimetries should be tested to achieve better results."</t>
  </si>
  <si>
    <t>Aragão-Neto</t>
  </si>
  <si>
    <t>Combined therapy using low level laser and chitosan-policaju hydrogel for wound healing.</t>
  </si>
  <si>
    <t>LLLT vs chitosan-policaju hydrogel
Punch excision wound</t>
  </si>
  <si>
    <t>"These results demonstrated that POLI-CHI contributed to more efficient healing process and modulation of the inflammation; furthermore, the combined use with LLLT subtle potentiated this process."</t>
  </si>
  <si>
    <t>LED Phototherapy With Gelatin Sponge Promotes Wound Healing in Mice.</t>
  </si>
  <si>
    <t>LED phototherapy
Excision wound (thickness unconfirmed)</t>
  </si>
  <si>
    <t>465
and/or
625</t>
  </si>
  <si>
    <t>"Results showed that the red and blue lights promoted cell growth and wound healing, while the blue light with a gelatin sponge protected the wound from infection in the early stages of wound healing."</t>
  </si>
  <si>
    <t>Effect of 670 nm laser photobiomodulation on vascular density and fibroplasia in late stages of tissue repair.</t>
  </si>
  <si>
    <t>Circular incision wound</t>
  </si>
  <si>
    <t>"Laser treatment had a positive effect in the late course of healing, particularly with regards to collagen expression and the number of newly formed vessels. VEGF+ cells were present in both experimental groups, and VEGF appeared to influence fibroplasia in the treated group."</t>
  </si>
  <si>
    <t>Wound-Healing potential of Sebastiania hispida (Mart.) Pax (Euphorbiaceae) ointment compared to low power laser in rats.</t>
  </si>
  <si>
    <t>"The topical treatment with S. hispida leaves, in the two different formulations, was more effective than the application of the laser (Ingan ALP) 660 nm in the model used."</t>
  </si>
  <si>
    <t>Effects of the led therapy on the global DNA methylation and the expression of Dnmt1 and Dnmt3a genes in a rat model of skin wound healing.</t>
  </si>
  <si>
    <t>0.8
1.6</t>
  </si>
  <si>
    <t>"Based on our findings, we propose that DNA methylation is an important molecular mechanism associated to wound healing and that irradiation with 1.6 J/cm(2) of LED evokes an increase in the expression of the Dnmt3a that might associates to the efficiency of the epithelial wound healing."</t>
  </si>
  <si>
    <t>Wound type: "After local hair removal in the dorsal skin, a 2-cm-diameter circular area was excised with a scalpel until exposing the muscular fascia."</t>
  </si>
  <si>
    <t>Solmaz</t>
  </si>
  <si>
    <t>Laser biostimulation of wound healing: bioimpedance measurements support histology.</t>
  </si>
  <si>
    <t xml:space="preserve">"Laser irradiations of both energy densities stimulated the wound healing process. In particular, laser irradiation of lower energy density had more evidence especially for the first days of healing process. On the 7th day of healing, 3 J/cm2 laser-irradiated tissues had significantly smaller wound areas compared to non-irradiated wounds (p &lt; 0.05). The electrical impedance results supported the idea of laser biostimulation on healing of cutaneous skin wounds."
"Thus, bioimpedance measurements may be considered as a non-invasive supplementary method for following the healing process of laser-irradiated tissues."
Comment: On the 10th day, the wound area was smaller in the control group, compared to the irradiated groups... </t>
  </si>
  <si>
    <t>Laser phototherapy improves early stage of cutaneous wound healing of rats under hyperlipidic diet.</t>
  </si>
  <si>
    <t>Excision wound (subcutaneous)</t>
  </si>
  <si>
    <t>"It can be concluded that the hyperlipidic diet modified the inflammation pattern in wound healing and that laser light has a positive biomodulative effect on the healing process only in early stages."</t>
  </si>
  <si>
    <t>Effects of neodymium-yttrium-aluminum garnet (Nd:YAG) pulsed high-intensity laser therapy on full thickness wound healing in an experimental animal model.</t>
  </si>
  <si>
    <t>Dose response (?)
Biphasic dose response (?)
Excision wound (thickness unconfirmed)</t>
  </si>
  <si>
    <t>0.8
1.6
2.0</t>
  </si>
  <si>
    <t>"Statistically significant increases in the accumulation of collagen fibers, thickness of granulation tissue, and numbers of fibroblasts were observed in group 2 (treated with 1.6 J/cm2) as compared with the control (no laser treatment), group 1 (treated with 0.8 J/cm2), and group 3 (treated with 2.0 J/cm2)."
Comment: It's a little bit confusing that there is so big difference between 1.6 J/cm2 and 2.0 J/cm2.</t>
  </si>
  <si>
    <t>Tabakoglu</t>
  </si>
  <si>
    <t>Assessment of circular wound healing in rats after exposure to 808-nm laser pulses during specific healing phases.</t>
  </si>
  <si>
    <t>1.276</t>
  </si>
  <si>
    <t>6.38</t>
  </si>
  <si>
    <t>"Histological and morphometric results showed that high-power, low-energy application has the best effect when first applied 24 hours post-wounding (late inflammatory, early proliferative stage) as demonstrated by increases in granulation tissue, fibroblasts and collagen deposition, which lead to faster rates of wound contraction and thus accelerated healing."</t>
  </si>
  <si>
    <t>Effect of low-level laser therapy on angiogenesis and matrix metalloproteinase-2 immunoexpression in wound repair.</t>
  </si>
  <si>
    <t>Angiogenesis
Circular or square incision</t>
  </si>
  <si>
    <t>"LLLT improves wound healing by enhancing neocollagenesis, increasing the amount of new vessels formed in the tissue (neoangiogenesis), and modulating MMP-2 expression."</t>
  </si>
  <si>
    <t>The Histopathological Investigation of Red and Blue Light Emitting Diode on Treating Skin Wounds in Japanese Big-Ear White Rabbit.</t>
  </si>
  <si>
    <t>LED phototherapy
Circular or square incision
Blue light 🔵
Wavelength comparison</t>
  </si>
  <si>
    <t>460
630</t>
  </si>
  <si>
    <t>45
90</t>
  </si>
  <si>
    <t>300
cm2</t>
  </si>
  <si>
    <t>900
1800</t>
  </si>
  <si>
    <t>"On days 16 and 17 of irradiation, the healing rates in red (15 min and 30 min) and blue (15 min and 30 min) groups were 50%, 37.5%, 25% and 37.5%, respectively, while the healing rate in the control group was 12.5%.
The percentage healed area in the red light groups was significantly higher than those in other groups.
Collagen fiber and skin thickness were significantly increased in both red light groups; expression of EGF, FGF, CD31 and Ki67 in the red light groups was significantly higher than those in other groups; the expression of FGF in red (30 min) group was not significantly different from that in the blue light and control groups."
"The effect of blue light on wound healing was poorer than that of red light. Red light appeared to hasten wound healing by promoting fibrous tissue, epidermal and endothelial cell proliferation. An increase in the exposure time to 30 min did not confer any additional benefit in both red and blue light groups. This study provides a theoretical basis for the potential therapeutic application of LED light in clinical settings."</t>
  </si>
  <si>
    <t>Phototherapy improves wound healing in rats subjected to high-fat diet.</t>
  </si>
  <si>
    <t>"The results showed phototherapy accelerated the cutaneous wound healing by modulating oxidative stress in rats with metabolic disorders under a high-fat diet."</t>
  </si>
  <si>
    <t>Comparison of the Effect of Low-Level Laser and Phenytoin Therapy on Skin Wound Healing in Rats</t>
  </si>
  <si>
    <t>PBM vs phenytoin cream</t>
  </si>
  <si>
    <t>"Faster reduction in polymorphonuclear cells after 7 and 14 days and more collagen fibers on the third day in laser treated group was statistically significant (P &lt; .05) .The result for the phenytoin treated group were not better than control group. When both laser and phenytoin were used samples showed more collagen fibers on the third day, which was statistically significant (P &lt; .05)."
Comment: Parameters were poorly reported. The findings were very similar between groups, although collagen was increased in laser groups in the first measurement (3rd day), so the improvement may not be clinically significant.</t>
  </si>
  <si>
    <t>Adipose-derived stromal cell cluster with light therapy enhance angiogenesis and skin wound healing in mice.</t>
  </si>
  <si>
    <t>LED phototherapy
Human adipose-derived mesenchymal stem cells (hASCs)
Punch excision wound</t>
  </si>
  <si>
    <t>"The cluster + LLLT group enhanced the wound healing, including neovascularization and regeneration of skin appendages, compared with the cluster group. The secretion of growth factors was stimulated in the cluster + LLLT group compared with the ASCs and cluster group. These data suggest that LLLT is an effective biostimulator of cluster hASCs in wound healing that enhances the survival of hASCs and stimulates the secretion of growth factors in the wound bed."</t>
  </si>
  <si>
    <t>Low-level laser irradiation promotes the proliferation and maturation of keratinocytes during epithelial wound repair.</t>
  </si>
  <si>
    <t>117.85</t>
  </si>
  <si>
    <t>"To the best of our knowledge, this is the first time that the quicker wound healing promoted by LLLT has been linked to the rapid maturation of KCs, which was confirmed by the accelerated expression of CK10 (terminal differentiation biomarker [32]) by these cells. The significantly higher proliferation of in vivo KCs (p63 expression) was also confirmed in vitro with the improved Cyclin D1 expression for the laser groups. In conclusion, a correlation between the in vitro and in vivo results was established and may help to elucidate the in vivo laser mechanisms as well as to support upcoming studies."</t>
  </si>
  <si>
    <t>de Melo Rambo</t>
  </si>
  <si>
    <t>Comparative analysis of low-level laser therapy (660 nm) on inflammatory biomarker expression during the skin wound-repair process in young and aged rats.</t>
  </si>
  <si>
    <t>"Therefore, after analyzing all the study results, we conclude that LLLT is effective in the treatment of skin wounds in young and aged animals during different phases of the tissue regeneration process. However, the effects of LLLT obtained in the aged animals (aged LLLT group) suggest that new dosimetries should be tested to achieve better results."
"We observed that LLLT was effective in decreasing the expression (gene and protein) on the pro-inflammatory mediators (IL-1 and TNF) throughout the experimental period although we can see the increased expression of the protein of the anti-inflammatory cytokine IL-10."</t>
  </si>
  <si>
    <t>Acta Histochem</t>
  </si>
  <si>
    <t>Infrared LED light therapy influences the expression of fibronectin and tenascin in skin wounds of malnourished rats--a preliminary study.</t>
  </si>
  <si>
    <t>LED phototherapy
Wounds with aggravating factors (malnutrition)
Excision wound (thickness unconfirmed)</t>
  </si>
  <si>
    <t>"The results of the present study indicate that infrared LED irradiation modulates positively the expression of tenascin and particularly fibronectin."</t>
  </si>
  <si>
    <t>Wound type: "Standard skin wounds measuring 1.0 cm × 1.0 cm were created in all animals and the flap obtained was excised. The wound was created with an instrument specifically developed for this purpose, which consisted of two scalpel handles joined together with screws and plugs in order to maintain a distance of 1.0 cm between blades and exact parallelism between them and the wound area corresponded to 1 cm2. No sutures were performed in order to permit natural healing."</t>
  </si>
  <si>
    <t>Paraguassú</t>
  </si>
  <si>
    <t>Effects of LED phototherapy on relative wound contraction and reepithelialization during tissue repair in hypothyroid rats: morphometric and histological study</t>
  </si>
  <si>
    <t>The reepithelialization was significantly higher in the euthyroid and hypothyroid groups irradiated with LED than in the non-irradiated groups (Fisher's test, p &lt; 0.05). No significant difference was found in the experimental period of 14 days among the groups."</t>
  </si>
  <si>
    <t>Hodjati</t>
  </si>
  <si>
    <t>Low-level laser therapy: an experimental design for wound management: a case-controlled study in rabbit model.</t>
  </si>
  <si>
    <t>"Fibrin formation was the same in the two groups (P = 0.4) but epithelialisation was much more in laser group (P = 0.02). Wound inflammation of the laser group was smaller than that of the control groups but statistical significance was not shown (P = 0.09). Although more smooth muscle actin was found in the wounds of the laser group but it was not statistically significant (P = 0.3). Wound diameter showed significant decrease in wound area in laser group (P = 0.003)."
"According to our study, it seems that low-level laser therapy accelerates wound healing at least in some phases of healing process. So, we can conclude that our study also shows some hopes for low level laser therapy effect on wound healing at least in animal model."
Comment: Parameters were poorly reported.</t>
  </si>
  <si>
    <t>Novaes</t>
  </si>
  <si>
    <t>Brazil
(Ouro Preto)</t>
  </si>
  <si>
    <t>The energy density of laser light differentially modulates the skin morphological reorganization in a murine model of healing by secondary intention.</t>
  </si>
  <si>
    <t>Dose response
Excisional wound (full thickness)</t>
  </si>
  <si>
    <t>0.02547</t>
  </si>
  <si>
    <t>118.5
1185</t>
  </si>
  <si>
    <t>21
21</t>
  </si>
  <si>
    <t>"Both energy densities investigated increased the tissue cellularity, vascular density, collagen and elastic fibres, and glycosaminoglycan synthesis, with the greater benefits for wound closure being found at the density of 30 J/cm(2)."</t>
  </si>
  <si>
    <t>Effect of laser phototherapy (λ660 nm) on type I and III collagen expression during wound healing in hypothyroid rats: an immunohistochemical study in a rodent model.</t>
  </si>
  <si>
    <t>Wounds with aggravating factors (hypothyroidism)
Excision wound (thickness unconfirmed)</t>
  </si>
  <si>
    <t>6
/p?</t>
  </si>
  <si>
    <t>150
/p?</t>
  </si>
  <si>
    <t>"Laser light therapy performed with the parameters of this investigation increased immunoexpression of collagen type I during tissue repair, and improved the quality of newly formed tissue in the presence of hypothyroidism."</t>
  </si>
  <si>
    <t>Pathol Res Pract</t>
  </si>
  <si>
    <t>Comparative study of the effects of laser photobiomodulation and extract of Brassica oleracea on skin wounds in wistar rats: A histomorphometric study.</t>
  </si>
  <si>
    <t>PBM vs Brassica oleracea extract
Circular or square incision</t>
  </si>
  <si>
    <t>0.073</t>
  </si>
  <si>
    <t>0.0035
cm2</t>
  </si>
  <si>
    <t>"In the present study, LLLT and balsam and Ointment B. oleracea were more effective at reducing the size of the wounds compared to the control group. LLLT and B. oleracea application promoted acceleration of wound healing, enhanced remodeling and repair."</t>
  </si>
  <si>
    <t>Effect of low-level laser therapy (λ660 nm) on angiogenesis in wound healing: a immunohistochemical study in a rodent model.</t>
  </si>
  <si>
    <t>Angiogenesis
Excision wound (thickness unconfirmed)</t>
  </si>
  <si>
    <t>"Although at some death periods, collagen expression and number of blood vessels on irradiated animals were higher than in the control ones, no significant differences were found at any time in relation to TGF-β expression (p&gt;0.05).
It was concluded that laser treatment (λ660 nm) contributed to increase angiogenesis."</t>
  </si>
  <si>
    <t>Wound type: "One excisional cutaneous wound (1 × 1 cm) was created with a scalpel on the dorsum of each animal and left without suturing or dressing."</t>
  </si>
  <si>
    <t>Oliveira Sampaio</t>
  </si>
  <si>
    <t>Effect of laser and LED phototherapies on the healing of cutaneous wound on healthy and iron-deficient Wistar rats and their impact on fibroblastic activity during wound healing.</t>
  </si>
  <si>
    <t>Cutaneous wound
Wounds with aggravating factors (iron deficiency)
LED phototherapy
LED vs LLLT
Excisional wound (full thickness)</t>
  </si>
  <si>
    <t>660
(LLLT)
700
(LED)</t>
  </si>
  <si>
    <t>0.04
cm2
1
cm2</t>
  </si>
  <si>
    <t>260
670</t>
  </si>
  <si>
    <t>"It is concluded that the use of LED light caused a significant positive biomodulation of fibroblastic proliferation on anemic animals and laser was more effective on increasing proliferation on non-anemics."</t>
  </si>
  <si>
    <t>Cheon</t>
  </si>
  <si>
    <t>Pers Ubiquitous Comput</t>
  </si>
  <si>
    <t>Low level light therapy by Red–Green–Blue LEDs improves healing in an excision model of Sprague–Dawley rats</t>
  </si>
  <si>
    <t>Blue light 🔵
Green light 🟢 
Wavelength comparison</t>
  </si>
  <si>
    <t>470
525
633</t>
  </si>
  <si>
    <t>0.0036
0.0040
0.0068</t>
  </si>
  <si>
    <t>"Animals treated with Blue LEDs irradiation (p &lt; 0.05), Green LEDs irradiation (p &lt; 0.05), and Red LEDs irradiation (N.S.) healed at a faster rate than non-irradiated group. The LEDs irradiated groups also had more collagen, according to Masson’s trichrome staining for collagen analysis."</t>
  </si>
  <si>
    <t>Influence of low-level laser therapy on wound healing in nicotine-treated animals.</t>
  </si>
  <si>
    <t>Wounds with aggravating factors (nicotine)
Punch excision wound</t>
  </si>
  <si>
    <t>0.39
/p?</t>
  </si>
  <si>
    <t>5.57</t>
  </si>
  <si>
    <t>13
/p</t>
  </si>
  <si>
    <t>"LLLT acted as a biostimulatory coadjuvant agent balancing the undesirable effects of nicotine on wound tissue healing."</t>
  </si>
  <si>
    <t>Enhanced wound healing effect of canine adipose-derived mesenchymal stem cells with low-level laser therapy in athymic mice.</t>
  </si>
  <si>
    <t>Stem cells (ASCs)
Wounds with aggravating factors (athymic)
Punch excision wound</t>
  </si>
  <si>
    <t>0.34
/p</t>
  </si>
  <si>
    <t>"The ASCs and ASCs+LLLT groups stimulated wound closure and histological skin regeneration. The ASCs+LLLT group enhanced the wound healing, including neovascularization and regeneration of skin appendages, compared with the ASCs group. The ASCs contributed skin regeneration via differentiation and secretion of growth factors. In the ASCs+LLLT group, the survival of ASCs was increased by the decreased apoptosis of ASCs in the wound bed. The secretion of growth factors was stimulated in the ASCs+LLLT group compared with the ASCs group."
"These data suggest that LLLT is an effective biostimulator of ASCs in wound healing that enhances the survival of ASCs and stimulates the secretion of growth factors in the wound bed."</t>
  </si>
  <si>
    <t>Prabhu</t>
  </si>
  <si>
    <t>Spectroscopic and histological evaluation of wound healing progression following Low Level Laser Therapy (LLLT).</t>
  </si>
  <si>
    <t>(0.5)
(1.0)
(1.5)
2.0</t>
  </si>
  <si>
    <t>"The spectral analyses of the wound granulation tissues have indicated a dose dependent increase in collagen levels during the post-wounding days. The histological examinations on the other hand have also shown a significant increase in collagen deposition along with the reduced edema, leukocytes, increased granulation tissue, and fibroblast number in the optimal laser dose treated group compared to the non-illuminated controls."</t>
  </si>
  <si>
    <t>Photobiomodulation by helium neon and diode lasers in an excisional wound model: A single blinded trial.</t>
  </si>
  <si>
    <t>633
660
+
950</t>
  </si>
  <si>
    <t>"The results indicate that He-Ne laser resulted in more stimulatory effect than diode lasers. From the histopathological examination, we can conclude that 8 J/cm2 of He-Ne lasers appear to be the threshold dosage for an enhanced regeneration of tissue and reduced inflammation."</t>
  </si>
  <si>
    <t>Helium-neon laser improves skin repair in rabbits.</t>
  </si>
  <si>
    <t>Dermo-periostal incision (4 cm x 3 cm)</t>
  </si>
  <si>
    <t>"Taken together, our results suggest that helium-neon laser is able to improve skin repair in rabbits at early phases of recovery."</t>
  </si>
  <si>
    <t>AIP Conference Proceedings 1486</t>
  </si>
  <si>
    <t>Assessment of the effects of laser or LED photobiomodulation on hypothyroid rats of cutaneous wound healing: A morphometric study.</t>
  </si>
  <si>
    <t>LED phototherapy
LLLT vs LED
Excision wound (thickness unconfirmed)</t>
  </si>
  <si>
    <t>630
(LED)
660
(laser)</t>
  </si>
  <si>
    <t>150
40</t>
  </si>
  <si>
    <t>24
24</t>
  </si>
  <si>
    <t>0.5
cm2
4
mm2</t>
  </si>
  <si>
    <t>"This study has shown that hypothyroidism delays wound healing and Laser and LED photobiomodulation using 24 J/cm2 per session improved cutaneous wound healing in hypothyroid rats."</t>
  </si>
  <si>
    <t>Wound type: "A standardized excisional wound (1cm2 ) was created with a scalpel in the mid-dorsal region of each rat and was left without suturing or dressings."</t>
  </si>
  <si>
    <t>Adamskaya</t>
  </si>
  <si>
    <t>Vienna</t>
  </si>
  <si>
    <t>Light therapy by blue LED improves wound healing in an excision model in rats.</t>
  </si>
  <si>
    <t>Blue light 🔵
Wavelength comparison
Excisional wound (full thickness)</t>
  </si>
  <si>
    <t>470
630</t>
  </si>
  <si>
    <t>0.050
0.050</t>
  </si>
  <si>
    <t>"Illumination substantially influenced wound healing. Blue light significantly decreased wound size on day 7, which correlated with enhanced epithelialisation. Light also affected mRNA expression. Both wavelengths decreased keratin-1 mRNA on day 7 post-OP, while keratin-10 mRNA level was elevated in both light treated group compared to control. Keratin-17 mRNA was also elevated in the red light group, but was unchanged in the blue light group."
"In contrast to previous studies, we showed that also blue light significantly influences wound healing. Furthermore, our data suggest that light therapy can play an important role in normotrophic wound healing by affecting keratin expression. Illumination would provide an easily applicable, safe and cost-effective treatment of surface wounds."</t>
  </si>
  <si>
    <t>Effect of LED phototherapy (λ700 ± 20 nm) on TGF-β expression during wound healing: an immunohistochemical study in a rodent model</t>
  </si>
  <si>
    <t>"It is concluded that the use of LED light, at these specific parameters, caused an inhibition of the expression of TGF-β at an early stage of the healing process."</t>
  </si>
  <si>
    <t>Tacon</t>
  </si>
  <si>
    <t>Healing activity of laser InGaAlP (660nm) in rats.</t>
  </si>
  <si>
    <t>Punch exision wound</t>
  </si>
  <si>
    <t>"The wound healing activity InGaAlP laser was evidenced by increased angiogenesis group L3 and L6 in relation to control group (CG) at the 5(th) day (p=0.0001) and decreased polymorphonuclear infiltrate and hemorrhage (p=0.045 and p=0.07 respectively) in the groups L3 and L6 in relation to control group (GC). On the 10 and 15(th) days was also observed in groups treated with laser L3 and L6 stimulation was pronounced fibroplasia (p=0.0003 and p=0.034 respectively) when compared with the control group (CG)."
"The InGaAlP laser acted positively on the healing of skin wounds in rats."</t>
  </si>
  <si>
    <t>Effects of low-power laser irradiation (LPLI) at different wavelengths and doses on oxidative stress and fibrogenesis parameters in an animal model of wound healing.</t>
  </si>
  <si>
    <t>?
0.400</t>
  </si>
  <si>
    <t>1
3
1
3</t>
  </si>
  <si>
    <t>0.10
cm2
0.10
cm2</t>
  </si>
  <si>
    <t>"The results showed an improvement in the wound healing reflected by the reduction in wound size and increased collagen synthesis. Moreover, a significant reduction in TBARS levels, carbonyl content, and SOD and CAT activities were observed after laser irradiation, particularly with the treatments HeNe laser 1 and 3 J/cm(2) dose and GaAs 3 J/cm(2) dose. 
The data strongly indicate that LPLI therapy is efficient in accelerating the skin wound healing process after wounding, probably by reducing the inflammatory phase and inducing collagen synthesis."</t>
  </si>
  <si>
    <t>Marchionni</t>
  </si>
  <si>
    <t>Influence of laser (λ670 nm) and dexamethasone on the chronology of cutaneous repair.</t>
  </si>
  <si>
    <t>LLLT vs dexamethasone
Punch excision wound</t>
  </si>
  <si>
    <t>"Laser was effective in reducing swelling and polymorphonuclear cells and accelerated tissue repair, even in the presence of dexamethasone."</t>
  </si>
  <si>
    <t>Development and evaluation of fiber optic probe-based helium-neon low-level laser therapy system for tissue regeneration--an in vivo experimental study.</t>
  </si>
  <si>
    <t>Dose response
Biphasic dose response
Excisional wound (full thickness)</t>
  </si>
  <si>
    <t>1
2
3
4
6
8
10</t>
  </si>
  <si>
    <t>"A significant increase in hydroxyproline and glucosamine levels was observed for the 2 J cm(-2) irradiation group compared with the controls and other treatment groups. In conclusion, the wounds treated with 2 J cm(-2) immediately after the wounding show better healing compared with the controls.#</t>
  </si>
  <si>
    <t>Effects of laser photobiomodulation on cutaneous wounds treated with mitomycin C: a histomorphometric and histological study in a rodent model.</t>
  </si>
  <si>
    <t>Wavelength comparison
Excision wound (thickness unconfirmed)</t>
  </si>
  <si>
    <t>660
790</t>
  </si>
  <si>
    <t>"LPBM resulted in reduced inflammation and an increase in both fibroblast proliferation and collagen deposition."</t>
  </si>
  <si>
    <t>Brazil
(Viçosa)</t>
  </si>
  <si>
    <t>Comparative study of the effects of gallium-aluminum-arsenide laser photobiomodulation and healing oil on skin wounds in wistar rats: a histomorphometric study.</t>
  </si>
  <si>
    <t>Angiogenesis
PBM vs healing oil (MCTs + linoleic acid)
Circular or square incision</t>
  </si>
  <si>
    <t>"Results show that the 60 J/cm2 laser was more effective in stimulating angiogenesis. In addition, the 60 J/cm2 and the 30 J/cm2 laser were both more effective in promoting collagen maturation in the scar tissue of rats, respectively"</t>
  </si>
  <si>
    <t>Rodrigo</t>
  </si>
  <si>
    <t>Analysis of the systemic effect of red and infrared laser therapy on wound repair.</t>
  </si>
  <si>
    <t>Systemic effects
Punch excision wound</t>
  </si>
  <si>
    <t>685
830
or
685
+
830</t>
  </si>
  <si>
    <t>35
50
35
+
50</t>
  </si>
  <si>
    <t>20
20
10
+
10</t>
  </si>
  <si>
    <t>0.0314
cm2
(?)</t>
  </si>
  <si>
    <t>667
401
334
+
201</t>
  </si>
  <si>
    <t>"The combined application of red and infrared lasers resulted in the most evident systemic effect on the repair of skin wounds produced in rats."</t>
  </si>
  <si>
    <t>Gonzaga Ribeiro</t>
  </si>
  <si>
    <t>Morphological analysis of second-intention wound healing in rats submitted to 16 J/cm 2 lambda 660-nm laser irradiation.</t>
  </si>
  <si>
    <t>Standard-sized wound</t>
  </si>
  <si>
    <t>"We found that LLLT was able to slightly reduce the intensity of the inflammatory reaction as well as to enhance substantially the epithelization process at both 8 th and 14 th days. In addition, it also appeared to stimulate the deposition of collagen fibers at the final stages of wound healing."</t>
  </si>
  <si>
    <t>Iordanou</t>
  </si>
  <si>
    <t>Greece
(Ioannina)</t>
  </si>
  <si>
    <t>Effect of visible and infrared polarized light on the healing process of full-thickness skin wounds: an experimental study.</t>
  </si>
  <si>
    <t>580-
3400</t>
  </si>
  <si>
    <t>"According to our findings, the group exposed to light therapy showed statistically significantly faster epithelialization seen on days 10 and 15 post-wound compared to controls, as well as better quality of the healing process (although not statistically significantly) at all time points."</t>
  </si>
  <si>
    <t>Device: "A polarized light source (Bioptron III, Bioptron-AG, Wellezau, Germany) with the following characteristics was used: wavelength 480–3400 nm, degree of polarization 95%, power density 40 mW/cm2, and light energy 2.4 J/cm2. However, the wavelength of the polarized light delivered to the animals was modified to 580–3400 nm via the use of a Wratten color gelatin filter (number 25, Eastman Kodak Company, Rochester, NY, USA) placed over the light source."</t>
  </si>
  <si>
    <t>Tada</t>
  </si>
  <si>
    <t>J Trauma</t>
  </si>
  <si>
    <t>Effect of polarized light emitting diode irradiation on wound healing.</t>
  </si>
  <si>
    <t>LED phototherapy
Polarization
Excisional wound (full thickness)</t>
  </si>
  <si>
    <t>"The right circularly polarized light and linearly polarized light promoted the process of wound healing by increasing the proliferation of fibroblasts, and the right circularly polarized light increased the expression of type 1 procollagen mRNA. The effectiveness of right circularly polarized light suggests that some optical active material, which has a circular dichroic spectrum, takes part in a biochemical reaction."</t>
  </si>
  <si>
    <t>Gál</t>
  </si>
  <si>
    <t>Effect of equal daily doses achieved by different power densities of low-level laser therapy at 635 nm on open skin wound healing in normal and corticosteroid-treated rats.</t>
  </si>
  <si>
    <t>Wounds with aggravating factors (corticosteroid)
Excisional wound (full thickness)</t>
  </si>
  <si>
    <t>0.001
0.005
0.015</t>
  </si>
  <si>
    <t>"In conclusion, LLLT, by the method we used, improved wound healing in the non-steroid laser-treated rats, but it was useless after corticosteroid treatment."</t>
  </si>
  <si>
    <t>Immunohistochemical assessment of myofibroblasts and lymphoid cells during wound healing in rats subjected to laser photobiomodulation at 660 nm.</t>
  </si>
  <si>
    <t>"The average number of myofibroblasts was statistically significantly higher in the irradiated group than in the non-irradiated group on the eighth (p = 0.001) but not the 14th (p = 0.555) day. B and T cells were significantly more conspicuous in the irradiated group on both the eighth (p = 0.004 and 0.02, respectively) and 14th days (p = 0.04 and 0.03, respectively)."
"Our results suggest that LLLT facilitates myofibroblastic differentiation during the early stages of the cicatricial repair process. Furthermore, LLLT also appears to modulate the inflammatory response by downregulating lymphocytic proliferation during the wound healing process."</t>
  </si>
  <si>
    <t>Wound type: ""1cm2 surgical standardized wound was made on the back of each animal""</t>
  </si>
  <si>
    <t>Influence of laser photobiomodulation upon connective tissue remodeling during wound healing.</t>
  </si>
  <si>
    <t>"Thus, laser photobiomodulation was able to induce several modifications during the cutaneous healing process, especially in favoring newly-formed collagen fibers to be better organized and compactedly disposed."</t>
  </si>
  <si>
    <t>Effect of 670-nm laser therapy and dexamethasone on tissue repair: a histological and ultrastructural study.</t>
  </si>
  <si>
    <t>Punch excision injury 
Edema
LLLT vs dexamethasone
Punch excision wound</t>
  </si>
  <si>
    <t>"LLLT alone accelerates post-surgical tissue repair and reduces edema and the polymorphonuclear infiltrate even in the presence of dexamethasone."</t>
  </si>
  <si>
    <t>Gul</t>
  </si>
  <si>
    <t>The effects of topical tripeptide copper complex and helium-neon laser on wound healing in rabbits</t>
  </si>
  <si>
    <t>84 (?)
300</t>
  </si>
  <si>
    <t>"The median time for the first observable granulation tissue was shorter (P &lt; 0.05) in the low and high dose laser groups than in the control group (3 and 2.66 vs. 4.5 days), but was not different between the TCC and control groups (4.16 vs. 4.5 days)."
"Filling of the open wound to skin level with granulation tissue was faster (P &lt; 0.05) in the TCC and high dose laser groups than in the control group (14 and 16 vs. 25 days), but was not different between the low dose laser and control groups (23 vs. 25 days)."
"The average time for healing was shorter (P &lt; 0.05) in the TCC and high dose laser groups (29.8 and 30.2 vs. 34.6 days), but was not different between the low dose laser and control groups (33.8 vs. 34.6 days)."
"The TCC and high dose laser groups had greater neutrophil and vessel counts than in the control group, suggesting a more beneficial effect for wound healing."</t>
  </si>
  <si>
    <t>Effects of a single near-infrared laser treatment on cutaneous wound healing: biometrical and histological study in rats.</t>
  </si>
  <si>
    <t>1.3
3.0</t>
  </si>
  <si>
    <t>"Irradiated lesions presented a more advanced healing process than control group. The dose of 1.3 J cm(-2) leaded to better results. Lesions of the group irradiated with 1.3 J cm(-2) presented faster lesion contraction showing quicker re-epithelization and reformed connective tissue with more organized collagen fibers."</t>
  </si>
  <si>
    <t>Photobiomodulation on the angiogenesis of skin wounds in rats using different light sources.</t>
  </si>
  <si>
    <t>Angiogenesis
Biphasic dose response
LED phototherapy
LED vs LLLT
Punch excision wound</t>
  </si>
  <si>
    <t>660
(LLLT)
635
(LED)</t>
  </si>
  <si>
    <t>40
90</t>
  </si>
  <si>
    <t>5
20
5
20</t>
  </si>
  <si>
    <t>0.04
cm2
0.085
cm2</t>
  </si>
  <si>
    <t>"On days 3, 7, and 14, the proliferation of blood vessels in all irradiated groups was superior in comparison to those of the control group (p &lt; 0.05). Treatment with fluence of 5 J/cm(2) was better than the laser group with 20 J/cm(2) on day 21."
"Red LLLT and LED demonstrated expressive results in angiogenesis. Light coherence was shown not to be essential to angiogenesis."</t>
  </si>
  <si>
    <t>Evaluation of mitochondrial respiratory chain activity in wound healing by low-level laser therapy.</t>
  </si>
  <si>
    <t>15-
30</t>
  </si>
  <si>
    <t>"The results showed that low-level laser therapy improved wound healing. Besides, our results showed that low-level laser therapy significantly increased the activities of complexes II and IV but did not affect succinate dehydrogenase activity. These findings are in accordance to other works, where cytochrome c oxidase (complex IV) seems to be activated by low-level laser therapy."</t>
  </si>
  <si>
    <t>Demidova-Rice</t>
  </si>
  <si>
    <t>Low-level light stimulates excisional wound healing in mice.</t>
  </si>
  <si>
    <t>Biphasic dose response
Laser vs non-coherent
Wavelength comparison
Excision (full-thickness wound)</t>
  </si>
  <si>
    <t>635
670
720
820</t>
  </si>
  <si>
    <t>1
2
10
50</t>
  </si>
  <si>
    <t xml:space="preserve">"820 nm is the most effective wavelength"
"laser and non-coherent lamp are equivalent"
"LLLT stimulates wound contraction in susceptible mouse strains but the mechanism remains uncertain."
</t>
  </si>
  <si>
    <t>Biomodulative effects of polarized light on the healing of cutaneous wounds on nourished and undernourished Wistar rats.</t>
  </si>
  <si>
    <t>Polychromatic light 🌈 (polarized)
Biphasic dose response
Wounds with aggravating factors (undernutrition)
Excisional wound (standardized)</t>
  </si>
  <si>
    <t>"It is concluded that nutritional status influenced the progression of the healing process as well as the quality of the healed tissue, and that the use of polarized light resulted in a positive biomodulatory effect."
"The analysis of the results showed better results in these groups illuminated with 20 J/cm(2)."</t>
  </si>
  <si>
    <t>A comparative study of the effects of laser and LED radiation on lipid peroxidation in rat wound fluid</t>
  </si>
  <si>
    <t>Wound exudate lipid peroxidation
LED phototherapy
LLLT vs LED
Coherence
Excision (full-thickness)</t>
  </si>
  <si>
    <t>630
(LED)
632
(laser)</t>
  </si>
  <si>
    <t>"It was concluded that irradiation with light of both laser and LED decreases the level of oxidative stress in wound fluid and that radiation coherence does not play a significant role."</t>
  </si>
  <si>
    <t>Polychromatic LED in oval full-thickness wound healing in non-diabetic and diabetic rats.</t>
  </si>
  <si>
    <t>LED phototherapy
Biphasic dose response
Diabetic rats
Polychromatic light 🌈
Excision (full-thickness)</t>
  </si>
  <si>
    <t>"The effect of polychromatic LED therapy in oval full-thickness wound-healing in the diabetic model with the use of 5 and 10 J/cm(2) is promising. Further studies to determine optimum dosimetry and efficacy of LEDs are recommended."</t>
  </si>
  <si>
    <t>Brazil
(Salvador, Bahia) (?)</t>
  </si>
  <si>
    <t>Polarized light (400-2000 nm) and non-ablative laser (685 nm): a description of the wound healing process using immunohistochemical analysis.</t>
  </si>
  <si>
    <t>Biphasic dose response
Polychromatic light 🌈 (polarized)
Excision (standardized)</t>
  </si>
  <si>
    <t>400-
2000
or
685</t>
  </si>
  <si>
    <t>"Dose was also shown to have influence on the outcome of the treatment as on both cases, the use of 20 J/cm2 resulted on better effects on the healing process resulting on better organization and distribution of collagen fibers and influencing the numbers of myofibroblast"
"The present study indicates that the use of _x0001_685-nm laser light or polarized light with a dose of 20 J/cm2 resulted in increased collagen deposition and better organization on healing wounds, and that the number of myofibroblasts is increased when polarized light is used."</t>
  </si>
  <si>
    <t>Mendez</t>
  </si>
  <si>
    <t>Dose and wavelength of laser light have influence on the repair of cutaneous wounds.</t>
  </si>
  <si>
    <t>685
or
830
or
685
+
830</t>
  </si>
  <si>
    <t>20/50</t>
  </si>
  <si>
    <t>"Group IV (lambda 830 nm and lambda 685 nm, 20 J/cm(2)) presented better results at the end of the experimental period. It is concluded that low-level light therapy (LLLT) can have a positive biomodulatory effect on the repair of cutaneous wounds."</t>
  </si>
  <si>
    <t>A preliminary report on the effect of laser therapy on the healing of cutaneous surgical wounds as a consequence of an inversely proportional relationship between wavelength and intensity: histological study in rats.</t>
  </si>
  <si>
    <t>670
685</t>
  </si>
  <si>
    <t>2
15
25
2
15
25</t>
  </si>
  <si>
    <t>"The results of the present study indicate that LLLT improved cutaneous wound repair and that the effect is a result of an inversely proportional relationship between wavelength and intensity, with treatment more effective when combining higher intensity with short wavelength or lower intensity with higher wavelength."</t>
  </si>
  <si>
    <t>Pessoa</t>
  </si>
  <si>
    <t>A histologic assessment of the influence of low-intensity laser therapy on wound healing in steroid-treated animals.</t>
  </si>
  <si>
    <t>Wounds with aggravating factors (dexamethasone)</t>
  </si>
  <si>
    <t>2.75</t>
  </si>
  <si>
    <t>"The results have shown that the wounds treated with steroid had a delay in healing, while LLLT accelerated the wound healing process. Also, wounds treated with laser in the animals treated with steroid presented a differentiated healing process with a larger collagen deposition and also a decrease in both the inflammatory infiltrated and the delay on the wound healing process."
"LLLT accelerated healing, caused by the steroid, acting as a biostimulative coadjutant agent, balancing the undesirable effects of cortisone on the tissue healing process."</t>
  </si>
  <si>
    <t>Al-Watban &amp; Zhang</t>
  </si>
  <si>
    <t>The comparison of effects between pulsed and CW lasers on wound healing.</t>
  </si>
  <si>
    <t>Pulsing
Excision (full-thickness)</t>
  </si>
  <si>
    <t>0.00089</t>
  </si>
  <si>
    <t>"The 100-Hz frequency had a better effect than other pulse frequencies used in the study. The effects of treatment using CW laser was higher than pulse frequency. The frequency of pulsed CW laser was not found to increase wound healing in rats compared with normal CW laser, as reported in our previous studies."</t>
  </si>
  <si>
    <t>Evaluation of the use of low level laser and photosensitizer drugs in healing.</t>
  </si>
  <si>
    <t>"The animals of groups LG, PS, LPS, and LPSG presented higher collagen content and enhanced re-epithelialization as compared to CG (control) and GB rats."</t>
  </si>
  <si>
    <t>Pugliese</t>
  </si>
  <si>
    <t>Pesqui Odontol Bras</t>
  </si>
  <si>
    <t>The influence of low-level laser therapy on biomodulation of collagen and elastic fibers.</t>
  </si>
  <si>
    <t>"The treated animals presented a larger expression of collagen and elastic fibers, although without statistical significance (p &gt; 0.05). Treatment with a dosage of 4 J/cm(2) exhibited more expressive results than that with 8 J/cm(2). In this study, the authors concluded that low-level laser therapy contributed to a larger expression of collagen and elastic fibers during the early phases of the wound healing process."</t>
  </si>
  <si>
    <t>Influence of low level laser therapy on wound healing and its biological action upon myofibroblasts.</t>
  </si>
  <si>
    <t>31
62</t>
  </si>
  <si>
    <t>"Treatment with a dosage of 4 J/cm(2) was superior to that with 8 J/cm(2)."
"Laser therapy reduced the inflammatory reaction, induced increased collagen deposition and a greater proliferation of myofibroblasts in experimental cutaneous wounds."</t>
  </si>
  <si>
    <t>Walker</t>
  </si>
  <si>
    <t>Effect of low-intensity laser irradiation (660 nm) on a radiation-impaired wound-healing model in murine skin.</t>
  </si>
  <si>
    <t>Excision (full-thickness)
Wounds with aggravating factors (radiation)</t>
  </si>
  <si>
    <t>0.5
1.5
4.0</t>
  </si>
  <si>
    <t xml:space="preserve">"Results from this investigation demonstrated that treatment with 0.5, 1.5. and 4 J/cm(2) had no beneficial effect on the rate of wound closure (P &gt; 0.05)."
</t>
  </si>
  <si>
    <t>Petersen</t>
  </si>
  <si>
    <t>South Africa
(Onderstepoort)</t>
  </si>
  <si>
    <t>The effect of low level laser therapy (LLLT) on wound healing in horses.</t>
  </si>
  <si>
    <t>Excision (full-thickness)</t>
  </si>
  <si>
    <t>"There were no significant differences in wound contraction or epithelialisation between the laser treated and the control wounds. It was therefore concluded that laser therapy had no clinically significant effect on second intention wound healing in this study."</t>
  </si>
  <si>
    <t>Houghton</t>
  </si>
  <si>
    <t>Effect of low level laser on healing in wounded fetal mouse limbs</t>
  </si>
  <si>
    <t>Excision (full-thickness)
Biphasic dose response</t>
  </si>
  <si>
    <t>0.23
1.37
2.75
3.66
4.58</t>
  </si>
  <si>
    <t>"The results showed that laser treatment, at an energy density of 0.23 and 1.37 J/cm2, significantly augmented the change in wound size, wound closure rate, and wound appearance in a dose dependent manner. Collagen deposition in the bone and dermis of wounded fetal mouse limbs was greatest in limbs that were treated with certain doses of laser (0.23, 2.75, and 3.66 J/cm2). Administration of higher doses of laser (4.58 J/cm2) was detrimental to both the photographic and histological appearance of the wound. 
We conclude that laser therapy, when delivered at an appropriate energy density, can directly promote wound healing processes."</t>
  </si>
  <si>
    <t>Effect of low intensity monochromatic light therapy (890 nm) on a radiation-impaired, wound-healing model in murine skin.</t>
  </si>
  <si>
    <t>X-rays (20 Gy)
LED phototherapy? (Anodyne)
Square wound
Wounds with aggravating factors (radiation)</t>
  </si>
  <si>
    <t>0.18
0.54
1.45</t>
  </si>
  <si>
    <r>
      <rPr>
        <sz val="6.0"/>
      </rPr>
      <t xml:space="preserve">"These findings provide little evidence of the putative stimulatory effects of monochromatic light irradiation in vivo, but, rather, reveal the potential for an inhibitory effect at higher radiant exposures."
Note: A comment was published by Tiina Karu. A quote from her comment: 
</t>
    </r>
    <r>
      <rPr>
        <i/>
        <sz val="6.0"/>
      </rPr>
      <t>"One conclusion reached from in vitro cellular experiments and the clinical “laser biostimulation” literature is that the cells in conditions of
low oxygen concentration, acidic pH, or without necessary nutrients are much more sensitive (and susceptible) to irradiation than are those in optimal or near optimal conditions [6–8]. In case of fresh wounds, all stages of wound repair occur more or less at their natural rate; thus, no substantial acceleration due to the irradiation can be expected for biological reasons. Can this knowledge help to create an appropriate and suitable animal model?"</t>
    </r>
  </si>
  <si>
    <t>Allendorf</t>
  </si>
  <si>
    <t>Helium-neon laser irradiation at fluences of 1, 2, and 4 J/cm2 failed to accelerate wound healing as assessed by both wound contracture rate and tensile strength.</t>
  </si>
  <si>
    <t>"Despite our intentions of studying the mechanism of low energy HeNe biostimulation, we were unable to demonstrate a beneficial effect."</t>
  </si>
  <si>
    <t>Comparison of wound healing process using Argon and Krypton lasers.</t>
  </si>
  <si>
    <t>Dose response
Biphasic dose response
Excision (full-thickness)</t>
  </si>
  <si>
    <t>488
670</t>
  </si>
  <si>
    <t>"The effects were dependent with the doses and laser wavelengths used. In this experiment, the optimum stimulative dose was 20 J/cm2 and the Argon Laser with 488 nm was more effective than the Krypton Laser with 670 nm."</t>
  </si>
  <si>
    <t>Kameya</t>
  </si>
  <si>
    <t>Japan
(Obihiro)</t>
  </si>
  <si>
    <t>Effect of different wavelengths of low level laser therapy on wound healing in mice</t>
  </si>
  <si>
    <t>Punch excision wound
Wavelength comparison</t>
  </si>
  <si>
    <t>633
680
830</t>
  </si>
  <si>
    <t>"No significant difference was observed between the four groups by macroscopic examination. The area of skin defect of the treated groups was significantly smaller than that of the control groups (p &lt; 0.05) from the 1st-13th day after irradiation. For both irradiated and non-irradiated skin defects of treatment groups, Group III was smaller than Group II (p &lt; 0.05) and Group IV was smaller than Group II (p &lt; 0.05) Histological examination of the tissue skin defect showed greater proliferation of connective tissue and blood vessels in the dermis in treated groups than in control."</t>
  </si>
  <si>
    <t>Effect of low level energy laser irradiation on wound healing. An experimental study in rats.</t>
  </si>
  <si>
    <t>"Neither the clinical nor the microscopical examination of the wound healing process revealed any differences between group A1, A2, B1 and B2, during the observation period. This study did not confirm that low level energy laser treatment would affect the wound healing process."</t>
  </si>
  <si>
    <t>Fretz &amp; Li</t>
  </si>
  <si>
    <t>Canada &amp; China</t>
  </si>
  <si>
    <t>Low energy laser irradiation treatment for second intention wound healing in horses.</t>
  </si>
  <si>
    <t>Excision (full-thickness)
Wounds on metacarpophalangeal/metatarsophalangeal and tarsocrural joints.</t>
  </si>
  <si>
    <t>0.085</t>
  </si>
  <si>
    <t>15.3</t>
  </si>
  <si>
    <t>d = 
44 mm</t>
  </si>
  <si>
    <t xml:space="preserve">180
/p
5p per wound
</t>
  </si>
  <si>
    <t>"There were no differences (p &gt; 0.55) observed in the rate of wound healing between the low energy laser irradiated wounds and the control wounds. There was a significant difference (p &lt; 0.006) observed in the rate of healing between the anatomical sites. Tarsal wounds healed more rapidly than fetlock wounds."
Comment: If the beam diabeter is over 4cm and power output is 13 mW, then the claimed power density of 0.085 W/cm2 (85 mW/cm2) is impossible. It may be possible that parameters have been reported incorrectly.</t>
  </si>
  <si>
    <t>Anneroth</t>
  </si>
  <si>
    <t>The effect of low-energy infra-red laser radiation on wound healing in rats.</t>
  </si>
  <si>
    <t>"No difference was observed concerning bleeding time, nor as to the formation and loss of crust. None of the wounds showed signs of infection during the observation period. Histological examination indicated no obvious morphological difference between the laser-treated and the untreated wounds. The present study did not confirm that the use of low-energy infra-red laser radiation could improve the wound healing process."</t>
  </si>
  <si>
    <t>Effect of diodes-laser silver arsenide-aluminium (Ga-Al-As) 904 nm on healing of experimental wounds.</t>
  </si>
  <si>
    <t>Biphasic dose response
Square wound (unknown thickness)</t>
  </si>
  <si>
    <t>LLLT for 5 minutes daily: "promoted healing of experimental wounds in rats from both a microscopic and histologic point of view"
LLLT for 10 minutes daily: "did not affect the experimental wounds"</t>
  </si>
  <si>
    <t>Saperia</t>
  </si>
  <si>
    <t>USA
(Torrance, CA)</t>
  </si>
  <si>
    <t>Demonstration of elevated type I and type III procollagen mRNA levels in cutaneous wounds treated with helium-neon laser. Proposed mechanism for enhanced wound healing.</t>
  </si>
  <si>
    <t>Square wound (full-thickness)</t>
  </si>
  <si>
    <t>"The results indicated that type I and type III mRNA levels were markedly increased at days 17 and 28 of the healing in wounds treated with He-Ne laser, when compared to control or tungsten light-treated wounds. The results suggest that helium-neon laser stimulates wound healing by enhancing procollagen gene expression. These observations may have relevance to previous clinical studies suggesting that helium-neon laser stimulates wound healing."</t>
  </si>
  <si>
    <t>Dyson &amp; Young</t>
  </si>
  <si>
    <t>Effect of laser therapy on wound contraction and cellularity in mice</t>
  </si>
  <si>
    <t>Pulsing
Square wound (full-thickness)</t>
  </si>
  <si>
    <t>"Treatment at 700 Hz increased wound contraction in comparison with treatment at 1200 Hz, when all other controllable parameters were kept constant. By 11 days after injury the cellularity of the wound bed was greater in the wounds treated with 700 Hz than in those treated with 1200 Hz, with the greatest difference being found in the number of fibroblasts, the cells primarily responsible for wound contraction."</t>
  </si>
  <si>
    <t>McCaughan</t>
  </si>
  <si>
    <t>Effect of low-dose argon irradiation on rate of wound closure.</t>
  </si>
  <si>
    <t>515
or
540 maybe?</t>
  </si>
  <si>
    <t>"We found no difference in the rate of healing of any of these wounds and, under these experimental conditions, found no effect on the overall rate of wound healing by low-dose argon laser exposure."
Comment: They used argon laser. Wavelength was not specified, but the wavelength was probably in the blue or green range.</t>
  </si>
  <si>
    <t>Mashiko</t>
  </si>
  <si>
    <t>Nippon Laser Igakkaishi</t>
  </si>
  <si>
    <t>Effect of near-infrared light irradiation on wound healing using high power light emitting diodes</t>
  </si>
  <si>
    <t>LED phototherapy
Polarization
Excision (full-thickness)</t>
  </si>
  <si>
    <t>"Appreciable difference of wound healing could not be detected between the non-polarized light irradiation group and the non-irradiated group. However, in those with the linearly polarized light irradiation, the duration of wound healing became significantly shortened. Hence, we could confirm a qualitative difference of its effect on wound healing between the groups irradiated by the non-polarized light and the linearly polarized light with the same wavelength."</t>
  </si>
  <si>
    <t>Hunter</t>
  </si>
  <si>
    <t>Effects of low energy laser on wound healing in a porcine model.</t>
  </si>
  <si>
    <t>Excision (partial-thickness)</t>
  </si>
  <si>
    <t>"Low energy helium neon laser has been suggested as an effective adjuvant in the healing of open wounds. To date, supportive studies have been performed in loose-skinned animals. For such data to be clinically meaningful, it was felt necessary to study this effect in an animal with a dermal structure more closely resembling that of man, the pig. 
After creating 62 partial thickness wounds on the dorsum of domestic swine, one-half of these were randomized to receive laser treatment. The remainder served as controls. Laser treated wounds received a daily treatment of 15 sec/cm2 at an irradiance of 64 mW/cm2 (energy fluence = .96 J/cm2/day). With these treatment parameters, we could not demonstrate any clinically significant laser induced acceleration of open wound healing."</t>
  </si>
  <si>
    <t>Surinchak</t>
  </si>
  <si>
    <t>Effects of low-level energy lasers on the healing of full-thickness skin defects.</t>
  </si>
  <si>
    <t>"HeNe laser irradiation of wounds increases certain aspects of healing in the early stages, but not to such a degree as to be clinically applicable. More detailed research is indicated to obtain optimal exposure levels necessary to accelerate wound healing significantly."</t>
  </si>
  <si>
    <t>Wound healing: biological effects of Nd:YAG laser on collagen metabolism in pig skin in comparison to thermal burn.</t>
  </si>
  <si>
    <t>Nd:YAG laser
Excision (full-thickness)</t>
  </si>
  <si>
    <t>612
649</t>
  </si>
  <si>
    <t>"Laser treatment resulted in reduction of the amount of collagen below that in burn scarred or normal skin, suggesting that classical scar formation may be inhibited. These results indicate that the Nd:YAG laser may be useful for the treatment of keloids and hypertrophic scars."</t>
  </si>
  <si>
    <t>Kana</t>
  </si>
  <si>
    <t>Germany
(Mayence/Mainz)</t>
  </si>
  <si>
    <t>Arch Surg</t>
  </si>
  <si>
    <t>Effect of low-power density laser radiation on healing of open skin wounds in rats.</t>
  </si>
  <si>
    <t>Biphasic dose response
LLLT vs LED (non-coherent light, not actually led)
Punch excision wound</t>
  </si>
  <si>
    <t>515
633</t>
  </si>
  <si>
    <t>4/10/20
4/10/20</t>
  </si>
  <si>
    <t>"Helium-neon laser radiation had a statistically significant stimulating effect on collagen synthesis in the wound, with a maximum effect at an energy density of 4 joules/sq cm. The rate of wound closure was enhanced significantly between the third and 12th postoperative days. The argon laser exposure produced a significant increase in collagen concentration both in irradiated and nonirradiated contralateral wounds. However, an acceleration of the healing rate was not registered in this case."
"The wound contraction up to the fourth day of the experiment was inhibited under helium-neon and argon laser exposure to 20 joules/sq cm. "
The described effects were not specific for the laser light. There may be a wavelength-selective influence of coherent light on the metabolic and proliferation processes in wound healing, with the associated problem of the possible carcinogenic effects of laser radiation."
"There was no qualitative difference in the effect on wound healing between the incoherent light and the laser of the same wavelength."
"Rather, it indicates that the enhanced closure rate under helium-neon and incoherent red light exposure was caused by accelerated epithelization of the wound. An activation of epidermis cells has been observed histologically after nondestructive laser irradiation."
Comment: Pal Greguss (1984) said that Kana didn't observe any wound healing. Therefore, I think the full text should be carefully investigate to understand the contradiction.</t>
  </si>
  <si>
    <t>Flowable wound matrix</t>
  </si>
  <si>
    <t>Photobiomodulation of a flowable matrix in a human skin ex vivo model demonstrates energy-based enhancement of engraftment integration and remodeling.</t>
  </si>
  <si>
    <t>Ex vivo (🧑 Human)</t>
  </si>
  <si>
    <t>(0.9)
(2.7)
4.5</t>
  </si>
  <si>
    <t>(30)
(90)
150</t>
  </si>
  <si>
    <t>"Here, we evaluated the effect of PBM on a collagen-glycosaminoglycan flowable wound matrix (FWM) in an ex vivo human skin wound model. PBM resulted in accelerated rate of re-epithelialization and organization of matrix as seen by structural arrangement of collagen fibers, and a subsequent increased expression of α-SMA and VEGF-A leading to an overall improved healing process."</t>
  </si>
  <si>
    <t>Hemophilia</t>
  </si>
  <si>
    <t>Hoffman &amp; Monroe</t>
  </si>
  <si>
    <t>Low intensity laser therapy speeds wound healing in hemophilia by enhancing platelet procoagulant activity.</t>
  </si>
  <si>
    <t>"All wounds were closed at 13 days in the sham-treated hemophilic mice, compared with 10 days in the LILT-treated hemophilic mice, and 9 days in wild-type mice. While LILT can speed healing by enhancing proliferation of cutaneous cells, we found that an additional mechanism likely contributes to the efficacy of LILT in the hemophilic mice. LILT enhanced the mechanical rigidity and platelet activity of clots formed from human platelet-rich plasma. Illumination of isolated platelets increased the mitochondrial membrane potential and enhanced binding of coagulation factors to the surface of activated platelets. 
Thus, while LILT can directly promote proliferative responses during healing, it also appears to enhance hemostasis in an animal model with impaired coagulation. These data suggest that trials of LILT as an adjunct to the usual hemostatic therapies in hemophilia are warranted."</t>
  </si>
  <si>
    <t>Immunosuppressed animals</t>
  </si>
  <si>
    <t>Effects of Pulsed 810 nm Al-Ga-As Diode Laser on Wound Healing Under Immunosuppression: A Molecular Insight.</t>
  </si>
  <si>
    <t>Mechanisms of wound healing (biochemical)
Wounds with aggravating factors (immunosuppression)</t>
  </si>
  <si>
    <t>"Results distinctly revealed that pulsed 810 nm (10 Hz) PBM potentially influenced the cell survival and proliferation signaling pathway by significantly upregulated phospho-protein kinase B(phospho-Akt), phospho-extracellular-signal-regulated kinase 1 (ERK1), transient receptor potential vanilloid-3 (TRPV3), Ca2+ , calmodulin, transforming growth factor-β1 (TGF-β1), TGF-βR3, and Na + /K + -ATPase pump levels."
"PBM treatment resulted in reduction of exaggerated inflammatory responses evident by significantly repressed levels of interleukin-1β (IL-1β), IL-6, cyclooxygenase 2 (COX-2), and substance-P receptor (SPR), as well as inhibited apoptotic cell death by decreasing p53, cytochrome C, and caspase 3 levels (P &lt; 0.05), which, in turn, effectively augment the wound repair in immunosuppressed rats."
"PBM treatment also lowered 4-hydroxynoneal (HNE) adduct level and NADP/NADPH ratio and upregulated the GRP78 expression, which might culminate into reduced oxidative stress and maintained the redox homeostasis."
"Taken together, these findings would be helpful in better understanding of the molecular aspects involved in pulsed 810 nm laser-mediated dermal wound healing in immunosuppressed rats through regulation of cell survival and proliferation via Ca2+ -calmodulin, Akt, ERK, and redox signaling."</t>
  </si>
  <si>
    <t>Photobiomodulation with Pulsed and Continuous Wave Near-Infrared Laser (810 nm, Al-Ga-As) Augments Dermal Wound Healing in Immunosuppressed Rats.</t>
  </si>
  <si>
    <t>Wounds with aggravating factors (immunosuppression)
Pulsed vs continuous</t>
  </si>
  <si>
    <t>"Results clearly delineated that 810 nm PBM at 10 Hz was more effective over continuous and 100 Hz frequency in accelerating wound healing by attenuating the pro-inflammatory markers (NF-kB, TNF-α), augmenting wound contraction (α-SM actin), enhancing cellular proliferation, ECM deposition, neovascularization (HIF-1α, VEGF), re-epithelialization along with up-regulated protein expression of FGFR-1, Fibronectin, HSP-90 and TGF-β2 as compared to the non-irradiated controls.
Additionally, 810 nm laser irradiation significantly increased CCO activity and cellular ATP contents."
Star: Parameters were well reported.</t>
  </si>
  <si>
    <t>Incision (first intention)</t>
  </si>
  <si>
    <t>Paredes</t>
  </si>
  <si>
    <t>The Effect of Fluence on Macrophage Kinetics, Oxidative Stress, and Wound Closure Using Real-Time In Vivo Imaging.</t>
  </si>
  <si>
    <t>3
9
18</t>
  </si>
  <si>
    <t>"A fluence of 3 J/cm2 demonstrated significant increases in macrophage migration speed, fewer stops along the way, and greatest directed migration toward the wound. These findings were associated with a significant reduction in wound content reactive oxygen species when compared with control wounded fins."
"Both 3 and 9 J/cm2 significantly accelerated wound closure when compared with nonirradiated control fish."
"Wound macrophage activity could be manipulated by applied fluence, leading to reduced levels of wound reactive oxygen species and accelerated wound closure. The zebrafish model provides a means to quantitatively compare wound macrophage behavior in response to a variety of laser treatment parameters in real time."</t>
  </si>
  <si>
    <t>Firouzi</t>
  </si>
  <si>
    <t>The Combined Effects of Levothyroxine and Low Level Laser Therapy on Wound Healing in Hypothyroidism Male Rat Model.</t>
  </si>
  <si>
    <t>Wounds with aggravating factors (hypothyroidism)
PBM vs levothyroxine</t>
  </si>
  <si>
    <t>"The results of our study showed that the application of laser and levothyroxine synchronously improves the biomechanical parameters of wound during healing in comparison to the use of laser and levothyroxine solely."</t>
  </si>
  <si>
    <t>Combined Effect of Low-Level Laser Treatment and Levothyroxine on Wound Healing in Rats With Hypothyroidism.</t>
  </si>
  <si>
    <t>"The results showed that hypothyroidism reduced fibrous tissue volume, fibroblasts, and basal cell numbers. The combined effect of laser and levothyroxine improved all parameters."
Comment: PBM alone had no effect, and PBM didn't increase the effects of levothyroxine. Not mentioning these findings in abstract might be classified as spin.</t>
  </si>
  <si>
    <t>The effects of transcutaneous low-level laser therapy on the skin healing process: an experimental model.</t>
  </si>
  <si>
    <t>90
(?)</t>
  </si>
  <si>
    <t>3.213</t>
  </si>
  <si>
    <t>"In sum, the findings of this study reveal that the levels of endogenous enzymatic antioxidants as well as the levels of inflammatory mediators did not show any differences among the analyzed groups, not even when the comparison was between the incised-wound groups and control. Moreover, these levels did not suffer any influence from the transcutaneous low-level laser therapy (modified ILIB).
On the other hand, regarding the evaluation of the histopathological and morphometric parameters, the treated groups showed the influence of the transcutaneous LLLT when compared with the placebo groups. Surprisingly, the 1-day treatment group was the one with levels of collagen fibers closer to ideal; therefore, new studies should be conducted with different laser doses, and other biochemical markers should be analyzed so that the effects of transcutaneous LLLT can be better elucidated."</t>
  </si>
  <si>
    <t>Photobiomodulation of wound healing via visible and infrared laser irradiation.</t>
  </si>
  <si>
    <t>635
809</t>
  </si>
  <si>
    <t>50
50
50
50</t>
  </si>
  <si>
    <t>20
60
20
60</t>
  </si>
  <si>
    <t>"In this study, it is observed that 635 nm laser irradiations of low energy densities had stimulative effects in terms of cell proliferation in vitro and mechanical strength of incisions in vivo.
However, 809 nm laser irradiations at the same doses did not have any positive effect."</t>
  </si>
  <si>
    <t>Figurová</t>
  </si>
  <si>
    <t>Histological Assessment of a Combined Low-Level Laser/Light-Emitting Diode Therapy (685 nm/470 nm) for Sutured Skin Incisions in a Porcine Model: A Short Report.</t>
  </si>
  <si>
    <t>🐖 Pig (minipig)</t>
  </si>
  <si>
    <t>LED array (4 red + 13 blue)
LED phototherapy</t>
  </si>
  <si>
    <t>685
+
470</t>
  </si>
  <si>
    <t>200
+
208</t>
  </si>
  <si>
    <t>3.36</t>
  </si>
  <si>
    <t>"Combined red and blue PBM accelerated the process of re-epithelization and formation of cross-linked collagen fibers compared with sham irradiated control wounds."
"Our results demonstrate that the current dose of combined red and blue PBM improves the healing of sutured skin incisions in minipigs."</t>
  </si>
  <si>
    <t>Effect of light-emitting diode (ʎ 627 nm and 945 nm ʎ) treatment on first intention healing: immunohistochemical analysis.</t>
  </si>
  <si>
    <t>LED phototherapy
Wavelength comparison
Incision (sutured)</t>
  </si>
  <si>
    <t>627
945</t>
  </si>
  <si>
    <t>"The histologic analysis with tissue samples stained with picrosirius red showed a statistical difference between the positive controls, LED 627 and LED 945 nm groups; the group treated with LED 627 nm showed a predominance of mature collagen. The immunohistochemical analysis showed a statistically significant high concentration of collagen I in the LED 945 nm group. The irradiation of wounds with the higher wavelength (945 nm) used in the study produced the best activity of collagen I formation in experimental model."</t>
  </si>
  <si>
    <t>Dawood &amp; Salman</t>
  </si>
  <si>
    <t>Low level diode laser accelerates wound healing.</t>
  </si>
  <si>
    <t>"In this study, we found that the wounds, which were illuminated for 12 min/session healed in about 3 days earlier than those which were illuminated for 18 min/session. Both of them were healed earlier in about 10-11 days than the control group did."</t>
  </si>
  <si>
    <t>Wound type: "The backs of the animals were cleaned and shaved, and then two wounds of about 3 cm in length were created on both sides of the back of each animal. Small piece of the wound area of about 2×2 cm was taken by a sharp scissor."</t>
  </si>
  <si>
    <t>Rev Bras Eng Biomed</t>
  </si>
  <si>
    <t>Low-intensity laser therapy and led (light emitting diode) therapy in mechanical resistance of Rattus norvegicus chest inscision with implant of steel wire for sternal suture</t>
  </si>
  <si>
    <t>LED vs LLLT
LED phototherapy
Incision (sutured)</t>
  </si>
  <si>
    <t>640
660</t>
  </si>
  <si>
    <t>6
10
6
10</t>
  </si>
  <si>
    <t>"Both LILT and LED can promote wound healing at the tested doses with increased tissue resistance, although its elasticity is reduced."</t>
  </si>
  <si>
    <t>Effect of low level laser on sutured wound healing in rats.</t>
  </si>
  <si>
    <t>Incision (sutured)</t>
  </si>
  <si>
    <t>"Low-level laser therapy resulted in modulate of the inflammatory response, enhanced deposition of collagen fibers and increase in the average number of newly formed vessels."</t>
  </si>
  <si>
    <t>Santuzzi</t>
  </si>
  <si>
    <t>Combined use of low level laser therapy and cyclooxygenase-2 selective inhibition on skin incisional wound reepithelialization in mice: a preclinical study.</t>
  </si>
  <si>
    <t>PBM vs celecoxib
Incision (sutured)</t>
  </si>
  <si>
    <t>"The results show that the use of low level laser therapy and ICOX2 in isolation increases epithelial cells, but only low level laser therapy reduced skin keratinocytes. The combined treatment restores innate epithelialization and decreases keratinization in spite of accelerating wound contraction with improvement in the organization of the wound in the skin of mice."</t>
  </si>
  <si>
    <t>Vasilenko</t>
  </si>
  <si>
    <t>The effect of equal daily dose achieved by different power densities of low-level laser therapy at 635 and 670 nm on wound tensile strength in rats: a short report.</t>
  </si>
  <si>
    <t>Wavelength comparison
Dose response (a little bit paradoxical?)
Incision (sutured)</t>
  </si>
  <si>
    <t>635
670</t>
  </si>
  <si>
    <t>0.004
0.015
0.004
0.015</t>
  </si>
  <si>
    <t>"Both red lasers significantly increased wound TS at selected parameters. Whereas the 635 nm laser significantly improved wound healing by using the higher power density, the 670 nm laser improved healing using a lower power density."</t>
  </si>
  <si>
    <t>Akyol &amp; Güngörmüş</t>
  </si>
  <si>
    <t>The effect of low-level laser therapy on healing of skin incisions made using a diode laser in diabetic rats.</t>
  </si>
  <si>
    <t>"Scalpel incisions heal more slowly than diode and diode + biostimulation incisions in diabetic rats. We can suggest that diode + biostimulation may produce the least amount of tissue injury, with the fastest resolution of inflammatory response in diabetic rats. Diode laser incision (4 W) with 10-J/cm(2) LLLT seems to have a beneficial effect on skin incisions in diabetic rats."</t>
  </si>
  <si>
    <t>The effect of gallium-aluminum-arsenide 808-nm low-level laser therapy on healing of skin incisions made using a diode laser.</t>
  </si>
  <si>
    <t>"As a result, it can be concluded that wound closure was significantly enhanced with lllt on diode laser incisions in rats."</t>
  </si>
  <si>
    <t>Erdle</t>
  </si>
  <si>
    <t>Effects of continuous-wave (670-nm) red light on wound healing.</t>
  </si>
  <si>
    <t>LED phototherapy
Intensity comparison (low, vs medium vs high)
Burns</t>
  </si>
  <si>
    <t>0.0016
0.008
0.04</t>
  </si>
  <si>
    <t>3.6
3.6
3.6</t>
  </si>
  <si>
    <t>90
450
2250</t>
  </si>
  <si>
    <t>"Mice exposed to 670-nm red light showed significantly faster healing than control mice. High, medium, and low fluxes of light were all effective after incisional injury. In burn injury, there was improvement in wound healing initially, but the time to repair was unchanged."
"Of interest is the finding that healing in the lowest flux group appeared to be better than either the high- or medium-flux groups."</t>
  </si>
  <si>
    <t>Influence of He-Ne laser therapy on the dynamics of wound healing in mice treated with anti-inflammatory drugs.</t>
  </si>
  <si>
    <t>Wounds with aggravating factors (NSAID / steroid)
(PBM vs dexamethasone vs celecoxib)</t>
  </si>
  <si>
    <t>"We suggest that He-Ne laser promotes collagen formation and restores the baseline cellularity after pharmacological inhibition, indicating new perspectives for laser therapy aiming to increase the healing process when anti-inflammatory drugs are used."</t>
  </si>
  <si>
    <t>Yasukawa</t>
  </si>
  <si>
    <t>The effect of low reactive-level laser therapy (LLLT) with helium-neon laser on operative wound healing in a rat model.</t>
  </si>
  <si>
    <t>Surgical wounds</t>
  </si>
  <si>
    <t>LLLT with a He-Ne laser was found to promote the healing of operative wounds in the present rat model, in which the most favorable application of LLLT was the 17.0 mW setting of 15 seconds a day with a frequency of every other day.</t>
  </si>
  <si>
    <t>Histological assessment of the effect of laser irradiation on skin wound healing in rats.</t>
  </si>
  <si>
    <t>"As compared to nonirradiated control wounds, laser stimulation shortened the inflammatory phase as well as accelerated the proliferative and maturation phase, and positively stimulated the regeneration of injured epidermis and the reparation of injured striated muscle."
"LLLT at 670 nm positively influences all phases of rat skin wound healing."</t>
  </si>
  <si>
    <t>Vidinský</t>
  </si>
  <si>
    <t>Slovenia</t>
  </si>
  <si>
    <t>Rozhl Chir</t>
  </si>
  <si>
    <t>[Effect of laser irradiation of diode laser on healing of surgical wounds in rats]. [Article in Czech]</t>
  </si>
  <si>
    <t>LLLT accelerated wound healing.</t>
  </si>
  <si>
    <t>Bisht</t>
  </si>
  <si>
    <t>India
(Allahabad)</t>
  </si>
  <si>
    <t>Effect of helium-neon laser on wound healing.</t>
  </si>
  <si>
    <t>"The mean time required for complete closure in control group was 7 days while irradiated test wounds took only 5 days to heal (P &lt; 0.01). The mean breaking strength, as measured by the ability of the wound to resist rupture against force, was found to be significantly increased in the test group. Early epithelization, increased fibroblastic reaction, leucocytic infiltration and neovascularization were seen in the laser irradiated wounds. The results establish the biostimulatory effects of low intensity laser radiation on healing of skin wounds."</t>
  </si>
  <si>
    <t>Evaluation of low level laser therapy on primary healing of experimentally induced full thickness teat wounds in dairy cattle.</t>
  </si>
  <si>
    <t>3.64</t>
  </si>
  <si>
    <t>"The LLLT affects various aspects of the healing process, including minimizing inflammation, formation of edema, improvement of skin regeneration and enhancement of collagen synthesis."</t>
  </si>
  <si>
    <t>Broadley</t>
  </si>
  <si>
    <t>Low-energy helium-neon laser irradiation and the tensile strength of incisional wounds in the rat</t>
  </si>
  <si>
    <t>0.47
0.93
1.73</t>
  </si>
  <si>
    <t>"Analysis of wound tensile strength indicated a possible strengthening of fresh wounds at the highest levels of irradiation (1.73 J/cm(2)). No change was observed in the tensile strength of formalin-fixed wounds. 
The distribution of measured tensile strengths did not follow normal statistics; instead they showed a platykurtic distribution. Using resampling statistics, where no assumption is made as to the nature of the distribution, we found that the results were contrary to other studies: no biostimulatory effect was seen."</t>
  </si>
  <si>
    <t>Braverman</t>
  </si>
  <si>
    <t>Effect of helium-neon and infrared laser irradiation on wound healing in rabbits.</t>
  </si>
  <si>
    <t>Incision (full-thickness)
Systemic effects (?)
Wavelength comparison</t>
  </si>
  <si>
    <t>633
904
633+
904</t>
  </si>
  <si>
    <t>1.65
8.25</t>
  </si>
  <si>
    <t>"[L]aser irradiation at 632.8 nm and 904 nm alone or in combination increased tensile strength during wound healing and may have released tissue factors into the systemic circulation that increased tensile strength on the opposite side as well."
"No differences were found in the rate of wound healing or collagen area."</t>
  </si>
  <si>
    <t>Lyons</t>
  </si>
  <si>
    <t>Biostimulation of wound healing in vivo by a helium-neon laser.</t>
  </si>
  <si>
    <t>1.56</t>
  </si>
  <si>
    <t>1.22</t>
  </si>
  <si>
    <t>~30</t>
  </si>
  <si>
    <t>"Results demonstrated a considerable improvement in the tensile strength of the laser-irradiated wounds at 1 and 2 weeks. Furthermore, the total collagen content was significantly increased at 2 months when compared with control wounds. These results suggest a beneficial effect of the helium-neon laser on wound healing in vivo."</t>
  </si>
  <si>
    <t>Ngo</t>
  </si>
  <si>
    <t>Vietnam
(Ho Chi Minh City)</t>
  </si>
  <si>
    <t>Microorganisms</t>
  </si>
  <si>
    <t>A Combination of Blue Light at 460 nm and H2O2 for the Safe and Effective Eradication of Staphylococcus aureus in an Infected Mouse Skin Abrasion Model</t>
  </si>
  <si>
    <t>Blue light 🔵 (with or without H2O2)</t>
  </si>
  <si>
    <t>"The 460 nm light combined with H2O2 presented in this study will provide a potential non-antibiotic therapy which is efficient and safe for killing S. aureus in both in vitro and in vivo models."
Comment: Weak effect with blue light or H2O2 alone, but clear effect with combination (see Figure 9).</t>
  </si>
  <si>
    <t>Photobiomodulation Therapy Improves Inflammatory Responses by Modifying Stereological Parameters, microRNA-21 and FGF2 Expression</t>
  </si>
  <si>
    <t>0.2
/exposure
(9 exposures)</t>
  </si>
  <si>
    <t>200
/exp.
(9 exp.)</t>
  </si>
  <si>
    <t>"PBMT significantly speeds up the repair of ischemic and MARS-infected wounds in DM1 rats by lowering microbial counts and modifying stereological parameters, microRNA-21, and FGF2 expression."</t>
  </si>
  <si>
    <t>Device: "Mustang 2000, LO7 Pen, Technica Co., Russia, Table 1"</t>
  </si>
  <si>
    <t>A multifunctional hydrogel coating to direct fibroblast activation and infected wound healing via simultaneously controllable photobiomodulation and photodynamic therapies</t>
  </si>
  <si>
    <t>PBM&amp;PDT</t>
  </si>
  <si>
    <t>"In this study, a multifunctional hydrogel coating, catechol motif-modified GelMA, was prepared. Photosensitizer Ce6 was loaded in MPDA NPs via π-π stacking reactions, and then they were encapsulated in the hydrogel coating. The prepared GelMAc/MPDA@Ce6 coating could be tightly adhered to titanium surfaces and the stability was improved owing to the encapsulated MPDA NPs. This hydrogel coating was proved to possess both antibacterial activity and fibroblast activation ability by the same 660 nm laser irradiation.
PDT was achieved to eliminate bacteria rapidly when the irradiation power was 1 W cm−2. After the bacterial elimination, the fibroblast activation ability was realized by PBM, which only need to adjust the power to 100 mW cm−2. The simultaneous control of PDT and PBM was remarkable to improve tissue rebuilding after bacterial infections, and PBM was also a really useful tool to coordinate with biomaterials."</t>
  </si>
  <si>
    <t>Rev Col Bras Cir</t>
  </si>
  <si>
    <t>Effects of low intensity laser in in vitro bacterial culture and in vivo infected wounds.</t>
  </si>
  <si>
    <t>"[LLLT] applied with a wavelength of 904 nm and dose 3J/cm² did not alter the in vitro growth of S. aureus in experimental groups; in vivo, however, it showed significant increase in the deposition of type I and III collagen in the wound of infected and irradiated animals on the fourth day of the experiment."
Comment: The quality of the report appears poor in many ways, and parameters are not that well reported either.</t>
  </si>
  <si>
    <t>Effects of low intensity laser irradiation during healing of infected skin wounds in the rat.</t>
  </si>
  <si>
    <t>1/20
1/20</t>
  </si>
  <si>
    <t>9
(?)</t>
  </si>
  <si>
    <t>"Red light improved healing of wounds.
Only one 808-nm light protocol enhanced healing; lack of benefit using the remaining 808-nm light protocols may have been due to stimulatory effects of the light on S. aureus growth."</t>
  </si>
  <si>
    <t>Influence of the combination of infrared and red laser light on the healing of cutaneous wounds infected by Staphylococcus aureus.</t>
  </si>
  <si>
    <t>Infections
Wavelength comparison</t>
  </si>
  <si>
    <t>660
790
660+
790</t>
  </si>
  <si>
    <t>"Histological analysis showed that control subjects had a lower amount of blood vessels when compared with irradiated subjects. Irradiated subjects had more advanced resolution of inflammation compared with controls. Irradiated subjects also showed a more intense expression of the collagen matrix. The collagen fibers were mostly mature and well organized in these subjects at the end of the experimental time especially when both wavelengths were used."
Comment: It seems unclear whether the red laser was 660 or 680 nanometers.</t>
  </si>
  <si>
    <t>Effects of different modes of low level laser irradiation on the healing of experimentally infected wounds</t>
  </si>
  <si>
    <t>Circular full-thickness wound + S. aureus
Pulsing (500 vs 600 Hz)</t>
  </si>
  <si>
    <t>1
14</t>
  </si>
  <si>
    <t>"There was a significant increase in wound contraction rates in the irradiation groups for both pulse types compared with the unirradiated contralateral control wounds."</t>
  </si>
  <si>
    <t>Effects Of Low Incident Energy Levels Of Infrared Laser Irradiation On Healing Of Infected Open Skin Wounds In Rats</t>
  </si>
  <si>
    <t>"The results of this study were as follows: 
(1) The rate of wound closure was significantly increased in LLL irradiation group. 
(2) The incidence of swelling indicating the spread of inflammation was significantly decreased in the experimental group."</t>
  </si>
  <si>
    <t>Colver &amp; Priestley</t>
  </si>
  <si>
    <t>Failure of a helium-neon laser to affect components of wound healing in vitro.</t>
  </si>
  <si>
    <t>3/d
for
3d</t>
  </si>
  <si>
    <t>"Cellular proliferation was not affected by irradiation three times a day for 3 days. There was no effect on cellular migration or on the rate of collagen lattice contraction. The rate of collagen synthesis, measured as the incorporation of 3H-proline into collagenase-sensitive protein, was no greater than that of controls and GAG secretion did not increase in the irradiated group. We have not found any significant effects of He-Ne irradiation."</t>
  </si>
  <si>
    <t>Laser-induced wound</t>
  </si>
  <si>
    <t>Low-level green laser promotes wound healing after carbon dioxide fractional laser therapy</t>
  </si>
  <si>
    <t>"Low-level green laser promotes wound healing after CO2 fractional laser by improving the integrity of skin barrier and allowing for scarless healing."</t>
  </si>
  <si>
    <t>Trelles &amp; Calderhead</t>
  </si>
  <si>
    <t>Red light-emitting diode (LED) therapy-assisted healing improves results of ER:YAG laser ablation of plantar verrucae</t>
  </si>
  <si>
    <t>🧑 Human
📄 Retrospective study
👥 141 subjects
⌛ 10-day treatment -&gt; 12-month follow-up</t>
  </si>
  <si>
    <t>"Over the past two-and-a-half years, the principal author (MAT) has treated 141 cases of plantar warts under local anesthesia in 133 patients with Er:YAG laser ablation followed by red light therapy to assist wound healing."
"At the 12-month follow-up recurrence rates have been less than 8% (11/141). 
From the authors’ experience in 141 cases, visible red LED therapy has given excellent and pain-free healing in these difficult-to-treat lesions with very low recurrence rates following Er:YAG laser precise and speedy ablation of plantar verrucae with minimal thermal damage to surrounding tissue."</t>
  </si>
  <si>
    <t>Healing of surgical wounds made with lambda970-nm diode laser associated or not with laser phototherapy (lambda655 nm) or polarized light (lambda400-2000 nm).</t>
  </si>
  <si>
    <t>Laser vs non-coherent
Polychromatic light 🌈</t>
  </si>
  <si>
    <t>655
400-
2000</t>
  </si>
  <si>
    <t>"The results of the present study showed that the effect of the use of laser light was more evident at early stages of healing and that the use of polarized light improved the resolution of the inflammatory reaction, increased the deposition of collagen, increased the number of myofibroblasts, and quickened re-epithelialization during the experimental time."</t>
  </si>
  <si>
    <t>Barreto &amp; Salgado</t>
  </si>
  <si>
    <t>Brazil
(Marituba)</t>
  </si>
  <si>
    <t>BMC Infect Dis</t>
  </si>
  <si>
    <t>Clinic-epidemiological evaluation of ulcers in patients with leprosy sequelae and the effect of low level laser therapy on wound healing: a randomized clinical trial.</t>
  </si>
  <si>
    <t>2
wound
bed
4 (?)
wound
edges
(???)</t>
  </si>
  <si>
    <t>"Statistical analysis of the data determined that there were no significant differences in the variables analyzed before and after treatment with low level laser therapy."</t>
  </si>
  <si>
    <t>Device: "TWIN LASER (MM Optics, São Paulo, Brazil), an indium-gallium-aluminnium-phosphide (InGaAlP) semiconductor laser"</t>
  </si>
  <si>
    <t>Light-Emitting Diode Irradiation (640 nm) Regulates Keratinocyte Migration and Cytoskeletal Reorganization Via Hypoxia-Inducible Factor-1α.</t>
  </si>
  <si>
    <t>Keratinocyte
LED phototherapy</t>
  </si>
  <si>
    <t>"LED irradiation may increase keratinocyte migration via HIF-1α-dependent cytoskeletal reorganization."</t>
  </si>
  <si>
    <t>Haas</t>
  </si>
  <si>
    <t>Low-energy helium-neon laser irradiation increases the motility of cultured human keratinocytes.</t>
  </si>
  <si>
    <t>Keratinocyte</t>
  </si>
  <si>
    <t>"The biostimulatory effects of HeNe irradiation may now be extended to include enhancement of keratinocyte motility in vitro; this may contribute to the efficacy of HeNe irradiation in wound healing."</t>
  </si>
  <si>
    <t>Pressure ulcer</t>
  </si>
  <si>
    <t>Vieceli</t>
  </si>
  <si>
    <t>Effectiveness of electrophysical agents for treating pressure injuries: a systematic review</t>
  </si>
  <si>
    <t>"PBM showed similar efficacy to other technologies indicated in other studies in healing pressure injuries. PBM with red wavelength (660 nm) in stages 2 and 3 pressure injuries effectively promoted healing compared to standard care. It was observed that the use of PBM accelerates tissue repair in pressure injuries; therapeutic ultrasound showed similar efficacy to other electrophysical agents but was effective in reducing the area of pressure injuries when comparing pre- and post-intervention. No clinical studies using the high-frequency electrophysical agent have been described in the last 5 years."
Comment: The review includes data from the past 5 years only.</t>
  </si>
  <si>
    <t>J Vasc Nurs</t>
  </si>
  <si>
    <t>Phototherapy (cluster multi-diode 630 nm and 940 nm) on the healing of pressure injury: A pilot study</t>
  </si>
  <si>
    <t>🧑 Human
🎲 Randomized trial
👥 15 participants
⌛ 8 weeks</t>
  </si>
  <si>
    <t>630+
940</t>
  </si>
  <si>
    <t>6
8</t>
  </si>
  <si>
    <t>"The experimental groups received applications of 630 and 940 nm LED three times a week for 8 weeks, with a dose of 6 J/cm2 in Group I. In group II, a dose of 8 J/cm2 in addition to the standard treatment. Group III (control group) received only daily standard treatment which consisted of cleaning the lesioned area with physiological solution, followed by application of an alginate hydrogel dressing over a period of 8 weeks."
"There was no statistically significant difference (p &gt; 0.05) between the three groups when assessing the initial lesion area. At the end of 2 months, the median and interquartile ranges of the injuries were 5.90 (0.79-9.5) cm2 for group I, 0.54 (0.47-1.16) cm2 for group II and 26.76 (17.25-41.05) for group III."
"The initial hypothesis was supported given that the combination of two wavelengths in the LED phototherapy with different doses may be helpful in accelerating the healing of pressure injuries."</t>
  </si>
  <si>
    <t>de Fatima Cordeiro Petz</t>
  </si>
  <si>
    <t>Effect of Photobiomodulation on the Repair of Pressure Ulcers in Adult and Elderly Patients: A Systematic Review.</t>
  </si>
  <si>
    <t>"1342 studies were identified, 18 were pre-selected and 5 were included in this review. Clinical heterogeneity of the participants was observed, in addition to variation in the laser parameters and predominance of studies of low methodological quality. PBMT with the use of laser (658nm;4J/cm2;50mW) showed complete wound healing (p&lt;0.001) when compared to lasers (990nm and 808nm). However, there was no statistically significant difference in relation to time to complete wound healing and in area reduction compared to standard care."</t>
  </si>
  <si>
    <t>Thomé Lima</t>
  </si>
  <si>
    <t>Photobiomodulation by dual-wavelength low-power laser effects on infected pressure ulcers.</t>
  </si>
  <si>
    <t>606+
808</t>
  </si>
  <si>
    <t>"The PU areas appeared larger in the mice from the infected groups than in those in the laser group 4 days after PU induction and presented incomplete reepithelialization 14 days after PU induction. However, the PBM accelerated the wound healing in the infected + laser group compared with the infected group 11 and 14 days following the PU induction. "</t>
  </si>
  <si>
    <t>Brauncajs</t>
  </si>
  <si>
    <t>Impact of low-level laser therapy on the dynamics of pressure ulcer-induced changes considering an infectious agent and cathelicidin LL-37 concentration: a preliminary study.</t>
  </si>
  <si>
    <t>🧑 Human
📄 Single-arm trial
👥 6 participants
⌛ 2 weeks</t>
  </si>
  <si>
    <t>"In study group A, the following bacteria predominantly occurred: S. aureus, E. faecalis, P. mirabilis, P. aeruginosa, while in control group B, excluding one MRSA case, S. hominis, S. epidermidis, D. nishinomiyaensis, A. haemolyticus (physiological flora) were present. HLGR resistance mechanisms were detected when analyzing drug susceptibility panels. Study group A findings demonstrated a statistically significant difference between the levels of cathelicidin LL-37 concentration at baseline and at the end."
Comment: Seems like a poor-quality paper with such a low sample size. Also, one value regarding cathelicidin LL-37 is apparently misreported in the text (see PubPeer).
Comment: I categorized this as a single-arm study because there were no pre-post comparisons for the control group.</t>
  </si>
  <si>
    <t>Device: "BTL-4000 with laser shower"</t>
  </si>
  <si>
    <t>Effect of laser therapy on expression of angio- and fibrogenic factors, and cytokine concentrations during the healing process of human pressure ulcers.</t>
  </si>
  <si>
    <t>🧑 Human
🎲 Randomized trial, sham-controlled
👥 67 participants
⌛ 1 month</t>
  </si>
  <si>
    <t>Wavelength comparison
⚔ Groups:
- 940nm
- 808nm
- 658nm
- sham</t>
  </si>
  <si>
    <t>658
808
940</t>
  </si>
  <si>
    <t>20
/ 1 month</t>
  </si>
  <si>
    <t>"The positive changes in the measured serum (IL-2, IL-6 and TNF-α) and wound tissue (TNF-α, VEGF and TGFβ1) parameters appeared to be connected only with the wavelength of 658 nm."</t>
  </si>
  <si>
    <t>Ruh</t>
  </si>
  <si>
    <t>Laser photobiomodulation in pressure ulcer healing of human diabetic patients: gene expression analysis of inflammatory biochemical markers.</t>
  </si>
  <si>
    <t>🧑 Human
📄 Single-arm trial
👥 8 participants
⌛ 12 days</t>
  </si>
  <si>
    <t xml:space="preserve">12
/point
</t>
  </si>
  <si>
    <t>"After LLLT, wounds presented improvement in gross appearance, with increase in factors VEFG and TGF-β, and reduction of TNF; despite our promising results, they have to be analyzed carefully as this study did not have a control group."</t>
  </si>
  <si>
    <t>Device: "Thera Lase® (DMC, São Carlos—Brazil)"</t>
  </si>
  <si>
    <t>Low-level laser therapy in the treatment of pressure ulcers: systematic review</t>
  </si>
  <si>
    <t>"From the 386 articles identified, only four studies were included, with two LLT used with single wavelength (1: 904 nm vs. control and 2: 940 nm vs. 808 nm vs. 658 nm vs. placebo) and two LLT used to probe cluster. One study compared to different single wavelengths showed a significant 71% reduction of the PU and an improved healing rate in which 47% of PU healed completely after 1 month of therapy with the use of LLT with a wavelength of 658 nm compared with other lengths. The other analyzed wavelengths were not significant in the assessed outcomes. Significant results were observed in the use of LLT with a 658 nm wavelength, and no evidence was found for use of wavelengths above that for the treatment of PU. Therefore, we also found no evidence in the laser used to probe the cluster."
Comment: I haven't reviewed the full text, but the abstract seems to be somewhat poorly written...</t>
  </si>
  <si>
    <t>J Skin Stem Cell</t>
  </si>
  <si>
    <t>Low-Level Laser Therapy Along With Intravascular Laser in Deep Pressure Ulcer Resistant to Conventional Therapies</t>
  </si>
  <si>
    <t>655
+
980
+
650
(i.v.)</t>
  </si>
  <si>
    <t>"The combination of laser therapy with conventional therapy and surgery increases the process of wound healing remarkably, particularly in resistant wound cases. In other words, it accelerates the reconstruction of blood vessels and increases the lesion revascularizations, increases the production and formation of granulation tissue in the wound, eradicates microbial flora, sterilizes the wound pathogens, and facilitates graft surgery repairing success. This process not only leads to a better healing of ulcers, but also prevents recurrent ulcers due to improvement of perfusion in the treated area."</t>
  </si>
  <si>
    <t>Effect of Laser Irradiation at Different Wavelengths (940, 808, and 658 nm) on Pressure Ulcer Healing: Results from a Clinical Study.</t>
  </si>
  <si>
    <t>🧑 Human
🎲 Randomized trial, sham-controlled
👥 72 participants
⌛ 1-month treatment -&gt; 3-month follow-up</t>
  </si>
  <si>
    <t>0.1 cm2 spot size</t>
  </si>
  <si>
    <t>"The laser therapy at a wavelength of 658 nm appeared to be effective at healing pressure ulcers. 
The wavelengths of 808 and 940 nm did not have any effect in our study."</t>
  </si>
  <si>
    <t>Shojaei</t>
  </si>
  <si>
    <t>Iran J Med Sci
(IJMS)</t>
  </si>
  <si>
    <t>Low Level Laser Therapy in the Treatment of Pressure Ulcers in Spinal Cord Handicapped Veterans Living in Tehran</t>
  </si>
  <si>
    <t>🧑 Human
🎲 Randomized trial, triple-blind</t>
  </si>
  <si>
    <t>650
+
980</t>
  </si>
  <si>
    <r>
      <rPr>
        <sz val="6.0"/>
      </rPr>
      <t xml:space="preserve">"The results demonstrated a statistically significant enhancement of the healing process by combination of Low Level Laser with conventional treatments of pressure ulcers."
Comment: Is it this paper, actually published in 2006, written in Persian language? </t>
    </r>
    <r>
      <rPr>
        <color rgb="FF1155CC"/>
        <sz val="6.0"/>
        <u/>
      </rPr>
      <t>https://feyz.kaums.ac.ir/article-1-109-en.html</t>
    </r>
  </si>
  <si>
    <t>Reciprocity of exposure time and irradiance on energy density during photoradiation on wound healing in a murine pressure ulcer model.</t>
  </si>
  <si>
    <t>"Specific combinations of parameters were necessaryto achieve accelerated wound healing despite the delivery ofthe same total daily energy density to all wounds. Variationof exposure time and irradiance may account for conflictingresults in the literature. This study appears to confirmearlier in vitro studies demonstrating that the provisionof multiple treatments per day is more effective than thetraditional strategy of delivering a single treatment perday. Further investigations directed at identifying dose–response curves for specific tissues and cell lines should beconducted."
Comment: This kind of research of different parameters is important. Hopefully more of similar studies will be conducted.</t>
  </si>
  <si>
    <t>Verbelen J</t>
  </si>
  <si>
    <t>Use of polarised light as a method of pressure ulcer prevention in an adult intensive care unit</t>
  </si>
  <si>
    <t>🧑 Human
🎲 Randomized trial
👥 32 participants (23 completed)
⌛ (?) ~2 weeks?</t>
  </si>
  <si>
    <t>"Patients treated with polarised light developed significantly (p=0.019) fewer grade II or above sacral or heel pressure ulcers when compared with a control group receiving no polarised light. Further research is required."</t>
  </si>
  <si>
    <t>Device: Bioptron PRO + Bioptron COMPACT
Application: "The lamp was placed 10cm from the skin surface, resulting in a slightly warm feeling (37°C) but without overheating the skin or underlying tissue. On the sacral area, the light beam was centred on the edge of the perineum. At a distance of 10cm, the light beam covered the heel completely (Fig 2)."</t>
  </si>
  <si>
    <t>Dehlin</t>
  </si>
  <si>
    <t>Aging Clin Exp Res</t>
  </si>
  <si>
    <t>Monochromatic phototherapy: effective treatment for grade II chronic pressure ulcers in elderly patients.</t>
  </si>
  <si>
    <t>🧑 Human
🎲 Randomized trial, double-blind
👥 76 participants (pooled with 87 from a previous trial)
⌛ 12 weeks</t>
  </si>
  <si>
    <t>Light probe (110)</t>
  </si>
  <si>
    <t>360-
540</t>
  </si>
  <si>
    <t>30
/ 11 weeks (?)</t>
  </si>
  <si>
    <r>
      <rPr>
        <sz val="6.0"/>
      </rPr>
      <t xml:space="preserve">"The mean normalized reduction in pressure ulcer size at week 12 was 0.79 for the phototherapy group and 0.50 for the placebo group (95% confidence interval 0.01-0.53; p=0.039). No serious side-effects were noted."
"Monochromatic pulsating light accelerates healing in grade II pressure ulcers in elderly patients."
PDF full text: </t>
    </r>
    <r>
      <rPr>
        <color rgb="FF1155CC"/>
        <sz val="6.0"/>
        <u/>
      </rPr>
      <t>https://www.researchgate.net/profile/Soelve_Elmstahl/publication/5678172_Monochromatic_phototherapy_Effective_treatment_for_grade_II_chronic_pressure_ulcers_in_elderly_patients/links/004635190e7c37f653000000.pdf</t>
    </r>
  </si>
  <si>
    <t>Device: Biolight (Stockholm, Sweden)</t>
  </si>
  <si>
    <t>Taly</t>
  </si>
  <si>
    <t>Efficacy of multiwavelength light therapy in the treatment of pressure ulcers in subjects with disorders of the spinal cord: A randomized double-blind controlled trial.</t>
  </si>
  <si>
    <r>
      <rPr>
        <sz val="7.0"/>
      </rPr>
      <t xml:space="preserve">🧑 Human
🎲 Randomized trial, double-blind
👥 35 participants (with 64 pressure ulcers)
⌛ 5-week treatment
</t>
    </r>
    <r>
      <rPr>
        <i/>
        <sz val="7.0"/>
      </rPr>
      <t>(Published only as an abstract?)</t>
    </r>
  </si>
  <si>
    <t>LLLT cluster (46)</t>
  </si>
  <si>
    <t>150
+
15
+
250
+
250
+
125
+
100</t>
  </si>
  <si>
    <t>10
cm2
(?)</t>
  </si>
  <si>
    <t>"Multiwavelength light therapy from a gallium-aluminum-arsenide laser source did not influence overall healing pressure ulcers."</t>
  </si>
  <si>
    <t>Monochromatic phototherapy in elderly patients: a new way of treating chronic pressure ulcers?</t>
  </si>
  <si>
    <t>🧑 Human
🎲 Randomized trial, double-blind
👥 164 participants
⌛ 11-week treatment / 12-week study (??)</t>
  </si>
  <si>
    <t>0.0021+
0.0055</t>
  </si>
  <si>
    <t>up to 30
/ 11 weeks</t>
  </si>
  <si>
    <r>
      <rPr>
        <sz val="6.0"/>
      </rPr>
      <t xml:space="preserve">"No significant effects were observed in the total material. In a subanalysis of grade II ulcers, there was a tendency toward better healing in the monochromatic light group (p = 0.06). A significantly larger reduction in pressure ulcer size was noted among patients in the treatment group with low body weight (BMI &lt; 20)."
Comment: An erratum was published: </t>
    </r>
    <r>
      <rPr>
        <color rgb="FF1155CC"/>
        <sz val="6.0"/>
        <u/>
      </rPr>
      <t>https://link.springer.com/content/pdf/10.1007%2FBF03327378.pdf</t>
    </r>
    <r>
      <rPr>
        <sz val="6.0"/>
      </rPr>
      <t xml:space="preserve"> (Fig. 1 had 'months' instead of 'weeks' in x-axis, and the values were wrong. In the corrected version, the difference between the groups appears to be larger, although the p value appears to be the same, p = 0.06)</t>
    </r>
  </si>
  <si>
    <t>Efficacy of low-level laser therapy in the management of stage III decubitus ulcers: a prospective, observer-blinded multicentre randomised clinical trial.</t>
  </si>
  <si>
    <t>🧑 Human
🎲 Randomized trial, sham-controlled
🗺 Multicenter
👥 86 participants
⌛ 6 weeks</t>
  </si>
  <si>
    <t>96
(from 12 diodes)</t>
  </si>
  <si>
    <t>12 cm2 irradiated area</t>
  </si>
  <si>
    <t>"In this trial we found no evidence that justifies using low-level laser therapy as an adjuvant to the consensus decubitus ulcer treatment."
Comment: Relatively low dosing</t>
  </si>
  <si>
    <t>Schubert V</t>
  </si>
  <si>
    <t>Effects of phototherapy on pressure ulcer healing in elderly patients after a falling trauma. A prospective, randomized, controlled study.</t>
  </si>
  <si>
    <t>🧑 Human
🎲 Randomized trial
👥 72 participants
⌛ 10 weeks</t>
  </si>
  <si>
    <t>week 1: 5
week 2: 4
week 3: 2
week 4+: 1</t>
  </si>
  <si>
    <t>"Patients treated with pulsed monochromatic light had a 49% higher ulcer healing rate, and a shorter time to 50% and to 90% ulcer closure compared with controls. Their mean ulcer area was reduced to 10% after 5 weeks compared with 9 weeks for the controls."</t>
  </si>
  <si>
    <t>The role of light emitting diode in wound healing: A systematic review of experimental studies</t>
  </si>
  <si>
    <t>📚 Systematic review (preclinical studies)</t>
  </si>
  <si>
    <t>"In vitro and in vivo experimental studies assessing LED utilization in the wound healing process were included. The search yielded 1010 studies, of which 27 were included in the review. 
It was identified that LED stimulates different healing pathways, promoting enhanced cell proliferation and migration, angiogenesis stimulation, increased collagen deposition, and modulation of the inflammatory response. 
Thus, it can be concluded that the LED stimulates cellular and molecular processes contingent on the utilized parameters. The effects depend on the standards used. Cell migration and proliferation were better influenced by green and red LED. The extracellular matrix components and angiogenesis were regulated by all wavelengths and the modulation of inflammation was mediated by green, red, and infrared LEDs."</t>
  </si>
  <si>
    <t>Gumede</t>
  </si>
  <si>
    <t>Cell Commun Signal</t>
  </si>
  <si>
    <t>Targeting Wnt/β-catenin signaling and its interplay with TGF-β and Notch signaling pathways for the treatment of chronic wounds</t>
  </si>
  <si>
    <t>"The Wnt/β-catenin pathway is involved in all phases of wound healing, primarily in the proliferative phase for formation of granulation tissue. This review focuses on the role of the Wnt/β-catenin signaling pathway in wound healing, and its transcriptional regulation of target genes. The crosstalk between Wnt/β-catenin, Notch, and the TGF-β signaling pathways, as well as the deregulation of Wnt/β-catenin signaling in chronic wounds are also considered, with a special focus on diabetic ulcers. Lastly, we discuss current and prospective therapies for chronic wounds, with a primary focus on strategies that target the Wnt/β-catenin signaling pathway such as photobiomodulation for healing diabetic ulcers."</t>
  </si>
  <si>
    <t>Aggarwal &amp; Lio</t>
  </si>
  <si>
    <t>Photobiomodulation therapy and low-level light therapy in wound healing</t>
  </si>
  <si>
    <t>"Common conditions treated with PBT include those discussed in this article, including diabetic wounds, burn wounds, and pressure ulcers, as well as diseases requiring more invasive treatment with ablative CO2 lasers such as hidradenitis suppurativa [19]. As of now, there are no standard guidelines to implement PBT into clinical practice. Part of this stems from a lack of standardized parameters of existing research related to wavelength, dose, frequency, and patient outcomes, which makes evaluation of efficacy challenging. In addition, it is still yet to be established if there is a clinically significant difference between using lasers or LEDs as light sources with few studies exist comparing them directly. The ability to standardize dosimetry parameters may not be practically feasible given the many configurations of LED-based devices and the use of home devices."</t>
  </si>
  <si>
    <t>Blue light therapy in the management of chronic wounds: a narrative review of its physiological basis and clinical evidence</t>
  </si>
  <si>
    <t>"Key physiological pathways of blue light include generation of ROS and nitric oxide, resulting in promotion of angiogenesis, reduced inflammation, and direct antimicrobial effects. These reactions are seen only at low doses; in fact, higher doses may be harmful to tissue. The only primary study with statistical analyses demonstrated wound area reduction of 51% (P =.007) in blue light-irradiated wounds compared with SOC alone."
"Blue light applied following a strict protocol is safe and shows promise in the management of chronic wounds. The current evidence is poor, however, and randomized trials are required to confirm its clinical utility."</t>
  </si>
  <si>
    <t>Photobiomodulation with Blue Light on Wound Healing: A Scoping Review</t>
  </si>
  <si>
    <t>🔵 Blue light</t>
  </si>
  <si>
    <t>"Twenty-two articles were included. Studies were categorized as in vitro/mixed, preclinical, and clinical. 
The power density used was 10-680 mW/cm2 in most of the in vitro/preclinical studies, the irradiation time ranged from 5 s to 10 min, and different wavelengths and energy densities were used. 
In clinical studies, the wavelength ranged from 405 to 470 nm, and the energy density varied from 1.5 to 30 J/cm2."
A low energy density (&lt;20 J/cm2) was able to stimulate the different cell types and proteins involved in healing, while a high energy density, 20.6-50 J/cm2, significantly reduced cell proliferation, migration, and metabolism. 
There is a great variety of device parameters among studies, and this makes it difficult to conclude what the best technical specifications are. Thus, further studies should be performed in order to define the appropriate parameters of light to be used."</t>
  </si>
  <si>
    <t>Impact of Blue Light Therapy on Wound Healing in Preclinical and Clinical Subjects: A Systematic Review</t>
  </si>
  <si>
    <t>"A total of 858 articles were identified, and 17 articles in three distinct categories were included for review. They comprised two articles on humans, fourteen articles on healthy animals, and one article on diabetic animals."
"Some studies have shown that the application of BLT on preclinical and clinical models of wound healing in vivo is able to significantly accelerate the healing process. Few studies, however, have explored the bactericidal effect of BLT on skin injury repair in burn patients."
"Further preclinical investigations designed to provide a better understanding of the bactericidal effect of BLT using standardized protocols, different BLT wavelengths, and different stages of the wound healing process of infected wounds and ulcers in healthy and diabetic animals should be carried out before clinical trials can be considered. BLT could eventually be a good option for treating infected chronic wounds, including those in diabetic patients."</t>
  </si>
  <si>
    <t>Purbhoo-Makan</t>
  </si>
  <si>
    <t>The Effects of Blue Light on Human Fibroblasts and Diabetic Wound Healing</t>
  </si>
  <si>
    <t>"This paper presents a critical review of the literature concerning the use of PBM, with a focus on blue light, for tissue healing and diabetic ulcer care, identifies the pros and cons of PBM intervention, and recommends the potential role of PBM for diabetic ulcer care."</t>
  </si>
  <si>
    <t>Polarized Light Therapy in the Treatment of Wounds: A Review</t>
  </si>
  <si>
    <t>"Since the late 1960s, light therapy has been used to treat anything from neonatal jaundice to psoriasis and vitiligo. Fenyö created a PL source and found that it can stimulate wound healing in a similar way to the low-energy laser. In comparison to the laser, this source of light had numerous gains: lesser prices, fewer hazards, a greater area to be treated, and no sophisticated user expertise."</t>
  </si>
  <si>
    <t>Cellular Signalling and Photobiomodulation in Chronic Wound Repair</t>
  </si>
  <si>
    <t>"This review highlights the significant role of PBM in the activation of several cell signalling pathways involved in wound healing."</t>
  </si>
  <si>
    <t>Bolton LL</t>
  </si>
  <si>
    <t>USA
(New Brunswick, NJ)</t>
  </si>
  <si>
    <t>Wound Phototherapy</t>
  </si>
  <si>
    <t>"The variety of wound outcomes in response to differing LLLT parameters used to stimulate various aspects, depths, and types of tissue injury can be confusing. In this installment of Evidence Corner, a systematic review5 of LED effects on dermatologic conditions and wounds and a second on LLLT effects on diabetic foot ulcers (DFUs)1 add clarity to LLLT effects on some aspects of wound management."</t>
  </si>
  <si>
    <t>Portugal
(Lisboa)</t>
  </si>
  <si>
    <t>Therapeutic advances in wound healing.</t>
  </si>
  <si>
    <t>"Laser therapy is one of the most frequently used methods in dermatology. With the advancement in laser technology, irradiation of wounds with Low Intensity Laser Irradiation (LILI) or phototherapy has shown a vast improvement in diabeticwound healing [175]. On the other hand, Intense Pulsed Light has demonstrated beneficial effect on the wound healing in diabetic rats [176]. Fluorescent light energy (FLE) also revealed to be efficient and safe in treating hard-to-heal wounds.
EUREKA (EvalUation of Real-lifE use of Klox biophotonic system in chronic wound mAnagement) study was a multicenter, prospective, observational, uncontrolled trial in 12 clinical sites, enrolling 100 subjects, established to confirm the efficacy and safety of LumiHeal, a system based on fluorescence biomodulation, in the treatment of chronic wounds such as venous leg ulcers, diabetic foot ulcers and pressure ulcers. In these three types of chronic wounds fluorescence biomodulation was efficient in inducing the wound healing process, in a safe manner and well tolerated by the patients [177]."</t>
  </si>
  <si>
    <t>Lopez &amp; Brundage</t>
  </si>
  <si>
    <t>J Vet Med</t>
  </si>
  <si>
    <t>Wound Photobiomodulation Treatment Outcomes in Animal Models.</t>
  </si>
  <si>
    <t>"The overall result of the studies examined indicated that daily laser exposure at a wavelength of a 600 or 800 nm range was the most beneficial across the rodent studies regardless of health status or wound type. More studies on rabbit, canine, and equine models are needed to explain the inconsistent results reviewed and find the correct treatment parameters for these species."</t>
  </si>
  <si>
    <t>Role of photobiomodulation on the activation of the Smad pathway via TGF-β in wound healing.</t>
  </si>
  <si>
    <t>"In this review paper, we discuss the effects of PBM and its role on the activation of the TGF-β/Smad pathway in the process of wound healing."</t>
  </si>
  <si>
    <t>Photobiomodulation Therapy for Wound Care: A Potent, Noninvasive, Photoceutical Approach.</t>
  </si>
  <si>
    <t>"An expert opinion based on ongoing research studies and reported literature is offered. Noninvasive, economical, and multipurpose light devices are an attractive tool for wound management. However, there is an urgent need in the wound care community to develop optimal clinical protocols for use based on well-designed, rigorous clinical research studies."</t>
  </si>
  <si>
    <t>Kwan</t>
  </si>
  <si>
    <t>Efficacy of Biophysical Energies on Healing of Diabetic Skin Wounds in Cell Studies and Animal Experimental Models: A Systematic Review.</t>
  </si>
  <si>
    <t xml:space="preserve">"Eighty-two studies were eventually selected for the critical appraisal: (...) sixty-six for photo energies"
"Based on the percentage of original wound size affected by the BPEs, both PEMF and low-level laser therapy (LLL) demonstrated a significant clinical benefit compared to the control or sham treatment, whereas the effect of US did not reveal a significance."
</t>
  </si>
  <si>
    <t>de Sousa Furtado</t>
  </si>
  <si>
    <t>Brazil
(Novo Repartimento)</t>
  </si>
  <si>
    <t>BOOK: Recent Clinical Techniques, Results, and Research in Wounds</t>
  </si>
  <si>
    <t>Low-Level Laser Therapy (LLLT) in Diabetes Mellitus for Wound Healing: Surgical Wound, Diabetic Ulcer and Burns</t>
  </si>
  <si>
    <t>"In diabetic people there are combinations of factors that complicate normal cure and delay wound healing, acting as a type of trigger for comorbidities and high mortality rates. In this context, low-level laser therapy (LLLT) is a therapeutic modality that may be very useful, since in addition to being a less invasive and reduced cost-benefit intervention, it has been shown promising especially when associated with specialized assistance, thus favouring health and decreasing socioeconomic impacts."</t>
  </si>
  <si>
    <t>Should open excisions and sutured incisions be treated differently? A review and meta-analysis of animal wound models following low-level laser therapy.</t>
  </si>
  <si>
    <t>"Nineteen studies were included. The overall result of the tensile strength analysis (eight studies) was significantly in favor of LLLT (SMD = 1.06, 95% CI 0.66-1.46), and better results were seen with 30-79 mW/cm2 infrared laser (SMD = 1.44, 95% CI 0.67-2.21) and 139-281 mW/cm2 red laser (SMD = 1.52, 95% CI 0.54-2.49). 
The overall result of the wound contraction analysis (11 studies) was significantly in favor of LLLT (SMD = 0.99, 95% CI 0.38-1.59), and the best results were seen with 53-300 mW/cm2 infrared laser (SMD = 1.18, 95% CI 0.41-1.94) and 25-90 mW/cm2 red laser (SMD = 1.6, 95% CI 0.27-2.93). Whereas 1-15 mW/cm2 red laser had a moderately positive effect on sutured wounds, 2-4 mW/cm2 red laser did not accelerate healing of open wounds. 
LLLT appears effective in the treatment of sutured and open wounds. Statistical heterogeneity indicates that the tensile strength development of sutured wounds is more dependent on laser power density compared to the contraction rate of open wounds."</t>
  </si>
  <si>
    <t>The JAK/STAT signaling pathway and photobiomodulation in chronic wound healing.</t>
  </si>
  <si>
    <t>"In this review we summarize the involvement of JAK/STAT signaling and PBM in chronic wounds."</t>
  </si>
  <si>
    <t>Yadav &amp; Gupta</t>
  </si>
  <si>
    <t>Non-invasive red and near-infrared wavelength-induced photobiomodulation: promoting impaired cutaneous wound healing.</t>
  </si>
  <si>
    <t>"Red and near-infrared light-induced photobiomodulation therapy appears to emerge as a promising drug-free approach for promoting wound healing, reduction of inflammation, pain and restoration of function owing to penetration power in conjunction with their ability to positively modulate the biochemical and molecular responses.
This review will describe the physical properties of red and near-infrared light and their interaction with skin, and highlight their efficacy on wound repair and regeneration.
Near-infrared (800-830 nm) found to be most effective and widely studied wavelength range followed by red (630-680 nm) and 904 nm superpulsed light exhibiting beneficial photobiomodulatory effects on impaired dermal wound healing."</t>
  </si>
  <si>
    <t>Photobiomodulation in Wound Healing: What Are We Not Considering?</t>
  </si>
  <si>
    <t>"The major issue is why, 45 years after Mester’s first description, PBM is still not fully incorporated into the guidelines of wound healing societies, or recommended as a routine in wound care services. The answers may vary according to the specialty, country, group, or area of interest, but when one searches for good scientific data in the literature, well-designed clinical trials are, unfortunately, rare."</t>
  </si>
  <si>
    <t>Kuffler DP</t>
  </si>
  <si>
    <t>Puerto Rico</t>
  </si>
  <si>
    <t>Photobiomodulation in promoting wound healing: a review.</t>
  </si>
  <si>
    <t>"While data suggest that simultaneous multiple wavelength illumination is more efficacious than single wavelengths, the optimal single and multiple wavelengths must be better defined to induce more reliable and extensive healing of different wound types. This review focuses on studies in which specific wavelengths induce wound healing and on their mechanisms of action."</t>
  </si>
  <si>
    <t>Hoffmann</t>
  </si>
  <si>
    <t>Heat for wounds - water-filtered infrared-A (wIRA) for wound healing - a review.</t>
  </si>
  <si>
    <t>"Seven prospective clinical studies (of these six randomized controlled trials (RCT), the largest study with n=400 patients) were identified and included. All randomized controlled clinical trials compare a combination of high standard care plus wIRA treatment vs. high standard care alone."
"Water-filtered infrared-A is a useful complement for the treatment of acute and chronic wounds."</t>
  </si>
  <si>
    <t>GMS Krankenhhyg Interdiszip</t>
  </si>
  <si>
    <t>Principles and working mechanisms of water-filtered infrared-A (wIRA) in relation to wound healing.</t>
  </si>
  <si>
    <t>"Even the normal wound healing process can be improved.wIRA is contact-free, easily applied, without discomfort to the patient, with absent consumption of material and with a good effect in the depth. The irradiation of the typically uncovered wound is carried out with a wIRA radiator."</t>
  </si>
  <si>
    <t>Andrade Fdo</t>
  </si>
  <si>
    <t>Brazil
(Itabuna)</t>
  </si>
  <si>
    <t>Effects of low-level laser therapy on wound healing.</t>
  </si>
  <si>
    <t>"Doses ranging from 3 to 6 J/cm(2) appear to be more effective and doses 10 above J/cm(2) are associated with deleterious effects. The wavelengths ranging from 632.8 to 1000 nm remain as those that provide more satisfactory results in the wound healing process."
"Low-level laser can be safely applied to accelerate the resolution of cutaneous wounds, although this fact is closely related to the election of parameters such as dose, time of exposure and wavelength."</t>
  </si>
  <si>
    <t>Effects of low-power light therapy on wound healing: LASER x LED.</t>
  </si>
  <si>
    <t>"Sixty-eight studies in vitro and in animals were analyzed. LED and LASER promote similar biological effects, such as decrease of inflammatory cells, increased fibroblast proliferation, stimulation of angiogenesis, granulation tissue formation and increased synthesis of collagen.
The irradiation parameters are also similar between LED and LASER. The biological effects are dependent on irradiation parameters, mainly wavelength and dose. This review elucidates the importance of defining parameters for the use of light devices."</t>
  </si>
  <si>
    <t>Brazil
(Alagoas)</t>
  </si>
  <si>
    <t>Use alone or in Combination of Red and Infrared Laser in Skin Wounds.</t>
  </si>
  <si>
    <t>📖 Review ("systematic"; animal studies)</t>
  </si>
  <si>
    <t>"A systematic review was conducted covering the action of red laser, infrared and combination of both, with emphasis on cutaneous wound therapy, showing the different settings on parameters such as fluency, power, energy density, time of application, frequency mode and even the type of low-power lasers and their wavelengths. It was observed that in general, the lasers brings good clinical and histological results mainly, but there is not a protocol that defines a dosage of use that has predictability of therapeutic success in repairing these wounds."</t>
  </si>
  <si>
    <t>Laser photobiomodulation of wound healing: a review of experimental studies in mouse and rat animal models.</t>
  </si>
  <si>
    <t>📖 Review
(animal models)</t>
  </si>
  <si>
    <t>"The literature search identified eight studies in mice and 39 in rats. A variety of wound models were investigated, including acute-wound, impaired-healing, and chronic-wound models.
Considerable variation was observed in research design, methodology, and irradiation parameters employed, limiting comparison of research findings between studies. Inadequate reporting of key experimental details, or errors in specification and/or calculation of key irradiation parameters was also found.
Evidence from the studies reviewed suggested that use of red or infrared wavelength at a range of dosage parameters (median 4.2 J cm(-2)) results in significant benefits in measured parameters of wound healing.
Interestingly, coherence does not seem essential to the photobiomodulatory effects of 'laser' phototherapy."</t>
  </si>
  <si>
    <t>Whinfield &amp; Aitkenhead</t>
  </si>
  <si>
    <t>The light revival: does phototherapy promote wound healing? A review.</t>
  </si>
  <si>
    <t>"The results of numerous in vitro and animal investigations suggest that phototherapy may stimulate cell activity and promote tissue repair. Reports of human clinical trials are relatively few. There is inconsistency of selected treatment parameters amongst studies testing the effect of phototherapy on wound healing. Clinical trials using human models do not provide sufficient evidence to establish the usefulness of phototherapy as an effective tool in wound care regimes."
"Phototherapy using low level laser is used in a number of applications in hospitals and clinics all over the world. It is considered to be safe and there are few contraindications for its use. As an aid to wound repair it has been deemed as an effective treatment, and if this can be proven, phototherapy may become an attractive treatment option in cases of difficult to heal wounds such as diabetic ulceration. Any such treatment that could potentially lighten the burden of these troublesome wounds would clearly be of great value. At present, however, not enough is known about the way it works, nor is there agreement amongst practitioners about optimum treatment parameters. There is an urgent need for good quality clinical research trials to establish its effectiveness, its indications for use and when and how it should be applied."</t>
  </si>
  <si>
    <t>Therapy of acute wounds with water-filtered infrared-A (wIRA).</t>
  </si>
  <si>
    <t>"wIRA can be used to support routine pre- or intraoperative antibiotic administration or it might even be discussed to replace this under certain conditions by wIRA."</t>
  </si>
  <si>
    <t>Posten</t>
  </si>
  <si>
    <t>Low-level laser therapy for wound healing: mechanism and efficacy.</t>
  </si>
  <si>
    <t>"Some studies, especially those using HeNe lasers, report improvements in surgical wound healing in a rodent model; however, these results have not been duplicated in animals such as pigs, which have skin that more closely resembles that of humans. In humans, beneficial effects on superficial wound healing found in small case series have not been replicated in larger studies."
"The fundamental question is whether there is sufficient evidence to support the use of LLLT."</t>
  </si>
  <si>
    <t>Hawkins</t>
  </si>
  <si>
    <t>Low level laser therapy (LLLT) as an effective therapeutic modality for delayed wound healing.</t>
  </si>
  <si>
    <t>"Low level laser therapy (LLLT) is a form of phototherapy that involves the application of low power monochromatic and coherent light to injuries and lesions. It has been used successfully to induce wound healing in nonhealing defects. Other wounds treated with lasers include burns, amputation injuries, skin grafts, infected wounds, and trapping injuries. The unique properties of lasers create an enormous potential for specific therapy of skin diseases. As with any new device, the most efficacious and appropriate use requires an understanding of the mechanisms of light interaction with tissue as well as the properties of the laser itself."</t>
  </si>
  <si>
    <t>Woodruff</t>
  </si>
  <si>
    <t>USA
(Dahlonega, GA)</t>
  </si>
  <si>
    <t>The efficacy of laser therapy in wound repair: a meta-analysis of the literature.</t>
  </si>
  <si>
    <t>"Twenty-four studies with 31 effect sizes met the stringent inclusion and exclusion criteria. The overall mean effect of laser therapy on wound healing was highly significant (d = +2.22). Sub-analyses of the data revealed significant positive effects on wound healing in animal experiments (d = +1.97) as well as human clinical studies (d = +0.54).
The analysis further revealed significant positive effects on specific indices of healing, for example, acceleration of inflammation (d = +4.45); augmentation of collagen synthesis (d = +1.80); increased tensile strength (d = +2.37), reduced healing time (d = +3.24); and diminution of wound size (d = +0.55)."</t>
  </si>
  <si>
    <t>Wound Healing in Cell Studies and Animal Model Experiments by Low Level Laser Therapy; Were Clinical Studies Justified? A Systematic Review</t>
  </si>
  <si>
    <t>"Of the 22 animal experiments 18 articles demonstrate an e#ect on wound healing in loose skinned rodents. However, because of their loose skin, wounds in these animals heal predominantly by wound contraction rather than by epithelialisation, such as occurs in humans. Therefore, any conclusions made from studies on mice, rats, guinea pigs, rabbits, dogs, etc., may not be directly relevant to humans"
"We found that the methodological quality of the studies was poor. In reviewing the published work on LLLT and photobioactivation it has become clear that many of the shortcomings in the literature available are still present, particularly samples that are too small to give a statistically significant result, the lack of appropriate (true) controls, blinded outcome assessment, poor description of LLLT-parameters and dosimetry, and with inappropriate statistical analyses of the data."
"Summarising the data of cell studies and animal experiments, reviewed in this manuscript, these studies failed to show unequivocal evidence to substantiate the decision for trials with LLLT in a large number of patients. In fact, there were no differences between the results of these experiments and clinical studies. Remarkably, we found that (almost from the introduction on) animal experiments and clinical studies that adress the biological effects of LLLT on wound healing, ran simultaneously, rather than in sequence. We conclude that this type of phototherapy should not be considered a valuable (adjuvant) treatment for this selected, generally therapy-refractory condition in humans."</t>
  </si>
  <si>
    <t>Cullum</t>
  </si>
  <si>
    <t>United Kingdom
(York)</t>
  </si>
  <si>
    <t>Systematic reviews of wound care management: (5) beds; (6) compression; (7) laser therapy, therapeutic ultrasound, electrotherapy and electromagnetic therapy</t>
  </si>
  <si>
    <t>"Four RCTs of laser (for venous leg ulcers), 10 of therapeutic ultrasound (for pressure sores and venous leg ulcers), 12 of electrotherapy (for ischaemic and diabetic ulcers, and chronic wounds generally) and five of electromagnetic therapy (for venous leg ulcers and pressure sores) were included"
"There is generally insufficient reliable evidence to draw conclusions about the contribution of laser therapy, therapeutic ultrasound, electrotherapy and electromagnetic therapy to chronic wound healing."</t>
  </si>
  <si>
    <t>Efficacy of Low-Level Laser Therapy on Wound Healing in Human Subjects: A Systematic Review</t>
  </si>
  <si>
    <t>"We found four randomised clinical trials that investigated the effects of LLLT versus placebo or any other intervention. Only one trial demonstrated a beneficial effect. Overall, study quality ranged from poor to insufficient. For three studies we could perform a meta-analysis. 
The overall effect size estimate indicates that LLLT had no significant beneficial effect on wound healing (pooled RR=0.76, 95% CL 0.41–1.40). We conclude that there are no scientific arguments for routine application of infrared (904 nm) LLLT on wound healing in patients with decubitus ulcers, venous leg ulcers (ulcus cruris) or other chronic wounds."</t>
  </si>
  <si>
    <t>Conlan</t>
  </si>
  <si>
    <t>USA
(Maxwell AFB, AL)</t>
  </si>
  <si>
    <t>Biostimulation of wound healing by low-energy laser irradiation. A review.</t>
  </si>
  <si>
    <t>"This paper reviews studies on the basic principles of biostimulation of wound healing by various low-energy lasers. It looks at the mechanism of action of biostimulation as well as the laser's effect on cell proliferation, collagen synthesis, and would healing."
"Since the evidence for laser biostimulation of wound healing in humans is unconvincing, it cannot be recommended for clinical use at this time. Furthermore, well controlled research needs to be carried out in animal models that have similar features to man. Human studies should not merely reflect case reports, but instead be well controlled projects with objective parameters and sufficient sample sizes. The specific types of lasers, wavelengths, and dosage schedules need to be established."</t>
  </si>
  <si>
    <t>Mester &amp; Mester</t>
  </si>
  <si>
    <t>Wound-healing</t>
  </si>
  <si>
    <t>Hungary &amp; USA</t>
  </si>
  <si>
    <t>Data for Laser Biostimulation in Wound-Healing</t>
  </si>
  <si>
    <t>J Dermatol Surg Oncol</t>
  </si>
  <si>
    <t>Biostimulation of wound healing by lasers: experimental approaches in animal models and in fibroblast cultures.</t>
  </si>
  <si>
    <t>"Recent evidence suggests that low-energy lasers, such as an He-Ne laser, might stimulate wound healing. In this review we are summarizing our recent observations indicating that low-energy lasers enhance collagen gene expression both in skin fibroblast cultures in vitro, as well as in animal models of wound healing in vivo."</t>
  </si>
  <si>
    <t>Skin graft donor site</t>
  </si>
  <si>
    <t>Atabey</t>
  </si>
  <si>
    <t>The effects of the helium neon laser on wound healing in rabbits and on human skin fibroblasts in vitro</t>
  </si>
  <si>
    <t>Split-thickness skin graft wound</t>
  </si>
  <si>
    <t>"The mean epithelialization time was 11±0.63 days for the laser-treated wounds and 12±0.12 days for the control wounds. The difference was not significant. No significant difference was found between the contraction rates of the full-thickness wounds (e.g., on the seventh postoperative day, the average wound area was 70.2±6.75% of original wound area in the laser-treated group and 66.±8.75% in the control group). Histopathologically, epidermal thickening and an increase in dermal vascularity were observed in healed wounds of the laser-treated groups.
However, in vitro, this low-energy laser promoted cell growth in human fibroblast cell cultures in 2-and 3-day treated groups (p&gt;0.05)."</t>
  </si>
  <si>
    <t>Skin injury</t>
  </si>
  <si>
    <t>Calin &amp; Botea</t>
  </si>
  <si>
    <t>In vivo comparison of simple and double-fractionated low-level laser irradiation schemes on the healing of rat skin lesions.</t>
  </si>
  <si>
    <t>Leg injuy with strong clip</t>
  </si>
  <si>
    <t>"In conclusion, using double-fractionated irradiation, skin lesions heal in 2 days, whereas simple irradiation is less efficient, with healing needing 3 days."</t>
  </si>
  <si>
    <t>Skin wounds</t>
  </si>
  <si>
    <t>Halevy</t>
  </si>
  <si>
    <t>Israel
(Negev)</t>
  </si>
  <si>
    <t>Infrared (780 nm) low level laser therapy for wound healing: In vivo and in vitro studies</t>
  </si>
  <si>
    <t>🧑 Human
📄 Case series
Self-controlled
👥 5 cases
+ 🧪 In vitro</t>
  </si>
  <si>
    <t>Patients with cutaneous fissures in hands&amp;feet due to various skin diseases.</t>
  </si>
  <si>
    <t>1
mm2
spot
20
mm2
area</t>
  </si>
  <si>
    <t>"These results suggest that 780 nm LPDLI irradiation promotes wound healing, presumably by enhancing proliferation of fibroblasts and keratinocytes."</t>
  </si>
  <si>
    <t>Stem cells and PBM in wound healing</t>
  </si>
  <si>
    <t>Could Light-Based Technologies Improve Stem Cell Therapy for Skin Wounds? A Systematic Review and Meta-Analysis of Preclinical Studies</t>
  </si>
  <si>
    <t>"The search resulted in nine eligible articles, which were assessed for risk of bias. For the meta-analysis, studies were included only when PBM was applied in vivo, five regarding wound closure, and three to wound strength. Overall, a positive influence of SC+PBM on wound closure (MD: 9.69; 95%CI: 5.78 to 13.61, p&lt;0.00001) and strength (SMD: 1.7, 95%CI: 0.68 to 2.72, p=0.001) was detected, although studies have shown moderate to high heterogeneity and a lack of information regarding some bias domains."</t>
  </si>
  <si>
    <t>Suction blister wound</t>
  </si>
  <si>
    <t>Daeschlein</t>
  </si>
  <si>
    <t>Germany
(Greifswald)</t>
  </si>
  <si>
    <t>Kinetics of physiological skin flora in a suction blister wound model on healthy subjects after treatment with water-filtered infrared-A radiation.</t>
  </si>
  <si>
    <t>🧑 Human
🎲 Randomized study, self-controlled
👥 13 participants
⌛ 7 days</t>
  </si>
  <si>
    <t>Polychromatic light 🌈
Groups:
- no treatment
- dexpanthenol
- wIRA
- dexpanthenol + wIRA</t>
  </si>
  <si>
    <t>"In healthy volunteers, wIRA alone and in combination with dexpanthenol strongly inhibited bacterial recolonization with physiological skin flora after artificial wound setting using a suction-blister wound model. This could support the beneficial effects of wIRA in the promotion of wound healing."</t>
  </si>
  <si>
    <t>Surgical wounds: ovariohysterectomy</t>
  </si>
  <si>
    <t>Cutan Ocul Toxicol</t>
  </si>
  <si>
    <t>Comparison of three different dosages of low-level laser therapy on expression of cell proliferation and inflammatory markers following ovariohysterectomy in rats</t>
  </si>
  <si>
    <t>"The results of the current examination demonstrated that LLLT can modulate mononuclear cell infiltration and edoema, and improve epithelization, as well as increase pCNA expression, whereas decrease iNOS expression during the wound healing process, therefore enhancing wound healing following ovariohysterectomy in rats."</t>
  </si>
  <si>
    <t>Breder</t>
  </si>
  <si>
    <t>Surgical Wound Dehiscence Treatment With Low-Level Laser Therapy and Barbatimão: A Case Report</t>
  </si>
  <si>
    <t>4
/point
(5 points?)</t>
  </si>
  <si>
    <t>weekly for almost 3 months</t>
  </si>
  <si>
    <t>"The treatment involved daily application of Barbatimão gel and weekly application of LLLT. The wound healed after 84 days."</t>
  </si>
  <si>
    <t>Effects of 780-nm low-level laser therapy with a pulsed gallium aluminum arsenide laser on the healing of a surgically induced open skin wound of rat.</t>
  </si>
  <si>
    <t>9.91</t>
  </si>
  <si>
    <t>"Fibroblasts, endothelium of blood vessels, blood vessel sections, and maximum stress were significantly increased, whereas macrophages were significantly decreased, compared with those of the sham-exposed group."
"Pulsed LLLT with a 780-nm GaAlAs laser significantly accelerates the process of healing of surgically induced, full-thickness skin wounds in rat."</t>
  </si>
  <si>
    <t>Krynicka</t>
  </si>
  <si>
    <t>The role of laser biostimulation in early post-surgery rehabilitation and its effect on wound healing.</t>
  </si>
  <si>
    <t>"Low energy infrared laser radiation had a beneficial effect on the covering of the scar with stratified squamous cornifying epithelium and intensified wound healing."
"The gross and microscopic findings indicated a beneficial effect of laser stimulation on wound healing. These results underscore the utility of biostimulation lasers in the early post-operative period. Physicomechanical investigations did not reveal an effect of infrared laser biostimulation on the breaking strength of the cutaneous scar."</t>
  </si>
  <si>
    <t>de Oliveira Guirro</t>
  </si>
  <si>
    <t>Effect of laser (670 nm) on healing of wounds covered with occlusive dressing: a histologic and biomechanical analysis.</t>
  </si>
  <si>
    <t>"The 4 and 7J/cm(2) laser with and without occlusive dressing did not alter significantly the reepithelization rate of the wounds. The 7 J/cm(2) laser reduced the number of leukocytes significantly. The number of fibroblasts was higher in the groups treated with laser for 7 days, and was significant in the covered 4 J/cm(2) laser group."</t>
  </si>
  <si>
    <t>Viegas</t>
  </si>
  <si>
    <t>Effect of low-level laser therapy on inflammatory reactions during wound healing: comparison with meloxicam.</t>
  </si>
  <si>
    <t>LLLT vs meloxicam</t>
  </si>
  <si>
    <t>"LLLT improves the quality of histologic repair and is useful during wound healing. However, with the methods used in this study the laser energy did not minimize tissue inflammatory reactions."</t>
  </si>
  <si>
    <t>Herascu</t>
  </si>
  <si>
    <t>Romania
(Magurele &amp; Bucharest)</t>
  </si>
  <si>
    <t>Low-level laser therapy (LLLT) efficacy in post-operative wounds.</t>
  </si>
  <si>
    <t>"Clinical evaluation showed that the healing process of these postoperatively treated wounds has occurred and that the functional recovery of the patients (i.e., return to their ordinary life) was faster than without treatment."</t>
  </si>
  <si>
    <t>Kaneps</t>
  </si>
  <si>
    <t>Laser therapy in the horse: histopathologic response.</t>
  </si>
  <si>
    <t>"Qualitative differences between laser irradiated and nonirradiated tissues were not found. The laser therapy device used in this study may be of insufficient power to affect wound healing."</t>
  </si>
  <si>
    <t>Tattoo removal wound</t>
  </si>
  <si>
    <t>Imrigha</t>
  </si>
  <si>
    <t>Malaysia
(Skudai)</t>
  </si>
  <si>
    <t>Photobiomodulation therapy on wound treatment subsequent to Q-switched Nd: YAG laser tattoo removal in rat model.</t>
  </si>
  <si>
    <t>"Findings showed 808 nm laser promotes the healing process through enhancing epithelialization and collagen deposition. Moreover, PBM therapy stimulated immune cells to improve phagocytosis process for removing the tattoo ink fragments effectively."</t>
  </si>
  <si>
    <t>Various types of wounds</t>
  </si>
  <si>
    <t>Min &amp; Goo</t>
  </si>
  <si>
    <t>830 nm light-emitting diode low level light therapy (LED-LLLT) enhances wound healing: a preliminary study.</t>
  </si>
  <si>
    <t>"There were 5 patients with ages ranging from 7 to 54 years, comprising 2 males and 3 females. The study followed 5 wounds, namely 2 acute excoriation wounds; 1 acute/subacute dog bite with infection; 1 subacute post-filler ulcerated wound with necrotic ischemic tissue and secondary infection; and 1 subacute case of edema and infection of the lips with herpes simplex involvement after an illegal cosmetic tattoo operation."
"Full wound healing and control of infection and discomfort were achieved in all patients, with wound condition-mediated treatment periods ranging from 1 to 8 weeks. No recurrence of the herpes simplex case was seen in a 4-month follow-up."</t>
  </si>
  <si>
    <t>Venous ulcer</t>
  </si>
  <si>
    <t>Degerman</t>
  </si>
  <si>
    <t>Sweden
(Skellefteå)</t>
  </si>
  <si>
    <t>Photobiomodulation, as additional treatment to traditional dressing of hard-to-heal venous leg ulcers, in frail elderly with municipality home healthcare</t>
  </si>
  <si>
    <t>🧑 Human
📄 Retrospective study
👥 27 treatment, 531 control (?)</t>
  </si>
  <si>
    <t>635+
904</t>
  </si>
  <si>
    <t>75+
60</t>
  </si>
  <si>
    <t xml:space="preserve">2 per week
</t>
  </si>
  <si>
    <t>"Healing time of the 34 hard-to-heal VLU´s in the intervention group receiving PBM was reduced between 66 and 180 days, with a mean of 123 days compared to the VLU´s in the control group receiving traditional dressing (p = 0.0001)."
Comment: The full text is quite difficult to read...</t>
  </si>
  <si>
    <t>Khoo</t>
  </si>
  <si>
    <t>Use of Blue Light in the Management of Chronic Venous Ulcer in Asian Patients: A Case Series</t>
  </si>
  <si>
    <t>🧑 Human
📄 Case series
👥 2 cases
⌛ 6-8 week treatment</t>
  </si>
  <si>
    <t>400-
430</t>
  </si>
  <si>
    <t>"Case 1 was a 71-year-old male with a history of hypertension, chronic venous insufficiency and previous deep vein thrombosis. Prior to blue light therapy, the average duration of treatment until wound closure with compression dressings used to be 10-12 weeks. Complete wound closure with the blue light therapy was eight weeks, with a total reduction of 67% of wound size by week 4.
Case 2 was a 77-year-old male with a background of hypertension and ischaemic heart disease. Prior to blue light therapy, the patient had also underwent iliac venoplasty and stenting for his recurring bilateral malleolus venous ulcers. By week 4, the right malleolus wound had healed, while the left malleolus wound had a size reduction of 38%. Complete closure of both the wounds was noted at week 6. Blue light was administered to the wounds of both patients for 120 seconds per session, as an adjunct to compression therapy."</t>
  </si>
  <si>
    <t>Sitohang</t>
  </si>
  <si>
    <t>Acta Dermatovenerol Alp Pannonica Adriat</t>
  </si>
  <si>
    <t>Combination treatment with light emitting diode and wound dressings in a patient with a venous leg ulcer: a case report.</t>
  </si>
  <si>
    <t>"We present the case of a 47-year-old man with a venous leg ulcer that was treated with LED and wound dressings. After the patient underwent the eighteenth LED session, combined with wound dressings, the size, depth, and pain of the venous leg ulcer decreased."
Comment: Parameters were not reported.</t>
  </si>
  <si>
    <t>Dini</t>
  </si>
  <si>
    <t>Biomodulation induced by fluorescent light energy versus standard of care in venous leg ulcers: a retrospective study.</t>
  </si>
  <si>
    <t>🧑 Human
📄 Retrospective study
👥 46 patients (+ 10 matched ctrls)
⌛ 12-week treatment -&gt; 4-week follow-up</t>
  </si>
  <si>
    <r>
      <rPr>
        <sz val="6.0"/>
      </rPr>
      <t xml:space="preserve">"Fluorescence biomodulation (FB), a form of PBM, is induced by the delivery of fluorescent light energy (FLE) to the skin with a dual-component treatment system: a gel containing chromophores illuminated by an LED lamp."
"The EUREKA patients had larger and significantly older wounds (p&lt;0.05) and significantly more risk factors (p&lt;0.05) than the matching wounds. However, they had better outcomes (EUREKA: 40% versus matching group: 7% for full wound closure by 16 weeks). No wound breakdown was observed at 16 weeks in the EUREKA group, compared with 25% in the matching group. No EUREKA patient developed infections requiring antibiotics, compared with 37% in the matching group."
Comment: See the </t>
    </r>
    <r>
      <rPr>
        <i/>
        <sz val="6.0"/>
      </rPr>
      <t>Additional info</t>
    </r>
    <r>
      <rPr>
        <sz val="6.0"/>
      </rPr>
      <t xml:space="preserve"> column for more information about the treatment method.</t>
    </r>
  </si>
  <si>
    <t>From the older EUREKA paper: "The gel used in the system is a topical photo-converter wound gel containing specific chromophores which are illuminated by a LED activator, which is a device delivering photons with wavelengths between 440nm and 460nm, and a power density between 55mW/cm2 and 129mW/ cm2, at a distance of 5cm from the light source. Upon illumination by the LED activator, the chromophores produce fluorescence in the visible range with a broad spectrum of wavelengths."</t>
  </si>
  <si>
    <t>Bavaresco</t>
  </si>
  <si>
    <t>Low-level laser therapy for treatment of venous ulcers evaluated with the Nursing Outcome Classification: study protocol for a randomized controlled trial.</t>
  </si>
  <si>
    <t>"This randomized clinical trial will use a validated method to investigate the effect of a novel intervention for the treatment of venous ulcers."</t>
  </si>
  <si>
    <t>Vitse</t>
  </si>
  <si>
    <t>France &amp; Canada</t>
  </si>
  <si>
    <t>A Double-Blind, Placebo-Controlled Randomized Evaluation of the Effect of Low-Level Laser Therapy on Venous Leg Ulcers.</t>
  </si>
  <si>
    <t>🧑 Human
🎲 Randomized trial, double-blind
👥 24 participants
⌛ 12 weeks</t>
  </si>
  <si>
    <t>0.00246</t>
  </si>
  <si>
    <t>2.95</t>
  </si>
  <si>
    <t>"Within the limitations of the study, LLLT may not have early effects as an adjunctive therapy to wound healing of VLUs, but LLLT may have delayed effects on VLU healing and associated pain, which requires further study."</t>
  </si>
  <si>
    <t>Device: "Erchonia MLS laser"</t>
  </si>
  <si>
    <t>Effects of weekly LED therapy at 625 nm on the treatment of chronic lower ulcers.</t>
  </si>
  <si>
    <t>🧑 Human
🎲 Randomized trial, sham-controlled
👥 17 participants
⌛ 30 weeks (or until healing)</t>
  </si>
  <si>
    <t>4
small
ulcers
(&lt;1cm2)
20
larger
ulcers</t>
  </si>
  <si>
    <t>1 cm2 spot area</t>
  </si>
  <si>
    <t>30
/ 30 weeks
(or until healing)</t>
  </si>
  <si>
    <t>"The results suggest that LED therapy improved the effectiveness of the Unna's boot since no refractory ulcer was observed in the LED group after 19 weeks. However, LED therapy did not alter the local secretion of TNF-α nor accelerate wound healing."</t>
  </si>
  <si>
    <t>Medenica &amp; Lens</t>
  </si>
  <si>
    <t>Yugoslavia &amp; UK</t>
  </si>
  <si>
    <t>The use of polarised polychromatic non-coherent light alone as a therapy for venous leg ulceration</t>
  </si>
  <si>
    <t>254 cm2 spot size</t>
  </si>
  <si>
    <t>"The total number of 73 leg ulcers recorded at the beginning of the study was reduced to 51 at the end of the four weeks (p &lt; 0.01). The decrease in wound surface area following the treatment was statistically significant [mean: 57.15%]"
Comment: No control group.</t>
  </si>
  <si>
    <t>Treatment of refractory venous stasis ulcers with autologous platelet-rich plasma and light-emitting diodes: a pilot study.</t>
  </si>
  <si>
    <t>🧑 Human
📄 Single-arm trial
👥 16 participants
⌛ 6-week treatment -&gt; 1-year follow-up</t>
  </si>
  <si>
    <t>LED phototherapy
PBM + PRP combination treatment</t>
  </si>
  <si>
    <t>18
/ 6 weeks
(or until healing)</t>
  </si>
  <si>
    <t>"The combined autologous PRP and LED therapy was well tolerated and safe. A statistically significant improvement was observed post-therapeutically in the clinical parameters of pain, itching, heaviness, paresthesia, cramps, and leg swelling. There was also a significant decrease in ulcer size. None of the patients showed worsening of their venous stasis ulcer. Regarding subject satisfaction with the regimen, 75.0% of participants reported being 'satisfied or very satisfied' with their overall improvement after treatment. No significant adverse effects were observed."
Comment: Parameters were poorly reported.</t>
  </si>
  <si>
    <t>Device: "LED (SMARTLUX FX, MEDMIX Corporation, Seoul, Korea)"</t>
  </si>
  <si>
    <t>Schumann</t>
  </si>
  <si>
    <t>Water-filtered infrared A for the treatment of chronic venous stasis ulcers of the lower legs at home: a randomized controlled blinded study.</t>
  </si>
  <si>
    <t>🧑 Human
⚔ Comparison study, sham-controlled
👥 51 participants
⌛ 9-week treatment -&gt; 4-week follow-up</t>
  </si>
  <si>
    <t>Polychromatic light 🌈 (water-filtered IR-A)
⚔ Groups:
- visible light
- visible light + wIRA</t>
  </si>
  <si>
    <t>visible
(580-
780)
visible+
wIRA
(580 - 1400)</t>
  </si>
  <si>
    <t>0.045
0.045+
0.140</t>
  </si>
  <si>
    <t>45
/ 9 weeks</t>
  </si>
  <si>
    <t>"Compared with the control group with VIS alone, the group with wIRA + VIS showed 
better wound healing [after 9 weeks 85 vs. 67·5 on a 0-100 visual analogue scale (VAS), median difference 15, 95% confidence interval (CI) 3-30, P = 0·012], 
a higher percentage of patients with a healing trend [after 9 weeks 21 of 25 (84%) vs. 13 of 26 (50%), P = 0·023], 
better granulation (after 9 weeks 90 vs. 80 on a 0-100 VAS, median difference 10, 95% CI 0-30, P = 0·036), 
a trend to less exudation (after 5 weeks 30 vs. 55 on a 0-100 VAS, P = 0·075) and to 
faster reduction of the wound area (after 7 weeks 39% vs. 19·5% reduction of wound area, median difference 20·5%, 95% CI -4-49%, P = 0·10; for wounds with an initial area &lt; 10 cm(2): after 13 weeks 92% vs. 47% reduction of wound area, median difference 30%, 95% CI 0-68%, P = 0·11). "</t>
  </si>
  <si>
    <t>Device: "a broadband radiator (Hydrosun_x0004_ type 505; Hydrosun Medizintechnik GmbH, Mullheim, Germany, with a 7 mm water cuvette and an orange filter, with an effective irradiance of maximal 185 mW cm^-2 wIRA + VIS, consisting of 140 mW cm^-2 wIRA and 45 mW cm^-2 VIS), and in the control group with 45 mW cm^-2 VIS alone."</t>
  </si>
  <si>
    <t>Leclère</t>
  </si>
  <si>
    <t>A prospective randomized study of 980 nm diode laser-assisted venous ulcer healing on 34 patients.</t>
  </si>
  <si>
    <t>🧑 Human
🎲 Randomized trial
👥 34 participants
⌛ 9 weeks</t>
  </si>
  <si>
    <t>9
/ 9 weeks</t>
  </si>
  <si>
    <t>"980 nm diode laser-assisted venous ulcer healing was easy to perform and very well tolerated. However, there were no statistically significant differences in reduction of ulcer size between the two groups, suggesting that this particular laser regimen does not promote wound healing."
Note: As authors acknowledge, this paper isn't actually LLLT, since a very high dose laser was used and it led to significant heating of the irradiated tissue to 45–50 celcius.</t>
  </si>
  <si>
    <t>Caetano</t>
  </si>
  <si>
    <t>Phototherapy improves healing of chronic venous ulcers.</t>
  </si>
  <si>
    <t>🧑 Human
🎲 Randomized trial, double-blind
👥 20 participants (32 ulcers)
⌛ 90 days</t>
  </si>
  <si>
    <t>LED phototherapy
⚔ Groups:
- SDZ 1% + sham
- SDZ 1% + PBM
- SDZ 1%</t>
  </si>
  <si>
    <t>2 per week for 90 days (or until healing)</t>
  </si>
  <si>
    <t>"Ulcers treated with phototherapy healed significantly faster than controls when compared at day 30 (p +/- 0.01), day 60 (p +/- 0.05), and day 90 (p +/- 0.001), and similarly healed faster than the placebo-treated ulcers at days 30 and 90 (p +/- 0.01), but not at day 60.
The beneficial effect of phototherapy was more pronounced when the confounding effect of small-sized ulcers was removed from the analysis. Medium- and large-sized ulcers healed significantly faster with treatment (&gt;or=40% rate of healing per month) than placebo or control ulcers (p +/- 0.05)."</t>
  </si>
  <si>
    <t>Device: "Dynatron Solaris 705® phototherapy research device (Dynatronics Corporation, Salt Lake City, UT, USA), specially designed to permit double-blind study."</t>
  </si>
  <si>
    <t>Mercer</t>
  </si>
  <si>
    <t>Norway</t>
  </si>
  <si>
    <t>Improvement of wound healing by water-filtered infrared-A (wIRA) in patients with chronic venous stasis ulcers of the lower legs including evaluation using infrared thermography.</t>
  </si>
  <si>
    <t>🧑 Human
📄 Single-arm trial
👥 10 participants (11 ulcers)</t>
  </si>
  <si>
    <t>Polychromatic light 🌈 (water-filtered IR-A)</t>
  </si>
  <si>
    <t>2-5 per week for up to 2 months</t>
  </si>
  <si>
    <t>wIRA seemed to have clear beneficial effects on ulcer healing.</t>
  </si>
  <si>
    <t>Kopera</t>
  </si>
  <si>
    <t>Low level laser: does it influence wound healing in venous leg ulcers? A randomized, placebo-controlled, double-blind study.</t>
  </si>
  <si>
    <r>
      <rPr>
        <sz val="7.0"/>
      </rPr>
      <t xml:space="preserve">🧑 Human
🎲 Randomized trial, double-blind
👥 44 participants
⌛ 4-week treatment -&gt; 2-month follow-up
</t>
    </r>
    <r>
      <rPr>
        <i/>
        <sz val="7.0"/>
      </rPr>
      <t>(duplicate data?)</t>
    </r>
  </si>
  <si>
    <t>daily for 2 weeks
--&gt;
alternate days for 2 weeks</t>
  </si>
  <si>
    <t>"However, our randomized, placebo-controlled, double-blind study using a 685-nm diode laser at 200 mW and 4 J cm−2 showed that LLL treatment did not enhance wound healing in chronic venous leg ulcers or may even have impared it, contrary to our expectations."
Comment: The data seems to be identical (from the same patient population) as in the same group's another 2005 paper.</t>
  </si>
  <si>
    <t>Does the use of low-level laser influence wound healing in chronic venous leg ulcers?</t>
  </si>
  <si>
    <t>🧑 Human
🎲 Randomized trial, double-blind
👥 44 participants
⌛ 4-week treatment -&gt; 2-month follow-up</t>
  </si>
  <si>
    <t>"These study results suggest that low-level laser does not stimulate wound healing in venous leg ulcers. Further controlled studies are needed to clarify the efficacy of low-level laser treatment as a wound-healing stimulant."
Comment: Jan Tunér and Lars Hode published a commentary noting that the placebo group used a LED light which might also have a positive clinical effect. They also note that parameters were insufficiently reported, and that the treatment time was only 28 days, while venous ulcers might require more time to heal.</t>
  </si>
  <si>
    <t>Lagan</t>
  </si>
  <si>
    <t>Low-intensity laser therapy/combined phototherapy in the management of chronic venous ulceration: a placebo-controlled study.</t>
  </si>
  <si>
    <t>🧑 Human
🎲 Randomized trial, double-blind
👥 15 participants
⌛ 4-week treatment -&gt; 8-week follow-up</t>
  </si>
  <si>
    <t>LED array? (31 diodes)</t>
  </si>
  <si>
    <t>15+
150+
250+
250
max and 80% duty cycle
--&gt; 532 total</t>
  </si>
  <si>
    <t>"Although there was no statistically significant difference between Treatment and Placebo groups, an apparent clinical difference in wound healing rate was noted; at postirradiation, a continued reduction in wound size was evident for the treatment group. These effects were believed to be due to an apparent delayed effect. There was no statistically significant difference between groups for pain."</t>
  </si>
  <si>
    <t>Device: "Biotherapy 3ML system (Omega Laser Systems, West Sussex, U.K.)"</t>
  </si>
  <si>
    <t>Franek</t>
  </si>
  <si>
    <t>Does low output laser stimulation enhance the healing of crural ulceration? Some critical remarks.</t>
  </si>
  <si>
    <t>🧑 Human
🎲 Randomized trial, sham-controlled
👥 65 participants
⌛ ~4.5 weeks</t>
  </si>
  <si>
    <t>5 per week
(avg 4.5 weeks)</t>
  </si>
  <si>
    <t>"No significant impact of laser light (lambda=810 nm, P=65 mW, p=4 J/cm2) on any of the stages of ulceration healing was observed."</t>
  </si>
  <si>
    <t>Device: "CTL-1106MX (...) laser head was a single diode from High Power Devices Inc., USA"</t>
  </si>
  <si>
    <t>Flemming&amp;Cullum</t>
  </si>
  <si>
    <t>Laser therapy for venous leg ulcers.</t>
  </si>
  <si>
    <t>"We have found no evidence of any benefit associated with low level laser therapy on venous leg ulcer healing. One small study suggests that a combination of laser and infrared light may promote the healing of venous ulcers, however more research is needed."
Note: The review was withdrawn by Cochrane Library in 2014.</t>
  </si>
  <si>
    <t>Lichtenstein &amp; Morag</t>
  </si>
  <si>
    <t>Low level laser therapy in ambulatory patients with venous stasis ulcers</t>
  </si>
  <si>
    <t>8
+
120</t>
  </si>
  <si>
    <t>"We achieved complete wound healing, classified as good, in 53 patients (85.48%) of the patients during a two to 14 week period of treatment, and moderate partial wound closure with clinical improvement in 4 patients (6.46%) with chronic long-term venous leg ulcers. The efficiency of the treatment was 91.94%. No patient had to stop treatment because of adverse side effects. Two patients (3.2%), had recurrent ulcers. These findings indicate that appropriate doses of laser can be beneficial in promoting tissue repair."</t>
  </si>
  <si>
    <t>Flemming</t>
  </si>
  <si>
    <t>A systematic review of laser therapy for venous leg ulcers.</t>
  </si>
  <si>
    <t>"A total of four eligible RCTs were identified. Two compared treatment with laser therapy to sham or placebo laser treatment. One study compared laser therapy with ultraviolet therapy. The fourth was a three-armed study which compared the effects of laser therapy alone, laser therapy plus infrared light, and non-coherent unpolarised red light.
The comparisons of laser therapy with placebo, and laser therapy with ultraviolet therapy, showed no significant difference between treatments with regard to ulcer healing rates.
The comparison of laser with red light showed a significant increase in complete healing at nine months for the combination of laser and infrared light compared to non-coherent unpolarised red light.
We have not found any evidence of the benefit of low-level laser therapy per se on venous leg ulcer healing. It appears that a combination of HeNe laser and infrared light may promote the healing of venous ulcers, however more research is needed."</t>
  </si>
  <si>
    <t>The use of low energy photon therapy (LEPT) in venous leg ulcers: a double-blind, placebo-controlled study.</t>
  </si>
  <si>
    <t>🧑 Human
🎲 Randomized trial, double-blind
👥 9 participants (12 ulcers)
⌛ 10 weeks</t>
  </si>
  <si>
    <t>660
+
880</t>
  </si>
  <si>
    <t>132
+
84</t>
  </si>
  <si>
    <t>4
4</t>
  </si>
  <si>
    <t>60
cm2
+
4
cm2</t>
  </si>
  <si>
    <t>300-
360
(session)</t>
  </si>
  <si>
    <t>30
/ 10 weeks</t>
  </si>
  <si>
    <t>"Nine patients with 12 venous ulcers were randomized to receive LEPT or placebo therapy. At the conclusion of the study, the percentage of the initial ulcer area remaining unhealed in the LEPT and placebo groups was 24.4% and 84.7%, respectively (P = 0.0008).
The decrease in ulcer area (compared to baseline) observed in the LEPT and placebo groups was 193.0 mm2 and 14.7 mm2, respectively (P = 0.0002)."</t>
  </si>
  <si>
    <t>Device: "a low energy photon therapy device with microprocessor-controlled, multiple monochromatic optical source probes (International Medical Instruments Inc., Ontario, Canada)."</t>
  </si>
  <si>
    <t>The use of low-energy photon therapy in the treatment of leg ulcers – a preliminary study</t>
  </si>
  <si>
    <t>🧑 Human
📄 Single-arm trial
👥 9 participants (15 ulcers)
⌛ 10 weeks</t>
  </si>
  <si>
    <t>"Of 15 venous ulcers, 12 (75%) had healed or improved markedly (greater than 75% reduction in pretherapy area of ulcer) by the end of the study. Side-effects consisted of erythema at the ulcer site in one patient."</t>
  </si>
  <si>
    <t>Low-power HeNe laser treatment of venous leg ulcers.</t>
  </si>
  <si>
    <t>🧑 Human
🎲 Randomized trial, sham-controlled
👥 46 participants
⌛ 12 weeks</t>
  </si>
  <si>
    <t>Venous leg ulcers</t>
  </si>
  <si>
    <t>4*
(* see comments)</t>
  </si>
  <si>
    <t>"There were no significant differences in the proportion of healed ulcers or ulcer area in the HeNe group compared with the placebo group."
Tuner: "In this study, a 6 mW HeNe laser or a placebo HeNe laser was used to treat leg ulcers twice weekly for 12 weeks. The stated dose was 4 J/cm2. The area of the ulcers varied from 3 cm2 to 32 cm2. 
To achieve the stated dose, the treatment time of each session of therapy would thus have had to vary from 33 minutes to 6 hours. It is questioned that the patients really would have been treated for 6 hours."
[For more information, see additional info]</t>
  </si>
  <si>
    <t>"The method by which the dose was calculated is therefore questionable. No indication is given of the method of treatment. If a scanning laser with an unexpanded beam was used, the power density would have been about 0.15 W/cm2. If the beam was expanded to a diameter capable of illuminating the whole area of the ulcer at once, the power density when treating the largest ulcer would have been about 0.00019 W/cm2, which is close to the level of moonlight. Unless more parameters are accounted for, it is impossible to evaluate this study. The possibility of performing a double blind study with red light is also questionable. The authors have been reluctant to answer questions on this paper."</t>
  </si>
  <si>
    <t>Malm</t>
  </si>
  <si>
    <t>Scand J Plast Reconstr Surg Hand Surg</t>
  </si>
  <si>
    <t>Effect of low power gallium arsenide laser on healing of venous ulcers.</t>
  </si>
  <si>
    <t>🧑 Human
🎲 Randomized trial, sham-controlled
👥 42 participants (32 completed)
⌛ 12 weeks</t>
  </si>
  <si>
    <t>24
/ 12 weeks
(or until healing)</t>
  </si>
  <si>
    <t>"One group received standard conservative treatment and gallium arsenide laser, and the other received the same standard treatment and placebo laser treatment. There were no differences in results between the two groups."
The parameters stated in the report are: "A GaAs laser (Irradia) was used. The wavelength was 904 nm, average output 4 mW, peak power 10 W, pulse frequency 3800 Hz and duration 180 ns, and divergence 70 mrad. Energy density was 1.96 J/cm2 . The placebo laser was of the same brand but the invisible GaAs laser light had been removed so that nobody in the study could tell the difference between the two."
According to Hode&amp;Tuner: [Read additional info]</t>
  </si>
  <si>
    <t xml:space="preserve">Device: "A GaAs laser (Irradia) was used"
Hode and Tuner:
"First of all, the treatment time was said to be 10 minutes per patient regardless of wound size. Wound size in the laser group was in the range 4-52 cm2 (average 12 cm2 ). With an average output power of 4 mW and a treatment time of 600 seconds (10 minutes), an energy of 2.4 joules were emitted from the laser in each session. If the whole wound area was treated, the dose (energy density) for the smallest wounds (4 cm2 ) must have been 0.6 J/cm2 and for the largest wounds (52 cm2 ) the dose was 0.046 J/cm2 . As the stated dose was 1,96 J/cm2 something seem to be wrong. We contacted the authors about this, but they refused to give any information. Further, according the manufacturer of the laser equipment (Irradia AB, Sweden), a GaAs laser with as low power as 4 mW has never been produced and a pulse frequency of 3800 Hz is not available with any of their equipment. Neither has a GaAs laser with a beam divergence of 70 mrad (collimated) been available."
</t>
  </si>
  <si>
    <t>Sugrue</t>
  </si>
  <si>
    <t>Ann Vasc Surg</t>
  </si>
  <si>
    <t>The use of infrared laser therapy in the treatment of venous ulceration.</t>
  </si>
  <si>
    <t>🧑 Human
📄 Single-arm trial
👥 12 participants
⌛ 12 weeks</t>
  </si>
  <si>
    <t>780
for 4 patients
904
for 8 patients</t>
  </si>
  <si>
    <t>15 per cm2
´
240 per ulcer</t>
  </si>
  <si>
    <t>36
/ 12 weeks
(or until healing)</t>
  </si>
  <si>
    <t>"Twelve patients with chronic venous ulcers unresponsive to conservative measures were treated with infrared laser irradiation for twelve weeks. Two ulcers healed completely and there was a 27% (p less than 0.01) reduction in size of the remaining ulcers. 
Treatment resulted in a 44% (p less than 0.01) increase in ulcer floor area occupied by healthy granulation tissue. The most dramatic effect of laser treatment was the reduction in ulcer pain, from 7.5 to 3.5 (linear analogue scale) (p less than 0.001). Laser irradiation had no effect on TcPO2, number of skin capillaries or pericapillary fibrin deposition in the lipodermatosclerotic area around the ulcer. 
The results of this pilot study are encouraging and a carefully controlled randomized study is indicated to compare low power laser irradiation to conventional treatment in the management of venous ulcers."</t>
  </si>
  <si>
    <t>Santoianni</t>
  </si>
  <si>
    <t>Photodermatol</t>
  </si>
  <si>
    <t>Inadequate effect of helium-neon laser on venous leg ulcers.</t>
  </si>
  <si>
    <t>🧑 Human
📄 Non-randomized, controlled study (??)
👥 61 participants
⌛ (?)</t>
  </si>
  <si>
    <t>6 per week
(???)</t>
  </si>
  <si>
    <t>"It was concluded that helium-neon laser radiation has no advantages over standard local treatments, at least with the dosage schedules and protocols employed."</t>
  </si>
  <si>
    <t xml:space="preserve">García </t>
  </si>
  <si>
    <t>Study of the Effect of Photobiomodulation on a Skin Repair Model in SKH-1 Mice</t>
  </si>
  <si>
    <t>d = 
10 mm
(?)</t>
  </si>
  <si>
    <t>1
or
5
/ 10 days</t>
  </si>
  <si>
    <t>"In our study, with the parameters used, PBM improved the healing of skin wounds when applied every other day and not in a single dose."</t>
  </si>
  <si>
    <t>Mármora</t>
  </si>
  <si>
    <t>Defocused high-power diode laser accelerates skin repair in a murine model through REDOX state modulation and reepithelization and collagen deposition stimulation</t>
  </si>
  <si>
    <t>"A faster clinical repair was observed in all laser groups at D10 and D14. DHPLD1 W exhibited lower inflammation and better reepithelization compared to other groups at D10. DHPL protocols modulated oxidative stress by decreasing MDA and increasing SOD and GSH. Collagen maturation was triggered by all protocols tested and L0.1 W modulated cytokines release (IL-1β and TNF-α) at D3."</t>
  </si>
  <si>
    <t xml:space="preserve">Martignago </t>
  </si>
  <si>
    <t>Effects of red and near-infrared LED light therapy on full-thickness skin graft in rats</t>
  </si>
  <si>
    <t xml:space="preserve">🐀 Rat </t>
  </si>
  <si>
    <t>Full-thickness skin graft
Wavelength comparison</t>
  </si>
  <si>
    <t>"The results showed that the red wavelength LED significantly enhanced the skin graft score in relation to the NIR group and increased transforming growth factor beta (TGF-β) protein expression and density of collagen fibers compared with the other experimental groups. These results suggest that the red wavelength LED was efficient to improve the dermo-epidermal junction and modulate the expression proteins related to tissue repair."</t>
  </si>
  <si>
    <t>Comparative Study Between Low Level Laser and Therapeutic Ultrasound in Second Intention Ulcers Repair in Mice.</t>
  </si>
  <si>
    <t>3-6</t>
  </si>
  <si>
    <t>Laser had better effects than control on day 7 and non-significantly on day 14 too. However, ultrasound had much more pronounced beneficial effects.</t>
  </si>
  <si>
    <t>Zhongguo Yi Xue Ke Xue Yuan Xue Bao</t>
  </si>
  <si>
    <t>Effects of 630 nm Red and 460 nm Blue Light Emitting Diode Irradiation on Healing of the Skin Wound in Japanese Big-ear White Rabbit</t>
  </si>
  <si>
    <t>460
+
630</t>
  </si>
  <si>
    <t>"The healing rate in the red light,blue light,and control groups was 50.0%(4/8),25.0%(2/8),and 12.5%(1/8),respectively. Since the 12th day after modeling,the healing area percentage in the red light group was significantly higher than those in the blue light and control groups(P&lt;0.05,P&lt;0.01). 
On the 21st day after modeling,the skin thickness of the red light group was(2.95±0.34)mm,which was significantly higher than that in control group [(2.52±0.42)mm;F=3.182,P=0.016)]. The average optical density of collagen fibers was 0.15±0.03 in red light group,which was significantly higher than that of the blue light group(0.09±0.01;F=7.316,P=0.012)and control(0.07±0.01;F=7.316,P=0.003). 
The results of immunohistochemistry showed the expression levels of EGF,FGF,CD31 antigen,and Ki-67 in the red light group were significantly higher than those in the blue light and control groups,whereas the CD68 expression was significantly lower(P&lt;0.05 or P&lt;0.01)."
"Conclusion LED red light irradiation can promote the healing of skin wounds in Japanese big-ear white rabbits,which may be achieved by the effect of red light irradiation in stimulating the proliferation of skin epidermal cells,vascular endothelial cells,and fiberous tissue."</t>
  </si>
  <si>
    <t>Study on the feasibility of LEDs in wound healing applications</t>
  </si>
  <si>
    <t>630
830</t>
  </si>
  <si>
    <t>"A 630 nm LED and an 830 nm LED were used to research the influence of low-level light therapy on wound healing through cytological and animal experiments. In the cytological experiment, the cell viability and synthesis of hydroxyproline was measured. In the animal experiment, rats were given an artificial wound. Then, the effects of LED irradiation on wound healing were compared with control rats that did not receive the light therapy. The wound healing rate and collagen fiber formation was researched."</t>
  </si>
  <si>
    <t>Iraq
(Basrah)</t>
  </si>
  <si>
    <t>N Am J Med Sci</t>
  </si>
  <si>
    <t>Effects of a low level laser on the acceleration of wound healing in rabbits</t>
  </si>
  <si>
    <t>7
/7d</t>
  </si>
  <si>
    <t>"The study found that low level laser therapy (II) was effective in open wounds, which showed better regeneration and faster restoration of structural and functional integrity as compared to the control group."</t>
  </si>
  <si>
    <t>Machneva</t>
  </si>
  <si>
    <t>Biozifika</t>
  </si>
  <si>
    <t>[A study of the effect of low-intensity laser radiation of the blue, green, and red spectral regions on the healing of experimental skin wounds in rats].
[Article in Russian]</t>
  </si>
  <si>
    <t>441
532
633</t>
  </si>
  <si>
    <t>0.75
0.75
1.5</t>
  </si>
  <si>
    <t>"It was shown that irradiation with laser accelerated the healing of wounds in all cases. The exposure to laser radiations in the red (1.5 J/cm), blue, and green (0.75 J/cm2) spectral regions shortened the time of wound healing from 22 to 17 and 19 days, respectively."</t>
  </si>
  <si>
    <t>Zhang &amp; Al-Watban</t>
  </si>
  <si>
    <t>The Effect of Low-Power He-Ne and He-Cd Laser Therapy on Wound Healing of Rats</t>
  </si>
  <si>
    <t>442
632</t>
  </si>
  <si>
    <t>"A comparison of the He-Ne and He-Cd laser therapy in this study revealed from 1.57 and 7.84% difference of wound healing acceleration. The acceleration was dependent on the laser dose used. The He-Ne laser yielded better healing possibly due to higher tissue penetration."</t>
  </si>
  <si>
    <t>Effect of low intensity laser radiation on healing of open skin wounds in rats.</t>
  </si>
  <si>
    <t>"The mean +/- SD of time required for complete closure in control group was 14.1 +/- 0.86 days (range 12-15 day) while irradiated test wounds took only 10.3 +/- 0.68 days (range 9-12 days) to heal (P &lt; 0.001). Granulation tissue was significantly (P &lt; 0.001) more in test than in control wounds. Early epithelisation with increased fibroblastic reaction, leukocytic infiltration and neo vascularisation was seen in the laser irradiated wounds. The collagen hydroxyproline concentration of scar tissue was also significantly higher (P &lt; 0.001) in test group on 17th post-operative day. The study establishes the biostimulatory effects of low intensity laser radiation on healing of skin wounds."</t>
  </si>
  <si>
    <t>///    Work in progress :-)    ///</t>
  </si>
  <si>
    <t>Specialty</t>
  </si>
  <si>
    <t>Indication</t>
  </si>
  <si>
    <t>Research countries</t>
  </si>
  <si>
    <t>Evidence base</t>
  </si>
  <si>
    <t>Description</t>
  </si>
  <si>
    <t>Last updated</t>
  </si>
  <si>
    <t>Cardiology and hematology</t>
  </si>
  <si>
    <t>Abdominal aortic aneyrusm</t>
  </si>
  <si>
    <t>🐁 3 animal studies (mouse)</t>
  </si>
  <si>
    <r>
      <rPr>
        <sz val="8.0"/>
      </rPr>
      <t>After acute myocardial infarction and stroke, the rupture of abdominal aortic aneurysm is a relatively common cause of cardiovascular death. 
In three mouse studies of angiotensin II subcutaneous infusion for apo-E deficient mice, PBM (780 nm; ~2 J/cm2; 9 min irradiation; ~1 month study) has shown effectiveness in preventing development of abdominal aortic aneurysm and arresting further progression of pre-induced aneurysm (</t>
    </r>
    <r>
      <rPr>
        <color rgb="FF1155CC"/>
        <sz val="8.0"/>
        <u/>
      </rPr>
      <t>Gavish et al. 2014</t>
    </r>
    <r>
      <rPr>
        <sz val="8.0"/>
      </rPr>
      <t xml:space="preserve">, </t>
    </r>
    <r>
      <rPr>
        <color rgb="FF1155CC"/>
        <sz val="8.0"/>
        <u/>
      </rPr>
      <t>Gavish et al. 2012</t>
    </r>
    <r>
      <rPr>
        <sz val="8.0"/>
      </rPr>
      <t xml:space="preserve">, </t>
    </r>
    <r>
      <rPr>
        <color rgb="FF1155CC"/>
        <sz val="8.0"/>
        <u/>
      </rPr>
      <t>Gavish et al. 2009</t>
    </r>
    <r>
      <rPr>
        <sz val="8.0"/>
      </rPr>
      <t>). 
Human trials haven't been conducted so far. Light would not reach the aneurysm via skin irradiation, and thus, light delivery via femoral artery, abdomen or transverse colon has been suggested (</t>
    </r>
    <r>
      <rPr>
        <color rgb="FF1155CC"/>
        <sz val="8.0"/>
        <u/>
      </rPr>
      <t>Gavish et al. 2022</t>
    </r>
    <r>
      <rPr>
        <sz val="8.0"/>
      </rPr>
      <t>).</t>
    </r>
  </si>
  <si>
    <t>27th November 2023 // Vladimir</t>
  </si>
  <si>
    <t>Angiogenesis (promotion of)</t>
  </si>
  <si>
    <t>Austria, Brazil, China, Israel, Korea, Taiwan, USA (WI)</t>
  </si>
  <si>
    <t>🐁 9 animal studies (mouse, rat, rabbit)
🧪 7 cell culture studies</t>
  </si>
  <si>
    <r>
      <rPr>
        <sz val="8.0"/>
      </rPr>
      <t>PBM with red and near-infrared light has been reported to stimulate angiogenesis in numerous cell culture studies (</t>
    </r>
    <r>
      <rPr>
        <color rgb="FF1155CC"/>
        <sz val="8.0"/>
        <u/>
      </rPr>
      <t>Zhang et al. 2022</t>
    </r>
    <r>
      <rPr>
        <sz val="8.0"/>
      </rPr>
      <t xml:space="preserve">, </t>
    </r>
    <r>
      <rPr>
        <color rgb="FF1155CC"/>
        <sz val="8.0"/>
        <u/>
      </rPr>
      <t>Stepanov et al. 2022</t>
    </r>
    <r>
      <rPr>
        <sz val="8.0"/>
      </rPr>
      <t xml:space="preserve">, </t>
    </r>
    <r>
      <rPr>
        <color rgb="FF1155CC"/>
        <sz val="8.0"/>
        <u/>
      </rPr>
      <t>Winter et al. 2018</t>
    </r>
    <r>
      <rPr>
        <sz val="8.0"/>
      </rPr>
      <t xml:space="preserve">, </t>
    </r>
    <r>
      <rPr>
        <color rgb="FF1155CC"/>
        <sz val="8.0"/>
        <u/>
      </rPr>
      <t>Lim et al. 2011)</t>
    </r>
    <r>
      <rPr>
        <sz val="8.0"/>
      </rPr>
      <t xml:space="preserve"> and rodents with hindlimb ischemia (</t>
    </r>
    <r>
      <rPr>
        <color rgb="FF1155CC"/>
        <sz val="8.0"/>
        <u/>
      </rPr>
      <t>Huang et al. 2021</t>
    </r>
    <r>
      <rPr>
        <sz val="8.0"/>
      </rPr>
      <t xml:space="preserve">, </t>
    </r>
    <r>
      <rPr>
        <color rgb="FF1155CC"/>
        <sz val="8.0"/>
        <u/>
      </rPr>
      <t>Lohr et al. 2013</t>
    </r>
    <r>
      <rPr>
        <sz val="8.0"/>
      </rPr>
      <t>), ischemic flap (</t>
    </r>
    <r>
      <rPr>
        <color rgb="FF1155CC"/>
        <sz val="8.0"/>
        <u/>
      </rPr>
      <t>Dungel et al. 2014</t>
    </r>
    <r>
      <rPr>
        <sz val="8.0"/>
      </rPr>
      <t>) and cutaneous wounds (</t>
    </r>
    <r>
      <rPr>
        <color rgb="FF1155CC"/>
        <sz val="8.0"/>
        <u/>
      </rPr>
      <t>de Sousa et al. 2013</t>
    </r>
    <r>
      <rPr>
        <sz val="8.0"/>
      </rPr>
      <t>).
Blue light showed angiogenic effects in one rat study (</t>
    </r>
    <r>
      <rPr>
        <color rgb="FF1155CC"/>
        <sz val="8.0"/>
        <u/>
      </rPr>
      <t>Dungel et al. 2014</t>
    </r>
    <r>
      <rPr>
        <sz val="8.0"/>
      </rPr>
      <t>), but not in another (</t>
    </r>
    <r>
      <rPr>
        <color rgb="FF1155CC"/>
        <sz val="8.0"/>
        <u/>
      </rPr>
      <t>de Sousa et al. 2013</t>
    </r>
    <r>
      <rPr>
        <sz val="8.0"/>
      </rPr>
      <t>).
Green light showed angiogenic effects in one rat study (</t>
    </r>
    <r>
      <rPr>
        <color rgb="FF1155CC"/>
        <sz val="8.0"/>
        <u/>
      </rPr>
      <t>de Sousa et al. 2013</t>
    </r>
    <r>
      <rPr>
        <sz val="8.0"/>
      </rPr>
      <t>).</t>
    </r>
  </si>
  <si>
    <t>Belgium, India, Poland, USA (CT, NY, WI)</t>
  </si>
  <si>
    <t>🎲 1 human RCT
📄 4 human non-RCTs
📄 1 case series
🐁 4 animal studies (pig, rabbit)
🧪 1 cell culture study</t>
  </si>
  <si>
    <r>
      <rPr>
        <sz val="8.0"/>
      </rPr>
      <t>In a randomized trial, intravascular PBM during percutaneous coronary intervention had an insignificant effect on restenosis rate (15.0% vs 32.4%) (</t>
    </r>
    <r>
      <rPr>
        <color rgb="FF1155CC"/>
        <sz val="8.0"/>
        <u/>
      </rPr>
      <t>Derkacz et al. 2010</t>
    </r>
    <r>
      <rPr>
        <sz val="8.0"/>
      </rPr>
      <t>).  
In rabbits, nonablative near-infrared laser has shown protective effects against neointimal hyperplasia after percutaneous transluminal coronary angioplasty (PTCA) (</t>
    </r>
    <r>
      <rPr>
        <color rgb="FF1155CC"/>
        <sz val="8.0"/>
        <u/>
      </rPr>
      <t>Kipshidze et al. 2001</t>
    </r>
    <r>
      <rPr>
        <sz val="8.0"/>
      </rPr>
      <t>). In pigs, PBM has been reported to decrease neointimal hyperplasia after stenting (</t>
    </r>
    <r>
      <rPr>
        <color rgb="FF1155CC"/>
        <sz val="8.0"/>
        <u/>
      </rPr>
      <t>De Scheerder et al. 1998</t>
    </r>
    <r>
      <rPr>
        <sz val="8.0"/>
      </rPr>
      <t xml:space="preserve">, </t>
    </r>
    <r>
      <rPr>
        <color rgb="FF1155CC"/>
        <sz val="8.0"/>
        <u/>
      </rPr>
      <t>De Scheerder et al. 2001</t>
    </r>
    <r>
      <rPr>
        <sz val="8.0"/>
      </rPr>
      <t>).</t>
    </r>
  </si>
  <si>
    <t>Brazil, China, Korea</t>
  </si>
  <si>
    <t>3 animal studies (mouse, rabbit, rat)</t>
  </si>
  <si>
    <r>
      <rPr>
        <sz val="8.0"/>
      </rPr>
      <t>Two animal studies have shown beneficial effects of of visible/red light on aortic plaque formation (</t>
    </r>
    <r>
      <rPr>
        <color rgb="FF1155CC"/>
        <sz val="8.0"/>
        <u/>
      </rPr>
      <t>Yin et al. 2021</t>
    </r>
    <r>
      <rPr>
        <sz val="8.0"/>
      </rPr>
      <t xml:space="preserve">, </t>
    </r>
    <r>
      <rPr>
        <color rgb="FF1155CC"/>
        <sz val="8.0"/>
        <u/>
      </rPr>
      <t>Park et al. 2012</t>
    </r>
    <r>
      <rPr>
        <sz val="8.0"/>
      </rPr>
      <t>). PBM may have relatively small effects on cholesterol levels in most situations (</t>
    </r>
    <r>
      <rPr>
        <color rgb="FF1155CC"/>
        <sz val="8.0"/>
        <u/>
      </rPr>
      <t>Paolillo et al. 2021</t>
    </r>
    <r>
      <rPr>
        <sz val="8.0"/>
      </rPr>
      <t>).</t>
    </r>
  </si>
  <si>
    <t>Blood (properties)</t>
  </si>
  <si>
    <t>China, Egypt, Iran, Nigeria, Poland, Romania, Slovakia</t>
  </si>
  <si>
    <t>(to be updated)</t>
  </si>
  <si>
    <r>
      <rPr>
        <sz val="8.0"/>
      </rPr>
      <t xml:space="preserve">Red light has been shown to reduced erythrocyte sedimentation rate (Mi et al. 2004) and decrease whole blood viscosity (Elblbesy et al. 2019) in </t>
    </r>
    <r>
      <rPr>
        <i/>
        <sz val="8.0"/>
      </rPr>
      <t>in vitro</t>
    </r>
    <r>
      <rPr>
        <sz val="8.0"/>
      </rPr>
      <t xml:space="preserve"> studies.</t>
    </r>
  </si>
  <si>
    <t>Blood flow (promotion of)</t>
  </si>
  <si>
    <t>20th November 2023 // Vladimir</t>
  </si>
  <si>
    <t>Cardiovascular aging</t>
  </si>
  <si>
    <t>United States (MD)</t>
  </si>
  <si>
    <t>1 animal study (mouse)</t>
  </si>
  <si>
    <r>
      <rPr>
        <sz val="8.0"/>
      </rPr>
      <t>Long-term full-body PBM (850 nm; 25 mW/cm2; 120 sec; each weekday) improved several age-related cardiovascular changes in AC8 overexpressing 14-month old mice over a 8-month period (</t>
    </r>
    <r>
      <rPr>
        <color rgb="FF1155CC"/>
        <sz val="8.0"/>
        <u/>
      </rPr>
      <t>Syed et al. 2023</t>
    </r>
    <r>
      <rPr>
        <sz val="8.0"/>
      </rPr>
      <t>):
● PBM reduced age-related increase in left ventricular (LV) mass, LV end-diastolic volume and aortic wall stiffness
● PBM increased LV ejection fraction, gait symmetry and serum levels of TGF-β1
● Survival was increased (100%) compared to untreated mice (43%)</t>
    </r>
  </si>
  <si>
    <t>1 case report</t>
  </si>
  <si>
    <t>Limb ischemia (/hindlimb)</t>
  </si>
  <si>
    <r>
      <rPr>
        <rFont val="Arial, sans-serif"/>
        <color rgb="FF000000"/>
        <sz val="8.0"/>
      </rPr>
      <t>2 animal studies (</t>
    </r>
    <r>
      <rPr>
        <rFont val="Arial, sans-serif"/>
        <i/>
        <color rgb="FF000000"/>
        <sz val="8.0"/>
      </rPr>
      <t>toinen löytyy Angiogenesis-kategoriasta</t>
    </r>
    <r>
      <rPr>
        <rFont val="Arial, sans-serif"/>
        <color rgb="FF000000"/>
        <sz val="8.0"/>
      </rPr>
      <t>)</t>
    </r>
  </si>
  <si>
    <t>United States (NC)</t>
  </si>
  <si>
    <r>
      <rPr>
        <rFont val="Arial, sans-serif"/>
        <color rgb="FF000000"/>
        <sz val="8.0"/>
      </rPr>
      <t>(</t>
    </r>
    <r>
      <rPr>
        <rFont val="Arial, sans-serif"/>
        <color rgb="FF000000"/>
        <sz val="8.0"/>
      </rPr>
      <t>Hoffman&amp;Monroe 2012</t>
    </r>
    <r>
      <rPr>
        <rFont val="Arial, sans-serif"/>
        <color rgb="FF000000"/>
        <sz val="8.0"/>
      </rPr>
      <t>)</t>
    </r>
  </si>
  <si>
    <t>Brazil, Germany, Japan, Ukraine</t>
  </si>
  <si>
    <t>Austria, Brazil, China, Germany, Iraq, Israel, Japan, Romania, Russia, Slovenia</t>
  </si>
  <si>
    <t>🎲 2 human RCTs
📄 7 human non-RCTs</t>
  </si>
  <si>
    <t>Platelet coagulation prevention (</t>
  </si>
  <si>
    <t>Red blood cells in hyperadrenalinemia</t>
  </si>
  <si>
    <t>1 animal study (rat)</t>
  </si>
  <si>
    <t>(Deryugina 2019)</t>
  </si>
  <si>
    <t>Ventricular arrhythmias (refractory)</t>
  </si>
  <si>
    <t>Brazil, China, Egypt, Iran, Italy, Japan, Korea, Thailand, United Kingdom, United States (NJ, NY)</t>
  </si>
  <si>
    <t>7 human RCTs
11 human non-RCTs
2 case reports or series
⎯⎯⎯⎯⎯⎯⎯⎯⎯⎯⎯⎯⎯⎯⎯⎯⎯⎯⎯⎯⎯⎯⎯⎯⎯⎯⎯⎯⎯⎯⎯⎯⎯⎯
1 animal study (mouse)
3 in vitro</t>
  </si>
  <si>
    <t>Acne treatment by light irradiation has been studied with varying wavelengths including blue light, red light, near-infrared light, ultraviolet light and their combinations. Most articles report positive results, yet generally the methods and results are heterogenous.</t>
  </si>
  <si>
    <t>PBM improved inflammatory nodules in mice treated with human-derived Propionibacterium acnes suspension (Lee 2016).</t>
  </si>
  <si>
    <t>Japan, United States (FL)</t>
  </si>
  <si>
    <t>1 human non-RCT</t>
  </si>
  <si>
    <t>Brazil, China, Egypt, France, Italy, Iran, Korea, Thailand, Taiwan, United States (FL, NY)</t>
  </si>
  <si>
    <t>14 human RCTs
6 human non-RCTs</t>
  </si>
  <si>
    <t>Japan, Korea, Taiwan, USA (CA)</t>
  </si>
  <si>
    <t>7 animal studies (6 mouse, 1 dog)</t>
  </si>
  <si>
    <t>Austria, Belgium, Brazil, China, Denmark, Egypt, India, Iran, Korea, Saudi Arabia, Turkey, United States (MD)</t>
  </si>
  <si>
    <t>3 human RCTs
5 human non-RCTs
2 case series
48 animal studies</t>
  </si>
  <si>
    <t>United States (FL)</t>
  </si>
  <si>
    <t>PBM showed mostly no effect on irritated contact dermatitis while irradiation before the dermatitis induction ameliorated allergic contact dermatitis (Sakihama 1995). [tarkista?]</t>
  </si>
  <si>
    <t>1 human retrospective study</t>
  </si>
  <si>
    <t>PBM was associated with clinical relief 85.9% in a retrospective study with no control group (Luan 2014)</t>
  </si>
  <si>
    <t>Cosmetic filler-related injection-site reaction</t>
  </si>
  <si>
    <t>United States (MA)</t>
  </si>
  <si>
    <t>PBM with wavelengths 635 and 810 nm promoted healing of dermal abrasions in mice, while wavelengths 730 and 980 nm showed no effect (Gupta 2014).</t>
  </si>
  <si>
    <t>Egypt, India</t>
  </si>
  <si>
    <t>1 human non-RCT
1 case report</t>
  </si>
  <si>
    <t>PBM was associated with increased total eyebrow hair count in patients with frontal fibrosing alopecia in a single-arm study (Gerkowicz 2021).</t>
  </si>
  <si>
    <t>Hair growth (excluding androgenetic alopecia)</t>
  </si>
  <si>
    <t>China, Japan, Korea, United Kingdom, Taiwan, United States (FL)</t>
  </si>
  <si>
    <t>4 animal studies (mouse)
3 ex vivo studies
7 in vitro studies</t>
  </si>
  <si>
    <t>2 in vitro</t>
  </si>
  <si>
    <t>Austria, Brazil, Cuba, United Kingdom, Saudi Arabia</t>
  </si>
  <si>
    <t>4 human RCTs
7 case reports or series</t>
  </si>
  <si>
    <t>1 in vitro study</t>
  </si>
  <si>
    <t>Canada, China, Japan, Korea, Pakistan, Russia, Taiwan, United Kingdom, United States (FL)</t>
  </si>
  <si>
    <t>2 human RCTs
9 human non-RCTs
2 human retrospective studies
4 case reports or series</t>
  </si>
  <si>
    <t>Laser skin resurfacing wounds and erythema</t>
  </si>
  <si>
    <t>China, Korea, France, Spain, Thailand, United States (DC)</t>
  </si>
  <si>
    <t>Spain, United States (FL)</t>
  </si>
  <si>
    <t>2 case series</t>
  </si>
  <si>
    <t>1 clinical animal study (dog)</t>
  </si>
  <si>
    <t>Canada, Germany, Greece, Netherlands</t>
  </si>
  <si>
    <t>2 human RCTs
2 human non-RCTs</t>
  </si>
  <si>
    <t>Paronychia</t>
  </si>
  <si>
    <t>1 human RCT</t>
  </si>
  <si>
    <t>https://pubmed.ncbi.nlm.nih.gov/33961534/</t>
  </si>
  <si>
    <t>United States (?)</t>
  </si>
  <si>
    <t>United States (CA)</t>
  </si>
  <si>
    <t>1 human non-RCT
1 case series</t>
  </si>
  <si>
    <t>Austria, Belgium, Brazil, China, France, Germany, Korea, United States (CA)</t>
  </si>
  <si>
    <t>3 case reports</t>
  </si>
  <si>
    <t>Korea, United Kingdom</t>
  </si>
  <si>
    <t>1 human non-RCT
1 animal study (mouse)</t>
  </si>
  <si>
    <t>Scarring alopecia</t>
  </si>
  <si>
    <t>Scars and keloids</t>
  </si>
  <si>
    <t>Australia, Canada, China, Czech, Egypt, Germany, Korea, Italy, Japan, United States (NY)</t>
  </si>
  <si>
    <t>4 human RCTs
3 human non-RCTs
2 case series
5 in vitro</t>
  </si>
  <si>
    <t>Canada, Germany</t>
  </si>
  <si>
    <t>2 case reports or series</t>
  </si>
  <si>
    <t>France, Korea</t>
  </si>
  <si>
    <t>2 human non-RCTs</t>
  </si>
  <si>
    <t>Skin aging/rejuvenation</t>
  </si>
  <si>
    <t>Australia, Brazil, Canada, China, France, Germany, Japan, Korea, Thailand, United Kingdom, United States (MA, MD, NJ, NY, OR)</t>
  </si>
  <si>
    <t>Skin damage by infrared radiation</t>
  </si>
  <si>
    <t>Germany, Monaco, Spain, Switzerland</t>
  </si>
  <si>
    <t>United States (IN)</t>
  </si>
  <si>
    <t>1 human RCT
1 human non-RCT</t>
  </si>
  <si>
    <t>Ultraviolet damage and erythema</t>
  </si>
  <si>
    <t>Brazil, Canada, China, France, Germany, Japan, Korea, Taiwan, United States (IL)</t>
  </si>
  <si>
    <t>1 human self-controlled trial
4 animal studies (mouse, rat)
9 in vitro</t>
  </si>
  <si>
    <t>Austria, Brazil, Canada, France, Germany, Indonesia, Ireland, Israel, Korea, Poland, Singapore, Sweden, United Kingdom, Yugoslavia</t>
  </si>
  <si>
    <t>Wart ablation site healing</t>
  </si>
  <si>
    <t>4 human non-RCTs
4 in vitro</t>
  </si>
  <si>
    <t>1 case series (n = 121)</t>
  </si>
  <si>
    <t>(Trelles 2006)</t>
  </si>
  <si>
    <t>Emergency medicine</t>
  </si>
  <si>
    <t>(Foo 2020)</t>
  </si>
  <si>
    <t>Intensive care unit stay</t>
  </si>
  <si>
    <t>Snakebite</t>
  </si>
  <si>
    <t>15 animal studies (mouse, rat)
7 in vitro studies</t>
  </si>
  <si>
    <t>Endocrinology</t>
  </si>
  <si>
    <t>Diabetes (glycemia / insulin resistance / pancreatic beta cells)</t>
  </si>
  <si>
    <t>Australia, Brazilia, China, Indonesia, Iran, Mexico, Poland</t>
  </si>
  <si>
    <t>(intravenous-tutkimus?)
1 case report
5 animal studies
4 in vitro</t>
  </si>
  <si>
    <t>https://pubmed.ncbi.nlm.nih.gov/31809873/ IR</t>
  </si>
  <si>
    <t>Brazil, Turkey</t>
  </si>
  <si>
    <t>Pancreatic β-cell regeneration</t>
  </si>
  <si>
    <t>1 in vitro</t>
  </si>
  <si>
    <t>Pancreatic duct regeneration</t>
  </si>
  <si>
    <t>(Yoo 2021)</t>
  </si>
  <si>
    <t>1 animal studies (rabbit)</t>
  </si>
  <si>
    <t>Brazil, Israel, Japan</t>
  </si>
  <si>
    <t>4 animal studies (mouse)</t>
  </si>
  <si>
    <t>3 animal studies (rat)</t>
  </si>
  <si>
    <t>Belgium, Germany</t>
  </si>
  <si>
    <t>2 case reports</t>
  </si>
  <si>
    <t>2 animal studes y (rat)</t>
  </si>
  <si>
    <t>Intestinal injury (ischemia-reperfusion)</t>
  </si>
  <si>
    <t>Laparoscopic Cholecystectomy</t>
  </si>
  <si>
    <t>Microbiota</t>
  </si>
  <si>
    <t>Australia, Italy</t>
  </si>
  <si>
    <t>2 animal studies (rat)</t>
  </si>
  <si>
    <t>General health</t>
  </si>
  <si>
    <t>Adipose tissue inflammation</t>
  </si>
  <si>
    <t>(Yoshimura 2016)</t>
  </si>
  <si>
    <t>Kosovo</t>
  </si>
  <si>
    <t>(Mrasori 2021)</t>
  </si>
  <si>
    <t>General surgery</t>
  </si>
  <si>
    <t>Bone graft incorporation</t>
  </si>
  <si>
    <t>1 animal study (rabbit)</t>
  </si>
  <si>
    <t>(Valiati 2012)</t>
  </si>
  <si>
    <t>Fat graft survival</t>
  </si>
  <si>
    <t>Flap surgery</t>
  </si>
  <si>
    <t>Brazil, China, Israel, Japan, Korea, Turkey, United States (MI)</t>
  </si>
  <si>
    <t>30 animal studies (rat, mouse, pig)</t>
  </si>
  <si>
    <t>Graft donor site healing</t>
  </si>
  <si>
    <t>(Monstrey 2002)</t>
  </si>
  <si>
    <t>(Carvalho 2010)</t>
  </si>
  <si>
    <t>Skin graft viability</t>
  </si>
  <si>
    <t>4 animal studies (rat)</t>
  </si>
  <si>
    <t>Gynecology and urology</t>
  </si>
  <si>
    <t>Capsular contracture</t>
  </si>
  <si>
    <t>Cesarean section pain</t>
  </si>
  <si>
    <t>Brazil, Iran</t>
  </si>
  <si>
    <t>2 human RCTs</t>
  </si>
  <si>
    <t>(Araujo 2020) (Poursalehan 2018)</t>
  </si>
  <si>
    <t>Childbirth analgesia</t>
  </si>
  <si>
    <t>Cyclical mastalgia</t>
  </si>
  <si>
    <t>China, Egypt, Korea, Saudi Arabia</t>
  </si>
  <si>
    <t>3 human RCTs
2 human non-RCTs</t>
  </si>
  <si>
    <t>HPV-associated vaginitis and cervicitis</t>
  </si>
  <si>
    <t>Indonesia, Japan, Taiwan</t>
  </si>
  <si>
    <t>2 human non-RCTs
1 case series</t>
  </si>
  <si>
    <t>Lichen sclerosus (vulva)</t>
  </si>
  <si>
    <t>Mammary implant pseudocapsules [plastic surgery -kategoriaan?]</t>
  </si>
  <si>
    <t>Austria, Brazil</t>
  </si>
  <si>
    <t>3 human RCT
1 human non-RCT
1 case series</t>
  </si>
  <si>
    <t>Ovarian damage from cyclophosphamide</t>
  </si>
  <si>
    <t>Ovarian follicle maturation</t>
  </si>
  <si>
    <t>(Naseri 2017)</t>
  </si>
  <si>
    <t>(Polat 2023)</t>
  </si>
  <si>
    <t>Polycystic ovary syndrome</t>
  </si>
  <si>
    <t>1 human RCT (secondary analysis)</t>
  </si>
  <si>
    <t>SSRI-related sexual dysfunction</t>
  </si>
  <si>
    <t>(Waldinger 2015)</t>
  </si>
  <si>
    <t>Sperm function</t>
  </si>
  <si>
    <t>Belarus, Brazil, Canada, Chile, Egypt, Germany, India, Iran, Israel, Italy, Mexico, Russia, Slovenia, Spain, United States (CA)</t>
  </si>
  <si>
    <t>3 animal studies (mouse, ram)
38 in vitro studies</t>
  </si>
  <si>
    <t>Stress urinary incontinence</t>
  </si>
  <si>
    <t>United States (WA)</t>
  </si>
  <si>
    <t>(de la Torre 2017)</t>
  </si>
  <si>
    <t>Testicle function</t>
  </si>
  <si>
    <t>Brazil, Iran, Iraq, Korea</t>
  </si>
  <si>
    <t>5 animal studies (rat, ram, mouse)</t>
  </si>
  <si>
    <t>Infectious disease</t>
  </si>
  <si>
    <t>(Khan 2020)</t>
  </si>
  <si>
    <t>(Barreto 2010) (no benefit)</t>
  </si>
  <si>
    <t>(Kaya 2011)</t>
  </si>
  <si>
    <t>Neurology</t>
  </si>
  <si>
    <t>United States</t>
  </si>
  <si>
    <t>(Newton&amp;Marshall 2021)</t>
  </si>
  <si>
    <t>Addiction to alcohol</t>
  </si>
  <si>
    <t>Addiction to opiods</t>
  </si>
  <si>
    <t>Iran, United States (IL, MA)</t>
  </si>
  <si>
    <t>2 human RCTs
1 case series
2 animal studies (mouse, rat)</t>
  </si>
  <si>
    <t>Alzheimer’s disease (AD)</t>
  </si>
  <si>
    <t>Australia, Brazil, China, Egypt, France, Germany, Iran, Israel, Korea, Russia, United Kingdom, United States (CA, GA, MA, MO, PA, TX)</t>
  </si>
  <si>
    <t>4 human RCTs
3 human non-RCTs
3 case reports or series</t>
  </si>
  <si>
    <t>Preliminary randomized clinical trials have shown improvements in cognitive test scores (eg. MMSE, MoCa) compared to placebo (Nizamutdinov 2021, Qi 2021, Nagy 2021, Chao 2019)</t>
  </si>
  <si>
    <t>23 animal studies (mouse, rat)
8 in vitro studies</t>
  </si>
  <si>
    <t>Preclinical studies with AD models have shown improved cognition in animals, alongside with improvements in neuroinflammation, amyloid load and brain mitochondrial function (Salehpour 2021).</t>
  </si>
  <si>
    <t>Bell’s palsy</t>
  </si>
  <si>
    <t>Brazil, China, Costa Rica, Egypt, France, Iran, Japan, Turkey, United Arab Emirates, United States (IL)</t>
  </si>
  <si>
    <t>2 human RCTs
3 human non-RCTs
8 case reports or series</t>
  </si>
  <si>
    <t>Binswanger’s disease</t>
  </si>
  <si>
    <t>PBM was associated with good or satisfactory clinical improvement in 14 of 14 patients compared to 1 of 14 patients in control group in a non-randomized controlled study (Maksimovich 2019).</t>
  </si>
  <si>
    <t>Brain aging</t>
  </si>
  <si>
    <t>Iran, United States (TX)</t>
  </si>
  <si>
    <t>2 animal studies (mouse, rat)</t>
  </si>
  <si>
    <t>PBM improved social and spatial memory of mice and attenuated neuroinflammation in D-gal/AlCl3 induced brain aging (Hosseini 2021). PBM increased brain intracellular signaling proteins related to cell proliferation and survival in rats (Cardoso 2020).</t>
  </si>
  <si>
    <t>Brain circulation</t>
  </si>
  <si>
    <t>Austria, Korea, United States (TX)</t>
  </si>
  <si>
    <t>A single session of PBM was reported to increase oxygenated hemoglobin concentration and decrease deoxygenated hemoglobin concentration in both brain hemispheres during and shortly after the irradiation (Tian 2016).</t>
  </si>
  <si>
    <t>PBM recovered cerebral blood flow to nearly normal level in mice with chronic cerebral hypoperfusion (Lee 2019).</t>
  </si>
  <si>
    <t>Australia, Brazil, China, Israel, Japan, USA (CO, MA, MI, TX, WI)</t>
  </si>
  <si>
    <t>1 human RCT
2 human non-RCTs
5 case reports or series</t>
  </si>
  <si>
    <t>In patients with moderate traumatic brain injury, PBM showed statistically non-significant improvement in clinical symptoms compared to sham treatment (Longo 2020)</t>
  </si>
  <si>
    <t>18 animal studies (mouse, rat, fruit fly)</t>
  </si>
  <si>
    <t>PBM has shown beneficial effects on cognitive function, neuroinflammation and cerebral energy metabolism in various models of brain injury (closed head injury, hypoxia-ischemia, gene X-1 deficiency) (Hamblin 2018). (tarkista)</t>
  </si>
  <si>
    <t>PBM was associated with significant improvement in gross motor function score in 23 of 73 subjects with cerebral palsy (Asagai 2005). In another study, improvement of myotonia was seen in 19 of 20 patients (Asagai 1995). Evidence from randomized trials is lacking.</t>
  </si>
  <si>
    <t>Brazil, China, Korea, Iran, Spain, United Kingdom, United States (CO, TX)</t>
  </si>
  <si>
    <t>8 human RCTs
5 human non-RCTs</t>
  </si>
  <si>
    <t>A meta-analysis based on six publications reported a beneficial effects on cognitive performance in young, healthy individuals. The data had a high heterogeneity. (Salehpour 2019)</t>
  </si>
  <si>
    <t>7 animal studies (mouse, rat)</t>
  </si>
  <si>
    <t>In preclinical studies, improvement in memory has been shown in animals with sleep-deprivation, methanol toxicity or D-galactose-induced aging (Salehpour 2018, Ghanbari 2018, Salehpour 2017)</t>
  </si>
  <si>
    <t>(Canever 2021)</t>
  </si>
  <si>
    <t>PBM was associated with improvements on neuropsychological test scores and other measures in a case report (Chao 2020).</t>
  </si>
  <si>
    <t>Brazil, Canada, China, Egypt, India, Iran, Malaysia, United States (AR, CA, CO, CT, FL, TN, TX)</t>
  </si>
  <si>
    <t>11 human RCTs
8 human non-RCTs</t>
  </si>
  <si>
    <t>5 animal studies (rat, mouse)</t>
  </si>
  <si>
    <t>Epilepsy and status epilepcitus</t>
  </si>
  <si>
    <t>Brazil, Egypt, Taiwan</t>
  </si>
  <si>
    <t>PBM has shown beneficial effects on animal models of stroke-induced epilepsy and pentylenetetrazole-induced status epilepticus (Vogel 2020, Tsai 2020)</t>
  </si>
  <si>
    <t>Facial nerve injury</t>
  </si>
  <si>
    <t>Brazil, China, Turkey, United States (MD)</t>
  </si>
  <si>
    <t>8 animal studies (rat)</t>
  </si>
  <si>
    <t>Headache</t>
  </si>
  <si>
    <t>Hyperalgesia and allodynia</t>
  </si>
  <si>
    <t>Brazil, Italy, Japan, Taiwan, United States (AZ)</t>
  </si>
  <si>
    <t>13 animal studies</t>
  </si>
  <si>
    <t>In a case report, intranasal PBM and methylene blue treatment was associated with remission of symptoms (hypersomnia, cognitive abnormalities, behavioral abnormalities) without a relapse during the 2-year follow-up (Hamper 2021).</t>
  </si>
  <si>
    <t>Multiple sclerosis (MS)</t>
  </si>
  <si>
    <t>Brazil, USA (WI)</t>
  </si>
  <si>
    <t>PBM was associated with increased interleukin-10 but no change in nitrite levels in patients with relapsing-remitting MS. The study had no negative control group (Silva 2020)</t>
  </si>
  <si>
    <t>In mice, PBM has improved symptoms of experimental autoimmune encephalomyelitis (EAE) in association with attenuation of neuroinflammation, spinal cord apoptosis and inducible nitric oxide synthesis gene expression (Gonçalves 2016, Muili 2013).</t>
  </si>
  <si>
    <t>Brazil, USA (TX)</t>
  </si>
  <si>
    <t>PBM reduced glia activation and pro-inflammatory cytokines in brain of diet-induced obese mice (Saieva 2021 and modulated brain inflammatory cytokines in aged rats (Cardoso 2021).</t>
  </si>
  <si>
    <t>Neuropathic pain (non-diabetic)</t>
  </si>
  <si>
    <t>Brazil, Germany, Iran, Italy, Japan, United States (TN)</t>
  </si>
  <si>
    <t>1 case series
16 animal studies</t>
  </si>
  <si>
    <t>(tarkista ettei diabeteseläimiä)</t>
  </si>
  <si>
    <t>1 animal study</t>
  </si>
  <si>
    <t>(Shalaby 2023)</t>
  </si>
  <si>
    <t>Parkinson’s disease (PD)</t>
  </si>
  <si>
    <t>Australia, Belgium, France, Russia, Spain, Switzerland, Taiwan, United States (VA, WI)</t>
  </si>
  <si>
    <t>2 human RCTs
2 human non-RCTs
2 case reports or series</t>
  </si>
  <si>
    <t>PBM has shown no statistically significant effect in most measured clinical outcomes compared to placebo in two RCTs (Bullock-Saxton 2021, Santos 2019).</t>
  </si>
  <si>
    <t>26 animal studies (mouse, rat, monkey, drosophila)
5 in vitro studies</t>
  </si>
  <si>
    <t>PBM has shown protective effects against various PD animal models (MPTP, 6OHDA, rotenone, K3 transgenic) in different species (mouse, rat, monkey, drosophila) (Salehpour 2020).</t>
  </si>
  <si>
    <t>PBM ameliorated cognitive impairment and mitochondrial dysfunction in PND mice (Zhang 2021).</t>
  </si>
  <si>
    <t>Post-traumatic stress disorder (PTSD)</t>
  </si>
  <si>
    <t>United States (GA, NY)</t>
  </si>
  <si>
    <t>PBM improved or prevented PTSD-related symptoms in two studies, while it had no effect on blast injury-related PTSD in one study (Li 2021, Li 2021, Garcia 2021) .</t>
  </si>
  <si>
    <t>Stress</t>
  </si>
  <si>
    <t>Stroke (acute)</t>
  </si>
  <si>
    <t>Also see: circulatory hypoxia</t>
  </si>
  <si>
    <t>Stroke (complications)</t>
  </si>
  <si>
    <t>Vascular parkinsonism</t>
  </si>
  <si>
    <t>PBM was associated with good or satisfactory clinical improvement in 36 of 37 patients compared to 6 of 25 patients in control group in a non-randomized controlled study (Maksimovich 2019).</t>
  </si>
  <si>
    <t>(Taradaj 2018)</t>
  </si>
  <si>
    <t>(China 2018)</t>
  </si>
  <si>
    <t>(Li 1992)</t>
  </si>
  <si>
    <t>(Yilmaz 2020)
(de Carvalho 2016)</t>
  </si>
  <si>
    <t>Oncology / Cancer supportive care</t>
  </si>
  <si>
    <t>(Petrellis 2020)</t>
  </si>
  <si>
    <t>Chemotherapy-induced dysgeusia</t>
  </si>
  <si>
    <t>United States (MN)</t>
  </si>
  <si>
    <t>(Argenta 2016)</t>
  </si>
  <si>
    <t>Hand-foot syndrome and palmo-plantar erythrodysesthesia</t>
  </si>
  <si>
    <t>(Latifyan 2019)</t>
  </si>
  <si>
    <t>Belgium, Brazil, Egypt, France, India, Italy, Iran, Israel, Norway, Russia, Slovenia, Spain, Turkey, United States (CA, MA, WA, WI)</t>
  </si>
  <si>
    <t>Post-mastectomy immunosuppression</t>
  </si>
  <si>
    <t>(ei vaikutusta?) (Zhevago 2017)</t>
  </si>
  <si>
    <t>Tumor cell growth</t>
  </si>
  <si>
    <t>Age-related macular degeneration (AMD)</t>
  </si>
  <si>
    <t>Australia, Brazil, Bulgaria, Canada, Germany, United Kingdom, United States (WI)</t>
  </si>
  <si>
    <t>1 human RCT
6 human non-RCT
1 case report</t>
  </si>
  <si>
    <t>9 animal studies (mouse, rat)</t>
  </si>
  <si>
    <t>Color contrast sensitivity</t>
  </si>
  <si>
    <t>United Kingdom</t>
  </si>
  <si>
    <t>(Shinhmar 2021)</t>
  </si>
  <si>
    <t>1 human case series supplied with an animal study (rabbit)</t>
  </si>
  <si>
    <t>Bulgaria, Iran, Spain</t>
  </si>
  <si>
    <t>2 animal studies (rat, rabbit)
2 in vitro studies</t>
  </si>
  <si>
    <t>Australia, Germany, United States (OH, WI)</t>
  </si>
  <si>
    <t>1 human RCT
2 human non-RCT
1 case series</t>
  </si>
  <si>
    <t>1 animal study (mouse, rat)</t>
  </si>
  <si>
    <t>China, Egypt, United States (OH)</t>
  </si>
  <si>
    <t>5 animal studies (mouse, rat)</t>
  </si>
  <si>
    <t>India, Italy, Portugal, Spain, Serbia, Switzerland, United States (NC)</t>
  </si>
  <si>
    <t>Eyelid ptosis</t>
  </si>
  <si>
    <t>1 retracted human non-RCT</t>
  </si>
  <si>
    <t>1 animal study (guinea pig)</t>
  </si>
  <si>
    <t>(Inic-Kanada 2020)</t>
  </si>
  <si>
    <t>Bulgaria</t>
  </si>
  <si>
    <t>Light-induced eye damage</t>
  </si>
  <si>
    <t>Australia, China, Germany, India, Italy, Spain</t>
  </si>
  <si>
    <t>15 animal studies (rat, mouse)</t>
  </si>
  <si>
    <t>United States (WI)</t>
  </si>
  <si>
    <t>Optic nerve injuy</t>
  </si>
  <si>
    <t>Orbital implant exposure</t>
  </si>
  <si>
    <t>Retinopathy of prematurity</t>
  </si>
  <si>
    <t>(Scalinci 2022)</t>
  </si>
  <si>
    <t>Oral and maxillofacial surgery</t>
  </si>
  <si>
    <t>Buccal fat removal (bichectomy)</t>
  </si>
  <si>
    <t>1 case series</t>
  </si>
  <si>
    <t>Mucocele removal</t>
  </si>
  <si>
    <t>Sinus lift surgery</t>
  </si>
  <si>
    <t>Zygomatic trauma</t>
  </si>
  <si>
    <t>No benefit although authors seem to claim otherwise? (Bashiri 2021)</t>
  </si>
  <si>
    <t>Oral medicine and dentistry</t>
  </si>
  <si>
    <t>Brazil, Croatia, Italy, Spain, Taiwan</t>
  </si>
  <si>
    <t>11 human RCTs
4 human non-RCTs
2 case series</t>
  </si>
  <si>
    <t>1 human RCT
1 animal study</t>
  </si>
  <si>
    <t>Cavity preparation pain</t>
  </si>
  <si>
    <t>Italy, Turkey</t>
  </si>
  <si>
    <t>COVID-19 related oral lesions</t>
  </si>
  <si>
    <t>Dental implant stability</t>
  </si>
  <si>
    <t>Dental implant surgery</t>
  </si>
  <si>
    <t>Dental procedure discomfort</t>
  </si>
  <si>
    <t>Brazil, Croatia, Egypt</t>
  </si>
  <si>
    <t>Dry mouth (xerostomia and hyposalivation)</t>
  </si>
  <si>
    <t>Brazil, Croatia, Italy, Slovenia, Thailand</t>
  </si>
  <si>
    <t>Brazil, Israel, United States (CA)</t>
  </si>
  <si>
    <t>Labial trauma</t>
  </si>
  <si>
    <t>Brazil, India</t>
  </si>
  <si>
    <t>Belgium, Brazil, India, Iran, Italy, Pakistan, Turkey</t>
  </si>
  <si>
    <t>Peri-implant mucositis</t>
  </si>
  <si>
    <t>Symptomatic geographic tongue</t>
  </si>
  <si>
    <t>(Saad 2020) (ks researchgate)</t>
  </si>
  <si>
    <t>Temporomandibular disorders (TMD)</t>
  </si>
  <si>
    <t>Australia, Bahrain, Brazil, Bulgaria, Canada, China, Egypt, Iran, Italy, Japan, Korea, Poland, Saudi Arabia, Serbia, South Africa, Taiwan, Turkey, United States (CA, MN)</t>
  </si>
  <si>
    <t>Bone density</t>
  </si>
  <si>
    <t>1 animal study (rat)
???</t>
  </si>
  <si>
    <t>https://pubmed.ncbi.nlm.nih.gov/27812609/ Patrocínio-Silva</t>
  </si>
  <si>
    <t>Brazil, China, Cyprus, Egypt, Iran, Israel, Italy, Japan, Korea, Norway, Romania, Russia, Taiwan, Turkey, United States (NE, WI)</t>
  </si>
  <si>
    <t>150 animal studies (rat, rabbit, mouse, sheep)</t>
  </si>
  <si>
    <t>https://pubmed.ncbi.nlm.nih.gov/31585673/ review 2019</t>
  </si>
  <si>
    <t>Flexor tendon injury</t>
  </si>
  <si>
    <t>Brazil, Iran, Italy, Turkey</t>
  </si>
  <si>
    <t>(Poorpezeshk 2018) (Ozkan 2004)</t>
  </si>
  <si>
    <t>2 animal studies (sheep)</t>
  </si>
  <si>
    <t>(de Mattos 2015) (Iacopetti 2015)</t>
  </si>
  <si>
    <t>Fractures (wrist/hand)</t>
  </si>
  <si>
    <t>https://pubmed.ncbi.nlm.nih.gov/24649935/ 
https://pubmed.ncbi.nlm.nih.gov/35030040/
https://pubmed.ncbi.nlm.nih.gov/33751924/</t>
  </si>
  <si>
    <t>Canada, China, Greece, Lithuania, Turkey, United States (ID, MN)</t>
  </si>
  <si>
    <t>6 human RCTs
6 human non-RCTs
1 case series</t>
  </si>
  <si>
    <t>(de Rezende 2021)</t>
  </si>
  <si>
    <t>Brazil, China, Egypt, Iran, Saudi Arabia</t>
  </si>
  <si>
    <t>(Liu 2014)</t>
  </si>
  <si>
    <t>Patellofemoral pain syndrome</t>
  </si>
  <si>
    <t>Posterior tibial tendon dysfunction</t>
  </si>
  <si>
    <t>Shoulder pain</t>
  </si>
  <si>
    <t>Brazil, Greece, Italy, Iran, Korea, Turkey, United Kingdom</t>
  </si>
  <si>
    <t>17 human RCTs
7 human non-RCTs</t>
  </si>
  <si>
    <t>Canada, China, Denmark, Greece, Norway, Sweden, Switzerland, Turkey, United Kingdom, United States (MN)</t>
  </si>
  <si>
    <t>16 human RCTs
7 human non-RCTs</t>
  </si>
  <si>
    <t>Otolaryngology</t>
  </si>
  <si>
    <t>Brazil, Egypt,Germany, Hungary, Iran, Israel, Japan, Korea, Romania, Taiwan, Turkey, United Kingdom</t>
  </si>
  <si>
    <t>13 human RCTs
4 human non-RCTs
2 case reports</t>
  </si>
  <si>
    <t>6 animal studies (mouse, rabbit, rat)</t>
  </si>
  <si>
    <t>1 animal study (gerbil)</t>
  </si>
  <si>
    <t>PBM ameliorated ouabain-induced auditory neuropathy in gerbils (Lee 2016).</t>
  </si>
  <si>
    <t>Germany, Japan, Korea, USA (IA)</t>
  </si>
  <si>
    <t>PBM did not improve hearing loss compared to a placebo in a randomized trial (Goodman 2013)</t>
  </si>
  <si>
    <t>9 animal studies</t>
  </si>
  <si>
    <t>PBM has been reported to improve hearing in animals with noise-induced and gentamicin-induced hearing loss (Lee 2019).</t>
  </si>
  <si>
    <t>PBM was associated with decreased duration and number of vertigo spells but no changes in audiometric examination in a pilot study lacking a negative control group (Teggi 2008).</t>
  </si>
  <si>
    <t>Egypt, Hungary, Iran, Switzerland, United States (NY)</t>
  </si>
  <si>
    <t>2 human RCTs
4 human non-RCTs</t>
  </si>
  <si>
    <t>Septoplasty</t>
  </si>
  <si>
    <t>(Kastyro 2021)</t>
  </si>
  <si>
    <t>Austria, Czech Republic, Denmark, Egypt, Germany, Italy, Iran, Japan, Korea, Malaysia, Poland, Qatar, Turkey</t>
  </si>
  <si>
    <t>12 human RCTs
9 human non-RCTs
1 case series</t>
  </si>
  <si>
    <t>Tympanic membrane perforation</t>
  </si>
  <si>
    <t>(Kagan 2017)</t>
  </si>
  <si>
    <t>Vocal fold wound</t>
  </si>
  <si>
    <t>(Lou 2019)</t>
  </si>
  <si>
    <t>De Quervain syndrome</t>
  </si>
  <si>
    <t>(Sharma 2015)</t>
  </si>
  <si>
    <t>Brazil, Belgium, India, Iran, Netherlands, Poland, Sweden</t>
  </si>
  <si>
    <t>10 human RCTs
2 human non-RCTs
1 case report
2 animal studies</t>
  </si>
  <si>
    <t>Spina bifida (/myelomeningocele)</t>
  </si>
  <si>
    <t>Psychiatry</t>
  </si>
  <si>
    <t>Israel, United States (MA)</t>
  </si>
  <si>
    <t>PBM improved autism symptoms measured by Aberrant Behavior Checklist in a placebo-controlled randomized study (Leisman 2020). In a small single-arm study, PBM was associated with improved symptoms and quality of life in autism spectrum disorder (Ceranoglu 2022).</t>
  </si>
  <si>
    <t>Bipolar disorder (BD)</t>
  </si>
  <si>
    <t>Italy, United States (TX)</t>
  </si>
  <si>
    <t>PBM was associated with improvements in cognitive performance in a small single-arm study (O’Donnell 2021). A case series of four patients reported a reduction in anhedonia and improvements in other symptoms (Mannu 2019)</t>
  </si>
  <si>
    <t>Australia, Brazil, China, Egypt, Iran, Japan, Netherlands, Taiwan, United States (AZ, CO, GA, MA, MD, NY)</t>
  </si>
  <si>
    <t>5 human RCT
4 human non-RCT
2 case reports or series</t>
  </si>
  <si>
    <t>PBM reduced HAM-D17 total score in a randomized double-blind ELATED-2 trial (Cassano 2018). The subsequent ELATED-3 trial reported no benefit. Whole-body hyperthermia induced with near-infrared light improved depressive symptoms in a RCT (Janssen 2016).</t>
  </si>
  <si>
    <t>12 animal studies (mouse, rat)</t>
  </si>
  <si>
    <t>(Salehpour 2019)</t>
  </si>
  <si>
    <t>Austria, Brazil, Germany, Spain, Turkey</t>
  </si>
  <si>
    <t>10 human RCTs
2 human non-RCTs
1 case report</t>
  </si>
  <si>
    <t>Generalized anxiety disorder (GAD)</t>
  </si>
  <si>
    <t>PBM was associated with a significant reduction in total scores of SIGH-A (Cohen's d = 1.47) in a single-arm study with 15 participants (Maiello 2019).</t>
  </si>
  <si>
    <t>Pain medicine</t>
  </si>
  <si>
    <t>Acute pain</t>
  </si>
  <si>
    <t>3 animal studies (mouse)</t>
  </si>
  <si>
    <t>Pulmonology</t>
  </si>
  <si>
    <t>Brazil, Egypt, China, Korea</t>
  </si>
  <si>
    <t>Chronic obstructive pulmonary disease (COPD)</t>
  </si>
  <si>
    <t>Brazil, Egypt</t>
  </si>
  <si>
    <t>5 human RCTs
1 human non-RCTs</t>
  </si>
  <si>
    <t>2 animal studies (mouse)</t>
  </si>
  <si>
    <t>Diaphragm contractile dysfunction</t>
  </si>
  <si>
    <t>Brazil, Japan</t>
  </si>
  <si>
    <t>10 animal studies (rat, mouse)</t>
  </si>
  <si>
    <t>3 animal studies (mouse, rat)</t>
  </si>
  <si>
    <t>Achilles tendinitis</t>
  </si>
  <si>
    <t>Belgium, Brazil, China, Iran, New Zealand, Norway, Sweden, Taiwan, Turkey, United States (DE, KS)</t>
  </si>
  <si>
    <t>7 human RCTs
2 human non-RCTs</t>
  </si>
  <si>
    <t>50 animal studies (rat, rabbit, mouse)
1 ex vivo study</t>
  </si>
  <si>
    <t>Myofascial pain</t>
  </si>
  <si>
    <t>Brazil, Finland, Hungary, Indonesia, Italy, Iran, Switzerland, Taiwan, Turkey, United States (MA, OH)</t>
  </si>
  <si>
    <t>19 human RCTs
6 human non-RCTs
1 animal study (rabbit)</t>
  </si>
  <si>
    <t>Austria, Poland</t>
  </si>
  <si>
    <t>Restless legs syndrome</t>
  </si>
  <si>
    <t>Sleep bruxism</t>
  </si>
  <si>
    <t>(Salgueiro 2021)</t>
  </si>
  <si>
    <t>Whole-body irradiation with red light improved sleep quality in female athletes compared to placebo in a randomized trial (Zhao 2012).</t>
  </si>
  <si>
    <t>Canine elbow osteoarthritis</t>
  </si>
  <si>
    <t>1 clinical dog study</t>
  </si>
  <si>
    <t>(Looney 2018)</t>
  </si>
  <si>
    <t>United States (DE)</t>
  </si>
  <si>
    <t>(Miller 2020)</t>
  </si>
  <si>
    <t>Belgium, United States (FL)</t>
  </si>
  <si>
    <t>2 clinical controlled dog studies</t>
  </si>
  <si>
    <t>(Draper 2012) (Bennaim 2017)</t>
  </si>
  <si>
    <t>Navel wounds</t>
  </si>
  <si>
    <t>1 clinical controlled dog study</t>
  </si>
  <si>
    <t>(Bruno 2020)</t>
  </si>
  <si>
    <t>New Zealand, United Kingdom, United States (NY)</t>
  </si>
  <si>
    <t>3 clinical controlled dog studies</t>
  </si>
  <si>
    <t>Work in progress :-)</t>
  </si>
  <si>
    <t>Term</t>
  </si>
  <si>
    <t>Abbreviation</t>
  </si>
  <si>
    <t>Synonyms</t>
  </si>
  <si>
    <t>Explanation</t>
  </si>
  <si>
    <t>Blue light</t>
  </si>
  <si>
    <t>BL</t>
  </si>
  <si>
    <t>Low-energy visible light (LEVL)</t>
  </si>
  <si>
    <t>Blue light, antimicrobial</t>
  </si>
  <si>
    <t>Treatment</t>
  </si>
  <si>
    <t>Blue light phototherapy for neonatal jaundice</t>
  </si>
  <si>
    <t>Extracorporeal photopheresis</t>
  </si>
  <si>
    <t>ECP</t>
  </si>
  <si>
    <t>Fluorescence cystoscopy</t>
  </si>
  <si>
    <t>Diagnostics</t>
  </si>
  <si>
    <t>Fractional photothermolysis</t>
  </si>
  <si>
    <t>Green light photobiomodulation</t>
  </si>
  <si>
    <t>Green light phototherapy</t>
  </si>
  <si>
    <t>Green light exposure
GLED therapy</t>
  </si>
  <si>
    <r>
      <rPr>
        <sz val="8.0"/>
      </rPr>
      <t>Exposure to green light has been shown to have beneficial effects on migraine headache in humans (</t>
    </r>
    <r>
      <rPr>
        <color rgb="FF1155CC"/>
        <sz val="8.0"/>
        <u/>
      </rPr>
      <t>Noseda et al. 2016</t>
    </r>
    <r>
      <rPr>
        <sz val="8.0"/>
      </rPr>
      <t xml:space="preserve">), and pain hypersensitivity in rodents (eg. </t>
    </r>
    <r>
      <rPr>
        <color rgb="FF1155CC"/>
        <sz val="8.0"/>
        <u/>
      </rPr>
      <t>Martin et al. 2023</t>
    </r>
    <r>
      <rPr>
        <sz val="8.0"/>
      </rPr>
      <t>). These effects appear to be mediated via visual pathways.</t>
    </r>
  </si>
  <si>
    <t>Laser -- 675nm nonablative laser</t>
  </si>
  <si>
    <t>Device</t>
  </si>
  <si>
    <t>Laser -- 980nm diode laser</t>
  </si>
  <si>
    <t>Laser -- CO2 laser (10600 nm)</t>
  </si>
  <si>
    <t>Laser -- Erbium:YAG (2940 nm)</t>
  </si>
  <si>
    <t>Er:YAG</t>
  </si>
  <si>
    <r>
      <rPr>
        <sz val="8.0"/>
      </rPr>
      <t>Can be used for hair loss (</t>
    </r>
    <r>
      <rPr>
        <color rgb="FF1155CC"/>
        <sz val="8.0"/>
        <u/>
      </rPr>
      <t>Dai et al. 2024</t>
    </r>
    <r>
      <rPr>
        <sz val="8.0"/>
      </rPr>
      <t>).</t>
    </r>
  </si>
  <si>
    <t>Laser -- Excimer</t>
  </si>
  <si>
    <t xml:space="preserve">
</t>
  </si>
  <si>
    <t>Laser -- Neodymium:YAG</t>
  </si>
  <si>
    <t>Nd:YAG</t>
  </si>
  <si>
    <t>Laser -- KTP laser</t>
  </si>
  <si>
    <t>KTP is based on Nd:YAG laser, thus the wavelength is 0.5x the 1064nm of Nd:YAG. The frequency (inverse of wavelength) is doubled by a potassium (K) - titaniun dioxide (T) - phosphate (P) crystal.
Absorbed by skin melanin and blood hemoglobin. Can be used to treat eg. telangiectasia and melasma.</t>
  </si>
  <si>
    <t>Laser -- Ruby laser (694 nm)</t>
  </si>
  <si>
    <t>Laser -- Holmium laser (2100 nm)</t>
  </si>
  <si>
    <t>Ho:YAG</t>
  </si>
  <si>
    <t>Laser -- Alexandrite laser (755 nm)</t>
  </si>
  <si>
    <t>Laser -- Diode laser</t>
  </si>
  <si>
    <t>Laser -- Pulsed-dye laser (585 or 595 nm)</t>
  </si>
  <si>
    <t>Laser skin resurfacing</t>
  </si>
  <si>
    <t>Laser surgery</t>
  </si>
  <si>
    <t>Light-emitting diode</t>
  </si>
  <si>
    <t>Low-level laser therapy</t>
  </si>
  <si>
    <t>LLLT</t>
  </si>
  <si>
    <t>Near-Infrared Spectroscopy</t>
  </si>
  <si>
    <t>NIRS</t>
  </si>
  <si>
    <t>Near-Infrared Spectroscopy, functional</t>
  </si>
  <si>
    <t>fNIRS</t>
  </si>
  <si>
    <t>PBM</t>
  </si>
  <si>
    <t>Low-level light therapy (LLLT)
Red light therapy (RLT)</t>
  </si>
  <si>
    <t>Photodynamic therapy</t>
  </si>
  <si>
    <r>
      <rPr>
        <sz val="8.0"/>
      </rPr>
      <t>(</t>
    </r>
    <r>
      <rPr>
        <color rgb="FF1155CC"/>
        <sz val="8.0"/>
        <u/>
      </rPr>
      <t>Aroso et al. 2021</t>
    </r>
    <r>
      <rPr>
        <sz val="8.0"/>
      </rPr>
      <t>)</t>
    </r>
  </si>
  <si>
    <t>Photodynamic therapy, antimicrobial</t>
  </si>
  <si>
    <t>aPDT</t>
  </si>
  <si>
    <t>PUVA therapy</t>
  </si>
  <si>
    <t>Selective photothermolysis</t>
  </si>
  <si>
    <r>
      <rPr>
        <sz val="8.0"/>
      </rPr>
      <t>(</t>
    </r>
    <r>
      <rPr>
        <color rgb="FF1155CC"/>
        <sz val="8.0"/>
        <u/>
      </rPr>
      <t>Tierney &amp; Hanke 2009</t>
    </r>
    <r>
      <rPr>
        <sz val="8.0"/>
      </rPr>
      <t>)</t>
    </r>
  </si>
  <si>
    <t>UV treatment of lupus vulgaris</t>
  </si>
  <si>
    <t>UVB phototherapy</t>
  </si>
  <si>
    <t>PBM research database statistics (updated in November 2022)</t>
  </si>
  <si>
    <t>Photobiomodulation articles by methodology</t>
  </si>
  <si>
    <t>Research type</t>
  </si>
  <si>
    <t>Subcategory</t>
  </si>
  <si>
    <t>Estimated amount</t>
  </si>
  <si>
    <t>Additional info</t>
  </si>
  <si>
    <t>Total</t>
  </si>
  <si>
    <t>Randomized</t>
  </si>
  <si>
    <t>Non-randomized</t>
  </si>
  <si>
    <t>Single-arm trials, non-RCT head-to-head trials, etc.</t>
  </si>
  <si>
    <t>Case reports and case series</t>
  </si>
  <si>
    <t>Studies w/ light-emitting diodes (LED)</t>
  </si>
  <si>
    <t>Animal research</t>
  </si>
  <si>
    <t>Other research animals: dogs, pigs, minipigs, monkeys, sheep, horses, bovines, cats, sand rats, hamsters, gerbils, guinea pigs, frogs, toads, bumblebees, fruit flies, sea urchin, goldfish, siamese catfish, larvae, snails, roundworms, earthworms, flatworms, cownose rays and demosponges.</t>
  </si>
  <si>
    <t>Rat</t>
  </si>
  <si>
    <t>Mouse</t>
  </si>
  <si>
    <t>Rabbit</t>
  </si>
  <si>
    <t>In vitro research</t>
  </si>
  <si>
    <t>Narrative reviews</t>
  </si>
  <si>
    <t>Systematic reviews</t>
  </si>
  <si>
    <t>with meta-analyses</t>
  </si>
  <si>
    <t>Photobiomodulation research countries</t>
  </si>
  <si>
    <t>Number of articles</t>
  </si>
  <si>
    <t>1600+</t>
  </si>
  <si>
    <t>800+</t>
  </si>
  <si>
    <r>
      <rPr>
        <rFont val="arial"/>
        <color rgb="FF000000"/>
        <sz val="9.0"/>
      </rPr>
      <t xml:space="preserve">United States </t>
    </r>
    <r>
      <rPr>
        <rFont val="arial"/>
        <color rgb="FF000000"/>
        <sz val="7.0"/>
      </rPr>
      <t>(in 34 different states: AL, AZ, CA, CO, CT, DC, DE, FL, GA, ID, IL, IN, KS, LA, MA, MD, MI, MN, MO, MS, NC, NE, NJ, NM, NY, OH, OK, OR, PA, TN, TX, UT, VA, WI)</t>
    </r>
  </si>
  <si>
    <t>400+</t>
  </si>
  <si>
    <t>China, Iran</t>
  </si>
  <si>
    <t>200+</t>
  </si>
  <si>
    <t>Italy, Japan, Korea, Russia, Turkey, UK</t>
  </si>
  <si>
    <t>100+</t>
  </si>
  <si>
    <t>Australia, Canada, Egypt, Germany, India, Israel, Taiwan</t>
  </si>
  <si>
    <t>50-99</t>
  </si>
  <si>
    <t>Austria, Belgium, France, Norway, Poland, Saudi Arabia, South Africa, Spain</t>
  </si>
  <si>
    <t>10-49</t>
  </si>
  <si>
    <t>Argentina, Bulgaria, Chile, Colombia, Croatia, Czech Republic, Denmark, Greece, Hungary, Indonesia, Iraq, Ireland, Jordan, Malaysia, Netherlands, New Zealand, Pakistan, Portugal, Romania, Serbia, Slovakia, Syria, Sweden, Switzerland, Thailand, Ukraine, United Arab Emirates</t>
  </si>
  <si>
    <t>Less than 10</t>
  </si>
  <si>
    <t>Bosnia-Herzegovina, Costa Rica, Cuba, Cyprus, Finland, Kazakhstan, Kuwait, Macedonia, Mexico, Monaco, Nepal, Puerto Rico, Qatar, Singapore, Slovenia, Sudan, Venezuela, Yemen, Yugoslavia</t>
  </si>
  <si>
    <t>,</t>
  </si>
  <si>
    <t>New PBM articles by year</t>
  </si>
  <si>
    <t>Articles per year</t>
  </si>
  <si>
    <t>Cumulative amount</t>
  </si>
  <si>
    <t>PBM terms used in the scientific literature</t>
  </si>
  <si>
    <t>660nm LED light source</t>
  </si>
  <si>
    <t>Low-level light</t>
  </si>
  <si>
    <t>Photobioactivation</t>
  </si>
  <si>
    <t>670nm light</t>
  </si>
  <si>
    <t>Laser light irradiation</t>
  </si>
  <si>
    <t>Low-level light therapy</t>
  </si>
  <si>
    <t>λ780 nm laser light</t>
  </si>
  <si>
    <t>Laser treatment</t>
  </si>
  <si>
    <t>Low-power laser therapy</t>
  </si>
  <si>
    <t>Photobiostimulation (PBM therapy)</t>
  </si>
  <si>
    <t>830nm laser</t>
  </si>
  <si>
    <t>LED-based red light photo-stimulation</t>
  </si>
  <si>
    <t>Low-power diode laser</t>
  </si>
  <si>
    <t>Photo-enhancement</t>
  </si>
  <si>
    <t>810-nm diode laser</t>
  </si>
  <si>
    <t>LED-light</t>
  </si>
  <si>
    <t>Low-power laser irradiation (LPLI)</t>
  </si>
  <si>
    <t>Photoradiation</t>
  </si>
  <si>
    <t>CLASS IV laser therapy</t>
  </si>
  <si>
    <t>Low-power laser stimulation</t>
  </si>
  <si>
    <t>Photostimulation</t>
  </si>
  <si>
    <t>Cold laser</t>
  </si>
  <si>
    <t>Light-emitting diode irradiation</t>
  </si>
  <si>
    <t>Low-power laser treatment</t>
  </si>
  <si>
    <t>Physiotherapy laser</t>
  </si>
  <si>
    <t>Cold laser therapy (CLT)</t>
  </si>
  <si>
    <t>Light-Emitting Diode Phototherapy</t>
  </si>
  <si>
    <t>Low power red laser light (LPRLL)</t>
  </si>
  <si>
    <t>Singlet oxygen energy (SOE light)</t>
  </si>
  <si>
    <t>Electromagnetic energy</t>
  </si>
  <si>
    <t>Low dose laser irradiation</t>
  </si>
  <si>
    <t>Low-level phototherapy</t>
  </si>
  <si>
    <t>Short pulsed nonablative infrared laser irradiation</t>
  </si>
  <si>
    <t>Far-red light</t>
  </si>
  <si>
    <t>Low-energy Helium-Neon laser irradiation</t>
  </si>
  <si>
    <t>Low reactive-level laser therapy</t>
  </si>
  <si>
    <t>Soft laser</t>
  </si>
  <si>
    <t>Far red/near infrared light</t>
  </si>
  <si>
    <t>Low-energy laser irradiation</t>
  </si>
  <si>
    <t>MID-laser therapy</t>
  </si>
  <si>
    <t>Therapeutic photobiomodulation</t>
  </si>
  <si>
    <t>Helium-neon laser</t>
  </si>
  <si>
    <t>Low energy light irradiation</t>
  </si>
  <si>
    <t>Monochromatic phototherapy</t>
  </si>
  <si>
    <t>Transcranial infrared laser therapy</t>
  </si>
  <si>
    <t>He-Ne laser</t>
  </si>
  <si>
    <t>Low-intensity laser irradiation (LILI)</t>
  </si>
  <si>
    <t>Nanoparticle-emitted light</t>
  </si>
  <si>
    <t>Transcranial Laser Stimulation</t>
  </si>
  <si>
    <t>High fluence low-power laser irradiation</t>
  </si>
  <si>
    <t>Low-intensity laser therapy</t>
  </si>
  <si>
    <t>Narrow-band light</t>
  </si>
  <si>
    <t>Transcranial laser therapy (TLT)</t>
  </si>
  <si>
    <t>Intravascular red laser therapy</t>
  </si>
  <si>
    <t>Low-level laser</t>
  </si>
  <si>
    <t>Narrow-band red light phototherapy</t>
  </si>
  <si>
    <t>Transcranial low level laser (light) therapy</t>
  </si>
  <si>
    <t>Intravascular Low-Power Laser Illumination</t>
  </si>
  <si>
    <t>Low-level laser energy</t>
  </si>
  <si>
    <t>Near infra-red</t>
  </si>
  <si>
    <t>Visible light</t>
  </si>
  <si>
    <t>Intravascular low-power red laser light</t>
  </si>
  <si>
    <t>Near-infrared light</t>
  </si>
  <si>
    <t>Irradiation</t>
  </si>
  <si>
    <t>Near-infrared light treatment</t>
  </si>
  <si>
    <t>Laser 904 nm</t>
  </si>
  <si>
    <t>Polarized light therapy</t>
  </si>
  <si>
    <t>Photobiomodulation indications (animal studies)</t>
  </si>
  <si>
    <t>Acne</t>
  </si>
  <si>
    <t>Exercise performance</t>
  </si>
  <si>
    <t>Nerve injury (sciatic nerve)</t>
  </si>
  <si>
    <t>Restenosis (abdominal aorta)</t>
  </si>
  <si>
    <t>Chronic cerebral hypoperfusion</t>
  </si>
  <si>
    <t>Haemarthrosis</t>
  </si>
  <si>
    <t>Neuropathic pain</t>
  </si>
  <si>
    <t>Cognitive performance (aged mice)</t>
  </si>
  <si>
    <t>Hair loss (chemotherapy, testosterone, noninflammatory, alopecia areata)</t>
  </si>
  <si>
    <t>Cognitive performance (sleep deprivation)</t>
  </si>
  <si>
    <t>Lung inflammation (acute)</t>
  </si>
  <si>
    <t>Root resorption during tooth movement</t>
  </si>
  <si>
    <t>Hearing loss (gentamicin-induced)</t>
  </si>
  <si>
    <t>Oral ulcer (formocresol-induced)</t>
  </si>
  <si>
    <t>Sarcopenia</t>
  </si>
  <si>
    <t>Colon anastomoses healing</t>
  </si>
  <si>
    <t>Hearing loss (noise-induced)</t>
  </si>
  <si>
    <t>Orthodontic tooth movement</t>
  </si>
  <si>
    <t>Allergic asthma</t>
  </si>
  <si>
    <t>Mastitis</t>
  </si>
  <si>
    <t>Skin flap viability</t>
  </si>
  <si>
    <t>Allergic contact dermatitis</t>
  </si>
  <si>
    <t>Corneal injury from alkali burn</t>
  </si>
  <si>
    <t>Methanol toxicity (brain)</t>
  </si>
  <si>
    <t>Osteochondral lesion</t>
  </si>
  <si>
    <t>Snake venom-induced pathological effects</t>
  </si>
  <si>
    <t>Corneal injury from intraocular pressure</t>
  </si>
  <si>
    <t>Histamine-induced arterial spasm</t>
  </si>
  <si>
    <t>Methanol toxicity (retinal injury)</t>
  </si>
  <si>
    <t>Spinal cord injury</t>
  </si>
  <si>
    <t>Crescentic glomerulonephritis</t>
  </si>
  <si>
    <t>Morphine withdrawal</t>
  </si>
  <si>
    <t>Alzheimer’s disease (amyloid injection, transgenic)</t>
  </si>
  <si>
    <t>Delayed hypersensitivity</t>
  </si>
  <si>
    <t>Multiple sclerosis (EAE)</t>
  </si>
  <si>
    <t>Oxygen-induced retinopathy</t>
  </si>
  <si>
    <t>Submandibular gland inflammation</t>
  </si>
  <si>
    <t>Amyotrophic lateral sclerosis (familial)</t>
  </si>
  <si>
    <t>Dentin regeneration</t>
  </si>
  <si>
    <t>Implant osseointegration (femur)</t>
  </si>
  <si>
    <t>Paracoccidioidomycotic lesions</t>
  </si>
  <si>
    <t>Surgical wound infection</t>
  </si>
  <si>
    <t>Muscle injury (cryoinjury, trauma, strain)</t>
  </si>
  <si>
    <t>Parkinson’s disease</t>
  </si>
  <si>
    <t>Aneurysm (abdominal aorta)</t>
  </si>
  <si>
    <t>Dermal abrasions</t>
  </si>
  <si>
    <t>Kidney fibrosis</t>
  </si>
  <si>
    <t>Muscle ischemia-reperfusion</t>
  </si>
  <si>
    <t>Paw edema (inflammatory)</t>
  </si>
  <si>
    <t>Temporomandibular joint inflammation</t>
  </si>
  <si>
    <t>Arthritis (microcrystalline arthropathies)</t>
  </si>
  <si>
    <t>Diabetes-related pancreatic injury</t>
  </si>
  <si>
    <t>Kidney ischemia-reperfusion</t>
  </si>
  <si>
    <t>Musculocutaneous flap viability</t>
  </si>
  <si>
    <t>Arthritis (zymosan-induced)</t>
  </si>
  <si>
    <t>Diabetic hyposalivation</t>
  </si>
  <si>
    <t>Laryngitis</t>
  </si>
  <si>
    <t>Myocardial infarct</t>
  </si>
  <si>
    <t>Thrombocytopenia (gamma radiation, CD41 antibody, chemotherapy)</t>
  </si>
  <si>
    <t>Arthrogenic joint contracture</t>
  </si>
  <si>
    <t>Diabetic kidney injury</t>
  </si>
  <si>
    <t>Ligament injury (ACL)</t>
  </si>
  <si>
    <t>Pesticide toxicity</t>
  </si>
  <si>
    <t>Ligament injury (MCL)</t>
  </si>
  <si>
    <t>Myopathy (adrenaline-induced)</t>
  </si>
  <si>
    <t>Platelet survival during extracorporeal circulation</t>
  </si>
  <si>
    <t>Diabetic wound healing</t>
  </si>
  <si>
    <t>Light-induced retinal injury</t>
  </si>
  <si>
    <t>Myopathy (mdx)</t>
  </si>
  <si>
    <t>Tracheal incision/wound healing</t>
  </si>
  <si>
    <t>Diaphragm muscle dysfunction</t>
  </si>
  <si>
    <t>Nerve injury (inferior alveolar nerve)</t>
  </si>
  <si>
    <t>Traumatic brain injury</t>
  </si>
  <si>
    <t>Bone fracture</t>
  </si>
  <si>
    <t>Nerve injury (facial nerve)</t>
  </si>
  <si>
    <t>Ventricular arrhythmias</t>
  </si>
  <si>
    <t>Endophthalmitis</t>
  </si>
  <si>
    <t>Liver ischemia-reperfusion</t>
  </si>
  <si>
    <t>Nerve injury (mental nerve)</t>
  </si>
  <si>
    <t>Radiation injury</t>
  </si>
  <si>
    <t>Burn injury</t>
  </si>
  <si>
    <t>Erectile dysfunction</t>
  </si>
  <si>
    <t>Photobiomodulation studies (humans)</t>
  </si>
  <si>
    <t>Cerebral palsy (myotonia)*</t>
  </si>
  <si>
    <t>Maxillary sinus augmentation</t>
  </si>
  <si>
    <t>Restenosis</t>
  </si>
  <si>
    <t>Cerebral blood flow*</t>
  </si>
  <si>
    <t>Erythema (ultraviolet-induced)</t>
  </si>
  <si>
    <t>Ménière's disease</t>
  </si>
  <si>
    <t>Post-mastectomy pain syndrome</t>
  </si>
  <si>
    <t>Cerebral oxygenation*</t>
  </si>
  <si>
    <t>Meniscal pathology</t>
  </si>
  <si>
    <t>Postoperative healing (laparoscopic cholecystectomy)</t>
  </si>
  <si>
    <t>Chalazia*</t>
  </si>
  <si>
    <t>Postoperative healing (saphenectomy)</t>
  </si>
  <si>
    <t>Alzheimer’s disease</t>
  </si>
  <si>
    <t>Chronic joint disorders</t>
  </si>
  <si>
    <t>Muscle gain</t>
  </si>
  <si>
    <t>Postoperative healing (sternotomy)</t>
  </si>
  <si>
    <t>Scarring alopecia*</t>
  </si>
  <si>
    <t>Chronic kidney disease (handgrip strength)</t>
  </si>
  <si>
    <t>Musculoskeletal pain</t>
  </si>
  <si>
    <t>Postoperative pain (breast augm.)</t>
  </si>
  <si>
    <t>Ankle sprain</t>
  </si>
  <si>
    <t>Chronic oral mucosal pain*</t>
  </si>
  <si>
    <t>Generalized Anxiety Disorder (GAD)*</t>
  </si>
  <si>
    <t>Neck pain</t>
  </si>
  <si>
    <t>Postoperative pain (cesarean section)</t>
  </si>
  <si>
    <t>Skin aging</t>
  </si>
  <si>
    <t>Genitourinary syndrome of menopause*</t>
  </si>
  <si>
    <t>Neuropathic foot ulcer</t>
  </si>
  <si>
    <t>Postoperative pain (endodontic treatment)</t>
  </si>
  <si>
    <t>Strawberry haemangioma*</t>
  </si>
  <si>
    <t>Aphthous ulcers</t>
  </si>
  <si>
    <t>Graft-versus-host disease*</t>
  </si>
  <si>
    <t>Nipple pain</t>
  </si>
  <si>
    <t>Postoperative pain (hip arthroplasty)</t>
  </si>
  <si>
    <t>Autism (ASD)</t>
  </si>
  <si>
    <t>Hair loss (androgenetic alopecia)</t>
  </si>
  <si>
    <t>Postoperative healing (orthognathic surgery)</t>
  </si>
  <si>
    <t>Systemic low-grade inflammation</t>
  </si>
  <si>
    <t>Dental injection pain</t>
  </si>
  <si>
    <t>Hand-foot-and-mouth disease</t>
  </si>
  <si>
    <t>Orthodontic mini-implant stability</t>
  </si>
  <si>
    <t>Postoperative pain (periodontal flap)</t>
  </si>
  <si>
    <t>Temporomandibular joint dysfunction (TMD)</t>
  </si>
  <si>
    <t>Binswanger’s disease*</t>
  </si>
  <si>
    <t>Postoperative pain (tonsillectomy)</t>
  </si>
  <si>
    <t>Tennis elbow (lateral epicondylitis)</t>
  </si>
  <si>
    <t>Bipolar-I disorder*</t>
  </si>
  <si>
    <t>Labial herpes</t>
  </si>
  <si>
    <t>Lichen planopilaris*</t>
  </si>
  <si>
    <t>Psoriasis*</t>
  </si>
  <si>
    <t>Traumatic brain injury*</t>
  </si>
  <si>
    <t>Bone fractures (hand/wrist)</t>
  </si>
  <si>
    <t>Diabetic macular edema*</t>
  </si>
  <si>
    <t>Periodontal disease</t>
  </si>
  <si>
    <t>Venous leg ulcer</t>
  </si>
  <si>
    <t>Down syndrome*</t>
  </si>
  <si>
    <t>Low back pain</t>
  </si>
  <si>
    <t>Peripheral neuropathic pain</t>
  </si>
  <si>
    <t>Radiation ulcer*</t>
  </si>
  <si>
    <t>Vitiligo*</t>
  </si>
  <si>
    <t>Dry mouth</t>
  </si>
  <si>
    <t>Plantar fasciitis</t>
  </si>
  <si>
    <t>Rapid maxillary expansion (RME)</t>
  </si>
  <si>
    <t>Caries (salivary properties)</t>
  </si>
  <si>
    <t>Mandibular distraction osteogenesis</t>
  </si>
  <si>
    <t>Post-bleaching tooth sensitivity</t>
  </si>
  <si>
    <t>Raynaud’s phenomenon</t>
  </si>
  <si>
    <t>Notes: Asterisks (*) denote the indications that have not been evaluated in randomized controlled trials (RCT)</t>
  </si>
  <si>
    <t>Common wavelengths (updated 18 Jan 2022)</t>
  </si>
  <si>
    <t>630-635 nm: 755 papers</t>
  </si>
  <si>
    <t>630 nm: 148 papers</t>
  </si>
  <si>
    <t>633 nm: 461 papers</t>
  </si>
  <si>
    <t>635 nm: 146 papers</t>
  </si>
  <si>
    <t>650-670 nm: 1070 papers</t>
  </si>
  <si>
    <t>650 nm: 120 papers</t>
  </si>
  <si>
    <t>660 nm: 713 papers</t>
  </si>
  <si>
    <t>670 nm: 237 papers</t>
  </si>
  <si>
    <t>780-810 nm: 981 papers</t>
  </si>
  <si>
    <t>780 nm: 254 papers</t>
  </si>
  <si>
    <t>808 nm: 399 papers</t>
  </si>
  <si>
    <t>810 nm: 328 papers</t>
  </si>
  <si>
    <t>830-850 nm: 663 papers</t>
  </si>
  <si>
    <t>830 nm: 494 papers</t>
  </si>
  <si>
    <t>850 nm: 169 papers</t>
  </si>
  <si>
    <t>890-905 nm: 379 papers</t>
  </si>
  <si>
    <t>890 nm: 76 papers</t>
  </si>
  <si>
    <t>904 nm: 223 papers</t>
  </si>
  <si>
    <t>905 nm: 80 papers</t>
  </si>
  <si>
    <t>940 nm: 101 papers</t>
  </si>
  <si>
    <t>1064-1072 nm: 130 papers</t>
  </si>
  <si>
    <t>1064 nm: 121 papers</t>
  </si>
  <si>
    <t>1070 nm: 1 paper</t>
  </si>
  <si>
    <t>1072 nm: 8 papers</t>
  </si>
  <si>
    <r>
      <rPr>
        <rFont val="arial,sans,sans-serif"/>
        <b/>
        <sz val="9.0"/>
      </rPr>
      <t xml:space="preserve">Institution
</t>
    </r>
    <r>
      <rPr>
        <rFont val="arial,sans,sans-serif"/>
        <b/>
        <sz val="7.0"/>
      </rPr>
      <t>(sponsor/collaborator)</t>
    </r>
  </si>
  <si>
    <t>Study methodology</t>
  </si>
  <si>
    <t>Status</t>
  </si>
  <si>
    <t>Schedule (estimated)</t>
  </si>
  <si>
    <t>NCT identifier</t>
  </si>
  <si>
    <t>Last checked</t>
  </si>
  <si>
    <t>Achilles tendinopathy</t>
  </si>
  <si>
    <t>University of Bergen &amp; Universidade do Vale do Paraíba</t>
  </si>
  <si>
    <t>Physiotherapy Treatment for Chronic Achilles Tendinopathy (PhyCAT)</t>
  </si>
  <si>
    <t>RCT, double-blind
40 subjects</t>
  </si>
  <si>
    <t>Recruiting</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</si>
  <si>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</si>
  <si>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8/2017
</t>
    </r>
    <r>
      <rPr>
        <rFont val="Arial"/>
        <color rgb="FF0B5394"/>
        <sz val="7.0"/>
      </rPr>
      <t>12/2018</t>
    </r>
    <r>
      <rPr>
        <rFont val="Arial"/>
        <color rgb="FFB45F06"/>
        <sz val="7.0"/>
      </rPr>
      <t xml:space="preserve">
</t>
    </r>
    <r>
      <rPr>
        <rFont val="Arial"/>
        <color rgb="FFA64D79"/>
        <sz val="7.0"/>
      </rPr>
      <t>1/2019</t>
    </r>
    <r>
      <rPr>
        <rFont val="Arial"/>
        <color rgb="FFB45F06"/>
        <sz val="7.0"/>
      </rPr>
      <t xml:space="preserve">
</t>
    </r>
    <r>
      <rPr>
        <rFont val="Arial"/>
        <color rgb="FF000000"/>
        <sz val="7.0"/>
      </rPr>
      <t>11/2018</t>
    </r>
  </si>
  <si>
    <t>National Yang Ming University</t>
  </si>
  <si>
    <t>Exploring the Effectiveness of LED Phototherapy on Common Symptoms Among Elderly in Long-Term Care Institutions</t>
  </si>
  <si>
    <t>Single-arm, open label
120 subjects</t>
  </si>
  <si>
    <t>Enrolling by invitation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</si>
  <si>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</si>
  <si>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9/2019
</t>
    </r>
    <r>
      <rPr>
        <rFont val="Arial"/>
        <color rgb="FF0B5394"/>
        <sz val="7.0"/>
      </rPr>
      <t>7/2020</t>
    </r>
    <r>
      <rPr>
        <rFont val="Arial"/>
        <color rgb="FFB45F06"/>
        <sz val="7.0"/>
      </rPr>
      <t xml:space="preserve">
</t>
    </r>
    <r>
      <rPr>
        <rFont val="Arial"/>
        <color rgb="FFA64D79"/>
        <sz val="7.0"/>
      </rPr>
      <t>7/2021</t>
    </r>
    <r>
      <rPr>
        <rFont val="Arial"/>
        <color rgb="FFB45F06"/>
        <sz val="7.0"/>
      </rPr>
      <t xml:space="preserve">
</t>
    </r>
    <r>
      <rPr>
        <rFont val="Arial"/>
        <color rgb="FF000000"/>
        <sz val="7.0"/>
      </rPr>
      <t>1/2020</t>
    </r>
  </si>
  <si>
    <t>Aging &amp; Parkinson's disease</t>
  </si>
  <si>
    <t>University of Florida &amp; McKnight Brain Research Foundation &amp; University of Arizona</t>
  </si>
  <si>
    <t>Pilot Intervention With Near Infrared Stimulation</t>
  </si>
  <si>
    <t>RCT, double-blind
104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</si>
  <si>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</si>
  <si>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12/2020</t>
    </r>
    <r>
      <rPr>
        <rFont val="Arial"/>
        <color rgb="FFB45F06"/>
        <sz val="7.0"/>
      </rPr>
      <t xml:space="preserve">
</t>
    </r>
    <r>
      <rPr>
        <rFont val="Arial"/>
        <color rgb="FFA64D79"/>
        <sz val="7.0"/>
      </rPr>
      <t>6/2021</t>
    </r>
    <r>
      <rPr>
        <rFont val="Arial"/>
        <color rgb="FFB45F06"/>
        <sz val="7.0"/>
      </rPr>
      <t xml:space="preserve">
</t>
    </r>
    <r>
      <rPr>
        <rFont val="Arial"/>
        <color rgb="FF000000"/>
        <sz val="7.0"/>
      </rPr>
      <t>10/2018</t>
    </r>
  </si>
  <si>
    <t>University of California, San Francisco</t>
  </si>
  <si>
    <t>Impact of Photobiomodulation (PBM) on Biomarkers of Alzheimer's Disease (PBMbiomarker)</t>
  </si>
  <si>
    <t>RCT, double-blind
16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</si>
  <si>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</si>
  <si>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8/2018
</t>
    </r>
    <r>
      <rPr>
        <rFont val="Arial"/>
        <color rgb="FF0B5394"/>
        <sz val="7.0"/>
      </rPr>
      <t>5/2019</t>
    </r>
    <r>
      <rPr>
        <rFont val="Arial"/>
        <color rgb="FFB45F06"/>
        <sz val="7.0"/>
      </rPr>
      <t xml:space="preserve">
</t>
    </r>
    <r>
      <rPr>
        <rFont val="Arial"/>
        <color rgb="FFA64D79"/>
        <sz val="7.0"/>
      </rPr>
      <t>12/2019</t>
    </r>
    <r>
      <rPr>
        <rFont val="Arial"/>
        <color rgb="FFB45F06"/>
        <sz val="7.0"/>
      </rPr>
      <t xml:space="preserve">
</t>
    </r>
    <r>
      <rPr>
        <rFont val="Arial"/>
        <color rgb="FF000000"/>
        <sz val="7.0"/>
      </rPr>
      <t>10/2018</t>
    </r>
  </si>
  <si>
    <t>Vielight Inc.</t>
  </si>
  <si>
    <t>Neuro RX Gamma - Pivotal Phase</t>
  </si>
  <si>
    <t>RCT, double-blind, multicenter (8 sites)
228 subjects</t>
  </si>
  <si>
    <t>Active, not recruiting</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</si>
  <si>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</si>
  <si>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1/2021
</t>
    </r>
    <r>
      <rPr>
        <rFont val="Arial"/>
        <color rgb="FF0B5394"/>
        <sz val="7.0"/>
      </rPr>
      <t>1/2021</t>
    </r>
    <r>
      <rPr>
        <rFont val="Arial"/>
        <color rgb="FFB45F06"/>
        <sz val="7.0"/>
      </rPr>
      <t xml:space="preserve">
</t>
    </r>
    <r>
      <rPr>
        <rFont val="Arial"/>
        <color rgb="FFA64D79"/>
        <sz val="7.0"/>
      </rPr>
      <t>1/2021</t>
    </r>
    <r>
      <rPr>
        <rFont val="Arial"/>
        <color rgb="FFB45F06"/>
        <sz val="7.0"/>
      </rPr>
      <t xml:space="preserve">
</t>
    </r>
    <r>
      <rPr>
        <rFont val="Arial"/>
        <color rgb="FF000000"/>
        <sz val="7.0"/>
      </rPr>
      <t>7/2020</t>
    </r>
  </si>
  <si>
    <t>Baylor Research Institute &amp; Quietmind Foundation</t>
  </si>
  <si>
    <t>Assessing Feasibility of Prolonged Repetitive Near Infrared Light Stimulation in Early to Mid-Stage Dementia</t>
  </si>
  <si>
    <t>RCT, double-blind
100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</si>
  <si>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</si>
  <si>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10/2020</t>
    </r>
    <r>
      <rPr>
        <rFont val="Arial"/>
        <color rgb="FFB45F06"/>
        <sz val="7.0"/>
      </rPr>
      <t xml:space="preserve">
</t>
    </r>
    <r>
      <rPr>
        <rFont val="Arial"/>
        <color rgb="FFA64D79"/>
        <sz val="7.0"/>
      </rPr>
      <t xml:space="preserve">10/2020
</t>
    </r>
    <r>
      <rPr>
        <rFont val="Arial"/>
        <color rgb="FF000000"/>
        <sz val="7.0"/>
      </rPr>
      <t>3/2019</t>
    </r>
  </si>
  <si>
    <t>11th July 2019</t>
  </si>
  <si>
    <t>Bristlecone Health, Inc. &amp; University of Minnesota</t>
  </si>
  <si>
    <t>Photobiomodulation &amp; Ketogenic Diet for Treatment of Mid-periphery Retinal Disorders for Alzheimer's Disease Prevention</t>
  </si>
  <si>
    <t>RCT, open label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</si>
  <si>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</si>
  <si>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2/2019
</t>
    </r>
    <r>
      <rPr>
        <rFont val="Arial"/>
        <color rgb="FF0B5394"/>
        <sz val="7.0"/>
      </rPr>
      <t>9/2020</t>
    </r>
    <r>
      <rPr>
        <rFont val="Arial"/>
        <color rgb="FFB45F06"/>
        <sz val="7.0"/>
      </rPr>
      <t xml:space="preserve">
</t>
    </r>
    <r>
      <rPr>
        <rFont val="Arial"/>
        <color rgb="FFA64D79"/>
        <sz val="7.0"/>
      </rPr>
      <t>9/2020</t>
    </r>
    <r>
      <rPr>
        <rFont val="Arial"/>
        <color rgb="FFB45F06"/>
        <sz val="7.0"/>
      </rPr>
      <t xml:space="preserve">
</t>
    </r>
    <r>
      <rPr>
        <rFont val="Arial"/>
        <color rgb="FF000000"/>
        <sz val="7.0"/>
      </rPr>
      <t>3/2019</t>
    </r>
  </si>
  <si>
    <t>Anxiety (GAD)</t>
  </si>
  <si>
    <t>Massachusetts General Hospital &amp; New York University School of Medicine &amp; Cerebral Sciences LLC</t>
  </si>
  <si>
    <t>Transcranial Pulse Near-Infrared Light in Generalized Anxiety Disorder: a Placebo-Controlled Study (Lighten-GAD)</t>
  </si>
  <si>
    <t>RCT, sham-controlled
150 subjects</t>
  </si>
  <si>
    <t>Unknown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</si>
  <si>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</si>
  <si>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2/2018
</t>
    </r>
    <r>
      <rPr>
        <rFont val="Arial"/>
        <color rgb="FF0B5394"/>
        <sz val="7.0"/>
      </rPr>
      <t>2/2019</t>
    </r>
    <r>
      <rPr>
        <rFont val="Arial"/>
        <color rgb="FFB45F06"/>
        <sz val="7.0"/>
      </rPr>
      <t xml:space="preserve">
</t>
    </r>
    <r>
      <rPr>
        <rFont val="Arial"/>
        <color rgb="FFA64D79"/>
        <sz val="7.0"/>
      </rPr>
      <t>2/2019</t>
    </r>
    <r>
      <rPr>
        <rFont val="Arial"/>
        <color rgb="FFB45F06"/>
        <sz val="7.0"/>
      </rPr>
      <t xml:space="preserve">
</t>
    </r>
    <r>
      <rPr>
        <rFont val="Arial"/>
        <color rgb="FF000000"/>
        <sz val="7.0"/>
      </rPr>
      <t>2/2018</t>
    </r>
  </si>
  <si>
    <t>Autism Spectrum Disorder</t>
  </si>
  <si>
    <t>Massachusetts General Hospital</t>
  </si>
  <si>
    <t>Photobiomodulation in Autism Spectrum Disorder (ASD)</t>
  </si>
  <si>
    <t>Single-arm trial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</si>
  <si>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</si>
  <si>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4/2017
</t>
    </r>
    <r>
      <rPr>
        <rFont val="Arial"/>
        <color rgb="FF0B5394"/>
        <sz val="7.0"/>
      </rPr>
      <t>12/2020</t>
    </r>
    <r>
      <rPr>
        <rFont val="Arial"/>
        <color rgb="FFB45F06"/>
        <sz val="7.0"/>
      </rPr>
      <t xml:space="preserve">
</t>
    </r>
    <r>
      <rPr>
        <rFont val="Arial"/>
        <color rgb="FFA64D79"/>
        <sz val="7.0"/>
      </rPr>
      <t>12/2020</t>
    </r>
    <r>
      <rPr>
        <rFont val="Arial"/>
        <color rgb="FFB45F06"/>
        <sz val="7.0"/>
      </rPr>
      <t xml:space="preserve">
</t>
    </r>
    <r>
      <rPr>
        <rFont val="Arial"/>
        <color rgb="FF000000"/>
        <sz val="7.0"/>
      </rPr>
      <t>10/2018</t>
    </r>
  </si>
  <si>
    <t>Autogenous skin graft</t>
  </si>
  <si>
    <t>University of Nove de Julho</t>
  </si>
  <si>
    <t>Effect of Photobiomodulation in a Partial Thickness Autogenous Skin Graft Donor Area</t>
  </si>
  <si>
    <t>RCT, open label
36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</si>
  <si>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</si>
  <si>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2/2019</t>
    </r>
    <r>
      <rPr>
        <rFont val="Arial"/>
        <color rgb="FFB45F06"/>
        <sz val="7.0"/>
      </rPr>
      <t xml:space="preserve">
</t>
    </r>
    <r>
      <rPr>
        <rFont val="Arial"/>
        <color rgb="FFA64D79"/>
        <sz val="7.0"/>
      </rPr>
      <t>7/2019</t>
    </r>
    <r>
      <rPr>
        <rFont val="Arial"/>
        <color rgb="FFB45F06"/>
        <sz val="7.0"/>
      </rPr>
      <t xml:space="preserve">
</t>
    </r>
    <r>
      <rPr>
        <rFont val="Arial"/>
        <color rgb="FF000000"/>
        <sz val="7.0"/>
      </rPr>
      <t>2/2020</t>
    </r>
  </si>
  <si>
    <t>University of Nove de Julho &amp; Multi Radiance Medical &amp; Fundação de Amparo à Pesquisa do Estado de São Paulo</t>
  </si>
  <si>
    <t>Photobiomodulation Therapy (PBMT) in Patients With Low Back Pain (LBP)</t>
  </si>
  <si>
    <t>RCT, double-blind
72 subjects</t>
  </si>
  <si>
    <t>Not yet recruiting</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</si>
  <si>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</si>
  <si>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7/2020
</t>
    </r>
    <r>
      <rPr>
        <rFont val="Arial"/>
        <color rgb="FF0B5394"/>
        <sz val="7.0"/>
      </rPr>
      <t>9/2020</t>
    </r>
    <r>
      <rPr>
        <rFont val="Arial"/>
        <color rgb="FFB45F06"/>
        <sz val="7.0"/>
      </rPr>
      <t xml:space="preserve">
</t>
    </r>
    <r>
      <rPr>
        <rFont val="Arial"/>
        <color rgb="FFA64D79"/>
        <sz val="7.0"/>
      </rPr>
      <t>9/2020</t>
    </r>
    <r>
      <rPr>
        <rFont val="Arial"/>
        <color rgb="FFB45F06"/>
        <sz val="7.0"/>
      </rPr>
      <t xml:space="preserve">
</t>
    </r>
    <r>
      <rPr>
        <rFont val="Arial"/>
        <color rgb="FF000000"/>
        <sz val="7.0"/>
      </rPr>
      <t>7/2020</t>
    </r>
  </si>
  <si>
    <t>NCT04476095</t>
  </si>
  <si>
    <t>National Taiwan University Hospital Hsin-Chu Branch</t>
  </si>
  <si>
    <t>LED Photobiomodulation Therapy for Non-specific LBP in Working Nurses</t>
  </si>
  <si>
    <t>RCT, sham-controlled
148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</si>
  <si>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</si>
  <si>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6/2020
</t>
    </r>
    <r>
      <rPr>
        <rFont val="Arial"/>
        <color rgb="FF0B5394"/>
        <sz val="7.0"/>
      </rPr>
      <t>11/2020</t>
    </r>
    <r>
      <rPr>
        <rFont val="Arial"/>
        <color rgb="FFB45F06"/>
        <sz val="7.0"/>
      </rPr>
      <t xml:space="preserve">
</t>
    </r>
    <r>
      <rPr>
        <rFont val="Arial"/>
        <color rgb="FFA64D79"/>
        <sz val="7.0"/>
      </rPr>
      <t>11/2020</t>
    </r>
    <r>
      <rPr>
        <rFont val="Arial"/>
        <color rgb="FFB45F06"/>
        <sz val="7.0"/>
      </rPr>
      <t xml:space="preserve">
</t>
    </r>
    <r>
      <rPr>
        <rFont val="Arial"/>
        <color rgb="FF000000"/>
        <sz val="7.0"/>
      </rPr>
      <t>6/2020</t>
    </r>
  </si>
  <si>
    <t>NCT04424823</t>
  </si>
  <si>
    <t>Hebrew University of Jerusalem</t>
  </si>
  <si>
    <t>Light Therapy for the Treatment of Back Pain in Pilots (LLL&amp;Pilots) (LLL&amp;Pilots)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</si>
  <si>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</si>
  <si>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3/2018
</t>
    </r>
    <r>
      <rPr>
        <rFont val="Arial"/>
        <color rgb="FF0B5394"/>
        <sz val="7.0"/>
      </rPr>
      <t>5/2019</t>
    </r>
    <r>
      <rPr>
        <rFont val="Arial"/>
        <color rgb="FFB45F06"/>
        <sz val="7.0"/>
      </rPr>
      <t xml:space="preserve">
</t>
    </r>
    <r>
      <rPr>
        <rFont val="Arial"/>
        <color rgb="FFA64D79"/>
        <sz val="7.0"/>
      </rPr>
      <t>12/2019</t>
    </r>
    <r>
      <rPr>
        <rFont val="Arial"/>
        <color rgb="FFB45F06"/>
        <sz val="7.0"/>
      </rPr>
      <t xml:space="preserve">
</t>
    </r>
    <r>
      <rPr>
        <rFont val="Arial"/>
        <color rgb="FF000000"/>
        <sz val="7.0"/>
      </rPr>
      <t>8/2018</t>
    </r>
  </si>
  <si>
    <t>Blood flow</t>
  </si>
  <si>
    <t>Medical College of Wisconsin</t>
  </si>
  <si>
    <t>Peripheral Blood Flow Responses to Electromagnetic Energy</t>
  </si>
  <si>
    <t>Single-arm, open label
40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</si>
  <si>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</si>
  <si>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11/2014
</t>
    </r>
    <r>
      <rPr>
        <rFont val="Arial"/>
        <color rgb="FF0B5394"/>
        <sz val="7.0"/>
      </rPr>
      <t>12/2018</t>
    </r>
    <r>
      <rPr>
        <rFont val="Arial"/>
        <color rgb="FFB45F06"/>
        <sz val="7.0"/>
      </rPr>
      <t xml:space="preserve">
</t>
    </r>
    <r>
      <rPr>
        <rFont val="Arial"/>
        <color rgb="FFA64D79"/>
        <sz val="7.0"/>
      </rPr>
      <t>12/2019</t>
    </r>
    <r>
      <rPr>
        <rFont val="Arial"/>
        <color rgb="FFB45F06"/>
        <sz val="7.0"/>
      </rPr>
      <t xml:space="preserve">
</t>
    </r>
    <r>
      <rPr>
        <rFont val="Arial"/>
        <color rgb="FF000000"/>
        <sz val="7.0"/>
      </rPr>
      <t>2/2018</t>
    </r>
  </si>
  <si>
    <t>Manamed Inc.</t>
  </si>
  <si>
    <t>Effects of Red Light LED Therapy on Body Contouring</t>
  </si>
  <si>
    <t>Single-arm, open label
66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</si>
  <si>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</si>
  <si>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11/2018</t>
    </r>
    <r>
      <rPr>
        <rFont val="Arial"/>
        <color rgb="FFB45F06"/>
        <sz val="7.0"/>
      </rPr>
      <t xml:space="preserve">
</t>
    </r>
    <r>
      <rPr>
        <rFont val="Arial"/>
        <color rgb="FFA64D79"/>
        <sz val="7.0"/>
      </rPr>
      <t>11/2018</t>
    </r>
    <r>
      <rPr>
        <rFont val="Arial"/>
        <color rgb="FFB45F06"/>
        <sz val="7.0"/>
      </rPr>
      <t xml:space="preserve">
</t>
    </r>
    <r>
      <rPr>
        <rFont val="Arial"/>
        <color rgb="FF000000"/>
        <sz val="7.0"/>
      </rPr>
      <t>8/2018</t>
    </r>
  </si>
  <si>
    <t>Evaluation of Photobiomodulation on Nasal Fractures</t>
  </si>
  <si>
    <t>RCT, sham-controlled
36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</si>
  <si>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</si>
  <si>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10/2019
</t>
    </r>
    <r>
      <rPr>
        <rFont val="Arial"/>
        <color rgb="FF0B5394"/>
        <sz val="7.0"/>
      </rPr>
      <t>10/2019</t>
    </r>
    <r>
      <rPr>
        <rFont val="Arial"/>
        <color rgb="FFB45F06"/>
        <sz val="7.0"/>
      </rPr>
      <t xml:space="preserve">
</t>
    </r>
    <r>
      <rPr>
        <rFont val="Arial"/>
        <color rgb="FFA64D79"/>
        <sz val="7.0"/>
      </rPr>
      <t>10/2020</t>
    </r>
    <r>
      <rPr>
        <rFont val="Arial"/>
        <color rgb="FFB45F06"/>
        <sz val="7.0"/>
      </rPr>
      <t xml:space="preserve">
</t>
    </r>
    <r>
      <rPr>
        <rFont val="Arial"/>
        <color rgb="FF000000"/>
        <sz val="7.0"/>
      </rPr>
      <t>7/2019</t>
    </r>
  </si>
  <si>
    <t>University of Bergen</t>
  </si>
  <si>
    <t>Low-level Laser Therapy on Distal Radius Fractures</t>
  </si>
  <si>
    <t>RCT, sham-controlled
70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</si>
  <si>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</si>
  <si>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12/2015
</t>
    </r>
    <r>
      <rPr>
        <rFont val="Arial"/>
        <color rgb="FF0B5394"/>
        <sz val="7.0"/>
      </rPr>
      <t>6/2018</t>
    </r>
    <r>
      <rPr>
        <rFont val="Arial"/>
        <color rgb="FFB45F06"/>
        <sz val="7.0"/>
      </rPr>
      <t xml:space="preserve">
</t>
    </r>
    <r>
      <rPr>
        <rFont val="Arial"/>
        <color rgb="FFA64D79"/>
        <sz val="7.0"/>
      </rPr>
      <t>2/2019</t>
    </r>
    <r>
      <rPr>
        <rFont val="Arial"/>
        <color rgb="FFB45F06"/>
        <sz val="7.0"/>
      </rPr>
      <t xml:space="preserve">
</t>
    </r>
    <r>
      <rPr>
        <rFont val="Arial"/>
        <color rgb="FF000000"/>
        <sz val="7.0"/>
      </rPr>
      <t>1/2017</t>
    </r>
  </si>
  <si>
    <t>University of Bergen &amp; Norwegian Fund for Postgraduate Training in Physiotherapy</t>
  </si>
  <si>
    <t>Low-level Laser Therapy on Wrist Fractures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</si>
  <si>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</si>
  <si>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4/2016
</t>
    </r>
    <r>
      <rPr>
        <rFont val="Arial"/>
        <color rgb="FF0B5394"/>
        <sz val="7.0"/>
      </rPr>
      <t>6/2018</t>
    </r>
    <r>
      <rPr>
        <rFont val="Arial"/>
        <color rgb="FFB45F06"/>
        <sz val="7.0"/>
      </rPr>
      <t xml:space="preserve">
</t>
    </r>
    <r>
      <rPr>
        <rFont val="Arial"/>
        <color rgb="FFA64D79"/>
        <sz val="7.0"/>
      </rPr>
      <t>9/2018</t>
    </r>
    <r>
      <rPr>
        <rFont val="Arial"/>
        <color rgb="FFB45F06"/>
        <sz val="7.0"/>
      </rPr>
      <t xml:space="preserve">
</t>
    </r>
    <r>
      <rPr>
        <rFont val="Arial"/>
        <color rgb="FF000000"/>
        <sz val="7.0"/>
      </rPr>
      <t>11/2019</t>
    </r>
  </si>
  <si>
    <t>University of Sao Paulo</t>
  </si>
  <si>
    <t>Therapy by Led (Light Emission Diode) in Cutaneous Lesion: in Vivo</t>
  </si>
  <si>
    <t>RCT
105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</si>
  <si>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</si>
  <si>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2/2018
</t>
    </r>
    <r>
      <rPr>
        <rFont val="Arial"/>
        <color rgb="FF0B5394"/>
        <sz val="7.0"/>
      </rPr>
      <t>2/2020</t>
    </r>
    <r>
      <rPr>
        <rFont val="Arial"/>
        <color rgb="FFB45F06"/>
        <sz val="7.0"/>
      </rPr>
      <t xml:space="preserve">
</t>
    </r>
    <r>
      <rPr>
        <rFont val="Arial"/>
        <color rgb="FFA64D79"/>
        <sz val="7.0"/>
      </rPr>
      <t>2/2020</t>
    </r>
    <r>
      <rPr>
        <rFont val="Arial"/>
        <color rgb="FFB45F06"/>
        <sz val="7.0"/>
      </rPr>
      <t xml:space="preserve">
</t>
    </r>
    <r>
      <rPr>
        <rFont val="Arial"/>
        <color rgb="FF000000"/>
        <sz val="7.0"/>
      </rPr>
      <t>11/2017</t>
    </r>
  </si>
  <si>
    <t>Carpal Tunnel Syndrome</t>
  </si>
  <si>
    <t>Tri-Service General Hospital</t>
  </si>
  <si>
    <t>Efficacy of Laser Acupuncture for Carpal Tunnel Syndrome</t>
  </si>
  <si>
    <t>RCT, sham-controlled
40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</si>
  <si>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</si>
  <si>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12/2019</t>
    </r>
    <r>
      <rPr>
        <rFont val="Arial"/>
        <color rgb="FFB45F06"/>
        <sz val="7.0"/>
      </rPr>
      <t xml:space="preserve">
</t>
    </r>
    <r>
      <rPr>
        <rFont val="Arial"/>
        <color rgb="FFA64D79"/>
        <sz val="7.0"/>
      </rPr>
      <t>12/2019</t>
    </r>
    <r>
      <rPr>
        <rFont val="Arial"/>
        <color rgb="FFB45F06"/>
        <sz val="7.0"/>
      </rPr>
      <t xml:space="preserve">
</t>
    </r>
    <r>
      <rPr>
        <rFont val="Arial"/>
        <color rgb="FF000000"/>
        <sz val="7.0"/>
      </rPr>
      <t>4/2019</t>
    </r>
  </si>
  <si>
    <t>Cerebral blood flow</t>
  </si>
  <si>
    <t>Transcranial Near-Infrared Light in Healthy Subjects: a Cerebral Blood Flow Study With Diffuse Correlation Spectroscopy (NIR-Flow)</t>
  </si>
  <si>
    <t>Single group, open label
10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</si>
  <si>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</si>
  <si>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8/2017
</t>
    </r>
    <r>
      <rPr>
        <rFont val="Arial"/>
        <color rgb="FF0B5394"/>
        <sz val="7.0"/>
      </rPr>
      <t>5/2019</t>
    </r>
    <r>
      <rPr>
        <rFont val="Arial"/>
        <color rgb="FFB45F06"/>
        <sz val="7.0"/>
      </rPr>
      <t xml:space="preserve">
</t>
    </r>
    <r>
      <rPr>
        <rFont val="Arial"/>
        <color rgb="FFA64D79"/>
        <sz val="7.0"/>
      </rPr>
      <t>8/2019</t>
    </r>
    <r>
      <rPr>
        <rFont val="Arial"/>
        <color rgb="FFB45F06"/>
        <sz val="7.0"/>
      </rPr>
      <t xml:space="preserve">
</t>
    </r>
    <r>
      <rPr>
        <rFont val="Arial"/>
        <color rgb="FF000000"/>
        <sz val="7.0"/>
      </rPr>
      <t>11/2018</t>
    </r>
  </si>
  <si>
    <t>Chemotherapy-induced peripheral neuropathy (CIPN)</t>
  </si>
  <si>
    <t>Hasselt University &amp; Jessa Hospital</t>
  </si>
  <si>
    <t>PBMT for the Prevention of CIPN</t>
  </si>
  <si>
    <t>RCT, sham-controlled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</si>
  <si>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</si>
  <si>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5/2018</t>
    </r>
    <r>
      <rPr>
        <rFont val="Arial"/>
        <color rgb="FFB45F06"/>
        <sz val="7.0"/>
      </rPr>
      <t xml:space="preserve">
</t>
    </r>
    <r>
      <rPr>
        <rFont val="Arial"/>
        <color rgb="FFA64D79"/>
        <sz val="7.0"/>
      </rPr>
      <t>6/2018</t>
    </r>
    <r>
      <rPr>
        <rFont val="Arial"/>
        <color rgb="FFB45F06"/>
        <sz val="7.0"/>
      </rPr>
      <t xml:space="preserve">
</t>
    </r>
    <r>
      <rPr>
        <rFont val="Arial"/>
        <color rgb="FF000000"/>
        <sz val="7.0"/>
      </rPr>
      <t>5/2018</t>
    </r>
  </si>
  <si>
    <t>Chemotherapy-related changes in sense of taste</t>
  </si>
  <si>
    <t>Hospital Israelita Albert Einstein</t>
  </si>
  <si>
    <t>Changes in Sense of Taste of Patients Submitted to Hematopoietic Stem Cell Transplantation</t>
  </si>
  <si>
    <t>RCT, sham-controlled
80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</si>
  <si>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</si>
  <si>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2/2016
</t>
    </r>
    <r>
      <rPr>
        <rFont val="Arial"/>
        <color rgb="FF0B5394"/>
        <sz val="7.0"/>
      </rPr>
      <t>2/2018</t>
    </r>
    <r>
      <rPr>
        <rFont val="Arial"/>
        <color rgb="FFB45F06"/>
        <sz val="7.0"/>
      </rPr>
      <t xml:space="preserve">
</t>
    </r>
    <r>
      <rPr>
        <rFont val="Arial"/>
        <color rgb="FFA64D79"/>
        <sz val="7.0"/>
      </rPr>
      <t>8/2019</t>
    </r>
    <r>
      <rPr>
        <rFont val="Arial"/>
        <color rgb="FFB45F06"/>
        <sz val="7.0"/>
      </rPr>
      <t xml:space="preserve">
</t>
    </r>
    <r>
      <rPr>
        <rFont val="Arial"/>
        <color rgb="FF000000"/>
        <sz val="7.0"/>
      </rPr>
      <t>4/2018</t>
    </r>
  </si>
  <si>
    <t>Chronic Kidney Failure</t>
  </si>
  <si>
    <t>Federal University of Health Science of Porto Alegre</t>
  </si>
  <si>
    <t>Effects of Low Level Laser Therapy on Functional Capacity and DNA Damage of Patients With Chronic Kidney Failure</t>
  </si>
  <si>
    <t>RCT
28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</si>
  <si>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</si>
  <si>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2/2018</t>
    </r>
    <r>
      <rPr>
        <rFont val="Arial"/>
        <color rgb="FFB45F06"/>
        <sz val="7.0"/>
      </rPr>
      <t xml:space="preserve">
</t>
    </r>
    <r>
      <rPr>
        <rFont val="Arial"/>
        <color rgb="FFA64D79"/>
        <sz val="7.0"/>
      </rPr>
      <t>8/2018</t>
    </r>
    <r>
      <rPr>
        <rFont val="Arial"/>
        <color rgb="FFB45F06"/>
        <sz val="7.0"/>
      </rPr>
      <t xml:space="preserve">
</t>
    </r>
    <r>
      <rPr>
        <rFont val="Arial"/>
        <color rgb="FF000000"/>
        <sz val="7.0"/>
      </rPr>
      <t>8/2017</t>
    </r>
  </si>
  <si>
    <t>Chronic leg/foot ulcer</t>
  </si>
  <si>
    <t>Illumacell Inc.</t>
  </si>
  <si>
    <t>High Intensity LED Photobiomodulation Therapy for Chronic Leg and Foot Ulcers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</si>
  <si>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</si>
  <si>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2/2020
</t>
    </r>
    <r>
      <rPr>
        <rFont val="Arial"/>
        <color rgb="FF0B5394"/>
        <sz val="7.0"/>
      </rPr>
      <t>10/2020</t>
    </r>
    <r>
      <rPr>
        <rFont val="Arial"/>
        <color rgb="FFB45F06"/>
        <sz val="7.0"/>
      </rPr>
      <t xml:space="preserve">
</t>
    </r>
    <r>
      <rPr>
        <rFont val="Arial"/>
        <color rgb="FFA64D79"/>
        <sz val="7.0"/>
      </rPr>
      <t>2/2021</t>
    </r>
    <r>
      <rPr>
        <rFont val="Arial"/>
        <color rgb="FFB45F06"/>
        <sz val="7.0"/>
      </rPr>
      <t xml:space="preserve">
</t>
    </r>
    <r>
      <rPr>
        <rFont val="Arial"/>
        <color rgb="FF000000"/>
        <sz val="7.0"/>
      </rPr>
      <t>3/2020</t>
    </r>
  </si>
  <si>
    <t>🕑</t>
  </si>
  <si>
    <t>Chronic pain &amp; opioid weaning</t>
  </si>
  <si>
    <t>Phoenix Thera-lase Systems, LLC</t>
  </si>
  <si>
    <t>Phoenix Thera-Lase for Treating Chronic Pain in Patients Taking Opioid on a PRN Basis</t>
  </si>
  <si>
    <t>RCT, double-blind
75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</si>
  <si>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</si>
  <si>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11/2016
</t>
    </r>
    <r>
      <rPr>
        <rFont val="Arial"/>
        <color rgb="FF0B5394"/>
        <sz val="7.0"/>
      </rPr>
      <t>12/2017</t>
    </r>
    <r>
      <rPr>
        <rFont val="Arial"/>
        <color rgb="FFB45F06"/>
        <sz val="7.0"/>
      </rPr>
      <t xml:space="preserve">
</t>
    </r>
    <r>
      <rPr>
        <rFont val="Arial"/>
        <color rgb="FFA64D79"/>
        <sz val="7.0"/>
      </rPr>
      <t>12/2017</t>
    </r>
    <r>
      <rPr>
        <rFont val="Arial"/>
        <color rgb="FFB45F06"/>
        <sz val="7.0"/>
      </rPr>
      <t xml:space="preserve">
</t>
    </r>
    <r>
      <rPr>
        <rFont val="Arial"/>
        <color rgb="FF000000"/>
        <sz val="7.0"/>
      </rPr>
      <t>2/2017</t>
    </r>
  </si>
  <si>
    <t>Circulation &amp; endothelial function</t>
  </si>
  <si>
    <t>Effects of Photobiostimulation on Endothelial Function in Healthy</t>
  </si>
  <si>
    <t>RCT, sham-controlled
12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</si>
  <si>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</si>
  <si>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10/2017</t>
    </r>
    <r>
      <rPr>
        <rFont val="Arial"/>
        <color rgb="FFB45F06"/>
        <sz val="7.0"/>
      </rPr>
      <t xml:space="preserve">
</t>
    </r>
    <r>
      <rPr>
        <rFont val="Arial"/>
        <color rgb="FFA64D79"/>
        <sz val="7.0"/>
      </rPr>
      <t>11/2017</t>
    </r>
    <r>
      <rPr>
        <rFont val="Arial"/>
        <color rgb="FFB45F06"/>
        <sz val="7.0"/>
      </rPr>
      <t xml:space="preserve">
</t>
    </r>
    <r>
      <rPr>
        <rFont val="Arial"/>
        <color rgb="FF000000"/>
        <sz val="7.0"/>
      </rPr>
      <t>3/2020</t>
    </r>
  </si>
  <si>
    <t>LED Intellectual Properties, LLC</t>
  </si>
  <si>
    <t>A Controlled Study to Investigate the Effect of Multi-wave Light Emitting Diode (LED) Bed on Blood Pressure and Endothelial Function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</si>
  <si>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</si>
  <si>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8/2018
</t>
    </r>
    <r>
      <rPr>
        <rFont val="Arial"/>
        <color rgb="FF0B5394"/>
        <sz val="7.0"/>
      </rPr>
      <t>12/2020</t>
    </r>
    <r>
      <rPr>
        <rFont val="Arial"/>
        <color rgb="FFB45F06"/>
        <sz val="7.0"/>
      </rPr>
      <t xml:space="preserve">
</t>
    </r>
    <r>
      <rPr>
        <rFont val="Arial"/>
        <color rgb="FFA64D79"/>
        <sz val="7.0"/>
      </rPr>
      <t>12/2020</t>
    </r>
    <r>
      <rPr>
        <rFont val="Arial"/>
        <color rgb="FFB45F06"/>
        <sz val="7.0"/>
      </rPr>
      <t xml:space="preserve">
</t>
    </r>
    <r>
      <rPr>
        <rFont val="Arial"/>
        <color rgb="FF000000"/>
        <sz val="7.0"/>
      </rPr>
      <t>7/2019</t>
    </r>
  </si>
  <si>
    <t>Universidade do Vale do Paraíba</t>
  </si>
  <si>
    <t>Aerobic Exercise and Transcranial Low Laser Therapy in Patients With Central Nervous System Injury</t>
  </si>
  <si>
    <t>RCT, double-blind
90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</si>
  <si>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</si>
  <si>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7/2019</t>
    </r>
    <r>
      <rPr>
        <rFont val="Arial"/>
        <color rgb="FFB45F06"/>
        <sz val="7.0"/>
      </rPr>
      <t xml:space="preserve">
</t>
    </r>
    <r>
      <rPr>
        <rFont val="Arial"/>
        <color rgb="FFA64D79"/>
        <sz val="7.0"/>
      </rPr>
      <t>3/2020</t>
    </r>
    <r>
      <rPr>
        <rFont val="Arial"/>
        <color rgb="FFB45F06"/>
        <sz val="7.0"/>
      </rPr>
      <t xml:space="preserve">
</t>
    </r>
    <r>
      <rPr>
        <rFont val="Arial"/>
        <color rgb="FF000000"/>
        <sz val="7.0"/>
      </rPr>
      <t>11/2018</t>
    </r>
  </si>
  <si>
    <t>Cognitive function (Gulf War Illness)</t>
  </si>
  <si>
    <t>VA Office of Research and Development</t>
  </si>
  <si>
    <t>Scalp Application of Red and Near-Infrared Light, From Light-Emitting Diodes (LED) to Improve Thinking and Memory in Veterans With Gulf War Illnesses (LED Treat GWVI)</t>
  </si>
  <si>
    <t>RCT, sham-controlled, crossover
160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</si>
  <si>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</si>
  <si>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12/2014
</t>
    </r>
    <r>
      <rPr>
        <rFont val="Arial"/>
        <color rgb="FF0B5394"/>
        <sz val="7.0"/>
      </rPr>
      <t>9/2018</t>
    </r>
    <r>
      <rPr>
        <rFont val="Arial"/>
        <color rgb="FFB45F06"/>
        <sz val="7.0"/>
      </rPr>
      <t xml:space="preserve">
</t>
    </r>
    <r>
      <rPr>
        <rFont val="Arial"/>
        <color rgb="FFA64D79"/>
        <sz val="7.0"/>
      </rPr>
      <t>7/2019</t>
    </r>
    <r>
      <rPr>
        <rFont val="Arial"/>
        <color rgb="FFB45F06"/>
        <sz val="7.0"/>
      </rPr>
      <t xml:space="preserve">
</t>
    </r>
    <r>
      <rPr>
        <rFont val="Arial"/>
        <color rgb="FF000000"/>
        <sz val="7.0"/>
      </rPr>
      <t>2/2017</t>
    </r>
  </si>
  <si>
    <t>Cognitive function (in aging)</t>
  </si>
  <si>
    <t>University of Florida
University of Arizona
National Institute on Aging (NIA)</t>
  </si>
  <si>
    <t>The Revitalize Study</t>
  </si>
  <si>
    <t>RCT, sham-controlled
168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</si>
  <si>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</si>
  <si>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1/2025</t>
    </r>
    <r>
      <rPr>
        <rFont val="Arial"/>
        <color rgb="FFB45F06"/>
        <sz val="7.0"/>
      </rPr>
      <t xml:space="preserve">
</t>
    </r>
    <r>
      <rPr>
        <rFont val="Arial"/>
        <color rgb="FFA64D79"/>
        <sz val="7.0"/>
      </rPr>
      <t>1/2025</t>
    </r>
    <r>
      <rPr>
        <rFont val="Arial"/>
        <color rgb="FFB45F06"/>
        <sz val="7.0"/>
      </rPr>
      <t xml:space="preserve">
</t>
    </r>
    <r>
      <rPr>
        <rFont val="Arial"/>
        <color rgb="FF000000"/>
        <sz val="7.0"/>
      </rPr>
      <t>7/2018</t>
    </r>
  </si>
  <si>
    <t>Effectiveness of Light for Enhancement of Cognition by Transcranial Repeated Application (ELECTRA) (ELECTRA)</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</si>
  <si>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</si>
  <si>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3/2018
</t>
    </r>
    <r>
      <rPr>
        <rFont val="Arial"/>
        <color rgb="FF0B5394"/>
        <sz val="7.0"/>
      </rPr>
      <t>9/2019</t>
    </r>
    <r>
      <rPr>
        <rFont val="Arial"/>
        <color rgb="FFB45F06"/>
        <sz val="7.0"/>
      </rPr>
      <t xml:space="preserve">
</t>
    </r>
    <r>
      <rPr>
        <rFont val="Arial"/>
        <color rgb="FFA64D79"/>
        <sz val="7.0"/>
      </rPr>
      <t>9/2019</t>
    </r>
    <r>
      <rPr>
        <rFont val="Arial"/>
        <color rgb="FFB45F06"/>
        <sz val="7.0"/>
      </rPr>
      <t xml:space="preserve">
</t>
    </r>
    <r>
      <rPr>
        <rFont val="Arial"/>
        <color rgb="FF000000"/>
        <sz val="7.0"/>
      </rPr>
      <t>8/2018</t>
    </r>
  </si>
  <si>
    <t>University of Texas at Austin</t>
  </si>
  <si>
    <t>Cognitive Enhancement Through Transcranial Laser Therapy (LLLT)</t>
  </si>
  <si>
    <t>RCT, sham-controlled
100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</si>
  <si>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</si>
  <si>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2/2016
</t>
    </r>
    <r>
      <rPr>
        <rFont val="Arial"/>
        <color rgb="FF0B5394"/>
        <sz val="7.0"/>
      </rPr>
      <t>8/2019</t>
    </r>
    <r>
      <rPr>
        <rFont val="Arial"/>
        <color rgb="FFB45F06"/>
        <sz val="7.0"/>
      </rPr>
      <t xml:space="preserve">
</t>
    </r>
    <r>
      <rPr>
        <rFont val="Arial"/>
        <color rgb="FFA64D79"/>
        <sz val="7.0"/>
      </rPr>
      <t>8/2019</t>
    </r>
    <r>
      <rPr>
        <rFont val="Arial"/>
        <color rgb="FFB45F06"/>
        <sz val="7.0"/>
      </rPr>
      <t xml:space="preserve">
</t>
    </r>
    <r>
      <rPr>
        <rFont val="Arial"/>
        <color rgb="FF000000"/>
        <sz val="7.0"/>
      </rPr>
      <t>8/2017</t>
    </r>
  </si>
  <si>
    <t>Samsung Medical Center</t>
  </si>
  <si>
    <t>A Study of Low-level Light Therapy Using Photo-activated Modulation Ameliorates Cognitive Deficits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</si>
  <si>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</si>
  <si>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6/2017
</t>
    </r>
    <r>
      <rPr>
        <rFont val="Arial"/>
        <color rgb="FF0B5394"/>
        <sz val="7.0"/>
      </rPr>
      <t>12/2018</t>
    </r>
    <r>
      <rPr>
        <rFont val="Arial"/>
        <color rgb="FFB45F06"/>
        <sz val="7.0"/>
      </rPr>
      <t xml:space="preserve">
</t>
    </r>
    <r>
      <rPr>
        <rFont val="Arial"/>
        <color rgb="FFA64D79"/>
        <sz val="7.0"/>
      </rPr>
      <t>12/2019</t>
    </r>
    <r>
      <rPr>
        <rFont val="Arial"/>
        <color rgb="FFB45F06"/>
        <sz val="7.0"/>
      </rPr>
      <t xml:space="preserve">
</t>
    </r>
    <r>
      <rPr>
        <rFont val="Arial"/>
        <color rgb="FF000000"/>
        <sz val="7.0"/>
      </rPr>
      <t>6/2017</t>
    </r>
  </si>
  <si>
    <t>Constipation</t>
  </si>
  <si>
    <t>McMaster University</t>
  </si>
  <si>
    <t>Sacral Neuromodulation as Treatment for Chronic Constipation</t>
  </si>
  <si>
    <t>Single-arm trial, open label
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</si>
  <si>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</si>
  <si>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2/2019
</t>
    </r>
    <r>
      <rPr>
        <rFont val="Arial"/>
        <color rgb="FF0B5394"/>
        <sz val="7.0"/>
      </rPr>
      <t>2/2021</t>
    </r>
    <r>
      <rPr>
        <rFont val="Arial"/>
        <color rgb="FFB45F06"/>
        <sz val="7.0"/>
      </rPr>
      <t xml:space="preserve">
</t>
    </r>
    <r>
      <rPr>
        <rFont val="Arial"/>
        <color rgb="FFA64D79"/>
        <sz val="7.0"/>
      </rPr>
      <t>2/2022</t>
    </r>
    <r>
      <rPr>
        <rFont val="Arial"/>
        <color rgb="FFB45F06"/>
        <sz val="7.0"/>
      </rPr>
      <t xml:space="preserve">
</t>
    </r>
    <r>
      <rPr>
        <rFont val="Arial"/>
        <color rgb="FF000000"/>
        <sz val="7.0"/>
      </rPr>
      <t>1/2019</t>
    </r>
  </si>
  <si>
    <t>Photobiomodulation in Individuals With Chronic Obstructive Pulmonary Disease</t>
  </si>
  <si>
    <t>RCT, sham-controlled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</si>
  <si>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</si>
  <si>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8/2019
</t>
    </r>
    <r>
      <rPr>
        <rFont val="Arial"/>
        <color rgb="FF0B5394"/>
        <sz val="7.0"/>
      </rPr>
      <t>3/2020</t>
    </r>
    <r>
      <rPr>
        <rFont val="Arial"/>
        <color rgb="FFB45F06"/>
        <sz val="7.0"/>
      </rPr>
      <t xml:space="preserve">
</t>
    </r>
    <r>
      <rPr>
        <rFont val="Arial"/>
        <color rgb="FFA64D79"/>
        <sz val="7.0"/>
      </rPr>
      <t>6/2020</t>
    </r>
    <r>
      <rPr>
        <rFont val="Arial"/>
        <color rgb="FFB45F06"/>
        <sz val="7.0"/>
      </rPr>
      <t xml:space="preserve">
</t>
    </r>
    <r>
      <rPr>
        <rFont val="Arial"/>
        <color rgb="FF000000"/>
        <sz val="7.0"/>
      </rPr>
      <t>7/2019</t>
    </r>
  </si>
  <si>
    <t>Vielight RX Plus for the Treatment of COVID-19 Respiratory Symptoms (COVIDLight)</t>
  </si>
  <si>
    <t>RCT, open label
280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</si>
  <si>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</si>
  <si>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7/2020
</t>
    </r>
    <r>
      <rPr>
        <rFont val="Arial"/>
        <color rgb="FF0B5394"/>
        <sz val="7.0"/>
      </rPr>
      <t>1/2021</t>
    </r>
    <r>
      <rPr>
        <rFont val="Arial"/>
        <color rgb="FFB45F06"/>
        <sz val="7.0"/>
      </rPr>
      <t xml:space="preserve">
</t>
    </r>
    <r>
      <rPr>
        <rFont val="Arial"/>
        <color rgb="FFA64D79"/>
        <sz val="7.0"/>
      </rPr>
      <t>1/2021</t>
    </r>
    <r>
      <rPr>
        <rFont val="Arial"/>
        <color rgb="FFB45F06"/>
        <sz val="7.0"/>
      </rPr>
      <t xml:space="preserve">
</t>
    </r>
    <r>
      <rPr>
        <rFont val="Arial"/>
        <color rgb="FF000000"/>
        <sz val="7.0"/>
      </rPr>
      <t>6/2020</t>
    </r>
  </si>
  <si>
    <t>NCT04418505</t>
  </si>
  <si>
    <t>Lowell General Hospital</t>
  </si>
  <si>
    <t>Cold Laser Therapy for COVID-19 Positive Patients With Pulmonary Disease</t>
  </si>
  <si>
    <t>RCT, open label
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</si>
  <si>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</si>
  <si>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4/2020
</t>
    </r>
    <r>
      <rPr>
        <rFont val="Arial"/>
        <color rgb="FF0B5394"/>
        <sz val="7.0"/>
      </rPr>
      <t>5/2020</t>
    </r>
    <r>
      <rPr>
        <rFont val="Arial"/>
        <color rgb="FFB45F06"/>
        <sz val="7.0"/>
      </rPr>
      <t xml:space="preserve">
</t>
    </r>
    <r>
      <rPr>
        <rFont val="Arial"/>
        <color rgb="FFA64D79"/>
        <sz val="7.0"/>
      </rPr>
      <t>6/2020</t>
    </r>
    <r>
      <rPr>
        <rFont val="Arial"/>
        <color rgb="FFB45F06"/>
        <sz val="7.0"/>
      </rPr>
      <t xml:space="preserve">
</t>
    </r>
    <r>
      <rPr>
        <rFont val="Arial"/>
        <color rgb="FF000000"/>
        <sz val="7.0"/>
      </rPr>
      <t>5/2019</t>
    </r>
  </si>
  <si>
    <t>NCT04391712</t>
  </si>
  <si>
    <t>University of Nove de Julho &amp; Hospital Tacchini/RS</t>
  </si>
  <si>
    <t>Photobiomodulation Therapy Combined With Static Magnetic Field in Patients With COVID-19</t>
  </si>
  <si>
    <t>RCT, double-blind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</si>
  <si>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</si>
  <si>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5/2020
</t>
    </r>
    <r>
      <rPr>
        <rFont val="Arial"/>
        <color rgb="FF0B5394"/>
        <sz val="7.0"/>
      </rPr>
      <t>6/2020</t>
    </r>
    <r>
      <rPr>
        <rFont val="Arial"/>
        <color rgb="FFB45F06"/>
        <sz val="7.0"/>
      </rPr>
      <t xml:space="preserve">
</t>
    </r>
    <r>
      <rPr>
        <rFont val="Arial"/>
        <color rgb="FFA64D79"/>
        <sz val="7.0"/>
      </rPr>
      <t>6/2020</t>
    </r>
    <r>
      <rPr>
        <rFont val="Arial"/>
        <color rgb="FFB45F06"/>
        <sz val="7.0"/>
      </rPr>
      <t xml:space="preserve">
</t>
    </r>
    <r>
      <rPr>
        <rFont val="Arial"/>
        <color rgb="FF000000"/>
        <sz val="7.0"/>
      </rPr>
      <t>5/2020</t>
    </r>
  </si>
  <si>
    <t>NCT04386694</t>
  </si>
  <si>
    <t>Wayne State University</t>
  </si>
  <si>
    <t>Treatment of Intrapartum Depression Using Non-invasive Photobiomodulation</t>
  </si>
  <si>
    <t>RCT, double-blind
80 participants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</si>
  <si>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</si>
  <si>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9/2020
</t>
    </r>
    <r>
      <rPr>
        <rFont val="Arial"/>
        <color rgb="FF0B5394"/>
        <sz val="7.0"/>
      </rPr>
      <t>9/2022</t>
    </r>
    <r>
      <rPr>
        <rFont val="Arial"/>
        <color rgb="FFB45F06"/>
        <sz val="7.0"/>
      </rPr>
      <t xml:space="preserve">
</t>
    </r>
    <r>
      <rPr>
        <rFont val="Arial"/>
        <color rgb="FFA64D79"/>
        <sz val="7.0"/>
      </rPr>
      <t>9/2022</t>
    </r>
    <r>
      <rPr>
        <rFont val="Arial"/>
        <color rgb="FFB45F06"/>
        <sz val="7.0"/>
      </rPr>
      <t xml:space="preserve">
</t>
    </r>
    <r>
      <rPr>
        <rFont val="Arial"/>
        <color rgb="FF000000"/>
        <sz val="7.0"/>
      </rPr>
      <t>7/2020</t>
    </r>
  </si>
  <si>
    <t>NCT04404231</t>
  </si>
  <si>
    <t>NYU Langone Health &amp; National Institute of Mental Health (NIMH)</t>
  </si>
  <si>
    <t>Transcranial Near Infrared Radiation and Cerebral Blood Flow in Depression (TRIADE)</t>
  </si>
  <si>
    <t>RCT, crossover, sham-controlled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</si>
  <si>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</si>
  <si>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6/2020
</t>
    </r>
    <r>
      <rPr>
        <rFont val="Arial"/>
        <color rgb="FF0B5394"/>
        <sz val="7.0"/>
      </rPr>
      <t>4/2022</t>
    </r>
    <r>
      <rPr>
        <rFont val="Arial"/>
        <color rgb="FFB45F06"/>
        <sz val="7.0"/>
      </rPr>
      <t xml:space="preserve">
</t>
    </r>
    <r>
      <rPr>
        <rFont val="Arial"/>
        <color rgb="FFA64D79"/>
        <sz val="7.0"/>
      </rPr>
      <t>5/2022</t>
    </r>
    <r>
      <rPr>
        <rFont val="Arial"/>
        <color rgb="FFB45F06"/>
        <sz val="7.0"/>
      </rPr>
      <t xml:space="preserve">
</t>
    </r>
    <r>
      <rPr>
        <rFont val="Arial"/>
        <color rgb="FF000000"/>
        <sz val="7.0"/>
      </rPr>
      <t>4/2020</t>
    </r>
  </si>
  <si>
    <t>NCT04366258</t>
  </si>
  <si>
    <t>Massachusetts General Hospital &amp; LiteCure LLC</t>
  </si>
  <si>
    <t>Transcranial Laser Therapy, Continuous and Pulsed Light, for Major Depressive Disorder (ELATED-3) (ELATED-3)</t>
  </si>
  <si>
    <t>RCT, sham-controlled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</si>
  <si>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</si>
  <si>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11/2016
</t>
    </r>
    <r>
      <rPr>
        <rFont val="Arial"/>
        <color rgb="FF0B5394"/>
        <sz val="7.0"/>
      </rPr>
      <t>11/2018</t>
    </r>
    <r>
      <rPr>
        <rFont val="Arial"/>
        <color rgb="FFB45F06"/>
        <sz val="7.0"/>
      </rPr>
      <t xml:space="preserve">
</t>
    </r>
    <r>
      <rPr>
        <rFont val="Arial"/>
        <color rgb="FFA64D79"/>
        <sz val="7.0"/>
      </rPr>
      <t>11/2018</t>
    </r>
    <r>
      <rPr>
        <rFont val="Arial"/>
        <color rgb="FFB45F06"/>
        <sz val="7.0"/>
      </rPr>
      <t xml:space="preserve">
</t>
    </r>
    <r>
      <rPr>
        <rFont val="Arial"/>
        <color rgb="FF000000"/>
        <sz val="7.0"/>
      </rPr>
      <t>7/2017</t>
    </r>
  </si>
  <si>
    <t>Augmenting Internet-Based Cognitive Behavioral Therapy for Major Depressive Disorder With Low-Level Light Therapy (CBT/LLLT)</t>
  </si>
  <si>
    <t>RCT, sham-controlled
200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</si>
  <si>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</si>
  <si>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2/2016
</t>
    </r>
    <r>
      <rPr>
        <rFont val="Arial"/>
        <color rgb="FF0B5394"/>
        <sz val="7.0"/>
      </rPr>
      <t>2/2019</t>
    </r>
    <r>
      <rPr>
        <rFont val="Arial"/>
        <color rgb="FFB45F06"/>
        <sz val="7.0"/>
      </rPr>
      <t xml:space="preserve">
</t>
    </r>
    <r>
      <rPr>
        <rFont val="Arial"/>
        <color rgb="FFA64D79"/>
        <sz val="7.0"/>
      </rPr>
      <t>2/2020</t>
    </r>
    <r>
      <rPr>
        <rFont val="Arial"/>
        <color rgb="FFB45F06"/>
        <sz val="7.0"/>
      </rPr>
      <t xml:space="preserve">
</t>
    </r>
    <r>
      <rPr>
        <rFont val="Arial"/>
        <color rgb="FF000000"/>
        <sz val="7.0"/>
      </rPr>
      <t>10/2018</t>
    </r>
  </si>
  <si>
    <t>Diabetes (various markers)</t>
  </si>
  <si>
    <t>University of Sao Paulo (?)</t>
  </si>
  <si>
    <t>Light-emitting-diode in Diabetic Subjects</t>
  </si>
  <si>
    <t>RCT
72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</si>
  <si>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</si>
  <si>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6/2019</t>
    </r>
    <r>
      <rPr>
        <rFont val="Arial"/>
        <color rgb="FFB45F06"/>
        <sz val="7.0"/>
      </rPr>
      <t xml:space="preserve">
</t>
    </r>
    <r>
      <rPr>
        <rFont val="Arial"/>
        <color rgb="FFA64D79"/>
        <sz val="7.0"/>
      </rPr>
      <t>8/2019</t>
    </r>
    <r>
      <rPr>
        <rFont val="Arial"/>
        <color rgb="FFB45F06"/>
        <sz val="7.0"/>
      </rPr>
      <t xml:space="preserve">
</t>
    </r>
    <r>
      <rPr>
        <rFont val="Arial"/>
        <color rgb="FF000000"/>
        <sz val="7.0"/>
      </rPr>
      <t>11/2018</t>
    </r>
  </si>
  <si>
    <t>Diabetic amputation ulcer</t>
  </si>
  <si>
    <t>Phototherapy in DM Amputation Ulcers.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</si>
  <si>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</si>
  <si>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1/2017
</t>
    </r>
    <r>
      <rPr>
        <rFont val="Arial"/>
        <color rgb="FF0B5394"/>
        <sz val="7.0"/>
      </rPr>
      <t>10/2018</t>
    </r>
    <r>
      <rPr>
        <rFont val="Arial"/>
        <color rgb="FFB45F06"/>
        <sz val="7.0"/>
      </rPr>
      <t xml:space="preserve">
</t>
    </r>
    <r>
      <rPr>
        <rFont val="Arial"/>
        <color rgb="FFA64D79"/>
        <sz val="7.0"/>
      </rPr>
      <t>12/2018</t>
    </r>
    <r>
      <rPr>
        <rFont val="Arial"/>
        <color rgb="FFB45F06"/>
        <sz val="7.0"/>
      </rPr>
      <t xml:space="preserve">
</t>
    </r>
    <r>
      <rPr>
        <rFont val="Arial"/>
        <color rgb="FF000000"/>
        <sz val="7.0"/>
      </rPr>
      <t>8/2016</t>
    </r>
  </si>
  <si>
    <t>Cairo University &amp; Princess Nourah Bint Abdulrahman University</t>
  </si>
  <si>
    <t>Photobiomodulation With Polarized Light as Adjunctive Treatment in Diabetic Foot Ulcer</t>
  </si>
  <si>
    <t>RCT, double-blind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</si>
  <si>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</si>
  <si>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5/2020
</t>
    </r>
    <r>
      <rPr>
        <rFont val="Arial"/>
        <color rgb="FF0B5394"/>
        <sz val="7.0"/>
      </rPr>
      <t>7/2020</t>
    </r>
    <r>
      <rPr>
        <rFont val="Arial"/>
        <color rgb="FFB45F06"/>
        <sz val="7.0"/>
      </rPr>
      <t xml:space="preserve">
</t>
    </r>
    <r>
      <rPr>
        <rFont val="Arial"/>
        <color rgb="FFA64D79"/>
        <sz val="7.0"/>
      </rPr>
      <t>8/2020</t>
    </r>
    <r>
      <rPr>
        <rFont val="Arial"/>
        <color rgb="FFB45F06"/>
        <sz val="7.0"/>
      </rPr>
      <t xml:space="preserve">
</t>
    </r>
    <r>
      <rPr>
        <rFont val="Arial"/>
        <color rgb="FF000000"/>
        <sz val="7.0"/>
      </rPr>
      <t>6/2020</t>
    </r>
  </si>
  <si>
    <t>NCT04446767</t>
  </si>
  <si>
    <t>Erika Carmel ltd &amp; Tel-Aviv Sourasky Medical Center</t>
  </si>
  <si>
    <t>Laser Therapy for At-Home Treatment of DIabetic Foot Ulcers (LLL&amp;DIAB-01)</t>
  </si>
  <si>
    <t>RCT, double-blind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</si>
  <si>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</si>
  <si>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10/2020</t>
    </r>
    <r>
      <rPr>
        <rFont val="Arial"/>
        <color rgb="FFB45F06"/>
        <sz val="7.0"/>
      </rPr>
      <t xml:space="preserve">
</t>
    </r>
    <r>
      <rPr>
        <rFont val="Arial"/>
        <color rgb="FFA64D79"/>
        <sz val="7.0"/>
      </rPr>
      <t>10/2021</t>
    </r>
    <r>
      <rPr>
        <rFont val="Arial"/>
        <color rgb="FFB45F06"/>
        <sz val="7.0"/>
      </rPr>
      <t xml:space="preserve">
</t>
    </r>
    <r>
      <rPr>
        <rFont val="Arial"/>
        <color rgb="FF000000"/>
        <sz val="7.0"/>
      </rPr>
      <t>8/2018</t>
    </r>
  </si>
  <si>
    <t>Scarborough Rouge Hospital</t>
  </si>
  <si>
    <t>Laser Therapy for At-Home Treatment of Diabetic Foot Ulcers - Canada (LLL&amp;DIAB-02)</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</si>
  <si>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</si>
  <si>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10/2020</t>
    </r>
    <r>
      <rPr>
        <rFont val="Arial"/>
        <color rgb="FFB45F06"/>
        <sz val="7.0"/>
      </rPr>
      <t xml:space="preserve">
</t>
    </r>
    <r>
      <rPr>
        <rFont val="Arial"/>
        <color rgb="FFA64D79"/>
        <sz val="7.0"/>
      </rPr>
      <t>10/2021</t>
    </r>
    <r>
      <rPr>
        <rFont val="Arial"/>
        <color rgb="FFB45F06"/>
        <sz val="7.0"/>
      </rPr>
      <t xml:space="preserve">
</t>
    </r>
    <r>
      <rPr>
        <rFont val="Arial"/>
        <color rgb="FF000000"/>
        <sz val="7.0"/>
      </rPr>
      <t>9/2018</t>
    </r>
  </si>
  <si>
    <t>Analysis of the Effects of LED Phototherapy and Electrical Stimulation in the Healing of Diabetic Ulcers</t>
  </si>
  <si>
    <t>RCT
52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</si>
  <si>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</si>
  <si>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6/2020</t>
    </r>
    <r>
      <rPr>
        <rFont val="Arial"/>
        <color rgb="FFB45F06"/>
        <sz val="7.0"/>
      </rPr>
      <t xml:space="preserve">
</t>
    </r>
    <r>
      <rPr>
        <rFont val="Arial"/>
        <color rgb="FFA64D79"/>
        <sz val="7.0"/>
      </rPr>
      <t>6/2021</t>
    </r>
    <r>
      <rPr>
        <rFont val="Arial"/>
        <color rgb="FFB45F06"/>
        <sz val="7.0"/>
      </rPr>
      <t xml:space="preserve">
</t>
    </r>
    <r>
      <rPr>
        <rFont val="Arial"/>
        <color rgb="FF000000"/>
        <sz val="7.0"/>
      </rPr>
      <t>8/2017</t>
    </r>
  </si>
  <si>
    <t>Medical Coherence LLC</t>
  </si>
  <si>
    <t>Evaluation of Safety of Low Level Laser Device Treatment in Chronic Wounds</t>
  </si>
  <si>
    <t>RCT, sham-controlled
15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</si>
  <si>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</si>
  <si>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6/2017
</t>
    </r>
    <r>
      <rPr>
        <rFont val="Arial"/>
        <color rgb="FF0B5394"/>
        <sz val="7.0"/>
      </rPr>
      <t>6/2018</t>
    </r>
    <r>
      <rPr>
        <rFont val="Arial"/>
        <color rgb="FFB45F06"/>
        <sz val="7.0"/>
      </rPr>
      <t xml:space="preserve">
</t>
    </r>
    <r>
      <rPr>
        <rFont val="Arial"/>
        <color rgb="FFA64D79"/>
        <sz val="7.0"/>
      </rPr>
      <t>6/2019</t>
    </r>
    <r>
      <rPr>
        <rFont val="Arial"/>
        <color rgb="FFB45F06"/>
        <sz val="7.0"/>
      </rPr>
      <t xml:space="preserve">
</t>
    </r>
    <r>
      <rPr>
        <rFont val="Arial"/>
        <color rgb="FF000000"/>
        <sz val="7.0"/>
      </rPr>
      <t>3/2018</t>
    </r>
  </si>
  <si>
    <t>Mahidol University</t>
  </si>
  <si>
    <t>Low-level Laser Therapy for the Treatment of Diabetic Foot Ulcer</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</si>
  <si>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</si>
  <si>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 xml:space="preserve">12/2019
</t>
    </r>
    <r>
      <rPr>
        <rFont val="Arial"/>
        <color rgb="FFA64D79"/>
        <sz val="7.0"/>
      </rPr>
      <t>12/2020</t>
    </r>
    <r>
      <rPr>
        <rFont val="Arial"/>
        <color rgb="FFB45F06"/>
        <sz val="7.0"/>
      </rPr>
      <t xml:space="preserve">
</t>
    </r>
    <r>
      <rPr>
        <rFont val="Arial"/>
        <color rgb="FF000000"/>
        <sz val="7.0"/>
      </rPr>
      <t>3/2019</t>
    </r>
  </si>
  <si>
    <t>Peking Union Medical College Hospital</t>
  </si>
  <si>
    <t>Traditional Chinese Medicine, Western Medicine and Low-level Light Therapy（LLLT） for Primary Dysmenorrhea（PD）</t>
  </si>
  <si>
    <t xml:space="preserve">RCT, placebo-controlled, four-arm study
480 subjects
</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</si>
  <si>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</si>
  <si>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6/2019
</t>
    </r>
    <r>
      <rPr>
        <rFont val="Arial"/>
        <color rgb="FF0B5394"/>
        <sz val="7.0"/>
      </rPr>
      <t>6/2020</t>
    </r>
    <r>
      <rPr>
        <rFont val="Arial"/>
        <color rgb="FFB45F06"/>
        <sz val="7.0"/>
      </rPr>
      <t xml:space="preserve">
</t>
    </r>
    <r>
      <rPr>
        <rFont val="Arial"/>
        <color rgb="FFA64D79"/>
        <sz val="7.0"/>
      </rPr>
      <t>6/2020</t>
    </r>
    <r>
      <rPr>
        <rFont val="Arial"/>
        <color rgb="FFB45F06"/>
        <sz val="7.0"/>
      </rPr>
      <t xml:space="preserve">
</t>
    </r>
    <r>
      <rPr>
        <rFont val="Arial"/>
        <color rgb="FF000000"/>
        <sz val="7.0"/>
      </rPr>
      <t>5/2019</t>
    </r>
  </si>
  <si>
    <t>Endodontic pain (post treatment)</t>
  </si>
  <si>
    <t>Misr International University</t>
  </si>
  <si>
    <t>Comparison Between Low-level Laser Therapy, Intracanal Cryotherapy and Their Combination, on Post-endodontic Pain Level</t>
  </si>
  <si>
    <t>RCT
95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</si>
  <si>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</si>
  <si>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6/2019
</t>
    </r>
    <r>
      <rPr>
        <rFont val="Arial"/>
        <color rgb="FF0B5394"/>
        <sz val="7.0"/>
      </rPr>
      <t>6/2020</t>
    </r>
    <r>
      <rPr>
        <rFont val="Arial"/>
        <color rgb="FFB45F06"/>
        <sz val="7.0"/>
      </rPr>
      <t xml:space="preserve">
</t>
    </r>
    <r>
      <rPr>
        <rFont val="Arial"/>
        <color rgb="FFA64D79"/>
        <sz val="7.0"/>
      </rPr>
      <t>6/2020</t>
    </r>
    <r>
      <rPr>
        <rFont val="Arial"/>
        <color rgb="FFB45F06"/>
        <sz val="7.0"/>
      </rPr>
      <t xml:space="preserve">
</t>
    </r>
    <r>
      <rPr>
        <rFont val="Arial"/>
        <color rgb="FF000000"/>
        <sz val="7.0"/>
      </rPr>
      <t>7/2019</t>
    </r>
  </si>
  <si>
    <t>Endodontic re-treatment</t>
  </si>
  <si>
    <t>Shahid Beheshti University</t>
  </si>
  <si>
    <t>Management of Post Endodontic Re-treatment Pain With Low‑Level Laser Therapy</t>
  </si>
  <si>
    <t>Non-randomized, sham-controlled (?)
61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</si>
  <si>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</si>
  <si>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1/2017
</t>
    </r>
    <r>
      <rPr>
        <rFont val="Arial"/>
        <color rgb="FF0B5394"/>
        <sz val="7.0"/>
      </rPr>
      <t>3/2017</t>
    </r>
    <r>
      <rPr>
        <rFont val="Arial"/>
        <color rgb="FFB45F06"/>
        <sz val="7.0"/>
      </rPr>
      <t xml:space="preserve">
</t>
    </r>
    <r>
      <rPr>
        <rFont val="Arial"/>
        <color rgb="FFA64D79"/>
        <sz val="7.0"/>
      </rPr>
      <t>7/2016</t>
    </r>
    <r>
      <rPr>
        <rFont val="Arial"/>
        <color rgb="FFB45F06"/>
        <sz val="7.0"/>
      </rPr>
      <t xml:space="preserve">
</t>
    </r>
    <r>
      <rPr>
        <rFont val="Arial"/>
        <color rgb="FF000000"/>
        <sz val="7.0"/>
      </rPr>
      <t>1/2017</t>
    </r>
  </si>
  <si>
    <t>Effects of Photobiomodulation Therapy in Strength Training and Detraining in Humans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</si>
  <si>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</si>
  <si>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3/2019
</t>
    </r>
    <r>
      <rPr>
        <rFont val="Arial"/>
        <color rgb="FF0B5394"/>
        <sz val="7.0"/>
      </rPr>
      <t>8/2019</t>
    </r>
    <r>
      <rPr>
        <rFont val="Arial"/>
        <color rgb="FFA64D79"/>
        <sz val="7.0"/>
      </rPr>
      <t xml:space="preserve">
8/2019</t>
    </r>
    <r>
      <rPr>
        <rFont val="Arial"/>
        <color rgb="FFB45F06"/>
        <sz val="7.0"/>
      </rPr>
      <t xml:space="preserve">
</t>
    </r>
    <r>
      <rPr>
        <rFont val="Arial"/>
        <color rgb="FF000000"/>
        <sz val="7.0"/>
      </rPr>
      <t>3/2019</t>
    </r>
  </si>
  <si>
    <t>Effects of Photobiomodulation Therapy in Aerobic Training and Detraining in Humans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</si>
  <si>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</si>
  <si>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3/2019
</t>
    </r>
    <r>
      <rPr>
        <rFont val="Arial"/>
        <color rgb="FF0B5394"/>
        <sz val="7.0"/>
      </rPr>
      <t xml:space="preserve">8/2019
</t>
    </r>
    <r>
      <rPr>
        <rFont val="Arial"/>
        <color rgb="FFA64D79"/>
        <sz val="7.0"/>
      </rPr>
      <t>8/2019</t>
    </r>
    <r>
      <rPr>
        <rFont val="Arial"/>
        <color rgb="FFB45F06"/>
        <sz val="7.0"/>
      </rPr>
      <t xml:space="preserve">
</t>
    </r>
    <r>
      <rPr>
        <rFont val="Arial"/>
        <color rgb="FF000000"/>
        <sz val="7.0"/>
      </rPr>
      <t>3/2019</t>
    </r>
  </si>
  <si>
    <t xml:space="preserve">Photobiomodulation With Infrared Light-emitting Diode (LED) in Different Doses on Performance in Handball Players
</t>
  </si>
  <si>
    <t>RCT, sham-controlled
56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</si>
  <si>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</si>
  <si>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7/2019
</t>
    </r>
    <r>
      <rPr>
        <rFont val="Arial"/>
        <color rgb="FF0B5394"/>
        <sz val="7.0"/>
      </rPr>
      <t>10/2021</t>
    </r>
    <r>
      <rPr>
        <rFont val="Arial"/>
        <color rgb="FFB45F06"/>
        <sz val="7.0"/>
      </rPr>
      <t xml:space="preserve">
</t>
    </r>
    <r>
      <rPr>
        <rFont val="Arial"/>
        <color rgb="FFA64D79"/>
        <sz val="7.0"/>
      </rPr>
      <t>7/2023</t>
    </r>
    <r>
      <rPr>
        <rFont val="Arial"/>
        <color rgb="FFB45F06"/>
        <sz val="7.0"/>
      </rPr>
      <t xml:space="preserve">
</t>
    </r>
    <r>
      <rPr>
        <rFont val="Arial"/>
        <color rgb="FF000000"/>
        <sz val="7.0"/>
      </rPr>
      <t>3/2019</t>
    </r>
  </si>
  <si>
    <t>Physical Performance of Women at Different Stages of the Menstrual Cycle, and Photobiomodulation Therapy</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</si>
  <si>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</si>
  <si>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6/2021</t>
    </r>
    <r>
      <rPr>
        <rFont val="Arial"/>
        <color rgb="FFB45F06"/>
        <sz val="7.0"/>
      </rPr>
      <t xml:space="preserve">
</t>
    </r>
    <r>
      <rPr>
        <rFont val="Arial"/>
        <color rgb="FFA64D79"/>
        <sz val="7.0"/>
      </rPr>
      <t>1/2022</t>
    </r>
    <r>
      <rPr>
        <rFont val="Arial"/>
        <color rgb="FFB45F06"/>
        <sz val="7.0"/>
      </rPr>
      <t xml:space="preserve">
</t>
    </r>
    <r>
      <rPr>
        <rFont val="Arial"/>
        <color rgb="FF000000"/>
        <sz val="7.0"/>
      </rPr>
      <t>3/2020</t>
    </r>
  </si>
  <si>
    <t>Universidade Nove de Julho</t>
  </si>
  <si>
    <t>Local and Systemic Effects of Photobiomodulation Therapy on Muscle Performance and Recovery Post-exercise.</t>
  </si>
  <si>
    <t>RCT, double-blind
30 healthy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</si>
  <si>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</si>
  <si>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11/2017
</t>
    </r>
    <r>
      <rPr>
        <rFont val="Arial"/>
        <color rgb="FF0B5394"/>
        <sz val="7.0"/>
      </rPr>
      <t>10/2018</t>
    </r>
    <r>
      <rPr>
        <rFont val="Arial"/>
        <color rgb="FFB45F06"/>
        <sz val="7.0"/>
      </rPr>
      <t xml:space="preserve">
</t>
    </r>
    <r>
      <rPr>
        <rFont val="Arial"/>
        <color rgb="FFA64D79"/>
        <sz val="7.0"/>
      </rPr>
      <t>11/2018</t>
    </r>
    <r>
      <rPr>
        <rFont val="Arial"/>
        <color rgb="FFB45F06"/>
        <sz val="7.0"/>
      </rPr>
      <t xml:space="preserve">
</t>
    </r>
    <r>
      <rPr>
        <rFont val="Arial"/>
        <color rgb="FF000000"/>
        <sz val="7.0"/>
      </rPr>
      <t>10/2018</t>
    </r>
  </si>
  <si>
    <t>PBMT on Muscular Performance and Recovery in Different Time-points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</si>
  <si>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</si>
  <si>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11/2017
</t>
    </r>
    <r>
      <rPr>
        <rFont val="Arial"/>
        <color rgb="FF0B5394"/>
        <sz val="7.0"/>
      </rPr>
      <t>1/2019</t>
    </r>
    <r>
      <rPr>
        <rFont val="Arial"/>
        <color rgb="FFB45F06"/>
        <sz val="7.0"/>
      </rPr>
      <t xml:space="preserve">
</t>
    </r>
    <r>
      <rPr>
        <rFont val="Arial"/>
        <color rgb="FFA64D79"/>
        <sz val="7.0"/>
      </rPr>
      <t>6/2019</t>
    </r>
    <r>
      <rPr>
        <rFont val="Arial"/>
        <color rgb="FFB45F06"/>
        <sz val="7.0"/>
      </rPr>
      <t xml:space="preserve">
</t>
    </r>
    <r>
      <rPr>
        <rFont val="Arial"/>
        <color rgb="FF000000"/>
        <sz val="7.0"/>
      </rPr>
      <t>9/2018</t>
    </r>
  </si>
  <si>
    <t>Universidade Estadual de Londrina</t>
  </si>
  <si>
    <t>Effects of Light Emitting Diodes (LED) Therapy in Rugby Athletes</t>
  </si>
  <si>
    <t>RCT, crossover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</si>
  <si>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</si>
  <si>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6/2019</t>
    </r>
    <r>
      <rPr>
        <rFont val="Arial"/>
        <color rgb="FFB45F06"/>
        <sz val="7.0"/>
      </rPr>
      <t xml:space="preserve">
</t>
    </r>
    <r>
      <rPr>
        <rFont val="Arial"/>
        <color rgb="FFA64D79"/>
        <sz val="7.0"/>
      </rPr>
      <t>8/2019</t>
    </r>
    <r>
      <rPr>
        <rFont val="Arial"/>
        <color rgb="FFB45F06"/>
        <sz val="7.0"/>
      </rPr>
      <t xml:space="preserve">
</t>
    </r>
    <r>
      <rPr>
        <rFont val="Arial"/>
        <color rgb="FF000000"/>
        <sz val="7.0"/>
      </rPr>
      <t>11/2018</t>
    </r>
  </si>
  <si>
    <t>Effect of Light-Emitting Diode on the Strenght and Resistence Capacities of Cycling Athletes</t>
  </si>
  <si>
    <t>RCT, double-blind (?)
48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</si>
  <si>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</si>
  <si>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1/2018
</t>
    </r>
    <r>
      <rPr>
        <rFont val="Arial"/>
        <color rgb="FF0B5394"/>
        <sz val="7.0"/>
      </rPr>
      <t>12/2018</t>
    </r>
    <r>
      <rPr>
        <rFont val="Arial"/>
        <color rgb="FFB45F06"/>
        <sz val="7.0"/>
      </rPr>
      <t xml:space="preserve">
</t>
    </r>
    <r>
      <rPr>
        <rFont val="Arial"/>
        <color rgb="FFA64D79"/>
        <sz val="7.0"/>
      </rPr>
      <t>12/2018</t>
    </r>
    <r>
      <rPr>
        <rFont val="Arial"/>
        <color rgb="FFB45F06"/>
        <sz val="7.0"/>
      </rPr>
      <t xml:space="preserve">
</t>
    </r>
    <r>
      <rPr>
        <rFont val="Arial"/>
        <color rgb="FF000000"/>
        <sz val="7.0"/>
      </rPr>
      <t>1/2018</t>
    </r>
  </si>
  <si>
    <t>Effects of High Intensity Interval Training and Combined Training in Type 2 Diabetic (T2D) Patients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</si>
  <si>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</si>
  <si>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8/2018
</t>
    </r>
    <r>
      <rPr>
        <rFont val="Arial"/>
        <color rgb="FF0B5394"/>
        <sz val="7.0"/>
      </rPr>
      <t>2/2019</t>
    </r>
    <r>
      <rPr>
        <rFont val="Arial"/>
        <color rgb="FFB45F06"/>
        <sz val="7.0"/>
      </rPr>
      <t xml:space="preserve">
</t>
    </r>
    <r>
      <rPr>
        <rFont val="Arial"/>
        <color rgb="FFA64D79"/>
        <sz val="7.0"/>
      </rPr>
      <t>8/2022</t>
    </r>
    <r>
      <rPr>
        <rFont val="Arial"/>
        <color rgb="FFB45F06"/>
        <sz val="7.0"/>
      </rPr>
      <t xml:space="preserve">
</t>
    </r>
    <r>
      <rPr>
        <rFont val="Arial"/>
        <color rgb="FF000000"/>
        <sz val="7.0"/>
      </rPr>
      <t>10/2018</t>
    </r>
  </si>
  <si>
    <t>Eyes: AMD</t>
  </si>
  <si>
    <t>LumiThera, Inc.</t>
  </si>
  <si>
    <t>Study of Photobiomodulation to Treat Dry Age-Related Macular Degeneration (LIGHTSITE II)</t>
  </si>
  <si>
    <t>RCT, double-blind, multicenter
96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</si>
  <si>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</si>
  <si>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2/2019
</t>
    </r>
    <r>
      <rPr>
        <rFont val="Arial"/>
        <color rgb="FF0B5394"/>
        <sz val="7.0"/>
      </rPr>
      <t xml:space="preserve">8/2020
</t>
    </r>
    <r>
      <rPr>
        <rFont val="Arial"/>
        <color rgb="FFA64D79"/>
        <sz val="7.0"/>
      </rPr>
      <t>12/2020</t>
    </r>
    <r>
      <rPr>
        <rFont val="Arial"/>
        <color rgb="FFB45F06"/>
        <sz val="7.0"/>
      </rPr>
      <t xml:space="preserve">
</t>
    </r>
    <r>
      <rPr>
        <rFont val="Arial"/>
        <color rgb="FF000000"/>
        <sz val="7.0"/>
      </rPr>
      <t>5/2019</t>
    </r>
  </si>
  <si>
    <t>Study of Photobiomodulation to Treat Dry Age-Related Macular Degeneration (LIGHTSITE III)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</si>
  <si>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</si>
  <si>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9/2019
</t>
    </r>
    <r>
      <rPr>
        <rFont val="Arial"/>
        <color rgb="FF0B5394"/>
        <sz val="7.0"/>
      </rPr>
      <t xml:space="preserve">9/2021
</t>
    </r>
    <r>
      <rPr>
        <rFont val="Arial"/>
        <color rgb="FFA64D79"/>
        <sz val="7.0"/>
      </rPr>
      <t>12/2021</t>
    </r>
    <r>
      <rPr>
        <rFont val="Arial"/>
        <color rgb="FFB45F06"/>
        <sz val="7.0"/>
      </rPr>
      <t xml:space="preserve">
</t>
    </r>
    <r>
      <rPr>
        <rFont val="Arial"/>
        <color rgb="FF000000"/>
        <sz val="7.0"/>
      </rPr>
      <t>8/2019</t>
    </r>
  </si>
  <si>
    <t>3rd September 2019</t>
  </si>
  <si>
    <t>Eyes: diabetic macular edema</t>
  </si>
  <si>
    <t>Jaeb Center for Health Research</t>
  </si>
  <si>
    <t>A Pilot Study Evaluating Photobiomodulation Therapy for Diabetic Macular Edema (AE)</t>
  </si>
  <si>
    <t>RCT, double-blind
134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</si>
  <si>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</si>
  <si>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4/2019
</t>
    </r>
    <r>
      <rPr>
        <rFont val="Arial"/>
        <color rgb="FF0B5394"/>
        <sz val="7.0"/>
      </rPr>
      <t>7/2019</t>
    </r>
    <r>
      <rPr>
        <rFont val="Arial"/>
        <color rgb="FFB45F06"/>
        <sz val="7.0"/>
      </rPr>
      <t xml:space="preserve">
1</t>
    </r>
    <r>
      <rPr>
        <rFont val="Arial"/>
        <color rgb="FFA64D79"/>
        <sz val="7.0"/>
      </rPr>
      <t>1/2019</t>
    </r>
    <r>
      <rPr>
        <rFont val="Arial"/>
        <color rgb="FFB45F06"/>
        <sz val="7.0"/>
      </rPr>
      <t xml:space="preserve">
</t>
    </r>
    <r>
      <rPr>
        <rFont val="Arial"/>
        <color rgb="FF000000"/>
        <sz val="7.0"/>
      </rPr>
      <t>5/2019</t>
    </r>
  </si>
  <si>
    <t>Facial paralysis</t>
  </si>
  <si>
    <t>China Medical University Hospital</t>
  </si>
  <si>
    <t>Effect of Laser Acupuncture Treatment on Chronic Facial Paralysis</t>
  </si>
  <si>
    <t>RCT, sham-controlled
32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</si>
  <si>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</si>
  <si>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5/2018
</t>
    </r>
    <r>
      <rPr>
        <rFont val="Arial"/>
        <color rgb="FF0B5394"/>
        <sz val="7.0"/>
      </rPr>
      <t>3/2019</t>
    </r>
    <r>
      <rPr>
        <rFont val="Arial"/>
        <color rgb="FFB45F06"/>
        <sz val="7.0"/>
      </rPr>
      <t xml:space="preserve">
</t>
    </r>
    <r>
      <rPr>
        <rFont val="Arial"/>
        <color rgb="FFA64D79"/>
        <sz val="7.0"/>
      </rPr>
      <t>3/2019</t>
    </r>
    <r>
      <rPr>
        <rFont val="Arial"/>
        <color rgb="FFB45F06"/>
        <sz val="7.0"/>
      </rPr>
      <t xml:space="preserve">
</t>
    </r>
    <r>
      <rPr>
        <rFont val="Arial"/>
        <color rgb="FF000000"/>
        <sz val="7.0"/>
      </rPr>
      <t>10/2018</t>
    </r>
  </si>
  <si>
    <t>University of Nove de Julho &amp; Multi Radiance Medical</t>
  </si>
  <si>
    <t>Effects of Photobiomodulation Therapy Combined With Static Magnetic Fields in Patients With Fibromyalgia</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</si>
  <si>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</si>
  <si>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5/2020</t>
    </r>
    <r>
      <rPr>
        <rFont val="Arial"/>
        <color rgb="FFB45F06"/>
        <sz val="7.0"/>
      </rPr>
      <t xml:space="preserve">
</t>
    </r>
    <r>
      <rPr>
        <rFont val="Arial"/>
        <color rgb="FFA64D79"/>
        <sz val="7.0"/>
      </rPr>
      <t>6/2020</t>
    </r>
    <r>
      <rPr>
        <rFont val="Arial"/>
        <color rgb="FFB45F06"/>
        <sz val="7.0"/>
      </rPr>
      <t xml:space="preserve">
</t>
    </r>
    <r>
      <rPr>
        <rFont val="Arial"/>
        <color rgb="FF000000"/>
        <sz val="7.0"/>
      </rPr>
      <t>3/2020</t>
    </r>
  </si>
  <si>
    <t>Foot symptoms</t>
  </si>
  <si>
    <t>Lithuanian University of Health Sciences &amp; Research Council of Lithuania</t>
  </si>
  <si>
    <t>Effect of HILT vs LLLT in Treatment of Patients With Achilles Tendinitis or Plantar Fasciitis</t>
  </si>
  <si>
    <t>RCT, two-arm parallel study
155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</si>
  <si>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</si>
  <si>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1/2017
</t>
    </r>
    <r>
      <rPr>
        <rFont val="Arial"/>
        <color rgb="FF0B5394"/>
        <sz val="7.0"/>
      </rPr>
      <t>8/2019</t>
    </r>
    <r>
      <rPr>
        <rFont val="Arial"/>
        <color rgb="FFB45F06"/>
        <sz val="7.0"/>
      </rPr>
      <t xml:space="preserve">
</t>
    </r>
    <r>
      <rPr>
        <rFont val="Arial"/>
        <color rgb="FFA64D79"/>
        <sz val="7.0"/>
      </rPr>
      <t>8/2019</t>
    </r>
    <r>
      <rPr>
        <rFont val="Arial"/>
        <color rgb="FFB45F06"/>
        <sz val="7.0"/>
      </rPr>
      <t xml:space="preserve">
</t>
    </r>
    <r>
      <rPr>
        <rFont val="Arial"/>
        <color rgb="FF000000"/>
        <sz val="7.0"/>
      </rPr>
      <t>3/2019</t>
    </r>
  </si>
  <si>
    <t>Genitourinary syndrome</t>
  </si>
  <si>
    <t>Centro de Atenção ao Assoalho Pélvico</t>
  </si>
  <si>
    <t>Light Emitting Diode for the Treatment of Genitourinary Syndrome of Menopause Associated With Breast Cancer Treatment (LEDCA)</t>
  </si>
  <si>
    <t>RCT, double-blind
74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</si>
  <si>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</si>
  <si>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10/2019</t>
    </r>
    <r>
      <rPr>
        <rFont val="Arial"/>
        <color rgb="FFB45F06"/>
        <sz val="7.0"/>
      </rPr>
      <t xml:space="preserve">
</t>
    </r>
    <r>
      <rPr>
        <rFont val="Arial"/>
        <color rgb="FFA64D79"/>
        <sz val="7.0"/>
      </rPr>
      <t>2/2021</t>
    </r>
    <r>
      <rPr>
        <rFont val="Arial"/>
        <color rgb="FFB45F06"/>
        <sz val="7.0"/>
      </rPr>
      <t xml:space="preserve">
</t>
    </r>
    <r>
      <rPr>
        <rFont val="Arial"/>
        <color rgb="FF000000"/>
        <sz val="7.0"/>
      </rPr>
      <t>2/2019</t>
    </r>
  </si>
  <si>
    <t>Hair (chemotherapy-induced alopecia)</t>
  </si>
  <si>
    <t>Hasselt University
Jessa Hospital</t>
  </si>
  <si>
    <t>PBMT for the Management of CIA ( HAIRLASER )</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</si>
  <si>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</si>
  <si>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9/2019
</t>
    </r>
    <r>
      <rPr>
        <rFont val="Arial"/>
        <color rgb="FF0B5394"/>
        <sz val="7.0"/>
      </rPr>
      <t>4/2020</t>
    </r>
    <r>
      <rPr>
        <rFont val="Arial"/>
        <color rgb="FFB45F06"/>
        <sz val="7.0"/>
      </rPr>
      <t xml:space="preserve">
</t>
    </r>
    <r>
      <rPr>
        <rFont val="Arial"/>
        <color rgb="FFA64D79"/>
        <sz val="7.0"/>
      </rPr>
      <t>5/2020</t>
    </r>
    <r>
      <rPr>
        <rFont val="Arial"/>
        <color rgb="FFB45F06"/>
        <sz val="7.0"/>
      </rPr>
      <t xml:space="preserve">
</t>
    </r>
    <r>
      <rPr>
        <rFont val="Arial"/>
        <color rgb="FF000000"/>
        <sz val="7.0"/>
      </rPr>
      <t>7/2019</t>
    </r>
  </si>
  <si>
    <t>23rd August 2019</t>
  </si>
  <si>
    <t>Awareable Technologies Inc</t>
  </si>
  <si>
    <t>Low Level Light Therapy (LLLT) for Hair Growth</t>
  </si>
  <si>
    <t>Single-arm trial, open label
62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</si>
  <si>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</si>
  <si>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4/2019
</t>
    </r>
    <r>
      <rPr>
        <rFont val="Arial"/>
        <color rgb="FF0B5394"/>
        <sz val="7.0"/>
      </rPr>
      <t xml:space="preserve">12/2020
</t>
    </r>
    <r>
      <rPr>
        <rFont val="Arial"/>
        <color rgb="FFA64D79"/>
        <sz val="7.0"/>
      </rPr>
      <t>12/2020</t>
    </r>
    <r>
      <rPr>
        <rFont val="Arial"/>
        <color rgb="FFB45F06"/>
        <sz val="7.0"/>
      </rPr>
      <t xml:space="preserve">
</t>
    </r>
    <r>
      <rPr>
        <rFont val="Arial"/>
        <color rgb="FF000000"/>
        <sz val="7.0"/>
      </rPr>
      <t>5/2019</t>
    </r>
  </si>
  <si>
    <t>Head and neck cancer</t>
  </si>
  <si>
    <t>Maharishi Markendeswar University</t>
  </si>
  <si>
    <t>Photobiomodulation and Sonophoresis Improving Jaw Mobility and Quality of Life Among Head and Neck Cancer Survivors</t>
  </si>
  <si>
    <t>RCT, triple-blind
48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</si>
  <si>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</si>
  <si>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2/2020
</t>
    </r>
    <r>
      <rPr>
        <rFont val="Arial"/>
        <color rgb="FF0B5394"/>
        <sz val="7.0"/>
      </rPr>
      <t xml:space="preserve">3/2021
</t>
    </r>
    <r>
      <rPr>
        <rFont val="Arial"/>
        <color rgb="FFA64D79"/>
        <sz val="7.0"/>
      </rPr>
      <t>5/2021</t>
    </r>
    <r>
      <rPr>
        <rFont val="Arial"/>
        <color rgb="FFB45F06"/>
        <sz val="7.0"/>
      </rPr>
      <t xml:space="preserve">
</t>
    </r>
    <r>
      <rPr>
        <rFont val="Arial"/>
        <color rgb="FF000000"/>
        <sz val="7.0"/>
      </rPr>
      <t>9/2019</t>
    </r>
  </si>
  <si>
    <t>NCT04082793</t>
  </si>
  <si>
    <t>National Yang-Ming University Hospital</t>
  </si>
  <si>
    <t>The Effect and Safety of Low-level Laser Therapy in Acute Decompensated Heart Failure Patients.</t>
  </si>
  <si>
    <t>RCT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</si>
  <si>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</si>
  <si>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 xml:space="preserve">1/2022
</t>
    </r>
    <r>
      <rPr>
        <rFont val="Arial"/>
        <color rgb="FFA64D79"/>
        <sz val="7.0"/>
      </rPr>
      <t>8/2022</t>
    </r>
    <r>
      <rPr>
        <rFont val="Arial"/>
        <color rgb="FFB45F06"/>
        <sz val="7.0"/>
      </rPr>
      <t xml:space="preserve">
</t>
    </r>
    <r>
      <rPr>
        <rFont val="Arial"/>
        <color rgb="FF000000"/>
        <sz val="7.0"/>
      </rPr>
      <t>5/2020</t>
    </r>
  </si>
  <si>
    <t>NCT04383080</t>
  </si>
  <si>
    <t>Labor Pain</t>
  </si>
  <si>
    <t>Effect of LED Photobiomodulation on Analgesia During Labor (EPAL)</t>
  </si>
  <si>
    <t>RCT (bath vs PBM)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</si>
  <si>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</si>
  <si>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3/2018
</t>
    </r>
    <r>
      <rPr>
        <rFont val="Arial"/>
        <color rgb="FF0B5394"/>
        <sz val="7.0"/>
      </rPr>
      <t>8/2018</t>
    </r>
    <r>
      <rPr>
        <rFont val="Arial"/>
        <color rgb="FFB45F06"/>
        <sz val="7.0"/>
      </rPr>
      <t xml:space="preserve">
</t>
    </r>
    <r>
      <rPr>
        <rFont val="Arial"/>
        <color rgb="FFA64D79"/>
        <sz val="7.0"/>
      </rPr>
      <t>11/2018</t>
    </r>
    <r>
      <rPr>
        <rFont val="Arial"/>
        <color rgb="FFB45F06"/>
        <sz val="7.0"/>
      </rPr>
      <t xml:space="preserve">
</t>
    </r>
    <r>
      <rPr>
        <rFont val="Arial"/>
        <color rgb="FF000000"/>
        <sz val="7.0"/>
      </rPr>
      <t>4/2018</t>
    </r>
  </si>
  <si>
    <t>Leprosy Neuropathy</t>
  </si>
  <si>
    <t>Federal University of Uberlandia</t>
  </si>
  <si>
    <t>Low Level Laser Therapy Effects in Peripheral Nerves Patient With Leprosy.</t>
  </si>
  <si>
    <t>RCT, sham-controlled
92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</si>
  <si>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</si>
  <si>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1/2017
</t>
    </r>
    <r>
      <rPr>
        <rFont val="Arial"/>
        <color rgb="FF0B5394"/>
        <sz val="7.0"/>
      </rPr>
      <t>12/2017</t>
    </r>
    <r>
      <rPr>
        <rFont val="Arial"/>
        <color rgb="FFB45F06"/>
        <sz val="7.0"/>
      </rPr>
      <t xml:space="preserve">
</t>
    </r>
    <r>
      <rPr>
        <rFont val="Arial"/>
        <color rgb="FFA64D79"/>
        <sz val="7.0"/>
      </rPr>
      <t>3/2019</t>
    </r>
    <r>
      <rPr>
        <rFont val="Arial"/>
        <color rgb="FFB45F06"/>
        <sz val="7.0"/>
      </rPr>
      <t xml:space="preserve">
</t>
    </r>
    <r>
      <rPr>
        <rFont val="Arial"/>
        <color rgb="FF000000"/>
        <sz val="7.0"/>
      </rPr>
      <t>3/2017</t>
    </r>
  </si>
  <si>
    <t>Federal University of the Valleys of Jequitinhonha and Mucuri</t>
  </si>
  <si>
    <t>Effects of Laser Therapy and Exercise in Participants With Chronic Low Back Pain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</si>
  <si>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</si>
  <si>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3/2021</t>
    </r>
    <r>
      <rPr>
        <rFont val="Arial"/>
        <color rgb="FFB45F06"/>
        <sz val="7.0"/>
      </rPr>
      <t xml:space="preserve">
</t>
    </r>
    <r>
      <rPr>
        <rFont val="Arial"/>
        <color rgb="FFA64D79"/>
        <sz val="7.0"/>
      </rPr>
      <t>3/2021</t>
    </r>
    <r>
      <rPr>
        <rFont val="Arial"/>
        <color rgb="FFB45F06"/>
        <sz val="7.0"/>
      </rPr>
      <t xml:space="preserve">
</t>
    </r>
    <r>
      <rPr>
        <rFont val="Arial"/>
        <color rgb="FF000000"/>
        <sz val="7.0"/>
      </rPr>
      <t>2/2020</t>
    </r>
  </si>
  <si>
    <t>Application of LED Photobiomodulation in the Treatment of Chronic Low Back Pain</t>
  </si>
  <si>
    <t>RCT, sham-controlled
76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</si>
  <si>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</si>
  <si>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8/2019
</t>
    </r>
    <r>
      <rPr>
        <rFont val="Arial"/>
        <color rgb="FF0B5394"/>
        <sz val="7.0"/>
      </rPr>
      <t>8/2020</t>
    </r>
    <r>
      <rPr>
        <rFont val="Arial"/>
        <color rgb="FFB45F06"/>
        <sz val="7.0"/>
      </rPr>
      <t xml:space="preserve">
</t>
    </r>
    <r>
      <rPr>
        <rFont val="Arial"/>
        <color rgb="FFA64D79"/>
        <sz val="7.0"/>
      </rPr>
      <t>12/2020</t>
    </r>
    <r>
      <rPr>
        <rFont val="Arial"/>
        <color rgb="FFB45F06"/>
        <sz val="7.0"/>
      </rPr>
      <t xml:space="preserve">
</t>
    </r>
    <r>
      <rPr>
        <rFont val="Arial"/>
        <color rgb="FF000000"/>
        <sz val="7.0"/>
      </rPr>
      <t>7/2019</t>
    </r>
  </si>
  <si>
    <t>Universidade Cidade de Sao Paulo</t>
  </si>
  <si>
    <t>Photobiomodulation Therapy on Low Back Pain</t>
  </si>
  <si>
    <t>RCT, double-blind
148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</si>
  <si>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</si>
  <si>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4/2017
</t>
    </r>
    <r>
      <rPr>
        <rFont val="Arial"/>
        <color rgb="FF0B5394"/>
        <sz val="7.0"/>
      </rPr>
      <t>4/2018</t>
    </r>
    <r>
      <rPr>
        <rFont val="Arial"/>
        <color rgb="FFB45F06"/>
        <sz val="7.0"/>
      </rPr>
      <t xml:space="preserve">
</t>
    </r>
    <r>
      <rPr>
        <rFont val="Arial"/>
        <color rgb="FFA64D79"/>
        <sz val="7.0"/>
      </rPr>
      <t>4/2019</t>
    </r>
    <r>
      <rPr>
        <rFont val="Arial"/>
        <color rgb="FFB45F06"/>
        <sz val="7.0"/>
      </rPr>
      <t xml:space="preserve">
</t>
    </r>
    <r>
      <rPr>
        <rFont val="Arial"/>
        <color rgb="FF000000"/>
        <sz val="7.0"/>
      </rPr>
      <t>10/2017</t>
    </r>
  </si>
  <si>
    <t>Universidade Norte do Paraná &amp; Universidade Estadual de Maringá</t>
  </si>
  <si>
    <t>Effects of Photobiomodulation and Deep Water Running Training in Subjects With Low Back Pain.</t>
  </si>
  <si>
    <t>RCT
54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</si>
  <si>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</si>
  <si>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11/2017
</t>
    </r>
    <r>
      <rPr>
        <rFont val="Arial"/>
        <color rgb="FF0B5394"/>
        <sz val="7.0"/>
      </rPr>
      <t>11/2018</t>
    </r>
    <r>
      <rPr>
        <rFont val="Arial"/>
        <color rgb="FFB45F06"/>
        <sz val="7.0"/>
      </rPr>
      <t xml:space="preserve">
</t>
    </r>
    <r>
      <rPr>
        <rFont val="Arial"/>
        <color rgb="FFA64D79"/>
        <sz val="7.0"/>
      </rPr>
      <t>12/2018</t>
    </r>
    <r>
      <rPr>
        <rFont val="Arial"/>
        <color rgb="FFB45F06"/>
        <sz val="7.0"/>
      </rPr>
      <t xml:space="preserve">
</t>
    </r>
    <r>
      <rPr>
        <rFont val="Arial"/>
        <color rgb="FF000000"/>
        <sz val="7.0"/>
      </rPr>
      <t>9/2018</t>
    </r>
  </si>
  <si>
    <t>Lymphedema (head&amp;neck)</t>
  </si>
  <si>
    <t>University of Pennsylvania</t>
  </si>
  <si>
    <t>Low-Level Laser in Treatment of Head and Neck Lymphedema: A Pilot Study</t>
  </si>
  <si>
    <t>Single-arm, open label
25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</si>
  <si>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</si>
  <si>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7/2020</t>
    </r>
    <r>
      <rPr>
        <rFont val="Arial"/>
        <color rgb="FFB45F06"/>
        <sz val="7.0"/>
      </rPr>
      <t xml:space="preserve">
</t>
    </r>
    <r>
      <rPr>
        <rFont val="Arial"/>
        <color rgb="FFA64D79"/>
        <sz val="7.0"/>
      </rPr>
      <t>7/2020</t>
    </r>
    <r>
      <rPr>
        <rFont val="Arial"/>
        <color rgb="FFB45F06"/>
        <sz val="7.0"/>
      </rPr>
      <t xml:space="preserve">
</t>
    </r>
    <r>
      <rPr>
        <rFont val="Arial"/>
        <color rgb="FF000000"/>
        <sz val="7.0"/>
      </rPr>
      <t>11/2018</t>
    </r>
  </si>
  <si>
    <t>Malnutrition (saliva secretion)</t>
  </si>
  <si>
    <t>Use of Low-level Laser Therapy on Children Aged One to Five Years With Energy-protein Malnutrition</t>
  </si>
  <si>
    <t>Non-randomized, parallel study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</si>
  <si>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</si>
  <si>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10/2017</t>
    </r>
    <r>
      <rPr>
        <rFont val="Arial"/>
        <color rgb="FFB45F06"/>
        <sz val="7.0"/>
      </rPr>
      <t xml:space="preserve">
</t>
    </r>
    <r>
      <rPr>
        <rFont val="Arial"/>
        <color rgb="FFA64D79"/>
        <sz val="7.0"/>
      </rPr>
      <t>7/2018</t>
    </r>
    <r>
      <rPr>
        <rFont val="Arial"/>
        <color rgb="FFB45F06"/>
        <sz val="7.0"/>
      </rPr>
      <t xml:space="preserve">
</t>
    </r>
    <r>
      <rPr>
        <rFont val="Arial"/>
        <color rgb="FF000000"/>
        <sz val="7.0"/>
      </rPr>
      <t>11/2017</t>
    </r>
  </si>
  <si>
    <t>Metabolic health (NAFLD)</t>
  </si>
  <si>
    <t>Cairo University</t>
  </si>
  <si>
    <t>Enhanced Liver Function in Non-alcoholic Obese Fatty Liver Patients by Low Level Laser Therapy</t>
  </si>
  <si>
    <t>RCT, open label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</si>
  <si>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</si>
  <si>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7/2020
</t>
    </r>
    <r>
      <rPr>
        <rFont val="Arial"/>
        <color rgb="FF0B5394"/>
        <sz val="7.0"/>
      </rPr>
      <t>10/2020</t>
    </r>
    <r>
      <rPr>
        <rFont val="Arial"/>
        <color rgb="FFB45F06"/>
        <sz val="7.0"/>
      </rPr>
      <t xml:space="preserve">
</t>
    </r>
    <r>
      <rPr>
        <rFont val="Arial"/>
        <color rgb="FFA64D79"/>
        <sz val="7.0"/>
      </rPr>
      <t>12/2020</t>
    </r>
    <r>
      <rPr>
        <rFont val="Arial"/>
        <color rgb="FFB45F06"/>
        <sz val="7.0"/>
      </rPr>
      <t xml:space="preserve">
</t>
    </r>
    <r>
      <rPr>
        <rFont val="Arial"/>
        <color rgb="FF000000"/>
        <sz val="7.0"/>
      </rPr>
      <t>7/2020</t>
    </r>
  </si>
  <si>
    <t>NCT04452409</t>
  </si>
  <si>
    <t>Effectiveness of Low Level Laser Therapy on Insulin Resistance and Inflammatory Biomarkers</t>
  </si>
  <si>
    <t>RCT, crossover, open label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</si>
  <si>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</si>
  <si>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8/2020
</t>
    </r>
    <r>
      <rPr>
        <rFont val="Arial"/>
        <color rgb="FF0B5394"/>
        <sz val="7.0"/>
      </rPr>
      <t>12/2020</t>
    </r>
    <r>
      <rPr>
        <rFont val="Arial"/>
        <color rgb="FFB45F06"/>
        <sz val="7.0"/>
      </rPr>
      <t xml:space="preserve">
</t>
    </r>
    <r>
      <rPr>
        <rFont val="Arial"/>
        <color rgb="FFA64D79"/>
        <sz val="7.0"/>
      </rPr>
      <t>2/2021</t>
    </r>
    <r>
      <rPr>
        <rFont val="Arial"/>
        <color rgb="FFB45F06"/>
        <sz val="7.0"/>
      </rPr>
      <t xml:space="preserve">
</t>
    </r>
    <r>
      <rPr>
        <rFont val="Arial"/>
        <color rgb="FF000000"/>
        <sz val="7.0"/>
      </rPr>
      <t>7/2020</t>
    </r>
  </si>
  <si>
    <t>NCT04477109</t>
  </si>
  <si>
    <t>The Tel-Aviv Academic College of Engineering &amp; Hebrew University of Jerusalem</t>
  </si>
  <si>
    <t>Evaluation of Peripheral Microcirculation Hemodynamics Following Various Changes Based on Noninvasive Thermography (MRT02)</t>
  </si>
  <si>
    <t>RCT, two-arm parallel study
36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</si>
  <si>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</si>
  <si>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11/2017
</t>
    </r>
    <r>
      <rPr>
        <rFont val="Arial"/>
        <color rgb="FF0B5394"/>
        <sz val="7.0"/>
      </rPr>
      <t>11/2018</t>
    </r>
    <r>
      <rPr>
        <rFont val="Arial"/>
        <color rgb="FFB45F06"/>
        <sz val="7.0"/>
      </rPr>
      <t xml:space="preserve">
</t>
    </r>
    <r>
      <rPr>
        <rFont val="Arial"/>
        <color rgb="FFA64D79"/>
        <sz val="7.0"/>
      </rPr>
      <t>2/2019</t>
    </r>
    <r>
      <rPr>
        <rFont val="Arial"/>
        <color rgb="FFB45F06"/>
        <sz val="7.0"/>
      </rPr>
      <t xml:space="preserve">
</t>
    </r>
    <r>
      <rPr>
        <rFont val="Arial"/>
        <color rgb="FF000000"/>
        <sz val="7.0"/>
      </rPr>
      <t>1/2018</t>
    </r>
  </si>
  <si>
    <t>Migraine</t>
  </si>
  <si>
    <t>The San Francisco Clinical Research Center</t>
  </si>
  <si>
    <t>Study of Low-level Laser Therapy in the Acute Treatment of Migraine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</si>
  <si>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</si>
  <si>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3/2016
</t>
    </r>
    <r>
      <rPr>
        <rFont val="Arial"/>
        <color rgb="FF0B5394"/>
        <sz val="7.0"/>
      </rPr>
      <t>5/2017</t>
    </r>
    <r>
      <rPr>
        <rFont val="Arial"/>
        <color rgb="FFB45F06"/>
        <sz val="7.0"/>
      </rPr>
      <t xml:space="preserve">
</t>
    </r>
    <r>
      <rPr>
        <rFont val="Arial"/>
        <color rgb="FFA64D79"/>
        <sz val="7.0"/>
      </rPr>
      <t>7/2017</t>
    </r>
    <r>
      <rPr>
        <rFont val="Arial"/>
        <color rgb="FFB45F06"/>
        <sz val="7.0"/>
      </rPr>
      <t xml:space="preserve">
</t>
    </r>
    <r>
      <rPr>
        <rFont val="Arial"/>
        <color rgb="FF000000"/>
        <sz val="7.0"/>
      </rPr>
      <t>12/2016</t>
    </r>
  </si>
  <si>
    <t>Marquette University &amp; University of Wisconsin</t>
  </si>
  <si>
    <t>Photobiomodulation Therapy in Persons With Multiple Sclerosis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</si>
  <si>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</si>
  <si>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4/2018
</t>
    </r>
    <r>
      <rPr>
        <rFont val="Arial"/>
        <color rgb="FF0B5394"/>
        <sz val="7.0"/>
      </rPr>
      <t>4/2019</t>
    </r>
    <r>
      <rPr>
        <rFont val="Arial"/>
        <color rgb="FFB45F06"/>
        <sz val="7.0"/>
      </rPr>
      <t xml:space="preserve">
</t>
    </r>
    <r>
      <rPr>
        <rFont val="Arial"/>
        <color rgb="FFA64D79"/>
        <sz val="7.0"/>
      </rPr>
      <t>8/2019</t>
    </r>
    <r>
      <rPr>
        <rFont val="Arial"/>
        <color rgb="FFB45F06"/>
        <sz val="7.0"/>
      </rPr>
      <t xml:space="preserve">
</t>
    </r>
    <r>
      <rPr>
        <rFont val="Arial"/>
        <color rgb="FF000000"/>
        <sz val="7.0"/>
      </rPr>
      <t>2/2018</t>
    </r>
  </si>
  <si>
    <t>Effect of Photobiomodulation Treatment in Individuals With Multiple Sclerosis</t>
  </si>
  <si>
    <t>RCT, sham-controlled
34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</si>
  <si>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</si>
  <si>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1/2018
</t>
    </r>
    <r>
      <rPr>
        <rFont val="Arial"/>
        <color rgb="FF0B5394"/>
        <sz val="7.0"/>
      </rPr>
      <t>12/2018</t>
    </r>
    <r>
      <rPr>
        <rFont val="Arial"/>
        <color rgb="FFB45F06"/>
        <sz val="7.0"/>
      </rPr>
      <t xml:space="preserve">
</t>
    </r>
    <r>
      <rPr>
        <rFont val="Arial"/>
        <color rgb="FFA64D79"/>
        <sz val="7.0"/>
      </rPr>
      <t>2/2019</t>
    </r>
    <r>
      <rPr>
        <rFont val="Arial"/>
        <color rgb="FFB45F06"/>
        <sz val="7.0"/>
      </rPr>
      <t xml:space="preserve">
</t>
    </r>
    <r>
      <rPr>
        <rFont val="Arial"/>
        <color rgb="FF000000"/>
        <sz val="7.0"/>
      </rPr>
      <t>10/2018</t>
    </r>
  </si>
  <si>
    <t>Effects of Low-level Laser Therapy in the Fatigue Muscle of Healthy Individual and Spastic Individuals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</si>
  <si>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</si>
  <si>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 xml:space="preserve">6/2019
</t>
    </r>
    <r>
      <rPr>
        <rFont val="Arial"/>
        <color rgb="FFA64D79"/>
        <sz val="7.0"/>
      </rPr>
      <t>3/2020</t>
    </r>
    <r>
      <rPr>
        <rFont val="Arial"/>
        <color rgb="FFB45F06"/>
        <sz val="7.0"/>
      </rPr>
      <t xml:space="preserve">
</t>
    </r>
    <r>
      <rPr>
        <rFont val="Arial"/>
        <color rgb="FF000000"/>
        <sz val="7.0"/>
      </rPr>
      <t>11/2018</t>
    </r>
  </si>
  <si>
    <t>Effect of Light-emitting Diode (LED) Photobiomodulation Therapy on Muscular Fatigue in University Handball Athletes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</si>
  <si>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</si>
  <si>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5/2019
</t>
    </r>
    <r>
      <rPr>
        <rFont val="Arial"/>
        <color rgb="FF0B5394"/>
        <sz val="7.0"/>
      </rPr>
      <t xml:space="preserve">11/2019
</t>
    </r>
    <r>
      <rPr>
        <rFont val="Arial"/>
        <color rgb="FFA64D79"/>
        <sz val="7.0"/>
      </rPr>
      <t>5/2020</t>
    </r>
    <r>
      <rPr>
        <rFont val="Arial"/>
        <color rgb="FFB45F06"/>
        <sz val="7.0"/>
      </rPr>
      <t xml:space="preserve">
</t>
    </r>
    <r>
      <rPr>
        <rFont val="Arial"/>
        <color rgb="FF000000"/>
        <sz val="7.0"/>
      </rPr>
      <t>6/2019</t>
    </r>
  </si>
  <si>
    <t>Muscle recovery</t>
  </si>
  <si>
    <t>Comparison Between Photobiomodulation Therapy (PBMT) and a Cold-Water Immersion (CWI) in Recovery Soccer Player: Analysis of Biochemical Markers of Recovery and Muscular Oxidative Stress.</t>
  </si>
  <si>
    <t>Comparison trial (cold water vs PBM)
18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</si>
  <si>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</si>
  <si>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12/2018</t>
    </r>
    <r>
      <rPr>
        <rFont val="Arial"/>
        <color rgb="FFB45F06"/>
        <sz val="7.0"/>
      </rPr>
      <t xml:space="preserve">
</t>
    </r>
    <r>
      <rPr>
        <rFont val="Arial"/>
        <color rgb="FFA64D79"/>
        <sz val="7.0"/>
      </rPr>
      <t>12/2018</t>
    </r>
    <r>
      <rPr>
        <rFont val="Arial"/>
        <color rgb="FFB45F06"/>
        <sz val="7.0"/>
      </rPr>
      <t xml:space="preserve">
</t>
    </r>
    <r>
      <rPr>
        <rFont val="Arial"/>
        <color rgb="FF000000"/>
        <sz val="7.0"/>
      </rPr>
      <t>10/2018</t>
    </r>
  </si>
  <si>
    <t>Photobiomodulation On Muscle Recovery In Professional Soccer Players</t>
  </si>
  <si>
    <t>RCT, double-blind, crossover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</si>
  <si>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</si>
  <si>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3/2016
</t>
    </r>
    <r>
      <rPr>
        <rFont val="Arial"/>
        <color rgb="FF0B5394"/>
        <sz val="7.0"/>
      </rPr>
      <t>11/2017</t>
    </r>
    <r>
      <rPr>
        <rFont val="Arial"/>
        <color rgb="FFB45F06"/>
        <sz val="7.0"/>
      </rPr>
      <t xml:space="preserve">
</t>
    </r>
    <r>
      <rPr>
        <rFont val="Arial"/>
        <color rgb="FFA64D79"/>
        <sz val="7.0"/>
      </rPr>
      <t>2/2018</t>
    </r>
    <r>
      <rPr>
        <rFont val="Arial"/>
        <color rgb="FFB45F06"/>
        <sz val="7.0"/>
      </rPr>
      <t xml:space="preserve">
</t>
    </r>
    <r>
      <rPr>
        <rFont val="Arial"/>
        <color rgb="FF000000"/>
        <sz val="7.0"/>
      </rPr>
      <t>1/2018</t>
    </r>
  </si>
  <si>
    <t>Myelomeningocele</t>
  </si>
  <si>
    <t>Effects of Physical Therapy Associated With Photobiomodulation on Myelomeningocele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</si>
  <si>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</si>
  <si>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11/2020
</t>
    </r>
    <r>
      <rPr>
        <rFont val="Arial"/>
        <color rgb="FF0B5394"/>
        <sz val="7.0"/>
      </rPr>
      <t>6/2021</t>
    </r>
    <r>
      <rPr>
        <rFont val="Arial"/>
        <color rgb="FFB45F06"/>
        <sz val="7.0"/>
      </rPr>
      <t xml:space="preserve">
</t>
    </r>
    <r>
      <rPr>
        <rFont val="Arial"/>
        <color rgb="FFA64D79"/>
        <sz val="7.0"/>
      </rPr>
      <t>2/2022</t>
    </r>
    <r>
      <rPr>
        <rFont val="Arial"/>
        <color rgb="FFB45F06"/>
        <sz val="7.0"/>
      </rPr>
      <t xml:space="preserve">
</t>
    </r>
    <r>
      <rPr>
        <rFont val="Arial"/>
        <color rgb="FF000000"/>
        <sz val="7.0"/>
      </rPr>
      <t>6/2020</t>
    </r>
  </si>
  <si>
    <t>NCT04425330</t>
  </si>
  <si>
    <t>Effects of Photobiomodulation on Superficial Sensitivity and Muscle Activity of Individuals With Myelomeningocele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</si>
  <si>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</si>
  <si>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9/2019
</t>
    </r>
    <r>
      <rPr>
        <rFont val="Arial"/>
        <color rgb="FF0B5394"/>
        <sz val="7.0"/>
      </rPr>
      <t>3/2020</t>
    </r>
    <r>
      <rPr>
        <rFont val="Arial"/>
        <color rgb="FFB45F06"/>
        <sz val="7.0"/>
      </rPr>
      <t xml:space="preserve">
</t>
    </r>
    <r>
      <rPr>
        <rFont val="Arial"/>
        <color rgb="FFA64D79"/>
        <sz val="7.0"/>
      </rPr>
      <t>5/2020</t>
    </r>
    <r>
      <rPr>
        <rFont val="Arial"/>
        <color rgb="FFB45F06"/>
        <sz val="7.0"/>
      </rPr>
      <t xml:space="preserve">
</t>
    </r>
    <r>
      <rPr>
        <rFont val="Arial"/>
        <color rgb="FF000000"/>
        <sz val="7.0"/>
      </rPr>
      <t>7/2019</t>
    </r>
  </si>
  <si>
    <t>Chile</t>
  </si>
  <si>
    <t>Quiropraxia y Equilibrio</t>
  </si>
  <si>
    <t>High Intensity Laser Therapy in Increasing Flexibility, Strength and Painful Pressure Threshold. (HILT)</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</si>
  <si>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</si>
  <si>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6/2020
</t>
    </r>
    <r>
      <rPr>
        <rFont val="Arial"/>
        <color rgb="FF0B5394"/>
        <sz val="7.0"/>
      </rPr>
      <t>1/2021</t>
    </r>
    <r>
      <rPr>
        <rFont val="Arial"/>
        <color rgb="FFB45F06"/>
        <sz val="7.0"/>
      </rPr>
      <t xml:space="preserve">
</t>
    </r>
    <r>
      <rPr>
        <rFont val="Arial"/>
        <color rgb="FFA64D79"/>
        <sz val="7.0"/>
      </rPr>
      <t>3/2021</t>
    </r>
    <r>
      <rPr>
        <rFont val="Arial"/>
        <color rgb="FFB45F06"/>
        <sz val="7.0"/>
      </rPr>
      <t xml:space="preserve">
</t>
    </r>
    <r>
      <rPr>
        <rFont val="Arial"/>
        <color rgb="FF000000"/>
        <sz val="7.0"/>
      </rPr>
      <t>6/2020</t>
    </r>
  </si>
  <si>
    <t>NCT04445545</t>
  </si>
  <si>
    <t>Universidade Federal de Santa Catarina</t>
  </si>
  <si>
    <t>Dry Needling and Low-level Laser Therapy to Treat Myofascial Pain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</si>
  <si>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</si>
  <si>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4/2018
</t>
    </r>
    <r>
      <rPr>
        <rFont val="Arial"/>
        <color rgb="FF0B5394"/>
        <sz val="7.0"/>
      </rPr>
      <t>5/2019</t>
    </r>
    <r>
      <rPr>
        <rFont val="Arial"/>
        <color rgb="FFB45F06"/>
        <sz val="7.0"/>
      </rPr>
      <t xml:space="preserve">
</t>
    </r>
    <r>
      <rPr>
        <rFont val="Arial"/>
        <color rgb="FFA64D79"/>
        <sz val="7.0"/>
      </rPr>
      <t>7/2019</t>
    </r>
    <r>
      <rPr>
        <rFont val="Arial"/>
        <color rgb="FFB45F06"/>
        <sz val="7.0"/>
      </rPr>
      <t xml:space="preserve">
</t>
    </r>
    <r>
      <rPr>
        <rFont val="Arial"/>
        <color rgb="FF000000"/>
        <sz val="7.0"/>
      </rPr>
      <t>10/2018</t>
    </r>
  </si>
  <si>
    <t>Universidade Federal de Sao Carlos</t>
  </si>
  <si>
    <t>Laser and Electrical Stimulation on Chronic Neck Pain Patients</t>
  </si>
  <si>
    <t>RCT, sham-controlled
144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</si>
  <si>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</si>
  <si>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8/2019
</t>
    </r>
    <r>
      <rPr>
        <rFont val="Arial"/>
        <color rgb="FF0B5394"/>
        <sz val="7.0"/>
      </rPr>
      <t xml:space="preserve">4/2020
</t>
    </r>
    <r>
      <rPr>
        <rFont val="Arial"/>
        <color rgb="FFA64D79"/>
        <sz val="7.0"/>
      </rPr>
      <t>5/2020</t>
    </r>
    <r>
      <rPr>
        <rFont val="Arial"/>
        <color rgb="FFB45F06"/>
        <sz val="7.0"/>
      </rPr>
      <t xml:space="preserve">
</t>
    </r>
    <r>
      <rPr>
        <rFont val="Arial"/>
        <color rgb="FF000000"/>
        <sz val="7.0"/>
      </rPr>
      <t>7/2019</t>
    </r>
  </si>
  <si>
    <t>Mike O'Callaghan Military Hospital</t>
  </si>
  <si>
    <t>Evaluating Different Low-level Laser Therapies to Treat Neck Pain in Air Force Pilots and Flight Crew</t>
  </si>
  <si>
    <t>RCT, three-arm parallel study, open label
296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</si>
  <si>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</si>
  <si>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6/2019
</t>
    </r>
    <r>
      <rPr>
        <rFont val="Arial"/>
        <color rgb="FF0B5394"/>
        <sz val="7.0"/>
      </rPr>
      <t xml:space="preserve">6/2022
</t>
    </r>
    <r>
      <rPr>
        <rFont val="Arial"/>
        <color rgb="FFA64D79"/>
        <sz val="7.0"/>
      </rPr>
      <t>6/2022</t>
    </r>
    <r>
      <rPr>
        <rFont val="Arial"/>
        <color rgb="FFB45F06"/>
        <sz val="7.0"/>
      </rPr>
      <t xml:space="preserve">
</t>
    </r>
    <r>
      <rPr>
        <rFont val="Arial"/>
        <color rgb="FF000000"/>
        <sz val="7.0"/>
      </rPr>
      <t>5/2019</t>
    </r>
  </si>
  <si>
    <t>Neuropathy (diabetes)</t>
  </si>
  <si>
    <t>Erchonia Corporation</t>
  </si>
  <si>
    <t>An Evaluation of the Effect of Low Level Laser Therapy on Diabetic Peripheral Neuropathy Pain</t>
  </si>
  <si>
    <t>RCT, sham-controlled
64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</si>
  <si>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</si>
  <si>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2/2019
</t>
    </r>
    <r>
      <rPr>
        <rFont val="Arial"/>
        <color rgb="FF0B5394"/>
        <sz val="7.0"/>
      </rPr>
      <t xml:space="preserve">12/2019
</t>
    </r>
    <r>
      <rPr>
        <rFont val="Arial"/>
        <color rgb="FFA64D79"/>
        <sz val="7.0"/>
      </rPr>
      <t>6/2020</t>
    </r>
    <r>
      <rPr>
        <rFont val="Arial"/>
        <color rgb="FFB45F06"/>
        <sz val="7.0"/>
      </rPr>
      <t xml:space="preserve">
</t>
    </r>
    <r>
      <rPr>
        <rFont val="Arial"/>
        <color rgb="FF000000"/>
        <sz val="7.0"/>
      </rPr>
      <t>7/2019</t>
    </r>
  </si>
  <si>
    <t>Neuropathy (diabetes / chemotherapy)</t>
  </si>
  <si>
    <t>University of Minnesota (Clinical and Translational Science Institute)</t>
  </si>
  <si>
    <t>Photobiomodulation Therapy and Nerve Density for Patients With Diabetic or Chemotherapy-associated Neuropathy</t>
  </si>
  <si>
    <t>Single-arm trial
44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</si>
  <si>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</si>
  <si>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4/2018
</t>
    </r>
    <r>
      <rPr>
        <rFont val="Arial"/>
        <color rgb="FF0B5394"/>
        <sz val="7.0"/>
      </rPr>
      <t>1/2019</t>
    </r>
    <r>
      <rPr>
        <rFont val="Arial"/>
        <color rgb="FFB45F06"/>
        <sz val="7.0"/>
      </rPr>
      <t xml:space="preserve">
</t>
    </r>
    <r>
      <rPr>
        <rFont val="Arial"/>
        <color rgb="FFA64D79"/>
        <sz val="7.0"/>
      </rPr>
      <t>1/2019</t>
    </r>
    <r>
      <rPr>
        <rFont val="Arial"/>
        <color rgb="FFB45F06"/>
        <sz val="7.0"/>
      </rPr>
      <t xml:space="preserve">
</t>
    </r>
    <r>
      <rPr>
        <rFont val="Arial"/>
        <color rgb="FF000000"/>
        <sz val="7.0"/>
      </rPr>
      <t>2/2018</t>
    </r>
  </si>
  <si>
    <t>Nipple Fissure</t>
  </si>
  <si>
    <t>Effect of LED Therapy for Treatment Nipple Fissure (ELTTNF)</t>
  </si>
  <si>
    <t>RCT
100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</si>
  <si>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</si>
  <si>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8/2018
</t>
    </r>
    <r>
      <rPr>
        <rFont val="Arial"/>
        <color rgb="FF0B5394"/>
        <sz val="7.0"/>
      </rPr>
      <t>9/2018</t>
    </r>
    <r>
      <rPr>
        <rFont val="Arial"/>
        <color rgb="FFB45F06"/>
        <sz val="7.0"/>
      </rPr>
      <t xml:space="preserve">
</t>
    </r>
    <r>
      <rPr>
        <rFont val="Arial"/>
        <color rgb="FFA64D79"/>
        <sz val="7.0"/>
      </rPr>
      <t>8/2019</t>
    </r>
    <r>
      <rPr>
        <rFont val="Arial"/>
        <color rgb="FFB45F06"/>
        <sz val="7.0"/>
      </rPr>
      <t xml:space="preserve">
</t>
    </r>
    <r>
      <rPr>
        <rFont val="Arial"/>
        <color rgb="FF000000"/>
        <sz val="7.0"/>
      </rPr>
      <t>4/2018</t>
    </r>
  </si>
  <si>
    <t>Opioid cravings</t>
  </si>
  <si>
    <t>MindLight, LLC</t>
  </si>
  <si>
    <t>Transcranial Photobiomodulation for the Treatment of Opioid Cravings</t>
  </si>
  <si>
    <t>RCT, sham-controlled
22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</si>
  <si>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</si>
  <si>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7/2019
</t>
    </r>
    <r>
      <rPr>
        <rFont val="Arial"/>
        <color rgb="FF0B5394"/>
        <sz val="7.0"/>
      </rPr>
      <t>6/2020</t>
    </r>
    <r>
      <rPr>
        <rFont val="Arial"/>
        <color rgb="FFB45F06"/>
        <sz val="7.0"/>
      </rPr>
      <t xml:space="preserve">
</t>
    </r>
    <r>
      <rPr>
        <rFont val="Arial"/>
        <color rgb="FFA64D79"/>
        <sz val="7.0"/>
      </rPr>
      <t>6/2020</t>
    </r>
    <r>
      <rPr>
        <rFont val="Arial"/>
        <color rgb="FFB45F06"/>
        <sz val="7.0"/>
      </rPr>
      <t xml:space="preserve">
</t>
    </r>
    <r>
      <rPr>
        <rFont val="Arial"/>
        <color rgb="FF000000"/>
        <sz val="7.0"/>
      </rPr>
      <t>6/2020</t>
    </r>
  </si>
  <si>
    <t>NCT04417738</t>
  </si>
  <si>
    <t>Oral: Dental pain (pulpitis)</t>
  </si>
  <si>
    <t>Analgesic Effect of Low Intensity Laser in Patients With Pulpitis of Mandibular Molars.</t>
  </si>
  <si>
    <t>RCT, sham-controlled
75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</si>
  <si>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</si>
  <si>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3/2018
</t>
    </r>
    <r>
      <rPr>
        <rFont val="Arial"/>
        <color rgb="FF0B5394"/>
        <sz val="7.0"/>
      </rPr>
      <t>3/2020</t>
    </r>
    <r>
      <rPr>
        <rFont val="Arial"/>
        <color rgb="FFB45F06"/>
        <sz val="7.0"/>
      </rPr>
      <t xml:space="preserve">
</t>
    </r>
    <r>
      <rPr>
        <rFont val="Arial"/>
        <color rgb="FFA64D79"/>
        <sz val="7.0"/>
      </rPr>
      <t>6/2020</t>
    </r>
    <r>
      <rPr>
        <rFont val="Arial"/>
        <color rgb="FFB45F06"/>
        <sz val="7.0"/>
      </rPr>
      <t xml:space="preserve">
</t>
    </r>
    <r>
      <rPr>
        <rFont val="Arial"/>
        <color rgb="FF000000"/>
        <sz val="7.0"/>
      </rPr>
      <t>6/2018</t>
    </r>
  </si>
  <si>
    <t>Oral: Dentinal hypersensitivity</t>
  </si>
  <si>
    <t>National Taiwan University Hospital</t>
  </si>
  <si>
    <t>Therapeutic Evaluation of Lower-level Laser for Treating Dentinal Hypersensitivity</t>
  </si>
  <si>
    <t>RCT, split-mouth
80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</si>
  <si>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</si>
  <si>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8/2017
</t>
    </r>
    <r>
      <rPr>
        <rFont val="Arial"/>
        <color rgb="FF0B5394"/>
        <sz val="7.0"/>
      </rPr>
      <t>8/2018</t>
    </r>
    <r>
      <rPr>
        <rFont val="Arial"/>
        <color rgb="FFB45F06"/>
        <sz val="7.0"/>
      </rPr>
      <t xml:space="preserve">
</t>
    </r>
    <r>
      <rPr>
        <rFont val="Arial"/>
        <color rgb="FFA64D79"/>
        <sz val="7.0"/>
      </rPr>
      <t>8/2018</t>
    </r>
    <r>
      <rPr>
        <rFont val="Arial"/>
        <color rgb="FFB45F06"/>
        <sz val="7.0"/>
      </rPr>
      <t xml:space="preserve">
</t>
    </r>
    <r>
      <rPr>
        <rFont val="Arial"/>
        <color rgb="FF000000"/>
        <sz val="7.0"/>
      </rPr>
      <t>6/2018</t>
    </r>
  </si>
  <si>
    <t>Oral: Gingival recession (graft)</t>
  </si>
  <si>
    <t>Sao Paulo State University</t>
  </si>
  <si>
    <t>Low Intensity Laser Therapy in Connective Tissue Graft for Root Coverage in Smokers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</si>
  <si>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</si>
  <si>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12/2016
</t>
    </r>
    <r>
      <rPr>
        <rFont val="Arial"/>
        <color rgb="FF0B5394"/>
        <sz val="7.0"/>
      </rPr>
      <t>7/2017</t>
    </r>
    <r>
      <rPr>
        <rFont val="Arial"/>
        <color rgb="FFB45F06"/>
        <sz val="7.0"/>
      </rPr>
      <t xml:space="preserve">
</t>
    </r>
    <r>
      <rPr>
        <rFont val="Arial"/>
        <color rgb="FFA64D79"/>
        <sz val="7.0"/>
      </rPr>
      <t>7/2017</t>
    </r>
    <r>
      <rPr>
        <rFont val="Arial"/>
        <color rgb="FFB45F06"/>
        <sz val="7.0"/>
      </rPr>
      <t xml:space="preserve">
</t>
    </r>
    <r>
      <rPr>
        <rFont val="Arial"/>
        <color rgb="FF000000"/>
        <sz val="7.0"/>
      </rPr>
      <t>12/2016</t>
    </r>
  </si>
  <si>
    <t>Oral: Gingival recession (subepithelial connective tissue graft)</t>
  </si>
  <si>
    <t>Evaluation of Root Coverage by Connective Graft and Different Root Conditioning Adjunctive Therapies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</si>
  <si>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</si>
  <si>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4/2018</t>
    </r>
    <r>
      <rPr>
        <rFont val="Arial"/>
        <color rgb="FFB45F06"/>
        <sz val="7.0"/>
      </rPr>
      <t xml:space="preserve">
</t>
    </r>
    <r>
      <rPr>
        <rFont val="Arial"/>
        <color rgb="FFA64D79"/>
        <sz val="7.0"/>
      </rPr>
      <t>11/2019</t>
    </r>
    <r>
      <rPr>
        <rFont val="Arial"/>
        <color rgb="FFB45F06"/>
        <sz val="7.0"/>
      </rPr>
      <t xml:space="preserve">
</t>
    </r>
    <r>
      <rPr>
        <rFont val="Arial"/>
        <color rgb="FF000000"/>
        <sz val="7.0"/>
      </rPr>
      <t>11/2019</t>
    </r>
  </si>
  <si>
    <t>Oral: Hyposalivation (xerostomia)</t>
  </si>
  <si>
    <t>Photobiomodulation in Salivary Production of Patients With Xerostomy</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</si>
  <si>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</si>
  <si>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12/2018</t>
    </r>
    <r>
      <rPr>
        <rFont val="Arial"/>
        <color rgb="FFB45F06"/>
        <sz val="7.0"/>
      </rPr>
      <t xml:space="preserve">
</t>
    </r>
    <r>
      <rPr>
        <rFont val="Arial"/>
        <color rgb="FFA64D79"/>
        <sz val="7.0"/>
      </rPr>
      <t>12/2018</t>
    </r>
    <r>
      <rPr>
        <rFont val="Arial"/>
        <color rgb="FFB45F06"/>
        <sz val="7.0"/>
      </rPr>
      <t xml:space="preserve">
</t>
    </r>
    <r>
      <rPr>
        <rFont val="Arial"/>
        <color rgb="FF000000"/>
        <sz val="7.0"/>
      </rPr>
      <t>10/2018</t>
    </r>
  </si>
  <si>
    <t>Oral: Implant stability</t>
  </si>
  <si>
    <t>Alexandria University (?)</t>
  </si>
  <si>
    <t>Treatment Outcome of Short Implant Assisted Mandibular Overdenture</t>
  </si>
  <si>
    <t>RCT, open label
12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</si>
  <si>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</si>
  <si>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5/2018
</t>
    </r>
    <r>
      <rPr>
        <rFont val="Arial"/>
        <color rgb="FF0B5394"/>
        <sz val="7.0"/>
      </rPr>
      <t>7/2019</t>
    </r>
    <r>
      <rPr>
        <rFont val="Arial"/>
        <color rgb="FFB45F06"/>
        <sz val="7.0"/>
      </rPr>
      <t xml:space="preserve">
</t>
    </r>
    <r>
      <rPr>
        <rFont val="Arial"/>
        <color rgb="FFA64D79"/>
        <sz val="7.0"/>
      </rPr>
      <t>10/2019</t>
    </r>
    <r>
      <rPr>
        <rFont val="Arial"/>
        <color rgb="FFB45F06"/>
        <sz val="7.0"/>
      </rPr>
      <t xml:space="preserve">
</t>
    </r>
    <r>
      <rPr>
        <rFont val="Arial"/>
        <color rgb="FF000000"/>
        <sz val="7.0"/>
      </rPr>
      <t>5/2018</t>
    </r>
  </si>
  <si>
    <t>Oral: Lichen planus</t>
  </si>
  <si>
    <t>Photobiomodulation in Oral Lichen Planus</t>
  </si>
  <si>
    <t>RCT, sham-controlled
44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</si>
  <si>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</si>
  <si>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11/2020</t>
    </r>
    <r>
      <rPr>
        <rFont val="Arial"/>
        <color rgb="FFB45F06"/>
        <sz val="7.0"/>
      </rPr>
      <t xml:space="preserve">
</t>
    </r>
    <r>
      <rPr>
        <rFont val="Arial"/>
        <color rgb="FFA64D79"/>
        <sz val="7.0"/>
      </rPr>
      <t>12/2020</t>
    </r>
    <r>
      <rPr>
        <rFont val="Arial"/>
        <color rgb="FFB45F06"/>
        <sz val="7.0"/>
      </rPr>
      <t xml:space="preserve">
</t>
    </r>
    <r>
      <rPr>
        <rFont val="Arial"/>
        <color rgb="FF000000"/>
        <sz val="7.0"/>
      </rPr>
      <t>8/2018</t>
    </r>
  </si>
  <si>
    <t>Oral: Oral mucosa (in Behcet's disease)</t>
  </si>
  <si>
    <t>Diode Laser Versus Topical Corticosteroids in Management of Oral Ulcers in Behcet's Disease (BD)</t>
  </si>
  <si>
    <t>RCT, two-arm parallel study
38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</si>
  <si>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</si>
  <si>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5/2019
</t>
    </r>
    <r>
      <rPr>
        <rFont val="Arial"/>
        <color rgb="FF0B5394"/>
        <sz val="7.0"/>
      </rPr>
      <t>5/2019</t>
    </r>
    <r>
      <rPr>
        <rFont val="Arial"/>
        <color rgb="FFB45F06"/>
        <sz val="7.0"/>
      </rPr>
      <t xml:space="preserve">
</t>
    </r>
    <r>
      <rPr>
        <rFont val="Arial"/>
        <color rgb="FFA64D79"/>
        <sz val="7.0"/>
      </rPr>
      <t>5/2019</t>
    </r>
    <r>
      <rPr>
        <rFont val="Arial"/>
        <color rgb="FFB45F06"/>
        <sz val="7.0"/>
      </rPr>
      <t xml:space="preserve">
</t>
    </r>
    <r>
      <rPr>
        <rFont val="Arial"/>
        <color rgb="FF000000"/>
        <sz val="7.0"/>
      </rPr>
      <t>4/2019</t>
    </r>
  </si>
  <si>
    <t>Oral: Oral mucositis</t>
  </si>
  <si>
    <t>Centre Oscar Lambret &amp; Fondation Apicil &amp; Santélys</t>
  </si>
  <si>
    <t>Evaluation of the Photobiomodulation Using LED Lamp for Curative Treatment of Radio-induced Mucositis. (MuciLight)</t>
  </si>
  <si>
    <t>Open label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</si>
  <si>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</si>
  <si>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8/2020
</t>
    </r>
    <r>
      <rPr>
        <rFont val="Arial"/>
        <color rgb="FF0B5394"/>
        <sz val="7.0"/>
      </rPr>
      <t>6/2021</t>
    </r>
    <r>
      <rPr>
        <rFont val="Arial"/>
        <color rgb="FFB45F06"/>
        <sz val="7.0"/>
      </rPr>
      <t xml:space="preserve">
</t>
    </r>
    <r>
      <rPr>
        <rFont val="Arial"/>
        <color rgb="FFA64D79"/>
        <sz val="7.0"/>
      </rPr>
      <t>8/2021</t>
    </r>
    <r>
      <rPr>
        <rFont val="Arial"/>
        <color rgb="FFB45F06"/>
        <sz val="7.0"/>
      </rPr>
      <t xml:space="preserve">
</t>
    </r>
    <r>
      <rPr>
        <rFont val="Arial"/>
        <color rgb="FF000000"/>
        <sz val="7.0"/>
      </rPr>
      <t>5/2020</t>
    </r>
  </si>
  <si>
    <t>NCT04251949</t>
  </si>
  <si>
    <t>MuReva Phototherapy Inc.</t>
  </si>
  <si>
    <t>Photobiomodulation to Demonstrate Safety and Reduce the Incidence of Oral Mucositis in Adult Head &amp; Neck Cancer Patients</t>
  </si>
  <si>
    <t>RCT, sham-controlled
69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</si>
  <si>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</si>
  <si>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12/2020</t>
    </r>
    <r>
      <rPr>
        <rFont val="Arial"/>
        <color rgb="FFB45F06"/>
        <sz val="7.0"/>
      </rPr>
      <t xml:space="preserve">
</t>
    </r>
    <r>
      <rPr>
        <rFont val="Arial"/>
        <color rgb="FFA64D79"/>
        <sz val="7.0"/>
      </rPr>
      <t>3/2021</t>
    </r>
    <r>
      <rPr>
        <rFont val="Arial"/>
        <color rgb="FFB45F06"/>
        <sz val="7.0"/>
      </rPr>
      <t xml:space="preserve">
</t>
    </r>
    <r>
      <rPr>
        <rFont val="Arial"/>
        <color rgb="FF000000"/>
        <sz val="7.0"/>
      </rPr>
      <t>8/2020</t>
    </r>
  </si>
  <si>
    <t>NCT03972527</t>
  </si>
  <si>
    <t>St. Jude Children's Research Hospital</t>
  </si>
  <si>
    <t>Prevention of Oral Mucositis Using Photobiomodulation Therapy</t>
  </si>
  <si>
    <t>Single-arm trial, open label
66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</si>
  <si>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</si>
  <si>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7/2022</t>
    </r>
    <r>
      <rPr>
        <rFont val="Arial"/>
        <color rgb="FFB45F06"/>
        <sz val="7.0"/>
      </rPr>
      <t xml:space="preserve">
</t>
    </r>
    <r>
      <rPr>
        <rFont val="Arial"/>
        <color rgb="FFA64D79"/>
        <sz val="7.0"/>
      </rPr>
      <t>7/2022</t>
    </r>
    <r>
      <rPr>
        <rFont val="Arial"/>
        <color rgb="FFB45F06"/>
        <sz val="7.0"/>
      </rPr>
      <t xml:space="preserve">
</t>
    </r>
    <r>
      <rPr>
        <rFont val="Arial"/>
        <color rgb="FF000000"/>
        <sz val="7.0"/>
      </rPr>
      <t>1/2020</t>
    </r>
  </si>
  <si>
    <t>University of Pittsburgh (?)</t>
  </si>
  <si>
    <t>Low-Level Laser Therapy for Prevention of Oral Mucositis</t>
  </si>
  <si>
    <t>Single-arm trial, open label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</si>
  <si>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</si>
  <si>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6/2016
</t>
    </r>
    <r>
      <rPr>
        <rFont val="Arial"/>
        <color rgb="FF0B5394"/>
        <sz val="7.0"/>
      </rPr>
      <t>3/2020</t>
    </r>
    <r>
      <rPr>
        <rFont val="Arial"/>
        <color rgb="FFB45F06"/>
        <sz val="7.0"/>
      </rPr>
      <t xml:space="preserve">
</t>
    </r>
    <r>
      <rPr>
        <rFont val="Arial"/>
        <color rgb="FFA64D79"/>
        <sz val="7.0"/>
      </rPr>
      <t>3/2021</t>
    </r>
    <r>
      <rPr>
        <rFont val="Arial"/>
        <color rgb="FFB45F06"/>
        <sz val="7.0"/>
      </rPr>
      <t xml:space="preserve">
</t>
    </r>
    <r>
      <rPr>
        <rFont val="Arial"/>
        <color rgb="FF000000"/>
        <sz val="7.0"/>
      </rPr>
      <t>3/2018</t>
    </r>
  </si>
  <si>
    <t>Institut de Cancérologie de la Loire &amp; 
Hospices Civils de Lyon &amp; Centre Leon Berard &amp; Société Biophoton</t>
  </si>
  <si>
    <t>Efficacy of Prophylactic Low Level Laser Therapy (LLLT) Performed by Nurses for Decreasing Severity of Oral Mucositis During Hematopoietic Stem Cell (HSC) Transplantation (STOP MUCITES)</t>
  </si>
  <si>
    <t>RCT, double-blind, multicenter
194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</si>
  <si>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</si>
  <si>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6/2016
</t>
    </r>
    <r>
      <rPr>
        <rFont val="Arial"/>
        <color rgb="FF0B5394"/>
        <sz val="7.0"/>
      </rPr>
      <t>6/2019</t>
    </r>
    <r>
      <rPr>
        <rFont val="Arial"/>
        <color rgb="FFB45F06"/>
        <sz val="7.0"/>
      </rPr>
      <t xml:space="preserve">
</t>
    </r>
    <r>
      <rPr>
        <rFont val="Arial"/>
        <color rgb="FFA64D79"/>
        <sz val="7.0"/>
      </rPr>
      <t>7/2019</t>
    </r>
    <r>
      <rPr>
        <rFont val="Arial"/>
        <color rgb="FFB45F06"/>
        <sz val="7.0"/>
      </rPr>
      <t xml:space="preserve">
</t>
    </r>
    <r>
      <rPr>
        <rFont val="Arial"/>
        <color rgb="FF000000"/>
        <sz val="7.0"/>
      </rPr>
      <t>6/2018</t>
    </r>
  </si>
  <si>
    <t>Barbara Ann Karmanos Cancer Institute &amp; National Cancer Institute (NCI)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</si>
  <si>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</si>
  <si>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3/2016
</t>
    </r>
    <r>
      <rPr>
        <rFont val="Arial"/>
        <color rgb="FF0B5394"/>
        <sz val="7.0"/>
      </rPr>
      <t>6/2017</t>
    </r>
    <r>
      <rPr>
        <rFont val="Arial"/>
        <color rgb="FFB45F06"/>
        <sz val="7.0"/>
      </rPr>
      <t xml:space="preserve">
</t>
    </r>
    <r>
      <rPr>
        <rFont val="Arial"/>
        <color rgb="FFA64D79"/>
        <sz val="7.0"/>
      </rPr>
      <t>3/2018</t>
    </r>
    <r>
      <rPr>
        <rFont val="Arial"/>
        <color rgb="FFB45F06"/>
        <sz val="7.0"/>
      </rPr>
      <t xml:space="preserve">
</t>
    </r>
    <r>
      <rPr>
        <rFont val="Arial"/>
        <color rgb="FF000000"/>
        <sz val="7.0"/>
      </rPr>
      <t>5/2017</t>
    </r>
  </si>
  <si>
    <t>Institut Cancerologie de l'Ouest</t>
  </si>
  <si>
    <t>Laser Mucite ORL : Effectiveness of Laser Therapy for Mucositis Induced by a Radio-chemotherapy in Head and Neck Cancer (LaserMucite)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</si>
  <si>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</si>
  <si>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1/2013
</t>
    </r>
    <r>
      <rPr>
        <rFont val="Arial"/>
        <color rgb="FF0B5394"/>
        <sz val="7.0"/>
      </rPr>
      <t>10/2008</t>
    </r>
    <r>
      <rPr>
        <rFont val="Arial"/>
        <color rgb="FFB45F06"/>
        <sz val="7.0"/>
      </rPr>
      <t xml:space="preserve">
</t>
    </r>
    <r>
      <rPr>
        <rFont val="Arial"/>
        <color rgb="FFA64D79"/>
        <sz val="7.0"/>
      </rPr>
      <t>3/2019</t>
    </r>
    <r>
      <rPr>
        <rFont val="Arial"/>
        <color rgb="FFB45F06"/>
        <sz val="7.0"/>
      </rPr>
      <t xml:space="preserve">
</t>
    </r>
    <r>
      <rPr>
        <rFont val="Arial"/>
        <color rgb="FF000000"/>
        <sz val="7.0"/>
      </rPr>
      <t>1/2013</t>
    </r>
  </si>
  <si>
    <t>MuReva Phototherapy Inc. &amp; Ohio State University Comprehensive Cancer Center &amp; Hackensack Meridian Health</t>
  </si>
  <si>
    <t>Photobiomodulation Therapy to Demonstrate Safety and Reduce Pain Associated With Oral Mucositis in Adult Patients With Head and Neck Cancer Receiving Concurrent Radiation and Chemotherapy</t>
  </si>
  <si>
    <t>RCT, sham-controlled, crossover, multicenter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</si>
  <si>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</si>
  <si>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7/2019
</t>
    </r>
    <r>
      <rPr>
        <rFont val="Arial"/>
        <color rgb="FF0B5394"/>
        <sz val="7.0"/>
      </rPr>
      <t xml:space="preserve">7/2020
</t>
    </r>
    <r>
      <rPr>
        <rFont val="Arial"/>
        <color rgb="FFA64D79"/>
        <sz val="7.0"/>
      </rPr>
      <t>7/2020</t>
    </r>
    <r>
      <rPr>
        <rFont val="Arial"/>
        <color rgb="FFB45F06"/>
        <sz val="7.0"/>
      </rPr>
      <t xml:space="preserve">
</t>
    </r>
    <r>
      <rPr>
        <rFont val="Arial"/>
        <color rgb="FF000000"/>
        <sz val="7.0"/>
      </rPr>
      <t>6/2019</t>
    </r>
  </si>
  <si>
    <t>Institut Claudius Regaud</t>
  </si>
  <si>
    <t>Evaluation of Low-Level Laser Therapy Efficacy in Pain Management of Grade 2 Oral Mucositis Induced by Radiotherapy or Chemoradiotherapy: a Phase II Randomized Study in Patients With Upper Aerodigestive Tract Cancer (ESMULLLAT)</t>
  </si>
  <si>
    <t>RCT, sham-controlled
72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</si>
  <si>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</si>
  <si>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7/2019
</t>
    </r>
    <r>
      <rPr>
        <rFont val="Arial"/>
        <color rgb="FF0B5394"/>
        <sz val="7.0"/>
      </rPr>
      <t xml:space="preserve">2/2021
</t>
    </r>
    <r>
      <rPr>
        <rFont val="Arial"/>
        <color rgb="FFA64D79"/>
        <sz val="7.0"/>
      </rPr>
      <t>2/2021</t>
    </r>
    <r>
      <rPr>
        <rFont val="Arial"/>
        <color rgb="FFB45F06"/>
        <sz val="7.0"/>
      </rPr>
      <t xml:space="preserve">
</t>
    </r>
    <r>
      <rPr>
        <rFont val="Arial"/>
        <color rgb="FF000000"/>
        <sz val="7.0"/>
      </rPr>
      <t>5/2019</t>
    </r>
  </si>
  <si>
    <t>Oral: Oral mucositis (+ radiation dermatitis)</t>
  </si>
  <si>
    <t>NeoMedLight &amp; Qualissima</t>
  </si>
  <si>
    <t>Feasibility and Safety of CareMin650 in Patients at Risk of or Suffering From Oral Mucositis and/or Radiation Dermatitis (SafePBM)</t>
  </si>
  <si>
    <t>Non-RCT, open label parallel study
72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</si>
  <si>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</si>
  <si>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6/2019
</t>
    </r>
    <r>
      <rPr>
        <rFont val="Arial"/>
        <color rgb="FF0B5394"/>
        <sz val="7.0"/>
      </rPr>
      <t>3/2020</t>
    </r>
    <r>
      <rPr>
        <rFont val="Arial"/>
        <color rgb="FFB45F06"/>
        <sz val="7.0"/>
      </rPr>
      <t xml:space="preserve">
</t>
    </r>
    <r>
      <rPr>
        <rFont val="Arial"/>
        <color rgb="FFA64D79"/>
        <sz val="7.0"/>
      </rPr>
      <t>3/2020</t>
    </r>
    <r>
      <rPr>
        <rFont val="Arial"/>
        <color rgb="FFB45F06"/>
        <sz val="7.0"/>
      </rPr>
      <t xml:space="preserve">
</t>
    </r>
    <r>
      <rPr>
        <rFont val="Arial"/>
        <color rgb="FF000000"/>
        <sz val="7.0"/>
      </rPr>
      <t>6/2019</t>
    </r>
  </si>
  <si>
    <t>29th July 2019</t>
  </si>
  <si>
    <t>Oral: Oral surgery</t>
  </si>
  <si>
    <t>Photobiomodulation Effects on Pain, Edema, Paresthesia and Bone Regeneration After Maxillar Surgical Disjunction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</si>
  <si>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</si>
  <si>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1/2021</t>
    </r>
    <r>
      <rPr>
        <rFont val="Arial"/>
        <color rgb="FFB45F06"/>
        <sz val="7.0"/>
      </rPr>
      <t xml:space="preserve">
</t>
    </r>
    <r>
      <rPr>
        <rFont val="Arial"/>
        <color rgb="FFA64D79"/>
        <sz val="7.0"/>
      </rPr>
      <t>2/2021</t>
    </r>
    <r>
      <rPr>
        <rFont val="Arial"/>
        <color rgb="FFB45F06"/>
        <sz val="7.0"/>
      </rPr>
      <t xml:space="preserve">
</t>
    </r>
    <r>
      <rPr>
        <rFont val="Arial"/>
        <color rgb="FF000000"/>
        <sz val="7.0"/>
      </rPr>
      <t>1/2019</t>
    </r>
  </si>
  <si>
    <t>Oral: Orthodontics</t>
  </si>
  <si>
    <t>Aga Khan University</t>
  </si>
  <si>
    <t>Effects Of Low Level Laser Therapy On Tooth Movement,Treatment Related Complications Of Gingivitis,Periodontitis And Pain In Fixed Orthodontic Patients</t>
  </si>
  <si>
    <t>RCT, open label
88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</si>
  <si>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</si>
  <si>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12/2020</t>
    </r>
    <r>
      <rPr>
        <rFont val="Arial"/>
        <color rgb="FFB45F06"/>
        <sz val="7.0"/>
      </rPr>
      <t xml:space="preserve">
</t>
    </r>
    <r>
      <rPr>
        <rFont val="Arial"/>
        <color rgb="FFA64D79"/>
        <sz val="7.0"/>
      </rPr>
      <t>14/2021</t>
    </r>
    <r>
      <rPr>
        <rFont val="Arial"/>
        <color rgb="FFB45F06"/>
        <sz val="7.0"/>
      </rPr>
      <t xml:space="preserve">
</t>
    </r>
    <r>
      <rPr>
        <rFont val="Arial"/>
        <color rgb="FF000000"/>
        <sz val="7.0"/>
      </rPr>
      <t>1/2020</t>
    </r>
  </si>
  <si>
    <t>Photobiomodulation on Orthodontic Movement of Molar Verticalization With Mini-implant (movement)</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</si>
  <si>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</si>
  <si>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10/2019
</t>
    </r>
    <r>
      <rPr>
        <rFont val="Arial"/>
        <color rgb="FF0B5394"/>
        <sz val="7.0"/>
      </rPr>
      <t>10/2019</t>
    </r>
    <r>
      <rPr>
        <rFont val="Arial"/>
        <color rgb="FFB45F06"/>
        <sz val="7.0"/>
      </rPr>
      <t xml:space="preserve">
</t>
    </r>
    <r>
      <rPr>
        <rFont val="Arial"/>
        <color rgb="FFA64D79"/>
        <sz val="7.0"/>
      </rPr>
      <t>10/2020</t>
    </r>
    <r>
      <rPr>
        <rFont val="Arial"/>
        <color rgb="FFB45F06"/>
        <sz val="7.0"/>
      </rPr>
      <t xml:space="preserve">
</t>
    </r>
    <r>
      <rPr>
        <rFont val="Arial"/>
        <color rgb="FF000000"/>
        <sz val="7.0"/>
      </rPr>
      <t>7/2019</t>
    </r>
  </si>
  <si>
    <t>University of Gaziantep</t>
  </si>
  <si>
    <t>Investigation of the Photobiomodulation Applications</t>
  </si>
  <si>
    <t>RCT, sham-controlled
24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</si>
  <si>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</si>
  <si>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7/2019
</t>
    </r>
    <r>
      <rPr>
        <rFont val="Arial"/>
        <color rgb="FF0B5394"/>
        <sz val="7.0"/>
      </rPr>
      <t>9/2021</t>
    </r>
    <r>
      <rPr>
        <rFont val="Arial"/>
        <color rgb="FFB45F06"/>
        <sz val="7.0"/>
      </rPr>
      <t xml:space="preserve">
</t>
    </r>
    <r>
      <rPr>
        <rFont val="Arial"/>
        <color rgb="FFA64D79"/>
        <sz val="7.0"/>
      </rPr>
      <t>2/2020</t>
    </r>
    <r>
      <rPr>
        <rFont val="Arial"/>
        <color rgb="FFB45F06"/>
        <sz val="7.0"/>
      </rPr>
      <t xml:space="preserve">
</t>
    </r>
    <r>
      <rPr>
        <rFont val="Arial"/>
        <color rgb="FF000000"/>
        <sz val="7.0"/>
      </rPr>
      <t>7/2019</t>
    </r>
  </si>
  <si>
    <t>The University of Hong Kong</t>
  </si>
  <si>
    <t>The Effectiveness of Low-level Laser Therapy in Orthodontic Retention for Periodontal-compromised Patients</t>
  </si>
  <si>
    <t>RCT, double-blind, crossover
35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</si>
  <si>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</si>
  <si>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10/2019</t>
    </r>
    <r>
      <rPr>
        <rFont val="Arial"/>
        <color rgb="FFB45F06"/>
        <sz val="7.0"/>
      </rPr>
      <t xml:space="preserve">
</t>
    </r>
    <r>
      <rPr>
        <rFont val="Arial"/>
        <color rgb="FFA64D79"/>
        <sz val="7.0"/>
      </rPr>
      <t>10/2020</t>
    </r>
    <r>
      <rPr>
        <rFont val="Arial"/>
        <color rgb="FFB45F06"/>
        <sz val="7.0"/>
      </rPr>
      <t xml:space="preserve">
</t>
    </r>
    <r>
      <rPr>
        <rFont val="Arial"/>
        <color rgb="FF000000"/>
        <sz val="7.0"/>
      </rPr>
      <t>12/2018</t>
    </r>
  </si>
  <si>
    <t>Evaluation of the Use of Photobiomodulation After the Installation of Elastometric Separators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</si>
  <si>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</si>
  <si>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6/2019
</t>
    </r>
    <r>
      <rPr>
        <rFont val="Arial"/>
        <color rgb="FF0B5394"/>
        <sz val="7.0"/>
      </rPr>
      <t xml:space="preserve">9/2019
</t>
    </r>
    <r>
      <rPr>
        <rFont val="Arial"/>
        <color rgb="FFA64D79"/>
        <sz val="7.0"/>
      </rPr>
      <t>12/2019</t>
    </r>
    <r>
      <rPr>
        <rFont val="Arial"/>
        <color rgb="FFB45F06"/>
        <sz val="7.0"/>
      </rPr>
      <t xml:space="preserve">
</t>
    </r>
    <r>
      <rPr>
        <rFont val="Arial"/>
        <color rgb="FF000000"/>
        <sz val="7.0"/>
      </rPr>
      <t>5/2019</t>
    </r>
  </si>
  <si>
    <t>Syria</t>
  </si>
  <si>
    <t>Damascus University</t>
  </si>
  <si>
    <t>Low-Level Laser Therapy and Flapless Corticopuncture Effect on Accelerating Six Maxillary Anterior Teeth Retraction</t>
  </si>
  <si>
    <t>RCT
39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</si>
  <si>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</si>
  <si>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8/2018
</t>
    </r>
    <r>
      <rPr>
        <rFont val="Arial"/>
        <color rgb="FF0B5394"/>
        <sz val="7.0"/>
      </rPr>
      <t>2/2020</t>
    </r>
    <r>
      <rPr>
        <rFont val="Arial"/>
        <color rgb="FFB45F06"/>
        <sz val="7.0"/>
      </rPr>
      <t xml:space="preserve">
</t>
    </r>
    <r>
      <rPr>
        <rFont val="Arial"/>
        <color rgb="FFA64D79"/>
        <sz val="7.0"/>
      </rPr>
      <t>8/2020</t>
    </r>
    <r>
      <rPr>
        <rFont val="Arial"/>
        <color rgb="FFB45F06"/>
        <sz val="7.0"/>
      </rPr>
      <t xml:space="preserve">
</t>
    </r>
    <r>
      <rPr>
        <rFont val="Arial"/>
        <color rgb="FF000000"/>
        <sz val="7.0"/>
      </rPr>
      <t>6/2019</t>
    </r>
  </si>
  <si>
    <t>The Role of Paracetamol-caffeine and Laser Irradiation on Controlling Pain and Discomfort During Orthodontic Treatment</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</si>
  <si>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</si>
  <si>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10/2018</t>
    </r>
    <r>
      <rPr>
        <rFont val="Arial"/>
        <color rgb="FFB45F06"/>
        <sz val="7.0"/>
      </rPr>
      <t xml:space="preserve">
</t>
    </r>
    <r>
      <rPr>
        <rFont val="Arial"/>
        <color rgb="FFA64D79"/>
        <sz val="7.0"/>
      </rPr>
      <t>12/2018</t>
    </r>
    <r>
      <rPr>
        <rFont val="Arial"/>
        <color rgb="FFB45F06"/>
        <sz val="7.0"/>
      </rPr>
      <t xml:space="preserve">
</t>
    </r>
    <r>
      <rPr>
        <rFont val="Arial"/>
        <color rgb="FF000000"/>
        <sz val="7.0"/>
      </rPr>
      <t>1/2018</t>
    </r>
  </si>
  <si>
    <t>Biolux Research Ltd.</t>
  </si>
  <si>
    <t>The Effect of OrthoPulse™ Photobiomodulation on Tooth Movement and Treatment Time When Used With Invisalign Treatment</t>
  </si>
  <si>
    <t>RCT, open label
167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</si>
  <si>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</si>
  <si>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7/2016
</t>
    </r>
    <r>
      <rPr>
        <rFont val="Arial"/>
        <color rgb="FF0B5394"/>
        <sz val="7.0"/>
      </rPr>
      <t>9/2018</t>
    </r>
    <r>
      <rPr>
        <rFont val="Arial"/>
        <color rgb="FFB45F06"/>
        <sz val="7.0"/>
      </rPr>
      <t xml:space="preserve">
</t>
    </r>
    <r>
      <rPr>
        <rFont val="Arial"/>
        <color rgb="FFA64D79"/>
        <sz val="7.0"/>
      </rPr>
      <t>9/2018</t>
    </r>
    <r>
      <rPr>
        <rFont val="Arial"/>
        <color rgb="FFB45F06"/>
        <sz val="7.0"/>
      </rPr>
      <t xml:space="preserve">
</t>
    </r>
    <r>
      <rPr>
        <rFont val="Arial"/>
        <color rgb="FF000000"/>
        <sz val="7.0"/>
      </rPr>
      <t>3/2018</t>
    </r>
  </si>
  <si>
    <t>The Effect of OrthoPulse Photobiomodulation on the Rate of Tooth Movement During Alignment With Fixed Appliances</t>
  </si>
  <si>
    <t>RCT, open label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</si>
  <si>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</si>
  <si>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6/2017
</t>
    </r>
    <r>
      <rPr>
        <rFont val="Arial"/>
        <color rgb="FF0B5394"/>
        <sz val="7.0"/>
      </rPr>
      <t>6/2018</t>
    </r>
    <r>
      <rPr>
        <rFont val="Arial"/>
        <color rgb="FFB45F06"/>
        <sz val="7.0"/>
      </rPr>
      <t xml:space="preserve">
</t>
    </r>
    <r>
      <rPr>
        <rFont val="Arial"/>
        <color rgb="FFA64D79"/>
        <sz val="7.0"/>
      </rPr>
      <t>6/2018</t>
    </r>
    <r>
      <rPr>
        <rFont val="Arial"/>
        <color rgb="FFB45F06"/>
        <sz val="7.0"/>
      </rPr>
      <t xml:space="preserve">
</t>
    </r>
    <r>
      <rPr>
        <rFont val="Arial"/>
        <color rgb="FF000000"/>
        <sz val="7.0"/>
      </rPr>
      <t>2/2018</t>
    </r>
  </si>
  <si>
    <t>OrthoPulse 2.0 and 2.1 Product Evaluation and Assessing Clinical Effectiveness: A Feasibility Study</t>
  </si>
  <si>
    <t>Non-randomized, open label
30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</si>
  <si>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</si>
  <si>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12/2017
</t>
    </r>
    <r>
      <rPr>
        <rFont val="Arial"/>
        <color rgb="FF0B5394"/>
        <sz val="7.0"/>
      </rPr>
      <t>6/2020</t>
    </r>
    <r>
      <rPr>
        <rFont val="Arial"/>
        <color rgb="FFB45F06"/>
        <sz val="7.0"/>
      </rPr>
      <t xml:space="preserve">
</t>
    </r>
    <r>
      <rPr>
        <rFont val="Arial"/>
        <color rgb="FFA64D79"/>
        <sz val="7.0"/>
      </rPr>
      <t>6/2020</t>
    </r>
    <r>
      <rPr>
        <rFont val="Arial"/>
        <color rgb="FFB45F06"/>
        <sz val="7.0"/>
      </rPr>
      <t xml:space="preserve">
</t>
    </r>
    <r>
      <rPr>
        <rFont val="Arial"/>
        <color rgb="FF000000"/>
        <sz val="7.0"/>
      </rPr>
      <t>9/2018</t>
    </r>
  </si>
  <si>
    <t>Biolux Research Holdings, Inc.</t>
  </si>
  <si>
    <t>OrthoPulse Gen 2 Initial Device Evaluation and Assessment of Clinical Effectiveness (CA)</t>
  </si>
  <si>
    <t>Non-randomized, open label
56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</si>
  <si>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</si>
  <si>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6/2020</t>
    </r>
    <r>
      <rPr>
        <rFont val="Arial"/>
        <color rgb="FFB45F06"/>
        <sz val="7.0"/>
      </rPr>
      <t xml:space="preserve">
</t>
    </r>
    <r>
      <rPr>
        <rFont val="Arial"/>
        <color rgb="FFA64D79"/>
        <sz val="7.0"/>
      </rPr>
      <t>8/2020</t>
    </r>
    <r>
      <rPr>
        <rFont val="Arial"/>
        <color rgb="FFB45F06"/>
        <sz val="7.0"/>
      </rPr>
      <t xml:space="preserve">
</t>
    </r>
    <r>
      <rPr>
        <rFont val="Arial"/>
        <color rgb="FF000000"/>
        <sz val="7.0"/>
      </rPr>
      <t>5/2020</t>
    </r>
  </si>
  <si>
    <t>NCT04386278</t>
  </si>
  <si>
    <t>The Role of Low Level Laser Therapy in Acceleration of Teeth Alignment in Lingual Orthodontic Patients</t>
  </si>
  <si>
    <t>RCT; sham-controlled
40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</si>
  <si>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</si>
  <si>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6/2016
</t>
    </r>
    <r>
      <rPr>
        <rFont val="Arial"/>
        <color rgb="FF0B5394"/>
        <sz val="7.0"/>
      </rPr>
      <t>9/2018</t>
    </r>
    <r>
      <rPr>
        <rFont val="Arial"/>
        <color rgb="FFB45F06"/>
        <sz val="7.0"/>
      </rPr>
      <t xml:space="preserve">
</t>
    </r>
    <r>
      <rPr>
        <rFont val="Arial"/>
        <color rgb="FFA64D79"/>
        <sz val="7.0"/>
      </rPr>
      <t>10/2018</t>
    </r>
    <r>
      <rPr>
        <rFont val="Arial"/>
        <color rgb="FFB45F06"/>
        <sz val="7.0"/>
      </rPr>
      <t xml:space="preserve">
</t>
    </r>
    <r>
      <rPr>
        <rFont val="Arial"/>
        <color rgb="FF000000"/>
        <sz val="7.0"/>
      </rPr>
      <t>8/2018</t>
    </r>
  </si>
  <si>
    <t>Treatment of Class II Malocclusion Combined With Low-level Laser</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</si>
  <si>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</si>
  <si>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7/2017
</t>
    </r>
    <r>
      <rPr>
        <rFont val="Arial"/>
        <color rgb="FF0B5394"/>
        <sz val="7.0"/>
      </rPr>
      <t>10/2018</t>
    </r>
    <r>
      <rPr>
        <rFont val="Arial"/>
        <color rgb="FFB45F06"/>
        <sz val="7.0"/>
      </rPr>
      <t xml:space="preserve">
</t>
    </r>
    <r>
      <rPr>
        <rFont val="Arial"/>
        <color rgb="FFA64D79"/>
        <sz val="7.0"/>
      </rPr>
      <t>11/2018</t>
    </r>
    <r>
      <rPr>
        <rFont val="Arial"/>
        <color rgb="FFB45F06"/>
        <sz val="7.0"/>
      </rPr>
      <t xml:space="preserve">
</t>
    </r>
    <r>
      <rPr>
        <rFont val="Arial"/>
        <color rgb="FF000000"/>
        <sz val="7.0"/>
      </rPr>
      <t>9/2018</t>
    </r>
  </si>
  <si>
    <t>Oral: TMD</t>
  </si>
  <si>
    <t>University of Florida &amp; National Institute of Dental and Craniofacial Research (NIDCR)</t>
  </si>
  <si>
    <t>Photobiomodulation for the Management of Temporomandibular Disorder Pain (PBM)</t>
  </si>
  <si>
    <t>RCT, sham-controlled
120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</si>
  <si>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</si>
  <si>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3/20201
</t>
    </r>
    <r>
      <rPr>
        <rFont val="Arial"/>
        <color rgb="FF0B5394"/>
        <sz val="7.0"/>
      </rPr>
      <t>3/2026</t>
    </r>
    <r>
      <rPr>
        <rFont val="Arial"/>
        <color rgb="FFB45F06"/>
        <sz val="7.0"/>
      </rPr>
      <t xml:space="preserve">
</t>
    </r>
    <r>
      <rPr>
        <rFont val="Arial"/>
        <color rgb="FFA64D79"/>
        <sz val="7.0"/>
      </rPr>
      <t>3/2028</t>
    </r>
    <r>
      <rPr>
        <rFont val="Arial"/>
        <color rgb="FFB45F06"/>
        <sz val="7.0"/>
      </rPr>
      <t xml:space="preserve">
</t>
    </r>
    <r>
      <rPr>
        <rFont val="Arial"/>
        <color rgb="FF000000"/>
        <sz val="7.0"/>
      </rPr>
      <t>6/2020</t>
    </r>
  </si>
  <si>
    <t>NCT04415281</t>
  </si>
  <si>
    <t>Istanbul University</t>
  </si>
  <si>
    <t>Prospective Investigation of the Effects of Different Treatment Techniques on Myofascial Trigger Points in Patients With Temporomandibular Dysfunction (TMD)</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</si>
  <si>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</si>
  <si>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11/2019
</t>
    </r>
    <r>
      <rPr>
        <rFont val="Arial"/>
        <color rgb="FF0B5394"/>
        <sz val="7.0"/>
      </rPr>
      <t>11/2021</t>
    </r>
    <r>
      <rPr>
        <rFont val="Arial"/>
        <color rgb="FFB45F06"/>
        <sz val="7.0"/>
      </rPr>
      <t xml:space="preserve">
</t>
    </r>
    <r>
      <rPr>
        <rFont val="Arial"/>
        <color rgb="FFA64D79"/>
        <sz val="7.0"/>
      </rPr>
      <t>11/2021</t>
    </r>
    <r>
      <rPr>
        <rFont val="Arial"/>
        <color rgb="FFB45F06"/>
        <sz val="7.0"/>
      </rPr>
      <t xml:space="preserve">
</t>
    </r>
    <r>
      <rPr>
        <rFont val="Arial"/>
        <color rgb="FF000000"/>
        <sz val="7.0"/>
      </rPr>
      <t>7/2020</t>
    </r>
  </si>
  <si>
    <t>NCT04456946</t>
  </si>
  <si>
    <t>Photobiomodulation With Red and Infrared LED Device for Temporomandibular Dysfunction</t>
  </si>
  <si>
    <t>RCT, sham-controlled
33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</si>
  <si>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</si>
  <si>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4/2019</t>
    </r>
    <r>
      <rPr>
        <rFont val="Arial"/>
        <color rgb="FFB45F06"/>
        <sz val="7.0"/>
      </rPr>
      <t xml:space="preserve">
</t>
    </r>
    <r>
      <rPr>
        <rFont val="Arial"/>
        <color rgb="FFA64D79"/>
        <sz val="7.0"/>
      </rPr>
      <t>8/2019</t>
    </r>
    <r>
      <rPr>
        <rFont val="Arial"/>
        <color rgb="FFB45F06"/>
        <sz val="7.0"/>
      </rPr>
      <t xml:space="preserve">
</t>
    </r>
    <r>
      <rPr>
        <rFont val="Arial"/>
        <color rgb="FF000000"/>
        <sz val="7.0"/>
      </rPr>
      <t>11/2018</t>
    </r>
  </si>
  <si>
    <t>Photobiomodulation in Temporomandibular Disorder</t>
  </si>
  <si>
    <t>RCT, open label
45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</si>
  <si>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</si>
  <si>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10/2017
</t>
    </r>
    <r>
      <rPr>
        <rFont val="Arial"/>
        <color rgb="FF0B5394"/>
        <sz val="7.0"/>
      </rPr>
      <t>1/2018</t>
    </r>
    <r>
      <rPr>
        <rFont val="Arial"/>
        <color rgb="FFB45F06"/>
        <sz val="7.0"/>
      </rPr>
      <t xml:space="preserve">
</t>
    </r>
    <r>
      <rPr>
        <rFont val="Arial"/>
        <color rgb="FFA64D79"/>
        <sz val="7.0"/>
      </rPr>
      <t>10/2018</t>
    </r>
    <r>
      <rPr>
        <rFont val="Arial"/>
        <color rgb="FFB45F06"/>
        <sz val="7.0"/>
      </rPr>
      <t xml:space="preserve">
</t>
    </r>
    <r>
      <rPr>
        <rFont val="Arial"/>
        <color rgb="FF000000"/>
        <sz val="7.0"/>
      </rPr>
      <t>3/2018</t>
    </r>
  </si>
  <si>
    <t>Effects of Laser Therapy and LED Therapy on Elderly Individuals With Temporomandibular Disorder</t>
  </si>
  <si>
    <t>RCT, double-blind
80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</si>
  <si>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</si>
  <si>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5/2017
</t>
    </r>
    <r>
      <rPr>
        <rFont val="Arial"/>
        <color rgb="FF0B5394"/>
        <sz val="7.0"/>
      </rPr>
      <t>11/2018</t>
    </r>
    <r>
      <rPr>
        <rFont val="Arial"/>
        <color rgb="FFB45F06"/>
        <sz val="7.0"/>
      </rPr>
      <t xml:space="preserve">
</t>
    </r>
    <r>
      <rPr>
        <rFont val="Arial"/>
        <color rgb="FFA64D79"/>
        <sz val="7.0"/>
      </rPr>
      <t>12/2018</t>
    </r>
    <r>
      <rPr>
        <rFont val="Arial"/>
        <color rgb="FFB45F06"/>
        <sz val="7.0"/>
      </rPr>
      <t xml:space="preserve">
</t>
    </r>
    <r>
      <rPr>
        <rFont val="Arial"/>
        <color rgb="FF000000"/>
        <sz val="7.0"/>
      </rPr>
      <t>10/2018</t>
    </r>
  </si>
  <si>
    <t>Oral: TMD (masticatory muscle fatigue)</t>
  </si>
  <si>
    <t>Effect of Low-level Laser Prior to the Induction of Fatigue</t>
  </si>
  <si>
    <t>RCT, sham-controlled
90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</si>
  <si>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</si>
  <si>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12/2016
</t>
    </r>
    <r>
      <rPr>
        <rFont val="Arial"/>
        <color rgb="FF0B5394"/>
        <sz val="7.0"/>
      </rPr>
      <t>12/2016</t>
    </r>
    <r>
      <rPr>
        <rFont val="Arial"/>
        <color rgb="FFB45F06"/>
        <sz val="7.0"/>
      </rPr>
      <t xml:space="preserve">
</t>
    </r>
    <r>
      <rPr>
        <rFont val="Arial"/>
        <color rgb="FFA64D79"/>
        <sz val="7.0"/>
      </rPr>
      <t>12/2016</t>
    </r>
    <r>
      <rPr>
        <rFont val="Arial"/>
        <color rgb="FFB45F06"/>
        <sz val="7.0"/>
      </rPr>
      <t xml:space="preserve">
</t>
    </r>
    <r>
      <rPr>
        <rFont val="Arial"/>
        <color rgb="FF000000"/>
        <sz val="7.0"/>
      </rPr>
      <t>12/2016</t>
    </r>
  </si>
  <si>
    <t>Administration of Low-level Laser on Muscles of Mastication Following the Induction of Initial Fatigue</t>
  </si>
  <si>
    <t>RCT, sham-controlled
78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</si>
  <si>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</si>
  <si>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11/2017
</t>
    </r>
    <r>
      <rPr>
        <rFont val="Arial"/>
        <color rgb="FF0B5394"/>
        <sz val="7.0"/>
      </rPr>
      <t>4/2018</t>
    </r>
    <r>
      <rPr>
        <rFont val="Arial"/>
        <color rgb="FFB45F06"/>
        <sz val="7.0"/>
      </rPr>
      <t xml:space="preserve">
</t>
    </r>
    <r>
      <rPr>
        <rFont val="Arial"/>
        <color rgb="FFA64D79"/>
        <sz val="7.0"/>
      </rPr>
      <t>7/2018</t>
    </r>
    <r>
      <rPr>
        <rFont val="Arial"/>
        <color rgb="FFB45F06"/>
        <sz val="7.0"/>
      </rPr>
      <t xml:space="preserve">
</t>
    </r>
    <r>
      <rPr>
        <rFont val="Arial"/>
        <color rgb="FF000000"/>
        <sz val="7.0"/>
      </rPr>
      <t>3/2018</t>
    </r>
  </si>
  <si>
    <t>Oral: Tooth extraction</t>
  </si>
  <si>
    <t>University of Zurich</t>
  </si>
  <si>
    <t>Effect of Low Level Laser Therapy After Wisdom Tooth Removal</t>
  </si>
  <si>
    <t>RCT, double-blind</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</si>
  <si>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</si>
  <si>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6/2020
</t>
    </r>
    <r>
      <rPr>
        <rFont val="Arial"/>
        <color rgb="FF0B5394"/>
        <sz val="7.0"/>
      </rPr>
      <t>6/2021</t>
    </r>
    <r>
      <rPr>
        <rFont val="Arial"/>
        <color rgb="FFB45F06"/>
        <sz val="7.0"/>
      </rPr>
      <t xml:space="preserve">
</t>
    </r>
    <r>
      <rPr>
        <rFont val="Arial"/>
        <color rgb="FFA64D79"/>
        <sz val="7.0"/>
      </rPr>
      <t>12/2021</t>
    </r>
    <r>
      <rPr>
        <rFont val="Arial"/>
        <color rgb="FFB45F06"/>
        <sz val="7.0"/>
      </rPr>
      <t xml:space="preserve">
</t>
    </r>
    <r>
      <rPr>
        <rFont val="Arial"/>
        <color rgb="FF000000"/>
        <sz val="7.0"/>
      </rPr>
      <t>6/2020</t>
    </r>
  </si>
  <si>
    <t>NCT04437316</t>
  </si>
  <si>
    <t>Vietnam</t>
  </si>
  <si>
    <t>Ho Chi Minh City University of Medicine and Pharmacy</t>
  </si>
  <si>
    <t>Effects of Low-level Laser Therapy After Surgical Removal of Impacted Lower Third Molar</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</si>
  <si>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</si>
  <si>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5/2018
</t>
    </r>
    <r>
      <rPr>
        <rFont val="Arial"/>
        <color rgb="FF0B5394"/>
        <sz val="7.0"/>
      </rPr>
      <t>3/2020</t>
    </r>
    <r>
      <rPr>
        <rFont val="Arial"/>
        <color rgb="FFB45F06"/>
        <sz val="7.0"/>
      </rPr>
      <t xml:space="preserve">
</t>
    </r>
    <r>
      <rPr>
        <rFont val="Arial"/>
        <color rgb="FFA64D79"/>
        <sz val="7.0"/>
      </rPr>
      <t>4/2020</t>
    </r>
    <r>
      <rPr>
        <rFont val="Arial"/>
        <color rgb="FFB45F06"/>
        <sz val="7.0"/>
      </rPr>
      <t xml:space="preserve">
</t>
    </r>
    <r>
      <rPr>
        <rFont val="Arial"/>
        <color rgb="FF000000"/>
        <sz val="7.0"/>
      </rPr>
      <t>2/2020</t>
    </r>
  </si>
  <si>
    <t>Effectiveness of Light-emitting Diode (LED) Photobiomodulation in the Extraction of Retained Lower Third Molars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</si>
  <si>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</si>
  <si>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9/2019</t>
    </r>
    <r>
      <rPr>
        <rFont val="Arial"/>
        <color rgb="FFB45F06"/>
        <sz val="7.0"/>
      </rPr>
      <t xml:space="preserve">
</t>
    </r>
    <r>
      <rPr>
        <rFont val="Arial"/>
        <color rgb="FFA64D79"/>
        <sz val="7.0"/>
      </rPr>
      <t>12/2019</t>
    </r>
    <r>
      <rPr>
        <rFont val="Arial"/>
        <color rgb="FFB45F06"/>
        <sz val="7.0"/>
      </rPr>
      <t xml:space="preserve">
</t>
    </r>
    <r>
      <rPr>
        <rFont val="Arial"/>
        <color rgb="FF000000"/>
        <sz val="7.0"/>
      </rPr>
      <t>10/2018</t>
    </r>
  </si>
  <si>
    <t>Study of the Effects of Photobiomodulation in Patients With Osteoarthritis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</si>
  <si>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</si>
  <si>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4/2019
</t>
    </r>
    <r>
      <rPr>
        <rFont val="Arial"/>
        <color rgb="FF0B5394"/>
        <sz val="7.0"/>
      </rPr>
      <t>4/2020</t>
    </r>
    <r>
      <rPr>
        <rFont val="Arial"/>
        <color rgb="FFB45F06"/>
        <sz val="7.0"/>
      </rPr>
      <t xml:space="preserve">
</t>
    </r>
    <r>
      <rPr>
        <rFont val="Arial"/>
        <color rgb="FFA64D79"/>
        <sz val="7.0"/>
      </rPr>
      <t>7/2021</t>
    </r>
    <r>
      <rPr>
        <rFont val="Arial"/>
        <color rgb="FFB45F06"/>
        <sz val="7.0"/>
      </rPr>
      <t xml:space="preserve">
</t>
    </r>
    <r>
      <rPr>
        <rFont val="Arial"/>
        <color rgb="FF000000"/>
        <sz val="7.0"/>
      </rPr>
      <t>4/2019</t>
    </r>
  </si>
  <si>
    <t>High Intensity Laser Therapy (Classes IV) and Ibuprofen Gel Phonophoresis for Treating Knee Osteoarthritis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</si>
  <si>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</si>
  <si>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8/2020
</t>
    </r>
    <r>
      <rPr>
        <rFont val="Arial"/>
        <color rgb="FF0B5394"/>
        <sz val="7.0"/>
      </rPr>
      <t>10/2021</t>
    </r>
    <r>
      <rPr>
        <rFont val="Arial"/>
        <color rgb="FFB45F06"/>
        <sz val="7.0"/>
      </rPr>
      <t xml:space="preserve">
</t>
    </r>
    <r>
      <rPr>
        <rFont val="Arial"/>
        <color rgb="FFA64D79"/>
        <sz val="7.0"/>
      </rPr>
      <t>4/2022</t>
    </r>
    <r>
      <rPr>
        <rFont val="Arial"/>
        <color rgb="FFB45F06"/>
        <sz val="7.0"/>
      </rPr>
      <t xml:space="preserve">
</t>
    </r>
    <r>
      <rPr>
        <rFont val="Arial"/>
        <color rgb="FF000000"/>
        <sz val="7.0"/>
      </rPr>
      <t>6/2020</t>
    </r>
  </si>
  <si>
    <t>NCT04320914</t>
  </si>
  <si>
    <t>Universidad Nacional Autonoma de Mexico</t>
  </si>
  <si>
    <t>Low Level Laser Therapy Plus Topical Clonazepam Treatment to Burning Mouth Symdrome (BurnLasCLo)</t>
  </si>
  <si>
    <t>RCT, double-blind
27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</si>
  <si>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</si>
  <si>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8/2019
</t>
    </r>
    <r>
      <rPr>
        <rFont val="Arial"/>
        <color rgb="FF0B5394"/>
        <sz val="7.0"/>
      </rPr>
      <t>6/2020</t>
    </r>
    <r>
      <rPr>
        <rFont val="Arial"/>
        <color rgb="FFB45F06"/>
        <sz val="7.0"/>
      </rPr>
      <t xml:space="preserve">
</t>
    </r>
    <r>
      <rPr>
        <rFont val="Arial"/>
        <color rgb="FFA64D79"/>
        <sz val="7.0"/>
      </rPr>
      <t>10/2020</t>
    </r>
    <r>
      <rPr>
        <rFont val="Arial"/>
        <color rgb="FFB45F06"/>
        <sz val="7.0"/>
      </rPr>
      <t xml:space="preserve">
</t>
    </r>
    <r>
      <rPr>
        <rFont val="Arial"/>
        <color rgb="FF000000"/>
        <sz val="7.0"/>
      </rPr>
      <t>3/2020</t>
    </r>
  </si>
  <si>
    <t>Tel-Aviv Sourasky Medical Center</t>
  </si>
  <si>
    <t>Evaluation of the Efficacy of a Home-Use Photobiomodulation Device for the Treatment of Patients With Knee Osteoarthritis: A Prospective Double Blind, Randomized, Sham-Controlled Clinical Study</t>
  </si>
  <si>
    <t>RCT, double-blind
52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</si>
  <si>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</si>
  <si>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3/2021</t>
    </r>
    <r>
      <rPr>
        <rFont val="Arial"/>
        <color rgb="FFB45F06"/>
        <sz val="7.0"/>
      </rPr>
      <t xml:space="preserve">
</t>
    </r>
    <r>
      <rPr>
        <rFont val="Arial"/>
        <color rgb="FFA64D79"/>
        <sz val="7.0"/>
      </rPr>
      <t>3/2022</t>
    </r>
    <r>
      <rPr>
        <rFont val="Arial"/>
        <color rgb="FFB45F06"/>
        <sz val="7.0"/>
      </rPr>
      <t xml:space="preserve">
</t>
    </r>
    <r>
      <rPr>
        <rFont val="Arial"/>
        <color rgb="FF000000"/>
        <sz val="7.0"/>
      </rPr>
      <t>2/2020</t>
    </r>
  </si>
  <si>
    <t>Inflammatory Targeted Laser Treatment of Knee Osteoarthritis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</si>
  <si>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</si>
  <si>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4/2018
</t>
    </r>
    <r>
      <rPr>
        <rFont val="Arial"/>
        <color rgb="FF0B5394"/>
        <sz val="7.0"/>
      </rPr>
      <t>10/2020</t>
    </r>
    <r>
      <rPr>
        <rFont val="Arial"/>
        <color rgb="FFB45F06"/>
        <sz val="7.0"/>
      </rPr>
      <t xml:space="preserve">
</t>
    </r>
    <r>
      <rPr>
        <rFont val="Arial"/>
        <color rgb="FFA64D79"/>
        <sz val="7.0"/>
      </rPr>
      <t>1/2021</t>
    </r>
    <r>
      <rPr>
        <rFont val="Arial"/>
        <color rgb="FFB45F06"/>
        <sz val="7.0"/>
      </rPr>
      <t xml:space="preserve">
</t>
    </r>
    <r>
      <rPr>
        <rFont val="Arial"/>
        <color rgb="FF000000"/>
        <sz val="7.0"/>
      </rPr>
      <t>11/2018</t>
    </r>
  </si>
  <si>
    <t>Osteoarthritis (shoulder)</t>
  </si>
  <si>
    <t>University of Rzeszow</t>
  </si>
  <si>
    <t>Effectiveness of HILT in Shoulder Osteoarthritis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</si>
  <si>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</si>
  <si>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1/2018
</t>
    </r>
    <r>
      <rPr>
        <rFont val="Arial"/>
        <color rgb="FF0B5394"/>
        <sz val="7.0"/>
      </rPr>
      <t>2/2018</t>
    </r>
    <r>
      <rPr>
        <rFont val="Arial"/>
        <color rgb="FFB45F06"/>
        <sz val="7.0"/>
      </rPr>
      <t xml:space="preserve">
</t>
    </r>
    <r>
      <rPr>
        <rFont val="Arial"/>
        <color rgb="FFA64D79"/>
        <sz val="7.0"/>
      </rPr>
      <t>8/2018</t>
    </r>
    <r>
      <rPr>
        <rFont val="Arial"/>
        <color rgb="FFB45F06"/>
        <sz val="7.0"/>
      </rPr>
      <t xml:space="preserve">
</t>
    </r>
    <r>
      <rPr>
        <rFont val="Arial"/>
        <color rgb="FF000000"/>
        <sz val="7.0"/>
      </rPr>
      <t>1/2018</t>
    </r>
  </si>
  <si>
    <t xml:space="preserve">Taiwan </t>
  </si>
  <si>
    <t>The Clinical Effects of Laser Acupuncture Therapy for OAB Women.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</si>
  <si>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</si>
  <si>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1/2019
</t>
    </r>
    <r>
      <rPr>
        <rFont val="Arial"/>
        <color rgb="FF0B5394"/>
        <sz val="7.0"/>
      </rPr>
      <t>4/2022</t>
    </r>
    <r>
      <rPr>
        <rFont val="Arial"/>
        <color rgb="FFB45F06"/>
        <sz val="7.0"/>
      </rPr>
      <t xml:space="preserve">
</t>
    </r>
    <r>
      <rPr>
        <rFont val="Arial"/>
        <color rgb="FFA64D79"/>
        <sz val="7.0"/>
      </rPr>
      <t>4/2022</t>
    </r>
    <r>
      <rPr>
        <rFont val="Arial"/>
        <color rgb="FFB45F06"/>
        <sz val="7.0"/>
      </rPr>
      <t xml:space="preserve">
</t>
    </r>
    <r>
      <rPr>
        <rFont val="Arial"/>
        <color rgb="FF000000"/>
        <sz val="7.0"/>
      </rPr>
      <t>2/2019</t>
    </r>
  </si>
  <si>
    <t>Palatal tissue</t>
  </si>
  <si>
    <t>University of Manitoba</t>
  </si>
  <si>
    <t>Effects of Laser Stimulation on Wound Healing of Human Palatal Tissue</t>
  </si>
  <si>
    <t>RCT, sham-controlled
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</si>
  <si>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</si>
  <si>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11/2018
</t>
    </r>
    <r>
      <rPr>
        <rFont val="Arial"/>
        <color rgb="FF0B5394"/>
        <sz val="7.0"/>
      </rPr>
      <t>12/2019</t>
    </r>
    <r>
      <rPr>
        <rFont val="Arial"/>
        <color rgb="FFB45F06"/>
        <sz val="7.0"/>
      </rPr>
      <t xml:space="preserve">
</t>
    </r>
    <r>
      <rPr>
        <rFont val="Arial"/>
        <color rgb="FFA64D79"/>
        <sz val="7.0"/>
      </rPr>
      <t>8/2020</t>
    </r>
    <r>
      <rPr>
        <rFont val="Arial"/>
        <color rgb="FFB45F06"/>
        <sz val="7.0"/>
      </rPr>
      <t xml:space="preserve">
</t>
    </r>
    <r>
      <rPr>
        <rFont val="Arial"/>
        <color rgb="FF000000"/>
        <sz val="7.0"/>
      </rPr>
      <t>11/2018</t>
    </r>
  </si>
  <si>
    <t>Parkinson's Disease</t>
  </si>
  <si>
    <t>Sublingual Photobiomodulation in Parkinson's Disease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</si>
  <si>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</si>
  <si>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9/2019
</t>
    </r>
    <r>
      <rPr>
        <rFont val="Arial"/>
        <color rgb="FF0B5394"/>
        <sz val="7.0"/>
      </rPr>
      <t>12/2019</t>
    </r>
    <r>
      <rPr>
        <rFont val="Arial"/>
        <color rgb="FFB45F06"/>
        <sz val="7.0"/>
      </rPr>
      <t xml:space="preserve">
</t>
    </r>
    <r>
      <rPr>
        <rFont val="Arial"/>
        <color rgb="FFA64D79"/>
        <sz val="7.0"/>
      </rPr>
      <t>8/2021</t>
    </r>
    <r>
      <rPr>
        <rFont val="Arial"/>
        <color rgb="FFB45F06"/>
        <sz val="7.0"/>
      </rPr>
      <t xml:space="preserve">
</t>
    </r>
    <r>
      <rPr>
        <rFont val="Arial"/>
        <color rgb="FF000000"/>
        <sz val="7.0"/>
      </rPr>
      <t>7/2019</t>
    </r>
  </si>
  <si>
    <t>Pelvic girdle pain (pregnancy-related)</t>
  </si>
  <si>
    <t>Uppsala university</t>
  </si>
  <si>
    <t>Low Level Laser Therapy in Persistent Pelvic Girdle Pain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</si>
  <si>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</si>
  <si>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3/2016
</t>
    </r>
    <r>
      <rPr>
        <rFont val="Arial"/>
        <color rgb="FF0B5394"/>
        <sz val="7.0"/>
      </rPr>
      <t>12/2017</t>
    </r>
    <r>
      <rPr>
        <rFont val="Arial"/>
        <color rgb="FFB45F06"/>
        <sz val="7.0"/>
      </rPr>
      <t xml:space="preserve">
</t>
    </r>
    <r>
      <rPr>
        <rFont val="Arial"/>
        <color rgb="FFA64D79"/>
        <sz val="7.0"/>
      </rPr>
      <t>6/2018</t>
    </r>
    <r>
      <rPr>
        <rFont val="Arial"/>
        <color rgb="FFB45F06"/>
        <sz val="7.0"/>
      </rPr>
      <t xml:space="preserve">
</t>
    </r>
    <r>
      <rPr>
        <rFont val="Arial"/>
        <color rgb="FF000000"/>
        <sz val="7.0"/>
      </rPr>
      <t>2/2017</t>
    </r>
  </si>
  <si>
    <t>Effect of Low Level Laser Therapy and Pelvic Stabilisation Exercises on Postpartum Pelvic Girdle Pain (PGP)</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</si>
  <si>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</si>
  <si>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5/2018
</t>
    </r>
    <r>
      <rPr>
        <rFont val="Arial"/>
        <color rgb="FF0B5394"/>
        <sz val="7.0"/>
      </rPr>
      <t>7/2019</t>
    </r>
    <r>
      <rPr>
        <rFont val="Arial"/>
        <color rgb="FFB45F06"/>
        <sz val="7.0"/>
      </rPr>
      <t xml:space="preserve">
</t>
    </r>
    <r>
      <rPr>
        <rFont val="Arial"/>
        <color rgb="FFA64D79"/>
        <sz val="7.0"/>
      </rPr>
      <t>8/2019</t>
    </r>
    <r>
      <rPr>
        <rFont val="Arial"/>
        <color rgb="FFB45F06"/>
        <sz val="7.0"/>
      </rPr>
      <t xml:space="preserve">
</t>
    </r>
    <r>
      <rPr>
        <rFont val="Arial"/>
        <color rgb="FF000000"/>
        <sz val="7.0"/>
      </rPr>
      <t>7/2018</t>
    </r>
  </si>
  <si>
    <t>LED Light As An Adjunct Treatment Modality of Periodontal Diseases</t>
  </si>
  <si>
    <t>RCT, split-mouth
40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</si>
  <si>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</si>
  <si>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9/2017
</t>
    </r>
    <r>
      <rPr>
        <rFont val="Arial"/>
        <color rgb="FF0B5394"/>
        <sz val="7.0"/>
      </rPr>
      <t>8/2018</t>
    </r>
    <r>
      <rPr>
        <rFont val="Arial"/>
        <color rgb="FFB45F06"/>
        <sz val="7.0"/>
      </rPr>
      <t xml:space="preserve">
</t>
    </r>
    <r>
      <rPr>
        <rFont val="Arial"/>
        <color rgb="FFA64D79"/>
        <sz val="7.0"/>
      </rPr>
      <t>8/2018</t>
    </r>
    <r>
      <rPr>
        <rFont val="Arial"/>
        <color rgb="FFB45F06"/>
        <sz val="7.0"/>
      </rPr>
      <t xml:space="preserve">
</t>
    </r>
    <r>
      <rPr>
        <rFont val="Arial"/>
        <color rgb="FF000000"/>
        <sz val="7.0"/>
      </rPr>
      <t>6/2018</t>
    </r>
  </si>
  <si>
    <t>Peripheral Artery Disease</t>
  </si>
  <si>
    <t>Red Light Treatment in Peripheral Artery Disease</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</si>
  <si>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</si>
  <si>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1/2018
</t>
    </r>
    <r>
      <rPr>
        <rFont val="Arial"/>
        <color rgb="FF0B5394"/>
        <sz val="7.0"/>
      </rPr>
      <t>8/2020</t>
    </r>
    <r>
      <rPr>
        <rFont val="Arial"/>
        <color rgb="FFB45F06"/>
        <sz val="7.0"/>
      </rPr>
      <t xml:space="preserve">
</t>
    </r>
    <r>
      <rPr>
        <rFont val="Arial"/>
        <color rgb="FFA64D79"/>
        <sz val="7.0"/>
      </rPr>
      <t>8/2020</t>
    </r>
    <r>
      <rPr>
        <rFont val="Arial"/>
        <color rgb="FFB45F06"/>
        <sz val="7.0"/>
      </rPr>
      <t xml:space="preserve">
</t>
    </r>
    <r>
      <rPr>
        <rFont val="Arial"/>
        <color rgb="FF000000"/>
        <sz val="7.0"/>
      </rPr>
      <t>2/2018</t>
    </r>
  </si>
  <si>
    <t>Phobias (claustrophobia, social phobia)</t>
  </si>
  <si>
    <t>Effects of Low-Level Laser Stimulation With and Without Fear Extinction Training</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</si>
  <si>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</si>
  <si>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8/2015
</t>
    </r>
    <r>
      <rPr>
        <rFont val="Arial"/>
        <color rgb="FF0B5394"/>
        <sz val="7.0"/>
      </rPr>
      <t>5/2018</t>
    </r>
    <r>
      <rPr>
        <rFont val="Arial"/>
        <color rgb="FFB45F06"/>
        <sz val="7.0"/>
      </rPr>
      <t xml:space="preserve">
</t>
    </r>
    <r>
      <rPr>
        <rFont val="Arial"/>
        <color rgb="FFA64D79"/>
        <sz val="7.0"/>
      </rPr>
      <t>5/2018</t>
    </r>
    <r>
      <rPr>
        <rFont val="Arial"/>
        <color rgb="FFB45F06"/>
        <sz val="7.0"/>
      </rPr>
      <t xml:space="preserve">
</t>
    </r>
    <r>
      <rPr>
        <rFont val="Arial"/>
        <color rgb="FF000000"/>
        <sz val="7.0"/>
      </rPr>
      <t>1/2018</t>
    </r>
  </si>
  <si>
    <t>Landstuhl Regional Medical Center</t>
  </si>
  <si>
    <t>Photobiomodulation for Plantar Fasciitis</t>
  </si>
  <si>
    <t>RCT, open label
114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</si>
  <si>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</si>
  <si>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1/2017
</t>
    </r>
    <r>
      <rPr>
        <rFont val="Arial"/>
        <color rgb="FF0B5394"/>
        <sz val="7.0"/>
      </rPr>
      <t>8/2018</t>
    </r>
    <r>
      <rPr>
        <rFont val="Arial"/>
        <color rgb="FFB45F06"/>
        <sz val="7.0"/>
      </rPr>
      <t xml:space="preserve">
</t>
    </r>
    <r>
      <rPr>
        <rFont val="Arial"/>
        <color rgb="FFA64D79"/>
        <sz val="7.0"/>
      </rPr>
      <t>2/2019</t>
    </r>
    <r>
      <rPr>
        <rFont val="Arial"/>
        <color rgb="FFB45F06"/>
        <sz val="7.0"/>
      </rPr>
      <t xml:space="preserve">
</t>
    </r>
    <r>
      <rPr>
        <rFont val="Arial"/>
        <color rgb="FF000000"/>
        <sz val="7.0"/>
      </rPr>
      <t>3/2018</t>
    </r>
  </si>
  <si>
    <t>Postoperative pain (total knee replacement)</t>
  </si>
  <si>
    <t>University of Sao Paulo General Hospital</t>
  </si>
  <si>
    <t>Photobiomodulation on Postoperative Pain</t>
  </si>
  <si>
    <t>RCT, open label
34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</si>
  <si>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</si>
  <si>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12/2019
</t>
    </r>
    <r>
      <rPr>
        <rFont val="Arial"/>
        <color rgb="FF0B5394"/>
        <sz val="7.0"/>
      </rPr>
      <t>8/2020</t>
    </r>
    <r>
      <rPr>
        <rFont val="Arial"/>
        <color rgb="FFB45F06"/>
        <sz val="7.0"/>
      </rPr>
      <t xml:space="preserve">
</t>
    </r>
    <r>
      <rPr>
        <rFont val="Arial"/>
        <color rgb="FFA64D79"/>
        <sz val="7.0"/>
      </rPr>
      <t>8/2020</t>
    </r>
    <r>
      <rPr>
        <rFont val="Arial"/>
        <color rgb="FFB45F06"/>
        <sz val="7.0"/>
      </rPr>
      <t xml:space="preserve">
</t>
    </r>
    <r>
      <rPr>
        <rFont val="Arial"/>
        <color rgb="FF000000"/>
        <sz val="7.0"/>
      </rPr>
      <t>12/2019</t>
    </r>
  </si>
  <si>
    <t>The University of Texas at Arlington &amp; University of Texas at Austin</t>
  </si>
  <si>
    <t>Transcranial Infrared Laser Stimulation (TILS) of Prefrontal Cognition in Post-traumatic Stress Disorder (PTSD)</t>
  </si>
  <si>
    <t>RCT, sham-controlled, crossover
100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</si>
  <si>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</si>
  <si>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10/2017
</t>
    </r>
    <r>
      <rPr>
        <rFont val="Arial"/>
        <color rgb="FF0B5394"/>
        <sz val="7.0"/>
      </rPr>
      <t>12/2019</t>
    </r>
    <r>
      <rPr>
        <rFont val="Arial"/>
        <color rgb="FFB45F06"/>
        <sz val="7.0"/>
      </rPr>
      <t xml:space="preserve">
</t>
    </r>
    <r>
      <rPr>
        <rFont val="Arial"/>
        <color rgb="FFA64D79"/>
        <sz val="7.0"/>
      </rPr>
      <t>12/2019</t>
    </r>
    <r>
      <rPr>
        <rFont val="Arial"/>
        <color rgb="FFB45F06"/>
        <sz val="7.0"/>
      </rPr>
      <t xml:space="preserve">
</t>
    </r>
    <r>
      <rPr>
        <rFont val="Arial"/>
        <color rgb="FF000000"/>
        <sz val="7.0"/>
      </rPr>
      <t>7/2018</t>
    </r>
  </si>
  <si>
    <t>Hospital de Clinicas de Porto Alegre</t>
  </si>
  <si>
    <t>Low-level Laser Therapy Versus High Frequency on Pressure Ulcers Treatment</t>
  </si>
  <si>
    <t>RCT, sham-controlled (?)
75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</si>
  <si>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</si>
  <si>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1/2015
</t>
    </r>
    <r>
      <rPr>
        <rFont val="Arial"/>
        <color rgb="FF0B5394"/>
        <sz val="7.0"/>
      </rPr>
      <t>12/2017</t>
    </r>
    <r>
      <rPr>
        <rFont val="Arial"/>
        <color rgb="FFB45F06"/>
        <sz val="7.0"/>
      </rPr>
      <t xml:space="preserve">
</t>
    </r>
    <r>
      <rPr>
        <rFont val="Arial"/>
        <color rgb="FFA64D79"/>
        <sz val="7.0"/>
      </rPr>
      <t>12/2018</t>
    </r>
    <r>
      <rPr>
        <rFont val="Arial"/>
        <color rgb="FFB45F06"/>
        <sz val="7.0"/>
      </rPr>
      <t xml:space="preserve">
</t>
    </r>
    <r>
      <rPr>
        <rFont val="Arial"/>
        <color rgb="FF000000"/>
        <sz val="7.0"/>
      </rPr>
      <t>6/2016</t>
    </r>
  </si>
  <si>
    <t>UK (???)</t>
  </si>
  <si>
    <t>Ismart</t>
  </si>
  <si>
    <t>Safety and Effectiveness of Combined LED Light for the Treatment of Mild to Moderate Plaque Type Psoriasis Vulgaris</t>
  </si>
  <si>
    <t>RCT, open label
25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</si>
  <si>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</si>
  <si>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11/2018</t>
    </r>
    <r>
      <rPr>
        <rFont val="Arial"/>
        <color rgb="FFB45F06"/>
        <sz val="7.0"/>
      </rPr>
      <t xml:space="preserve">
</t>
    </r>
    <r>
      <rPr>
        <rFont val="Arial"/>
        <color rgb="FFA64D79"/>
        <sz val="7.0"/>
      </rPr>
      <t>6/2019</t>
    </r>
    <r>
      <rPr>
        <rFont val="Arial"/>
        <color rgb="FFB45F06"/>
        <sz val="7.0"/>
      </rPr>
      <t xml:space="preserve">
</t>
    </r>
    <r>
      <rPr>
        <rFont val="Arial"/>
        <color rgb="FF000000"/>
        <sz val="7.0"/>
      </rPr>
      <t>8/2018</t>
    </r>
  </si>
  <si>
    <t>AC Camargo Cancer Center</t>
  </si>
  <si>
    <t>Photobiomodulation for Breast Cancer Radiodermatitis</t>
  </si>
  <si>
    <t>RCT, double-blind
110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</si>
  <si>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</si>
  <si>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9/2020</t>
    </r>
    <r>
      <rPr>
        <rFont val="Arial"/>
        <color rgb="FFB45F06"/>
        <sz val="7.0"/>
      </rPr>
      <t xml:space="preserve">
</t>
    </r>
    <r>
      <rPr>
        <rFont val="Arial"/>
        <color rgb="FFA64D79"/>
        <sz val="7.0"/>
      </rPr>
      <t>11/2020</t>
    </r>
    <r>
      <rPr>
        <rFont val="Arial"/>
        <color rgb="FFB45F06"/>
        <sz val="7.0"/>
      </rPr>
      <t xml:space="preserve">
</t>
    </r>
    <r>
      <rPr>
        <rFont val="Arial"/>
        <color rgb="FF000000"/>
        <sz val="7.0"/>
      </rPr>
      <t>8/2019</t>
    </r>
  </si>
  <si>
    <t>Laser Therapy for the Prevention of Radiodermatitis in Head and Neck Patients (DERMISHEAD)</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</si>
  <si>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</si>
  <si>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1/2016
</t>
    </r>
    <r>
      <rPr>
        <rFont val="Arial"/>
        <color rgb="FF0B5394"/>
        <sz val="7.0"/>
      </rPr>
      <t>1/2018</t>
    </r>
    <r>
      <rPr>
        <rFont val="Arial"/>
        <color rgb="FFB45F06"/>
        <sz val="7.0"/>
      </rPr>
      <t xml:space="preserve">
</t>
    </r>
    <r>
      <rPr>
        <rFont val="Arial"/>
        <color rgb="FFA64D79"/>
        <sz val="7.0"/>
      </rPr>
      <t>1/2018</t>
    </r>
    <r>
      <rPr>
        <rFont val="Arial"/>
        <color rgb="FFB45F06"/>
        <sz val="7.0"/>
      </rPr>
      <t xml:space="preserve">
</t>
    </r>
    <r>
      <rPr>
        <rFont val="Arial"/>
        <color rgb="FF000000"/>
        <sz val="7.0"/>
      </rPr>
      <t>1/2018</t>
    </r>
  </si>
  <si>
    <t>University of Pittsburgh</t>
  </si>
  <si>
    <t>Low Level Laser Therapy for Radiation Induced Dermatitis in H &amp; N Squamous Cell Carcinoma</t>
  </si>
  <si>
    <t>Single-arm trial, open label
37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</si>
  <si>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</si>
  <si>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4/2015
</t>
    </r>
    <r>
      <rPr>
        <rFont val="Arial"/>
        <color rgb="FF0B5394"/>
        <sz val="7.0"/>
      </rPr>
      <t>12/2019</t>
    </r>
    <r>
      <rPr>
        <rFont val="Arial"/>
        <color rgb="FFB45F06"/>
        <sz val="7.0"/>
      </rPr>
      <t xml:space="preserve">
</t>
    </r>
    <r>
      <rPr>
        <rFont val="Arial"/>
        <color rgb="FFA64D79"/>
        <sz val="7.0"/>
      </rPr>
      <t>12/2019</t>
    </r>
    <r>
      <rPr>
        <rFont val="Arial"/>
        <color rgb="FFB45F06"/>
        <sz val="7.0"/>
      </rPr>
      <t xml:space="preserve">
</t>
    </r>
    <r>
      <rPr>
        <rFont val="Arial"/>
        <color rgb="FF000000"/>
        <sz val="7.0"/>
      </rPr>
      <t>2/2018</t>
    </r>
  </si>
  <si>
    <t>Hasselt University</t>
  </si>
  <si>
    <t>Photobiomodulation Therapy for the Prevention of Acute Radiodermatitis in Breast Cancer Patients Undergoing Radiotherapy (LABRA)</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</si>
  <si>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</si>
  <si>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2/2019
</t>
    </r>
    <r>
      <rPr>
        <rFont val="Arial"/>
        <color rgb="FF0B5394"/>
        <sz val="7.0"/>
      </rPr>
      <t>2/2021</t>
    </r>
    <r>
      <rPr>
        <rFont val="Arial"/>
        <color rgb="FFB45F06"/>
        <sz val="7.0"/>
      </rPr>
      <t xml:space="preserve">
</t>
    </r>
    <r>
      <rPr>
        <rFont val="Arial"/>
        <color rgb="FFA64D79"/>
        <sz val="7.0"/>
      </rPr>
      <t>6/2021</t>
    </r>
    <r>
      <rPr>
        <rFont val="Arial"/>
        <color rgb="FFB45F06"/>
        <sz val="7.0"/>
      </rPr>
      <t xml:space="preserve">
</t>
    </r>
    <r>
      <rPr>
        <rFont val="Arial"/>
        <color rgb="FF000000"/>
        <sz val="7.0"/>
      </rPr>
      <t>4/2019</t>
    </r>
  </si>
  <si>
    <t>Safety (skin)</t>
  </si>
  <si>
    <t>VA Northern California Health Care System</t>
  </si>
  <si>
    <t>Phase 1 Study of HF-LED-RL in Fitzpatrick Skin Types I to III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</si>
  <si>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</si>
  <si>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1/2018
</t>
    </r>
    <r>
      <rPr>
        <rFont val="Arial"/>
        <color rgb="FF0B5394"/>
        <sz val="7.0"/>
      </rPr>
      <t>1/2019</t>
    </r>
    <r>
      <rPr>
        <rFont val="Arial"/>
        <color rgb="FFB45F06"/>
        <sz val="7.0"/>
      </rPr>
      <t xml:space="preserve">
</t>
    </r>
    <r>
      <rPr>
        <rFont val="Arial"/>
        <color rgb="FFA64D79"/>
        <sz val="7.0"/>
      </rPr>
      <t>1/2019</t>
    </r>
    <r>
      <rPr>
        <rFont val="Arial"/>
        <color rgb="FFB45F06"/>
        <sz val="7.0"/>
      </rPr>
      <t xml:space="preserve">
</t>
    </r>
    <r>
      <rPr>
        <rFont val="Arial"/>
        <color rgb="FF000000"/>
        <sz val="7.0"/>
      </rPr>
      <t>2/2018</t>
    </r>
  </si>
  <si>
    <t>Scars</t>
  </si>
  <si>
    <t>State University of New York - Downstate Medical Center</t>
  </si>
  <si>
    <t>Light Emitting Diode-Red Light (LED-RL) Phototherapy for Skin Scarring Prevention</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</si>
  <si>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</si>
  <si>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3/2019
</t>
    </r>
    <r>
      <rPr>
        <rFont val="Arial"/>
        <color rgb="FF0B5394"/>
        <sz val="7.0"/>
      </rPr>
      <t>12/2019</t>
    </r>
    <r>
      <rPr>
        <rFont val="Arial"/>
        <color rgb="FFB45F06"/>
        <sz val="7.0"/>
      </rPr>
      <t xml:space="preserve">
</t>
    </r>
    <r>
      <rPr>
        <rFont val="Arial"/>
        <color rgb="FFA64D79"/>
        <sz val="7.0"/>
      </rPr>
      <t>3/2020</t>
    </r>
    <r>
      <rPr>
        <rFont val="Arial"/>
        <color rgb="FFB45F06"/>
        <sz val="7.0"/>
      </rPr>
      <t xml:space="preserve">
</t>
    </r>
    <r>
      <rPr>
        <rFont val="Arial"/>
        <color rgb="FF000000"/>
        <sz val="7.0"/>
      </rPr>
      <t>3/2019</t>
    </r>
  </si>
  <si>
    <t>Hitit University</t>
  </si>
  <si>
    <t>Laser Therapy in Adhesive Capsulitis</t>
  </si>
  <si>
    <t>RCT, sham-controlled
54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</si>
  <si>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</si>
  <si>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4/2019
</t>
    </r>
    <r>
      <rPr>
        <rFont val="Arial"/>
        <color rgb="FF0B5394"/>
        <sz val="7.0"/>
      </rPr>
      <t>8/2019</t>
    </r>
    <r>
      <rPr>
        <rFont val="Arial"/>
        <color rgb="FFB45F06"/>
        <sz val="7.0"/>
      </rPr>
      <t xml:space="preserve">
</t>
    </r>
    <r>
      <rPr>
        <rFont val="Arial"/>
        <color rgb="FFA64D79"/>
        <sz val="7.0"/>
      </rPr>
      <t>9/2019</t>
    </r>
    <r>
      <rPr>
        <rFont val="Arial"/>
        <color rgb="FFB45F06"/>
        <sz val="7.0"/>
      </rPr>
      <t xml:space="preserve">
</t>
    </r>
    <r>
      <rPr>
        <rFont val="Arial"/>
        <color rgb="FF000000"/>
        <sz val="7.0"/>
      </rPr>
      <t>5/2019</t>
    </r>
  </si>
  <si>
    <t>Skin: pigmentary disorders</t>
  </si>
  <si>
    <t>University of British Columbia</t>
  </si>
  <si>
    <t>Efficacy of Red Light in the Treatment of Pigmentary Disorders</t>
  </si>
  <si>
    <t>RCT (split-body), sham-controlled
45 participants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</si>
  <si>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</si>
  <si>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3/2020
</t>
    </r>
    <r>
      <rPr>
        <rFont val="Arial"/>
        <color rgb="FF0B5394"/>
        <sz val="7.0"/>
      </rPr>
      <t>9/2020</t>
    </r>
    <r>
      <rPr>
        <rFont val="Arial"/>
        <color rgb="FFB45F06"/>
        <sz val="7.0"/>
      </rPr>
      <t xml:space="preserve">
</t>
    </r>
    <r>
      <rPr>
        <rFont val="Arial"/>
        <color rgb="FFA64D79"/>
        <sz val="7.0"/>
      </rPr>
      <t>9/2020</t>
    </r>
    <r>
      <rPr>
        <rFont val="Arial"/>
        <color rgb="FFB45F06"/>
        <sz val="7.0"/>
      </rPr>
      <t xml:space="preserve">
</t>
    </r>
    <r>
      <rPr>
        <rFont val="Arial"/>
        <color rgb="FF000000"/>
        <sz val="7.0"/>
      </rPr>
      <t>3/2020</t>
    </r>
  </si>
  <si>
    <t>Association of Photobiomodulation With Platelet Rich Plasma Intradermal Injection for Facial Rejuvenation</t>
  </si>
  <si>
    <t>RCT, double-blind
96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</si>
  <si>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</si>
  <si>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1/2020
</t>
    </r>
    <r>
      <rPr>
        <rFont val="Arial"/>
        <color rgb="FF0B5394"/>
        <sz val="7.0"/>
      </rPr>
      <t>12/2020</t>
    </r>
    <r>
      <rPr>
        <rFont val="Arial"/>
        <color rgb="FFB45F06"/>
        <sz val="7.0"/>
      </rPr>
      <t xml:space="preserve">
</t>
    </r>
    <r>
      <rPr>
        <rFont val="Arial"/>
        <color rgb="FFA64D79"/>
        <sz val="7.0"/>
      </rPr>
      <t>12/2021</t>
    </r>
    <r>
      <rPr>
        <rFont val="Arial"/>
        <color rgb="FFB45F06"/>
        <sz val="7.0"/>
      </rPr>
      <t xml:space="preserve">
</t>
    </r>
    <r>
      <rPr>
        <rFont val="Arial"/>
        <color rgb="FF000000"/>
        <sz val="7.0"/>
      </rPr>
      <t>10/2019</t>
    </r>
  </si>
  <si>
    <t>Stanford University &amp; Sciton</t>
  </si>
  <si>
    <t>Infrared and Broadband Light for Skin Aging</t>
  </si>
  <si>
    <t>Single-arm, open label
6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</si>
  <si>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</si>
  <si>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11/2016
</t>
    </r>
    <r>
      <rPr>
        <rFont val="Arial"/>
        <color rgb="FF0B5394"/>
        <sz val="7.0"/>
      </rPr>
      <t>3/2018</t>
    </r>
    <r>
      <rPr>
        <rFont val="Arial"/>
        <color rgb="FFB45F06"/>
        <sz val="7.0"/>
      </rPr>
      <t xml:space="preserve">
</t>
    </r>
    <r>
      <rPr>
        <rFont val="Arial"/>
        <color rgb="FFA64D79"/>
        <sz val="7.0"/>
      </rPr>
      <t>3/2018</t>
    </r>
    <r>
      <rPr>
        <rFont val="Arial"/>
        <color rgb="FFB45F06"/>
        <sz val="7.0"/>
      </rPr>
      <t xml:space="preserve">
</t>
    </r>
    <r>
      <rPr>
        <rFont val="Arial"/>
        <color rgb="FF000000"/>
        <sz val="7.0"/>
      </rPr>
      <t>11/2017</t>
    </r>
  </si>
  <si>
    <t>Evaluation of the Effectiveness of Infrared LED Photobiomodulation in Children With Sleep Bruxism</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</si>
  <si>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</si>
  <si>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8/2017
</t>
    </r>
    <r>
      <rPr>
        <rFont val="Arial"/>
        <color rgb="FF0B5394"/>
        <sz val="7.0"/>
      </rPr>
      <t>8/2018</t>
    </r>
    <r>
      <rPr>
        <rFont val="Arial"/>
        <color rgb="FFB45F06"/>
        <sz val="7.0"/>
      </rPr>
      <t xml:space="preserve">
</t>
    </r>
    <r>
      <rPr>
        <rFont val="Arial"/>
        <color rgb="FFA64D79"/>
        <sz val="7.0"/>
      </rPr>
      <t>4/2019</t>
    </r>
    <r>
      <rPr>
        <rFont val="Arial"/>
        <color rgb="FFB45F06"/>
        <sz val="7.0"/>
      </rPr>
      <t xml:space="preserve">
</t>
    </r>
    <r>
      <rPr>
        <rFont val="Arial"/>
        <color rgb="FF000000"/>
        <sz val="7.0"/>
      </rPr>
      <t>10/2018</t>
    </r>
  </si>
  <si>
    <t>Soft tissue injury</t>
  </si>
  <si>
    <t>Isra University</t>
  </si>
  <si>
    <t>"THE EFFECTS OF LOW LEVEL LASER THERAPY VERSUS STRAIN/COUNTER STRAIN TECHNIQUE IN ACUTE SOFT TISSUE INJURIES"</t>
  </si>
  <si>
    <t>RCT, three-arm parallel study
60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</si>
  <si>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</si>
  <si>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9/2018
</t>
    </r>
    <r>
      <rPr>
        <rFont val="Arial"/>
        <color rgb="FF0B5394"/>
        <sz val="7.0"/>
      </rPr>
      <t>3/2019</t>
    </r>
    <r>
      <rPr>
        <rFont val="Arial"/>
        <color rgb="FFB45F06"/>
        <sz val="7.0"/>
      </rPr>
      <t xml:space="preserve">
</t>
    </r>
    <r>
      <rPr>
        <rFont val="Arial"/>
        <color rgb="FFA64D79"/>
        <sz val="7.0"/>
      </rPr>
      <t>7/2019</t>
    </r>
    <r>
      <rPr>
        <rFont val="Arial"/>
        <color rgb="FFB45F06"/>
        <sz val="7.0"/>
      </rPr>
      <t xml:space="preserve">
</t>
    </r>
    <r>
      <rPr>
        <rFont val="Arial"/>
        <color rgb="FF000000"/>
        <sz val="7.0"/>
      </rPr>
      <t>1/2019</t>
    </r>
  </si>
  <si>
    <t>Evaluation of Sensory-motor Response to Low-level Laser Therapy for the Treatment of Spinal Injuries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</si>
  <si>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</si>
  <si>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8/2016
</t>
    </r>
    <r>
      <rPr>
        <rFont val="Arial"/>
        <color rgb="FF0B5394"/>
        <sz val="7.0"/>
      </rPr>
      <t>1/2017</t>
    </r>
    <r>
      <rPr>
        <rFont val="Arial"/>
        <color rgb="FFB45F06"/>
        <sz val="7.0"/>
      </rPr>
      <t xml:space="preserve">
</t>
    </r>
    <r>
      <rPr>
        <rFont val="Arial"/>
        <color rgb="FFA64D79"/>
        <sz val="7.0"/>
      </rPr>
      <t>5/2017</t>
    </r>
    <r>
      <rPr>
        <rFont val="Arial"/>
        <color rgb="FFB45F06"/>
        <sz val="7.0"/>
      </rPr>
      <t xml:space="preserve">
</t>
    </r>
    <r>
      <rPr>
        <rFont val="Arial"/>
        <color rgb="FF000000"/>
        <sz val="7.0"/>
      </rPr>
      <t>1/2017</t>
    </r>
  </si>
  <si>
    <t>Surgical wound healing (cleft palate)</t>
  </si>
  <si>
    <t>Low Level Laser in Isolated Cleft Palate Repair Versus Surgical Correction Without LLL in Healing Process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</si>
  <si>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</si>
  <si>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10/2018
</t>
    </r>
    <r>
      <rPr>
        <rFont val="Arial"/>
        <color rgb="FF0B5394"/>
        <sz val="7.0"/>
      </rPr>
      <t>1/2020</t>
    </r>
    <r>
      <rPr>
        <rFont val="Arial"/>
        <color rgb="FFB45F06"/>
        <sz val="7.0"/>
      </rPr>
      <t xml:space="preserve">
</t>
    </r>
    <r>
      <rPr>
        <rFont val="Arial"/>
        <color rgb="FFA64D79"/>
        <sz val="7.0"/>
      </rPr>
      <t>12/2020</t>
    </r>
    <r>
      <rPr>
        <rFont val="Arial"/>
        <color rgb="FFB45F06"/>
        <sz val="7.0"/>
      </rPr>
      <t xml:space="preserve">
</t>
    </r>
    <r>
      <rPr>
        <rFont val="Arial"/>
        <color rgb="FF000000"/>
        <sz val="7.0"/>
      </rPr>
      <t>9/2018</t>
    </r>
  </si>
  <si>
    <t>Boston VA Research Institute, Inc.</t>
  </si>
  <si>
    <t>Photobiomodulation to Improve Cognition in TBI, With fMRI</t>
  </si>
  <si>
    <t>RCT, triple-blind
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</si>
  <si>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</si>
  <si>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8/2019
</t>
    </r>
    <r>
      <rPr>
        <rFont val="Arial"/>
        <color rgb="FF0B5394"/>
        <sz val="7.0"/>
      </rPr>
      <t>7/2020</t>
    </r>
    <r>
      <rPr>
        <rFont val="Arial"/>
        <color rgb="FFB45F06"/>
        <sz val="7.0"/>
      </rPr>
      <t xml:space="preserve">
</t>
    </r>
    <r>
      <rPr>
        <rFont val="Arial"/>
        <color rgb="FFA64D79"/>
        <sz val="7.0"/>
      </rPr>
      <t>19/2020</t>
    </r>
    <r>
      <rPr>
        <rFont val="Arial"/>
        <color rgb="FFB45F06"/>
        <sz val="7.0"/>
      </rPr>
      <t xml:space="preserve">
</t>
    </r>
    <r>
      <rPr>
        <rFont val="Arial"/>
        <color rgb="FF000000"/>
        <sz val="7.0"/>
      </rPr>
      <t>1/2020</t>
    </r>
  </si>
  <si>
    <t>Light Therapy for Moderate Traumatic Brain Injury (LLLT for TBI)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</si>
  <si>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</si>
  <si>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6/2014
</t>
    </r>
    <r>
      <rPr>
        <rFont val="Arial"/>
        <color rgb="FF0B5394"/>
        <sz val="7.0"/>
      </rPr>
      <t>12/2018</t>
    </r>
    <r>
      <rPr>
        <rFont val="Arial"/>
        <color rgb="FFB45F06"/>
        <sz val="7.0"/>
      </rPr>
      <t xml:space="preserve">
</t>
    </r>
    <r>
      <rPr>
        <rFont val="Arial"/>
        <color rgb="FFA64D79"/>
        <sz val="7.0"/>
      </rPr>
      <t>12/2018</t>
    </r>
    <r>
      <rPr>
        <rFont val="Arial"/>
        <color rgb="FFB45F06"/>
        <sz val="7.0"/>
      </rPr>
      <t xml:space="preserve">
</t>
    </r>
    <r>
      <rPr>
        <rFont val="Arial"/>
        <color rgb="FF000000"/>
        <sz val="7.0"/>
      </rPr>
      <t>5/2017</t>
    </r>
  </si>
  <si>
    <t>LED Treatment to Improve Cognition and Promote Recovery in TBI (LED-TBI)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</si>
  <si>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</si>
  <si>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5/2015
</t>
    </r>
    <r>
      <rPr>
        <rFont val="Arial"/>
        <color rgb="FF0B5394"/>
        <sz val="7.0"/>
      </rPr>
      <t>4/2020</t>
    </r>
    <r>
      <rPr>
        <rFont val="Arial"/>
        <color rgb="FFB45F06"/>
        <sz val="7.0"/>
      </rPr>
      <t xml:space="preserve">
</t>
    </r>
    <r>
      <rPr>
        <rFont val="Arial"/>
        <color rgb="FFA64D79"/>
        <sz val="7.0"/>
      </rPr>
      <t>10/2020</t>
    </r>
    <r>
      <rPr>
        <rFont val="Arial"/>
        <color rgb="FFB45F06"/>
        <sz val="7.0"/>
      </rPr>
      <t xml:space="preserve">
</t>
    </r>
    <r>
      <rPr>
        <rFont val="Arial"/>
        <color rgb="FF000000"/>
        <sz val="7.0"/>
      </rPr>
      <t>10/2018</t>
    </r>
  </si>
  <si>
    <t>Transcranial LED Therapy for Severe Acute Traumatic Brain Injury (LED-TBI)</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</si>
  <si>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</si>
  <si>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10/2017
</t>
    </r>
    <r>
      <rPr>
        <rFont val="Arial"/>
        <color rgb="FF0B5394"/>
        <sz val="7.0"/>
      </rPr>
      <t>10/2018</t>
    </r>
    <r>
      <rPr>
        <rFont val="Arial"/>
        <color rgb="FFB45F06"/>
        <sz val="7.0"/>
      </rPr>
      <t xml:space="preserve">
</t>
    </r>
    <r>
      <rPr>
        <rFont val="Arial"/>
        <color rgb="FFA64D79"/>
        <sz val="7.0"/>
      </rPr>
      <t>12/2018</t>
    </r>
    <r>
      <rPr>
        <rFont val="Arial"/>
        <color rgb="FFB45F06"/>
        <sz val="7.0"/>
      </rPr>
      <t xml:space="preserve">
</t>
    </r>
    <r>
      <rPr>
        <rFont val="Arial"/>
        <color rgb="FF000000"/>
        <sz val="7.0"/>
      </rPr>
      <t>7/2017</t>
    </r>
  </si>
  <si>
    <t>Traumatic brain injury &amp; PTSD</t>
  </si>
  <si>
    <t>LED Light Therapy to Improve Cognitive &amp; Psychosocial Function in TBI-PTSD Veterans</t>
  </si>
  <si>
    <t>Non-randomized, crossover
50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</si>
  <si>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</si>
  <si>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3/2016
</t>
    </r>
    <r>
      <rPr>
        <rFont val="Arial"/>
        <color rgb="FF0B5394"/>
        <sz val="7.0"/>
      </rPr>
      <t>3/2018</t>
    </r>
    <r>
      <rPr>
        <rFont val="Arial"/>
        <color rgb="FFB45F06"/>
        <sz val="7.0"/>
      </rPr>
      <t xml:space="preserve">
</t>
    </r>
    <r>
      <rPr>
        <rFont val="Arial"/>
        <color rgb="FFA64D79"/>
        <sz val="7.0"/>
      </rPr>
      <t>3/2018</t>
    </r>
    <r>
      <rPr>
        <rFont val="Arial"/>
        <color rgb="FFB45F06"/>
        <sz val="7.0"/>
      </rPr>
      <t xml:space="preserve">
</t>
    </r>
    <r>
      <rPr>
        <rFont val="Arial"/>
        <color rgb="FF000000"/>
        <sz val="7.0"/>
      </rPr>
      <t>8/2018</t>
    </r>
  </si>
  <si>
    <t>Traumatic injuries</t>
  </si>
  <si>
    <t>Effect of Photobiomodulation on the Treatment of Soft Tissue Traumatic Injuries</t>
  </si>
  <si>
    <t>RCT, sham-controlled
84 participants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</si>
  <si>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</si>
  <si>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5/2020
</t>
    </r>
    <r>
      <rPr>
        <rFont val="Arial"/>
        <color rgb="FF0B5394"/>
        <sz val="7.0"/>
      </rPr>
      <t>5/2021</t>
    </r>
    <r>
      <rPr>
        <rFont val="Arial"/>
        <color rgb="FFB45F06"/>
        <sz val="7.0"/>
      </rPr>
      <t xml:space="preserve">
</t>
    </r>
    <r>
      <rPr>
        <rFont val="Arial"/>
        <color rgb="FFA64D79"/>
        <sz val="7.0"/>
      </rPr>
      <t>12/2021</t>
    </r>
    <r>
      <rPr>
        <rFont val="Arial"/>
        <color rgb="FFB45F06"/>
        <sz val="7.0"/>
      </rPr>
      <t xml:space="preserve">
</t>
    </r>
    <r>
      <rPr>
        <rFont val="Arial"/>
        <color rgb="FF000000"/>
        <sz val="7.0"/>
      </rPr>
      <t>4/2020</t>
    </r>
  </si>
  <si>
    <t>NCT04361773</t>
  </si>
  <si>
    <t>Trigger finger</t>
  </si>
  <si>
    <t>Federal University of São Paulo (?)</t>
  </si>
  <si>
    <t>Effectiveness of Non-surgical Interventions for the Trigger Finger: a Randomized Clinical Trial</t>
  </si>
  <si>
    <t>RCT
132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</si>
  <si>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</si>
  <si>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3/2018
</t>
    </r>
    <r>
      <rPr>
        <rFont val="Arial"/>
        <color rgb="FF0B5394"/>
        <sz val="7.0"/>
      </rPr>
      <t>12/2019</t>
    </r>
    <r>
      <rPr>
        <rFont val="Arial"/>
        <color rgb="FFB45F06"/>
        <sz val="7.0"/>
      </rPr>
      <t xml:space="preserve">
</t>
    </r>
    <r>
      <rPr>
        <rFont val="Arial"/>
        <color rgb="FFA64D79"/>
        <sz val="7.0"/>
      </rPr>
      <t>7/2020</t>
    </r>
    <r>
      <rPr>
        <rFont val="Arial"/>
        <color rgb="FFB45F06"/>
        <sz val="7.0"/>
      </rPr>
      <t xml:space="preserve">
</t>
    </r>
    <r>
      <rPr>
        <rFont val="Arial"/>
        <color rgb="FF000000"/>
        <sz val="7.0"/>
      </rPr>
      <t>7/2017</t>
    </r>
  </si>
  <si>
    <t>Wake Forest University Health Sciences</t>
  </si>
  <si>
    <t>Randomized Controlled Trial for Treatment of Pain and Assessment of Wound Healing in Chronic Venous Leg Ulcers Using Near Infrared Laser Therapy</t>
  </si>
  <si>
    <t>RCT, double-blind
20 subjects</t>
  </si>
  <si>
    <r>
      <rPr>
        <rFont val="Arial"/>
        <color rgb="FFB45F06"/>
        <sz val="7.0"/>
      </rPr>
      <t xml:space="preserve">Study start:
</t>
    </r>
    <r>
      <rPr>
        <rFont val="Arial"/>
        <color rgb="FF0B5394"/>
        <sz val="7.0"/>
      </rPr>
      <t>Primary completion:</t>
    </r>
    <r>
      <rPr>
        <rFont val="Arial"/>
        <color rgb="FFB45F06"/>
        <sz val="7.0"/>
      </rPr>
      <t xml:space="preserve">
</t>
    </r>
    <r>
      <rPr>
        <rFont val="Arial"/>
        <color rgb="FFA64D79"/>
        <sz val="7.0"/>
      </rPr>
      <t xml:space="preserve">Study completion: </t>
    </r>
    <r>
      <rPr>
        <rFont val="Arial"/>
        <color rgb="FFB45F06"/>
        <sz val="7.0"/>
      </rPr>
      <t xml:space="preserve">
</t>
    </r>
    <r>
      <rPr>
        <rFont val="Arial"/>
        <color rgb="FF000000"/>
        <sz val="7.0"/>
      </rPr>
      <t>Last updated:</t>
    </r>
  </si>
  <si>
    <r>
      <rPr>
        <rFont val="Arial"/>
        <color rgb="FFB45F06"/>
        <sz val="7.0"/>
      </rPr>
      <t xml:space="preserve">7/2018
</t>
    </r>
    <r>
      <rPr>
        <rFont val="Arial"/>
        <color rgb="FF0B5394"/>
        <sz val="7.0"/>
      </rPr>
      <t>10/2019</t>
    </r>
    <r>
      <rPr>
        <rFont val="Arial"/>
        <color rgb="FFB45F06"/>
        <sz val="7.0"/>
      </rPr>
      <t xml:space="preserve">
</t>
    </r>
    <r>
      <rPr>
        <rFont val="Arial"/>
        <color rgb="FFA64D79"/>
        <sz val="7.0"/>
      </rPr>
      <t>10/2019</t>
    </r>
    <r>
      <rPr>
        <rFont val="Arial"/>
        <color rgb="FFB45F06"/>
        <sz val="7.0"/>
      </rPr>
      <t xml:space="preserve">
</t>
    </r>
    <r>
      <rPr>
        <rFont val="Arial"/>
        <color rgb="FF000000"/>
        <sz val="7.0"/>
      </rPr>
      <t>10/2018</t>
    </r>
  </si>
  <si>
    <r>
      <rPr>
        <rFont val="Arial"/>
        <b/>
        <color rgb="FF000000"/>
        <sz val="8.0"/>
      </rPr>
      <t xml:space="preserve">177 different journals with an impact factor of 3.0 or more /// 380+ articles
</t>
    </r>
    <r>
      <rPr>
        <rFont val="Arial"/>
        <b/>
        <color rgb="FF980000"/>
        <sz val="7.0"/>
      </rPr>
      <t>NOTE: This table is incomplete. The actual number of journals is likely to be somewhat higher than presented here.</t>
    </r>
  </si>
  <si>
    <r>
      <rPr>
        <rFont val="Arial"/>
        <b/>
        <color rgb="FF000000"/>
        <sz val="8.0"/>
      </rPr>
      <t xml:space="preserve">IF
</t>
    </r>
    <r>
      <rPr>
        <rFont val="Arial"/>
        <b/>
        <color rgb="FF000000"/>
        <sz val="8.0"/>
      </rPr>
      <t>2017</t>
    </r>
  </si>
  <si>
    <t>Reference</t>
  </si>
  <si>
    <t>Additional notes</t>
  </si>
  <si>
    <t>Nature Reviews Drug Discovery</t>
  </si>
  <si>
    <t>Nature Reviews Materials</t>
  </si>
  <si>
    <t>Lancet Oncology</t>
  </si>
  <si>
    <t>54.4</t>
  </si>
  <si>
    <t>The Lancet</t>
  </si>
  <si>
    <t>Efficacy of low-level laser therapy in the management of neck pain: a systematic review and meta-analysis of randomised placebo or active-treatment controlled trials</t>
  </si>
  <si>
    <t>Meta-analysis</t>
  </si>
  <si>
    <t>Lancet 2009;374:1897-908.</t>
  </si>
  <si>
    <t>Cell biology: Power games</t>
  </si>
  <si>
    <t>Nature 2006;443:901-3.</t>
  </si>
  <si>
    <t>JAMA Internal Medicine</t>
  </si>
  <si>
    <t>Nature Biomedical Engineering</t>
  </si>
  <si>
    <t>Light in diagnosis, therapy and surgery</t>
  </si>
  <si>
    <t>International Journal of Oral Science</t>
  </si>
  <si>
    <t>Advanced Materials</t>
  </si>
  <si>
    <t>Low-Energy Laser Irradiation Reduces Formation of Scar Tissue After Myocardial Infarction in Rats and Dogs</t>
  </si>
  <si>
    <t>Circulation 2001;103:296-301.</t>
  </si>
  <si>
    <t>Circulation 1992;85:756-68.</t>
  </si>
  <si>
    <t>Light: Science &amp; Applications</t>
  </si>
  <si>
    <t>Journal of the American College of Cardiology</t>
  </si>
  <si>
    <t>Photoremodeling of Arterial Wall Reduces Restenosis After Balloon Angioplasty in an Atherosclerotic Rabbit Model 1</t>
  </si>
  <si>
    <t>J Am Coll Cardiol 1998;31:1152-7.</t>
  </si>
  <si>
    <t>Science Translational Medicine</t>
  </si>
  <si>
    <t>Noninvasive low-level laser therapy for thrombocytopenia</t>
  </si>
  <si>
    <t>Sci Transl Med 2016;8:349ra101.</t>
  </si>
  <si>
    <t>Photoactivation of Endogenous Latent Transforming Growth Factor–β1 Directs Dental Stem Cell Differentiation for Regeneration</t>
  </si>
  <si>
    <t>Sci Transl Me. 2014;6:238ra69.</t>
  </si>
  <si>
    <t>Nature Communications</t>
  </si>
  <si>
    <t>Advanced Science</t>
  </si>
  <si>
    <t>Low-power laser in the prevention of induced oral mucositis in bone marrow transplantation patients: a randomized trial</t>
  </si>
  <si>
    <t>Blood 2007;109:2250-5.</t>
  </si>
  <si>
    <t>Science Advances</t>
  </si>
  <si>
    <t>ACS Nano 2015;9:7867-73.</t>
  </si>
  <si>
    <t>Effect of Repeated Low-Level Red-Light Therapy for Myopia Control in Children: A Multicenter Randomized Controlled Trial</t>
  </si>
  <si>
    <t>Low-Intensity Laser Irradiation Improves Skin Circulation in Patients With Diabetic Microangiopathy</t>
  </si>
  <si>
    <t>Diabetes Care 1998;21:580-4.</t>
  </si>
  <si>
    <t>Low-Intensity Laser Therapy for Painful Symptoms of Diabetic Sensorimotor Polyneuropathy</t>
  </si>
  <si>
    <t>Diabetes Care 2004;27:921-4.</t>
  </si>
  <si>
    <t>A Pilot Study to Evaluate the Efficacy of Class IV Lasers on Nonhealing Neuroischemic Diabetic Foot Ulcers in Patients With Type 2 Diabetes</t>
  </si>
  <si>
    <t>Diabetes Care 2015;38:e152-3.</t>
  </si>
  <si>
    <t>Molecular Psychiatry</t>
  </si>
  <si>
    <t>Annals of the Rheumatic Diseases</t>
  </si>
  <si>
    <t>Ann Rheum Dis 1993;52:703-6.</t>
  </si>
  <si>
    <t>Journal of Pineal Research</t>
  </si>
  <si>
    <t>Melatonin modulates the action of near infrared radiation on cell adhesion</t>
  </si>
  <si>
    <t>J Pineal Res 2003;34:167-72.</t>
  </si>
  <si>
    <t>Biotechnology Advances</t>
  </si>
  <si>
    <t>Shining light on nanotechnology to help repair and regeneration</t>
  </si>
  <si>
    <t>Biotechnol Adv 2013;31:607-31.</t>
  </si>
  <si>
    <t>Bioengineering &amp; Translational Medicine</t>
  </si>
  <si>
    <t>Annals of Neurology</t>
  </si>
  <si>
    <t>Near-infrared light is neuroprotective in a monkey model of Parkinson disease</t>
  </si>
  <si>
    <t>Ann Neurol 2016;79:59-75.</t>
  </si>
  <si>
    <t>Cell &amp; Bioscience</t>
  </si>
  <si>
    <t>PNAS</t>
  </si>
  <si>
    <t>Therapeutic photobiomodulation for methanol-induced retinal toxicity</t>
  </si>
  <si>
    <t>Proc Natl Acad Sci U S A 2003;100:3439-44.</t>
  </si>
  <si>
    <t>Biomaterials 2005;26:3503-9.</t>
  </si>
  <si>
    <t>Biomaterials 2014;35:9280-9.</t>
  </si>
  <si>
    <t>JAMA Ophthalmology</t>
  </si>
  <si>
    <t>JAMA Dermatology</t>
  </si>
  <si>
    <t>Treatment of Keratosis Pilaris With 810-nm Diode Laser: A Randomized Clinical Trial</t>
  </si>
  <si>
    <t>Verify it's PBM (low-level light)
(Aaron - Not PBM)</t>
  </si>
  <si>
    <t>British Journal of Sports Medicine</t>
  </si>
  <si>
    <t>Br J Sports Med 2006;40:76-80; discussion 76-80.</t>
  </si>
  <si>
    <t>(Frozen shoulder: the effectiveness of conservative and surgical interventions—systematic review)</t>
  </si>
  <si>
    <t>Br J Sports Med 2011;45:49-56.</t>
  </si>
  <si>
    <t>Advanced Materials Technologies</t>
  </si>
  <si>
    <t>Frontiers in Immunology</t>
  </si>
  <si>
    <t>American Journal of Clinical Dermatology</t>
  </si>
  <si>
    <t>Efficacy and Safety of a Low-level Laser Device in the Treatment of Male and Female Pattern Hair Loss: A Multicenter, Randomized, Sham Device-controlled, Double-blind Study</t>
  </si>
  <si>
    <t>Use of 31P magnetisation transfer magnetic resonance spectroscopy to measure ATP changes after 670 nm transcranial photobiomodulation in older adults</t>
  </si>
  <si>
    <t>Redox Biology</t>
  </si>
  <si>
    <t>Redox Biol 2018;20:13-18.</t>
  </si>
  <si>
    <t>Journal of the American Academy of Dermatology</t>
  </si>
  <si>
    <t>Early application of low-level laser may reduce the incidence of postherpetic neuralgia (PHN)</t>
  </si>
  <si>
    <t>Increased dermal angiogenesis after low-intensity laser therapy for a chronic radiation ulcer determined by a video measuring system</t>
  </si>
  <si>
    <t>Successful treatment of a persistent radiation ulcer by low power laser therapy</t>
  </si>
  <si>
    <t>Cochrane Database of Systematic Reviews</t>
  </si>
  <si>
    <t>Low level laser therapy for nonspecific low-back pain</t>
  </si>
  <si>
    <t>Cochrane Database Syst Rev 2008;(2):CD005107.</t>
  </si>
  <si>
    <t>Electrotherapy modalities for adhesive capsulitis (frozen shoulder)</t>
  </si>
  <si>
    <t>Low level laser therapy (Classes I, II and III) for treating rheumatoid arthritis</t>
  </si>
  <si>
    <t>Cochrane Database Syst Rev. 2005;(4):CD002049.</t>
  </si>
  <si>
    <t>Electrotherapy modalities for rotator cuff disease</t>
  </si>
  <si>
    <t>Cochrane Database Syst Rev 2016;(6):CD012225.</t>
  </si>
  <si>
    <t>Low level laser therapy for treating tuberculosis</t>
  </si>
  <si>
    <t>Cochrane Database Syst Rev. 2006;(2):CD003490.</t>
  </si>
  <si>
    <t>Translational Stroke Research</t>
  </si>
  <si>
    <t>Frontiers in Cell and Developmental Biology</t>
  </si>
  <si>
    <t>Drug Discovery Today</t>
  </si>
  <si>
    <t>(Targeting mitochondrial dysfunction as in aging and glaucoma.)</t>
  </si>
  <si>
    <t>Drug Discov Today. 2014;19:1613-22.</t>
  </si>
  <si>
    <t>Treatment of postmastectomy lymphedema with low-level laser therapy: A double blind, placebo-controlled trial</t>
  </si>
  <si>
    <t>Cancer 2003;98:1114-22.</t>
  </si>
  <si>
    <t>Antioxidants &amp; Redox Signaling</t>
  </si>
  <si>
    <t>Illumination with 630 nm Red Light Reduces Oxidative Stress and Restores Memory by Photo-Activating Catalase and Formaldehyde Dehydrogenase in SAMP8 Mice.</t>
  </si>
  <si>
    <t>Antioxid Redox Signal. 2018 Jul 23</t>
  </si>
  <si>
    <t>Antioxid Redox Signal 2002;4:785-90.</t>
  </si>
  <si>
    <t>Molecular Neurodegeneration</t>
  </si>
  <si>
    <t>Reduced axonal transport in Parkinson's disease cybrid neurites is restored by light therapy</t>
  </si>
  <si>
    <t>Mol Neurodegener. 2009 Jun 17;4:26.</t>
  </si>
  <si>
    <t>JACC: Clinical Electrophysiology</t>
  </si>
  <si>
    <t>Journal of Investigative Dermatology</t>
  </si>
  <si>
    <t>Low-Intensity Laser Therapy is an Effective Treatment for Recurrent Herpes Simplex Infection. Results from a Randomized Double-Blind Placebo-Controlled Study (comment &amp; reply)</t>
  </si>
  <si>
    <t>J Invest Dermatol 1999;113:221-3.</t>
  </si>
  <si>
    <t>Regulation of Skin Collagen Metabolism In Vitro Using a Pulsed 660 nm LED Light Source: Clinical Correlation with a Single-Blinded Study</t>
  </si>
  <si>
    <t>J Invest Dermatol 2009;129:2751-9.</t>
  </si>
  <si>
    <t>cDNA microarray analysis of gene expression profiles in human fibroblast cells irradiated with red light.</t>
  </si>
  <si>
    <t>J Invest Dermatol 2003;120:849-57.</t>
  </si>
  <si>
    <t>J Invest Dermatol 2003;120:56-64</t>
  </si>
  <si>
    <t>Lack of response to laser comb in spontaneous and graft-induced alopecia areata in C3H/HeJ mice.</t>
  </si>
  <si>
    <t>J Invest Dermatol 2014;134:264–266.</t>
  </si>
  <si>
    <t>Helium–Neon Laser Irradiation Stimulates Cell Proliferation through Photostimulatory Effects in Mitochondria</t>
  </si>
  <si>
    <t>J Invest Dermatol 2007;127:2048-57.</t>
  </si>
  <si>
    <t>Low-Energy Helium-Neon Laser Irradiation Increases the Motility of Cultured Human Keratinocytes</t>
  </si>
  <si>
    <t>J Invest Dermatol 1990;94:822-6.</t>
  </si>
  <si>
    <t>Low-energy helium-neon laser irradiation stimulates interleukin-1 alpha and interleukin-8 release from cultured human keratinocytes.</t>
  </si>
  <si>
    <t>J Invest Dermatol 1996t;107:593-6.</t>
  </si>
  <si>
    <t>Low-energy helium neon laser irradiation does not alter human keratinocyte differentiation.</t>
  </si>
  <si>
    <t>J Invest Dermatol 1992;99:445-8.</t>
  </si>
  <si>
    <t>Cytokine &amp; Growth Factor Reviews</t>
  </si>
  <si>
    <t>Medicine &amp; Science in Sports &amp; Exercise</t>
  </si>
  <si>
    <t>Cardiovascular Research</t>
  </si>
  <si>
    <t>Periodontology 2000</t>
  </si>
  <si>
    <t>Periodontal and peri-implant wound healing following laser therapy</t>
  </si>
  <si>
    <t>Verify it's PBM (low-level light)
(Aaron - PBM is discussed)</t>
  </si>
  <si>
    <t>Low-Level Laser Therapy Applied Transcranially to Rats After Induction of Stroke Significantly Reduces Long-Term Neurological Deficits</t>
  </si>
  <si>
    <t>J Neurotrauma 2007;24:651-6.</t>
  </si>
  <si>
    <t>Safety Profile of Transcranial Near-Infrared Laser Therapy Administered in Combination With Thrombolytic Therapy to Embolized Rabbits</t>
  </si>
  <si>
    <t>Stroke 2008;39:3073-8.</t>
  </si>
  <si>
    <t>Stroke 2004;35:1985-8.</t>
  </si>
  <si>
    <t>Transcranial laser therapy and infarct volume.</t>
  </si>
  <si>
    <t>Stroke 2013;44:2025-7.</t>
  </si>
  <si>
    <t>Infrared Laser Therapy for Ischemic Stroke: A New Treatment Strategy. Results of the NeuroThera Effectiveness and Safety Trial-1 (NEST-1)</t>
  </si>
  <si>
    <t>Stroke 2007;38:1843-9.</t>
  </si>
  <si>
    <t>Transcranial Laser Therapy in Acute Stroke Treatment: Results of Neurothera Effectiveness and Safety Trial 3, a Phase III Clinical End Point Device Trial</t>
  </si>
  <si>
    <t>Stroke 2014;45:3187-93.</t>
  </si>
  <si>
    <t>British Journal of Dermatology</t>
  </si>
  <si>
    <t>Direct stimulatory effect of low-intensity 670 nm laser irradiation on human endothelial cell proliferation</t>
  </si>
  <si>
    <t>Phototherapy with low intensity laser irradiation for a chronic radiation ulcer in a patient with lupus erythematosus and diabetes mellitus</t>
  </si>
  <si>
    <t>Br J Dermatol 2009;161:273-80.</t>
  </si>
  <si>
    <t>The American Journal of Sports Medicine</t>
  </si>
  <si>
    <t>Effects of Low-Level Laser Therapy and Eccentric Exercises in the Treatment of Recreational Athletes With Chronic Achilles Tendinopathy</t>
  </si>
  <si>
    <t>Brain Stimulation</t>
  </si>
  <si>
    <t>Transcranial Laser Stimulation as Neuroenhancement for Attention Bias Modification in Adults with Elevated Depression Symptoms</t>
  </si>
  <si>
    <t>The Journal of Neuroscience</t>
  </si>
  <si>
    <t>Low-Level Laser Therapy Rescues Dendrite Atrophy via Upregulating BDNF Expression: Implications for Alzheimer's Disease</t>
  </si>
  <si>
    <t>J Neurosci 2013;33:13505-17.</t>
  </si>
  <si>
    <t>Neuroprotective Effects of Near-Infrared Light in an In Vivo Model of Mitochondrial Optic Neuropathy</t>
  </si>
  <si>
    <t>J Neurosci 2008;28:13511-21.</t>
  </si>
  <si>
    <t>Free Radical Biology and Medicine</t>
  </si>
  <si>
    <t>Photobiomodulation by low-power laser irradiation attenuates Aβ-induced cell apoptosis through the Akt/GSK3β/β-catenin pathway</t>
  </si>
  <si>
    <t>Free Radic Biol Med 2012;53:1459-67.</t>
  </si>
  <si>
    <t>Journal of Cerebral Blood Flow &amp; Metabolism</t>
  </si>
  <si>
    <t>Low-Level Light in Combination with Metabolic Modulators for Effective Therapy of Injured Brain</t>
  </si>
  <si>
    <t>Critical Reviews in Oncology/Hematology</t>
  </si>
  <si>
    <t>Basic Research in Cardiology</t>
  </si>
  <si>
    <t>Frontiers in Aging Neuroscience</t>
  </si>
  <si>
    <t>The effect of 300 mW, 830 nm laser on chronic neck pain: A double-blind, randomized, placebo-controlled study</t>
  </si>
  <si>
    <t>Pain 2006;124:201-10.</t>
  </si>
  <si>
    <t>Laser acupuncture in children with headache: A double-blind, randomized, bicenter, placebo-controlled trial</t>
  </si>
  <si>
    <t>Pain 2008;137:405-12.</t>
  </si>
  <si>
    <t>Pain 2003;105:89-96.</t>
  </si>
  <si>
    <t>The effect of low-level laser therapy on musculoskeletal pain: A meta-analysis.</t>
  </si>
  <si>
    <t>Pain 1993;52:63-6.</t>
  </si>
  <si>
    <t>Low power laser biostimulation of chronic oro-facial pain. A double-blind placebo controlled cross-over study in 40 patients</t>
  </si>
  <si>
    <t>Pain 1990;43:169-79.</t>
  </si>
  <si>
    <t>Laser treatment applied to acupuncture points in lateral humeral epicondylalgia. A double-blind study</t>
  </si>
  <si>
    <t>International Journal of Radiation Oncology • Biology • Physics</t>
  </si>
  <si>
    <t>Oral mucositis prevention by low-level laser therapy in head-and-neck cancer patients undergoing concurrent chemoradiotherapy: a phase III randomized study. (comment and reply)</t>
  </si>
  <si>
    <t>Translational Neurodegeneration</t>
  </si>
  <si>
    <t>Cellular Physiology and Biochemistry</t>
  </si>
  <si>
    <t>Low-Power Laser Irradiation Inhibiting Aβ25-35-induced PC12 Cell Apoptosis via PKC Activation</t>
  </si>
  <si>
    <t>Osteoarthritis and Cartilage</t>
  </si>
  <si>
    <t>Aerobic exercise training and low-level laser therapy modulate inflammatory response and degenerative process in an experimental model of knee osteoarthritis in rats</t>
  </si>
  <si>
    <t>Effectiveness of low-level laser therapy in patients with knee osteoarthritis: a systematic review and meta-analysis</t>
  </si>
  <si>
    <t>Effects of helium–neon laser on the mucopolysaccharide induction in experimental osteoarthritic cartilage</t>
  </si>
  <si>
    <t>Frontiers of Optoelectronics</t>
  </si>
  <si>
    <t>Journal of Dental Research</t>
  </si>
  <si>
    <t>Lasers for the Treatment of Dentin Hypersensitivity: A Meta-analysis</t>
  </si>
  <si>
    <t>Inhibition of Prostaglandin E2 and Interleukin 1-β Production by Low-power Laser Irradiation in Stretched Human Periodontal Ligament Cells</t>
  </si>
  <si>
    <t>Experimental Neurology</t>
  </si>
  <si>
    <t>Journal of Molecular and Cellular Cardiology</t>
  </si>
  <si>
    <t>Near infrared light protects cardiomyocytes from hypoxia and reoxygenation injury by a nitric oxide dependent mechanism</t>
  </si>
  <si>
    <t>Far red/near infrared light treatment promotes femoral artery collateralization in the ischemic hindlimb</t>
  </si>
  <si>
    <t>Neurobiology of Aging</t>
  </si>
  <si>
    <t>Age-related retinal inflammation is reduced by 670 nm light via increased mitochondrial membrane potential</t>
  </si>
  <si>
    <t>Mitochondrial decline precedes phenotype development in the complement factor H mouse model of retinal degeneration but can be corrected by near infrared light</t>
  </si>
  <si>
    <t>Journal of Neuroinflammation</t>
  </si>
  <si>
    <t>Red LED photobiomodulation reduces pain hypersensitivity and improves sensorimotor function following mild T10 hemicontusion spinal cord injury</t>
  </si>
  <si>
    <t>Low-level laser therapy regulates microglial function through Src-mediated signaling pathways: implications for neurodegenerative diseases.</t>
  </si>
  <si>
    <t>Br J Rheumatol 1993;32:740-2.</t>
  </si>
  <si>
    <t>Br J Rheumatol. 1994 Feb;33(2):142-7.</t>
  </si>
  <si>
    <t>Translational Psychiatry</t>
  </si>
  <si>
    <t>BMJ Open Diabetes Research &amp; Care</t>
  </si>
  <si>
    <t>Journal of Cell Science</t>
  </si>
  <si>
    <t>Low-energy laser irradiation promotes the survival and cell cycle entry of skeletal muscle satellite cells</t>
  </si>
  <si>
    <t>Molecular Neurobiology</t>
  </si>
  <si>
    <t>Low-Level Laser Irradiation Improves Depression-Like Behaviors in Mice</t>
  </si>
  <si>
    <t>JAMA Network Open</t>
  </si>
  <si>
    <t>Alzheimer's Research &amp; Therapy</t>
  </si>
  <si>
    <t>Photobiomodulation with near infrared light mitigates Alzheimer’s disease-related pathology in cerebral cortex – evidence from two transgenic mouse models</t>
  </si>
  <si>
    <t>Stem Cell Research &amp; Therapy</t>
  </si>
  <si>
    <t>Lung cancer stem cells and low-intensity laser irradiation: a potential future therapy?</t>
  </si>
  <si>
    <t>Journal of Neurotrauma</t>
  </si>
  <si>
    <t>Laser Therapy and Pain-Related Behavior after Injury of the Inferior Alveolar Nerve: Possible Involvement of Neurotrophins</t>
  </si>
  <si>
    <t>Low-Level Laser Light Therapy Improves Cognitive Deficits and Inhibits Microglial Activation after Controlled Cortical Impact in Mice</t>
  </si>
  <si>
    <t>Low-Level Laser Therapy Applied Transcranially to Mice following Traumatic Brain Injury Significantly Reduces Long-term Neurological Deficits</t>
  </si>
  <si>
    <t>Nanoparticle-emitted light attenuates amyloid-β-induced superoxide and inflammation in astrocytes</t>
  </si>
  <si>
    <t>Nanomedicine 2014;10:15-7.</t>
  </si>
  <si>
    <t>The Journals of Gerontology: Series A</t>
  </si>
  <si>
    <t>Biochemical Society Transactions</t>
  </si>
  <si>
    <t>Molecular Therapy - Methods &amp; Clinical Development</t>
  </si>
  <si>
    <t>Oxidative Medicine and Cellular Longevity</t>
  </si>
  <si>
    <t>Radiotherapy &amp; Oncology</t>
  </si>
  <si>
    <t>Phase III trial of low-level laser therapy to prevent oral mucositis in head and neck cancer patients treated with concurrent chemoradiation</t>
  </si>
  <si>
    <t>Journal of Molecular Medicine</t>
  </si>
  <si>
    <t>Induction of primitive pigment cell differentiation by visible light (helium–neon laser): a photoacceptor-specific response not replicable by UVB irradiation</t>
  </si>
  <si>
    <t>Reviews in the Neurosciences</t>
  </si>
  <si>
    <t>Journal of Thrombosis and Haemostasis</t>
  </si>
  <si>
    <t>European Journal of Pharmaceutics and Biopharmaceutics</t>
  </si>
  <si>
    <t>BBA Molecular Cell Research</t>
  </si>
  <si>
    <t>Low-energy laser irradiation enhances de novo protein synthesis via its effects on translation-regulatory proteins in skeletal muscle myoblasts</t>
  </si>
  <si>
    <t>Low-energy laser irradiation affects satellite cell proliferation and differentiation in vitro</t>
  </si>
  <si>
    <t>Parkinsonism &amp; Related Disorders</t>
  </si>
  <si>
    <t>Photobiomodulation enhances nigral dopaminergic cell survival in a chronic MPTP mouse model of Parkinson’s disease</t>
  </si>
  <si>
    <t>Neurorehabilitation and Neural Repair</t>
  </si>
  <si>
    <t>Combined Central and Peripheral Stimulation for Treatment of Chronic Tinnitus: A Randomized Pilot Study</t>
  </si>
  <si>
    <t>Expert Opinion on Drug Discovery</t>
  </si>
  <si>
    <t>(Drug discovery for alopecia: gone today, hair tomorrow)</t>
  </si>
  <si>
    <t>Oral Oncology</t>
  </si>
  <si>
    <t>Evaluation of low-level laser therapy in the prevention and treatment of radiation-induced mucositis: A double-blind randomized study in head and neck cancer patients</t>
  </si>
  <si>
    <t>Cost-effectiveness of low-level laser therapy (LLLT) in head and neck cancer patients receiving concurrent chemoradiation</t>
  </si>
  <si>
    <t>Association of laser phototherapy with PRP improves healing of bisphosphonate-related osteonecrosis of the jaws in cancer patients: A preliminary study</t>
  </si>
  <si>
    <t>Low Level Helium Neon Laser therapy for chemoradiotherapy induced oral mucositis in oral cancer patients – A randomized controlled trial</t>
  </si>
  <si>
    <t>(Australian) Journal of Physiotherapy</t>
  </si>
  <si>
    <t>A systematic review of low level laser therapy with location-specific doses for pain from chronic joint disorders</t>
  </si>
  <si>
    <t>Effect of low-energy laser (He-Ne) irradiation on the process of bone repair in the rat tibia</t>
  </si>
  <si>
    <t>PLOS Neglected Tropical Diseases</t>
  </si>
  <si>
    <t>Low-level Laser Therapy to the Mouse Femur Enhances the Fungicidal Response of Neutrophils against Paracoccidioides brasiliensis</t>
  </si>
  <si>
    <t>IF data from bioxbio.com</t>
  </si>
  <si>
    <t>Frontiers in Oncology</t>
  </si>
  <si>
    <t>Front Oncol 2018;8:343</t>
  </si>
  <si>
    <t>Clinical &amp; Experimental Ophthalmology</t>
  </si>
  <si>
    <t>Journal of Cellular and Molecular Medicine</t>
  </si>
  <si>
    <t>Frontiers in Cellular Neuroscience</t>
  </si>
  <si>
    <t>Protection against neurodegeneration with low-dose methylene blue and near-infrared light</t>
  </si>
  <si>
    <t>Annals of the New York Academy of Sciences</t>
  </si>
  <si>
    <t>Low Level Laser Therapy (LLLT) as an Effective Therapeutic Modality for Delayed Wound Healing</t>
  </si>
  <si>
    <t>Clinical Oral Implants Research</t>
  </si>
  <si>
    <t>Laser therapy accelerates initial attachment and subsequent behaviour of human oral fibroblasts cultured on titanium implant material</t>
  </si>
  <si>
    <t>Low-level laser therapy stimulates bone–implant interaction: an experimental study in rabbits</t>
  </si>
  <si>
    <t>Osseointegration of endosseous ceramic implants after postoperative low-power laser stimulation: an in vivo comparative study</t>
  </si>
  <si>
    <t>Effect of low-power laser irradiation on bony implant sites</t>
  </si>
  <si>
    <t>Arthritis Research &amp; Therapy</t>
  </si>
  <si>
    <t>The effectiveness of low-level laser therapy for nonspecific chronic low back pain: a systematic review and meta-analysis</t>
  </si>
  <si>
    <t>Journal of Neurosurgery</t>
  </si>
  <si>
    <t>Intracranial application of near-infrared light in a hemi-parkinsonian rat model: the impact on behavior and cell survival</t>
  </si>
  <si>
    <t>Photobiomodulation inside the brain: a novel method of applying near-infrared light intracranially and its impact on dopaminergic cell survival in MPTP-treated mice: Laboratory investigation</t>
  </si>
  <si>
    <t>Biochemical Pharmacology</t>
  </si>
  <si>
    <t>ACS Biomaterials Science &amp; Engineering</t>
  </si>
  <si>
    <t>American Heart Journal</t>
  </si>
  <si>
    <t>New concepts in pain management and in the application of low-power laser for relief of cervicothoracic pain syndromes</t>
  </si>
  <si>
    <t>Cryrstal Growth &amp; Design</t>
  </si>
  <si>
    <t>Spectrochimica Acta Part A: Molecular and Biomolecular Spectroscopy</t>
  </si>
  <si>
    <t>Journal of Tissue Engineering and Regenerative Medicine</t>
  </si>
  <si>
    <t>Synergistic effects of low-level laser and mesenchymal stem cells on functional recovery in rats with crushed sciatic nerves</t>
  </si>
  <si>
    <t>Scientific Reports</t>
  </si>
  <si>
    <t>Interplay between up-regulation of cytochrome-c-oxidase and hemoglobin oxygenation induced by near-infrared laser</t>
  </si>
  <si>
    <t>Additive enhancement of wound healing in diabetic mice by low level light and topical CoQ10</t>
  </si>
  <si>
    <t>Light Effect on Water Viscosity: Implication for ATP Biosynthesis.</t>
  </si>
  <si>
    <t>The American Journal of Pathology</t>
  </si>
  <si>
    <t>Effect of Class IV Laser Therapy on Chemotherapy-Induced Oral Mucositis : A Clinical and Experimental Study</t>
  </si>
  <si>
    <t>Am J Pathol 1990;137:171–178.</t>
  </si>
  <si>
    <t>RETINA</t>
  </si>
  <si>
    <t>A double-masked, randomized, sham-controlled, single-center study with photobiomodulation for the treatment of dry age-related macular degeneration</t>
  </si>
  <si>
    <t>Ophthalmic &amp; Physiological Optics (OPO)</t>
  </si>
  <si>
    <t>Dental Materials</t>
  </si>
  <si>
    <t>Developments in low level light therapy (LLLT) for dentistry</t>
  </si>
  <si>
    <t>International Journal of Cardiology</t>
  </si>
  <si>
    <t>Impact of low level laser irradiation on infarct size in the rat following myocardial infarction</t>
  </si>
  <si>
    <t>The Journal of Biological Chemistry</t>
  </si>
  <si>
    <t>Photobiomodulation Directly Benefits Primary Neurons Functionally Inactivated by Toxins: role of cytochrome c oxidase</t>
  </si>
  <si>
    <t>Prevention of skin flap necrosis by use of adipose-derived stromal cells with light-emitting diode phototherapy</t>
  </si>
  <si>
    <t>Cell and Tissue Research</t>
  </si>
  <si>
    <t>Journal of Cellular Physiology</t>
  </si>
  <si>
    <t>Activation of nuclear estrogen receptors induced by low-power laser irradiation via PI3-K/Akt signaling cascade</t>
  </si>
  <si>
    <t>Single cell analysis of PKC activation during proliferation and apoptosis induced by laser irradiation</t>
  </si>
  <si>
    <t>Photoactivation of bone marrow mesenchymal stromal cells with diode laser: Effects and mechanisms of action</t>
  </si>
  <si>
    <t>Journal of Clinical Periodontology</t>
  </si>
  <si>
    <t>Combination of LED light and platelet-derived growth factor to accelerate dentoalveolar osteogenesis</t>
  </si>
  <si>
    <t>Coronally advanced flap adjunct with low intensity laser therapy: a randomized controlled clinical pilot study</t>
  </si>
  <si>
    <t>Immediate efficacy of diode laser application in the treatment of dentine hypersensitivity in periodontal maintenance patients: a randomized clinical trial</t>
  </si>
  <si>
    <t>Enamel matrix derivative and low-level laser therapy in the treatment of intra-bony defects: a randomized placebo-controlled clinical trial</t>
  </si>
  <si>
    <t>Improved wound healing by low-level laser irradiation after gingivectomy operations: a controlled clinical pilot study</t>
  </si>
  <si>
    <t>The short-term effects of low-level lasers as adjunct therapy in the treatment of periodontal inflammation</t>
  </si>
  <si>
    <t>International Journal of Stroke</t>
  </si>
  <si>
    <t>Transcranial Laser Therapy for Acute Ischemic Stroke: A Pooled Analysis of NEST-1 and NEST-2</t>
  </si>
  <si>
    <t>Laser therapy in acute stroke treatment.</t>
  </si>
  <si>
    <t>Obesity Surgery</t>
  </si>
  <si>
    <t>Efficacy of Low-Level Laser Therapy for Body Contouring and Spot Fat Reduction</t>
  </si>
  <si>
    <t>Molecular and Cellular Endocrinology</t>
  </si>
  <si>
    <t>Journal of Biophotonics</t>
  </si>
  <si>
    <t>Low-level laser therapy (LLLT) reduces oxidative stress in primary cortical neurons in vitro</t>
  </si>
  <si>
    <t>Low level laser therapy reduces acute lung inflammation without impairing lung function</t>
  </si>
  <si>
    <t>Low-level laser irradiation promotes the proliferation and maturation of keratinocytes during epithelial wound repair</t>
  </si>
  <si>
    <t>Pre-conditioning with near infrared photobiomodulation reduces inflammatory cytokines and markers of oxidative stress in cochlear hair cells</t>
  </si>
  <si>
    <t>Repeated transcranial low-level laser therapy for traumatic brain injury in mice: biphasic dose response and long-term treatment outcome</t>
  </si>
  <si>
    <t>Photomodulation of the osteoclastogenic potential of oral squamous carcinoma cells</t>
  </si>
  <si>
    <t>High fluence light emitting diode-generated red light modulates characteristics associated with skin fibrosis</t>
  </si>
  <si>
    <t>Exploring the effects of low-level laser therapy on fibroblasts and tumor cells following gamma radiation exposure</t>
  </si>
  <si>
    <t>Cell lineage responses to photobiomodulation therapy</t>
  </si>
  <si>
    <t>Low-level laser therapy can produce increased aggressiveness of dysplastic and oral cancer cell lines by modulation of Akt/mTOR signaling pathway</t>
  </si>
  <si>
    <t>Low-level laser therapy (810 nm) protects primary cortical neurons against excitotoxicity in vitro</t>
  </si>
  <si>
    <t>Neurite growth acceleration of adult Dorsal Root Ganglion neurons illuminated by low-level Light Emitting Diode light at 645 nm</t>
  </si>
  <si>
    <t>Low-level laser therapy for traumatic brain injury in mice increases brain derived neurotrophic factor (BDNF) and synaptogenesis</t>
  </si>
  <si>
    <t>Superpulsed (Ga-As, 904 nm) low-level laser therapy (LLLT) attenuates inflammatory response and enhances healing of burn wounds</t>
  </si>
  <si>
    <t>Light-emitting diode therapy in exercise-trained mice increases muscle performance, cytochrome c oxidase activity, ATP and cell proliferation</t>
  </si>
  <si>
    <t>Comparative study among three different phototherapy protocols to treat chemotherapy-induced oral mucositis in hamsters</t>
  </si>
  <si>
    <t>Transcranial low level laser (light) therapy for traumatic brain injury</t>
  </si>
  <si>
    <t>Spectroscopic and histological evaluation of wound healing progression following Low Level Laser Therapy (LLLT)</t>
  </si>
  <si>
    <t>Photobiomodulation reduces abdominal adipose tissue inflammatory infiltrate of diet-induced obese and hyperglycemic mice</t>
  </si>
  <si>
    <t>Journal of Affective Disorders</t>
  </si>
  <si>
    <t>J Affect Disord 2018;243:262-273</t>
  </si>
  <si>
    <t>Journal of Neuropsychology</t>
  </si>
  <si>
    <t>Improving executive function using transcranial infrared laser stimulation</t>
  </si>
  <si>
    <t>The Annals of Thoracic Surgery</t>
  </si>
  <si>
    <t>Journal of Dermatological Science</t>
  </si>
  <si>
    <t>Enhanced wound healing effect of canine adipose-derived mesenchymal stem cells with low-level laser therapy in athymic mice</t>
  </si>
  <si>
    <t>Current Opinion in Oncology</t>
  </si>
  <si>
    <t>Low-level laser therapy in the prevention and treatment of cancer therapy-induced mucositis: 2012 state of the art based on literature review and meta-analysis</t>
  </si>
  <si>
    <t>Journal of Cancer Survivorship</t>
  </si>
  <si>
    <t>Effect of low-level laser therapy on pain and swelling in women with breast cancer-related lymphedema: a systematic review and meta-analysis</t>
  </si>
  <si>
    <t>Journal of Psychiatric Research</t>
  </si>
  <si>
    <t>Biomedical Materials</t>
  </si>
  <si>
    <t>International Journal of Molecular Sciences</t>
  </si>
  <si>
    <t>Regulation of miRNA Expression by Low-Level Laser Therapy (LLLT) and Photodynamic Therapy (PDT)</t>
  </si>
  <si>
    <t>BBA General Subjects</t>
  </si>
  <si>
    <t>Cellular and Molecular Neurobiology</t>
  </si>
  <si>
    <t>Osteoporosis International</t>
  </si>
  <si>
    <t>Anesthesia &amp; Analgesia</t>
  </si>
  <si>
    <t>The Cancer Journal</t>
  </si>
  <si>
    <t>Pilot Study of Laser Effects on Oral Mucositis in Patients Receiving Chemotherapy</t>
  </si>
  <si>
    <t>Cellular Signalling</t>
  </si>
  <si>
    <t>Biomedical Optics Express</t>
  </si>
  <si>
    <t>World Journal of Urology</t>
  </si>
  <si>
    <t>Journal of Alzheimer's Disease</t>
  </si>
  <si>
    <t>Low-Level Light Therapy Improves Cortical Metabolic Capacity and Memory Retention</t>
  </si>
  <si>
    <t>Transcranial Laser Therapy Attenuates Amyloid-β Peptide Neuropathology in Amyloid-β Protein Precursor Transgenic Mice</t>
  </si>
  <si>
    <t>Current Medicinal Chemistry</t>
  </si>
  <si>
    <t>In Vitro Evaluation of Chloroaluminum Phthalocyanine Nanoemulsion and Low-Level Laser Therapy on Human Skin Dermal Equivalents and Bone Marrow Mesenchymal Stem Cells</t>
  </si>
  <si>
    <t>Mediators of Inflammation</t>
  </si>
  <si>
    <t>Modulation of Extracellular ATP Content of Mast Cells and DRG Neurons by Irradiation: Studies on Underlying Mechanism of Low-Level-Laser Therapy</t>
  </si>
  <si>
    <t>Photobiomodulation Therapy Decreases Oxidative Stress in the Lung Tissue after Formaldehyde Exposure: Role of Oxidant/Antioxidant Enzymes.</t>
  </si>
  <si>
    <t>The Journal of Rheumatology</t>
  </si>
  <si>
    <t>IF from bioxbio.com</t>
  </si>
  <si>
    <t>Aesthetic Surgery Journal</t>
  </si>
  <si>
    <t>Plastic and Reconstructive Surgery</t>
  </si>
  <si>
    <t>Fat Liquefaction: Effect of Low-Level Laser Energy on Adipose Tissue.</t>
  </si>
  <si>
    <t>IEEE Journal of Selected Topics in Quantum Electronics</t>
  </si>
  <si>
    <t>Frontiers in Physiology</t>
  </si>
  <si>
    <t>Low-level laser therapy as a treatment for chronic pain</t>
  </si>
  <si>
    <t>Opinion article</t>
  </si>
  <si>
    <t>Investigative Ophthalmology &amp; Visual Science</t>
  </si>
  <si>
    <t>Journal of Comparative Neurology</t>
  </si>
  <si>
    <t>Progress in Biophysics &amp; Molecular Biology</t>
  </si>
  <si>
    <t>Brain Research Bulletin</t>
  </si>
  <si>
    <t>British Journal of Ophthalmology</t>
  </si>
  <si>
    <t>Light-emitting diode therapy reduces persistent inflammatory pain: Role of interleukin 10 and antioxidant enzymes</t>
  </si>
  <si>
    <t>Transcranial infrared laser stimulation produces beneficial cognitive and emotional effects in humans</t>
  </si>
  <si>
    <t>The effect of low-energy laser irradiation on apoptotic factors following experimentally induced transient cerebral ischemia</t>
  </si>
  <si>
    <t>Low energy laser light (632.8 nm) suppresses amyloid-β peptide-induced oxidative and inflammatory responses in astrocytes</t>
  </si>
  <si>
    <t>Transcranial near-infrared light therapy improves motor function following embolic strokes in rabbits: An extended therapeutic window study using continuous and pulse frequency delivery modes</t>
  </si>
  <si>
    <t>Photobiomodulation partially rescues visual cortical neurons from cyanide-induced apoptosis</t>
  </si>
  <si>
    <t>Indirect application of near infrared light induces neuroprotection in a mouse model of parkinsonism - an abscopal neuroprotective effect.</t>
  </si>
  <si>
    <t>Cancer Cell International</t>
  </si>
  <si>
    <t>Journal of Clinical Medicine</t>
  </si>
  <si>
    <t>Annals of Allergy, Asthma &amp; Immunology</t>
  </si>
  <si>
    <t>Frontiers in Neuroscience</t>
  </si>
  <si>
    <t>Turning On Lights to Stop Neurodegeneration: The Potential of Near Infrared Light Therapy in Alzheimer's and Parkinson's Disease</t>
  </si>
  <si>
    <t>Stem Cells and Development</t>
  </si>
  <si>
    <t>MicroRNA-193 Pro-Proliferation Effects for Bone Mesenchymal Stem Cells After Low-Level Laser Irradiation Treatment Through Inhibitor of Growth Family, Member 5</t>
  </si>
  <si>
    <t>Brain Sciences</t>
  </si>
  <si>
    <t>Journal of Applied Physiology</t>
  </si>
  <si>
    <t>Long-term effect of low energy laser irradiation on infarction and reperfusion injury in the rat heart</t>
  </si>
  <si>
    <t>Effect of low-level laser (Ga-Al-As 655 nm) on skeletal muscle fatigue induced by electrical stimulation in rats</t>
  </si>
  <si>
    <t>Effect of near-infrared light exposure on mitochondrial signaling in C2C12 muscle cells</t>
  </si>
  <si>
    <t>Mechanisms of action of light therapy for stroke and acute myocardial infarction</t>
  </si>
  <si>
    <t>Experimental Gerontology</t>
  </si>
  <si>
    <t>BMJ Supportive &amp; Palliative Care</t>
  </si>
  <si>
    <t>The International Journal of Biochemistry &amp; Cell Biology</t>
  </si>
  <si>
    <t>Photo-enhancement of macrophage phagocytic activity via Rac1-mediated signaling pathway: Implications for bacterial infection</t>
  </si>
  <si>
    <t>Quantitative Imaging in Medicine and Surgery</t>
  </si>
  <si>
    <t>Journal of Biomedical Materials Research Part A</t>
  </si>
  <si>
    <t>Effects of large-area irradiated laser phototherapy on peripheral nerve regeneration across a large gap in a biomaterial conduit</t>
  </si>
  <si>
    <t>Light microscopic description of the effects of laser phototherapy on bone defects grafted with mineral trioxide aggregate, bone morphogenetic proteins, and guided bone regeneration in a rodent model</t>
  </si>
  <si>
    <t>The effect of the association of near infrared laser therapy, bone morphogenetic proteins, and guided bone regeneration on tibial fractures treated with internal rigid fixation: A Raman spectroscopic study</t>
  </si>
  <si>
    <t>Effects of laser photherapy on bone defects grafted with mineral trioxide aggregate, bone morphogenetic proteins, and guided bone regeneration: A Raman spectroscopic study</t>
  </si>
  <si>
    <t>Determining optimal dose of laser therapy for attachment and proliferation of human oral fibroblasts cultured on titanium implant material</t>
  </si>
  <si>
    <t>Low-level laser therapy promotes the osteogenic potential of adipose-derived mesenchymal stem cells seeded on an acellular dermal matrix</t>
  </si>
  <si>
    <t>Neural regeneration in a novel nerve conduit across a large gap of the transected sciatic nerve in rats with low-level laser phototherapy</t>
  </si>
  <si>
    <t>The American Journal of Cardiology</t>
  </si>
  <si>
    <t>Long-term follow-up after coronary stenting and intravascular red laser therapy</t>
  </si>
  <si>
    <t>Usefulness of Intravascular Low-Power Laser Illumination in Preventing Restenosis After Percutaneous Coronary Intervention</t>
  </si>
  <si>
    <t>Experimental Eye Research</t>
  </si>
  <si>
    <t>Recharging mitochondrial batteries in old eyes. Near infra-red increases ATP</t>
  </si>
  <si>
    <t>Toxicology Letters</t>
  </si>
  <si>
    <t>Hematological Oncology</t>
  </si>
  <si>
    <t>Cost-effectiveness of the introduction of specialized oral care with laser therapy in hematopoietic stem cell transplantation.</t>
  </si>
  <si>
    <t>Efficacy of cryotherapy associated with laser therapy for decreasing severity of melphalan-induced oral mucositis during hematological stem-cell transplantation: a prospective clinical study</t>
  </si>
  <si>
    <t>Journal of Photochemistry and Photobiology B: Biology</t>
  </si>
  <si>
    <t>Use of low level laser therapy to control neuropathic pain: A systematic review.</t>
  </si>
  <si>
    <t>Low-level laser therapy (904 nm) can increase collagen and reduce oxidative and nitrosative stress in diabetic wounded mouse skin</t>
  </si>
  <si>
    <t>Effects of low-level laser therapy on autogenous bone graft stabilized with a new heterologous fibrin sealant</t>
  </si>
  <si>
    <t>Effect of low-level laser irradiation on proliferation of human dental mesenchymal stem cells; a systemic review</t>
  </si>
  <si>
    <t>Photobiomodulatory effects of superpulsed 904 nm laser therapy on bioenergetics status in burn wound healing</t>
  </si>
  <si>
    <t>Low level laser therapy accelerates bone healing in spinal cord injured rats</t>
  </si>
  <si>
    <t>The effect of He–Ne and Ga–Al–As lasers on the healing of oral mucosa in diabetic mice</t>
  </si>
  <si>
    <t>The effect of laser and botulinum toxin in the treatment of myofascial pain and mouth opening: A randomized clinical trial</t>
  </si>
  <si>
    <t>Effects of low level laser therapy on inflammatory and angiogenic gene expression during the process of bone healing: A microarray analysis</t>
  </si>
  <si>
    <t>Photobiomodulation with 660-nm and 780-nm laser on activated J774 macrophage-like cells: Effect on M1 inflammatory markers</t>
  </si>
  <si>
    <t>Can low-level laser therapy (LLLT) associated with an aerobic plus resistance training change the cardiometabolic risk in obese women? A placebo-controlled clinical trial</t>
  </si>
  <si>
    <t>The effects of combined low level laser therapy and mesenchymal stem cells on bone regeneration in rabbit calvarial defects</t>
  </si>
  <si>
    <t>The effect of red, green and blue lasers on healing of oral wounds in diabetic rats</t>
  </si>
  <si>
    <t>Low level laser therapy against radiation induced oral mucositis in elderly head and neck cancer patients-a randomized placebo controlled trial</t>
  </si>
  <si>
    <t>Effects of HeNe laser irradiation on experimental paracoccidioidomycotic lesions</t>
  </si>
  <si>
    <t>Raman ratios on the repair of grafted surgical bone defects irradiated or not with laser (λ780 nm) or LED (λ850 nm)</t>
  </si>
  <si>
    <t>The electric field induced by light can explain cellular responses to electromagnetic energy: A hypothesis of mechanism</t>
  </si>
  <si>
    <t>Histological analysis of the periodontal ligament and alveolar bone during dental movement in diabetic rats subjected to low-level laser therapy</t>
  </si>
  <si>
    <t>(continued)</t>
  </si>
  <si>
    <t>Low level laser therapy reduces acute lung inflammation in a model of pulmonary and extrapulmonary LPS-induced ARDS</t>
  </si>
  <si>
    <t>Influence of the λ780 nm laser light on the repair of surgical bone defects grafted or not with biphasic synthetic micro-granular hydroxylapatite + Beta-Calcium triphosphate</t>
  </si>
  <si>
    <t>Low-level laser therapy suppresses the oxidative stress-induced glucocorticoids resistance in U937 cells: Relevance to cytokine secretion and histone deacetylase in alveolar macrophages</t>
  </si>
  <si>
    <t>Cell-cycle delay is induced in cells of a U937 promonocytic cell line by low-intensity light irradiation at 660 nm</t>
  </si>
  <si>
    <t>Low intensity lasers differently induce primary human osteoblast proliferation and differentiation</t>
  </si>
  <si>
    <t>Low level laser therapy increases angiogenesis in a model of ischemic skin flap in rats mediated by VEGF, HIF-1α and MMP-2</t>
  </si>
  <si>
    <t>Potentiated anti-inflammatory effect of combined 780 nm and 660 nm low level laser therapy on the experimental laryngitis</t>
  </si>
  <si>
    <t>Bone marrow aspirate combined with low-level laser therapy: A new therapeutic approach to enhance bone healing</t>
  </si>
  <si>
    <t>Low-level laser therapy (LLLT) (660 nm) alters gene expression during muscle healing in rats</t>
  </si>
  <si>
    <t>Effects of pulsed infra-red low level-laser irradiation on open skin wound healing of healthy and streptozotocin-induced diabetic rats by biomechanical evaluation</t>
  </si>
  <si>
    <t>Effects of low level laser therapy on proliferation and neurotrophic factor gene expression of human schwann cells in vitro</t>
  </si>
  <si>
    <t>Effect of laser phototherapy on wound healing following cerebral ischemia by cryogenic injury</t>
  </si>
  <si>
    <t>Enhancement of cutaneous immune response to bacterial infection after low-level light therapy with 1072 nm infrared light: A preliminary study</t>
  </si>
  <si>
    <t>Improvement of dermal burn healing by combining sodium alginate/chitosan-based films and low level laser therapy</t>
  </si>
  <si>
    <t>Effect of Ga–As (904 nm) and He–Ne (632.8 nm) laser on injury potential of skin full-thickness wound</t>
  </si>
  <si>
    <t>Increased mobility and stem-cell proliferation rate in Dugesia tigrina induced by 880 nm light emitting diode</t>
  </si>
  <si>
    <t>Low intensity laser therapy (LILT) in vivo acts on the neutrophils recruitment and chemokines/cytokines levels in a model of acute pulmonary inflammation induced by aerosol of lipopolysaccharide from Escherichia coli in rat</t>
  </si>
  <si>
    <t>Effects of low-level light therapy on streptozotocin-induced diabetic kidney</t>
  </si>
  <si>
    <t>Influence of 670 nm low-level laser therapy on mast cells and vascular response of cutaneous injuries</t>
  </si>
  <si>
    <t>Effect of phototherapy with low intensity laser on local and systemic immunomodulation following focal brain damage in rat</t>
  </si>
  <si>
    <t>Evaluation of mitochondrial respiratory chain activity in muscle healing by low-level laser therapy</t>
  </si>
  <si>
    <t>Low-intensity red laser on the prevention and treatment of induced-oral mucositis in hamsters</t>
  </si>
  <si>
    <t>Influence of laser photobiomodulation upon connective tissue remodeling during wound healing</t>
  </si>
  <si>
    <t>Anti-inflammatory effects of low-level laser therapy (LLLT) with two different red wavelengths (660 nm and 684 nm) in carrageenan-induced rat paw edema</t>
  </si>
  <si>
    <t>The therapeutic effect of low-level laser on repair of osteochondral defects in rabbit knee</t>
  </si>
  <si>
    <t>Effect of low-level helium–neon laser therapy on histological and ultrastructural features of immobilized rabbit articular cartilage</t>
  </si>
  <si>
    <t>Effect of low intensity laser interaction with human skin fibroblast cells using fiber-optic nano-probes</t>
  </si>
  <si>
    <t>Biomodulative effects induced by 805 nm laser light irradiation of normal and tumor cells</t>
  </si>
  <si>
    <t>Evaluation of mitochondrial respiratory chain activity in wound healing by low-level laser therapy</t>
  </si>
  <si>
    <t>Ultrastructural and autoradiographical analysis show a faster skin repair in He–Ne laser-treated wounds</t>
  </si>
  <si>
    <t>Effect of low-level helium–neon laser therapy on the healing of third-degree burns in rats</t>
  </si>
  <si>
    <t>The biological effects of 632.8-nm low energy He–Ne laser on peripheral blood mononuclear cells in vitro</t>
  </si>
  <si>
    <t>Modification of the intrinsic fluorescence and the biochemical behavior of ATP after irradiation with visible and near-infrared laser light</t>
  </si>
  <si>
    <t>Effect of low-level laser therapy on the healing of second-degree burns in rats: a histological and microbiological study</t>
  </si>
  <si>
    <t>Effects of different protocol doses of low power gallium–aluminum–arsenate (Ga–Al–As) laser radiation (650 nm) on carrageenan induced rat paw ooedema</t>
  </si>
  <si>
    <t>Effect of helium/neon laser irradiation on nerve growth factor synthesis and secretion in skeletal muscle cultures</t>
  </si>
  <si>
    <t>Magnetic resonance imaging (MRI) controlled outcome of side effects caused by ionizing radiation, treated with 780 nm-diode laser — preliminary results</t>
  </si>
  <si>
    <t>Effects of visible and near-infrared lasers on cell cultures</t>
  </si>
  <si>
    <t>Future Microbiology</t>
  </si>
  <si>
    <t>Frontiers in Human Neuroscience</t>
  </si>
  <si>
    <t>European Journal of Applied Physiology</t>
  </si>
  <si>
    <t>Archives of Physical Medicine and Rehabilitation</t>
  </si>
  <si>
    <t>Clinical Effectiveness of Low-Level Laser Therapy as an Adjunct to Eccentric Exercise for the Treatment of Achilles' Tendinopathy: A Randomized Controlled Trial</t>
  </si>
  <si>
    <t>Frontiers in Behavioral Neuroscience</t>
  </si>
  <si>
    <t>Neuroplastic effects of transcranial near-infrared stimulation (tNIRS) on the motor cortex</t>
  </si>
  <si>
    <t>Archives of Biochemistry and Biophysics</t>
  </si>
  <si>
    <t>Archives of Dermatological Research</t>
  </si>
  <si>
    <t>Annals of Medicine</t>
  </si>
  <si>
    <t>Taking a light approach to treating acute ischemic stroke patients: Transcranial near-infrared laser therapy translational science</t>
  </si>
  <si>
    <t>Marine Biotechnology</t>
  </si>
  <si>
    <t xml:space="preserve">
PAPERS CURRENTLY BELOW THE 3.0 LIMIT</t>
  </si>
  <si>
    <t>Journal of Cellular Biochemistry</t>
  </si>
  <si>
    <t>Photoactivation of Akt1/GSK3β Isoform-Specific Signaling Axis Promotes Pancreatic β-Cell Regeneration</t>
  </si>
  <si>
    <t>Rounded to 3.0 but slightly below it.</t>
  </si>
  <si>
    <t>American Journal of Translational Research</t>
  </si>
  <si>
    <t>The hematologic effects of low intensity 650 nm laser irradiation on hypercholesterolemia rabbits.</t>
  </si>
  <si>
    <t>PLOS ONE</t>
  </si>
  <si>
    <t>Low-Level Laser Therapy (LLLT) in Dystrophin-Deficient Muscle Cells: Effects on Regeneration Capacity, Inflammation Response and Oxidative Stress</t>
  </si>
  <si>
    <t>Low-Level Laser Irradiation Improves Functional Recovery and Nerve Regeneration in Sciatic Nerve Crush Rat Injury Model</t>
  </si>
  <si>
    <t>Superpulsed Low-Level Laser Therapy Protects Skeletal Muscle of mdx Mice against Damage, Inflammation and Morphological Changes Delaying Dystrophy Progression</t>
  </si>
  <si>
    <t>Effect of Low Level Laser Therapy on Chronic Compression of the Dorsal Root Ganglion</t>
  </si>
  <si>
    <t>Amelioration of Cardiac Function and Activation of Anti-Inflammatory Vasoactive Peptides Expression in the Rat Myocardium by Low Level Laser Therapy</t>
  </si>
  <si>
    <t>Low Level Laser Therapy Reduces the Development of Lung Inflammation Induced by Formaldehyde Exposure</t>
  </si>
  <si>
    <t>Red and Infrared Low-Level Laser Therapy Prior to Injury with or without Administration after Injury Modulate Oxidative Stress during the Muscle Repair Process</t>
  </si>
  <si>
    <t>Effect of Prophylactic Low Level Laser Therapy on Oral Mucositis: A Systematic Review and Meta-Analysis</t>
  </si>
  <si>
    <t>Human Tubal-Derived Mesenchymal Stromal Cells Associated with Low Level Laser Therapy Significantly Reduces Cigarette Smoke–Induced COPD in C57BL/6 mice</t>
  </si>
  <si>
    <t>Enhancement of Ischemic Wound Healing by Spheroid Grafting of Human Adipose-Derived Stem Cells Treated with Low-Level Light Irradiation</t>
  </si>
  <si>
    <t>Transcranial Low-Level Laser Therapy Improves Neurological Performance in Traumatic Brain Injury in Mice: Effect of Treatment Repetition Regimen</t>
  </si>
  <si>
    <t>Low-Level Laser Therapy Activates NF-kB via Generation of Reactive Oxygen Species in Mouse Embryonic Fibroblasts</t>
  </si>
  <si>
    <t>Comparison of Therapeutic Effects between Pulsed and Continuous Wave 810-nm Wavelength Laser Irradiation for Traumatic Brain Injury in Mice</t>
  </si>
  <si>
    <t>Low-Level Laser Therapy (904 nm) Counteracts Motor Deficit of Mice Hind Limb following Skeletal Muscle Injury Caused by Snakebite-Mimicking Intramuscular Venom Injection</t>
  </si>
  <si>
    <t>Laser Acupuncture Therapy in Patients with Treatment-Resistant Temporomandibular Disorders</t>
  </si>
  <si>
    <t>Low-Level Laser Irradiation Stimulates Tenocyte Migration with Up-Regulation of Dynamin II Expression</t>
  </si>
  <si>
    <t>Low-Power Laser Irradiation Suppresses Inflammatory Response of Human Adipose-Derived Stem Cells by Modulating Intracellular Cyclic AMP Level and NF-κB Activity</t>
  </si>
  <si>
    <t>670nm Photobiomodulation as a Novel Protection against Retinopathy of Prematurity: Evidence from Oxygen Induced Retinopathy Models</t>
  </si>
  <si>
    <t>Effects of a Low Level Laser on Periodontal Tissue in Hypofunctional Teeth</t>
  </si>
  <si>
    <t>Photobiomodulation Protects and Promotes Differentiation of C2C12 Myoblast Cells Exposed to Snake Venom</t>
  </si>
  <si>
    <t>Tissue Responses to Postoperative Laser Therapy in Diabetic Rats Submitted to Excisional Wounds</t>
  </si>
  <si>
    <t>The Effect of Low-Level Laser Irradiation on Sperm Motility, and Integrity of the Plasma Membrane and Acrosome in Cryopreserved Bovine Sperm</t>
  </si>
  <si>
    <t>Amelioration of Experimental Autoimmune Encephalomyelitis in C57BL/6 Mice by Photobiomodulation Induced by 670 nm Light</t>
  </si>
  <si>
    <t>Journal of the European Academy of Dermatology and Venereology</t>
  </si>
  <si>
    <t>J Eur Acad Dermatol Venereol 2018 May 24.</t>
  </si>
  <si>
    <t>J Eur Acad Dermatol Venereol 2014;28:689-99</t>
  </si>
  <si>
    <t>Discovery Medicine</t>
  </si>
  <si>
    <t>Therapeutic Photobiomodulation: Nitric Oxide and a Novel Function of Mitochondrial Cytochrome C Oxidase</t>
  </si>
  <si>
    <r>
      <rPr>
        <b/>
        <sz val="13.0"/>
      </rPr>
      <t xml:space="preserve">Category </t>
    </r>
    <r>
      <rPr>
        <b/>
        <sz val="8.0"/>
      </rPr>
      <t>(A→Z)</t>
    </r>
  </si>
  <si>
    <t>Blog articles (laypeople)</t>
  </si>
  <si>
    <t>An extensive blog article about photobiomodulation science, and the practical use of LED arrays for personal health. Written by Ari Whitten.</t>
  </si>
  <si>
    <t>An extensive blog article about photobiomodulation science, and the practical use of LED arrays for personal health. Written by Bart Wolbers.</t>
  </si>
  <si>
    <t>An extensive blog article about photobiomodulation science, and the practical use of LED arrays for personal health. Written by Mark Sloan.</t>
  </si>
  <si>
    <t>Blog articles (scientific)</t>
  </si>
  <si>
    <t>An extensive blog article describing the current state of PBM research. Written by Vladimir Heiskanen.</t>
  </si>
  <si>
    <t>Books (laypeople)</t>
  </si>
  <si>
    <t>A popular book about photobiomodulation science, and the practical use of LED arrays for personal health.</t>
  </si>
  <si>
    <t>Books (scientific)</t>
  </si>
  <si>
    <t>Water-filtered Infrared A (wIRA) Irradiation: From Research to Clinical Settings (2022)</t>
  </si>
  <si>
    <t>An academicbook focusing on water-filtered infrared A (polychromatic light).</t>
  </si>
  <si>
    <t>An academic book with some chapters related to PBM. Edited by Stefan Stübinger, Florian Klämpfl, Michael Schmidt and Hans-Florian Zeilhofer.</t>
  </si>
  <si>
    <t>A short academic PBM book written by John Mitrofanis.</t>
  </si>
  <si>
    <t>An academic PBM book edited by Michael Hamblin and Yingying Huang.</t>
  </si>
  <si>
    <t>An academic PBM book edited by Michael Hamblin, Cleber Ferraresi, Yingying Huang, Lucas Freitas de Freitas and James Carroll.</t>
  </si>
  <si>
    <t>An academic PBM book edited by Ronald J Riegel and John C Godbold, Jr.</t>
  </si>
  <si>
    <t>An academic PBM book edited by Michael Hamblin, Tanupriya Agrawal and Marcelo de Sousa.</t>
  </si>
  <si>
    <t>An academic PBM book. Written by Lars Hode and Jan Tunér.</t>
  </si>
  <si>
    <t>An academic PBM book edited by Michael Hamblin and Ying-ying Huang.</t>
  </si>
  <si>
    <r>
      <rPr>
        <sz val="8.0"/>
      </rPr>
      <t xml:space="preserve">An academic PBM book. Written by Tiina Karu. Focuses on the </t>
    </r>
    <r>
      <rPr>
        <i/>
        <sz val="8.0"/>
      </rPr>
      <t>in vitro</t>
    </r>
    <r>
      <rPr>
        <sz val="8.0"/>
      </rPr>
      <t xml:space="preserve"> research of primary mechanisms. To be sold on LaserTherapyBooks.com / PBMBooks.com in the near future.</t>
    </r>
  </si>
  <si>
    <t>Facebook groups</t>
  </si>
  <si>
    <t>A Facebook group for PBM-related discussions. For laypeople. Hosted by Vladimir Heiskanen.</t>
  </si>
  <si>
    <t>A Facebook group of NAALT.</t>
  </si>
  <si>
    <t>News stories</t>
  </si>
  <si>
    <t>NASA Research Illuminates Medical Uses of Light (NASA 2022)</t>
  </si>
  <si>
    <t>A news feature about NASA-initiated PBM research.</t>
  </si>
  <si>
    <t>A news article about ongoing PBM research at University of Texas.</t>
  </si>
  <si>
    <t>A news article about PBM treatment of brain diseases.</t>
  </si>
  <si>
    <t>A news article about PBM treatment of Parkinson's disease.</t>
  </si>
  <si>
    <t>A press release, describing an animal study of PBM treatment of thrombocytopenia.</t>
  </si>
  <si>
    <t>A news feature about Janis Eells' and Chukuka Enwemeka's research in the field of photomedicine.</t>
  </si>
  <si>
    <t>A news feature about John Mitrofanis' research focusing on PBM treatment of Parkinson's disease.</t>
  </si>
  <si>
    <t>A news feature about Uri Oron's research focusing on PBM treatment of myocardial infarction.</t>
  </si>
  <si>
    <t>A news feature about PBM research, written by Nick Lane and published in Nature journal.</t>
  </si>
  <si>
    <t>PBM startups</t>
  </si>
  <si>
    <t>Reviiv Light</t>
  </si>
  <si>
    <t>A device for PBM treatment of knee (and other limb areas).</t>
  </si>
  <si>
    <t>Just Light</t>
  </si>
  <si>
    <t>A company aiming to treat dementia with PBM.</t>
  </si>
  <si>
    <t>PBM manufacturers</t>
  </si>
  <si>
    <t>A UK/US/Canada company with a very long history of making PBM/LLLT devices (laser/LED).</t>
  </si>
  <si>
    <t>A Swedish company with a very long history of making PBM/LLLT devices (laser).</t>
  </si>
  <si>
    <t>A global company selling PBM/LLLT devices (laser) for the treatment of animals.</t>
  </si>
  <si>
    <t>SunPowerLED</t>
  </si>
  <si>
    <t xml:space="preserve">A Canadian and U.S. based company that designs, manufactures and sells powerful red/infra-red medical therapy lights in many versions from handhelds, to medium size panels, to large panels, and transcranial helmets. </t>
  </si>
  <si>
    <t>A US-based company producing a variety of PBM devices (LED).</t>
  </si>
  <si>
    <t>Red Light Wellness</t>
  </si>
  <si>
    <t>A US-based manufacturer of whole-body red and near-infrared commercial beds.</t>
  </si>
  <si>
    <t>A US-based company producing LED skin patches for PBM.</t>
  </si>
  <si>
    <t>BIOLASE</t>
  </si>
  <si>
    <t>A US-based company providing laser devices for dentists.</t>
  </si>
  <si>
    <t>A Switzerland-based company producing PBM devices (laser).</t>
  </si>
  <si>
    <t>Laeq</t>
  </si>
  <si>
    <t>A Netherlands-based company producing and selling intranasal PBM devices.</t>
  </si>
  <si>
    <t>An Austria-based company producing PBM devices (laser).</t>
  </si>
  <si>
    <t>A Germany-based company producing laser devices.</t>
  </si>
  <si>
    <t>A Germany-based company producing PBM devices (laser).</t>
  </si>
  <si>
    <t>PBM organizations</t>
  </si>
  <si>
    <t>The largest PBM organization, a crucial part of the global PBM research community.</t>
  </si>
  <si>
    <t>The United States PBM organization.</t>
  </si>
  <si>
    <t>The Australian PBM organization.</t>
  </si>
  <si>
    <t>The Swedish PBM organization.</t>
  </si>
  <si>
    <t>A Germany-based organization, publishing PBM-related materials and books.</t>
  </si>
  <si>
    <t>PBM webstores</t>
  </si>
  <si>
    <t>RLT Home</t>
  </si>
  <si>
    <t>A UK-based webstore selling LED arrays. Website also contains research.</t>
  </si>
  <si>
    <t>A UK-based webstore selling LED arrays. Website also contains articles.</t>
  </si>
  <si>
    <t>A UK-based webstore selling LED arrays. Website also contains user guides.</t>
  </si>
  <si>
    <t>A UK-based webstore selling LED arrays.</t>
  </si>
  <si>
    <t>A Europe-based webstore selling LED arrays.</t>
  </si>
  <si>
    <t>A Netherlands-based webstore selling LED arrays.</t>
  </si>
  <si>
    <t>A US-based company selling LED arrays. Very popular but expensive.</t>
  </si>
  <si>
    <t>A US-based webstore selling a LED array product. Slightly lower-powered than average LED arrays.</t>
  </si>
  <si>
    <t>A US-based webstore selling a LED array product.</t>
  </si>
  <si>
    <t>A US-based company selling PBM products for hair loss.</t>
  </si>
  <si>
    <t>Revive Light Therapy</t>
  </si>
  <si>
    <t>A US-based company selling a variety of LED products.</t>
  </si>
  <si>
    <r>
      <rPr>
        <color rgb="FF1155CC"/>
        <sz val="9.0"/>
      </rPr>
      <t>LuceRossa</t>
    </r>
    <r>
      <rPr>
        <sz val="9.0"/>
      </rPr>
      <t xml:space="preserve"> </t>
    </r>
    <r>
      <rPr>
        <sz val="6.0"/>
      </rPr>
      <t>(Italian website)</t>
    </r>
  </si>
  <si>
    <t>An Italy-based PBM webstore.</t>
  </si>
  <si>
    <t>An Australia-based company selling PBM products.</t>
  </si>
  <si>
    <t>Well Red</t>
  </si>
  <si>
    <t>Recharge (FlexBeam)</t>
  </si>
  <si>
    <t>An international company selling a PBM product called FlexBeam.</t>
  </si>
  <si>
    <t>Orion Red Light Therapy</t>
  </si>
  <si>
    <t>A Canada-based company selling LED devices for PBM.</t>
  </si>
  <si>
    <t>A Canada-based company selling LED devices for intranasal and transcranial PBM.</t>
  </si>
  <si>
    <t>Researcher interviews</t>
  </si>
  <si>
    <t>Discussions about PBM and Parkinson's disease.</t>
  </si>
  <si>
    <t>Researcher presentations</t>
  </si>
  <si>
    <t>Presented at Shepherd University.</t>
  </si>
  <si>
    <t>Presented at MASCC/ISOO 2018 Annual Meeting - Vienna, Austria.</t>
  </si>
  <si>
    <t>Presented at International Light Association (ILA 2015).</t>
  </si>
  <si>
    <t>Presented at Wisconsin Science Festival (2016).</t>
  </si>
  <si>
    <t>Presented at NAALT meeting (2010).</t>
  </si>
  <si>
    <t>Name</t>
  </si>
  <si>
    <t>Role</t>
  </si>
  <si>
    <t>Biography</t>
  </si>
  <si>
    <t>Contact information</t>
  </si>
  <si>
    <t>Links</t>
  </si>
  <si>
    <t>Vladimir Heiskanen (Valtsu)</t>
  </si>
  <si>
    <t>Founder / Main contributor</t>
  </si>
  <si>
    <t>Valtsu is a general dentist living in Finland. 
As a hobby, he has been writing blogs on health, and maintaining photobiomodulation-related projects since 2013. The PBM research database was started in 2016.</t>
  </si>
  <si>
    <t>valtsu.heiskanen@gmail.com</t>
  </si>
  <si>
    <r>
      <rPr>
        <color rgb="FF1155CC"/>
        <u/>
      </rPr>
      <t>Facebook</t>
    </r>
    <r>
      <rPr/>
      <t xml:space="preserve"> (personal profile)
</t>
    </r>
    <r>
      <rPr>
        <color rgb="FF1155CC"/>
        <u/>
      </rPr>
      <t>Google Scholar</t>
    </r>
    <r>
      <rPr/>
      <t xml:space="preserve"> (researcher profile)
</t>
    </r>
    <r>
      <rPr>
        <color rgb="FF1155CC"/>
        <u/>
      </rPr>
      <t>Valtsu's</t>
    </r>
    <r>
      <rPr/>
      <t xml:space="preserve"> (blog)</t>
    </r>
  </si>
  <si>
    <t>Literature search</t>
  </si>
  <si>
    <t>PBM Research Database has been created manually by multiple different methods of scientific article search. The database was originally created in Jan 2016 and has been updated regularly since then.
The main method has been manual search by PubMed search engine with numerous keywords:
Main keywords: 
- LLLT
- photobiomodulation
Other keywords (examples)
- LED phototherapy
- transcranial laser
- low-level laser
- phototherapy
- 670nm
- helium-neon laser
- near-infrared
- red light
- low-intensity laser
- low-energy laser
- visible light
- etc...
These keywords often return a lot of papers that are not related to photobiomodulation. For example the keyword "LLLT" returns thousands of search results, and a large proportion of those are not related to low-level laser therapy.</t>
  </si>
  <si>
    <t>In addition, I have tried to find additional papers via forward citation search in Google Scholar search engine. For example, I have checked all the articles that cite some classic PBM articles such as these: 
- Karu 2005: Exact action spectra for cellular responses relevant to phototherapy
- Hamblin 2018: Mechanisms and mitochondrial redox signaling in photobiomodulation</t>
  </si>
  <si>
    <t>Nowadays most of the new articles are found via daily PubMed alerts (Saved Searches)
Search string #1: LLLT OR photobiomodulation 
Search string #2: "light irradiation" OR "LED phototherapy" OR "light treatment" "water-filtered" OR "ILIB" OR "light-emitting diode" OR "transcranial laser" OR "visible light" OR "infrared laser" OR "rhinophototherapy" OR "light therapy" OR "phototherapy" OR "low-power laser" OR "low-level light" OR "low-intensity laser" OR "low energy laser" OR "low energy light" OR "intravascular laser" OR "intravenous laser" OR "helium-neon laser" OR "he-ne laser" OR "low-level light-emitting" OR "class IV laser" NOT LLLT NOT photobiomodulation NOT ultraviolet NOT UVB NOT neonates NOT photodynamic NOT photocatalys* NOT cataly* NOT transitio* NOT graphene NOT photosens* NOT silic* NOT spectrosc* NOT gold NOT nano* NOT *polymer* NOT conjug* NOT phototherm* NOT fluorescen* NOT sensor* NOT imaging 
Search string #3: "red light" OR "near-infrared" NOT imaging NOT spectroscopy NOT photothermal NOT nano* NOT sensor* NOT fluorescen* NOT near-infrared immunohistochemistry NOT LLLT NOT photobiomodulation
Search string #4: "j photochem photobiol b" OR "photochem photobiol" OR "photochem photobiol res" OR "photobiomodul photomed laser surg" OR "j biophotonics" OR "lasers med sci" OR "lasers surg med" OR "j lasers med sci""</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</si>
</sst>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
    <numFmt numFmtId="165" formatCode="d/m"/>
    <numFmt numFmtId="166" formatCode="d-m"/>
    <numFmt numFmtId="167" formatCode="d/m/yy"/>
    <numFmt numFmtId="168" formatCode="dd.mm"/>
    <numFmt numFmtId="169" formatCode="yyyy.m"/>
  </numFmts>
  <fonts count="108">
    <font>
      <sz val="10.0"/>
      <color rgb="FF000000"/>
      <name val="Arial"/>
    </font>
    <font>
      <b/>
      <sz val="9.0"/>
      <color rgb="FF980000"/>
    </font>
    <font>
      <b/>
      <sz val="8.0"/>
    </font>
    <font>
      <i/>
      <sz val="8.0"/>
      <color rgb="FF3D85C6"/>
      <name val="Arial"/>
    </font>
    <font>
      <sz val="8.0"/>
      <name val="Arial"/>
    </font>
    <font>
      <b/>
      <sz val="9.0"/>
    </font>
    <font>
      <b/>
    </font>
    <font>
      <b/>
      <sz val="6.0"/>
      <name val="Arial"/>
    </font>
    <font>
      <b/>
      <sz val="9.0"/>
      <name val="Arial"/>
    </font>
    <font>
      <b/>
      <sz val="6.0"/>
    </font>
    <font>
      <b/>
      <sz val="6.0"/>
      <color rgb="FF980000"/>
    </font>
    <font>
      <sz val="8.0"/>
    </font>
    <font>
      <sz val="7.0"/>
    </font>
    <font>
      <b/>
      <sz val="7.0"/>
    </font>
    <font>
      <sz val="6.0"/>
    </font>
    <font>
      <u/>
      <sz val="8.0"/>
      <color rgb="FF1155CC"/>
    </font>
    <font>
      <sz val="9.0"/>
    </font>
    <font>
      <sz val="9.0"/>
      <color rgb="FF000000"/>
      <name val="Arial"/>
    </font>
    <font/>
    <font>
      <u/>
      <sz val="8.0"/>
      <color rgb="FF0000FF"/>
    </font>
    <font>
      <b/>
      <sz val="8.0"/>
      <color rgb="FF980000"/>
    </font>
    <font>
      <b/>
      <sz val="7.0"/>
      <color rgb="FF980000"/>
    </font>
    <font>
      <b/>
      <sz val="6.0"/>
      <color rgb="FF980000"/>
      <name val="Arial"/>
    </font>
    <font>
      <b/>
      <sz val="7.0"/>
      <color rgb="FF980000"/>
      <name val="Arial"/>
    </font>
    <font>
      <sz val="7.0"/>
      <color rgb="FF000000"/>
      <name val="Arial"/>
    </font>
    <font>
      <b/>
      <sz val="7.0"/>
      <color rgb="FF000000"/>
      <name val="Arial"/>
    </font>
    <font>
      <sz val="6.0"/>
      <color rgb="FF000000"/>
      <name val="Arial"/>
    </font>
    <font>
      <u/>
      <sz val="8.0"/>
      <color rgb="FF0000FF"/>
      <name val="Arial"/>
    </font>
    <font>
      <u/>
      <sz val="8.0"/>
      <color rgb="FF1155CC"/>
      <name val="Arial"/>
    </font>
    <font>
      <sz val="8.0"/>
      <color rgb="FF0000FF"/>
      <name val="Arial"/>
    </font>
    <font>
      <sz val="7.0"/>
      <name val="Arial"/>
    </font>
    <font>
      <b/>
      <sz val="9.0"/>
      <color rgb="FF980000"/>
      <name val="Arial"/>
    </font>
    <font>
      <u/>
      <sz val="8.0"/>
      <color rgb="FF0000FF"/>
      <name val="Arial"/>
    </font>
    <font>
      <name val="Arial"/>
    </font>
    <font>
      <b/>
      <sz val="7.0"/>
      <name val="Arial"/>
    </font>
    <font>
      <sz val="6.0"/>
      <name val="Arial"/>
    </font>
    <font>
      <u/>
      <sz val="8.0"/>
      <color rgb="FF0000FF"/>
      <name val="Arial"/>
    </font>
    <font>
      <u/>
      <sz val="8.0"/>
      <color rgb="FF1155CC"/>
      <name val="Arial"/>
    </font>
    <font>
      <u/>
      <sz val="9.0"/>
      <color rgb="FF0000FF"/>
    </font>
    <font>
      <u/>
      <sz val="8.0"/>
      <color rgb="FF0000FF"/>
    </font>
    <font>
      <u/>
      <sz val="8.0"/>
      <color rgb="FF1155CC"/>
    </font>
    <font>
      <sz val="8.0"/>
      <color rgb="FF000000"/>
      <name val="Arial"/>
    </font>
    <font>
      <b/>
      <sz val="8.0"/>
      <color rgb="FF990000"/>
      <name val="Arial"/>
    </font>
    <font>
      <sz val="8.0"/>
      <color rgb="FF0000FF"/>
    </font>
    <font>
      <sz val="6.0"/>
      <color rgb="FF000000"/>
    </font>
    <font>
      <sz val="6.0"/>
      <color rgb="FF980000"/>
    </font>
    <font>
      <sz val="8.0"/>
      <color rgb="FF1155CC"/>
      <name val="Arial"/>
    </font>
    <font>
      <u/>
      <sz val="8.0"/>
      <color rgb="FF0000FF"/>
    </font>
    <font>
      <b/>
      <sz val="7.0"/>
      <color rgb="FF990000"/>
      <name val="Arial"/>
    </font>
    <font>
      <u/>
      <sz val="8.0"/>
      <color rgb="FF1155CC"/>
      <name val="Arial"/>
    </font>
    <font>
      <u/>
      <sz val="8.0"/>
      <color rgb="FF0000FF"/>
    </font>
    <font>
      <b/>
      <sz val="6.0"/>
      <color rgb="FF990000"/>
      <name val="Arial"/>
    </font>
    <font>
      <b/>
      <sz val="8.0"/>
      <color rgb="FF980000"/>
      <name val="Arial"/>
    </font>
    <font>
      <u/>
      <sz val="8.0"/>
      <color rgb="FF1155CC"/>
      <name val="Arial"/>
    </font>
    <font>
      <u/>
      <sz val="8.0"/>
      <color rgb="FF0000FF"/>
      <name val="Arial"/>
    </font>
    <font>
      <u/>
      <sz val="6.0"/>
      <color rgb="FF0000FF"/>
      <name val="Arial"/>
    </font>
    <font>
      <u/>
      <sz val="8.0"/>
      <color rgb="FF0000FF"/>
      <name val="Arial"/>
    </font>
    <font>
      <b/>
      <sz val="5.0"/>
      <color rgb="FF980000"/>
      <name val="Arial"/>
    </font>
    <font>
      <b/>
      <sz val="5.0"/>
      <color rgb="FF980000"/>
    </font>
    <font>
      <u/>
      <sz val="8.0"/>
      <color rgb="FF1155CC"/>
      <name val="Arial"/>
    </font>
    <font>
      <b/>
      <sz val="9.0"/>
      <color rgb="FFD9EAD3"/>
      <name val="Arial"/>
    </font>
    <font>
      <u/>
      <sz val="8.0"/>
      <color rgb="FF0000FF"/>
    </font>
    <font>
      <u/>
      <sz val="8.0"/>
      <color rgb="FF1155CC"/>
      <name val="Arial"/>
    </font>
    <font>
      <u/>
      <sz val="8.0"/>
      <color rgb="FF0000FF"/>
      <name val="Arial"/>
    </font>
    <font>
      <u/>
      <sz val="8.0"/>
      <color rgb="FF1155CC"/>
      <name val="Arial"/>
    </font>
    <font>
      <u/>
      <sz val="8.0"/>
      <color rgb="FF0000FF"/>
    </font>
    <font>
      <u/>
      <sz val="6.0"/>
      <color rgb="FF0000FF"/>
    </font>
    <font>
      <u/>
      <sz val="6.0"/>
      <color rgb="FF0000FF"/>
    </font>
    <font>
      <u/>
      <sz val="6.0"/>
      <color rgb="FF0000FF"/>
    </font>
    <font>
      <u/>
      <sz val="6.0"/>
      <color rgb="FF0000FF"/>
    </font>
    <font>
      <u/>
      <sz val="6.0"/>
      <color rgb="FF0000FF"/>
    </font>
    <font>
      <sz val="6.0"/>
      <color rgb="FFFF0000"/>
    </font>
    <font>
      <u/>
      <sz val="8.0"/>
      <color rgb="FF1155CC"/>
      <name val="Arial"/>
    </font>
    <font>
      <b/>
      <sz val="10.0"/>
      <color rgb="FF980000"/>
    </font>
    <font>
      <b/>
      <i/>
      <sz val="9.0"/>
      <color rgb="FF38761D"/>
    </font>
    <font>
      <b/>
      <sz val="10.0"/>
    </font>
    <font>
      <i/>
      <sz val="7.0"/>
    </font>
    <font>
      <i/>
      <sz val="7.0"/>
      <color rgb="FF000000"/>
      <name val="Arial"/>
    </font>
    <font>
      <sz val="7.0"/>
      <color rgb="FF1155CC"/>
      <name val="Arial"/>
    </font>
    <font>
      <i/>
      <sz val="7.0"/>
      <name val="Arial"/>
    </font>
    <font>
      <b/>
      <i/>
      <sz val="12.0"/>
    </font>
    <font>
      <u/>
      <sz val="8.0"/>
      <color rgb="FF0000FF"/>
    </font>
    <font>
      <b/>
      <sz val="16.0"/>
    </font>
    <font>
      <b/>
      <sz val="12.0"/>
    </font>
    <font>
      <sz val="12.0"/>
    </font>
    <font>
      <sz val="11.0"/>
    </font>
    <font>
      <b/>
      <sz val="12.0"/>
      <color rgb="FF000000"/>
      <name val="Arial"/>
    </font>
    <font>
      <b/>
      <sz val="14.0"/>
      <color rgb="FF000000"/>
      <name val="Arial"/>
    </font>
    <font>
      <b/>
      <sz val="10.0"/>
      <color rgb="FF000000"/>
      <name val="Arial"/>
    </font>
    <font>
      <color rgb="FF333333"/>
      <name val="Arial"/>
    </font>
    <font>
      <b/>
      <sz val="14.0"/>
    </font>
    <font>
      <b/>
      <sz val="9.0"/>
      <color rgb="FF000000"/>
      <name val="Arial"/>
    </font>
    <font>
      <sz val="9.0"/>
      <name val="Arial"/>
    </font>
    <font>
      <sz val="9.0"/>
      <color rgb="FF333333"/>
      <name val="Arial"/>
    </font>
    <font>
      <i/>
      <sz val="7.0"/>
      <color rgb="FF38761D"/>
    </font>
    <font>
      <i/>
      <sz val="8.0"/>
      <color rgb="FF000000"/>
      <name val="Arial"/>
    </font>
    <font>
      <b/>
      <sz val="8.0"/>
      <name val="Arial"/>
    </font>
    <font>
      <sz val="7.0"/>
      <color rgb="FFB45F06"/>
      <name val="Arial"/>
    </font>
    <font>
      <b/>
      <sz val="8.0"/>
      <color rgb="FF000000"/>
      <name val="Arial"/>
    </font>
    <font>
      <u/>
      <sz val="8.0"/>
      <color rgb="FF1155CC"/>
      <name val="Arial"/>
    </font>
    <font>
      <u/>
      <sz val="8.0"/>
      <color rgb="FF1155CC"/>
      <name val="Arial"/>
    </font>
    <font>
      <b/>
      <i/>
      <sz val="8.0"/>
      <name val="Arial"/>
    </font>
    <font>
      <u/>
      <sz val="8.0"/>
    </font>
    <font>
      <b/>
      <sz val="13.0"/>
    </font>
    <font>
      <sz val="9.0"/>
      <color rgb="FF0000FF"/>
    </font>
    <font>
      <sz val="9.0"/>
      <color rgb="FF1155CC"/>
    </font>
    <font>
      <u/>
      <color rgb="FF0000FF"/>
    </font>
    <font>
      <b/>
      <u/>
      <sz val="14.0"/>
    </font>
  </fonts>
  <fills count="31">
    <fill>
      <patternFill patternType="none"/>
    </fill>
    <fill>
      <patternFill patternType="lightGray"/>
    </fill>
    <fill>
      <patternFill patternType="solid">
        <fgColor rgb="FFEBEBEB"/>
        <bgColor rgb="FFEBEBEB"/>
      </patternFill>
    </fill>
    <fill>
      <patternFill patternType="solid">
        <fgColor rgb="FFF9F9F9"/>
        <bgColor rgb="FFF9F9F9"/>
      </patternFill>
    </fill>
    <fill>
      <patternFill patternType="solid">
        <fgColor rgb="FFD9D9D9"/>
        <bgColor rgb="FFD9D9D9"/>
      </patternFill>
    </fill>
    <fill>
      <patternFill patternType="solid">
        <fgColor rgb="FFD9EAD3"/>
        <bgColor rgb="FFD9EAD3"/>
      </patternFill>
    </fill>
    <fill>
      <patternFill patternType="solid">
        <fgColor rgb="FFCFE2F3"/>
        <bgColor rgb="FFCFE2F3"/>
      </patternFill>
    </fill>
    <fill>
      <patternFill patternType="solid">
        <fgColor rgb="FFF4CCCC"/>
        <bgColor rgb="FFF4CCCC"/>
      </patternFill>
    </fill>
    <fill>
      <patternFill patternType="solid">
        <fgColor rgb="FFFFF2CC"/>
        <bgColor rgb="FFFFF2CC"/>
      </patternFill>
    </fill>
    <fill>
      <patternFill patternType="solid">
        <fgColor rgb="FFB6D7A8"/>
        <bgColor rgb="FFB6D7A8"/>
      </patternFill>
    </fill>
    <fill>
      <patternFill patternType="solid">
        <fgColor rgb="FFFFE599"/>
        <bgColor rgb="FFFFE599"/>
      </patternFill>
    </fill>
    <fill>
      <patternFill patternType="solid">
        <fgColor rgb="FFEFEFEF"/>
        <bgColor rgb="FFEFEFEF"/>
      </patternFill>
    </fill>
    <fill>
      <patternFill patternType="solid">
        <fgColor rgb="FFFFFFFF"/>
        <bgColor rgb="FFFFFFFF"/>
      </patternFill>
    </fill>
    <fill>
      <patternFill patternType="solid">
        <fgColor rgb="FFE6B8AF"/>
        <bgColor rgb="FFE6B8AF"/>
      </patternFill>
    </fill>
    <fill>
      <patternFill patternType="solid">
        <fgColor rgb="FFFFD966"/>
        <bgColor rgb="FFFFD966"/>
      </patternFill>
    </fill>
    <fill>
      <patternFill patternType="solid">
        <fgColor rgb="FFF3F3F3"/>
        <bgColor rgb="FFF3F3F3"/>
      </patternFill>
    </fill>
    <fill>
      <patternFill patternType="solid">
        <fgColor rgb="FFFCE5CD"/>
        <bgColor rgb="FFFCE5CD"/>
      </patternFill>
    </fill>
    <fill>
      <patternFill patternType="solid">
        <fgColor rgb="FFEA9999"/>
        <bgColor rgb="FFEA9999"/>
      </patternFill>
    </fill>
    <fill>
      <patternFill patternType="solid">
        <fgColor rgb="FF93C47D"/>
        <bgColor rgb="FF93C47D"/>
      </patternFill>
    </fill>
    <fill>
      <patternFill patternType="solid">
        <fgColor rgb="FFD0E0E3"/>
        <bgColor rgb="FFD0E0E3"/>
      </patternFill>
    </fill>
    <fill>
      <patternFill patternType="solid">
        <fgColor rgb="FFEEF7E2"/>
        <bgColor rgb="FFEEF7E2"/>
      </patternFill>
    </fill>
    <fill>
      <patternFill patternType="solid">
        <fgColor rgb="FFA4C2F4"/>
        <bgColor rgb="FFA4C2F4"/>
      </patternFill>
    </fill>
    <fill>
      <patternFill patternType="solid">
        <fgColor rgb="FFC9DAF8"/>
        <bgColor rgb="FFC9DAF8"/>
      </patternFill>
    </fill>
    <fill>
      <patternFill patternType="solid">
        <fgColor rgb="FFFEFDFA"/>
        <bgColor rgb="FFFEFDFA"/>
      </patternFill>
    </fill>
    <fill>
      <patternFill patternType="solid">
        <fgColor rgb="FFFF9900"/>
        <bgColor rgb="FFFF9900"/>
      </patternFill>
    </fill>
    <fill>
      <patternFill patternType="solid">
        <fgColor rgb="FFE06666"/>
        <bgColor rgb="FFE06666"/>
      </patternFill>
    </fill>
    <fill>
      <patternFill patternType="solid">
        <fgColor rgb="FFDD7E6B"/>
        <bgColor rgb="FFDD7E6B"/>
      </patternFill>
    </fill>
    <fill>
      <patternFill patternType="solid">
        <fgColor rgb="FFEAD1DC"/>
        <bgColor rgb="FFEAD1DC"/>
      </patternFill>
    </fill>
    <fill>
      <patternFill patternType="solid">
        <fgColor rgb="FFD5A6BD"/>
        <bgColor rgb="FFD5A6BD"/>
      </patternFill>
    </fill>
    <fill>
      <patternFill patternType="solid">
        <fgColor rgb="FFD9D2E9"/>
        <bgColor rgb="FFD9D2E9"/>
      </patternFill>
    </fill>
    <fill>
      <patternFill patternType="solid">
        <fgColor rgb="FFCCCCCC"/>
        <bgColor rgb="FFCCCCCC"/>
      </patternFill>
    </fill>
  </fills>
  <borders count="18">
    <border/>
    <border>
      <left style="thin">
        <color rgb="FF000000"/>
      </left>
      <right style="thin">
        <color rgb="FF000000"/>
      </right>
      <bottom style="thin">
        <color rgb="FF000000"/>
      </bottom>
    </border>
    <border>
      <bottom style="thin">
        <color rgb="FF000000"/>
      </bottom>
    </border>
    <border>
      <left style="thin">
        <color rgb="FF980000"/>
      </left>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right style="thin">
        <color rgb="FF000000"/>
      </right>
      <top style="thin">
        <color rgb="FF000000"/>
      </top>
    </border>
    <border>
      <left style="thin">
        <color rgb="FF000000"/>
      </left>
      <right style="thin">
        <color rgb="FF000000"/>
      </right>
      <top style="thin">
        <color rgb="FF333333"/>
      </top>
      <bottom style="thin">
        <color rgb="FF000000"/>
      </bottom>
    </border>
    <border>
      <right style="thin">
        <color rgb="FF000000"/>
      </right>
      <bottom style="thin">
        <color rgb="FF000000"/>
      </bottom>
    </border>
    <border>
      <right style="thin">
        <color rgb="FF000000"/>
      </right>
      <top style="thin">
        <color rgb="FF000000"/>
      </top>
    </border>
    <border>
      <top style="thin">
        <color rgb="FF000000"/>
      </top>
    </border>
    <border>
      <left style="thin">
        <color rgb="FF000000"/>
      </left>
      <top style="thin">
        <color rgb="FF000000"/>
      </top>
    </border>
    <border>
      <left style="thin">
        <color rgb="FF000000"/>
      </left>
      <bottom style="thin">
        <color rgb="FF000000"/>
      </bottom>
    </border>
    <border>
      <left style="thin">
        <color rgb="FF000000"/>
      </left>
    </border>
    <border>
      <left style="thin">
        <color rgb="FF000000"/>
      </left>
      <right style="thin">
        <color rgb="FF000000"/>
      </right>
    </border>
  </borders>
  <cellStyleXfs count="1">
    <xf borderId="0" fillId="0" fontId="0" numFmtId="0" applyAlignment="1" applyFont="1"/>
  </cellStyleXfs>
  <cellXfs count="766">
    <xf borderId="0" fillId="0" fontId="0" numFmtId="0" xfId="0" applyAlignment="1" applyFont="1">
      <alignment readingOrder="0" shrinkToFit="0" vertical="bottom" wrapText="0"/>
    </xf>
    <xf borderId="0" fillId="2" fontId="1" numFmtId="0" xfId="0" applyAlignment="1" applyFill="1" applyFont="1">
      <alignment readingOrder="0" shrinkToFit="0" vertical="top" wrapText="1"/>
    </xf>
    <xf borderId="0" fillId="3" fontId="2" numFmtId="0" xfId="0" applyAlignment="1" applyFill="1" applyFont="1">
      <alignment readingOrder="0" shrinkToFit="0" vertical="top" wrapText="1"/>
    </xf>
    <xf borderId="0" fillId="4" fontId="2" numFmtId="0" xfId="0" applyAlignment="1" applyFill="1" applyFont="1">
      <alignment readingOrder="0" shrinkToFit="0" vertical="top" wrapText="1"/>
    </xf>
    <xf borderId="0" fillId="3" fontId="3" numFmtId="0" xfId="0" applyAlignment="1" applyFont="1">
      <alignment readingOrder="0" shrinkToFit="0" vertical="top" wrapText="0"/>
    </xf>
    <xf borderId="0" fillId="0" fontId="3" numFmtId="0" xfId="0" applyAlignment="1" applyFont="1">
      <alignment horizontal="left" readingOrder="0" vertical="top"/>
    </xf>
    <xf borderId="0" fillId="3" fontId="3" numFmtId="0" xfId="0" applyAlignment="1" applyFont="1">
      <alignment horizontal="left" readingOrder="0" shrinkToFit="0" vertical="top" wrapText="1"/>
    </xf>
    <xf borderId="0" fillId="3" fontId="4" numFmtId="0" xfId="0" applyAlignment="1" applyFont="1">
      <alignment horizontal="left" readingOrder="0" shrinkToFit="0" vertical="top" wrapText="1"/>
    </xf>
    <xf borderId="0" fillId="0" fontId="2" numFmtId="0" xfId="0" applyAlignment="1" applyFont="1">
      <alignment readingOrder="0" shrinkToFit="0" vertical="top" wrapText="1"/>
    </xf>
    <xf borderId="0" fillId="0" fontId="5" numFmtId="0" xfId="0" applyAlignment="1" applyFont="1">
      <alignment readingOrder="0" shrinkToFit="0" vertical="top" wrapText="1"/>
    </xf>
    <xf borderId="0" fillId="0" fontId="6" numFmtId="0" xfId="0" applyAlignment="1" applyFont="1">
      <alignment shrinkToFit="0" vertical="top" wrapText="1"/>
    </xf>
    <xf borderId="0" fillId="3" fontId="2" numFmtId="0" xfId="0" applyAlignment="1" applyFont="1">
      <alignment horizontal="left" readingOrder="0" shrinkToFit="0" vertical="top" wrapText="1"/>
    </xf>
    <xf borderId="1" fillId="3" fontId="7" numFmtId="0" xfId="0" applyAlignment="1" applyBorder="1" applyFont="1">
      <alignment horizontal="center" readingOrder="0" shrinkToFit="0" vertical="top" wrapText="1"/>
    </xf>
    <xf borderId="1" fillId="3" fontId="8" numFmtId="0" xfId="0" applyAlignment="1" applyBorder="1" applyFont="1">
      <alignment horizontal="center" readingOrder="0" shrinkToFit="0" vertical="top" wrapText="1"/>
    </xf>
    <xf borderId="1" fillId="3" fontId="7" numFmtId="49" xfId="0" applyAlignment="1" applyBorder="1" applyFont="1" applyNumberFormat="1">
      <alignment horizontal="center" readingOrder="0" shrinkToFit="0" vertical="top" wrapText="1"/>
    </xf>
    <xf borderId="1" fillId="3" fontId="8" numFmtId="0" xfId="0" applyAlignment="1" applyBorder="1" applyFont="1">
      <alignment horizontal="center" readingOrder="0" shrinkToFit="0" vertical="top" wrapText="1"/>
    </xf>
    <xf borderId="2" fillId="3" fontId="9" numFmtId="0" xfId="0" applyAlignment="1" applyBorder="1" applyFont="1">
      <alignment readingOrder="0" shrinkToFit="0" vertical="top" wrapText="1"/>
    </xf>
    <xf borderId="3" fillId="3" fontId="2" numFmtId="0" xfId="0" applyAlignment="1" applyBorder="1" applyFont="1">
      <alignment readingOrder="0" shrinkToFit="0" vertical="top" wrapText="1"/>
    </xf>
    <xf borderId="0" fillId="2" fontId="10" numFmtId="0" xfId="0" applyAlignment="1" applyFont="1">
      <alignment readingOrder="0" shrinkToFit="0" vertical="top" wrapText="1"/>
    </xf>
    <xf borderId="0" fillId="3" fontId="11" numFmtId="0" xfId="0" applyAlignment="1" applyFont="1">
      <alignment readingOrder="0" shrinkToFit="0" vertical="top" wrapText="1"/>
    </xf>
    <xf borderId="0" fillId="3" fontId="12" numFmtId="0" xfId="0" applyAlignment="1" applyFont="1">
      <alignment readingOrder="0" shrinkToFit="0" vertical="top" wrapText="1"/>
    </xf>
    <xf borderId="0" fillId="4" fontId="11" numFmtId="0" xfId="0" applyAlignment="1" applyFont="1">
      <alignment readingOrder="0" shrinkToFit="0" vertical="top" wrapText="1"/>
    </xf>
    <xf borderId="0" fillId="0" fontId="12" numFmtId="0" xfId="0" applyAlignment="1" applyFont="1">
      <alignment readingOrder="0" shrinkToFit="0" vertical="top" wrapText="1"/>
    </xf>
    <xf borderId="0" fillId="0" fontId="12" numFmtId="0" xfId="0" applyAlignment="1" applyFont="1">
      <alignment horizontal="left" readingOrder="0" shrinkToFit="0" vertical="top" wrapText="1"/>
    </xf>
    <xf borderId="0" fillId="0" fontId="13" numFmtId="0" xfId="0" applyAlignment="1" applyFont="1">
      <alignment readingOrder="0" shrinkToFit="0" vertical="top" wrapText="1"/>
    </xf>
    <xf borderId="1" fillId="0" fontId="14" numFmtId="0" xfId="0" applyAlignment="1" applyBorder="1" applyFont="1">
      <alignment horizontal="center" readingOrder="0" shrinkToFit="0" vertical="top" wrapText="1"/>
    </xf>
    <xf borderId="1" fillId="0" fontId="14" numFmtId="164" xfId="0" applyAlignment="1" applyBorder="1" applyFont="1" applyNumberFormat="1">
      <alignment horizontal="center" readingOrder="0" shrinkToFit="0" vertical="top" wrapText="1"/>
    </xf>
    <xf borderId="1" fillId="0" fontId="14" numFmtId="49" xfId="0" applyAlignment="1" applyBorder="1" applyFont="1" applyNumberFormat="1">
      <alignment horizontal="center" readingOrder="0" shrinkToFit="0" vertical="top" wrapText="1"/>
    </xf>
    <xf borderId="0" fillId="5" fontId="14" numFmtId="0" xfId="0" applyAlignment="1" applyFill="1" applyFont="1">
      <alignment readingOrder="0" shrinkToFit="0" vertical="top" wrapText="1"/>
    </xf>
    <xf borderId="0" fillId="6" fontId="15" numFmtId="0" xfId="0" applyAlignment="1" applyFill="1" applyFont="1">
      <alignment readingOrder="0" shrinkToFit="0" vertical="top" wrapText="1"/>
    </xf>
    <xf borderId="0" fillId="0" fontId="14" numFmtId="0" xfId="0" applyAlignment="1" applyFont="1">
      <alignment readingOrder="0" shrinkToFit="0" vertical="top" wrapText="1"/>
    </xf>
    <xf borderId="0" fillId="0" fontId="16" numFmtId="0" xfId="0" applyAlignment="1" applyFont="1">
      <alignment readingOrder="0" shrinkToFit="0" vertical="top" wrapText="1"/>
    </xf>
    <xf borderId="0" fillId="0" fontId="16" numFmtId="0" xfId="0" applyAlignment="1" applyFont="1">
      <alignment horizontal="left" readingOrder="0" shrinkToFit="0" vertical="top" wrapText="1"/>
    </xf>
    <xf borderId="0" fillId="0" fontId="17" numFmtId="0" xfId="0" applyAlignment="1" applyFont="1">
      <alignment readingOrder="0" shrinkToFit="0" vertical="top" wrapText="1"/>
    </xf>
    <xf borderId="0" fillId="0" fontId="16" numFmtId="0" xfId="0" applyAlignment="1" applyFont="1">
      <alignment readingOrder="0" shrinkToFit="0" vertical="top" wrapText="1"/>
    </xf>
    <xf borderId="0" fillId="0" fontId="18" numFmtId="0" xfId="0" applyAlignment="1" applyFont="1">
      <alignment shrinkToFit="0" vertical="top" wrapText="1"/>
    </xf>
    <xf borderId="4" fillId="0" fontId="14" numFmtId="0" xfId="0" applyAlignment="1" applyBorder="1" applyFont="1">
      <alignment horizontal="center" readingOrder="0" shrinkToFit="0" vertical="top" wrapText="1"/>
    </xf>
    <xf borderId="4" fillId="0" fontId="14" numFmtId="49" xfId="0" applyAlignment="1" applyBorder="1" applyFont="1" applyNumberFormat="1">
      <alignment horizontal="center" readingOrder="0" shrinkToFit="0" vertical="top" wrapText="1"/>
    </xf>
    <xf borderId="0" fillId="6" fontId="19" numFmtId="0" xfId="0" applyAlignment="1" applyFont="1">
      <alignment readingOrder="0" shrinkToFit="0" vertical="top" wrapText="1"/>
    </xf>
    <xf borderId="0" fillId="2" fontId="20" numFmtId="0" xfId="0" applyAlignment="1" applyFont="1">
      <alignment readingOrder="0" shrinkToFit="0" vertical="top" wrapText="1"/>
    </xf>
    <xf borderId="0" fillId="2" fontId="21" numFmtId="0" xfId="0" applyAlignment="1" applyFont="1">
      <alignment readingOrder="0" shrinkToFit="0" vertical="top" wrapText="1"/>
    </xf>
    <xf borderId="0" fillId="7" fontId="14" numFmtId="0" xfId="0" applyAlignment="1" applyFill="1" applyFont="1">
      <alignment readingOrder="0" shrinkToFit="0" vertical="top" wrapText="1"/>
    </xf>
    <xf borderId="0" fillId="8" fontId="14" numFmtId="0" xfId="0" applyAlignment="1" applyFill="1" applyFont="1">
      <alignment readingOrder="0" shrinkToFit="0" vertical="top" wrapText="1"/>
    </xf>
    <xf borderId="5" fillId="9" fontId="14" numFmtId="0" xfId="0" applyAlignment="1" applyBorder="1" applyFill="1" applyFont="1">
      <alignment horizontal="center" readingOrder="0" shrinkToFit="0" vertical="top" wrapText="1"/>
    </xf>
    <xf borderId="6" fillId="0" fontId="18" numFmtId="0" xfId="0" applyBorder="1" applyFont="1"/>
    <xf borderId="7" fillId="0" fontId="18" numFmtId="0" xfId="0" applyBorder="1" applyFont="1"/>
    <xf borderId="0" fillId="0" fontId="12" numFmtId="0" xfId="0" applyAlignment="1" applyFont="1">
      <alignment readingOrder="0" shrinkToFit="0" vertical="top" wrapText="1"/>
    </xf>
    <xf borderId="0" fillId="4" fontId="12" numFmtId="0" xfId="0" applyAlignment="1" applyFont="1">
      <alignment readingOrder="0" shrinkToFit="0" vertical="top" wrapText="1"/>
    </xf>
    <xf quotePrefix="1" borderId="4" fillId="0" fontId="14" numFmtId="0" xfId="0" applyAlignment="1" applyBorder="1" applyFont="1">
      <alignment horizontal="center" readingOrder="0" shrinkToFit="0" vertical="top" wrapText="1"/>
    </xf>
    <xf borderId="0" fillId="0" fontId="16" numFmtId="0" xfId="0" applyAlignment="1" applyFont="1">
      <alignment shrinkToFit="0" vertical="top" wrapText="1"/>
    </xf>
    <xf borderId="0" fillId="0" fontId="14" numFmtId="0" xfId="0" applyAlignment="1" applyFont="1">
      <alignment shrinkToFit="0" vertical="top" wrapText="1"/>
    </xf>
    <xf borderId="0" fillId="2" fontId="22" numFmtId="0" xfId="0" applyAlignment="1" applyFont="1">
      <alignment readingOrder="0" shrinkToFit="0" vertical="top" wrapText="1"/>
    </xf>
    <xf borderId="0" fillId="0" fontId="14" numFmtId="0" xfId="0" applyAlignment="1" applyFont="1">
      <alignment horizontal="center" readingOrder="0" shrinkToFit="0" vertical="top" wrapText="1"/>
    </xf>
    <xf borderId="0" fillId="10" fontId="14" numFmtId="0" xfId="0" applyAlignment="1" applyFill="1" applyFont="1">
      <alignment horizontal="left" readingOrder="0" shrinkToFit="0" vertical="top" wrapText="1"/>
    </xf>
    <xf borderId="0" fillId="5" fontId="14" numFmtId="0" xfId="0" applyAlignment="1" applyFont="1">
      <alignment horizontal="left" readingOrder="0" shrinkToFit="0" vertical="top" wrapText="1"/>
    </xf>
    <xf borderId="0" fillId="2" fontId="23" numFmtId="0" xfId="0" applyAlignment="1" applyFont="1">
      <alignment horizontal="left" readingOrder="0" shrinkToFit="0" vertical="top" wrapText="1"/>
    </xf>
    <xf borderId="0" fillId="0" fontId="24" numFmtId="0" xfId="0" applyAlignment="1" applyFont="1">
      <alignment readingOrder="0" shrinkToFit="0" vertical="top" wrapText="1"/>
    </xf>
    <xf borderId="0" fillId="0" fontId="24" numFmtId="0" xfId="0" applyAlignment="1" applyFont="1">
      <alignment horizontal="left" readingOrder="0" shrinkToFit="0" vertical="top" wrapText="1"/>
    </xf>
    <xf borderId="0" fillId="0" fontId="25" numFmtId="0" xfId="0" applyAlignment="1" applyFont="1">
      <alignment readingOrder="0" shrinkToFit="0" vertical="top" wrapText="1"/>
    </xf>
    <xf borderId="0" fillId="11" fontId="26" numFmtId="0" xfId="0" applyAlignment="1" applyFill="1" applyFont="1">
      <alignment readingOrder="0" shrinkToFit="0" vertical="top" wrapText="1"/>
    </xf>
    <xf borderId="0" fillId="6" fontId="27" numFmtId="0" xfId="0" applyAlignment="1" applyFont="1">
      <alignment readingOrder="0" shrinkToFit="0" vertical="top" wrapText="1"/>
    </xf>
    <xf borderId="0" fillId="12" fontId="26" numFmtId="0" xfId="0" applyAlignment="1" applyFill="1" applyFont="1">
      <alignment readingOrder="0" shrinkToFit="0" vertical="top" wrapText="1"/>
    </xf>
    <xf borderId="0" fillId="12" fontId="26" numFmtId="0" xfId="0" applyAlignment="1" applyFont="1">
      <alignment horizontal="center" readingOrder="0" shrinkToFit="0" vertical="top" wrapText="1"/>
    </xf>
    <xf borderId="0" fillId="5" fontId="26" numFmtId="0" xfId="0" applyAlignment="1" applyFont="1">
      <alignment readingOrder="0" shrinkToFit="0" vertical="top" wrapText="1"/>
    </xf>
    <xf borderId="0" fillId="6" fontId="28" numFmtId="0" xfId="0" applyAlignment="1" applyFont="1">
      <alignment readingOrder="0" shrinkToFit="0" vertical="top" wrapText="1"/>
    </xf>
    <xf borderId="0" fillId="10" fontId="26" numFmtId="0" xfId="0" applyAlignment="1" applyFont="1">
      <alignment readingOrder="0" shrinkToFit="0" vertical="top" wrapText="1"/>
    </xf>
    <xf borderId="0" fillId="6" fontId="29" numFmtId="0" xfId="0" applyAlignment="1" applyFont="1">
      <alignment readingOrder="0" shrinkToFit="0" vertical="top" wrapText="1"/>
    </xf>
    <xf borderId="0" fillId="0" fontId="26" numFmtId="0" xfId="0" applyAlignment="1" applyFont="1">
      <alignment horizontal="center" readingOrder="0" shrinkToFit="0" vertical="top" wrapText="1"/>
    </xf>
    <xf borderId="0" fillId="0" fontId="26" numFmtId="49" xfId="0" applyAlignment="1" applyFont="1" applyNumberFormat="1">
      <alignment horizontal="center" readingOrder="0" shrinkToFit="0" vertical="top" wrapText="1"/>
    </xf>
    <xf borderId="4" fillId="0" fontId="26" numFmtId="0" xfId="0" applyAlignment="1" applyBorder="1" applyFont="1">
      <alignment horizontal="center" readingOrder="0" shrinkToFit="0" vertical="top" wrapText="1"/>
    </xf>
    <xf borderId="4" fillId="0" fontId="26" numFmtId="49" xfId="0" applyAlignment="1" applyBorder="1" applyFont="1" applyNumberFormat="1">
      <alignment horizontal="center" readingOrder="0" shrinkToFit="0" vertical="top" wrapText="1"/>
    </xf>
    <xf borderId="0" fillId="7" fontId="26" numFmtId="0" xfId="0" applyAlignment="1" applyFont="1">
      <alignment readingOrder="0" shrinkToFit="0" vertical="top" wrapText="1"/>
    </xf>
    <xf borderId="4" fillId="0" fontId="26" numFmtId="164" xfId="0" applyAlignment="1" applyBorder="1" applyFont="1" applyNumberFormat="1">
      <alignment horizontal="center" readingOrder="0" shrinkToFit="0" vertical="top" wrapText="1"/>
    </xf>
    <xf borderId="7" fillId="5" fontId="26" numFmtId="0" xfId="0" applyAlignment="1" applyBorder="1" applyFont="1">
      <alignment readingOrder="0" shrinkToFit="0" vertical="top" wrapText="1"/>
    </xf>
    <xf borderId="0" fillId="8" fontId="26" numFmtId="0" xfId="0" applyAlignment="1" applyFont="1">
      <alignment readingOrder="0" shrinkToFit="0" vertical="top" wrapText="1"/>
    </xf>
    <xf borderId="0" fillId="3" fontId="4" numFmtId="0" xfId="0" applyAlignment="1" applyFont="1">
      <alignment shrinkToFit="0" vertical="top" wrapText="1"/>
    </xf>
    <xf borderId="0" fillId="3" fontId="30" numFmtId="0" xfId="0" applyAlignment="1" applyFont="1">
      <alignment readingOrder="0" shrinkToFit="0" vertical="top" wrapText="1"/>
    </xf>
    <xf borderId="0" fillId="3" fontId="30" numFmtId="0" xfId="0" applyAlignment="1" applyFont="1">
      <alignment shrinkToFit="0" vertical="top" wrapText="1"/>
    </xf>
    <xf borderId="0" fillId="0" fontId="26" numFmtId="164" xfId="0" applyAlignment="1" applyFont="1" applyNumberFormat="1">
      <alignment horizontal="center" readingOrder="0" shrinkToFit="0" vertical="top" wrapText="1"/>
    </xf>
    <xf borderId="0" fillId="9" fontId="26" numFmtId="0" xfId="0" applyAlignment="1" applyFont="1">
      <alignment readingOrder="0" shrinkToFit="0" vertical="top" wrapText="1"/>
    </xf>
    <xf borderId="5" fillId="10" fontId="26" numFmtId="0" xfId="0" applyAlignment="1" applyBorder="1" applyFont="1">
      <alignment horizontal="left" readingOrder="0" shrinkToFit="0" vertical="top" wrapText="1"/>
    </xf>
    <xf quotePrefix="1" borderId="0" fillId="0" fontId="24" numFmtId="0" xfId="0" applyAlignment="1" applyFont="1">
      <alignment readingOrder="0" shrinkToFit="0" vertical="top" wrapText="1"/>
    </xf>
    <xf borderId="0" fillId="7" fontId="26" numFmtId="0" xfId="0" applyAlignment="1" applyFont="1">
      <alignment horizontal="left" readingOrder="0" shrinkToFit="0" vertical="top" wrapText="1"/>
    </xf>
    <xf borderId="0" fillId="5" fontId="26" numFmtId="0" xfId="0" applyAlignment="1" applyFont="1">
      <alignment horizontal="left" readingOrder="0" shrinkToFit="0" vertical="top" wrapText="1"/>
    </xf>
    <xf borderId="0" fillId="8" fontId="26" numFmtId="0" xfId="0" applyAlignment="1" applyFont="1">
      <alignment horizontal="left" readingOrder="0" shrinkToFit="0" vertical="top" wrapText="1"/>
    </xf>
    <xf borderId="0" fillId="9" fontId="26" numFmtId="0" xfId="0" applyAlignment="1" applyFont="1">
      <alignment horizontal="center" readingOrder="0" shrinkToFit="0" vertical="top" wrapText="1"/>
    </xf>
    <xf borderId="0" fillId="9" fontId="26" numFmtId="0" xfId="0" applyAlignment="1" applyFont="1">
      <alignment horizontal="left" readingOrder="0" shrinkToFit="0" vertical="top" wrapText="1"/>
    </xf>
    <xf borderId="4" fillId="12" fontId="26" numFmtId="0" xfId="0" applyAlignment="1" applyBorder="1" applyFont="1">
      <alignment horizontal="center" readingOrder="0" shrinkToFit="0" vertical="top" wrapText="1"/>
    </xf>
    <xf borderId="5" fillId="9" fontId="26" numFmtId="0" xfId="0" applyAlignment="1" applyBorder="1" applyFont="1">
      <alignment horizontal="center" readingOrder="0" shrinkToFit="0" vertical="top" wrapText="1"/>
    </xf>
    <xf borderId="0" fillId="2" fontId="31" numFmtId="0" xfId="0" applyAlignment="1" applyFont="1">
      <alignment readingOrder="0" shrinkToFit="0" vertical="top" wrapText="1"/>
    </xf>
    <xf borderId="4" fillId="0" fontId="14" numFmtId="0" xfId="0" applyAlignment="1" applyBorder="1" applyFont="1">
      <alignment readingOrder="0"/>
    </xf>
    <xf borderId="0" fillId="3" fontId="4" numFmtId="0" xfId="0" applyAlignment="1" applyFont="1">
      <alignment shrinkToFit="0" vertical="top" wrapText="1"/>
    </xf>
    <xf borderId="0" fillId="3" fontId="30" numFmtId="0" xfId="0" applyAlignment="1" applyFont="1">
      <alignment shrinkToFit="0" vertical="top" wrapText="1"/>
    </xf>
    <xf borderId="4" fillId="12" fontId="14" numFmtId="164" xfId="0" applyAlignment="1" applyBorder="1" applyFont="1" applyNumberFormat="1">
      <alignment horizontal="center" readingOrder="0" shrinkToFit="0" vertical="top" wrapText="1"/>
    </xf>
    <xf borderId="4" fillId="12" fontId="14" numFmtId="0" xfId="0" applyAlignment="1" applyBorder="1" applyFont="1">
      <alignment horizontal="center" readingOrder="0" shrinkToFit="0" vertical="top" wrapText="1"/>
    </xf>
    <xf borderId="4" fillId="12" fontId="14" numFmtId="49" xfId="0" applyAlignment="1" applyBorder="1" applyFont="1" applyNumberFormat="1">
      <alignment horizontal="center" readingOrder="0" shrinkToFit="0" vertical="top" wrapText="1"/>
    </xf>
    <xf borderId="0" fillId="0" fontId="12" numFmtId="0" xfId="0" applyAlignment="1" applyFont="1">
      <alignment shrinkToFit="0" vertical="top" wrapText="1"/>
    </xf>
    <xf borderId="0" fillId="6" fontId="32" numFmtId="0" xfId="0" applyAlignment="1" applyFont="1">
      <alignment readingOrder="0" shrinkToFit="0" vertical="top" wrapText="1"/>
    </xf>
    <xf borderId="7" fillId="5" fontId="14" numFmtId="0" xfId="0" applyAlignment="1" applyBorder="1" applyFont="1">
      <alignment readingOrder="0" shrinkToFit="0" vertical="top" wrapText="1"/>
    </xf>
    <xf borderId="7" fillId="8" fontId="14" numFmtId="0" xfId="0" applyAlignment="1" applyBorder="1" applyFont="1">
      <alignment readingOrder="0" shrinkToFit="0" vertical="top" wrapText="1"/>
    </xf>
    <xf borderId="7" fillId="7" fontId="14" numFmtId="0" xfId="0" applyAlignment="1" applyBorder="1" applyFont="1">
      <alignment readingOrder="0" shrinkToFit="0" vertical="top" wrapText="1"/>
    </xf>
    <xf borderId="5" fillId="9" fontId="26" numFmtId="0" xfId="0" applyAlignment="1" applyBorder="1" applyFont="1">
      <alignment horizontal="left" readingOrder="0" shrinkToFit="0" vertical="top" wrapText="1"/>
    </xf>
    <xf borderId="0" fillId="8" fontId="14" numFmtId="0" xfId="0" applyAlignment="1" applyFont="1">
      <alignment horizontal="left" readingOrder="0" shrinkToFit="0" vertical="top" wrapText="1"/>
    </xf>
    <xf borderId="0" fillId="7" fontId="14" numFmtId="0" xfId="0" applyAlignment="1" applyFont="1">
      <alignment horizontal="left" readingOrder="0" shrinkToFit="0" vertical="top" wrapText="1"/>
    </xf>
    <xf borderId="7" fillId="5" fontId="14" numFmtId="0" xfId="0" applyAlignment="1" applyBorder="1" applyFont="1">
      <alignment horizontal="left" readingOrder="0" shrinkToFit="0" vertical="top" wrapText="1"/>
    </xf>
    <xf borderId="5" fillId="9" fontId="14" numFmtId="0" xfId="0" applyAlignment="1" applyBorder="1" applyFont="1">
      <alignment horizontal="left" readingOrder="0" shrinkToFit="0" vertical="top" wrapText="1"/>
    </xf>
    <xf borderId="4" fillId="0" fontId="14" numFmtId="0" xfId="0" applyBorder="1" applyFont="1"/>
    <xf borderId="4" fillId="0" fontId="14" numFmtId="0" xfId="0" applyAlignment="1" applyBorder="1" applyFont="1">
      <alignment horizontal="center" shrinkToFit="0" vertical="top" wrapText="1"/>
    </xf>
    <xf borderId="7" fillId="8" fontId="26" numFmtId="0" xfId="0" applyAlignment="1" applyBorder="1" applyFont="1">
      <alignment readingOrder="0" shrinkToFit="0" vertical="top" wrapText="1"/>
    </xf>
    <xf borderId="4" fillId="0" fontId="14" numFmtId="49" xfId="0" applyAlignment="1" applyBorder="1" applyFont="1" applyNumberFormat="1">
      <alignment horizontal="center" shrinkToFit="0" vertical="top" wrapText="1"/>
    </xf>
    <xf borderId="0" fillId="12" fontId="26" numFmtId="0" xfId="0" applyAlignment="1" applyFont="1">
      <alignment horizontal="left" readingOrder="0" shrinkToFit="0" vertical="top" wrapText="1"/>
    </xf>
    <xf borderId="0" fillId="2" fontId="33" numFmtId="0" xfId="0" applyAlignment="1" applyFont="1">
      <alignment vertical="top"/>
    </xf>
    <xf borderId="0" fillId="4" fontId="33" numFmtId="0" xfId="0" applyAlignment="1" applyFont="1">
      <alignment vertical="top"/>
    </xf>
    <xf borderId="0" fillId="0" fontId="30" numFmtId="0" xfId="0" applyAlignment="1" applyFont="1">
      <alignment readingOrder="0" shrinkToFit="0" vertical="top" wrapText="1"/>
    </xf>
    <xf borderId="0" fillId="0" fontId="34" numFmtId="0" xfId="0" applyAlignment="1" applyFont="1">
      <alignment readingOrder="0" shrinkToFit="0" vertical="top" wrapText="1"/>
    </xf>
    <xf borderId="0" fillId="0" fontId="30" numFmtId="0" xfId="0" applyAlignment="1" applyFont="1">
      <alignment shrinkToFit="0" vertical="top" wrapText="1"/>
    </xf>
    <xf borderId="0" fillId="5" fontId="35" numFmtId="0" xfId="0" applyAlignment="1" applyFont="1">
      <alignment readingOrder="0" shrinkToFit="0" vertical="top" wrapText="1"/>
    </xf>
    <xf borderId="0" fillId="6" fontId="36" numFmtId="0" xfId="0" applyAlignment="1" applyFont="1">
      <alignment readingOrder="0" shrinkToFit="0" vertical="top" wrapText="1"/>
    </xf>
    <xf borderId="7" fillId="0" fontId="33" numFmtId="0" xfId="0" applyAlignment="1" applyBorder="1" applyFont="1">
      <alignment vertical="top"/>
    </xf>
    <xf borderId="7" fillId="0" fontId="33" numFmtId="49" xfId="0" applyAlignment="1" applyBorder="1" applyFont="1" applyNumberFormat="1">
      <alignment vertical="top"/>
    </xf>
    <xf borderId="0" fillId="0" fontId="34" numFmtId="0" xfId="0" applyAlignment="1" applyFont="1">
      <alignment shrinkToFit="0" vertical="top" wrapText="1"/>
    </xf>
    <xf borderId="8" fillId="0" fontId="30" numFmtId="0" xfId="0" applyAlignment="1" applyBorder="1" applyFont="1">
      <alignment shrinkToFit="0" vertical="top" wrapText="1"/>
    </xf>
    <xf borderId="0" fillId="5" fontId="35" numFmtId="0" xfId="0" applyAlignment="1" applyFont="1">
      <alignment shrinkToFit="0" vertical="top" wrapText="1"/>
    </xf>
    <xf borderId="0" fillId="6" fontId="37" numFmtId="0" xfId="0" applyAlignment="1" applyFont="1">
      <alignment shrinkToFit="0" vertical="top" wrapText="1"/>
    </xf>
    <xf borderId="0" fillId="10" fontId="26" numFmtId="0" xfId="0" applyAlignment="1" applyFont="1">
      <alignment horizontal="left" readingOrder="0" shrinkToFit="0" vertical="top" wrapText="1"/>
    </xf>
    <xf borderId="4" fillId="0" fontId="14" numFmtId="49" xfId="0" applyBorder="1" applyFont="1" applyNumberFormat="1"/>
    <xf borderId="4" fillId="12" fontId="26" numFmtId="0" xfId="0" applyAlignment="1" applyBorder="1" applyFont="1">
      <alignment horizontal="left" readingOrder="0" shrinkToFit="0" vertical="top" wrapText="1"/>
    </xf>
    <xf borderId="5" fillId="10" fontId="26" numFmtId="0" xfId="0" applyAlignment="1" applyBorder="1" applyFont="1">
      <alignment horizontal="center" readingOrder="0" shrinkToFit="0" vertical="top" wrapText="1"/>
    </xf>
    <xf borderId="4" fillId="0" fontId="14" numFmtId="165" xfId="0" applyAlignment="1" applyBorder="1" applyFont="1" applyNumberFormat="1">
      <alignment horizontal="center" readingOrder="0" shrinkToFit="0" vertical="top" wrapText="1"/>
    </xf>
    <xf borderId="4" fillId="0" fontId="14" numFmtId="164" xfId="0" applyAlignment="1" applyBorder="1" applyFont="1" applyNumberFormat="1">
      <alignment horizontal="center" readingOrder="0" shrinkToFit="0" vertical="top" wrapText="1"/>
    </xf>
    <xf borderId="0" fillId="0" fontId="38" numFmtId="0" xfId="0" applyAlignment="1" applyFont="1">
      <alignment readingOrder="0" shrinkToFit="0" vertical="top" wrapText="1"/>
    </xf>
    <xf borderId="0" fillId="13" fontId="26" numFmtId="0" xfId="0" applyAlignment="1" applyFill="1" applyFont="1">
      <alignment readingOrder="0" shrinkToFit="0" vertical="top" wrapText="1"/>
    </xf>
    <xf borderId="0" fillId="9" fontId="14" numFmtId="0" xfId="0" applyAlignment="1" applyFont="1">
      <alignment readingOrder="0" shrinkToFit="0" vertical="top" wrapText="1"/>
    </xf>
    <xf borderId="0" fillId="2" fontId="31" numFmtId="0" xfId="0" applyAlignment="1" applyFont="1">
      <alignment horizontal="left" readingOrder="0" shrinkToFit="0" vertical="top" wrapText="1"/>
    </xf>
    <xf borderId="0" fillId="0" fontId="25" numFmtId="0" xfId="0" applyAlignment="1" applyFont="1">
      <alignment horizontal="left" readingOrder="0" shrinkToFit="0" vertical="top" wrapText="1"/>
    </xf>
    <xf borderId="0" fillId="6" fontId="39" numFmtId="0" xfId="0" applyAlignment="1" applyFont="1">
      <alignment horizontal="left" readingOrder="0" shrinkToFit="0" vertical="top" wrapText="1"/>
    </xf>
    <xf borderId="0" fillId="0" fontId="14" numFmtId="0" xfId="0" applyAlignment="1" applyFont="1">
      <alignment horizontal="left" readingOrder="0" shrinkToFit="0" vertical="top" wrapText="1"/>
    </xf>
    <xf borderId="4" fillId="5" fontId="14" numFmtId="0" xfId="0" applyAlignment="1" applyBorder="1" applyFont="1">
      <alignment horizontal="left" readingOrder="0" shrinkToFit="0" vertical="top" wrapText="1"/>
    </xf>
    <xf borderId="0" fillId="6" fontId="40" numFmtId="0" xfId="0" applyAlignment="1" applyFont="1">
      <alignment horizontal="left" readingOrder="0" shrinkToFit="0" vertical="top" wrapText="1"/>
    </xf>
    <xf borderId="0" fillId="0" fontId="14" numFmtId="0" xfId="0" applyAlignment="1" applyFont="1">
      <alignment horizontal="left" shrinkToFit="0" vertical="top" wrapText="1"/>
    </xf>
    <xf borderId="0" fillId="3" fontId="41" numFmtId="0" xfId="0" applyAlignment="1" applyFont="1">
      <alignment horizontal="left" readingOrder="0" shrinkToFit="0" vertical="top" wrapText="1"/>
    </xf>
    <xf borderId="0" fillId="3" fontId="24" numFmtId="0" xfId="0" applyAlignment="1" applyFont="1">
      <alignment horizontal="left" readingOrder="0" shrinkToFit="0" vertical="top" wrapText="1"/>
    </xf>
    <xf borderId="0" fillId="3" fontId="41" numFmtId="0" xfId="0" applyAlignment="1" applyFont="1">
      <alignment shrinkToFit="0" vertical="top" wrapText="1"/>
    </xf>
    <xf borderId="0" fillId="3" fontId="24" numFmtId="0" xfId="0" applyAlignment="1" applyFont="1">
      <alignment shrinkToFit="0" vertical="top" wrapText="1"/>
    </xf>
    <xf borderId="0" fillId="11" fontId="26" numFmtId="0" xfId="0" applyAlignment="1" applyFont="1">
      <alignment horizontal="center" readingOrder="0" shrinkToFit="0" vertical="top" wrapText="1"/>
    </xf>
    <xf borderId="0" fillId="11" fontId="26" numFmtId="49" xfId="0" applyAlignment="1" applyFont="1" applyNumberFormat="1">
      <alignment horizontal="center" readingOrder="0" shrinkToFit="0" vertical="top" wrapText="1"/>
    </xf>
    <xf borderId="0" fillId="2" fontId="22" numFmtId="0" xfId="0" applyAlignment="1" applyFont="1">
      <alignment horizontal="left" readingOrder="0" shrinkToFit="0" vertical="top" wrapText="1"/>
    </xf>
    <xf borderId="0" fillId="2" fontId="23" numFmtId="0" xfId="0" applyAlignment="1" applyFont="1">
      <alignment readingOrder="0" shrinkToFit="0" vertical="top" wrapText="1"/>
    </xf>
    <xf borderId="5" fillId="9" fontId="26" numFmtId="0" xfId="0" applyAlignment="1" applyBorder="1" applyFont="1">
      <alignment readingOrder="0" shrinkToFit="0" vertical="top" wrapText="1"/>
    </xf>
    <xf borderId="0" fillId="2" fontId="42" numFmtId="0" xfId="0" applyAlignment="1" applyFont="1">
      <alignment horizontal="left" readingOrder="0" vertical="top"/>
    </xf>
    <xf borderId="4" fillId="11" fontId="26" numFmtId="0" xfId="0" applyAlignment="1" applyBorder="1" applyFont="1">
      <alignment horizontal="center" readingOrder="0" shrinkToFit="0" vertical="top" wrapText="1"/>
    </xf>
    <xf borderId="4" fillId="11" fontId="26" numFmtId="49" xfId="0" applyAlignment="1" applyBorder="1" applyFont="1" applyNumberFormat="1">
      <alignment horizontal="center" readingOrder="0" shrinkToFit="0" vertical="top" wrapText="1"/>
    </xf>
    <xf borderId="0" fillId="4" fontId="24" numFmtId="0" xfId="0" applyAlignment="1" applyFont="1">
      <alignment horizontal="left" readingOrder="0" shrinkToFit="0" vertical="top" wrapText="1"/>
    </xf>
    <xf borderId="0" fillId="6" fontId="43" numFmtId="0" xfId="0" applyAlignment="1" applyFont="1">
      <alignment readingOrder="0" shrinkToFit="0" vertical="top" wrapText="1"/>
    </xf>
    <xf borderId="4" fillId="0" fontId="44" numFmtId="0" xfId="0" applyAlignment="1" applyBorder="1" applyFont="1">
      <alignment horizontal="center" readingOrder="0" shrinkToFit="0" vertical="top" wrapText="1"/>
    </xf>
    <xf borderId="4" fillId="0" fontId="45" numFmtId="0" xfId="0" applyAlignment="1" applyBorder="1" applyFont="1">
      <alignment horizontal="center" readingOrder="0" shrinkToFit="0" vertical="top" wrapText="1"/>
    </xf>
    <xf borderId="0" fillId="0" fontId="16" numFmtId="0" xfId="0" applyFont="1"/>
    <xf borderId="0" fillId="3" fontId="11" numFmtId="0" xfId="0" applyAlignment="1" applyFont="1">
      <alignment horizontal="left" readingOrder="0" shrinkToFit="0" vertical="top" wrapText="1"/>
    </xf>
    <xf borderId="0" fillId="3" fontId="12" numFmtId="0" xfId="0" applyAlignment="1" applyFont="1">
      <alignment horizontal="left" readingOrder="0" shrinkToFit="0" vertical="top" wrapText="1"/>
    </xf>
    <xf borderId="0" fillId="4" fontId="12" numFmtId="0" xfId="0" applyAlignment="1" applyFont="1">
      <alignment horizontal="left" readingOrder="0" shrinkToFit="0" vertical="top" wrapText="1"/>
    </xf>
    <xf borderId="0" fillId="5" fontId="26" numFmtId="0" xfId="0" applyAlignment="1" applyFont="1">
      <alignment readingOrder="0" shrinkToFit="0" vertical="top" wrapText="1"/>
    </xf>
    <xf borderId="0" fillId="6" fontId="46" numFmtId="0" xfId="0" applyAlignment="1" applyFont="1">
      <alignment readingOrder="0" shrinkToFit="0" vertical="top" wrapText="1"/>
    </xf>
    <xf borderId="0" fillId="0" fontId="16" numFmtId="0" xfId="0" applyFont="1"/>
    <xf borderId="0" fillId="8" fontId="26" numFmtId="0" xfId="0" applyAlignment="1" applyFont="1">
      <alignment readingOrder="0" shrinkToFit="0" vertical="top" wrapText="1"/>
    </xf>
    <xf borderId="0" fillId="2" fontId="23" numFmtId="0" xfId="0" applyAlignment="1" applyFont="1">
      <alignment shrinkToFit="0" vertical="top" wrapText="1"/>
    </xf>
    <xf borderId="6" fillId="9" fontId="35" numFmtId="0" xfId="0" applyAlignment="1" applyBorder="1" applyFont="1">
      <alignment shrinkToFit="0" vertical="top" wrapText="1"/>
    </xf>
    <xf borderId="4" fillId="0" fontId="14" numFmtId="0" xfId="0" applyAlignment="1" applyBorder="1" applyFont="1">
      <alignment horizontal="left" readingOrder="0" shrinkToFit="0" vertical="top" wrapText="1"/>
    </xf>
    <xf borderId="5" fillId="10" fontId="14" numFmtId="0" xfId="0" applyAlignment="1" applyBorder="1" applyFont="1">
      <alignment horizontal="center" readingOrder="0" shrinkToFit="0" vertical="top" wrapText="1"/>
    </xf>
    <xf borderId="4" fillId="11" fontId="14" numFmtId="0" xfId="0" applyAlignment="1" applyBorder="1" applyFont="1">
      <alignment horizontal="center" readingOrder="0" shrinkToFit="0" vertical="top" wrapText="1"/>
    </xf>
    <xf borderId="4" fillId="11" fontId="14" numFmtId="49" xfId="0" applyAlignment="1" applyBorder="1" applyFont="1" applyNumberFormat="1">
      <alignment horizontal="center" readingOrder="0" shrinkToFit="0" vertical="top" wrapText="1"/>
    </xf>
    <xf borderId="0" fillId="11" fontId="26" numFmtId="0" xfId="0" applyAlignment="1" applyFont="1">
      <alignment readingOrder="0" shrinkToFit="0" vertical="top" wrapText="1"/>
    </xf>
    <xf borderId="5" fillId="9" fontId="14" numFmtId="0" xfId="0" applyAlignment="1" applyBorder="1" applyFont="1">
      <alignment readingOrder="0" shrinkToFit="0" vertical="top" wrapText="1"/>
    </xf>
    <xf borderId="4" fillId="12" fontId="12" numFmtId="0" xfId="0" applyAlignment="1" applyBorder="1" applyFont="1">
      <alignment horizontal="center" readingOrder="0" shrinkToFit="0" vertical="top" wrapText="1"/>
    </xf>
    <xf borderId="0" fillId="9" fontId="14" numFmtId="0" xfId="0" applyAlignment="1" applyFont="1">
      <alignment horizontal="left" readingOrder="0" shrinkToFit="0" vertical="top" wrapText="1"/>
    </xf>
    <xf borderId="0" fillId="0" fontId="30" numFmtId="0" xfId="0" applyAlignment="1" applyFont="1">
      <alignment horizontal="left" readingOrder="0" shrinkToFit="0" vertical="top" wrapText="1"/>
    </xf>
    <xf borderId="0" fillId="0" fontId="34" numFmtId="0" xfId="0" applyAlignment="1" applyFont="1">
      <alignment horizontal="left" readingOrder="0" shrinkToFit="0" vertical="top" wrapText="1"/>
    </xf>
    <xf borderId="0" fillId="13" fontId="35" numFmtId="0" xfId="0" applyAlignment="1" applyFont="1">
      <alignment horizontal="left" readingOrder="0" shrinkToFit="0" vertical="top" wrapText="1"/>
    </xf>
    <xf borderId="0" fillId="0" fontId="12" numFmtId="0" xfId="0" applyAlignment="1" applyFont="1">
      <alignment horizontal="left" shrinkToFit="0" vertical="top" wrapText="1"/>
    </xf>
    <xf borderId="0" fillId="0" fontId="12" numFmtId="0" xfId="0" applyAlignment="1" applyFont="1">
      <alignment shrinkToFit="0" vertical="top" wrapText="1"/>
    </xf>
    <xf borderId="0" fillId="0" fontId="13" numFmtId="0" xfId="0" applyAlignment="1" applyFont="1">
      <alignment shrinkToFit="0" vertical="top" wrapText="1"/>
    </xf>
    <xf borderId="0" fillId="2" fontId="1" numFmtId="0" xfId="0" applyAlignment="1" applyFont="1">
      <alignment shrinkToFit="0" vertical="top" wrapText="1"/>
    </xf>
    <xf borderId="0" fillId="5" fontId="14" numFmtId="0" xfId="0" applyAlignment="1" applyFont="1">
      <alignment shrinkToFit="0" vertical="top" wrapText="1"/>
    </xf>
    <xf borderId="0" fillId="6" fontId="47" numFmtId="0" xfId="0" applyAlignment="1" applyFont="1">
      <alignment shrinkToFit="0" vertical="top" wrapText="1"/>
    </xf>
    <xf borderId="4" fillId="0" fontId="14" numFmtId="166" xfId="0" applyAlignment="1" applyBorder="1" applyFont="1" applyNumberFormat="1">
      <alignment horizontal="center" readingOrder="0" shrinkToFit="0" vertical="top" wrapText="1"/>
    </xf>
    <xf borderId="4" fillId="11" fontId="14" numFmtId="164" xfId="0" applyAlignment="1" applyBorder="1" applyFont="1" applyNumberFormat="1">
      <alignment horizontal="center" readingOrder="0" shrinkToFit="0" vertical="top" wrapText="1"/>
    </xf>
    <xf borderId="0" fillId="11" fontId="14" numFmtId="0" xfId="0" applyAlignment="1" applyFont="1">
      <alignment readingOrder="0" shrinkToFit="0" vertical="top" wrapText="1"/>
    </xf>
    <xf borderId="7" fillId="5" fontId="26" numFmtId="0" xfId="0" applyAlignment="1" applyBorder="1" applyFont="1">
      <alignment readingOrder="0" shrinkToFit="0" vertical="top" wrapText="1"/>
    </xf>
    <xf borderId="0" fillId="7" fontId="26" numFmtId="0" xfId="0" applyAlignment="1" applyFont="1">
      <alignment readingOrder="0" shrinkToFit="0" vertical="top" wrapText="1"/>
    </xf>
    <xf borderId="0" fillId="10" fontId="14" numFmtId="0" xfId="0" applyAlignment="1" applyFont="1">
      <alignment horizontal="center" readingOrder="0" shrinkToFit="0" vertical="top" wrapText="1"/>
    </xf>
    <xf borderId="0" fillId="0" fontId="14" numFmtId="49" xfId="0" applyAlignment="1" applyFont="1" applyNumberFormat="1">
      <alignment horizontal="center" readingOrder="0" shrinkToFit="0" vertical="top" wrapText="1"/>
    </xf>
    <xf borderId="0" fillId="10" fontId="26" numFmtId="0" xfId="0" applyAlignment="1" applyFont="1">
      <alignment readingOrder="0" shrinkToFit="0" vertical="top" wrapText="1"/>
    </xf>
    <xf borderId="0" fillId="2" fontId="48" numFmtId="0" xfId="0" applyAlignment="1" applyFont="1">
      <alignment horizontal="left" readingOrder="0" vertical="top"/>
    </xf>
    <xf borderId="0" fillId="0" fontId="14" numFmtId="0" xfId="0" applyAlignment="1" applyFont="1">
      <alignment horizontal="center" shrinkToFit="0" vertical="top" wrapText="1"/>
    </xf>
    <xf borderId="4" fillId="11" fontId="14" numFmtId="0" xfId="0" applyAlignment="1" applyBorder="1" applyFont="1">
      <alignment horizontal="center" shrinkToFit="0" vertical="top" wrapText="1"/>
    </xf>
    <xf borderId="4" fillId="11" fontId="14" numFmtId="49" xfId="0" applyAlignment="1" applyBorder="1" applyFont="1" applyNumberFormat="1">
      <alignment horizontal="center" shrinkToFit="0" vertical="top" wrapText="1"/>
    </xf>
    <xf borderId="5" fillId="10" fontId="14" numFmtId="0" xfId="0" applyAlignment="1" applyBorder="1" applyFont="1">
      <alignment horizontal="left" readingOrder="0" shrinkToFit="0" vertical="top" wrapText="1"/>
    </xf>
    <xf borderId="0" fillId="10" fontId="14" numFmtId="0" xfId="0" applyAlignment="1" applyFont="1">
      <alignment readingOrder="0" shrinkToFit="0" vertical="top" wrapText="1"/>
    </xf>
    <xf borderId="0" fillId="11" fontId="14" numFmtId="0" xfId="0" applyAlignment="1" applyFont="1">
      <alignment horizontal="center" readingOrder="0" shrinkToFit="0" vertical="top" wrapText="1"/>
    </xf>
    <xf borderId="0" fillId="11" fontId="14" numFmtId="49" xfId="0" applyAlignment="1" applyFont="1" applyNumberFormat="1">
      <alignment horizontal="center" readingOrder="0" shrinkToFit="0" vertical="top" wrapText="1"/>
    </xf>
    <xf borderId="0" fillId="0" fontId="12" numFmtId="1" xfId="0" applyAlignment="1" applyFont="1" applyNumberFormat="1">
      <alignment horizontal="left" readingOrder="0" shrinkToFit="0" vertical="top" wrapText="1"/>
    </xf>
    <xf borderId="0" fillId="0" fontId="14" numFmtId="164" xfId="0" applyAlignment="1" applyFont="1" applyNumberFormat="1">
      <alignment horizontal="center" readingOrder="0" shrinkToFit="0" vertical="top" wrapText="1"/>
    </xf>
    <xf borderId="0" fillId="14" fontId="14" numFmtId="0" xfId="0" applyAlignment="1" applyFill="1" applyFont="1">
      <alignment horizontal="left" readingOrder="0" shrinkToFit="0" vertical="top" wrapText="1"/>
    </xf>
    <xf borderId="0" fillId="9" fontId="14" numFmtId="0" xfId="0" applyAlignment="1" applyFont="1">
      <alignment horizontal="center" readingOrder="0" shrinkToFit="0" vertical="top" wrapText="1"/>
    </xf>
    <xf borderId="0" fillId="11" fontId="14" numFmtId="164" xfId="0" applyAlignment="1" applyFont="1" applyNumberFormat="1">
      <alignment horizontal="center" readingOrder="0" shrinkToFit="0" vertical="top" wrapText="1"/>
    </xf>
    <xf borderId="0" fillId="11" fontId="14" numFmtId="0" xfId="0" applyAlignment="1" applyFont="1">
      <alignment horizontal="center" shrinkToFit="0" vertical="top" wrapText="1"/>
    </xf>
    <xf borderId="0" fillId="2" fontId="22" numFmtId="0" xfId="0" applyAlignment="1" applyFont="1">
      <alignment horizontal="left" readingOrder="0" vertical="top"/>
    </xf>
    <xf borderId="5" fillId="9" fontId="44" numFmtId="0" xfId="0" applyAlignment="1" applyBorder="1" applyFont="1">
      <alignment horizontal="center" readingOrder="0" shrinkToFit="0" vertical="top" wrapText="1"/>
    </xf>
    <xf borderId="0" fillId="2" fontId="31" numFmtId="0" xfId="0" applyAlignment="1" applyFont="1">
      <alignment horizontal="left" readingOrder="0" vertical="top"/>
    </xf>
    <xf borderId="0" fillId="12" fontId="14" numFmtId="0" xfId="0" applyAlignment="1" applyFont="1">
      <alignment horizontal="center" readingOrder="0" shrinkToFit="0" vertical="top" wrapText="1"/>
    </xf>
    <xf borderId="0" fillId="12" fontId="14" numFmtId="0" xfId="0" applyAlignment="1" applyFont="1">
      <alignment readingOrder="0" shrinkToFit="0" vertical="top" wrapText="1"/>
    </xf>
    <xf borderId="4" fillId="15" fontId="14" numFmtId="0" xfId="0" applyAlignment="1" applyBorder="1" applyFill="1" applyFont="1">
      <alignment horizontal="center" readingOrder="0" shrinkToFit="0" vertical="top" wrapText="1"/>
    </xf>
    <xf borderId="4" fillId="15" fontId="14" numFmtId="49" xfId="0" applyAlignment="1" applyBorder="1" applyFont="1" applyNumberFormat="1">
      <alignment horizontal="center" readingOrder="0" shrinkToFit="0" vertical="top" wrapText="1"/>
    </xf>
    <xf borderId="0" fillId="6" fontId="49" numFmtId="0" xfId="0" applyAlignment="1" applyFont="1">
      <alignment readingOrder="0" shrinkToFit="0" vertical="top" wrapText="1"/>
    </xf>
    <xf borderId="5" fillId="8" fontId="14" numFmtId="0" xfId="0" applyAlignment="1" applyBorder="1" applyFont="1">
      <alignment horizontal="center" readingOrder="0" shrinkToFit="0" vertical="top" wrapText="1"/>
    </xf>
    <xf borderId="0" fillId="11" fontId="14" numFmtId="0" xfId="0" applyAlignment="1" applyFont="1">
      <alignment horizontal="left" readingOrder="0" shrinkToFit="0" vertical="top" wrapText="1"/>
    </xf>
    <xf borderId="0" fillId="6" fontId="11" numFmtId="0" xfId="0" applyAlignment="1" applyFont="1">
      <alignment readingOrder="0" shrinkToFit="0" vertical="top" wrapText="1"/>
    </xf>
    <xf borderId="5" fillId="11" fontId="14" numFmtId="0" xfId="0" applyAlignment="1" applyBorder="1" applyFont="1">
      <alignment horizontal="center" readingOrder="0" shrinkToFit="0" vertical="top" wrapText="1"/>
    </xf>
    <xf borderId="0" fillId="4" fontId="12" numFmtId="0" xfId="0" applyAlignment="1" applyFont="1">
      <alignment shrinkToFit="0" vertical="top" wrapText="1"/>
    </xf>
    <xf borderId="0" fillId="0" fontId="24" numFmtId="0" xfId="0" applyAlignment="1" applyFont="1">
      <alignment shrinkToFit="0" vertical="top" wrapText="1"/>
    </xf>
    <xf borderId="0" fillId="0" fontId="24" numFmtId="0" xfId="0" applyAlignment="1" applyFont="1">
      <alignment horizontal="left" shrinkToFit="0" vertical="top" wrapText="1"/>
    </xf>
    <xf borderId="0" fillId="0" fontId="25" numFmtId="0" xfId="0" applyAlignment="1" applyFont="1">
      <alignment shrinkToFit="0" vertical="top" wrapText="1"/>
    </xf>
    <xf borderId="0" fillId="6" fontId="50" numFmtId="0" xfId="0" applyAlignment="1" applyFont="1">
      <alignment shrinkToFit="0" vertical="top" wrapText="1"/>
    </xf>
    <xf borderId="4" fillId="8" fontId="14" numFmtId="0" xfId="0" applyAlignment="1" applyBorder="1" applyFont="1">
      <alignment horizontal="left" readingOrder="0" shrinkToFit="0" vertical="top" wrapText="1"/>
    </xf>
    <xf borderId="0" fillId="9" fontId="26" numFmtId="0" xfId="0" applyAlignment="1" applyFont="1">
      <alignment readingOrder="0" shrinkToFit="0" vertical="top" wrapText="1"/>
    </xf>
    <xf borderId="0" fillId="0" fontId="14" numFmtId="0" xfId="0" applyAlignment="1" applyFont="1">
      <alignment readingOrder="0" shrinkToFit="0" vertical="top" wrapText="1"/>
    </xf>
    <xf borderId="8" fillId="0" fontId="30" numFmtId="0" xfId="0" applyAlignment="1" applyBorder="1" applyFont="1">
      <alignment readingOrder="0" shrinkToFit="0" vertical="top" wrapText="1"/>
    </xf>
    <xf borderId="7" fillId="0" fontId="35" numFmtId="0" xfId="0" applyAlignment="1" applyBorder="1" applyFont="1">
      <alignment horizontal="center" shrinkToFit="0" vertical="top" wrapText="1"/>
    </xf>
    <xf borderId="7" fillId="0" fontId="35" numFmtId="49" xfId="0" applyAlignment="1" applyBorder="1" applyFont="1" applyNumberFormat="1">
      <alignment horizontal="center" shrinkToFit="0" vertical="top" wrapText="1"/>
    </xf>
    <xf borderId="0" fillId="0" fontId="33" numFmtId="0" xfId="0" applyAlignment="1" applyFont="1">
      <alignment vertical="top"/>
    </xf>
    <xf borderId="0" fillId="0" fontId="33" numFmtId="0" xfId="0" applyAlignment="1" applyFont="1">
      <alignment vertical="top"/>
    </xf>
    <xf quotePrefix="1" borderId="0" fillId="0" fontId="12" numFmtId="0" xfId="0" applyAlignment="1" applyFont="1">
      <alignment readingOrder="0" shrinkToFit="0" vertical="top" wrapText="1"/>
    </xf>
    <xf borderId="0" fillId="16" fontId="26" numFmtId="0" xfId="0" applyAlignment="1" applyFill="1" applyFont="1">
      <alignment readingOrder="0" shrinkToFit="0" vertical="top" wrapText="1"/>
    </xf>
    <xf borderId="9" fillId="0" fontId="14" numFmtId="0" xfId="0" applyAlignment="1" applyBorder="1" applyFont="1">
      <alignment horizontal="center" readingOrder="0" shrinkToFit="0" vertical="top" wrapText="1"/>
    </xf>
    <xf borderId="9" fillId="0" fontId="14" numFmtId="49" xfId="0" applyAlignment="1" applyBorder="1" applyFont="1" applyNumberFormat="1">
      <alignment horizontal="center" readingOrder="0" shrinkToFit="0" vertical="top" wrapText="1"/>
    </xf>
    <xf borderId="10" fillId="0" fontId="14" numFmtId="0" xfId="0" applyAlignment="1" applyBorder="1" applyFont="1">
      <alignment horizontal="center" readingOrder="0" shrinkToFit="0" vertical="top" wrapText="1"/>
    </xf>
    <xf borderId="10" fillId="0" fontId="14" numFmtId="49" xfId="0" applyAlignment="1" applyBorder="1" applyFont="1" applyNumberFormat="1">
      <alignment horizontal="center" readingOrder="0" shrinkToFit="0" vertical="top" wrapText="1"/>
    </xf>
    <xf borderId="5" fillId="12" fontId="14" numFmtId="0" xfId="0" applyAlignment="1" applyBorder="1" applyFont="1">
      <alignment horizontal="center" readingOrder="0" shrinkToFit="0" vertical="top" wrapText="1"/>
    </xf>
    <xf borderId="4" fillId="7" fontId="14" numFmtId="0" xfId="0" applyAlignment="1" applyBorder="1" applyFont="1">
      <alignment horizontal="left" readingOrder="0" shrinkToFit="0" vertical="top" wrapText="1"/>
    </xf>
    <xf borderId="5" fillId="7" fontId="14" numFmtId="0" xfId="0" applyAlignment="1" applyBorder="1" applyFont="1">
      <alignment horizontal="center" readingOrder="0" shrinkToFit="0" vertical="top" wrapText="1"/>
    </xf>
    <xf borderId="0" fillId="5" fontId="14" numFmtId="0" xfId="0" applyAlignment="1" applyFont="1">
      <alignment horizontal="center" readingOrder="0" shrinkToFit="0" vertical="top" wrapText="1"/>
    </xf>
    <xf borderId="0" fillId="2" fontId="51" numFmtId="0" xfId="0" applyAlignment="1" applyFont="1">
      <alignment horizontal="left" readingOrder="0" vertical="top"/>
    </xf>
    <xf borderId="5" fillId="7" fontId="14" numFmtId="0" xfId="0" applyAlignment="1" applyBorder="1" applyFont="1">
      <alignment horizontal="left" readingOrder="0" shrinkToFit="0" vertical="top" wrapText="1"/>
    </xf>
    <xf borderId="0" fillId="2" fontId="52" numFmtId="0" xfId="0" applyAlignment="1" applyFont="1">
      <alignment horizontal="left" readingOrder="0" shrinkToFit="0" vertical="top" wrapText="1"/>
    </xf>
    <xf borderId="0" fillId="0" fontId="13" numFmtId="0" xfId="0" applyAlignment="1" applyFont="1">
      <alignment horizontal="left" readingOrder="0" shrinkToFit="0" vertical="top" wrapText="1"/>
    </xf>
    <xf borderId="4" fillId="0" fontId="14" numFmtId="49" xfId="0" applyAlignment="1" applyBorder="1" applyFont="1" applyNumberFormat="1">
      <alignment horizontal="center" readingOrder="0" vertical="top"/>
    </xf>
    <xf borderId="4" fillId="0" fontId="14" numFmtId="0" xfId="0" applyAlignment="1" applyBorder="1" applyFont="1">
      <alignment horizontal="center" readingOrder="0" vertical="top"/>
    </xf>
    <xf borderId="6" fillId="12" fontId="14" numFmtId="0" xfId="0" applyAlignment="1" applyBorder="1" applyFont="1">
      <alignment horizontal="center" readingOrder="0" shrinkToFit="0" vertical="top" wrapText="1"/>
    </xf>
    <xf borderId="7" fillId="9" fontId="14" numFmtId="0" xfId="0" applyAlignment="1" applyBorder="1" applyFont="1">
      <alignment horizontal="left" readingOrder="0" shrinkToFit="0" vertical="top" wrapText="1"/>
    </xf>
    <xf borderId="0" fillId="6" fontId="53" numFmtId="0" xfId="0" applyAlignment="1" applyFont="1">
      <alignment horizontal="left" readingOrder="0" shrinkToFit="0" vertical="top" wrapText="1"/>
    </xf>
    <xf borderId="4" fillId="0" fontId="18" numFmtId="0" xfId="0" applyBorder="1" applyFont="1"/>
    <xf borderId="0" fillId="6" fontId="29" numFmtId="0" xfId="0" applyAlignment="1" applyFont="1">
      <alignment horizontal="left" readingOrder="0" shrinkToFit="0" vertical="top" wrapText="1"/>
    </xf>
    <xf borderId="0" fillId="0" fontId="26" numFmtId="0" xfId="0" applyAlignment="1" applyFont="1">
      <alignment readingOrder="0" shrinkToFit="0" vertical="top" wrapText="1"/>
    </xf>
    <xf borderId="0" fillId="5" fontId="35" numFmtId="0" xfId="0" applyAlignment="1" applyFont="1">
      <alignment horizontal="left" readingOrder="0" shrinkToFit="0" vertical="top" wrapText="1"/>
    </xf>
    <xf borderId="0" fillId="2" fontId="31" numFmtId="0" xfId="0" applyAlignment="1" applyFont="1">
      <alignment horizontal="left" readingOrder="0" shrinkToFit="0" vertical="top" wrapText="1"/>
    </xf>
    <xf borderId="0" fillId="0" fontId="25" numFmtId="0" xfId="0" applyAlignment="1" applyFont="1">
      <alignment horizontal="left" readingOrder="0" shrinkToFit="0" vertical="top" wrapText="1"/>
    </xf>
    <xf borderId="0" fillId="6" fontId="54" numFmtId="0" xfId="0" applyAlignment="1" applyFont="1">
      <alignment horizontal="left" readingOrder="0" shrinkToFit="0" vertical="top" wrapText="1"/>
    </xf>
    <xf borderId="0" fillId="7" fontId="35" numFmtId="0" xfId="0" applyAlignment="1" applyFont="1">
      <alignment horizontal="left" readingOrder="0" shrinkToFit="0" vertical="top" wrapText="1"/>
    </xf>
    <xf borderId="0" fillId="5" fontId="55" numFmtId="0" xfId="0" applyAlignment="1" applyFont="1">
      <alignment horizontal="left" readingOrder="0" shrinkToFit="0" vertical="top" wrapText="1"/>
    </xf>
    <xf borderId="0" fillId="12" fontId="35" numFmtId="0" xfId="0" applyAlignment="1" applyFont="1">
      <alignment horizontal="center" readingOrder="0" shrinkToFit="0" vertical="top" wrapText="1"/>
    </xf>
    <xf borderId="0" fillId="8" fontId="35" numFmtId="0" xfId="0" applyAlignment="1" applyFont="1">
      <alignment horizontal="left" readingOrder="0" shrinkToFit="0" vertical="top" wrapText="1"/>
    </xf>
    <xf borderId="0" fillId="12" fontId="35" numFmtId="0" xfId="0" applyAlignment="1" applyFont="1">
      <alignment horizontal="left" readingOrder="0" shrinkToFit="0" vertical="top" wrapText="1"/>
    </xf>
    <xf borderId="0" fillId="10" fontId="35" numFmtId="0" xfId="0" applyAlignment="1" applyFont="1">
      <alignment horizontal="left" readingOrder="0" shrinkToFit="0" vertical="top" wrapText="1"/>
    </xf>
    <xf borderId="0" fillId="9" fontId="35" numFmtId="0" xfId="0" applyAlignment="1" applyFont="1">
      <alignment horizontal="left" readingOrder="0" shrinkToFit="0" vertical="top" wrapText="1"/>
    </xf>
    <xf borderId="0" fillId="6" fontId="4" numFmtId="0" xfId="0" applyAlignment="1" applyFont="1">
      <alignment horizontal="left" readingOrder="0" shrinkToFit="0" vertical="top" wrapText="1"/>
    </xf>
    <xf borderId="7" fillId="5" fontId="35" numFmtId="0" xfId="0" applyAlignment="1" applyBorder="1" applyFont="1">
      <alignment horizontal="left" readingOrder="0" shrinkToFit="0" vertical="top" wrapText="1"/>
    </xf>
    <xf borderId="0" fillId="6" fontId="56" numFmtId="0" xfId="0" applyAlignment="1" applyFont="1">
      <alignment horizontal="left" readingOrder="0" shrinkToFit="0" vertical="top" wrapText="1"/>
    </xf>
    <xf borderId="4" fillId="12" fontId="26" numFmtId="49" xfId="0" applyAlignment="1" applyBorder="1" applyFont="1" applyNumberFormat="1">
      <alignment horizontal="center" readingOrder="0" shrinkToFit="0" vertical="top" wrapText="1"/>
    </xf>
    <xf borderId="5" fillId="9" fontId="35" numFmtId="0" xfId="0" applyAlignment="1" applyBorder="1" applyFont="1">
      <alignment horizontal="left" readingOrder="0" shrinkToFit="0" vertical="top" wrapText="1"/>
    </xf>
    <xf borderId="4" fillId="0" fontId="14" numFmtId="0" xfId="0" applyAlignment="1" applyBorder="1" applyFont="1">
      <alignment horizontal="center" shrinkToFit="0" vertical="top" wrapText="1"/>
    </xf>
    <xf borderId="0" fillId="4" fontId="24" numFmtId="0" xfId="0" applyAlignment="1" applyFont="1">
      <alignment horizontal="left" shrinkToFit="0" vertical="top" wrapText="1"/>
    </xf>
    <xf borderId="5" fillId="10" fontId="14" numFmtId="0" xfId="0" applyAlignment="1" applyBorder="1" applyFont="1">
      <alignment readingOrder="0" shrinkToFit="0" vertical="top" wrapText="1"/>
    </xf>
    <xf borderId="4" fillId="0" fontId="12" numFmtId="0" xfId="0" applyAlignment="1" applyBorder="1" applyFont="1">
      <alignment horizontal="left" readingOrder="0" shrinkToFit="0" vertical="top" wrapText="1"/>
    </xf>
    <xf borderId="4" fillId="10" fontId="14" numFmtId="0" xfId="0" applyAlignment="1" applyBorder="1" applyFont="1">
      <alignment horizontal="left" readingOrder="0" shrinkToFit="0" vertical="top" wrapText="1"/>
    </xf>
    <xf borderId="5" fillId="17" fontId="14" numFmtId="0" xfId="0" applyAlignment="1" applyBorder="1" applyFill="1" applyFont="1">
      <alignment horizontal="left" readingOrder="0" shrinkToFit="0" vertical="top" wrapText="1"/>
    </xf>
    <xf borderId="4" fillId="11" fontId="12" numFmtId="0" xfId="0" applyAlignment="1" applyBorder="1" applyFont="1">
      <alignment horizontal="center" readingOrder="0" shrinkToFit="0" vertical="top" wrapText="1"/>
    </xf>
    <xf borderId="4" fillId="0" fontId="12" numFmtId="0" xfId="0" applyAlignment="1" applyBorder="1" applyFont="1">
      <alignment horizontal="center" readingOrder="0" shrinkToFit="0" vertical="top" wrapText="1"/>
    </xf>
    <xf borderId="0" fillId="2" fontId="57" numFmtId="0" xfId="0" applyAlignment="1" applyFont="1">
      <alignment horizontal="left" readingOrder="0" vertical="top"/>
    </xf>
    <xf borderId="0" fillId="0" fontId="12" numFmtId="0" xfId="0" applyAlignment="1" applyFont="1">
      <alignment readingOrder="0" shrinkToFit="0" vertical="top" wrapText="1"/>
    </xf>
    <xf borderId="0" fillId="2" fontId="58" numFmtId="0" xfId="0" applyAlignment="1" applyFont="1">
      <alignment readingOrder="0" shrinkToFit="0" vertical="top" wrapText="1"/>
    </xf>
    <xf borderId="0" fillId="0" fontId="14" numFmtId="0" xfId="0" applyAlignment="1" applyFont="1">
      <alignment shrinkToFit="0" vertical="top" wrapText="1"/>
    </xf>
    <xf borderId="7" fillId="0" fontId="14" numFmtId="0" xfId="0" applyAlignment="1" applyBorder="1" applyFont="1">
      <alignment horizontal="center" readingOrder="0" shrinkToFit="0" vertical="top" wrapText="1"/>
    </xf>
    <xf borderId="7" fillId="0" fontId="14" numFmtId="49" xfId="0" applyAlignment="1" applyBorder="1" applyFont="1" applyNumberFormat="1">
      <alignment horizontal="center" readingOrder="0" shrinkToFit="0" vertical="top" wrapText="1"/>
    </xf>
    <xf borderId="0" fillId="5" fontId="26" numFmtId="0" xfId="0" applyAlignment="1" applyFont="1">
      <alignment shrinkToFit="0" vertical="top" wrapText="1"/>
    </xf>
    <xf borderId="0" fillId="6" fontId="59" numFmtId="0" xfId="0" applyAlignment="1" applyFont="1">
      <alignment shrinkToFit="0" vertical="top" wrapText="1"/>
    </xf>
    <xf borderId="5" fillId="9" fontId="12" numFmtId="0" xfId="0" applyAlignment="1" applyBorder="1" applyFont="1">
      <alignment horizontal="center" readingOrder="0" shrinkToFit="0" vertical="top" wrapText="1"/>
    </xf>
    <xf borderId="0" fillId="0" fontId="14" numFmtId="165" xfId="0" applyAlignment="1" applyFont="1" applyNumberFormat="1">
      <alignment horizontal="center" readingOrder="0" shrinkToFit="0" vertical="top" wrapText="1"/>
    </xf>
    <xf borderId="6" fillId="9" fontId="35" numFmtId="0" xfId="0" applyAlignment="1" applyBorder="1" applyFont="1">
      <alignment horizontal="center" shrinkToFit="0" vertical="top" wrapText="1"/>
    </xf>
    <xf borderId="4" fillId="12" fontId="14" numFmtId="0" xfId="0" applyAlignment="1" applyBorder="1" applyFont="1">
      <alignment horizontal="left" readingOrder="0" shrinkToFit="0" vertical="top" wrapText="1"/>
    </xf>
    <xf borderId="5" fillId="18" fontId="14" numFmtId="0" xfId="0" applyAlignment="1" applyBorder="1" applyFill="1" applyFont="1">
      <alignment horizontal="left" readingOrder="0" shrinkToFit="0" vertical="top" wrapText="1"/>
    </xf>
    <xf borderId="0" fillId="2" fontId="60" numFmtId="0" xfId="0" applyAlignment="1" applyFont="1">
      <alignment horizontal="left" readingOrder="0" shrinkToFit="0" vertical="top" wrapText="1"/>
    </xf>
    <xf borderId="5" fillId="5" fontId="14" numFmtId="0" xfId="0" applyAlignment="1" applyBorder="1" applyFont="1">
      <alignment horizontal="center" shrinkToFit="0" vertical="top" wrapText="1"/>
    </xf>
    <xf borderId="5" fillId="7" fontId="14" numFmtId="0" xfId="0" applyAlignment="1" applyBorder="1" applyFont="1">
      <alignment readingOrder="0" shrinkToFit="0" vertical="top" wrapText="1"/>
    </xf>
    <xf borderId="5" fillId="0" fontId="14" numFmtId="0" xfId="0" applyAlignment="1" applyBorder="1" applyFont="1">
      <alignment horizontal="center" readingOrder="0" shrinkToFit="0" vertical="top" wrapText="1"/>
    </xf>
    <xf borderId="5" fillId="9" fontId="14" numFmtId="0" xfId="0" applyAlignment="1" applyBorder="1" applyFont="1">
      <alignment shrinkToFit="0" vertical="top" wrapText="1"/>
    </xf>
    <xf borderId="4" fillId="11" fontId="14" numFmtId="0" xfId="0" applyAlignment="1" applyBorder="1" applyFont="1">
      <alignment horizontal="center" shrinkToFit="0" vertical="top" wrapText="1"/>
    </xf>
    <xf borderId="0" fillId="5" fontId="14" numFmtId="0" xfId="0" applyAlignment="1" applyFont="1">
      <alignment shrinkToFit="0" vertical="top" wrapText="1"/>
    </xf>
    <xf borderId="0" fillId="6" fontId="11" numFmtId="0" xfId="0" applyAlignment="1" applyFont="1">
      <alignment shrinkToFit="0" vertical="top" wrapText="1"/>
    </xf>
    <xf borderId="5" fillId="13" fontId="14" numFmtId="0" xfId="0" applyAlignment="1" applyBorder="1" applyFont="1">
      <alignment horizontal="center" readingOrder="0" shrinkToFit="0" vertical="top" wrapText="1"/>
    </xf>
    <xf borderId="0" fillId="12" fontId="41" numFmtId="0" xfId="0" applyAlignment="1" applyFont="1">
      <alignment horizontal="left" readingOrder="0" vertical="top"/>
    </xf>
    <xf borderId="4" fillId="0" fontId="12" numFmtId="49" xfId="0" applyAlignment="1" applyBorder="1" applyFont="1" applyNumberFormat="1">
      <alignment horizontal="center" readingOrder="0" shrinkToFit="0" vertical="top" wrapText="1"/>
    </xf>
    <xf borderId="5" fillId="9" fontId="14" numFmtId="0" xfId="0" applyAlignment="1" applyBorder="1" applyFont="1">
      <alignment readingOrder="0" shrinkToFit="0" vertical="top" wrapText="1"/>
    </xf>
    <xf borderId="0" fillId="9" fontId="18" numFmtId="0" xfId="0" applyFont="1"/>
    <xf borderId="0" fillId="5" fontId="14" numFmtId="0" xfId="0" applyAlignment="1" applyFont="1">
      <alignment readingOrder="0" shrinkToFit="0" vertical="top" wrapText="1"/>
    </xf>
    <xf borderId="0" fillId="0" fontId="12" numFmtId="49" xfId="0" applyAlignment="1" applyFont="1" applyNumberFormat="1">
      <alignment horizontal="center" readingOrder="0" shrinkToFit="0" vertical="top" wrapText="1"/>
    </xf>
    <xf borderId="5" fillId="10" fontId="14" numFmtId="0" xfId="0" applyAlignment="1" applyBorder="1" applyFont="1">
      <alignment readingOrder="0" shrinkToFit="0" vertical="top" wrapText="1"/>
    </xf>
    <xf borderId="5" fillId="10" fontId="14" numFmtId="49" xfId="0" applyAlignment="1" applyBorder="1" applyFont="1" applyNumberFormat="1">
      <alignment horizontal="left" readingOrder="0" shrinkToFit="0" vertical="top" wrapText="1"/>
    </xf>
    <xf borderId="0" fillId="6" fontId="61" numFmtId="0" xfId="0" applyAlignment="1" applyFont="1">
      <alignment readingOrder="0" shrinkToFit="0" vertical="top" wrapText="1"/>
    </xf>
    <xf borderId="5" fillId="9" fontId="14" numFmtId="49" xfId="0" applyAlignment="1" applyBorder="1" applyFont="1" applyNumberFormat="1">
      <alignment horizontal="left" readingOrder="0" shrinkToFit="0" vertical="top" wrapText="1"/>
    </xf>
    <xf borderId="5" fillId="9" fontId="14" numFmtId="49" xfId="0" applyAlignment="1" applyBorder="1" applyFont="1" applyNumberFormat="1">
      <alignment horizontal="center" readingOrder="0" shrinkToFit="0" vertical="top" wrapText="1"/>
    </xf>
    <xf borderId="0" fillId="0" fontId="12" numFmtId="0" xfId="0" applyAlignment="1" applyFont="1">
      <alignment horizontal="center" readingOrder="0" shrinkToFit="0" vertical="top" wrapText="1"/>
    </xf>
    <xf borderId="0" fillId="19" fontId="26" numFmtId="0" xfId="0" applyAlignment="1" applyFill="1" applyFont="1">
      <alignment readingOrder="0" shrinkToFit="0" vertical="top" wrapText="1"/>
    </xf>
    <xf borderId="0" fillId="0" fontId="24" numFmtId="49" xfId="0" applyAlignment="1" applyFont="1" applyNumberFormat="1">
      <alignment horizontal="left" readingOrder="0" shrinkToFit="0" vertical="top" wrapText="1"/>
    </xf>
    <xf borderId="0" fillId="6" fontId="46" numFmtId="0" xfId="0" applyAlignment="1" applyFont="1">
      <alignment horizontal="left" readingOrder="0" shrinkToFit="0" vertical="top" wrapText="1"/>
    </xf>
    <xf borderId="0" fillId="0" fontId="14" numFmtId="0" xfId="0" applyAlignment="1" applyFont="1">
      <alignment readingOrder="0" vertical="top"/>
    </xf>
    <xf borderId="0" fillId="11" fontId="26" numFmtId="0" xfId="0" applyAlignment="1" applyFont="1">
      <alignment horizontal="left" readingOrder="0" shrinkToFit="0" vertical="top" wrapText="1"/>
    </xf>
    <xf borderId="0" fillId="6" fontId="62" numFmtId="0" xfId="0" applyAlignment="1" applyFont="1">
      <alignment horizontal="left" readingOrder="0" shrinkToFit="0" vertical="top" wrapText="1"/>
    </xf>
    <xf borderId="0" fillId="0" fontId="14" numFmtId="0" xfId="0" applyAlignment="1" applyFont="1">
      <alignment horizontal="left" readingOrder="0" shrinkToFit="0" vertical="top" wrapText="1"/>
    </xf>
    <xf borderId="0" fillId="3" fontId="12" numFmtId="49" xfId="0" applyAlignment="1" applyFont="1" applyNumberFormat="1">
      <alignment readingOrder="0" shrinkToFit="0" vertical="top" wrapText="1"/>
    </xf>
    <xf borderId="4" fillId="0" fontId="14" numFmtId="167" xfId="0" applyAlignment="1" applyBorder="1" applyFont="1" applyNumberFormat="1">
      <alignment horizontal="center" readingOrder="0" shrinkToFit="0" vertical="top" wrapText="1"/>
    </xf>
    <xf borderId="7" fillId="0" fontId="35" numFmtId="0" xfId="0" applyAlignment="1" applyBorder="1" applyFont="1">
      <alignment horizontal="center" readingOrder="0" shrinkToFit="0" vertical="top" wrapText="1"/>
    </xf>
    <xf borderId="0" fillId="6" fontId="63" numFmtId="0" xfId="0" applyAlignment="1" applyFont="1">
      <alignment horizontal="left" readingOrder="0" shrinkToFit="0" vertical="top" wrapText="1"/>
    </xf>
    <xf borderId="7" fillId="11" fontId="35" numFmtId="0" xfId="0" applyAlignment="1" applyBorder="1" applyFont="1">
      <alignment horizontal="center" readingOrder="0" shrinkToFit="0" vertical="top" wrapText="1"/>
    </xf>
    <xf borderId="0" fillId="6" fontId="46" numFmtId="0" xfId="0" applyAlignment="1" applyFont="1">
      <alignment horizontal="left" readingOrder="0" shrinkToFit="0" vertical="top" wrapText="1"/>
    </xf>
    <xf borderId="4" fillId="0" fontId="14" numFmtId="168" xfId="0" applyAlignment="1" applyBorder="1" applyFont="1" applyNumberFormat="1">
      <alignment horizontal="center" readingOrder="0" shrinkToFit="0" vertical="top" wrapText="1"/>
    </xf>
    <xf borderId="0" fillId="0" fontId="14" numFmtId="166" xfId="0" applyAlignment="1" applyFont="1" applyNumberFormat="1">
      <alignment horizontal="center" readingOrder="0" shrinkToFit="0" vertical="top" wrapText="1"/>
    </xf>
    <xf borderId="0" fillId="0" fontId="12" numFmtId="0" xfId="0" applyAlignment="1" applyFont="1">
      <alignment horizontal="left" shrinkToFit="0" vertical="top" wrapText="1"/>
    </xf>
    <xf borderId="0" fillId="6" fontId="64" numFmtId="0" xfId="0" applyAlignment="1" applyFont="1">
      <alignment horizontal="left" readingOrder="0" shrinkToFit="0" vertical="top" wrapText="1"/>
    </xf>
    <xf borderId="0" fillId="0" fontId="14" numFmtId="168" xfId="0" applyAlignment="1" applyFont="1" applyNumberFormat="1">
      <alignment horizontal="center" readingOrder="0" shrinkToFit="0" vertical="top" wrapText="1"/>
    </xf>
    <xf borderId="0" fillId="11" fontId="12" numFmtId="0" xfId="0" applyAlignment="1" applyFont="1">
      <alignment horizontal="center" readingOrder="0" shrinkToFit="0" vertical="top" wrapText="1"/>
    </xf>
    <xf borderId="5" fillId="8" fontId="14" numFmtId="0" xfId="0" applyAlignment="1" applyBorder="1" applyFont="1">
      <alignment horizontal="left" readingOrder="0" shrinkToFit="0" vertical="top" wrapText="1"/>
    </xf>
    <xf borderId="0" fillId="6" fontId="11" numFmtId="0" xfId="0" applyAlignment="1" applyFont="1">
      <alignment readingOrder="0" shrinkToFit="0" vertical="top" wrapText="1"/>
    </xf>
    <xf borderId="5" fillId="5" fontId="14" numFmtId="0" xfId="0" applyAlignment="1" applyBorder="1" applyFont="1">
      <alignment horizontal="left" readingOrder="0" shrinkToFit="0" vertical="top" wrapText="1"/>
    </xf>
    <xf borderId="0" fillId="12" fontId="14" numFmtId="0" xfId="0" applyAlignment="1" applyFont="1">
      <alignment horizontal="left" readingOrder="0" shrinkToFit="0" vertical="top" wrapText="1"/>
    </xf>
    <xf borderId="0" fillId="12" fontId="12" numFmtId="0" xfId="0" applyAlignment="1" applyFont="1">
      <alignment horizontal="center" readingOrder="0" shrinkToFit="0" vertical="top" wrapText="1"/>
    </xf>
    <xf borderId="0" fillId="3" fontId="12" numFmtId="0" xfId="0" applyAlignment="1" applyFont="1">
      <alignment shrinkToFit="0" vertical="top" wrapText="1"/>
    </xf>
    <xf borderId="0" fillId="12" fontId="12" numFmtId="0" xfId="0" applyAlignment="1" applyFont="1">
      <alignment readingOrder="0" shrinkToFit="0" vertical="top" wrapText="1"/>
    </xf>
    <xf borderId="0" fillId="13" fontId="14" numFmtId="0" xfId="0" applyAlignment="1" applyFont="1">
      <alignment readingOrder="0" shrinkToFit="0" vertical="top" wrapText="1"/>
    </xf>
    <xf borderId="0" fillId="6" fontId="65" numFmtId="0" xfId="0" applyAlignment="1" applyFont="1">
      <alignment horizontal="left" readingOrder="0" shrinkToFit="0" vertical="top" wrapText="1"/>
    </xf>
    <xf borderId="0" fillId="0" fontId="18" numFmtId="0" xfId="0" applyAlignment="1" applyFont="1">
      <alignment readingOrder="0" shrinkToFit="0" vertical="top" wrapText="1"/>
    </xf>
    <xf borderId="4" fillId="11" fontId="14" numFmtId="0" xfId="0" applyBorder="1" applyFont="1"/>
    <xf borderId="4" fillId="11" fontId="12" numFmtId="49" xfId="0" applyAlignment="1" applyBorder="1" applyFont="1" applyNumberFormat="1">
      <alignment horizontal="center" readingOrder="0" shrinkToFit="0" vertical="top" wrapText="1"/>
    </xf>
    <xf borderId="0" fillId="2" fontId="23" numFmtId="0" xfId="0" applyAlignment="1" applyFont="1">
      <alignment horizontal="left" readingOrder="0" vertical="top"/>
    </xf>
    <xf borderId="4" fillId="5" fontId="14" numFmtId="0" xfId="0" applyAlignment="1" applyBorder="1" applyFont="1">
      <alignment readingOrder="0" shrinkToFit="0" vertical="top" wrapText="1"/>
    </xf>
    <xf borderId="4" fillId="8" fontId="14" numFmtId="0" xfId="0" applyAlignment="1" applyBorder="1" applyFont="1">
      <alignment readingOrder="0" shrinkToFit="0" vertical="top" wrapText="1"/>
    </xf>
    <xf borderId="0" fillId="9" fontId="14" numFmtId="0" xfId="0" applyAlignment="1" applyFont="1">
      <alignment horizontal="left" readingOrder="0" shrinkToFit="0" vertical="top" wrapText="1"/>
    </xf>
    <xf borderId="0" fillId="8" fontId="14" numFmtId="0" xfId="0" applyAlignment="1" applyFont="1">
      <alignment horizontal="left" readingOrder="0" shrinkToFit="0" vertical="top" wrapText="1"/>
    </xf>
    <xf borderId="0" fillId="8" fontId="66" numFmtId="0" xfId="0" applyAlignment="1" applyFont="1">
      <alignment horizontal="left" readingOrder="0" shrinkToFit="0" vertical="top" wrapText="1"/>
    </xf>
    <xf borderId="0" fillId="3" fontId="11" numFmtId="0" xfId="0" applyAlignment="1" applyFont="1">
      <alignment shrinkToFit="0" vertical="top" wrapText="1"/>
    </xf>
    <xf borderId="5" fillId="0" fontId="14" numFmtId="0" xfId="0" applyAlignment="1" applyBorder="1" applyFont="1">
      <alignment horizontal="left" readingOrder="0" shrinkToFit="0" vertical="top" wrapText="1"/>
    </xf>
    <xf borderId="6" fillId="0" fontId="14" numFmtId="0" xfId="0" applyAlignment="1" applyBorder="1" applyFont="1">
      <alignment horizontal="left" readingOrder="0" shrinkToFit="0" vertical="top" wrapText="1"/>
    </xf>
    <xf borderId="0" fillId="7" fontId="26" numFmtId="0" xfId="0" applyAlignment="1" applyFont="1">
      <alignment horizontal="left" readingOrder="0" shrinkToFit="0" vertical="top" wrapText="1"/>
    </xf>
    <xf borderId="0" fillId="5" fontId="26" numFmtId="0" xfId="0" applyAlignment="1" applyFont="1">
      <alignment horizontal="left" readingOrder="0" shrinkToFit="0" vertical="top" wrapText="1"/>
    </xf>
    <xf borderId="0" fillId="8" fontId="26" numFmtId="0" xfId="0" applyAlignment="1" applyFont="1">
      <alignment horizontal="left" readingOrder="0" shrinkToFit="0" vertical="top" wrapText="1"/>
    </xf>
    <xf borderId="0" fillId="8" fontId="67" numFmtId="0" xfId="0" applyAlignment="1" applyFont="1">
      <alignment readingOrder="0" shrinkToFit="0" vertical="top" wrapText="1"/>
    </xf>
    <xf borderId="0" fillId="12" fontId="24" numFmtId="0" xfId="0" applyAlignment="1" applyFont="1">
      <alignment horizontal="left" readingOrder="0" vertical="top"/>
    </xf>
    <xf borderId="0" fillId="0" fontId="30" numFmtId="0" xfId="0" applyAlignment="1" applyFont="1">
      <alignment horizontal="left" readingOrder="0" shrinkToFit="0" vertical="top" wrapText="1"/>
    </xf>
    <xf borderId="0" fillId="0" fontId="30" numFmtId="0" xfId="0" applyAlignment="1" applyFont="1">
      <alignment horizontal="left" shrinkToFit="0" vertical="top" wrapText="1"/>
    </xf>
    <xf borderId="0" fillId="10" fontId="44" numFmtId="0" xfId="0" applyAlignment="1" applyFont="1">
      <alignment horizontal="center" readingOrder="0" shrinkToFit="0" vertical="top" wrapText="1"/>
    </xf>
    <xf borderId="0" fillId="0" fontId="44" numFmtId="0" xfId="0" applyAlignment="1" applyFont="1">
      <alignment horizontal="center" readingOrder="0" shrinkToFit="0" vertical="top" wrapText="1"/>
    </xf>
    <xf borderId="0" fillId="5" fontId="44" numFmtId="0" xfId="0" applyAlignment="1" applyFont="1">
      <alignment horizontal="left" readingOrder="0" shrinkToFit="0" vertical="top" wrapText="1"/>
    </xf>
    <xf borderId="0" fillId="9" fontId="44" numFmtId="0" xfId="0" applyAlignment="1" applyFont="1">
      <alignment horizontal="center" readingOrder="0" shrinkToFit="0" vertical="top" wrapText="1"/>
    </xf>
    <xf borderId="0" fillId="0" fontId="12" numFmtId="0" xfId="0" applyFont="1"/>
    <xf borderId="4" fillId="11" fontId="45" numFmtId="0" xfId="0" applyAlignment="1" applyBorder="1" applyFont="1">
      <alignment horizontal="center" readingOrder="0" shrinkToFit="0" vertical="top" wrapText="1"/>
    </xf>
    <xf borderId="5" fillId="5" fontId="14" numFmtId="0" xfId="0" applyAlignment="1" applyBorder="1" applyFont="1">
      <alignment horizontal="center" readingOrder="0" shrinkToFit="0" vertical="top" wrapText="1"/>
    </xf>
    <xf borderId="4" fillId="0" fontId="33" numFmtId="0" xfId="0" applyAlignment="1" applyBorder="1" applyFont="1">
      <alignment vertical="top"/>
    </xf>
    <xf borderId="4" fillId="0" fontId="33" numFmtId="49" xfId="0" applyAlignment="1" applyBorder="1" applyFont="1" applyNumberFormat="1">
      <alignment vertical="bottom"/>
    </xf>
    <xf borderId="5" fillId="0" fontId="14" numFmtId="49" xfId="0" applyAlignment="1" applyBorder="1" applyFont="1" applyNumberFormat="1">
      <alignment horizontal="center" readingOrder="0" shrinkToFit="0" vertical="top" wrapText="1"/>
    </xf>
    <xf borderId="6" fillId="0" fontId="14" numFmtId="0" xfId="0" applyAlignment="1" applyBorder="1" applyFont="1">
      <alignment horizontal="center" readingOrder="0" shrinkToFit="0" vertical="top" wrapText="1"/>
    </xf>
    <xf borderId="4" fillId="0" fontId="35" numFmtId="0" xfId="0" applyAlignment="1" applyBorder="1" applyFont="1">
      <alignment horizontal="center" readingOrder="0" shrinkToFit="0" vertical="top" wrapText="1"/>
    </xf>
    <xf borderId="6" fillId="0" fontId="14" numFmtId="164" xfId="0" applyAlignment="1" applyBorder="1" applyFont="1" applyNumberFormat="1">
      <alignment horizontal="center" readingOrder="0" shrinkToFit="0" vertical="top" wrapText="1"/>
    </xf>
    <xf borderId="6" fillId="9" fontId="14" numFmtId="0" xfId="0" applyAlignment="1" applyBorder="1" applyFont="1">
      <alignment horizontal="left" readingOrder="0" shrinkToFit="0" vertical="top" wrapText="1"/>
    </xf>
    <xf borderId="7" fillId="5" fontId="26" numFmtId="0" xfId="0" applyAlignment="1" applyBorder="1" applyFont="1">
      <alignment horizontal="left" readingOrder="0" shrinkToFit="0" vertical="top" wrapText="1"/>
    </xf>
    <xf borderId="6" fillId="8" fontId="14" numFmtId="0" xfId="0" applyAlignment="1" applyBorder="1" applyFont="1">
      <alignment horizontal="center" readingOrder="0" shrinkToFit="0" vertical="top" wrapText="1"/>
    </xf>
    <xf borderId="7" fillId="0" fontId="14" numFmtId="164" xfId="0" applyAlignment="1" applyBorder="1" applyFont="1" applyNumberFormat="1">
      <alignment horizontal="center" readingOrder="0" shrinkToFit="0" vertical="top" wrapText="1"/>
    </xf>
    <xf borderId="6" fillId="9" fontId="26" numFmtId="0" xfId="0" applyAlignment="1" applyBorder="1" applyFont="1">
      <alignment horizontal="left" readingOrder="0" shrinkToFit="0" vertical="top" wrapText="1"/>
    </xf>
    <xf borderId="7" fillId="8" fontId="26" numFmtId="0" xfId="0" applyAlignment="1" applyBorder="1" applyFont="1">
      <alignment horizontal="left" readingOrder="0" shrinkToFit="0" vertical="top" wrapText="1"/>
    </xf>
    <xf borderId="7" fillId="7" fontId="26" numFmtId="0" xfId="0" applyAlignment="1" applyBorder="1" applyFont="1">
      <alignment horizontal="left" readingOrder="0" shrinkToFit="0" vertical="top" wrapText="1"/>
    </xf>
    <xf borderId="6" fillId="10" fontId="26" numFmtId="0" xfId="0" applyAlignment="1" applyBorder="1" applyFont="1">
      <alignment horizontal="left" readingOrder="0" shrinkToFit="0" vertical="top" wrapText="1"/>
    </xf>
    <xf borderId="7" fillId="11" fontId="26" numFmtId="0" xfId="0" applyAlignment="1" applyBorder="1" applyFont="1">
      <alignment horizontal="left" readingOrder="0" shrinkToFit="0" vertical="top" wrapText="1"/>
    </xf>
    <xf borderId="0" fillId="2" fontId="31" numFmtId="0" xfId="0" applyAlignment="1" applyFont="1">
      <alignment horizontal="left" readingOrder="0" shrinkToFit="0" vertical="top" wrapText="1"/>
    </xf>
    <xf borderId="0" fillId="0" fontId="25" numFmtId="0" xfId="0" applyAlignment="1" applyFont="1">
      <alignment horizontal="left" readingOrder="0" shrinkToFit="0" vertical="top" wrapText="1"/>
    </xf>
    <xf borderId="0" fillId="3" fontId="12" numFmtId="0" xfId="0" applyAlignment="1" applyFont="1">
      <alignment horizontal="left" readingOrder="0" shrinkToFit="0" vertical="top" wrapText="1"/>
    </xf>
    <xf borderId="0" fillId="11" fontId="14" numFmtId="0" xfId="0" applyAlignment="1" applyFont="1">
      <alignment readingOrder="0" shrinkToFit="0" vertical="top" wrapText="1"/>
    </xf>
    <xf borderId="0" fillId="8" fontId="14" numFmtId="0" xfId="0" applyAlignment="1" applyFont="1">
      <alignment readingOrder="0" shrinkToFit="0" vertical="top" wrapText="1"/>
    </xf>
    <xf borderId="0" fillId="7" fontId="14" numFmtId="0" xfId="0" applyAlignment="1" applyFont="1">
      <alignment readingOrder="0" shrinkToFit="0" vertical="top" wrapText="1"/>
    </xf>
    <xf borderId="0" fillId="6" fontId="4" numFmtId="0" xfId="0" applyAlignment="1" applyFont="1">
      <alignment horizontal="left" readingOrder="0" shrinkToFit="0" vertical="top" wrapText="1"/>
    </xf>
    <xf borderId="0" fillId="11" fontId="26" numFmtId="0" xfId="0" applyAlignment="1" applyFont="1">
      <alignment horizontal="left" readingOrder="0" shrinkToFit="0" vertical="top" wrapText="1"/>
    </xf>
    <xf borderId="0" fillId="3" fontId="30" numFmtId="0" xfId="0" applyAlignment="1" applyFont="1">
      <alignment horizontal="left" shrinkToFit="0" vertical="top" wrapText="1"/>
    </xf>
    <xf borderId="0" fillId="4" fontId="30" numFmtId="0" xfId="0" applyAlignment="1" applyFont="1">
      <alignment vertical="bottom"/>
    </xf>
    <xf borderId="5" fillId="11" fontId="14" numFmtId="0" xfId="0" applyAlignment="1" applyBorder="1" applyFont="1">
      <alignment horizontal="left" readingOrder="0" shrinkToFit="0" vertical="top" wrapText="1"/>
    </xf>
    <xf borderId="5" fillId="9" fontId="14" numFmtId="0" xfId="0" applyBorder="1" applyFont="1"/>
    <xf borderId="0" fillId="3" fontId="4" numFmtId="0" xfId="0" applyAlignment="1" applyFont="1">
      <alignment readingOrder="0" shrinkToFit="0" vertical="top" wrapText="1"/>
    </xf>
    <xf borderId="4" fillId="11" fontId="14" numFmtId="0" xfId="0" applyAlignment="1" applyBorder="1" applyFont="1">
      <alignment horizontal="left" readingOrder="0" shrinkToFit="0" vertical="top" wrapText="1"/>
    </xf>
    <xf borderId="0" fillId="11" fontId="18" numFmtId="0" xfId="0" applyFont="1"/>
    <xf borderId="6" fillId="11" fontId="14" numFmtId="0" xfId="0" applyAlignment="1" applyBorder="1" applyFont="1">
      <alignment horizontal="center" readingOrder="0" shrinkToFit="0" vertical="top" wrapText="1"/>
    </xf>
    <xf borderId="0" fillId="5" fontId="68" numFmtId="0" xfId="0" applyAlignment="1" applyFont="1">
      <alignment horizontal="left" readingOrder="0" shrinkToFit="0" vertical="top" wrapText="1"/>
    </xf>
    <xf borderId="0" fillId="15" fontId="14" numFmtId="0" xfId="0" applyAlignment="1" applyFont="1">
      <alignment horizontal="center" readingOrder="0" shrinkToFit="0" vertical="top" wrapText="1"/>
    </xf>
    <xf borderId="0" fillId="15" fontId="14" numFmtId="0" xfId="0" applyAlignment="1" applyFont="1">
      <alignment horizontal="left" readingOrder="0" shrinkToFit="0" vertical="top" wrapText="1"/>
    </xf>
    <xf quotePrefix="1" borderId="0" fillId="10" fontId="14" numFmtId="0" xfId="0" applyAlignment="1" applyFont="1">
      <alignment horizontal="left" readingOrder="0" shrinkToFit="0" vertical="top" wrapText="1"/>
    </xf>
    <xf borderId="0" fillId="0" fontId="14" numFmtId="169" xfId="0" applyAlignment="1" applyFont="1" applyNumberFormat="1">
      <alignment horizontal="center" readingOrder="0" shrinkToFit="0" vertical="top" wrapText="1"/>
    </xf>
    <xf borderId="5" fillId="9" fontId="69" numFmtId="0" xfId="0" applyAlignment="1" applyBorder="1" applyFont="1">
      <alignment horizontal="left" readingOrder="0" shrinkToFit="0" vertical="top" wrapText="1"/>
    </xf>
    <xf borderId="0" fillId="0" fontId="70" numFmtId="0" xfId="0" applyAlignment="1" applyFont="1">
      <alignment readingOrder="0" shrinkToFit="0" vertical="top" wrapText="1"/>
    </xf>
    <xf borderId="0" fillId="2" fontId="52" numFmtId="0" xfId="0" applyAlignment="1" applyFont="1">
      <alignment horizontal="left" readingOrder="0" vertical="top"/>
    </xf>
    <xf borderId="0" fillId="0" fontId="24" numFmtId="0" xfId="0" applyAlignment="1" applyFont="1">
      <alignment horizontal="left" readingOrder="0" shrinkToFit="0" vertical="top" wrapText="1"/>
    </xf>
    <xf borderId="0" fillId="4" fontId="12" numFmtId="0" xfId="0" applyAlignment="1" applyFont="1">
      <alignment horizontal="left" shrinkToFit="0" vertical="top" wrapText="1"/>
    </xf>
    <xf borderId="0" fillId="0" fontId="24" numFmtId="0" xfId="0" applyAlignment="1" applyFont="1">
      <alignment horizontal="left" shrinkToFit="0" vertical="top" wrapText="1"/>
    </xf>
    <xf borderId="0" fillId="0" fontId="25" numFmtId="0" xfId="0" applyAlignment="1" applyFont="1">
      <alignment horizontal="left" shrinkToFit="0" vertical="top" wrapText="1"/>
    </xf>
    <xf borderId="4" fillId="12" fontId="14" numFmtId="0" xfId="0" applyAlignment="1" applyBorder="1" applyFont="1">
      <alignment readingOrder="0" shrinkToFit="0" vertical="top" wrapText="1"/>
    </xf>
    <xf borderId="0" fillId="12" fontId="24" numFmtId="0" xfId="0" applyAlignment="1" applyFont="1">
      <alignment horizontal="left" readingOrder="0" shrinkToFit="0" vertical="top" wrapText="1"/>
    </xf>
    <xf borderId="4" fillId="0" fontId="14" numFmtId="0" xfId="0" applyAlignment="1" applyBorder="1" applyFont="1">
      <alignment readingOrder="0" vertical="top"/>
    </xf>
    <xf borderId="4" fillId="11" fontId="14" numFmtId="49" xfId="0" applyAlignment="1" applyBorder="1" applyFont="1" applyNumberFormat="1">
      <alignment horizontal="center" readingOrder="0" vertical="top"/>
    </xf>
    <xf borderId="4" fillId="11" fontId="14" numFmtId="0" xfId="0" applyAlignment="1" applyBorder="1" applyFont="1">
      <alignment horizontal="center" readingOrder="0" vertical="top"/>
    </xf>
    <xf borderId="4" fillId="11" fontId="14" numFmtId="0" xfId="0" applyAlignment="1" applyBorder="1" applyFont="1">
      <alignment horizontal="center" readingOrder="0" shrinkToFit="0" vertical="center" wrapText="1"/>
    </xf>
    <xf borderId="4" fillId="11" fontId="14" numFmtId="0" xfId="0" applyAlignment="1" applyBorder="1" applyFont="1">
      <alignment horizontal="center" shrinkToFit="0" vertical="center" wrapText="1"/>
    </xf>
    <xf borderId="5" fillId="11" fontId="14" numFmtId="0" xfId="0" applyAlignment="1" applyBorder="1" applyFont="1">
      <alignment horizontal="center" readingOrder="0" shrinkToFit="0" vertical="center" wrapText="1"/>
    </xf>
    <xf borderId="0" fillId="2" fontId="1" numFmtId="0" xfId="0" applyAlignment="1" applyFont="1">
      <alignment horizontal="left" readingOrder="0" shrinkToFit="0" vertical="top" wrapText="1"/>
    </xf>
    <xf borderId="4" fillId="12" fontId="14" numFmtId="166" xfId="0" applyAlignment="1" applyBorder="1" applyFont="1" applyNumberFormat="1">
      <alignment horizontal="center" readingOrder="0" shrinkToFit="0" vertical="top" wrapText="1"/>
    </xf>
    <xf borderId="0" fillId="0" fontId="13" numFmtId="0" xfId="0" applyAlignment="1" applyFont="1">
      <alignment readingOrder="0" shrinkToFit="0" vertical="top" wrapText="1"/>
    </xf>
    <xf borderId="4" fillId="0" fontId="71" numFmtId="0" xfId="0" applyAlignment="1" applyBorder="1" applyFont="1">
      <alignment horizontal="center" readingOrder="0" shrinkToFit="0" vertical="top" wrapText="1"/>
    </xf>
    <xf borderId="0" fillId="13" fontId="14" numFmtId="0" xfId="0" applyAlignment="1" applyFont="1">
      <alignment horizontal="left" readingOrder="0" shrinkToFit="0" vertical="top" wrapText="1"/>
    </xf>
    <xf borderId="4" fillId="0" fontId="14" numFmtId="164" xfId="0" applyAlignment="1" applyBorder="1" applyFont="1" applyNumberFormat="1">
      <alignment horizontal="center" readingOrder="0" vertical="top"/>
    </xf>
    <xf borderId="0" fillId="0" fontId="12" numFmtId="0" xfId="0" applyAlignment="1" applyFont="1">
      <alignment readingOrder="0" vertical="top"/>
    </xf>
    <xf borderId="7" fillId="0" fontId="33" numFmtId="0" xfId="0" applyAlignment="1" applyBorder="1" applyFont="1">
      <alignment vertical="bottom"/>
    </xf>
    <xf borderId="7" fillId="0" fontId="35" numFmtId="49" xfId="0" applyAlignment="1" applyBorder="1" applyFont="1" applyNumberFormat="1">
      <alignment horizontal="center" readingOrder="0" shrinkToFit="0" vertical="top" wrapText="1"/>
    </xf>
    <xf borderId="0" fillId="4" fontId="33" numFmtId="0" xfId="0" applyAlignment="1" applyFont="1">
      <alignment vertical="bottom"/>
    </xf>
    <xf borderId="2" fillId="5" fontId="35" numFmtId="0" xfId="0" applyAlignment="1" applyBorder="1" applyFont="1">
      <alignment readingOrder="0" shrinkToFit="0" vertical="top" wrapText="1"/>
    </xf>
    <xf borderId="0" fillId="6" fontId="72" numFmtId="0" xfId="0" applyAlignment="1" applyFont="1">
      <alignment readingOrder="0" shrinkToFit="0" vertical="top" wrapText="1"/>
    </xf>
    <xf borderId="6" fillId="9" fontId="35" numFmtId="0" xfId="0" applyAlignment="1" applyBorder="1" applyFont="1">
      <alignment horizontal="left" readingOrder="0" shrinkToFit="0" vertical="top" wrapText="1"/>
    </xf>
    <xf borderId="6" fillId="9" fontId="35" numFmtId="0" xfId="0" applyAlignment="1" applyBorder="1" applyFont="1">
      <alignment horizontal="center" readingOrder="0" shrinkToFit="0" vertical="top" wrapText="1"/>
    </xf>
    <xf borderId="2" fillId="8" fontId="35" numFmtId="0" xfId="0" applyAlignment="1" applyBorder="1" applyFont="1">
      <alignment readingOrder="0" shrinkToFit="0" vertical="top" wrapText="1"/>
    </xf>
    <xf borderId="2" fillId="7" fontId="35" numFmtId="0" xfId="0" applyAlignment="1" applyBorder="1" applyFont="1">
      <alignment readingOrder="0" shrinkToFit="0" vertical="top" wrapText="1"/>
    </xf>
    <xf borderId="2" fillId="0" fontId="18" numFmtId="0" xfId="0" applyBorder="1" applyFont="1"/>
    <xf borderId="0" fillId="0" fontId="33" numFmtId="0" xfId="0" applyAlignment="1" applyFont="1">
      <alignment vertical="bottom"/>
    </xf>
    <xf borderId="6" fillId="10" fontId="35" numFmtId="0" xfId="0" applyAlignment="1" applyBorder="1" applyFont="1">
      <alignment horizontal="left" readingOrder="0" shrinkToFit="0" vertical="top" wrapText="1"/>
    </xf>
    <xf borderId="0" fillId="6" fontId="46" numFmtId="0" xfId="0" applyAlignment="1" applyFont="1">
      <alignment readingOrder="0" shrinkToFit="0" vertical="top" wrapText="1"/>
    </xf>
    <xf borderId="7" fillId="0" fontId="33" numFmtId="0" xfId="0" applyAlignment="1" applyBorder="1" applyFont="1">
      <alignment readingOrder="0" vertical="bottom"/>
    </xf>
    <xf borderId="8" fillId="0" fontId="33" numFmtId="0" xfId="0" applyAlignment="1" applyBorder="1" applyFont="1">
      <alignment vertical="bottom"/>
    </xf>
    <xf borderId="11" fillId="0" fontId="35" numFmtId="0" xfId="0" applyAlignment="1" applyBorder="1" applyFont="1">
      <alignment horizontal="center" readingOrder="0" shrinkToFit="0" vertical="top" wrapText="1"/>
    </xf>
    <xf borderId="11" fillId="0" fontId="35" numFmtId="49" xfId="0" applyAlignment="1" applyBorder="1" applyFont="1" applyNumberFormat="1">
      <alignment horizontal="center" readingOrder="0" shrinkToFit="0" vertical="top" wrapText="1"/>
    </xf>
    <xf borderId="2" fillId="9" fontId="35" numFmtId="0" xfId="0" applyAlignment="1" applyBorder="1" applyFont="1">
      <alignment horizontal="left" readingOrder="0" shrinkToFit="0" vertical="top" wrapText="1"/>
    </xf>
    <xf borderId="11" fillId="0" fontId="18" numFmtId="0" xfId="0" applyBorder="1" applyFont="1"/>
    <xf borderId="11" fillId="0" fontId="35" numFmtId="0" xfId="0" applyAlignment="1" applyBorder="1" applyFont="1">
      <alignment horizontal="center" shrinkToFit="0" vertical="top" wrapText="1"/>
    </xf>
    <xf borderId="11" fillId="0" fontId="14" numFmtId="0" xfId="0" applyAlignment="1" applyBorder="1" applyFont="1">
      <alignment horizontal="center" readingOrder="0" shrinkToFit="0" vertical="top" wrapText="1"/>
    </xf>
    <xf borderId="11" fillId="0" fontId="14" numFmtId="49" xfId="0" applyAlignment="1" applyBorder="1" applyFont="1" applyNumberFormat="1">
      <alignment horizontal="center" readingOrder="0" shrinkToFit="0" vertical="top" wrapText="1"/>
    </xf>
    <xf borderId="2" fillId="10" fontId="35" numFmtId="0" xfId="0" applyAlignment="1" applyBorder="1" applyFont="1">
      <alignment horizontal="left" readingOrder="0" shrinkToFit="0" vertical="top" wrapText="1"/>
    </xf>
    <xf borderId="11" fillId="7" fontId="35" numFmtId="0" xfId="0" applyAlignment="1" applyBorder="1" applyFont="1">
      <alignment readingOrder="0" shrinkToFit="0" vertical="top" wrapText="1"/>
    </xf>
    <xf borderId="11" fillId="0" fontId="33" numFmtId="0" xfId="0" applyAlignment="1" applyBorder="1" applyFont="1">
      <alignment vertical="bottom"/>
    </xf>
    <xf borderId="11" fillId="0" fontId="33" numFmtId="49" xfId="0" applyAlignment="1" applyBorder="1" applyFont="1" applyNumberFormat="1">
      <alignment vertical="bottom"/>
    </xf>
    <xf borderId="11" fillId="5" fontId="35" numFmtId="0" xfId="0" applyAlignment="1" applyBorder="1" applyFont="1">
      <alignment shrinkToFit="0" vertical="top" wrapText="1"/>
    </xf>
    <xf borderId="11" fillId="5" fontId="35" numFmtId="0" xfId="0" applyAlignment="1" applyBorder="1" applyFont="1">
      <alignment readingOrder="0" shrinkToFit="0" vertical="top" wrapText="1"/>
    </xf>
    <xf borderId="11" fillId="8" fontId="35" numFmtId="0" xfId="0" applyAlignment="1" applyBorder="1" applyFont="1">
      <alignment readingOrder="0" shrinkToFit="0" vertical="top" wrapText="1"/>
    </xf>
    <xf borderId="11" fillId="0" fontId="14" numFmtId="164" xfId="0" applyAlignment="1" applyBorder="1" applyFont="1" applyNumberFormat="1">
      <alignment horizontal="center" readingOrder="0" shrinkToFit="0" vertical="top" wrapText="1"/>
    </xf>
    <xf borderId="7" fillId="8" fontId="14" numFmtId="0" xfId="0" applyAlignment="1" applyBorder="1" applyFont="1">
      <alignment horizontal="left" readingOrder="0" shrinkToFit="0" vertical="top" wrapText="1"/>
    </xf>
    <xf borderId="6" fillId="12" fontId="14" numFmtId="164" xfId="0" applyAlignment="1" applyBorder="1" applyFont="1" applyNumberFormat="1">
      <alignment horizontal="center" readingOrder="0" shrinkToFit="0" vertical="top" wrapText="1"/>
    </xf>
    <xf borderId="6" fillId="0" fontId="14" numFmtId="49" xfId="0" applyAlignment="1" applyBorder="1" applyFont="1" applyNumberFormat="1">
      <alignment horizontal="center" readingOrder="0" shrinkToFit="0" vertical="top" wrapText="1"/>
    </xf>
    <xf borderId="7" fillId="7" fontId="14" numFmtId="0" xfId="0" applyAlignment="1" applyBorder="1" applyFont="1">
      <alignment horizontal="left" readingOrder="0" shrinkToFit="0" vertical="top" wrapText="1"/>
    </xf>
    <xf borderId="0" fillId="2" fontId="73" numFmtId="0" xfId="0" applyAlignment="1" applyFont="1">
      <alignment readingOrder="0" shrinkToFit="0" vertical="top" wrapText="1"/>
    </xf>
    <xf borderId="0" fillId="2" fontId="1" numFmtId="0" xfId="0" applyAlignment="1" applyFont="1">
      <alignment shrinkToFit="0" vertical="top" wrapText="1"/>
    </xf>
    <xf borderId="4" fillId="12" fontId="14" numFmtId="168" xfId="0" applyAlignment="1" applyBorder="1" applyFont="1" applyNumberFormat="1">
      <alignment horizontal="center" readingOrder="0" shrinkToFit="0" vertical="top" wrapText="1"/>
    </xf>
    <xf borderId="0" fillId="5" fontId="14" numFmtId="0" xfId="0" applyAlignment="1" applyFont="1">
      <alignment horizontal="left" readingOrder="0" shrinkToFit="0" vertical="top" wrapText="1"/>
    </xf>
    <xf borderId="0" fillId="2" fontId="42" numFmtId="0" xfId="0" applyAlignment="1" applyFont="1">
      <alignment horizontal="left" vertical="top"/>
    </xf>
    <xf borderId="0" fillId="0" fontId="16" numFmtId="0" xfId="0" applyAlignment="1" applyFont="1">
      <alignment shrinkToFit="0" vertical="top" wrapText="1"/>
    </xf>
    <xf borderId="0" fillId="0" fontId="16" numFmtId="0" xfId="0" applyAlignment="1" applyFont="1">
      <alignment horizontal="left" shrinkToFit="0" vertical="top" wrapText="1"/>
    </xf>
    <xf borderId="0" fillId="0" fontId="5" numFmtId="0" xfId="0" applyAlignment="1" applyFont="1">
      <alignment shrinkToFit="0" vertical="top" wrapText="1"/>
    </xf>
    <xf borderId="0" fillId="0" fontId="17" numFmtId="0" xfId="0" applyAlignment="1" applyFont="1">
      <alignment shrinkToFit="0" vertical="top" wrapText="1"/>
    </xf>
    <xf borderId="0" fillId="0" fontId="16" numFmtId="0" xfId="0" applyAlignment="1" applyFont="1">
      <alignment shrinkToFit="0" vertical="top" wrapText="1"/>
    </xf>
    <xf borderId="0" fillId="3" fontId="4" numFmtId="0" xfId="0" applyAlignment="1" applyFont="1">
      <alignment horizontal="left" shrinkToFit="0" vertical="top" wrapText="1"/>
    </xf>
    <xf borderId="0" fillId="0" fontId="35" numFmtId="0" xfId="0" applyAlignment="1" applyFont="1">
      <alignment horizontal="center" readingOrder="0" shrinkToFit="0" vertical="top" wrapText="1"/>
    </xf>
    <xf borderId="0" fillId="0" fontId="35" numFmtId="0" xfId="0" applyAlignment="1" applyFont="1">
      <alignment horizontal="center" shrinkToFit="0" vertical="top" wrapText="1"/>
    </xf>
    <xf borderId="0" fillId="0" fontId="35" numFmtId="49" xfId="0" applyAlignment="1" applyFont="1" applyNumberFormat="1">
      <alignment horizontal="center" shrinkToFit="0" vertical="top" wrapText="1"/>
    </xf>
    <xf borderId="0" fillId="12" fontId="24" numFmtId="0" xfId="0" applyAlignment="1" applyFont="1">
      <alignment horizontal="left" readingOrder="0"/>
    </xf>
    <xf borderId="0" fillId="3" fontId="30" numFmtId="0" xfId="0" applyAlignment="1" applyFont="1">
      <alignment horizontal="left" readingOrder="0" shrinkToFit="0" vertical="top" wrapText="1"/>
    </xf>
    <xf borderId="0" fillId="12" fontId="14" numFmtId="166" xfId="0" applyAlignment="1" applyFont="1" applyNumberFormat="1">
      <alignment horizontal="center" readingOrder="0" shrinkToFit="0" vertical="top" wrapText="1"/>
    </xf>
    <xf borderId="0" fillId="2" fontId="21" numFmtId="0" xfId="0" applyAlignment="1" applyFont="1">
      <alignment horizontal="left" readingOrder="0" shrinkToFit="0" vertical="top" wrapText="1"/>
    </xf>
    <xf borderId="0" fillId="12" fontId="26" numFmtId="0" xfId="0" applyAlignment="1" applyFont="1">
      <alignment horizontal="center" readingOrder="0" vertical="top"/>
    </xf>
    <xf borderId="0" fillId="3" fontId="11" numFmtId="0" xfId="0" applyAlignment="1" applyFont="1">
      <alignment shrinkToFit="0" vertical="top" wrapText="1"/>
    </xf>
    <xf borderId="0" fillId="3" fontId="12" numFmtId="0" xfId="0" applyAlignment="1" applyFont="1">
      <alignment shrinkToFit="0" vertical="top" wrapText="1"/>
    </xf>
    <xf borderId="0" fillId="4" fontId="12" numFmtId="0" xfId="0" applyAlignment="1" applyFont="1">
      <alignment shrinkToFit="0" vertical="top" wrapText="1"/>
    </xf>
    <xf borderId="0" fillId="0" fontId="13" numFmtId="0" xfId="0" applyAlignment="1" applyFont="1">
      <alignment shrinkToFit="0" vertical="top" wrapText="1"/>
    </xf>
    <xf borderId="7" fillId="0" fontId="14" numFmtId="0" xfId="0" applyAlignment="1" applyBorder="1" applyFont="1">
      <alignment shrinkToFit="0" vertical="top" wrapText="1"/>
    </xf>
    <xf borderId="0" fillId="11" fontId="74" numFmtId="0" xfId="0" applyAlignment="1" applyFont="1">
      <alignment horizontal="center" readingOrder="0" shrinkToFit="0" vertical="center" wrapText="1"/>
    </xf>
    <xf borderId="0" fillId="0" fontId="18" numFmtId="0" xfId="0" applyAlignment="1" applyFont="1">
      <alignment vertical="center"/>
    </xf>
    <xf borderId="8" fillId="11" fontId="75" numFmtId="0" xfId="0" applyAlignment="1" applyBorder="1" applyFont="1">
      <alignment readingOrder="0" shrinkToFit="0" vertical="top" wrapText="1"/>
    </xf>
    <xf borderId="0" fillId="0" fontId="6" numFmtId="0" xfId="0" applyAlignment="1" applyFont="1">
      <alignment readingOrder="0" shrinkToFit="0" vertical="top" wrapText="1"/>
    </xf>
    <xf borderId="0" fillId="0" fontId="18" numFmtId="0" xfId="0" applyFont="1"/>
    <xf borderId="0" fillId="20" fontId="11" numFmtId="0" xfId="0" applyAlignment="1" applyFill="1" applyFont="1">
      <alignment readingOrder="0" shrinkToFit="0" vertical="top" wrapText="1"/>
    </xf>
    <xf borderId="4" fillId="5" fontId="41" numFmtId="0" xfId="0" applyAlignment="1" applyBorder="1" applyFont="1">
      <alignment horizontal="left" readingOrder="0" shrinkToFit="0" vertical="top" wrapText="1"/>
    </xf>
    <xf borderId="4" fillId="5" fontId="24" numFmtId="0" xfId="0" applyAlignment="1" applyBorder="1" applyFont="1">
      <alignment horizontal="left" readingOrder="0" shrinkToFit="0" vertical="top" wrapText="1"/>
    </xf>
    <xf borderId="4" fillId="5" fontId="43" numFmtId="0" xfId="0" applyAlignment="1" applyBorder="1" applyFont="1">
      <alignment horizontal="left" readingOrder="0" shrinkToFit="0" vertical="top" wrapText="1"/>
    </xf>
    <xf borderId="0" fillId="0" fontId="76" numFmtId="0" xfId="0" applyAlignment="1" applyFont="1">
      <alignment readingOrder="0" shrinkToFit="0" vertical="top" wrapText="1"/>
    </xf>
    <xf borderId="4" fillId="5" fontId="12" numFmtId="0" xfId="0" applyAlignment="1" applyBorder="1" applyFont="1">
      <alignment horizontal="left" readingOrder="0" shrinkToFit="0" vertical="top" wrapText="1"/>
    </xf>
    <xf borderId="4" fillId="5" fontId="11" numFmtId="0" xfId="0" applyAlignment="1" applyBorder="1" applyFont="1">
      <alignment horizontal="left" readingOrder="0" shrinkToFit="0" vertical="top" wrapText="1"/>
    </xf>
    <xf borderId="4" fillId="5" fontId="11" numFmtId="0" xfId="0" applyAlignment="1" applyBorder="1" applyFont="1">
      <alignment horizontal="left" readingOrder="0" shrinkToFit="0" vertical="top" wrapText="1"/>
    </xf>
    <xf borderId="4" fillId="5" fontId="18" numFmtId="0" xfId="0" applyAlignment="1" applyBorder="1" applyFont="1">
      <alignment horizontal="left" shrinkToFit="0" vertical="top" wrapText="1"/>
    </xf>
    <xf borderId="4" fillId="5" fontId="18" numFmtId="0" xfId="0" applyAlignment="1" applyBorder="1" applyFont="1">
      <alignment horizontal="left" readingOrder="0" shrinkToFit="0" vertical="top" wrapText="1"/>
    </xf>
    <xf borderId="4" fillId="5" fontId="41" numFmtId="0" xfId="0" applyAlignment="1" applyBorder="1" applyFont="1">
      <alignment horizontal="left" readingOrder="0" shrinkToFit="0" vertical="top" wrapText="1"/>
    </xf>
    <xf borderId="12" fillId="6" fontId="11" numFmtId="0" xfId="0" applyAlignment="1" applyBorder="1" applyFont="1">
      <alignment readingOrder="0" shrinkToFit="0" vertical="top" wrapText="1"/>
    </xf>
    <xf borderId="0" fillId="6" fontId="41" numFmtId="0" xfId="0" applyAlignment="1" applyFont="1">
      <alignment horizontal="left" readingOrder="0" shrinkToFit="0" vertical="top" wrapText="1"/>
    </xf>
    <xf borderId="0" fillId="6" fontId="24" numFmtId="0" xfId="0" applyAlignment="1" applyFont="1">
      <alignment horizontal="left" readingOrder="0" shrinkToFit="0" vertical="top" wrapText="1"/>
    </xf>
    <xf borderId="8" fillId="0" fontId="18" numFmtId="0" xfId="0" applyBorder="1" applyFont="1"/>
    <xf borderId="0" fillId="6" fontId="18" numFmtId="0" xfId="0" applyAlignment="1" applyFont="1">
      <alignment horizontal="left" shrinkToFit="0" vertical="top" wrapText="1"/>
    </xf>
    <xf borderId="8" fillId="6" fontId="11" numFmtId="0" xfId="0" applyAlignment="1" applyBorder="1" applyFont="1">
      <alignment readingOrder="0" shrinkToFit="0" vertical="top" wrapText="1"/>
    </xf>
    <xf borderId="0" fillId="6" fontId="46" numFmtId="0" xfId="0" applyAlignment="1" applyFont="1">
      <alignment horizontal="left" readingOrder="0" shrinkToFit="0" vertical="top" wrapText="1"/>
    </xf>
    <xf borderId="0" fillId="6" fontId="18" numFmtId="0" xfId="0" applyAlignment="1" applyFont="1">
      <alignment horizontal="left" shrinkToFit="0" vertical="top" wrapText="1"/>
    </xf>
    <xf borderId="0" fillId="6" fontId="18" numFmtId="0" xfId="0" applyAlignment="1" applyFont="1">
      <alignment shrinkToFit="0" vertical="top" wrapText="1"/>
    </xf>
    <xf borderId="12" fillId="8" fontId="11" numFmtId="0" xfId="0" applyAlignment="1" applyBorder="1" applyFont="1">
      <alignment readingOrder="0" shrinkToFit="0" vertical="top" wrapText="1"/>
    </xf>
    <xf borderId="13" fillId="8" fontId="41" numFmtId="0" xfId="0" applyAlignment="1" applyBorder="1" applyFont="1">
      <alignment horizontal="left" readingOrder="0" shrinkToFit="0" vertical="top" wrapText="1"/>
    </xf>
    <xf borderId="13" fillId="8" fontId="24" numFmtId="0" xfId="0" applyAlignment="1" applyBorder="1" applyFont="1">
      <alignment horizontal="left" readingOrder="0" shrinkToFit="0" vertical="top" wrapText="1"/>
    </xf>
    <xf borderId="0" fillId="8" fontId="41" numFmtId="0" xfId="0" applyAlignment="1" applyFont="1">
      <alignment horizontal="left" readingOrder="0" shrinkToFit="0" vertical="top" wrapText="1"/>
    </xf>
    <xf borderId="0" fillId="8" fontId="24" numFmtId="0" xfId="0" applyAlignment="1" applyFont="1">
      <alignment horizontal="left" readingOrder="0" shrinkToFit="0" vertical="top" wrapText="1"/>
    </xf>
    <xf borderId="0" fillId="8" fontId="18" numFmtId="0" xfId="0" applyAlignment="1" applyFont="1">
      <alignment horizontal="left" shrinkToFit="0" vertical="top" wrapText="1"/>
    </xf>
    <xf borderId="12" fillId="5" fontId="11" numFmtId="0" xfId="0" applyAlignment="1" applyBorder="1" applyFont="1">
      <alignment readingOrder="0" shrinkToFit="0" vertical="top" wrapText="1"/>
    </xf>
    <xf borderId="13" fillId="5" fontId="41" numFmtId="0" xfId="0" applyAlignment="1" applyBorder="1" applyFont="1">
      <alignment horizontal="left" readingOrder="0" shrinkToFit="0" vertical="top" wrapText="1"/>
    </xf>
    <xf borderId="13" fillId="5" fontId="24" numFmtId="0" xfId="0" applyAlignment="1" applyBorder="1" applyFont="1">
      <alignment horizontal="left" readingOrder="0" shrinkToFit="0" vertical="top" wrapText="1"/>
    </xf>
    <xf borderId="13" fillId="5" fontId="46" numFmtId="0" xfId="0" applyAlignment="1" applyBorder="1" applyFont="1">
      <alignment horizontal="left" readingOrder="0" shrinkToFit="0" vertical="top" wrapText="1"/>
    </xf>
    <xf borderId="0" fillId="5" fontId="41" numFmtId="0" xfId="0" applyAlignment="1" applyFont="1">
      <alignment horizontal="left" readingOrder="0" shrinkToFit="0" vertical="top" wrapText="1"/>
    </xf>
    <xf borderId="0" fillId="5" fontId="24" numFmtId="0" xfId="0" applyAlignment="1" applyFont="1">
      <alignment horizontal="left" readingOrder="0" shrinkToFit="0" vertical="top" wrapText="1"/>
    </xf>
    <xf borderId="0" fillId="5" fontId="18" numFmtId="0" xfId="0" applyAlignment="1" applyFont="1">
      <alignment horizontal="left" shrinkToFit="0" vertical="top" wrapText="1"/>
    </xf>
    <xf borderId="13" fillId="6" fontId="41" numFmtId="0" xfId="0" applyAlignment="1" applyBorder="1" applyFont="1">
      <alignment horizontal="left" readingOrder="0" shrinkToFit="0" vertical="top" wrapText="1"/>
    </xf>
    <xf borderId="13" fillId="6" fontId="24" numFmtId="0" xfId="0" applyAlignment="1" applyBorder="1" applyFont="1">
      <alignment horizontal="left" readingOrder="0" shrinkToFit="0" vertical="top" wrapText="1"/>
    </xf>
    <xf borderId="13" fillId="6" fontId="18" numFmtId="0" xfId="0" applyAlignment="1" applyBorder="1" applyFont="1">
      <alignment horizontal="left" shrinkToFit="0" vertical="top" wrapText="1"/>
    </xf>
    <xf borderId="0" fillId="5" fontId="18" numFmtId="0" xfId="0" applyAlignment="1" applyFont="1">
      <alignment horizontal="left" shrinkToFit="0" vertical="top" wrapText="1"/>
    </xf>
    <xf borderId="8" fillId="5" fontId="11" numFmtId="0" xfId="0" applyAlignment="1" applyBorder="1" applyFont="1">
      <alignment readingOrder="0" shrinkToFit="0" vertical="top" wrapText="1"/>
    </xf>
    <xf borderId="0" fillId="5" fontId="77" numFmtId="0" xfId="0" applyAlignment="1" applyFont="1">
      <alignment horizontal="left" readingOrder="0" shrinkToFit="0" vertical="top" wrapText="1"/>
    </xf>
    <xf borderId="0" fillId="5" fontId="78" numFmtId="0" xfId="0" applyAlignment="1" applyFont="1">
      <alignment horizontal="left" readingOrder="0" shrinkToFit="0" vertical="top" wrapText="1"/>
    </xf>
    <xf borderId="0" fillId="8" fontId="18" numFmtId="0" xfId="0" applyAlignment="1" applyFont="1">
      <alignment horizontal="left" shrinkToFit="0" vertical="top" wrapText="1"/>
    </xf>
    <xf borderId="13" fillId="5" fontId="18" numFmtId="0" xfId="0" applyAlignment="1" applyBorder="1" applyFont="1">
      <alignment horizontal="left" shrinkToFit="0" vertical="top" wrapText="1"/>
    </xf>
    <xf borderId="13" fillId="8" fontId="18" numFmtId="0" xfId="0" applyAlignment="1" applyBorder="1" applyFont="1">
      <alignment horizontal="left" shrinkToFit="0" vertical="top" wrapText="1"/>
    </xf>
    <xf borderId="0" fillId="0" fontId="79" numFmtId="0" xfId="0" applyAlignment="1" applyFont="1">
      <alignment shrinkToFit="0" vertical="top" wrapText="1"/>
    </xf>
    <xf borderId="0" fillId="5" fontId="46" numFmtId="0" xfId="0" applyAlignment="1" applyFont="1">
      <alignment horizontal="left" readingOrder="0" shrinkToFit="0" vertical="top" wrapText="1"/>
    </xf>
    <xf borderId="13" fillId="6" fontId="18" numFmtId="0" xfId="0" applyAlignment="1" applyBorder="1" applyFont="1">
      <alignment horizontal="left" shrinkToFit="0" vertical="top" wrapText="1"/>
    </xf>
    <xf borderId="13" fillId="8" fontId="18" numFmtId="0" xfId="0" applyAlignment="1" applyBorder="1" applyFont="1">
      <alignment horizontal="left" shrinkToFit="0" vertical="top" wrapText="1"/>
    </xf>
    <xf borderId="0" fillId="0" fontId="79" numFmtId="0" xfId="0" applyAlignment="1" applyFont="1">
      <alignment shrinkToFit="0" vertical="top" wrapText="1"/>
    </xf>
    <xf borderId="13" fillId="5" fontId="18" numFmtId="0" xfId="0" applyAlignment="1" applyBorder="1" applyFont="1">
      <alignment horizontal="left" shrinkToFit="0" vertical="top" wrapText="1"/>
    </xf>
    <xf borderId="2" fillId="8" fontId="41" numFmtId="0" xfId="0" applyAlignment="1" applyBorder="1" applyFont="1">
      <alignment horizontal="left" readingOrder="0" shrinkToFit="0" vertical="top" wrapText="1"/>
    </xf>
    <xf borderId="2" fillId="8" fontId="24" numFmtId="0" xfId="0" applyAlignment="1" applyBorder="1" applyFont="1">
      <alignment horizontal="left" readingOrder="0" shrinkToFit="0" vertical="top" wrapText="1"/>
    </xf>
    <xf borderId="2" fillId="8" fontId="18" numFmtId="0" xfId="0" applyAlignment="1" applyBorder="1" applyFont="1">
      <alignment horizontal="left" shrinkToFit="0" vertical="top" wrapText="1"/>
    </xf>
    <xf borderId="2" fillId="0" fontId="79" numFmtId="0" xfId="0" applyAlignment="1" applyBorder="1" applyFont="1">
      <alignment shrinkToFit="0" vertical="top" wrapText="1"/>
    </xf>
    <xf borderId="2" fillId="0" fontId="18" numFmtId="0" xfId="0" applyBorder="1" applyFont="1"/>
    <xf borderId="0" fillId="9" fontId="80" numFmtId="0" xfId="0" applyAlignment="1" applyFont="1">
      <alignment horizontal="center" readingOrder="0" shrinkToFit="0" vertical="top" wrapText="1"/>
    </xf>
    <xf borderId="0" fillId="11" fontId="2" numFmtId="0" xfId="0" applyAlignment="1" applyFont="1">
      <alignment readingOrder="0" shrinkToFit="0" vertical="top" wrapText="1"/>
    </xf>
    <xf borderId="0" fillId="11" fontId="11" numFmtId="0" xfId="0" applyAlignment="1" applyFont="1">
      <alignment readingOrder="0" shrinkToFit="0" vertical="top" wrapText="1"/>
    </xf>
    <xf borderId="0" fillId="0" fontId="11" numFmtId="0" xfId="0" applyAlignment="1" applyFont="1">
      <alignment readingOrder="0" shrinkToFit="0" vertical="top" wrapText="1"/>
    </xf>
    <xf borderId="0" fillId="0" fontId="11" numFmtId="0" xfId="0" applyAlignment="1" applyFont="1">
      <alignment shrinkToFit="0" vertical="top" wrapText="1"/>
    </xf>
    <xf borderId="0" fillId="0" fontId="81" numFmtId="0" xfId="0" applyAlignment="1" applyFont="1">
      <alignment readingOrder="0" shrinkToFit="0" vertical="top" wrapText="1"/>
    </xf>
    <xf borderId="0" fillId="0" fontId="11" numFmtId="0" xfId="0" applyAlignment="1" applyFont="1">
      <alignment readingOrder="0" shrinkToFit="0" vertical="top" wrapText="1"/>
    </xf>
    <xf borderId="0" fillId="0" fontId="11" numFmtId="0" xfId="0" applyFont="1"/>
    <xf borderId="0" fillId="0" fontId="11" numFmtId="0" xfId="0" applyAlignment="1" applyFont="1">
      <alignment readingOrder="0"/>
    </xf>
    <xf borderId="0" fillId="0" fontId="18" numFmtId="0" xfId="0" applyAlignment="1" applyFont="1">
      <alignment readingOrder="0"/>
    </xf>
    <xf borderId="14" fillId="4" fontId="82" numFmtId="0" xfId="0" applyAlignment="1" applyBorder="1" applyFont="1">
      <alignment horizontal="center" readingOrder="0" vertical="top"/>
    </xf>
    <xf borderId="13" fillId="0" fontId="18" numFmtId="0" xfId="0" applyBorder="1" applyFont="1"/>
    <xf borderId="12" fillId="0" fontId="18" numFmtId="0" xfId="0" applyBorder="1" applyFont="1"/>
    <xf borderId="0" fillId="0" fontId="82" numFmtId="0" xfId="0" applyAlignment="1" applyFont="1">
      <alignment horizontal="center" readingOrder="0" vertical="top"/>
    </xf>
    <xf borderId="15" fillId="0" fontId="18" numFmtId="0" xfId="0" applyBorder="1" applyFont="1"/>
    <xf borderId="0" fillId="12" fontId="83" numFmtId="0" xfId="0" applyAlignment="1" applyFont="1">
      <alignment readingOrder="0" vertical="top"/>
    </xf>
    <xf borderId="0" fillId="12" fontId="82" numFmtId="0" xfId="0" applyAlignment="1" applyFont="1">
      <alignment horizontal="center" readingOrder="0" vertical="top"/>
    </xf>
    <xf borderId="5" fillId="9" fontId="82" numFmtId="0" xfId="0" applyAlignment="1" applyBorder="1" applyFont="1">
      <alignment horizontal="center" readingOrder="0" vertical="top"/>
    </xf>
    <xf borderId="5" fillId="5" fontId="84" numFmtId="0" xfId="0" applyAlignment="1" applyBorder="1" applyFont="1">
      <alignment readingOrder="0" vertical="top"/>
    </xf>
    <xf borderId="4" fillId="5" fontId="84" numFmtId="0" xfId="0" applyAlignment="1" applyBorder="1" applyFont="1">
      <alignment readingOrder="0" vertical="top"/>
    </xf>
    <xf borderId="14" fillId="12" fontId="85" numFmtId="0" xfId="0" applyAlignment="1" applyBorder="1" applyFont="1">
      <alignment readingOrder="0" vertical="top"/>
    </xf>
    <xf borderId="4" fillId="12" fontId="18" numFmtId="0" xfId="0" applyAlignment="1" applyBorder="1" applyFont="1">
      <alignment readingOrder="0"/>
    </xf>
    <xf borderId="5" fillId="12" fontId="18" numFmtId="0" xfId="0" applyAlignment="1" applyBorder="1" applyFont="1">
      <alignment horizontal="center" readingOrder="0" vertical="top"/>
    </xf>
    <xf borderId="0" fillId="0" fontId="86" numFmtId="0" xfId="0" applyAlignment="1" applyFont="1">
      <alignment horizontal="center" readingOrder="0" vertical="top"/>
    </xf>
    <xf borderId="16" fillId="0" fontId="18" numFmtId="0" xfId="0" applyBorder="1" applyFont="1"/>
    <xf borderId="0" fillId="0" fontId="18" numFmtId="0" xfId="0" applyAlignment="1" applyFont="1">
      <alignment shrinkToFit="0" wrapText="1"/>
    </xf>
    <xf borderId="4" fillId="0" fontId="18" numFmtId="0" xfId="0" applyAlignment="1" applyBorder="1" applyFont="1">
      <alignment readingOrder="0" shrinkToFit="0" vertical="top" wrapText="1"/>
    </xf>
    <xf borderId="0" fillId="0" fontId="18" numFmtId="0" xfId="0" applyAlignment="1" applyFont="1">
      <alignment horizontal="center" readingOrder="0" vertical="top"/>
    </xf>
    <xf borderId="4" fillId="12" fontId="11" numFmtId="0" xfId="0" applyAlignment="1" applyBorder="1" applyFont="1">
      <alignment horizontal="left" readingOrder="0" shrinkToFit="0" wrapText="1"/>
    </xf>
    <xf borderId="17" fillId="12" fontId="18" numFmtId="0" xfId="0" applyAlignment="1" applyBorder="1" applyFont="1">
      <alignment horizontal="center"/>
    </xf>
    <xf borderId="4" fillId="12" fontId="18" numFmtId="0" xfId="0" applyAlignment="1" applyBorder="1" applyFont="1">
      <alignment readingOrder="0" shrinkToFit="0" wrapText="1"/>
    </xf>
    <xf borderId="1" fillId="0" fontId="18" numFmtId="0" xfId="0" applyBorder="1" applyFont="1"/>
    <xf borderId="14" fillId="5" fontId="85" numFmtId="0" xfId="0" applyAlignment="1" applyBorder="1" applyFont="1">
      <alignment readingOrder="0" vertical="top"/>
    </xf>
    <xf borderId="4" fillId="5" fontId="18" numFmtId="0" xfId="0" applyAlignment="1" applyBorder="1" applyFont="1">
      <alignment readingOrder="0" vertical="top"/>
    </xf>
    <xf borderId="5" fillId="5" fontId="18" numFmtId="0" xfId="0" applyAlignment="1" applyBorder="1" applyFont="1">
      <alignment horizontal="center" readingOrder="0" vertical="top"/>
    </xf>
    <xf borderId="9" fillId="5" fontId="16" numFmtId="0" xfId="0" applyAlignment="1" applyBorder="1" applyFont="1">
      <alignment horizontal="center" readingOrder="0" shrinkToFit="0" vertical="top" wrapText="1"/>
    </xf>
    <xf borderId="4" fillId="5" fontId="18" numFmtId="0" xfId="0" applyAlignment="1" applyBorder="1" applyFont="1">
      <alignment readingOrder="0"/>
    </xf>
    <xf borderId="17" fillId="0" fontId="18" numFmtId="0" xfId="0" applyBorder="1" applyFont="1"/>
    <xf borderId="4" fillId="5" fontId="18" numFmtId="0" xfId="0" applyAlignment="1" applyBorder="1" applyFont="1">
      <alignment readingOrder="0" shrinkToFit="0" wrapText="1"/>
    </xf>
    <xf borderId="9" fillId="12" fontId="18" numFmtId="0" xfId="0" applyAlignment="1" applyBorder="1" applyFont="1">
      <alignment horizontal="center" readingOrder="0"/>
    </xf>
    <xf borderId="5" fillId="5" fontId="85" numFmtId="0" xfId="0" applyAlignment="1" applyBorder="1" applyFont="1">
      <alignment readingOrder="0" vertical="top"/>
    </xf>
    <xf borderId="4" fillId="5" fontId="18" numFmtId="0" xfId="0" applyAlignment="1" applyBorder="1" applyFont="1">
      <alignment horizontal="center" readingOrder="0"/>
    </xf>
    <xf borderId="0" fillId="12" fontId="18" numFmtId="0" xfId="0" applyFont="1"/>
    <xf borderId="5" fillId="21" fontId="87" numFmtId="0" xfId="0" applyAlignment="1" applyBorder="1" applyFill="1" applyFont="1">
      <alignment horizontal="center" readingOrder="0" shrinkToFit="0" wrapText="1"/>
    </xf>
    <xf borderId="4" fillId="22" fontId="88" numFmtId="0" xfId="0" applyAlignment="1" applyBorder="1" applyFill="1" applyFont="1">
      <alignment readingOrder="0" shrinkToFit="0" wrapText="1"/>
    </xf>
    <xf borderId="5" fillId="22" fontId="88" numFmtId="0" xfId="0" applyAlignment="1" applyBorder="1" applyFont="1">
      <alignment readingOrder="0" shrinkToFit="0" wrapText="1"/>
    </xf>
    <xf borderId="0" fillId="23" fontId="89" numFmtId="0" xfId="0" applyFill="1" applyFont="1"/>
    <xf borderId="0" fillId="0" fontId="4" numFmtId="0" xfId="0" applyAlignment="1" applyFont="1">
      <alignment vertical="top"/>
    </xf>
    <xf borderId="4" fillId="0" fontId="17" numFmtId="0" xfId="0" applyAlignment="1" applyBorder="1" applyFont="1">
      <alignment readingOrder="0" shrinkToFit="0" wrapText="1"/>
    </xf>
    <xf borderId="5" fillId="0" fontId="17" numFmtId="0" xfId="0" applyAlignment="1" applyBorder="1" applyFont="1">
      <alignment readingOrder="0" shrinkToFit="0" wrapText="1"/>
    </xf>
    <xf borderId="0" fillId="0" fontId="41" numFmtId="0" xfId="0" applyAlignment="1" applyFont="1">
      <alignment vertical="top"/>
    </xf>
    <xf borderId="4" fillId="22" fontId="17" numFmtId="0" xfId="0" applyAlignment="1" applyBorder="1" applyFont="1">
      <alignment readingOrder="0" shrinkToFit="0" wrapText="1"/>
    </xf>
    <xf borderId="5" fillId="22" fontId="17" numFmtId="0" xfId="0" applyAlignment="1" applyBorder="1" applyFont="1">
      <alignment readingOrder="0" shrinkToFit="0" wrapText="1"/>
    </xf>
    <xf borderId="4" fillId="22" fontId="17" numFmtId="0" xfId="0" applyAlignment="1" applyBorder="1" applyFont="1">
      <alignment readingOrder="0"/>
    </xf>
    <xf borderId="0" fillId="12" fontId="90" numFmtId="0" xfId="0" applyAlignment="1" applyFont="1">
      <alignment horizontal="center" readingOrder="0"/>
    </xf>
    <xf borderId="5" fillId="24" fontId="90" numFmtId="0" xfId="0" applyAlignment="1" applyBorder="1" applyFill="1" applyFont="1">
      <alignment horizontal="center" readingOrder="0"/>
    </xf>
    <xf borderId="0" fillId="12" fontId="91" numFmtId="0" xfId="0" applyAlignment="1" applyFont="1">
      <alignment horizontal="center" vertical="top"/>
    </xf>
    <xf borderId="4" fillId="16" fontId="91" numFmtId="0" xfId="0" applyAlignment="1" applyBorder="1" applyFont="1">
      <alignment horizontal="center" vertical="top"/>
    </xf>
    <xf borderId="4" fillId="16" fontId="8" numFmtId="0" xfId="0" applyAlignment="1" applyBorder="1" applyFont="1">
      <alignment horizontal="center" vertical="top"/>
    </xf>
    <xf borderId="4" fillId="16" fontId="8" numFmtId="0" xfId="0" applyAlignment="1" applyBorder="1" applyFont="1">
      <alignment horizontal="center" readingOrder="0" shrinkToFit="0" vertical="top" wrapText="1"/>
    </xf>
    <xf borderId="0" fillId="12" fontId="17" numFmtId="0" xfId="0" applyAlignment="1" applyFont="1">
      <alignment horizontal="center" vertical="top"/>
    </xf>
    <xf borderId="4" fillId="0" fontId="41" numFmtId="0" xfId="0" applyAlignment="1" applyBorder="1" applyFont="1">
      <alignment horizontal="center" vertical="top"/>
    </xf>
    <xf borderId="4" fillId="0" fontId="4" numFmtId="0" xfId="0" applyAlignment="1" applyBorder="1" applyFont="1">
      <alignment horizontal="center" vertical="top"/>
    </xf>
    <xf borderId="4" fillId="0" fontId="4" numFmtId="0" xfId="0" applyAlignment="1" applyBorder="1" applyFont="1">
      <alignment horizontal="center" vertical="bottom"/>
    </xf>
    <xf borderId="4" fillId="0" fontId="4" numFmtId="0" xfId="0" applyAlignment="1" applyBorder="1" applyFont="1">
      <alignment horizontal="center" readingOrder="0" vertical="top"/>
    </xf>
    <xf borderId="0" fillId="12" fontId="92" numFmtId="0" xfId="0" applyAlignment="1" applyFont="1">
      <alignment horizontal="center" vertical="top"/>
    </xf>
    <xf borderId="5" fillId="5" fontId="87" numFmtId="0" xfId="0" applyAlignment="1" applyBorder="1" applyFont="1">
      <alignment horizontal="center" readingOrder="0" vertical="top"/>
    </xf>
    <xf borderId="0" fillId="0" fontId="17" numFmtId="0" xfId="0" applyAlignment="1" applyFont="1">
      <alignment readingOrder="0" shrinkToFit="0" wrapText="1"/>
    </xf>
    <xf borderId="0" fillId="12" fontId="87" numFmtId="0" xfId="0" applyAlignment="1" applyFont="1">
      <alignment horizontal="center" readingOrder="0" vertical="top"/>
    </xf>
    <xf borderId="0" fillId="12" fontId="17" numFmtId="0" xfId="0" applyAlignment="1" applyFont="1">
      <alignment readingOrder="0" shrinkToFit="0" wrapText="1"/>
    </xf>
    <xf borderId="4" fillId="0" fontId="93" numFmtId="0" xfId="0" applyAlignment="1" applyBorder="1" applyFont="1">
      <alignment shrinkToFit="0" vertical="top" wrapText="1"/>
    </xf>
    <xf borderId="4" fillId="0" fontId="41" numFmtId="0" xfId="0" applyAlignment="1" applyBorder="1" applyFont="1">
      <alignment readingOrder="0" shrinkToFit="0" wrapText="1"/>
    </xf>
    <xf borderId="4" fillId="0" fontId="41" numFmtId="0" xfId="0" applyAlignment="1" applyBorder="1" applyFont="1">
      <alignment readingOrder="0" shrinkToFit="0" wrapText="1"/>
    </xf>
    <xf borderId="4" fillId="0" fontId="41" numFmtId="0" xfId="0" applyAlignment="1" applyBorder="1" applyFont="1">
      <alignment readingOrder="0" shrinkToFit="0" wrapText="1"/>
    </xf>
    <xf borderId="4" fillId="0" fontId="41" numFmtId="0" xfId="0" applyAlignment="1" applyBorder="1" applyFont="1">
      <alignment horizontal="left" readingOrder="0" shrinkToFit="0" wrapText="1"/>
    </xf>
    <xf borderId="4" fillId="0" fontId="18" numFmtId="0" xfId="0" applyBorder="1" applyFont="1"/>
    <xf borderId="5" fillId="0" fontId="94" numFmtId="0" xfId="0" applyAlignment="1" applyBorder="1" applyFont="1">
      <alignment horizontal="center" readingOrder="0" vertical="center"/>
    </xf>
    <xf borderId="0" fillId="0" fontId="6" numFmtId="0" xfId="0" applyAlignment="1" applyFont="1">
      <alignment readingOrder="0"/>
    </xf>
    <xf borderId="14" fillId="7" fontId="18" numFmtId="0" xfId="0" applyAlignment="1" applyBorder="1" applyFont="1">
      <alignment readingOrder="0"/>
    </xf>
    <xf borderId="12" fillId="7" fontId="11" numFmtId="0" xfId="0" applyAlignment="1" applyBorder="1" applyFont="1">
      <alignment readingOrder="0"/>
    </xf>
    <xf borderId="16" fillId="7" fontId="18" numFmtId="0" xfId="0" applyBorder="1" applyFont="1"/>
    <xf borderId="8" fillId="7" fontId="11" numFmtId="0" xfId="0" applyAlignment="1" applyBorder="1" applyFont="1">
      <alignment readingOrder="0"/>
    </xf>
    <xf borderId="15" fillId="7" fontId="18" numFmtId="0" xfId="0" applyBorder="1" applyFont="1"/>
    <xf borderId="11" fillId="7" fontId="11" numFmtId="0" xfId="0" applyAlignment="1" applyBorder="1" applyFont="1">
      <alignment readingOrder="0"/>
    </xf>
    <xf borderId="14" fillId="17" fontId="18" numFmtId="0" xfId="0" applyAlignment="1" applyBorder="1" applyFont="1">
      <alignment readingOrder="0" vertical="top"/>
    </xf>
    <xf borderId="12" fillId="17" fontId="11" numFmtId="0" xfId="0" applyAlignment="1" applyBorder="1" applyFont="1">
      <alignment readingOrder="0"/>
    </xf>
    <xf borderId="16" fillId="17" fontId="18" numFmtId="0" xfId="0" applyBorder="1" applyFont="1"/>
    <xf borderId="8" fillId="17" fontId="11" numFmtId="0" xfId="0" applyAlignment="1" applyBorder="1" applyFont="1">
      <alignment readingOrder="0"/>
    </xf>
    <xf borderId="15" fillId="17" fontId="18" numFmtId="0" xfId="0" applyBorder="1" applyFont="1"/>
    <xf borderId="11" fillId="17" fontId="41" numFmtId="0" xfId="0" applyAlignment="1" applyBorder="1" applyFont="1">
      <alignment horizontal="left" readingOrder="0"/>
    </xf>
    <xf borderId="14" fillId="25" fontId="18" numFmtId="0" xfId="0" applyAlignment="1" applyBorder="1" applyFill="1" applyFont="1">
      <alignment readingOrder="0"/>
    </xf>
    <xf borderId="12" fillId="25" fontId="11" numFmtId="0" xfId="0" applyAlignment="1" applyBorder="1" applyFont="1">
      <alignment readingOrder="0"/>
    </xf>
    <xf borderId="16" fillId="25" fontId="18" numFmtId="0" xfId="0" applyBorder="1" applyFont="1"/>
    <xf borderId="8" fillId="25" fontId="11" numFmtId="0" xfId="0" applyAlignment="1" applyBorder="1" applyFont="1">
      <alignment readingOrder="0"/>
    </xf>
    <xf borderId="15" fillId="25" fontId="18" numFmtId="0" xfId="0" applyBorder="1" applyFont="1"/>
    <xf borderId="11" fillId="25" fontId="11" numFmtId="0" xfId="0" applyAlignment="1" applyBorder="1" applyFont="1">
      <alignment readingOrder="0"/>
    </xf>
    <xf borderId="14" fillId="13" fontId="18" numFmtId="0" xfId="0" applyAlignment="1" applyBorder="1" applyFont="1">
      <alignment readingOrder="0"/>
    </xf>
    <xf borderId="12" fillId="13" fontId="11" numFmtId="0" xfId="0" applyAlignment="1" applyBorder="1" applyFont="1">
      <alignment readingOrder="0"/>
    </xf>
    <xf borderId="15" fillId="13" fontId="18" numFmtId="0" xfId="0" applyBorder="1" applyFont="1"/>
    <xf borderId="11" fillId="13" fontId="11" numFmtId="0" xfId="0" applyAlignment="1" applyBorder="1" applyFont="1">
      <alignment readingOrder="0"/>
    </xf>
    <xf borderId="14" fillId="26" fontId="18" numFmtId="0" xfId="0" applyAlignment="1" applyBorder="1" applyFill="1" applyFont="1">
      <alignment readingOrder="0"/>
    </xf>
    <xf borderId="12" fillId="26" fontId="11" numFmtId="0" xfId="0" applyAlignment="1" applyBorder="1" applyFont="1">
      <alignment readingOrder="0"/>
    </xf>
    <xf borderId="16" fillId="26" fontId="18" numFmtId="0" xfId="0" applyAlignment="1" applyBorder="1" applyFont="1">
      <alignment readingOrder="0"/>
    </xf>
    <xf borderId="8" fillId="26" fontId="11" numFmtId="0" xfId="0" applyAlignment="1" applyBorder="1" applyFont="1">
      <alignment readingOrder="0"/>
    </xf>
    <xf borderId="15" fillId="26" fontId="18" numFmtId="0" xfId="0" applyAlignment="1" applyBorder="1" applyFont="1">
      <alignment readingOrder="0"/>
    </xf>
    <xf borderId="11" fillId="26" fontId="11" numFmtId="0" xfId="0" applyAlignment="1" applyBorder="1" applyFont="1">
      <alignment readingOrder="0"/>
    </xf>
    <xf borderId="5" fillId="27" fontId="18" numFmtId="0" xfId="0" applyAlignment="1" applyBorder="1" applyFill="1" applyFont="1">
      <alignment readingOrder="0"/>
    </xf>
    <xf borderId="7" fillId="27" fontId="11" numFmtId="0" xfId="0" applyAlignment="1" applyBorder="1" applyFont="1">
      <alignment readingOrder="0"/>
    </xf>
    <xf borderId="14" fillId="28" fontId="18" numFmtId="0" xfId="0" applyAlignment="1" applyBorder="1" applyFill="1" applyFont="1">
      <alignment readingOrder="0"/>
    </xf>
    <xf borderId="12" fillId="28" fontId="41" numFmtId="0" xfId="0" applyAlignment="1" applyBorder="1" applyFont="1">
      <alignment horizontal="left" readingOrder="0"/>
    </xf>
    <xf borderId="16" fillId="28" fontId="18" numFmtId="0" xfId="0" applyAlignment="1" applyBorder="1" applyFont="1">
      <alignment readingOrder="0"/>
    </xf>
    <xf borderId="8" fillId="28" fontId="41" numFmtId="0" xfId="0" applyAlignment="1" applyBorder="1" applyFont="1">
      <alignment horizontal="left" readingOrder="0"/>
    </xf>
    <xf borderId="15" fillId="28" fontId="18" numFmtId="0" xfId="0" applyBorder="1" applyFont="1"/>
    <xf borderId="11" fillId="28" fontId="11" numFmtId="0" xfId="0" applyAlignment="1" applyBorder="1" applyFont="1">
      <alignment readingOrder="0"/>
    </xf>
    <xf borderId="0" fillId="12" fontId="18" numFmtId="0" xfId="0" applyAlignment="1" applyFont="1">
      <alignment horizontal="left" shrinkToFit="0" vertical="top" wrapText="1"/>
    </xf>
    <xf borderId="0" fillId="0" fontId="95" numFmtId="0" xfId="0" applyAlignment="1" applyFont="1">
      <alignment horizontal="center" readingOrder="0" shrinkToFit="0" wrapText="1"/>
    </xf>
    <xf borderId="0" fillId="11" fontId="31" numFmtId="0" xfId="0" applyAlignment="1" applyFont="1">
      <alignment shrinkToFit="0" vertical="top" wrapText="1"/>
    </xf>
    <xf borderId="0" fillId="3" fontId="8" numFmtId="0" xfId="0" applyAlignment="1" applyFont="1">
      <alignment shrinkToFit="0" vertical="top" wrapText="1"/>
    </xf>
    <xf borderId="0" fillId="4" fontId="33" numFmtId="0" xfId="0" applyAlignment="1" applyFont="1">
      <alignment shrinkToFit="0" vertical="top" wrapText="1"/>
    </xf>
    <xf borderId="0" fillId="3" fontId="8" numFmtId="0" xfId="0" applyAlignment="1" applyFont="1">
      <alignment readingOrder="0" shrinkToFit="0" vertical="top" wrapText="1"/>
    </xf>
    <xf borderId="2" fillId="3" fontId="96" numFmtId="0" xfId="0" applyAlignment="1" applyBorder="1" applyFont="1">
      <alignment shrinkToFit="0" vertical="top" wrapText="1"/>
    </xf>
    <xf borderId="0" fillId="11" fontId="33" numFmtId="0" xfId="0" applyAlignment="1" applyFont="1">
      <alignment shrinkToFit="0" vertical="top" wrapText="1"/>
    </xf>
    <xf borderId="0" fillId="0" fontId="4" numFmtId="0" xfId="0" applyAlignment="1" applyFont="1">
      <alignment readingOrder="0" shrinkToFit="0" vertical="top" wrapText="1"/>
    </xf>
    <xf borderId="0" fillId="0" fontId="96" numFmtId="0" xfId="0" applyAlignment="1" applyFont="1">
      <alignment readingOrder="0" shrinkToFit="0" vertical="top" wrapText="1"/>
    </xf>
    <xf borderId="0" fillId="8" fontId="4" numFmtId="0" xfId="0" applyAlignment="1" applyFont="1">
      <alignment shrinkToFit="0" vertical="top" wrapText="1"/>
    </xf>
    <xf borderId="0" fillId="0" fontId="97" numFmtId="0" xfId="0" applyAlignment="1" applyFont="1">
      <alignment horizontal="left" readingOrder="0" shrinkToFit="0" vertical="top" wrapText="1"/>
    </xf>
    <xf borderId="0" fillId="0" fontId="97" numFmtId="0" xfId="0" applyAlignment="1" applyFont="1">
      <alignment horizontal="right" readingOrder="0" shrinkToFit="0" vertical="top" wrapText="1"/>
    </xf>
    <xf borderId="2" fillId="0" fontId="97" numFmtId="0" xfId="0" applyAlignment="1" applyBorder="1" applyFont="1">
      <alignment horizontal="left" readingOrder="0" shrinkToFit="0" vertical="top" wrapText="1"/>
    </xf>
    <xf borderId="2" fillId="0" fontId="97" numFmtId="0" xfId="0" applyAlignment="1" applyBorder="1" applyFont="1">
      <alignment horizontal="right" readingOrder="0" shrinkToFit="0" vertical="top" wrapText="1"/>
    </xf>
    <xf borderId="0" fillId="5" fontId="4" numFmtId="0" xfId="0" applyAlignment="1" applyFont="1">
      <alignment shrinkToFit="0" vertical="top" wrapText="1"/>
    </xf>
    <xf borderId="0" fillId="0" fontId="4" numFmtId="0" xfId="0" applyAlignment="1" applyFont="1">
      <alignment shrinkToFit="0" vertical="top" wrapText="1"/>
    </xf>
    <xf borderId="0" fillId="0" fontId="96" numFmtId="0" xfId="0" applyAlignment="1" applyFont="1">
      <alignment shrinkToFit="0" vertical="top" wrapText="1"/>
    </xf>
    <xf borderId="0" fillId="0" fontId="33" numFmtId="0" xfId="0" applyAlignment="1" applyFont="1">
      <alignment shrinkToFit="0" vertical="top" wrapText="1"/>
    </xf>
    <xf borderId="0" fillId="0" fontId="30" numFmtId="0" xfId="0" applyAlignment="1" applyFont="1">
      <alignment shrinkToFit="0" vertical="top" wrapText="1"/>
    </xf>
    <xf borderId="0" fillId="0" fontId="98" numFmtId="0" xfId="0" applyAlignment="1" applyFont="1">
      <alignment shrinkToFit="0" vertical="top" wrapText="1"/>
    </xf>
    <xf borderId="0" fillId="29" fontId="4" numFmtId="0" xfId="0" applyAlignment="1" applyFill="1" applyFont="1">
      <alignment readingOrder="0" shrinkToFit="0" vertical="top" wrapText="1"/>
    </xf>
    <xf borderId="0" fillId="0" fontId="4" numFmtId="0" xfId="0" applyAlignment="1" applyFont="1">
      <alignment shrinkToFit="0" vertical="top" wrapText="1"/>
    </xf>
    <xf borderId="0" fillId="0" fontId="96" numFmtId="0" xfId="0" applyAlignment="1" applyFont="1">
      <alignment shrinkToFit="0" vertical="top" wrapText="1"/>
    </xf>
    <xf borderId="0" fillId="6" fontId="99" numFmtId="0" xfId="0" applyAlignment="1" applyFont="1">
      <alignment shrinkToFit="0" vertical="top" wrapText="1"/>
    </xf>
    <xf borderId="0" fillId="7" fontId="4" numFmtId="0" xfId="0" applyAlignment="1" applyFont="1">
      <alignment shrinkToFit="0" vertical="top" wrapText="1"/>
    </xf>
    <xf borderId="0" fillId="11" fontId="4" numFmtId="0" xfId="0" applyAlignment="1" applyFont="1">
      <alignment readingOrder="0" shrinkToFit="0" vertical="top" wrapText="1"/>
    </xf>
    <xf borderId="0" fillId="0" fontId="98" numFmtId="0" xfId="0" applyAlignment="1" applyFont="1">
      <alignment readingOrder="0" shrinkToFit="0" vertical="top" wrapText="1"/>
    </xf>
    <xf borderId="0" fillId="3" fontId="4" numFmtId="0" xfId="0" applyAlignment="1" applyFont="1">
      <alignment shrinkToFit="0" vertical="top" wrapText="1"/>
    </xf>
    <xf borderId="0" fillId="6" fontId="100" numFmtId="0" xfId="0" applyAlignment="1" applyFont="1">
      <alignment shrinkToFit="0" vertical="top" wrapText="1"/>
    </xf>
    <xf borderId="0" fillId="6" fontId="4" numFmtId="0" xfId="0" applyAlignment="1" applyFont="1">
      <alignment readingOrder="0" shrinkToFit="0" vertical="top" wrapText="1"/>
    </xf>
    <xf borderId="2" fillId="11" fontId="98" numFmtId="0" xfId="0" applyAlignment="1" applyBorder="1" applyFont="1">
      <alignment horizontal="center" readingOrder="0" vertical="top"/>
    </xf>
    <xf borderId="0" fillId="0" fontId="4" numFmtId="0" xfId="0" applyAlignment="1" applyFont="1">
      <alignment vertical="top"/>
    </xf>
    <xf borderId="1" fillId="11" fontId="98" numFmtId="0" xfId="0" applyAlignment="1" applyBorder="1" applyFont="1">
      <alignment vertical="top"/>
    </xf>
    <xf borderId="11" fillId="4" fontId="98" numFmtId="0" xfId="0" applyAlignment="1" applyBorder="1" applyFont="1">
      <alignment horizontal="left" readingOrder="0" vertical="top"/>
    </xf>
    <xf borderId="11" fillId="5" fontId="98" numFmtId="0" xfId="0" applyAlignment="1" applyBorder="1" applyFont="1">
      <alignment shrinkToFit="0" vertical="top" wrapText="1"/>
    </xf>
    <xf borderId="11" fillId="8" fontId="98" numFmtId="0" xfId="0" applyAlignment="1" applyBorder="1" applyFont="1">
      <alignment vertical="top"/>
    </xf>
    <xf borderId="11" fillId="6" fontId="98" numFmtId="0" xfId="0" applyAlignment="1" applyBorder="1" applyFont="1">
      <alignment vertical="top"/>
    </xf>
    <xf borderId="1" fillId="11" fontId="41" numFmtId="0" xfId="0" applyAlignment="1" applyBorder="1" applyFont="1">
      <alignment readingOrder="0" vertical="top"/>
    </xf>
    <xf borderId="11" fillId="4" fontId="41" numFmtId="0" xfId="0" applyAlignment="1" applyBorder="1" applyFont="1">
      <alignment horizontal="left" readingOrder="0" vertical="top"/>
    </xf>
    <xf borderId="11" fillId="5" fontId="41" numFmtId="0" xfId="0" applyAlignment="1" applyBorder="1" applyFont="1">
      <alignment readingOrder="0" shrinkToFit="0" vertical="top" wrapText="1"/>
    </xf>
    <xf borderId="11" fillId="8" fontId="41" numFmtId="0" xfId="0" applyAlignment="1" applyBorder="1" applyFont="1">
      <alignment vertical="top"/>
    </xf>
    <xf borderId="11" fillId="6" fontId="41" numFmtId="0" xfId="0" applyAlignment="1" applyBorder="1" applyFont="1">
      <alignment vertical="top"/>
    </xf>
    <xf borderId="11" fillId="5" fontId="41" numFmtId="0" xfId="0" applyAlignment="1" applyBorder="1" applyFont="1">
      <alignment readingOrder="0" shrinkToFit="0" vertical="top" wrapText="1"/>
    </xf>
    <xf borderId="1" fillId="11" fontId="41" numFmtId="0" xfId="0" applyAlignment="1" applyBorder="1" applyFont="1">
      <alignment vertical="top"/>
    </xf>
    <xf borderId="11" fillId="4" fontId="41" numFmtId="0" xfId="0" applyAlignment="1" applyBorder="1" applyFont="1">
      <alignment horizontal="left" vertical="top"/>
    </xf>
    <xf borderId="11" fillId="5" fontId="41" numFmtId="0" xfId="0" applyAlignment="1" applyBorder="1" applyFont="1">
      <alignment shrinkToFit="0" vertical="top" wrapText="1"/>
    </xf>
    <xf borderId="11" fillId="5" fontId="41" numFmtId="0" xfId="0" applyAlignment="1" applyBorder="1" applyFont="1">
      <alignment shrinkToFit="0" vertical="top" wrapText="1"/>
    </xf>
    <xf borderId="11" fillId="4" fontId="41" numFmtId="164" xfId="0" applyAlignment="1" applyBorder="1" applyFont="1" applyNumberFormat="1">
      <alignment horizontal="left" readingOrder="0" vertical="top"/>
    </xf>
    <xf borderId="17" fillId="11" fontId="41" numFmtId="0" xfId="0" applyAlignment="1" applyBorder="1" applyFont="1">
      <alignment vertical="top"/>
    </xf>
    <xf borderId="8" fillId="4" fontId="41" numFmtId="0" xfId="0" applyAlignment="1" applyBorder="1" applyFont="1">
      <alignment horizontal="left" vertical="top"/>
    </xf>
    <xf borderId="17" fillId="11" fontId="41" numFmtId="0" xfId="0" applyAlignment="1" applyBorder="1" applyFont="1">
      <alignment readingOrder="0" vertical="top"/>
    </xf>
    <xf borderId="8" fillId="4" fontId="41" numFmtId="0" xfId="0" applyAlignment="1" applyBorder="1" applyFont="1">
      <alignment horizontal="left" readingOrder="0" vertical="top"/>
    </xf>
    <xf borderId="17" fillId="11" fontId="41" numFmtId="0" xfId="0" applyAlignment="1" applyBorder="1" applyFont="1">
      <alignment readingOrder="0" vertical="top"/>
    </xf>
    <xf borderId="11" fillId="8" fontId="4" numFmtId="0" xfId="0" applyAlignment="1" applyBorder="1" applyFont="1">
      <alignment vertical="top"/>
    </xf>
    <xf borderId="11" fillId="6" fontId="4" numFmtId="0" xfId="0" applyAlignment="1" applyBorder="1" applyFont="1">
      <alignment vertical="top"/>
    </xf>
    <xf borderId="0" fillId="7" fontId="35" numFmtId="0" xfId="0" applyAlignment="1" applyFont="1">
      <alignment readingOrder="0" vertical="top"/>
    </xf>
    <xf borderId="11" fillId="5" fontId="41" numFmtId="0" xfId="0" applyAlignment="1" applyBorder="1" applyFont="1">
      <alignment readingOrder="0" shrinkToFit="0" vertical="top" wrapText="1"/>
    </xf>
    <xf borderId="1" fillId="11" fontId="41" numFmtId="0" xfId="0" applyAlignment="1" applyBorder="1" applyFont="1">
      <alignment readingOrder="0" shrinkToFit="0" vertical="top" wrapText="1"/>
    </xf>
    <xf borderId="11" fillId="8" fontId="41" numFmtId="0" xfId="0" applyAlignment="1" applyBorder="1" applyFont="1">
      <alignment vertical="top"/>
    </xf>
    <xf borderId="17" fillId="11" fontId="95" numFmtId="0" xfId="0" applyAlignment="1" applyBorder="1" applyFont="1">
      <alignment vertical="top"/>
    </xf>
    <xf borderId="8" fillId="11" fontId="95" numFmtId="0" xfId="0" applyAlignment="1" applyBorder="1" applyFont="1">
      <alignment vertical="top"/>
    </xf>
    <xf borderId="2" fillId="11" fontId="41" numFmtId="0" xfId="0" applyAlignment="1" applyBorder="1" applyFont="1">
      <alignment readingOrder="0" vertical="top"/>
    </xf>
    <xf borderId="2" fillId="4" fontId="41" numFmtId="0" xfId="0" applyAlignment="1" applyBorder="1" applyFont="1">
      <alignment horizontal="left" readingOrder="0" vertical="top"/>
    </xf>
    <xf borderId="2" fillId="5" fontId="41" numFmtId="0" xfId="0" applyAlignment="1" applyBorder="1" applyFont="1">
      <alignment readingOrder="0" shrinkToFit="0" vertical="top" wrapText="1"/>
    </xf>
    <xf borderId="2" fillId="8" fontId="4" numFmtId="0" xfId="0" applyAlignment="1" applyBorder="1" applyFont="1">
      <alignment vertical="top"/>
    </xf>
    <xf borderId="2" fillId="6" fontId="4" numFmtId="0" xfId="0" applyAlignment="1" applyBorder="1" applyFont="1">
      <alignment vertical="top"/>
    </xf>
    <xf borderId="2" fillId="11" fontId="101" numFmtId="0" xfId="0" applyAlignment="1" applyBorder="1" applyFont="1">
      <alignment horizontal="center" vertical="top"/>
    </xf>
    <xf borderId="0" fillId="0" fontId="18" numFmtId="0" xfId="0" applyAlignment="1" applyFont="1">
      <alignment horizontal="left"/>
    </xf>
    <xf borderId="0" fillId="0" fontId="102" numFmtId="0" xfId="0" applyFont="1"/>
    <xf borderId="0" fillId="11" fontId="103" numFmtId="0" xfId="0" applyAlignment="1" applyFont="1">
      <alignment readingOrder="0" vertical="top"/>
    </xf>
    <xf borderId="0" fillId="30" fontId="103" numFmtId="0" xfId="0" applyAlignment="1" applyFill="1" applyFont="1">
      <alignment readingOrder="0"/>
    </xf>
    <xf borderId="0" fillId="5" fontId="103" numFmtId="0" xfId="0" applyAlignment="1" applyFont="1">
      <alignment horizontal="center" readingOrder="0" vertical="top"/>
    </xf>
    <xf borderId="0" fillId="6" fontId="103" numFmtId="0" xfId="0" applyAlignment="1" applyFont="1">
      <alignment readingOrder="0" vertical="top"/>
    </xf>
    <xf borderId="0" fillId="11" fontId="5" numFmtId="0" xfId="0" applyAlignment="1" applyFont="1">
      <alignment readingOrder="0" vertical="top"/>
    </xf>
    <xf borderId="0" fillId="30" fontId="16" numFmtId="0" xfId="0" applyAlignment="1" applyFont="1">
      <alignment readingOrder="0"/>
    </xf>
    <xf borderId="0" fillId="5" fontId="104" numFmtId="0" xfId="0" applyAlignment="1" applyFont="1">
      <alignment horizontal="center" readingOrder="0" vertical="top"/>
    </xf>
    <xf borderId="0" fillId="6" fontId="11" numFmtId="0" xfId="0" applyAlignment="1" applyFont="1">
      <alignment readingOrder="0" vertical="top"/>
    </xf>
    <xf borderId="2" fillId="5" fontId="104" numFmtId="0" xfId="0" applyAlignment="1" applyBorder="1" applyFont="1">
      <alignment horizontal="center" readingOrder="0" vertical="top"/>
    </xf>
    <xf borderId="2" fillId="6" fontId="11" numFmtId="0" xfId="0" applyAlignment="1" applyBorder="1" applyFont="1">
      <alignment readingOrder="0" vertical="top"/>
    </xf>
    <xf borderId="2" fillId="11" fontId="5" numFmtId="0" xfId="0" applyAlignment="1" applyBorder="1" applyFont="1">
      <alignment readingOrder="0" vertical="top"/>
    </xf>
    <xf borderId="2" fillId="30" fontId="16" numFmtId="0" xfId="0" applyAlignment="1" applyBorder="1" applyFont="1">
      <alignment readingOrder="0"/>
    </xf>
    <xf borderId="6" fillId="11" fontId="5" numFmtId="0" xfId="0" applyAlignment="1" applyBorder="1" applyFont="1">
      <alignment readingOrder="0" vertical="top"/>
    </xf>
    <xf borderId="6" fillId="30" fontId="16" numFmtId="0" xfId="0" applyAlignment="1" applyBorder="1" applyFont="1">
      <alignment readingOrder="0"/>
    </xf>
    <xf borderId="6" fillId="5" fontId="104" numFmtId="0" xfId="0" applyAlignment="1" applyBorder="1" applyFont="1">
      <alignment horizontal="center" readingOrder="0" shrinkToFit="0" vertical="top" wrapText="1"/>
    </xf>
    <xf borderId="6" fillId="6" fontId="11" numFmtId="0" xfId="0" applyAlignment="1" applyBorder="1" applyFont="1">
      <alignment readingOrder="0" vertical="top"/>
    </xf>
    <xf borderId="0" fillId="5" fontId="105" numFmtId="0" xfId="0" applyAlignment="1" applyFont="1">
      <alignment horizontal="center" readingOrder="0" vertical="top"/>
    </xf>
    <xf borderId="2" fillId="6" fontId="11" numFmtId="0" xfId="0" applyAlignment="1" applyBorder="1" applyFont="1">
      <alignment readingOrder="0" shrinkToFit="0" vertical="top" wrapText="1"/>
    </xf>
    <xf borderId="0" fillId="30" fontId="16" numFmtId="0" xfId="0" applyAlignment="1" applyFont="1">
      <alignment readingOrder="0" vertical="top"/>
    </xf>
    <xf borderId="0" fillId="5" fontId="105" numFmtId="0" xfId="0" applyAlignment="1" applyFont="1">
      <alignment horizontal="center" readingOrder="0" shrinkToFit="0" vertical="top" wrapText="1"/>
    </xf>
    <xf borderId="0" fillId="5" fontId="104" numFmtId="0" xfId="0" applyAlignment="1" applyFont="1">
      <alignment horizontal="center" readingOrder="0" shrinkToFit="0" vertical="top" wrapText="1"/>
    </xf>
    <xf borderId="0" fillId="5" fontId="104" numFmtId="0" xfId="0" applyAlignment="1" applyFont="1">
      <alignment horizontal="center" readingOrder="0"/>
    </xf>
    <xf borderId="0" fillId="5" fontId="104" numFmtId="0" xfId="0" applyAlignment="1" applyFont="1">
      <alignment horizontal="center" readingOrder="0" shrinkToFit="0" wrapText="1"/>
    </xf>
    <xf borderId="2" fillId="5" fontId="104" numFmtId="0" xfId="0" applyAlignment="1" applyBorder="1" applyFont="1">
      <alignment horizontal="center" readingOrder="0" shrinkToFit="0" wrapText="1"/>
    </xf>
    <xf borderId="2" fillId="6" fontId="11" numFmtId="0" xfId="0" applyAlignment="1" applyBorder="1" applyFont="1">
      <alignment readingOrder="0"/>
    </xf>
    <xf borderId="0" fillId="6" fontId="11" numFmtId="0" xfId="0" applyAlignment="1" applyFont="1">
      <alignment readingOrder="0"/>
    </xf>
    <xf borderId="2" fillId="5" fontId="104" numFmtId="0" xfId="0" applyAlignment="1" applyBorder="1" applyFont="1">
      <alignment horizontal="center" readingOrder="0"/>
    </xf>
    <xf borderId="0" fillId="6" fontId="11" numFmtId="0" xfId="0" applyAlignment="1" applyFont="1">
      <alignment readingOrder="0" shrinkToFit="0" wrapText="1"/>
    </xf>
    <xf borderId="0" fillId="5" fontId="105" numFmtId="0" xfId="0" applyAlignment="1" applyFont="1">
      <alignment horizontal="center" readingOrder="0"/>
    </xf>
    <xf borderId="0" fillId="6" fontId="41" numFmtId="0" xfId="0" applyAlignment="1" applyFont="1">
      <alignment horizontal="left" readingOrder="0"/>
    </xf>
    <xf borderId="2" fillId="5" fontId="104" numFmtId="0" xfId="0" applyAlignment="1" applyBorder="1" applyFont="1">
      <alignment horizontal="center" readingOrder="0" shrinkToFit="0" vertical="top" wrapText="1"/>
    </xf>
    <xf borderId="0" fillId="30" fontId="16" numFmtId="0" xfId="0" applyFont="1"/>
    <xf borderId="0" fillId="5" fontId="16" numFmtId="0" xfId="0" applyAlignment="1" applyFont="1">
      <alignment horizontal="center"/>
    </xf>
    <xf borderId="0" fillId="6" fontId="16" numFmtId="0" xfId="0" applyFont="1"/>
    <xf borderId="0" fillId="11" fontId="6" numFmtId="0" xfId="0" applyAlignment="1" applyFont="1">
      <alignment readingOrder="0"/>
    </xf>
    <xf borderId="0" fillId="0" fontId="18" numFmtId="0" xfId="0" applyAlignment="1" applyFont="1">
      <alignment vertical="top"/>
    </xf>
    <xf borderId="0" fillId="0" fontId="18" numFmtId="0" xfId="0" applyAlignment="1" applyFont="1">
      <alignment readingOrder="0" vertical="top"/>
    </xf>
    <xf borderId="0" fillId="0" fontId="106" numFmtId="0" xfId="0" applyAlignment="1" applyFont="1">
      <alignment readingOrder="0" vertical="top"/>
    </xf>
    <xf borderId="0" fillId="0" fontId="107" numFmtId="0" xfId="0" applyAlignment="1" applyFont="1">
      <alignment readingOrder="0" vertical="top"/>
    </xf>
    <xf borderId="0" fillId="0" fontId="90" numFmtId="0" xfId="0" applyAlignment="1" applyFont="1">
      <alignment readingOrder="0"/>
    </xf>
    <xf borderId="0" fillId="0" fontId="18" numFmtId="0" xfId="0" applyAlignment="1" applyFont="1">
      <alignment readingOrder="0" shrinkToFit="0" vertical="top" wrapText="1"/>
    </xf>
    <xf borderId="0" fillId="0" fontId="18" numFmtId="0" xfId="0" applyAlignment="1" applyFont="1">
      <alignment readingOrder="0" shrinkToFit="0" wrapText="1"/>
    </xf>
    <xf borderId="0" fillId="0" fontId="18" numFmtId="0" xfId="0" applyAlignment="1" applyFont="1">
      <alignment readingOrder="0" shrinkToFit="0" wrapText="1"/>
    </xf>
  </cellXfs>
  <cellStyles count="1">
    <cellStyle xfId="0" name="Normal" builtinId="0"/>
  </cellStyles>
  <dxfs count="3">
    <dxf>
      <font/>
      <fill>
        <patternFill patternType="none"/>
      </fill>
      <border/>
    </dxf>
    <dxf>
      <font/>
      <fill>
        <patternFill patternType="solid">
          <fgColor rgb="FFFFFFFF"/>
          <bgColor rgb="FFFFFFFF"/>
        </patternFill>
      </fill>
      <border/>
    </dxf>
    <dxf>
      <font/>
      <fill>
        <patternFill patternType="solid">
          <fgColor rgb="FFEEF7E3"/>
          <bgColor rgb="FFEEF7E3"/>
        </patternFill>
      </fill>
      <border/>
    </dxf>
  </dxfs>
  <tableStyles count="1">
    <tableStyle count="2" pivot="0" name="PBM indications by specialty-style">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000000"/>
                </a:solidFill>
                <a:latin typeface="Roboto"/>
              </a:defRPr>
            </a:pPr>
            <a:r>
              <a:rPr b="0">
                <a:solidFill>
                  <a:srgbClr val="000000"/>
                </a:solidFill>
                <a:latin typeface="Roboto"/>
              </a:rPr>
              <a:t>PBM-articles in the literature: total amount</a:t>
            </a:r>
          </a:p>
        </c:rich>
      </c:tx>
      <c:overlay val="0"/>
    </c:title>
    <c:plotArea>
      <c:layout/>
      <c:barChart>
        <c:barDir val="col"/>
        <c:ser>
          <c:idx val="0"/>
          <c:order val="0"/>
          <c:tx>
            <c:strRef>
              <c:f>'Research stats'!$D$36</c:f>
            </c:strRef>
          </c:tx>
          <c:spPr>
            <a:solidFill>
              <a:srgbClr val="980000"/>
            </a:solidFill>
            <a:ln cmpd="sng">
              <a:solidFill>
                <a:srgbClr val="000000"/>
              </a:solidFill>
            </a:ln>
          </c:spPr>
          <c:cat>
            <c:strRef>
              <c:f>'Research stats'!$B$37:$B$79</c:f>
            </c:strRef>
          </c:cat>
          <c:val>
            <c:numRef>
              <c:f>'Research stats'!$D$37:$D$79</c:f>
              <c:numCache/>
            </c:numRef>
          </c:val>
        </c:ser>
        <c:axId val="187331142"/>
        <c:axId val="1017648937"/>
      </c:barChart>
      <c:catAx>
        <c:axId val="187331142"/>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Year</a:t>
                </a:r>
              </a:p>
            </c:rich>
          </c:tx>
          <c:overlay val="0"/>
        </c:title>
        <c:numFmt formatCode="General" sourceLinked="1"/>
        <c:majorTickMark val="none"/>
        <c:minorTickMark val="none"/>
        <c:spPr/>
        <c:txPr>
          <a:bodyPr/>
          <a:lstStyle/>
          <a:p>
            <a:pPr lvl="0">
              <a:defRPr b="0">
                <a:solidFill>
                  <a:srgbClr val="000000"/>
                </a:solidFill>
                <a:latin typeface="Roboto"/>
              </a:defRPr>
            </a:pPr>
          </a:p>
        </c:txPr>
        <c:crossAx val="1017648937"/>
      </c:catAx>
      <c:valAx>
        <c:axId val="10176489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p>
        </c:txPr>
        <c:crossAx val="187331142"/>
      </c:valAx>
    </c:plotArea>
    <c:legend>
      <c:legendPos val="r"/>
      <c:overlay val="0"/>
      <c:txPr>
        <a:bodyPr/>
        <a:lstStyle/>
        <a:p>
          <a:pPr lvl="0">
            <a:defRPr b="0">
              <a:solidFill>
                <a:srgbClr val="000000"/>
              </a:solidFill>
              <a:latin typeface="Roboto"/>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000000"/>
                </a:solidFill>
                <a:latin typeface="Roboto"/>
              </a:defRPr>
            </a:pPr>
            <a:r>
              <a:rPr b="0">
                <a:solidFill>
                  <a:srgbClr val="000000"/>
                </a:solidFill>
                <a:latin typeface="Roboto"/>
              </a:rPr>
              <a:t>PBM research: new articles per year</a:t>
            </a:r>
          </a:p>
        </c:rich>
      </c:tx>
      <c:overlay val="0"/>
    </c:title>
    <c:plotArea>
      <c:layout/>
      <c:barChart>
        <c:barDir val="col"/>
        <c:ser>
          <c:idx val="0"/>
          <c:order val="0"/>
          <c:tx>
            <c:strRef>
              <c:f>'Research stats'!$C$36</c:f>
            </c:strRef>
          </c:tx>
          <c:spPr>
            <a:solidFill>
              <a:srgbClr val="4285F4"/>
            </a:solidFill>
            <a:ln cmpd="sng">
              <a:solidFill>
                <a:srgbClr val="000000"/>
              </a:solidFill>
            </a:ln>
          </c:spPr>
          <c:cat>
            <c:strRef>
              <c:f>'Research stats'!$B$37:$B$78</c:f>
            </c:strRef>
          </c:cat>
          <c:val>
            <c:numRef>
              <c:f>'Research stats'!$C$37:$C$78</c:f>
              <c:numCache/>
            </c:numRef>
          </c:val>
        </c:ser>
        <c:axId val="1504966115"/>
        <c:axId val="1685250793"/>
      </c:barChart>
      <c:catAx>
        <c:axId val="1504966115"/>
        <c:scaling>
          <c:orientation val="minMax"/>
        </c:scaling>
        <c:delete val="0"/>
        <c:axPos val="b"/>
        <c:title>
          <c:tx>
            <c:rich>
              <a:bodyPr/>
              <a:lstStyle/>
              <a:p>
                <a:pPr lvl="0">
                  <a:defRPr b="0">
                    <a:solidFill>
                      <a:srgbClr val="000000"/>
                    </a:solidFill>
                    <a:latin typeface="Roboto"/>
                  </a:defRPr>
                </a:pPr>
                <a:r>
                  <a:rPr b="0">
                    <a:solidFill>
                      <a:srgbClr val="000000"/>
                    </a:solidFill>
                    <a:latin typeface="Roboto"/>
                  </a:rPr>
                  <a:t>Year</a:t>
                </a:r>
              </a:p>
            </c:rich>
          </c:tx>
          <c:overlay val="0"/>
        </c:title>
        <c:numFmt formatCode="General" sourceLinked="1"/>
        <c:majorTickMark val="none"/>
        <c:minorTickMark val="none"/>
        <c:spPr/>
        <c:txPr>
          <a:bodyPr/>
          <a:lstStyle/>
          <a:p>
            <a:pPr lvl="0">
              <a:defRPr b="0">
                <a:solidFill>
                  <a:srgbClr val="000000"/>
                </a:solidFill>
                <a:latin typeface="Roboto"/>
              </a:defRPr>
            </a:pPr>
          </a:p>
        </c:txPr>
        <c:crossAx val="1685250793"/>
      </c:catAx>
      <c:valAx>
        <c:axId val="168525079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p>
        </c:txPr>
        <c:crossAx val="1504966115"/>
      </c:valAx>
    </c:plotArea>
    <c:legend>
      <c:legendPos val="r"/>
      <c:overlay val="0"/>
      <c:txPr>
        <a:bodyPr/>
        <a:lstStyle/>
        <a:p>
          <a:pPr lvl="0">
            <a:defRPr b="0">
              <a:solidFill>
                <a:srgbClr val="000000"/>
              </a:solidFill>
              <a:latin typeface="Roboto"/>
            </a:defRPr>
          </a:pPr>
        </a:p>
      </c:txPr>
    </c:legend>
    <c:plotVisOnly val="1"/>
  </c:chart>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57150</xdr:colOff>
      <xdr:row>57</xdr:row>
      <xdr:rowOff>57150</xdr:rowOff>
    </xdr:from>
    <xdr:ext cx="5629275" cy="31337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57150</xdr:colOff>
      <xdr:row>34</xdr:row>
      <xdr:rowOff>57150</xdr:rowOff>
    </xdr:from>
    <xdr:ext cx="5572125" cy="313372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1276350" cy="12763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B3:E19" displayName="Table_1" name="Table_1" id="1">
  <tableColumns count="4">
    <tableColumn name="Column1" id="1"/>
    <tableColumn name="Column2" id="2"/>
    <tableColumn name="Column3" id="3"/>
    <tableColumn name="Column4" id="4"/>
  </tableColumns>
  <tableStyleInfo name="PBM indications by specialty-style" showColumnStripes="0" showFirstColumn="1" showLastColumn="1" showRowStripes="1"/>
</table>
</file>

<file path=xl/worksheets/_rels/sheet1.xml.rels><?xml version="1.0" encoding="UTF-8" standalone="yes"?><Relationships xmlns="http://schemas.openxmlformats.org/package/2006/relationships"><Relationship Id="rId392" Type="http://schemas.openxmlformats.org/officeDocument/2006/relationships/hyperlink" Target="https://pubmed.ncbi.nlm.nih.gov/33580734/" TargetMode="External"/><Relationship Id="rId391" Type="http://schemas.openxmlformats.org/officeDocument/2006/relationships/hyperlink" Target="https://pubmed.ncbi.nlm.nih.gov/34489645/" TargetMode="External"/><Relationship Id="rId390" Type="http://schemas.openxmlformats.org/officeDocument/2006/relationships/hyperlink" Target="https://pubmed.ncbi.nlm.nih.gov/35076161/" TargetMode="External"/><Relationship Id="rId2180" Type="http://schemas.openxmlformats.org/officeDocument/2006/relationships/hyperlink" Target="https://pubmed.ncbi.nlm.nih.gov/36564950/" TargetMode="External"/><Relationship Id="rId2181" Type="http://schemas.openxmlformats.org/officeDocument/2006/relationships/hyperlink" Target="https://pubmed.ncbi.nlm.nih.gov/36354093/" TargetMode="External"/><Relationship Id="rId2182" Type="http://schemas.openxmlformats.org/officeDocument/2006/relationships/hyperlink" Target="https://pubmed.ncbi.nlm.nih.gov/36281107/" TargetMode="External"/><Relationship Id="rId2183" Type="http://schemas.openxmlformats.org/officeDocument/2006/relationships/hyperlink" Target="https://pubmed.ncbi.nlm.nih.gov/36274894/" TargetMode="External"/><Relationship Id="rId385" Type="http://schemas.openxmlformats.org/officeDocument/2006/relationships/hyperlink" Target="https://pubmed.ncbi.nlm.nih.gov/38572802/" TargetMode="External"/><Relationship Id="rId2184" Type="http://schemas.openxmlformats.org/officeDocument/2006/relationships/hyperlink" Target="https://pubmed.ncbi.nlm.nih.gov/35897358/" TargetMode="External"/><Relationship Id="rId384" Type="http://schemas.openxmlformats.org/officeDocument/2006/relationships/hyperlink" Target="https://pubmed.ncbi.nlm.nih.gov/38929072/" TargetMode="External"/><Relationship Id="rId2185" Type="http://schemas.openxmlformats.org/officeDocument/2006/relationships/hyperlink" Target="https://pubmed.ncbi.nlm.nih.gov/35751005/" TargetMode="External"/><Relationship Id="rId383" Type="http://schemas.openxmlformats.org/officeDocument/2006/relationships/hyperlink" Target="https://pubmed.ncbi.nlm.nih.gov/23660846/" TargetMode="External"/><Relationship Id="rId2186" Type="http://schemas.openxmlformats.org/officeDocument/2006/relationships/hyperlink" Target="https://pubmed.ncbi.nlm.nih.gov/35703499/" TargetMode="External"/><Relationship Id="rId382" Type="http://schemas.openxmlformats.org/officeDocument/2006/relationships/hyperlink" Target="https://pubmed.ncbi.nlm.nih.gov/35207474/" TargetMode="External"/><Relationship Id="rId2187" Type="http://schemas.openxmlformats.org/officeDocument/2006/relationships/hyperlink" Target="https://pubmed.ncbi.nlm.nih.gov/35416889/" TargetMode="External"/><Relationship Id="rId389" Type="http://schemas.openxmlformats.org/officeDocument/2006/relationships/hyperlink" Target="https://pubmed.ncbi.nlm.nih.gov/35282079/" TargetMode="External"/><Relationship Id="rId2188" Type="http://schemas.openxmlformats.org/officeDocument/2006/relationships/hyperlink" Target="https://pubmed.ncbi.nlm.nih.gov/35315745/" TargetMode="External"/><Relationship Id="rId388" Type="http://schemas.openxmlformats.org/officeDocument/2006/relationships/hyperlink" Target="https://pubmed.ncbi.nlm.nih.gov/36066188/" TargetMode="External"/><Relationship Id="rId2189" Type="http://schemas.openxmlformats.org/officeDocument/2006/relationships/hyperlink" Target="https://pubmed.ncbi.nlm.nih.gov/35169617/" TargetMode="External"/><Relationship Id="rId387" Type="http://schemas.openxmlformats.org/officeDocument/2006/relationships/hyperlink" Target="https://pubmed.ncbi.nlm.nih.gov/36539162/" TargetMode="External"/><Relationship Id="rId386" Type="http://schemas.openxmlformats.org/officeDocument/2006/relationships/hyperlink" Target="https://pubmed.ncbi.nlm.nih.gov/38421088/" TargetMode="External"/><Relationship Id="rId381" Type="http://schemas.openxmlformats.org/officeDocument/2006/relationships/hyperlink" Target="https://pubmed.ncbi.nlm.nih.gov/36369294/" TargetMode="External"/><Relationship Id="rId380" Type="http://schemas.openxmlformats.org/officeDocument/2006/relationships/hyperlink" Target="https://pubmed.ncbi.nlm.nih.gov/36219758/" TargetMode="External"/><Relationship Id="rId379" Type="http://schemas.openxmlformats.org/officeDocument/2006/relationships/hyperlink" Target="https://pubmed.ncbi.nlm.nih.gov/36520347/" TargetMode="External"/><Relationship Id="rId2170" Type="http://schemas.openxmlformats.org/officeDocument/2006/relationships/hyperlink" Target="https://pubmed.ncbi.nlm.nih.gov/37727026/" TargetMode="External"/><Relationship Id="rId2171" Type="http://schemas.openxmlformats.org/officeDocument/2006/relationships/hyperlink" Target="https://pubmed.ncbi.nlm.nih.gov/38012102/" TargetMode="External"/><Relationship Id="rId2172" Type="http://schemas.openxmlformats.org/officeDocument/2006/relationships/hyperlink" Target="https://pubmed.ncbi.nlm.nih.gov/37744015/" TargetMode="External"/><Relationship Id="rId374" Type="http://schemas.openxmlformats.org/officeDocument/2006/relationships/hyperlink" Target="https://pubmed.ncbi.nlm.nih.gov/32594038/" TargetMode="External"/><Relationship Id="rId2173" Type="http://schemas.openxmlformats.org/officeDocument/2006/relationships/hyperlink" Target="https://pubmed.ncbi.nlm.nih.gov/37761771/" TargetMode="External"/><Relationship Id="rId373" Type="http://schemas.openxmlformats.org/officeDocument/2006/relationships/hyperlink" Target="https://pubmed.ncbi.nlm.nih.gov/33301129/" TargetMode="External"/><Relationship Id="rId2174" Type="http://schemas.openxmlformats.org/officeDocument/2006/relationships/hyperlink" Target="https://pubmed.ncbi.nlm.nih.gov/37564171/" TargetMode="External"/><Relationship Id="rId372" Type="http://schemas.openxmlformats.org/officeDocument/2006/relationships/hyperlink" Target="https://onlinelibrary.wiley.com/doi/10.1002/tbio.202000024" TargetMode="External"/><Relationship Id="rId2175" Type="http://schemas.openxmlformats.org/officeDocument/2006/relationships/hyperlink" Target="https://pubmed.ncbi.nlm.nih.gov/37408297/" TargetMode="External"/><Relationship Id="rId371" Type="http://schemas.openxmlformats.org/officeDocument/2006/relationships/hyperlink" Target="https://pubmed.ncbi.nlm.nih.gov/32709961/" TargetMode="External"/><Relationship Id="rId2176" Type="http://schemas.openxmlformats.org/officeDocument/2006/relationships/hyperlink" Target="https://pubmed.ncbi.nlm.nih.gov/37089525/" TargetMode="External"/><Relationship Id="rId378" Type="http://schemas.openxmlformats.org/officeDocument/2006/relationships/hyperlink" Target="https://pubmed.ncbi.nlm.nih.gov/36999917/" TargetMode="External"/><Relationship Id="rId2177" Type="http://schemas.openxmlformats.org/officeDocument/2006/relationships/hyperlink" Target="https://pubmed.ncbi.nlm.nih.gov/36782179/" TargetMode="External"/><Relationship Id="rId377" Type="http://schemas.openxmlformats.org/officeDocument/2006/relationships/hyperlink" Target="https://pubmed.ncbi.nlm.nih.gov/35314926/" TargetMode="External"/><Relationship Id="rId2178" Type="http://schemas.openxmlformats.org/officeDocument/2006/relationships/hyperlink" Target="https://pubmed.ncbi.nlm.nih.gov/36459910/" TargetMode="External"/><Relationship Id="rId376" Type="http://schemas.openxmlformats.org/officeDocument/2006/relationships/hyperlink" Target="https://pubmed.ncbi.nlm.nih.gov/38849324/" TargetMode="External"/><Relationship Id="rId2179" Type="http://schemas.openxmlformats.org/officeDocument/2006/relationships/hyperlink" Target="https://pubmed.ncbi.nlm.nih.gov/36456937/" TargetMode="External"/><Relationship Id="rId375" Type="http://schemas.openxmlformats.org/officeDocument/2006/relationships/hyperlink" Target="https://pubmed.ncbi.nlm.nih.gov/32475349/" TargetMode="External"/><Relationship Id="rId2190" Type="http://schemas.openxmlformats.org/officeDocument/2006/relationships/hyperlink" Target="https://pubmed.ncbi.nlm.nih.gov/35107512/" TargetMode="External"/><Relationship Id="rId2191" Type="http://schemas.openxmlformats.org/officeDocument/2006/relationships/hyperlink" Target="https://pubmed.ncbi.nlm.nih.gov/34967349/" TargetMode="External"/><Relationship Id="rId2192" Type="http://schemas.openxmlformats.org/officeDocument/2006/relationships/hyperlink" Target="https://pubmed.ncbi.nlm.nih.gov/34672274/" TargetMode="External"/><Relationship Id="rId2193" Type="http://schemas.openxmlformats.org/officeDocument/2006/relationships/hyperlink" Target="https://iopscience.iop.org/article/10.1088/1612-202X/ac20de" TargetMode="External"/><Relationship Id="rId2194" Type="http://schemas.openxmlformats.org/officeDocument/2006/relationships/hyperlink" Target="https://pubmed.ncbi.nlm.nih.gov/34388640/" TargetMode="External"/><Relationship Id="rId396" Type="http://schemas.openxmlformats.org/officeDocument/2006/relationships/hyperlink" Target="http://www.ncbi.nlm.nih.gov/pubmed/16120415" TargetMode="External"/><Relationship Id="rId2195" Type="http://schemas.openxmlformats.org/officeDocument/2006/relationships/hyperlink" Target="https://pubmed.ncbi.nlm.nih.gov/34597318/" TargetMode="External"/><Relationship Id="rId395" Type="http://schemas.openxmlformats.org/officeDocument/2006/relationships/hyperlink" Target="https://pubmed.ncbi.nlm.nih.gov/25206807/" TargetMode="External"/><Relationship Id="rId2196" Type="http://schemas.openxmlformats.org/officeDocument/2006/relationships/hyperlink" Target="https://pubmed.ncbi.nlm.nih.gov/34202292/" TargetMode="External"/><Relationship Id="rId394" Type="http://schemas.openxmlformats.org/officeDocument/2006/relationships/hyperlink" Target="https://pubmed.ncbi.nlm.nih.gov/26487831/" TargetMode="External"/><Relationship Id="rId2197" Type="http://schemas.openxmlformats.org/officeDocument/2006/relationships/hyperlink" Target="https://pubmed.ncbi.nlm.nih.gov/34289157/" TargetMode="External"/><Relationship Id="rId393" Type="http://schemas.openxmlformats.org/officeDocument/2006/relationships/hyperlink" Target="https://pubmed.ncbi.nlm.nih.gov/27345389/" TargetMode="External"/><Relationship Id="rId2198" Type="http://schemas.openxmlformats.org/officeDocument/2006/relationships/hyperlink" Target="https://pubmed.ncbi.nlm.nih.gov/34306537/" TargetMode="External"/><Relationship Id="rId2199" Type="http://schemas.openxmlformats.org/officeDocument/2006/relationships/hyperlink" Target="https://pubmed.ncbi.nlm.nih.gov/34104237/" TargetMode="External"/><Relationship Id="rId399" Type="http://schemas.openxmlformats.org/officeDocument/2006/relationships/hyperlink" Target="https://pubmed.ncbi.nlm.nih.gov/37906312/" TargetMode="External"/><Relationship Id="rId398" Type="http://schemas.openxmlformats.org/officeDocument/2006/relationships/hyperlink" Target="https://pubmed.ncbi.nlm.nih.gov/38239124/" TargetMode="External"/><Relationship Id="rId397" Type="http://schemas.openxmlformats.org/officeDocument/2006/relationships/hyperlink" Target="https://pubmed.ncbi.nlm.nih.gov/38278695/" TargetMode="External"/><Relationship Id="rId1730" Type="http://schemas.openxmlformats.org/officeDocument/2006/relationships/hyperlink" Target="https://pubmed.ncbi.nlm.nih.gov/33796964/" TargetMode="External"/><Relationship Id="rId1731" Type="http://schemas.openxmlformats.org/officeDocument/2006/relationships/hyperlink" Target="https://pubmed.ncbi.nlm.nih.gov/32572661/" TargetMode="External"/><Relationship Id="rId1732" Type="http://schemas.openxmlformats.org/officeDocument/2006/relationships/hyperlink" Target="https://pubmed.ncbi.nlm.nih.gov/33058937/" TargetMode="External"/><Relationship Id="rId1733" Type="http://schemas.openxmlformats.org/officeDocument/2006/relationships/hyperlink" Target="https://pubmed.ncbi.nlm.nih.gov/32621128/" TargetMode="External"/><Relationship Id="rId1734" Type="http://schemas.openxmlformats.org/officeDocument/2006/relationships/hyperlink" Target="https://pubmed.ncbi.nlm.nih.gov/32572661/" TargetMode="External"/><Relationship Id="rId1735" Type="http://schemas.openxmlformats.org/officeDocument/2006/relationships/hyperlink" Target="https://pubmed.ncbi.nlm.nih.gov/32613417/" TargetMode="External"/><Relationship Id="rId1736" Type="http://schemas.openxmlformats.org/officeDocument/2006/relationships/hyperlink" Target="https://iopscience.iop.org/article/10.1088/1555-6611/ab3c4a" TargetMode="External"/><Relationship Id="rId1737" Type="http://schemas.openxmlformats.org/officeDocument/2006/relationships/hyperlink" Target="https://iopscience.iop.org/article/10.1088/1555-6611/aa8e79" TargetMode="External"/><Relationship Id="rId1738" Type="http://schemas.openxmlformats.org/officeDocument/2006/relationships/hyperlink" Target="https://pubmed.ncbi.nlm.nih.gov/18403888/" TargetMode="External"/><Relationship Id="rId1739" Type="http://schemas.openxmlformats.org/officeDocument/2006/relationships/hyperlink" Target="https://pubmed.ncbi.nlm.nih.gov/16507078/" TargetMode="External"/><Relationship Id="rId1720" Type="http://schemas.openxmlformats.org/officeDocument/2006/relationships/hyperlink" Target="https://pubmed.ncbi.nlm.nih.gov/35559714/" TargetMode="External"/><Relationship Id="rId1721" Type="http://schemas.openxmlformats.org/officeDocument/2006/relationships/hyperlink" Target="https://pubmed.ncbi.nlm.nih.gov/35111053/" TargetMode="External"/><Relationship Id="rId1722" Type="http://schemas.openxmlformats.org/officeDocument/2006/relationships/hyperlink" Target="https://pubmed.ncbi.nlm.nih.gov/35040139/" TargetMode="External"/><Relationship Id="rId1723" Type="http://schemas.openxmlformats.org/officeDocument/2006/relationships/hyperlink" Target="https://pubmed.ncbi.nlm.nih.gov/35170211/" TargetMode="External"/><Relationship Id="rId1724" Type="http://schemas.openxmlformats.org/officeDocument/2006/relationships/hyperlink" Target="https://pubmed.ncbi.nlm.nih.gov/34931540/" TargetMode="External"/><Relationship Id="rId1725" Type="http://schemas.openxmlformats.org/officeDocument/2006/relationships/hyperlink" Target="https://pubmed.ncbi.nlm.nih.gov/34787763/" TargetMode="External"/><Relationship Id="rId1726" Type="http://schemas.openxmlformats.org/officeDocument/2006/relationships/hyperlink" Target="https://pubmed.ncbi.nlm.nih.gov/34374881/" TargetMode="External"/><Relationship Id="rId1727" Type="http://schemas.openxmlformats.org/officeDocument/2006/relationships/hyperlink" Target="https://pubmed.ncbi.nlm.nih.gov/34733753/" TargetMode="External"/><Relationship Id="rId1728" Type="http://schemas.openxmlformats.org/officeDocument/2006/relationships/hyperlink" Target="https://pubmed.ncbi.nlm.nih.gov/34600332/" TargetMode="External"/><Relationship Id="rId1729" Type="http://schemas.openxmlformats.org/officeDocument/2006/relationships/hyperlink" Target="https://pubmed.ncbi.nlm.nih.gov/33826014/" TargetMode="External"/><Relationship Id="rId1752" Type="http://schemas.openxmlformats.org/officeDocument/2006/relationships/hyperlink" Target="https://pubmed.ncbi.nlm.nih.gov/37750131/" TargetMode="External"/><Relationship Id="rId1753" Type="http://schemas.openxmlformats.org/officeDocument/2006/relationships/hyperlink" Target="https://pubmed.ncbi.nlm.nih.gov/36656450/" TargetMode="External"/><Relationship Id="rId1754" Type="http://schemas.openxmlformats.org/officeDocument/2006/relationships/hyperlink" Target="https://pubmed.ncbi.nlm.nih.gov/36678659/" TargetMode="External"/><Relationship Id="rId1755" Type="http://schemas.openxmlformats.org/officeDocument/2006/relationships/hyperlink" Target="https://pubmed.ncbi.nlm.nih.gov/36547037/" TargetMode="External"/><Relationship Id="rId1756" Type="http://schemas.openxmlformats.org/officeDocument/2006/relationships/hyperlink" Target="https://pubmed.ncbi.nlm.nih.gov/34853932/" TargetMode="External"/><Relationship Id="rId1757" Type="http://schemas.openxmlformats.org/officeDocument/2006/relationships/hyperlink" Target="https://pubmed.ncbi.nlm.nih.gov/34817126/" TargetMode="External"/><Relationship Id="rId1758" Type="http://schemas.openxmlformats.org/officeDocument/2006/relationships/hyperlink" Target="https://pubmed.ncbi.nlm.nih.gov/34574912/" TargetMode="External"/><Relationship Id="rId1759" Type="http://schemas.openxmlformats.org/officeDocument/2006/relationships/hyperlink" Target="https://pubmed.ncbi.nlm.nih.gov/34625781/" TargetMode="External"/><Relationship Id="rId1750" Type="http://schemas.openxmlformats.org/officeDocument/2006/relationships/hyperlink" Target="https://pubmed.ncbi.nlm.nih.gov/38744337/" TargetMode="External"/><Relationship Id="rId1751" Type="http://schemas.openxmlformats.org/officeDocument/2006/relationships/hyperlink" Target="https://pubmed.ncbi.nlm.nih.gov/38387618/" TargetMode="External"/><Relationship Id="rId1741" Type="http://schemas.openxmlformats.org/officeDocument/2006/relationships/hyperlink" Target="https://pubmed.ncbi.nlm.nih.gov/34545437/" TargetMode="External"/><Relationship Id="rId1742" Type="http://schemas.openxmlformats.org/officeDocument/2006/relationships/hyperlink" Target="https://pubmed.ncbi.nlm.nih.gov/38900719/" TargetMode="External"/><Relationship Id="rId1743" Type="http://schemas.openxmlformats.org/officeDocument/2006/relationships/hyperlink" Target="https://pubmed.ncbi.nlm.nih.gov/33474595/" TargetMode="External"/><Relationship Id="rId1744" Type="http://schemas.openxmlformats.org/officeDocument/2006/relationships/hyperlink" Target="https://pubmed.ncbi.nlm.nih.gov/33095112/" TargetMode="External"/><Relationship Id="rId1745" Type="http://schemas.openxmlformats.org/officeDocument/2006/relationships/hyperlink" Target="https://pubmed.ncbi.nlm.nih.gov/32666212/" TargetMode="External"/><Relationship Id="rId1746" Type="http://schemas.openxmlformats.org/officeDocument/2006/relationships/hyperlink" Target="https://pubmed.ncbi.nlm.nih.gov/32502720/" TargetMode="External"/><Relationship Id="rId1747" Type="http://schemas.openxmlformats.org/officeDocument/2006/relationships/hyperlink" Target="https://pubmed.ncbi.nlm.nih.gov/29731942/" TargetMode="External"/><Relationship Id="rId1748" Type="http://schemas.openxmlformats.org/officeDocument/2006/relationships/hyperlink" Target="https://pubmed.ncbi.nlm.nih.gov/34667386/" TargetMode="External"/><Relationship Id="rId1749" Type="http://schemas.openxmlformats.org/officeDocument/2006/relationships/hyperlink" Target="https://pubmed.ncbi.nlm.nih.gov/38854440/" TargetMode="External"/><Relationship Id="rId1740" Type="http://schemas.openxmlformats.org/officeDocument/2006/relationships/hyperlink" Target="https://pubmed.ncbi.nlm.nih.gov/32584285/" TargetMode="External"/><Relationship Id="rId1710" Type="http://schemas.openxmlformats.org/officeDocument/2006/relationships/hyperlink" Target="https://pubmed.ncbi.nlm.nih.gov/38029663/" TargetMode="External"/><Relationship Id="rId1711" Type="http://schemas.openxmlformats.org/officeDocument/2006/relationships/hyperlink" Target="https://pubmed.ncbi.nlm.nih.gov/38028866/" TargetMode="External"/><Relationship Id="rId1712" Type="http://schemas.openxmlformats.org/officeDocument/2006/relationships/hyperlink" Target="https://pubmed.ncbi.nlm.nih.gov/37815161/" TargetMode="External"/><Relationship Id="rId1713" Type="http://schemas.openxmlformats.org/officeDocument/2006/relationships/hyperlink" Target="https://pubmed.ncbi.nlm.nih.gov/37298716/" TargetMode="External"/><Relationship Id="rId1714" Type="http://schemas.openxmlformats.org/officeDocument/2006/relationships/hyperlink" Target="https://pubmed.ncbi.nlm.nih.gov/37451155/" TargetMode="External"/><Relationship Id="rId1715" Type="http://schemas.openxmlformats.org/officeDocument/2006/relationships/hyperlink" Target="https://pubmed.ncbi.nlm.nih.gov/36978762/" TargetMode="External"/><Relationship Id="rId1716" Type="http://schemas.openxmlformats.org/officeDocument/2006/relationships/hyperlink" Target="https://pubmed.ncbi.nlm.nih.gov/37041791/" TargetMode="External"/><Relationship Id="rId1717" Type="http://schemas.openxmlformats.org/officeDocument/2006/relationships/hyperlink" Target="https://pubmed.ncbi.nlm.nih.gov/35950251/" TargetMode="External"/><Relationship Id="rId1718" Type="http://schemas.openxmlformats.org/officeDocument/2006/relationships/hyperlink" Target="https://pubmed.ncbi.nlm.nih.gov/35660312/" TargetMode="External"/><Relationship Id="rId1719" Type="http://schemas.openxmlformats.org/officeDocument/2006/relationships/hyperlink" Target="https://pubmed.ncbi.nlm.nih.gov/35642237/" TargetMode="External"/><Relationship Id="rId1700" Type="http://schemas.openxmlformats.org/officeDocument/2006/relationships/hyperlink" Target="https://pubmed.ncbi.nlm.nih.gov/33087220/" TargetMode="External"/><Relationship Id="rId1701" Type="http://schemas.openxmlformats.org/officeDocument/2006/relationships/hyperlink" Target="https://pubmed.ncbi.nlm.nih.gov/38046501/" TargetMode="External"/><Relationship Id="rId1702" Type="http://schemas.openxmlformats.org/officeDocument/2006/relationships/hyperlink" Target="https://pubmed.ncbi.nlm.nih.gov/37693996/" TargetMode="External"/><Relationship Id="rId1703" Type="http://schemas.openxmlformats.org/officeDocument/2006/relationships/hyperlink" Target="https://pubmed.ncbi.nlm.nih.gov/35317289/" TargetMode="External"/><Relationship Id="rId1704" Type="http://schemas.openxmlformats.org/officeDocument/2006/relationships/hyperlink" Target="https://pubmed.ncbi.nlm.nih.gov/35229767/" TargetMode="External"/><Relationship Id="rId1705" Type="http://schemas.openxmlformats.org/officeDocument/2006/relationships/hyperlink" Target="https://pubmed.ncbi.nlm.nih.gov/32630217/" TargetMode="External"/><Relationship Id="rId1706" Type="http://schemas.openxmlformats.org/officeDocument/2006/relationships/hyperlink" Target="https://pubmed.ncbi.nlm.nih.gov/38956844/" TargetMode="External"/><Relationship Id="rId1707" Type="http://schemas.openxmlformats.org/officeDocument/2006/relationships/hyperlink" Target="https://pubmed.ncbi.nlm.nih.gov/38546858/" TargetMode="External"/><Relationship Id="rId1708" Type="http://schemas.openxmlformats.org/officeDocument/2006/relationships/hyperlink" Target="https://pubmed.ncbi.nlm.nih.gov/38534291/" TargetMode="External"/><Relationship Id="rId1709" Type="http://schemas.openxmlformats.org/officeDocument/2006/relationships/hyperlink" Target="https://pubmed.ncbi.nlm.nih.gov/38443654/" TargetMode="External"/><Relationship Id="rId40" Type="http://schemas.openxmlformats.org/officeDocument/2006/relationships/hyperlink" Target="https://pubmed.ncbi.nlm.nih.gov/35067818/" TargetMode="External"/><Relationship Id="rId42" Type="http://schemas.openxmlformats.org/officeDocument/2006/relationships/hyperlink" Target="https://pubmed.ncbi.nlm.nih.gov/35022870/" TargetMode="External"/><Relationship Id="rId41" Type="http://schemas.openxmlformats.org/officeDocument/2006/relationships/hyperlink" Target="https://pubmed.ncbi.nlm.nih.gov/35173893/" TargetMode="External"/><Relationship Id="rId44" Type="http://schemas.openxmlformats.org/officeDocument/2006/relationships/hyperlink" Target="https://pubmed.ncbi.nlm.nih.gov/34344474/" TargetMode="External"/><Relationship Id="rId43" Type="http://schemas.openxmlformats.org/officeDocument/2006/relationships/hyperlink" Target="https://pubmed.ncbi.nlm.nih.gov/34370100/" TargetMode="External"/><Relationship Id="rId46" Type="http://schemas.openxmlformats.org/officeDocument/2006/relationships/hyperlink" Target="https://pubmed.ncbi.nlm.nih.gov/34681687/" TargetMode="External"/><Relationship Id="rId45" Type="http://schemas.openxmlformats.org/officeDocument/2006/relationships/hyperlink" Target="https://pubmed.ncbi.nlm.nih.gov/34817024/" TargetMode="External"/><Relationship Id="rId48" Type="http://schemas.openxmlformats.org/officeDocument/2006/relationships/hyperlink" Target="https://pubmed.ncbi.nlm.nih.gov/34259788/" TargetMode="External"/><Relationship Id="rId47" Type="http://schemas.openxmlformats.org/officeDocument/2006/relationships/hyperlink" Target="https://pubmed.ncbi.nlm.nih.gov/34733764/" TargetMode="External"/><Relationship Id="rId49" Type="http://schemas.openxmlformats.org/officeDocument/2006/relationships/hyperlink" Target="https://pubmed.ncbi.nlm.nih.gov/33839962/" TargetMode="External"/><Relationship Id="rId31" Type="http://schemas.openxmlformats.org/officeDocument/2006/relationships/hyperlink" Target="https://pubmed.ncbi.nlm.nih.gov/36539645/" TargetMode="External"/><Relationship Id="rId30" Type="http://schemas.openxmlformats.org/officeDocument/2006/relationships/hyperlink" Target="https://pubmed.ncbi.nlm.nih.gov/36450031/" TargetMode="External"/><Relationship Id="rId33" Type="http://schemas.openxmlformats.org/officeDocument/2006/relationships/hyperlink" Target="https://pubmed.ncbi.nlm.nih.gov/36615601/" TargetMode="External"/><Relationship Id="rId32" Type="http://schemas.openxmlformats.org/officeDocument/2006/relationships/hyperlink" Target="https://pubmed.ncbi.nlm.nih.gov/36493717/" TargetMode="External"/><Relationship Id="rId35" Type="http://schemas.openxmlformats.org/officeDocument/2006/relationships/hyperlink" Target="https://www.ncbi.nlm.nih.gov/pmc/articles/PMC9315208/" TargetMode="External"/><Relationship Id="rId34" Type="http://schemas.openxmlformats.org/officeDocument/2006/relationships/hyperlink" Target="https://pubmed.ncbi.nlm.nih.gov/35996492/" TargetMode="External"/><Relationship Id="rId37" Type="http://schemas.openxmlformats.org/officeDocument/2006/relationships/hyperlink" Target="https://pubmed.ncbi.nlm.nih.gov/35631957/" TargetMode="External"/><Relationship Id="rId36" Type="http://schemas.openxmlformats.org/officeDocument/2006/relationships/hyperlink" Target="https://pubmed.ncbi.nlm.nih.gov/35742948/" TargetMode="External"/><Relationship Id="rId39" Type="http://schemas.openxmlformats.org/officeDocument/2006/relationships/hyperlink" Target="https://pubmed.ncbi.nlm.nih.gov/35261617/" TargetMode="External"/><Relationship Id="rId38" Type="http://schemas.openxmlformats.org/officeDocument/2006/relationships/hyperlink" Target="https://pubmed.ncbi.nlm.nih.gov/35283760/" TargetMode="External"/><Relationship Id="rId2203" Type="http://schemas.openxmlformats.org/officeDocument/2006/relationships/hyperlink" Target="https://pubmed.ncbi.nlm.nih.gov/33616765/" TargetMode="External"/><Relationship Id="rId2204" Type="http://schemas.openxmlformats.org/officeDocument/2006/relationships/hyperlink" Target="https://pubmed.ncbi.nlm.nih.gov/33230581/" TargetMode="External"/><Relationship Id="rId20" Type="http://schemas.openxmlformats.org/officeDocument/2006/relationships/hyperlink" Target="https://pubmed.ncbi.nlm.nih.gov/36236116/" TargetMode="External"/><Relationship Id="rId2205" Type="http://schemas.openxmlformats.org/officeDocument/2006/relationships/hyperlink" Target="https://pubmed.ncbi.nlm.nih.gov/32491964/" TargetMode="External"/><Relationship Id="rId2206" Type="http://schemas.openxmlformats.org/officeDocument/2006/relationships/hyperlink" Target="https://pubmed.ncbi.nlm.nih.gov/32491956/" TargetMode="External"/><Relationship Id="rId22" Type="http://schemas.openxmlformats.org/officeDocument/2006/relationships/hyperlink" Target="https://pubmed.ncbi.nlm.nih.gov/37233392/" TargetMode="External"/><Relationship Id="rId2207" Type="http://schemas.openxmlformats.org/officeDocument/2006/relationships/hyperlink" Target="https://pubmed.ncbi.nlm.nih.gov/32486898/" TargetMode="External"/><Relationship Id="rId21" Type="http://schemas.openxmlformats.org/officeDocument/2006/relationships/hyperlink" Target="https://pubmed.ncbi.nlm.nih.gov/37108257/" TargetMode="External"/><Relationship Id="rId2208" Type="http://schemas.openxmlformats.org/officeDocument/2006/relationships/hyperlink" Target="https://pubmed.ncbi.nlm.nih.gov/32427553/" TargetMode="External"/><Relationship Id="rId24" Type="http://schemas.openxmlformats.org/officeDocument/2006/relationships/hyperlink" Target="https://pubmed.ncbi.nlm.nih.gov/37421518/" TargetMode="External"/><Relationship Id="rId2209" Type="http://schemas.openxmlformats.org/officeDocument/2006/relationships/hyperlink" Target="https://pubmed.ncbi.nlm.nih.gov/32318671/" TargetMode="External"/><Relationship Id="rId23" Type="http://schemas.openxmlformats.org/officeDocument/2006/relationships/hyperlink" Target="https://pubmed.ncbi.nlm.nih.gov/37367270/" TargetMode="External"/><Relationship Id="rId26" Type="http://schemas.openxmlformats.org/officeDocument/2006/relationships/hyperlink" Target="https://pubmed.ncbi.nlm.nih.gov/37020752/" TargetMode="External"/><Relationship Id="rId25" Type="http://schemas.openxmlformats.org/officeDocument/2006/relationships/hyperlink" Target="https://pubmed.ncbi.nlm.nih.gov/36881104/" TargetMode="External"/><Relationship Id="rId28" Type="http://schemas.openxmlformats.org/officeDocument/2006/relationships/hyperlink" Target="https://pubmed.ncbi.nlm.nih.gov/37041788/" TargetMode="External"/><Relationship Id="rId27" Type="http://schemas.openxmlformats.org/officeDocument/2006/relationships/hyperlink" Target="https://pubmed.ncbi.nlm.nih.gov/36691545/" TargetMode="External"/><Relationship Id="rId29" Type="http://schemas.openxmlformats.org/officeDocument/2006/relationships/hyperlink" Target="https://pubmed.ncbi.nlm.nih.gov/36743134/" TargetMode="External"/><Relationship Id="rId2200" Type="http://schemas.openxmlformats.org/officeDocument/2006/relationships/hyperlink" Target="https://pubmed.ncbi.nlm.nih.gov/34105614/" TargetMode="External"/><Relationship Id="rId2201" Type="http://schemas.openxmlformats.org/officeDocument/2006/relationships/hyperlink" Target="https://pubmed.ncbi.nlm.nih.gov/33907210/" TargetMode="External"/><Relationship Id="rId2202" Type="http://schemas.openxmlformats.org/officeDocument/2006/relationships/hyperlink" Target="https://pubmed.ncbi.nlm.nih.gov/33818314/" TargetMode="External"/><Relationship Id="rId11" Type="http://schemas.openxmlformats.org/officeDocument/2006/relationships/hyperlink" Target="https://pubmed.ncbi.nlm.nih.gov/35477157/" TargetMode="External"/><Relationship Id="rId10" Type="http://schemas.openxmlformats.org/officeDocument/2006/relationships/hyperlink" Target="https://pubmed.ncbi.nlm.nih.gov/38011736/" TargetMode="External"/><Relationship Id="rId13" Type="http://schemas.openxmlformats.org/officeDocument/2006/relationships/hyperlink" Target="https://www.ncbi.nlm.nih.gov/pubmed/23155359" TargetMode="External"/><Relationship Id="rId12" Type="http://schemas.openxmlformats.org/officeDocument/2006/relationships/hyperlink" Target="https://pubmed.ncbi.nlm.nih.gov/37074308/" TargetMode="External"/><Relationship Id="rId15" Type="http://schemas.openxmlformats.org/officeDocument/2006/relationships/hyperlink" Target="https://pubmed.ncbi.nlm.nih.gov/38493961/" TargetMode="External"/><Relationship Id="rId14" Type="http://schemas.openxmlformats.org/officeDocument/2006/relationships/hyperlink" Target="https://pubmed.ncbi.nlm.nih.gov/39016360/" TargetMode="External"/><Relationship Id="rId17" Type="http://schemas.openxmlformats.org/officeDocument/2006/relationships/hyperlink" Target="https://pubmed.ncbi.nlm.nih.gov/37788453/" TargetMode="External"/><Relationship Id="rId16" Type="http://schemas.openxmlformats.org/officeDocument/2006/relationships/hyperlink" Target="https://pubmed.ncbi.nlm.nih.gov/38247955/" TargetMode="External"/><Relationship Id="rId19" Type="http://schemas.openxmlformats.org/officeDocument/2006/relationships/hyperlink" Target="https://pubmed.ncbi.nlm.nih.gov/37712909/" TargetMode="External"/><Relationship Id="rId18" Type="http://schemas.openxmlformats.org/officeDocument/2006/relationships/hyperlink" Target="https://pubmed.ncbi.nlm.nih.gov/37754851/" TargetMode="External"/><Relationship Id="rId84" Type="http://schemas.openxmlformats.org/officeDocument/2006/relationships/hyperlink" Target="http://www.ncbi.nlm.nih.gov/pubmed/21306231" TargetMode="External"/><Relationship Id="rId1774" Type="http://schemas.openxmlformats.org/officeDocument/2006/relationships/hyperlink" Target="https://pubmed.ncbi.nlm.nih.gov/32802297/" TargetMode="External"/><Relationship Id="rId83" Type="http://schemas.openxmlformats.org/officeDocument/2006/relationships/hyperlink" Target="http://www.ncbi.nlm.nih.gov/pubmed/23515868" TargetMode="External"/><Relationship Id="rId1775" Type="http://schemas.openxmlformats.org/officeDocument/2006/relationships/hyperlink" Target="https://pubmed.ncbi.nlm.nih.gov/38318222/" TargetMode="External"/><Relationship Id="rId86" Type="http://schemas.openxmlformats.org/officeDocument/2006/relationships/hyperlink" Target="https://pubmed.ncbi.nlm.nih.gov/35420398/" TargetMode="External"/><Relationship Id="rId1776" Type="http://schemas.openxmlformats.org/officeDocument/2006/relationships/hyperlink" Target="https://pubmed.ncbi.nlm.nih.gov/36894023/" TargetMode="External"/><Relationship Id="rId85" Type="http://schemas.openxmlformats.org/officeDocument/2006/relationships/hyperlink" Target="https://pubmed.ncbi.nlm.nih.gov/37110962/" TargetMode="External"/><Relationship Id="rId1777" Type="http://schemas.openxmlformats.org/officeDocument/2006/relationships/hyperlink" Target="https://pubmed.ncbi.nlm.nih.gov/34878933/" TargetMode="External"/><Relationship Id="rId88" Type="http://schemas.openxmlformats.org/officeDocument/2006/relationships/hyperlink" Target="https://pubmed.ncbi.nlm.nih.gov/33886940/" TargetMode="External"/><Relationship Id="rId1778" Type="http://schemas.openxmlformats.org/officeDocument/2006/relationships/hyperlink" Target="https://pubmed.ncbi.nlm.nih.gov/38900722/" TargetMode="External"/><Relationship Id="rId87" Type="http://schemas.openxmlformats.org/officeDocument/2006/relationships/hyperlink" Target="https://pubmed.ncbi.nlm.nih.gov/35028766/" TargetMode="External"/><Relationship Id="rId1779" Type="http://schemas.openxmlformats.org/officeDocument/2006/relationships/hyperlink" Target="https://pubmed.ncbi.nlm.nih.gov/38512321/" TargetMode="External"/><Relationship Id="rId89" Type="http://schemas.openxmlformats.org/officeDocument/2006/relationships/hyperlink" Target="https://pubmed.ncbi.nlm.nih.gov/33043397/" TargetMode="External"/><Relationship Id="rId80" Type="http://schemas.openxmlformats.org/officeDocument/2006/relationships/hyperlink" Target="https://pubmed.ncbi.nlm.nih.gov/32427551/" TargetMode="External"/><Relationship Id="rId82" Type="http://schemas.openxmlformats.org/officeDocument/2006/relationships/hyperlink" Target="http://www.ncbi.nlm.nih.gov/pubmed/26599085" TargetMode="External"/><Relationship Id="rId81" Type="http://schemas.openxmlformats.org/officeDocument/2006/relationships/hyperlink" Target="https://pubmed.ncbi.nlm.nih.gov/27042627/" TargetMode="External"/><Relationship Id="rId1770" Type="http://schemas.openxmlformats.org/officeDocument/2006/relationships/hyperlink" Target="https://pubmed.ncbi.nlm.nih.gov/34733739/" TargetMode="External"/><Relationship Id="rId1771" Type="http://schemas.openxmlformats.org/officeDocument/2006/relationships/hyperlink" Target="https://pubmed.ncbi.nlm.nih.gov/38349051/" TargetMode="External"/><Relationship Id="rId1772" Type="http://schemas.openxmlformats.org/officeDocument/2006/relationships/hyperlink" Target="https://pubmed.ncbi.nlm.nih.gov/35788146/" TargetMode="External"/><Relationship Id="rId1773" Type="http://schemas.openxmlformats.org/officeDocument/2006/relationships/hyperlink" Target="https://pubmed.ncbi.nlm.nih.gov/33464777/" TargetMode="External"/><Relationship Id="rId73" Type="http://schemas.openxmlformats.org/officeDocument/2006/relationships/hyperlink" Target="http://www.ncbi.nlm.nih.gov/pubmed/9556134" TargetMode="External"/><Relationship Id="rId1763" Type="http://schemas.openxmlformats.org/officeDocument/2006/relationships/hyperlink" Target="https://pubmed.ncbi.nlm.nih.gov/33012017/" TargetMode="External"/><Relationship Id="rId72" Type="http://schemas.openxmlformats.org/officeDocument/2006/relationships/hyperlink" Target="http://www.ncbi.nlm.nih.gov/pubmed/11383637" TargetMode="External"/><Relationship Id="rId1764" Type="http://schemas.openxmlformats.org/officeDocument/2006/relationships/hyperlink" Target="https://pubmed.ncbi.nlm.nih.gov/35019078/" TargetMode="External"/><Relationship Id="rId75" Type="http://schemas.openxmlformats.org/officeDocument/2006/relationships/hyperlink" Target="https://pubmed.ncbi.nlm.nih.gov/38064443/" TargetMode="External"/><Relationship Id="rId1765" Type="http://schemas.openxmlformats.org/officeDocument/2006/relationships/hyperlink" Target="https://pubmed.ncbi.nlm.nih.gov/37345991/" TargetMode="External"/><Relationship Id="rId74" Type="http://schemas.openxmlformats.org/officeDocument/2006/relationships/hyperlink" Target="https://pubmed.ncbi.nlm.nih.gov/38339853/" TargetMode="External"/><Relationship Id="rId1766" Type="http://schemas.openxmlformats.org/officeDocument/2006/relationships/hyperlink" Target="https://pubmed.ncbi.nlm.nih.gov/35611353/" TargetMode="External"/><Relationship Id="rId77" Type="http://schemas.openxmlformats.org/officeDocument/2006/relationships/hyperlink" Target="https://pubmed.ncbi.nlm.nih.gov/35030040/" TargetMode="External"/><Relationship Id="rId1767" Type="http://schemas.openxmlformats.org/officeDocument/2006/relationships/hyperlink" Target="https://pubmed.ncbi.nlm.nih.gov/32158068/" TargetMode="External"/><Relationship Id="rId76" Type="http://schemas.openxmlformats.org/officeDocument/2006/relationships/hyperlink" Target="https://pubmed.ncbi.nlm.nih.gov/36640122/" TargetMode="External"/><Relationship Id="rId1768" Type="http://schemas.openxmlformats.org/officeDocument/2006/relationships/hyperlink" Target="https://pubmed.ncbi.nlm.nih.gov/29768084/" TargetMode="External"/><Relationship Id="rId79" Type="http://schemas.openxmlformats.org/officeDocument/2006/relationships/hyperlink" Target="https://pubmed.ncbi.nlm.nih.gov/32583187/" TargetMode="External"/><Relationship Id="rId1769" Type="http://schemas.openxmlformats.org/officeDocument/2006/relationships/hyperlink" Target="https://pubmed.ncbi.nlm.nih.gov/21924919/" TargetMode="External"/><Relationship Id="rId78" Type="http://schemas.openxmlformats.org/officeDocument/2006/relationships/hyperlink" Target="https://pubmed.ncbi.nlm.nih.gov/33751924/" TargetMode="External"/><Relationship Id="rId71" Type="http://schemas.openxmlformats.org/officeDocument/2006/relationships/hyperlink" Target="http://www.ncbi.nlm.nih.gov/pubmed/15910179" TargetMode="External"/><Relationship Id="rId70" Type="http://schemas.openxmlformats.org/officeDocument/2006/relationships/hyperlink" Target="http://www.ncbi.nlm.nih.gov/pubmed/17287704" TargetMode="External"/><Relationship Id="rId1760" Type="http://schemas.openxmlformats.org/officeDocument/2006/relationships/hyperlink" Target="https://pubmed.ncbi.nlm.nih.gov/34251533/" TargetMode="External"/><Relationship Id="rId1761" Type="http://schemas.openxmlformats.org/officeDocument/2006/relationships/hyperlink" Target="https://pubmed.ncbi.nlm.nih.gov/34251533/" TargetMode="External"/><Relationship Id="rId1762" Type="http://schemas.openxmlformats.org/officeDocument/2006/relationships/hyperlink" Target="https://pubmed.ncbi.nlm.nih.gov/33601953/" TargetMode="External"/><Relationship Id="rId62" Type="http://schemas.openxmlformats.org/officeDocument/2006/relationships/hyperlink" Target="https://pubmed.ncbi.nlm.nih.gov/30026897/" TargetMode="External"/><Relationship Id="rId1796" Type="http://schemas.openxmlformats.org/officeDocument/2006/relationships/hyperlink" Target="https://pubmed.ncbi.nlm.nih.gov/33835730/" TargetMode="External"/><Relationship Id="rId61" Type="http://schemas.openxmlformats.org/officeDocument/2006/relationships/hyperlink" Target="https://pubmed.ncbi.nlm.nih.gov/29621288/" TargetMode="External"/><Relationship Id="rId1797" Type="http://schemas.openxmlformats.org/officeDocument/2006/relationships/hyperlink" Target="https://pubmed.ncbi.nlm.nih.gov/38986264/" TargetMode="External"/><Relationship Id="rId64" Type="http://schemas.openxmlformats.org/officeDocument/2006/relationships/hyperlink" Target="http://www.ncbi.nlm.nih.gov/pubmed/26513683" TargetMode="External"/><Relationship Id="rId1798" Type="http://schemas.openxmlformats.org/officeDocument/2006/relationships/hyperlink" Target="https://pubmed.ncbi.nlm.nih.gov/38047151/" TargetMode="External"/><Relationship Id="rId63" Type="http://schemas.openxmlformats.org/officeDocument/2006/relationships/hyperlink" Target="https://pubmed.ncbi.nlm.nih.gov/28005786/" TargetMode="External"/><Relationship Id="rId1799" Type="http://schemas.openxmlformats.org/officeDocument/2006/relationships/hyperlink" Target="https://pubmed.ncbi.nlm.nih.gov/33919443/" TargetMode="External"/><Relationship Id="rId66" Type="http://schemas.openxmlformats.org/officeDocument/2006/relationships/hyperlink" Target="https://www.liebertpub.com/doi/10.1089/pho.2006.24.202" TargetMode="External"/><Relationship Id="rId65" Type="http://schemas.openxmlformats.org/officeDocument/2006/relationships/hyperlink" Target="https://www.ncbi.nlm.nih.gov/pubmed/22370617" TargetMode="External"/><Relationship Id="rId68" Type="http://schemas.openxmlformats.org/officeDocument/2006/relationships/hyperlink" Target="http://www.ncbi.nlm.nih.gov/pubmed/19814702" TargetMode="External"/><Relationship Id="rId67" Type="http://schemas.openxmlformats.org/officeDocument/2006/relationships/hyperlink" Target="http://www.ncbi.nlm.nih.gov/pubmed/7742082" TargetMode="External"/><Relationship Id="rId60" Type="http://schemas.openxmlformats.org/officeDocument/2006/relationships/hyperlink" Target="https://pubmed.ncbi.nlm.nih.gov/32535292/" TargetMode="External"/><Relationship Id="rId69" Type="http://schemas.openxmlformats.org/officeDocument/2006/relationships/hyperlink" Target="http://www.ncbi.nlm.nih.gov/pubmed/17803384" TargetMode="External"/><Relationship Id="rId1790" Type="http://schemas.openxmlformats.org/officeDocument/2006/relationships/hyperlink" Target="https://pubmed.ncbi.nlm.nih.gov/33331972/" TargetMode="External"/><Relationship Id="rId1791" Type="http://schemas.openxmlformats.org/officeDocument/2006/relationships/hyperlink" Target="https://pubmed.ncbi.nlm.nih.gov/32758072/" TargetMode="External"/><Relationship Id="rId1792" Type="http://schemas.openxmlformats.org/officeDocument/2006/relationships/hyperlink" Target="https://pubmed.ncbi.nlm.nih.gov/28337884/" TargetMode="External"/><Relationship Id="rId1793" Type="http://schemas.openxmlformats.org/officeDocument/2006/relationships/hyperlink" Target="https://pubmed.ncbi.nlm.nih.gov/16480503/" TargetMode="External"/><Relationship Id="rId1794" Type="http://schemas.openxmlformats.org/officeDocument/2006/relationships/hyperlink" Target="https://pubmed.ncbi.nlm.nih.gov/8530994/" TargetMode="External"/><Relationship Id="rId1795" Type="http://schemas.openxmlformats.org/officeDocument/2006/relationships/hyperlink" Target="https://pubmed.ncbi.nlm.nih.gov/38679671/" TargetMode="External"/><Relationship Id="rId51" Type="http://schemas.openxmlformats.org/officeDocument/2006/relationships/hyperlink" Target="https://pubmed.ncbi.nlm.nih.gov/33400010/" TargetMode="External"/><Relationship Id="rId1785" Type="http://schemas.openxmlformats.org/officeDocument/2006/relationships/hyperlink" Target="https://pubmed.ncbi.nlm.nih.gov/34947950/" TargetMode="External"/><Relationship Id="rId50" Type="http://schemas.openxmlformats.org/officeDocument/2006/relationships/hyperlink" Target="https://pubmed.ncbi.nlm.nih.gov/35155138/" TargetMode="External"/><Relationship Id="rId1786" Type="http://schemas.openxmlformats.org/officeDocument/2006/relationships/hyperlink" Target="https://pubmed.ncbi.nlm.nih.gov/33118003/" TargetMode="External"/><Relationship Id="rId53" Type="http://schemas.openxmlformats.org/officeDocument/2006/relationships/hyperlink" Target="https://pubmed.ncbi.nlm.nih.gov/33667733/" TargetMode="External"/><Relationship Id="rId1787" Type="http://schemas.openxmlformats.org/officeDocument/2006/relationships/hyperlink" Target="https://pubmed.ncbi.nlm.nih.gov/33907707/" TargetMode="External"/><Relationship Id="rId52" Type="http://schemas.openxmlformats.org/officeDocument/2006/relationships/hyperlink" Target="https://pubmed.ncbi.nlm.nih.gov/33434103/" TargetMode="External"/><Relationship Id="rId1788" Type="http://schemas.openxmlformats.org/officeDocument/2006/relationships/hyperlink" Target="https://pubmed.ncbi.nlm.nih.gov/32665821/" TargetMode="External"/><Relationship Id="rId55" Type="http://schemas.openxmlformats.org/officeDocument/2006/relationships/hyperlink" Target="https://pubmed.ncbi.nlm.nih.gov/33562825/" TargetMode="External"/><Relationship Id="rId1789" Type="http://schemas.openxmlformats.org/officeDocument/2006/relationships/hyperlink" Target="https://pubmed.ncbi.nlm.nih.gov/33995979/" TargetMode="External"/><Relationship Id="rId54" Type="http://schemas.openxmlformats.org/officeDocument/2006/relationships/hyperlink" Target="https://pubmed.ncbi.nlm.nih.gov/33733598/" TargetMode="External"/><Relationship Id="rId57" Type="http://schemas.openxmlformats.org/officeDocument/2006/relationships/hyperlink" Target="https://pubmed.ncbi.nlm.nih.gov/33142216/" TargetMode="External"/><Relationship Id="rId56" Type="http://schemas.openxmlformats.org/officeDocument/2006/relationships/hyperlink" Target="https://pubmed.ncbi.nlm.nih.gov/32857463/" TargetMode="External"/><Relationship Id="rId59" Type="http://schemas.openxmlformats.org/officeDocument/2006/relationships/hyperlink" Target="https://pubmed.ncbi.nlm.nih.gov/32815657/" TargetMode="External"/><Relationship Id="rId58" Type="http://schemas.openxmlformats.org/officeDocument/2006/relationships/hyperlink" Target="https://pubmed.ncbi.nlm.nih.gov/32778332/" TargetMode="External"/><Relationship Id="rId1780" Type="http://schemas.openxmlformats.org/officeDocument/2006/relationships/hyperlink" Target="https://pubmed.ncbi.nlm.nih.gov/38272792/" TargetMode="External"/><Relationship Id="rId1781" Type="http://schemas.openxmlformats.org/officeDocument/2006/relationships/hyperlink" Target="https://pubmed.ncbi.nlm.nih.gov/38191831/" TargetMode="External"/><Relationship Id="rId1782" Type="http://schemas.openxmlformats.org/officeDocument/2006/relationships/hyperlink" Target="https://pubmed.ncbi.nlm.nih.gov/38085185/" TargetMode="External"/><Relationship Id="rId1783" Type="http://schemas.openxmlformats.org/officeDocument/2006/relationships/hyperlink" Target="https://pubmed.ncbi.nlm.nih.gov/37561792/" TargetMode="External"/><Relationship Id="rId1784" Type="http://schemas.openxmlformats.org/officeDocument/2006/relationships/hyperlink" Target="https://pubmed.ncbi.nlm.nih.gov/37515606/" TargetMode="External"/><Relationship Id="rId2269" Type="http://schemas.openxmlformats.org/officeDocument/2006/relationships/hyperlink" Target="https://pubmed.ncbi.nlm.nih.gov/32890472/" TargetMode="External"/><Relationship Id="rId349" Type="http://schemas.openxmlformats.org/officeDocument/2006/relationships/hyperlink" Target="https://pubmed.ncbi.nlm.nih.gov/39025949/" TargetMode="External"/><Relationship Id="rId348" Type="http://schemas.openxmlformats.org/officeDocument/2006/relationships/hyperlink" Target="https://pubmed.ncbi.nlm.nih.gov/38848287/" TargetMode="External"/><Relationship Id="rId347" Type="http://schemas.openxmlformats.org/officeDocument/2006/relationships/hyperlink" Target="https://pubmed.ncbi.nlm.nih.gov/33953158/" TargetMode="External"/><Relationship Id="rId346" Type="http://schemas.openxmlformats.org/officeDocument/2006/relationships/hyperlink" Target="https://pubmed.ncbi.nlm.nih.gov/33859360/" TargetMode="External"/><Relationship Id="rId2260" Type="http://schemas.openxmlformats.org/officeDocument/2006/relationships/hyperlink" Target="https://pubmed.ncbi.nlm.nih.gov/33686771/" TargetMode="External"/><Relationship Id="rId341" Type="http://schemas.openxmlformats.org/officeDocument/2006/relationships/hyperlink" Target="https://pubmed.ncbi.nlm.nih.gov/38211750/" TargetMode="External"/><Relationship Id="rId2261" Type="http://schemas.openxmlformats.org/officeDocument/2006/relationships/hyperlink" Target="https://pubmed.ncbi.nlm.nih.gov/33644838/" TargetMode="External"/><Relationship Id="rId340" Type="http://schemas.openxmlformats.org/officeDocument/2006/relationships/hyperlink" Target="https://pubmed.ncbi.nlm.nih.gov/34979260/" TargetMode="External"/><Relationship Id="rId2262" Type="http://schemas.openxmlformats.org/officeDocument/2006/relationships/hyperlink" Target="https://pubmed.ncbi.nlm.nih.gov/33602198/" TargetMode="External"/><Relationship Id="rId2263" Type="http://schemas.openxmlformats.org/officeDocument/2006/relationships/hyperlink" Target="https://pubmed.ncbi.nlm.nih.gov/33238412/" TargetMode="External"/><Relationship Id="rId2264" Type="http://schemas.openxmlformats.org/officeDocument/2006/relationships/hyperlink" Target="https://pubmed.ncbi.nlm.nih.gov/33340081/" TargetMode="External"/><Relationship Id="rId345" Type="http://schemas.openxmlformats.org/officeDocument/2006/relationships/hyperlink" Target="https://pubmed.ncbi.nlm.nih.gov/34901948/" TargetMode="External"/><Relationship Id="rId2265" Type="http://schemas.openxmlformats.org/officeDocument/2006/relationships/hyperlink" Target="https://pubmed.ncbi.nlm.nih.gov/32919077/" TargetMode="External"/><Relationship Id="rId344" Type="http://schemas.openxmlformats.org/officeDocument/2006/relationships/hyperlink" Target="https://pubmed.ncbi.nlm.nih.gov/37580354/" TargetMode="External"/><Relationship Id="rId2266" Type="http://schemas.openxmlformats.org/officeDocument/2006/relationships/hyperlink" Target="https://pubmed.ncbi.nlm.nih.gov/33058775/" TargetMode="External"/><Relationship Id="rId343" Type="http://schemas.openxmlformats.org/officeDocument/2006/relationships/hyperlink" Target="https://pubmed.ncbi.nlm.nih.gov/33069687/" TargetMode="External"/><Relationship Id="rId2267" Type="http://schemas.openxmlformats.org/officeDocument/2006/relationships/hyperlink" Target="https://pubmed.ncbi.nlm.nih.gov/33190304/" TargetMode="External"/><Relationship Id="rId342" Type="http://schemas.openxmlformats.org/officeDocument/2006/relationships/hyperlink" Target="https://pubmed.ncbi.nlm.nih.gov/36760797/" TargetMode="External"/><Relationship Id="rId2268" Type="http://schemas.openxmlformats.org/officeDocument/2006/relationships/hyperlink" Target="https://pubmed.ncbi.nlm.nih.gov/33025933/" TargetMode="External"/><Relationship Id="rId2258" Type="http://schemas.openxmlformats.org/officeDocument/2006/relationships/hyperlink" Target="https://pubmed.ncbi.nlm.nih.gov/34084737/" TargetMode="External"/><Relationship Id="rId2259" Type="http://schemas.openxmlformats.org/officeDocument/2006/relationships/hyperlink" Target="https://pubmed.ncbi.nlm.nih.gov/34048061/" TargetMode="External"/><Relationship Id="rId338" Type="http://schemas.openxmlformats.org/officeDocument/2006/relationships/hyperlink" Target="https://pubmed.ncbi.nlm.nih.gov/12910278/" TargetMode="External"/><Relationship Id="rId337" Type="http://schemas.openxmlformats.org/officeDocument/2006/relationships/hyperlink" Target="https://www.cell.com/biophysj/fulltext/S0006-3495(15)03702-9" TargetMode="External"/><Relationship Id="rId336" Type="http://schemas.openxmlformats.org/officeDocument/2006/relationships/hyperlink" Target="https://pubmed.ncbi.nlm.nih.gov/28627368/" TargetMode="External"/><Relationship Id="rId335" Type="http://schemas.openxmlformats.org/officeDocument/2006/relationships/hyperlink" Target="https://pubmed.ncbi.nlm.nih.gov/33530211/" TargetMode="External"/><Relationship Id="rId339" Type="http://schemas.openxmlformats.org/officeDocument/2006/relationships/hyperlink" Target="https://pubmed.ncbi.nlm.nih.gov/38600582/" TargetMode="External"/><Relationship Id="rId330" Type="http://schemas.openxmlformats.org/officeDocument/2006/relationships/hyperlink" Target="https://pubmed.ncbi.nlm.nih.gov/36061601/" TargetMode="External"/><Relationship Id="rId2250" Type="http://schemas.openxmlformats.org/officeDocument/2006/relationships/hyperlink" Target="https://pubmed.ncbi.nlm.nih.gov/35353636/" TargetMode="External"/><Relationship Id="rId2251" Type="http://schemas.openxmlformats.org/officeDocument/2006/relationships/hyperlink" Target="https://pubmed.ncbi.nlm.nih.gov/35079918/" TargetMode="External"/><Relationship Id="rId2252" Type="http://schemas.openxmlformats.org/officeDocument/2006/relationships/hyperlink" Target="https://pubmed.ncbi.nlm.nih.gov/35013845/" TargetMode="External"/><Relationship Id="rId2253" Type="http://schemas.openxmlformats.org/officeDocument/2006/relationships/hyperlink" Target="https://pubmed.ncbi.nlm.nih.gov/34787280/" TargetMode="External"/><Relationship Id="rId334" Type="http://schemas.openxmlformats.org/officeDocument/2006/relationships/hyperlink" Target="https://pubmed.ncbi.nlm.nih.gov/34092640/" TargetMode="External"/><Relationship Id="rId2254" Type="http://schemas.openxmlformats.org/officeDocument/2006/relationships/hyperlink" Target="https://pubmed.ncbi.nlm.nih.gov/34767116/" TargetMode="External"/><Relationship Id="rId333" Type="http://schemas.openxmlformats.org/officeDocument/2006/relationships/hyperlink" Target="https://pubmed.ncbi.nlm.nih.gov/33843683/" TargetMode="External"/><Relationship Id="rId2255" Type="http://schemas.openxmlformats.org/officeDocument/2006/relationships/hyperlink" Target="https://pubmed.ncbi.nlm.nih.gov/34491461/" TargetMode="External"/><Relationship Id="rId332" Type="http://schemas.openxmlformats.org/officeDocument/2006/relationships/hyperlink" Target="https://pubmed.ncbi.nlm.nih.gov/34215216/" TargetMode="External"/><Relationship Id="rId2256" Type="http://schemas.openxmlformats.org/officeDocument/2006/relationships/hyperlink" Target="https://pubmed.ncbi.nlm.nih.gov/34656515/" TargetMode="External"/><Relationship Id="rId331" Type="http://schemas.openxmlformats.org/officeDocument/2006/relationships/hyperlink" Target="https://pubmed.ncbi.nlm.nih.gov/34919459/" TargetMode="External"/><Relationship Id="rId2257" Type="http://schemas.openxmlformats.org/officeDocument/2006/relationships/hyperlink" Target="https://pubmed.ncbi.nlm.nih.gov/34217567/" TargetMode="External"/><Relationship Id="rId370" Type="http://schemas.openxmlformats.org/officeDocument/2006/relationships/hyperlink" Target="https://pubmed.ncbi.nlm.nih.gov/34965698/" TargetMode="External"/><Relationship Id="rId369" Type="http://schemas.openxmlformats.org/officeDocument/2006/relationships/hyperlink" Target="https://pubmed.ncbi.nlm.nih.gov/33269767/" TargetMode="External"/><Relationship Id="rId368" Type="http://schemas.openxmlformats.org/officeDocument/2006/relationships/hyperlink" Target="https://pubmed.ncbi.nlm.nih.gov/34119804/" TargetMode="External"/><Relationship Id="rId2280" Type="http://schemas.openxmlformats.org/officeDocument/2006/relationships/hyperlink" Target="https://pubmed.ncbi.nlm.nih.gov/18220219/" TargetMode="External"/><Relationship Id="rId2281" Type="http://schemas.openxmlformats.org/officeDocument/2006/relationships/hyperlink" Target="https://pubmed.ncbi.nlm.nih.gov/36743149/" TargetMode="External"/><Relationship Id="rId2282" Type="http://schemas.openxmlformats.org/officeDocument/2006/relationships/hyperlink" Target="https://pubmed.ncbi.nlm.nih.gov/36348150/" TargetMode="External"/><Relationship Id="rId363" Type="http://schemas.openxmlformats.org/officeDocument/2006/relationships/hyperlink" Target="https://pubmed.ncbi.nlm.nih.gov/36034819/" TargetMode="External"/><Relationship Id="rId2283" Type="http://schemas.openxmlformats.org/officeDocument/2006/relationships/hyperlink" Target="https://pubmed.ncbi.nlm.nih.gov/35551053/" TargetMode="External"/><Relationship Id="rId362" Type="http://schemas.openxmlformats.org/officeDocument/2006/relationships/hyperlink" Target="https://pubmed.ncbi.nlm.nih.gov/36404359/" TargetMode="External"/><Relationship Id="rId2284" Type="http://schemas.openxmlformats.org/officeDocument/2006/relationships/hyperlink" Target="https://pubmed.ncbi.nlm.nih.gov/34557956/" TargetMode="External"/><Relationship Id="rId361" Type="http://schemas.openxmlformats.org/officeDocument/2006/relationships/hyperlink" Target="https://pubmed.ncbi.nlm.nih.gov/36814278/" TargetMode="External"/><Relationship Id="rId2285" Type="http://schemas.openxmlformats.org/officeDocument/2006/relationships/hyperlink" Target="https://pubmed.ncbi.nlm.nih.gov/35996489/" TargetMode="External"/><Relationship Id="rId360" Type="http://schemas.openxmlformats.org/officeDocument/2006/relationships/hyperlink" Target="https://pubmed.ncbi.nlm.nih.gov/37403428/" TargetMode="External"/><Relationship Id="rId2286" Type="http://schemas.openxmlformats.org/officeDocument/2006/relationships/hyperlink" Target="https://pubmed.ncbi.nlm.nih.gov/35783495/" TargetMode="External"/><Relationship Id="rId367" Type="http://schemas.openxmlformats.org/officeDocument/2006/relationships/hyperlink" Target="https://pubmed.ncbi.nlm.nih.gov/34325071/" TargetMode="External"/><Relationship Id="rId2287" Type="http://schemas.openxmlformats.org/officeDocument/2006/relationships/hyperlink" Target="https://pubmed.ncbi.nlm.nih.gov/37086896/" TargetMode="External"/><Relationship Id="rId366" Type="http://schemas.openxmlformats.org/officeDocument/2006/relationships/hyperlink" Target="https://pubmed.ncbi.nlm.nih.gov/35328396/" TargetMode="External"/><Relationship Id="rId2288" Type="http://schemas.openxmlformats.org/officeDocument/2006/relationships/hyperlink" Target="https://pubmed.ncbi.nlm.nih.gov/35390514/" TargetMode="External"/><Relationship Id="rId365" Type="http://schemas.openxmlformats.org/officeDocument/2006/relationships/hyperlink" Target="https://pubmed.ncbi.nlm.nih.gov/35746943/" TargetMode="External"/><Relationship Id="rId2289" Type="http://schemas.openxmlformats.org/officeDocument/2006/relationships/hyperlink" Target="https://pubmed.ncbi.nlm.nih.gov/34904123/" TargetMode="External"/><Relationship Id="rId364" Type="http://schemas.openxmlformats.org/officeDocument/2006/relationships/hyperlink" Target="https://pubmed.ncbi.nlm.nih.gov/35940222/" TargetMode="External"/><Relationship Id="rId95" Type="http://schemas.openxmlformats.org/officeDocument/2006/relationships/hyperlink" Target="https://pubmed.ncbi.nlm.nih.gov/34299204/" TargetMode="External"/><Relationship Id="rId94" Type="http://schemas.openxmlformats.org/officeDocument/2006/relationships/hyperlink" Target="https://pubmed.ncbi.nlm.nih.gov/34806122/" TargetMode="External"/><Relationship Id="rId97" Type="http://schemas.openxmlformats.org/officeDocument/2006/relationships/hyperlink" Target="https://pubmed.ncbi.nlm.nih.gov/33184942/" TargetMode="External"/><Relationship Id="rId96" Type="http://schemas.openxmlformats.org/officeDocument/2006/relationships/hyperlink" Target="https://pubmed.ncbi.nlm.nih.gov/34142255/" TargetMode="External"/><Relationship Id="rId99" Type="http://schemas.openxmlformats.org/officeDocument/2006/relationships/hyperlink" Target="https://pubmed.ncbi.nlm.nih.gov/33686595/" TargetMode="External"/><Relationship Id="rId98" Type="http://schemas.openxmlformats.org/officeDocument/2006/relationships/hyperlink" Target="https://pubmed.ncbi.nlm.nih.gov/33471588/" TargetMode="External"/><Relationship Id="rId91" Type="http://schemas.openxmlformats.org/officeDocument/2006/relationships/hyperlink" Target="https://pubmed.ncbi.nlm.nih.gov/37298212/" TargetMode="External"/><Relationship Id="rId90" Type="http://schemas.openxmlformats.org/officeDocument/2006/relationships/hyperlink" Target="https://pubmed.ncbi.nlm.nih.gov/38144939/" TargetMode="External"/><Relationship Id="rId93" Type="http://schemas.openxmlformats.org/officeDocument/2006/relationships/hyperlink" Target="https://pubmed.ncbi.nlm.nih.gov/35751706/" TargetMode="External"/><Relationship Id="rId92" Type="http://schemas.openxmlformats.org/officeDocument/2006/relationships/hyperlink" Target="https://www.nature.com/articles/s41368-022-00207-y" TargetMode="External"/><Relationship Id="rId359" Type="http://schemas.openxmlformats.org/officeDocument/2006/relationships/hyperlink" Target="https://pubmed.ncbi.nlm.nih.gov/37509468/" TargetMode="External"/><Relationship Id="rId358" Type="http://schemas.openxmlformats.org/officeDocument/2006/relationships/hyperlink" Target="https://pubmed.ncbi.nlm.nih.gov/37721264/" TargetMode="External"/><Relationship Id="rId357" Type="http://schemas.openxmlformats.org/officeDocument/2006/relationships/hyperlink" Target="https://pubmed.ncbi.nlm.nih.gov/37783261/" TargetMode="External"/><Relationship Id="rId2270" Type="http://schemas.openxmlformats.org/officeDocument/2006/relationships/hyperlink" Target="https://pubmed.ncbi.nlm.nih.gov/33095091/" TargetMode="External"/><Relationship Id="rId2271" Type="http://schemas.openxmlformats.org/officeDocument/2006/relationships/hyperlink" Target="https://pubmed.ncbi.nlm.nih.gov/33058773/" TargetMode="External"/><Relationship Id="rId352" Type="http://schemas.openxmlformats.org/officeDocument/2006/relationships/hyperlink" Target="https://pubmed.ncbi.nlm.nih.gov/38861125/" TargetMode="External"/><Relationship Id="rId2272" Type="http://schemas.openxmlformats.org/officeDocument/2006/relationships/hyperlink" Target="https://pubmed.ncbi.nlm.nih.gov/32780994/" TargetMode="External"/><Relationship Id="rId351" Type="http://schemas.openxmlformats.org/officeDocument/2006/relationships/hyperlink" Target="https://pubmed.ncbi.nlm.nih.gov/38891098/" TargetMode="External"/><Relationship Id="rId2273" Type="http://schemas.openxmlformats.org/officeDocument/2006/relationships/hyperlink" Target="https://pubmed.ncbi.nlm.nih.gov/32802287/" TargetMode="External"/><Relationship Id="rId350" Type="http://schemas.openxmlformats.org/officeDocument/2006/relationships/hyperlink" Target="https://pubmed.ncbi.nlm.nih.gov/39009808/" TargetMode="External"/><Relationship Id="rId2274" Type="http://schemas.openxmlformats.org/officeDocument/2006/relationships/hyperlink" Target="https://pubmed.ncbi.nlm.nih.gov/32777838/" TargetMode="External"/><Relationship Id="rId2275" Type="http://schemas.openxmlformats.org/officeDocument/2006/relationships/hyperlink" Target="https://pubmed.ncbi.nlm.nih.gov/32642953/" TargetMode="External"/><Relationship Id="rId356" Type="http://schemas.openxmlformats.org/officeDocument/2006/relationships/hyperlink" Target="https://pubmed.ncbi.nlm.nih.gov/38061535/" TargetMode="External"/><Relationship Id="rId2276" Type="http://schemas.openxmlformats.org/officeDocument/2006/relationships/hyperlink" Target="https://pubmed.ncbi.nlm.nih.gov/32562076/" TargetMode="External"/><Relationship Id="rId355" Type="http://schemas.openxmlformats.org/officeDocument/2006/relationships/hyperlink" Target="https://pubmed.ncbi.nlm.nih.gov/38218465/" TargetMode="External"/><Relationship Id="rId2277" Type="http://schemas.openxmlformats.org/officeDocument/2006/relationships/hyperlink" Target="https://pubmed.ncbi.nlm.nih.gov/32554068/" TargetMode="External"/><Relationship Id="rId354" Type="http://schemas.openxmlformats.org/officeDocument/2006/relationships/hyperlink" Target="https://pubmed.ncbi.nlm.nih.gov/38317779/" TargetMode="External"/><Relationship Id="rId2278" Type="http://schemas.openxmlformats.org/officeDocument/2006/relationships/hyperlink" Target="https://pubmed.ncbi.nlm.nih.gov/26180289/" TargetMode="External"/><Relationship Id="rId353" Type="http://schemas.openxmlformats.org/officeDocument/2006/relationships/hyperlink" Target="https://pubmed.ncbi.nlm.nih.gov/38338901/" TargetMode="External"/><Relationship Id="rId2279" Type="http://schemas.openxmlformats.org/officeDocument/2006/relationships/hyperlink" Target="https://pubmed.ncbi.nlm.nih.gov/22365421/" TargetMode="External"/><Relationship Id="rId2225" Type="http://schemas.openxmlformats.org/officeDocument/2006/relationships/hyperlink" Target="https://pubmed.ncbi.nlm.nih.gov/38503387/" TargetMode="External"/><Relationship Id="rId2226" Type="http://schemas.openxmlformats.org/officeDocument/2006/relationships/hyperlink" Target="https://pubmed.ncbi.nlm.nih.gov/38500156/" TargetMode="External"/><Relationship Id="rId2227" Type="http://schemas.openxmlformats.org/officeDocument/2006/relationships/hyperlink" Target="https://pubmed.ncbi.nlm.nih.gov/38453808/" TargetMode="External"/><Relationship Id="rId2228" Type="http://schemas.openxmlformats.org/officeDocument/2006/relationships/hyperlink" Target="https://pubmed.ncbi.nlm.nih.gov/37910775/" TargetMode="External"/><Relationship Id="rId2229" Type="http://schemas.openxmlformats.org/officeDocument/2006/relationships/hyperlink" Target="https://pubmed.ncbi.nlm.nih.gov/37541966/" TargetMode="External"/><Relationship Id="rId305" Type="http://schemas.openxmlformats.org/officeDocument/2006/relationships/hyperlink" Target="https://pubmed.ncbi.nlm.nih.gov/35499744/" TargetMode="External"/><Relationship Id="rId304" Type="http://schemas.openxmlformats.org/officeDocument/2006/relationships/hyperlink" Target="https://pubmed.ncbi.nlm.nih.gov/35793511/" TargetMode="External"/><Relationship Id="rId303" Type="http://schemas.openxmlformats.org/officeDocument/2006/relationships/hyperlink" Target="https://pubmed.ncbi.nlm.nih.gov/36743142/" TargetMode="External"/><Relationship Id="rId302" Type="http://schemas.openxmlformats.org/officeDocument/2006/relationships/hyperlink" Target="https://pubmed.ncbi.nlm.nih.gov/38614054/" TargetMode="External"/><Relationship Id="rId309" Type="http://schemas.openxmlformats.org/officeDocument/2006/relationships/hyperlink" Target="https://pubmed.ncbi.nlm.nih.gov/36157830/" TargetMode="External"/><Relationship Id="rId308" Type="http://schemas.openxmlformats.org/officeDocument/2006/relationships/hyperlink" Target="https://pubmed.ncbi.nlm.nih.gov/26923357/" TargetMode="External"/><Relationship Id="rId307" Type="http://schemas.openxmlformats.org/officeDocument/2006/relationships/hyperlink" Target="https://pubmed.ncbi.nlm.nih.gov/35155173/" TargetMode="External"/><Relationship Id="rId306" Type="http://schemas.openxmlformats.org/officeDocument/2006/relationships/hyperlink" Target="https://pubmed.ncbi.nlm.nih.gov/35452300/" TargetMode="External"/><Relationship Id="rId2220" Type="http://schemas.openxmlformats.org/officeDocument/2006/relationships/hyperlink" Target="https://pubmed.ncbi.nlm.nih.gov/38988962/" TargetMode="External"/><Relationship Id="rId301" Type="http://schemas.openxmlformats.org/officeDocument/2006/relationships/hyperlink" Target="https://pubmed.ncbi.nlm.nih.gov/38066234/" TargetMode="External"/><Relationship Id="rId2221" Type="http://schemas.openxmlformats.org/officeDocument/2006/relationships/hyperlink" Target="https://pubmed.ncbi.nlm.nih.gov/38885236/" TargetMode="External"/><Relationship Id="rId300" Type="http://schemas.openxmlformats.org/officeDocument/2006/relationships/hyperlink" Target="https://pubmed.ncbi.nlm.nih.gov/9481929/" TargetMode="External"/><Relationship Id="rId2222" Type="http://schemas.openxmlformats.org/officeDocument/2006/relationships/hyperlink" Target="https://pubmed.ncbi.nlm.nih.gov/38821660/" TargetMode="External"/><Relationship Id="rId2223" Type="http://schemas.openxmlformats.org/officeDocument/2006/relationships/hyperlink" Target="https://pubmed.ncbi.nlm.nih.gov/38519552/" TargetMode="External"/><Relationship Id="rId2224" Type="http://schemas.openxmlformats.org/officeDocument/2006/relationships/hyperlink" Target="https://pubmed.ncbi.nlm.nih.gov/38538810/" TargetMode="External"/><Relationship Id="rId2214" Type="http://schemas.openxmlformats.org/officeDocument/2006/relationships/hyperlink" Target="https://pubmed.ncbi.nlm.nih.gov/9586517/" TargetMode="External"/><Relationship Id="rId2215" Type="http://schemas.openxmlformats.org/officeDocument/2006/relationships/hyperlink" Target="https://pubmed.ncbi.nlm.nih.gov/8697497/" TargetMode="External"/><Relationship Id="rId2216" Type="http://schemas.openxmlformats.org/officeDocument/2006/relationships/hyperlink" Target="https://pubmed.ncbi.nlm.nih.gov/37798702/" TargetMode="External"/><Relationship Id="rId2217" Type="http://schemas.openxmlformats.org/officeDocument/2006/relationships/hyperlink" Target="https://pubmed.ncbi.nlm.nih.gov/37738367/" TargetMode="External"/><Relationship Id="rId2218" Type="http://schemas.openxmlformats.org/officeDocument/2006/relationships/hyperlink" Target="https://pubmed.ncbi.nlm.nih.gov/32472334/" TargetMode="External"/><Relationship Id="rId2219" Type="http://schemas.openxmlformats.org/officeDocument/2006/relationships/hyperlink" Target="https://pubmed.ncbi.nlm.nih.gov/38240454/" TargetMode="External"/><Relationship Id="rId2210" Type="http://schemas.openxmlformats.org/officeDocument/2006/relationships/hyperlink" Target="https://pubmed.ncbi.nlm.nih.gov/29682258/" TargetMode="External"/><Relationship Id="rId2211" Type="http://schemas.openxmlformats.org/officeDocument/2006/relationships/hyperlink" Target="https://pubmed.ncbi.nlm.nih.gov/25542604/" TargetMode="External"/><Relationship Id="rId2212" Type="http://schemas.openxmlformats.org/officeDocument/2006/relationships/hyperlink" Target="https://pubmed.ncbi.nlm.nih.gov/20621277/" TargetMode="External"/><Relationship Id="rId2213" Type="http://schemas.openxmlformats.org/officeDocument/2006/relationships/hyperlink" Target="https://pubmed.ncbi.nlm.nih.gov/23277834/" TargetMode="External"/><Relationship Id="rId2247" Type="http://schemas.openxmlformats.org/officeDocument/2006/relationships/hyperlink" Target="https://pubmed.ncbi.nlm.nih.gov/35803777/" TargetMode="External"/><Relationship Id="rId2248" Type="http://schemas.openxmlformats.org/officeDocument/2006/relationships/hyperlink" Target="https://pubmed.ncbi.nlm.nih.gov/35700539/" TargetMode="External"/><Relationship Id="rId2249" Type="http://schemas.openxmlformats.org/officeDocument/2006/relationships/hyperlink" Target="https://pubmed.ncbi.nlm.nih.gov/35498143/" TargetMode="External"/><Relationship Id="rId327" Type="http://schemas.openxmlformats.org/officeDocument/2006/relationships/hyperlink" Target="https://pubmed.ncbi.nlm.nih.gov/36979299/" TargetMode="External"/><Relationship Id="rId326" Type="http://schemas.openxmlformats.org/officeDocument/2006/relationships/hyperlink" Target="https://pubmed.ncbi.nlm.nih.gov/37109183/" TargetMode="External"/><Relationship Id="rId325" Type="http://schemas.openxmlformats.org/officeDocument/2006/relationships/hyperlink" Target="https://pubmed.ncbi.nlm.nih.gov/37123890/" TargetMode="External"/><Relationship Id="rId324" Type="http://schemas.openxmlformats.org/officeDocument/2006/relationships/hyperlink" Target="https://pubmed.ncbi.nlm.nih.gov/37917308/" TargetMode="External"/><Relationship Id="rId329" Type="http://schemas.openxmlformats.org/officeDocument/2006/relationships/hyperlink" Target="https://pubmed.ncbi.nlm.nih.gov/36743130/" TargetMode="External"/><Relationship Id="rId328" Type="http://schemas.openxmlformats.org/officeDocument/2006/relationships/hyperlink" Target="https://pubmed.ncbi.nlm.nih.gov/36949610/" TargetMode="External"/><Relationship Id="rId2240" Type="http://schemas.openxmlformats.org/officeDocument/2006/relationships/hyperlink" Target="https://pubmed.ncbi.nlm.nih.gov/36267527/" TargetMode="External"/><Relationship Id="rId2241" Type="http://schemas.openxmlformats.org/officeDocument/2006/relationships/hyperlink" Target="https://pubmed.ncbi.nlm.nih.gov/36127651/" TargetMode="External"/><Relationship Id="rId2242" Type="http://schemas.openxmlformats.org/officeDocument/2006/relationships/hyperlink" Target="https://pubmed.ncbi.nlm.nih.gov/36110661/" TargetMode="External"/><Relationship Id="rId323" Type="http://schemas.openxmlformats.org/officeDocument/2006/relationships/hyperlink" Target="https://pubmed.ncbi.nlm.nih.gov/38094162/" TargetMode="External"/><Relationship Id="rId2243" Type="http://schemas.openxmlformats.org/officeDocument/2006/relationships/hyperlink" Target="https://www.ncbi.nlm.nih.gov/pmc/articles/PMC9469430/" TargetMode="External"/><Relationship Id="rId322" Type="http://schemas.openxmlformats.org/officeDocument/2006/relationships/hyperlink" Target="https://pubmed.ncbi.nlm.nih.gov/38276234/" TargetMode="External"/><Relationship Id="rId2244" Type="http://schemas.openxmlformats.org/officeDocument/2006/relationships/hyperlink" Target="https://pubmed.ncbi.nlm.nih.gov/35948699/" TargetMode="External"/><Relationship Id="rId321" Type="http://schemas.openxmlformats.org/officeDocument/2006/relationships/hyperlink" Target="https://pubmed.ncbi.nlm.nih.gov/38975234/" TargetMode="External"/><Relationship Id="rId2245" Type="http://schemas.openxmlformats.org/officeDocument/2006/relationships/hyperlink" Target="https://pubmed.ncbi.nlm.nih.gov/35718430/" TargetMode="External"/><Relationship Id="rId320" Type="http://schemas.openxmlformats.org/officeDocument/2006/relationships/hyperlink" Target="https://pubmed.ncbi.nlm.nih.gov/38671960/" TargetMode="External"/><Relationship Id="rId2246" Type="http://schemas.openxmlformats.org/officeDocument/2006/relationships/hyperlink" Target="https://pubmed.ncbi.nlm.nih.gov/35756813/" TargetMode="External"/><Relationship Id="rId2236" Type="http://schemas.openxmlformats.org/officeDocument/2006/relationships/hyperlink" Target="https://pubmed.ncbi.nlm.nih.gov/36917711/" TargetMode="External"/><Relationship Id="rId2237" Type="http://schemas.openxmlformats.org/officeDocument/2006/relationships/hyperlink" Target="https://pubmed.ncbi.nlm.nih.gov/36703670/" TargetMode="External"/><Relationship Id="rId2238" Type="http://schemas.openxmlformats.org/officeDocument/2006/relationships/hyperlink" Target="https://pubmed.ncbi.nlm.nih.gov/36820144/" TargetMode="External"/><Relationship Id="rId2239" Type="http://schemas.openxmlformats.org/officeDocument/2006/relationships/hyperlink" Target="https://pubmed.ncbi.nlm.nih.gov/36393948/" TargetMode="External"/><Relationship Id="rId316" Type="http://schemas.openxmlformats.org/officeDocument/2006/relationships/hyperlink" Target="https://pubmed.ncbi.nlm.nih.gov/34708330/" TargetMode="External"/><Relationship Id="rId315" Type="http://schemas.openxmlformats.org/officeDocument/2006/relationships/hyperlink" Target="https://pubmed.ncbi.nlm.nih.gov/35446172/" TargetMode="External"/><Relationship Id="rId314" Type="http://schemas.openxmlformats.org/officeDocument/2006/relationships/hyperlink" Target="https://pubmed.ncbi.nlm.nih.gov/35761012/" TargetMode="External"/><Relationship Id="rId313" Type="http://schemas.openxmlformats.org/officeDocument/2006/relationships/hyperlink" Target="https://pubmed.ncbi.nlm.nih.gov/36203812/" TargetMode="External"/><Relationship Id="rId319" Type="http://schemas.openxmlformats.org/officeDocument/2006/relationships/hyperlink" Target="https://pubmed.ncbi.nlm.nih.gov/38459770/" TargetMode="External"/><Relationship Id="rId318" Type="http://schemas.openxmlformats.org/officeDocument/2006/relationships/hyperlink" Target="https://pubmed.ncbi.nlm.nih.gov/35569700/" TargetMode="External"/><Relationship Id="rId317" Type="http://schemas.openxmlformats.org/officeDocument/2006/relationships/hyperlink" Target="https://utmb-ir.tdl.org/bitstream/handle/2152.3/11348/SAIEVA-DISSERTATIONDOCTORAL-2021.pdf?sequence=1" TargetMode="External"/><Relationship Id="rId2230" Type="http://schemas.openxmlformats.org/officeDocument/2006/relationships/hyperlink" Target="https://pubmed.ncbi.nlm.nih.gov/37204376/" TargetMode="External"/><Relationship Id="rId2231" Type="http://schemas.openxmlformats.org/officeDocument/2006/relationships/hyperlink" Target="https://pubmed.ncbi.nlm.nih.gov/37255068/" TargetMode="External"/><Relationship Id="rId312" Type="http://schemas.openxmlformats.org/officeDocument/2006/relationships/hyperlink" Target="https://pubmed.ncbi.nlm.nih.gov/36302150/" TargetMode="External"/><Relationship Id="rId2232" Type="http://schemas.openxmlformats.org/officeDocument/2006/relationships/hyperlink" Target="https://pubmed.ncbi.nlm.nih.gov/37355374/" TargetMode="External"/><Relationship Id="rId311" Type="http://schemas.openxmlformats.org/officeDocument/2006/relationships/hyperlink" Target="https://pubmed.ncbi.nlm.nih.gov/34997733/" TargetMode="External"/><Relationship Id="rId2233" Type="http://schemas.openxmlformats.org/officeDocument/2006/relationships/hyperlink" Target="https://pubmed.ncbi.nlm.nih.gov/37367209/" TargetMode="External"/><Relationship Id="rId310" Type="http://schemas.openxmlformats.org/officeDocument/2006/relationships/hyperlink" Target="https://pubmed.ncbi.nlm.nih.gov/37507648/" TargetMode="External"/><Relationship Id="rId2234" Type="http://schemas.openxmlformats.org/officeDocument/2006/relationships/hyperlink" Target="https://pubmed.ncbi.nlm.nih.gov/37290483/" TargetMode="External"/><Relationship Id="rId2235" Type="http://schemas.openxmlformats.org/officeDocument/2006/relationships/hyperlink" Target="https://pubmed.ncbi.nlm.nih.gov/37094757/" TargetMode="External"/><Relationship Id="rId297" Type="http://schemas.openxmlformats.org/officeDocument/2006/relationships/hyperlink" Target="https://pubmed.ncbi.nlm.nih.gov/33636401/" TargetMode="External"/><Relationship Id="rId296" Type="http://schemas.openxmlformats.org/officeDocument/2006/relationships/hyperlink" Target="https://pubmed.ncbi.nlm.nih.gov/35600629/" TargetMode="External"/><Relationship Id="rId295" Type="http://schemas.openxmlformats.org/officeDocument/2006/relationships/hyperlink" Target="https://pubmed.ncbi.nlm.nih.gov/37700747/" TargetMode="External"/><Relationship Id="rId294" Type="http://schemas.openxmlformats.org/officeDocument/2006/relationships/hyperlink" Target="https://pubmed.ncbi.nlm.nih.gov/37803929/" TargetMode="External"/><Relationship Id="rId299" Type="http://schemas.openxmlformats.org/officeDocument/2006/relationships/hyperlink" Target="https://pubmed.ncbi.nlm.nih.gov/33313338/" TargetMode="External"/><Relationship Id="rId298" Type="http://schemas.openxmlformats.org/officeDocument/2006/relationships/hyperlink" Target="https://pubmed.ncbi.nlm.nih.gov/33417219/" TargetMode="External"/><Relationship Id="rId271" Type="http://schemas.openxmlformats.org/officeDocument/2006/relationships/hyperlink" Target="https://pubmed.ncbi.nlm.nih.gov/31259198/" TargetMode="External"/><Relationship Id="rId270" Type="http://schemas.openxmlformats.org/officeDocument/2006/relationships/hyperlink" Target="https://pubmed.ncbi.nlm.nih.gov/33873167/" TargetMode="External"/><Relationship Id="rId269" Type="http://schemas.openxmlformats.org/officeDocument/2006/relationships/hyperlink" Target="https://pubmed.ncbi.nlm.nih.gov/34556692/" TargetMode="External"/><Relationship Id="rId264" Type="http://schemas.openxmlformats.org/officeDocument/2006/relationships/hyperlink" Target="https://pubmed.ncbi.nlm.nih.gov/37826867/" TargetMode="External"/><Relationship Id="rId263" Type="http://schemas.openxmlformats.org/officeDocument/2006/relationships/hyperlink" Target="https://pubmed.ncbi.nlm.nih.gov/37916179/" TargetMode="External"/><Relationship Id="rId262" Type="http://schemas.openxmlformats.org/officeDocument/2006/relationships/hyperlink" Target="https://pubmed.ncbi.nlm.nih.gov/38702415/" TargetMode="External"/><Relationship Id="rId261" Type="http://schemas.openxmlformats.org/officeDocument/2006/relationships/hyperlink" Target="https://pubmed.ncbi.nlm.nih.gov/38817913/" TargetMode="External"/><Relationship Id="rId268" Type="http://schemas.openxmlformats.org/officeDocument/2006/relationships/hyperlink" Target="https://pubmed.ncbi.nlm.nih.gov/35620152/" TargetMode="External"/><Relationship Id="rId267" Type="http://schemas.openxmlformats.org/officeDocument/2006/relationships/hyperlink" Target="https://pubmed.ncbi.nlm.nih.gov/36317341/" TargetMode="External"/><Relationship Id="rId266" Type="http://schemas.openxmlformats.org/officeDocument/2006/relationships/hyperlink" Target="https://pubmed.ncbi.nlm.nih.gov/37511867/" TargetMode="External"/><Relationship Id="rId265" Type="http://schemas.openxmlformats.org/officeDocument/2006/relationships/hyperlink" Target="https://pubmed.ncbi.nlm.nih.gov/37760145/" TargetMode="External"/><Relationship Id="rId260" Type="http://schemas.openxmlformats.org/officeDocument/2006/relationships/hyperlink" Target="https://pubmed.ncbi.nlm.nih.gov/36793860/" TargetMode="External"/><Relationship Id="rId259" Type="http://schemas.openxmlformats.org/officeDocument/2006/relationships/hyperlink" Target="https://pubmed.ncbi.nlm.nih.gov/33859781/" TargetMode="External"/><Relationship Id="rId258" Type="http://schemas.openxmlformats.org/officeDocument/2006/relationships/hyperlink" Target="https://pubmed.ncbi.nlm.nih.gov/34219711/" TargetMode="External"/><Relationship Id="rId2290" Type="http://schemas.openxmlformats.org/officeDocument/2006/relationships/hyperlink" Target="https://pubmed.ncbi.nlm.nih.gov/33985492/" TargetMode="External"/><Relationship Id="rId2291" Type="http://schemas.openxmlformats.org/officeDocument/2006/relationships/hyperlink" Target="https://pubmed.ncbi.nlm.nih.gov/26962312/" TargetMode="External"/><Relationship Id="rId2292" Type="http://schemas.openxmlformats.org/officeDocument/2006/relationships/hyperlink" Target="https://pubmed.ncbi.nlm.nih.gov/24379884/" TargetMode="External"/><Relationship Id="rId2293" Type="http://schemas.openxmlformats.org/officeDocument/2006/relationships/hyperlink" Target="https://pubmed.ncbi.nlm.nih.gov/32451640/" TargetMode="External"/><Relationship Id="rId253" Type="http://schemas.openxmlformats.org/officeDocument/2006/relationships/hyperlink" Target="https://journals.healio.com/doi/abs/10.3928/00485713-20221018-04" TargetMode="External"/><Relationship Id="rId2294" Type="http://schemas.openxmlformats.org/officeDocument/2006/relationships/hyperlink" Target="https://pubmed.ncbi.nlm.nih.gov/25981185/" TargetMode="External"/><Relationship Id="rId252" Type="http://schemas.openxmlformats.org/officeDocument/2006/relationships/hyperlink" Target="https://pubmed.ncbi.nlm.nih.gov/36624089/" TargetMode="External"/><Relationship Id="rId2295" Type="http://schemas.openxmlformats.org/officeDocument/2006/relationships/hyperlink" Target="https://pubmed.ncbi.nlm.nih.gov/18248155/" TargetMode="External"/><Relationship Id="rId251" Type="http://schemas.openxmlformats.org/officeDocument/2006/relationships/hyperlink" Target="https://pubmed.ncbi.nlm.nih.gov/37149348/" TargetMode="External"/><Relationship Id="rId2296" Type="http://schemas.openxmlformats.org/officeDocument/2006/relationships/hyperlink" Target="https://pubmed.ncbi.nlm.nih.gov/38420619/" TargetMode="External"/><Relationship Id="rId250" Type="http://schemas.openxmlformats.org/officeDocument/2006/relationships/hyperlink" Target="https://pubmed.ncbi.nlm.nih.gov/37171473/" TargetMode="External"/><Relationship Id="rId2297" Type="http://schemas.openxmlformats.org/officeDocument/2006/relationships/hyperlink" Target="https://pubmed.ncbi.nlm.nih.gov/37811497/" TargetMode="External"/><Relationship Id="rId257" Type="http://schemas.openxmlformats.org/officeDocument/2006/relationships/hyperlink" Target="https://pubmed.ncbi.nlm.nih.gov/34487275/" TargetMode="External"/><Relationship Id="rId2298" Type="http://schemas.openxmlformats.org/officeDocument/2006/relationships/hyperlink" Target="https://www.mdpi.com/2227-9059/11/2/237" TargetMode="External"/><Relationship Id="rId256" Type="http://schemas.openxmlformats.org/officeDocument/2006/relationships/hyperlink" Target="https://pubmed.ncbi.nlm.nih.gov/34432186/" TargetMode="External"/><Relationship Id="rId2299" Type="http://schemas.openxmlformats.org/officeDocument/2006/relationships/hyperlink" Target="https://pubmed.ncbi.nlm.nih.gov/36395085/" TargetMode="External"/><Relationship Id="rId255" Type="http://schemas.openxmlformats.org/officeDocument/2006/relationships/hyperlink" Target="https://pubmed.ncbi.nlm.nih.gov/34487045/" TargetMode="External"/><Relationship Id="rId254" Type="http://schemas.openxmlformats.org/officeDocument/2006/relationships/hyperlink" Target="https://pubmed.ncbi.nlm.nih.gov/35950904/" TargetMode="External"/><Relationship Id="rId293" Type="http://schemas.openxmlformats.org/officeDocument/2006/relationships/hyperlink" Target="https://pubmed.ncbi.nlm.nih.gov/38214813/" TargetMode="External"/><Relationship Id="rId292" Type="http://schemas.openxmlformats.org/officeDocument/2006/relationships/hyperlink" Target="https://pubmed.ncbi.nlm.nih.gov/38223185/" TargetMode="External"/><Relationship Id="rId291" Type="http://schemas.openxmlformats.org/officeDocument/2006/relationships/hyperlink" Target="https://pubmed.ncbi.nlm.nih.gov/34659921/" TargetMode="External"/><Relationship Id="rId290" Type="http://schemas.openxmlformats.org/officeDocument/2006/relationships/hyperlink" Target="https://pubmed.ncbi.nlm.nih.gov/38098060/" TargetMode="External"/><Relationship Id="rId286" Type="http://schemas.openxmlformats.org/officeDocument/2006/relationships/hyperlink" Target="https://pubmed.ncbi.nlm.nih.gov/37775549/" TargetMode="External"/><Relationship Id="rId285" Type="http://schemas.openxmlformats.org/officeDocument/2006/relationships/hyperlink" Target="https://pubmed.ncbi.nlm.nih.gov/33149986/" TargetMode="External"/><Relationship Id="rId284" Type="http://schemas.openxmlformats.org/officeDocument/2006/relationships/hyperlink" Target="https://pubmed.ncbi.nlm.nih.gov/35050164/" TargetMode="External"/><Relationship Id="rId283" Type="http://schemas.openxmlformats.org/officeDocument/2006/relationships/hyperlink" Target="https://pubmed.ncbi.nlm.nih.gov/35757526/" TargetMode="External"/><Relationship Id="rId289" Type="http://schemas.openxmlformats.org/officeDocument/2006/relationships/hyperlink" Target="https://pubmed.ncbi.nlm.nih.gov/36241244/" TargetMode="External"/><Relationship Id="rId288" Type="http://schemas.openxmlformats.org/officeDocument/2006/relationships/hyperlink" Target="https://pubmed.ncbi.nlm.nih.gov/36610350/" TargetMode="External"/><Relationship Id="rId287" Type="http://schemas.openxmlformats.org/officeDocument/2006/relationships/hyperlink" Target="https://pubmed.ncbi.nlm.nih.gov/33549685/" TargetMode="External"/><Relationship Id="rId282" Type="http://schemas.openxmlformats.org/officeDocument/2006/relationships/hyperlink" Target="https://pubmed.ncbi.nlm.nih.gov/36927734/" TargetMode="External"/><Relationship Id="rId281" Type="http://schemas.openxmlformats.org/officeDocument/2006/relationships/hyperlink" Target="https://pubmed.ncbi.nlm.nih.gov/37284247/" TargetMode="External"/><Relationship Id="rId280" Type="http://schemas.openxmlformats.org/officeDocument/2006/relationships/hyperlink" Target="https://pubmed.ncbi.nlm.nih.gov/37776079/" TargetMode="External"/><Relationship Id="rId275" Type="http://schemas.openxmlformats.org/officeDocument/2006/relationships/hyperlink" Target="https://pubmed.ncbi.nlm.nih.gov/35785362/" TargetMode="External"/><Relationship Id="rId274" Type="http://schemas.openxmlformats.org/officeDocument/2006/relationships/hyperlink" Target="https://pubmed.ncbi.nlm.nih.gov/36085308/" TargetMode="External"/><Relationship Id="rId273" Type="http://schemas.openxmlformats.org/officeDocument/2006/relationships/hyperlink" Target="https://pubmed.ncbi.nlm.nih.gov/36571337/" TargetMode="External"/><Relationship Id="rId272" Type="http://schemas.openxmlformats.org/officeDocument/2006/relationships/hyperlink" Target="https://pubmed.ncbi.nlm.nih.gov/36635704/" TargetMode="External"/><Relationship Id="rId279" Type="http://schemas.openxmlformats.org/officeDocument/2006/relationships/hyperlink" Target="https://pubmed.ncbi.nlm.nih.gov/33211136/" TargetMode="External"/><Relationship Id="rId278" Type="http://schemas.openxmlformats.org/officeDocument/2006/relationships/hyperlink" Target="https://pubmed.ncbi.nlm.nih.gov/32888387/" TargetMode="External"/><Relationship Id="rId277" Type="http://schemas.openxmlformats.org/officeDocument/2006/relationships/hyperlink" Target="https://pubmed.ncbi.nlm.nih.gov/35313886/" TargetMode="External"/><Relationship Id="rId276" Type="http://schemas.openxmlformats.org/officeDocument/2006/relationships/hyperlink" Target="https://pubmed.ncbi.nlm.nih.gov/35345494/" TargetMode="External"/><Relationship Id="rId1851" Type="http://schemas.openxmlformats.org/officeDocument/2006/relationships/hyperlink" Target="https://pubmed.ncbi.nlm.nih.gov/35460304/" TargetMode="External"/><Relationship Id="rId1852" Type="http://schemas.openxmlformats.org/officeDocument/2006/relationships/hyperlink" Target="https://pubmed.ncbi.nlm.nih.gov/35244887/" TargetMode="External"/><Relationship Id="rId1853" Type="http://schemas.openxmlformats.org/officeDocument/2006/relationships/hyperlink" Target="https://pubmed.ncbi.nlm.nih.gov/35225799/" TargetMode="External"/><Relationship Id="rId1854" Type="http://schemas.openxmlformats.org/officeDocument/2006/relationships/hyperlink" Target="https://pubmed.ncbi.nlm.nih.gov/34986132/" TargetMode="External"/><Relationship Id="rId1855" Type="http://schemas.openxmlformats.org/officeDocument/2006/relationships/hyperlink" Target="https://pubmed.ncbi.nlm.nih.gov/34537889/" TargetMode="External"/><Relationship Id="rId1856" Type="http://schemas.openxmlformats.org/officeDocument/2006/relationships/hyperlink" Target="https://pubmed.ncbi.nlm.nih.gov/34482219/" TargetMode="External"/><Relationship Id="rId1857" Type="http://schemas.openxmlformats.org/officeDocument/2006/relationships/hyperlink" Target="https://pubmed.ncbi.nlm.nih.gov/34698558/" TargetMode="External"/><Relationship Id="rId1858" Type="http://schemas.openxmlformats.org/officeDocument/2006/relationships/hyperlink" Target="https://pubmed.ncbi.nlm.nih.gov/34708311/" TargetMode="External"/><Relationship Id="rId1859" Type="http://schemas.openxmlformats.org/officeDocument/2006/relationships/hyperlink" Target="https://pubmed.ncbi.nlm.nih.gov/34710997/" TargetMode="External"/><Relationship Id="rId1850" Type="http://schemas.openxmlformats.org/officeDocument/2006/relationships/hyperlink" Target="https://pubmed.ncbi.nlm.nih.gov/35656654/" TargetMode="External"/><Relationship Id="rId1840" Type="http://schemas.openxmlformats.org/officeDocument/2006/relationships/hyperlink" Target="https://pubmed.ncbi.nlm.nih.gov/36634224/" TargetMode="External"/><Relationship Id="rId1841" Type="http://schemas.openxmlformats.org/officeDocument/2006/relationships/hyperlink" Target="https://pubmed.ncbi.nlm.nih.gov/36595054/" TargetMode="External"/><Relationship Id="rId1842" Type="http://schemas.openxmlformats.org/officeDocument/2006/relationships/hyperlink" Target="https://pubmed.ncbi.nlm.nih.gov/36555260/" TargetMode="External"/><Relationship Id="rId1843" Type="http://schemas.openxmlformats.org/officeDocument/2006/relationships/hyperlink" Target="https://pubmed.ncbi.nlm.nih.gov/36350380/" TargetMode="External"/><Relationship Id="rId1844" Type="http://schemas.openxmlformats.org/officeDocument/2006/relationships/hyperlink" Target="https://ojs.ict.unesp.br/index.php/cob/article/view/3406" TargetMode="External"/><Relationship Id="rId1845" Type="http://schemas.openxmlformats.org/officeDocument/2006/relationships/hyperlink" Target="https://pubmed.ncbi.nlm.nih.gov/36013491/" TargetMode="External"/><Relationship Id="rId1846" Type="http://schemas.openxmlformats.org/officeDocument/2006/relationships/hyperlink" Target="https://pubmed.ncbi.nlm.nih.gov/35810217/" TargetMode="External"/><Relationship Id="rId1847" Type="http://schemas.openxmlformats.org/officeDocument/2006/relationships/hyperlink" Target="https://pubmed.ncbi.nlm.nih.gov/35604727/" TargetMode="External"/><Relationship Id="rId1848" Type="http://schemas.openxmlformats.org/officeDocument/2006/relationships/hyperlink" Target="https://pubmed.ncbi.nlm.nih.gov/35608694/" TargetMode="External"/><Relationship Id="rId1849" Type="http://schemas.openxmlformats.org/officeDocument/2006/relationships/hyperlink" Target="https://pubmed.ncbi.nlm.nih.gov/35630035/" TargetMode="External"/><Relationship Id="rId1873" Type="http://schemas.openxmlformats.org/officeDocument/2006/relationships/hyperlink" Target="https://pubmed.ncbi.nlm.nih.gov/33156403/" TargetMode="External"/><Relationship Id="rId1874" Type="http://schemas.openxmlformats.org/officeDocument/2006/relationships/hyperlink" Target="https://pubmed.ncbi.nlm.nih.gov/33716203/" TargetMode="External"/><Relationship Id="rId1875" Type="http://schemas.openxmlformats.org/officeDocument/2006/relationships/hyperlink" Target="https://pubmed.ncbi.nlm.nih.gov/33113075/" TargetMode="External"/><Relationship Id="rId1876" Type="http://schemas.openxmlformats.org/officeDocument/2006/relationships/hyperlink" Target="https://pubmed.ncbi.nlm.nih.gov/32997817/" TargetMode="External"/><Relationship Id="rId1877" Type="http://schemas.openxmlformats.org/officeDocument/2006/relationships/hyperlink" Target="https://pubmed.ncbi.nlm.nih.gov/32666214/" TargetMode="External"/><Relationship Id="rId1878" Type="http://schemas.openxmlformats.org/officeDocument/2006/relationships/hyperlink" Target="https://pubmed.ncbi.nlm.nih.gov/32696245/" TargetMode="External"/><Relationship Id="rId1879" Type="http://schemas.openxmlformats.org/officeDocument/2006/relationships/hyperlink" Target="https://pubmed.ncbi.nlm.nih.gov/32708390/" TargetMode="External"/><Relationship Id="rId1870" Type="http://schemas.openxmlformats.org/officeDocument/2006/relationships/hyperlink" Target="https://pubmed.ncbi.nlm.nih.gov/34021422/" TargetMode="External"/><Relationship Id="rId1871" Type="http://schemas.openxmlformats.org/officeDocument/2006/relationships/hyperlink" Target="https://pubmed.ncbi.nlm.nih.gov/33610725/" TargetMode="External"/><Relationship Id="rId1872" Type="http://schemas.openxmlformats.org/officeDocument/2006/relationships/hyperlink" Target="https://pubmed.ncbi.nlm.nih.gov/33716203/" TargetMode="External"/><Relationship Id="rId1862" Type="http://schemas.openxmlformats.org/officeDocument/2006/relationships/hyperlink" Target="https://pubmed.ncbi.nlm.nih.gov/35155139/" TargetMode="External"/><Relationship Id="rId1863" Type="http://schemas.openxmlformats.org/officeDocument/2006/relationships/hyperlink" Target="https://pubmed.ncbi.nlm.nih.gov/34115428/" TargetMode="External"/><Relationship Id="rId1864" Type="http://schemas.openxmlformats.org/officeDocument/2006/relationships/hyperlink" Target="https://pubmed.ncbi.nlm.nih.gov/34230010/" TargetMode="External"/><Relationship Id="rId1865" Type="http://schemas.openxmlformats.org/officeDocument/2006/relationships/hyperlink" Target="https://pubmed.ncbi.nlm.nih.gov/34252760/" TargetMode="External"/><Relationship Id="rId1866" Type="http://schemas.openxmlformats.org/officeDocument/2006/relationships/hyperlink" Target="https://pubmed.ncbi.nlm.nih.gov/33926421/" TargetMode="External"/><Relationship Id="rId1867" Type="http://schemas.openxmlformats.org/officeDocument/2006/relationships/hyperlink" Target="https://pubmed.ncbi.nlm.nih.gov/33905011/" TargetMode="External"/><Relationship Id="rId1868" Type="http://schemas.openxmlformats.org/officeDocument/2006/relationships/hyperlink" Target="https://pubmed.ncbi.nlm.nih.gov/32920135/" TargetMode="External"/><Relationship Id="rId1869" Type="http://schemas.openxmlformats.org/officeDocument/2006/relationships/hyperlink" Target="https://pubmed.ncbi.nlm.nih.gov/33893842/" TargetMode="External"/><Relationship Id="rId1860" Type="http://schemas.openxmlformats.org/officeDocument/2006/relationships/hyperlink" Target="https://pubmed.ncbi.nlm.nih.gov/35048034/" TargetMode="External"/><Relationship Id="rId1861" Type="http://schemas.openxmlformats.org/officeDocument/2006/relationships/hyperlink" Target="http://www.jkslms.or.kr/journal/view.html?uid=242&amp;vmd=Full&amp;" TargetMode="External"/><Relationship Id="rId1810" Type="http://schemas.openxmlformats.org/officeDocument/2006/relationships/hyperlink" Target="https://pubmed.ncbi.nlm.nih.gov/38688628/" TargetMode="External"/><Relationship Id="rId1811" Type="http://schemas.openxmlformats.org/officeDocument/2006/relationships/hyperlink" Target="https://pubmed.ncbi.nlm.nih.gov/38792366/" TargetMode="External"/><Relationship Id="rId1812" Type="http://schemas.openxmlformats.org/officeDocument/2006/relationships/hyperlink" Target="https://pubmed.ncbi.nlm.nih.gov/38438625/" TargetMode="External"/><Relationship Id="rId1813" Type="http://schemas.openxmlformats.org/officeDocument/2006/relationships/hyperlink" Target="https://pubmed.ncbi.nlm.nih.gov/38377968/" TargetMode="External"/><Relationship Id="rId1814" Type="http://schemas.openxmlformats.org/officeDocument/2006/relationships/hyperlink" Target="https://pubmed.ncbi.nlm.nih.gov/38265122/" TargetMode="External"/><Relationship Id="rId1815" Type="http://schemas.openxmlformats.org/officeDocument/2006/relationships/hyperlink" Target="https://pubmed.ncbi.nlm.nih.gov/38183418/" TargetMode="External"/><Relationship Id="rId1816" Type="http://schemas.openxmlformats.org/officeDocument/2006/relationships/hyperlink" Target="https://pubmed.ncbi.nlm.nih.gov/38097854/" TargetMode="External"/><Relationship Id="rId1817" Type="http://schemas.openxmlformats.org/officeDocument/2006/relationships/hyperlink" Target="https://pubmed.ncbi.nlm.nih.gov/38057605/" TargetMode="External"/><Relationship Id="rId1818" Type="http://schemas.openxmlformats.org/officeDocument/2006/relationships/hyperlink" Target="https://pubmed.ncbi.nlm.nih.gov/38028867/" TargetMode="External"/><Relationship Id="rId1819" Type="http://schemas.openxmlformats.org/officeDocument/2006/relationships/hyperlink" Target="https://pubmed.ncbi.nlm.nih.gov/38003918/" TargetMode="External"/><Relationship Id="rId1800" Type="http://schemas.openxmlformats.org/officeDocument/2006/relationships/hyperlink" Target="https://pubmed.ncbi.nlm.nih.gov/28469830/" TargetMode="External"/><Relationship Id="rId1801" Type="http://schemas.openxmlformats.org/officeDocument/2006/relationships/hyperlink" Target="https://pubmed.ncbi.nlm.nih.gov/38992294/" TargetMode="External"/><Relationship Id="rId1802" Type="http://schemas.openxmlformats.org/officeDocument/2006/relationships/hyperlink" Target="https://pubmed.ncbi.nlm.nih.gov/34822003/" TargetMode="External"/><Relationship Id="rId1803" Type="http://schemas.openxmlformats.org/officeDocument/2006/relationships/hyperlink" Target="https://pubmed.ncbi.nlm.nih.gov/37465549/" TargetMode="External"/><Relationship Id="rId1804" Type="http://schemas.openxmlformats.org/officeDocument/2006/relationships/hyperlink" Target="https://pubmed.ncbi.nlm.nih.gov/34913510/" TargetMode="External"/><Relationship Id="rId1805" Type="http://schemas.openxmlformats.org/officeDocument/2006/relationships/hyperlink" Target="https://pubmed.ncbi.nlm.nih.gov/34172916/" TargetMode="External"/><Relationship Id="rId1806" Type="http://schemas.openxmlformats.org/officeDocument/2006/relationships/hyperlink" Target="https://pubmed.ncbi.nlm.nih.gov/32888876/" TargetMode="External"/><Relationship Id="rId1807" Type="http://schemas.openxmlformats.org/officeDocument/2006/relationships/hyperlink" Target="https://pubmed.ncbi.nlm.nih.gov/38845170/" TargetMode="External"/><Relationship Id="rId1808" Type="http://schemas.openxmlformats.org/officeDocument/2006/relationships/hyperlink" Target="https://pubmed.ncbi.nlm.nih.gov/38615257/" TargetMode="External"/><Relationship Id="rId1809" Type="http://schemas.openxmlformats.org/officeDocument/2006/relationships/hyperlink" Target="https://pubmed.ncbi.nlm.nih.gov/38619258/" TargetMode="External"/><Relationship Id="rId1830" Type="http://schemas.openxmlformats.org/officeDocument/2006/relationships/hyperlink" Target="https://pubmed.ncbi.nlm.nih.gov/37479822/" TargetMode="External"/><Relationship Id="rId1831" Type="http://schemas.openxmlformats.org/officeDocument/2006/relationships/hyperlink" Target="https://pubmed.ncbi.nlm.nih.gov/37420314/" TargetMode="External"/><Relationship Id="rId1832" Type="http://schemas.openxmlformats.org/officeDocument/2006/relationships/hyperlink" Target="https://pubmed.ncbi.nlm.nih.gov/36979353/" TargetMode="External"/><Relationship Id="rId1833" Type="http://schemas.openxmlformats.org/officeDocument/2006/relationships/hyperlink" Target="https://pubmed.ncbi.nlm.nih.gov/36935333/" TargetMode="External"/><Relationship Id="rId1834" Type="http://schemas.openxmlformats.org/officeDocument/2006/relationships/hyperlink" Target="https://pubmed.ncbi.nlm.nih.gov/36692188/" TargetMode="External"/><Relationship Id="rId1835" Type="http://schemas.openxmlformats.org/officeDocument/2006/relationships/hyperlink" Target="https://pubmed.ncbi.nlm.nih.gov/36661723/" TargetMode="External"/><Relationship Id="rId1836" Type="http://schemas.openxmlformats.org/officeDocument/2006/relationships/hyperlink" Target="https://pubmed.ncbi.nlm.nih.gov/36431074/" TargetMode="External"/><Relationship Id="rId1837" Type="http://schemas.openxmlformats.org/officeDocument/2006/relationships/hyperlink" Target="https://pubmed.ncbi.nlm.nih.gov/36870898/" TargetMode="External"/><Relationship Id="rId1838" Type="http://schemas.openxmlformats.org/officeDocument/2006/relationships/hyperlink" Target="https://pubmed.ncbi.nlm.nih.gov/36474663/" TargetMode="External"/><Relationship Id="rId1839" Type="http://schemas.openxmlformats.org/officeDocument/2006/relationships/hyperlink" Target="https://pubmed.ncbi.nlm.nih.gov/36484364/" TargetMode="External"/><Relationship Id="rId1820" Type="http://schemas.openxmlformats.org/officeDocument/2006/relationships/hyperlink" Target="https://pubmed.ncbi.nlm.nih.gov/37976239/" TargetMode="External"/><Relationship Id="rId1821" Type="http://schemas.openxmlformats.org/officeDocument/2006/relationships/hyperlink" Target="https://pubmed.ncbi.nlm.nih.gov/37993500/" TargetMode="External"/><Relationship Id="rId1822" Type="http://schemas.openxmlformats.org/officeDocument/2006/relationships/hyperlink" Target="https://pubmed.ncbi.nlm.nih.gov/37890115/" TargetMode="External"/><Relationship Id="rId1823" Type="http://schemas.openxmlformats.org/officeDocument/2006/relationships/hyperlink" Target="https://pubmed.ncbi.nlm.nih.gov/37889325/" TargetMode="External"/><Relationship Id="rId1824" Type="http://schemas.openxmlformats.org/officeDocument/2006/relationships/hyperlink" Target="https://pubmed.ncbi.nlm.nih.gov/37853254/" TargetMode="External"/><Relationship Id="rId1825" Type="http://schemas.openxmlformats.org/officeDocument/2006/relationships/hyperlink" Target="https://pubmed.ncbi.nlm.nih.gov/37799759/" TargetMode="External"/><Relationship Id="rId1826" Type="http://schemas.openxmlformats.org/officeDocument/2006/relationships/hyperlink" Target="https://pubmed.ncbi.nlm.nih.gov/37788454/" TargetMode="External"/><Relationship Id="rId1827" Type="http://schemas.openxmlformats.org/officeDocument/2006/relationships/hyperlink" Target="https://pubmed.ncbi.nlm.nih.gov/37629703/" TargetMode="External"/><Relationship Id="rId1828" Type="http://schemas.openxmlformats.org/officeDocument/2006/relationships/hyperlink" Target="https://pubmed.ncbi.nlm.nih.gov/37213482/" TargetMode="External"/><Relationship Id="rId1829" Type="http://schemas.openxmlformats.org/officeDocument/2006/relationships/hyperlink" Target="https://pubmed.ncbi.nlm.nih.gov/37203784/" TargetMode="External"/><Relationship Id="rId2302" Type="http://schemas.openxmlformats.org/officeDocument/2006/relationships/hyperlink" Target="https://pubmed.ncbi.nlm.nih.gov/32733265/" TargetMode="External"/><Relationship Id="rId2303" Type="http://schemas.openxmlformats.org/officeDocument/2006/relationships/hyperlink" Target="https://pubmed.ncbi.nlm.nih.gov/30624751/" TargetMode="External"/><Relationship Id="rId2304" Type="http://schemas.openxmlformats.org/officeDocument/2006/relationships/hyperlink" Target="https://pubmed.ncbi.nlm.nih.gov/26336891/" TargetMode="External"/><Relationship Id="rId2305" Type="http://schemas.openxmlformats.org/officeDocument/2006/relationships/hyperlink" Target="https://pubmed.ncbi.nlm.nih.gov/24461927/" TargetMode="External"/><Relationship Id="rId2306" Type="http://schemas.openxmlformats.org/officeDocument/2006/relationships/hyperlink" Target="https://pubmed.ncbi.nlm.nih.gov/24454909/" TargetMode="External"/><Relationship Id="rId2307" Type="http://schemas.openxmlformats.org/officeDocument/2006/relationships/hyperlink" Target="https://pubmed.ncbi.nlm.nih.gov/23386970/" TargetMode="External"/><Relationship Id="rId2308" Type="http://schemas.openxmlformats.org/officeDocument/2006/relationships/hyperlink" Target="https://pubmed.ncbi.nlm.nih.gov/21950919/" TargetMode="External"/><Relationship Id="rId2309" Type="http://schemas.openxmlformats.org/officeDocument/2006/relationships/hyperlink" Target="https://pubmed.ncbi.nlm.nih.gov/21952440/" TargetMode="External"/><Relationship Id="rId2300" Type="http://schemas.openxmlformats.org/officeDocument/2006/relationships/hyperlink" Target="https://pubmed.ncbi.nlm.nih.gov/34782559/" TargetMode="External"/><Relationship Id="rId2301" Type="http://schemas.openxmlformats.org/officeDocument/2006/relationships/hyperlink" Target="https://pubmed.ncbi.nlm.nih.gov/33542392/" TargetMode="External"/><Relationship Id="rId2324" Type="http://schemas.openxmlformats.org/officeDocument/2006/relationships/hyperlink" Target="https://pubmed.ncbi.nlm.nih.gov/38866042/" TargetMode="External"/><Relationship Id="rId2325" Type="http://schemas.openxmlformats.org/officeDocument/2006/relationships/hyperlink" Target="https://pubmed.ncbi.nlm.nih.gov/37955419/" TargetMode="External"/><Relationship Id="rId2326" Type="http://schemas.openxmlformats.org/officeDocument/2006/relationships/hyperlink" Target="https://pubmed.ncbi.nlm.nih.gov/38540640/" TargetMode="External"/><Relationship Id="rId2327" Type="http://schemas.openxmlformats.org/officeDocument/2006/relationships/hyperlink" Target="https://pubmed.ncbi.nlm.nih.gov/35155151/" TargetMode="External"/><Relationship Id="rId2328" Type="http://schemas.openxmlformats.org/officeDocument/2006/relationships/hyperlink" Target="https://pubmed.ncbi.nlm.nih.gov/34964662/" TargetMode="External"/><Relationship Id="rId2329" Type="http://schemas.openxmlformats.org/officeDocument/2006/relationships/hyperlink" Target="https://pubmed.ncbi.nlm.nih.gov/37528614/" TargetMode="External"/><Relationship Id="rId2320" Type="http://schemas.openxmlformats.org/officeDocument/2006/relationships/hyperlink" Target="https://pubmed.ncbi.nlm.nih.gov/35353607/" TargetMode="External"/><Relationship Id="rId2321" Type="http://schemas.openxmlformats.org/officeDocument/2006/relationships/hyperlink" Target="https://pubmed.ncbi.nlm.nih.gov/33885333/" TargetMode="External"/><Relationship Id="rId2322" Type="http://schemas.openxmlformats.org/officeDocument/2006/relationships/hyperlink" Target="https://pubmed.ncbi.nlm.nih.gov/35956667/" TargetMode="External"/><Relationship Id="rId2323" Type="http://schemas.openxmlformats.org/officeDocument/2006/relationships/hyperlink" Target="https://pubmed.ncbi.nlm.nih.gov/32609050/" TargetMode="External"/><Relationship Id="rId2313" Type="http://schemas.openxmlformats.org/officeDocument/2006/relationships/hyperlink" Target="https://pubmed.ncbi.nlm.nih.gov/38658667/" TargetMode="External"/><Relationship Id="rId2314" Type="http://schemas.openxmlformats.org/officeDocument/2006/relationships/hyperlink" Target="https://pubmed.ncbi.nlm.nih.gov/38659730/" TargetMode="External"/><Relationship Id="rId2315" Type="http://schemas.openxmlformats.org/officeDocument/2006/relationships/hyperlink" Target="https://pubmed.ncbi.nlm.nih.gov/37367432/" TargetMode="External"/><Relationship Id="rId2316" Type="http://schemas.openxmlformats.org/officeDocument/2006/relationships/hyperlink" Target="https://pubmed.ncbi.nlm.nih.gov/36827344/" TargetMode="External"/><Relationship Id="rId2317" Type="http://schemas.openxmlformats.org/officeDocument/2006/relationships/hyperlink" Target="https://pubmed.ncbi.nlm.nih.gov/37041785/" TargetMode="External"/><Relationship Id="rId2318" Type="http://schemas.openxmlformats.org/officeDocument/2006/relationships/hyperlink" Target="https://pubmed.ncbi.nlm.nih.gov/36206020/" TargetMode="External"/><Relationship Id="rId2319" Type="http://schemas.openxmlformats.org/officeDocument/2006/relationships/hyperlink" Target="https://pubmed.ncbi.nlm.nih.gov/36040391/" TargetMode="External"/><Relationship Id="rId2310" Type="http://schemas.openxmlformats.org/officeDocument/2006/relationships/hyperlink" Target="https://pubmed.ncbi.nlm.nih.gov/20221457/" TargetMode="External"/><Relationship Id="rId2311" Type="http://schemas.openxmlformats.org/officeDocument/2006/relationships/hyperlink" Target="https://pubmed.ncbi.nlm.nih.gov/14962620/" TargetMode="External"/><Relationship Id="rId2312" Type="http://schemas.openxmlformats.org/officeDocument/2006/relationships/hyperlink" Target="https://pubmed.ncbi.nlm.nih.gov/10498336/" TargetMode="External"/><Relationship Id="rId1895" Type="http://schemas.openxmlformats.org/officeDocument/2006/relationships/hyperlink" Target="https://pubmed.ncbi.nlm.nih.gov/37583501/" TargetMode="External"/><Relationship Id="rId1896" Type="http://schemas.openxmlformats.org/officeDocument/2006/relationships/hyperlink" Target="https://pubmed.ncbi.nlm.nih.gov/35336433/" TargetMode="External"/><Relationship Id="rId1897" Type="http://schemas.openxmlformats.org/officeDocument/2006/relationships/hyperlink" Target="https://pubmed.ncbi.nlm.nih.gov/25988979/" TargetMode="External"/><Relationship Id="rId1898" Type="http://schemas.openxmlformats.org/officeDocument/2006/relationships/hyperlink" Target="https://pubmed.ncbi.nlm.nih.gov/38318222/" TargetMode="External"/><Relationship Id="rId1899" Type="http://schemas.openxmlformats.org/officeDocument/2006/relationships/hyperlink" Target="https://pubmed.ncbi.nlm.nih.gov/26481885/" TargetMode="External"/><Relationship Id="rId1890" Type="http://schemas.openxmlformats.org/officeDocument/2006/relationships/hyperlink" Target="https://pubmed.ncbi.nlm.nih.gov/23126316/" TargetMode="External"/><Relationship Id="rId1891" Type="http://schemas.openxmlformats.org/officeDocument/2006/relationships/hyperlink" Target="https://pubmed.ncbi.nlm.nih.gov/25363203/" TargetMode="External"/><Relationship Id="rId1892" Type="http://schemas.openxmlformats.org/officeDocument/2006/relationships/hyperlink" Target="https://pubmed.ncbi.nlm.nih.gov/35610702/" TargetMode="External"/><Relationship Id="rId1893" Type="http://schemas.openxmlformats.org/officeDocument/2006/relationships/hyperlink" Target="https://pubmed.ncbi.nlm.nih.gov/35305280/" TargetMode="External"/><Relationship Id="rId1894" Type="http://schemas.openxmlformats.org/officeDocument/2006/relationships/hyperlink" Target="https://pubmed.ncbi.nlm.nih.gov/37891549/" TargetMode="External"/><Relationship Id="rId1884" Type="http://schemas.openxmlformats.org/officeDocument/2006/relationships/hyperlink" Target="https://pubmed.ncbi.nlm.nih.gov/32621262/" TargetMode="External"/><Relationship Id="rId1885" Type="http://schemas.openxmlformats.org/officeDocument/2006/relationships/hyperlink" Target="https://pubmed.ncbi.nlm.nih.gov/32535807/" TargetMode="External"/><Relationship Id="rId1886" Type="http://schemas.openxmlformats.org/officeDocument/2006/relationships/hyperlink" Target="https://pubmed.ncbi.nlm.nih.gov/32544269/" TargetMode="External"/><Relationship Id="rId1887" Type="http://schemas.openxmlformats.org/officeDocument/2006/relationships/hyperlink" Target="https://pubmed.ncbi.nlm.nih.gov/32619713/" TargetMode="External"/><Relationship Id="rId1888" Type="http://schemas.openxmlformats.org/officeDocument/2006/relationships/hyperlink" Target="https://pubmed.ncbi.nlm.nih.gov/25863514/" TargetMode="External"/><Relationship Id="rId1889" Type="http://schemas.openxmlformats.org/officeDocument/2006/relationships/hyperlink" Target="https://pubmed.ncbi.nlm.nih.gov/23636299/" TargetMode="External"/><Relationship Id="rId1880" Type="http://schemas.openxmlformats.org/officeDocument/2006/relationships/hyperlink" Target="https://pubmed.ncbi.nlm.nih.gov/32764305/" TargetMode="External"/><Relationship Id="rId1881" Type="http://schemas.openxmlformats.org/officeDocument/2006/relationships/hyperlink" Target="https://pubmed.ncbi.nlm.nih.gov/32678713/" TargetMode="External"/><Relationship Id="rId1882" Type="http://schemas.openxmlformats.org/officeDocument/2006/relationships/hyperlink" Target="https://pubmed.ncbi.nlm.nih.gov/32624448/" TargetMode="External"/><Relationship Id="rId1883" Type="http://schemas.openxmlformats.org/officeDocument/2006/relationships/hyperlink" Target="https://pubmed.ncbi.nlm.nih.gov/32627112/" TargetMode="External"/><Relationship Id="rId1059" Type="http://schemas.openxmlformats.org/officeDocument/2006/relationships/hyperlink" Target="https://www.ncbi.nlm.nih.gov/pmc/articles/PMC7802346/" TargetMode="External"/><Relationship Id="rId228" Type="http://schemas.openxmlformats.org/officeDocument/2006/relationships/hyperlink" Target="https://pubmed.ncbi.nlm.nih.gov/33186875/" TargetMode="External"/><Relationship Id="rId227" Type="http://schemas.openxmlformats.org/officeDocument/2006/relationships/hyperlink" Target="https://pubmed.ncbi.nlm.nih.gov/32249399/" TargetMode="External"/><Relationship Id="rId226" Type="http://schemas.openxmlformats.org/officeDocument/2006/relationships/hyperlink" Target="https://pubmed.ncbi.nlm.nih.gov/35348956/" TargetMode="External"/><Relationship Id="rId225" Type="http://schemas.openxmlformats.org/officeDocument/2006/relationships/hyperlink" Target="https://pubmed.ncbi.nlm.nih.gov/37866954/" TargetMode="External"/><Relationship Id="rId2380" Type="http://schemas.openxmlformats.org/officeDocument/2006/relationships/hyperlink" Target="https://pubmed.ncbi.nlm.nih.gov/37219650/" TargetMode="External"/><Relationship Id="rId229" Type="http://schemas.openxmlformats.org/officeDocument/2006/relationships/hyperlink" Target="https://pubmed.ncbi.nlm.nih.gov/37717889/" TargetMode="External"/><Relationship Id="rId1050" Type="http://schemas.openxmlformats.org/officeDocument/2006/relationships/hyperlink" Target="https://pubmed.ncbi.nlm.nih.gov/34628071/" TargetMode="External"/><Relationship Id="rId2381" Type="http://schemas.openxmlformats.org/officeDocument/2006/relationships/hyperlink" Target="https://pubmed.ncbi.nlm.nih.gov/37464155/" TargetMode="External"/><Relationship Id="rId220" Type="http://schemas.openxmlformats.org/officeDocument/2006/relationships/hyperlink" Target="https://www.jstage.jst.go.jp/article/islsm/14/4/14_4_171/_article" TargetMode="External"/><Relationship Id="rId1051" Type="http://schemas.openxmlformats.org/officeDocument/2006/relationships/hyperlink" Target="https://pubmed.ncbi.nlm.nih.gov/33995820/" TargetMode="External"/><Relationship Id="rId2382" Type="http://schemas.openxmlformats.org/officeDocument/2006/relationships/hyperlink" Target="https://pubmed.ncbi.nlm.nih.gov/36737392/" TargetMode="External"/><Relationship Id="rId1052" Type="http://schemas.openxmlformats.org/officeDocument/2006/relationships/hyperlink" Target="https://pubmed.ncbi.nlm.nih.gov/33776469/" TargetMode="External"/><Relationship Id="rId2383" Type="http://schemas.openxmlformats.org/officeDocument/2006/relationships/hyperlink" Target="https://pubmed.ncbi.nlm.nih.gov/37201000/" TargetMode="External"/><Relationship Id="rId1053" Type="http://schemas.openxmlformats.org/officeDocument/2006/relationships/hyperlink" Target="https://pubmed.ncbi.nlm.nih.gov/33619888/" TargetMode="External"/><Relationship Id="rId2384" Type="http://schemas.openxmlformats.org/officeDocument/2006/relationships/hyperlink" Target="https://pubmed.ncbi.nlm.nih.gov/36279266/" TargetMode="External"/><Relationship Id="rId1054" Type="http://schemas.openxmlformats.org/officeDocument/2006/relationships/hyperlink" Target="https://pubmed.ncbi.nlm.nih.gov/33043132/" TargetMode="External"/><Relationship Id="rId2385" Type="http://schemas.openxmlformats.org/officeDocument/2006/relationships/hyperlink" Target="https://pubmed.ncbi.nlm.nih.gov/36171024/" TargetMode="External"/><Relationship Id="rId224" Type="http://schemas.openxmlformats.org/officeDocument/2006/relationships/hyperlink" Target="https://pubmed.ncbi.nlm.nih.gov/22442789/" TargetMode="External"/><Relationship Id="rId1055" Type="http://schemas.openxmlformats.org/officeDocument/2006/relationships/hyperlink" Target="https://pubmed.ncbi.nlm.nih.gov/32865522/" TargetMode="External"/><Relationship Id="rId2386" Type="http://schemas.openxmlformats.org/officeDocument/2006/relationships/hyperlink" Target="https://pubmed.ncbi.nlm.nih.gov/34847470/" TargetMode="External"/><Relationship Id="rId223" Type="http://schemas.openxmlformats.org/officeDocument/2006/relationships/hyperlink" Target="https://pubmed.ncbi.nlm.nih.gov/24288717/" TargetMode="External"/><Relationship Id="rId1056" Type="http://schemas.openxmlformats.org/officeDocument/2006/relationships/hyperlink" Target="https://www.mdpi.com/2304-6732/9/10/686" TargetMode="External"/><Relationship Id="rId2387" Type="http://schemas.openxmlformats.org/officeDocument/2006/relationships/hyperlink" Target="https://pubmed.ncbi.nlm.nih.gov/34396073/" TargetMode="External"/><Relationship Id="rId222" Type="http://schemas.openxmlformats.org/officeDocument/2006/relationships/hyperlink" Target="https://pubmed.ncbi.nlm.nih.gov/37030744/" TargetMode="External"/><Relationship Id="rId1057" Type="http://schemas.openxmlformats.org/officeDocument/2006/relationships/hyperlink" Target="https://pubmed.ncbi.nlm.nih.gov/35563611/" TargetMode="External"/><Relationship Id="rId2388" Type="http://schemas.openxmlformats.org/officeDocument/2006/relationships/hyperlink" Target="https://pubmed.ncbi.nlm.nih.gov/32908536/" TargetMode="External"/><Relationship Id="rId221" Type="http://schemas.openxmlformats.org/officeDocument/2006/relationships/hyperlink" Target="https://pubmed.ncbi.nlm.nih.gov/38490587/" TargetMode="External"/><Relationship Id="rId1058" Type="http://schemas.openxmlformats.org/officeDocument/2006/relationships/hyperlink" Target="https://pubmed.ncbi.nlm.nih.gov/34207199/" TargetMode="External"/><Relationship Id="rId2389" Type="http://schemas.openxmlformats.org/officeDocument/2006/relationships/hyperlink" Target="https://pubmed.ncbi.nlm.nih.gov/32513018/" TargetMode="External"/><Relationship Id="rId1048" Type="http://schemas.openxmlformats.org/officeDocument/2006/relationships/hyperlink" Target="https://pubmed.ncbi.nlm.nih.gov/33959281/" TargetMode="External"/><Relationship Id="rId2379" Type="http://schemas.openxmlformats.org/officeDocument/2006/relationships/hyperlink" Target="https://pubmed.ncbi.nlm.nih.gov/38179590/" TargetMode="External"/><Relationship Id="rId1049" Type="http://schemas.openxmlformats.org/officeDocument/2006/relationships/hyperlink" Target="https://pubmed.ncbi.nlm.nih.gov/34335043/" TargetMode="External"/><Relationship Id="rId217" Type="http://schemas.openxmlformats.org/officeDocument/2006/relationships/hyperlink" Target="http://www.ncbi.nlm.nih.gov/pubmed/22028832" TargetMode="External"/><Relationship Id="rId216" Type="http://schemas.openxmlformats.org/officeDocument/2006/relationships/hyperlink" Target="https://pubmed.ncbi.nlm.nih.gov/21691215/" TargetMode="External"/><Relationship Id="rId215" Type="http://schemas.openxmlformats.org/officeDocument/2006/relationships/hyperlink" Target="http://www.ncbi.nlm.nih.gov/pubmed/21182447" TargetMode="External"/><Relationship Id="rId214" Type="http://schemas.openxmlformats.org/officeDocument/2006/relationships/hyperlink" Target="http://www.ncbi.nlm.nih.gov/pubmed/22040267" TargetMode="External"/><Relationship Id="rId219" Type="http://schemas.openxmlformats.org/officeDocument/2006/relationships/hyperlink" Target="https://pubmed.ncbi.nlm.nih.gov/37572215/" TargetMode="External"/><Relationship Id="rId218" Type="http://schemas.openxmlformats.org/officeDocument/2006/relationships/hyperlink" Target="http://www.ncbi.nlm.nih.gov/pubmed/19800810" TargetMode="External"/><Relationship Id="rId2370" Type="http://schemas.openxmlformats.org/officeDocument/2006/relationships/hyperlink" Target="https://pubmed.ncbi.nlm.nih.gov/35222905/" TargetMode="External"/><Relationship Id="rId1040" Type="http://schemas.openxmlformats.org/officeDocument/2006/relationships/hyperlink" Target="https://pubmed.ncbi.nlm.nih.gov/36510366/" TargetMode="External"/><Relationship Id="rId2371" Type="http://schemas.openxmlformats.org/officeDocument/2006/relationships/hyperlink" Target="https://pubmed.ncbi.nlm.nih.gov/23176373/" TargetMode="External"/><Relationship Id="rId1041" Type="http://schemas.openxmlformats.org/officeDocument/2006/relationships/hyperlink" Target="https://pubmed.ncbi.nlm.nih.gov/36358582/" TargetMode="External"/><Relationship Id="rId2372" Type="http://schemas.openxmlformats.org/officeDocument/2006/relationships/hyperlink" Target="https://pubmed.ncbi.nlm.nih.gov/1853462/" TargetMode="External"/><Relationship Id="rId1042" Type="http://schemas.openxmlformats.org/officeDocument/2006/relationships/hyperlink" Target="https://pubmed.ncbi.nlm.nih.gov/36070590/" TargetMode="External"/><Relationship Id="rId2373" Type="http://schemas.openxmlformats.org/officeDocument/2006/relationships/hyperlink" Target="https://pubmed.ncbi.nlm.nih.gov/37876003/" TargetMode="External"/><Relationship Id="rId1043" Type="http://schemas.openxmlformats.org/officeDocument/2006/relationships/hyperlink" Target="https://pubmed.ncbi.nlm.nih.gov/35445797/" TargetMode="External"/><Relationship Id="rId2374" Type="http://schemas.openxmlformats.org/officeDocument/2006/relationships/hyperlink" Target="https://pubmed.ncbi.nlm.nih.gov/35054491/" TargetMode="External"/><Relationship Id="rId213" Type="http://schemas.openxmlformats.org/officeDocument/2006/relationships/hyperlink" Target="http://www.ncbi.nlm.nih.gov/pubmed/22275301" TargetMode="External"/><Relationship Id="rId1044" Type="http://schemas.openxmlformats.org/officeDocument/2006/relationships/hyperlink" Target="https://pubmed.ncbi.nlm.nih.gov/34833000/" TargetMode="External"/><Relationship Id="rId2375" Type="http://schemas.openxmlformats.org/officeDocument/2006/relationships/hyperlink" Target="https://pubmed.ncbi.nlm.nih.gov/18022318/" TargetMode="External"/><Relationship Id="rId212" Type="http://schemas.openxmlformats.org/officeDocument/2006/relationships/hyperlink" Target="https://pubmed.ncbi.nlm.nih.gov/32926117/" TargetMode="External"/><Relationship Id="rId1045" Type="http://schemas.openxmlformats.org/officeDocument/2006/relationships/hyperlink" Target="https://pubmed.ncbi.nlm.nih.gov/34826638/" TargetMode="External"/><Relationship Id="rId2376" Type="http://schemas.openxmlformats.org/officeDocument/2006/relationships/hyperlink" Target="https://pubmed.ncbi.nlm.nih.gov/12811613/" TargetMode="External"/><Relationship Id="rId211" Type="http://schemas.openxmlformats.org/officeDocument/2006/relationships/hyperlink" Target="https://pubmed.ncbi.nlm.nih.gov/33790803/" TargetMode="External"/><Relationship Id="rId1046" Type="http://schemas.openxmlformats.org/officeDocument/2006/relationships/hyperlink" Target="https://pubmed.ncbi.nlm.nih.gov/34816005/" TargetMode="External"/><Relationship Id="rId2377" Type="http://schemas.openxmlformats.org/officeDocument/2006/relationships/hyperlink" Target="https://journals.sagepub.com/doi/abs/10.1136/aim.16.2.73" TargetMode="External"/><Relationship Id="rId210" Type="http://schemas.openxmlformats.org/officeDocument/2006/relationships/hyperlink" Target="https://pubmed.ncbi.nlm.nih.gov/33969090/" TargetMode="External"/><Relationship Id="rId1047" Type="http://schemas.openxmlformats.org/officeDocument/2006/relationships/hyperlink" Target="https://pubmed.ncbi.nlm.nih.gov/34658147/" TargetMode="External"/><Relationship Id="rId2378" Type="http://schemas.openxmlformats.org/officeDocument/2006/relationships/hyperlink" Target="https://pubmed.ncbi.nlm.nih.gov/38584653/" TargetMode="External"/><Relationship Id="rId249" Type="http://schemas.openxmlformats.org/officeDocument/2006/relationships/hyperlink" Target="https://pubmed.ncbi.nlm.nih.gov/37651208/" TargetMode="External"/><Relationship Id="rId248" Type="http://schemas.openxmlformats.org/officeDocument/2006/relationships/hyperlink" Target="https://pubmed.ncbi.nlm.nih.gov/37814874/" TargetMode="External"/><Relationship Id="rId247" Type="http://schemas.openxmlformats.org/officeDocument/2006/relationships/hyperlink" Target="https://pubmed.ncbi.nlm.nih.gov/38028864/" TargetMode="External"/><Relationship Id="rId1070" Type="http://schemas.openxmlformats.org/officeDocument/2006/relationships/hyperlink" Target="https://pubmed.ncbi.nlm.nih.gov/32579049/" TargetMode="External"/><Relationship Id="rId1071" Type="http://schemas.openxmlformats.org/officeDocument/2006/relationships/hyperlink" Target="https://pubmed.ncbi.nlm.nih.gov/38806861/" TargetMode="External"/><Relationship Id="rId1072" Type="http://schemas.openxmlformats.org/officeDocument/2006/relationships/hyperlink" Target="https://pubmed.ncbi.nlm.nih.gov/32852075/" TargetMode="External"/><Relationship Id="rId242" Type="http://schemas.openxmlformats.org/officeDocument/2006/relationships/hyperlink" Target="https://pubmed.ncbi.nlm.nih.gov/33048667/" TargetMode="External"/><Relationship Id="rId1073" Type="http://schemas.openxmlformats.org/officeDocument/2006/relationships/hyperlink" Target="https://pubmed.ncbi.nlm.nih.gov/38133695/" TargetMode="External"/><Relationship Id="rId241" Type="http://schemas.openxmlformats.org/officeDocument/2006/relationships/hyperlink" Target="https://pubmed.ncbi.nlm.nih.gov/33704604/" TargetMode="External"/><Relationship Id="rId1074" Type="http://schemas.openxmlformats.org/officeDocument/2006/relationships/hyperlink" Target="https://pubmed.ncbi.nlm.nih.gov/36632872/" TargetMode="External"/><Relationship Id="rId240" Type="http://schemas.openxmlformats.org/officeDocument/2006/relationships/hyperlink" Target="https://pubmed.ncbi.nlm.nih.gov/33338484/" TargetMode="External"/><Relationship Id="rId1075" Type="http://schemas.openxmlformats.org/officeDocument/2006/relationships/hyperlink" Target="https://pubmed.ncbi.nlm.nih.gov/32466696/" TargetMode="External"/><Relationship Id="rId1076" Type="http://schemas.openxmlformats.org/officeDocument/2006/relationships/hyperlink" Target="https://pubmed.ncbi.nlm.nih.gov/34733761/" TargetMode="External"/><Relationship Id="rId246" Type="http://schemas.openxmlformats.org/officeDocument/2006/relationships/hyperlink" Target="https://pubmed.ncbi.nlm.nih.gov/38470033/" TargetMode="External"/><Relationship Id="rId1077" Type="http://schemas.openxmlformats.org/officeDocument/2006/relationships/hyperlink" Target="https://pubmed.ncbi.nlm.nih.gov/35735083/" TargetMode="External"/><Relationship Id="rId245" Type="http://schemas.openxmlformats.org/officeDocument/2006/relationships/hyperlink" Target="https://pubmed.ncbi.nlm.nih.gov/38016154/" TargetMode="External"/><Relationship Id="rId1078" Type="http://schemas.openxmlformats.org/officeDocument/2006/relationships/hyperlink" Target="https://pubmed.ncbi.nlm.nih.gov/34437613/" TargetMode="External"/><Relationship Id="rId244" Type="http://schemas.openxmlformats.org/officeDocument/2006/relationships/hyperlink" Target="https://pubmed.ncbi.nlm.nih.gov/33013635/" TargetMode="External"/><Relationship Id="rId1079" Type="http://schemas.openxmlformats.org/officeDocument/2006/relationships/hyperlink" Target="https://pubmed.ncbi.nlm.nih.gov/35860879/" TargetMode="External"/><Relationship Id="rId243" Type="http://schemas.openxmlformats.org/officeDocument/2006/relationships/hyperlink" Target="https://pubmed.ncbi.nlm.nih.gov/38109202/" TargetMode="External"/><Relationship Id="rId239" Type="http://schemas.openxmlformats.org/officeDocument/2006/relationships/hyperlink" Target="https://pubmed.ncbi.nlm.nih.gov/34211101/" TargetMode="External"/><Relationship Id="rId238" Type="http://schemas.openxmlformats.org/officeDocument/2006/relationships/hyperlink" Target="https://pubmed.ncbi.nlm.nih.gov/37547747/" TargetMode="External"/><Relationship Id="rId237" Type="http://schemas.openxmlformats.org/officeDocument/2006/relationships/hyperlink" Target="https://pubmed.ncbi.nlm.nih.gov/34662523/" TargetMode="External"/><Relationship Id="rId236" Type="http://schemas.openxmlformats.org/officeDocument/2006/relationships/hyperlink" Target="https://pubmed.ncbi.nlm.nih.gov/36177151/" TargetMode="External"/><Relationship Id="rId2390" Type="http://schemas.openxmlformats.org/officeDocument/2006/relationships/hyperlink" Target="https://pubmed.ncbi.nlm.nih.gov/31453560/" TargetMode="External"/><Relationship Id="rId1060" Type="http://schemas.openxmlformats.org/officeDocument/2006/relationships/hyperlink" Target="https://pubmed.ncbi.nlm.nih.gov/33497594/" TargetMode="External"/><Relationship Id="rId2391" Type="http://schemas.openxmlformats.org/officeDocument/2006/relationships/hyperlink" Target="https://pubmed.ncbi.nlm.nih.gov/38806837/" TargetMode="External"/><Relationship Id="rId1061" Type="http://schemas.openxmlformats.org/officeDocument/2006/relationships/hyperlink" Target="https://www.mdpi.com/2304-6732/8/8/303/htm" TargetMode="External"/><Relationship Id="rId2392" Type="http://schemas.openxmlformats.org/officeDocument/2006/relationships/hyperlink" Target="https://pubmed.ncbi.nlm.nih.gov/33048106/" TargetMode="External"/><Relationship Id="rId231" Type="http://schemas.openxmlformats.org/officeDocument/2006/relationships/hyperlink" Target="https://pubmed.ncbi.nlm.nih.gov/36254133/" TargetMode="External"/><Relationship Id="rId1062" Type="http://schemas.openxmlformats.org/officeDocument/2006/relationships/hyperlink" Target="https://pubmed.ncbi.nlm.nih.gov/33995965/" TargetMode="External"/><Relationship Id="rId2393" Type="http://schemas.openxmlformats.org/officeDocument/2006/relationships/hyperlink" Target="https://pubmed.ncbi.nlm.nih.gov/26438556/" TargetMode="External"/><Relationship Id="rId230" Type="http://schemas.openxmlformats.org/officeDocument/2006/relationships/hyperlink" Target="https://pubmed.ncbi.nlm.nih.gov/36704674/" TargetMode="External"/><Relationship Id="rId1063" Type="http://schemas.openxmlformats.org/officeDocument/2006/relationships/hyperlink" Target="https://pubmed.ncbi.nlm.nih.gov/33269093/" TargetMode="External"/><Relationship Id="rId2394" Type="http://schemas.openxmlformats.org/officeDocument/2006/relationships/hyperlink" Target="https://pubmed.ncbi.nlm.nih.gov/7564859/" TargetMode="External"/><Relationship Id="rId1064" Type="http://schemas.openxmlformats.org/officeDocument/2006/relationships/hyperlink" Target="https://pubmed.ncbi.nlm.nih.gov/33241526/" TargetMode="External"/><Relationship Id="rId2395" Type="http://schemas.openxmlformats.org/officeDocument/2006/relationships/hyperlink" Target="https://pubmed.ncbi.nlm.nih.gov/38951012/" TargetMode="External"/><Relationship Id="rId1065" Type="http://schemas.openxmlformats.org/officeDocument/2006/relationships/hyperlink" Target="https://pubmed.ncbi.nlm.nih.gov/33221625/" TargetMode="External"/><Relationship Id="rId2396" Type="http://schemas.openxmlformats.org/officeDocument/2006/relationships/hyperlink" Target="https://pubmed.ncbi.nlm.nih.gov/38630331/" TargetMode="External"/><Relationship Id="rId235" Type="http://schemas.openxmlformats.org/officeDocument/2006/relationships/hyperlink" Target="https://pubmed.ncbi.nlm.nih.gov/36459562/" TargetMode="External"/><Relationship Id="rId1066" Type="http://schemas.openxmlformats.org/officeDocument/2006/relationships/hyperlink" Target="https://pubmed.ncbi.nlm.nih.gov/32947974/" TargetMode="External"/><Relationship Id="rId2397" Type="http://schemas.openxmlformats.org/officeDocument/2006/relationships/hyperlink" Target="https://pubmed.ncbi.nlm.nih.gov/34101208/" TargetMode="External"/><Relationship Id="rId234" Type="http://schemas.openxmlformats.org/officeDocument/2006/relationships/hyperlink" Target="https://pubmed.ncbi.nlm.nih.gov/37668791/" TargetMode="External"/><Relationship Id="rId1067" Type="http://schemas.openxmlformats.org/officeDocument/2006/relationships/hyperlink" Target="https://pubmed.ncbi.nlm.nih.gov/32905736/" TargetMode="External"/><Relationship Id="rId2398" Type="http://schemas.openxmlformats.org/officeDocument/2006/relationships/hyperlink" Target="https://pubmed.ncbi.nlm.nih.gov/33992256/" TargetMode="External"/><Relationship Id="rId233" Type="http://schemas.openxmlformats.org/officeDocument/2006/relationships/hyperlink" Target="https://pubmed.ncbi.nlm.nih.gov/33998541/" TargetMode="External"/><Relationship Id="rId1068" Type="http://schemas.openxmlformats.org/officeDocument/2006/relationships/hyperlink" Target="https://pubmed.ncbi.nlm.nih.gov/33128927/" TargetMode="External"/><Relationship Id="rId2399" Type="http://schemas.openxmlformats.org/officeDocument/2006/relationships/hyperlink" Target="https://pubmed.ncbi.nlm.nih.gov/37928139/" TargetMode="External"/><Relationship Id="rId232" Type="http://schemas.openxmlformats.org/officeDocument/2006/relationships/hyperlink" Target="https://pubmed.ncbi.nlm.nih.gov/34420956/" TargetMode="External"/><Relationship Id="rId1069" Type="http://schemas.openxmlformats.org/officeDocument/2006/relationships/hyperlink" Target="https://pubmed.ncbi.nlm.nih.gov/32844112/" TargetMode="External"/><Relationship Id="rId1015" Type="http://schemas.openxmlformats.org/officeDocument/2006/relationships/hyperlink" Target="https://pubmed.ncbi.nlm.nih.gov/38266361/" TargetMode="External"/><Relationship Id="rId2346" Type="http://schemas.openxmlformats.org/officeDocument/2006/relationships/hyperlink" Target="https://pubmed.ncbi.nlm.nih.gov/34499157/" TargetMode="External"/><Relationship Id="rId1016" Type="http://schemas.openxmlformats.org/officeDocument/2006/relationships/hyperlink" Target="https://pubmed.ncbi.nlm.nih.gov/33155162/" TargetMode="External"/><Relationship Id="rId2347" Type="http://schemas.openxmlformats.org/officeDocument/2006/relationships/hyperlink" Target="https://pubmed.ncbi.nlm.nih.gov/33449501/" TargetMode="External"/><Relationship Id="rId1017" Type="http://schemas.openxmlformats.org/officeDocument/2006/relationships/hyperlink" Target="https://pubmed.ncbi.nlm.nih.gov/29860662/" TargetMode="External"/><Relationship Id="rId2348" Type="http://schemas.openxmlformats.org/officeDocument/2006/relationships/hyperlink" Target="https://pubmed.ncbi.nlm.nih.gov/33449509/" TargetMode="External"/><Relationship Id="rId1018" Type="http://schemas.openxmlformats.org/officeDocument/2006/relationships/hyperlink" Target="https://pubmed.ncbi.nlm.nih.gov/33197883/" TargetMode="External"/><Relationship Id="rId2349" Type="http://schemas.openxmlformats.org/officeDocument/2006/relationships/hyperlink" Target="https://pubmed.ncbi.nlm.nih.gov/33178306/" TargetMode="External"/><Relationship Id="rId1019" Type="http://schemas.openxmlformats.org/officeDocument/2006/relationships/hyperlink" Target="https://pubmed.ncbi.nlm.nih.gov/34868804/" TargetMode="External"/><Relationship Id="rId2340" Type="http://schemas.openxmlformats.org/officeDocument/2006/relationships/hyperlink" Target="https://pubmed.ncbi.nlm.nih.gov/36402666/" TargetMode="External"/><Relationship Id="rId1010" Type="http://schemas.openxmlformats.org/officeDocument/2006/relationships/hyperlink" Target="https://pubmed.ncbi.nlm.nih.gov/36932298/" TargetMode="External"/><Relationship Id="rId2341" Type="http://schemas.openxmlformats.org/officeDocument/2006/relationships/hyperlink" Target="https://pubmed.ncbi.nlm.nih.gov/35405631/" TargetMode="External"/><Relationship Id="rId1011" Type="http://schemas.openxmlformats.org/officeDocument/2006/relationships/hyperlink" Target="https://pubmed.ncbi.nlm.nih.gov/33676947/" TargetMode="External"/><Relationship Id="rId2342" Type="http://schemas.openxmlformats.org/officeDocument/2006/relationships/hyperlink" Target="https://pubmed.ncbi.nlm.nih.gov/35639723/" TargetMode="External"/><Relationship Id="rId1012" Type="http://schemas.openxmlformats.org/officeDocument/2006/relationships/hyperlink" Target="https://pubmed.ncbi.nlm.nih.gov/34569637/" TargetMode="External"/><Relationship Id="rId2343" Type="http://schemas.openxmlformats.org/officeDocument/2006/relationships/hyperlink" Target="https://pubmed.ncbi.nlm.nih.gov/35246766/" TargetMode="External"/><Relationship Id="rId1013" Type="http://schemas.openxmlformats.org/officeDocument/2006/relationships/hyperlink" Target="https://pubmed.ncbi.nlm.nih.gov/34029603/" TargetMode="External"/><Relationship Id="rId2344" Type="http://schemas.openxmlformats.org/officeDocument/2006/relationships/hyperlink" Target="https://pubmed.ncbi.nlm.nih.gov/35099449/" TargetMode="External"/><Relationship Id="rId1014" Type="http://schemas.openxmlformats.org/officeDocument/2006/relationships/hyperlink" Target="https://pubmed.ncbi.nlm.nih.gov/37442837/" TargetMode="External"/><Relationship Id="rId2345" Type="http://schemas.openxmlformats.org/officeDocument/2006/relationships/hyperlink" Target="https://pubmed.ncbi.nlm.nih.gov/34391310/" TargetMode="External"/><Relationship Id="rId1004" Type="http://schemas.openxmlformats.org/officeDocument/2006/relationships/hyperlink" Target="https://pubmed.ncbi.nlm.nih.gov/34552685/" TargetMode="External"/><Relationship Id="rId2335" Type="http://schemas.openxmlformats.org/officeDocument/2006/relationships/hyperlink" Target="https://pubmed.ncbi.nlm.nih.gov/34901678/" TargetMode="External"/><Relationship Id="rId1005" Type="http://schemas.openxmlformats.org/officeDocument/2006/relationships/hyperlink" Target="https://pubmed.ncbi.nlm.nih.gov/23342077/" TargetMode="External"/><Relationship Id="rId2336" Type="http://schemas.openxmlformats.org/officeDocument/2006/relationships/hyperlink" Target="https://pubmed.ncbi.nlm.nih.gov/33360199/" TargetMode="External"/><Relationship Id="rId1006" Type="http://schemas.openxmlformats.org/officeDocument/2006/relationships/hyperlink" Target="https://pubmed.ncbi.nlm.nih.gov/33809724/" TargetMode="External"/><Relationship Id="rId2337" Type="http://schemas.openxmlformats.org/officeDocument/2006/relationships/hyperlink" Target="https://pubmed.ncbi.nlm.nih.gov/38544539/" TargetMode="External"/><Relationship Id="rId1007" Type="http://schemas.openxmlformats.org/officeDocument/2006/relationships/hyperlink" Target="https://pubmed.ncbi.nlm.nih.gov/38282697/" TargetMode="External"/><Relationship Id="rId2338" Type="http://schemas.openxmlformats.org/officeDocument/2006/relationships/hyperlink" Target="https://pubmed.ncbi.nlm.nih.gov/37493840/" TargetMode="External"/><Relationship Id="rId1008" Type="http://schemas.openxmlformats.org/officeDocument/2006/relationships/hyperlink" Target="https://pubmed.ncbi.nlm.nih.gov/36979014/" TargetMode="External"/><Relationship Id="rId2339" Type="http://schemas.openxmlformats.org/officeDocument/2006/relationships/hyperlink" Target="https://pubmed.ncbi.nlm.nih.gov/36793462/" TargetMode="External"/><Relationship Id="rId1009" Type="http://schemas.openxmlformats.org/officeDocument/2006/relationships/hyperlink" Target="https://pubmed.ncbi.nlm.nih.gov/33638279/" TargetMode="External"/><Relationship Id="rId2330" Type="http://schemas.openxmlformats.org/officeDocument/2006/relationships/hyperlink" Target="https://pubmed.ncbi.nlm.nih.gov/37866720/" TargetMode="External"/><Relationship Id="rId1000" Type="http://schemas.openxmlformats.org/officeDocument/2006/relationships/hyperlink" Target="https://pubmed.ncbi.nlm.nih.gov/37214067/" TargetMode="External"/><Relationship Id="rId2331" Type="http://schemas.openxmlformats.org/officeDocument/2006/relationships/hyperlink" Target="https://pubmed.ncbi.nlm.nih.gov/35594334/" TargetMode="External"/><Relationship Id="rId1001" Type="http://schemas.openxmlformats.org/officeDocument/2006/relationships/hyperlink" Target="https://pubmed.ncbi.nlm.nih.gov/35863858/" TargetMode="External"/><Relationship Id="rId2332" Type="http://schemas.openxmlformats.org/officeDocument/2006/relationships/hyperlink" Target="https://pubmed.ncbi.nlm.nih.gov/34837336/" TargetMode="External"/><Relationship Id="rId1002" Type="http://schemas.openxmlformats.org/officeDocument/2006/relationships/hyperlink" Target="https://pubmed.ncbi.nlm.nih.gov/37090796/" TargetMode="External"/><Relationship Id="rId2333" Type="http://schemas.openxmlformats.org/officeDocument/2006/relationships/hyperlink" Target="https://pubmed.ncbi.nlm.nih.gov/21165421/" TargetMode="External"/><Relationship Id="rId1003" Type="http://schemas.openxmlformats.org/officeDocument/2006/relationships/hyperlink" Target="https://pubmed.ncbi.nlm.nih.gov/36561754/" TargetMode="External"/><Relationship Id="rId2334" Type="http://schemas.openxmlformats.org/officeDocument/2006/relationships/hyperlink" Target="https://pubmed.ncbi.nlm.nih.gov/37578732/" TargetMode="External"/><Relationship Id="rId1037" Type="http://schemas.openxmlformats.org/officeDocument/2006/relationships/hyperlink" Target="https://pubmed.ncbi.nlm.nih.gov/37047078/" TargetMode="External"/><Relationship Id="rId2368" Type="http://schemas.openxmlformats.org/officeDocument/2006/relationships/hyperlink" Target="https://pubmed.ncbi.nlm.nih.gov/36369323/" TargetMode="External"/><Relationship Id="rId1038" Type="http://schemas.openxmlformats.org/officeDocument/2006/relationships/hyperlink" Target="https://pubmed.ncbi.nlm.nih.gov/36929335/" TargetMode="External"/><Relationship Id="rId2369" Type="http://schemas.openxmlformats.org/officeDocument/2006/relationships/hyperlink" Target="https://pubmed.ncbi.nlm.nih.gov/36359198/" TargetMode="External"/><Relationship Id="rId1039" Type="http://schemas.openxmlformats.org/officeDocument/2006/relationships/hyperlink" Target="https://pubmed.ncbi.nlm.nih.gov/36495670/" TargetMode="External"/><Relationship Id="rId206" Type="http://schemas.openxmlformats.org/officeDocument/2006/relationships/hyperlink" Target="https://pubmed.ncbi.nlm.nih.gov/36777329/" TargetMode="External"/><Relationship Id="rId205" Type="http://schemas.openxmlformats.org/officeDocument/2006/relationships/hyperlink" Target="https://pubmed.ncbi.nlm.nih.gov/37076743/" TargetMode="External"/><Relationship Id="rId204" Type="http://schemas.openxmlformats.org/officeDocument/2006/relationships/hyperlink" Target="https://pubmed.ncbi.nlm.nih.gov/37909411/" TargetMode="External"/><Relationship Id="rId203" Type="http://schemas.openxmlformats.org/officeDocument/2006/relationships/hyperlink" Target="https://pubmed.ncbi.nlm.nih.gov/38474349/" TargetMode="External"/><Relationship Id="rId209" Type="http://schemas.openxmlformats.org/officeDocument/2006/relationships/hyperlink" Target="https://pubmed.ncbi.nlm.nih.gov/35698294/" TargetMode="External"/><Relationship Id="rId208" Type="http://schemas.openxmlformats.org/officeDocument/2006/relationships/hyperlink" Target="https://pubmed.ncbi.nlm.nih.gov/35800078/" TargetMode="External"/><Relationship Id="rId207" Type="http://schemas.openxmlformats.org/officeDocument/2006/relationships/hyperlink" Target="https://pubmed.ncbi.nlm.nih.gov/37041790/" TargetMode="External"/><Relationship Id="rId2360" Type="http://schemas.openxmlformats.org/officeDocument/2006/relationships/hyperlink" Target="https://pubmed.ncbi.nlm.nih.gov/36562828/" TargetMode="External"/><Relationship Id="rId1030" Type="http://schemas.openxmlformats.org/officeDocument/2006/relationships/hyperlink" Target="https://pubmed.ncbi.nlm.nih.gov/37018063/" TargetMode="External"/><Relationship Id="rId2361" Type="http://schemas.openxmlformats.org/officeDocument/2006/relationships/hyperlink" Target="https://pubmed.ncbi.nlm.nih.gov/34193632/" TargetMode="External"/><Relationship Id="rId1031" Type="http://schemas.openxmlformats.org/officeDocument/2006/relationships/hyperlink" Target="https://pubmed.ncbi.nlm.nih.gov/36401476/" TargetMode="External"/><Relationship Id="rId2362" Type="http://schemas.openxmlformats.org/officeDocument/2006/relationships/hyperlink" Target="https://pubmed.ncbi.nlm.nih.gov/38759478/" TargetMode="External"/><Relationship Id="rId1032" Type="http://schemas.openxmlformats.org/officeDocument/2006/relationships/hyperlink" Target="https://pubmed.ncbi.nlm.nih.gov/38940733/" TargetMode="External"/><Relationship Id="rId2363" Type="http://schemas.openxmlformats.org/officeDocument/2006/relationships/hyperlink" Target="https://pubmed.ncbi.nlm.nih.gov/39039318/" TargetMode="External"/><Relationship Id="rId202" Type="http://schemas.openxmlformats.org/officeDocument/2006/relationships/hyperlink" Target="https://pubmed.ncbi.nlm.nih.gov/38805733/" TargetMode="External"/><Relationship Id="rId1033" Type="http://schemas.openxmlformats.org/officeDocument/2006/relationships/hyperlink" Target="https://pubmed.ncbi.nlm.nih.gov/38041552/" TargetMode="External"/><Relationship Id="rId2364" Type="http://schemas.openxmlformats.org/officeDocument/2006/relationships/hyperlink" Target="https://pubmed.ncbi.nlm.nih.gov/38791077/" TargetMode="External"/><Relationship Id="rId201" Type="http://schemas.openxmlformats.org/officeDocument/2006/relationships/hyperlink" Target="https://pubmed.ncbi.nlm.nih.gov/38329020/" TargetMode="External"/><Relationship Id="rId1034" Type="http://schemas.openxmlformats.org/officeDocument/2006/relationships/hyperlink" Target="https://pubmed.ncbi.nlm.nih.gov/35137532/" TargetMode="External"/><Relationship Id="rId2365" Type="http://schemas.openxmlformats.org/officeDocument/2006/relationships/hyperlink" Target="https://pubmed.ncbi.nlm.nih.gov/37847246/" TargetMode="External"/><Relationship Id="rId200" Type="http://schemas.openxmlformats.org/officeDocument/2006/relationships/hyperlink" Target="https://pubmed.ncbi.nlm.nih.gov/38952831/" TargetMode="External"/><Relationship Id="rId1035" Type="http://schemas.openxmlformats.org/officeDocument/2006/relationships/hyperlink" Target="https://pubmed.ncbi.nlm.nih.gov/37891903/" TargetMode="External"/><Relationship Id="rId2366" Type="http://schemas.openxmlformats.org/officeDocument/2006/relationships/hyperlink" Target="https://pubmed.ncbi.nlm.nih.gov/37753995/" TargetMode="External"/><Relationship Id="rId1036" Type="http://schemas.openxmlformats.org/officeDocument/2006/relationships/hyperlink" Target="https://pubmed.ncbi.nlm.nih.gov/37738370/" TargetMode="External"/><Relationship Id="rId2367" Type="http://schemas.openxmlformats.org/officeDocument/2006/relationships/hyperlink" Target="https://www.mdpi.com/2077-0383/12/8/2945" TargetMode="External"/><Relationship Id="rId1026" Type="http://schemas.openxmlformats.org/officeDocument/2006/relationships/hyperlink" Target="https://pubmed.ncbi.nlm.nih.gov/37976237/" TargetMode="External"/><Relationship Id="rId2357" Type="http://schemas.openxmlformats.org/officeDocument/2006/relationships/hyperlink" Target="https://pubmed.ncbi.nlm.nih.gov/34762533/" TargetMode="External"/><Relationship Id="rId1027" Type="http://schemas.openxmlformats.org/officeDocument/2006/relationships/hyperlink" Target="https://pubmed.ncbi.nlm.nih.gov/37947919/" TargetMode="External"/><Relationship Id="rId2358" Type="http://schemas.openxmlformats.org/officeDocument/2006/relationships/hyperlink" Target="https://pubmed.ncbi.nlm.nih.gov/38291819/" TargetMode="External"/><Relationship Id="rId1028" Type="http://schemas.openxmlformats.org/officeDocument/2006/relationships/hyperlink" Target="https://pubmed.ncbi.nlm.nih.gov/37191785/" TargetMode="External"/><Relationship Id="rId2359" Type="http://schemas.openxmlformats.org/officeDocument/2006/relationships/hyperlink" Target="https://pubmed.ncbi.nlm.nih.gov/35768101/" TargetMode="External"/><Relationship Id="rId1029" Type="http://schemas.openxmlformats.org/officeDocument/2006/relationships/hyperlink" Target="https://pubmed.ncbi.nlm.nih.gov/37149582/" TargetMode="External"/><Relationship Id="rId2350" Type="http://schemas.openxmlformats.org/officeDocument/2006/relationships/hyperlink" Target="https://pubmed.ncbi.nlm.nih.gov/32899089/" TargetMode="External"/><Relationship Id="rId1020" Type="http://schemas.openxmlformats.org/officeDocument/2006/relationships/hyperlink" Target="https://pubmed.ncbi.nlm.nih.gov/22104195/" TargetMode="External"/><Relationship Id="rId2351" Type="http://schemas.openxmlformats.org/officeDocument/2006/relationships/hyperlink" Target="https://pubmed.ncbi.nlm.nih.gov/32751064/" TargetMode="External"/><Relationship Id="rId1021" Type="http://schemas.openxmlformats.org/officeDocument/2006/relationships/hyperlink" Target="https://pubmed.ncbi.nlm.nih.gov/35914465/" TargetMode="External"/><Relationship Id="rId2352" Type="http://schemas.openxmlformats.org/officeDocument/2006/relationships/hyperlink" Target="https://pubmed.ncbi.nlm.nih.gov/32769919/" TargetMode="External"/><Relationship Id="rId1022" Type="http://schemas.openxmlformats.org/officeDocument/2006/relationships/hyperlink" Target="https://pubmed.ncbi.nlm.nih.gov/34989417/" TargetMode="External"/><Relationship Id="rId2353" Type="http://schemas.openxmlformats.org/officeDocument/2006/relationships/hyperlink" Target="https://pubmed.ncbi.nlm.nih.gov/32680739/" TargetMode="External"/><Relationship Id="rId1023" Type="http://schemas.openxmlformats.org/officeDocument/2006/relationships/hyperlink" Target="https://pubmed.ncbi.nlm.nih.gov/34476655/" TargetMode="External"/><Relationship Id="rId2354" Type="http://schemas.openxmlformats.org/officeDocument/2006/relationships/hyperlink" Target="https://pubmed.ncbi.nlm.nih.gov/34053000/" TargetMode="External"/><Relationship Id="rId1024" Type="http://schemas.openxmlformats.org/officeDocument/2006/relationships/hyperlink" Target="https://pubmed.ncbi.nlm.nih.gov/30524392/" TargetMode="External"/><Relationship Id="rId2355" Type="http://schemas.openxmlformats.org/officeDocument/2006/relationships/hyperlink" Target="http://www.bioline.org.br/pdf?rb07034" TargetMode="External"/><Relationship Id="rId1025" Type="http://schemas.openxmlformats.org/officeDocument/2006/relationships/hyperlink" Target="https://pubmed.ncbi.nlm.nih.gov/24858646/" TargetMode="External"/><Relationship Id="rId2356" Type="http://schemas.openxmlformats.org/officeDocument/2006/relationships/hyperlink" Target="https://pubmed.ncbi.nlm.nih.gov/32738748/" TargetMode="External"/><Relationship Id="rId1910" Type="http://schemas.openxmlformats.org/officeDocument/2006/relationships/hyperlink" Target="https://www.sciencedirect.com/science/article/pii/S2666354620300053" TargetMode="External"/><Relationship Id="rId1911" Type="http://schemas.openxmlformats.org/officeDocument/2006/relationships/hyperlink" Target="https://pubmed.ncbi.nlm.nih.gov/38131681/" TargetMode="External"/><Relationship Id="rId1912" Type="http://schemas.openxmlformats.org/officeDocument/2006/relationships/hyperlink" Target="https://pubmed.ncbi.nlm.nih.gov/37583499/" TargetMode="External"/><Relationship Id="rId1913" Type="http://schemas.openxmlformats.org/officeDocument/2006/relationships/hyperlink" Target="https://pubmed.ncbi.nlm.nih.gov/35345811/" TargetMode="External"/><Relationship Id="rId1914" Type="http://schemas.openxmlformats.org/officeDocument/2006/relationships/hyperlink" Target="https://pubmed.ncbi.nlm.nih.gov/37604216/" TargetMode="External"/><Relationship Id="rId1915" Type="http://schemas.openxmlformats.org/officeDocument/2006/relationships/hyperlink" Target="https://pubmed.ncbi.nlm.nih.gov/34778592/" TargetMode="External"/><Relationship Id="rId1916" Type="http://schemas.openxmlformats.org/officeDocument/2006/relationships/hyperlink" Target="https://pubmed.ncbi.nlm.nih.gov/37089768/" TargetMode="External"/><Relationship Id="rId1917" Type="http://schemas.openxmlformats.org/officeDocument/2006/relationships/hyperlink" Target="https://pubmed.ncbi.nlm.nih.gov/36707888/" TargetMode="External"/><Relationship Id="rId1918" Type="http://schemas.openxmlformats.org/officeDocument/2006/relationships/hyperlink" Target="https://pubmed.ncbi.nlm.nih.gov/36743132/" TargetMode="External"/><Relationship Id="rId1919" Type="http://schemas.openxmlformats.org/officeDocument/2006/relationships/hyperlink" Target="https://pubmed.ncbi.nlm.nih.gov/33828875/" TargetMode="External"/><Relationship Id="rId1900" Type="http://schemas.openxmlformats.org/officeDocument/2006/relationships/hyperlink" Target="https://pubmed.ncbi.nlm.nih.gov/37610457/" TargetMode="External"/><Relationship Id="rId1901" Type="http://schemas.openxmlformats.org/officeDocument/2006/relationships/hyperlink" Target="https://pubmed.ncbi.nlm.nih.gov/37070708/" TargetMode="External"/><Relationship Id="rId1902" Type="http://schemas.openxmlformats.org/officeDocument/2006/relationships/hyperlink" Target="https://pubmed.ncbi.nlm.nih.gov/35690502/" TargetMode="External"/><Relationship Id="rId1903" Type="http://schemas.openxmlformats.org/officeDocument/2006/relationships/hyperlink" Target="https://pubmed.ncbi.nlm.nih.gov/34791563/" TargetMode="External"/><Relationship Id="rId1904" Type="http://schemas.openxmlformats.org/officeDocument/2006/relationships/hyperlink" Target="https://pubmed.ncbi.nlm.nih.gov/34238645/" TargetMode="External"/><Relationship Id="rId1905" Type="http://schemas.openxmlformats.org/officeDocument/2006/relationships/hyperlink" Target="https://pubmed.ncbi.nlm.nih.gov/33358708/" TargetMode="External"/><Relationship Id="rId1906" Type="http://schemas.openxmlformats.org/officeDocument/2006/relationships/hyperlink" Target="https://pubmed.ncbi.nlm.nih.gov/33026973/" TargetMode="External"/><Relationship Id="rId1907" Type="http://schemas.openxmlformats.org/officeDocument/2006/relationships/hyperlink" Target="https://pubmed.ncbi.nlm.nih.gov/18088730/" TargetMode="External"/><Relationship Id="rId1908" Type="http://schemas.openxmlformats.org/officeDocument/2006/relationships/hyperlink" Target="https://pubmed.ncbi.nlm.nih.gov/38722392/" TargetMode="External"/><Relationship Id="rId1909" Type="http://schemas.openxmlformats.org/officeDocument/2006/relationships/hyperlink" Target="https://pubmed.ncbi.nlm.nih.gov/37340216/" TargetMode="External"/><Relationship Id="rId1090" Type="http://schemas.openxmlformats.org/officeDocument/2006/relationships/hyperlink" Target="https://pubmed.ncbi.nlm.nih.gov/36156751/" TargetMode="External"/><Relationship Id="rId1091" Type="http://schemas.openxmlformats.org/officeDocument/2006/relationships/hyperlink" Target="https://pubmed.ncbi.nlm.nih.gov/32519204/" TargetMode="External"/><Relationship Id="rId1092" Type="http://schemas.openxmlformats.org/officeDocument/2006/relationships/hyperlink" Target="https://pubmed.ncbi.nlm.nih.gov/9093779/" TargetMode="External"/><Relationship Id="rId1093" Type="http://schemas.openxmlformats.org/officeDocument/2006/relationships/hyperlink" Target="https://pubmed.ncbi.nlm.nih.gov/34599401/" TargetMode="External"/><Relationship Id="rId1094" Type="http://schemas.openxmlformats.org/officeDocument/2006/relationships/hyperlink" Target="https://pubmed.ncbi.nlm.nih.gov/24715926/" TargetMode="External"/><Relationship Id="rId1095" Type="http://schemas.openxmlformats.org/officeDocument/2006/relationships/hyperlink" Target="https://pubmed.ncbi.nlm.nih.gov/23990845/" TargetMode="External"/><Relationship Id="rId1096" Type="http://schemas.openxmlformats.org/officeDocument/2006/relationships/hyperlink" Target="https://pubmed.ncbi.nlm.nih.gov/20201664/" TargetMode="External"/><Relationship Id="rId1097" Type="http://schemas.openxmlformats.org/officeDocument/2006/relationships/hyperlink" Target="https://pubmed.ncbi.nlm.nih.gov/38041518/" TargetMode="External"/><Relationship Id="rId1098" Type="http://schemas.openxmlformats.org/officeDocument/2006/relationships/hyperlink" Target="https://pubmed.ncbi.nlm.nih.gov/34363129/" TargetMode="External"/><Relationship Id="rId1099" Type="http://schemas.openxmlformats.org/officeDocument/2006/relationships/hyperlink" Target="https://pubmed.ncbi.nlm.nih.gov/32548098/" TargetMode="External"/><Relationship Id="rId1080" Type="http://schemas.openxmlformats.org/officeDocument/2006/relationships/hyperlink" Target="https://pubmed.ncbi.nlm.nih.gov/36040390/" TargetMode="External"/><Relationship Id="rId1081" Type="http://schemas.openxmlformats.org/officeDocument/2006/relationships/hyperlink" Target="https://pubmed.ncbi.nlm.nih.gov/38433159/" TargetMode="External"/><Relationship Id="rId1082" Type="http://schemas.openxmlformats.org/officeDocument/2006/relationships/hyperlink" Target="https://content.iospress.com/articles/journal-of-x-ray-science-and-technology/xst00239" TargetMode="External"/><Relationship Id="rId1083" Type="http://schemas.openxmlformats.org/officeDocument/2006/relationships/hyperlink" Target="https://pubmed.ncbi.nlm.nih.gov/32656732/" TargetMode="External"/><Relationship Id="rId1084" Type="http://schemas.openxmlformats.org/officeDocument/2006/relationships/hyperlink" Target="https://pubmed.ncbi.nlm.nih.gov/25941421/" TargetMode="External"/><Relationship Id="rId1085" Type="http://schemas.openxmlformats.org/officeDocument/2006/relationships/hyperlink" Target="https://pubmed.ncbi.nlm.nih.gov/25699161/" TargetMode="External"/><Relationship Id="rId1086" Type="http://schemas.openxmlformats.org/officeDocument/2006/relationships/hyperlink" Target="https://pubmed.ncbi.nlm.nih.gov/38511763/" TargetMode="External"/><Relationship Id="rId1087" Type="http://schemas.openxmlformats.org/officeDocument/2006/relationships/hyperlink" Target="https://pubmed.ncbi.nlm.nih.gov/37762594/" TargetMode="External"/><Relationship Id="rId1088" Type="http://schemas.openxmlformats.org/officeDocument/2006/relationships/hyperlink" Target="https://pubmed.ncbi.nlm.nih.gov/37235114/" TargetMode="External"/><Relationship Id="rId1089" Type="http://schemas.openxmlformats.org/officeDocument/2006/relationships/hyperlink" Target="https://pubmed.ncbi.nlm.nih.gov/36310376/" TargetMode="External"/><Relationship Id="rId1972" Type="http://schemas.openxmlformats.org/officeDocument/2006/relationships/hyperlink" Target="https://pubmed.ncbi.nlm.nih.gov/36846638/" TargetMode="External"/><Relationship Id="rId1973" Type="http://schemas.openxmlformats.org/officeDocument/2006/relationships/hyperlink" Target="https://pubmed.ncbi.nlm.nih.gov/35692967/" TargetMode="External"/><Relationship Id="rId1974" Type="http://schemas.openxmlformats.org/officeDocument/2006/relationships/hyperlink" Target="https://pubmed.ncbi.nlm.nih.gov/35659655/" TargetMode="External"/><Relationship Id="rId1975" Type="http://schemas.openxmlformats.org/officeDocument/2006/relationships/hyperlink" Target="https://pubmed.ncbi.nlm.nih.gov/35552386/" TargetMode="External"/><Relationship Id="rId1976" Type="http://schemas.openxmlformats.org/officeDocument/2006/relationships/hyperlink" Target="https://pubmed.ncbi.nlm.nih.gov/35455787/" TargetMode="External"/><Relationship Id="rId1977" Type="http://schemas.openxmlformats.org/officeDocument/2006/relationships/hyperlink" Target="https://pubmed.ncbi.nlm.nih.gov/33518440/" TargetMode="External"/><Relationship Id="rId1978" Type="http://schemas.openxmlformats.org/officeDocument/2006/relationships/hyperlink" Target="https://pubmed.ncbi.nlm.nih.gov/33610485/" TargetMode="External"/><Relationship Id="rId1979" Type="http://schemas.openxmlformats.org/officeDocument/2006/relationships/hyperlink" Target="https://www.ncbi.nlm.nih.gov/pubmed/32399713" TargetMode="External"/><Relationship Id="rId1970" Type="http://schemas.openxmlformats.org/officeDocument/2006/relationships/hyperlink" Target="https://pubmed.ncbi.nlm.nih.gov/38412960/" TargetMode="External"/><Relationship Id="rId1971" Type="http://schemas.openxmlformats.org/officeDocument/2006/relationships/hyperlink" Target="https://pubmed.ncbi.nlm.nih.gov/36981521/" TargetMode="External"/><Relationship Id="rId1961" Type="http://schemas.openxmlformats.org/officeDocument/2006/relationships/hyperlink" Target="https://pubmed.ncbi.nlm.nih.gov/35082475/" TargetMode="External"/><Relationship Id="rId1962" Type="http://schemas.openxmlformats.org/officeDocument/2006/relationships/hyperlink" Target="https://pubmed.ncbi.nlm.nih.gov/35054430/" TargetMode="External"/><Relationship Id="rId1963" Type="http://schemas.openxmlformats.org/officeDocument/2006/relationships/hyperlink" Target="https://pubmed.ncbi.nlm.nih.gov/33294968/" TargetMode="External"/><Relationship Id="rId1964" Type="http://schemas.openxmlformats.org/officeDocument/2006/relationships/hyperlink" Target="https://www.ncbi.nlm.nih.gov/pmc/articles/PMC7811931/" TargetMode="External"/><Relationship Id="rId1965" Type="http://schemas.openxmlformats.org/officeDocument/2006/relationships/hyperlink" Target="https://pubmed.ncbi.nlm.nih.gov/33995967/" TargetMode="External"/><Relationship Id="rId1966" Type="http://schemas.openxmlformats.org/officeDocument/2006/relationships/hyperlink" Target="https://pubmed.ncbi.nlm.nih.gov/32901379/" TargetMode="External"/><Relationship Id="rId1967" Type="http://schemas.openxmlformats.org/officeDocument/2006/relationships/hyperlink" Target="https://pubmed.ncbi.nlm.nih.gov/26229946/" TargetMode="External"/><Relationship Id="rId1968" Type="http://schemas.openxmlformats.org/officeDocument/2006/relationships/hyperlink" Target="https://pubmed.ncbi.nlm.nih.gov/23116502/" TargetMode="External"/><Relationship Id="rId1969" Type="http://schemas.openxmlformats.org/officeDocument/2006/relationships/hyperlink" Target="https://pubmed.ncbi.nlm.nih.gov/38717840/" TargetMode="External"/><Relationship Id="rId1960" Type="http://schemas.openxmlformats.org/officeDocument/2006/relationships/hyperlink" Target="https://pubmed.ncbi.nlm.nih.gov/35545921/" TargetMode="External"/><Relationship Id="rId1994" Type="http://schemas.openxmlformats.org/officeDocument/2006/relationships/hyperlink" Target="https://pubmed.ncbi.nlm.nih.gov/37578665/" TargetMode="External"/><Relationship Id="rId1995" Type="http://schemas.openxmlformats.org/officeDocument/2006/relationships/hyperlink" Target="https://pubmed.ncbi.nlm.nih.gov/37509176/" TargetMode="External"/><Relationship Id="rId1996" Type="http://schemas.openxmlformats.org/officeDocument/2006/relationships/hyperlink" Target="https://pubmed.ncbi.nlm.nih.gov/37162171/" TargetMode="External"/><Relationship Id="rId1997" Type="http://schemas.openxmlformats.org/officeDocument/2006/relationships/hyperlink" Target="https://pubmed.ncbi.nlm.nih.gov/37339352/" TargetMode="External"/><Relationship Id="rId1998" Type="http://schemas.openxmlformats.org/officeDocument/2006/relationships/hyperlink" Target="https://pubmed.ncbi.nlm.nih.gov/37351405/" TargetMode="External"/><Relationship Id="rId1999" Type="http://schemas.openxmlformats.org/officeDocument/2006/relationships/hyperlink" Target="https://pubmed.ncbi.nlm.nih.gov/37459611/" TargetMode="External"/><Relationship Id="rId1990" Type="http://schemas.openxmlformats.org/officeDocument/2006/relationships/hyperlink" Target="https://pubmed.ncbi.nlm.nih.gov/37954770/" TargetMode="External"/><Relationship Id="rId1991" Type="http://schemas.openxmlformats.org/officeDocument/2006/relationships/hyperlink" Target="https://pubmed.ncbi.nlm.nih.gov/37767746/" TargetMode="External"/><Relationship Id="rId1992" Type="http://schemas.openxmlformats.org/officeDocument/2006/relationships/hyperlink" Target="https://pubmed.ncbi.nlm.nih.gov/37664315/" TargetMode="External"/><Relationship Id="rId1993" Type="http://schemas.openxmlformats.org/officeDocument/2006/relationships/hyperlink" Target="https://pubmed.ncbi.nlm.nih.gov/37667064/" TargetMode="External"/><Relationship Id="rId1983" Type="http://schemas.openxmlformats.org/officeDocument/2006/relationships/hyperlink" Target="https://pubmed.ncbi.nlm.nih.gov/38836768/" TargetMode="External"/><Relationship Id="rId1984" Type="http://schemas.openxmlformats.org/officeDocument/2006/relationships/hyperlink" Target="https://pubmed.ncbi.nlm.nih.gov/38842738/" TargetMode="External"/><Relationship Id="rId1985" Type="http://schemas.openxmlformats.org/officeDocument/2006/relationships/hyperlink" Target="https://pubmed.ncbi.nlm.nih.gov/38595506/" TargetMode="External"/><Relationship Id="rId1986" Type="http://schemas.openxmlformats.org/officeDocument/2006/relationships/hyperlink" Target="https://pubmed.ncbi.nlm.nih.gov/38800347/" TargetMode="External"/><Relationship Id="rId1987" Type="http://schemas.openxmlformats.org/officeDocument/2006/relationships/hyperlink" Target="https://pubmed.ncbi.nlm.nih.gov/38414606/" TargetMode="External"/><Relationship Id="rId1988" Type="http://schemas.openxmlformats.org/officeDocument/2006/relationships/hyperlink" Target="https://pubmed.ncbi.nlm.nih.gov/38297232/" TargetMode="External"/><Relationship Id="rId1989" Type="http://schemas.openxmlformats.org/officeDocument/2006/relationships/hyperlink" Target="https://pubmed.ncbi.nlm.nih.gov/38229945/" TargetMode="External"/><Relationship Id="rId1980" Type="http://schemas.openxmlformats.org/officeDocument/2006/relationships/hyperlink" Target="https://pubmed.ncbi.nlm.nih.gov/37579132/" TargetMode="External"/><Relationship Id="rId1981" Type="http://schemas.openxmlformats.org/officeDocument/2006/relationships/hyperlink" Target="https://pubmed.ncbi.nlm.nih.gov/35720777/" TargetMode="External"/><Relationship Id="rId1982" Type="http://schemas.openxmlformats.org/officeDocument/2006/relationships/hyperlink" Target="https://pubmed.ncbi.nlm.nih.gov/39035342/" TargetMode="External"/><Relationship Id="rId1930" Type="http://schemas.openxmlformats.org/officeDocument/2006/relationships/hyperlink" Target="https://pubmed.ncbi.nlm.nih.gov/38420010/" TargetMode="External"/><Relationship Id="rId1931" Type="http://schemas.openxmlformats.org/officeDocument/2006/relationships/hyperlink" Target="https://pubmed.ncbi.nlm.nih.gov/38308275/" TargetMode="External"/><Relationship Id="rId1932" Type="http://schemas.openxmlformats.org/officeDocument/2006/relationships/hyperlink" Target="https://pubmed.ncbi.nlm.nih.gov/38168817/" TargetMode="External"/><Relationship Id="rId1933" Type="http://schemas.openxmlformats.org/officeDocument/2006/relationships/hyperlink" Target="https://pubmed.ncbi.nlm.nih.gov/38192530/" TargetMode="External"/><Relationship Id="rId1934" Type="http://schemas.openxmlformats.org/officeDocument/2006/relationships/hyperlink" Target="https://pubmed.ncbi.nlm.nih.gov/35695995/" TargetMode="External"/><Relationship Id="rId1935" Type="http://schemas.openxmlformats.org/officeDocument/2006/relationships/hyperlink" Target="https://pubmed.ncbi.nlm.nih.gov/35747204/" TargetMode="External"/><Relationship Id="rId1936" Type="http://schemas.openxmlformats.org/officeDocument/2006/relationships/hyperlink" Target="https://pubmed.ncbi.nlm.nih.gov/35749950/" TargetMode="External"/><Relationship Id="rId1937" Type="http://schemas.openxmlformats.org/officeDocument/2006/relationships/hyperlink" Target="https://pubmed.ncbi.nlm.nih.gov/35766588/" TargetMode="External"/><Relationship Id="rId1938" Type="http://schemas.openxmlformats.org/officeDocument/2006/relationships/hyperlink" Target="https://pubmed.ncbi.nlm.nih.gov/38738002/" TargetMode="External"/><Relationship Id="rId1939" Type="http://schemas.openxmlformats.org/officeDocument/2006/relationships/hyperlink" Target="https://pubmed.ncbi.nlm.nih.gov/35110003/" TargetMode="External"/><Relationship Id="rId1920" Type="http://schemas.openxmlformats.org/officeDocument/2006/relationships/hyperlink" Target="https://pubmed.ncbi.nlm.nih.gov/33586080/" TargetMode="External"/><Relationship Id="rId1921" Type="http://schemas.openxmlformats.org/officeDocument/2006/relationships/hyperlink" Target="https://pubmed.ncbi.nlm.nih.gov/34114609/" TargetMode="External"/><Relationship Id="rId1922" Type="http://schemas.openxmlformats.org/officeDocument/2006/relationships/hyperlink" Target="https://pubmed.ncbi.nlm.nih.gov/34797730/" TargetMode="External"/><Relationship Id="rId1923" Type="http://schemas.openxmlformats.org/officeDocument/2006/relationships/hyperlink" Target="https://pubmed.ncbi.nlm.nih.gov/32423127/" TargetMode="External"/><Relationship Id="rId1924" Type="http://schemas.openxmlformats.org/officeDocument/2006/relationships/hyperlink" Target="https://pubmed.ncbi.nlm.nih.gov/33026974/" TargetMode="External"/><Relationship Id="rId1925" Type="http://schemas.openxmlformats.org/officeDocument/2006/relationships/hyperlink" Target="https://pubmed.ncbi.nlm.nih.gov/37081363/" TargetMode="External"/><Relationship Id="rId1926" Type="http://schemas.openxmlformats.org/officeDocument/2006/relationships/hyperlink" Target="https://pubmed.ncbi.nlm.nih.gov/34599400/" TargetMode="External"/><Relationship Id="rId1927" Type="http://schemas.openxmlformats.org/officeDocument/2006/relationships/hyperlink" Target="https://pubmed.ncbi.nlm.nih.gov/25237620/" TargetMode="External"/><Relationship Id="rId1928" Type="http://schemas.openxmlformats.org/officeDocument/2006/relationships/hyperlink" Target="https://pubmed.ncbi.nlm.nih.gov/38683401/" TargetMode="External"/><Relationship Id="rId1929" Type="http://schemas.openxmlformats.org/officeDocument/2006/relationships/hyperlink" Target="https://pubmed.ncbi.nlm.nih.gov/38386625/" TargetMode="External"/><Relationship Id="rId1950" Type="http://schemas.openxmlformats.org/officeDocument/2006/relationships/hyperlink" Target="https://pubmed.ncbi.nlm.nih.gov/32554911/" TargetMode="External"/><Relationship Id="rId1951" Type="http://schemas.openxmlformats.org/officeDocument/2006/relationships/hyperlink" Target="https://pubmed.ncbi.nlm.nih.gov/32582010/" TargetMode="External"/><Relationship Id="rId1952" Type="http://schemas.openxmlformats.org/officeDocument/2006/relationships/hyperlink" Target="https://pubmed.ncbi.nlm.nih.gov/27721564/" TargetMode="External"/><Relationship Id="rId1953" Type="http://schemas.openxmlformats.org/officeDocument/2006/relationships/hyperlink" Target="https://pubmed.ncbi.nlm.nih.gov/38494247/" TargetMode="External"/><Relationship Id="rId1954" Type="http://schemas.openxmlformats.org/officeDocument/2006/relationships/hyperlink" Target="https://pubmed.ncbi.nlm.nih.gov/34009424/" TargetMode="External"/><Relationship Id="rId1955" Type="http://schemas.openxmlformats.org/officeDocument/2006/relationships/hyperlink" Target="https://pubmed.ncbi.nlm.nih.gov/33723980/" TargetMode="External"/><Relationship Id="rId1956" Type="http://schemas.openxmlformats.org/officeDocument/2006/relationships/hyperlink" Target="https://pubmed.ncbi.nlm.nih.gov/35966907/" TargetMode="External"/><Relationship Id="rId1957" Type="http://schemas.openxmlformats.org/officeDocument/2006/relationships/hyperlink" Target="https://pubmed.ncbi.nlm.nih.gov/35996494/" TargetMode="External"/><Relationship Id="rId1958" Type="http://schemas.openxmlformats.org/officeDocument/2006/relationships/hyperlink" Target="https://pubmed.ncbi.nlm.nih.gov/36424808/'" TargetMode="External"/><Relationship Id="rId1959" Type="http://schemas.openxmlformats.org/officeDocument/2006/relationships/hyperlink" Target="https://pubmed.ncbi.nlm.nih.gov/35996495/" TargetMode="External"/><Relationship Id="rId1940" Type="http://schemas.openxmlformats.org/officeDocument/2006/relationships/hyperlink" Target="https://pubmed.ncbi.nlm.nih.gov/34662524/" TargetMode="External"/><Relationship Id="rId1941" Type="http://schemas.openxmlformats.org/officeDocument/2006/relationships/hyperlink" Target="https://pubmed.ncbi.nlm.nih.gov/34733752/" TargetMode="External"/><Relationship Id="rId1942" Type="http://schemas.openxmlformats.org/officeDocument/2006/relationships/hyperlink" Target="https://pubmed.ncbi.nlm.nih.gov/34328796/" TargetMode="External"/><Relationship Id="rId1943" Type="http://schemas.openxmlformats.org/officeDocument/2006/relationships/hyperlink" Target="https://pubmed.ncbi.nlm.nih.gov/34084734/" TargetMode="External"/><Relationship Id="rId1944" Type="http://schemas.openxmlformats.org/officeDocument/2006/relationships/hyperlink" Target="https://pubmed.ncbi.nlm.nih.gov/33796965/" TargetMode="External"/><Relationship Id="rId1945" Type="http://schemas.openxmlformats.org/officeDocument/2006/relationships/hyperlink" Target="https://pubmed.ncbi.nlm.nih.gov/33060065/" TargetMode="External"/><Relationship Id="rId1946" Type="http://schemas.openxmlformats.org/officeDocument/2006/relationships/hyperlink" Target="https://pubmed.ncbi.nlm.nih.gov/32690001/" TargetMode="External"/><Relationship Id="rId1947" Type="http://schemas.openxmlformats.org/officeDocument/2006/relationships/hyperlink" Target="https://pubmed.ncbi.nlm.nih.gov/34434019/" TargetMode="External"/><Relationship Id="rId1948" Type="http://schemas.openxmlformats.org/officeDocument/2006/relationships/hyperlink" Target="https://pubmed.ncbi.nlm.nih.gov/32554914/" TargetMode="External"/><Relationship Id="rId1949" Type="http://schemas.openxmlformats.org/officeDocument/2006/relationships/hyperlink" Target="https://pubmed.ncbi.nlm.nih.gov/32596367/" TargetMode="External"/><Relationship Id="rId2423" Type="http://schemas.openxmlformats.org/officeDocument/2006/relationships/hyperlink" Target="https://pubmed.ncbi.nlm.nih.gov/37889310/" TargetMode="External"/><Relationship Id="rId2424" Type="http://schemas.openxmlformats.org/officeDocument/2006/relationships/hyperlink" Target="https://pubmed.ncbi.nlm.nih.gov/37160475/" TargetMode="External"/><Relationship Id="rId2425" Type="http://schemas.openxmlformats.org/officeDocument/2006/relationships/hyperlink" Target="https://pubmed.ncbi.nlm.nih.gov/37332186/" TargetMode="External"/><Relationship Id="rId2426" Type="http://schemas.openxmlformats.org/officeDocument/2006/relationships/hyperlink" Target="https://pubmed.ncbi.nlm.nih.gov/37475184/" TargetMode="External"/><Relationship Id="rId2427" Type="http://schemas.openxmlformats.org/officeDocument/2006/relationships/hyperlink" Target="https://pubmed.ncbi.nlm.nih.gov/33890191/" TargetMode="External"/><Relationship Id="rId2428" Type="http://schemas.openxmlformats.org/officeDocument/2006/relationships/hyperlink" Target="https://pubmed.ncbi.nlm.nih.gov/33409751/" TargetMode="External"/><Relationship Id="rId2429" Type="http://schemas.openxmlformats.org/officeDocument/2006/relationships/hyperlink" Target="https://pubmed.ncbi.nlm.nih.gov/33155161/" TargetMode="External"/><Relationship Id="rId509" Type="http://schemas.openxmlformats.org/officeDocument/2006/relationships/hyperlink" Target="https://pubmed.ncbi.nlm.nih.gov/33803396/" TargetMode="External"/><Relationship Id="rId508" Type="http://schemas.openxmlformats.org/officeDocument/2006/relationships/hyperlink" Target="https://pubmed.ncbi.nlm.nih.gov/33577376/" TargetMode="External"/><Relationship Id="rId503" Type="http://schemas.openxmlformats.org/officeDocument/2006/relationships/hyperlink" Target="https://pubmed.ncbi.nlm.nih.gov/37059895/" TargetMode="External"/><Relationship Id="rId502" Type="http://schemas.openxmlformats.org/officeDocument/2006/relationships/hyperlink" Target="https://pubmed.ncbi.nlm.nih.gov/38150176/" TargetMode="External"/><Relationship Id="rId501" Type="http://schemas.openxmlformats.org/officeDocument/2006/relationships/hyperlink" Target="https://pubmed.ncbi.nlm.nih.gov/28941776/" TargetMode="External"/><Relationship Id="rId500" Type="http://schemas.openxmlformats.org/officeDocument/2006/relationships/hyperlink" Target="https://pubmed.ncbi.nlm.nih.gov/33951300/" TargetMode="External"/><Relationship Id="rId507" Type="http://schemas.openxmlformats.org/officeDocument/2006/relationships/hyperlink" Target="https://pubmed.ncbi.nlm.nih.gov/18204188/" TargetMode="External"/><Relationship Id="rId506" Type="http://schemas.openxmlformats.org/officeDocument/2006/relationships/hyperlink" Target="https://pubmed.ncbi.nlm.nih.gov/27347336/" TargetMode="External"/><Relationship Id="rId505" Type="http://schemas.openxmlformats.org/officeDocument/2006/relationships/hyperlink" Target="https://pubmed.ncbi.nlm.nih.gov/29710746/" TargetMode="External"/><Relationship Id="rId504" Type="http://schemas.openxmlformats.org/officeDocument/2006/relationships/hyperlink" Target="https://pubmed.ncbi.nlm.nih.gov/33995970/" TargetMode="External"/><Relationship Id="rId2420" Type="http://schemas.openxmlformats.org/officeDocument/2006/relationships/hyperlink" Target="https://pubmed.ncbi.nlm.nih.gov/35629324/" TargetMode="External"/><Relationship Id="rId2421" Type="http://schemas.openxmlformats.org/officeDocument/2006/relationships/hyperlink" Target="https://pubmed.ncbi.nlm.nih.gov/34767117/" TargetMode="External"/><Relationship Id="rId2422" Type="http://schemas.openxmlformats.org/officeDocument/2006/relationships/hyperlink" Target="https://pubmed.ncbi.nlm.nih.gov/34733743/" TargetMode="External"/><Relationship Id="rId2412" Type="http://schemas.openxmlformats.org/officeDocument/2006/relationships/hyperlink" Target="https://pubmed.ncbi.nlm.nih.gov/38262865/" TargetMode="External"/><Relationship Id="rId2413" Type="http://schemas.openxmlformats.org/officeDocument/2006/relationships/hyperlink" Target="https://pubmed.ncbi.nlm.nih.gov/37812850/" TargetMode="External"/><Relationship Id="rId2414" Type="http://schemas.openxmlformats.org/officeDocument/2006/relationships/hyperlink" Target="https://pubmed.ncbi.nlm.nih.gov/37829623/" TargetMode="External"/><Relationship Id="rId2415" Type="http://schemas.openxmlformats.org/officeDocument/2006/relationships/hyperlink" Target="https://pubmed.ncbi.nlm.nih.gov/37653525/" TargetMode="External"/><Relationship Id="rId2416" Type="http://schemas.openxmlformats.org/officeDocument/2006/relationships/hyperlink" Target="https://pubmed.ncbi.nlm.nih.gov/37041770/" TargetMode="External"/><Relationship Id="rId2417" Type="http://schemas.openxmlformats.org/officeDocument/2006/relationships/hyperlink" Target="https://pubmed.ncbi.nlm.nih.gov/36251669/" TargetMode="External"/><Relationship Id="rId2418" Type="http://schemas.openxmlformats.org/officeDocument/2006/relationships/hyperlink" Target="https://pubmed.ncbi.nlm.nih.gov/35962884/" TargetMode="External"/><Relationship Id="rId2419" Type="http://schemas.openxmlformats.org/officeDocument/2006/relationships/hyperlink" Target="https://pubmed.ncbi.nlm.nih.gov/35710228/" TargetMode="External"/><Relationship Id="rId2410" Type="http://schemas.openxmlformats.org/officeDocument/2006/relationships/hyperlink" Target="https://pubmed.ncbi.nlm.nih.gov/27656607/" TargetMode="External"/><Relationship Id="rId2411" Type="http://schemas.openxmlformats.org/officeDocument/2006/relationships/hyperlink" Target="https://pubmed.ncbi.nlm.nih.gov/38961460/" TargetMode="External"/><Relationship Id="rId1114" Type="http://schemas.openxmlformats.org/officeDocument/2006/relationships/hyperlink" Target="https://pubmed.ncbi.nlm.nih.gov/36568305/" TargetMode="External"/><Relationship Id="rId2445" Type="http://schemas.openxmlformats.org/officeDocument/2006/relationships/hyperlink" Target="https://link.springer.com/chapter/10.1007/978-3-030-47117-0_13" TargetMode="External"/><Relationship Id="rId1115" Type="http://schemas.openxmlformats.org/officeDocument/2006/relationships/hyperlink" Target="https://pubmed.ncbi.nlm.nih.gov/36457337/" TargetMode="External"/><Relationship Id="rId2446" Type="http://schemas.openxmlformats.org/officeDocument/2006/relationships/hyperlink" Target="https://pubmed.ncbi.nlm.nih.gov/38953979/" TargetMode="External"/><Relationship Id="rId1116" Type="http://schemas.openxmlformats.org/officeDocument/2006/relationships/hyperlink" Target="https://pubmed.ncbi.nlm.nih.gov/36576096/" TargetMode="External"/><Relationship Id="rId2447" Type="http://schemas.openxmlformats.org/officeDocument/2006/relationships/hyperlink" Target="https://pubmed.ncbi.nlm.nih.gov/38689290/" TargetMode="External"/><Relationship Id="rId1117" Type="http://schemas.openxmlformats.org/officeDocument/2006/relationships/hyperlink" Target="https://pubmed.ncbi.nlm.nih.gov/36599881/" TargetMode="External"/><Relationship Id="rId2448" Type="http://schemas.openxmlformats.org/officeDocument/2006/relationships/hyperlink" Target="https://pubmed.ncbi.nlm.nih.gov/38766575/" TargetMode="External"/><Relationship Id="rId1118" Type="http://schemas.openxmlformats.org/officeDocument/2006/relationships/hyperlink" Target="https://pubmed.ncbi.nlm.nih.gov/36286574/" TargetMode="External"/><Relationship Id="rId2449" Type="http://schemas.openxmlformats.org/officeDocument/2006/relationships/hyperlink" Target="https://pubmed.ncbi.nlm.nih.gov/37981583/" TargetMode="External"/><Relationship Id="rId1119" Type="http://schemas.openxmlformats.org/officeDocument/2006/relationships/hyperlink" Target="https://pubmed.ncbi.nlm.nih.gov/36313402/" TargetMode="External"/><Relationship Id="rId525" Type="http://schemas.openxmlformats.org/officeDocument/2006/relationships/hyperlink" Target="https://pubmed.ncbi.nlm.nih.gov/35405617/" TargetMode="External"/><Relationship Id="rId524" Type="http://schemas.openxmlformats.org/officeDocument/2006/relationships/hyperlink" Target="https://pubmed.ncbi.nlm.nih.gov/38875890/" TargetMode="External"/><Relationship Id="rId523" Type="http://schemas.openxmlformats.org/officeDocument/2006/relationships/hyperlink" Target="https://pubmed.ncbi.nlm.nih.gov/33271226/" TargetMode="External"/><Relationship Id="rId522" Type="http://schemas.openxmlformats.org/officeDocument/2006/relationships/hyperlink" Target="https://pubmed.ncbi.nlm.nih.gov/35260751/" TargetMode="External"/><Relationship Id="rId529" Type="http://schemas.openxmlformats.org/officeDocument/2006/relationships/hyperlink" Target="https://pubmed.ncbi.nlm.nih.gov/24357115/" TargetMode="External"/><Relationship Id="rId528" Type="http://schemas.openxmlformats.org/officeDocument/2006/relationships/hyperlink" Target="https://pubmed.ncbi.nlm.nih.gov/28967036/" TargetMode="External"/><Relationship Id="rId527" Type="http://schemas.openxmlformats.org/officeDocument/2006/relationships/hyperlink" Target="https://link.springer.com/article/10.1007/s13204-021-01848-x" TargetMode="External"/><Relationship Id="rId526" Type="http://schemas.openxmlformats.org/officeDocument/2006/relationships/hyperlink" Target="https://pubmed.ncbi.nlm.nih.gov/34962147/" TargetMode="External"/><Relationship Id="rId2440" Type="http://schemas.openxmlformats.org/officeDocument/2006/relationships/hyperlink" Target="https://pubmed.ncbi.nlm.nih.gov/35028769/" TargetMode="External"/><Relationship Id="rId521" Type="http://schemas.openxmlformats.org/officeDocument/2006/relationships/hyperlink" Target="https://pubmed.ncbi.nlm.nih.gov/38754975/" TargetMode="External"/><Relationship Id="rId1110" Type="http://schemas.openxmlformats.org/officeDocument/2006/relationships/hyperlink" Target="https://pubmed.ncbi.nlm.nih.gov/37572382/" TargetMode="External"/><Relationship Id="rId2441" Type="http://schemas.openxmlformats.org/officeDocument/2006/relationships/hyperlink" Target="https://pubmed.ncbi.nlm.nih.gov/34955173/" TargetMode="External"/><Relationship Id="rId520" Type="http://schemas.openxmlformats.org/officeDocument/2006/relationships/hyperlink" Target="https://pubmed.ncbi.nlm.nih.gov/31050951/" TargetMode="External"/><Relationship Id="rId1111" Type="http://schemas.openxmlformats.org/officeDocument/2006/relationships/hyperlink" Target="https://pubmed.ncbi.nlm.nih.gov/37511894/" TargetMode="External"/><Relationship Id="rId2442" Type="http://schemas.openxmlformats.org/officeDocument/2006/relationships/hyperlink" Target="https://pubmed.ncbi.nlm.nih.gov/34490787/" TargetMode="External"/><Relationship Id="rId1112" Type="http://schemas.openxmlformats.org/officeDocument/2006/relationships/hyperlink" Target="https://pubmed.ncbi.nlm.nih.gov/37419235/" TargetMode="External"/><Relationship Id="rId2443" Type="http://schemas.openxmlformats.org/officeDocument/2006/relationships/hyperlink" Target="https://pubmed.ncbi.nlm.nih.gov/37046865/" TargetMode="External"/><Relationship Id="rId1113" Type="http://schemas.openxmlformats.org/officeDocument/2006/relationships/hyperlink" Target="https://pubmed.ncbi.nlm.nih.gov/36922781/" TargetMode="External"/><Relationship Id="rId2444" Type="http://schemas.openxmlformats.org/officeDocument/2006/relationships/hyperlink" Target="https://pubmed.ncbi.nlm.nih.gov/35404002/" TargetMode="External"/><Relationship Id="rId1103" Type="http://schemas.openxmlformats.org/officeDocument/2006/relationships/hyperlink" Target="https://pubmed.ncbi.nlm.nih.gov/38725743/" TargetMode="External"/><Relationship Id="rId2434" Type="http://schemas.openxmlformats.org/officeDocument/2006/relationships/hyperlink" Target="https://pubmed.ncbi.nlm.nih.gov/33128434/" TargetMode="External"/><Relationship Id="rId1104" Type="http://schemas.openxmlformats.org/officeDocument/2006/relationships/hyperlink" Target="https://pubmed.ncbi.nlm.nih.gov/38775202/" TargetMode="External"/><Relationship Id="rId2435" Type="http://schemas.openxmlformats.org/officeDocument/2006/relationships/hyperlink" Target="https://pubmed.ncbi.nlm.nih.gov/19526860/" TargetMode="External"/><Relationship Id="rId1105" Type="http://schemas.openxmlformats.org/officeDocument/2006/relationships/hyperlink" Target="https://pubmed.ncbi.nlm.nih.gov/38422741/" TargetMode="External"/><Relationship Id="rId2436" Type="http://schemas.openxmlformats.org/officeDocument/2006/relationships/hyperlink" Target="https://fz.kiev.ua/journals/2009_V.55/Fiziologichnyi%20Zhurnal%2055(3)_2009/Fiziologichnyi%20Zhurnal%2055(3)_2009_81-93.pdf" TargetMode="External"/><Relationship Id="rId1106" Type="http://schemas.openxmlformats.org/officeDocument/2006/relationships/hyperlink" Target="https://pubmed.ncbi.nlm.nih.gov/38126411/" TargetMode="External"/><Relationship Id="rId2437" Type="http://schemas.openxmlformats.org/officeDocument/2006/relationships/hyperlink" Target="https://pubmed.ncbi.nlm.nih.gov/33040311/" TargetMode="External"/><Relationship Id="rId1107" Type="http://schemas.openxmlformats.org/officeDocument/2006/relationships/hyperlink" Target="https://pubmed.ncbi.nlm.nih.gov/38033853/" TargetMode="External"/><Relationship Id="rId2438" Type="http://schemas.openxmlformats.org/officeDocument/2006/relationships/hyperlink" Target="https://pubmed.ncbi.nlm.nih.gov/36116559/" TargetMode="External"/><Relationship Id="rId1108" Type="http://schemas.openxmlformats.org/officeDocument/2006/relationships/hyperlink" Target="https://pubmed.ncbi.nlm.nih.gov/37954210/" TargetMode="External"/><Relationship Id="rId2439" Type="http://schemas.openxmlformats.org/officeDocument/2006/relationships/hyperlink" Target="https://pubmed.ncbi.nlm.nih.gov/34841398/" TargetMode="External"/><Relationship Id="rId1109" Type="http://schemas.openxmlformats.org/officeDocument/2006/relationships/hyperlink" Target="https://pubmed.ncbi.nlm.nih.gov/37743421/" TargetMode="External"/><Relationship Id="rId519" Type="http://schemas.openxmlformats.org/officeDocument/2006/relationships/hyperlink" Target="https://pubmed.ncbi.nlm.nih.gov/33398615/" TargetMode="External"/><Relationship Id="rId514" Type="http://schemas.openxmlformats.org/officeDocument/2006/relationships/hyperlink" Target="https://pubmed.ncbi.nlm.nih.gov/38165554/" TargetMode="External"/><Relationship Id="rId513" Type="http://schemas.openxmlformats.org/officeDocument/2006/relationships/hyperlink" Target="https://pubmed.ncbi.nlm.nih.gov/38530295/" TargetMode="External"/><Relationship Id="rId512" Type="http://schemas.openxmlformats.org/officeDocument/2006/relationships/hyperlink" Target="https://pubmed.ncbi.nlm.nih.gov/35155144/" TargetMode="External"/><Relationship Id="rId511" Type="http://schemas.openxmlformats.org/officeDocument/2006/relationships/hyperlink" Target="https://pubmed.ncbi.nlm.nih.gov/32888351/" TargetMode="External"/><Relationship Id="rId518" Type="http://schemas.openxmlformats.org/officeDocument/2006/relationships/hyperlink" Target="https://pubmed.ncbi.nlm.nih.gov/34436694/" TargetMode="External"/><Relationship Id="rId517" Type="http://schemas.openxmlformats.org/officeDocument/2006/relationships/hyperlink" Target="https://pubmed.ncbi.nlm.nih.gov/37817983/" TargetMode="External"/><Relationship Id="rId516" Type="http://schemas.openxmlformats.org/officeDocument/2006/relationships/hyperlink" Target="https://pubmed.ncbi.nlm.nih.gov/30196723/" TargetMode="External"/><Relationship Id="rId515" Type="http://schemas.openxmlformats.org/officeDocument/2006/relationships/hyperlink" Target="https://pubmed.ncbi.nlm.nih.gov/37919476/" TargetMode="External"/><Relationship Id="rId510" Type="http://schemas.openxmlformats.org/officeDocument/2006/relationships/hyperlink" Target="https://pubmed.ncbi.nlm.nih.gov/37072603/" TargetMode="External"/><Relationship Id="rId2430" Type="http://schemas.openxmlformats.org/officeDocument/2006/relationships/hyperlink" Target="https://pubmed.ncbi.nlm.nih.gov/32818524/" TargetMode="External"/><Relationship Id="rId1100" Type="http://schemas.openxmlformats.org/officeDocument/2006/relationships/hyperlink" Target="https://iopscience.iop.org/article/10.1088/1612-202X/aac746" TargetMode="External"/><Relationship Id="rId2431" Type="http://schemas.openxmlformats.org/officeDocument/2006/relationships/hyperlink" Target="https://pubmed.ncbi.nlm.nih.gov/38958630/" TargetMode="External"/><Relationship Id="rId1101" Type="http://schemas.openxmlformats.org/officeDocument/2006/relationships/hyperlink" Target="https://pubmed.ncbi.nlm.nih.gov/1550649/" TargetMode="External"/><Relationship Id="rId2432" Type="http://schemas.openxmlformats.org/officeDocument/2006/relationships/hyperlink" Target="https://pubmed.ncbi.nlm.nih.gov/34542770/" TargetMode="External"/><Relationship Id="rId1102" Type="http://schemas.openxmlformats.org/officeDocument/2006/relationships/hyperlink" Target="https://pubmed.ncbi.nlm.nih.gov/36652793/" TargetMode="External"/><Relationship Id="rId2433" Type="http://schemas.openxmlformats.org/officeDocument/2006/relationships/hyperlink" Target="https://pubmed.ncbi.nlm.nih.gov/33663728/" TargetMode="External"/><Relationship Id="rId2401" Type="http://schemas.openxmlformats.org/officeDocument/2006/relationships/hyperlink" Target="https://pubmed.ncbi.nlm.nih.gov/38990213/" TargetMode="External"/><Relationship Id="rId2402" Type="http://schemas.openxmlformats.org/officeDocument/2006/relationships/hyperlink" Target="https://pubmed.ncbi.nlm.nih.gov/36013282/" TargetMode="External"/><Relationship Id="rId2403" Type="http://schemas.openxmlformats.org/officeDocument/2006/relationships/hyperlink" Target="https://pubmed.ncbi.nlm.nih.gov/34913330/" TargetMode="External"/><Relationship Id="rId2404" Type="http://schemas.openxmlformats.org/officeDocument/2006/relationships/hyperlink" Target="https://pubmed.ncbi.nlm.nih.gov/33318730/" TargetMode="External"/><Relationship Id="rId2405" Type="http://schemas.openxmlformats.org/officeDocument/2006/relationships/hyperlink" Target="https://pubmed.ncbi.nlm.nih.gov/37831208/" TargetMode="External"/><Relationship Id="rId2406" Type="http://schemas.openxmlformats.org/officeDocument/2006/relationships/hyperlink" Target="https://pubmed.ncbi.nlm.nih.gov/36219747/" TargetMode="External"/><Relationship Id="rId2407" Type="http://schemas.openxmlformats.org/officeDocument/2006/relationships/hyperlink" Target="https://pubmed.ncbi.nlm.nih.gov/36420368/" TargetMode="External"/><Relationship Id="rId2408" Type="http://schemas.openxmlformats.org/officeDocument/2006/relationships/hyperlink" Target="https://pubmed.ncbi.nlm.nih.gov/33248747/" TargetMode="External"/><Relationship Id="rId2409" Type="http://schemas.openxmlformats.org/officeDocument/2006/relationships/hyperlink" Target="https://pubmed.ncbi.nlm.nih.gov/35166212/" TargetMode="External"/><Relationship Id="rId2400" Type="http://schemas.openxmlformats.org/officeDocument/2006/relationships/hyperlink" Target="https://pubmed.ncbi.nlm.nih.gov/33636371/" TargetMode="External"/><Relationship Id="rId590" Type="http://schemas.openxmlformats.org/officeDocument/2006/relationships/hyperlink" Target="https://pubmed.ncbi.nlm.nih.gov/36780573/" TargetMode="External"/><Relationship Id="rId589" Type="http://schemas.openxmlformats.org/officeDocument/2006/relationships/hyperlink" Target="https://pubmed.ncbi.nlm.nih.gov/38135711/" TargetMode="External"/><Relationship Id="rId588" Type="http://schemas.openxmlformats.org/officeDocument/2006/relationships/hyperlink" Target="https://pubmed.ncbi.nlm.nih.gov/38826871/" TargetMode="External"/><Relationship Id="rId1170" Type="http://schemas.openxmlformats.org/officeDocument/2006/relationships/hyperlink" Target="https://pubmed.ncbi.nlm.nih.gov/34733762/" TargetMode="External"/><Relationship Id="rId1171" Type="http://schemas.openxmlformats.org/officeDocument/2006/relationships/hyperlink" Target="https://pubmed.ncbi.nlm.nih.gov/28625529/" TargetMode="External"/><Relationship Id="rId583" Type="http://schemas.openxmlformats.org/officeDocument/2006/relationships/hyperlink" Target="https://pubmed.ncbi.nlm.nih.gov/38546103/" TargetMode="External"/><Relationship Id="rId1172" Type="http://schemas.openxmlformats.org/officeDocument/2006/relationships/hyperlink" Target="https://pubmed.ncbi.nlm.nih.gov/34735658/" TargetMode="External"/><Relationship Id="rId582" Type="http://schemas.openxmlformats.org/officeDocument/2006/relationships/hyperlink" Target="https://pubmed.ncbi.nlm.nih.gov/33911584/" TargetMode="External"/><Relationship Id="rId1173" Type="http://schemas.openxmlformats.org/officeDocument/2006/relationships/hyperlink" Target="https://pubmed.ncbi.nlm.nih.gov/35963297/" TargetMode="External"/><Relationship Id="rId581" Type="http://schemas.openxmlformats.org/officeDocument/2006/relationships/hyperlink" Target="https://pubmed.ncbi.nlm.nih.gov/34584541/" TargetMode="External"/><Relationship Id="rId1174" Type="http://schemas.openxmlformats.org/officeDocument/2006/relationships/hyperlink" Target="https://pubmed.ncbi.nlm.nih.gov/33432611/" TargetMode="External"/><Relationship Id="rId580" Type="http://schemas.openxmlformats.org/officeDocument/2006/relationships/hyperlink" Target="https://pubmed.ncbi.nlm.nih.gov/37814388/" TargetMode="External"/><Relationship Id="rId1175" Type="http://schemas.openxmlformats.org/officeDocument/2006/relationships/hyperlink" Target="https://pubmed.ncbi.nlm.nih.gov/33678141/" TargetMode="External"/><Relationship Id="rId587" Type="http://schemas.openxmlformats.org/officeDocument/2006/relationships/hyperlink" Target="https://pubmed.ncbi.nlm.nih.gov/36041712/" TargetMode="External"/><Relationship Id="rId1176" Type="http://schemas.openxmlformats.org/officeDocument/2006/relationships/hyperlink" Target="http://www.ncbi.nlm.nih.gov/pubmed/11312037" TargetMode="External"/><Relationship Id="rId586" Type="http://schemas.openxmlformats.org/officeDocument/2006/relationships/hyperlink" Target="https://pubmed.ncbi.nlm.nih.gov/38690232/" TargetMode="External"/><Relationship Id="rId1177" Type="http://schemas.openxmlformats.org/officeDocument/2006/relationships/hyperlink" Target="https://pubmed.ncbi.nlm.nih.gov/10623342/" TargetMode="External"/><Relationship Id="rId585" Type="http://schemas.openxmlformats.org/officeDocument/2006/relationships/hyperlink" Target="https://pubmed.ncbi.nlm.nih.gov/36909868/" TargetMode="External"/><Relationship Id="rId1178" Type="http://schemas.openxmlformats.org/officeDocument/2006/relationships/hyperlink" Target="http://www.ncbi.nlm.nih.gov/pubmed/7670387" TargetMode="External"/><Relationship Id="rId584" Type="http://schemas.openxmlformats.org/officeDocument/2006/relationships/hyperlink" Target="https://pubmed.ncbi.nlm.nih.gov/33425301/" TargetMode="External"/><Relationship Id="rId1179" Type="http://schemas.openxmlformats.org/officeDocument/2006/relationships/hyperlink" Target="http://www.ncbi.nlm.nih.gov/pubmed/3886016" TargetMode="External"/><Relationship Id="rId1169" Type="http://schemas.openxmlformats.org/officeDocument/2006/relationships/hyperlink" Target="https://pubmed.ncbi.nlm.nih.gov/32998270/" TargetMode="External"/><Relationship Id="rId579" Type="http://schemas.openxmlformats.org/officeDocument/2006/relationships/hyperlink" Target="https://pubmed.ncbi.nlm.nih.gov/30554437/" TargetMode="External"/><Relationship Id="rId578" Type="http://schemas.openxmlformats.org/officeDocument/2006/relationships/hyperlink" Target="https://pubmed.ncbi.nlm.nih.gov/12413768/" TargetMode="External"/><Relationship Id="rId577" Type="http://schemas.openxmlformats.org/officeDocument/2006/relationships/hyperlink" Target="https://pubmed.ncbi.nlm.nih.gov/15379878/" TargetMode="External"/><Relationship Id="rId2490" Type="http://schemas.openxmlformats.org/officeDocument/2006/relationships/hyperlink" Target="https://pubmed.ncbi.nlm.nih.gov/38911083/" TargetMode="External"/><Relationship Id="rId1160" Type="http://schemas.openxmlformats.org/officeDocument/2006/relationships/hyperlink" Target="https://pubmed.ncbi.nlm.nih.gov/35887386/" TargetMode="External"/><Relationship Id="rId2491" Type="http://schemas.openxmlformats.org/officeDocument/2006/relationships/hyperlink" Target="https://pubmed.ncbi.nlm.nih.gov/38373469/" TargetMode="External"/><Relationship Id="rId572" Type="http://schemas.openxmlformats.org/officeDocument/2006/relationships/hyperlink" Target="https://pubmed.ncbi.nlm.nih.gov/18789052/" TargetMode="External"/><Relationship Id="rId1161" Type="http://schemas.openxmlformats.org/officeDocument/2006/relationships/hyperlink" Target="https://pubmed.ncbi.nlm.nih.gov/38708826/" TargetMode="External"/><Relationship Id="rId2492" Type="http://schemas.openxmlformats.org/officeDocument/2006/relationships/hyperlink" Target="https://pubmed.ncbi.nlm.nih.gov/36884382/" TargetMode="External"/><Relationship Id="rId571" Type="http://schemas.openxmlformats.org/officeDocument/2006/relationships/hyperlink" Target="https://pubmed.ncbi.nlm.nih.gov/20166163/" TargetMode="External"/><Relationship Id="rId1162" Type="http://schemas.openxmlformats.org/officeDocument/2006/relationships/hyperlink" Target="https://pubmed.ncbi.nlm.nih.gov/19646375/" TargetMode="External"/><Relationship Id="rId2493" Type="http://schemas.openxmlformats.org/officeDocument/2006/relationships/hyperlink" Target="https://pubmed.ncbi.nlm.nih.gov/27580111/" TargetMode="External"/><Relationship Id="rId570" Type="http://schemas.openxmlformats.org/officeDocument/2006/relationships/hyperlink" Target="https://www.kci.go.kr/kciportal/ci/sereArticleSearch/ciSereArtiView.kci?sereArticleSearchBean.artiId=ART001426481" TargetMode="External"/><Relationship Id="rId1163" Type="http://schemas.openxmlformats.org/officeDocument/2006/relationships/hyperlink" Target="https://pubmed.ncbi.nlm.nih.gov/36690781/" TargetMode="External"/><Relationship Id="rId2494" Type="http://schemas.openxmlformats.org/officeDocument/2006/relationships/hyperlink" Target="https://pubmed.ncbi.nlm.nih.gov/37261434/" TargetMode="External"/><Relationship Id="rId1164" Type="http://schemas.openxmlformats.org/officeDocument/2006/relationships/hyperlink" Target="https://pubmed.ncbi.nlm.nih.gov/36676045/" TargetMode="External"/><Relationship Id="rId2495" Type="http://schemas.openxmlformats.org/officeDocument/2006/relationships/hyperlink" Target="https://pubmed.ncbi.nlm.nih.gov/37078045/" TargetMode="External"/><Relationship Id="rId576" Type="http://schemas.openxmlformats.org/officeDocument/2006/relationships/hyperlink" Target="https://pubmed.ncbi.nlm.nih.gov/15377348/" TargetMode="External"/><Relationship Id="rId1165" Type="http://schemas.openxmlformats.org/officeDocument/2006/relationships/hyperlink" Target="https://pubmed.ncbi.nlm.nih.gov/32879647/" TargetMode="External"/><Relationship Id="rId2496" Type="http://schemas.openxmlformats.org/officeDocument/2006/relationships/hyperlink" Target="https://pubmed.ncbi.nlm.nih.gov/33259349/" TargetMode="External"/><Relationship Id="rId575" Type="http://schemas.openxmlformats.org/officeDocument/2006/relationships/hyperlink" Target="https://pubmed.ncbi.nlm.nih.gov/15301568/" TargetMode="External"/><Relationship Id="rId1166" Type="http://schemas.openxmlformats.org/officeDocument/2006/relationships/hyperlink" Target="https://pubmed.ncbi.nlm.nih.gov/33680056/" TargetMode="External"/><Relationship Id="rId2497" Type="http://schemas.openxmlformats.org/officeDocument/2006/relationships/hyperlink" Target="https://pubmed.ncbi.nlm.nih.gov/33014111/" TargetMode="External"/><Relationship Id="rId574" Type="http://schemas.openxmlformats.org/officeDocument/2006/relationships/hyperlink" Target="https://pubmed.ncbi.nlm.nih.gov/16249142/" TargetMode="External"/><Relationship Id="rId1167" Type="http://schemas.openxmlformats.org/officeDocument/2006/relationships/hyperlink" Target="https://pubmed.ncbi.nlm.nih.gov/33425287/" TargetMode="External"/><Relationship Id="rId2498" Type="http://schemas.openxmlformats.org/officeDocument/2006/relationships/hyperlink" Target="https://pubmed.ncbi.nlm.nih.gov/33103959/" TargetMode="External"/><Relationship Id="rId573" Type="http://schemas.openxmlformats.org/officeDocument/2006/relationships/hyperlink" Target="https://pubmed.ncbi.nlm.nih.gov/16581683/" TargetMode="External"/><Relationship Id="rId1168" Type="http://schemas.openxmlformats.org/officeDocument/2006/relationships/hyperlink" Target="https://pubmed.ncbi.nlm.nih.gov/35616040/" TargetMode="External"/><Relationship Id="rId2499" Type="http://schemas.openxmlformats.org/officeDocument/2006/relationships/hyperlink" Target="https://link.springer.com/article/10.1007/s41547-022-00154-1" TargetMode="External"/><Relationship Id="rId1190" Type="http://schemas.openxmlformats.org/officeDocument/2006/relationships/hyperlink" Target="https://pubmed.ncbi.nlm.nih.gov/38998698/" TargetMode="External"/><Relationship Id="rId1191" Type="http://schemas.openxmlformats.org/officeDocument/2006/relationships/hyperlink" Target="https://pubmed.ncbi.nlm.nih.gov/38922888/" TargetMode="External"/><Relationship Id="rId1192" Type="http://schemas.openxmlformats.org/officeDocument/2006/relationships/hyperlink" Target="https://pubmed.ncbi.nlm.nih.gov/34818111/" TargetMode="External"/><Relationship Id="rId1193" Type="http://schemas.openxmlformats.org/officeDocument/2006/relationships/hyperlink" Target="https://pubmed.ncbi.nlm.nih.gov/34665042/" TargetMode="External"/><Relationship Id="rId1194" Type="http://schemas.openxmlformats.org/officeDocument/2006/relationships/hyperlink" Target="https://pubmed.ncbi.nlm.nih.gov/32609051/" TargetMode="External"/><Relationship Id="rId1195" Type="http://schemas.openxmlformats.org/officeDocument/2006/relationships/hyperlink" Target="https://pubmed.ncbi.nlm.nih.gov/38823506/" TargetMode="External"/><Relationship Id="rId1196" Type="http://schemas.openxmlformats.org/officeDocument/2006/relationships/hyperlink" Target="https://pubmed.ncbi.nlm.nih.gov/37947612/" TargetMode="External"/><Relationship Id="rId1197" Type="http://schemas.openxmlformats.org/officeDocument/2006/relationships/hyperlink" Target="https://pubmed.ncbi.nlm.nih.gov/37446155/" TargetMode="External"/><Relationship Id="rId1198" Type="http://schemas.openxmlformats.org/officeDocument/2006/relationships/hyperlink" Target="https://pubmed.ncbi.nlm.nih.gov/36371074/" TargetMode="External"/><Relationship Id="rId1199" Type="http://schemas.openxmlformats.org/officeDocument/2006/relationships/hyperlink" Target="https://pubmed.ncbi.nlm.nih.gov/35689798/" TargetMode="External"/><Relationship Id="rId599" Type="http://schemas.openxmlformats.org/officeDocument/2006/relationships/hyperlink" Target="https://pubmed.ncbi.nlm.nih.gov/28638546/" TargetMode="External"/><Relationship Id="rId1180" Type="http://schemas.openxmlformats.org/officeDocument/2006/relationships/hyperlink" Target="http://www.ncbi.nlm.nih.gov/pubmed/6200998" TargetMode="External"/><Relationship Id="rId1181" Type="http://schemas.openxmlformats.org/officeDocument/2006/relationships/hyperlink" Target="https://pubmed.ncbi.nlm.nih.gov/39007605/" TargetMode="External"/><Relationship Id="rId1182" Type="http://schemas.openxmlformats.org/officeDocument/2006/relationships/hyperlink" Target="https://pubmed.ncbi.nlm.nih.gov/38129368/" TargetMode="External"/><Relationship Id="rId594" Type="http://schemas.openxmlformats.org/officeDocument/2006/relationships/hyperlink" Target="https://pubmed.ncbi.nlm.nih.gov/39009206/" TargetMode="External"/><Relationship Id="rId1183" Type="http://schemas.openxmlformats.org/officeDocument/2006/relationships/hyperlink" Target="https://pubmed.ncbi.nlm.nih.gov/37205934/" TargetMode="External"/><Relationship Id="rId593" Type="http://schemas.openxmlformats.org/officeDocument/2006/relationships/hyperlink" Target="https://pubmed.ncbi.nlm.nih.gov/33795767/" TargetMode="External"/><Relationship Id="rId1184" Type="http://schemas.openxmlformats.org/officeDocument/2006/relationships/hyperlink" Target="https://pubmed.ncbi.nlm.nih.gov/37116057/" TargetMode="External"/><Relationship Id="rId592" Type="http://schemas.openxmlformats.org/officeDocument/2006/relationships/hyperlink" Target="https://pubmed.ncbi.nlm.nih.gov/35861041/" TargetMode="External"/><Relationship Id="rId1185" Type="http://schemas.openxmlformats.org/officeDocument/2006/relationships/hyperlink" Target="https://pubmed.ncbi.nlm.nih.gov/36042421/" TargetMode="External"/><Relationship Id="rId591" Type="http://schemas.openxmlformats.org/officeDocument/2006/relationships/hyperlink" Target="https://pubmed.ncbi.nlm.nih.gov/37089767/" TargetMode="External"/><Relationship Id="rId1186" Type="http://schemas.openxmlformats.org/officeDocument/2006/relationships/hyperlink" Target="https://pubmed.ncbi.nlm.nih.gov/34779937/" TargetMode="External"/><Relationship Id="rId598" Type="http://schemas.openxmlformats.org/officeDocument/2006/relationships/hyperlink" Target="https://pubmed.ncbi.nlm.nih.gov/33099039/" TargetMode="External"/><Relationship Id="rId1187" Type="http://schemas.openxmlformats.org/officeDocument/2006/relationships/hyperlink" Target="https://pubmed.ncbi.nlm.nih.gov/34387119/" TargetMode="External"/><Relationship Id="rId597" Type="http://schemas.openxmlformats.org/officeDocument/2006/relationships/hyperlink" Target="https://pubmed.ncbi.nlm.nih.gov/33246148/" TargetMode="External"/><Relationship Id="rId1188" Type="http://schemas.openxmlformats.org/officeDocument/2006/relationships/hyperlink" Target="https://pubmed.ncbi.nlm.nih.gov/33826415/" TargetMode="External"/><Relationship Id="rId596" Type="http://schemas.openxmlformats.org/officeDocument/2006/relationships/hyperlink" Target="https://pubmed.ncbi.nlm.nih.gov/35483089/" TargetMode="External"/><Relationship Id="rId1189" Type="http://schemas.openxmlformats.org/officeDocument/2006/relationships/hyperlink" Target="https://pubmed.ncbi.nlm.nih.gov/32760900/" TargetMode="External"/><Relationship Id="rId595" Type="http://schemas.openxmlformats.org/officeDocument/2006/relationships/hyperlink" Target="https://pubmed.ncbi.nlm.nih.gov/38376628/" TargetMode="External"/><Relationship Id="rId1136" Type="http://schemas.openxmlformats.org/officeDocument/2006/relationships/hyperlink" Target="https://pubmed.ncbi.nlm.nih.gov/33029170/" TargetMode="External"/><Relationship Id="rId2467" Type="http://schemas.openxmlformats.org/officeDocument/2006/relationships/hyperlink" Target="https://pubmed.ncbi.nlm.nih.gov/24259883/" TargetMode="External"/><Relationship Id="rId1137" Type="http://schemas.openxmlformats.org/officeDocument/2006/relationships/hyperlink" Target="https://pubmed.ncbi.nlm.nih.gov/32833088/" TargetMode="External"/><Relationship Id="rId2468" Type="http://schemas.openxmlformats.org/officeDocument/2006/relationships/hyperlink" Target="https://ieeexplore.ieee.org/abstract/document/10019586" TargetMode="External"/><Relationship Id="rId1138" Type="http://schemas.openxmlformats.org/officeDocument/2006/relationships/hyperlink" Target="https://pubmed.ncbi.nlm.nih.gov/32770424/" TargetMode="External"/><Relationship Id="rId2469" Type="http://schemas.openxmlformats.org/officeDocument/2006/relationships/hyperlink" Target="https://pubmed.ncbi.nlm.nih.gov/34274598/" TargetMode="External"/><Relationship Id="rId1139" Type="http://schemas.openxmlformats.org/officeDocument/2006/relationships/hyperlink" Target="https://pubmed.ncbi.nlm.nih.gov/32621270/" TargetMode="External"/><Relationship Id="rId547" Type="http://schemas.openxmlformats.org/officeDocument/2006/relationships/hyperlink" Target="https://pubmed.ncbi.nlm.nih.gov/33797649/" TargetMode="External"/><Relationship Id="rId546" Type="http://schemas.openxmlformats.org/officeDocument/2006/relationships/hyperlink" Target="https://pubmed.ncbi.nlm.nih.gov/37749418/" TargetMode="External"/><Relationship Id="rId545" Type="http://schemas.openxmlformats.org/officeDocument/2006/relationships/hyperlink" Target="https://pubmed.ncbi.nlm.nih.gov/19110569/" TargetMode="External"/><Relationship Id="rId544" Type="http://schemas.openxmlformats.org/officeDocument/2006/relationships/hyperlink" Target="https://pubmed.ncbi.nlm.nih.gov/33735421/" TargetMode="External"/><Relationship Id="rId549" Type="http://schemas.openxmlformats.org/officeDocument/2006/relationships/hyperlink" Target="https://pubmed.ncbi.nlm.nih.gov/27386049/" TargetMode="External"/><Relationship Id="rId548" Type="http://schemas.openxmlformats.org/officeDocument/2006/relationships/hyperlink" Target="https://pubmed.ncbi.nlm.nih.gov/32784257/" TargetMode="External"/><Relationship Id="rId2460" Type="http://schemas.openxmlformats.org/officeDocument/2006/relationships/hyperlink" Target="https://pubmed.ncbi.nlm.nih.gov/36394302/" TargetMode="External"/><Relationship Id="rId1130" Type="http://schemas.openxmlformats.org/officeDocument/2006/relationships/hyperlink" Target="https://pubmed.ncbi.nlm.nih.gov/33497593/" TargetMode="External"/><Relationship Id="rId2461" Type="http://schemas.openxmlformats.org/officeDocument/2006/relationships/hyperlink" Target="https://pubmed.ncbi.nlm.nih.gov/35642234/" TargetMode="External"/><Relationship Id="rId1131" Type="http://schemas.openxmlformats.org/officeDocument/2006/relationships/hyperlink" Target="https://pubmed.ncbi.nlm.nih.gov/33435928/" TargetMode="External"/><Relationship Id="rId2462" Type="http://schemas.openxmlformats.org/officeDocument/2006/relationships/hyperlink" Target="https://pubmed.ncbi.nlm.nih.gov/35207489/" TargetMode="External"/><Relationship Id="rId543" Type="http://schemas.openxmlformats.org/officeDocument/2006/relationships/hyperlink" Target="https://pubmed.ncbi.nlm.nih.gov/34049180/" TargetMode="External"/><Relationship Id="rId1132" Type="http://schemas.openxmlformats.org/officeDocument/2006/relationships/hyperlink" Target="https://pubmed.ncbi.nlm.nih.gov/33677172/" TargetMode="External"/><Relationship Id="rId2463" Type="http://schemas.openxmlformats.org/officeDocument/2006/relationships/hyperlink" Target="https://pubmed.ncbi.nlm.nih.gov/32768403/" TargetMode="External"/><Relationship Id="rId542" Type="http://schemas.openxmlformats.org/officeDocument/2006/relationships/hyperlink" Target="https://pubmed.ncbi.nlm.nih.gov/34313892/" TargetMode="External"/><Relationship Id="rId1133" Type="http://schemas.openxmlformats.org/officeDocument/2006/relationships/hyperlink" Target="https://pubmed.ncbi.nlm.nih.gov/33725832/" TargetMode="External"/><Relationship Id="rId2464" Type="http://schemas.openxmlformats.org/officeDocument/2006/relationships/hyperlink" Target="https://pubmed.ncbi.nlm.nih.gov/38189105/" TargetMode="External"/><Relationship Id="rId541" Type="http://schemas.openxmlformats.org/officeDocument/2006/relationships/hyperlink" Target="https://pubmed.ncbi.nlm.nih.gov/34610026/" TargetMode="External"/><Relationship Id="rId1134" Type="http://schemas.openxmlformats.org/officeDocument/2006/relationships/hyperlink" Target="https://pubmed.ncbi.nlm.nih.gov/33074393/" TargetMode="External"/><Relationship Id="rId2465" Type="http://schemas.openxmlformats.org/officeDocument/2006/relationships/hyperlink" Target="https://pubmed.ncbi.nlm.nih.gov/36762919/" TargetMode="External"/><Relationship Id="rId540" Type="http://schemas.openxmlformats.org/officeDocument/2006/relationships/hyperlink" Target="https://pubmed.ncbi.nlm.nih.gov/35391589/" TargetMode="External"/><Relationship Id="rId1135" Type="http://schemas.openxmlformats.org/officeDocument/2006/relationships/hyperlink" Target="https://pubmed.ncbi.nlm.nih.gov/32831189/" TargetMode="External"/><Relationship Id="rId2466" Type="http://schemas.openxmlformats.org/officeDocument/2006/relationships/hyperlink" Target="https://pubmed.ncbi.nlm.nih.gov/33219445/" TargetMode="External"/><Relationship Id="rId1125" Type="http://schemas.openxmlformats.org/officeDocument/2006/relationships/hyperlink" Target="https://pubmed.ncbi.nlm.nih.gov/33896234/" TargetMode="External"/><Relationship Id="rId2456" Type="http://schemas.openxmlformats.org/officeDocument/2006/relationships/hyperlink" Target="https://pubmed.ncbi.nlm.nih.gov/33307783/" TargetMode="External"/><Relationship Id="rId1126" Type="http://schemas.openxmlformats.org/officeDocument/2006/relationships/hyperlink" Target="https://pubmed.ncbi.nlm.nih.gov/33804559/" TargetMode="External"/><Relationship Id="rId2457" Type="http://schemas.openxmlformats.org/officeDocument/2006/relationships/hyperlink" Target="https://pubmed.ncbi.nlm.nih.gov/32808147/" TargetMode="External"/><Relationship Id="rId1127" Type="http://schemas.openxmlformats.org/officeDocument/2006/relationships/hyperlink" Target="https://pubmed.ncbi.nlm.nih.gov/33392780/" TargetMode="External"/><Relationship Id="rId2458" Type="http://schemas.openxmlformats.org/officeDocument/2006/relationships/hyperlink" Target="https://pubmed.ncbi.nlm.nih.gov/32638239/" TargetMode="External"/><Relationship Id="rId1128" Type="http://schemas.openxmlformats.org/officeDocument/2006/relationships/hyperlink" Target="https://pubmed.ncbi.nlm.nih.gov/33415460/" TargetMode="External"/><Relationship Id="rId2459" Type="http://schemas.openxmlformats.org/officeDocument/2006/relationships/hyperlink" Target="https://pubmed.ncbi.nlm.nih.gov/27220527/" TargetMode="External"/><Relationship Id="rId1129" Type="http://schemas.openxmlformats.org/officeDocument/2006/relationships/hyperlink" Target="https://pubmed.ncbi.nlm.nih.gov/33417067/" TargetMode="External"/><Relationship Id="rId536" Type="http://schemas.openxmlformats.org/officeDocument/2006/relationships/hyperlink" Target="http://www.ncbi.nlm.nih.gov/pubmed/1735168" TargetMode="External"/><Relationship Id="rId535" Type="http://schemas.openxmlformats.org/officeDocument/2006/relationships/hyperlink" Target="https://pubmed.ncbi.nlm.nih.gov/26834384/" TargetMode="External"/><Relationship Id="rId534" Type="http://schemas.openxmlformats.org/officeDocument/2006/relationships/hyperlink" Target="https://pubmed.ncbi.nlm.nih.gov/33501731/" TargetMode="External"/><Relationship Id="rId533" Type="http://schemas.openxmlformats.org/officeDocument/2006/relationships/hyperlink" Target="https://www.the-innovation.org/article/doi/10.59717/j.xinn-med.2024.100046" TargetMode="External"/><Relationship Id="rId539" Type="http://schemas.openxmlformats.org/officeDocument/2006/relationships/hyperlink" Target="https://pubmed.ncbi.nlm.nih.gov/35586710/" TargetMode="External"/><Relationship Id="rId538" Type="http://schemas.openxmlformats.org/officeDocument/2006/relationships/hyperlink" Target="https://pubmed.ncbi.nlm.nih.gov/38277065/" TargetMode="External"/><Relationship Id="rId537" Type="http://schemas.openxmlformats.org/officeDocument/2006/relationships/hyperlink" Target="https://pubmed.ncbi.nlm.nih.gov/38929107/" TargetMode="External"/><Relationship Id="rId2450" Type="http://schemas.openxmlformats.org/officeDocument/2006/relationships/hyperlink" Target="https://pubmed.ncbi.nlm.nih.gov/37586862/" TargetMode="External"/><Relationship Id="rId1120" Type="http://schemas.openxmlformats.org/officeDocument/2006/relationships/hyperlink" Target="https://pubmed.ncbi.nlm.nih.gov/35743513/" TargetMode="External"/><Relationship Id="rId2451" Type="http://schemas.openxmlformats.org/officeDocument/2006/relationships/hyperlink" Target="https://pubmed.ncbi.nlm.nih.gov/37533657/" TargetMode="External"/><Relationship Id="rId532" Type="http://schemas.openxmlformats.org/officeDocument/2006/relationships/hyperlink" Target="https://pubmed.ncbi.nlm.nih.gov/35196142/" TargetMode="External"/><Relationship Id="rId1121" Type="http://schemas.openxmlformats.org/officeDocument/2006/relationships/hyperlink" Target="https://pubmed.ncbi.nlm.nih.gov/34554354/" TargetMode="External"/><Relationship Id="rId2452" Type="http://schemas.openxmlformats.org/officeDocument/2006/relationships/hyperlink" Target="https://pubmed.ncbi.nlm.nih.gov/37288499/" TargetMode="External"/><Relationship Id="rId531" Type="http://schemas.openxmlformats.org/officeDocument/2006/relationships/hyperlink" Target="https://pubmed.ncbi.nlm.nih.gov/34012215/" TargetMode="External"/><Relationship Id="rId1122" Type="http://schemas.openxmlformats.org/officeDocument/2006/relationships/hyperlink" Target="https://pubmed.ncbi.nlm.nih.gov/34654554/" TargetMode="External"/><Relationship Id="rId2453" Type="http://schemas.openxmlformats.org/officeDocument/2006/relationships/hyperlink" Target="https://pubmed.ncbi.nlm.nih.gov/36051417/" TargetMode="External"/><Relationship Id="rId530" Type="http://schemas.openxmlformats.org/officeDocument/2006/relationships/hyperlink" Target="https://www.hindawi.com/journals/ijp/2012/275209/" TargetMode="External"/><Relationship Id="rId1123" Type="http://schemas.openxmlformats.org/officeDocument/2006/relationships/hyperlink" Target="https://pubmed.ncbi.nlm.nih.gov/34656170/" TargetMode="External"/><Relationship Id="rId2454" Type="http://schemas.openxmlformats.org/officeDocument/2006/relationships/hyperlink" Target="https://pubmed.ncbi.nlm.nih.gov/35648258/" TargetMode="External"/><Relationship Id="rId1124" Type="http://schemas.openxmlformats.org/officeDocument/2006/relationships/hyperlink" Target="https://pubmed.ncbi.nlm.nih.gov/34733767/" TargetMode="External"/><Relationship Id="rId2455" Type="http://schemas.openxmlformats.org/officeDocument/2006/relationships/hyperlink" Target="https://pubmed.ncbi.nlm.nih.gov/34184965/" TargetMode="External"/><Relationship Id="rId1158" Type="http://schemas.openxmlformats.org/officeDocument/2006/relationships/hyperlink" Target="https://pubmed.ncbi.nlm.nih.gov/37549967/" TargetMode="External"/><Relationship Id="rId2489" Type="http://schemas.openxmlformats.org/officeDocument/2006/relationships/hyperlink" Target="https://pubmed.ncbi.nlm.nih.gov/32638241/" TargetMode="External"/><Relationship Id="rId1159" Type="http://schemas.openxmlformats.org/officeDocument/2006/relationships/hyperlink" Target="https://pubmed.ncbi.nlm.nih.gov/34733772/" TargetMode="External"/><Relationship Id="rId569" Type="http://schemas.openxmlformats.org/officeDocument/2006/relationships/hyperlink" Target="http://www.jpad.com.pk/index.php/jpad/article/view/469" TargetMode="External"/><Relationship Id="rId568" Type="http://schemas.openxmlformats.org/officeDocument/2006/relationships/hyperlink" Target="https://pubmed.ncbi.nlm.nih.gov/23254733/" TargetMode="External"/><Relationship Id="rId567" Type="http://schemas.openxmlformats.org/officeDocument/2006/relationships/hyperlink" Target="https://pubmed.ncbi.nlm.nih.gov/24143960/" TargetMode="External"/><Relationship Id="rId566" Type="http://schemas.openxmlformats.org/officeDocument/2006/relationships/hyperlink" Target="https://pubmed.ncbi.nlm.nih.gov/25834355/" TargetMode="External"/><Relationship Id="rId2480" Type="http://schemas.openxmlformats.org/officeDocument/2006/relationships/hyperlink" Target="https://pubmed.ncbi.nlm.nih.gov/37371640/" TargetMode="External"/><Relationship Id="rId561" Type="http://schemas.openxmlformats.org/officeDocument/2006/relationships/hyperlink" Target="https://pubmed.ncbi.nlm.nih.gov/34015228/" TargetMode="External"/><Relationship Id="rId1150" Type="http://schemas.openxmlformats.org/officeDocument/2006/relationships/hyperlink" Target="https://pubmed.ncbi.nlm.nih.gov/37394546/" TargetMode="External"/><Relationship Id="rId2481" Type="http://schemas.openxmlformats.org/officeDocument/2006/relationships/hyperlink" Target="https://pubmed.ncbi.nlm.nih.gov/34829932/" TargetMode="External"/><Relationship Id="rId560" Type="http://schemas.openxmlformats.org/officeDocument/2006/relationships/hyperlink" Target="https://pubmed.ncbi.nlm.nih.gov/34042223/" TargetMode="External"/><Relationship Id="rId1151" Type="http://schemas.openxmlformats.org/officeDocument/2006/relationships/hyperlink" Target="https://pubmed.ncbi.nlm.nih.gov/37041796/" TargetMode="External"/><Relationship Id="rId2482" Type="http://schemas.openxmlformats.org/officeDocument/2006/relationships/hyperlink" Target="https://pubmed.ncbi.nlm.nih.gov/33676286/" TargetMode="External"/><Relationship Id="rId1152" Type="http://schemas.openxmlformats.org/officeDocument/2006/relationships/hyperlink" Target="https://pubmed.ncbi.nlm.nih.gov/36055829/" TargetMode="External"/><Relationship Id="rId2483" Type="http://schemas.openxmlformats.org/officeDocument/2006/relationships/hyperlink" Target="https://pubmed.ncbi.nlm.nih.gov/34330080/" TargetMode="External"/><Relationship Id="rId1153" Type="http://schemas.openxmlformats.org/officeDocument/2006/relationships/hyperlink" Target="https://pubmed.ncbi.nlm.nih.gov/35155145/" TargetMode="External"/><Relationship Id="rId2484" Type="http://schemas.openxmlformats.org/officeDocument/2006/relationships/hyperlink" Target="https://pubmed.ncbi.nlm.nih.gov/38194210/" TargetMode="External"/><Relationship Id="rId565" Type="http://schemas.openxmlformats.org/officeDocument/2006/relationships/hyperlink" Target="https://pubmed.ncbi.nlm.nih.gov/27575854/" TargetMode="External"/><Relationship Id="rId1154" Type="http://schemas.openxmlformats.org/officeDocument/2006/relationships/hyperlink" Target="https://pubmed.ncbi.nlm.nih.gov/21436364/" TargetMode="External"/><Relationship Id="rId2485" Type="http://schemas.openxmlformats.org/officeDocument/2006/relationships/hyperlink" Target="https://pubmed.ncbi.nlm.nih.gov/34699624/" TargetMode="External"/><Relationship Id="rId564" Type="http://schemas.openxmlformats.org/officeDocument/2006/relationships/hyperlink" Target="https://pubmed.ncbi.nlm.nih.gov/27354885/" TargetMode="External"/><Relationship Id="rId1155" Type="http://schemas.openxmlformats.org/officeDocument/2006/relationships/hyperlink" Target="https://pubmed.ncbi.nlm.nih.gov/9855217/" TargetMode="External"/><Relationship Id="rId2486" Type="http://schemas.openxmlformats.org/officeDocument/2006/relationships/hyperlink" Target="https://pubmed.ncbi.nlm.nih.gov/32516626/" TargetMode="External"/><Relationship Id="rId563" Type="http://schemas.openxmlformats.org/officeDocument/2006/relationships/hyperlink" Target="https://pubmed.ncbi.nlm.nih.gov/27575854/" TargetMode="External"/><Relationship Id="rId1156" Type="http://schemas.openxmlformats.org/officeDocument/2006/relationships/hyperlink" Target="https://pubmed.ncbi.nlm.nih.gov/11476971/" TargetMode="External"/><Relationship Id="rId2487" Type="http://schemas.openxmlformats.org/officeDocument/2006/relationships/hyperlink" Target="https://pubmed.ncbi.nlm.nih.gov/38386189/" TargetMode="External"/><Relationship Id="rId562" Type="http://schemas.openxmlformats.org/officeDocument/2006/relationships/hyperlink" Target="https://pubmed.ncbi.nlm.nih.gov/33538345/" TargetMode="External"/><Relationship Id="rId1157" Type="http://schemas.openxmlformats.org/officeDocument/2006/relationships/hyperlink" Target="https://pubmed.ncbi.nlm.nih.gov/32638614/" TargetMode="External"/><Relationship Id="rId2488" Type="http://schemas.openxmlformats.org/officeDocument/2006/relationships/hyperlink" Target="https://pubmed.ncbi.nlm.nih.gov/33166061/" TargetMode="External"/><Relationship Id="rId1147" Type="http://schemas.openxmlformats.org/officeDocument/2006/relationships/hyperlink" Target="https://pubmed.ncbi.nlm.nih.gov/37394546/" TargetMode="External"/><Relationship Id="rId2478" Type="http://schemas.openxmlformats.org/officeDocument/2006/relationships/hyperlink" Target="https://opg.optica.org/ao/abstract.cfm?uri=ao-59-20-6168&amp;origin=search" TargetMode="External"/><Relationship Id="rId1148" Type="http://schemas.openxmlformats.org/officeDocument/2006/relationships/hyperlink" Target="https://pubmed.ncbi.nlm.nih.gov/37683021/" TargetMode="External"/><Relationship Id="rId2479" Type="http://schemas.openxmlformats.org/officeDocument/2006/relationships/hyperlink" Target="https://pubmed.ncbi.nlm.nih.gov/36507767/" TargetMode="External"/><Relationship Id="rId1149" Type="http://schemas.openxmlformats.org/officeDocument/2006/relationships/hyperlink" Target="https://pubmed.ncbi.nlm.nih.gov/37063906/" TargetMode="External"/><Relationship Id="rId558" Type="http://schemas.openxmlformats.org/officeDocument/2006/relationships/hyperlink" Target="https://pubmed.ncbi.nlm.nih.gov/34471368/" TargetMode="External"/><Relationship Id="rId557" Type="http://schemas.openxmlformats.org/officeDocument/2006/relationships/hyperlink" Target="https://pubmed.ncbi.nlm.nih.gov/33936640/" TargetMode="External"/><Relationship Id="rId556" Type="http://schemas.openxmlformats.org/officeDocument/2006/relationships/hyperlink" Target="https://pubmed.ncbi.nlm.nih.gov/34363730/" TargetMode="External"/><Relationship Id="rId555" Type="http://schemas.openxmlformats.org/officeDocument/2006/relationships/hyperlink" Target="https://pubmed.ncbi.nlm.nih.gov/34981580/" TargetMode="External"/><Relationship Id="rId559" Type="http://schemas.openxmlformats.org/officeDocument/2006/relationships/hyperlink" Target="https://pubmed.ncbi.nlm.nih.gov/34696155/" TargetMode="External"/><Relationship Id="rId550" Type="http://schemas.openxmlformats.org/officeDocument/2006/relationships/hyperlink" Target="https://pubmed.ncbi.nlm.nih.gov/36748714/" TargetMode="External"/><Relationship Id="rId2470" Type="http://schemas.openxmlformats.org/officeDocument/2006/relationships/hyperlink" Target="https://pubmed.ncbi.nlm.nih.gov/38049372/" TargetMode="External"/><Relationship Id="rId1140" Type="http://schemas.openxmlformats.org/officeDocument/2006/relationships/hyperlink" Target="https://pubmed.ncbi.nlm.nih.gov/32482669/" TargetMode="External"/><Relationship Id="rId2471" Type="http://schemas.openxmlformats.org/officeDocument/2006/relationships/hyperlink" Target="https://pubmed.ncbi.nlm.nih.gov/37206207/" TargetMode="External"/><Relationship Id="rId1141" Type="http://schemas.openxmlformats.org/officeDocument/2006/relationships/hyperlink" Target="https://pubmed.ncbi.nlm.nih.gov/32426264/" TargetMode="External"/><Relationship Id="rId2472" Type="http://schemas.openxmlformats.org/officeDocument/2006/relationships/hyperlink" Target="https://pubmed.ncbi.nlm.nih.gov/34360559/" TargetMode="External"/><Relationship Id="rId1142" Type="http://schemas.openxmlformats.org/officeDocument/2006/relationships/hyperlink" Target="https://pubmed.ncbi.nlm.nih.gov/22053992/" TargetMode="External"/><Relationship Id="rId2473" Type="http://schemas.openxmlformats.org/officeDocument/2006/relationships/hyperlink" Target="https://pubmed.ncbi.nlm.nih.gov/35353859/" TargetMode="External"/><Relationship Id="rId554" Type="http://schemas.openxmlformats.org/officeDocument/2006/relationships/hyperlink" Target="https://pubmed.ncbi.nlm.nih.gov/35829974/" TargetMode="External"/><Relationship Id="rId1143" Type="http://schemas.openxmlformats.org/officeDocument/2006/relationships/hyperlink" Target="https://pubmed.ncbi.nlm.nih.gov/21188382/" TargetMode="External"/><Relationship Id="rId2474" Type="http://schemas.openxmlformats.org/officeDocument/2006/relationships/hyperlink" Target="https://pubmed.ncbi.nlm.nih.gov/35028767/" TargetMode="External"/><Relationship Id="rId553" Type="http://schemas.openxmlformats.org/officeDocument/2006/relationships/hyperlink" Target="https://www.hindawi.com/journals/dth/2023/8846620/" TargetMode="External"/><Relationship Id="rId1144" Type="http://schemas.openxmlformats.org/officeDocument/2006/relationships/hyperlink" Target="https://pubmed.ncbi.nlm.nih.gov/33280948/" TargetMode="External"/><Relationship Id="rId2475" Type="http://schemas.openxmlformats.org/officeDocument/2006/relationships/hyperlink" Target="https://pubmed.ncbi.nlm.nih.gov/36749428/" TargetMode="External"/><Relationship Id="rId552" Type="http://schemas.openxmlformats.org/officeDocument/2006/relationships/hyperlink" Target="https://pubmed.ncbi.nlm.nih.gov/38810082/" TargetMode="External"/><Relationship Id="rId1145" Type="http://schemas.openxmlformats.org/officeDocument/2006/relationships/hyperlink" Target="https://pubmed.ncbi.nlm.nih.gov/34258669/" TargetMode="External"/><Relationship Id="rId2476" Type="http://schemas.openxmlformats.org/officeDocument/2006/relationships/hyperlink" Target="https://pubmed.ncbi.nlm.nih.gov/34698043/" TargetMode="External"/><Relationship Id="rId551" Type="http://schemas.openxmlformats.org/officeDocument/2006/relationships/hyperlink" Target="https://pubmed.ncbi.nlm.nih.gov/31534746/" TargetMode="External"/><Relationship Id="rId1146" Type="http://schemas.openxmlformats.org/officeDocument/2006/relationships/hyperlink" Target="https://pubmed.ncbi.nlm.nih.gov/38101122/" TargetMode="External"/><Relationship Id="rId2477" Type="http://schemas.openxmlformats.org/officeDocument/2006/relationships/hyperlink" Target="https://pubmed.ncbi.nlm.nih.gov/34004023/" TargetMode="External"/><Relationship Id="rId495" Type="http://schemas.openxmlformats.org/officeDocument/2006/relationships/hyperlink" Target="https://pubmed.ncbi.nlm.nih.gov/35079630/" TargetMode="External"/><Relationship Id="rId494" Type="http://schemas.openxmlformats.org/officeDocument/2006/relationships/hyperlink" Target="https://pubmed.ncbi.nlm.nih.gov/34580808/" TargetMode="External"/><Relationship Id="rId493" Type="http://schemas.openxmlformats.org/officeDocument/2006/relationships/hyperlink" Target="https://pubmed.ncbi.nlm.nih.gov/35074677/" TargetMode="External"/><Relationship Id="rId492" Type="http://schemas.openxmlformats.org/officeDocument/2006/relationships/hyperlink" Target="https://pubmed.ncbi.nlm.nih.gov/36403534/" TargetMode="External"/><Relationship Id="rId499" Type="http://schemas.openxmlformats.org/officeDocument/2006/relationships/hyperlink" Target="https://pubmed.ncbi.nlm.nih.gov/34363327/" TargetMode="External"/><Relationship Id="rId498" Type="http://schemas.openxmlformats.org/officeDocument/2006/relationships/hyperlink" Target="https://pubmed.ncbi.nlm.nih.gov/35001309/" TargetMode="External"/><Relationship Id="rId497" Type="http://schemas.openxmlformats.org/officeDocument/2006/relationships/hyperlink" Target="https://pubmed.ncbi.nlm.nih.gov/12883454/" TargetMode="External"/><Relationship Id="rId496" Type="http://schemas.openxmlformats.org/officeDocument/2006/relationships/hyperlink" Target="https://pubmed.ncbi.nlm.nih.gov/34264768/" TargetMode="External"/><Relationship Id="rId1213" Type="http://schemas.openxmlformats.org/officeDocument/2006/relationships/hyperlink" Target="https://pubmed.ncbi.nlm.nih.gov/25404319/" TargetMode="External"/><Relationship Id="rId2544" Type="http://schemas.openxmlformats.org/officeDocument/2006/relationships/hyperlink" Target="https://pubmed.ncbi.nlm.nih.gov/33429933/" TargetMode="External"/><Relationship Id="rId1214" Type="http://schemas.openxmlformats.org/officeDocument/2006/relationships/hyperlink" Target="https://link.springer.com/article/10.1134/S0030400X11080066" TargetMode="External"/><Relationship Id="rId2545" Type="http://schemas.openxmlformats.org/officeDocument/2006/relationships/hyperlink" Target="https://pubmed.ncbi.nlm.nih.gov/33223006/" TargetMode="External"/><Relationship Id="rId1215" Type="http://schemas.openxmlformats.org/officeDocument/2006/relationships/hyperlink" Target="https://pubs.acs.org/doi/10.1021/jz2001503" TargetMode="External"/><Relationship Id="rId2546" Type="http://schemas.openxmlformats.org/officeDocument/2006/relationships/hyperlink" Target="https://pubmed.ncbi.nlm.nih.gov/34199548/" TargetMode="External"/><Relationship Id="rId1216" Type="http://schemas.openxmlformats.org/officeDocument/2006/relationships/hyperlink" Target="https://pubs.acs.org/doi/10.1021/la7032737" TargetMode="External"/><Relationship Id="rId2547" Type="http://schemas.openxmlformats.org/officeDocument/2006/relationships/hyperlink" Target="https://pubmed.ncbi.nlm.nih.gov/33825170/" TargetMode="External"/><Relationship Id="rId1217" Type="http://schemas.openxmlformats.org/officeDocument/2006/relationships/hyperlink" Target="https://pubs.acs.org/doi/10.1021/cg049805z" TargetMode="External"/><Relationship Id="rId2548" Type="http://schemas.openxmlformats.org/officeDocument/2006/relationships/hyperlink" Target="https://pubmed.ncbi.nlm.nih.gov/33792933/" TargetMode="External"/><Relationship Id="rId1218" Type="http://schemas.openxmlformats.org/officeDocument/2006/relationships/hyperlink" Target="https://pubs.acs.org/doi/10.1021/nl025839m" TargetMode="External"/><Relationship Id="rId2549" Type="http://schemas.openxmlformats.org/officeDocument/2006/relationships/hyperlink" Target="https://pubmed.ncbi.nlm.nih.gov/33524930/" TargetMode="External"/><Relationship Id="rId1219" Type="http://schemas.openxmlformats.org/officeDocument/2006/relationships/hyperlink" Target="https://pubmed.ncbi.nlm.nih.gov/37862181/" TargetMode="External"/><Relationship Id="rId2540" Type="http://schemas.openxmlformats.org/officeDocument/2006/relationships/hyperlink" Target="https://pubmed.ncbi.nlm.nih.gov/36610824/" TargetMode="External"/><Relationship Id="rId1210" Type="http://schemas.openxmlformats.org/officeDocument/2006/relationships/hyperlink" Target="https://pubmed.ncbi.nlm.nih.gov/31066512/" TargetMode="External"/><Relationship Id="rId2541" Type="http://schemas.openxmlformats.org/officeDocument/2006/relationships/hyperlink" Target="https://pubmed.ncbi.nlm.nih.gov/37041786/" TargetMode="External"/><Relationship Id="rId1211" Type="http://schemas.openxmlformats.org/officeDocument/2006/relationships/hyperlink" Target="https://pubmed.ncbi.nlm.nih.gov/31033186/" TargetMode="External"/><Relationship Id="rId2542" Type="http://schemas.openxmlformats.org/officeDocument/2006/relationships/hyperlink" Target="https://pubmed.ncbi.nlm.nih.gov/36274839/" TargetMode="External"/><Relationship Id="rId1212" Type="http://schemas.openxmlformats.org/officeDocument/2006/relationships/hyperlink" Target="https://pubmed.ncbi.nlm.nih.gov/26498450/" TargetMode="External"/><Relationship Id="rId2543" Type="http://schemas.openxmlformats.org/officeDocument/2006/relationships/hyperlink" Target="https://pubmed.ncbi.nlm.nih.gov/35277845/" TargetMode="External"/><Relationship Id="rId1202" Type="http://schemas.openxmlformats.org/officeDocument/2006/relationships/hyperlink" Target="https://pubmed.ncbi.nlm.nih.gov/34364080/" TargetMode="External"/><Relationship Id="rId2533" Type="http://schemas.openxmlformats.org/officeDocument/2006/relationships/hyperlink" Target="https://pubmed.ncbi.nlm.nih.gov/37490060/" TargetMode="External"/><Relationship Id="rId1203" Type="http://schemas.openxmlformats.org/officeDocument/2006/relationships/hyperlink" Target="https://pubmed.ncbi.nlm.nih.gov/34115530/" TargetMode="External"/><Relationship Id="rId2534" Type="http://schemas.openxmlformats.org/officeDocument/2006/relationships/hyperlink" Target="https://pubmed.ncbi.nlm.nih.gov/34941426/" TargetMode="External"/><Relationship Id="rId1204" Type="http://schemas.openxmlformats.org/officeDocument/2006/relationships/hyperlink" Target="https://pubmed.ncbi.nlm.nih.gov/34736068/" TargetMode="External"/><Relationship Id="rId2535" Type="http://schemas.openxmlformats.org/officeDocument/2006/relationships/hyperlink" Target="https://pubmed.ncbi.nlm.nih.gov/38623963/" TargetMode="External"/><Relationship Id="rId1205" Type="http://schemas.openxmlformats.org/officeDocument/2006/relationships/hyperlink" Target="https://pubmed.ncbi.nlm.nih.gov/33998008/" TargetMode="External"/><Relationship Id="rId2536" Type="http://schemas.openxmlformats.org/officeDocument/2006/relationships/hyperlink" Target="https://pubmed.ncbi.nlm.nih.gov/38655046/" TargetMode="External"/><Relationship Id="rId1206" Type="http://schemas.openxmlformats.org/officeDocument/2006/relationships/hyperlink" Target="https://www.sciencedirect.com/science/article/abs/pii/S2215038221000376" TargetMode="External"/><Relationship Id="rId2537" Type="http://schemas.openxmlformats.org/officeDocument/2006/relationships/hyperlink" Target="https://pubmed.ncbi.nlm.nih.gov/38280133/" TargetMode="External"/><Relationship Id="rId1207" Type="http://schemas.openxmlformats.org/officeDocument/2006/relationships/hyperlink" Target="https://pubmed.ncbi.nlm.nih.gov/33278762/" TargetMode="External"/><Relationship Id="rId2538" Type="http://schemas.openxmlformats.org/officeDocument/2006/relationships/hyperlink" Target="https://pubmed.ncbi.nlm.nih.gov/37865766/" TargetMode="External"/><Relationship Id="rId1208" Type="http://schemas.openxmlformats.org/officeDocument/2006/relationships/hyperlink" Target="https://pubmed.ncbi.nlm.nih.gov/33763170/" TargetMode="External"/><Relationship Id="rId2539" Type="http://schemas.openxmlformats.org/officeDocument/2006/relationships/hyperlink" Target="https://pubmed.ncbi.nlm.nih.gov/37103593/" TargetMode="External"/><Relationship Id="rId1209" Type="http://schemas.openxmlformats.org/officeDocument/2006/relationships/hyperlink" Target="https://pubmed.ncbi.nlm.nih.gov/32480201/" TargetMode="External"/><Relationship Id="rId2530" Type="http://schemas.openxmlformats.org/officeDocument/2006/relationships/hyperlink" Target="https://pubmed.ncbi.nlm.nih.gov/33989716/" TargetMode="External"/><Relationship Id="rId1200" Type="http://schemas.openxmlformats.org/officeDocument/2006/relationships/hyperlink" Target="https://pubmed.ncbi.nlm.nih.gov/35483096/" TargetMode="External"/><Relationship Id="rId2531" Type="http://schemas.openxmlformats.org/officeDocument/2006/relationships/hyperlink" Target="https://pubmed.ncbi.nlm.nih.gov/37583503/" TargetMode="External"/><Relationship Id="rId1201" Type="http://schemas.openxmlformats.org/officeDocument/2006/relationships/hyperlink" Target="https://pubmed.ncbi.nlm.nih.gov/35208178/" TargetMode="External"/><Relationship Id="rId2532" Type="http://schemas.openxmlformats.org/officeDocument/2006/relationships/hyperlink" Target="https://pubmed.ncbi.nlm.nih.gov/37544939/" TargetMode="External"/><Relationship Id="rId1235" Type="http://schemas.openxmlformats.org/officeDocument/2006/relationships/hyperlink" Target="https://pubmed.ncbi.nlm.nih.gov/36066188/" TargetMode="External"/><Relationship Id="rId2566" Type="http://schemas.openxmlformats.org/officeDocument/2006/relationships/hyperlink" Target="https://pubmed.ncbi.nlm.nih.gov/38663361/" TargetMode="External"/><Relationship Id="rId1236" Type="http://schemas.openxmlformats.org/officeDocument/2006/relationships/hyperlink" Target="https://pubmed.ncbi.nlm.nih.gov/35353639/" TargetMode="External"/><Relationship Id="rId2567" Type="http://schemas.openxmlformats.org/officeDocument/2006/relationships/hyperlink" Target="https://pubmed.ncbi.nlm.nih.gov/37312188/" TargetMode="External"/><Relationship Id="rId1237" Type="http://schemas.openxmlformats.org/officeDocument/2006/relationships/hyperlink" Target="https://pubmed.ncbi.nlm.nih.gov/34905400/" TargetMode="External"/><Relationship Id="rId2568" Type="http://schemas.openxmlformats.org/officeDocument/2006/relationships/hyperlink" Target="https://pubmed.ncbi.nlm.nih.gov/36837427/" TargetMode="External"/><Relationship Id="rId1238" Type="http://schemas.openxmlformats.org/officeDocument/2006/relationships/hyperlink" Target="https://pubmed.ncbi.nlm.nih.gov/34935507/" TargetMode="External"/><Relationship Id="rId2569" Type="http://schemas.openxmlformats.org/officeDocument/2006/relationships/hyperlink" Target="https://pubmed.ncbi.nlm.nih.gov/36266929/" TargetMode="External"/><Relationship Id="rId1239" Type="http://schemas.openxmlformats.org/officeDocument/2006/relationships/hyperlink" Target="https://pubmed.ncbi.nlm.nih.gov/32716711/" TargetMode="External"/><Relationship Id="rId409" Type="http://schemas.openxmlformats.org/officeDocument/2006/relationships/hyperlink" Target="https://pubmed.ncbi.nlm.nih.gov/38383862/" TargetMode="External"/><Relationship Id="rId404" Type="http://schemas.openxmlformats.org/officeDocument/2006/relationships/hyperlink" Target="https://pubmed.ncbi.nlm.nih.gov/32904004/" TargetMode="External"/><Relationship Id="rId403" Type="http://schemas.openxmlformats.org/officeDocument/2006/relationships/hyperlink" Target="https://pubmed.ncbi.nlm.nih.gov/33554885/" TargetMode="External"/><Relationship Id="rId402" Type="http://schemas.openxmlformats.org/officeDocument/2006/relationships/hyperlink" Target="https://pubmed.ncbi.nlm.nih.gov/35022874/" TargetMode="External"/><Relationship Id="rId401" Type="http://schemas.openxmlformats.org/officeDocument/2006/relationships/hyperlink" Target="https://pubmed.ncbi.nlm.nih.gov/35949869/" TargetMode="External"/><Relationship Id="rId408" Type="http://schemas.openxmlformats.org/officeDocument/2006/relationships/hyperlink" Target="https://pubmed.ncbi.nlm.nih.gov/36104833/" TargetMode="External"/><Relationship Id="rId407" Type="http://schemas.openxmlformats.org/officeDocument/2006/relationships/hyperlink" Target="https://kmbase.medric.or.kr/KMID/1012020140030010001" TargetMode="External"/><Relationship Id="rId406" Type="http://schemas.openxmlformats.org/officeDocument/2006/relationships/hyperlink" Target="https://pubmed.ncbi.nlm.nih.gov/38280042/" TargetMode="External"/><Relationship Id="rId405" Type="http://schemas.openxmlformats.org/officeDocument/2006/relationships/hyperlink" Target="https://pubmed.ncbi.nlm.nih.gov/31742366/" TargetMode="External"/><Relationship Id="rId2560" Type="http://schemas.openxmlformats.org/officeDocument/2006/relationships/hyperlink" Target="https://pubmed.ncbi.nlm.nih.gov/37686314/" TargetMode="External"/><Relationship Id="rId1230" Type="http://schemas.openxmlformats.org/officeDocument/2006/relationships/hyperlink" Target="https://www.sciencedirect.com/science/article/pii/S2666469023000271?dgcid=raven_sd_aip_email" TargetMode="External"/><Relationship Id="rId2561" Type="http://schemas.openxmlformats.org/officeDocument/2006/relationships/hyperlink" Target="https://pubmed.ncbi.nlm.nih.gov/36395084/" TargetMode="External"/><Relationship Id="rId400" Type="http://schemas.openxmlformats.org/officeDocument/2006/relationships/hyperlink" Target="https://pubmed.ncbi.nlm.nih.gov/37506348/" TargetMode="External"/><Relationship Id="rId1231" Type="http://schemas.openxmlformats.org/officeDocument/2006/relationships/hyperlink" Target="https://pubmed.ncbi.nlm.nih.gov/36982909/" TargetMode="External"/><Relationship Id="rId2562" Type="http://schemas.openxmlformats.org/officeDocument/2006/relationships/hyperlink" Target="https://pubmed.ncbi.nlm.nih.gov/35726603/" TargetMode="External"/><Relationship Id="rId1232" Type="http://schemas.openxmlformats.org/officeDocument/2006/relationships/hyperlink" Target="https://pubmed.ncbi.nlm.nih.gov/36830774/" TargetMode="External"/><Relationship Id="rId2563" Type="http://schemas.openxmlformats.org/officeDocument/2006/relationships/hyperlink" Target="https://michelevignonde.com/wp-content/uploads/2023/03/Milta-and-dryness.pdf" TargetMode="External"/><Relationship Id="rId1233" Type="http://schemas.openxmlformats.org/officeDocument/2006/relationships/hyperlink" Target="https://pubmed.ncbi.nlm.nih.gov/36469983/" TargetMode="External"/><Relationship Id="rId2564" Type="http://schemas.openxmlformats.org/officeDocument/2006/relationships/hyperlink" Target="https://pubmed.ncbi.nlm.nih.gov/37183056/" TargetMode="External"/><Relationship Id="rId1234" Type="http://schemas.openxmlformats.org/officeDocument/2006/relationships/hyperlink" Target="https://pubmed.ncbi.nlm.nih.gov/35961478/" TargetMode="External"/><Relationship Id="rId2565" Type="http://schemas.openxmlformats.org/officeDocument/2006/relationships/hyperlink" Target="https://pubmed.ncbi.nlm.nih.gov/38727718/" TargetMode="External"/><Relationship Id="rId1224" Type="http://schemas.openxmlformats.org/officeDocument/2006/relationships/hyperlink" Target="https://www.sciencedirect.com/science/article/pii/S2666469023000015" TargetMode="External"/><Relationship Id="rId2555" Type="http://schemas.openxmlformats.org/officeDocument/2006/relationships/hyperlink" Target="https://pubmed.ncbi.nlm.nih.gov/32692856/" TargetMode="External"/><Relationship Id="rId1225" Type="http://schemas.openxmlformats.org/officeDocument/2006/relationships/hyperlink" Target="https://www.sciencedirect.com/science/article/pii/S2666469023000180" TargetMode="External"/><Relationship Id="rId2556" Type="http://schemas.openxmlformats.org/officeDocument/2006/relationships/hyperlink" Target="https://www.ncbi.nlm.nih.gov/pubmed/32407848" TargetMode="External"/><Relationship Id="rId1226" Type="http://schemas.openxmlformats.org/officeDocument/2006/relationships/hyperlink" Target="https://pubmed.ncbi.nlm.nih.gov/37239169/" TargetMode="External"/><Relationship Id="rId2557" Type="http://schemas.openxmlformats.org/officeDocument/2006/relationships/hyperlink" Target="https://pubmed.ncbi.nlm.nih.gov/33365309/" TargetMode="External"/><Relationship Id="rId1227" Type="http://schemas.openxmlformats.org/officeDocument/2006/relationships/hyperlink" Target="https://pubmed.ncbi.nlm.nih.gov/37343127/" TargetMode="External"/><Relationship Id="rId2558" Type="http://schemas.openxmlformats.org/officeDocument/2006/relationships/hyperlink" Target="https://pubmed.ncbi.nlm.nih.gov/29152509/" TargetMode="External"/><Relationship Id="rId1228" Type="http://schemas.openxmlformats.org/officeDocument/2006/relationships/hyperlink" Target="https://pubmed.ncbi.nlm.nih.gov/37310556/" TargetMode="External"/><Relationship Id="rId2559" Type="http://schemas.openxmlformats.org/officeDocument/2006/relationships/hyperlink" Target="https://pubmed.ncbi.nlm.nih.gov/35001309/" TargetMode="External"/><Relationship Id="rId1229" Type="http://schemas.openxmlformats.org/officeDocument/2006/relationships/hyperlink" Target="https://pubmed.ncbi.nlm.nih.gov/37074309/" TargetMode="External"/><Relationship Id="rId2550" Type="http://schemas.openxmlformats.org/officeDocument/2006/relationships/hyperlink" Target="https://pubmed.ncbi.nlm.nih.gov/32866845/" TargetMode="External"/><Relationship Id="rId1220" Type="http://schemas.openxmlformats.org/officeDocument/2006/relationships/hyperlink" Target="https://www.ncbi.nlm.nih.gov/pubmed/32310246" TargetMode="External"/><Relationship Id="rId2551" Type="http://schemas.openxmlformats.org/officeDocument/2006/relationships/hyperlink" Target="https://pubmed.ncbi.nlm.nih.gov/33256077/" TargetMode="External"/><Relationship Id="rId1221" Type="http://schemas.openxmlformats.org/officeDocument/2006/relationships/hyperlink" Target="https://pubmed.ncbi.nlm.nih.gov/38831000/" TargetMode="External"/><Relationship Id="rId2552" Type="http://schemas.openxmlformats.org/officeDocument/2006/relationships/hyperlink" Target="https://pubmed.ncbi.nlm.nih.gov/32866845/" TargetMode="External"/><Relationship Id="rId1222" Type="http://schemas.openxmlformats.org/officeDocument/2006/relationships/hyperlink" Target="https://pubmed.ncbi.nlm.nih.gov/38309304/" TargetMode="External"/><Relationship Id="rId2553" Type="http://schemas.openxmlformats.org/officeDocument/2006/relationships/hyperlink" Target="https://pubmed.ncbi.nlm.nih.gov/32805646/" TargetMode="External"/><Relationship Id="rId1223" Type="http://schemas.openxmlformats.org/officeDocument/2006/relationships/hyperlink" Target="https://pubmed.ncbi.nlm.nih.gov/38383895/" TargetMode="External"/><Relationship Id="rId2554" Type="http://schemas.openxmlformats.org/officeDocument/2006/relationships/hyperlink" Target="https://pubmed.ncbi.nlm.nih.gov/32729854/" TargetMode="External"/><Relationship Id="rId2500" Type="http://schemas.openxmlformats.org/officeDocument/2006/relationships/hyperlink" Target="https://pubmed.ncbi.nlm.nih.gov/37371729/" TargetMode="External"/><Relationship Id="rId2501" Type="http://schemas.openxmlformats.org/officeDocument/2006/relationships/hyperlink" Target="https://pubmed.ncbi.nlm.nih.gov/23933199/" TargetMode="External"/><Relationship Id="rId2502" Type="http://schemas.openxmlformats.org/officeDocument/2006/relationships/hyperlink" Target="https://pubmed.ncbi.nlm.nih.gov/36194304/" TargetMode="External"/><Relationship Id="rId2503" Type="http://schemas.openxmlformats.org/officeDocument/2006/relationships/hyperlink" Target="https://pubmed.ncbi.nlm.nih.gov/32460618/" TargetMode="External"/><Relationship Id="rId2504" Type="http://schemas.openxmlformats.org/officeDocument/2006/relationships/hyperlink" Target="https://pubmed.ncbi.nlm.nih.gov/25372454/" TargetMode="External"/><Relationship Id="rId2505" Type="http://schemas.openxmlformats.org/officeDocument/2006/relationships/hyperlink" Target="https://pubmed.ncbi.nlm.nih.gov/38147800/" TargetMode="External"/><Relationship Id="rId2506" Type="http://schemas.openxmlformats.org/officeDocument/2006/relationships/hyperlink" Target="https://pubmed.ncbi.nlm.nih.gov/38572802/" TargetMode="External"/><Relationship Id="rId2507" Type="http://schemas.openxmlformats.org/officeDocument/2006/relationships/hyperlink" Target="https://pubmed.ncbi.nlm.nih.gov/35257243/" TargetMode="External"/><Relationship Id="rId2508" Type="http://schemas.openxmlformats.org/officeDocument/2006/relationships/hyperlink" Target="https://pubmed.ncbi.nlm.nih.gov/34733768/" TargetMode="External"/><Relationship Id="rId2509" Type="http://schemas.openxmlformats.org/officeDocument/2006/relationships/hyperlink" Target="https://pubmed.ncbi.nlm.nih.gov/18955233/" TargetMode="External"/><Relationship Id="rId2522" Type="http://schemas.openxmlformats.org/officeDocument/2006/relationships/hyperlink" Target="https://pubmed.ncbi.nlm.nih.gov/38149202/" TargetMode="External"/><Relationship Id="rId2523" Type="http://schemas.openxmlformats.org/officeDocument/2006/relationships/hyperlink" Target="https://pubmed.ncbi.nlm.nih.gov/37212452/" TargetMode="External"/><Relationship Id="rId2524" Type="http://schemas.openxmlformats.org/officeDocument/2006/relationships/hyperlink" Target="https://pubmed.ncbi.nlm.nih.gov/38028870/" TargetMode="External"/><Relationship Id="rId2525" Type="http://schemas.openxmlformats.org/officeDocument/2006/relationships/hyperlink" Target="https://pubmed.ncbi.nlm.nih.gov/32483749/" TargetMode="External"/><Relationship Id="rId2526" Type="http://schemas.openxmlformats.org/officeDocument/2006/relationships/hyperlink" Target="https://pubmed.ncbi.nlm.nih.gov/35494491/" TargetMode="External"/><Relationship Id="rId2527" Type="http://schemas.openxmlformats.org/officeDocument/2006/relationships/hyperlink" Target="https://pubmed.ncbi.nlm.nih.gov/38101852/" TargetMode="External"/><Relationship Id="rId2528" Type="http://schemas.openxmlformats.org/officeDocument/2006/relationships/hyperlink" Target="https://pubmed.ncbi.nlm.nih.gov/32868711/" TargetMode="External"/><Relationship Id="rId2529" Type="http://schemas.openxmlformats.org/officeDocument/2006/relationships/hyperlink" Target="https://pubmed.ncbi.nlm.nih.gov/38929772/" TargetMode="External"/><Relationship Id="rId2520" Type="http://schemas.openxmlformats.org/officeDocument/2006/relationships/hyperlink" Target="https://pubmed.ncbi.nlm.nih.gov/36869699/" TargetMode="External"/><Relationship Id="rId2521" Type="http://schemas.openxmlformats.org/officeDocument/2006/relationships/hyperlink" Target="https://pubmed.ncbi.nlm.nih.gov/34480244/" TargetMode="External"/><Relationship Id="rId2511" Type="http://schemas.openxmlformats.org/officeDocument/2006/relationships/hyperlink" Target="https://pubmed.ncbi.nlm.nih.gov/35031932/" TargetMode="External"/><Relationship Id="rId2512" Type="http://schemas.openxmlformats.org/officeDocument/2006/relationships/hyperlink" Target="https://pubmed.ncbi.nlm.nih.gov/37526765/" TargetMode="External"/><Relationship Id="rId2513" Type="http://schemas.openxmlformats.org/officeDocument/2006/relationships/hyperlink" Target="https://pubmed.ncbi.nlm.nih.gov/33760671/" TargetMode="External"/><Relationship Id="rId2514" Type="http://schemas.openxmlformats.org/officeDocument/2006/relationships/hyperlink" Target="https://pubmed.ncbi.nlm.nih.gov/28865223/" TargetMode="External"/><Relationship Id="rId2515" Type="http://schemas.openxmlformats.org/officeDocument/2006/relationships/hyperlink" Target="https://pubmed.ncbi.nlm.nih.gov/38348528/" TargetMode="External"/><Relationship Id="rId2516" Type="http://schemas.openxmlformats.org/officeDocument/2006/relationships/hyperlink" Target="https://pubmed.ncbi.nlm.nih.gov/36915513/" TargetMode="External"/><Relationship Id="rId2517" Type="http://schemas.openxmlformats.org/officeDocument/2006/relationships/hyperlink" Target="https://pubmed.ncbi.nlm.nih.gov/35028764/" TargetMode="External"/><Relationship Id="rId2518" Type="http://schemas.openxmlformats.org/officeDocument/2006/relationships/hyperlink" Target="https://pubmed.ncbi.nlm.nih.gov/34539076/" TargetMode="External"/><Relationship Id="rId2519" Type="http://schemas.openxmlformats.org/officeDocument/2006/relationships/hyperlink" Target="https://pubmed.ncbi.nlm.nih.gov/38772533/" TargetMode="External"/><Relationship Id="rId2510" Type="http://schemas.openxmlformats.org/officeDocument/2006/relationships/hyperlink" Target="https://pubmed.ncbi.nlm.nih.gov/35201152/" TargetMode="External"/><Relationship Id="rId469" Type="http://schemas.openxmlformats.org/officeDocument/2006/relationships/hyperlink" Target="https://pubmed.ncbi.nlm.nih.gov/36574084/" TargetMode="External"/><Relationship Id="rId468" Type="http://schemas.openxmlformats.org/officeDocument/2006/relationships/hyperlink" Target="https://pubmed.ncbi.nlm.nih.gov/37048153/" TargetMode="External"/><Relationship Id="rId467" Type="http://schemas.openxmlformats.org/officeDocument/2006/relationships/hyperlink" Target="https://pubmed.ncbi.nlm.nih.gov/37851144/" TargetMode="External"/><Relationship Id="rId1290" Type="http://schemas.openxmlformats.org/officeDocument/2006/relationships/hyperlink" Target="https://pubmed.ncbi.nlm.nih.gov/32758087/" TargetMode="External"/><Relationship Id="rId1291" Type="http://schemas.openxmlformats.org/officeDocument/2006/relationships/hyperlink" Target="https://pubmed.ncbi.nlm.nih.gov/38665862/" TargetMode="External"/><Relationship Id="rId1292" Type="http://schemas.openxmlformats.org/officeDocument/2006/relationships/hyperlink" Target="https://pubmed.ncbi.nlm.nih.gov/38819613/" TargetMode="External"/><Relationship Id="rId462" Type="http://schemas.openxmlformats.org/officeDocument/2006/relationships/hyperlink" Target="https://pubmed.ncbi.nlm.nih.gov/33052534/" TargetMode="External"/><Relationship Id="rId1293" Type="http://schemas.openxmlformats.org/officeDocument/2006/relationships/hyperlink" Target="https://pubmed.ncbi.nlm.nih.gov/37530880/" TargetMode="External"/><Relationship Id="rId461" Type="http://schemas.openxmlformats.org/officeDocument/2006/relationships/hyperlink" Target="https://pubmed.ncbi.nlm.nih.gov/38301971/" TargetMode="External"/><Relationship Id="rId1294" Type="http://schemas.openxmlformats.org/officeDocument/2006/relationships/hyperlink" Target="https://pubmed.ncbi.nlm.nih.gov/36515610/" TargetMode="External"/><Relationship Id="rId460" Type="http://schemas.openxmlformats.org/officeDocument/2006/relationships/hyperlink" Target="https://pubmed.ncbi.nlm.nih.gov/9840492/" TargetMode="External"/><Relationship Id="rId1295" Type="http://schemas.openxmlformats.org/officeDocument/2006/relationships/hyperlink" Target="https://pubmed.ncbi.nlm.nih.gov/33459175/" TargetMode="External"/><Relationship Id="rId1296" Type="http://schemas.openxmlformats.org/officeDocument/2006/relationships/hyperlink" Target="https://pubmed.ncbi.nlm.nih.gov/33227224/" TargetMode="External"/><Relationship Id="rId466" Type="http://schemas.openxmlformats.org/officeDocument/2006/relationships/hyperlink" Target="https://pubmed.ncbi.nlm.nih.gov/38006365/" TargetMode="External"/><Relationship Id="rId1297" Type="http://schemas.openxmlformats.org/officeDocument/2006/relationships/hyperlink" Target="https://pubmed.ncbi.nlm.nih.gov/32865465/" TargetMode="External"/><Relationship Id="rId465" Type="http://schemas.openxmlformats.org/officeDocument/2006/relationships/hyperlink" Target="https://pubmed.ncbi.nlm.nih.gov/37957888/" TargetMode="External"/><Relationship Id="rId1298" Type="http://schemas.openxmlformats.org/officeDocument/2006/relationships/hyperlink" Target="https://pubmed.ncbi.nlm.nih.gov/33761459/" TargetMode="External"/><Relationship Id="rId464" Type="http://schemas.openxmlformats.org/officeDocument/2006/relationships/hyperlink" Target="https://pubmed.ncbi.nlm.nih.gov/38010362/" TargetMode="External"/><Relationship Id="rId1299" Type="http://schemas.openxmlformats.org/officeDocument/2006/relationships/hyperlink" Target="https://pubmed.ncbi.nlm.nih.gov/33622119/" TargetMode="External"/><Relationship Id="rId463" Type="http://schemas.openxmlformats.org/officeDocument/2006/relationships/hyperlink" Target="https://pubmed.ncbi.nlm.nih.gov/23390956/" TargetMode="External"/><Relationship Id="rId459" Type="http://schemas.openxmlformats.org/officeDocument/2006/relationships/hyperlink" Target="http://www.ncbi.nlm.nih.gov/pubmed/11568632" TargetMode="External"/><Relationship Id="rId458" Type="http://schemas.openxmlformats.org/officeDocument/2006/relationships/hyperlink" Target="http://www.ncbi.nlm.nih.gov/pubmed/15557336" TargetMode="External"/><Relationship Id="rId457" Type="http://schemas.openxmlformats.org/officeDocument/2006/relationships/hyperlink" Target="https://pubmed.ncbi.nlm.nih.gov/32634967/" TargetMode="External"/><Relationship Id="rId456" Type="http://schemas.openxmlformats.org/officeDocument/2006/relationships/hyperlink" Target="https://pubmed.ncbi.nlm.nih.gov/32622295/" TargetMode="External"/><Relationship Id="rId1280" Type="http://schemas.openxmlformats.org/officeDocument/2006/relationships/hyperlink" Target="https://pubmed.ncbi.nlm.nih.gov/34255219/" TargetMode="External"/><Relationship Id="rId1281" Type="http://schemas.openxmlformats.org/officeDocument/2006/relationships/hyperlink" Target="https://pubmed.ncbi.nlm.nih.gov/34054079/" TargetMode="External"/><Relationship Id="rId451" Type="http://schemas.openxmlformats.org/officeDocument/2006/relationships/hyperlink" Target="https://pubmed.ncbi.nlm.nih.gov/34536182/" TargetMode="External"/><Relationship Id="rId1282" Type="http://schemas.openxmlformats.org/officeDocument/2006/relationships/hyperlink" Target="https://pubmed.ncbi.nlm.nih.gov/33232629/" TargetMode="External"/><Relationship Id="rId450" Type="http://schemas.openxmlformats.org/officeDocument/2006/relationships/hyperlink" Target="https://pubmed.ncbi.nlm.nih.gov/35532371/" TargetMode="External"/><Relationship Id="rId1283" Type="http://schemas.openxmlformats.org/officeDocument/2006/relationships/hyperlink" Target="https://pubmed.ncbi.nlm.nih.gov/33332233/" TargetMode="External"/><Relationship Id="rId1284" Type="http://schemas.openxmlformats.org/officeDocument/2006/relationships/hyperlink" Target="https://pubmed.ncbi.nlm.nih.gov/33332234/" TargetMode="External"/><Relationship Id="rId1285" Type="http://schemas.openxmlformats.org/officeDocument/2006/relationships/hyperlink" Target="https://pubmed.ncbi.nlm.nih.gov/33227220/" TargetMode="External"/><Relationship Id="rId455" Type="http://schemas.openxmlformats.org/officeDocument/2006/relationships/hyperlink" Target="https://pubmed.ncbi.nlm.nih.gov/32802291/" TargetMode="External"/><Relationship Id="rId1286" Type="http://schemas.openxmlformats.org/officeDocument/2006/relationships/hyperlink" Target="https://pubmed.ncbi.nlm.nih.gov/33345040/" TargetMode="External"/><Relationship Id="rId454" Type="http://schemas.openxmlformats.org/officeDocument/2006/relationships/hyperlink" Target="https://pubmed.ncbi.nlm.nih.gov/33417168/" TargetMode="External"/><Relationship Id="rId1287" Type="http://schemas.openxmlformats.org/officeDocument/2006/relationships/hyperlink" Target="https://pubmed.ncbi.nlm.nih.gov/32864144/" TargetMode="External"/><Relationship Id="rId453" Type="http://schemas.openxmlformats.org/officeDocument/2006/relationships/hyperlink" Target="https://pubmed.ncbi.nlm.nih.gov/33387079/" TargetMode="External"/><Relationship Id="rId1288" Type="http://schemas.openxmlformats.org/officeDocument/2006/relationships/hyperlink" Target="https://pubmed.ncbi.nlm.nih.gov/32862403/" TargetMode="External"/><Relationship Id="rId452" Type="http://schemas.openxmlformats.org/officeDocument/2006/relationships/hyperlink" Target="https://pubmed.ncbi.nlm.nih.gov/33332202/" TargetMode="External"/><Relationship Id="rId1289" Type="http://schemas.openxmlformats.org/officeDocument/2006/relationships/hyperlink" Target="https://pubmed.ncbi.nlm.nih.gov/33088573/" TargetMode="External"/><Relationship Id="rId3018" Type="http://schemas.openxmlformats.org/officeDocument/2006/relationships/hyperlink" Target="https://pubmed.ncbi.nlm.nih.gov/34264767/" TargetMode="External"/><Relationship Id="rId3017" Type="http://schemas.openxmlformats.org/officeDocument/2006/relationships/hyperlink" Target="https://www.sciencedirect.com/science/article/pii/S2666469021000099" TargetMode="External"/><Relationship Id="rId3019" Type="http://schemas.openxmlformats.org/officeDocument/2006/relationships/hyperlink" Target="https://pubmed.ncbi.nlm.nih.gov/35166209/" TargetMode="External"/><Relationship Id="rId491" Type="http://schemas.openxmlformats.org/officeDocument/2006/relationships/hyperlink" Target="https://pubmed.ncbi.nlm.nih.gov/36821717/" TargetMode="External"/><Relationship Id="rId490" Type="http://schemas.openxmlformats.org/officeDocument/2006/relationships/hyperlink" Target="https://pubmed.ncbi.nlm.nih.gov/35904931/" TargetMode="External"/><Relationship Id="rId489" Type="http://schemas.openxmlformats.org/officeDocument/2006/relationships/hyperlink" Target="https://pubmed.ncbi.nlm.nih.gov/19142866/" TargetMode="External"/><Relationship Id="rId484" Type="http://schemas.openxmlformats.org/officeDocument/2006/relationships/hyperlink" Target="https://pubmed.ncbi.nlm.nih.gov/37483112/" TargetMode="External"/><Relationship Id="rId3010" Type="http://schemas.openxmlformats.org/officeDocument/2006/relationships/hyperlink" Target="https://pubmed.ncbi.nlm.nih.gov/37542937/" TargetMode="External"/><Relationship Id="rId483" Type="http://schemas.openxmlformats.org/officeDocument/2006/relationships/hyperlink" Target="https://pubmed.ncbi.nlm.nih.gov/38887112/" TargetMode="External"/><Relationship Id="rId482" Type="http://schemas.openxmlformats.org/officeDocument/2006/relationships/hyperlink" Target="https://pubmed.ncbi.nlm.nih.gov/33090930/" TargetMode="External"/><Relationship Id="rId3012" Type="http://schemas.openxmlformats.org/officeDocument/2006/relationships/hyperlink" Target="https://pubmed.ncbi.nlm.nih.gov/36888787/" TargetMode="External"/><Relationship Id="rId481" Type="http://schemas.openxmlformats.org/officeDocument/2006/relationships/hyperlink" Target="https://pubmed.ncbi.nlm.nih.gov/27092999/" TargetMode="External"/><Relationship Id="rId3011" Type="http://schemas.openxmlformats.org/officeDocument/2006/relationships/hyperlink" Target="https://pubmed.ncbi.nlm.nih.gov/37272267/" TargetMode="External"/><Relationship Id="rId488" Type="http://schemas.openxmlformats.org/officeDocument/2006/relationships/hyperlink" Target="https://pubmed.ncbi.nlm.nih.gov/22326662/" TargetMode="External"/><Relationship Id="rId3014" Type="http://schemas.openxmlformats.org/officeDocument/2006/relationships/hyperlink" Target="https://pubmed.ncbi.nlm.nih.gov/35237887/" TargetMode="External"/><Relationship Id="rId487" Type="http://schemas.openxmlformats.org/officeDocument/2006/relationships/hyperlink" Target="https://pubmed.ncbi.nlm.nih.gov/25813581/" TargetMode="External"/><Relationship Id="rId3013" Type="http://schemas.openxmlformats.org/officeDocument/2006/relationships/hyperlink" Target="https://pubmed.ncbi.nlm.nih.gov/35842272/" TargetMode="External"/><Relationship Id="rId486" Type="http://schemas.openxmlformats.org/officeDocument/2006/relationships/hyperlink" Target="https://pubmed.ncbi.nlm.nih.gov/26159930/" TargetMode="External"/><Relationship Id="rId3016" Type="http://schemas.openxmlformats.org/officeDocument/2006/relationships/hyperlink" Target="https://pubmed.ncbi.nlm.nih.gov/34183697/" TargetMode="External"/><Relationship Id="rId485" Type="http://schemas.openxmlformats.org/officeDocument/2006/relationships/hyperlink" Target="https://pubmed.ncbi.nlm.nih.gov/36240795/" TargetMode="External"/><Relationship Id="rId3015" Type="http://schemas.openxmlformats.org/officeDocument/2006/relationships/hyperlink" Target="https://www.sciencedirect.com/science/article/pii/S2666469021000385" TargetMode="External"/><Relationship Id="rId3007" Type="http://schemas.openxmlformats.org/officeDocument/2006/relationships/hyperlink" Target="https://pubmed.ncbi.nlm.nih.gov/37993749/" TargetMode="External"/><Relationship Id="rId3006" Type="http://schemas.openxmlformats.org/officeDocument/2006/relationships/hyperlink" Target="https://pubmed.ncbi.nlm.nih.gov/38151564/" TargetMode="External"/><Relationship Id="rId3009" Type="http://schemas.openxmlformats.org/officeDocument/2006/relationships/hyperlink" Target="https://pubmed.ncbi.nlm.nih.gov/37567532/" TargetMode="External"/><Relationship Id="rId3008" Type="http://schemas.openxmlformats.org/officeDocument/2006/relationships/hyperlink" Target="https://pubmed.ncbi.nlm.nih.gov/37741785/" TargetMode="External"/><Relationship Id="rId480" Type="http://schemas.openxmlformats.org/officeDocument/2006/relationships/hyperlink" Target="https://pubmed.ncbi.nlm.nih.gov/32483750/" TargetMode="External"/><Relationship Id="rId479" Type="http://schemas.openxmlformats.org/officeDocument/2006/relationships/hyperlink" Target="https://pubmed.ncbi.nlm.nih.gov/32426535/" TargetMode="External"/><Relationship Id="rId478" Type="http://schemas.openxmlformats.org/officeDocument/2006/relationships/hyperlink" Target="https://pubmed.ncbi.nlm.nih.gov/33332651/" TargetMode="External"/><Relationship Id="rId473" Type="http://schemas.openxmlformats.org/officeDocument/2006/relationships/hyperlink" Target="https://pubmed.ncbi.nlm.nih.gov/35048232/" TargetMode="External"/><Relationship Id="rId472" Type="http://schemas.openxmlformats.org/officeDocument/2006/relationships/hyperlink" Target="https://pubmed.ncbi.nlm.nih.gov/35777177/" TargetMode="External"/><Relationship Id="rId471" Type="http://schemas.openxmlformats.org/officeDocument/2006/relationships/hyperlink" Target="https://pubmed.ncbi.nlm.nih.gov/36172056/" TargetMode="External"/><Relationship Id="rId3001" Type="http://schemas.openxmlformats.org/officeDocument/2006/relationships/hyperlink" Target="https://pubmed.ncbi.nlm.nih.gov/37582898/" TargetMode="External"/><Relationship Id="rId470" Type="http://schemas.openxmlformats.org/officeDocument/2006/relationships/hyperlink" Target="https://pubmed.ncbi.nlm.nih.gov/36344673/" TargetMode="External"/><Relationship Id="rId3000" Type="http://schemas.openxmlformats.org/officeDocument/2006/relationships/hyperlink" Target="https://pubmed.ncbi.nlm.nih.gov/38273913/" TargetMode="External"/><Relationship Id="rId477" Type="http://schemas.openxmlformats.org/officeDocument/2006/relationships/hyperlink" Target="https://pubmed.ncbi.nlm.nih.gov/33505585/" TargetMode="External"/><Relationship Id="rId3003" Type="http://schemas.openxmlformats.org/officeDocument/2006/relationships/hyperlink" Target="https://pubmed.ncbi.nlm.nih.gov/35854374/" TargetMode="External"/><Relationship Id="rId476" Type="http://schemas.openxmlformats.org/officeDocument/2006/relationships/hyperlink" Target="https://pubmed.ncbi.nlm.nih.gov/34944618/" TargetMode="External"/><Relationship Id="rId3002" Type="http://schemas.openxmlformats.org/officeDocument/2006/relationships/hyperlink" Target="https://pubmed.ncbi.nlm.nih.gov/36708193/" TargetMode="External"/><Relationship Id="rId475" Type="http://schemas.openxmlformats.org/officeDocument/2006/relationships/hyperlink" Target="https://pubmed.ncbi.nlm.nih.gov/33956815/" TargetMode="External"/><Relationship Id="rId3005" Type="http://schemas.openxmlformats.org/officeDocument/2006/relationships/hyperlink" Target="https://pubmed.ncbi.nlm.nih.gov/33499452/" TargetMode="External"/><Relationship Id="rId474" Type="http://schemas.openxmlformats.org/officeDocument/2006/relationships/hyperlink" Target="https://pubmed.ncbi.nlm.nih.gov/33872202/" TargetMode="External"/><Relationship Id="rId3004" Type="http://schemas.openxmlformats.org/officeDocument/2006/relationships/hyperlink" Target="https://pubmed.ncbi.nlm.nih.gov/34981954/" TargetMode="External"/><Relationship Id="rId1257" Type="http://schemas.openxmlformats.org/officeDocument/2006/relationships/hyperlink" Target="https://pubmed.ncbi.nlm.nih.gov/36125659/" TargetMode="External"/><Relationship Id="rId2588" Type="http://schemas.openxmlformats.org/officeDocument/2006/relationships/hyperlink" Target="https://pubmed.ncbi.nlm.nih.gov/38903812/" TargetMode="External"/><Relationship Id="rId1258" Type="http://schemas.openxmlformats.org/officeDocument/2006/relationships/hyperlink" Target="https://pubmed.ncbi.nlm.nih.gov/37831223/" TargetMode="External"/><Relationship Id="rId2589" Type="http://schemas.openxmlformats.org/officeDocument/2006/relationships/hyperlink" Target="https://pubmed.ncbi.nlm.nih.gov/36707463/" TargetMode="External"/><Relationship Id="rId1259" Type="http://schemas.openxmlformats.org/officeDocument/2006/relationships/hyperlink" Target="https://pubmed.ncbi.nlm.nih.gov/36054438/" TargetMode="External"/><Relationship Id="rId426" Type="http://schemas.openxmlformats.org/officeDocument/2006/relationships/hyperlink" Target="https://pubmed.ncbi.nlm.nih.gov/37074407/" TargetMode="External"/><Relationship Id="rId425" Type="http://schemas.openxmlformats.org/officeDocument/2006/relationships/hyperlink" Target="https://pubmed.ncbi.nlm.nih.gov/38393824/" TargetMode="External"/><Relationship Id="rId424" Type="http://schemas.openxmlformats.org/officeDocument/2006/relationships/hyperlink" Target="https://pubmed.ncbi.nlm.nih.gov/35398890/" TargetMode="External"/><Relationship Id="rId423" Type="http://schemas.openxmlformats.org/officeDocument/2006/relationships/hyperlink" Target="https://pubmed.ncbi.nlm.nih.gov/35373874/" TargetMode="External"/><Relationship Id="rId429" Type="http://schemas.openxmlformats.org/officeDocument/2006/relationships/hyperlink" Target="https://pubmed.ncbi.nlm.nih.gov/33316625/" TargetMode="External"/><Relationship Id="rId428" Type="http://schemas.openxmlformats.org/officeDocument/2006/relationships/hyperlink" Target="https://pubmed.ncbi.nlm.nih.gov/36179581/" TargetMode="External"/><Relationship Id="rId427" Type="http://schemas.openxmlformats.org/officeDocument/2006/relationships/hyperlink" Target="https://pubmed.ncbi.nlm.nih.gov/36779000/" TargetMode="External"/><Relationship Id="rId2580" Type="http://schemas.openxmlformats.org/officeDocument/2006/relationships/hyperlink" Target="https://pubmed.ncbi.nlm.nih.gov/19626333/" TargetMode="External"/><Relationship Id="rId1250" Type="http://schemas.openxmlformats.org/officeDocument/2006/relationships/hyperlink" Target="https://pubmed.ncbi.nlm.nih.gov/33486614/" TargetMode="External"/><Relationship Id="rId2581" Type="http://schemas.openxmlformats.org/officeDocument/2006/relationships/hyperlink" Target="https://www.sciencedirect.com/science/article/abs/pii/S167265290860178X" TargetMode="External"/><Relationship Id="rId1251" Type="http://schemas.openxmlformats.org/officeDocument/2006/relationships/hyperlink" Target="https://pubmed.ncbi.nlm.nih.gov/36468477/" TargetMode="External"/><Relationship Id="rId2582" Type="http://schemas.openxmlformats.org/officeDocument/2006/relationships/hyperlink" Target="https://pubmed.ncbi.nlm.nih.gov/35185864/" TargetMode="External"/><Relationship Id="rId1252" Type="http://schemas.openxmlformats.org/officeDocument/2006/relationships/hyperlink" Target="https://pubmed.ncbi.nlm.nih.gov/35075597/" TargetMode="External"/><Relationship Id="rId2583" Type="http://schemas.openxmlformats.org/officeDocument/2006/relationships/hyperlink" Target="https://pubmed.ncbi.nlm.nih.gov/34146193/" TargetMode="External"/><Relationship Id="rId422" Type="http://schemas.openxmlformats.org/officeDocument/2006/relationships/hyperlink" Target="https://pubmed.ncbi.nlm.nih.gov/33025746/" TargetMode="External"/><Relationship Id="rId1253" Type="http://schemas.openxmlformats.org/officeDocument/2006/relationships/hyperlink" Target="https://pubmed.ncbi.nlm.nih.gov/38028882/" TargetMode="External"/><Relationship Id="rId2584" Type="http://schemas.openxmlformats.org/officeDocument/2006/relationships/hyperlink" Target="https://pubmed.ncbi.nlm.nih.gov/34743255/" TargetMode="External"/><Relationship Id="rId421" Type="http://schemas.openxmlformats.org/officeDocument/2006/relationships/hyperlink" Target="https://pubmed.ncbi.nlm.nih.gov/37260363/" TargetMode="External"/><Relationship Id="rId1254" Type="http://schemas.openxmlformats.org/officeDocument/2006/relationships/hyperlink" Target="https://pubmed.ncbi.nlm.nih.gov/35753870/" TargetMode="External"/><Relationship Id="rId2585" Type="http://schemas.openxmlformats.org/officeDocument/2006/relationships/hyperlink" Target="https://pubmed.ncbi.nlm.nih.gov/33854908/" TargetMode="External"/><Relationship Id="rId420" Type="http://schemas.openxmlformats.org/officeDocument/2006/relationships/hyperlink" Target="https://pubmed.ncbi.nlm.nih.gov/37663921/" TargetMode="External"/><Relationship Id="rId1255" Type="http://schemas.openxmlformats.org/officeDocument/2006/relationships/hyperlink" Target="https://pubmed.ncbi.nlm.nih.gov/37041768/" TargetMode="External"/><Relationship Id="rId2586" Type="http://schemas.openxmlformats.org/officeDocument/2006/relationships/hyperlink" Target="https://pubmed.ncbi.nlm.nih.gov/31382164/" TargetMode="External"/><Relationship Id="rId1256" Type="http://schemas.openxmlformats.org/officeDocument/2006/relationships/hyperlink" Target="https://pubmed.ncbi.nlm.nih.gov/38598070/" TargetMode="External"/><Relationship Id="rId2587" Type="http://schemas.openxmlformats.org/officeDocument/2006/relationships/hyperlink" Target="https://pubmed.ncbi.nlm.nih.gov/33730343/" TargetMode="External"/><Relationship Id="rId1246" Type="http://schemas.openxmlformats.org/officeDocument/2006/relationships/hyperlink" Target="https://pubmed.ncbi.nlm.nih.gov/33152638/" TargetMode="External"/><Relationship Id="rId2577" Type="http://schemas.openxmlformats.org/officeDocument/2006/relationships/hyperlink" Target="https://pubmed.ncbi.nlm.nih.gov/31406538/" TargetMode="External"/><Relationship Id="rId1247" Type="http://schemas.openxmlformats.org/officeDocument/2006/relationships/hyperlink" Target="https://pubmed.ncbi.nlm.nih.gov/36564660/" TargetMode="External"/><Relationship Id="rId2578" Type="http://schemas.openxmlformats.org/officeDocument/2006/relationships/hyperlink" Target="https://pubmed.ncbi.nlm.nih.gov/23394792/" TargetMode="External"/><Relationship Id="rId1248" Type="http://schemas.openxmlformats.org/officeDocument/2006/relationships/hyperlink" Target="https://pubmed.ncbi.nlm.nih.gov/36920639/" TargetMode="External"/><Relationship Id="rId2579" Type="http://schemas.openxmlformats.org/officeDocument/2006/relationships/hyperlink" Target="https://pubmed.ncbi.nlm.nih.gov/20814689/" TargetMode="External"/><Relationship Id="rId1249" Type="http://schemas.openxmlformats.org/officeDocument/2006/relationships/hyperlink" Target="https://pubmed.ncbi.nlm.nih.gov/35587078/" TargetMode="External"/><Relationship Id="rId415" Type="http://schemas.openxmlformats.org/officeDocument/2006/relationships/hyperlink" Target="https://pubmed.ncbi.nlm.nih.gov/33038043/" TargetMode="External"/><Relationship Id="rId414" Type="http://schemas.openxmlformats.org/officeDocument/2006/relationships/hyperlink" Target="https://pubmed.ncbi.nlm.nih.gov/36457727/" TargetMode="External"/><Relationship Id="rId413" Type="http://schemas.openxmlformats.org/officeDocument/2006/relationships/hyperlink" Target="https://pubmed.ncbi.nlm.nih.gov/18163831/" TargetMode="External"/><Relationship Id="rId412" Type="http://schemas.openxmlformats.org/officeDocument/2006/relationships/hyperlink" Target="https://pubmed.ncbi.nlm.nih.gov/35239693/" TargetMode="External"/><Relationship Id="rId419" Type="http://schemas.openxmlformats.org/officeDocument/2006/relationships/hyperlink" Target="https://pubmed.ncbi.nlm.nih.gov/37753678/" TargetMode="External"/><Relationship Id="rId418" Type="http://schemas.openxmlformats.org/officeDocument/2006/relationships/hyperlink" Target="https://pubmed.ncbi.nlm.nih.gov/19136277/" TargetMode="External"/><Relationship Id="rId417" Type="http://schemas.openxmlformats.org/officeDocument/2006/relationships/hyperlink" Target="https://pubmed.ncbi.nlm.nih.gov/38258031/" TargetMode="External"/><Relationship Id="rId416" Type="http://schemas.openxmlformats.org/officeDocument/2006/relationships/hyperlink" Target="https://pubmed.ncbi.nlm.nih.gov/19142854/" TargetMode="External"/><Relationship Id="rId2570" Type="http://schemas.openxmlformats.org/officeDocument/2006/relationships/hyperlink" Target="https://pubmed.ncbi.nlm.nih.gov/35246396/" TargetMode="External"/><Relationship Id="rId1240" Type="http://schemas.openxmlformats.org/officeDocument/2006/relationships/hyperlink" Target="https://pubmed.ncbi.nlm.nih.gov/32431001/" TargetMode="External"/><Relationship Id="rId2571" Type="http://schemas.openxmlformats.org/officeDocument/2006/relationships/hyperlink" Target="https://pubmed.ncbi.nlm.nih.gov/33663975/" TargetMode="External"/><Relationship Id="rId1241" Type="http://schemas.openxmlformats.org/officeDocument/2006/relationships/hyperlink" Target="https://www.ncbi.nlm.nih.gov/pubmed/32395484" TargetMode="External"/><Relationship Id="rId2572" Type="http://schemas.openxmlformats.org/officeDocument/2006/relationships/hyperlink" Target="https://pubmed.ncbi.nlm.nih.gov/34028460/" TargetMode="External"/><Relationship Id="rId411" Type="http://schemas.openxmlformats.org/officeDocument/2006/relationships/hyperlink" Target="https://pubmed.ncbi.nlm.nih.gov/35973285/" TargetMode="External"/><Relationship Id="rId1242" Type="http://schemas.openxmlformats.org/officeDocument/2006/relationships/hyperlink" Target="https://pubmed.ncbi.nlm.nih.gov/20649429/" TargetMode="External"/><Relationship Id="rId2573" Type="http://schemas.openxmlformats.org/officeDocument/2006/relationships/hyperlink" Target="https://pubmed.ncbi.nlm.nih.gov/34731332/" TargetMode="External"/><Relationship Id="rId410" Type="http://schemas.openxmlformats.org/officeDocument/2006/relationships/hyperlink" Target="https://pubmed.ncbi.nlm.nih.gov/38214077/" TargetMode="External"/><Relationship Id="rId1243" Type="http://schemas.openxmlformats.org/officeDocument/2006/relationships/hyperlink" Target="http://www.ncbi.nlm.nih.gov/pubmed/7252254" TargetMode="External"/><Relationship Id="rId2574" Type="http://schemas.openxmlformats.org/officeDocument/2006/relationships/hyperlink" Target="https://pubmed.ncbi.nlm.nih.gov/34738483/" TargetMode="External"/><Relationship Id="rId1244" Type="http://schemas.openxmlformats.org/officeDocument/2006/relationships/hyperlink" Target="https://pubmed.ncbi.nlm.nih.gov/36040371/" TargetMode="External"/><Relationship Id="rId2575" Type="http://schemas.openxmlformats.org/officeDocument/2006/relationships/hyperlink" Target="https://pubmed.ncbi.nlm.nih.gov/33671931/" TargetMode="External"/><Relationship Id="rId1245" Type="http://schemas.openxmlformats.org/officeDocument/2006/relationships/hyperlink" Target="https://pubmed.ncbi.nlm.nih.gov/33795530/" TargetMode="External"/><Relationship Id="rId2576" Type="http://schemas.openxmlformats.org/officeDocument/2006/relationships/hyperlink" Target="https://pubmed.ncbi.nlm.nih.gov/32791692/" TargetMode="External"/><Relationship Id="rId1279" Type="http://schemas.openxmlformats.org/officeDocument/2006/relationships/hyperlink" Target="https://pubmed.ncbi.nlm.nih.gov/34177615/" TargetMode="External"/><Relationship Id="rId448" Type="http://schemas.openxmlformats.org/officeDocument/2006/relationships/hyperlink" Target="https://pubmed.ncbi.nlm.nih.gov/8078384/" TargetMode="External"/><Relationship Id="rId447" Type="http://schemas.openxmlformats.org/officeDocument/2006/relationships/hyperlink" Target="https://pubmed.ncbi.nlm.nih.gov/33557038/" TargetMode="External"/><Relationship Id="rId446" Type="http://schemas.openxmlformats.org/officeDocument/2006/relationships/hyperlink" Target="https://pubmed.ncbi.nlm.nih.gov/34733756/" TargetMode="External"/><Relationship Id="rId445" Type="http://schemas.openxmlformats.org/officeDocument/2006/relationships/hyperlink" Target="https://pubmed.ncbi.nlm.nih.gov/34359834/" TargetMode="External"/><Relationship Id="rId449" Type="http://schemas.openxmlformats.org/officeDocument/2006/relationships/hyperlink" Target="https://pubmed.ncbi.nlm.nih.gov/8165235/" TargetMode="External"/><Relationship Id="rId1270" Type="http://schemas.openxmlformats.org/officeDocument/2006/relationships/hyperlink" Target="https://pubmed.ncbi.nlm.nih.gov/35235082/" TargetMode="External"/><Relationship Id="rId440" Type="http://schemas.openxmlformats.org/officeDocument/2006/relationships/hyperlink" Target="https://pubmed.ncbi.nlm.nih.gov/35929438/" TargetMode="External"/><Relationship Id="rId1271" Type="http://schemas.openxmlformats.org/officeDocument/2006/relationships/hyperlink" Target="https://pubmed.ncbi.nlm.nih.gov/33020394/" TargetMode="External"/><Relationship Id="rId1272" Type="http://schemas.openxmlformats.org/officeDocument/2006/relationships/hyperlink" Target="https://pubmed.ncbi.nlm.nih.gov/35693867/" TargetMode="External"/><Relationship Id="rId1273" Type="http://schemas.openxmlformats.org/officeDocument/2006/relationships/hyperlink" Target="https://pubmed.ncbi.nlm.nih.gov/33273302/" TargetMode="External"/><Relationship Id="rId1274" Type="http://schemas.openxmlformats.org/officeDocument/2006/relationships/hyperlink" Target="https://pubmed.ncbi.nlm.nih.gov/38015822/" TargetMode="External"/><Relationship Id="rId444" Type="http://schemas.openxmlformats.org/officeDocument/2006/relationships/hyperlink" Target="https://pubmed.ncbi.nlm.nih.gov/18818674/" TargetMode="External"/><Relationship Id="rId1275" Type="http://schemas.openxmlformats.org/officeDocument/2006/relationships/hyperlink" Target="https://pubmed.ncbi.nlm.nih.gov/36878185/" TargetMode="External"/><Relationship Id="rId443" Type="http://schemas.openxmlformats.org/officeDocument/2006/relationships/hyperlink" Target="https://pubmed.ncbi.nlm.nih.gov/31553937/" TargetMode="External"/><Relationship Id="rId1276" Type="http://schemas.openxmlformats.org/officeDocument/2006/relationships/hyperlink" Target="https://pubmed.ncbi.nlm.nih.gov/36301306/" TargetMode="External"/><Relationship Id="rId442" Type="http://schemas.openxmlformats.org/officeDocument/2006/relationships/hyperlink" Target="https://pubmed.ncbi.nlm.nih.gov/32790251/" TargetMode="External"/><Relationship Id="rId1277" Type="http://schemas.openxmlformats.org/officeDocument/2006/relationships/hyperlink" Target="https://pubmed.ncbi.nlm.nih.gov/34858690/" TargetMode="External"/><Relationship Id="rId441" Type="http://schemas.openxmlformats.org/officeDocument/2006/relationships/hyperlink" Target="https://pubmed.ncbi.nlm.nih.gov/34536586/" TargetMode="External"/><Relationship Id="rId1278" Type="http://schemas.openxmlformats.org/officeDocument/2006/relationships/hyperlink" Target="https://pubmed.ncbi.nlm.nih.gov/34776149/" TargetMode="External"/><Relationship Id="rId1268" Type="http://schemas.openxmlformats.org/officeDocument/2006/relationships/hyperlink" Target="https://pubmed.ncbi.nlm.nih.gov/38304418/" TargetMode="External"/><Relationship Id="rId2599" Type="http://schemas.openxmlformats.org/officeDocument/2006/relationships/hyperlink" Target="https://pubmed.ncbi.nlm.nih.gov/38301209/" TargetMode="External"/><Relationship Id="rId1269" Type="http://schemas.openxmlformats.org/officeDocument/2006/relationships/hyperlink" Target="https://pubmed.ncbi.nlm.nih.gov/38288386/" TargetMode="External"/><Relationship Id="rId437" Type="http://schemas.openxmlformats.org/officeDocument/2006/relationships/hyperlink" Target="https://pubmed.ncbi.nlm.nih.gov/35326423/" TargetMode="External"/><Relationship Id="rId436" Type="http://schemas.openxmlformats.org/officeDocument/2006/relationships/hyperlink" Target="https://pubmed.ncbi.nlm.nih.gov/38744931/" TargetMode="External"/><Relationship Id="rId435" Type="http://schemas.openxmlformats.org/officeDocument/2006/relationships/hyperlink" Target="https://pubmed.ncbi.nlm.nih.gov/38774941/" TargetMode="External"/><Relationship Id="rId434" Type="http://schemas.openxmlformats.org/officeDocument/2006/relationships/hyperlink" Target="https://pubmed.ncbi.nlm.nih.gov/33826015/" TargetMode="External"/><Relationship Id="rId439" Type="http://schemas.openxmlformats.org/officeDocument/2006/relationships/hyperlink" Target="https://pubmed.ncbi.nlm.nih.gov/36462596/" TargetMode="External"/><Relationship Id="rId438" Type="http://schemas.openxmlformats.org/officeDocument/2006/relationships/hyperlink" Target="https://pubmed.ncbi.nlm.nih.gov/33000839/" TargetMode="External"/><Relationship Id="rId2590" Type="http://schemas.openxmlformats.org/officeDocument/2006/relationships/hyperlink" Target="https://ejb.springeropen.com/articles/10.4103/ejb.ejb_110_17" TargetMode="External"/><Relationship Id="rId1260" Type="http://schemas.openxmlformats.org/officeDocument/2006/relationships/hyperlink" Target="https://pubmed.ncbi.nlm.nih.gov/32638240/" TargetMode="External"/><Relationship Id="rId2591" Type="http://schemas.openxmlformats.org/officeDocument/2006/relationships/hyperlink" Target="https://pubmed.ncbi.nlm.nih.gov/36964849/" TargetMode="External"/><Relationship Id="rId1261" Type="http://schemas.openxmlformats.org/officeDocument/2006/relationships/hyperlink" Target="https://pubmed.ncbi.nlm.nih.gov/34520536/" TargetMode="External"/><Relationship Id="rId2592" Type="http://schemas.openxmlformats.org/officeDocument/2006/relationships/hyperlink" Target="https://pubmed.ncbi.nlm.nih.gov/36938515/" TargetMode="External"/><Relationship Id="rId1262" Type="http://schemas.openxmlformats.org/officeDocument/2006/relationships/hyperlink" Target="https://pubmed.ncbi.nlm.nih.gov/35910832/" TargetMode="External"/><Relationship Id="rId2593" Type="http://schemas.openxmlformats.org/officeDocument/2006/relationships/hyperlink" Target="https://pubmed.ncbi.nlm.nih.gov/34907516/" TargetMode="External"/><Relationship Id="rId1263" Type="http://schemas.openxmlformats.org/officeDocument/2006/relationships/hyperlink" Target="https://pubmed.ncbi.nlm.nih.gov/37873903/" TargetMode="External"/><Relationship Id="rId2594" Type="http://schemas.openxmlformats.org/officeDocument/2006/relationships/hyperlink" Target="https://pubmed.ncbi.nlm.nih.gov/36029758/" TargetMode="External"/><Relationship Id="rId433" Type="http://schemas.openxmlformats.org/officeDocument/2006/relationships/hyperlink" Target="https://pubmed.ncbi.nlm.nih.gov/35600165/" TargetMode="External"/><Relationship Id="rId1264" Type="http://schemas.openxmlformats.org/officeDocument/2006/relationships/hyperlink" Target="https://pubmed.ncbi.nlm.nih.gov/37294341/" TargetMode="External"/><Relationship Id="rId2595" Type="http://schemas.openxmlformats.org/officeDocument/2006/relationships/hyperlink" Target="https://pubmed.ncbi.nlm.nih.gov/36290963/" TargetMode="External"/><Relationship Id="rId432" Type="http://schemas.openxmlformats.org/officeDocument/2006/relationships/hyperlink" Target="https://pubmed.ncbi.nlm.nih.gov/28233766/" TargetMode="External"/><Relationship Id="rId1265" Type="http://schemas.openxmlformats.org/officeDocument/2006/relationships/hyperlink" Target="https://pubmed.ncbi.nlm.nih.gov/37099210/" TargetMode="External"/><Relationship Id="rId2596" Type="http://schemas.openxmlformats.org/officeDocument/2006/relationships/hyperlink" Target="https://pubmed.ncbi.nlm.nih.gov/35426610/" TargetMode="External"/><Relationship Id="rId431" Type="http://schemas.openxmlformats.org/officeDocument/2006/relationships/hyperlink" Target="https://pubmed.ncbi.nlm.nih.gov/33628374/" TargetMode="External"/><Relationship Id="rId1266" Type="http://schemas.openxmlformats.org/officeDocument/2006/relationships/hyperlink" Target="https://pubmed.ncbi.nlm.nih.gov/33519511/" TargetMode="External"/><Relationship Id="rId2597" Type="http://schemas.openxmlformats.org/officeDocument/2006/relationships/hyperlink" Target="https://pubmed.ncbi.nlm.nih.gov/34009632/" TargetMode="External"/><Relationship Id="rId430" Type="http://schemas.openxmlformats.org/officeDocument/2006/relationships/hyperlink" Target="https://pubmed.ncbi.nlm.nih.gov/33466557/" TargetMode="External"/><Relationship Id="rId1267" Type="http://schemas.openxmlformats.org/officeDocument/2006/relationships/hyperlink" Target="https://pubmed.ncbi.nlm.nih.gov/32796413/" TargetMode="External"/><Relationship Id="rId2598" Type="http://schemas.openxmlformats.org/officeDocument/2006/relationships/hyperlink" Target="https://pubmed.ncbi.nlm.nih.gov/32812131/" TargetMode="External"/><Relationship Id="rId3070" Type="http://schemas.openxmlformats.org/officeDocument/2006/relationships/hyperlink" Target="https://pubmed.ncbi.nlm.nih.gov/38438583/" TargetMode="External"/><Relationship Id="rId3072" Type="http://schemas.openxmlformats.org/officeDocument/2006/relationships/hyperlink" Target="https://pubmed.ncbi.nlm.nih.gov/38270723/" TargetMode="External"/><Relationship Id="rId3071" Type="http://schemas.openxmlformats.org/officeDocument/2006/relationships/hyperlink" Target="https://pubmed.ncbi.nlm.nih.gov/38387147/" TargetMode="External"/><Relationship Id="rId3074" Type="http://schemas.openxmlformats.org/officeDocument/2006/relationships/hyperlink" Target="https://pubmed.ncbi.nlm.nih.gov/38028880/" TargetMode="External"/><Relationship Id="rId3073" Type="http://schemas.openxmlformats.org/officeDocument/2006/relationships/hyperlink" Target="https://pubmed.ncbi.nlm.nih.gov/38236386/" TargetMode="External"/><Relationship Id="rId3076" Type="http://schemas.openxmlformats.org/officeDocument/2006/relationships/hyperlink" Target="https://pubmed.ncbi.nlm.nih.gov/37975122/" TargetMode="External"/><Relationship Id="rId3075" Type="http://schemas.openxmlformats.org/officeDocument/2006/relationships/hyperlink" Target="https://pubmed.ncbi.nlm.nih.gov/37964303/" TargetMode="External"/><Relationship Id="rId3078" Type="http://schemas.openxmlformats.org/officeDocument/2006/relationships/hyperlink" Target="https://pubmed.ncbi.nlm.nih.gov/37583498/" TargetMode="External"/><Relationship Id="rId3077" Type="http://schemas.openxmlformats.org/officeDocument/2006/relationships/hyperlink" Target="https://pubmed.ncbi.nlm.nih.gov/37735655/" TargetMode="External"/><Relationship Id="rId3079" Type="http://schemas.openxmlformats.org/officeDocument/2006/relationships/hyperlink" Target="https://pubmed.ncbi.nlm.nih.gov/37243832/" TargetMode="External"/><Relationship Id="rId3061" Type="http://schemas.openxmlformats.org/officeDocument/2006/relationships/hyperlink" Target="https://pubmed.ncbi.nlm.nih.gov/33078478/" TargetMode="External"/><Relationship Id="rId3060" Type="http://schemas.openxmlformats.org/officeDocument/2006/relationships/hyperlink" Target="https://pubmed.ncbi.nlm.nih.gov/33190161/" TargetMode="External"/><Relationship Id="rId3063" Type="http://schemas.openxmlformats.org/officeDocument/2006/relationships/hyperlink" Target="https://www.ncbi.nlm.nih.gov/pubmed/32394760" TargetMode="External"/><Relationship Id="rId3062" Type="http://schemas.openxmlformats.org/officeDocument/2006/relationships/hyperlink" Target="https://pubmed.ncbi.nlm.nih.gov/32518562/" TargetMode="External"/><Relationship Id="rId3065" Type="http://schemas.openxmlformats.org/officeDocument/2006/relationships/hyperlink" Target="https://www.scielo.br/j/reng/a/MDy6Y9pWnKMCk8DVwpHs7wn/" TargetMode="External"/><Relationship Id="rId3064" Type="http://schemas.openxmlformats.org/officeDocument/2006/relationships/hyperlink" Target="https://pubmed.ncbi.nlm.nih.gov/30557112/" TargetMode="External"/><Relationship Id="rId3067" Type="http://schemas.openxmlformats.org/officeDocument/2006/relationships/hyperlink" Target="https://pubmed.ncbi.nlm.nih.gov/19668943/" TargetMode="External"/><Relationship Id="rId3066" Type="http://schemas.openxmlformats.org/officeDocument/2006/relationships/hyperlink" Target="https://pubmed.ncbi.nlm.nih.gov/27113284/" TargetMode="External"/><Relationship Id="rId3069" Type="http://schemas.openxmlformats.org/officeDocument/2006/relationships/hyperlink" Target="https://pubmed.ncbi.nlm.nih.gov/37585961/" TargetMode="External"/><Relationship Id="rId3068" Type="http://schemas.openxmlformats.org/officeDocument/2006/relationships/hyperlink" Target="https://pubmed.ncbi.nlm.nih.gov/38574328/" TargetMode="External"/><Relationship Id="rId3090" Type="http://schemas.openxmlformats.org/officeDocument/2006/relationships/hyperlink" Target="https://pubmed.ncbi.nlm.nih.gov/35457028/" TargetMode="External"/><Relationship Id="rId3092" Type="http://schemas.openxmlformats.org/officeDocument/2006/relationships/hyperlink" Target="https://pubmed.ncbi.nlm.nih.gov/33392015/" TargetMode="External"/><Relationship Id="rId3091" Type="http://schemas.openxmlformats.org/officeDocument/2006/relationships/hyperlink" Target="https://pubmed.ncbi.nlm.nih.gov/34941461/" TargetMode="External"/><Relationship Id="rId3094" Type="http://schemas.openxmlformats.org/officeDocument/2006/relationships/hyperlink" Target="https://pubmed.ncbi.nlm.nih.gov/33370535/" TargetMode="External"/><Relationship Id="rId3093" Type="http://schemas.openxmlformats.org/officeDocument/2006/relationships/hyperlink" Target="https://pubmed.ncbi.nlm.nih.gov/33870502/" TargetMode="External"/><Relationship Id="rId3096" Type="http://schemas.openxmlformats.org/officeDocument/2006/relationships/hyperlink" Target="https://iopscience.iop.org/article/10.1088/1555-6611/aa64b7" TargetMode="External"/><Relationship Id="rId3095" Type="http://schemas.openxmlformats.org/officeDocument/2006/relationships/hyperlink" Target="https://pubmed.ncbi.nlm.nih.gov/32696423/" TargetMode="External"/><Relationship Id="rId3098" Type="http://schemas.openxmlformats.org/officeDocument/2006/relationships/hyperlink" Target="https://pubmed.ncbi.nlm.nih.gov/11472621/" TargetMode="External"/><Relationship Id="rId3097" Type="http://schemas.openxmlformats.org/officeDocument/2006/relationships/hyperlink" Target="https://pubmed.ncbi.nlm.nih.gov/25909480/" TargetMode="External"/><Relationship Id="rId3099" Type="http://schemas.openxmlformats.org/officeDocument/2006/relationships/hyperlink" Target="https://pubmed.ncbi.nlm.nih.gov/9041509/" TargetMode="External"/><Relationship Id="rId3081" Type="http://schemas.openxmlformats.org/officeDocument/2006/relationships/hyperlink" Target="https://pubmed.ncbi.nlm.nih.gov/36982967/" TargetMode="External"/><Relationship Id="rId3080" Type="http://schemas.openxmlformats.org/officeDocument/2006/relationships/hyperlink" Target="https://pubmed.ncbi.nlm.nih.gov/37039961/" TargetMode="External"/><Relationship Id="rId3083" Type="http://schemas.openxmlformats.org/officeDocument/2006/relationships/hyperlink" Target="https://pubmed.ncbi.nlm.nih.gov/36509199/" TargetMode="External"/><Relationship Id="rId3082" Type="http://schemas.openxmlformats.org/officeDocument/2006/relationships/hyperlink" Target="https://pubmed.ncbi.nlm.nih.gov/36808225/" TargetMode="External"/><Relationship Id="rId3085" Type="http://schemas.openxmlformats.org/officeDocument/2006/relationships/hyperlink" Target="https://pubmed.ncbi.nlm.nih.gov/36477863/" TargetMode="External"/><Relationship Id="rId3084" Type="http://schemas.openxmlformats.org/officeDocument/2006/relationships/hyperlink" Target="https://pubmed.ncbi.nlm.nih.gov/37255770/" TargetMode="External"/><Relationship Id="rId3087" Type="http://schemas.openxmlformats.org/officeDocument/2006/relationships/hyperlink" Target="https://pubmed.ncbi.nlm.nih.gov/36053389/" TargetMode="External"/><Relationship Id="rId3086" Type="http://schemas.openxmlformats.org/officeDocument/2006/relationships/hyperlink" Target="https://pubmed.ncbi.nlm.nih.gov/36006574/" TargetMode="External"/><Relationship Id="rId3089" Type="http://schemas.openxmlformats.org/officeDocument/2006/relationships/hyperlink" Target="https://pubmed.ncbi.nlm.nih.gov/35519257/" TargetMode="External"/><Relationship Id="rId3088" Type="http://schemas.openxmlformats.org/officeDocument/2006/relationships/hyperlink" Target="https://pubmed.ncbi.nlm.nih.gov/35635648/" TargetMode="External"/><Relationship Id="rId3039" Type="http://schemas.openxmlformats.org/officeDocument/2006/relationships/hyperlink" Target="https://pubmed.ncbi.nlm.nih.gov/24814697/" TargetMode="External"/><Relationship Id="rId1" Type="http://schemas.openxmlformats.org/officeDocument/2006/relationships/hyperlink" Target="https://onlinelibrary.wiley.com/doi/full/10.1002/tbio.202100006" TargetMode="External"/><Relationship Id="rId2" Type="http://schemas.openxmlformats.org/officeDocument/2006/relationships/hyperlink" Target="https://pubmed.ncbi.nlm.nih.gov/34289510/" TargetMode="External"/><Relationship Id="rId3" Type="http://schemas.openxmlformats.org/officeDocument/2006/relationships/hyperlink" Target="https://pubmed.ncbi.nlm.nih.gov/33047449/" TargetMode="External"/><Relationship Id="rId4" Type="http://schemas.openxmlformats.org/officeDocument/2006/relationships/hyperlink" Target="https://pubmed.ncbi.nlm.nih.gov/16427980/" TargetMode="External"/><Relationship Id="rId3030" Type="http://schemas.openxmlformats.org/officeDocument/2006/relationships/hyperlink" Target="https://pubmed.ncbi.nlm.nih.gov/34253665/" TargetMode="External"/><Relationship Id="rId9" Type="http://schemas.openxmlformats.org/officeDocument/2006/relationships/hyperlink" Target="https://pubmed.ncbi.nlm.nih.gov/38941921/" TargetMode="External"/><Relationship Id="rId3032" Type="http://schemas.openxmlformats.org/officeDocument/2006/relationships/hyperlink" Target="https://www.hindawi.com/journals/ijp/2021/3947895/" TargetMode="External"/><Relationship Id="rId3031" Type="http://schemas.openxmlformats.org/officeDocument/2006/relationships/hyperlink" Target="https://pubmed.ncbi.nlm.nih.gov/34498454/" TargetMode="External"/><Relationship Id="rId3034" Type="http://schemas.openxmlformats.org/officeDocument/2006/relationships/hyperlink" Target="https://pubmed.ncbi.nlm.nih.gov/23049388/" TargetMode="External"/><Relationship Id="rId3033" Type="http://schemas.openxmlformats.org/officeDocument/2006/relationships/hyperlink" Target="https://pubmed.ncbi.nlm.nih.gov/28702983/" TargetMode="External"/><Relationship Id="rId5" Type="http://schemas.openxmlformats.org/officeDocument/2006/relationships/hyperlink" Target="https://pubmed.ncbi.nlm.nih.gov/37089765/" TargetMode="External"/><Relationship Id="rId3036" Type="http://schemas.openxmlformats.org/officeDocument/2006/relationships/hyperlink" Target="https://pubmed.ncbi.nlm.nih.gov/31516535/" TargetMode="External"/><Relationship Id="rId6" Type="http://schemas.openxmlformats.org/officeDocument/2006/relationships/hyperlink" Target="https://pubmed.ncbi.nlm.nih.gov/37851070/" TargetMode="External"/><Relationship Id="rId3035" Type="http://schemas.openxmlformats.org/officeDocument/2006/relationships/hyperlink" Target="https://pubmed.ncbi.nlm.nih.gov/32158488/" TargetMode="External"/><Relationship Id="rId7" Type="http://schemas.openxmlformats.org/officeDocument/2006/relationships/hyperlink" Target="https://pubmed.ncbi.nlm.nih.gov/36074934/" TargetMode="External"/><Relationship Id="rId3038" Type="http://schemas.openxmlformats.org/officeDocument/2006/relationships/hyperlink" Target="https://pubmed.ncbi.nlm.nih.gov/26281044/" TargetMode="External"/><Relationship Id="rId8" Type="http://schemas.openxmlformats.org/officeDocument/2006/relationships/hyperlink" Target="https://pubmed.ncbi.nlm.nih.gov/38790953/" TargetMode="External"/><Relationship Id="rId3037" Type="http://schemas.openxmlformats.org/officeDocument/2006/relationships/hyperlink" Target="https://pubmed.ncbi.nlm.nih.gov/29023192/" TargetMode="External"/><Relationship Id="rId3029" Type="http://schemas.openxmlformats.org/officeDocument/2006/relationships/hyperlink" Target="https://pubmed.ncbi.nlm.nih.gov/34733763/" TargetMode="External"/><Relationship Id="rId3028" Type="http://schemas.openxmlformats.org/officeDocument/2006/relationships/hyperlink" Target="https://www.mdpi.com/2304-6732/9/8/591/htm" TargetMode="External"/><Relationship Id="rId3021" Type="http://schemas.openxmlformats.org/officeDocument/2006/relationships/hyperlink" Target="https://pubmed.ncbi.nlm.nih.gov/28166437/" TargetMode="External"/><Relationship Id="rId3020" Type="http://schemas.openxmlformats.org/officeDocument/2006/relationships/hyperlink" Target="https://pubmed.ncbi.nlm.nih.gov/29573633/" TargetMode="External"/><Relationship Id="rId3023" Type="http://schemas.openxmlformats.org/officeDocument/2006/relationships/hyperlink" Target="https://pubmed.ncbi.nlm.nih.gov/39007463/" TargetMode="External"/><Relationship Id="rId3022" Type="http://schemas.openxmlformats.org/officeDocument/2006/relationships/hyperlink" Target="https://pubmed.ncbi.nlm.nih.gov/39035599/" TargetMode="External"/><Relationship Id="rId3025" Type="http://schemas.openxmlformats.org/officeDocument/2006/relationships/hyperlink" Target="https://pubmed.ncbi.nlm.nih.gov/37907354/" TargetMode="External"/><Relationship Id="rId3024" Type="http://schemas.openxmlformats.org/officeDocument/2006/relationships/hyperlink" Target="https://pubmed.ncbi.nlm.nih.gov/37969445/" TargetMode="External"/><Relationship Id="rId3027" Type="http://schemas.openxmlformats.org/officeDocument/2006/relationships/hyperlink" Target="https://pubmed.ncbi.nlm.nih.gov/35805944/" TargetMode="External"/><Relationship Id="rId3026" Type="http://schemas.openxmlformats.org/officeDocument/2006/relationships/hyperlink" Target="https://pubmed.ncbi.nlm.nih.gov/36541709/" TargetMode="External"/><Relationship Id="rId3050" Type="http://schemas.openxmlformats.org/officeDocument/2006/relationships/hyperlink" Target="https://pubmed.ncbi.nlm.nih.gov/36743151/" TargetMode="External"/><Relationship Id="rId3052" Type="http://schemas.openxmlformats.org/officeDocument/2006/relationships/hyperlink" Target="https://pubmed.ncbi.nlm.nih.gov/34370677/" TargetMode="External"/><Relationship Id="rId3051" Type="http://schemas.openxmlformats.org/officeDocument/2006/relationships/hyperlink" Target="https://pubmed.ncbi.nlm.nih.gov/36571337/" TargetMode="External"/><Relationship Id="rId3054" Type="http://schemas.openxmlformats.org/officeDocument/2006/relationships/hyperlink" Target="https://pubmed.ncbi.nlm.nih.gov/34487920/" TargetMode="External"/><Relationship Id="rId3053" Type="http://schemas.openxmlformats.org/officeDocument/2006/relationships/hyperlink" Target="https://pubmed.ncbi.nlm.nih.gov/34900800/" TargetMode="External"/><Relationship Id="rId3056" Type="http://schemas.openxmlformats.org/officeDocument/2006/relationships/hyperlink" Target="https://pubmed.ncbi.nlm.nih.gov/34597193/" TargetMode="External"/><Relationship Id="rId3055" Type="http://schemas.openxmlformats.org/officeDocument/2006/relationships/hyperlink" Target="https://pubmed.ncbi.nlm.nih.gov/34390946/" TargetMode="External"/><Relationship Id="rId3058" Type="http://schemas.openxmlformats.org/officeDocument/2006/relationships/hyperlink" Target="https://pubmed.ncbi.nlm.nih.gov/33973828/" TargetMode="External"/><Relationship Id="rId3057" Type="http://schemas.openxmlformats.org/officeDocument/2006/relationships/hyperlink" Target="https://pubmed.ncbi.nlm.nih.gov/34052927/" TargetMode="External"/><Relationship Id="rId3059" Type="http://schemas.openxmlformats.org/officeDocument/2006/relationships/hyperlink" Target="https://pubmed.ncbi.nlm.nih.gov/33751853/" TargetMode="External"/><Relationship Id="rId3041" Type="http://schemas.openxmlformats.org/officeDocument/2006/relationships/hyperlink" Target="https://link.springer.com/article/10.1007/s00592-013-0533-3" TargetMode="External"/><Relationship Id="rId3040" Type="http://schemas.openxmlformats.org/officeDocument/2006/relationships/hyperlink" Target="https://pubmed.ncbi.nlm.nih.gov/23066973/" TargetMode="External"/><Relationship Id="rId3043" Type="http://schemas.openxmlformats.org/officeDocument/2006/relationships/hyperlink" Target="https://pubmed.ncbi.nlm.nih.gov/38956839/" TargetMode="External"/><Relationship Id="rId3042" Type="http://schemas.openxmlformats.org/officeDocument/2006/relationships/hyperlink" Target="https://pubmed.ncbi.nlm.nih.gov/39033377/" TargetMode="External"/><Relationship Id="rId3045" Type="http://schemas.openxmlformats.org/officeDocument/2006/relationships/hyperlink" Target="https://pubmed.ncbi.nlm.nih.gov/38536106/" TargetMode="External"/><Relationship Id="rId3044" Type="http://schemas.openxmlformats.org/officeDocument/2006/relationships/hyperlink" Target="https://pubmed.ncbi.nlm.nih.gov/38805069/" TargetMode="External"/><Relationship Id="rId3047" Type="http://schemas.openxmlformats.org/officeDocument/2006/relationships/hyperlink" Target="https://pubmed.ncbi.nlm.nih.gov/37095726/" TargetMode="External"/><Relationship Id="rId3046" Type="http://schemas.openxmlformats.org/officeDocument/2006/relationships/hyperlink" Target="https://pubmed.ncbi.nlm.nih.gov/38028869/" TargetMode="External"/><Relationship Id="rId3049" Type="http://schemas.openxmlformats.org/officeDocument/2006/relationships/hyperlink" Target="https://pubmed.ncbi.nlm.nih.gov/36315226/" TargetMode="External"/><Relationship Id="rId3048" Type="http://schemas.openxmlformats.org/officeDocument/2006/relationships/hyperlink" Target="https://pubmed.ncbi.nlm.nih.gov/36818748/" TargetMode="External"/><Relationship Id="rId2600" Type="http://schemas.openxmlformats.org/officeDocument/2006/relationships/hyperlink" Target="https://pubmed.ncbi.nlm.nih.gov/34694503/" TargetMode="External"/><Relationship Id="rId2601" Type="http://schemas.openxmlformats.org/officeDocument/2006/relationships/hyperlink" Target="https://pubmed.ncbi.nlm.nih.gov/32761018/" TargetMode="External"/><Relationship Id="rId2602" Type="http://schemas.openxmlformats.org/officeDocument/2006/relationships/hyperlink" Target="https://pubmed.ncbi.nlm.nih.gov/33547613/" TargetMode="External"/><Relationship Id="rId2603" Type="http://schemas.openxmlformats.org/officeDocument/2006/relationships/hyperlink" Target="https://pubmed.ncbi.nlm.nih.gov/36803162/" TargetMode="External"/><Relationship Id="rId2604" Type="http://schemas.openxmlformats.org/officeDocument/2006/relationships/hyperlink" Target="https://pubmed.ncbi.nlm.nih.gov/37533379/" TargetMode="External"/><Relationship Id="rId2605" Type="http://schemas.openxmlformats.org/officeDocument/2006/relationships/hyperlink" Target="https://pubmed.ncbi.nlm.nih.gov/37295546/" TargetMode="External"/><Relationship Id="rId2606" Type="http://schemas.openxmlformats.org/officeDocument/2006/relationships/hyperlink" Target="https://www.ncbi.nlm.nih.gov/pubmed/16706699" TargetMode="External"/><Relationship Id="rId808" Type="http://schemas.openxmlformats.org/officeDocument/2006/relationships/hyperlink" Target="https://pubmed.ncbi.nlm.nih.gov/38710983/" TargetMode="External"/><Relationship Id="rId2607" Type="http://schemas.openxmlformats.org/officeDocument/2006/relationships/hyperlink" Target="https://pubmed.ncbi.nlm.nih.gov/34935510/" TargetMode="External"/><Relationship Id="rId807" Type="http://schemas.openxmlformats.org/officeDocument/2006/relationships/hyperlink" Target="https://pubmed.ncbi.nlm.nih.gov/38662345/" TargetMode="External"/><Relationship Id="rId2608" Type="http://schemas.openxmlformats.org/officeDocument/2006/relationships/hyperlink" Target="https://pubmed.ncbi.nlm.nih.gov/36614203/" TargetMode="External"/><Relationship Id="rId806" Type="http://schemas.openxmlformats.org/officeDocument/2006/relationships/hyperlink" Target="https://pubmed.ncbi.nlm.nih.gov/38723579/" TargetMode="External"/><Relationship Id="rId2609" Type="http://schemas.openxmlformats.org/officeDocument/2006/relationships/hyperlink" Target="https://pubmed.ncbi.nlm.nih.gov/36538169/" TargetMode="External"/><Relationship Id="rId805" Type="http://schemas.openxmlformats.org/officeDocument/2006/relationships/hyperlink" Target="https://pubmed.ncbi.nlm.nih.gov/38729232/" TargetMode="External"/><Relationship Id="rId809" Type="http://schemas.openxmlformats.org/officeDocument/2006/relationships/hyperlink" Target="https://pubmed.ncbi.nlm.nih.gov/38557968/" TargetMode="External"/><Relationship Id="rId800" Type="http://schemas.openxmlformats.org/officeDocument/2006/relationships/hyperlink" Target="https://pubmed.ncbi.nlm.nih.gov/39027063/" TargetMode="External"/><Relationship Id="rId804" Type="http://schemas.openxmlformats.org/officeDocument/2006/relationships/hyperlink" Target="https://pubmed.ncbi.nlm.nih.gov/38740318/" TargetMode="External"/><Relationship Id="rId803" Type="http://schemas.openxmlformats.org/officeDocument/2006/relationships/hyperlink" Target="https://pubmed.ncbi.nlm.nih.gov/38664659/" TargetMode="External"/><Relationship Id="rId802" Type="http://schemas.openxmlformats.org/officeDocument/2006/relationships/hyperlink" Target="https://pubmed.ncbi.nlm.nih.gov/38763303/" TargetMode="External"/><Relationship Id="rId801" Type="http://schemas.openxmlformats.org/officeDocument/2006/relationships/hyperlink" Target="https://pubmed.ncbi.nlm.nih.gov/38849054/" TargetMode="External"/><Relationship Id="rId1334" Type="http://schemas.openxmlformats.org/officeDocument/2006/relationships/hyperlink" Target="https://pubmed.ncbi.nlm.nih.gov/34799996/" TargetMode="External"/><Relationship Id="rId2665" Type="http://schemas.openxmlformats.org/officeDocument/2006/relationships/hyperlink" Target="https://pubmed.ncbi.nlm.nih.gov/36106176/" TargetMode="External"/><Relationship Id="rId1335" Type="http://schemas.openxmlformats.org/officeDocument/2006/relationships/hyperlink" Target="https://pubmed.ncbi.nlm.nih.gov/34586157/" TargetMode="External"/><Relationship Id="rId2666" Type="http://schemas.openxmlformats.org/officeDocument/2006/relationships/hyperlink" Target="https://pubmed.ncbi.nlm.nih.gov/36038860/" TargetMode="External"/><Relationship Id="rId1336" Type="http://schemas.openxmlformats.org/officeDocument/2006/relationships/hyperlink" Target="https://pubmed.ncbi.nlm.nih.gov/34101204/" TargetMode="External"/><Relationship Id="rId2667" Type="http://schemas.openxmlformats.org/officeDocument/2006/relationships/hyperlink" Target="https://pubmed.ncbi.nlm.nih.gov/35996481/" TargetMode="External"/><Relationship Id="rId1337" Type="http://schemas.openxmlformats.org/officeDocument/2006/relationships/hyperlink" Target="https://pubmed.ncbi.nlm.nih.gov/33872063/" TargetMode="External"/><Relationship Id="rId2668" Type="http://schemas.openxmlformats.org/officeDocument/2006/relationships/hyperlink" Target="https://pubmed.ncbi.nlm.nih.gov/35619187/" TargetMode="External"/><Relationship Id="rId1338" Type="http://schemas.openxmlformats.org/officeDocument/2006/relationships/hyperlink" Target="https://pubmed.ncbi.nlm.nih.gov/33106989/" TargetMode="External"/><Relationship Id="rId2669" Type="http://schemas.openxmlformats.org/officeDocument/2006/relationships/hyperlink" Target="https://pubmed.ncbi.nlm.nih.gov/34217028/" TargetMode="External"/><Relationship Id="rId1339" Type="http://schemas.openxmlformats.org/officeDocument/2006/relationships/hyperlink" Target="https://www.hindawi.com/journals/ijp/2019/2782709/" TargetMode="External"/><Relationship Id="rId745" Type="http://schemas.openxmlformats.org/officeDocument/2006/relationships/hyperlink" Target="https://pubmed.ncbi.nlm.nih.gov/33606405/" TargetMode="External"/><Relationship Id="rId744" Type="http://schemas.openxmlformats.org/officeDocument/2006/relationships/hyperlink" Target="https://pubmed.ncbi.nlm.nih.gov/34097768/" TargetMode="External"/><Relationship Id="rId743" Type="http://schemas.openxmlformats.org/officeDocument/2006/relationships/hyperlink" Target="https://pubmed.ncbi.nlm.nih.gov/34546108/" TargetMode="External"/><Relationship Id="rId742" Type="http://schemas.openxmlformats.org/officeDocument/2006/relationships/hyperlink" Target="https://pubmed.ncbi.nlm.nih.gov/34511875/" TargetMode="External"/><Relationship Id="rId749" Type="http://schemas.openxmlformats.org/officeDocument/2006/relationships/hyperlink" Target="https://pubmed.ncbi.nlm.nih.gov/38758517/" TargetMode="External"/><Relationship Id="rId748" Type="http://schemas.openxmlformats.org/officeDocument/2006/relationships/hyperlink" Target="https://pubmed.ncbi.nlm.nih.gov/33165014/" TargetMode="External"/><Relationship Id="rId747" Type="http://schemas.openxmlformats.org/officeDocument/2006/relationships/hyperlink" Target="https://pubmed.ncbi.nlm.nih.gov/32596723/" TargetMode="External"/><Relationship Id="rId746" Type="http://schemas.openxmlformats.org/officeDocument/2006/relationships/hyperlink" Target="https://pubmed.ncbi.nlm.nih.gov/32252424/" TargetMode="External"/><Relationship Id="rId2660" Type="http://schemas.openxmlformats.org/officeDocument/2006/relationships/hyperlink" Target="https://pubmed.ncbi.nlm.nih.gov/36752397/" TargetMode="External"/><Relationship Id="rId741" Type="http://schemas.openxmlformats.org/officeDocument/2006/relationships/hyperlink" Target="https://pubmed.ncbi.nlm.nih.gov/35077571/" TargetMode="External"/><Relationship Id="rId1330" Type="http://schemas.openxmlformats.org/officeDocument/2006/relationships/hyperlink" Target="https://pubmed.ncbi.nlm.nih.gov/38714002/" TargetMode="External"/><Relationship Id="rId2661" Type="http://schemas.openxmlformats.org/officeDocument/2006/relationships/hyperlink" Target="https://pubmed.ncbi.nlm.nih.gov/36807286/" TargetMode="External"/><Relationship Id="rId740" Type="http://schemas.openxmlformats.org/officeDocument/2006/relationships/hyperlink" Target="https://pubmed.ncbi.nlm.nih.gov/35742861/" TargetMode="External"/><Relationship Id="rId1331" Type="http://schemas.openxmlformats.org/officeDocument/2006/relationships/hyperlink" Target="https://pubmed.ncbi.nlm.nih.gov/37917978/" TargetMode="External"/><Relationship Id="rId2662" Type="http://schemas.openxmlformats.org/officeDocument/2006/relationships/hyperlink" Target="https://pubmed.ncbi.nlm.nih.gov/36385209/" TargetMode="External"/><Relationship Id="rId1332" Type="http://schemas.openxmlformats.org/officeDocument/2006/relationships/hyperlink" Target="https://pubmed.ncbi.nlm.nih.gov/37580518/" TargetMode="External"/><Relationship Id="rId2663" Type="http://schemas.openxmlformats.org/officeDocument/2006/relationships/hyperlink" Target="https://pubmed.ncbi.nlm.nih.gov/36227520/" TargetMode="External"/><Relationship Id="rId1333" Type="http://schemas.openxmlformats.org/officeDocument/2006/relationships/hyperlink" Target="https://pubmed.ncbi.nlm.nih.gov/34978386/" TargetMode="External"/><Relationship Id="rId2664" Type="http://schemas.openxmlformats.org/officeDocument/2006/relationships/hyperlink" Target="https://pubmed.ncbi.nlm.nih.gov/36116412/" TargetMode="External"/><Relationship Id="rId1323" Type="http://schemas.openxmlformats.org/officeDocument/2006/relationships/hyperlink" Target="https://pubmed.ncbi.nlm.nih.gov/32744919/" TargetMode="External"/><Relationship Id="rId2654" Type="http://schemas.openxmlformats.org/officeDocument/2006/relationships/hyperlink" Target="https://pubmed.ncbi.nlm.nih.gov/38776590/" TargetMode="External"/><Relationship Id="rId1324" Type="http://schemas.openxmlformats.org/officeDocument/2006/relationships/hyperlink" Target="https://pubmed.ncbi.nlm.nih.gov/32318813/" TargetMode="External"/><Relationship Id="rId2655" Type="http://schemas.openxmlformats.org/officeDocument/2006/relationships/hyperlink" Target="https://pubmed.ncbi.nlm.nih.gov/38447812/" TargetMode="External"/><Relationship Id="rId1325" Type="http://schemas.openxmlformats.org/officeDocument/2006/relationships/hyperlink" Target="https://pubmed.ncbi.nlm.nih.gov/27188867/" TargetMode="External"/><Relationship Id="rId2656" Type="http://schemas.openxmlformats.org/officeDocument/2006/relationships/hyperlink" Target="https://pubmed.ncbi.nlm.nih.gov/38416634/" TargetMode="External"/><Relationship Id="rId1326" Type="http://schemas.openxmlformats.org/officeDocument/2006/relationships/hyperlink" Target="https://pubmed.ncbi.nlm.nih.gov/33002778/" TargetMode="External"/><Relationship Id="rId2657" Type="http://schemas.openxmlformats.org/officeDocument/2006/relationships/hyperlink" Target="https://pubmed.ncbi.nlm.nih.gov/36807286/" TargetMode="External"/><Relationship Id="rId1327" Type="http://schemas.openxmlformats.org/officeDocument/2006/relationships/hyperlink" Target="https://pubmed.ncbi.nlm.nih.gov/38689440/" TargetMode="External"/><Relationship Id="rId2658" Type="http://schemas.openxmlformats.org/officeDocument/2006/relationships/hyperlink" Target="https://pubmed.ncbi.nlm.nih.gov/37749444/" TargetMode="External"/><Relationship Id="rId1328" Type="http://schemas.openxmlformats.org/officeDocument/2006/relationships/hyperlink" Target="https://pubmed.ncbi.nlm.nih.gov/34705999/" TargetMode="External"/><Relationship Id="rId2659" Type="http://schemas.openxmlformats.org/officeDocument/2006/relationships/hyperlink" Target="https://pubmed.ncbi.nlm.nih.gov/37608016/" TargetMode="External"/><Relationship Id="rId1329" Type="http://schemas.openxmlformats.org/officeDocument/2006/relationships/hyperlink" Target="https://pubmed.ncbi.nlm.nih.gov/32903997/" TargetMode="External"/><Relationship Id="rId739" Type="http://schemas.openxmlformats.org/officeDocument/2006/relationships/hyperlink" Target="https://pubmed.ncbi.nlm.nih.gov/36588113/" TargetMode="External"/><Relationship Id="rId734" Type="http://schemas.openxmlformats.org/officeDocument/2006/relationships/hyperlink" Target="https://pubmed.ncbi.nlm.nih.gov/38139223/" TargetMode="External"/><Relationship Id="rId733" Type="http://schemas.openxmlformats.org/officeDocument/2006/relationships/hyperlink" Target="https://pubmed.ncbi.nlm.nih.gov/38444247/" TargetMode="External"/><Relationship Id="rId732" Type="http://schemas.openxmlformats.org/officeDocument/2006/relationships/hyperlink" Target="https://pubmed.ncbi.nlm.nih.gov/38710357/" TargetMode="External"/><Relationship Id="rId731" Type="http://schemas.openxmlformats.org/officeDocument/2006/relationships/hyperlink" Target="https://pubmed.ncbi.nlm.nih.gov/38262071/" TargetMode="External"/><Relationship Id="rId738" Type="http://schemas.openxmlformats.org/officeDocument/2006/relationships/hyperlink" Target="https://pubmed.ncbi.nlm.nih.gov/37972955/" TargetMode="External"/><Relationship Id="rId737" Type="http://schemas.openxmlformats.org/officeDocument/2006/relationships/hyperlink" Target="https://pubmed.ncbi.nlm.nih.gov/37027819/" TargetMode="External"/><Relationship Id="rId736" Type="http://schemas.openxmlformats.org/officeDocument/2006/relationships/hyperlink" Target="https://pubmed.ncbi.nlm.nih.gov/37768527/" TargetMode="External"/><Relationship Id="rId735" Type="http://schemas.openxmlformats.org/officeDocument/2006/relationships/hyperlink" Target="https://pubmed.ncbi.nlm.nih.gov/38091605/" TargetMode="External"/><Relationship Id="rId730" Type="http://schemas.openxmlformats.org/officeDocument/2006/relationships/hyperlink" Target="https://pubmed.ncbi.nlm.nih.gov/15573690/" TargetMode="External"/><Relationship Id="rId2650" Type="http://schemas.openxmlformats.org/officeDocument/2006/relationships/hyperlink" Target="https://pubmed.ncbi.nlm.nih.gov/38819070/" TargetMode="External"/><Relationship Id="rId1320" Type="http://schemas.openxmlformats.org/officeDocument/2006/relationships/hyperlink" Target="https://pubmed.ncbi.nlm.nih.gov/36780575/" TargetMode="External"/><Relationship Id="rId2651" Type="http://schemas.openxmlformats.org/officeDocument/2006/relationships/hyperlink" Target="https://pubmed.ncbi.nlm.nih.gov/38940369/" TargetMode="External"/><Relationship Id="rId1321" Type="http://schemas.openxmlformats.org/officeDocument/2006/relationships/hyperlink" Target="https://pubmed.ncbi.nlm.nih.gov/36869148/" TargetMode="External"/><Relationship Id="rId2652" Type="http://schemas.openxmlformats.org/officeDocument/2006/relationships/hyperlink" Target="https://pubmed.ncbi.nlm.nih.gov/38888236/" TargetMode="External"/><Relationship Id="rId1322" Type="http://schemas.openxmlformats.org/officeDocument/2006/relationships/hyperlink" Target="https://pubmed.ncbi.nlm.nih.gov/36052175/" TargetMode="External"/><Relationship Id="rId2653" Type="http://schemas.openxmlformats.org/officeDocument/2006/relationships/hyperlink" Target="https://pubmed.ncbi.nlm.nih.gov/38647328/" TargetMode="External"/><Relationship Id="rId1356" Type="http://schemas.openxmlformats.org/officeDocument/2006/relationships/hyperlink" Target="https://www.hindawi.com/journals/ijp/2021/5519709/" TargetMode="External"/><Relationship Id="rId2687" Type="http://schemas.openxmlformats.org/officeDocument/2006/relationships/hyperlink" Target="https://pubmed.ncbi.nlm.nih.gov/33884524/" TargetMode="External"/><Relationship Id="rId1357" Type="http://schemas.openxmlformats.org/officeDocument/2006/relationships/hyperlink" Target="https://pubmed.ncbi.nlm.nih.gov/38781474/" TargetMode="External"/><Relationship Id="rId2688" Type="http://schemas.openxmlformats.org/officeDocument/2006/relationships/hyperlink" Target="https://pubmed.ncbi.nlm.nih.gov/34158600/" TargetMode="External"/><Relationship Id="rId1358" Type="http://schemas.openxmlformats.org/officeDocument/2006/relationships/hyperlink" Target="https://www.jstage.jst.go.jp/article/islsm/14/1/14_1_29/_article/-char/ja/" TargetMode="External"/><Relationship Id="rId2689" Type="http://schemas.openxmlformats.org/officeDocument/2006/relationships/hyperlink" Target="https://pubmed.ncbi.nlm.nih.gov/33159579/" TargetMode="External"/><Relationship Id="rId1359" Type="http://schemas.openxmlformats.org/officeDocument/2006/relationships/hyperlink" Target="https://pubmed.ncbi.nlm.nih.gov/38668764/" TargetMode="External"/><Relationship Id="rId767" Type="http://schemas.openxmlformats.org/officeDocument/2006/relationships/hyperlink" Target="https://pubmed.ncbi.nlm.nih.gov/37890879/" TargetMode="External"/><Relationship Id="rId766" Type="http://schemas.openxmlformats.org/officeDocument/2006/relationships/hyperlink" Target="https://pubmed.ncbi.nlm.nih.gov/38139321/" TargetMode="External"/><Relationship Id="rId765" Type="http://schemas.openxmlformats.org/officeDocument/2006/relationships/hyperlink" Target="https://pubmed.ncbi.nlm.nih.gov/34409224/" TargetMode="External"/><Relationship Id="rId764" Type="http://schemas.openxmlformats.org/officeDocument/2006/relationships/hyperlink" Target="https://www.ojoonline.org/article.asp?issn=0974-620X;year=2022;volume=15;issue=3;spage=347;epage=352;aulast=Hassan" TargetMode="External"/><Relationship Id="rId769" Type="http://schemas.openxmlformats.org/officeDocument/2006/relationships/hyperlink" Target="https://pubmed.ncbi.nlm.nih.gov/37654080/" TargetMode="External"/><Relationship Id="rId768" Type="http://schemas.openxmlformats.org/officeDocument/2006/relationships/hyperlink" Target="https://pubmed.ncbi.nlm.nih.gov/37026310/" TargetMode="External"/><Relationship Id="rId2680" Type="http://schemas.openxmlformats.org/officeDocument/2006/relationships/hyperlink" Target="https://pubmed.ncbi.nlm.nih.gov/35155160/" TargetMode="External"/><Relationship Id="rId1350" Type="http://schemas.openxmlformats.org/officeDocument/2006/relationships/hyperlink" Target="https://pubmed.ncbi.nlm.nih.gov/37219956/" TargetMode="External"/><Relationship Id="rId2681" Type="http://schemas.openxmlformats.org/officeDocument/2006/relationships/hyperlink" Target="https://pubmed.ncbi.nlm.nih.gov/36899204/" TargetMode="External"/><Relationship Id="rId1351" Type="http://schemas.openxmlformats.org/officeDocument/2006/relationships/hyperlink" Target="https://pubmed.ncbi.nlm.nih.gov/35441320/" TargetMode="External"/><Relationship Id="rId2682" Type="http://schemas.openxmlformats.org/officeDocument/2006/relationships/hyperlink" Target="https://pubmed.ncbi.nlm.nih.gov/36577047/" TargetMode="External"/><Relationship Id="rId763" Type="http://schemas.openxmlformats.org/officeDocument/2006/relationships/hyperlink" Target="https://dc.uwm.edu/etd/3036/" TargetMode="External"/><Relationship Id="rId1352" Type="http://schemas.openxmlformats.org/officeDocument/2006/relationships/hyperlink" Target="https://pubmed.ncbi.nlm.nih.gov/35380391/" TargetMode="External"/><Relationship Id="rId2683" Type="http://schemas.openxmlformats.org/officeDocument/2006/relationships/hyperlink" Target="https://pubmed.ncbi.nlm.nih.gov/36066778/" TargetMode="External"/><Relationship Id="rId762" Type="http://schemas.openxmlformats.org/officeDocument/2006/relationships/hyperlink" Target="https://pubmed.ncbi.nlm.nih.gov/37175628/" TargetMode="External"/><Relationship Id="rId1353" Type="http://schemas.openxmlformats.org/officeDocument/2006/relationships/hyperlink" Target="https://pubmed.ncbi.nlm.nih.gov/32785240/" TargetMode="External"/><Relationship Id="rId2684" Type="http://schemas.openxmlformats.org/officeDocument/2006/relationships/hyperlink" Target="https://pubmed.ncbi.nlm.nih.gov/35366748/" TargetMode="External"/><Relationship Id="rId761" Type="http://schemas.openxmlformats.org/officeDocument/2006/relationships/hyperlink" Target="https://pubmed.ncbi.nlm.nih.gov/35092362/" TargetMode="External"/><Relationship Id="rId1354" Type="http://schemas.openxmlformats.org/officeDocument/2006/relationships/hyperlink" Target="https://pubmed.ncbi.nlm.nih.gov/38453765/" TargetMode="External"/><Relationship Id="rId2685" Type="http://schemas.openxmlformats.org/officeDocument/2006/relationships/hyperlink" Target="https://pubmed.ncbi.nlm.nih.gov/33471577/" TargetMode="External"/><Relationship Id="rId760" Type="http://schemas.openxmlformats.org/officeDocument/2006/relationships/hyperlink" Target="https://pubmed.ncbi.nlm.nih.gov/32661752/" TargetMode="External"/><Relationship Id="rId1355" Type="http://schemas.openxmlformats.org/officeDocument/2006/relationships/hyperlink" Target="https://pubmed.ncbi.nlm.nih.gov/37910318/" TargetMode="External"/><Relationship Id="rId2686" Type="http://schemas.openxmlformats.org/officeDocument/2006/relationships/hyperlink" Target="https://pubmed.ncbi.nlm.nih.gov/34730212/" TargetMode="External"/><Relationship Id="rId1345" Type="http://schemas.openxmlformats.org/officeDocument/2006/relationships/hyperlink" Target="https://pubmed.ncbi.nlm.nih.gov/34751510/" TargetMode="External"/><Relationship Id="rId2676" Type="http://schemas.openxmlformats.org/officeDocument/2006/relationships/hyperlink" Target="https://pubmed.ncbi.nlm.nih.gov/36577035/" TargetMode="External"/><Relationship Id="rId1346" Type="http://schemas.openxmlformats.org/officeDocument/2006/relationships/hyperlink" Target="https://pubmed.ncbi.nlm.nih.gov/38498472/" TargetMode="External"/><Relationship Id="rId2677" Type="http://schemas.openxmlformats.org/officeDocument/2006/relationships/hyperlink" Target="https://pubmed.ncbi.nlm.nih.gov/37041775/" TargetMode="External"/><Relationship Id="rId1347" Type="http://schemas.openxmlformats.org/officeDocument/2006/relationships/hyperlink" Target="https://pubmed.ncbi.nlm.nih.gov/38057632/" TargetMode="External"/><Relationship Id="rId2678" Type="http://schemas.openxmlformats.org/officeDocument/2006/relationships/hyperlink" Target="https://pubmed.ncbi.nlm.nih.gov/36434589/" TargetMode="External"/><Relationship Id="rId1348" Type="http://schemas.openxmlformats.org/officeDocument/2006/relationships/hyperlink" Target="https://pubmed.ncbi.nlm.nih.gov/37578579/" TargetMode="External"/><Relationship Id="rId2679" Type="http://schemas.openxmlformats.org/officeDocument/2006/relationships/hyperlink" Target="https://pubmed.ncbi.nlm.nih.gov/35022873/" TargetMode="External"/><Relationship Id="rId1349" Type="http://schemas.openxmlformats.org/officeDocument/2006/relationships/hyperlink" Target="https://pubmed.ncbi.nlm.nih.gov/37527194/" TargetMode="External"/><Relationship Id="rId756" Type="http://schemas.openxmlformats.org/officeDocument/2006/relationships/hyperlink" Target="https://pubmed.ncbi.nlm.nih.gov/37846386/" TargetMode="External"/><Relationship Id="rId755" Type="http://schemas.openxmlformats.org/officeDocument/2006/relationships/hyperlink" Target="https://pubmed.ncbi.nlm.nih.gov/38026594/" TargetMode="External"/><Relationship Id="rId754" Type="http://schemas.openxmlformats.org/officeDocument/2006/relationships/hyperlink" Target="https://pubmed.ncbi.nlm.nih.gov/38422971/" TargetMode="External"/><Relationship Id="rId753" Type="http://schemas.openxmlformats.org/officeDocument/2006/relationships/hyperlink" Target="https://pubmed.ncbi.nlm.nih.gov/38418619/" TargetMode="External"/><Relationship Id="rId759" Type="http://schemas.openxmlformats.org/officeDocument/2006/relationships/hyperlink" Target="https://pubmed.ncbi.nlm.nih.gov/34628066/" TargetMode="External"/><Relationship Id="rId758" Type="http://schemas.openxmlformats.org/officeDocument/2006/relationships/hyperlink" Target="https://iovs.arvojournals.org/article.aspx?articleid=2774919" TargetMode="External"/><Relationship Id="rId757" Type="http://schemas.openxmlformats.org/officeDocument/2006/relationships/hyperlink" Target="https://pubmed.ncbi.nlm.nih.gov/36395083/" TargetMode="External"/><Relationship Id="rId2670" Type="http://schemas.openxmlformats.org/officeDocument/2006/relationships/hyperlink" Target="https://pubmed.ncbi.nlm.nih.gov/34271236/" TargetMode="External"/><Relationship Id="rId1340" Type="http://schemas.openxmlformats.org/officeDocument/2006/relationships/hyperlink" Target="https://pubmed.ncbi.nlm.nih.gov/27022578/" TargetMode="External"/><Relationship Id="rId2671" Type="http://schemas.openxmlformats.org/officeDocument/2006/relationships/hyperlink" Target="https://pubmed.ncbi.nlm.nih.gov/34324922/" TargetMode="External"/><Relationship Id="rId752" Type="http://schemas.openxmlformats.org/officeDocument/2006/relationships/hyperlink" Target="https://pubmed.ncbi.nlm.nih.gov/38044438/" TargetMode="External"/><Relationship Id="rId1341" Type="http://schemas.openxmlformats.org/officeDocument/2006/relationships/hyperlink" Target="https://pubmed.ncbi.nlm.nih.gov/16706689/" TargetMode="External"/><Relationship Id="rId2672" Type="http://schemas.openxmlformats.org/officeDocument/2006/relationships/hyperlink" Target="https://pubmed.ncbi.nlm.nih.gov/33240019/" TargetMode="External"/><Relationship Id="rId751" Type="http://schemas.openxmlformats.org/officeDocument/2006/relationships/hyperlink" Target="https://pubmed.ncbi.nlm.nih.gov/33717257/" TargetMode="External"/><Relationship Id="rId1342" Type="http://schemas.openxmlformats.org/officeDocument/2006/relationships/hyperlink" Target="https://pubmed.ncbi.nlm.nih.gov/10421882/" TargetMode="External"/><Relationship Id="rId2673" Type="http://schemas.openxmlformats.org/officeDocument/2006/relationships/hyperlink" Target="https://pubmed.ncbi.nlm.nih.gov/33030751/" TargetMode="External"/><Relationship Id="rId750" Type="http://schemas.openxmlformats.org/officeDocument/2006/relationships/hyperlink" Target="https://pubmed.ncbi.nlm.nih.gov/34819619/" TargetMode="External"/><Relationship Id="rId1343" Type="http://schemas.openxmlformats.org/officeDocument/2006/relationships/hyperlink" Target="http://www.ncbi.nlm.nih.gov/pubmed/1443657" TargetMode="External"/><Relationship Id="rId2674" Type="http://schemas.openxmlformats.org/officeDocument/2006/relationships/hyperlink" Target="https://pubmed.ncbi.nlm.nih.gov/32495397/" TargetMode="External"/><Relationship Id="rId1344" Type="http://schemas.openxmlformats.org/officeDocument/2006/relationships/hyperlink" Target="https://pubmed.ncbi.nlm.nih.gov/34052928/" TargetMode="External"/><Relationship Id="rId2675" Type="http://schemas.openxmlformats.org/officeDocument/2006/relationships/hyperlink" Target="https://pubmed.ncbi.nlm.nih.gov/37874511/" TargetMode="External"/><Relationship Id="rId2621" Type="http://schemas.openxmlformats.org/officeDocument/2006/relationships/hyperlink" Target="https://pubmed.ncbi.nlm.nih.gov/36722207/" TargetMode="External"/><Relationship Id="rId2622" Type="http://schemas.openxmlformats.org/officeDocument/2006/relationships/hyperlink" Target="https://pubmed.ncbi.nlm.nih.gov/34769035/" TargetMode="External"/><Relationship Id="rId2623" Type="http://schemas.openxmlformats.org/officeDocument/2006/relationships/hyperlink" Target="https://pubmed.ncbi.nlm.nih.gov/33389267/" TargetMode="External"/><Relationship Id="rId2624" Type="http://schemas.openxmlformats.org/officeDocument/2006/relationships/hyperlink" Target="https://pubmed.ncbi.nlm.nih.gov/38003379/" TargetMode="External"/><Relationship Id="rId2625" Type="http://schemas.openxmlformats.org/officeDocument/2006/relationships/hyperlink" Target="https://pubmed.ncbi.nlm.nih.gov/33742277/" TargetMode="External"/><Relationship Id="rId2626" Type="http://schemas.openxmlformats.org/officeDocument/2006/relationships/hyperlink" Target="https://pubmed.ncbi.nlm.nih.gov/11019943/" TargetMode="External"/><Relationship Id="rId2627" Type="http://schemas.openxmlformats.org/officeDocument/2006/relationships/hyperlink" Target="https://pubmed.ncbi.nlm.nih.gov/15684751/" TargetMode="External"/><Relationship Id="rId2628" Type="http://schemas.openxmlformats.org/officeDocument/2006/relationships/hyperlink" Target="https://pubmed.ncbi.nlm.nih.gov/36343030/" TargetMode="External"/><Relationship Id="rId709" Type="http://schemas.openxmlformats.org/officeDocument/2006/relationships/hyperlink" Target="https://www.nature.com/articles/s41377-019-0221-3" TargetMode="External"/><Relationship Id="rId2629" Type="http://schemas.openxmlformats.org/officeDocument/2006/relationships/hyperlink" Target="https://pubmed.ncbi.nlm.nih.gov/35888053/" TargetMode="External"/><Relationship Id="rId708" Type="http://schemas.openxmlformats.org/officeDocument/2006/relationships/hyperlink" Target="https://www.tandfonline.com/doi/full/10.1080/15980316.2023.2232560" TargetMode="External"/><Relationship Id="rId707" Type="http://schemas.openxmlformats.org/officeDocument/2006/relationships/hyperlink" Target="https://pubmed.ncbi.nlm.nih.gov/32613767/" TargetMode="External"/><Relationship Id="rId706" Type="http://schemas.openxmlformats.org/officeDocument/2006/relationships/hyperlink" Target="https://www.cell.com/iscience/fulltext/S2589-0042(21)01253-0" TargetMode="External"/><Relationship Id="rId701" Type="http://schemas.openxmlformats.org/officeDocument/2006/relationships/hyperlink" Target="https://pubmed.ncbi.nlm.nih.gov/37109256/" TargetMode="External"/><Relationship Id="rId700" Type="http://schemas.openxmlformats.org/officeDocument/2006/relationships/hyperlink" Target="https://pubmed.ncbi.nlm.nih.gov/33391534/" TargetMode="External"/><Relationship Id="rId705" Type="http://schemas.openxmlformats.org/officeDocument/2006/relationships/hyperlink" Target="https://iopscience.iop.org/article/10.1088/2058-8585/ac2c50" TargetMode="External"/><Relationship Id="rId704" Type="http://schemas.openxmlformats.org/officeDocument/2006/relationships/hyperlink" Target="https://pubmed.ncbi.nlm.nih.gov/35427152/" TargetMode="External"/><Relationship Id="rId703" Type="http://schemas.openxmlformats.org/officeDocument/2006/relationships/hyperlink" Target="https://pubmed.ncbi.nlm.nih.gov/25705949/" TargetMode="External"/><Relationship Id="rId702" Type="http://schemas.openxmlformats.org/officeDocument/2006/relationships/hyperlink" Target="https://pubmed.ncbi.nlm.nih.gov/34613973/" TargetMode="External"/><Relationship Id="rId2620" Type="http://schemas.openxmlformats.org/officeDocument/2006/relationships/hyperlink" Target="https://pubmed.ncbi.nlm.nih.gov/35894162/" TargetMode="External"/><Relationship Id="rId2610" Type="http://schemas.openxmlformats.org/officeDocument/2006/relationships/hyperlink" Target="https://pubmed.ncbi.nlm.nih.gov/26644829/" TargetMode="External"/><Relationship Id="rId2611" Type="http://schemas.openxmlformats.org/officeDocument/2006/relationships/hyperlink" Target="https://pubmed.ncbi.nlm.nih.gov/36764068/" TargetMode="External"/><Relationship Id="rId2612" Type="http://schemas.openxmlformats.org/officeDocument/2006/relationships/hyperlink" Target="https://pubmed.ncbi.nlm.nih.gov/36388989/" TargetMode="External"/><Relationship Id="rId2613" Type="http://schemas.openxmlformats.org/officeDocument/2006/relationships/hyperlink" Target="https://pubmed.ncbi.nlm.nih.gov/33103949/" TargetMode="External"/><Relationship Id="rId2614" Type="http://schemas.openxmlformats.org/officeDocument/2006/relationships/hyperlink" Target="https://pubmed.ncbi.nlm.nih.gov/35334095/" TargetMode="External"/><Relationship Id="rId2615" Type="http://schemas.openxmlformats.org/officeDocument/2006/relationships/hyperlink" Target="https://www.sciencedirect.com/science/article/pii/S2666469023000052?dgcid=raven_sd_aip_email" TargetMode="External"/><Relationship Id="rId2616" Type="http://schemas.openxmlformats.org/officeDocument/2006/relationships/hyperlink" Target="https://pubmed.ncbi.nlm.nih.gov/32541484/" TargetMode="External"/><Relationship Id="rId2617" Type="http://schemas.openxmlformats.org/officeDocument/2006/relationships/hyperlink" Target="https://pubmed.ncbi.nlm.nih.gov/36333965/" TargetMode="External"/><Relationship Id="rId2618" Type="http://schemas.openxmlformats.org/officeDocument/2006/relationships/hyperlink" Target="https://pubmed.ncbi.nlm.nih.gov/37227712/" TargetMode="External"/><Relationship Id="rId2619" Type="http://schemas.openxmlformats.org/officeDocument/2006/relationships/hyperlink" Target="https://pubmed.ncbi.nlm.nih.gov/38019097/" TargetMode="External"/><Relationship Id="rId1312" Type="http://schemas.openxmlformats.org/officeDocument/2006/relationships/hyperlink" Target="https://pubmed.ncbi.nlm.nih.gov/33216681/" TargetMode="External"/><Relationship Id="rId2643" Type="http://schemas.openxmlformats.org/officeDocument/2006/relationships/hyperlink" Target="https://pubmed.ncbi.nlm.nih.gov/32781869/" TargetMode="External"/><Relationship Id="rId1313" Type="http://schemas.openxmlformats.org/officeDocument/2006/relationships/hyperlink" Target="https://pubmed.ncbi.nlm.nih.gov/32369763/" TargetMode="External"/><Relationship Id="rId2644" Type="http://schemas.openxmlformats.org/officeDocument/2006/relationships/hyperlink" Target="https://pubmed.ncbi.nlm.nih.gov/32541845/" TargetMode="External"/><Relationship Id="rId1314" Type="http://schemas.openxmlformats.org/officeDocument/2006/relationships/hyperlink" Target="https://pubmed.ncbi.nlm.nih.gov/38763575/" TargetMode="External"/><Relationship Id="rId2645" Type="http://schemas.openxmlformats.org/officeDocument/2006/relationships/hyperlink" Target="https://pubmed.ncbi.nlm.nih.gov/33180214/" TargetMode="External"/><Relationship Id="rId1315" Type="http://schemas.openxmlformats.org/officeDocument/2006/relationships/hyperlink" Target="https://pubmed.ncbi.nlm.nih.gov/38432848/" TargetMode="External"/><Relationship Id="rId2646" Type="http://schemas.openxmlformats.org/officeDocument/2006/relationships/hyperlink" Target="https://pubmed.ncbi.nlm.nih.gov/36743144/" TargetMode="External"/><Relationship Id="rId1316" Type="http://schemas.openxmlformats.org/officeDocument/2006/relationships/hyperlink" Target="https://pubmed.ncbi.nlm.nih.gov/29455305/" TargetMode="External"/><Relationship Id="rId2647" Type="http://schemas.openxmlformats.org/officeDocument/2006/relationships/hyperlink" Target="https://pubmed.ncbi.nlm.nih.gov/35265302/" TargetMode="External"/><Relationship Id="rId1317" Type="http://schemas.openxmlformats.org/officeDocument/2006/relationships/hyperlink" Target="https://pubmed.ncbi.nlm.nih.gov/33864617/" TargetMode="External"/><Relationship Id="rId2648" Type="http://schemas.openxmlformats.org/officeDocument/2006/relationships/hyperlink" Target="https://pubmed.ncbi.nlm.nih.gov/32147037/" TargetMode="External"/><Relationship Id="rId1318" Type="http://schemas.openxmlformats.org/officeDocument/2006/relationships/hyperlink" Target="https://pubmed.ncbi.nlm.nih.gov/32990506/" TargetMode="External"/><Relationship Id="rId2649" Type="http://schemas.openxmlformats.org/officeDocument/2006/relationships/hyperlink" Target="https://pubmed.ncbi.nlm.nih.gov/36613670/" TargetMode="External"/><Relationship Id="rId1319" Type="http://schemas.openxmlformats.org/officeDocument/2006/relationships/hyperlink" Target="https://pubmed.ncbi.nlm.nih.gov/32598231/" TargetMode="External"/><Relationship Id="rId729" Type="http://schemas.openxmlformats.org/officeDocument/2006/relationships/hyperlink" Target="https://pubmed.ncbi.nlm.nih.gov/33788097/" TargetMode="External"/><Relationship Id="rId728" Type="http://schemas.openxmlformats.org/officeDocument/2006/relationships/hyperlink" Target="https://pubmed.ncbi.nlm.nih.gov/39024251/" TargetMode="External"/><Relationship Id="rId723" Type="http://schemas.openxmlformats.org/officeDocument/2006/relationships/hyperlink" Target="https://pubmed.ncbi.nlm.nih.gov/22109569/" TargetMode="External"/><Relationship Id="rId722" Type="http://schemas.openxmlformats.org/officeDocument/2006/relationships/hyperlink" Target="https://pubmed.ncbi.nlm.nih.gov/32643032/" TargetMode="External"/><Relationship Id="rId721" Type="http://schemas.openxmlformats.org/officeDocument/2006/relationships/hyperlink" Target="https://pubmed.ncbi.nlm.nih.gov/34619056/" TargetMode="External"/><Relationship Id="rId720" Type="http://schemas.openxmlformats.org/officeDocument/2006/relationships/hyperlink" Target="https://pubmed.ncbi.nlm.nih.gov/34604943/" TargetMode="External"/><Relationship Id="rId727" Type="http://schemas.openxmlformats.org/officeDocument/2006/relationships/hyperlink" Target="https://pubmed.ncbi.nlm.nih.gov/38567306/" TargetMode="External"/><Relationship Id="rId726" Type="http://schemas.openxmlformats.org/officeDocument/2006/relationships/hyperlink" Target="https://pubmed.ncbi.nlm.nih.gov/36947266/" TargetMode="External"/><Relationship Id="rId725" Type="http://schemas.openxmlformats.org/officeDocument/2006/relationships/hyperlink" Target="https://pubmed.ncbi.nlm.nih.gov/32255917/" TargetMode="External"/><Relationship Id="rId724" Type="http://schemas.openxmlformats.org/officeDocument/2006/relationships/hyperlink" Target="https://pubmed.ncbi.nlm.nih.gov/32712344/" TargetMode="External"/><Relationship Id="rId2640" Type="http://schemas.openxmlformats.org/officeDocument/2006/relationships/hyperlink" Target="https://pubmed.ncbi.nlm.nih.gov/36018149/" TargetMode="External"/><Relationship Id="rId1310" Type="http://schemas.openxmlformats.org/officeDocument/2006/relationships/hyperlink" Target="https://pubmed.ncbi.nlm.nih.gov/34428975/" TargetMode="External"/><Relationship Id="rId2641" Type="http://schemas.openxmlformats.org/officeDocument/2006/relationships/hyperlink" Target="https://pubmed.ncbi.nlm.nih.gov/36006085/" TargetMode="External"/><Relationship Id="rId1311" Type="http://schemas.openxmlformats.org/officeDocument/2006/relationships/hyperlink" Target="https://pubmed.ncbi.nlm.nih.gov/34669081/" TargetMode="External"/><Relationship Id="rId2642" Type="http://schemas.openxmlformats.org/officeDocument/2006/relationships/hyperlink" Target="https://pubmed.ncbi.nlm.nih.gov/35491787/" TargetMode="External"/><Relationship Id="rId1301" Type="http://schemas.openxmlformats.org/officeDocument/2006/relationships/hyperlink" Target="https://pubmed.ncbi.nlm.nih.gov/33332232/" TargetMode="External"/><Relationship Id="rId2632" Type="http://schemas.openxmlformats.org/officeDocument/2006/relationships/hyperlink" Target="https://pubmed.ncbi.nlm.nih.gov/36834631/" TargetMode="External"/><Relationship Id="rId1302" Type="http://schemas.openxmlformats.org/officeDocument/2006/relationships/hyperlink" Target="https://pubmed.ncbi.nlm.nih.gov/32774545/" TargetMode="External"/><Relationship Id="rId2633" Type="http://schemas.openxmlformats.org/officeDocument/2006/relationships/hyperlink" Target="https://pubmed.ncbi.nlm.nih.gov/35968381/" TargetMode="External"/><Relationship Id="rId1303" Type="http://schemas.openxmlformats.org/officeDocument/2006/relationships/hyperlink" Target="https://pubmed.ncbi.nlm.nih.gov/38758297/" TargetMode="External"/><Relationship Id="rId2634" Type="http://schemas.openxmlformats.org/officeDocument/2006/relationships/hyperlink" Target="https://pubmed.ncbi.nlm.nih.gov/38114728/" TargetMode="External"/><Relationship Id="rId1304" Type="http://schemas.openxmlformats.org/officeDocument/2006/relationships/hyperlink" Target="https://pubmed.ncbi.nlm.nih.gov/38150056/" TargetMode="External"/><Relationship Id="rId2635" Type="http://schemas.openxmlformats.org/officeDocument/2006/relationships/hyperlink" Target="https://pubmed.ncbi.nlm.nih.gov/37898350/" TargetMode="External"/><Relationship Id="rId1305" Type="http://schemas.openxmlformats.org/officeDocument/2006/relationships/hyperlink" Target="https://pubmed.ncbi.nlm.nih.gov/37999430/" TargetMode="External"/><Relationship Id="rId2636" Type="http://schemas.openxmlformats.org/officeDocument/2006/relationships/hyperlink" Target="https://pubmed.ncbi.nlm.nih.gov/38958682/" TargetMode="External"/><Relationship Id="rId1306" Type="http://schemas.openxmlformats.org/officeDocument/2006/relationships/hyperlink" Target="https://www.mdpi.com/2076-3417/13/5/3147" TargetMode="External"/><Relationship Id="rId2637" Type="http://schemas.openxmlformats.org/officeDocument/2006/relationships/hyperlink" Target="https://pubmed.ncbi.nlm.nih.gov/37374210/" TargetMode="External"/><Relationship Id="rId1307" Type="http://schemas.openxmlformats.org/officeDocument/2006/relationships/hyperlink" Target="https://pubmed.ncbi.nlm.nih.gov/36139746/" TargetMode="External"/><Relationship Id="rId2638" Type="http://schemas.openxmlformats.org/officeDocument/2006/relationships/hyperlink" Target="https://pubmed.ncbi.nlm.nih.gov/37141002/" TargetMode="External"/><Relationship Id="rId1308" Type="http://schemas.openxmlformats.org/officeDocument/2006/relationships/hyperlink" Target="https://pubmed.ncbi.nlm.nih.gov/35802348/" TargetMode="External"/><Relationship Id="rId2639" Type="http://schemas.openxmlformats.org/officeDocument/2006/relationships/hyperlink" Target="https://www.mdpi.com/2079-7737/12/1/60" TargetMode="External"/><Relationship Id="rId1309" Type="http://schemas.openxmlformats.org/officeDocument/2006/relationships/hyperlink" Target="https://pubmed.ncbi.nlm.nih.gov/34947870/" TargetMode="External"/><Relationship Id="rId719" Type="http://schemas.openxmlformats.org/officeDocument/2006/relationships/hyperlink" Target="https://pubmed.ncbi.nlm.nih.gov/36327250/" TargetMode="External"/><Relationship Id="rId718" Type="http://schemas.openxmlformats.org/officeDocument/2006/relationships/hyperlink" Target="https://pubmed.ncbi.nlm.nih.gov/36359885/" TargetMode="External"/><Relationship Id="rId717" Type="http://schemas.openxmlformats.org/officeDocument/2006/relationships/hyperlink" Target="https://pubmed.ncbi.nlm.nih.gov/37171054/" TargetMode="External"/><Relationship Id="rId712" Type="http://schemas.openxmlformats.org/officeDocument/2006/relationships/hyperlink" Target="https://pubmed.ncbi.nlm.nih.gov/35716898/" TargetMode="External"/><Relationship Id="rId711" Type="http://schemas.openxmlformats.org/officeDocument/2006/relationships/hyperlink" Target="https://iopscience.iop.org/article/10.1088/2515-7639/ab95e8" TargetMode="External"/><Relationship Id="rId710" Type="http://schemas.openxmlformats.org/officeDocument/2006/relationships/hyperlink" Target="https://onlinelibrary.wiley.com/doi/abs/10.1002/admt.201700391?casa_token=JD9reL2FgSUAAAAA:_JP97fvNBjKAybzmu12DNvLBdB-RzwtNfGu2WFLWE9l3K_ttJuNixBDdXYOc7GchUzxvFzQwDBIEzYk" TargetMode="External"/><Relationship Id="rId716" Type="http://schemas.openxmlformats.org/officeDocument/2006/relationships/hyperlink" Target="https://pubmed.ncbi.nlm.nih.gov/37656783/" TargetMode="External"/><Relationship Id="rId715" Type="http://schemas.openxmlformats.org/officeDocument/2006/relationships/hyperlink" Target="https://pubmed.ncbi.nlm.nih.gov/38110767/" TargetMode="External"/><Relationship Id="rId714" Type="http://schemas.openxmlformats.org/officeDocument/2006/relationships/hyperlink" Target="https://pubmed.ncbi.nlm.nih.gov/38378043/" TargetMode="External"/><Relationship Id="rId713" Type="http://schemas.openxmlformats.org/officeDocument/2006/relationships/hyperlink" Target="https://pubmed.ncbi.nlm.nih.gov/36334508/" TargetMode="External"/><Relationship Id="rId2630" Type="http://schemas.openxmlformats.org/officeDocument/2006/relationships/hyperlink" Target="https://pubmed.ncbi.nlm.nih.gov/32990504/" TargetMode="External"/><Relationship Id="rId1300" Type="http://schemas.openxmlformats.org/officeDocument/2006/relationships/hyperlink" Target="https://pubmed.ncbi.nlm.nih.gov/35151026/" TargetMode="External"/><Relationship Id="rId2631" Type="http://schemas.openxmlformats.org/officeDocument/2006/relationships/hyperlink" Target="https://pubmed.ncbi.nlm.nih.gov/35147100/" TargetMode="External"/><Relationship Id="rId3117" Type="http://schemas.openxmlformats.org/officeDocument/2006/relationships/hyperlink" Target="https://pubmed.ncbi.nlm.nih.gov/33496904/" TargetMode="External"/><Relationship Id="rId3116" Type="http://schemas.openxmlformats.org/officeDocument/2006/relationships/hyperlink" Target="https://pubmed.ncbi.nlm.nih.gov/34522783/" TargetMode="External"/><Relationship Id="rId3119" Type="http://schemas.openxmlformats.org/officeDocument/2006/relationships/hyperlink" Target="https://pubmed.ncbi.nlm.nih.gov/33156476/" TargetMode="External"/><Relationship Id="rId3118" Type="http://schemas.openxmlformats.org/officeDocument/2006/relationships/hyperlink" Target="https://pubmed.ncbi.nlm.nih.gov/33247410/" TargetMode="External"/><Relationship Id="rId3111" Type="http://schemas.openxmlformats.org/officeDocument/2006/relationships/hyperlink" Target="https://pubmed.ncbi.nlm.nih.gov/34341632/" TargetMode="External"/><Relationship Id="rId3110" Type="http://schemas.openxmlformats.org/officeDocument/2006/relationships/hyperlink" Target="https://pubmed.ncbi.nlm.nih.gov/35705485/" TargetMode="External"/><Relationship Id="rId3113" Type="http://schemas.openxmlformats.org/officeDocument/2006/relationships/hyperlink" Target="https://pubmed.ncbi.nlm.nih.gov/33863402/" TargetMode="External"/><Relationship Id="rId3112" Type="http://schemas.openxmlformats.org/officeDocument/2006/relationships/hyperlink" Target="https://pubmed.ncbi.nlm.nih.gov/34546465/" TargetMode="External"/><Relationship Id="rId3115" Type="http://schemas.openxmlformats.org/officeDocument/2006/relationships/hyperlink" Target="https://pubmed.ncbi.nlm.nih.gov/33909854/" TargetMode="External"/><Relationship Id="rId3114" Type="http://schemas.openxmlformats.org/officeDocument/2006/relationships/hyperlink" Target="https://pubmed.ncbi.nlm.nih.gov/33738614/" TargetMode="External"/><Relationship Id="rId3106" Type="http://schemas.openxmlformats.org/officeDocument/2006/relationships/hyperlink" Target="https://pubmed.ncbi.nlm.nih.gov/37822047/" TargetMode="External"/><Relationship Id="rId3105" Type="http://schemas.openxmlformats.org/officeDocument/2006/relationships/hyperlink" Target="https://pubmed.ncbi.nlm.nih.gov/37882982/" TargetMode="External"/><Relationship Id="rId3108" Type="http://schemas.openxmlformats.org/officeDocument/2006/relationships/hyperlink" Target="https://pubmed.ncbi.nlm.nih.gov/36626000/" TargetMode="External"/><Relationship Id="rId3107" Type="http://schemas.openxmlformats.org/officeDocument/2006/relationships/hyperlink" Target="https://pubmed.ncbi.nlm.nih.gov/36729262/" TargetMode="External"/><Relationship Id="rId3109" Type="http://schemas.openxmlformats.org/officeDocument/2006/relationships/hyperlink" Target="https://pubmed.ncbi.nlm.nih.gov/35851778/" TargetMode="External"/><Relationship Id="rId3100" Type="http://schemas.openxmlformats.org/officeDocument/2006/relationships/hyperlink" Target="https://pubmed.ncbi.nlm.nih.gov/36287401/" TargetMode="External"/><Relationship Id="rId3102" Type="http://schemas.openxmlformats.org/officeDocument/2006/relationships/hyperlink" Target="https://pubmed.ncbi.nlm.nih.gov/35092174/" TargetMode="External"/><Relationship Id="rId3101" Type="http://schemas.openxmlformats.org/officeDocument/2006/relationships/hyperlink" Target="https://pubmed.ncbi.nlm.nih.gov/34591064/" TargetMode="External"/><Relationship Id="rId3104" Type="http://schemas.openxmlformats.org/officeDocument/2006/relationships/hyperlink" Target="https://pubmed.ncbi.nlm.nih.gov/38441733/" TargetMode="External"/><Relationship Id="rId3103" Type="http://schemas.openxmlformats.org/officeDocument/2006/relationships/hyperlink" Target="https://pubmed.ncbi.nlm.nih.gov/38732058/" TargetMode="External"/><Relationship Id="rId3139" Type="http://schemas.openxmlformats.org/officeDocument/2006/relationships/hyperlink" Target="https://feyz.kaums.ac.ir/article-1-109-en.html" TargetMode="External"/><Relationship Id="rId3138" Type="http://schemas.openxmlformats.org/officeDocument/2006/relationships/hyperlink" Target="https://pubmed.ncbi.nlm.nih.gov/34507703/" TargetMode="External"/><Relationship Id="rId3131" Type="http://schemas.openxmlformats.org/officeDocument/2006/relationships/hyperlink" Target="https://pubmed.ncbi.nlm.nih.gov/38138090/" TargetMode="External"/><Relationship Id="rId3130" Type="http://schemas.openxmlformats.org/officeDocument/2006/relationships/hyperlink" Target="https://pubmed.ncbi.nlm.nih.gov/17147664/" TargetMode="External"/><Relationship Id="rId3133" Type="http://schemas.openxmlformats.org/officeDocument/2006/relationships/hyperlink" Target="https://pubmed.ncbi.nlm.nih.gov/34601196/" TargetMode="External"/><Relationship Id="rId3132" Type="http://schemas.openxmlformats.org/officeDocument/2006/relationships/hyperlink" Target="https://pubmed.ncbi.nlm.nih.gov/37583493/" TargetMode="External"/><Relationship Id="rId3135" Type="http://schemas.openxmlformats.org/officeDocument/2006/relationships/hyperlink" Target="https://pubmed.ncbi.nlm.nih.gov/35947511/" TargetMode="External"/><Relationship Id="rId3134" Type="http://schemas.openxmlformats.org/officeDocument/2006/relationships/hyperlink" Target="https://www.jstage.jst.go.jp/article/islsm/10/1/10_1_17/_article/-char/ja/" TargetMode="External"/><Relationship Id="rId3137" Type="http://schemas.openxmlformats.org/officeDocument/2006/relationships/hyperlink" Target="https://pubmed.ncbi.nlm.nih.gov/36201144/" TargetMode="External"/><Relationship Id="rId3136" Type="http://schemas.openxmlformats.org/officeDocument/2006/relationships/hyperlink" Target="https://www.jstage.jst.go.jp/article/islsm/14/4/14_4_179/_article/-char/ja/" TargetMode="External"/><Relationship Id="rId3128" Type="http://schemas.openxmlformats.org/officeDocument/2006/relationships/hyperlink" Target="https://pubmed.ncbi.nlm.nih.gov/21595552/" TargetMode="External"/><Relationship Id="rId3127" Type="http://schemas.openxmlformats.org/officeDocument/2006/relationships/hyperlink" Target="https://link.springer.com/article/10.1007/s00779-012-0577-3" TargetMode="External"/><Relationship Id="rId3129" Type="http://schemas.openxmlformats.org/officeDocument/2006/relationships/hyperlink" Target="https://pubmed.ncbi.nlm.nih.gov/18177285/" TargetMode="External"/><Relationship Id="rId3120" Type="http://schemas.openxmlformats.org/officeDocument/2006/relationships/hyperlink" Target="https://pubmed.ncbi.nlm.nih.gov/33159113/" TargetMode="External"/><Relationship Id="rId3122" Type="http://schemas.openxmlformats.org/officeDocument/2006/relationships/hyperlink" Target="https://pubmed.ncbi.nlm.nih.gov/33455264/" TargetMode="External"/><Relationship Id="rId3121" Type="http://schemas.openxmlformats.org/officeDocument/2006/relationships/hyperlink" Target="https://pubmed.ncbi.nlm.nih.gov/33123338/" TargetMode="External"/><Relationship Id="rId3124" Type="http://schemas.openxmlformats.org/officeDocument/2006/relationships/hyperlink" Target="https://pesquisa.bvsalud.org/portal/resource/pt/wpr-203542" TargetMode="External"/><Relationship Id="rId3123" Type="http://schemas.openxmlformats.org/officeDocument/2006/relationships/hyperlink" Target="https://iopscience.iop.org/article/10.1088/1555-6611/aad84b" TargetMode="External"/><Relationship Id="rId3126" Type="http://schemas.openxmlformats.org/officeDocument/2006/relationships/hyperlink" Target="https://pubmed.ncbi.nlm.nih.gov/23975568/" TargetMode="External"/><Relationship Id="rId3125" Type="http://schemas.openxmlformats.org/officeDocument/2006/relationships/hyperlink" Target="https://pubmed.ncbi.nlm.nih.gov/26464780/" TargetMode="External"/><Relationship Id="rId1378" Type="http://schemas.openxmlformats.org/officeDocument/2006/relationships/hyperlink" Target="https://pubmed.ncbi.nlm.nih.gov/34251083/" TargetMode="External"/><Relationship Id="rId1379" Type="http://schemas.openxmlformats.org/officeDocument/2006/relationships/hyperlink" Target="https://pubmed.ncbi.nlm.nih.gov/34302577/" TargetMode="External"/><Relationship Id="rId789" Type="http://schemas.openxmlformats.org/officeDocument/2006/relationships/hyperlink" Target="https://pubmed.ncbi.nlm.nih.gov/37254570/" TargetMode="External"/><Relationship Id="rId788" Type="http://schemas.openxmlformats.org/officeDocument/2006/relationships/hyperlink" Target="https://pubmed.ncbi.nlm.nih.gov/32653859/" TargetMode="External"/><Relationship Id="rId787" Type="http://schemas.openxmlformats.org/officeDocument/2006/relationships/hyperlink" Target="https://pubmed.ncbi.nlm.nih.gov/36829717/" TargetMode="External"/><Relationship Id="rId786" Type="http://schemas.openxmlformats.org/officeDocument/2006/relationships/hyperlink" Target="https://pubmed.ncbi.nlm.nih.gov/33689636/" TargetMode="External"/><Relationship Id="rId781" Type="http://schemas.openxmlformats.org/officeDocument/2006/relationships/hyperlink" Target="https://pubmed.ncbi.nlm.nih.gov/34907942/" TargetMode="External"/><Relationship Id="rId1370" Type="http://schemas.openxmlformats.org/officeDocument/2006/relationships/hyperlink" Target="https://pubmed.ncbi.nlm.nih.gov/35155155/" TargetMode="External"/><Relationship Id="rId780" Type="http://schemas.openxmlformats.org/officeDocument/2006/relationships/hyperlink" Target="https://www.nature.com/articles/s41598-022-07427-6" TargetMode="External"/><Relationship Id="rId1371" Type="http://schemas.openxmlformats.org/officeDocument/2006/relationships/hyperlink" Target="https://www.mdpi.com/2304-6732/8/8/341" TargetMode="External"/><Relationship Id="rId1372" Type="http://schemas.openxmlformats.org/officeDocument/2006/relationships/hyperlink" Target="https://pubmed.ncbi.nlm.nih.gov/33313457/" TargetMode="External"/><Relationship Id="rId1373" Type="http://schemas.openxmlformats.org/officeDocument/2006/relationships/hyperlink" Target="https://pubmed.ncbi.nlm.nih.gov/32802293/" TargetMode="External"/><Relationship Id="rId785" Type="http://schemas.openxmlformats.org/officeDocument/2006/relationships/hyperlink" Target="https://pubmed.ncbi.nlm.nih.gov/34045848/" TargetMode="External"/><Relationship Id="rId1374" Type="http://schemas.openxmlformats.org/officeDocument/2006/relationships/hyperlink" Target="https://pubmed.ncbi.nlm.nih.gov/32716761/" TargetMode="External"/><Relationship Id="rId784" Type="http://schemas.openxmlformats.org/officeDocument/2006/relationships/hyperlink" Target="https://pubmed.ncbi.nlm.nih.gov/34198493/" TargetMode="External"/><Relationship Id="rId1375" Type="http://schemas.openxmlformats.org/officeDocument/2006/relationships/hyperlink" Target="https://pubmed.ncbi.nlm.nih.gov/38808073/" TargetMode="External"/><Relationship Id="rId783" Type="http://schemas.openxmlformats.org/officeDocument/2006/relationships/hyperlink" Target="https://pubmed.ncbi.nlm.nih.gov/34234402/" TargetMode="External"/><Relationship Id="rId1376" Type="http://schemas.openxmlformats.org/officeDocument/2006/relationships/hyperlink" Target="https://pubmed.ncbi.nlm.nih.gov/37242436/" TargetMode="External"/><Relationship Id="rId782" Type="http://schemas.openxmlformats.org/officeDocument/2006/relationships/hyperlink" Target="https://pubmed.ncbi.nlm.nih.gov/34221491/" TargetMode="External"/><Relationship Id="rId1377" Type="http://schemas.openxmlformats.org/officeDocument/2006/relationships/hyperlink" Target="https://pubmed.ncbi.nlm.nih.gov/35280271/" TargetMode="External"/><Relationship Id="rId1367" Type="http://schemas.openxmlformats.org/officeDocument/2006/relationships/hyperlink" Target="https://pubmed.ncbi.nlm.nih.gov/35881208/" TargetMode="External"/><Relationship Id="rId2698" Type="http://schemas.openxmlformats.org/officeDocument/2006/relationships/hyperlink" Target="https://pubmed.ncbi.nlm.nih.gov/8492246/" TargetMode="External"/><Relationship Id="rId1368" Type="http://schemas.openxmlformats.org/officeDocument/2006/relationships/hyperlink" Target="https://pubmed.ncbi.nlm.nih.gov/35259753/" TargetMode="External"/><Relationship Id="rId2699" Type="http://schemas.openxmlformats.org/officeDocument/2006/relationships/hyperlink" Target="https://pubmed.ncbi.nlm.nih.gov/35453038/" TargetMode="External"/><Relationship Id="rId1369" Type="http://schemas.openxmlformats.org/officeDocument/2006/relationships/hyperlink" Target="https://pubmed.ncbi.nlm.nih.gov/34557318/" TargetMode="External"/><Relationship Id="rId778" Type="http://schemas.openxmlformats.org/officeDocument/2006/relationships/hyperlink" Target="https://pubmed.ncbi.nlm.nih.gov/36319526/" TargetMode="External"/><Relationship Id="rId777" Type="http://schemas.openxmlformats.org/officeDocument/2006/relationships/hyperlink" Target="https://pubmed.ncbi.nlm.nih.gov/36510598/" TargetMode="External"/><Relationship Id="rId776" Type="http://schemas.openxmlformats.org/officeDocument/2006/relationships/hyperlink" Target="https://pubmed.ncbi.nlm.nih.gov/36582033/" TargetMode="External"/><Relationship Id="rId775" Type="http://schemas.openxmlformats.org/officeDocument/2006/relationships/hyperlink" Target="https://pubmed.ncbi.nlm.nih.gov/37405869/" TargetMode="External"/><Relationship Id="rId779" Type="http://schemas.openxmlformats.org/officeDocument/2006/relationships/hyperlink" Target="https://pubmed.ncbi.nlm.nih.gov/36112864/" TargetMode="External"/><Relationship Id="rId770" Type="http://schemas.openxmlformats.org/officeDocument/2006/relationships/hyperlink" Target="https://pubmed.ncbi.nlm.nih.gov/37546127/" TargetMode="External"/><Relationship Id="rId2690" Type="http://schemas.openxmlformats.org/officeDocument/2006/relationships/hyperlink" Target="https://pubmed.ncbi.nlm.nih.gov/22447402/" TargetMode="External"/><Relationship Id="rId1360" Type="http://schemas.openxmlformats.org/officeDocument/2006/relationships/hyperlink" Target="https://pubmed.ncbi.nlm.nih.gov/31294674/" TargetMode="External"/><Relationship Id="rId2691" Type="http://schemas.openxmlformats.org/officeDocument/2006/relationships/hyperlink" Target="https://pubmed.ncbi.nlm.nih.gov/38462542/" TargetMode="External"/><Relationship Id="rId1361" Type="http://schemas.openxmlformats.org/officeDocument/2006/relationships/hyperlink" Target="https://pubmed.ncbi.nlm.nih.gov/38533300/" TargetMode="External"/><Relationship Id="rId2692" Type="http://schemas.openxmlformats.org/officeDocument/2006/relationships/hyperlink" Target="https://pubmed.ncbi.nlm.nih.gov/33634352/" TargetMode="External"/><Relationship Id="rId1362" Type="http://schemas.openxmlformats.org/officeDocument/2006/relationships/hyperlink" Target="https://pubmed.ncbi.nlm.nih.gov/19143012/" TargetMode="External"/><Relationship Id="rId2693" Type="http://schemas.openxmlformats.org/officeDocument/2006/relationships/hyperlink" Target="https://pubmed.ncbi.nlm.nih.gov/20163967/" TargetMode="External"/><Relationship Id="rId774" Type="http://schemas.openxmlformats.org/officeDocument/2006/relationships/hyperlink" Target="https://pubmed.ncbi.nlm.nih.gov/36484948/" TargetMode="External"/><Relationship Id="rId1363" Type="http://schemas.openxmlformats.org/officeDocument/2006/relationships/hyperlink" Target="https://pubmed.ncbi.nlm.nih.gov/36836921/" TargetMode="External"/><Relationship Id="rId2694" Type="http://schemas.openxmlformats.org/officeDocument/2006/relationships/hyperlink" Target="https://pubmed.ncbi.nlm.nih.gov/34462607/" TargetMode="External"/><Relationship Id="rId773" Type="http://schemas.openxmlformats.org/officeDocument/2006/relationships/hyperlink" Target="https://pubmed.ncbi.nlm.nih.gov/36455215/" TargetMode="External"/><Relationship Id="rId1364" Type="http://schemas.openxmlformats.org/officeDocument/2006/relationships/hyperlink" Target="https://pubmed.ncbi.nlm.nih.gov/38216803/" TargetMode="External"/><Relationship Id="rId2695" Type="http://schemas.openxmlformats.org/officeDocument/2006/relationships/hyperlink" Target="https://pubmed.ncbi.nlm.nih.gov/34662815/" TargetMode="External"/><Relationship Id="rId772" Type="http://schemas.openxmlformats.org/officeDocument/2006/relationships/hyperlink" Target="https://pubmed.ncbi.nlm.nih.gov/37068975/" TargetMode="External"/><Relationship Id="rId1365" Type="http://schemas.openxmlformats.org/officeDocument/2006/relationships/hyperlink" Target="https://pubmed.ncbi.nlm.nih.gov/37834941/" TargetMode="External"/><Relationship Id="rId2696" Type="http://schemas.openxmlformats.org/officeDocument/2006/relationships/hyperlink" Target="https://pubmed.ncbi.nlm.nih.gov/37968291/" TargetMode="External"/><Relationship Id="rId771" Type="http://schemas.openxmlformats.org/officeDocument/2006/relationships/hyperlink" Target="https://pubmed.ncbi.nlm.nih.gov/37156225/" TargetMode="External"/><Relationship Id="rId1366" Type="http://schemas.openxmlformats.org/officeDocument/2006/relationships/hyperlink" Target="https://pubmed.ncbi.nlm.nih.gov/37738368/" TargetMode="External"/><Relationship Id="rId2697" Type="http://schemas.openxmlformats.org/officeDocument/2006/relationships/hyperlink" Target="http://www.ncbi.nlm.nih.gov/pubmed/19065562" TargetMode="External"/><Relationship Id="rId1390" Type="http://schemas.openxmlformats.org/officeDocument/2006/relationships/hyperlink" Target="https://pubmed.ncbi.nlm.nih.gov/18579924/" TargetMode="External"/><Relationship Id="rId1391" Type="http://schemas.openxmlformats.org/officeDocument/2006/relationships/hyperlink" Target="https://pubmed.ncbi.nlm.nih.gov/36870246/" TargetMode="External"/><Relationship Id="rId1392" Type="http://schemas.openxmlformats.org/officeDocument/2006/relationships/hyperlink" Target="https://pubmed.ncbi.nlm.nih.gov/32739664/" TargetMode="External"/><Relationship Id="rId1393" Type="http://schemas.openxmlformats.org/officeDocument/2006/relationships/hyperlink" Target="https://pubmed.ncbi.nlm.nih.gov/38972142/" TargetMode="External"/><Relationship Id="rId1394" Type="http://schemas.openxmlformats.org/officeDocument/2006/relationships/hyperlink" Target="https://pubmed.ncbi.nlm.nih.gov/38583230/" TargetMode="External"/><Relationship Id="rId1395" Type="http://schemas.openxmlformats.org/officeDocument/2006/relationships/hyperlink" Target="https://pubmed.ncbi.nlm.nih.gov/37568529/" TargetMode="External"/><Relationship Id="rId1396" Type="http://schemas.openxmlformats.org/officeDocument/2006/relationships/hyperlink" Target="https://pubmed.ncbi.nlm.nih.gov/36768673/" TargetMode="External"/><Relationship Id="rId1397" Type="http://schemas.openxmlformats.org/officeDocument/2006/relationships/hyperlink" Target="https://iopscience.iop.org/article/10.1088/1741-2552/abb3b2" TargetMode="External"/><Relationship Id="rId1398" Type="http://schemas.openxmlformats.org/officeDocument/2006/relationships/hyperlink" Target="https://pubmed.ncbi.nlm.nih.gov/22255577/" TargetMode="External"/><Relationship Id="rId1399" Type="http://schemas.openxmlformats.org/officeDocument/2006/relationships/hyperlink" Target="https://pubmed.ncbi.nlm.nih.gov/36689023/" TargetMode="External"/><Relationship Id="rId1389" Type="http://schemas.openxmlformats.org/officeDocument/2006/relationships/hyperlink" Target="https://pubmed.ncbi.nlm.nih.gov/32645648/" TargetMode="External"/><Relationship Id="rId799" Type="http://schemas.openxmlformats.org/officeDocument/2006/relationships/hyperlink" Target="https://pubmed.ncbi.nlm.nih.gov/38940757/" TargetMode="External"/><Relationship Id="rId798" Type="http://schemas.openxmlformats.org/officeDocument/2006/relationships/hyperlink" Target="http://www.ncbi.nlm.nih.gov/pubmed/12626762" TargetMode="External"/><Relationship Id="rId797" Type="http://schemas.openxmlformats.org/officeDocument/2006/relationships/hyperlink" Target="http://www.ncbi.nlm.nih.gov/pubmed/20238037" TargetMode="External"/><Relationship Id="rId1380" Type="http://schemas.openxmlformats.org/officeDocument/2006/relationships/hyperlink" Target="https://pubmed.ncbi.nlm.nih.gov/33640829/" TargetMode="External"/><Relationship Id="rId792" Type="http://schemas.openxmlformats.org/officeDocument/2006/relationships/hyperlink" Target="https://pubmed.ncbi.nlm.nih.gov/36527588/" TargetMode="External"/><Relationship Id="rId1381" Type="http://schemas.openxmlformats.org/officeDocument/2006/relationships/hyperlink" Target="https://pubmed.ncbi.nlm.nih.gov/32301669/" TargetMode="External"/><Relationship Id="rId791" Type="http://schemas.openxmlformats.org/officeDocument/2006/relationships/hyperlink" Target="https://pubmed.ncbi.nlm.nih.gov/26404781/" TargetMode="External"/><Relationship Id="rId1382" Type="http://schemas.openxmlformats.org/officeDocument/2006/relationships/hyperlink" Target="https://pubmed.ncbi.nlm.nih.gov/37622461/" TargetMode="External"/><Relationship Id="rId790" Type="http://schemas.openxmlformats.org/officeDocument/2006/relationships/hyperlink" Target="https://pubmed.ncbi.nlm.nih.gov/34860856/" TargetMode="External"/><Relationship Id="rId1383" Type="http://schemas.openxmlformats.org/officeDocument/2006/relationships/hyperlink" Target="https://pubmed.ncbi.nlm.nih.gov/37583505/" TargetMode="External"/><Relationship Id="rId1384" Type="http://schemas.openxmlformats.org/officeDocument/2006/relationships/hyperlink" Target="https://pubmed.ncbi.nlm.nih.gov/36202956/" TargetMode="External"/><Relationship Id="rId796" Type="http://schemas.openxmlformats.org/officeDocument/2006/relationships/hyperlink" Target="http://www.ncbi.nlm.nih.gov/pubmed/21421867" TargetMode="External"/><Relationship Id="rId1385" Type="http://schemas.openxmlformats.org/officeDocument/2006/relationships/hyperlink" Target="https://pubmed.ncbi.nlm.nih.gov/36104132/" TargetMode="External"/><Relationship Id="rId795" Type="http://schemas.openxmlformats.org/officeDocument/2006/relationships/hyperlink" Target="http://www.ncbi.nlm.nih.gov/pubmed/22183324" TargetMode="External"/><Relationship Id="rId1386" Type="http://schemas.openxmlformats.org/officeDocument/2006/relationships/hyperlink" Target="https://pubmed.ncbi.nlm.nih.gov/34331219/" TargetMode="External"/><Relationship Id="rId794" Type="http://schemas.openxmlformats.org/officeDocument/2006/relationships/hyperlink" Target="https://pubmed.ncbi.nlm.nih.gov/32802288/" TargetMode="External"/><Relationship Id="rId1387" Type="http://schemas.openxmlformats.org/officeDocument/2006/relationships/hyperlink" Target="https://pubmed.ncbi.nlm.nih.gov/33810813/" TargetMode="External"/><Relationship Id="rId793" Type="http://schemas.openxmlformats.org/officeDocument/2006/relationships/hyperlink" Target="https://pubmed.ncbi.nlm.nih.gov/34684096/" TargetMode="External"/><Relationship Id="rId1388" Type="http://schemas.openxmlformats.org/officeDocument/2006/relationships/hyperlink" Target="https://pubmed.ncbi.nlm.nih.gov/33721255/" TargetMode="External"/><Relationship Id="rId3151" Type="http://schemas.openxmlformats.org/officeDocument/2006/relationships/hyperlink" Target="https://pubmed.ncbi.nlm.nih.gov/33166263/" TargetMode="External"/><Relationship Id="rId3150" Type="http://schemas.openxmlformats.org/officeDocument/2006/relationships/hyperlink" Target="https://pubmed.ncbi.nlm.nih.gov/34681882/" TargetMode="External"/><Relationship Id="rId3153" Type="http://schemas.openxmlformats.org/officeDocument/2006/relationships/hyperlink" Target="https://pubmed.ncbi.nlm.nih.gov/36004458/" TargetMode="External"/><Relationship Id="rId3152" Type="http://schemas.openxmlformats.org/officeDocument/2006/relationships/hyperlink" Target="https://pubmed.ncbi.nlm.nih.gov/11368833/" TargetMode="External"/><Relationship Id="rId3155" Type="http://schemas.openxmlformats.org/officeDocument/2006/relationships/hyperlink" Target="https://pubmed.ncbi.nlm.nih.gov/35030091/" TargetMode="External"/><Relationship Id="rId3154" Type="http://schemas.openxmlformats.org/officeDocument/2006/relationships/hyperlink" Target="https://pubmed.ncbi.nlm.nih.gov/37624142/" TargetMode="External"/><Relationship Id="rId3157" Type="http://schemas.openxmlformats.org/officeDocument/2006/relationships/hyperlink" Target="https://pubmed.ncbi.nlm.nih.gov/34650877/" TargetMode="External"/><Relationship Id="rId3156" Type="http://schemas.openxmlformats.org/officeDocument/2006/relationships/hyperlink" Target="https://pubmed.ncbi.nlm.nih.gov/36107964/" TargetMode="External"/><Relationship Id="rId3159" Type="http://schemas.openxmlformats.org/officeDocument/2006/relationships/hyperlink" Target="https://pubmed.ncbi.nlm.nih.gov/34653929/" TargetMode="External"/><Relationship Id="rId3158" Type="http://schemas.openxmlformats.org/officeDocument/2006/relationships/hyperlink" Target="https://pubmed.ncbi.nlm.nih.gov/35559716/" TargetMode="External"/><Relationship Id="rId3149" Type="http://schemas.openxmlformats.org/officeDocument/2006/relationships/hyperlink" Target="https://pubmed.ncbi.nlm.nih.gov/35833323/" TargetMode="External"/><Relationship Id="rId3140" Type="http://schemas.openxmlformats.org/officeDocument/2006/relationships/hyperlink" Target="https://www.researchgate.net/profile/Soelve_Elmstahl/publication/5678172_Monochromatic_phototherapy_Effective_treatment_for_grade_II_chronic_pressure_ulcers_in_elderly_patients/links/004635190e7c37f653000000.pdf" TargetMode="External"/><Relationship Id="rId3142" Type="http://schemas.openxmlformats.org/officeDocument/2006/relationships/hyperlink" Target="https://pubmed.ncbi.nlm.nih.gov/38956862/" TargetMode="External"/><Relationship Id="rId3141" Type="http://schemas.openxmlformats.org/officeDocument/2006/relationships/hyperlink" Target="https://link.springer.com/content/pdf/10.1007%2FBF03327378.pdf" TargetMode="External"/><Relationship Id="rId3144" Type="http://schemas.openxmlformats.org/officeDocument/2006/relationships/hyperlink" Target="https://pubmed.ncbi.nlm.nih.gov/37851116/" TargetMode="External"/><Relationship Id="rId3143" Type="http://schemas.openxmlformats.org/officeDocument/2006/relationships/hyperlink" Target="https://pubmed.ncbi.nlm.nih.gov/38671406/" TargetMode="External"/><Relationship Id="rId3146" Type="http://schemas.openxmlformats.org/officeDocument/2006/relationships/hyperlink" Target="https://pubmed.ncbi.nlm.nih.gov/36836932/" TargetMode="External"/><Relationship Id="rId3145" Type="http://schemas.openxmlformats.org/officeDocument/2006/relationships/hyperlink" Target="https://pubmed.ncbi.nlm.nih.gov/37163654/" TargetMode="External"/><Relationship Id="rId3148" Type="http://schemas.openxmlformats.org/officeDocument/2006/relationships/hyperlink" Target="https://pubmed.ncbi.nlm.nih.gov/36143466/" TargetMode="External"/><Relationship Id="rId3147" Type="http://schemas.openxmlformats.org/officeDocument/2006/relationships/hyperlink" Target="https://pubmed.ncbi.nlm.nih.gov/37041783/" TargetMode="External"/><Relationship Id="rId3160" Type="http://schemas.openxmlformats.org/officeDocument/2006/relationships/hyperlink" Target="https://opg.optica.org/ao/abstract.cfm?uri=ao-54-13-3873" TargetMode="External"/><Relationship Id="rId3162" Type="http://schemas.openxmlformats.org/officeDocument/2006/relationships/drawing" Target="../drawings/drawing1.xml"/><Relationship Id="rId3161" Type="http://schemas.openxmlformats.org/officeDocument/2006/relationships/hyperlink" Target="https://pubmed.ncbi.nlm.nih.gov/22540090/" TargetMode="External"/><Relationship Id="rId2700" Type="http://schemas.openxmlformats.org/officeDocument/2006/relationships/hyperlink" Target="https://pubmed.ncbi.nlm.nih.gov/35363889/" TargetMode="External"/><Relationship Id="rId2701" Type="http://schemas.openxmlformats.org/officeDocument/2006/relationships/hyperlink" Target="https://pubmed.ncbi.nlm.nih.gov/34954387/" TargetMode="External"/><Relationship Id="rId2702" Type="http://schemas.openxmlformats.org/officeDocument/2006/relationships/hyperlink" Target="https://pubmed.ncbi.nlm.nih.gov/32525253/" TargetMode="External"/><Relationship Id="rId2703" Type="http://schemas.openxmlformats.org/officeDocument/2006/relationships/hyperlink" Target="https://pubmed.ncbi.nlm.nih.gov/28673742/" TargetMode="External"/><Relationship Id="rId2704" Type="http://schemas.openxmlformats.org/officeDocument/2006/relationships/hyperlink" Target="https://pubmed.ncbi.nlm.nih.gov/37895108/" TargetMode="External"/><Relationship Id="rId2705" Type="http://schemas.openxmlformats.org/officeDocument/2006/relationships/hyperlink" Target="https://pubmed.ncbi.nlm.nih.gov/38234287/" TargetMode="External"/><Relationship Id="rId2706" Type="http://schemas.openxmlformats.org/officeDocument/2006/relationships/hyperlink" Target="https://pubmed.ncbi.nlm.nih.gov/38104705/" TargetMode="External"/><Relationship Id="rId2707" Type="http://schemas.openxmlformats.org/officeDocument/2006/relationships/hyperlink" Target="https://pubmed.ncbi.nlm.nih.gov/38091111/" TargetMode="External"/><Relationship Id="rId2708" Type="http://schemas.openxmlformats.org/officeDocument/2006/relationships/hyperlink" Target="https://pubmed.ncbi.nlm.nih.gov/38034860/" TargetMode="External"/><Relationship Id="rId2709" Type="http://schemas.openxmlformats.org/officeDocument/2006/relationships/hyperlink" Target="https://pubmed.ncbi.nlm.nih.gov/37991573/" TargetMode="External"/><Relationship Id="rId2720" Type="http://schemas.openxmlformats.org/officeDocument/2006/relationships/hyperlink" Target="http://www.ncbi.nlm.nih.gov/pubmed/19347941" TargetMode="External"/><Relationship Id="rId2721" Type="http://schemas.openxmlformats.org/officeDocument/2006/relationships/hyperlink" Target="http://www.ncbi.nlm.nih.gov/pubmed/26757735" TargetMode="External"/><Relationship Id="rId2722" Type="http://schemas.openxmlformats.org/officeDocument/2006/relationships/hyperlink" Target="https://pubmed.ncbi.nlm.nih.gov/33184429/" TargetMode="External"/><Relationship Id="rId2723" Type="http://schemas.openxmlformats.org/officeDocument/2006/relationships/hyperlink" Target="https://pubmed.ncbi.nlm.nih.gov/33425299/" TargetMode="External"/><Relationship Id="rId2724" Type="http://schemas.openxmlformats.org/officeDocument/2006/relationships/hyperlink" Target="https://pubmed.ncbi.nlm.nih.gov/37579650/" TargetMode="External"/><Relationship Id="rId2725" Type="http://schemas.openxmlformats.org/officeDocument/2006/relationships/hyperlink" Target="https://pubmed.ncbi.nlm.nih.gov/33945145/" TargetMode="External"/><Relationship Id="rId2726" Type="http://schemas.openxmlformats.org/officeDocument/2006/relationships/hyperlink" Target="https://pubmed.ncbi.nlm.nih.gov/33623634/" TargetMode="External"/><Relationship Id="rId2727" Type="http://schemas.openxmlformats.org/officeDocument/2006/relationships/hyperlink" Target="https://pubmed.ncbi.nlm.nih.gov/33616715/" TargetMode="External"/><Relationship Id="rId2728" Type="http://schemas.openxmlformats.org/officeDocument/2006/relationships/hyperlink" Target="https://pubmed.ncbi.nlm.nih.gov/35110659/" TargetMode="External"/><Relationship Id="rId2729" Type="http://schemas.openxmlformats.org/officeDocument/2006/relationships/hyperlink" Target="https://pubmed.ncbi.nlm.nih.gov/37525509/" TargetMode="External"/><Relationship Id="rId2710" Type="http://schemas.openxmlformats.org/officeDocument/2006/relationships/hyperlink" Target="https://pubmed.ncbi.nlm.nih.gov/36965403/" TargetMode="External"/><Relationship Id="rId2711" Type="http://schemas.openxmlformats.org/officeDocument/2006/relationships/hyperlink" Target="https://pubmed.ncbi.nlm.nih.gov/36493718/" TargetMode="External"/><Relationship Id="rId2712" Type="http://schemas.openxmlformats.org/officeDocument/2006/relationships/hyperlink" Target="https://pubmed.ncbi.nlm.nih.gov/36123683/" TargetMode="External"/><Relationship Id="rId2713" Type="http://schemas.openxmlformats.org/officeDocument/2006/relationships/hyperlink" Target="https://pubmed.ncbi.nlm.nih.gov/35832724/" TargetMode="External"/><Relationship Id="rId2714" Type="http://schemas.openxmlformats.org/officeDocument/2006/relationships/hyperlink" Target="https://pubmed.ncbi.nlm.nih.gov/34339325/" TargetMode="External"/><Relationship Id="rId2715" Type="http://schemas.openxmlformats.org/officeDocument/2006/relationships/hyperlink" Target="https://pubmed.ncbi.nlm.nih.gov/34247314/" TargetMode="External"/><Relationship Id="rId2716" Type="http://schemas.openxmlformats.org/officeDocument/2006/relationships/hyperlink" Target="https://pubmed.ncbi.nlm.nih.gov/33833810/" TargetMode="External"/><Relationship Id="rId2717" Type="http://schemas.openxmlformats.org/officeDocument/2006/relationships/hyperlink" Target="https://pubmed.ncbi.nlm.nih.gov/32588268/" TargetMode="External"/><Relationship Id="rId2718" Type="http://schemas.openxmlformats.org/officeDocument/2006/relationships/hyperlink" Target="https://pubmed.ncbi.nlm.nih.gov/22962596/" TargetMode="External"/><Relationship Id="rId2719" Type="http://schemas.openxmlformats.org/officeDocument/2006/relationships/hyperlink" Target="https://pubmed.ncbi.nlm.nih.gov/18386092/" TargetMode="External"/><Relationship Id="rId1455" Type="http://schemas.openxmlformats.org/officeDocument/2006/relationships/hyperlink" Target="https://pubmed.ncbi.nlm.nih.gov/35874125/" TargetMode="External"/><Relationship Id="rId2786" Type="http://schemas.openxmlformats.org/officeDocument/2006/relationships/hyperlink" Target="https://pubmed.ncbi.nlm.nih.gov/29449827/" TargetMode="External"/><Relationship Id="rId1456" Type="http://schemas.openxmlformats.org/officeDocument/2006/relationships/hyperlink" Target="https://pubmed.ncbi.nlm.nih.gov/35169872/" TargetMode="External"/><Relationship Id="rId2787" Type="http://schemas.openxmlformats.org/officeDocument/2006/relationships/hyperlink" Target="https://pubmed.ncbi.nlm.nih.gov/27910985/" TargetMode="External"/><Relationship Id="rId1457" Type="http://schemas.openxmlformats.org/officeDocument/2006/relationships/hyperlink" Target="https://pubmed.ncbi.nlm.nih.gov/35213927/" TargetMode="External"/><Relationship Id="rId2788" Type="http://schemas.openxmlformats.org/officeDocument/2006/relationships/hyperlink" Target="https://pubmed.ncbi.nlm.nih.gov/27108944/" TargetMode="External"/><Relationship Id="rId1458" Type="http://schemas.openxmlformats.org/officeDocument/2006/relationships/hyperlink" Target="https://pubmed.ncbi.nlm.nih.gov/34623486/" TargetMode="External"/><Relationship Id="rId2789" Type="http://schemas.openxmlformats.org/officeDocument/2006/relationships/hyperlink" Target="https://pubmed.ncbi.nlm.nih.gov/26477548/" TargetMode="External"/><Relationship Id="rId1459" Type="http://schemas.openxmlformats.org/officeDocument/2006/relationships/hyperlink" Target="https://pubmed.ncbi.nlm.nih.gov/33411048/" TargetMode="External"/><Relationship Id="rId629" Type="http://schemas.openxmlformats.org/officeDocument/2006/relationships/hyperlink" Target="https://pubmed.ncbi.nlm.nih.gov/34481420/" TargetMode="External"/><Relationship Id="rId624" Type="http://schemas.openxmlformats.org/officeDocument/2006/relationships/hyperlink" Target="https://pubmed.ncbi.nlm.nih.gov/36990615/" TargetMode="External"/><Relationship Id="rId623" Type="http://schemas.openxmlformats.org/officeDocument/2006/relationships/hyperlink" Target="https://pubmed.ncbi.nlm.nih.gov/36952036/" TargetMode="External"/><Relationship Id="rId622" Type="http://schemas.openxmlformats.org/officeDocument/2006/relationships/hyperlink" Target="https://pubmed.ncbi.nlm.nih.gov/37181415/" TargetMode="External"/><Relationship Id="rId621" Type="http://schemas.openxmlformats.org/officeDocument/2006/relationships/hyperlink" Target="https://pubmed.ncbi.nlm.nih.gov/26044167/" TargetMode="External"/><Relationship Id="rId628" Type="http://schemas.openxmlformats.org/officeDocument/2006/relationships/hyperlink" Target="https://www.mdpi.com/2304-6732/9/1/10" TargetMode="External"/><Relationship Id="rId627" Type="http://schemas.openxmlformats.org/officeDocument/2006/relationships/hyperlink" Target="https://pubmed.ncbi.nlm.nih.gov/35255933/" TargetMode="External"/><Relationship Id="rId626" Type="http://schemas.openxmlformats.org/officeDocument/2006/relationships/hyperlink" Target="https://pubmed.ncbi.nlm.nih.gov/36743146/" TargetMode="External"/><Relationship Id="rId625" Type="http://schemas.openxmlformats.org/officeDocument/2006/relationships/hyperlink" Target="https://pubmed.ncbi.nlm.nih.gov/36751505/" TargetMode="External"/><Relationship Id="rId2780" Type="http://schemas.openxmlformats.org/officeDocument/2006/relationships/hyperlink" Target="https://pubmed.ncbi.nlm.nih.gov/28088363/" TargetMode="External"/><Relationship Id="rId1450" Type="http://schemas.openxmlformats.org/officeDocument/2006/relationships/hyperlink" Target="https://pubmed.ncbi.nlm.nih.gov/33590548/" TargetMode="External"/><Relationship Id="rId2781" Type="http://schemas.openxmlformats.org/officeDocument/2006/relationships/hyperlink" Target="https://pubmed.ncbi.nlm.nih.gov/24697969/" TargetMode="External"/><Relationship Id="rId620" Type="http://schemas.openxmlformats.org/officeDocument/2006/relationships/hyperlink" Target="https://pubmed.ncbi.nlm.nih.gov/37674258/" TargetMode="External"/><Relationship Id="rId1451" Type="http://schemas.openxmlformats.org/officeDocument/2006/relationships/hyperlink" Target="https://pubmed.ncbi.nlm.nih.gov/37858427/" TargetMode="External"/><Relationship Id="rId2782" Type="http://schemas.openxmlformats.org/officeDocument/2006/relationships/hyperlink" Target="https://pubmed.ncbi.nlm.nih.gov/31844981/" TargetMode="External"/><Relationship Id="rId1452" Type="http://schemas.openxmlformats.org/officeDocument/2006/relationships/hyperlink" Target="https://pubmed.ncbi.nlm.nih.gov/37115315/" TargetMode="External"/><Relationship Id="rId2783" Type="http://schemas.openxmlformats.org/officeDocument/2006/relationships/hyperlink" Target="https://pubmed.ncbi.nlm.nih.gov/31217172/" TargetMode="External"/><Relationship Id="rId1453" Type="http://schemas.openxmlformats.org/officeDocument/2006/relationships/hyperlink" Target="https://pubmed.ncbi.nlm.nih.gov/36629901/" TargetMode="External"/><Relationship Id="rId2784" Type="http://schemas.openxmlformats.org/officeDocument/2006/relationships/hyperlink" Target="https://pubmed.ncbi.nlm.nih.gov/30561654/" TargetMode="External"/><Relationship Id="rId1454" Type="http://schemas.openxmlformats.org/officeDocument/2006/relationships/hyperlink" Target="https://pubmed.ncbi.nlm.nih.gov/36110957/" TargetMode="External"/><Relationship Id="rId2785" Type="http://schemas.openxmlformats.org/officeDocument/2006/relationships/hyperlink" Target="https://pubmed.ncbi.nlm.nih.gov/30103527/" TargetMode="External"/><Relationship Id="rId1444" Type="http://schemas.openxmlformats.org/officeDocument/2006/relationships/hyperlink" Target="https://pubmed.ncbi.nlm.nih.gov/32583188/" TargetMode="External"/><Relationship Id="rId2775" Type="http://schemas.openxmlformats.org/officeDocument/2006/relationships/hyperlink" Target="https://pubmed.ncbi.nlm.nih.gov/30778098/" TargetMode="External"/><Relationship Id="rId1445" Type="http://schemas.openxmlformats.org/officeDocument/2006/relationships/hyperlink" Target="https://pubmed.ncbi.nlm.nih.gov/33572840/" TargetMode="External"/><Relationship Id="rId2776" Type="http://schemas.openxmlformats.org/officeDocument/2006/relationships/hyperlink" Target="https://www.tandfonline.com/doi/full/10.2147/RMHP.S420018" TargetMode="External"/><Relationship Id="rId1446" Type="http://schemas.openxmlformats.org/officeDocument/2006/relationships/hyperlink" Target="https://pubmed.ncbi.nlm.nih.gov/36313662/" TargetMode="External"/><Relationship Id="rId2777" Type="http://schemas.openxmlformats.org/officeDocument/2006/relationships/hyperlink" Target="https://pubmed.ncbi.nlm.nih.gov/38195450/" TargetMode="External"/><Relationship Id="rId1447" Type="http://schemas.openxmlformats.org/officeDocument/2006/relationships/hyperlink" Target="https://pubmed.ncbi.nlm.nih.gov/36538405/" TargetMode="External"/><Relationship Id="rId2778" Type="http://schemas.openxmlformats.org/officeDocument/2006/relationships/hyperlink" Target="https://pubmed.ncbi.nlm.nih.gov/32912789/" TargetMode="External"/><Relationship Id="rId1448" Type="http://schemas.openxmlformats.org/officeDocument/2006/relationships/hyperlink" Target="https://pubmed.ncbi.nlm.nih.gov/33107198/" TargetMode="External"/><Relationship Id="rId2779" Type="http://schemas.openxmlformats.org/officeDocument/2006/relationships/hyperlink" Target="https://pubmed.ncbi.nlm.nih.gov/30759251/" TargetMode="External"/><Relationship Id="rId1449" Type="http://schemas.openxmlformats.org/officeDocument/2006/relationships/hyperlink" Target="https://pubmed.ncbi.nlm.nih.gov/32793501/" TargetMode="External"/><Relationship Id="rId619" Type="http://schemas.openxmlformats.org/officeDocument/2006/relationships/hyperlink" Target="https://pubmed.ncbi.nlm.nih.gov/38934100/" TargetMode="External"/><Relationship Id="rId618" Type="http://schemas.openxmlformats.org/officeDocument/2006/relationships/hyperlink" Target="https://pubmed.ncbi.nlm.nih.gov/38460195/" TargetMode="External"/><Relationship Id="rId613" Type="http://schemas.openxmlformats.org/officeDocument/2006/relationships/hyperlink" Target="https://pubmed.ncbi.nlm.nih.gov/30227084/" TargetMode="External"/><Relationship Id="rId612" Type="http://schemas.openxmlformats.org/officeDocument/2006/relationships/hyperlink" Target="https://pubmed.ncbi.nlm.nih.gov/36552713/" TargetMode="External"/><Relationship Id="rId611" Type="http://schemas.openxmlformats.org/officeDocument/2006/relationships/hyperlink" Target="https://pubmed.ncbi.nlm.nih.gov/37479524/" TargetMode="External"/><Relationship Id="rId610" Type="http://schemas.openxmlformats.org/officeDocument/2006/relationships/hyperlink" Target="https://pubmed.ncbi.nlm.nih.gov/37632189/" TargetMode="External"/><Relationship Id="rId617" Type="http://schemas.openxmlformats.org/officeDocument/2006/relationships/hyperlink" Target="https://pubmed.ncbi.nlm.nih.gov/37261304/" TargetMode="External"/><Relationship Id="rId616" Type="http://schemas.openxmlformats.org/officeDocument/2006/relationships/hyperlink" Target="https://pubmed.ncbi.nlm.nih.gov/34449880/" TargetMode="External"/><Relationship Id="rId615" Type="http://schemas.openxmlformats.org/officeDocument/2006/relationships/hyperlink" Target="https://pubmed.ncbi.nlm.nih.gov/38978235/" TargetMode="External"/><Relationship Id="rId614" Type="http://schemas.openxmlformats.org/officeDocument/2006/relationships/hyperlink" Target="https://pubmed.ncbi.nlm.nih.gov/33961534/" TargetMode="External"/><Relationship Id="rId2770" Type="http://schemas.openxmlformats.org/officeDocument/2006/relationships/hyperlink" Target="https://pubmed.ncbi.nlm.nih.gov/35069443/" TargetMode="External"/><Relationship Id="rId1440" Type="http://schemas.openxmlformats.org/officeDocument/2006/relationships/hyperlink" Target="https://pubmed.ncbi.nlm.nih.gov/27613370/" TargetMode="External"/><Relationship Id="rId2771" Type="http://schemas.openxmlformats.org/officeDocument/2006/relationships/hyperlink" Target="https://pubmed.ncbi.nlm.nih.gov/32861186/" TargetMode="External"/><Relationship Id="rId1441" Type="http://schemas.openxmlformats.org/officeDocument/2006/relationships/hyperlink" Target="https://pubmed.ncbi.nlm.nih.gov/38657999/" TargetMode="External"/><Relationship Id="rId2772" Type="http://schemas.openxmlformats.org/officeDocument/2006/relationships/hyperlink" Target="https://pubmed.ncbi.nlm.nih.gov/32599103/" TargetMode="External"/><Relationship Id="rId1442" Type="http://schemas.openxmlformats.org/officeDocument/2006/relationships/hyperlink" Target="https://pubmed.ncbi.nlm.nih.gov/38850248/" TargetMode="External"/><Relationship Id="rId2773" Type="http://schemas.openxmlformats.org/officeDocument/2006/relationships/hyperlink" Target="https://pubmed.ncbi.nlm.nih.gov/20592793/" TargetMode="External"/><Relationship Id="rId1443" Type="http://schemas.openxmlformats.org/officeDocument/2006/relationships/hyperlink" Target="https://pubmed.ncbi.nlm.nih.gov/36183377/" TargetMode="External"/><Relationship Id="rId2774" Type="http://schemas.openxmlformats.org/officeDocument/2006/relationships/hyperlink" Target="https://pubmed.ncbi.nlm.nih.gov/9014768/" TargetMode="External"/><Relationship Id="rId1477" Type="http://schemas.openxmlformats.org/officeDocument/2006/relationships/hyperlink" Target="https://pubmed.ncbi.nlm.nih.gov/37824572/" TargetMode="External"/><Relationship Id="rId1478" Type="http://schemas.openxmlformats.org/officeDocument/2006/relationships/hyperlink" Target="https://pubmed.ncbi.nlm.nih.gov/37610503/" TargetMode="External"/><Relationship Id="rId1479" Type="http://schemas.openxmlformats.org/officeDocument/2006/relationships/hyperlink" Target="https://pubmed.ncbi.nlm.nih.gov/37265005/" TargetMode="External"/><Relationship Id="rId646" Type="http://schemas.openxmlformats.org/officeDocument/2006/relationships/hyperlink" Target="https://pubmed.ncbi.nlm.nih.gov/33471046/" TargetMode="External"/><Relationship Id="rId645" Type="http://schemas.openxmlformats.org/officeDocument/2006/relationships/hyperlink" Target="https://pubmed.ncbi.nlm.nih.gov/33640508/" TargetMode="External"/><Relationship Id="rId644" Type="http://schemas.openxmlformats.org/officeDocument/2006/relationships/hyperlink" Target="https://www.sciencedirect.com/science/article/abs/pii/S0030399220313311" TargetMode="External"/><Relationship Id="rId643" Type="http://schemas.openxmlformats.org/officeDocument/2006/relationships/hyperlink" Target="https://www.magonlinelibrary.com/doi/abs/10.12968/joan.2021.10.7.288" TargetMode="External"/><Relationship Id="rId649" Type="http://schemas.openxmlformats.org/officeDocument/2006/relationships/hyperlink" Target="https://pubmed.ncbi.nlm.nih.gov/26708128/" TargetMode="External"/><Relationship Id="rId648" Type="http://schemas.openxmlformats.org/officeDocument/2006/relationships/hyperlink" Target="https://www.magonlinelibrary.com/doi/abs/10.12968/joan.2016.5.10.478" TargetMode="External"/><Relationship Id="rId647" Type="http://schemas.openxmlformats.org/officeDocument/2006/relationships/hyperlink" Target="https://pubmed.ncbi.nlm.nih.gov/29552272/" TargetMode="External"/><Relationship Id="rId1470" Type="http://schemas.openxmlformats.org/officeDocument/2006/relationships/hyperlink" Target="https://pubmed.ncbi.nlm.nih.gov/39032055/" TargetMode="External"/><Relationship Id="rId1471" Type="http://schemas.openxmlformats.org/officeDocument/2006/relationships/hyperlink" Target="https://pubmed.ncbi.nlm.nih.gov/38937982/" TargetMode="External"/><Relationship Id="rId1472" Type="http://schemas.openxmlformats.org/officeDocument/2006/relationships/hyperlink" Target="https://pubmed.ncbi.nlm.nih.gov/38908147/" TargetMode="External"/><Relationship Id="rId642" Type="http://schemas.openxmlformats.org/officeDocument/2006/relationships/hyperlink" Target="https://pubmed.ncbi.nlm.nih.gov/33987856/" TargetMode="External"/><Relationship Id="rId1473" Type="http://schemas.openxmlformats.org/officeDocument/2006/relationships/hyperlink" Target="https://pubmed.ncbi.nlm.nih.gov/38329547/" TargetMode="External"/><Relationship Id="rId641" Type="http://schemas.openxmlformats.org/officeDocument/2006/relationships/hyperlink" Target="https://onlinelibrary.wiley.com/doi/full/10.1002/VIW.20210012" TargetMode="External"/><Relationship Id="rId1474" Type="http://schemas.openxmlformats.org/officeDocument/2006/relationships/hyperlink" Target="https://pubmed.ncbi.nlm.nih.gov/38822930/" TargetMode="External"/><Relationship Id="rId640" Type="http://schemas.openxmlformats.org/officeDocument/2006/relationships/hyperlink" Target="https://pubmed.ncbi.nlm.nih.gov/36310510/" TargetMode="External"/><Relationship Id="rId1475" Type="http://schemas.openxmlformats.org/officeDocument/2006/relationships/hyperlink" Target="https://pubmed.ncbi.nlm.nih.gov/37956614/" TargetMode="External"/><Relationship Id="rId1476" Type="http://schemas.openxmlformats.org/officeDocument/2006/relationships/hyperlink" Target="https://pubmed.ncbi.nlm.nih.gov/37870653/" TargetMode="External"/><Relationship Id="rId1466" Type="http://schemas.openxmlformats.org/officeDocument/2006/relationships/hyperlink" Target="https://pubmed.ncbi.nlm.nih.gov/34742031/" TargetMode="External"/><Relationship Id="rId2797" Type="http://schemas.openxmlformats.org/officeDocument/2006/relationships/hyperlink" Target="https://pubmed.ncbi.nlm.nih.gov/36758693/" TargetMode="External"/><Relationship Id="rId1467" Type="http://schemas.openxmlformats.org/officeDocument/2006/relationships/hyperlink" Target="https://pubmed.ncbi.nlm.nih.gov/33169275/" TargetMode="External"/><Relationship Id="rId2798" Type="http://schemas.openxmlformats.org/officeDocument/2006/relationships/hyperlink" Target="https://pubmed.ncbi.nlm.nih.gov/35205756/" TargetMode="External"/><Relationship Id="rId1468" Type="http://schemas.openxmlformats.org/officeDocument/2006/relationships/hyperlink" Target="https://pubmed.ncbi.nlm.nih.gov/32590286/" TargetMode="External"/><Relationship Id="rId2799" Type="http://schemas.openxmlformats.org/officeDocument/2006/relationships/hyperlink" Target="https://pubmed.ncbi.nlm.nih.gov/31270593/" TargetMode="External"/><Relationship Id="rId1469" Type="http://schemas.openxmlformats.org/officeDocument/2006/relationships/hyperlink" Target="https://pubmed.ncbi.nlm.nih.gov/26332916/" TargetMode="External"/><Relationship Id="rId635" Type="http://schemas.openxmlformats.org/officeDocument/2006/relationships/hyperlink" Target="https://pubmed.ncbi.nlm.nih.gov/38674067/" TargetMode="External"/><Relationship Id="rId634" Type="http://schemas.openxmlformats.org/officeDocument/2006/relationships/hyperlink" Target="https://pubmed.ncbi.nlm.nih.gov/32460613/" TargetMode="External"/><Relationship Id="rId633" Type="http://schemas.openxmlformats.org/officeDocument/2006/relationships/hyperlink" Target="https://pubmed.ncbi.nlm.nih.gov/32876761/" TargetMode="External"/><Relationship Id="rId632" Type="http://schemas.openxmlformats.org/officeDocument/2006/relationships/hyperlink" Target="https://pubmed.ncbi.nlm.nih.gov/33711412/" TargetMode="External"/><Relationship Id="rId639" Type="http://schemas.openxmlformats.org/officeDocument/2006/relationships/hyperlink" Target="https://www.mdpi.com/2075-1729/13/1/196" TargetMode="External"/><Relationship Id="rId638" Type="http://schemas.openxmlformats.org/officeDocument/2006/relationships/hyperlink" Target="https://link.springer.com/chapter/10.1007/978-3-031-36266-8_9" TargetMode="External"/><Relationship Id="rId637" Type="http://schemas.openxmlformats.org/officeDocument/2006/relationships/hyperlink" Target="https://pubmed.ncbi.nlm.nih.gov/38264041/" TargetMode="External"/><Relationship Id="rId636" Type="http://schemas.openxmlformats.org/officeDocument/2006/relationships/hyperlink" Target="https://pubmed.ncbi.nlm.nih.gov/38307144/" TargetMode="External"/><Relationship Id="rId2790" Type="http://schemas.openxmlformats.org/officeDocument/2006/relationships/hyperlink" Target="https://pubmed.ncbi.nlm.nih.gov/26243188/" TargetMode="External"/><Relationship Id="rId1460" Type="http://schemas.openxmlformats.org/officeDocument/2006/relationships/hyperlink" Target="https://pubmed.ncbi.nlm.nih.gov/33517481/" TargetMode="External"/><Relationship Id="rId2791" Type="http://schemas.openxmlformats.org/officeDocument/2006/relationships/hyperlink" Target="https://pubmed.ncbi.nlm.nih.gov/23763464/" TargetMode="External"/><Relationship Id="rId1461" Type="http://schemas.openxmlformats.org/officeDocument/2006/relationships/hyperlink" Target="https://pubmed.ncbi.nlm.nih.gov/10462932/" TargetMode="External"/><Relationship Id="rId2792" Type="http://schemas.openxmlformats.org/officeDocument/2006/relationships/hyperlink" Target="https://pubmed.ncbi.nlm.nih.gov/24414538/" TargetMode="External"/><Relationship Id="rId631" Type="http://schemas.openxmlformats.org/officeDocument/2006/relationships/hyperlink" Target="https://pubmed.ncbi.nlm.nih.gov/33656099/" TargetMode="External"/><Relationship Id="rId1462" Type="http://schemas.openxmlformats.org/officeDocument/2006/relationships/hyperlink" Target="https://pubmed.ncbi.nlm.nih.gov/38944404/" TargetMode="External"/><Relationship Id="rId2793" Type="http://schemas.openxmlformats.org/officeDocument/2006/relationships/hyperlink" Target="https://pubmed.ncbi.nlm.nih.gov/23385850/" TargetMode="External"/><Relationship Id="rId630" Type="http://schemas.openxmlformats.org/officeDocument/2006/relationships/hyperlink" Target="https://pubmed.ncbi.nlm.nih.gov/33989768/" TargetMode="External"/><Relationship Id="rId1463" Type="http://schemas.openxmlformats.org/officeDocument/2006/relationships/hyperlink" Target="https://pubmed.ncbi.nlm.nih.gov/34374882/" TargetMode="External"/><Relationship Id="rId2794" Type="http://schemas.openxmlformats.org/officeDocument/2006/relationships/hyperlink" Target="https://pubmed.ncbi.nlm.nih.gov/21478203/" TargetMode="External"/><Relationship Id="rId1464" Type="http://schemas.openxmlformats.org/officeDocument/2006/relationships/hyperlink" Target="https://pubmed.ncbi.nlm.nih.gov/34733751/" TargetMode="External"/><Relationship Id="rId2795" Type="http://schemas.openxmlformats.org/officeDocument/2006/relationships/hyperlink" Target="https://pubmed.ncbi.nlm.nih.gov/18971584/" TargetMode="External"/><Relationship Id="rId1465" Type="http://schemas.openxmlformats.org/officeDocument/2006/relationships/hyperlink" Target="https://pubmed.ncbi.nlm.nih.gov/36001245/" TargetMode="External"/><Relationship Id="rId2796" Type="http://schemas.openxmlformats.org/officeDocument/2006/relationships/hyperlink" Target="https://pubmed.ncbi.nlm.nih.gov/22110779/" TargetMode="External"/><Relationship Id="rId1411" Type="http://schemas.openxmlformats.org/officeDocument/2006/relationships/hyperlink" Target="https://pubmed.ncbi.nlm.nih.gov/25206779/" TargetMode="External"/><Relationship Id="rId2742" Type="http://schemas.openxmlformats.org/officeDocument/2006/relationships/hyperlink" Target="https://pubmed.ncbi.nlm.nih.gov/28102417/" TargetMode="External"/><Relationship Id="rId1412" Type="http://schemas.openxmlformats.org/officeDocument/2006/relationships/hyperlink" Target="https://pubmed.ncbi.nlm.nih.gov/38504162/" TargetMode="External"/><Relationship Id="rId2743" Type="http://schemas.openxmlformats.org/officeDocument/2006/relationships/hyperlink" Target="https://pubmed.ncbi.nlm.nih.gov/25864626/" TargetMode="External"/><Relationship Id="rId1413" Type="http://schemas.openxmlformats.org/officeDocument/2006/relationships/hyperlink" Target="https://pubmed.ncbi.nlm.nih.gov/33624187/" TargetMode="External"/><Relationship Id="rId2744" Type="http://schemas.openxmlformats.org/officeDocument/2006/relationships/hyperlink" Target="https://pubmed.ncbi.nlm.nih.gov/26977037/" TargetMode="External"/><Relationship Id="rId1414" Type="http://schemas.openxmlformats.org/officeDocument/2006/relationships/hyperlink" Target="https://pubmed.ncbi.nlm.nih.gov/38300466/" TargetMode="External"/><Relationship Id="rId2745" Type="http://schemas.openxmlformats.org/officeDocument/2006/relationships/hyperlink" Target="https://pubmed.ncbi.nlm.nih.gov/25500072/" TargetMode="External"/><Relationship Id="rId1415" Type="http://schemas.openxmlformats.org/officeDocument/2006/relationships/hyperlink" Target="https://pubmed.ncbi.nlm.nih.gov/37787959/" TargetMode="External"/><Relationship Id="rId2746" Type="http://schemas.openxmlformats.org/officeDocument/2006/relationships/hyperlink" Target="https://pubmed.ncbi.nlm.nih.gov/26637119/" TargetMode="External"/><Relationship Id="rId1416" Type="http://schemas.openxmlformats.org/officeDocument/2006/relationships/hyperlink" Target="https://pubmed.ncbi.nlm.nih.gov/37488865/" TargetMode="External"/><Relationship Id="rId2747" Type="http://schemas.openxmlformats.org/officeDocument/2006/relationships/hyperlink" Target="https://pubmed.ncbi.nlm.nih.gov/25207360/" TargetMode="External"/><Relationship Id="rId1417" Type="http://schemas.openxmlformats.org/officeDocument/2006/relationships/hyperlink" Target="https://pubmed.ncbi.nlm.nih.gov/37061888/" TargetMode="External"/><Relationship Id="rId2748" Type="http://schemas.openxmlformats.org/officeDocument/2006/relationships/hyperlink" Target="https://pubmed.ncbi.nlm.nih.gov/22367726/" TargetMode="External"/><Relationship Id="rId1418" Type="http://schemas.openxmlformats.org/officeDocument/2006/relationships/hyperlink" Target="https://pubmed.ncbi.nlm.nih.gov/36926726/" TargetMode="External"/><Relationship Id="rId2749" Type="http://schemas.openxmlformats.org/officeDocument/2006/relationships/hyperlink" Target="https://pubmed.ncbi.nlm.nih.gov/20948235/" TargetMode="External"/><Relationship Id="rId1419" Type="http://schemas.openxmlformats.org/officeDocument/2006/relationships/hyperlink" Target="https://pubmed.ncbi.nlm.nih.gov/36658478/" TargetMode="External"/><Relationship Id="rId2740" Type="http://schemas.openxmlformats.org/officeDocument/2006/relationships/hyperlink" Target="https://pubmed.ncbi.nlm.nih.gov/29374749/" TargetMode="External"/><Relationship Id="rId1410" Type="http://schemas.openxmlformats.org/officeDocument/2006/relationships/hyperlink" Target="https://pubmed.ncbi.nlm.nih.gov/34292450/" TargetMode="External"/><Relationship Id="rId2741" Type="http://schemas.openxmlformats.org/officeDocument/2006/relationships/hyperlink" Target="https://pubmed.ncbi.nlm.nih.gov/29374749/" TargetMode="External"/><Relationship Id="rId1400" Type="http://schemas.openxmlformats.org/officeDocument/2006/relationships/hyperlink" Target="https://pubmed.ncbi.nlm.nih.gov/34381880/" TargetMode="External"/><Relationship Id="rId2731" Type="http://schemas.openxmlformats.org/officeDocument/2006/relationships/hyperlink" Target="http://www.ncbi.nlm.nih.gov/pubmed/17457844" TargetMode="External"/><Relationship Id="rId1401" Type="http://schemas.openxmlformats.org/officeDocument/2006/relationships/hyperlink" Target="https://pubmed.ncbi.nlm.nih.gov/33714216/" TargetMode="External"/><Relationship Id="rId2732" Type="http://schemas.openxmlformats.org/officeDocument/2006/relationships/hyperlink" Target="https://pubmed.ncbi.nlm.nih.gov/37899933/" TargetMode="External"/><Relationship Id="rId1402" Type="http://schemas.openxmlformats.org/officeDocument/2006/relationships/hyperlink" Target="https://pubmed.ncbi.nlm.nih.gov/36348256/" TargetMode="External"/><Relationship Id="rId2733" Type="http://schemas.openxmlformats.org/officeDocument/2006/relationships/hyperlink" Target="https://pubmed.ncbi.nlm.nih.gov/35347429/" TargetMode="External"/><Relationship Id="rId1403" Type="http://schemas.openxmlformats.org/officeDocument/2006/relationships/hyperlink" Target="https://pubmed.ncbi.nlm.nih.gov/35503388/" TargetMode="External"/><Relationship Id="rId2734" Type="http://schemas.openxmlformats.org/officeDocument/2006/relationships/hyperlink" Target="https://pubmed.ncbi.nlm.nih.gov/30544646/" TargetMode="External"/><Relationship Id="rId1404" Type="http://schemas.openxmlformats.org/officeDocument/2006/relationships/hyperlink" Target="https://pubmed.ncbi.nlm.nih.gov/33210186/" TargetMode="External"/><Relationship Id="rId2735" Type="http://schemas.openxmlformats.org/officeDocument/2006/relationships/hyperlink" Target="https://pubmed.ncbi.nlm.nih.gov/38636876/" TargetMode="External"/><Relationship Id="rId1405" Type="http://schemas.openxmlformats.org/officeDocument/2006/relationships/hyperlink" Target="https://pubmed.ncbi.nlm.nih.gov/32896420/" TargetMode="External"/><Relationship Id="rId2736" Type="http://schemas.openxmlformats.org/officeDocument/2006/relationships/hyperlink" Target="https://academic.oup.com/rheumap/advance-article/doi/10.1093/rap/rkad071/7245868?login=false" TargetMode="External"/><Relationship Id="rId1406" Type="http://schemas.openxmlformats.org/officeDocument/2006/relationships/hyperlink" Target="https://pubmed.ncbi.nlm.nih.gov/23737818/" TargetMode="External"/><Relationship Id="rId2737" Type="http://schemas.openxmlformats.org/officeDocument/2006/relationships/hyperlink" Target="https://pubmed.ncbi.nlm.nih.gov/37976630/" TargetMode="External"/><Relationship Id="rId1407" Type="http://schemas.openxmlformats.org/officeDocument/2006/relationships/hyperlink" Target="https://www.ncbi.nlm.nih.gov/pubmed/23936823" TargetMode="External"/><Relationship Id="rId2738" Type="http://schemas.openxmlformats.org/officeDocument/2006/relationships/hyperlink" Target="https://pubmed.ncbi.nlm.nih.gov/34810207/" TargetMode="External"/><Relationship Id="rId1408" Type="http://schemas.openxmlformats.org/officeDocument/2006/relationships/hyperlink" Target="https://pubmed.ncbi.nlm.nih.gov/38109199/" TargetMode="External"/><Relationship Id="rId2739" Type="http://schemas.openxmlformats.org/officeDocument/2006/relationships/hyperlink" Target="https://pubmed.ncbi.nlm.nih.gov/31892604/" TargetMode="External"/><Relationship Id="rId1409" Type="http://schemas.openxmlformats.org/officeDocument/2006/relationships/hyperlink" Target="https://pubmed.ncbi.nlm.nih.gov/34264765/" TargetMode="External"/><Relationship Id="rId2730" Type="http://schemas.openxmlformats.org/officeDocument/2006/relationships/hyperlink" Target="https://pubmed.ncbi.nlm.nih.gov/37981584/" TargetMode="External"/><Relationship Id="rId1433" Type="http://schemas.openxmlformats.org/officeDocument/2006/relationships/hyperlink" Target="https://pubmed.ncbi.nlm.nih.gov/32552352/" TargetMode="External"/><Relationship Id="rId2764" Type="http://schemas.openxmlformats.org/officeDocument/2006/relationships/hyperlink" Target="https://pubmed.ncbi.nlm.nih.gov/32858873/" TargetMode="External"/><Relationship Id="rId1434" Type="http://schemas.openxmlformats.org/officeDocument/2006/relationships/hyperlink" Target="https://pubmed.ncbi.nlm.nih.gov/30603462/" TargetMode="External"/><Relationship Id="rId2765" Type="http://schemas.openxmlformats.org/officeDocument/2006/relationships/hyperlink" Target="https://pubmed.ncbi.nlm.nih.gov/31249320/" TargetMode="External"/><Relationship Id="rId1435" Type="http://schemas.openxmlformats.org/officeDocument/2006/relationships/hyperlink" Target="https://pubmed.ncbi.nlm.nih.gov/38136103/" TargetMode="External"/><Relationship Id="rId2766" Type="http://schemas.openxmlformats.org/officeDocument/2006/relationships/hyperlink" Target="https://pubmed.ncbi.nlm.nih.gov/34500538/" TargetMode="External"/><Relationship Id="rId1436" Type="http://schemas.openxmlformats.org/officeDocument/2006/relationships/hyperlink" Target="https://pubmed.ncbi.nlm.nih.gov/35188978/" TargetMode="External"/><Relationship Id="rId2767" Type="http://schemas.openxmlformats.org/officeDocument/2006/relationships/hyperlink" Target="https://pubmed.ncbi.nlm.nih.gov/37992737/" TargetMode="External"/><Relationship Id="rId1437" Type="http://schemas.openxmlformats.org/officeDocument/2006/relationships/hyperlink" Target="https://pubmed.ncbi.nlm.nih.gov/36526802/" TargetMode="External"/><Relationship Id="rId2768" Type="http://schemas.openxmlformats.org/officeDocument/2006/relationships/hyperlink" Target="https://pubmed.ncbi.nlm.nih.gov/37228007/" TargetMode="External"/><Relationship Id="rId1438" Type="http://schemas.openxmlformats.org/officeDocument/2006/relationships/hyperlink" Target="https://pubmed.ncbi.nlm.nih.gov/32460667/" TargetMode="External"/><Relationship Id="rId2769" Type="http://schemas.openxmlformats.org/officeDocument/2006/relationships/hyperlink" Target="https://pubmed.ncbi.nlm.nih.gov/38852137/" TargetMode="External"/><Relationship Id="rId1439" Type="http://schemas.openxmlformats.org/officeDocument/2006/relationships/hyperlink" Target="https://pubmed.ncbi.nlm.nih.gov/35312857/" TargetMode="External"/><Relationship Id="rId609" Type="http://schemas.openxmlformats.org/officeDocument/2006/relationships/hyperlink" Target="https://pubmed.ncbi.nlm.nih.gov/38018017/" TargetMode="External"/><Relationship Id="rId608" Type="http://schemas.openxmlformats.org/officeDocument/2006/relationships/hyperlink" Target="https://pubmed.ncbi.nlm.nih.gov/32278532/" TargetMode="External"/><Relationship Id="rId607" Type="http://schemas.openxmlformats.org/officeDocument/2006/relationships/hyperlink" Target="https://pubmed.ncbi.nlm.nih.gov/36189834/" TargetMode="External"/><Relationship Id="rId602" Type="http://schemas.openxmlformats.org/officeDocument/2006/relationships/hyperlink" Target="https://pubmed.ncbi.nlm.nih.gov/37431693/" TargetMode="External"/><Relationship Id="rId601" Type="http://schemas.openxmlformats.org/officeDocument/2006/relationships/hyperlink" Target="https://pubmed.ncbi.nlm.nih.gov/32647934/" TargetMode="External"/><Relationship Id="rId600" Type="http://schemas.openxmlformats.org/officeDocument/2006/relationships/hyperlink" Target="https://pubmed.ncbi.nlm.nih.gov/10149452/" TargetMode="External"/><Relationship Id="rId606" Type="http://schemas.openxmlformats.org/officeDocument/2006/relationships/hyperlink" Target="https://pubmed.ncbi.nlm.nih.gov/37159405/" TargetMode="External"/><Relationship Id="rId605" Type="http://schemas.openxmlformats.org/officeDocument/2006/relationships/hyperlink" Target="https://www.sciencedirect.com/science/article/abs/pii/S1615161506000548" TargetMode="External"/><Relationship Id="rId604" Type="http://schemas.openxmlformats.org/officeDocument/2006/relationships/hyperlink" Target="https://pubmed.ncbi.nlm.nih.gov/34529859/" TargetMode="External"/><Relationship Id="rId603" Type="http://schemas.openxmlformats.org/officeDocument/2006/relationships/hyperlink" Target="https://pubmed.ncbi.nlm.nih.gov/38532146/" TargetMode="External"/><Relationship Id="rId2760" Type="http://schemas.openxmlformats.org/officeDocument/2006/relationships/hyperlink" Target="https://pubmed.ncbi.nlm.nih.gov/28927170/" TargetMode="External"/><Relationship Id="rId1430" Type="http://schemas.openxmlformats.org/officeDocument/2006/relationships/hyperlink" Target="https://pubmed.ncbi.nlm.nih.gov/33791887/" TargetMode="External"/><Relationship Id="rId2761" Type="http://schemas.openxmlformats.org/officeDocument/2006/relationships/hyperlink" Target="https://pubmed.ncbi.nlm.nih.gov/34488088/" TargetMode="External"/><Relationship Id="rId1431" Type="http://schemas.openxmlformats.org/officeDocument/2006/relationships/hyperlink" Target="https://pubmed.ncbi.nlm.nih.gov/32504695/" TargetMode="External"/><Relationship Id="rId2762" Type="http://schemas.openxmlformats.org/officeDocument/2006/relationships/hyperlink" Target="https://pubmed.ncbi.nlm.nih.gov/35462547/" TargetMode="External"/><Relationship Id="rId1432" Type="http://schemas.openxmlformats.org/officeDocument/2006/relationships/hyperlink" Target="https://pubmed.ncbi.nlm.nih.gov/32583437/" TargetMode="External"/><Relationship Id="rId2763" Type="http://schemas.openxmlformats.org/officeDocument/2006/relationships/hyperlink" Target="https://pubmed.ncbi.nlm.nih.gov/36460719/" TargetMode="External"/><Relationship Id="rId1422" Type="http://schemas.openxmlformats.org/officeDocument/2006/relationships/hyperlink" Target="https://pubmed.ncbi.nlm.nih.gov/36172183/" TargetMode="External"/><Relationship Id="rId2753" Type="http://schemas.openxmlformats.org/officeDocument/2006/relationships/hyperlink" Target="https://pubmed.ncbi.nlm.nih.gov/17207891/" TargetMode="External"/><Relationship Id="rId1423" Type="http://schemas.openxmlformats.org/officeDocument/2006/relationships/hyperlink" Target="https://pubmed.ncbi.nlm.nih.gov/35867119/" TargetMode="External"/><Relationship Id="rId2754" Type="http://schemas.openxmlformats.org/officeDocument/2006/relationships/hyperlink" Target="https://pubmed.ncbi.nlm.nih.gov/17395256/" TargetMode="External"/><Relationship Id="rId1424" Type="http://schemas.openxmlformats.org/officeDocument/2006/relationships/hyperlink" Target="https://pubmed.ncbi.nlm.nih.gov/35816215/" TargetMode="External"/><Relationship Id="rId2755" Type="http://schemas.openxmlformats.org/officeDocument/2006/relationships/hyperlink" Target="https://pubmed.ncbi.nlm.nih.gov/16886679/" TargetMode="External"/><Relationship Id="rId1425" Type="http://schemas.openxmlformats.org/officeDocument/2006/relationships/hyperlink" Target="https://pubmed.ncbi.nlm.nih.gov/35484784/" TargetMode="External"/><Relationship Id="rId2756" Type="http://schemas.openxmlformats.org/officeDocument/2006/relationships/hyperlink" Target="https://pubmed.ncbi.nlm.nih.gov/36795998/" TargetMode="External"/><Relationship Id="rId1426" Type="http://schemas.openxmlformats.org/officeDocument/2006/relationships/hyperlink" Target="https://pubmed.ncbi.nlm.nih.gov/35371065/" TargetMode="External"/><Relationship Id="rId2757" Type="http://schemas.openxmlformats.org/officeDocument/2006/relationships/hyperlink" Target="https://pubmed.ncbi.nlm.nih.gov/32106744/" TargetMode="External"/><Relationship Id="rId1427" Type="http://schemas.openxmlformats.org/officeDocument/2006/relationships/hyperlink" Target="https://pubmed.ncbi.nlm.nih.gov/34795557/" TargetMode="External"/><Relationship Id="rId2758" Type="http://schemas.openxmlformats.org/officeDocument/2006/relationships/hyperlink" Target="https://pubmed.ncbi.nlm.nih.gov/31747863/" TargetMode="External"/><Relationship Id="rId1428" Type="http://schemas.openxmlformats.org/officeDocument/2006/relationships/hyperlink" Target="https://pubmed.ncbi.nlm.nih.gov/34343596/" TargetMode="External"/><Relationship Id="rId2759" Type="http://schemas.openxmlformats.org/officeDocument/2006/relationships/hyperlink" Target="https://pubmed.ncbi.nlm.nih.gov/28646688/" TargetMode="External"/><Relationship Id="rId1429" Type="http://schemas.openxmlformats.org/officeDocument/2006/relationships/hyperlink" Target="https://pubmed.ncbi.nlm.nih.gov/34740378/" TargetMode="External"/><Relationship Id="rId2750" Type="http://schemas.openxmlformats.org/officeDocument/2006/relationships/hyperlink" Target="https://pubmed.ncbi.nlm.nih.gov/20171531/" TargetMode="External"/><Relationship Id="rId1420" Type="http://schemas.openxmlformats.org/officeDocument/2006/relationships/hyperlink" Target="https://pubmed.ncbi.nlm.nih.gov/36751806/" TargetMode="External"/><Relationship Id="rId2751" Type="http://schemas.openxmlformats.org/officeDocument/2006/relationships/hyperlink" Target="https://pubmed.ncbi.nlm.nih.gov/18422861/" TargetMode="External"/><Relationship Id="rId1421" Type="http://schemas.openxmlformats.org/officeDocument/2006/relationships/hyperlink" Target="https://pubmed.ncbi.nlm.nih.gov/37206245/" TargetMode="External"/><Relationship Id="rId2752" Type="http://schemas.openxmlformats.org/officeDocument/2006/relationships/hyperlink" Target="https://pubmed.ncbi.nlm.nih.gov/18079336/" TargetMode="External"/><Relationship Id="rId699" Type="http://schemas.openxmlformats.org/officeDocument/2006/relationships/hyperlink" Target="https://pubmed.ncbi.nlm.nih.gov/33011859/" TargetMode="External"/><Relationship Id="rId698" Type="http://schemas.openxmlformats.org/officeDocument/2006/relationships/hyperlink" Target="https://onlinelibrary.wiley.com/doi/10.1002/tbio.201900025" TargetMode="External"/><Relationship Id="rId693" Type="http://schemas.openxmlformats.org/officeDocument/2006/relationships/hyperlink" Target="https://pubmed.ncbi.nlm.nih.gov/35181944/" TargetMode="External"/><Relationship Id="rId692" Type="http://schemas.openxmlformats.org/officeDocument/2006/relationships/hyperlink" Target="https://pubmed.ncbi.nlm.nih.gov/38921009/" TargetMode="External"/><Relationship Id="rId691" Type="http://schemas.openxmlformats.org/officeDocument/2006/relationships/hyperlink" Target="https://pubmed.ncbi.nlm.nih.gov/37241073/" TargetMode="External"/><Relationship Id="rId690" Type="http://schemas.openxmlformats.org/officeDocument/2006/relationships/hyperlink" Target="https://pubmed.ncbi.nlm.nih.gov/38890186/" TargetMode="External"/><Relationship Id="rId697" Type="http://schemas.openxmlformats.org/officeDocument/2006/relationships/hyperlink" Target="https://pubmed.ncbi.nlm.nih.gov/36169440/" TargetMode="External"/><Relationship Id="rId696" Type="http://schemas.openxmlformats.org/officeDocument/2006/relationships/hyperlink" Target="https://pubmed.ncbi.nlm.nih.gov/25039464/" TargetMode="External"/><Relationship Id="rId695" Type="http://schemas.openxmlformats.org/officeDocument/2006/relationships/hyperlink" Target="https://pubmed.ncbi.nlm.nih.gov/32590890/" TargetMode="External"/><Relationship Id="rId694" Type="http://schemas.openxmlformats.org/officeDocument/2006/relationships/hyperlink" Target="https://pubmed.ncbi.nlm.nih.gov/32827076/" TargetMode="External"/><Relationship Id="rId1499" Type="http://schemas.openxmlformats.org/officeDocument/2006/relationships/hyperlink" Target="https://pubmed.ncbi.nlm.nih.gov/33517070/" TargetMode="External"/><Relationship Id="rId668" Type="http://schemas.openxmlformats.org/officeDocument/2006/relationships/hyperlink" Target="https://pubmed.ncbi.nlm.nih.gov/21271200/" TargetMode="External"/><Relationship Id="rId667" Type="http://schemas.openxmlformats.org/officeDocument/2006/relationships/hyperlink" Target="https://pubmed.ncbi.nlm.nih.gov/28392641/" TargetMode="External"/><Relationship Id="rId666" Type="http://schemas.openxmlformats.org/officeDocument/2006/relationships/hyperlink" Target="https://pubmed.ncbi.nlm.nih.gov/33291338/" TargetMode="External"/><Relationship Id="rId665" Type="http://schemas.openxmlformats.org/officeDocument/2006/relationships/hyperlink" Target="https://pubmed.ncbi.nlm.nih.gov/33556618/" TargetMode="External"/><Relationship Id="rId669" Type="http://schemas.openxmlformats.org/officeDocument/2006/relationships/hyperlink" Target="https://pubmed.ncbi.nlm.nih.gov/34566371/" TargetMode="External"/><Relationship Id="rId1490" Type="http://schemas.openxmlformats.org/officeDocument/2006/relationships/hyperlink" Target="https://pubmed.ncbi.nlm.nih.gov/34457388/" TargetMode="External"/><Relationship Id="rId660" Type="http://schemas.openxmlformats.org/officeDocument/2006/relationships/hyperlink" Target="https://pubmed.ncbi.nlm.nih.gov/36045183/" TargetMode="External"/><Relationship Id="rId1491" Type="http://schemas.openxmlformats.org/officeDocument/2006/relationships/hyperlink" Target="https://pubmed.ncbi.nlm.nih.gov/34733740/" TargetMode="External"/><Relationship Id="rId1492" Type="http://schemas.openxmlformats.org/officeDocument/2006/relationships/hyperlink" Target="https://pubmed.ncbi.nlm.nih.gov/32654094/" TargetMode="External"/><Relationship Id="rId1493" Type="http://schemas.openxmlformats.org/officeDocument/2006/relationships/hyperlink" Target="https://iopscience.iop.org/article/10.1088/1555-6611/ac0980" TargetMode="External"/><Relationship Id="rId1494" Type="http://schemas.openxmlformats.org/officeDocument/2006/relationships/hyperlink" Target="https://pubmed.ncbi.nlm.nih.gov/34331605/" TargetMode="External"/><Relationship Id="rId664" Type="http://schemas.openxmlformats.org/officeDocument/2006/relationships/hyperlink" Target="https://pubmed.ncbi.nlm.nih.gov/24966653/" TargetMode="External"/><Relationship Id="rId1495" Type="http://schemas.openxmlformats.org/officeDocument/2006/relationships/hyperlink" Target="https://pubmed.ncbi.nlm.nih.gov/34191208/" TargetMode="External"/><Relationship Id="rId663" Type="http://schemas.openxmlformats.org/officeDocument/2006/relationships/hyperlink" Target="https://pubmed.ncbi.nlm.nih.gov/34786978/" TargetMode="External"/><Relationship Id="rId1496" Type="http://schemas.openxmlformats.org/officeDocument/2006/relationships/hyperlink" Target="https://pubmed.ncbi.nlm.nih.gov/34182186/" TargetMode="External"/><Relationship Id="rId662" Type="http://schemas.openxmlformats.org/officeDocument/2006/relationships/hyperlink" Target="https://pubmed.ncbi.nlm.nih.gov/33788987/" TargetMode="External"/><Relationship Id="rId1497" Type="http://schemas.openxmlformats.org/officeDocument/2006/relationships/hyperlink" Target="https://pubmed.ncbi.nlm.nih.gov/34181781/" TargetMode="External"/><Relationship Id="rId661" Type="http://schemas.openxmlformats.org/officeDocument/2006/relationships/hyperlink" Target="https://pubmed.ncbi.nlm.nih.gov/35167583/" TargetMode="External"/><Relationship Id="rId1498" Type="http://schemas.openxmlformats.org/officeDocument/2006/relationships/hyperlink" Target="https://pubmed.ncbi.nlm.nih.gov/33788732/" TargetMode="External"/><Relationship Id="rId1488" Type="http://schemas.openxmlformats.org/officeDocument/2006/relationships/hyperlink" Target="https://pubmed.ncbi.nlm.nih.gov/34829946/" TargetMode="External"/><Relationship Id="rId1489" Type="http://schemas.openxmlformats.org/officeDocument/2006/relationships/hyperlink" Target="https://pubmed.ncbi.nlm.nih.gov/35155170/" TargetMode="External"/><Relationship Id="rId657" Type="http://schemas.openxmlformats.org/officeDocument/2006/relationships/hyperlink" Target="https://pubmed.ncbi.nlm.nih.gov/28884800/" TargetMode="External"/><Relationship Id="rId656" Type="http://schemas.openxmlformats.org/officeDocument/2006/relationships/hyperlink" Target="https://pubmed.ncbi.nlm.nih.gov/30564333/" TargetMode="External"/><Relationship Id="rId655" Type="http://schemas.openxmlformats.org/officeDocument/2006/relationships/hyperlink" Target="https://pubmed.ncbi.nlm.nih.gov/31992343/" TargetMode="External"/><Relationship Id="rId654" Type="http://schemas.openxmlformats.org/officeDocument/2006/relationships/hyperlink" Target="https://pubmed.ncbi.nlm.nih.gov/34840644/" TargetMode="External"/><Relationship Id="rId659" Type="http://schemas.openxmlformats.org/officeDocument/2006/relationships/hyperlink" Target="https://pubmed.ncbi.nlm.nih.gov/36310679/" TargetMode="External"/><Relationship Id="rId658" Type="http://schemas.openxmlformats.org/officeDocument/2006/relationships/hyperlink" Target="https://pubmed.ncbi.nlm.nih.gov/38189223/" TargetMode="External"/><Relationship Id="rId1480" Type="http://schemas.openxmlformats.org/officeDocument/2006/relationships/hyperlink" Target="https://pubmed.ncbi.nlm.nih.gov/37408275/" TargetMode="External"/><Relationship Id="rId1481" Type="http://schemas.openxmlformats.org/officeDocument/2006/relationships/hyperlink" Target="https://pubmed.ncbi.nlm.nih.gov/37071386/" TargetMode="External"/><Relationship Id="rId1482" Type="http://schemas.openxmlformats.org/officeDocument/2006/relationships/hyperlink" Target="https://pubmed.ncbi.nlm.nih.gov/36790539/" TargetMode="External"/><Relationship Id="rId1483" Type="http://schemas.openxmlformats.org/officeDocument/2006/relationships/hyperlink" Target="https://pubmed.ncbi.nlm.nih.gov/36115314/" TargetMode="External"/><Relationship Id="rId653" Type="http://schemas.openxmlformats.org/officeDocument/2006/relationships/hyperlink" Target="https://pubmed.ncbi.nlm.nih.gov/36035005/" TargetMode="External"/><Relationship Id="rId1484" Type="http://schemas.openxmlformats.org/officeDocument/2006/relationships/hyperlink" Target="https://pubmed.ncbi.nlm.nih.gov/35727394/" TargetMode="External"/><Relationship Id="rId652" Type="http://schemas.openxmlformats.org/officeDocument/2006/relationships/hyperlink" Target="https://pubmed.ncbi.nlm.nih.gov/36825933/" TargetMode="External"/><Relationship Id="rId1485" Type="http://schemas.openxmlformats.org/officeDocument/2006/relationships/hyperlink" Target="https://pubmed.ncbi.nlm.nih.gov/35835442/" TargetMode="External"/><Relationship Id="rId651" Type="http://schemas.openxmlformats.org/officeDocument/2006/relationships/hyperlink" Target="https://www.sciencedirect.com/science/article/pii/B9780815515722500178" TargetMode="External"/><Relationship Id="rId1486" Type="http://schemas.openxmlformats.org/officeDocument/2006/relationships/hyperlink" Target="https://pubmed.ncbi.nlm.nih.gov/35394552/" TargetMode="External"/><Relationship Id="rId650" Type="http://schemas.openxmlformats.org/officeDocument/2006/relationships/hyperlink" Target="https://pubmed.ncbi.nlm.nih.gov/24160276/" TargetMode="External"/><Relationship Id="rId1487" Type="http://schemas.openxmlformats.org/officeDocument/2006/relationships/hyperlink" Target="https://pubmed.ncbi.nlm.nih.gov/35092026/" TargetMode="External"/><Relationship Id="rId689" Type="http://schemas.openxmlformats.org/officeDocument/2006/relationships/hyperlink" Target="https://pubmed.ncbi.nlm.nih.gov/15909229/" TargetMode="External"/><Relationship Id="rId688" Type="http://schemas.openxmlformats.org/officeDocument/2006/relationships/hyperlink" Target="https://www.jstage.jst.go.jp/article/islsm/16/3/16_3_137/_article/-char/ja/" TargetMode="External"/><Relationship Id="rId687" Type="http://schemas.openxmlformats.org/officeDocument/2006/relationships/hyperlink" Target="https://pubmed.ncbi.nlm.nih.gov/19335487/" TargetMode="External"/><Relationship Id="rId682" Type="http://schemas.openxmlformats.org/officeDocument/2006/relationships/hyperlink" Target="https://pubmed.ncbi.nlm.nih.gov/32649063/" TargetMode="External"/><Relationship Id="rId681" Type="http://schemas.openxmlformats.org/officeDocument/2006/relationships/hyperlink" Target="https://pubmed.ncbi.nlm.nih.gov/32716115/" TargetMode="External"/><Relationship Id="rId680" Type="http://schemas.openxmlformats.org/officeDocument/2006/relationships/hyperlink" Target="https://pubmed.ncbi.nlm.nih.gov/32949447/" TargetMode="External"/><Relationship Id="rId686" Type="http://schemas.openxmlformats.org/officeDocument/2006/relationships/hyperlink" Target="https://www.scirp.org/html/2-1050030_8844.htm" TargetMode="External"/><Relationship Id="rId685" Type="http://schemas.openxmlformats.org/officeDocument/2006/relationships/hyperlink" Target="https://pubmed.ncbi.nlm.nih.gov/27910259/" TargetMode="External"/><Relationship Id="rId684" Type="http://schemas.openxmlformats.org/officeDocument/2006/relationships/hyperlink" Target="https://pubmed.ncbi.nlm.nih.gov/28195844/" TargetMode="External"/><Relationship Id="rId683" Type="http://schemas.openxmlformats.org/officeDocument/2006/relationships/hyperlink" Target="https://pubmed.ncbi.nlm.nih.gov/30448939/" TargetMode="External"/><Relationship Id="rId679" Type="http://schemas.openxmlformats.org/officeDocument/2006/relationships/hyperlink" Target="https://pubmed.ncbi.nlm.nih.gov/33594706/" TargetMode="External"/><Relationship Id="rId678" Type="http://schemas.openxmlformats.org/officeDocument/2006/relationships/hyperlink" Target="https://pubmed.ncbi.nlm.nih.gov/33588472/" TargetMode="External"/><Relationship Id="rId677" Type="http://schemas.openxmlformats.org/officeDocument/2006/relationships/hyperlink" Target="https://pubmed.ncbi.nlm.nih.gov/34585779/" TargetMode="External"/><Relationship Id="rId676" Type="http://schemas.openxmlformats.org/officeDocument/2006/relationships/hyperlink" Target="https://pubmed.ncbi.nlm.nih.gov/36780572/" TargetMode="External"/><Relationship Id="rId671" Type="http://schemas.openxmlformats.org/officeDocument/2006/relationships/hyperlink" Target="https://pubmed.ncbi.nlm.nih.gov/38288650/" TargetMode="External"/><Relationship Id="rId670" Type="http://schemas.openxmlformats.org/officeDocument/2006/relationships/hyperlink" Target="https://pubmed.ncbi.nlm.nih.gov/38817003/" TargetMode="External"/><Relationship Id="rId675" Type="http://schemas.openxmlformats.org/officeDocument/2006/relationships/hyperlink" Target="https://pubmed.ncbi.nlm.nih.gov/36749255/" TargetMode="External"/><Relationship Id="rId674" Type="http://schemas.openxmlformats.org/officeDocument/2006/relationships/hyperlink" Target="https://pubmed.ncbi.nlm.nih.gov/37418018/" TargetMode="External"/><Relationship Id="rId673" Type="http://schemas.openxmlformats.org/officeDocument/2006/relationships/hyperlink" Target="https://pubmed.ncbi.nlm.nih.gov/37522497/" TargetMode="External"/><Relationship Id="rId672" Type="http://schemas.openxmlformats.org/officeDocument/2006/relationships/hyperlink" Target="https://pubmed.ncbi.nlm.nih.gov/38236440/" TargetMode="External"/><Relationship Id="rId190" Type="http://schemas.openxmlformats.org/officeDocument/2006/relationships/hyperlink" Target="https://pubmed.ncbi.nlm.nih.gov/37552913/" TargetMode="External"/><Relationship Id="rId194" Type="http://schemas.openxmlformats.org/officeDocument/2006/relationships/hyperlink" Target="https://pubmed.ncbi.nlm.nih.gov/35626932/" TargetMode="External"/><Relationship Id="rId193" Type="http://schemas.openxmlformats.org/officeDocument/2006/relationships/hyperlink" Target="https://pubmed.ncbi.nlm.nih.gov/35613405/" TargetMode="External"/><Relationship Id="rId192" Type="http://schemas.openxmlformats.org/officeDocument/2006/relationships/hyperlink" Target="https://pubmed.ncbi.nlm.nih.gov/36412693/" TargetMode="External"/><Relationship Id="rId191" Type="http://schemas.openxmlformats.org/officeDocument/2006/relationships/hyperlink" Target="https://pubmed.ncbi.nlm.nih.gov/36555737/" TargetMode="External"/><Relationship Id="rId187" Type="http://schemas.openxmlformats.org/officeDocument/2006/relationships/hyperlink" Target="https://pubmed.ncbi.nlm.nih.gov/37069238/" TargetMode="External"/><Relationship Id="rId186" Type="http://schemas.openxmlformats.org/officeDocument/2006/relationships/hyperlink" Target="https://pubmed.ncbi.nlm.nih.gov/37282451/" TargetMode="External"/><Relationship Id="rId185" Type="http://schemas.openxmlformats.org/officeDocument/2006/relationships/hyperlink" Target="https://pubmed.ncbi.nlm.nih.gov/33287687/" TargetMode="External"/><Relationship Id="rId184" Type="http://schemas.openxmlformats.org/officeDocument/2006/relationships/hyperlink" Target="https://pubmed.ncbi.nlm.nih.gov/37301483/" TargetMode="External"/><Relationship Id="rId189" Type="http://schemas.openxmlformats.org/officeDocument/2006/relationships/hyperlink" Target="https://pubmed.ncbi.nlm.nih.gov/38737349/" TargetMode="External"/><Relationship Id="rId188" Type="http://schemas.openxmlformats.org/officeDocument/2006/relationships/hyperlink" Target="https://pubmed.ncbi.nlm.nih.gov/38327034/" TargetMode="External"/><Relationship Id="rId183" Type="http://schemas.openxmlformats.org/officeDocument/2006/relationships/hyperlink" Target="https://www.ncbi.nlm.nih.gov/pubmed/32390621" TargetMode="External"/><Relationship Id="rId182" Type="http://schemas.openxmlformats.org/officeDocument/2006/relationships/hyperlink" Target="https://pubmed.ncbi.nlm.nih.gov/32420298/" TargetMode="External"/><Relationship Id="rId181" Type="http://schemas.openxmlformats.org/officeDocument/2006/relationships/hyperlink" Target="https://www.mdpi.com/2079-9292/9/6/1056/htm" TargetMode="External"/><Relationship Id="rId180" Type="http://schemas.openxmlformats.org/officeDocument/2006/relationships/hyperlink" Target="https://pubmed.ncbi.nlm.nih.gov/32528273/" TargetMode="External"/><Relationship Id="rId176" Type="http://schemas.openxmlformats.org/officeDocument/2006/relationships/hyperlink" Target="https://pubmed.ncbi.nlm.nih.gov/33336891/" TargetMode="External"/><Relationship Id="rId175" Type="http://schemas.openxmlformats.org/officeDocument/2006/relationships/hyperlink" Target="https://pubmed.ncbi.nlm.nih.gov/33469351/" TargetMode="External"/><Relationship Id="rId174" Type="http://schemas.openxmlformats.org/officeDocument/2006/relationships/hyperlink" Target="http://www.aginganddisease.org/EN/10.14336/AD.2021.0229?fbclid=IwAR2j20r6eLxeE1xGUQpSa-0fzv6f2PGIwX-8BtV6kT7J43AgDdz62kHixXY" TargetMode="External"/><Relationship Id="rId173" Type="http://schemas.openxmlformats.org/officeDocument/2006/relationships/hyperlink" Target="https://pubmed.ncbi.nlm.nih.gov/34092636/" TargetMode="External"/><Relationship Id="rId179" Type="http://schemas.openxmlformats.org/officeDocument/2006/relationships/hyperlink" Target="https://pubmed.ncbi.nlm.nih.gov/33164935/" TargetMode="External"/><Relationship Id="rId178" Type="http://schemas.openxmlformats.org/officeDocument/2006/relationships/hyperlink" Target="https://pubmed.ncbi.nlm.nih.gov/33995964/" TargetMode="External"/><Relationship Id="rId177" Type="http://schemas.openxmlformats.org/officeDocument/2006/relationships/hyperlink" Target="https://pubmed.ncbi.nlm.nih.gov/33610085/" TargetMode="External"/><Relationship Id="rId198" Type="http://schemas.openxmlformats.org/officeDocument/2006/relationships/hyperlink" Target="https://pubmed.ncbi.nlm.nih.gov/36839889/" TargetMode="External"/><Relationship Id="rId197" Type="http://schemas.openxmlformats.org/officeDocument/2006/relationships/hyperlink" Target="https://pubmed.ncbi.nlm.nih.gov/33525934/" TargetMode="External"/><Relationship Id="rId196" Type="http://schemas.openxmlformats.org/officeDocument/2006/relationships/hyperlink" Target="https://pubmed.ncbi.nlm.nih.gov/38027522/" TargetMode="External"/><Relationship Id="rId195" Type="http://schemas.openxmlformats.org/officeDocument/2006/relationships/hyperlink" Target="https://pubmed.ncbi.nlm.nih.gov/34941429/" TargetMode="External"/><Relationship Id="rId199" Type="http://schemas.openxmlformats.org/officeDocument/2006/relationships/hyperlink" Target="https://pubmed.ncbi.nlm.nih.gov/35003851/" TargetMode="External"/><Relationship Id="rId150" Type="http://schemas.openxmlformats.org/officeDocument/2006/relationships/hyperlink" Target="https://pubmed.ncbi.nlm.nih.gov/36217178/" TargetMode="External"/><Relationship Id="rId149" Type="http://schemas.openxmlformats.org/officeDocument/2006/relationships/hyperlink" Target="https://pubmed.ncbi.nlm.nih.gov/36236654/" TargetMode="External"/><Relationship Id="rId148" Type="http://schemas.openxmlformats.org/officeDocument/2006/relationships/hyperlink" Target="https://pubmed.ncbi.nlm.nih.gov/36232336/" TargetMode="External"/><Relationship Id="rId143" Type="http://schemas.openxmlformats.org/officeDocument/2006/relationships/hyperlink" Target="https://pubmed.ncbi.nlm.nih.gov/36633696/" TargetMode="External"/><Relationship Id="rId142" Type="http://schemas.openxmlformats.org/officeDocument/2006/relationships/hyperlink" Target="https://pubmed.ncbi.nlm.nih.gov/36373323/" TargetMode="External"/><Relationship Id="rId141" Type="http://schemas.openxmlformats.org/officeDocument/2006/relationships/hyperlink" Target="https://pubmed.ncbi.nlm.nih.gov/36986776/" TargetMode="External"/><Relationship Id="rId140" Type="http://schemas.openxmlformats.org/officeDocument/2006/relationships/hyperlink" Target="https://pubmed.ncbi.nlm.nih.gov/36967820/" TargetMode="External"/><Relationship Id="rId147" Type="http://schemas.openxmlformats.org/officeDocument/2006/relationships/hyperlink" Target="https://pubmed.ncbi.nlm.nih.gov/36590474/" TargetMode="External"/><Relationship Id="rId146" Type="http://schemas.openxmlformats.org/officeDocument/2006/relationships/hyperlink" Target="https://pubmed.ncbi.nlm.nih.gov/36291206/" TargetMode="External"/><Relationship Id="rId145" Type="http://schemas.openxmlformats.org/officeDocument/2006/relationships/hyperlink" Target="https://pubmed.ncbi.nlm.nih.gov/36447479/" TargetMode="External"/><Relationship Id="rId144" Type="http://schemas.openxmlformats.org/officeDocument/2006/relationships/hyperlink" Target="https://pubmed.ncbi.nlm.nih.gov/36371017/" TargetMode="External"/><Relationship Id="rId139" Type="http://schemas.openxmlformats.org/officeDocument/2006/relationships/hyperlink" Target="https://pubmed.ncbi.nlm.nih.gov/36926713/" TargetMode="External"/><Relationship Id="rId138" Type="http://schemas.openxmlformats.org/officeDocument/2006/relationships/hyperlink" Target="https://pubmed.ncbi.nlm.nih.gov/37074708/" TargetMode="External"/><Relationship Id="rId137" Type="http://schemas.openxmlformats.org/officeDocument/2006/relationships/hyperlink" Target="https://pubmed.ncbi.nlm.nih.gov/37478089/" TargetMode="External"/><Relationship Id="rId132" Type="http://schemas.openxmlformats.org/officeDocument/2006/relationships/hyperlink" Target="https://pubmed.ncbi.nlm.nih.gov/37843594/" TargetMode="External"/><Relationship Id="rId131" Type="http://schemas.openxmlformats.org/officeDocument/2006/relationships/hyperlink" Target="https://pubmed.ncbi.nlm.nih.gov/37963979/" TargetMode="External"/><Relationship Id="rId130" Type="http://schemas.openxmlformats.org/officeDocument/2006/relationships/hyperlink" Target="https://pubmed.ncbi.nlm.nih.gov/38029664/" TargetMode="External"/><Relationship Id="rId136" Type="http://schemas.openxmlformats.org/officeDocument/2006/relationships/hyperlink" Target="https://pubmed.ncbi.nlm.nih.gov/37446135/" TargetMode="External"/><Relationship Id="rId135" Type="http://schemas.openxmlformats.org/officeDocument/2006/relationships/hyperlink" Target="https://pubmed.ncbi.nlm.nih.gov/37298224/" TargetMode="External"/><Relationship Id="rId134" Type="http://schemas.openxmlformats.org/officeDocument/2006/relationships/hyperlink" Target="https://pubmed.ncbi.nlm.nih.gov/37702115/" TargetMode="External"/><Relationship Id="rId133" Type="http://schemas.openxmlformats.org/officeDocument/2006/relationships/hyperlink" Target="https://pubmed.ncbi.nlm.nih.gov/37721564/" TargetMode="External"/><Relationship Id="rId172" Type="http://schemas.openxmlformats.org/officeDocument/2006/relationships/hyperlink" Target="https://pubmed.ncbi.nlm.nih.gov/33935090/" TargetMode="External"/><Relationship Id="rId171" Type="http://schemas.openxmlformats.org/officeDocument/2006/relationships/hyperlink" Target="https://pubmed.ncbi.nlm.nih.gov/33966195/" TargetMode="External"/><Relationship Id="rId170" Type="http://schemas.openxmlformats.org/officeDocument/2006/relationships/hyperlink" Target="https://pubmed.ncbi.nlm.nih.gov/34943796/" TargetMode="External"/><Relationship Id="rId165" Type="http://schemas.openxmlformats.org/officeDocument/2006/relationships/hyperlink" Target="https://pubmed.ncbi.nlm.nih.gov/34493703/" TargetMode="External"/><Relationship Id="rId164" Type="http://schemas.openxmlformats.org/officeDocument/2006/relationships/hyperlink" Target="https://iopscience.iop.org/article/10.1088/1361-6463/ac0740" TargetMode="External"/><Relationship Id="rId163" Type="http://schemas.openxmlformats.org/officeDocument/2006/relationships/hyperlink" Target="https://pubmed.ncbi.nlm.nih.gov/34971214/" TargetMode="External"/><Relationship Id="rId162" Type="http://schemas.openxmlformats.org/officeDocument/2006/relationships/hyperlink" Target="https://pubmed.ncbi.nlm.nih.gov/34971220/" TargetMode="External"/><Relationship Id="rId169" Type="http://schemas.openxmlformats.org/officeDocument/2006/relationships/hyperlink" Target="https://iopscience.iop.org/article/10.1088/1361-6463/ac0740/meta" TargetMode="External"/><Relationship Id="rId168" Type="http://schemas.openxmlformats.org/officeDocument/2006/relationships/hyperlink" Target="https://pubmed.ncbi.nlm.nih.gov/34116709/" TargetMode="External"/><Relationship Id="rId167" Type="http://schemas.openxmlformats.org/officeDocument/2006/relationships/hyperlink" Target="https://pubmed.ncbi.nlm.nih.gov/34262831/" TargetMode="External"/><Relationship Id="rId166" Type="http://schemas.openxmlformats.org/officeDocument/2006/relationships/hyperlink" Target="https://pubmed.ncbi.nlm.nih.gov/34459408/" TargetMode="External"/><Relationship Id="rId161" Type="http://schemas.openxmlformats.org/officeDocument/2006/relationships/hyperlink" Target="https://pubmed.ncbi.nlm.nih.gov/35265207/" TargetMode="External"/><Relationship Id="rId160" Type="http://schemas.openxmlformats.org/officeDocument/2006/relationships/hyperlink" Target="https://pubmed.ncbi.nlm.nih.gov/35603072/" TargetMode="External"/><Relationship Id="rId159" Type="http://schemas.openxmlformats.org/officeDocument/2006/relationships/hyperlink" Target="https://pubmed.ncbi.nlm.nih.gov/35701825/" TargetMode="External"/><Relationship Id="rId154" Type="http://schemas.openxmlformats.org/officeDocument/2006/relationships/hyperlink" Target="https://pubmed.ncbi.nlm.nih.gov/36126290/" TargetMode="External"/><Relationship Id="rId153" Type="http://schemas.openxmlformats.org/officeDocument/2006/relationships/hyperlink" Target="https://pubmed.ncbi.nlm.nih.gov/36189591/" TargetMode="External"/><Relationship Id="rId152" Type="http://schemas.openxmlformats.org/officeDocument/2006/relationships/hyperlink" Target="https://pubmed.ncbi.nlm.nih.gov/36189597/" TargetMode="External"/><Relationship Id="rId151" Type="http://schemas.openxmlformats.org/officeDocument/2006/relationships/hyperlink" Target="https://pubmed.ncbi.nlm.nih.gov/36184623/" TargetMode="External"/><Relationship Id="rId158" Type="http://schemas.openxmlformats.org/officeDocument/2006/relationships/hyperlink" Target="https://pubmed.ncbi.nlm.nih.gov/35717405/" TargetMode="External"/><Relationship Id="rId157" Type="http://schemas.openxmlformats.org/officeDocument/2006/relationships/hyperlink" Target="https://www.frontiersin.org/articles/10.3389/fnimg.2022.903531/full" TargetMode="External"/><Relationship Id="rId156" Type="http://schemas.openxmlformats.org/officeDocument/2006/relationships/hyperlink" Target="https://pubmed.ncbi.nlm.nih.gov/35847661/" TargetMode="External"/><Relationship Id="rId155" Type="http://schemas.openxmlformats.org/officeDocument/2006/relationships/hyperlink" Target="https://pubmed.ncbi.nlm.nih.gov/36057039/" TargetMode="External"/><Relationship Id="rId2820" Type="http://schemas.openxmlformats.org/officeDocument/2006/relationships/hyperlink" Target="https://www.tandfonline.com/doi/full/10.1080/19768354.2020.1808528" TargetMode="External"/><Relationship Id="rId2821" Type="http://schemas.openxmlformats.org/officeDocument/2006/relationships/hyperlink" Target="https://pubmed.ncbi.nlm.nih.gov/32464190/" TargetMode="External"/><Relationship Id="rId2822" Type="http://schemas.openxmlformats.org/officeDocument/2006/relationships/hyperlink" Target="https://www.sciencedirect.com/science/article/pii/S2451965019301000" TargetMode="External"/><Relationship Id="rId2823" Type="http://schemas.openxmlformats.org/officeDocument/2006/relationships/hyperlink" Target="https://pubmed.ncbi.nlm.nih.gov/32093162/" TargetMode="External"/><Relationship Id="rId2824" Type="http://schemas.openxmlformats.org/officeDocument/2006/relationships/hyperlink" Target="https://pubmed.ncbi.nlm.nih.gov/30810559/" TargetMode="External"/><Relationship Id="rId2825" Type="http://schemas.openxmlformats.org/officeDocument/2006/relationships/hyperlink" Target="https://pubmed.ncbi.nlm.nih.gov/31723456/" TargetMode="External"/><Relationship Id="rId2826" Type="http://schemas.openxmlformats.org/officeDocument/2006/relationships/hyperlink" Target="https://pubmed.ncbi.nlm.nih.gov/31157572/" TargetMode="External"/><Relationship Id="rId2827" Type="http://schemas.openxmlformats.org/officeDocument/2006/relationships/hyperlink" Target="https://pubmed.ncbi.nlm.nih.gov/27645314/" TargetMode="External"/><Relationship Id="rId2828" Type="http://schemas.openxmlformats.org/officeDocument/2006/relationships/hyperlink" Target="https://pubmed.ncbi.nlm.nih.gov/28684622/" TargetMode="External"/><Relationship Id="rId2829" Type="http://schemas.openxmlformats.org/officeDocument/2006/relationships/hyperlink" Target="https://pubmed.ncbi.nlm.nih.gov/26766556/" TargetMode="External"/><Relationship Id="rId2810" Type="http://schemas.openxmlformats.org/officeDocument/2006/relationships/hyperlink" Target="https://pubmed.ncbi.nlm.nih.gov/28424191/" TargetMode="External"/><Relationship Id="rId2811" Type="http://schemas.openxmlformats.org/officeDocument/2006/relationships/hyperlink" Target="https://pubmed.ncbi.nlm.nih.gov/31721977/" TargetMode="External"/><Relationship Id="rId2812" Type="http://schemas.openxmlformats.org/officeDocument/2006/relationships/hyperlink" Target="https://pubmed.ncbi.nlm.nih.gov/34639284/" TargetMode="External"/><Relationship Id="rId2813" Type="http://schemas.openxmlformats.org/officeDocument/2006/relationships/hyperlink" Target="https://pubmed.ncbi.nlm.nih.gov/38661623/" TargetMode="External"/><Relationship Id="rId2814" Type="http://schemas.openxmlformats.org/officeDocument/2006/relationships/hyperlink" Target="https://pubmed.ncbi.nlm.nih.gov/38350754/" TargetMode="External"/><Relationship Id="rId2815" Type="http://schemas.openxmlformats.org/officeDocument/2006/relationships/hyperlink" Target="https://pubmed.ncbi.nlm.nih.gov/36856971/" TargetMode="External"/><Relationship Id="rId2816" Type="http://schemas.openxmlformats.org/officeDocument/2006/relationships/hyperlink" Target="https://pubmed.ncbi.nlm.nih.gov/35346986/" TargetMode="External"/><Relationship Id="rId2817" Type="http://schemas.openxmlformats.org/officeDocument/2006/relationships/hyperlink" Target="https://pubmed.ncbi.nlm.nih.gov/34329737/" TargetMode="External"/><Relationship Id="rId2818" Type="http://schemas.openxmlformats.org/officeDocument/2006/relationships/hyperlink" Target="https://www.sciencedirect.com/science/article/abs/pii/S1389556721000022" TargetMode="External"/><Relationship Id="rId2819" Type="http://schemas.openxmlformats.org/officeDocument/2006/relationships/hyperlink" Target="https://pubmed.ncbi.nlm.nih.gov/32918215/" TargetMode="External"/><Relationship Id="rId1510" Type="http://schemas.openxmlformats.org/officeDocument/2006/relationships/hyperlink" Target="https://pubmed.ncbi.nlm.nih.gov/37744016/" TargetMode="External"/><Relationship Id="rId2841" Type="http://schemas.openxmlformats.org/officeDocument/2006/relationships/hyperlink" Target="https://pubmed.ncbi.nlm.nih.gov/24142142/" TargetMode="External"/><Relationship Id="rId1511" Type="http://schemas.openxmlformats.org/officeDocument/2006/relationships/hyperlink" Target="https://pubmed.ncbi.nlm.nih.gov/37702407/" TargetMode="External"/><Relationship Id="rId2842" Type="http://schemas.openxmlformats.org/officeDocument/2006/relationships/hyperlink" Target="https://pubmed.ncbi.nlm.nih.gov/23592888/" TargetMode="External"/><Relationship Id="rId1512" Type="http://schemas.openxmlformats.org/officeDocument/2006/relationships/hyperlink" Target="https://pubmed.ncbi.nlm.nih.gov/37626816/" TargetMode="External"/><Relationship Id="rId2843" Type="http://schemas.openxmlformats.org/officeDocument/2006/relationships/hyperlink" Target="https://pubmed.ncbi.nlm.nih.gov/22928066/" TargetMode="External"/><Relationship Id="rId1513" Type="http://schemas.openxmlformats.org/officeDocument/2006/relationships/hyperlink" Target="https://pubmed.ncbi.nlm.nih.gov/36836677/" TargetMode="External"/><Relationship Id="rId2844" Type="http://schemas.openxmlformats.org/officeDocument/2006/relationships/hyperlink" Target="https://pubmed.ncbi.nlm.nih.gov/21357345/" TargetMode="External"/><Relationship Id="rId1514" Type="http://schemas.openxmlformats.org/officeDocument/2006/relationships/hyperlink" Target="https://pubmed.ncbi.nlm.nih.gov/36399822/" TargetMode="External"/><Relationship Id="rId2845" Type="http://schemas.openxmlformats.org/officeDocument/2006/relationships/hyperlink" Target="https://pubmed.ncbi.nlm.nih.gov/21357336/" TargetMode="External"/><Relationship Id="rId1515" Type="http://schemas.openxmlformats.org/officeDocument/2006/relationships/hyperlink" Target="https://pubmed.ncbi.nlm.nih.gov/36052742/" TargetMode="External"/><Relationship Id="rId2846" Type="http://schemas.openxmlformats.org/officeDocument/2006/relationships/hyperlink" Target="https://pubmed.ncbi.nlm.nih.gov/16799733/" TargetMode="External"/><Relationship Id="rId1516" Type="http://schemas.openxmlformats.org/officeDocument/2006/relationships/hyperlink" Target="https://link.springer.com/article/10.1134/S0006350922030241" TargetMode="External"/><Relationship Id="rId2847" Type="http://schemas.openxmlformats.org/officeDocument/2006/relationships/hyperlink" Target="https://pubmed.ncbi.nlm.nih.gov/16603232/" TargetMode="External"/><Relationship Id="rId1517" Type="http://schemas.openxmlformats.org/officeDocument/2006/relationships/hyperlink" Target="https://pubmed.ncbi.nlm.nih.gov/35914464/" TargetMode="External"/><Relationship Id="rId2848" Type="http://schemas.openxmlformats.org/officeDocument/2006/relationships/hyperlink" Target="https://pubmed.ncbi.nlm.nih.gov/32938161/" TargetMode="External"/><Relationship Id="rId1518" Type="http://schemas.openxmlformats.org/officeDocument/2006/relationships/hyperlink" Target="https://pubmed.ncbi.nlm.nih.gov/35743893/" TargetMode="External"/><Relationship Id="rId2849" Type="http://schemas.openxmlformats.org/officeDocument/2006/relationships/hyperlink" Target="https://pubmed.ncbi.nlm.nih.gov/31530965/" TargetMode="External"/><Relationship Id="rId1519" Type="http://schemas.openxmlformats.org/officeDocument/2006/relationships/hyperlink" Target="https://pubmed.ncbi.nlm.nih.gov/35847848/" TargetMode="External"/><Relationship Id="rId2840" Type="http://schemas.openxmlformats.org/officeDocument/2006/relationships/hyperlink" Target="https://pubmed.ncbi.nlm.nih.gov/26049767/" TargetMode="External"/><Relationship Id="rId2830" Type="http://schemas.openxmlformats.org/officeDocument/2006/relationships/hyperlink" Target="https://pubmed.ncbi.nlm.nih.gov/27942349/" TargetMode="External"/><Relationship Id="rId1500" Type="http://schemas.openxmlformats.org/officeDocument/2006/relationships/hyperlink" Target="https://pubmed.ncbi.nlm.nih.gov/32777098/" TargetMode="External"/><Relationship Id="rId2831" Type="http://schemas.openxmlformats.org/officeDocument/2006/relationships/hyperlink" Target="https://pubmed.ncbi.nlm.nih.gov/27876126/" TargetMode="External"/><Relationship Id="rId1501" Type="http://schemas.openxmlformats.org/officeDocument/2006/relationships/hyperlink" Target="https://pubmed.ncbi.nlm.nih.gov/31446580/" TargetMode="External"/><Relationship Id="rId2832" Type="http://schemas.openxmlformats.org/officeDocument/2006/relationships/hyperlink" Target="https://pubmed.ncbi.nlm.nih.gov/28070504/" TargetMode="External"/><Relationship Id="rId1502" Type="http://schemas.openxmlformats.org/officeDocument/2006/relationships/hyperlink" Target="https://pubmed.ncbi.nlm.nih.gov/32813258/" TargetMode="External"/><Relationship Id="rId2833" Type="http://schemas.openxmlformats.org/officeDocument/2006/relationships/hyperlink" Target="https://pubmed.ncbi.nlm.nih.gov/26098394/" TargetMode="External"/><Relationship Id="rId1503" Type="http://schemas.openxmlformats.org/officeDocument/2006/relationships/hyperlink" Target="https://pubmed.ncbi.nlm.nih.gov/32570058/" TargetMode="External"/><Relationship Id="rId2834" Type="http://schemas.openxmlformats.org/officeDocument/2006/relationships/hyperlink" Target="https://pubmed.ncbi.nlm.nih.gov/25951129/" TargetMode="External"/><Relationship Id="rId1504" Type="http://schemas.openxmlformats.org/officeDocument/2006/relationships/hyperlink" Target="https://pubmed.ncbi.nlm.nih.gov/29863164/" TargetMode="External"/><Relationship Id="rId2835" Type="http://schemas.openxmlformats.org/officeDocument/2006/relationships/hyperlink" Target="https://pubmed.ncbi.nlm.nih.gov/18414615/" TargetMode="External"/><Relationship Id="rId1505" Type="http://schemas.openxmlformats.org/officeDocument/2006/relationships/hyperlink" Target="https://iopscience.iop.org/article/10.1088/1555-6611/aa77bf" TargetMode="External"/><Relationship Id="rId2836" Type="http://schemas.openxmlformats.org/officeDocument/2006/relationships/hyperlink" Target="https://pubmed.ncbi.nlm.nih.gov/30125148/" TargetMode="External"/><Relationship Id="rId1506" Type="http://schemas.openxmlformats.org/officeDocument/2006/relationships/hyperlink" Target="https://pubmed.ncbi.nlm.nih.gov/28956464/" TargetMode="External"/><Relationship Id="rId2837" Type="http://schemas.openxmlformats.org/officeDocument/2006/relationships/hyperlink" Target="https://pubmed.ncbi.nlm.nih.gov/29904757/" TargetMode="External"/><Relationship Id="rId1507" Type="http://schemas.openxmlformats.org/officeDocument/2006/relationships/hyperlink" Target="https://pubmed.ncbi.nlm.nih.gov/38970968/" TargetMode="External"/><Relationship Id="rId2838" Type="http://schemas.openxmlformats.org/officeDocument/2006/relationships/hyperlink" Target="https://pubmed.ncbi.nlm.nih.gov/28009891/" TargetMode="External"/><Relationship Id="rId1508" Type="http://schemas.openxmlformats.org/officeDocument/2006/relationships/hyperlink" Target="https://pubmed.ncbi.nlm.nih.gov/39032372/" TargetMode="External"/><Relationship Id="rId2839" Type="http://schemas.openxmlformats.org/officeDocument/2006/relationships/hyperlink" Target="https://pubmed.ncbi.nlm.nih.gov/27714313/" TargetMode="External"/><Relationship Id="rId1509" Type="http://schemas.openxmlformats.org/officeDocument/2006/relationships/hyperlink" Target="https://pubmed.ncbi.nlm.nih.gov/38397864/" TargetMode="External"/><Relationship Id="rId2800" Type="http://schemas.openxmlformats.org/officeDocument/2006/relationships/hyperlink" Target="https://pubmed.ncbi.nlm.nih.gov/21084183/" TargetMode="External"/><Relationship Id="rId2801" Type="http://schemas.openxmlformats.org/officeDocument/2006/relationships/hyperlink" Target="https://pubmed.ncbi.nlm.nih.gov/15687362/" TargetMode="External"/><Relationship Id="rId2802" Type="http://schemas.openxmlformats.org/officeDocument/2006/relationships/hyperlink" Target="https://pubmed.ncbi.nlm.nih.gov/2256710/" TargetMode="External"/><Relationship Id="rId2803" Type="http://schemas.openxmlformats.org/officeDocument/2006/relationships/hyperlink" Target="https://pubmed.ncbi.nlm.nih.gov/18548227/" TargetMode="External"/><Relationship Id="rId2804" Type="http://schemas.openxmlformats.org/officeDocument/2006/relationships/hyperlink" Target="https://pubmed.ncbi.nlm.nih.gov/25066830/" TargetMode="External"/><Relationship Id="rId2805" Type="http://schemas.openxmlformats.org/officeDocument/2006/relationships/hyperlink" Target="https://pubmed.ncbi.nlm.nih.gov/20619913/" TargetMode="External"/><Relationship Id="rId2806" Type="http://schemas.openxmlformats.org/officeDocument/2006/relationships/hyperlink" Target="https://pubmed.ncbi.nlm.nih.gov/34682694/" TargetMode="External"/><Relationship Id="rId2807" Type="http://schemas.openxmlformats.org/officeDocument/2006/relationships/hyperlink" Target="https://pubmed.ncbi.nlm.nih.gov/34094531/" TargetMode="External"/><Relationship Id="rId2808" Type="http://schemas.openxmlformats.org/officeDocument/2006/relationships/hyperlink" Target="https://pubmed.ncbi.nlm.nih.gov/32695905/" TargetMode="External"/><Relationship Id="rId2809" Type="http://schemas.openxmlformats.org/officeDocument/2006/relationships/hyperlink" Target="https://pubmed.ncbi.nlm.nih.gov/15673638/" TargetMode="External"/><Relationship Id="rId1576" Type="http://schemas.openxmlformats.org/officeDocument/2006/relationships/hyperlink" Target="https://pubmed.ncbi.nlm.nih.gov/37973668/" TargetMode="External"/><Relationship Id="rId1577" Type="http://schemas.openxmlformats.org/officeDocument/2006/relationships/hyperlink" Target="https://pubmed.ncbi.nlm.nih.gov/35527692/" TargetMode="External"/><Relationship Id="rId1578" Type="http://schemas.openxmlformats.org/officeDocument/2006/relationships/hyperlink" Target="https://pubmed.ncbi.nlm.nih.gov/25979190/" TargetMode="External"/><Relationship Id="rId1579" Type="http://schemas.openxmlformats.org/officeDocument/2006/relationships/hyperlink" Target="https://pubmed.ncbi.nlm.nih.gov/38791010/" TargetMode="External"/><Relationship Id="rId987" Type="http://schemas.openxmlformats.org/officeDocument/2006/relationships/hyperlink" Target="https://pubmed.ncbi.nlm.nih.gov/34926608/" TargetMode="External"/><Relationship Id="rId986" Type="http://schemas.openxmlformats.org/officeDocument/2006/relationships/hyperlink" Target="https://pubmed.ncbi.nlm.nih.gov/36780088/" TargetMode="External"/><Relationship Id="rId985" Type="http://schemas.openxmlformats.org/officeDocument/2006/relationships/hyperlink" Target="https://pubmed.ncbi.nlm.nih.gov/38685548/" TargetMode="External"/><Relationship Id="rId984" Type="http://schemas.openxmlformats.org/officeDocument/2006/relationships/hyperlink" Target="https://pubmed.ncbi.nlm.nih.gov/31597752/" TargetMode="External"/><Relationship Id="rId989" Type="http://schemas.openxmlformats.org/officeDocument/2006/relationships/hyperlink" Target="https://pubmed.ncbi.nlm.nih.gov/23476681/" TargetMode="External"/><Relationship Id="rId988" Type="http://schemas.openxmlformats.org/officeDocument/2006/relationships/hyperlink" Target="https://pubmed.ncbi.nlm.nih.gov/33211546/" TargetMode="External"/><Relationship Id="rId1570" Type="http://schemas.openxmlformats.org/officeDocument/2006/relationships/hyperlink" Target="https://pubmed.ncbi.nlm.nih.gov/35298283/" TargetMode="External"/><Relationship Id="rId1571" Type="http://schemas.openxmlformats.org/officeDocument/2006/relationships/hyperlink" Target="https://pubmed.ncbi.nlm.nih.gov/35416830/" TargetMode="External"/><Relationship Id="rId983" Type="http://schemas.openxmlformats.org/officeDocument/2006/relationships/hyperlink" Target="https://pubmed.ncbi.nlm.nih.gov/34350599/" TargetMode="External"/><Relationship Id="rId1572" Type="http://schemas.openxmlformats.org/officeDocument/2006/relationships/hyperlink" Target="https://pubmed.ncbi.nlm.nih.gov/35068900/" TargetMode="External"/><Relationship Id="rId982" Type="http://schemas.openxmlformats.org/officeDocument/2006/relationships/hyperlink" Target="https://pubmed.ncbi.nlm.nih.gov/35928721/" TargetMode="External"/><Relationship Id="rId1573" Type="http://schemas.openxmlformats.org/officeDocument/2006/relationships/hyperlink" Target="https://pubmed.ncbi.nlm.nih.gov/34997849/" TargetMode="External"/><Relationship Id="rId981" Type="http://schemas.openxmlformats.org/officeDocument/2006/relationships/hyperlink" Target="https://pubmed.ncbi.nlm.nih.gov/39033547/" TargetMode="External"/><Relationship Id="rId1574" Type="http://schemas.openxmlformats.org/officeDocument/2006/relationships/hyperlink" Target="https://pubmed.ncbi.nlm.nih.gov/33909659/" TargetMode="External"/><Relationship Id="rId980" Type="http://schemas.openxmlformats.org/officeDocument/2006/relationships/hyperlink" Target="https://pubmed.ncbi.nlm.nih.gov/33398614/" TargetMode="External"/><Relationship Id="rId1575" Type="http://schemas.openxmlformats.org/officeDocument/2006/relationships/hyperlink" Target="https://pubmed.ncbi.nlm.nih.gov/34733754/" TargetMode="External"/><Relationship Id="rId1565" Type="http://schemas.openxmlformats.org/officeDocument/2006/relationships/hyperlink" Target="https://www.scirp.org/html/3-2100974_53198.htm" TargetMode="External"/><Relationship Id="rId2896" Type="http://schemas.openxmlformats.org/officeDocument/2006/relationships/hyperlink" Target="https://pubmed.ncbi.nlm.nih.gov/37318623/" TargetMode="External"/><Relationship Id="rId1566" Type="http://schemas.openxmlformats.org/officeDocument/2006/relationships/hyperlink" Target="https://pubmed.ncbi.nlm.nih.gov/34212234/" TargetMode="External"/><Relationship Id="rId2897" Type="http://schemas.openxmlformats.org/officeDocument/2006/relationships/hyperlink" Target="https://pubmed.ncbi.nlm.nih.gov/39040733/" TargetMode="External"/><Relationship Id="rId1567" Type="http://schemas.openxmlformats.org/officeDocument/2006/relationships/hyperlink" Target="https://pubmed.ncbi.nlm.nih.gov/37504242/" TargetMode="External"/><Relationship Id="rId2898" Type="http://schemas.openxmlformats.org/officeDocument/2006/relationships/hyperlink" Target="https://pubmed.ncbi.nlm.nih.gov/36187084/" TargetMode="External"/><Relationship Id="rId1568" Type="http://schemas.openxmlformats.org/officeDocument/2006/relationships/hyperlink" Target="https://pubmed.ncbi.nlm.nih.gov/36562868/" TargetMode="External"/><Relationship Id="rId2899" Type="http://schemas.openxmlformats.org/officeDocument/2006/relationships/hyperlink" Target="https://pubmed.ncbi.nlm.nih.gov/36545533/" TargetMode="External"/><Relationship Id="rId1569" Type="http://schemas.openxmlformats.org/officeDocument/2006/relationships/hyperlink" Target="https://pubmed.ncbi.nlm.nih.gov/35597839/" TargetMode="External"/><Relationship Id="rId976" Type="http://schemas.openxmlformats.org/officeDocument/2006/relationships/hyperlink" Target="https://pubmed.ncbi.nlm.nih.gov/21448380/" TargetMode="External"/><Relationship Id="rId975" Type="http://schemas.openxmlformats.org/officeDocument/2006/relationships/hyperlink" Target="https://pubmed.ncbi.nlm.nih.gov/33375822/" TargetMode="External"/><Relationship Id="rId974" Type="http://schemas.openxmlformats.org/officeDocument/2006/relationships/hyperlink" Target="https://pubmed.ncbi.nlm.nih.gov/33685826/" TargetMode="External"/><Relationship Id="rId973" Type="http://schemas.openxmlformats.org/officeDocument/2006/relationships/hyperlink" Target="https://pubmed.ncbi.nlm.nih.gov/35945770/" TargetMode="External"/><Relationship Id="rId979" Type="http://schemas.openxmlformats.org/officeDocument/2006/relationships/hyperlink" Target="https://pubmed.ncbi.nlm.nih.gov/34217659/" TargetMode="External"/><Relationship Id="rId978" Type="http://schemas.openxmlformats.org/officeDocument/2006/relationships/hyperlink" Target="https://link.springer.com/article/10.1134/S0006350922040066" TargetMode="External"/><Relationship Id="rId977" Type="http://schemas.openxmlformats.org/officeDocument/2006/relationships/hyperlink" Target="https://pubmed.ncbi.nlm.nih.gov/7653340/" TargetMode="External"/><Relationship Id="rId2890" Type="http://schemas.openxmlformats.org/officeDocument/2006/relationships/hyperlink" Target="https://www.ncbi.nlm.nih.gov/pubmed/32410200" TargetMode="External"/><Relationship Id="rId1560" Type="http://schemas.openxmlformats.org/officeDocument/2006/relationships/hyperlink" Target="https://pubmed.ncbi.nlm.nih.gov/35213109/" TargetMode="External"/><Relationship Id="rId2891" Type="http://schemas.openxmlformats.org/officeDocument/2006/relationships/hyperlink" Target="https://pubmed.ncbi.nlm.nih.gov/35771965/" TargetMode="External"/><Relationship Id="rId972" Type="http://schemas.openxmlformats.org/officeDocument/2006/relationships/hyperlink" Target="https://pubmed.ncbi.nlm.nih.gov/35947315/" TargetMode="External"/><Relationship Id="rId1561" Type="http://schemas.openxmlformats.org/officeDocument/2006/relationships/hyperlink" Target="https://pubmed.ncbi.nlm.nih.gov/33927835/" TargetMode="External"/><Relationship Id="rId2892" Type="http://schemas.openxmlformats.org/officeDocument/2006/relationships/hyperlink" Target="https://pubmed.ncbi.nlm.nih.gov/33551948/" TargetMode="External"/><Relationship Id="rId971" Type="http://schemas.openxmlformats.org/officeDocument/2006/relationships/hyperlink" Target="https://pubmed.ncbi.nlm.nih.gov/37108967/" TargetMode="External"/><Relationship Id="rId1562" Type="http://schemas.openxmlformats.org/officeDocument/2006/relationships/hyperlink" Target="https://pubmed.ncbi.nlm.nih.gov/33140267/" TargetMode="External"/><Relationship Id="rId2893" Type="http://schemas.openxmlformats.org/officeDocument/2006/relationships/hyperlink" Target="https://pubmed.ncbi.nlm.nih.gov/30916762/" TargetMode="External"/><Relationship Id="rId970" Type="http://schemas.openxmlformats.org/officeDocument/2006/relationships/hyperlink" Target="https://pubmed.ncbi.nlm.nih.gov/37273123/" TargetMode="External"/><Relationship Id="rId1563" Type="http://schemas.openxmlformats.org/officeDocument/2006/relationships/hyperlink" Target="https://pubmed.ncbi.nlm.nih.gov/32994766/" TargetMode="External"/><Relationship Id="rId2894" Type="http://schemas.openxmlformats.org/officeDocument/2006/relationships/hyperlink" Target="https://www.sciencedirect.com/science/article/pii/S2405844021012135" TargetMode="External"/><Relationship Id="rId1564" Type="http://schemas.openxmlformats.org/officeDocument/2006/relationships/hyperlink" Target="https://pubmed.ncbi.nlm.nih.gov/30268950/" TargetMode="External"/><Relationship Id="rId2895" Type="http://schemas.openxmlformats.org/officeDocument/2006/relationships/hyperlink" Target="https://pubmed.ncbi.nlm.nih.gov/35053280/" TargetMode="External"/><Relationship Id="rId1598" Type="http://schemas.openxmlformats.org/officeDocument/2006/relationships/hyperlink" Target="https://pubmed.ncbi.nlm.nih.gov/33102396/" TargetMode="External"/><Relationship Id="rId1599" Type="http://schemas.openxmlformats.org/officeDocument/2006/relationships/hyperlink" Target="https://pubmed.ncbi.nlm.nih.gov/36203211/" TargetMode="External"/><Relationship Id="rId1590" Type="http://schemas.openxmlformats.org/officeDocument/2006/relationships/hyperlink" Target="https://pubmed.ncbi.nlm.nih.gov/33609024/" TargetMode="External"/><Relationship Id="rId1591" Type="http://schemas.openxmlformats.org/officeDocument/2006/relationships/hyperlink" Target="https://pubmed.ncbi.nlm.nih.gov/32882863/" TargetMode="External"/><Relationship Id="rId1592" Type="http://schemas.openxmlformats.org/officeDocument/2006/relationships/hyperlink" Target="https://pubmed.ncbi.nlm.nih.gov/32725428/" TargetMode="External"/><Relationship Id="rId1593" Type="http://schemas.openxmlformats.org/officeDocument/2006/relationships/hyperlink" Target="https://pubmed.ncbi.nlm.nih.gov/32523156/" TargetMode="External"/><Relationship Id="rId1594" Type="http://schemas.openxmlformats.org/officeDocument/2006/relationships/hyperlink" Target="https://pubmed.ncbi.nlm.nih.gov/32460396/" TargetMode="External"/><Relationship Id="rId1595" Type="http://schemas.openxmlformats.org/officeDocument/2006/relationships/hyperlink" Target="https://pubmed.ncbi.nlm.nih.gov/26535101/" TargetMode="External"/><Relationship Id="rId1596" Type="http://schemas.openxmlformats.org/officeDocument/2006/relationships/hyperlink" Target="https://pubmed.ncbi.nlm.nih.gov/26359814/" TargetMode="External"/><Relationship Id="rId1597" Type="http://schemas.openxmlformats.org/officeDocument/2006/relationships/hyperlink" Target="https://pubmed.ncbi.nlm.nih.gov/38969931/" TargetMode="External"/><Relationship Id="rId1587" Type="http://schemas.openxmlformats.org/officeDocument/2006/relationships/hyperlink" Target="https://pubmed.ncbi.nlm.nih.gov/35323246/" TargetMode="External"/><Relationship Id="rId1588" Type="http://schemas.openxmlformats.org/officeDocument/2006/relationships/hyperlink" Target="https://pubmed.ncbi.nlm.nih.gov/35122543/" TargetMode="External"/><Relationship Id="rId1589" Type="http://schemas.openxmlformats.org/officeDocument/2006/relationships/hyperlink" Target="https://pubmed.ncbi.nlm.nih.gov/34834253/" TargetMode="External"/><Relationship Id="rId998" Type="http://schemas.openxmlformats.org/officeDocument/2006/relationships/hyperlink" Target="http://www.ncbi.nlm.nih.gov/pubmed/11578700" TargetMode="External"/><Relationship Id="rId997" Type="http://schemas.openxmlformats.org/officeDocument/2006/relationships/hyperlink" Target="http://www.ncbi.nlm.nih.gov/pubmed/11208692" TargetMode="External"/><Relationship Id="rId996" Type="http://schemas.openxmlformats.org/officeDocument/2006/relationships/hyperlink" Target="http://www.ncbi.nlm.nih.gov/pubmed/11295753" TargetMode="External"/><Relationship Id="rId995" Type="http://schemas.openxmlformats.org/officeDocument/2006/relationships/hyperlink" Target="http://www.ncbi.nlm.nih.gov/pubmed/11356808" TargetMode="External"/><Relationship Id="rId999" Type="http://schemas.openxmlformats.org/officeDocument/2006/relationships/hyperlink" Target="https://pubmed.ncbi.nlm.nih.gov/2221480/" TargetMode="External"/><Relationship Id="rId990" Type="http://schemas.openxmlformats.org/officeDocument/2006/relationships/hyperlink" Target="https://pubmed.ncbi.nlm.nih.gov/39126163/" TargetMode="External"/><Relationship Id="rId1580" Type="http://schemas.openxmlformats.org/officeDocument/2006/relationships/hyperlink" Target="https://pubmed.ncbi.nlm.nih.gov/38764315/" TargetMode="External"/><Relationship Id="rId1581" Type="http://schemas.openxmlformats.org/officeDocument/2006/relationships/hyperlink" Target="https://pubmed.ncbi.nlm.nih.gov/38735764/" TargetMode="External"/><Relationship Id="rId1582" Type="http://schemas.openxmlformats.org/officeDocument/2006/relationships/hyperlink" Target="https://pubmed.ncbi.nlm.nih.gov/38396381/" TargetMode="External"/><Relationship Id="rId994" Type="http://schemas.openxmlformats.org/officeDocument/2006/relationships/hyperlink" Target="https://pubmed.ncbi.nlm.nih.gov/33846991/" TargetMode="External"/><Relationship Id="rId1583" Type="http://schemas.openxmlformats.org/officeDocument/2006/relationships/hyperlink" Target="https://pubmed.ncbi.nlm.nih.gov/38407832/" TargetMode="External"/><Relationship Id="rId993" Type="http://schemas.openxmlformats.org/officeDocument/2006/relationships/hyperlink" Target="https://pubmed.ncbi.nlm.nih.gov/35366381/" TargetMode="External"/><Relationship Id="rId1584" Type="http://schemas.openxmlformats.org/officeDocument/2006/relationships/hyperlink" Target="https://pubmed.ncbi.nlm.nih.gov/37814265/" TargetMode="External"/><Relationship Id="rId992" Type="http://schemas.openxmlformats.org/officeDocument/2006/relationships/hyperlink" Target="https://pubmed.ncbi.nlm.nih.gov/34336126/" TargetMode="External"/><Relationship Id="rId1585" Type="http://schemas.openxmlformats.org/officeDocument/2006/relationships/hyperlink" Target="https://pubmed.ncbi.nlm.nih.gov/37656286/" TargetMode="External"/><Relationship Id="rId991" Type="http://schemas.openxmlformats.org/officeDocument/2006/relationships/hyperlink" Target="https://pubmed.ncbi.nlm.nih.gov/35541894/" TargetMode="External"/><Relationship Id="rId1586" Type="http://schemas.openxmlformats.org/officeDocument/2006/relationships/hyperlink" Target="https://pubmed.ncbi.nlm.nih.gov/35326183/" TargetMode="External"/><Relationship Id="rId1532" Type="http://schemas.openxmlformats.org/officeDocument/2006/relationships/hyperlink" Target="https://pubmed.ncbi.nlm.nih.gov/38812122/" TargetMode="External"/><Relationship Id="rId2863" Type="http://schemas.openxmlformats.org/officeDocument/2006/relationships/hyperlink" Target="https://pubmed.ncbi.nlm.nih.gov/29516257/" TargetMode="External"/><Relationship Id="rId1533" Type="http://schemas.openxmlformats.org/officeDocument/2006/relationships/hyperlink" Target="https://pubmed.ncbi.nlm.nih.gov/38829548/" TargetMode="External"/><Relationship Id="rId2864" Type="http://schemas.openxmlformats.org/officeDocument/2006/relationships/hyperlink" Target="https://pubmed.ncbi.nlm.nih.gov/30301597/" TargetMode="External"/><Relationship Id="rId1534" Type="http://schemas.openxmlformats.org/officeDocument/2006/relationships/hyperlink" Target="https://pubmed.ncbi.nlm.nih.gov/37559668/" TargetMode="External"/><Relationship Id="rId2865" Type="http://schemas.openxmlformats.org/officeDocument/2006/relationships/hyperlink" Target="https://pubmed.ncbi.nlm.nih.gov/28228421/" TargetMode="External"/><Relationship Id="rId1535" Type="http://schemas.openxmlformats.org/officeDocument/2006/relationships/hyperlink" Target="https://pubmed.ncbi.nlm.nih.gov/38909229/" TargetMode="External"/><Relationship Id="rId2866" Type="http://schemas.openxmlformats.org/officeDocument/2006/relationships/hyperlink" Target="https://pubmed.ncbi.nlm.nih.gov/28154004/" TargetMode="External"/><Relationship Id="rId1536" Type="http://schemas.openxmlformats.org/officeDocument/2006/relationships/hyperlink" Target="https://pubmed.ncbi.nlm.nih.gov/38845193/" TargetMode="External"/><Relationship Id="rId2867" Type="http://schemas.openxmlformats.org/officeDocument/2006/relationships/hyperlink" Target="https://pubmed.ncbi.nlm.nih.gov/25541149/" TargetMode="External"/><Relationship Id="rId1537" Type="http://schemas.openxmlformats.org/officeDocument/2006/relationships/hyperlink" Target="https://pubmed.ncbi.nlm.nih.gov/38840646/" TargetMode="External"/><Relationship Id="rId2868" Type="http://schemas.openxmlformats.org/officeDocument/2006/relationships/hyperlink" Target="https://pubmed.ncbi.nlm.nih.gov/25289793/" TargetMode="External"/><Relationship Id="rId1538" Type="http://schemas.openxmlformats.org/officeDocument/2006/relationships/hyperlink" Target="https://pubmed.ncbi.nlm.nih.gov/38484582/" TargetMode="External"/><Relationship Id="rId2869" Type="http://schemas.openxmlformats.org/officeDocument/2006/relationships/hyperlink" Target="https://pubmed.ncbi.nlm.nih.gov/24771567/" TargetMode="External"/><Relationship Id="rId1539" Type="http://schemas.openxmlformats.org/officeDocument/2006/relationships/hyperlink" Target="https://pubmed.ncbi.nlm.nih.gov/38170234/" TargetMode="External"/><Relationship Id="rId949" Type="http://schemas.openxmlformats.org/officeDocument/2006/relationships/hyperlink" Target="https://pubmed.ncbi.nlm.nih.gov/37418658/" TargetMode="External"/><Relationship Id="rId948" Type="http://schemas.openxmlformats.org/officeDocument/2006/relationships/hyperlink" Target="https://pubmed.ncbi.nlm.nih.gov/39146875/" TargetMode="External"/><Relationship Id="rId943" Type="http://schemas.openxmlformats.org/officeDocument/2006/relationships/hyperlink" Target="https://pubmed.ncbi.nlm.nih.gov/38053197/" TargetMode="External"/><Relationship Id="rId942" Type="http://schemas.openxmlformats.org/officeDocument/2006/relationships/hyperlink" Target="https://pubmed.ncbi.nlm.nih.gov/24559020/" TargetMode="External"/><Relationship Id="rId941" Type="http://schemas.openxmlformats.org/officeDocument/2006/relationships/hyperlink" Target="https://pubmed.ncbi.nlm.nih.gov/32478968/" TargetMode="External"/><Relationship Id="rId940" Type="http://schemas.openxmlformats.org/officeDocument/2006/relationships/hyperlink" Target="https://pubmed.ncbi.nlm.nih.gov/32702878/" TargetMode="External"/><Relationship Id="rId947" Type="http://schemas.openxmlformats.org/officeDocument/2006/relationships/hyperlink" Target="https://pubmed.ncbi.nlm.nih.gov/27330694/" TargetMode="External"/><Relationship Id="rId946" Type="http://schemas.openxmlformats.org/officeDocument/2006/relationships/hyperlink" Target="https://pubmed.ncbi.nlm.nih.gov/38024838/" TargetMode="External"/><Relationship Id="rId945" Type="http://schemas.openxmlformats.org/officeDocument/2006/relationships/hyperlink" Target="https://pubmed.ncbi.nlm.nih.gov/34502871/" TargetMode="External"/><Relationship Id="rId944" Type="http://schemas.openxmlformats.org/officeDocument/2006/relationships/hyperlink" Target="https://pubmed.ncbi.nlm.nih.gov/37060420/" TargetMode="External"/><Relationship Id="rId2860" Type="http://schemas.openxmlformats.org/officeDocument/2006/relationships/hyperlink" Target="https://pubmed.ncbi.nlm.nih.gov/30744663/" TargetMode="External"/><Relationship Id="rId1530" Type="http://schemas.openxmlformats.org/officeDocument/2006/relationships/hyperlink" Target="https://pubmed.ncbi.nlm.nih.gov/35699807/" TargetMode="External"/><Relationship Id="rId2861" Type="http://schemas.openxmlformats.org/officeDocument/2006/relationships/hyperlink" Target="https://pubmed.ncbi.nlm.nih.gov/29780610/" TargetMode="External"/><Relationship Id="rId1531" Type="http://schemas.openxmlformats.org/officeDocument/2006/relationships/hyperlink" Target="https://pubmed.ncbi.nlm.nih.gov/38787794/" TargetMode="External"/><Relationship Id="rId2862" Type="http://schemas.openxmlformats.org/officeDocument/2006/relationships/hyperlink" Target="https://pubmed.ncbi.nlm.nih.gov/29779945/" TargetMode="External"/><Relationship Id="rId1521" Type="http://schemas.openxmlformats.org/officeDocument/2006/relationships/hyperlink" Target="https://pubmed.ncbi.nlm.nih.gov/34692202/" TargetMode="External"/><Relationship Id="rId2852" Type="http://schemas.openxmlformats.org/officeDocument/2006/relationships/hyperlink" Target="https://pubmed.ncbi.nlm.nih.gov/32525979/" TargetMode="External"/><Relationship Id="rId1522" Type="http://schemas.openxmlformats.org/officeDocument/2006/relationships/hyperlink" Target="https://pubmed.ncbi.nlm.nih.gov/34273227/" TargetMode="External"/><Relationship Id="rId2853" Type="http://schemas.openxmlformats.org/officeDocument/2006/relationships/hyperlink" Target="https://pubmed.ncbi.nlm.nih.gov/32432672/" TargetMode="External"/><Relationship Id="rId1523" Type="http://schemas.openxmlformats.org/officeDocument/2006/relationships/hyperlink" Target="https://pubmed.ncbi.nlm.nih.gov/34029847/" TargetMode="External"/><Relationship Id="rId2854" Type="http://schemas.openxmlformats.org/officeDocument/2006/relationships/hyperlink" Target="https://pubmed.ncbi.nlm.nih.gov/38748081/" TargetMode="External"/><Relationship Id="rId1524" Type="http://schemas.openxmlformats.org/officeDocument/2006/relationships/hyperlink" Target="https://pubmed.ncbi.nlm.nih.gov/33011980/" TargetMode="External"/><Relationship Id="rId2855" Type="http://schemas.openxmlformats.org/officeDocument/2006/relationships/hyperlink" Target="https://pubmed.ncbi.nlm.nih.gov/37770588/" TargetMode="External"/><Relationship Id="rId1525" Type="http://schemas.openxmlformats.org/officeDocument/2006/relationships/hyperlink" Target="https://pubmed.ncbi.nlm.nih.gov/16134821/" TargetMode="External"/><Relationship Id="rId2856" Type="http://schemas.openxmlformats.org/officeDocument/2006/relationships/hyperlink" Target="https://pubmed.ncbi.nlm.nih.gov/36528129/" TargetMode="External"/><Relationship Id="rId1526" Type="http://schemas.openxmlformats.org/officeDocument/2006/relationships/hyperlink" Target="https://exp-oncology.com.ua/wp/wp-content/uploads/magazine/248.pdf?upload=" TargetMode="External"/><Relationship Id="rId2857" Type="http://schemas.openxmlformats.org/officeDocument/2006/relationships/hyperlink" Target="https://pubmed.ncbi.nlm.nih.gov/31713010/" TargetMode="External"/><Relationship Id="rId1527" Type="http://schemas.openxmlformats.org/officeDocument/2006/relationships/hyperlink" Target="http://www.ncbi.nlm.nih.gov/pubmed/21219219" TargetMode="External"/><Relationship Id="rId2858" Type="http://schemas.openxmlformats.org/officeDocument/2006/relationships/hyperlink" Target="https://pubmed.ncbi.nlm.nih.gov/31636184/" TargetMode="External"/><Relationship Id="rId1528" Type="http://schemas.openxmlformats.org/officeDocument/2006/relationships/hyperlink" Target="https://pubmed.ncbi.nlm.nih.gov/35255233/" TargetMode="External"/><Relationship Id="rId2859" Type="http://schemas.openxmlformats.org/officeDocument/2006/relationships/hyperlink" Target="https://pubmed.ncbi.nlm.nih.gov/30956026/" TargetMode="External"/><Relationship Id="rId1529" Type="http://schemas.openxmlformats.org/officeDocument/2006/relationships/hyperlink" Target="https://pubmed.ncbi.nlm.nih.gov/37861636/" TargetMode="External"/><Relationship Id="rId939" Type="http://schemas.openxmlformats.org/officeDocument/2006/relationships/hyperlink" Target="https://pubmed.ncbi.nlm.nih.gov/32678725/" TargetMode="External"/><Relationship Id="rId938" Type="http://schemas.openxmlformats.org/officeDocument/2006/relationships/hyperlink" Target="https://pubmed.ncbi.nlm.nih.gov/32790116/" TargetMode="External"/><Relationship Id="rId937" Type="http://schemas.openxmlformats.org/officeDocument/2006/relationships/hyperlink" Target="https://pubmed.ncbi.nlm.nih.gov/33111207/" TargetMode="External"/><Relationship Id="rId932" Type="http://schemas.openxmlformats.org/officeDocument/2006/relationships/hyperlink" Target="https://pubmed.ncbi.nlm.nih.gov/33973663/" TargetMode="External"/><Relationship Id="rId931" Type="http://schemas.openxmlformats.org/officeDocument/2006/relationships/hyperlink" Target="https://pubmed.ncbi.nlm.nih.gov/34101089/" TargetMode="External"/><Relationship Id="rId930" Type="http://schemas.openxmlformats.org/officeDocument/2006/relationships/hyperlink" Target="https://pubmed.ncbi.nlm.nih.gov/33998004/" TargetMode="External"/><Relationship Id="rId936" Type="http://schemas.openxmlformats.org/officeDocument/2006/relationships/hyperlink" Target="https://pubmed.ncbi.nlm.nih.gov/33088809/" TargetMode="External"/><Relationship Id="rId935" Type="http://schemas.openxmlformats.org/officeDocument/2006/relationships/hyperlink" Target="https://pubmed.ncbi.nlm.nih.gov/33068178/" TargetMode="External"/><Relationship Id="rId934" Type="http://schemas.openxmlformats.org/officeDocument/2006/relationships/hyperlink" Target="https://pubmed.ncbi.nlm.nih.gov/33377535/" TargetMode="External"/><Relationship Id="rId933" Type="http://schemas.openxmlformats.org/officeDocument/2006/relationships/hyperlink" Target="https://pubmed.ncbi.nlm.nih.gov/33713522/" TargetMode="External"/><Relationship Id="rId2850" Type="http://schemas.openxmlformats.org/officeDocument/2006/relationships/hyperlink" Target="https://pubmed.ncbi.nlm.nih.gov/30412763/" TargetMode="External"/><Relationship Id="rId1520" Type="http://schemas.openxmlformats.org/officeDocument/2006/relationships/hyperlink" Target="https://pubmed.ncbi.nlm.nih.gov/35252445/" TargetMode="External"/><Relationship Id="rId2851" Type="http://schemas.openxmlformats.org/officeDocument/2006/relationships/hyperlink" Target="https://pubmed.ncbi.nlm.nih.gov/35962531/" TargetMode="External"/><Relationship Id="rId1554" Type="http://schemas.openxmlformats.org/officeDocument/2006/relationships/hyperlink" Target="https://pubmed.ncbi.nlm.nih.gov/34241896/" TargetMode="External"/><Relationship Id="rId2885" Type="http://schemas.openxmlformats.org/officeDocument/2006/relationships/hyperlink" Target="https://pubmed.ncbi.nlm.nih.gov/38649643/" TargetMode="External"/><Relationship Id="rId1555" Type="http://schemas.openxmlformats.org/officeDocument/2006/relationships/hyperlink" Target="https://pubmed.ncbi.nlm.nih.gov/39039581/" TargetMode="External"/><Relationship Id="rId2886" Type="http://schemas.openxmlformats.org/officeDocument/2006/relationships/hyperlink" Target="https://pubmed.ncbi.nlm.nih.gov/35015175/" TargetMode="External"/><Relationship Id="rId1556" Type="http://schemas.openxmlformats.org/officeDocument/2006/relationships/hyperlink" Target="https://pubmed.ncbi.nlm.nih.gov/38976032/" TargetMode="External"/><Relationship Id="rId2887" Type="http://schemas.openxmlformats.org/officeDocument/2006/relationships/hyperlink" Target="https://pubmed.ncbi.nlm.nih.gov/33725203/" TargetMode="External"/><Relationship Id="rId1557" Type="http://schemas.openxmlformats.org/officeDocument/2006/relationships/hyperlink" Target="https://pubmed.ncbi.nlm.nih.gov/38550731/" TargetMode="External"/><Relationship Id="rId2888" Type="http://schemas.openxmlformats.org/officeDocument/2006/relationships/hyperlink" Target="https://pubmed.ncbi.nlm.nih.gov/32756256/" TargetMode="External"/><Relationship Id="rId1558" Type="http://schemas.openxmlformats.org/officeDocument/2006/relationships/hyperlink" Target="https://pubmed.ncbi.nlm.nih.gov/38610772/" TargetMode="External"/><Relationship Id="rId2889" Type="http://schemas.openxmlformats.org/officeDocument/2006/relationships/hyperlink" Target="https://pubmed.ncbi.nlm.nih.gov/17515954/" TargetMode="External"/><Relationship Id="rId1559" Type="http://schemas.openxmlformats.org/officeDocument/2006/relationships/hyperlink" Target="https://pubmed.ncbi.nlm.nih.gov/37796053/" TargetMode="External"/><Relationship Id="rId965" Type="http://schemas.openxmlformats.org/officeDocument/2006/relationships/hyperlink" Target="https://pubmed.ncbi.nlm.nih.gov/32596055/" TargetMode="External"/><Relationship Id="rId964" Type="http://schemas.openxmlformats.org/officeDocument/2006/relationships/hyperlink" Target="https://pubmed.ncbi.nlm.nih.gov/33822307/" TargetMode="External"/><Relationship Id="rId963" Type="http://schemas.openxmlformats.org/officeDocument/2006/relationships/hyperlink" Target="https://pubmed.ncbi.nlm.nih.gov/37885344/" TargetMode="External"/><Relationship Id="rId962" Type="http://schemas.openxmlformats.org/officeDocument/2006/relationships/hyperlink" Target="https://pubmed.ncbi.nlm.nih.gov/38711557/" TargetMode="External"/><Relationship Id="rId969" Type="http://schemas.openxmlformats.org/officeDocument/2006/relationships/hyperlink" Target="https://pubmed.ncbi.nlm.nih.gov/37994052/" TargetMode="External"/><Relationship Id="rId968" Type="http://schemas.openxmlformats.org/officeDocument/2006/relationships/hyperlink" Target="https://pubmed.ncbi.nlm.nih.gov/38626075/" TargetMode="External"/><Relationship Id="rId967" Type="http://schemas.openxmlformats.org/officeDocument/2006/relationships/hyperlink" Target="https://pubmed.ncbi.nlm.nih.gov/33604771/" TargetMode="External"/><Relationship Id="rId966" Type="http://schemas.openxmlformats.org/officeDocument/2006/relationships/hyperlink" Target="https://pubmed.ncbi.nlm.nih.gov/31456894/" TargetMode="External"/><Relationship Id="rId2880" Type="http://schemas.openxmlformats.org/officeDocument/2006/relationships/hyperlink" Target="https://pubmed.ncbi.nlm.nih.gov/3066958/" TargetMode="External"/><Relationship Id="rId961" Type="http://schemas.openxmlformats.org/officeDocument/2006/relationships/hyperlink" Target="https://pubmed.ncbi.nlm.nih.gov/38020205/" TargetMode="External"/><Relationship Id="rId1550" Type="http://schemas.openxmlformats.org/officeDocument/2006/relationships/hyperlink" Target="https://pubmed.ncbi.nlm.nih.gov/32544356/" TargetMode="External"/><Relationship Id="rId2881" Type="http://schemas.openxmlformats.org/officeDocument/2006/relationships/hyperlink" Target="https://pubmed.ncbi.nlm.nih.gov/36507283/" TargetMode="External"/><Relationship Id="rId960" Type="http://schemas.openxmlformats.org/officeDocument/2006/relationships/hyperlink" Target="https://www.aaem.pl/Red-LED-light-therapy-for-telogen-effluvium-in-the-course-of-long-COVID-in-patients,177238,0,2.html" TargetMode="External"/><Relationship Id="rId1551" Type="http://schemas.openxmlformats.org/officeDocument/2006/relationships/hyperlink" Target="https://pubmed.ncbi.nlm.nih.gov/37738369/" TargetMode="External"/><Relationship Id="rId2882" Type="http://schemas.openxmlformats.org/officeDocument/2006/relationships/hyperlink" Target="https://pubmed.ncbi.nlm.nih.gov/35459599/" TargetMode="External"/><Relationship Id="rId1552" Type="http://schemas.openxmlformats.org/officeDocument/2006/relationships/hyperlink" Target="https://pubmed.ncbi.nlm.nih.gov/37622619/" TargetMode="External"/><Relationship Id="rId2883" Type="http://schemas.openxmlformats.org/officeDocument/2006/relationships/hyperlink" Target="https://pubmed.ncbi.nlm.nih.gov/34800495/" TargetMode="External"/><Relationship Id="rId1553" Type="http://schemas.openxmlformats.org/officeDocument/2006/relationships/hyperlink" Target="https://pubmed.ncbi.nlm.nih.gov/37688333/" TargetMode="External"/><Relationship Id="rId2884" Type="http://schemas.openxmlformats.org/officeDocument/2006/relationships/hyperlink" Target="https://pubmed.ncbi.nlm.nih.gov/26761745/" TargetMode="External"/><Relationship Id="rId1543" Type="http://schemas.openxmlformats.org/officeDocument/2006/relationships/hyperlink" Target="https://pubmed.ncbi.nlm.nih.gov/37408347/" TargetMode="External"/><Relationship Id="rId2874" Type="http://schemas.openxmlformats.org/officeDocument/2006/relationships/hyperlink" Target="https://pubmed.ncbi.nlm.nih.gov/30218096/" TargetMode="External"/><Relationship Id="rId1544" Type="http://schemas.openxmlformats.org/officeDocument/2006/relationships/hyperlink" Target="https://pubmed.ncbi.nlm.nih.gov/36538177/" TargetMode="External"/><Relationship Id="rId2875" Type="http://schemas.openxmlformats.org/officeDocument/2006/relationships/hyperlink" Target="https://pubmed.ncbi.nlm.nih.gov/34300148/" TargetMode="External"/><Relationship Id="rId1545" Type="http://schemas.openxmlformats.org/officeDocument/2006/relationships/hyperlink" Target="https://pubmed.ncbi.nlm.nih.gov/36196515/" TargetMode="External"/><Relationship Id="rId2876" Type="http://schemas.openxmlformats.org/officeDocument/2006/relationships/hyperlink" Target="https://pubmed.ncbi.nlm.nih.gov/34697731/" TargetMode="External"/><Relationship Id="rId1546" Type="http://schemas.openxmlformats.org/officeDocument/2006/relationships/hyperlink" Target="https://pubmed.ncbi.nlm.nih.gov/35546299/" TargetMode="External"/><Relationship Id="rId2877" Type="http://schemas.openxmlformats.org/officeDocument/2006/relationships/hyperlink" Target="https://pubmed.ncbi.nlm.nih.gov/34183590/" TargetMode="External"/><Relationship Id="rId1547" Type="http://schemas.openxmlformats.org/officeDocument/2006/relationships/hyperlink" Target="https://pubmed.ncbi.nlm.nih.gov/35122442/" TargetMode="External"/><Relationship Id="rId2878" Type="http://schemas.openxmlformats.org/officeDocument/2006/relationships/hyperlink" Target="https://pubmed.ncbi.nlm.nih.gov/34713365/" TargetMode="External"/><Relationship Id="rId1548" Type="http://schemas.openxmlformats.org/officeDocument/2006/relationships/hyperlink" Target="https://pubmed.ncbi.nlm.nih.gov/34824496/" TargetMode="External"/><Relationship Id="rId2879" Type="http://schemas.openxmlformats.org/officeDocument/2006/relationships/hyperlink" Target="https://pubmed.ncbi.nlm.nih.gov/29977732/" TargetMode="External"/><Relationship Id="rId1549" Type="http://schemas.openxmlformats.org/officeDocument/2006/relationships/hyperlink" Target="https://pubmed.ncbi.nlm.nih.gov/34738278/" TargetMode="External"/><Relationship Id="rId959" Type="http://schemas.openxmlformats.org/officeDocument/2006/relationships/hyperlink" Target="https://pubmed.ncbi.nlm.nih.gov/37612840/" TargetMode="External"/><Relationship Id="rId954" Type="http://schemas.openxmlformats.org/officeDocument/2006/relationships/hyperlink" Target="https://pubmed.ncbi.nlm.nih.gov/34019818/" TargetMode="External"/><Relationship Id="rId953" Type="http://schemas.openxmlformats.org/officeDocument/2006/relationships/hyperlink" Target="https://pubmed.ncbi.nlm.nih.gov/34921570/" TargetMode="External"/><Relationship Id="rId952" Type="http://schemas.openxmlformats.org/officeDocument/2006/relationships/hyperlink" Target="https://pubmed.ncbi.nlm.nih.gov/34858007/" TargetMode="External"/><Relationship Id="rId951" Type="http://schemas.openxmlformats.org/officeDocument/2006/relationships/hyperlink" Target="https://pubmed.ncbi.nlm.nih.gov/36054290/" TargetMode="External"/><Relationship Id="rId958" Type="http://schemas.openxmlformats.org/officeDocument/2006/relationships/hyperlink" Target="https://pubmed.ncbi.nlm.nih.gov/36233626/" TargetMode="External"/><Relationship Id="rId957" Type="http://schemas.openxmlformats.org/officeDocument/2006/relationships/hyperlink" Target="https://pubmed.ncbi.nlm.nih.gov/28944964/" TargetMode="External"/><Relationship Id="rId956" Type="http://schemas.openxmlformats.org/officeDocument/2006/relationships/hyperlink" Target="https://pubmed.ncbi.nlm.nih.gov/33141439/" TargetMode="External"/><Relationship Id="rId955" Type="http://schemas.openxmlformats.org/officeDocument/2006/relationships/hyperlink" Target="https://pubmed.ncbi.nlm.nih.gov/33433942/" TargetMode="External"/><Relationship Id="rId950" Type="http://schemas.openxmlformats.org/officeDocument/2006/relationships/hyperlink" Target="https://pubmed.ncbi.nlm.nih.gov/36416978/" TargetMode="External"/><Relationship Id="rId2870" Type="http://schemas.openxmlformats.org/officeDocument/2006/relationships/hyperlink" Target="https://pubmed.ncbi.nlm.nih.gov/25342734/" TargetMode="External"/><Relationship Id="rId1540" Type="http://schemas.openxmlformats.org/officeDocument/2006/relationships/hyperlink" Target="https://pubmed.ncbi.nlm.nih.gov/38268643/" TargetMode="External"/><Relationship Id="rId2871" Type="http://schemas.openxmlformats.org/officeDocument/2006/relationships/hyperlink" Target="https://pubmed.ncbi.nlm.nih.gov/23747577/" TargetMode="External"/><Relationship Id="rId1541" Type="http://schemas.openxmlformats.org/officeDocument/2006/relationships/hyperlink" Target="https://pubmed.ncbi.nlm.nih.gov/38031986/" TargetMode="External"/><Relationship Id="rId2872" Type="http://schemas.openxmlformats.org/officeDocument/2006/relationships/hyperlink" Target="https://pubmed.ncbi.nlm.nih.gov/23049920/" TargetMode="External"/><Relationship Id="rId1542" Type="http://schemas.openxmlformats.org/officeDocument/2006/relationships/hyperlink" Target="https://pubmed.ncbi.nlm.nih.gov/37583496/" TargetMode="External"/><Relationship Id="rId2873" Type="http://schemas.openxmlformats.org/officeDocument/2006/relationships/hyperlink" Target="https://pubmed.ncbi.nlm.nih.gov/20308557/" TargetMode="External"/><Relationship Id="rId2027" Type="http://schemas.openxmlformats.org/officeDocument/2006/relationships/hyperlink" Target="https://pubmed.ncbi.nlm.nih.gov/32571649/" TargetMode="External"/><Relationship Id="rId2028" Type="http://schemas.openxmlformats.org/officeDocument/2006/relationships/hyperlink" Target="https://pubmed.ncbi.nlm.nih.gov/32609566/" TargetMode="External"/><Relationship Id="rId2029" Type="http://schemas.openxmlformats.org/officeDocument/2006/relationships/hyperlink" Target="https://pubmed.ncbi.nlm.nih.gov/32081593/" TargetMode="External"/><Relationship Id="rId107" Type="http://schemas.openxmlformats.org/officeDocument/2006/relationships/hyperlink" Target="https://pubmed.ncbi.nlm.nih.gov/37379488/" TargetMode="External"/><Relationship Id="rId106" Type="http://schemas.openxmlformats.org/officeDocument/2006/relationships/hyperlink" Target="https://pubmed.ncbi.nlm.nih.gov/38888695/" TargetMode="External"/><Relationship Id="rId105" Type="http://schemas.openxmlformats.org/officeDocument/2006/relationships/hyperlink" Target="http://www.ncbi.nlm.nih.gov/pubmed/19347943" TargetMode="External"/><Relationship Id="rId104" Type="http://schemas.openxmlformats.org/officeDocument/2006/relationships/hyperlink" Target="https://pubmed.ncbi.nlm.nih.gov/24155513/" TargetMode="External"/><Relationship Id="rId109" Type="http://schemas.openxmlformats.org/officeDocument/2006/relationships/hyperlink" Target="https://pubmed.ncbi.nlm.nih.gov/35452299/" TargetMode="External"/><Relationship Id="rId108" Type="http://schemas.openxmlformats.org/officeDocument/2006/relationships/hyperlink" Target="https://pubmed.ncbi.nlm.nih.gov/36723764/" TargetMode="External"/><Relationship Id="rId2020" Type="http://schemas.openxmlformats.org/officeDocument/2006/relationships/hyperlink" Target="https://pubmed.ncbi.nlm.nih.gov/33840531/" TargetMode="External"/><Relationship Id="rId2021" Type="http://schemas.openxmlformats.org/officeDocument/2006/relationships/hyperlink" Target="https://pubmed.ncbi.nlm.nih.gov/34055122/" TargetMode="External"/><Relationship Id="rId2022" Type="http://schemas.openxmlformats.org/officeDocument/2006/relationships/hyperlink" Target="https://pubmed.ncbi.nlm.nih.gov/33733872/" TargetMode="External"/><Relationship Id="rId103" Type="http://schemas.openxmlformats.org/officeDocument/2006/relationships/hyperlink" Target="https://pubmed.ncbi.nlm.nih.gov/29214666/" TargetMode="External"/><Relationship Id="rId2023" Type="http://schemas.openxmlformats.org/officeDocument/2006/relationships/hyperlink" Target="https://pubmed.ncbi.nlm.nih.gov/33503217/" TargetMode="External"/><Relationship Id="rId102" Type="http://schemas.openxmlformats.org/officeDocument/2006/relationships/hyperlink" Target="https://www.ncbi.nlm.nih.gov/pubmed/32392363" TargetMode="External"/><Relationship Id="rId2024" Type="http://schemas.openxmlformats.org/officeDocument/2006/relationships/hyperlink" Target="https://pubmed.ncbi.nlm.nih.gov/33258041/" TargetMode="External"/><Relationship Id="rId101" Type="http://schemas.openxmlformats.org/officeDocument/2006/relationships/hyperlink" Target="https://pubmed.ncbi.nlm.nih.gov/32514865/" TargetMode="External"/><Relationship Id="rId2025" Type="http://schemas.openxmlformats.org/officeDocument/2006/relationships/hyperlink" Target="https://pubmed.ncbi.nlm.nih.gov/32990775/" TargetMode="External"/><Relationship Id="rId100" Type="http://schemas.openxmlformats.org/officeDocument/2006/relationships/hyperlink" Target="https://pubmed.ncbi.nlm.nih.gov/32656208/" TargetMode="External"/><Relationship Id="rId2026" Type="http://schemas.openxmlformats.org/officeDocument/2006/relationships/hyperlink" Target="https://pubmed.ncbi.nlm.nih.gov/32554917/" TargetMode="External"/><Relationship Id="rId2016" Type="http://schemas.openxmlformats.org/officeDocument/2006/relationships/hyperlink" Target="https://pubmed.ncbi.nlm.nih.gov/34607784/" TargetMode="External"/><Relationship Id="rId2017" Type="http://schemas.openxmlformats.org/officeDocument/2006/relationships/hyperlink" Target="https://pubmed.ncbi.nlm.nih.gov/34182967/" TargetMode="External"/><Relationship Id="rId2018" Type="http://schemas.openxmlformats.org/officeDocument/2006/relationships/hyperlink" Target="https://pubmed.ncbi.nlm.nih.gov/34328794/" TargetMode="External"/><Relationship Id="rId2019" Type="http://schemas.openxmlformats.org/officeDocument/2006/relationships/hyperlink" Target="https://pubmed.ncbi.nlm.nih.gov/33909012/" TargetMode="External"/><Relationship Id="rId2010" Type="http://schemas.openxmlformats.org/officeDocument/2006/relationships/hyperlink" Target="https://pubmed.ncbi.nlm.nih.gov/35304644/" TargetMode="External"/><Relationship Id="rId2011" Type="http://schemas.openxmlformats.org/officeDocument/2006/relationships/hyperlink" Target="https://pubmed.ncbi.nlm.nih.gov/35147645/" TargetMode="External"/><Relationship Id="rId2012" Type="http://schemas.openxmlformats.org/officeDocument/2006/relationships/hyperlink" Target="https://pubmed.ncbi.nlm.nih.gov/35082474/" TargetMode="External"/><Relationship Id="rId2013" Type="http://schemas.openxmlformats.org/officeDocument/2006/relationships/hyperlink" Target="https://pubmed.ncbi.nlm.nih.gov/34853360/" TargetMode="External"/><Relationship Id="rId2014" Type="http://schemas.openxmlformats.org/officeDocument/2006/relationships/hyperlink" Target="https://pubmed.ncbi.nlm.nih.gov/34887236/" TargetMode="External"/><Relationship Id="rId2015" Type="http://schemas.openxmlformats.org/officeDocument/2006/relationships/hyperlink" Target="https://pubmed.ncbi.nlm.nih.gov/34407180/" TargetMode="External"/><Relationship Id="rId2049" Type="http://schemas.openxmlformats.org/officeDocument/2006/relationships/hyperlink" Target="https://pubmed.ncbi.nlm.nih.gov/33425304/" TargetMode="External"/><Relationship Id="rId129" Type="http://schemas.openxmlformats.org/officeDocument/2006/relationships/hyperlink" Target="https://pubmed.ncbi.nlm.nih.gov/38095816/" TargetMode="External"/><Relationship Id="rId128" Type="http://schemas.openxmlformats.org/officeDocument/2006/relationships/hyperlink" Target="https://pubmed.ncbi.nlm.nih.gov/38367922/" TargetMode="External"/><Relationship Id="rId127" Type="http://schemas.openxmlformats.org/officeDocument/2006/relationships/hyperlink" Target="https://pubmed.ncbi.nlm.nih.gov/38387555/" TargetMode="External"/><Relationship Id="rId126" Type="http://schemas.openxmlformats.org/officeDocument/2006/relationships/hyperlink" Target="https://pubmed.ncbi.nlm.nih.gov/38538226/" TargetMode="External"/><Relationship Id="rId2040" Type="http://schemas.openxmlformats.org/officeDocument/2006/relationships/hyperlink" Target="https://pubmed.ncbi.nlm.nih.gov/37232778/" TargetMode="External"/><Relationship Id="rId121" Type="http://schemas.openxmlformats.org/officeDocument/2006/relationships/hyperlink" Target="https://pubmed.ncbi.nlm.nih.gov/34539346/" TargetMode="External"/><Relationship Id="rId2041" Type="http://schemas.openxmlformats.org/officeDocument/2006/relationships/hyperlink" Target="https://pubmed.ncbi.nlm.nih.gov/37241204/" TargetMode="External"/><Relationship Id="rId120" Type="http://schemas.openxmlformats.org/officeDocument/2006/relationships/hyperlink" Target="https://pubmed.ncbi.nlm.nih.gov/34596786/" TargetMode="External"/><Relationship Id="rId2042" Type="http://schemas.openxmlformats.org/officeDocument/2006/relationships/hyperlink" Target="https://pubmed.ncbi.nlm.nih.gov/37384201/" TargetMode="External"/><Relationship Id="rId2043" Type="http://schemas.openxmlformats.org/officeDocument/2006/relationships/hyperlink" Target="https://pubmed.ncbi.nlm.nih.gov/36507770/" TargetMode="External"/><Relationship Id="rId2044" Type="http://schemas.openxmlformats.org/officeDocument/2006/relationships/hyperlink" Target="https://pubmed.ncbi.nlm.nih.gov/36627695/" TargetMode="External"/><Relationship Id="rId125" Type="http://schemas.openxmlformats.org/officeDocument/2006/relationships/hyperlink" Target="https://pubmed.ncbi.nlm.nih.gov/38812393/" TargetMode="External"/><Relationship Id="rId2045" Type="http://schemas.openxmlformats.org/officeDocument/2006/relationships/hyperlink" Target="https://pubmed.ncbi.nlm.nih.gov/35717177/" TargetMode="External"/><Relationship Id="rId124" Type="http://schemas.openxmlformats.org/officeDocument/2006/relationships/hyperlink" Target="https://pubmed.ncbi.nlm.nih.gov/38773642/" TargetMode="External"/><Relationship Id="rId2046" Type="http://schemas.openxmlformats.org/officeDocument/2006/relationships/hyperlink" Target="https://pubmed.ncbi.nlm.nih.gov/35489689/" TargetMode="External"/><Relationship Id="rId123" Type="http://schemas.openxmlformats.org/officeDocument/2006/relationships/hyperlink" Target="https://pubmed.ncbi.nlm.nih.gov/38841181/" TargetMode="External"/><Relationship Id="rId2047" Type="http://schemas.openxmlformats.org/officeDocument/2006/relationships/hyperlink" Target="https://pubmed.ncbi.nlm.nih.gov/34670157/" TargetMode="External"/><Relationship Id="rId122" Type="http://schemas.openxmlformats.org/officeDocument/2006/relationships/hyperlink" Target="https://pubmed.ncbi.nlm.nih.gov/39036627/" TargetMode="External"/><Relationship Id="rId2048" Type="http://schemas.openxmlformats.org/officeDocument/2006/relationships/hyperlink" Target="https://pubmed.ncbi.nlm.nih.gov/34188771/" TargetMode="External"/><Relationship Id="rId2038" Type="http://schemas.openxmlformats.org/officeDocument/2006/relationships/hyperlink" Target="https://pubmed.ncbi.nlm.nih.gov/38217350/" TargetMode="External"/><Relationship Id="rId2039" Type="http://schemas.openxmlformats.org/officeDocument/2006/relationships/hyperlink" Target="https://pubmed.ncbi.nlm.nih.gov/38144942/" TargetMode="External"/><Relationship Id="rId118" Type="http://schemas.openxmlformats.org/officeDocument/2006/relationships/hyperlink" Target="https://pubmed.ncbi.nlm.nih.gov/33340792/" TargetMode="External"/><Relationship Id="rId117" Type="http://schemas.openxmlformats.org/officeDocument/2006/relationships/hyperlink" Target="https://pubmed.ncbi.nlm.nih.gov/32973577/" TargetMode="External"/><Relationship Id="rId116" Type="http://schemas.openxmlformats.org/officeDocument/2006/relationships/hyperlink" Target="https://pubmed.ncbi.nlm.nih.gov/34447323/" TargetMode="External"/><Relationship Id="rId115" Type="http://schemas.openxmlformats.org/officeDocument/2006/relationships/hyperlink" Target="https://pubmed.ncbi.nlm.nih.gov/38252491/" TargetMode="External"/><Relationship Id="rId119" Type="http://schemas.openxmlformats.org/officeDocument/2006/relationships/hyperlink" Target="https://pubmed.ncbi.nlm.nih.gov/35368252/" TargetMode="External"/><Relationship Id="rId110" Type="http://schemas.openxmlformats.org/officeDocument/2006/relationships/hyperlink" Target="https://pubmed.ncbi.nlm.nih.gov/32828282/" TargetMode="External"/><Relationship Id="rId2030" Type="http://schemas.openxmlformats.org/officeDocument/2006/relationships/hyperlink" Target="https://pubmed.ncbi.nlm.nih.gov/32438716/" TargetMode="External"/><Relationship Id="rId2031" Type="http://schemas.openxmlformats.org/officeDocument/2006/relationships/hyperlink" Target="https://pubmed.ncbi.nlm.nih.gov/26622279/" TargetMode="External"/><Relationship Id="rId2032" Type="http://schemas.openxmlformats.org/officeDocument/2006/relationships/hyperlink" Target="https://pubmed.ncbi.nlm.nih.gov/18713151/" TargetMode="External"/><Relationship Id="rId2033" Type="http://schemas.openxmlformats.org/officeDocument/2006/relationships/hyperlink" Target="https://www.ncbi.nlm.nih.gov/pubmed/16706698" TargetMode="External"/><Relationship Id="rId114" Type="http://schemas.openxmlformats.org/officeDocument/2006/relationships/hyperlink" Target="https://pubmed.ncbi.nlm.nih.gov/38039628/" TargetMode="External"/><Relationship Id="rId2034" Type="http://schemas.openxmlformats.org/officeDocument/2006/relationships/hyperlink" Target="https://pubmed.ncbi.nlm.nih.gov/38405576/" TargetMode="External"/><Relationship Id="rId113" Type="http://schemas.openxmlformats.org/officeDocument/2006/relationships/hyperlink" Target="https://pubmed.ncbi.nlm.nih.gov/33052249/" TargetMode="External"/><Relationship Id="rId2035" Type="http://schemas.openxmlformats.org/officeDocument/2006/relationships/hyperlink" Target="https://pubmed.ncbi.nlm.nih.gov/38978136/" TargetMode="External"/><Relationship Id="rId112" Type="http://schemas.openxmlformats.org/officeDocument/2006/relationships/hyperlink" Target="http://www.ncbi.nlm.nih.gov/pubmed/22138375" TargetMode="External"/><Relationship Id="rId2036" Type="http://schemas.openxmlformats.org/officeDocument/2006/relationships/hyperlink" Target="https://pubmed.ncbi.nlm.nih.gov/38662503/" TargetMode="External"/><Relationship Id="rId111" Type="http://schemas.openxmlformats.org/officeDocument/2006/relationships/hyperlink" Target="https://pubmed.ncbi.nlm.nih.gov/32922592/" TargetMode="External"/><Relationship Id="rId2037" Type="http://schemas.openxmlformats.org/officeDocument/2006/relationships/hyperlink" Target="https://pubmed.ncbi.nlm.nih.gov/38691821/" TargetMode="External"/><Relationship Id="rId2005" Type="http://schemas.openxmlformats.org/officeDocument/2006/relationships/hyperlink" Target="https://pubmed.ncbi.nlm.nih.gov/36578856/" TargetMode="External"/><Relationship Id="rId2006" Type="http://schemas.openxmlformats.org/officeDocument/2006/relationships/hyperlink" Target="https://pubmed.ncbi.nlm.nih.gov/36129485/" TargetMode="External"/><Relationship Id="rId2007" Type="http://schemas.openxmlformats.org/officeDocument/2006/relationships/hyperlink" Target="https://pubmed.ncbi.nlm.nih.gov/36107224/" TargetMode="External"/><Relationship Id="rId2008" Type="http://schemas.openxmlformats.org/officeDocument/2006/relationships/hyperlink" Target="https://pubmed.ncbi.nlm.nih.gov/35710926/" TargetMode="External"/><Relationship Id="rId2009" Type="http://schemas.openxmlformats.org/officeDocument/2006/relationships/hyperlink" Target="https://pubmed.ncbi.nlm.nih.gov/35344012/" TargetMode="External"/><Relationship Id="rId2000" Type="http://schemas.openxmlformats.org/officeDocument/2006/relationships/hyperlink" Target="https://pubmed.ncbi.nlm.nih.gov/36832513/" TargetMode="External"/><Relationship Id="rId2001" Type="http://schemas.openxmlformats.org/officeDocument/2006/relationships/hyperlink" Target="https://pubmed.ncbi.nlm.nih.gov/36819422/" TargetMode="External"/><Relationship Id="rId2002" Type="http://schemas.openxmlformats.org/officeDocument/2006/relationships/hyperlink" Target="https://pubmed.ncbi.nlm.nih.gov/36798780/" TargetMode="External"/><Relationship Id="rId2003" Type="http://schemas.openxmlformats.org/officeDocument/2006/relationships/hyperlink" Target="https://pubmed.ncbi.nlm.nih.gov/36807215/" TargetMode="External"/><Relationship Id="rId2004" Type="http://schemas.openxmlformats.org/officeDocument/2006/relationships/hyperlink" Target="https://pubmed.ncbi.nlm.nih.gov/36547046/" TargetMode="External"/><Relationship Id="rId2090" Type="http://schemas.openxmlformats.org/officeDocument/2006/relationships/hyperlink" Target="https://pubmed.ncbi.nlm.nih.gov/32613416/" TargetMode="External"/><Relationship Id="rId2091" Type="http://schemas.openxmlformats.org/officeDocument/2006/relationships/hyperlink" Target="https://pubmed.ncbi.nlm.nih.gov/33425297/" TargetMode="External"/><Relationship Id="rId2092" Type="http://schemas.openxmlformats.org/officeDocument/2006/relationships/hyperlink" Target="https://pubmed.ncbi.nlm.nih.gov/38236306/" TargetMode="External"/><Relationship Id="rId2093" Type="http://schemas.openxmlformats.org/officeDocument/2006/relationships/hyperlink" Target="https://pubmed.ncbi.nlm.nih.gov/37817126/" TargetMode="External"/><Relationship Id="rId2094" Type="http://schemas.openxmlformats.org/officeDocument/2006/relationships/hyperlink" Target="https://pubmed.ncbi.nlm.nih.gov/37336520/" TargetMode="External"/><Relationship Id="rId2095" Type="http://schemas.openxmlformats.org/officeDocument/2006/relationships/hyperlink" Target="https://pubmed.ncbi.nlm.nih.gov/36857622/" TargetMode="External"/><Relationship Id="rId2096" Type="http://schemas.openxmlformats.org/officeDocument/2006/relationships/hyperlink" Target="https://pubmed.ncbi.nlm.nih.gov/35187872/" TargetMode="External"/><Relationship Id="rId2097" Type="http://schemas.openxmlformats.org/officeDocument/2006/relationships/hyperlink" Target="https://pubmed.ncbi.nlm.nih.gov/34002343/" TargetMode="External"/><Relationship Id="rId2098" Type="http://schemas.openxmlformats.org/officeDocument/2006/relationships/hyperlink" Target="https://pubmed.ncbi.nlm.nih.gov/38845170/" TargetMode="External"/><Relationship Id="rId2099" Type="http://schemas.openxmlformats.org/officeDocument/2006/relationships/hyperlink" Target="https://pubmed.ncbi.nlm.nih.gov/38591787/" TargetMode="External"/><Relationship Id="rId2060" Type="http://schemas.openxmlformats.org/officeDocument/2006/relationships/hyperlink" Target="https://pubmed.ncbi.nlm.nih.gov/37140820/" TargetMode="External"/><Relationship Id="rId2061" Type="http://schemas.openxmlformats.org/officeDocument/2006/relationships/hyperlink" Target="https://pubmed.ncbi.nlm.nih.gov/35602530/" TargetMode="External"/><Relationship Id="rId2062" Type="http://schemas.openxmlformats.org/officeDocument/2006/relationships/hyperlink" Target="https://pubmed.ncbi.nlm.nih.gov/35481343/" TargetMode="External"/><Relationship Id="rId2063" Type="http://schemas.openxmlformats.org/officeDocument/2006/relationships/hyperlink" Target="https://pubmed.ncbi.nlm.nih.gov/35321295/" TargetMode="External"/><Relationship Id="rId2064" Type="http://schemas.openxmlformats.org/officeDocument/2006/relationships/hyperlink" Target="https://www.mdpi.com/2304-6732/9/3/138" TargetMode="External"/><Relationship Id="rId2065" Type="http://schemas.openxmlformats.org/officeDocument/2006/relationships/hyperlink" Target="https://pubmed.ncbi.nlm.nih.gov/33802497/" TargetMode="External"/><Relationship Id="rId2066" Type="http://schemas.openxmlformats.org/officeDocument/2006/relationships/hyperlink" Target="https://pubmed.ncbi.nlm.nih.gov/34787762/" TargetMode="External"/><Relationship Id="rId2067" Type="http://schemas.openxmlformats.org/officeDocument/2006/relationships/hyperlink" Target="https://pubmed.ncbi.nlm.nih.gov/33170372/" TargetMode="External"/><Relationship Id="rId2068" Type="http://schemas.openxmlformats.org/officeDocument/2006/relationships/hyperlink" Target="https://pubmed.ncbi.nlm.nih.gov/34586213/" TargetMode="External"/><Relationship Id="rId2069" Type="http://schemas.openxmlformats.org/officeDocument/2006/relationships/hyperlink" Target="https://pubmed.ncbi.nlm.nih.gov/33547665/" TargetMode="External"/><Relationship Id="rId2050" Type="http://schemas.openxmlformats.org/officeDocument/2006/relationships/hyperlink" Target="https://pubmed.ncbi.nlm.nih.gov/33138266/" TargetMode="External"/><Relationship Id="rId2051" Type="http://schemas.openxmlformats.org/officeDocument/2006/relationships/hyperlink" Target="https://pubmed.ncbi.nlm.nih.gov/32818642/" TargetMode="External"/><Relationship Id="rId2052" Type="http://schemas.openxmlformats.org/officeDocument/2006/relationships/hyperlink" Target="https://pubmed.ncbi.nlm.nih.gov/32464267/" TargetMode="External"/><Relationship Id="rId2053" Type="http://schemas.openxmlformats.org/officeDocument/2006/relationships/hyperlink" Target="https://pubmed.ncbi.nlm.nih.gov/33747516/" TargetMode="External"/><Relationship Id="rId2054" Type="http://schemas.openxmlformats.org/officeDocument/2006/relationships/hyperlink" Target="https://pubmed.ncbi.nlm.nih.gov/34290755/" TargetMode="External"/><Relationship Id="rId2055" Type="http://schemas.openxmlformats.org/officeDocument/2006/relationships/hyperlink" Target="https://pubmed.ncbi.nlm.nih.gov/34939836/" TargetMode="External"/><Relationship Id="rId2056" Type="http://schemas.openxmlformats.org/officeDocument/2006/relationships/hyperlink" Target="https://pubmed.ncbi.nlm.nih.gov/33036145/" TargetMode="External"/><Relationship Id="rId2057" Type="http://schemas.openxmlformats.org/officeDocument/2006/relationships/hyperlink" Target="https://pubmed.ncbi.nlm.nih.gov/38541163/" TargetMode="External"/><Relationship Id="rId2058" Type="http://schemas.openxmlformats.org/officeDocument/2006/relationships/hyperlink" Target="https://pubmed.ncbi.nlm.nih.gov/38812655/" TargetMode="External"/><Relationship Id="rId2059" Type="http://schemas.openxmlformats.org/officeDocument/2006/relationships/hyperlink" Target="https://pubmed.ncbi.nlm.nih.gov/37709984/" TargetMode="External"/><Relationship Id="rId2080" Type="http://schemas.openxmlformats.org/officeDocument/2006/relationships/hyperlink" Target="https://pubmed.ncbi.nlm.nih.gov/35290532/" TargetMode="External"/><Relationship Id="rId2081" Type="http://schemas.openxmlformats.org/officeDocument/2006/relationships/hyperlink" Target="https://pubmed.ncbi.nlm.nih.gov/32758076/" TargetMode="External"/><Relationship Id="rId2082" Type="http://schemas.openxmlformats.org/officeDocument/2006/relationships/hyperlink" Target="https://pubmed.ncbi.nlm.nih.gov/36276235/" TargetMode="External"/><Relationship Id="rId2083" Type="http://schemas.openxmlformats.org/officeDocument/2006/relationships/hyperlink" Target="https://pubmed.ncbi.nlm.nih.gov/38438004/" TargetMode="External"/><Relationship Id="rId2084" Type="http://schemas.openxmlformats.org/officeDocument/2006/relationships/hyperlink" Target="https://pubmed.ncbi.nlm.nih.gov/36909061/" TargetMode="External"/><Relationship Id="rId2085" Type="http://schemas.openxmlformats.org/officeDocument/2006/relationships/hyperlink" Target="https://pubmed.ncbi.nlm.nih.gov/36983349/" TargetMode="External"/><Relationship Id="rId2086" Type="http://schemas.openxmlformats.org/officeDocument/2006/relationships/hyperlink" Target="https://pubmed.ncbi.nlm.nih.gov/36752882/" TargetMode="External"/><Relationship Id="rId2087" Type="http://schemas.openxmlformats.org/officeDocument/2006/relationships/hyperlink" Target="https://pubmed.ncbi.nlm.nih.gov/36504197/" TargetMode="External"/><Relationship Id="rId2088" Type="http://schemas.openxmlformats.org/officeDocument/2006/relationships/hyperlink" Target="https://pubmed.ncbi.nlm.nih.gov/35885827/" TargetMode="External"/><Relationship Id="rId2089" Type="http://schemas.openxmlformats.org/officeDocument/2006/relationships/hyperlink" Target="https://pubmed.ncbi.nlm.nih.gov/35919684/" TargetMode="External"/><Relationship Id="rId2070" Type="http://schemas.openxmlformats.org/officeDocument/2006/relationships/hyperlink" Target="https://pubmed.ncbi.nlm.nih.gov/32941479/" TargetMode="External"/><Relationship Id="rId2071" Type="http://schemas.openxmlformats.org/officeDocument/2006/relationships/hyperlink" Target="https://pubmed.ncbi.nlm.nih.gov/32833578/" TargetMode="External"/><Relationship Id="rId2072" Type="http://schemas.openxmlformats.org/officeDocument/2006/relationships/hyperlink" Target="https://pubmed.ncbi.nlm.nih.gov/32824321/" TargetMode="External"/><Relationship Id="rId2073" Type="http://schemas.openxmlformats.org/officeDocument/2006/relationships/hyperlink" Target="https://pubmed.ncbi.nlm.nih.gov/33098680/" TargetMode="External"/><Relationship Id="rId2074" Type="http://schemas.openxmlformats.org/officeDocument/2006/relationships/hyperlink" Target="https://pubmed.ncbi.nlm.nih.gov/25568808/" TargetMode="External"/><Relationship Id="rId2075" Type="http://schemas.openxmlformats.org/officeDocument/2006/relationships/hyperlink" Target="https://pubmed.ncbi.nlm.nih.gov/35483098/" TargetMode="External"/><Relationship Id="rId2076" Type="http://schemas.openxmlformats.org/officeDocument/2006/relationships/hyperlink" Target="https://www.koreascience.or.kr/article/JAKO201720861274171.page" TargetMode="External"/><Relationship Id="rId2077" Type="http://schemas.openxmlformats.org/officeDocument/2006/relationships/hyperlink" Target="https://pubmed.ncbi.nlm.nih.gov/26491573/" TargetMode="External"/><Relationship Id="rId2078" Type="http://schemas.openxmlformats.org/officeDocument/2006/relationships/hyperlink" Target="https://pubmed.ncbi.nlm.nih.gov/35024960/" TargetMode="External"/><Relationship Id="rId2079" Type="http://schemas.openxmlformats.org/officeDocument/2006/relationships/hyperlink" Target="https://pubmed.ncbi.nlm.nih.gov/38524013/" TargetMode="External"/><Relationship Id="rId2940" Type="http://schemas.openxmlformats.org/officeDocument/2006/relationships/hyperlink" Target="https://pubmed.ncbi.nlm.nih.gov/38502975/" TargetMode="External"/><Relationship Id="rId1610" Type="http://schemas.openxmlformats.org/officeDocument/2006/relationships/hyperlink" Target="https://pubmed.ncbi.nlm.nih.gov/35565077/" TargetMode="External"/><Relationship Id="rId2941" Type="http://schemas.openxmlformats.org/officeDocument/2006/relationships/hyperlink" Target="https://pubmed.ncbi.nlm.nih.gov/36046465/" TargetMode="External"/><Relationship Id="rId1611" Type="http://schemas.openxmlformats.org/officeDocument/2006/relationships/hyperlink" Target="https://pubmed.ncbi.nlm.nih.gov/35064588/" TargetMode="External"/><Relationship Id="rId2942" Type="http://schemas.openxmlformats.org/officeDocument/2006/relationships/hyperlink" Target="https://pubmed.ncbi.nlm.nih.gov/35389054/" TargetMode="External"/><Relationship Id="rId1612" Type="http://schemas.openxmlformats.org/officeDocument/2006/relationships/hyperlink" Target="https://pubmed.ncbi.nlm.nih.gov/34250918/" TargetMode="External"/><Relationship Id="rId2943" Type="http://schemas.openxmlformats.org/officeDocument/2006/relationships/hyperlink" Target="https://pubmed.ncbi.nlm.nih.gov/38017192/" TargetMode="External"/><Relationship Id="rId1613" Type="http://schemas.openxmlformats.org/officeDocument/2006/relationships/hyperlink" Target="https://pubmed.ncbi.nlm.nih.gov/33909731/" TargetMode="External"/><Relationship Id="rId2944" Type="http://schemas.openxmlformats.org/officeDocument/2006/relationships/hyperlink" Target="https://pubmed.ncbi.nlm.nih.gov/36769752/" TargetMode="External"/><Relationship Id="rId1614" Type="http://schemas.openxmlformats.org/officeDocument/2006/relationships/hyperlink" Target="https://pubmed.ncbi.nlm.nih.gov/36162887/" TargetMode="External"/><Relationship Id="rId2945" Type="http://schemas.openxmlformats.org/officeDocument/2006/relationships/hyperlink" Target="https://pubmed.ncbi.nlm.nih.gov/38861499/" TargetMode="External"/><Relationship Id="rId1615" Type="http://schemas.openxmlformats.org/officeDocument/2006/relationships/hyperlink" Target="https://www.sciencedirect.com/science/article/pii/S2666469021000476" TargetMode="External"/><Relationship Id="rId2946" Type="http://schemas.openxmlformats.org/officeDocument/2006/relationships/hyperlink" Target="https://pubmed.ncbi.nlm.nih.gov/38938435/" TargetMode="External"/><Relationship Id="rId1616" Type="http://schemas.openxmlformats.org/officeDocument/2006/relationships/hyperlink" Target="https://pubmed.ncbi.nlm.nih.gov/38914185/" TargetMode="External"/><Relationship Id="rId2947" Type="http://schemas.openxmlformats.org/officeDocument/2006/relationships/hyperlink" Target="https://pubmed.ncbi.nlm.nih.gov/38540004/" TargetMode="External"/><Relationship Id="rId907" Type="http://schemas.openxmlformats.org/officeDocument/2006/relationships/hyperlink" Target="https://pubmed.ncbi.nlm.nih.gov/38429917/" TargetMode="External"/><Relationship Id="rId1617" Type="http://schemas.openxmlformats.org/officeDocument/2006/relationships/hyperlink" Target="https://pubmed.ncbi.nlm.nih.gov/37650019/" TargetMode="External"/><Relationship Id="rId2948" Type="http://schemas.openxmlformats.org/officeDocument/2006/relationships/hyperlink" Target="https://pubmed.ncbi.nlm.nih.gov/33471429/" TargetMode="External"/><Relationship Id="rId906" Type="http://schemas.openxmlformats.org/officeDocument/2006/relationships/hyperlink" Target="https://pubmed.ncbi.nlm.nih.gov/38725143/" TargetMode="External"/><Relationship Id="rId1618" Type="http://schemas.openxmlformats.org/officeDocument/2006/relationships/hyperlink" Target="https://pubmed.ncbi.nlm.nih.gov/38344646/" TargetMode="External"/><Relationship Id="rId2949" Type="http://schemas.openxmlformats.org/officeDocument/2006/relationships/hyperlink" Target="https://pubmed.ncbi.nlm.nih.gov/36136721/" TargetMode="External"/><Relationship Id="rId905" Type="http://schemas.openxmlformats.org/officeDocument/2006/relationships/hyperlink" Target="https://pubmed.ncbi.nlm.nih.gov/38852607/" TargetMode="External"/><Relationship Id="rId1619" Type="http://schemas.openxmlformats.org/officeDocument/2006/relationships/hyperlink" Target="https://pubmed.ncbi.nlm.nih.gov/37326505/" TargetMode="External"/><Relationship Id="rId904" Type="http://schemas.openxmlformats.org/officeDocument/2006/relationships/hyperlink" Target="https://pubmed.ncbi.nlm.nih.gov/12956694/" TargetMode="External"/><Relationship Id="rId909" Type="http://schemas.openxmlformats.org/officeDocument/2006/relationships/hyperlink" Target="https://pubmed.ncbi.nlm.nih.gov/38211777/" TargetMode="External"/><Relationship Id="rId908" Type="http://schemas.openxmlformats.org/officeDocument/2006/relationships/hyperlink" Target="https://pubmed.ncbi.nlm.nih.gov/38298748/" TargetMode="External"/><Relationship Id="rId903" Type="http://schemas.openxmlformats.org/officeDocument/2006/relationships/hyperlink" Target="https://pubmed.ncbi.nlm.nih.gov/36800063/" TargetMode="External"/><Relationship Id="rId902" Type="http://schemas.openxmlformats.org/officeDocument/2006/relationships/hyperlink" Target="https://pubmed.ncbi.nlm.nih.gov/37583500/" TargetMode="External"/><Relationship Id="rId901" Type="http://schemas.openxmlformats.org/officeDocument/2006/relationships/hyperlink" Target="https://pubmed.ncbi.nlm.nih.gov/32503238/" TargetMode="External"/><Relationship Id="rId900" Type="http://schemas.openxmlformats.org/officeDocument/2006/relationships/hyperlink" Target="https://link.springer.com/chapter/10.1007/978-3-030-45351-0_37" TargetMode="External"/><Relationship Id="rId2930" Type="http://schemas.openxmlformats.org/officeDocument/2006/relationships/hyperlink" Target="https://pubmed.ncbi.nlm.nih.gov/38048090/" TargetMode="External"/><Relationship Id="rId1600" Type="http://schemas.openxmlformats.org/officeDocument/2006/relationships/hyperlink" Target="https://pubmed.ncbi.nlm.nih.gov/35601476/" TargetMode="External"/><Relationship Id="rId2931" Type="http://schemas.openxmlformats.org/officeDocument/2006/relationships/hyperlink" Target="https://pubmed.ncbi.nlm.nih.gov/36695923/" TargetMode="External"/><Relationship Id="rId1601" Type="http://schemas.openxmlformats.org/officeDocument/2006/relationships/hyperlink" Target="https://pubmed.ncbi.nlm.nih.gov/35101621/" TargetMode="External"/><Relationship Id="rId2932" Type="http://schemas.openxmlformats.org/officeDocument/2006/relationships/hyperlink" Target="https://pubmed.ncbi.nlm.nih.gov/36780992/" TargetMode="External"/><Relationship Id="rId1602" Type="http://schemas.openxmlformats.org/officeDocument/2006/relationships/hyperlink" Target="https://pubmed.ncbi.nlm.nih.gov/33813018/" TargetMode="External"/><Relationship Id="rId2933" Type="http://schemas.openxmlformats.org/officeDocument/2006/relationships/hyperlink" Target="https://pubmed.ncbi.nlm.nih.gov/36240857/" TargetMode="External"/><Relationship Id="rId1603" Type="http://schemas.openxmlformats.org/officeDocument/2006/relationships/hyperlink" Target="https://pubmed.ncbi.nlm.nih.gov/34408110/" TargetMode="External"/><Relationship Id="rId2934" Type="http://schemas.openxmlformats.org/officeDocument/2006/relationships/hyperlink" Target="https://pubmed.ncbi.nlm.nih.gov/35872869/" TargetMode="External"/><Relationship Id="rId1604" Type="http://schemas.openxmlformats.org/officeDocument/2006/relationships/hyperlink" Target="https://pubmed.ncbi.nlm.nih.gov/37519317/" TargetMode="External"/><Relationship Id="rId2935" Type="http://schemas.openxmlformats.org/officeDocument/2006/relationships/hyperlink" Target="https://pubmed.ncbi.nlm.nih.gov/34341968/" TargetMode="External"/><Relationship Id="rId1605" Type="http://schemas.openxmlformats.org/officeDocument/2006/relationships/hyperlink" Target="https://pubmed.ncbi.nlm.nih.gov/37374381/" TargetMode="External"/><Relationship Id="rId2936" Type="http://schemas.openxmlformats.org/officeDocument/2006/relationships/hyperlink" Target="https://pubmed.ncbi.nlm.nih.gov/33895984/" TargetMode="External"/><Relationship Id="rId1606" Type="http://schemas.openxmlformats.org/officeDocument/2006/relationships/hyperlink" Target="https://pubmed.ncbi.nlm.nih.gov/37102010/" TargetMode="External"/><Relationship Id="rId2937" Type="http://schemas.openxmlformats.org/officeDocument/2006/relationships/hyperlink" Target="https://pubmed.ncbi.nlm.nih.gov/33234463/" TargetMode="External"/><Relationship Id="rId1607" Type="http://schemas.openxmlformats.org/officeDocument/2006/relationships/hyperlink" Target="https://pubmed.ncbi.nlm.nih.gov/32662840/" TargetMode="External"/><Relationship Id="rId2938" Type="http://schemas.openxmlformats.org/officeDocument/2006/relationships/hyperlink" Target="https://pubmed.ncbi.nlm.nih.gov/33259806/" TargetMode="External"/><Relationship Id="rId1608" Type="http://schemas.openxmlformats.org/officeDocument/2006/relationships/hyperlink" Target="https://pubmed.ncbi.nlm.nih.gov/33844114/" TargetMode="External"/><Relationship Id="rId2939" Type="http://schemas.openxmlformats.org/officeDocument/2006/relationships/hyperlink" Target="https://pubmed.ncbi.nlm.nih.gov/38155427/" TargetMode="External"/><Relationship Id="rId1609" Type="http://schemas.openxmlformats.org/officeDocument/2006/relationships/hyperlink" Target="https://pubmed.ncbi.nlm.nih.gov/35356167/" TargetMode="External"/><Relationship Id="rId1631" Type="http://schemas.openxmlformats.org/officeDocument/2006/relationships/hyperlink" Target="https://pubmed.ncbi.nlm.nih.gov/32587488/" TargetMode="External"/><Relationship Id="rId2962" Type="http://schemas.openxmlformats.org/officeDocument/2006/relationships/hyperlink" Target="https://pubmed.ncbi.nlm.nih.gov/26447182/" TargetMode="External"/><Relationship Id="rId1632" Type="http://schemas.openxmlformats.org/officeDocument/2006/relationships/hyperlink" Target="https://pubmed.ncbi.nlm.nih.gov/33337926/" TargetMode="External"/><Relationship Id="rId2963" Type="http://schemas.openxmlformats.org/officeDocument/2006/relationships/hyperlink" Target="https://pubmed.ncbi.nlm.nih.gov/10424710/" TargetMode="External"/><Relationship Id="rId1633" Type="http://schemas.openxmlformats.org/officeDocument/2006/relationships/hyperlink" Target="https://pubmed.ncbi.nlm.nih.gov/36437584/" TargetMode="External"/><Relationship Id="rId2964" Type="http://schemas.openxmlformats.org/officeDocument/2006/relationships/hyperlink" Target="https://pubmed.ncbi.nlm.nih.gov/36470513/" TargetMode="External"/><Relationship Id="rId1634" Type="http://schemas.openxmlformats.org/officeDocument/2006/relationships/hyperlink" Target="https://pubmed.ncbi.nlm.nih.gov/38821658/" TargetMode="External"/><Relationship Id="rId2965" Type="http://schemas.openxmlformats.org/officeDocument/2006/relationships/hyperlink" Target="https://pubmed.ncbi.nlm.nih.gov/32751064/" TargetMode="External"/><Relationship Id="rId1635" Type="http://schemas.openxmlformats.org/officeDocument/2006/relationships/hyperlink" Target="https://pubmed.ncbi.nlm.nih.gov/37316315/" TargetMode="External"/><Relationship Id="rId2966" Type="http://schemas.openxmlformats.org/officeDocument/2006/relationships/hyperlink" Target="https://pubmed.ncbi.nlm.nih.gov/36964028/" TargetMode="External"/><Relationship Id="rId1636" Type="http://schemas.openxmlformats.org/officeDocument/2006/relationships/hyperlink" Target="https://pubmed.ncbi.nlm.nih.gov/36835953/" TargetMode="External"/><Relationship Id="rId2967" Type="http://schemas.openxmlformats.org/officeDocument/2006/relationships/hyperlink" Target="https://pubmed.ncbi.nlm.nih.gov/36830454/" TargetMode="External"/><Relationship Id="rId1637" Type="http://schemas.openxmlformats.org/officeDocument/2006/relationships/hyperlink" Target="https://pubmed.ncbi.nlm.nih.gov/36556361/" TargetMode="External"/><Relationship Id="rId2968" Type="http://schemas.openxmlformats.org/officeDocument/2006/relationships/hyperlink" Target="https://pubmed.ncbi.nlm.nih.gov/33504091/" TargetMode="External"/><Relationship Id="rId1638" Type="http://schemas.openxmlformats.org/officeDocument/2006/relationships/hyperlink" Target="https://pubmed.ncbi.nlm.nih.gov/35533226/" TargetMode="External"/><Relationship Id="rId2969" Type="http://schemas.openxmlformats.org/officeDocument/2006/relationships/hyperlink" Target="https://pubmed.ncbi.nlm.nih.gov/37729333/" TargetMode="External"/><Relationship Id="rId929" Type="http://schemas.openxmlformats.org/officeDocument/2006/relationships/hyperlink" Target="https://pubmed.ncbi.nlm.nih.gov/34418549/" TargetMode="External"/><Relationship Id="rId1639" Type="http://schemas.openxmlformats.org/officeDocument/2006/relationships/hyperlink" Target="https://pubmed.ncbi.nlm.nih.gov/34678743/" TargetMode="External"/><Relationship Id="rId928" Type="http://schemas.openxmlformats.org/officeDocument/2006/relationships/hyperlink" Target="https://pubmed.ncbi.nlm.nih.gov/34053597/" TargetMode="External"/><Relationship Id="rId927" Type="http://schemas.openxmlformats.org/officeDocument/2006/relationships/hyperlink" Target="https://pubmed.ncbi.nlm.nih.gov/34546105/" TargetMode="External"/><Relationship Id="rId926" Type="http://schemas.openxmlformats.org/officeDocument/2006/relationships/hyperlink" Target="https://pubmed.ncbi.nlm.nih.gov/34741573/" TargetMode="External"/><Relationship Id="rId921" Type="http://schemas.openxmlformats.org/officeDocument/2006/relationships/hyperlink" Target="https://pubmed.ncbi.nlm.nih.gov/35510860/" TargetMode="External"/><Relationship Id="rId920" Type="http://schemas.openxmlformats.org/officeDocument/2006/relationships/hyperlink" Target="https://pubmed.ncbi.nlm.nih.gov/35749704/" TargetMode="External"/><Relationship Id="rId925" Type="http://schemas.openxmlformats.org/officeDocument/2006/relationships/hyperlink" Target="https://pubmed.ncbi.nlm.nih.gov/34980962/" TargetMode="External"/><Relationship Id="rId924" Type="http://schemas.openxmlformats.org/officeDocument/2006/relationships/hyperlink" Target="https://pubmed.ncbi.nlm.nih.gov/35190067/" TargetMode="External"/><Relationship Id="rId923" Type="http://schemas.openxmlformats.org/officeDocument/2006/relationships/hyperlink" Target="https://pubmed.ncbi.nlm.nih.gov/35133519/" TargetMode="External"/><Relationship Id="rId922" Type="http://schemas.openxmlformats.org/officeDocument/2006/relationships/hyperlink" Target="https://pubmed.ncbi.nlm.nih.gov/35283601/" TargetMode="External"/><Relationship Id="rId2960" Type="http://schemas.openxmlformats.org/officeDocument/2006/relationships/hyperlink" Target="https://pubmed.ncbi.nlm.nih.gov/35155163/" TargetMode="External"/><Relationship Id="rId1630" Type="http://schemas.openxmlformats.org/officeDocument/2006/relationships/hyperlink" Target="https://pubmed.ncbi.nlm.nih.gov/33063461/" TargetMode="External"/><Relationship Id="rId2961" Type="http://schemas.openxmlformats.org/officeDocument/2006/relationships/hyperlink" Target="https://pubmed.ncbi.nlm.nih.gov/32212345/" TargetMode="External"/><Relationship Id="rId1620" Type="http://schemas.openxmlformats.org/officeDocument/2006/relationships/hyperlink" Target="https://pubmed.ncbi.nlm.nih.gov/36856530/" TargetMode="External"/><Relationship Id="rId2951" Type="http://schemas.openxmlformats.org/officeDocument/2006/relationships/hyperlink" Target="https://pubmed.ncbi.nlm.nih.gov/36639946/" TargetMode="External"/><Relationship Id="rId1621" Type="http://schemas.openxmlformats.org/officeDocument/2006/relationships/hyperlink" Target="https://pubmed.ncbi.nlm.nih.gov/36541106/" TargetMode="External"/><Relationship Id="rId2952" Type="http://schemas.openxmlformats.org/officeDocument/2006/relationships/hyperlink" Target="https://pubmed.ncbi.nlm.nih.gov/35795783/" TargetMode="External"/><Relationship Id="rId1622" Type="http://schemas.openxmlformats.org/officeDocument/2006/relationships/hyperlink" Target="https://pubmed.ncbi.nlm.nih.gov/35749706/" TargetMode="External"/><Relationship Id="rId2953" Type="http://schemas.openxmlformats.org/officeDocument/2006/relationships/hyperlink" Target="https://pubmed.ncbi.nlm.nih.gov/37788452/" TargetMode="External"/><Relationship Id="rId1623" Type="http://schemas.openxmlformats.org/officeDocument/2006/relationships/hyperlink" Target="https://pubmed.ncbi.nlm.nih.gov/35806496/" TargetMode="External"/><Relationship Id="rId2954" Type="http://schemas.openxmlformats.org/officeDocument/2006/relationships/hyperlink" Target="https://pubmed.ncbi.nlm.nih.gov/36632039/" TargetMode="External"/><Relationship Id="rId1624" Type="http://schemas.openxmlformats.org/officeDocument/2006/relationships/hyperlink" Target="https://pubmed.ncbi.nlm.nih.gov/35686695/" TargetMode="External"/><Relationship Id="rId2955" Type="http://schemas.openxmlformats.org/officeDocument/2006/relationships/hyperlink" Target="https://pubmed.ncbi.nlm.nih.gov/37893971/" TargetMode="External"/><Relationship Id="rId1625" Type="http://schemas.openxmlformats.org/officeDocument/2006/relationships/hyperlink" Target="https://pubmed.ncbi.nlm.nih.gov/35490059/" TargetMode="External"/><Relationship Id="rId2956" Type="http://schemas.openxmlformats.org/officeDocument/2006/relationships/hyperlink" Target="https://pubmed.ncbi.nlm.nih.gov/36377757/" TargetMode="External"/><Relationship Id="rId1626" Type="http://schemas.openxmlformats.org/officeDocument/2006/relationships/hyperlink" Target="https://pubmed.ncbi.nlm.nih.gov/34621344/" TargetMode="External"/><Relationship Id="rId2957" Type="http://schemas.openxmlformats.org/officeDocument/2006/relationships/hyperlink" Target="https://pubmed.ncbi.nlm.nih.gov/35895799/" TargetMode="External"/><Relationship Id="rId1627" Type="http://schemas.openxmlformats.org/officeDocument/2006/relationships/hyperlink" Target="https://pubmed.ncbi.nlm.nih.gov/33851765/" TargetMode="External"/><Relationship Id="rId2958" Type="http://schemas.openxmlformats.org/officeDocument/2006/relationships/hyperlink" Target="https://pubmed.ncbi.nlm.nih.gov/37221446/" TargetMode="External"/><Relationship Id="rId918" Type="http://schemas.openxmlformats.org/officeDocument/2006/relationships/hyperlink" Target="https://pubmed.ncbi.nlm.nih.gov/36755885/" TargetMode="External"/><Relationship Id="rId1628" Type="http://schemas.openxmlformats.org/officeDocument/2006/relationships/hyperlink" Target="https://pubmed.ncbi.nlm.nih.gov/34059974/" TargetMode="External"/><Relationship Id="rId2959" Type="http://schemas.openxmlformats.org/officeDocument/2006/relationships/hyperlink" Target="https://pubmed.ncbi.nlm.nih.gov/34566346/" TargetMode="External"/><Relationship Id="rId917" Type="http://schemas.openxmlformats.org/officeDocument/2006/relationships/hyperlink" Target="https://pubmed.ncbi.nlm.nih.gov/36937156/" TargetMode="External"/><Relationship Id="rId1629" Type="http://schemas.openxmlformats.org/officeDocument/2006/relationships/hyperlink" Target="https://pubmed.ncbi.nlm.nih.gov/33660109/" TargetMode="External"/><Relationship Id="rId916" Type="http://schemas.openxmlformats.org/officeDocument/2006/relationships/hyperlink" Target="https://pubmed.ncbi.nlm.nih.gov/37252772/" TargetMode="External"/><Relationship Id="rId915" Type="http://schemas.openxmlformats.org/officeDocument/2006/relationships/hyperlink" Target="https://pubmed.ncbi.nlm.nih.gov/37305186/" TargetMode="External"/><Relationship Id="rId919" Type="http://schemas.openxmlformats.org/officeDocument/2006/relationships/hyperlink" Target="https://pubmed.ncbi.nlm.nih.gov/36345917/" TargetMode="External"/><Relationship Id="rId910" Type="http://schemas.openxmlformats.org/officeDocument/2006/relationships/hyperlink" Target="https://pubmed.ncbi.nlm.nih.gov/38011870/" TargetMode="External"/><Relationship Id="rId914" Type="http://schemas.openxmlformats.org/officeDocument/2006/relationships/hyperlink" Target="https://pubmed.ncbi.nlm.nih.gov/37284568/" TargetMode="External"/><Relationship Id="rId913" Type="http://schemas.openxmlformats.org/officeDocument/2006/relationships/hyperlink" Target="https://pubmed.ncbi.nlm.nih.gov/37663989/" TargetMode="External"/><Relationship Id="rId912" Type="http://schemas.openxmlformats.org/officeDocument/2006/relationships/hyperlink" Target="https://pubmed.ncbi.nlm.nih.gov/37822401/" TargetMode="External"/><Relationship Id="rId911" Type="http://schemas.openxmlformats.org/officeDocument/2006/relationships/hyperlink" Target="https://pubmed.ncbi.nlm.nih.gov/37871637/" TargetMode="External"/><Relationship Id="rId2950" Type="http://schemas.openxmlformats.org/officeDocument/2006/relationships/hyperlink" Target="https://pubmed.ncbi.nlm.nih.gov/34817707/" TargetMode="External"/><Relationship Id="rId2900" Type="http://schemas.openxmlformats.org/officeDocument/2006/relationships/hyperlink" Target="https://pubmed.ncbi.nlm.nih.gov/35766669/" TargetMode="External"/><Relationship Id="rId2901" Type="http://schemas.openxmlformats.org/officeDocument/2006/relationships/hyperlink" Target="https://pubmed.ncbi.nlm.nih.gov/34041619/" TargetMode="External"/><Relationship Id="rId2902" Type="http://schemas.openxmlformats.org/officeDocument/2006/relationships/hyperlink" Target="https://pubmed.ncbi.nlm.nih.gov/33037560/" TargetMode="External"/><Relationship Id="rId2903" Type="http://schemas.openxmlformats.org/officeDocument/2006/relationships/hyperlink" Target="https://pubmed.ncbi.nlm.nih.gov/32490900/" TargetMode="External"/><Relationship Id="rId2904" Type="http://schemas.openxmlformats.org/officeDocument/2006/relationships/hyperlink" Target="https://pubmed.ncbi.nlm.nih.gov/29265910/" TargetMode="External"/><Relationship Id="rId2905" Type="http://schemas.openxmlformats.org/officeDocument/2006/relationships/hyperlink" Target="https://pubmed.ncbi.nlm.nih.gov/7839480/" TargetMode="External"/><Relationship Id="rId2906" Type="http://schemas.openxmlformats.org/officeDocument/2006/relationships/hyperlink" Target="https://pubmed.ncbi.nlm.nih.gov/38847377/" TargetMode="External"/><Relationship Id="rId2907" Type="http://schemas.openxmlformats.org/officeDocument/2006/relationships/hyperlink" Target="https://pubmed.ncbi.nlm.nih.gov/36186115/" TargetMode="External"/><Relationship Id="rId2908" Type="http://schemas.openxmlformats.org/officeDocument/2006/relationships/hyperlink" Target="https://pubmed.ncbi.nlm.nih.gov/37783935/" TargetMode="External"/><Relationship Id="rId2909" Type="http://schemas.openxmlformats.org/officeDocument/2006/relationships/hyperlink" Target="https://pubmed.ncbi.nlm.nih.gov/37899380/" TargetMode="External"/><Relationship Id="rId2920" Type="http://schemas.openxmlformats.org/officeDocument/2006/relationships/hyperlink" Target="https://pubmed.ncbi.nlm.nih.gov/36743139/" TargetMode="External"/><Relationship Id="rId2921" Type="http://schemas.openxmlformats.org/officeDocument/2006/relationships/hyperlink" Target="https://www.jkslms.or.kr/journal/view.html?doi=10.25289/ML.2021.10.1.37" TargetMode="External"/><Relationship Id="rId2922" Type="http://schemas.openxmlformats.org/officeDocument/2006/relationships/hyperlink" Target="http://www.ncbi.nlm.nih.gov/pubmed/22718472" TargetMode="External"/><Relationship Id="rId2923" Type="http://schemas.openxmlformats.org/officeDocument/2006/relationships/hyperlink" Target="http://www.ncbi.nlm.nih.gov/pubmed/23316383" TargetMode="External"/><Relationship Id="rId2924" Type="http://schemas.openxmlformats.org/officeDocument/2006/relationships/hyperlink" Target="http://www.ncbi.nlm.nih.gov/pubmed/20662037" TargetMode="External"/><Relationship Id="rId2925" Type="http://schemas.openxmlformats.org/officeDocument/2006/relationships/hyperlink" Target="https://pubmed.ncbi.nlm.nih.gov/32667862/" TargetMode="External"/><Relationship Id="rId2926" Type="http://schemas.openxmlformats.org/officeDocument/2006/relationships/hyperlink" Target="https://pubmed.ncbi.nlm.nih.gov/33844607/" TargetMode="External"/><Relationship Id="rId2927" Type="http://schemas.openxmlformats.org/officeDocument/2006/relationships/hyperlink" Target="https://pubmed.ncbi.nlm.nih.gov/33921839/" TargetMode="External"/><Relationship Id="rId2928" Type="http://schemas.openxmlformats.org/officeDocument/2006/relationships/hyperlink" Target="https://pubmed.ncbi.nlm.nih.gov/38965082/" TargetMode="External"/><Relationship Id="rId2929" Type="http://schemas.openxmlformats.org/officeDocument/2006/relationships/hyperlink" Target="https://pubmed.ncbi.nlm.nih.gov/38814992/" TargetMode="External"/><Relationship Id="rId2910" Type="http://schemas.openxmlformats.org/officeDocument/2006/relationships/hyperlink" Target="https://pubmed.ncbi.nlm.nih.gov/35242050/" TargetMode="External"/><Relationship Id="rId2911" Type="http://schemas.openxmlformats.org/officeDocument/2006/relationships/hyperlink" Target="https://pubmed.ncbi.nlm.nih.gov/35639100/" TargetMode="External"/><Relationship Id="rId2912" Type="http://schemas.openxmlformats.org/officeDocument/2006/relationships/hyperlink" Target="https://pubmed.ncbi.nlm.nih.gov/34391447/" TargetMode="External"/><Relationship Id="rId2913" Type="http://schemas.openxmlformats.org/officeDocument/2006/relationships/hyperlink" Target="https://pubmed.ncbi.nlm.nih.gov/36117204/" TargetMode="External"/><Relationship Id="rId2914" Type="http://schemas.openxmlformats.org/officeDocument/2006/relationships/hyperlink" Target="https://pubmed.ncbi.nlm.nih.gov/33423990/" TargetMode="External"/><Relationship Id="rId2915" Type="http://schemas.openxmlformats.org/officeDocument/2006/relationships/hyperlink" Target="https://pubmed.ncbi.nlm.nih.gov/25143643/" TargetMode="External"/><Relationship Id="rId2916" Type="http://schemas.openxmlformats.org/officeDocument/2006/relationships/hyperlink" Target="https://pubmed.ncbi.nlm.nih.gov/37476675/" TargetMode="External"/><Relationship Id="rId2917" Type="http://schemas.openxmlformats.org/officeDocument/2006/relationships/hyperlink" Target="https://pubmed.ncbi.nlm.nih.gov/34151822/" TargetMode="External"/><Relationship Id="rId2918" Type="http://schemas.openxmlformats.org/officeDocument/2006/relationships/hyperlink" Target="https://pubmed.ncbi.nlm.nih.gov/38628043/" TargetMode="External"/><Relationship Id="rId2919" Type="http://schemas.openxmlformats.org/officeDocument/2006/relationships/hyperlink" Target="https://www.mdpi.com/2075-4426/13/8/1274" TargetMode="External"/><Relationship Id="rId1697" Type="http://schemas.openxmlformats.org/officeDocument/2006/relationships/hyperlink" Target="https://pubmed.ncbi.nlm.nih.gov/35230575/" TargetMode="External"/><Relationship Id="rId1698" Type="http://schemas.openxmlformats.org/officeDocument/2006/relationships/hyperlink" Target="https://pubmed.ncbi.nlm.nih.gov/35102971/" TargetMode="External"/><Relationship Id="rId1699" Type="http://schemas.openxmlformats.org/officeDocument/2006/relationships/hyperlink" Target="https://pubmed.ncbi.nlm.nih.gov/35075598/" TargetMode="External"/><Relationship Id="rId866" Type="http://schemas.openxmlformats.org/officeDocument/2006/relationships/hyperlink" Target="https://pubmed.ncbi.nlm.nih.gov/35046633/" TargetMode="External"/><Relationship Id="rId865" Type="http://schemas.openxmlformats.org/officeDocument/2006/relationships/hyperlink" Target="https://pubmed.ncbi.nlm.nih.gov/38702514/" TargetMode="External"/><Relationship Id="rId864" Type="http://schemas.openxmlformats.org/officeDocument/2006/relationships/hyperlink" Target="https://pubmed.ncbi.nlm.nih.gov/30325709/" TargetMode="External"/><Relationship Id="rId863" Type="http://schemas.openxmlformats.org/officeDocument/2006/relationships/hyperlink" Target="https://pubmed.ncbi.nlm.nih.gov/32818109/" TargetMode="External"/><Relationship Id="rId869" Type="http://schemas.openxmlformats.org/officeDocument/2006/relationships/hyperlink" Target="https://pubmed.ncbi.nlm.nih.gov/37989885/" TargetMode="External"/><Relationship Id="rId868" Type="http://schemas.openxmlformats.org/officeDocument/2006/relationships/hyperlink" Target="https://pubmed.ncbi.nlm.nih.gov/34911454/" TargetMode="External"/><Relationship Id="rId867" Type="http://schemas.openxmlformats.org/officeDocument/2006/relationships/hyperlink" Target="https://pubmed.ncbi.nlm.nih.gov/34008713/" TargetMode="External"/><Relationship Id="rId1690" Type="http://schemas.openxmlformats.org/officeDocument/2006/relationships/hyperlink" Target="https://pubmed.ncbi.nlm.nih.gov/34383325/" TargetMode="External"/><Relationship Id="rId1691" Type="http://schemas.openxmlformats.org/officeDocument/2006/relationships/hyperlink" Target="https://pubmed.ncbi.nlm.nih.gov/34173988/" TargetMode="External"/><Relationship Id="rId1692" Type="http://schemas.openxmlformats.org/officeDocument/2006/relationships/hyperlink" Target="https://pubmed.ncbi.nlm.nih.gov/33307205/" TargetMode="External"/><Relationship Id="rId862" Type="http://schemas.openxmlformats.org/officeDocument/2006/relationships/hyperlink" Target="https://pubmed.ncbi.nlm.nih.gov/38180093/" TargetMode="External"/><Relationship Id="rId1693" Type="http://schemas.openxmlformats.org/officeDocument/2006/relationships/hyperlink" Target="https://pubmed.ncbi.nlm.nih.gov/32802283/" TargetMode="External"/><Relationship Id="rId861" Type="http://schemas.openxmlformats.org/officeDocument/2006/relationships/hyperlink" Target="https://pubmed.ncbi.nlm.nih.gov/33126530/" TargetMode="External"/><Relationship Id="rId1694" Type="http://schemas.openxmlformats.org/officeDocument/2006/relationships/hyperlink" Target="https://pubmed.ncbi.nlm.nih.gov/30836213/" TargetMode="External"/><Relationship Id="rId860" Type="http://schemas.openxmlformats.org/officeDocument/2006/relationships/hyperlink" Target="https://pubmed.ncbi.nlm.nih.gov/33390779/" TargetMode="External"/><Relationship Id="rId1695" Type="http://schemas.openxmlformats.org/officeDocument/2006/relationships/hyperlink" Target="https://pubmed.ncbi.nlm.nih.gov/33575339/" TargetMode="External"/><Relationship Id="rId1696" Type="http://schemas.openxmlformats.org/officeDocument/2006/relationships/hyperlink" Target="https://pubmed.ncbi.nlm.nih.gov/34047291/" TargetMode="External"/><Relationship Id="rId1686" Type="http://schemas.openxmlformats.org/officeDocument/2006/relationships/hyperlink" Target="https://pubmed.ncbi.nlm.nih.gov/37849444/" TargetMode="External"/><Relationship Id="rId1687" Type="http://schemas.openxmlformats.org/officeDocument/2006/relationships/hyperlink" Target="https://pubmed.ncbi.nlm.nih.gov/37776342/" TargetMode="External"/><Relationship Id="rId1688" Type="http://schemas.openxmlformats.org/officeDocument/2006/relationships/hyperlink" Target="https://pubmed.ncbi.nlm.nih.gov/37251717/" TargetMode="External"/><Relationship Id="rId1689" Type="http://schemas.openxmlformats.org/officeDocument/2006/relationships/hyperlink" Target="https://pubmed.ncbi.nlm.nih.gov/36662285/" TargetMode="External"/><Relationship Id="rId855" Type="http://schemas.openxmlformats.org/officeDocument/2006/relationships/hyperlink" Target="https://pubmed.ncbi.nlm.nih.gov/33230161/" TargetMode="External"/><Relationship Id="rId854" Type="http://schemas.openxmlformats.org/officeDocument/2006/relationships/hyperlink" Target="https://pubmed.ncbi.nlm.nih.gov/35184381/" TargetMode="External"/><Relationship Id="rId853" Type="http://schemas.openxmlformats.org/officeDocument/2006/relationships/hyperlink" Target="https://pubmed.ncbi.nlm.nih.gov/37813185/" TargetMode="External"/><Relationship Id="rId852" Type="http://schemas.openxmlformats.org/officeDocument/2006/relationships/hyperlink" Target="https://pubmed.ncbi.nlm.nih.gov/36422201/" TargetMode="External"/><Relationship Id="rId859" Type="http://schemas.openxmlformats.org/officeDocument/2006/relationships/hyperlink" Target="https://pubmed.ncbi.nlm.nih.gov/31771932/" TargetMode="External"/><Relationship Id="rId858" Type="http://schemas.openxmlformats.org/officeDocument/2006/relationships/hyperlink" Target="http://www.ozhurnal.com/sites/default/files/en2022-5-8.pdf" TargetMode="External"/><Relationship Id="rId857" Type="http://schemas.openxmlformats.org/officeDocument/2006/relationships/hyperlink" Target="https://pubmed.ncbi.nlm.nih.gov/36551239/" TargetMode="External"/><Relationship Id="rId856" Type="http://schemas.openxmlformats.org/officeDocument/2006/relationships/hyperlink" Target="https://pubmed.ncbi.nlm.nih.gov/38283180/" TargetMode="External"/><Relationship Id="rId1680" Type="http://schemas.openxmlformats.org/officeDocument/2006/relationships/hyperlink" Target="https://pubmed.ncbi.nlm.nih.gov/35246103/" TargetMode="External"/><Relationship Id="rId1681" Type="http://schemas.openxmlformats.org/officeDocument/2006/relationships/hyperlink" Target="https://pubmed.ncbi.nlm.nih.gov/33827095/" TargetMode="External"/><Relationship Id="rId851" Type="http://schemas.openxmlformats.org/officeDocument/2006/relationships/hyperlink" Target="http://www.ncbi.nlm.nih.gov/pubmed/25048854" TargetMode="External"/><Relationship Id="rId1682" Type="http://schemas.openxmlformats.org/officeDocument/2006/relationships/hyperlink" Target="https://pubmed.ncbi.nlm.nih.gov/38425318/" TargetMode="External"/><Relationship Id="rId850" Type="http://schemas.openxmlformats.org/officeDocument/2006/relationships/hyperlink" Target="https://pubmed.ncbi.nlm.nih.gov/35155149/" TargetMode="External"/><Relationship Id="rId1683" Type="http://schemas.openxmlformats.org/officeDocument/2006/relationships/hyperlink" Target="https://pubmed.ncbi.nlm.nih.gov/38485988/" TargetMode="External"/><Relationship Id="rId1684" Type="http://schemas.openxmlformats.org/officeDocument/2006/relationships/hyperlink" Target="https://pubmed.ncbi.nlm.nih.gov/38252493/" TargetMode="External"/><Relationship Id="rId1685" Type="http://schemas.openxmlformats.org/officeDocument/2006/relationships/hyperlink" Target="https://pubmed.ncbi.nlm.nih.gov/37985344/" TargetMode="External"/><Relationship Id="rId888" Type="http://schemas.openxmlformats.org/officeDocument/2006/relationships/hyperlink" Target="https://pubmed.ncbi.nlm.nih.gov/35452301/" TargetMode="External"/><Relationship Id="rId887" Type="http://schemas.openxmlformats.org/officeDocument/2006/relationships/hyperlink" Target="https://pubmed.ncbi.nlm.nih.gov/36395086/" TargetMode="External"/><Relationship Id="rId886" Type="http://schemas.openxmlformats.org/officeDocument/2006/relationships/hyperlink" Target="https://pubmed.ncbi.nlm.nih.gov/35288806/" TargetMode="External"/><Relationship Id="rId885" Type="http://schemas.openxmlformats.org/officeDocument/2006/relationships/hyperlink" Target="https://pubmed.ncbi.nlm.nih.gov/25865533/" TargetMode="External"/><Relationship Id="rId889" Type="http://schemas.openxmlformats.org/officeDocument/2006/relationships/hyperlink" Target="https://pubmed.ncbi.nlm.nih.gov/39031566/" TargetMode="External"/><Relationship Id="rId880" Type="http://schemas.openxmlformats.org/officeDocument/2006/relationships/hyperlink" Target="https://pubmed.ncbi.nlm.nih.gov/34260992/" TargetMode="External"/><Relationship Id="rId884" Type="http://schemas.openxmlformats.org/officeDocument/2006/relationships/hyperlink" Target="https://pubmed.ncbi.nlm.nih.gov/33795767/" TargetMode="External"/><Relationship Id="rId883" Type="http://schemas.openxmlformats.org/officeDocument/2006/relationships/hyperlink" Target="https://pubmed.ncbi.nlm.nih.gov/36958088/" TargetMode="External"/><Relationship Id="rId882" Type="http://schemas.openxmlformats.org/officeDocument/2006/relationships/hyperlink" Target="https://pubmed.ncbi.nlm.nih.gov/36671417/" TargetMode="External"/><Relationship Id="rId881" Type="http://schemas.openxmlformats.org/officeDocument/2006/relationships/hyperlink" Target="https://pubmed.ncbi.nlm.nih.gov/38301213/" TargetMode="External"/><Relationship Id="rId877" Type="http://schemas.openxmlformats.org/officeDocument/2006/relationships/hyperlink" Target="https://pubmed.ncbi.nlm.nih.gov/34962422/" TargetMode="External"/><Relationship Id="rId876" Type="http://schemas.openxmlformats.org/officeDocument/2006/relationships/hyperlink" Target="https://pubmed.ncbi.nlm.nih.gov/35055364/" TargetMode="External"/><Relationship Id="rId875" Type="http://schemas.openxmlformats.org/officeDocument/2006/relationships/hyperlink" Target="https://pubmed.ncbi.nlm.nih.gov/35163296/" TargetMode="External"/><Relationship Id="rId874" Type="http://schemas.openxmlformats.org/officeDocument/2006/relationships/hyperlink" Target="https://pubmed.ncbi.nlm.nih.gov/37626676/" TargetMode="External"/><Relationship Id="rId879" Type="http://schemas.openxmlformats.org/officeDocument/2006/relationships/hyperlink" Target="https://pubmed.ncbi.nlm.nih.gov/32960109/" TargetMode="External"/><Relationship Id="rId878" Type="http://schemas.openxmlformats.org/officeDocument/2006/relationships/hyperlink" Target="https://pubmed.ncbi.nlm.nih.gov/34066560/" TargetMode="External"/><Relationship Id="rId873" Type="http://schemas.openxmlformats.org/officeDocument/2006/relationships/hyperlink" Target="https://pubmed.ncbi.nlm.nih.gov/38378954/" TargetMode="External"/><Relationship Id="rId872" Type="http://schemas.openxmlformats.org/officeDocument/2006/relationships/hyperlink" Target="https://pubmed.ncbi.nlm.nih.gov/36117615/" TargetMode="External"/><Relationship Id="rId871" Type="http://schemas.openxmlformats.org/officeDocument/2006/relationships/hyperlink" Target="https://pubmed.ncbi.nlm.nih.gov/32957067/" TargetMode="External"/><Relationship Id="rId870" Type="http://schemas.openxmlformats.org/officeDocument/2006/relationships/hyperlink" Target="https://pubmed.ncbi.nlm.nih.gov/37897531/" TargetMode="External"/><Relationship Id="rId1653" Type="http://schemas.openxmlformats.org/officeDocument/2006/relationships/hyperlink" Target="https://pubmed.ncbi.nlm.nih.gov/35730260/" TargetMode="External"/><Relationship Id="rId2984" Type="http://schemas.openxmlformats.org/officeDocument/2006/relationships/hyperlink" Target="https://pubmed.ncbi.nlm.nih.gov/32979781/" TargetMode="External"/><Relationship Id="rId1654" Type="http://schemas.openxmlformats.org/officeDocument/2006/relationships/hyperlink" Target="https://pubmed.ncbi.nlm.nih.gov/32605215/" TargetMode="External"/><Relationship Id="rId2985" Type="http://schemas.openxmlformats.org/officeDocument/2006/relationships/hyperlink" Target="https://pubmed.ncbi.nlm.nih.gov/32498029/" TargetMode="External"/><Relationship Id="rId1655" Type="http://schemas.openxmlformats.org/officeDocument/2006/relationships/hyperlink" Target="https://pubmed.ncbi.nlm.nih.gov/38608541/'" TargetMode="External"/><Relationship Id="rId2986" Type="http://schemas.openxmlformats.org/officeDocument/2006/relationships/hyperlink" Target="https://pubmed.ncbi.nlm.nih.gov/20070834/" TargetMode="External"/><Relationship Id="rId1656" Type="http://schemas.openxmlformats.org/officeDocument/2006/relationships/hyperlink" Target="https://pubmed.ncbi.nlm.nih.gov/38655042/" TargetMode="External"/><Relationship Id="rId2987" Type="http://schemas.openxmlformats.org/officeDocument/2006/relationships/hyperlink" Target="https://pubmed.ncbi.nlm.nih.gov/38131978/" TargetMode="External"/><Relationship Id="rId1657" Type="http://schemas.openxmlformats.org/officeDocument/2006/relationships/hyperlink" Target="https://pubmed.ncbi.nlm.nih.gov/38808859/" TargetMode="External"/><Relationship Id="rId2988" Type="http://schemas.openxmlformats.org/officeDocument/2006/relationships/hyperlink" Target="https://pubmed.ncbi.nlm.nih.gov/36274079/" TargetMode="External"/><Relationship Id="rId1658" Type="http://schemas.openxmlformats.org/officeDocument/2006/relationships/hyperlink" Target="https://pubmed.ncbi.nlm.nih.gov/38267245/" TargetMode="External"/><Relationship Id="rId2989" Type="http://schemas.openxmlformats.org/officeDocument/2006/relationships/hyperlink" Target="https://pubmed.ncbi.nlm.nih.gov/35146580/" TargetMode="External"/><Relationship Id="rId1659" Type="http://schemas.openxmlformats.org/officeDocument/2006/relationships/hyperlink" Target="https://pubmed.ncbi.nlm.nih.gov/38189964/" TargetMode="External"/><Relationship Id="rId829" Type="http://schemas.openxmlformats.org/officeDocument/2006/relationships/hyperlink" Target="https://pubmed.ncbi.nlm.nih.gov/37030495/" TargetMode="External"/><Relationship Id="rId828" Type="http://schemas.openxmlformats.org/officeDocument/2006/relationships/hyperlink" Target="https://pubmed.ncbi.nlm.nih.gov/37099298/" TargetMode="External"/><Relationship Id="rId827" Type="http://schemas.openxmlformats.org/officeDocument/2006/relationships/hyperlink" Target="https://pubmed.ncbi.nlm.nih.gov/37459381/" TargetMode="External"/><Relationship Id="rId822" Type="http://schemas.openxmlformats.org/officeDocument/2006/relationships/hyperlink" Target="https://pubmed.ncbi.nlm.nih.gov/37634757/" TargetMode="External"/><Relationship Id="rId821" Type="http://schemas.openxmlformats.org/officeDocument/2006/relationships/hyperlink" Target="https://pubmed.ncbi.nlm.nih.gov/37786442/" TargetMode="External"/><Relationship Id="rId820" Type="http://schemas.openxmlformats.org/officeDocument/2006/relationships/hyperlink" Target="https://pubmed.ncbi.nlm.nih.gov/37854367/" TargetMode="External"/><Relationship Id="rId826" Type="http://schemas.openxmlformats.org/officeDocument/2006/relationships/hyperlink" Target="https://pubmed.ncbi.nlm.nih.gov/37431143/" TargetMode="External"/><Relationship Id="rId825" Type="http://schemas.openxmlformats.org/officeDocument/2006/relationships/hyperlink" Target="https://pubmed.ncbi.nlm.nih.gov/37431102/" TargetMode="External"/><Relationship Id="rId824" Type="http://schemas.openxmlformats.org/officeDocument/2006/relationships/hyperlink" Target="https://pubmed.ncbi.nlm.nih.gov/37482282/" TargetMode="External"/><Relationship Id="rId823" Type="http://schemas.openxmlformats.org/officeDocument/2006/relationships/hyperlink" Target="https://pubmed.ncbi.nlm.nih.gov/37565498/" TargetMode="External"/><Relationship Id="rId2980" Type="http://schemas.openxmlformats.org/officeDocument/2006/relationships/hyperlink" Target="https://pubmed.ncbi.nlm.nih.gov/35205166/" TargetMode="External"/><Relationship Id="rId1650" Type="http://schemas.openxmlformats.org/officeDocument/2006/relationships/hyperlink" Target="https://public.tableau.com/profile/bireme" TargetMode="External"/><Relationship Id="rId2981" Type="http://schemas.openxmlformats.org/officeDocument/2006/relationships/hyperlink" Target="https://pubmed.ncbi.nlm.nih.gov/34478469/" TargetMode="External"/><Relationship Id="rId1651" Type="http://schemas.openxmlformats.org/officeDocument/2006/relationships/hyperlink" Target="https://pubmed.ncbi.nlm.nih.gov/36251885/" TargetMode="External"/><Relationship Id="rId2982" Type="http://schemas.openxmlformats.org/officeDocument/2006/relationships/hyperlink" Target="https://pubmed.ncbi.nlm.nih.gov/34356893/" TargetMode="External"/><Relationship Id="rId1652" Type="http://schemas.openxmlformats.org/officeDocument/2006/relationships/hyperlink" Target="https://pubmed.ncbi.nlm.nih.gov/36225465/" TargetMode="External"/><Relationship Id="rId2983" Type="http://schemas.openxmlformats.org/officeDocument/2006/relationships/hyperlink" Target="https://pubmed.ncbi.nlm.nih.gov/33539986/" TargetMode="External"/><Relationship Id="rId1642" Type="http://schemas.openxmlformats.org/officeDocument/2006/relationships/hyperlink" Target="https://pubmed.ncbi.nlm.nih.gov/33881673/" TargetMode="External"/><Relationship Id="rId2973" Type="http://schemas.openxmlformats.org/officeDocument/2006/relationships/hyperlink" Target="https://pubmed.ncbi.nlm.nih.gov/35155171/" TargetMode="External"/><Relationship Id="rId1643" Type="http://schemas.openxmlformats.org/officeDocument/2006/relationships/hyperlink" Target="https://pubmed.ncbi.nlm.nih.gov/32382926/" TargetMode="External"/><Relationship Id="rId2974" Type="http://schemas.openxmlformats.org/officeDocument/2006/relationships/hyperlink" Target="https://pubmed.ncbi.nlm.nih.gov/34800566/" TargetMode="External"/><Relationship Id="rId1644" Type="http://schemas.openxmlformats.org/officeDocument/2006/relationships/hyperlink" Target="https://pubmed.ncbi.nlm.nih.gov/32470239/" TargetMode="External"/><Relationship Id="rId2975" Type="http://schemas.openxmlformats.org/officeDocument/2006/relationships/hyperlink" Target="https://pubmed.ncbi.nlm.nih.gov/30070718/" TargetMode="External"/><Relationship Id="rId1645" Type="http://schemas.openxmlformats.org/officeDocument/2006/relationships/hyperlink" Target="https://pubmed.ncbi.nlm.nih.gov/30294109/" TargetMode="External"/><Relationship Id="rId2976" Type="http://schemas.openxmlformats.org/officeDocument/2006/relationships/hyperlink" Target="https://pubmed.ncbi.nlm.nih.gov/24060701/" TargetMode="External"/><Relationship Id="rId1646" Type="http://schemas.openxmlformats.org/officeDocument/2006/relationships/hyperlink" Target="https://pubmed.ncbi.nlm.nih.gov/25987974/" TargetMode="External"/><Relationship Id="rId2977" Type="http://schemas.openxmlformats.org/officeDocument/2006/relationships/hyperlink" Target="https://pubmed.ncbi.nlm.nih.gov/38328595/" TargetMode="External"/><Relationship Id="rId1647" Type="http://schemas.openxmlformats.org/officeDocument/2006/relationships/hyperlink" Target="https://pubmed.ncbi.nlm.nih.gov/35904936/" TargetMode="External"/><Relationship Id="rId2978" Type="http://schemas.openxmlformats.org/officeDocument/2006/relationships/hyperlink" Target="https://pubmed.ncbi.nlm.nih.gov/36044837/" TargetMode="External"/><Relationship Id="rId1648" Type="http://schemas.openxmlformats.org/officeDocument/2006/relationships/hyperlink" Target="https://pubmed.ncbi.nlm.nih.gov/38645925/" TargetMode="External"/><Relationship Id="rId2979" Type="http://schemas.openxmlformats.org/officeDocument/2006/relationships/hyperlink" Target="https://pubmed.ncbi.nlm.nih.gov/36730244/" TargetMode="External"/><Relationship Id="rId1649" Type="http://schemas.openxmlformats.org/officeDocument/2006/relationships/hyperlink" Target="https://pubmed.ncbi.nlm.nih.gov/38288260/" TargetMode="External"/><Relationship Id="rId819" Type="http://schemas.openxmlformats.org/officeDocument/2006/relationships/hyperlink" Target="https://pubmed.ncbi.nlm.nih.gov/37893579/" TargetMode="External"/><Relationship Id="rId818" Type="http://schemas.openxmlformats.org/officeDocument/2006/relationships/hyperlink" Target="https://pubmed.ncbi.nlm.nih.gov/37890098/" TargetMode="External"/><Relationship Id="rId817" Type="http://schemas.openxmlformats.org/officeDocument/2006/relationships/hyperlink" Target="https://pubmed.ncbi.nlm.nih.gov/37917061/" TargetMode="External"/><Relationship Id="rId816" Type="http://schemas.openxmlformats.org/officeDocument/2006/relationships/hyperlink" Target="https://pubmed.ncbi.nlm.nih.gov/38099371/" TargetMode="External"/><Relationship Id="rId811" Type="http://schemas.openxmlformats.org/officeDocument/2006/relationships/hyperlink" Target="https://pubmed.ncbi.nlm.nih.gov/38378527/" TargetMode="External"/><Relationship Id="rId810" Type="http://schemas.openxmlformats.org/officeDocument/2006/relationships/hyperlink" Target="https://pubmed.ncbi.nlm.nih.gov/38563650/" TargetMode="External"/><Relationship Id="rId815" Type="http://schemas.openxmlformats.org/officeDocument/2006/relationships/hyperlink" Target="https://pubmed.ncbi.nlm.nih.gov/38198054/" TargetMode="External"/><Relationship Id="rId814" Type="http://schemas.openxmlformats.org/officeDocument/2006/relationships/hyperlink" Target="https://pubmed.ncbi.nlm.nih.gov/38164527/" TargetMode="External"/><Relationship Id="rId813" Type="http://schemas.openxmlformats.org/officeDocument/2006/relationships/hyperlink" Target="https://pubmed.ncbi.nlm.nih.gov/38297353/" TargetMode="External"/><Relationship Id="rId812" Type="http://schemas.openxmlformats.org/officeDocument/2006/relationships/hyperlink" Target="https://pubmed.ncbi.nlm.nih.gov/38244655/" TargetMode="External"/><Relationship Id="rId2970" Type="http://schemas.openxmlformats.org/officeDocument/2006/relationships/hyperlink" Target="https://pubmed.ncbi.nlm.nih.gov/36000681/" TargetMode="External"/><Relationship Id="rId1640" Type="http://schemas.openxmlformats.org/officeDocument/2006/relationships/hyperlink" Target="https://pubmed.ncbi.nlm.nih.gov/34642786/" TargetMode="External"/><Relationship Id="rId2971" Type="http://schemas.openxmlformats.org/officeDocument/2006/relationships/hyperlink" Target="https://pubmed.ncbi.nlm.nih.gov/37592457/" TargetMode="External"/><Relationship Id="rId1641" Type="http://schemas.openxmlformats.org/officeDocument/2006/relationships/hyperlink" Target="https://pubmed.ncbi.nlm.nih.gov/34342772/" TargetMode="External"/><Relationship Id="rId2972" Type="http://schemas.openxmlformats.org/officeDocument/2006/relationships/hyperlink" Target="https://pubmed.ncbi.nlm.nih.gov/36527646/" TargetMode="External"/><Relationship Id="rId1675" Type="http://schemas.openxmlformats.org/officeDocument/2006/relationships/hyperlink" Target="https://pubmed.ncbi.nlm.nih.gov/34799776/" TargetMode="External"/><Relationship Id="rId1676" Type="http://schemas.openxmlformats.org/officeDocument/2006/relationships/hyperlink" Target="https://pubmed.ncbi.nlm.nih.gov/24790710/" TargetMode="External"/><Relationship Id="rId1677" Type="http://schemas.openxmlformats.org/officeDocument/2006/relationships/hyperlink" Target="https://pubmed.ncbi.nlm.nih.gov/17485070/" TargetMode="External"/><Relationship Id="rId1678" Type="http://schemas.openxmlformats.org/officeDocument/2006/relationships/hyperlink" Target="https://onlinelibrary.wiley.com/doi/abs/10.1002/lapl.200810101" TargetMode="External"/><Relationship Id="rId1679" Type="http://schemas.openxmlformats.org/officeDocument/2006/relationships/hyperlink" Target="https://pubmed.ncbi.nlm.nih.gov/35229961/" TargetMode="External"/><Relationship Id="rId849" Type="http://schemas.openxmlformats.org/officeDocument/2006/relationships/hyperlink" Target="https://pubmed.ncbi.nlm.nih.gov/36315988/" TargetMode="External"/><Relationship Id="rId844" Type="http://schemas.openxmlformats.org/officeDocument/2006/relationships/hyperlink" Target="https://pubmed.ncbi.nlm.nih.gov/34863776/" TargetMode="External"/><Relationship Id="rId843" Type="http://schemas.openxmlformats.org/officeDocument/2006/relationships/hyperlink" Target="https://pubmed.ncbi.nlm.nih.gov/34981548/" TargetMode="External"/><Relationship Id="rId842" Type="http://schemas.openxmlformats.org/officeDocument/2006/relationships/hyperlink" Target="https://pubmed.ncbi.nlm.nih.gov/36018087/" TargetMode="External"/><Relationship Id="rId841" Type="http://schemas.openxmlformats.org/officeDocument/2006/relationships/hyperlink" Target="https://pubmed.ncbi.nlm.nih.gov/36054314/" TargetMode="External"/><Relationship Id="rId848" Type="http://schemas.openxmlformats.org/officeDocument/2006/relationships/hyperlink" Target="https://pubmed.ncbi.nlm.nih.gov/34445085/" TargetMode="External"/><Relationship Id="rId847" Type="http://schemas.openxmlformats.org/officeDocument/2006/relationships/hyperlink" Target="https://pubmed.ncbi.nlm.nih.gov/33575355/" TargetMode="External"/><Relationship Id="rId846" Type="http://schemas.openxmlformats.org/officeDocument/2006/relationships/hyperlink" Target="https://pubmed.ncbi.nlm.nih.gov/34408398/" TargetMode="External"/><Relationship Id="rId845" Type="http://schemas.openxmlformats.org/officeDocument/2006/relationships/hyperlink" Target="https://pubmed.ncbi.nlm.nih.gov/34988370/" TargetMode="External"/><Relationship Id="rId1670" Type="http://schemas.openxmlformats.org/officeDocument/2006/relationships/hyperlink" Target="https://pubmed.ncbi.nlm.nih.gov/32964596/" TargetMode="External"/><Relationship Id="rId840" Type="http://schemas.openxmlformats.org/officeDocument/2006/relationships/hyperlink" Target="https://pubmed.ncbi.nlm.nih.gov/36049646/" TargetMode="External"/><Relationship Id="rId1671" Type="http://schemas.openxmlformats.org/officeDocument/2006/relationships/hyperlink" Target="https://pubmed.ncbi.nlm.nih.gov/33039721/" TargetMode="External"/><Relationship Id="rId1672" Type="http://schemas.openxmlformats.org/officeDocument/2006/relationships/hyperlink" Target="https://pubmed.ncbi.nlm.nih.gov/32570059/" TargetMode="External"/><Relationship Id="rId1673" Type="http://schemas.openxmlformats.org/officeDocument/2006/relationships/hyperlink" Target="https://pubmed.ncbi.nlm.nih.gov/38739455/" TargetMode="External"/><Relationship Id="rId1674" Type="http://schemas.openxmlformats.org/officeDocument/2006/relationships/hyperlink" Target="https://pubmed.ncbi.nlm.nih.gov/38416635/" TargetMode="External"/><Relationship Id="rId1664" Type="http://schemas.openxmlformats.org/officeDocument/2006/relationships/hyperlink" Target="https://pubmed.ncbi.nlm.nih.gov/37060370/" TargetMode="External"/><Relationship Id="rId2995" Type="http://schemas.openxmlformats.org/officeDocument/2006/relationships/hyperlink" Target="https://pubmed.ncbi.nlm.nih.gov/28092651/" TargetMode="External"/><Relationship Id="rId1665" Type="http://schemas.openxmlformats.org/officeDocument/2006/relationships/hyperlink" Target="https://pubmed.ncbi.nlm.nih.gov/35743485/" TargetMode="External"/><Relationship Id="rId2996" Type="http://schemas.openxmlformats.org/officeDocument/2006/relationships/hyperlink" Target="https://pubmed.ncbi.nlm.nih.gov/27190022/" TargetMode="External"/><Relationship Id="rId1666" Type="http://schemas.openxmlformats.org/officeDocument/2006/relationships/hyperlink" Target="https://pubmed.ncbi.nlm.nih.gov/34409539/" TargetMode="External"/><Relationship Id="rId2997" Type="http://schemas.openxmlformats.org/officeDocument/2006/relationships/hyperlink" Target="https://pubmed.ncbi.nlm.nih.gov/36495337/" TargetMode="External"/><Relationship Id="rId1667" Type="http://schemas.openxmlformats.org/officeDocument/2006/relationships/hyperlink" Target="https://pubmed.ncbi.nlm.nih.gov/33247577/" TargetMode="External"/><Relationship Id="rId2998" Type="http://schemas.openxmlformats.org/officeDocument/2006/relationships/hyperlink" Target="https://pubmed.ncbi.nlm.nih.gov/36295000/" TargetMode="External"/><Relationship Id="rId1668" Type="http://schemas.openxmlformats.org/officeDocument/2006/relationships/hyperlink" Target="https://pubmed.ncbi.nlm.nih.gov/33745088/" TargetMode="External"/><Relationship Id="rId2999" Type="http://schemas.openxmlformats.org/officeDocument/2006/relationships/hyperlink" Target="https://pubmed.ncbi.nlm.nih.gov/31769893/" TargetMode="External"/><Relationship Id="rId1669" Type="http://schemas.openxmlformats.org/officeDocument/2006/relationships/hyperlink" Target="https://pubmed.ncbi.nlm.nih.gov/34277488/" TargetMode="External"/><Relationship Id="rId839" Type="http://schemas.openxmlformats.org/officeDocument/2006/relationships/hyperlink" Target="https://pubmed.ncbi.nlm.nih.gov/36240954/" TargetMode="External"/><Relationship Id="rId838" Type="http://schemas.openxmlformats.org/officeDocument/2006/relationships/hyperlink" Target="https://pubmed.ncbi.nlm.nih.gov/36269184/" TargetMode="External"/><Relationship Id="rId833" Type="http://schemas.openxmlformats.org/officeDocument/2006/relationships/hyperlink" Target="https://pubmed.ncbi.nlm.nih.gov/36764596/" TargetMode="External"/><Relationship Id="rId832" Type="http://schemas.openxmlformats.org/officeDocument/2006/relationships/hyperlink" Target="https://pubmed.ncbi.nlm.nih.gov/36849626/" TargetMode="External"/><Relationship Id="rId831" Type="http://schemas.openxmlformats.org/officeDocument/2006/relationships/hyperlink" Target="https://pubmed.ncbi.nlm.nih.gov/36858031/" TargetMode="External"/><Relationship Id="rId830" Type="http://schemas.openxmlformats.org/officeDocument/2006/relationships/hyperlink" Target="https://pubmed.ncbi.nlm.nih.gov/36790672/" TargetMode="External"/><Relationship Id="rId837" Type="http://schemas.openxmlformats.org/officeDocument/2006/relationships/hyperlink" Target="https://pubmed.ncbi.nlm.nih.gov/35976467/" TargetMode="External"/><Relationship Id="rId836" Type="http://schemas.openxmlformats.org/officeDocument/2006/relationships/hyperlink" Target="https://pubmed.ncbi.nlm.nih.gov/36208391/" TargetMode="External"/><Relationship Id="rId835" Type="http://schemas.openxmlformats.org/officeDocument/2006/relationships/hyperlink" Target="https://pubmed.ncbi.nlm.nih.gov/36609829/" TargetMode="External"/><Relationship Id="rId834" Type="http://schemas.openxmlformats.org/officeDocument/2006/relationships/hyperlink" Target="https://pubmed.ncbi.nlm.nih.gov/36556114/" TargetMode="External"/><Relationship Id="rId2990" Type="http://schemas.openxmlformats.org/officeDocument/2006/relationships/hyperlink" Target="https://pubmed.ncbi.nlm.nih.gov/34138944/" TargetMode="External"/><Relationship Id="rId1660" Type="http://schemas.openxmlformats.org/officeDocument/2006/relationships/hyperlink" Target="https://pubmed.ncbi.nlm.nih.gov/38244087/" TargetMode="External"/><Relationship Id="rId2991" Type="http://schemas.openxmlformats.org/officeDocument/2006/relationships/hyperlink" Target="https://pubmed.ncbi.nlm.nih.gov/33536461/" TargetMode="External"/><Relationship Id="rId1661" Type="http://schemas.openxmlformats.org/officeDocument/2006/relationships/hyperlink" Target="https://pubmed.ncbi.nlm.nih.gov/38218654/" TargetMode="External"/><Relationship Id="rId2992" Type="http://schemas.openxmlformats.org/officeDocument/2006/relationships/hyperlink" Target="https://pubmed.ncbi.nlm.nih.gov/37217103/" TargetMode="External"/><Relationship Id="rId1662" Type="http://schemas.openxmlformats.org/officeDocument/2006/relationships/hyperlink" Target="https://pubmed.ncbi.nlm.nih.gov/38117359/" TargetMode="External"/><Relationship Id="rId2993" Type="http://schemas.openxmlformats.org/officeDocument/2006/relationships/hyperlink" Target="https://pubmed.ncbi.nlm.nih.gov/36283655/" TargetMode="External"/><Relationship Id="rId1663" Type="http://schemas.openxmlformats.org/officeDocument/2006/relationships/hyperlink" Target="https://pubmed.ncbi.nlm.nih.gov/37480103/" TargetMode="External"/><Relationship Id="rId2994" Type="http://schemas.openxmlformats.org/officeDocument/2006/relationships/hyperlink" Target="https://pubmed.ncbi.nlm.nih.gov/34157406/" TargetMode="External"/><Relationship Id="rId2148" Type="http://schemas.openxmlformats.org/officeDocument/2006/relationships/hyperlink" Target="https://pubmed.ncbi.nlm.nih.gov/33425303/" TargetMode="External"/><Relationship Id="rId2149" Type="http://schemas.openxmlformats.org/officeDocument/2006/relationships/hyperlink" Target="https://pubmed.ncbi.nlm.nih.gov/33448163/" TargetMode="External"/><Relationship Id="rId2140" Type="http://schemas.openxmlformats.org/officeDocument/2006/relationships/hyperlink" Target="https://www.mdpi.com/2304-6732/8/9/360" TargetMode="External"/><Relationship Id="rId2141" Type="http://schemas.openxmlformats.org/officeDocument/2006/relationships/hyperlink" Target="https://pubmed.ncbi.nlm.nih.gov/33991267/" TargetMode="External"/><Relationship Id="rId2142" Type="http://schemas.openxmlformats.org/officeDocument/2006/relationships/hyperlink" Target="https://pubmed.ncbi.nlm.nih.gov/32774799/" TargetMode="External"/><Relationship Id="rId2143" Type="http://schemas.openxmlformats.org/officeDocument/2006/relationships/hyperlink" Target="https://pubmed.ncbi.nlm.nih.gov/34233429/" TargetMode="External"/><Relationship Id="rId2144" Type="http://schemas.openxmlformats.org/officeDocument/2006/relationships/hyperlink" Target="https://pubmed.ncbi.nlm.nih.gov/33305457/" TargetMode="External"/><Relationship Id="rId2145" Type="http://schemas.openxmlformats.org/officeDocument/2006/relationships/hyperlink" Target="https://pubmed.ncbi.nlm.nih.gov/33276272/" TargetMode="External"/><Relationship Id="rId2146" Type="http://schemas.openxmlformats.org/officeDocument/2006/relationships/hyperlink" Target="https://pubmed.ncbi.nlm.nih.gov/33740139/" TargetMode="External"/><Relationship Id="rId2147" Type="http://schemas.openxmlformats.org/officeDocument/2006/relationships/hyperlink" Target="https://pubmed.ncbi.nlm.nih.gov/33256246/" TargetMode="External"/><Relationship Id="rId2137" Type="http://schemas.openxmlformats.org/officeDocument/2006/relationships/hyperlink" Target="https://pubmed.ncbi.nlm.nih.gov/34277866/" TargetMode="External"/><Relationship Id="rId2138" Type="http://schemas.openxmlformats.org/officeDocument/2006/relationships/hyperlink" Target="https://pubmed.ncbi.nlm.nih.gov/33888447/" TargetMode="External"/><Relationship Id="rId2139" Type="http://schemas.openxmlformats.org/officeDocument/2006/relationships/hyperlink" Target="https://pubmed.ncbi.nlm.nih.gov/34062904/" TargetMode="External"/><Relationship Id="rId2130" Type="http://schemas.openxmlformats.org/officeDocument/2006/relationships/hyperlink" Target="https://pubmed.ncbi.nlm.nih.gov/34932837/" TargetMode="External"/><Relationship Id="rId2131" Type="http://schemas.openxmlformats.org/officeDocument/2006/relationships/hyperlink" Target="https://pubmed.ncbi.nlm.nih.gov/34970994/" TargetMode="External"/><Relationship Id="rId2132" Type="http://schemas.openxmlformats.org/officeDocument/2006/relationships/hyperlink" Target="https://pubmed.ncbi.nlm.nih.gov/34553775/" TargetMode="External"/><Relationship Id="rId2133" Type="http://schemas.openxmlformats.org/officeDocument/2006/relationships/hyperlink" Target="https://pubmed.ncbi.nlm.nih.gov/34041873/" TargetMode="External"/><Relationship Id="rId2134" Type="http://schemas.openxmlformats.org/officeDocument/2006/relationships/hyperlink" Target="https://pubmed.ncbi.nlm.nih.gov/34705541/" TargetMode="External"/><Relationship Id="rId2135" Type="http://schemas.openxmlformats.org/officeDocument/2006/relationships/hyperlink" Target="https://pubmed.ncbi.nlm.nih.gov/34205573/" TargetMode="External"/><Relationship Id="rId2136" Type="http://schemas.openxmlformats.org/officeDocument/2006/relationships/hyperlink" Target="https://pubmed.ncbi.nlm.nih.gov/34733748/" TargetMode="External"/><Relationship Id="rId2160" Type="http://schemas.openxmlformats.org/officeDocument/2006/relationships/hyperlink" Target="https://pubmed.ncbi.nlm.nih.gov/36110778/" TargetMode="External"/><Relationship Id="rId2161" Type="http://schemas.openxmlformats.org/officeDocument/2006/relationships/hyperlink" Target="https://www.ncbi.nlm.nih.gov/pubmed/32391600" TargetMode="External"/><Relationship Id="rId2162" Type="http://schemas.openxmlformats.org/officeDocument/2006/relationships/hyperlink" Target="https://pubmed.ncbi.nlm.nih.gov/34455912/" TargetMode="External"/><Relationship Id="rId2163" Type="http://schemas.openxmlformats.org/officeDocument/2006/relationships/hyperlink" Target="https://pubmed.ncbi.nlm.nih.gov/38700573/" TargetMode="External"/><Relationship Id="rId2164" Type="http://schemas.openxmlformats.org/officeDocument/2006/relationships/hyperlink" Target="https://pubmed.ncbi.nlm.nih.gov/38280099/" TargetMode="External"/><Relationship Id="rId2165" Type="http://schemas.openxmlformats.org/officeDocument/2006/relationships/hyperlink" Target="https://pubmed.ncbi.nlm.nih.gov/38233594/" TargetMode="External"/><Relationship Id="rId2166" Type="http://schemas.openxmlformats.org/officeDocument/2006/relationships/hyperlink" Target="https://pubmed.ncbi.nlm.nih.gov/37675444/" TargetMode="External"/><Relationship Id="rId2167" Type="http://schemas.openxmlformats.org/officeDocument/2006/relationships/hyperlink" Target="https://pubmed.ncbi.nlm.nih.gov/29750093/" TargetMode="External"/><Relationship Id="rId2168" Type="http://schemas.openxmlformats.org/officeDocument/2006/relationships/hyperlink" Target="https://pubmed.ncbi.nlm.nih.gov/38650337/" TargetMode="External"/><Relationship Id="rId2169" Type="http://schemas.openxmlformats.org/officeDocument/2006/relationships/hyperlink" Target="https://pubmed.ncbi.nlm.nih.gov/38827358/" TargetMode="External"/><Relationship Id="rId2159" Type="http://schemas.openxmlformats.org/officeDocument/2006/relationships/hyperlink" Target="https://pubmed.ncbi.nlm.nih.gov/32802285/" TargetMode="External"/><Relationship Id="rId2150" Type="http://schemas.openxmlformats.org/officeDocument/2006/relationships/hyperlink" Target="https://pubmed.ncbi.nlm.nih.gov/32533469/" TargetMode="External"/><Relationship Id="rId2151" Type="http://schemas.openxmlformats.org/officeDocument/2006/relationships/hyperlink" Target="https://pubmed.ncbi.nlm.nih.gov/32483748/" TargetMode="External"/><Relationship Id="rId2152" Type="http://schemas.openxmlformats.org/officeDocument/2006/relationships/hyperlink" Target="https://pubmed.ncbi.nlm.nih.gov/20830741/" TargetMode="External"/><Relationship Id="rId2153" Type="http://schemas.openxmlformats.org/officeDocument/2006/relationships/hyperlink" Target="https://pubmed.ncbi.nlm.nih.gov/20662025/" TargetMode="External"/><Relationship Id="rId2154" Type="http://schemas.openxmlformats.org/officeDocument/2006/relationships/hyperlink" Target="https://pubmed.ncbi.nlm.nih.gov/37935876/" TargetMode="External"/><Relationship Id="rId2155" Type="http://schemas.openxmlformats.org/officeDocument/2006/relationships/hyperlink" Target="https://pubmed.ncbi.nlm.nih.gov/39150379/" TargetMode="External"/><Relationship Id="rId2156" Type="http://schemas.openxmlformats.org/officeDocument/2006/relationships/hyperlink" Target="https://pubmed.ncbi.nlm.nih.gov/38301211/" TargetMode="External"/><Relationship Id="rId2157" Type="http://schemas.openxmlformats.org/officeDocument/2006/relationships/hyperlink" Target="https://pubmed.ncbi.nlm.nih.gov/34797432/" TargetMode="External"/><Relationship Id="rId2158" Type="http://schemas.openxmlformats.org/officeDocument/2006/relationships/hyperlink" Target="https://pubmed.ncbi.nlm.nih.gov/32750068/" TargetMode="External"/><Relationship Id="rId2104" Type="http://schemas.openxmlformats.org/officeDocument/2006/relationships/hyperlink" Target="https://pubmed.ncbi.nlm.nih.gov/38283989/" TargetMode="External"/><Relationship Id="rId2105" Type="http://schemas.openxmlformats.org/officeDocument/2006/relationships/hyperlink" Target="https://pubmed.ncbi.nlm.nih.gov/38255285/" TargetMode="External"/><Relationship Id="rId2106" Type="http://schemas.openxmlformats.org/officeDocument/2006/relationships/hyperlink" Target="https://pubmed.ncbi.nlm.nih.gov/38244301/" TargetMode="External"/><Relationship Id="rId2107" Type="http://schemas.openxmlformats.org/officeDocument/2006/relationships/hyperlink" Target="https://pubmed.ncbi.nlm.nih.gov/37851127/" TargetMode="External"/><Relationship Id="rId2108" Type="http://schemas.openxmlformats.org/officeDocument/2006/relationships/hyperlink" Target="https://pubmed.ncbi.nlm.nih.gov/37819407/" TargetMode="External"/><Relationship Id="rId2109" Type="http://schemas.openxmlformats.org/officeDocument/2006/relationships/hyperlink" Target="https://pubmed.ncbi.nlm.nih.gov/37805676/" TargetMode="External"/><Relationship Id="rId2100" Type="http://schemas.openxmlformats.org/officeDocument/2006/relationships/hyperlink" Target="https://pubmed.ncbi.nlm.nih.gov/38655041/" TargetMode="External"/><Relationship Id="rId2101" Type="http://schemas.openxmlformats.org/officeDocument/2006/relationships/hyperlink" Target="https://pubmed.ncbi.nlm.nih.gov/38700089/" TargetMode="External"/><Relationship Id="rId2102" Type="http://schemas.openxmlformats.org/officeDocument/2006/relationships/hyperlink" Target="https://pubmed.ncbi.nlm.nih.gov/38517569/" TargetMode="External"/><Relationship Id="rId2103" Type="http://schemas.openxmlformats.org/officeDocument/2006/relationships/hyperlink" Target="https://pubmed.ncbi.nlm.nih.gov/38378776/" TargetMode="External"/><Relationship Id="rId899" Type="http://schemas.openxmlformats.org/officeDocument/2006/relationships/hyperlink" Target="https://pubmed.ncbi.nlm.nih.gov/33425286/" TargetMode="External"/><Relationship Id="rId898" Type="http://schemas.openxmlformats.org/officeDocument/2006/relationships/hyperlink" Target="https://pubmed.ncbi.nlm.nih.gov/37141524/" TargetMode="External"/><Relationship Id="rId897" Type="http://schemas.openxmlformats.org/officeDocument/2006/relationships/hyperlink" Target="https://pubmed.ncbi.nlm.nih.gov/38797121/" TargetMode="External"/><Relationship Id="rId896" Type="http://schemas.openxmlformats.org/officeDocument/2006/relationships/hyperlink" Target="https://journals.sagepub.com/doi/abs/10.1177/14771535211010267" TargetMode="External"/><Relationship Id="rId891" Type="http://schemas.openxmlformats.org/officeDocument/2006/relationships/hyperlink" Target="https://pubmed.ncbi.nlm.nih.gov/34733765/" TargetMode="External"/><Relationship Id="rId890" Type="http://schemas.openxmlformats.org/officeDocument/2006/relationships/hyperlink" Target="https://pubmed.ncbi.nlm.nih.gov/33418241/" TargetMode="External"/><Relationship Id="rId895" Type="http://schemas.openxmlformats.org/officeDocument/2006/relationships/hyperlink" Target="https://pubmed.ncbi.nlm.nih.gov/36976831/" TargetMode="External"/><Relationship Id="rId894" Type="http://schemas.openxmlformats.org/officeDocument/2006/relationships/hyperlink" Target="https://pubmed.ncbi.nlm.nih.gov/38576140/" TargetMode="External"/><Relationship Id="rId893" Type="http://schemas.openxmlformats.org/officeDocument/2006/relationships/hyperlink" Target="https://www.sciencedirect.com/science/article/abs/pii/0738081X9592696E" TargetMode="External"/><Relationship Id="rId892" Type="http://schemas.openxmlformats.org/officeDocument/2006/relationships/hyperlink" Target="https://iopscience.iop.org/article/10.1088/0034-4885/71/5/056701" TargetMode="External"/><Relationship Id="rId2126" Type="http://schemas.openxmlformats.org/officeDocument/2006/relationships/hyperlink" Target="https://pubmed.ncbi.nlm.nih.gov/34598294/" TargetMode="External"/><Relationship Id="rId2127" Type="http://schemas.openxmlformats.org/officeDocument/2006/relationships/hyperlink" Target="https://pubmed.ncbi.nlm.nih.gov/34107547/" TargetMode="External"/><Relationship Id="rId2128" Type="http://schemas.openxmlformats.org/officeDocument/2006/relationships/hyperlink" Target="https://pubmed.ncbi.nlm.nih.gov/33719020/" TargetMode="External"/><Relationship Id="rId2129" Type="http://schemas.openxmlformats.org/officeDocument/2006/relationships/hyperlink" Target="https://pubmed.ncbi.nlm.nih.gov/33221565/" TargetMode="External"/><Relationship Id="rId2120" Type="http://schemas.openxmlformats.org/officeDocument/2006/relationships/hyperlink" Target="https://pubmed.ncbi.nlm.nih.gov/35612681/" TargetMode="External"/><Relationship Id="rId2121" Type="http://schemas.openxmlformats.org/officeDocument/2006/relationships/hyperlink" Target="https://pubmed.ncbi.nlm.nih.gov/35629403/" TargetMode="External"/><Relationship Id="rId2122" Type="http://schemas.openxmlformats.org/officeDocument/2006/relationships/hyperlink" Target="https://pubmed.ncbi.nlm.nih.gov/35638280/" TargetMode="External"/><Relationship Id="rId2123" Type="http://schemas.openxmlformats.org/officeDocument/2006/relationships/hyperlink" Target="https://pubmed.ncbi.nlm.nih.gov/35293711/" TargetMode="External"/><Relationship Id="rId2124" Type="http://schemas.openxmlformats.org/officeDocument/2006/relationships/hyperlink" Target="https://pubmed.ncbi.nlm.nih.gov/35136310/" TargetMode="External"/><Relationship Id="rId2125" Type="http://schemas.openxmlformats.org/officeDocument/2006/relationships/hyperlink" Target="https://pubmed.ncbi.nlm.nih.gov/35227005/" TargetMode="External"/><Relationship Id="rId2115" Type="http://schemas.openxmlformats.org/officeDocument/2006/relationships/hyperlink" Target="https://pubmed.ncbi.nlm.nih.gov/36718580/" TargetMode="External"/><Relationship Id="rId2116" Type="http://schemas.openxmlformats.org/officeDocument/2006/relationships/hyperlink" Target="https://pubmed.ncbi.nlm.nih.gov/34983919/" TargetMode="External"/><Relationship Id="rId2117" Type="http://schemas.openxmlformats.org/officeDocument/2006/relationships/hyperlink" Target="https://pubmed.ncbi.nlm.nih.gov/36469733/" TargetMode="External"/><Relationship Id="rId2118" Type="http://schemas.openxmlformats.org/officeDocument/2006/relationships/hyperlink" Target="https://pubmed.ncbi.nlm.nih.gov/36104643/" TargetMode="External"/><Relationship Id="rId2119" Type="http://schemas.openxmlformats.org/officeDocument/2006/relationships/hyperlink" Target="https://pubmed.ncbi.nlm.nih.gov/36107762/" TargetMode="External"/><Relationship Id="rId2110" Type="http://schemas.openxmlformats.org/officeDocument/2006/relationships/hyperlink" Target="https://pubmed.ncbi.nlm.nih.gov/37805307/" TargetMode="External"/><Relationship Id="rId2111" Type="http://schemas.openxmlformats.org/officeDocument/2006/relationships/hyperlink" Target="https://pubmed.ncbi.nlm.nih.gov/37781322/" TargetMode="External"/><Relationship Id="rId2112" Type="http://schemas.openxmlformats.org/officeDocument/2006/relationships/hyperlink" Target="https://pubmed.ncbi.nlm.nih.gov/37160506/" TargetMode="External"/><Relationship Id="rId2113" Type="http://schemas.openxmlformats.org/officeDocument/2006/relationships/hyperlink" Target="https://pubmed.ncbi.nlm.nih.gov/37254280/" TargetMode="External"/><Relationship Id="rId2114" Type="http://schemas.openxmlformats.org/officeDocument/2006/relationships/hyperlink" Target="https://pubmed.ncbi.nlm.nih.gov/37468947/"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pubmed.ncbi.nlm.nih.gov/34193632/" TargetMode="External"/><Relationship Id="rId42" Type="http://schemas.openxmlformats.org/officeDocument/2006/relationships/hyperlink" Target="https://pubmed.ncbi.nlm.nih.gov/32888387/" TargetMode="External"/><Relationship Id="rId41" Type="http://schemas.openxmlformats.org/officeDocument/2006/relationships/hyperlink" Target="https://pubmed.ncbi.nlm.nih.gov/33013635/" TargetMode="External"/><Relationship Id="rId44" Type="http://schemas.openxmlformats.org/officeDocument/2006/relationships/hyperlink" Target="https://pubmed.ncbi.nlm.nih.gov/32255785/" TargetMode="External"/><Relationship Id="rId43" Type="http://schemas.openxmlformats.org/officeDocument/2006/relationships/hyperlink" Target="https://pubmed.ncbi.nlm.nih.gov/34659921/" TargetMode="External"/><Relationship Id="rId46" Type="http://schemas.openxmlformats.org/officeDocument/2006/relationships/hyperlink" Target="https://utmb-ir.tdl.org/handle/2152.3/11348" TargetMode="External"/><Relationship Id="rId45" Type="http://schemas.openxmlformats.org/officeDocument/2006/relationships/hyperlink" Target="https://pubmed.ncbi.nlm.nih.gov/26703077/" TargetMode="External"/><Relationship Id="rId48" Type="http://schemas.openxmlformats.org/officeDocument/2006/relationships/hyperlink" Target="https://pubmed.ncbi.nlm.nih.gov/34092640/" TargetMode="External"/><Relationship Id="rId47" Type="http://schemas.openxmlformats.org/officeDocument/2006/relationships/hyperlink" Target="https://pubmed.ncbi.nlm.nih.gov/37295546/" TargetMode="External"/><Relationship Id="rId49" Type="http://schemas.openxmlformats.org/officeDocument/2006/relationships/hyperlink" Target="https://pubmed.ncbi.nlm.nih.gov/32326425/" TargetMode="External"/><Relationship Id="rId31" Type="http://schemas.openxmlformats.org/officeDocument/2006/relationships/hyperlink" Target="https://pubmed.ncbi.nlm.nih.gov/31390288/" TargetMode="External"/><Relationship Id="rId30" Type="http://schemas.openxmlformats.org/officeDocument/2006/relationships/hyperlink" Target="https://pubmed.ncbi.nlm.nih.gov/33935090/" TargetMode="External"/><Relationship Id="rId33" Type="http://schemas.openxmlformats.org/officeDocument/2006/relationships/hyperlink" Target="https://pubmed.ncbi.nlm.nih.gov/26817446/" TargetMode="External"/><Relationship Id="rId32" Type="http://schemas.openxmlformats.org/officeDocument/2006/relationships/hyperlink" Target="https://pubmed.ncbi.nlm.nih.gov/34596786/" TargetMode="External"/><Relationship Id="rId35" Type="http://schemas.openxmlformats.org/officeDocument/2006/relationships/hyperlink" Target="https://pubmed.ncbi.nlm.nih.gov/32926117/" TargetMode="External"/><Relationship Id="rId34" Type="http://schemas.openxmlformats.org/officeDocument/2006/relationships/hyperlink" Target="https://link.springer.com/article/10.1007/s42341-019-00132-8" TargetMode="External"/><Relationship Id="rId37" Type="http://schemas.openxmlformats.org/officeDocument/2006/relationships/hyperlink" Target="https://www.jstage.jst.go.jp/article/islsm/14/4/14_4_171/_article" TargetMode="External"/><Relationship Id="rId36" Type="http://schemas.openxmlformats.org/officeDocument/2006/relationships/hyperlink" Target="https://pubmed.ncbi.nlm.nih.gov/29131369/" TargetMode="External"/><Relationship Id="rId39" Type="http://schemas.openxmlformats.org/officeDocument/2006/relationships/hyperlink" Target="https://pubmed.ncbi.nlm.nih.gov/29307593/" TargetMode="External"/><Relationship Id="rId38" Type="http://schemas.openxmlformats.org/officeDocument/2006/relationships/hyperlink" Target="https://pubmed.ncbi.nlm.nih.gov/31549906/" TargetMode="External"/><Relationship Id="rId20" Type="http://schemas.openxmlformats.org/officeDocument/2006/relationships/hyperlink" Target="https://pubmed.ncbi.nlm.nih.gov/31659541/" TargetMode="External"/><Relationship Id="rId22" Type="http://schemas.openxmlformats.org/officeDocument/2006/relationships/hyperlink" Target="https://pubmed.ncbi.nlm.nih.gov/37544939/" TargetMode="External"/><Relationship Id="rId21" Type="http://schemas.openxmlformats.org/officeDocument/2006/relationships/hyperlink" Target="https://pubmed.ncbi.nlm.nih.gov/28801854/" TargetMode="External"/><Relationship Id="rId24" Type="http://schemas.openxmlformats.org/officeDocument/2006/relationships/hyperlink" Target="https://pubmed.ncbi.nlm.nih.gov/28035444/" TargetMode="External"/><Relationship Id="rId23" Type="http://schemas.openxmlformats.org/officeDocument/2006/relationships/hyperlink" Target="https://pubmed.ncbi.nlm.nih.gov/25483212/" TargetMode="External"/><Relationship Id="rId26" Type="http://schemas.openxmlformats.org/officeDocument/2006/relationships/hyperlink" Target="https://www.ncbi.nlm.nih.gov/pubmed/20698989" TargetMode="External"/><Relationship Id="rId25" Type="http://schemas.openxmlformats.org/officeDocument/2006/relationships/hyperlink" Target="https://pubmed.ncbi.nlm.nih.gov/32852075/" TargetMode="External"/><Relationship Id="rId28" Type="http://schemas.openxmlformats.org/officeDocument/2006/relationships/hyperlink" Target="https://pubmed.ncbi.nlm.nih.gov/31294674/" TargetMode="External"/><Relationship Id="rId27" Type="http://schemas.openxmlformats.org/officeDocument/2006/relationships/hyperlink" Target="https://pubmed.ncbi.nlm.nih.gov/21219239/" TargetMode="External"/><Relationship Id="rId29" Type="http://schemas.openxmlformats.org/officeDocument/2006/relationships/hyperlink" Target="https://pubmed.ncbi.nlm.nih.gov/34221541/" TargetMode="External"/><Relationship Id="rId11" Type="http://schemas.openxmlformats.org/officeDocument/2006/relationships/hyperlink" Target="https://pubmed.ncbi.nlm.nih.gov/23619627/" TargetMode="External"/><Relationship Id="rId10" Type="http://schemas.openxmlformats.org/officeDocument/2006/relationships/hyperlink" Target="https://pubmed.ncbi.nlm.nih.gov/24685879/" TargetMode="External"/><Relationship Id="rId13" Type="http://schemas.openxmlformats.org/officeDocument/2006/relationships/hyperlink" Target="https://pubmed.ncbi.nlm.nih.gov/33961534/" TargetMode="External"/><Relationship Id="rId12" Type="http://schemas.openxmlformats.org/officeDocument/2006/relationships/hyperlink" Target="https://pubmed.ncbi.nlm.nih.gov/34502871/" TargetMode="External"/><Relationship Id="rId15" Type="http://schemas.openxmlformats.org/officeDocument/2006/relationships/hyperlink" Target="https://pubmed.ncbi.nlm.nih.gov/31809873/" TargetMode="External"/><Relationship Id="rId14" Type="http://schemas.openxmlformats.org/officeDocument/2006/relationships/hyperlink" Target="https://pubmed.ncbi.nlm.nih.gov/32301668/" TargetMode="External"/><Relationship Id="rId17" Type="http://schemas.openxmlformats.org/officeDocument/2006/relationships/hyperlink" Target="https://pubmed.ncbi.nlm.nih.gov/27635634/" TargetMode="External"/><Relationship Id="rId16" Type="http://schemas.openxmlformats.org/officeDocument/2006/relationships/hyperlink" Target="https://pubmed.ncbi.nlm.nih.gov/33844607/" TargetMode="External"/><Relationship Id="rId19" Type="http://schemas.openxmlformats.org/officeDocument/2006/relationships/hyperlink" Target="https://pubmed.ncbi.nlm.nih.gov/19821701/" TargetMode="External"/><Relationship Id="rId18" Type="http://schemas.openxmlformats.org/officeDocument/2006/relationships/hyperlink" Target="https://pubmed.ncbi.nlm.nih.gov/23155359/" TargetMode="External"/><Relationship Id="rId84" Type="http://schemas.openxmlformats.org/officeDocument/2006/relationships/hyperlink" Target="https://pubmed.ncbi.nlm.nih.gov/30385146/" TargetMode="External"/><Relationship Id="rId83" Type="http://schemas.openxmlformats.org/officeDocument/2006/relationships/hyperlink" Target="https://pubmed.ncbi.nlm.nih.gov/30346890/" TargetMode="External"/><Relationship Id="rId86" Type="http://schemas.openxmlformats.org/officeDocument/2006/relationships/hyperlink" Target="https://pubmed.ncbi.nlm.nih.gov/32990504/" TargetMode="External"/><Relationship Id="rId85" Type="http://schemas.openxmlformats.org/officeDocument/2006/relationships/hyperlink" Target="https://pubmed.ncbi.nlm.nih.gov/31647775/" TargetMode="External"/><Relationship Id="rId88" Type="http://schemas.openxmlformats.org/officeDocument/2006/relationships/hyperlink" Target="https://pubmed.ncbi.nlm.nih.gov/30197438/" TargetMode="External"/><Relationship Id="rId87" Type="http://schemas.openxmlformats.org/officeDocument/2006/relationships/hyperlink" Target="https://pubmed.ncbi.nlm.nih.gov/23182016/" TargetMode="External"/><Relationship Id="rId89" Type="http://schemas.openxmlformats.org/officeDocument/2006/relationships/hyperlink" Target="https://pubmed.ncbi.nlm.nih.gov/32301669/" TargetMode="External"/><Relationship Id="rId80" Type="http://schemas.openxmlformats.org/officeDocument/2006/relationships/hyperlink" Target="https://pubmed.ncbi.nlm.nih.gov/26538761/" TargetMode="External"/><Relationship Id="rId82" Type="http://schemas.openxmlformats.org/officeDocument/2006/relationships/hyperlink" Target="https://pubmed.ncbi.nlm.nih.gov/33525934/" TargetMode="External"/><Relationship Id="rId81" Type="http://schemas.openxmlformats.org/officeDocument/2006/relationships/hyperlink" Target="https://pubmed.ncbi.nlm.nih.gov/29956199/" TargetMode="External"/><Relationship Id="rId73" Type="http://schemas.openxmlformats.org/officeDocument/2006/relationships/hyperlink" Target="https://pubmed.ncbi.nlm.nih.gov/27666974/" TargetMode="External"/><Relationship Id="rId72" Type="http://schemas.openxmlformats.org/officeDocument/2006/relationships/hyperlink" Target="https://www.hindawi.com/journals/ijp/2014/785386/" TargetMode="External"/><Relationship Id="rId75" Type="http://schemas.openxmlformats.org/officeDocument/2006/relationships/hyperlink" Target="https://pubmed.ncbi.nlm.nih.gov/31456894/" TargetMode="External"/><Relationship Id="rId74" Type="http://schemas.openxmlformats.org/officeDocument/2006/relationships/hyperlink" Target="https://pubmed.ncbi.nlm.nih.gov/24024040/" TargetMode="External"/><Relationship Id="rId77" Type="http://schemas.openxmlformats.org/officeDocument/2006/relationships/hyperlink" Target="https://pubmed.ncbi.nlm.nih.gov/34697731/" TargetMode="External"/><Relationship Id="rId76" Type="http://schemas.openxmlformats.org/officeDocument/2006/relationships/hyperlink" Target="https://pubmed.ncbi.nlm.nih.gov/18665761/" TargetMode="External"/><Relationship Id="rId79" Type="http://schemas.openxmlformats.org/officeDocument/2006/relationships/hyperlink" Target="https://pubmed.ncbi.nlm.nih.gov/31503536/" TargetMode="External"/><Relationship Id="rId78" Type="http://schemas.openxmlformats.org/officeDocument/2006/relationships/hyperlink" Target="https://pubmed.ncbi.nlm.nih.gov/27839705/" TargetMode="External"/><Relationship Id="rId71" Type="http://schemas.openxmlformats.org/officeDocument/2006/relationships/hyperlink" Target="https://pubmed.ncbi.nlm.nih.gov/34800495/" TargetMode="External"/><Relationship Id="rId70" Type="http://schemas.openxmlformats.org/officeDocument/2006/relationships/hyperlink" Target="https://pubmed.ncbi.nlm.nih.gov/24649935/" TargetMode="External"/><Relationship Id="rId62" Type="http://schemas.openxmlformats.org/officeDocument/2006/relationships/hyperlink" Target="https://pubmed.ncbi.nlm.nih.gov/32653859/" TargetMode="External"/><Relationship Id="rId61" Type="http://schemas.openxmlformats.org/officeDocument/2006/relationships/hyperlink" Target="https://www.nature.com/articles/s41598-021-02311-1" TargetMode="External"/><Relationship Id="rId64" Type="http://schemas.openxmlformats.org/officeDocument/2006/relationships/hyperlink" Target="https://pubmed.ncbi.nlm.nih.gov/33640829/" TargetMode="External"/><Relationship Id="rId63" Type="http://schemas.openxmlformats.org/officeDocument/2006/relationships/hyperlink" Target="https://pubmed.ncbi.nlm.nih.gov/35046633/" TargetMode="External"/><Relationship Id="rId66" Type="http://schemas.openxmlformats.org/officeDocument/2006/relationships/hyperlink" Target="https://pubmed.ncbi.nlm.nih.gov/27812609/" TargetMode="External"/><Relationship Id="rId65" Type="http://schemas.openxmlformats.org/officeDocument/2006/relationships/hyperlink" Target="https://pubmed.ncbi.nlm.nih.gov/32584285/" TargetMode="External"/><Relationship Id="rId68" Type="http://schemas.openxmlformats.org/officeDocument/2006/relationships/hyperlink" Target="https://pubmed.ncbi.nlm.nih.gov/30300099/" TargetMode="External"/><Relationship Id="rId67" Type="http://schemas.openxmlformats.org/officeDocument/2006/relationships/hyperlink" Target="https://pubmed.ncbi.nlm.nih.gov/31585673/" TargetMode="External"/><Relationship Id="rId60" Type="http://schemas.openxmlformats.org/officeDocument/2006/relationships/hyperlink" Target="https://pubmed.ncbi.nlm.nih.gov/27865134/" TargetMode="External"/><Relationship Id="rId69" Type="http://schemas.openxmlformats.org/officeDocument/2006/relationships/hyperlink" Target="https://pubmed.ncbi.nlm.nih.gov/25150020/" TargetMode="External"/><Relationship Id="rId51" Type="http://schemas.openxmlformats.org/officeDocument/2006/relationships/hyperlink" Target="https://pubmed.ncbi.nlm.nih.gov/33953158/" TargetMode="External"/><Relationship Id="rId50" Type="http://schemas.openxmlformats.org/officeDocument/2006/relationships/hyperlink" Target="https://pubmed.ncbi.nlm.nih.gov/34979260/" TargetMode="External"/><Relationship Id="rId53" Type="http://schemas.openxmlformats.org/officeDocument/2006/relationships/hyperlink" Target="https://pubmed.ncbi.nlm.nih.gov/30174418/" TargetMode="External"/><Relationship Id="rId52" Type="http://schemas.openxmlformats.org/officeDocument/2006/relationships/hyperlink" Target="https://pubmed.ncbi.nlm.nih.gov/31390288/" TargetMode="External"/><Relationship Id="rId55" Type="http://schemas.openxmlformats.org/officeDocument/2006/relationships/hyperlink" Target="https://www.jstage.jst.go.jp/article/islsm/4/4/4_92-OR-17/_article/-char/en" TargetMode="External"/><Relationship Id="rId54" Type="http://schemas.openxmlformats.org/officeDocument/2006/relationships/hyperlink" Target="https://pubmed.ncbi.nlm.nih.gov/28854500/" TargetMode="External"/><Relationship Id="rId57" Type="http://schemas.openxmlformats.org/officeDocument/2006/relationships/hyperlink" Target="https://pubmed.ncbi.nlm.nih.gov/32738748/" TargetMode="External"/><Relationship Id="rId56" Type="http://schemas.openxmlformats.org/officeDocument/2006/relationships/hyperlink" Target="https://pubmed.ncbi.nlm.nih.gov/32147037/" TargetMode="External"/><Relationship Id="rId59" Type="http://schemas.openxmlformats.org/officeDocument/2006/relationships/hyperlink" Target="https://pubmed.ncbi.nlm.nih.gov/31754836/" TargetMode="External"/><Relationship Id="rId58" Type="http://schemas.openxmlformats.org/officeDocument/2006/relationships/hyperlink" Target="https://www.ncbi.nlm.nih.gov/pubmed/27887804" TargetMode="External"/><Relationship Id="rId94" Type="http://schemas.openxmlformats.org/officeDocument/2006/relationships/table" Target="../tables/table1.xml"/><Relationship Id="rId91" Type="http://schemas.openxmlformats.org/officeDocument/2006/relationships/hyperlink" Target="https://pubmed.ncbi.nlm.nih.gov/32334585/" TargetMode="External"/><Relationship Id="rId90" Type="http://schemas.openxmlformats.org/officeDocument/2006/relationships/hyperlink" Target="https://pubmed.ncbi.nlm.nih.gov/22783835/" TargetMode="External"/><Relationship Id="rId92" Type="http://schemas.openxmlformats.org/officeDocument/2006/relationships/drawing" Target="../drawings/drawing2.xml"/><Relationship Id="rId1" Type="http://schemas.openxmlformats.org/officeDocument/2006/relationships/hyperlink" Target="https://pubmed.ncbi.nlm.nih.gov/25409657/" TargetMode="External"/><Relationship Id="rId2" Type="http://schemas.openxmlformats.org/officeDocument/2006/relationships/hyperlink" Target="https://pubmed.ncbi.nlm.nih.gov/36403534/" TargetMode="External"/><Relationship Id="rId3" Type="http://schemas.openxmlformats.org/officeDocument/2006/relationships/hyperlink" Target="https://pubmed.ncbi.nlm.nih.gov/20920649/" TargetMode="External"/><Relationship Id="rId4" Type="http://schemas.openxmlformats.org/officeDocument/2006/relationships/hyperlink" Target="https://pubmed.ncbi.nlm.nih.gov/33951300/" TargetMode="External"/><Relationship Id="rId9" Type="http://schemas.openxmlformats.org/officeDocument/2006/relationships/hyperlink" Target="https://pubmed.ncbi.nlm.nih.gov/8667602/" TargetMode="External"/><Relationship Id="rId5" Type="http://schemas.openxmlformats.org/officeDocument/2006/relationships/hyperlink" Target="https://pubmed.ncbi.nlm.nih.gov/36821717/" TargetMode="External"/><Relationship Id="rId6" Type="http://schemas.openxmlformats.org/officeDocument/2006/relationships/hyperlink" Target="https://pubmed.ncbi.nlm.nih.gov/22882528/" TargetMode="External"/><Relationship Id="rId7" Type="http://schemas.openxmlformats.org/officeDocument/2006/relationships/hyperlink" Target="https://pubmed.ncbi.nlm.nih.gov/30834462/" TargetMode="External"/><Relationship Id="rId8" Type="http://schemas.openxmlformats.org/officeDocument/2006/relationships/hyperlink" Target="https://pubmed.ncbi.nlm.nih.gov/27081265/"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pubmed.ncbi.nlm.nih.gov/27190022/" TargetMode="External"/><Relationship Id="rId2" Type="http://schemas.openxmlformats.org/officeDocument/2006/relationships/hyperlink" Target="https://pubmed.ncbi.nlm.nih.gov/38724798/" TargetMode="External"/><Relationship Id="rId3" Type="http://schemas.openxmlformats.org/officeDocument/2006/relationships/hyperlink" Target="https://pubmed.ncbi.nlm.nih.gov/34705261/" TargetMode="External"/><Relationship Id="rId4" Type="http://schemas.openxmlformats.org/officeDocument/2006/relationships/hyperlink" Target="https://pubmed.ncbi.nlm.nih.gov/19746429/" TargetMode="External"/><Relationship Id="rId5"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0" Type="http://schemas.openxmlformats.org/officeDocument/2006/relationships/hyperlink" Target="https://www.ncbi.nlm.nih.gov/pubmed/25452258" TargetMode="External"/><Relationship Id="rId42" Type="http://schemas.openxmlformats.org/officeDocument/2006/relationships/hyperlink" Target="https://www.ncbi.nlm.nih.gov/pubmed/31715551" TargetMode="External"/><Relationship Id="rId41" Type="http://schemas.openxmlformats.org/officeDocument/2006/relationships/hyperlink" Target="http://www.ncbi.nlm.nih.gov/pubmed/27220395" TargetMode="External"/><Relationship Id="rId44" Type="http://schemas.openxmlformats.org/officeDocument/2006/relationships/hyperlink" Target="https://www.ncbi.nlm.nih.gov/pubmed/26795389" TargetMode="External"/><Relationship Id="rId43" Type="http://schemas.openxmlformats.org/officeDocument/2006/relationships/hyperlink" Target="https://www.ncbi.nlm.nih.gov/pubmed/8667602" TargetMode="External"/><Relationship Id="rId46" Type="http://schemas.openxmlformats.org/officeDocument/2006/relationships/hyperlink" Target="https://www.ncbi.nlm.nih.gov/pubmed/29968547" TargetMode="External"/><Relationship Id="rId45" Type="http://schemas.openxmlformats.org/officeDocument/2006/relationships/hyperlink" Target="https://www.ncbi.nlm.nih.gov/pubmed/28739168" TargetMode="External"/><Relationship Id="rId48" Type="http://schemas.openxmlformats.org/officeDocument/2006/relationships/hyperlink" Target="https://www.ncbi.nlm.nih.gov/pubmed/30025889" TargetMode="External"/><Relationship Id="rId47" Type="http://schemas.openxmlformats.org/officeDocument/2006/relationships/hyperlink" Target="https://www.ncbi.nlm.nih.gov/pubmed/10928702" TargetMode="External"/><Relationship Id="rId49" Type="http://schemas.openxmlformats.org/officeDocument/2006/relationships/hyperlink" Target="https://www.ncbi.nlm.nih.gov/pubmed/24319484" TargetMode="External"/><Relationship Id="rId31" Type="http://schemas.openxmlformats.org/officeDocument/2006/relationships/hyperlink" Target="http://www.ncbi.nlm.nih.gov/pubmed/26427443" TargetMode="External"/><Relationship Id="rId30" Type="http://schemas.openxmlformats.org/officeDocument/2006/relationships/hyperlink" Target="http://www.hindawi.com/journals/ijp/2014/384816/" TargetMode="External"/><Relationship Id="rId33" Type="http://schemas.openxmlformats.org/officeDocument/2006/relationships/hyperlink" Target="http://www.ncbi.nlm.nih.gov/pubmed/25797186" TargetMode="External"/><Relationship Id="rId32" Type="http://schemas.openxmlformats.org/officeDocument/2006/relationships/hyperlink" Target="https://www.ncbi.nlm.nih.gov/pubmed/1587175" TargetMode="External"/><Relationship Id="rId35" Type="http://schemas.openxmlformats.org/officeDocument/2006/relationships/hyperlink" Target="https://www.ncbi.nlm.nih.gov/pubmed/29282560" TargetMode="External"/><Relationship Id="rId34" Type="http://schemas.openxmlformats.org/officeDocument/2006/relationships/hyperlink" Target="https://www.ncbi.nlm.nih.gov/pubmed/26714983" TargetMode="External"/><Relationship Id="rId37" Type="http://schemas.openxmlformats.org/officeDocument/2006/relationships/hyperlink" Target="https://www.ncbi.nlm.nih.gov/pubmed/24158722" TargetMode="External"/><Relationship Id="rId36" Type="http://schemas.openxmlformats.org/officeDocument/2006/relationships/hyperlink" Target="https://www.ncbi.nlm.nih.gov/pubmed/21625765" TargetMode="External"/><Relationship Id="rId39" Type="http://schemas.openxmlformats.org/officeDocument/2006/relationships/hyperlink" Target="https://www.ncbi.nlm.nih.gov/pubmed/22882528" TargetMode="External"/><Relationship Id="rId38" Type="http://schemas.openxmlformats.org/officeDocument/2006/relationships/hyperlink" Target="http://www.ncbi.nlm.nih.gov/pubmed/26322981" TargetMode="External"/><Relationship Id="rId20" Type="http://schemas.openxmlformats.org/officeDocument/2006/relationships/hyperlink" Target="https://www.ncbi.nlm.nih.gov/pubmed/29307593" TargetMode="External"/><Relationship Id="rId22" Type="http://schemas.openxmlformats.org/officeDocument/2006/relationships/hyperlink" Target="https://www.ncbi.nlm.nih.gov/pubmed/26381933" TargetMode="External"/><Relationship Id="rId21" Type="http://schemas.openxmlformats.org/officeDocument/2006/relationships/hyperlink" Target="https://www.ncbi.nlm.nih.gov/pubmed/22936461" TargetMode="External"/><Relationship Id="rId24" Type="http://schemas.openxmlformats.org/officeDocument/2006/relationships/hyperlink" Target="https://www.ncbi.nlm.nih.gov/pubmed/27647761" TargetMode="External"/><Relationship Id="rId23" Type="http://schemas.openxmlformats.org/officeDocument/2006/relationships/hyperlink" Target="http://www.ncbi.nlm.nih.gov/pubmed/27105906" TargetMode="External"/><Relationship Id="rId26" Type="http://schemas.openxmlformats.org/officeDocument/2006/relationships/hyperlink" Target="https://www.ncbi.nlm.nih.gov/pubmed/25101535" TargetMode="External"/><Relationship Id="rId25" Type="http://schemas.openxmlformats.org/officeDocument/2006/relationships/hyperlink" Target="https://www.ncbi.nlm.nih.gov/pubmed/27635634" TargetMode="External"/><Relationship Id="rId28" Type="http://schemas.openxmlformats.org/officeDocument/2006/relationships/hyperlink" Target="https://www.ncbi.nlm.nih.gov/pubmed/26155904" TargetMode="External"/><Relationship Id="rId27" Type="http://schemas.openxmlformats.org/officeDocument/2006/relationships/hyperlink" Target="https://www.ncbi.nlm.nih.gov/pubmed/24343446" TargetMode="External"/><Relationship Id="rId29" Type="http://schemas.openxmlformats.org/officeDocument/2006/relationships/hyperlink" Target="https://www.ncbi.nlm.nih.gov/pubmed/25354753" TargetMode="External"/><Relationship Id="rId11" Type="http://schemas.openxmlformats.org/officeDocument/2006/relationships/hyperlink" Target="http://www.ncbi.nlm.nih.gov/pubmed/24634001" TargetMode="External"/><Relationship Id="rId10" Type="http://schemas.openxmlformats.org/officeDocument/2006/relationships/hyperlink" Target="https://www.ncbi.nlm.nih.gov/pubmed/28712048" TargetMode="External"/><Relationship Id="rId13" Type="http://schemas.openxmlformats.org/officeDocument/2006/relationships/hyperlink" Target="https://www.ncbi.nlm.nih.gov/pubmed/27056078" TargetMode="External"/><Relationship Id="rId12" Type="http://schemas.openxmlformats.org/officeDocument/2006/relationships/hyperlink" Target="http://dc.uwm.edu/etd/4/" TargetMode="External"/><Relationship Id="rId15" Type="http://schemas.openxmlformats.org/officeDocument/2006/relationships/hyperlink" Target="http://www.ncbi.nlm.nih.gov/pubmed/26690359" TargetMode="External"/><Relationship Id="rId14" Type="http://schemas.openxmlformats.org/officeDocument/2006/relationships/hyperlink" Target="https://www.ncbi.nlm.nih.gov/pubmed/30507909" TargetMode="External"/><Relationship Id="rId17" Type="http://schemas.openxmlformats.org/officeDocument/2006/relationships/hyperlink" Target="http://ncbi.nlm.nih.gov/pubmed/23840470" TargetMode="External"/><Relationship Id="rId16" Type="http://schemas.openxmlformats.org/officeDocument/2006/relationships/hyperlink" Target="https://www.ncbi.nlm.nih.gov/pubmed/17508847" TargetMode="External"/><Relationship Id="rId19" Type="http://schemas.openxmlformats.org/officeDocument/2006/relationships/hyperlink" Target="https://www.ncbi.nlm.nih.gov/pubmed/24792475" TargetMode="External"/><Relationship Id="rId18" Type="http://schemas.openxmlformats.org/officeDocument/2006/relationships/hyperlink" Target="http://www.ncbi.nlm.nih.gov/pubmed/22538842" TargetMode="External"/><Relationship Id="rId84" Type="http://schemas.openxmlformats.org/officeDocument/2006/relationships/hyperlink" Target="http://www.ncbi.nlm.nih.gov/pubmed/24231378" TargetMode="External"/><Relationship Id="rId83" Type="http://schemas.openxmlformats.org/officeDocument/2006/relationships/hyperlink" Target="https://www.ncbi.nlm.nih.gov/pubmed/18248157" TargetMode="External"/><Relationship Id="rId86" Type="http://schemas.openxmlformats.org/officeDocument/2006/relationships/hyperlink" Target="https://www.ncbi.nlm.nih.gov/pubmed/28577185" TargetMode="External"/><Relationship Id="rId85" Type="http://schemas.openxmlformats.org/officeDocument/2006/relationships/hyperlink" Target="https://www.ncbi.nlm.nih.gov/pubmed/16706692" TargetMode="External"/><Relationship Id="rId88" Type="http://schemas.openxmlformats.org/officeDocument/2006/relationships/hyperlink" Target="https://www.ncbi.nlm.nih.gov/pubmed/28155011" TargetMode="External"/><Relationship Id="rId87" Type="http://schemas.openxmlformats.org/officeDocument/2006/relationships/hyperlink" Target="https://www.ncbi.nlm.nih.gov/pubmed/27624783" TargetMode="External"/><Relationship Id="rId89" Type="http://schemas.openxmlformats.org/officeDocument/2006/relationships/hyperlink" Target="http://www.ncbi.nlm.nih.gov/pubmed/22845797" TargetMode="External"/><Relationship Id="rId80" Type="http://schemas.openxmlformats.org/officeDocument/2006/relationships/hyperlink" Target="https://www.ncbi.nlm.nih.gov/pubmed/23619627" TargetMode="External"/><Relationship Id="rId82" Type="http://schemas.openxmlformats.org/officeDocument/2006/relationships/hyperlink" Target="https://www.ncbi.nlm.nih.gov/pubmed/27250714" TargetMode="External"/><Relationship Id="rId81" Type="http://schemas.openxmlformats.org/officeDocument/2006/relationships/hyperlink" Target="http://www.ncbi.nlm.nih.gov/pubmed/23134313" TargetMode="External"/><Relationship Id="rId73" Type="http://schemas.openxmlformats.org/officeDocument/2006/relationships/hyperlink" Target="https://www.ncbi.nlm.nih.gov/pubmed/31791407" TargetMode="External"/><Relationship Id="rId72" Type="http://schemas.openxmlformats.org/officeDocument/2006/relationships/hyperlink" Target="http://www.ncbi.nlm.nih.gov/pubmed/27579876" TargetMode="External"/><Relationship Id="rId75" Type="http://schemas.openxmlformats.org/officeDocument/2006/relationships/hyperlink" Target="https://www.ncbi.nlm.nih.gov/pubmed/31809873" TargetMode="External"/><Relationship Id="rId74" Type="http://schemas.openxmlformats.org/officeDocument/2006/relationships/hyperlink" Target="http://www.ncbi.nlm.nih.gov/pubmed/27367569" TargetMode="External"/><Relationship Id="rId77" Type="http://schemas.openxmlformats.org/officeDocument/2006/relationships/hyperlink" Target="http://www.ncbi.nlm.nih.gov/pubmed/26793049" TargetMode="External"/><Relationship Id="rId76" Type="http://schemas.openxmlformats.org/officeDocument/2006/relationships/hyperlink" Target="http://www.ncbi.nlm.nih.gov/pubmed/25122099" TargetMode="External"/><Relationship Id="rId79" Type="http://schemas.openxmlformats.org/officeDocument/2006/relationships/hyperlink" Target="https://www.ncbi.nlm.nih.gov/pubmed/22911625" TargetMode="External"/><Relationship Id="rId78" Type="http://schemas.openxmlformats.org/officeDocument/2006/relationships/hyperlink" Target="https://www.ncbi.nlm.nih.gov/pubmed/21617972" TargetMode="External"/><Relationship Id="rId71" Type="http://schemas.openxmlformats.org/officeDocument/2006/relationships/hyperlink" Target="https://www.ncbi.nlm.nih.gov/pubmed/16624570" TargetMode="External"/><Relationship Id="rId70" Type="http://schemas.openxmlformats.org/officeDocument/2006/relationships/hyperlink" Target="https://www.ncbi.nlm.nih.gov/pubmed/30949786" TargetMode="External"/><Relationship Id="rId62" Type="http://schemas.openxmlformats.org/officeDocument/2006/relationships/hyperlink" Target="https://www.ncbi.nlm.nih.gov/pubmed/20969445" TargetMode="External"/><Relationship Id="rId61" Type="http://schemas.openxmlformats.org/officeDocument/2006/relationships/hyperlink" Target="http://www.ncbi.nlm.nih.gov/pubmed/26793049" TargetMode="External"/><Relationship Id="rId64" Type="http://schemas.openxmlformats.org/officeDocument/2006/relationships/hyperlink" Target="https://www.ncbi.nlm.nih.gov/pubmed/26703077" TargetMode="External"/><Relationship Id="rId63" Type="http://schemas.openxmlformats.org/officeDocument/2006/relationships/hyperlink" Target="http://www.ncbi.nlm.nih.gov/pubmed/25211315" TargetMode="External"/><Relationship Id="rId66" Type="http://schemas.openxmlformats.org/officeDocument/2006/relationships/hyperlink" Target="https://www.ncbi.nlm.nih.gov/pubmed/28099448" TargetMode="External"/><Relationship Id="rId65" Type="http://schemas.openxmlformats.org/officeDocument/2006/relationships/hyperlink" Target="https://www.ncbi.nlm.nih.gov/pubmed/23951291/" TargetMode="External"/><Relationship Id="rId68" Type="http://schemas.openxmlformats.org/officeDocument/2006/relationships/hyperlink" Target="http://www.ncbi.nlm.nih.gov/pubmed/24871130" TargetMode="External"/><Relationship Id="rId67" Type="http://schemas.openxmlformats.org/officeDocument/2006/relationships/hyperlink" Target="https://www.ncbi.nlm.nih.gov/pubmed/19143012" TargetMode="External"/><Relationship Id="rId60" Type="http://schemas.openxmlformats.org/officeDocument/2006/relationships/hyperlink" Target="https://www.ncbi.nlm.nih.gov/pubmed/23806754" TargetMode="External"/><Relationship Id="rId69" Type="http://schemas.openxmlformats.org/officeDocument/2006/relationships/hyperlink" Target="https://www.ncbi.nlm.nih.gov/pubmed/12656884" TargetMode="External"/><Relationship Id="rId51" Type="http://schemas.openxmlformats.org/officeDocument/2006/relationships/hyperlink" Target="https://www.ncbi.nlm.nih.gov/pubmed/1735168" TargetMode="External"/><Relationship Id="rId50" Type="http://schemas.openxmlformats.org/officeDocument/2006/relationships/hyperlink" Target="https://www.ncbi.nlm.nih.gov/pubmed/28619506" TargetMode="External"/><Relationship Id="rId53" Type="http://schemas.openxmlformats.org/officeDocument/2006/relationships/hyperlink" Target="https://www.ncbi.nlm.nih.gov/pubmed/21219239" TargetMode="External"/><Relationship Id="rId52" Type="http://schemas.openxmlformats.org/officeDocument/2006/relationships/hyperlink" Target="http://www.ncbi.nlm.nih.gov/pubmed/12626762" TargetMode="External"/><Relationship Id="rId55" Type="http://schemas.openxmlformats.org/officeDocument/2006/relationships/hyperlink" Target="https://www.ncbi.nlm.nih.gov/pubmed/26006084" TargetMode="External"/><Relationship Id="rId54" Type="http://schemas.openxmlformats.org/officeDocument/2006/relationships/hyperlink" Target="http://www.ncbi.nlm.nih.gov/pubmed/27561854" TargetMode="External"/><Relationship Id="rId57" Type="http://schemas.openxmlformats.org/officeDocument/2006/relationships/hyperlink" Target="http://www.ncbi.nlm.nih.gov/pubmed/27001179" TargetMode="External"/><Relationship Id="rId56" Type="http://schemas.openxmlformats.org/officeDocument/2006/relationships/hyperlink" Target="https://www.ncbi.nlm.nih.gov/pubmed/23139073" TargetMode="External"/><Relationship Id="rId59" Type="http://schemas.openxmlformats.org/officeDocument/2006/relationships/hyperlink" Target="http://www.ncbi.nlm.nih.gov/pubmed/22138375" TargetMode="External"/><Relationship Id="rId58" Type="http://schemas.openxmlformats.org/officeDocument/2006/relationships/hyperlink" Target="http://www.ncbi.nlm.nih.gov/pubmed/18926854" TargetMode="External"/><Relationship Id="rId95" Type="http://schemas.openxmlformats.org/officeDocument/2006/relationships/hyperlink" Target="https://www.ncbi.nlm.nih.gov/pubmed/17803379" TargetMode="External"/><Relationship Id="rId94" Type="http://schemas.openxmlformats.org/officeDocument/2006/relationships/hyperlink" Target="https://www.ncbi.nlm.nih.gov/pubmed/26930372" TargetMode="External"/><Relationship Id="rId97" Type="http://schemas.openxmlformats.org/officeDocument/2006/relationships/hyperlink" Target="https://www.ncbi.nlm.nih.gov/pubmed/30506108" TargetMode="External"/><Relationship Id="rId96" Type="http://schemas.openxmlformats.org/officeDocument/2006/relationships/hyperlink" Target="http://www.ncbi.nlm.nih.gov/pubmed/27464749" TargetMode="External"/><Relationship Id="rId99" Type="http://schemas.openxmlformats.org/officeDocument/2006/relationships/hyperlink" Target="https://www.ncbi.nlm.nih.gov/pubmed/24722775" TargetMode="External"/><Relationship Id="rId98" Type="http://schemas.openxmlformats.org/officeDocument/2006/relationships/hyperlink" Target="https://www.ncbi.nlm.nih.gov/pubmed/20356759" TargetMode="External"/><Relationship Id="rId91" Type="http://schemas.openxmlformats.org/officeDocument/2006/relationships/hyperlink" Target="https://www.ncbi.nlm.nih.gov/pubmed/23933663" TargetMode="External"/><Relationship Id="rId90" Type="http://schemas.openxmlformats.org/officeDocument/2006/relationships/hyperlink" Target="https://www.ncbi.nlm.nih.gov/pubmed/25751667" TargetMode="External"/><Relationship Id="rId93" Type="http://schemas.openxmlformats.org/officeDocument/2006/relationships/hyperlink" Target="https://www.ncbi.nlm.nih.gov/pubmed/23524249" TargetMode="External"/><Relationship Id="rId92" Type="http://schemas.openxmlformats.org/officeDocument/2006/relationships/hyperlink" Target="https://www.ncbi.nlm.nih.gov/pubmed/29751100" TargetMode="External"/><Relationship Id="rId228" Type="http://schemas.openxmlformats.org/officeDocument/2006/relationships/hyperlink" Target="https://www.ncbi.nlm.nih.gov/pubmed/31405365" TargetMode="External"/><Relationship Id="rId227" Type="http://schemas.openxmlformats.org/officeDocument/2006/relationships/hyperlink" Target="https://www.ncbi.nlm.nih.gov/pubmed/26667480" TargetMode="External"/><Relationship Id="rId226" Type="http://schemas.openxmlformats.org/officeDocument/2006/relationships/hyperlink" Target="https://www.ncbi.nlm.nih.gov/pubmed/31536469" TargetMode="External"/><Relationship Id="rId225" Type="http://schemas.openxmlformats.org/officeDocument/2006/relationships/hyperlink" Target="http://www.ncbi.nlm.nih.gov/pubmed/15145195" TargetMode="External"/><Relationship Id="rId229" Type="http://schemas.openxmlformats.org/officeDocument/2006/relationships/hyperlink" Target="https://www.ncbi.nlm.nih.gov/pubmed/10721863" TargetMode="External"/><Relationship Id="rId220" Type="http://schemas.openxmlformats.org/officeDocument/2006/relationships/hyperlink" Target="https://www.ncbi.nlm.nih.gov/pubmed/24682183" TargetMode="External"/><Relationship Id="rId224" Type="http://schemas.openxmlformats.org/officeDocument/2006/relationships/hyperlink" Target="https://www.ncbi.nlm.nih.gov/pubmed/9865208" TargetMode="External"/><Relationship Id="rId223" Type="http://schemas.openxmlformats.org/officeDocument/2006/relationships/hyperlink" Target="http://www.ncbi.nlm.nih.gov/pubmed/27116013" TargetMode="External"/><Relationship Id="rId222" Type="http://schemas.openxmlformats.org/officeDocument/2006/relationships/hyperlink" Target="https://www.ncbi.nlm.nih.gov/pubmed/26932392" TargetMode="External"/><Relationship Id="rId221" Type="http://schemas.openxmlformats.org/officeDocument/2006/relationships/hyperlink" Target="https://www.ncbi.nlm.nih.gov/pubmed/28536905" TargetMode="External"/><Relationship Id="rId217" Type="http://schemas.openxmlformats.org/officeDocument/2006/relationships/hyperlink" Target="https://www.ncbi.nlm.nih.gov/pubmed/19764893" TargetMode="External"/><Relationship Id="rId216" Type="http://schemas.openxmlformats.org/officeDocument/2006/relationships/hyperlink" Target="https://www.ncbi.nlm.nih.gov/pubmed/25914044" TargetMode="External"/><Relationship Id="rId215" Type="http://schemas.openxmlformats.org/officeDocument/2006/relationships/hyperlink" Target="https://www.ncbi.nlm.nih.gov/pubmed/29198781" TargetMode="External"/><Relationship Id="rId214" Type="http://schemas.openxmlformats.org/officeDocument/2006/relationships/hyperlink" Target="https://www.ncbi.nlm.nih.gov/pubmed/26748691" TargetMode="External"/><Relationship Id="rId219" Type="http://schemas.openxmlformats.org/officeDocument/2006/relationships/hyperlink" Target="https://www.ncbi.nlm.nih.gov/pubmed/24649935" TargetMode="External"/><Relationship Id="rId218" Type="http://schemas.openxmlformats.org/officeDocument/2006/relationships/hyperlink" Target="https://www.ncbi.nlm.nih.gov/pubmed/28001756" TargetMode="External"/><Relationship Id="rId213" Type="http://schemas.openxmlformats.org/officeDocument/2006/relationships/hyperlink" Target="https://www.ncbi.nlm.nih.gov/pubmed/23355338" TargetMode="External"/><Relationship Id="rId212" Type="http://schemas.openxmlformats.org/officeDocument/2006/relationships/hyperlink" Target="https://www.ncbi.nlm.nih.gov/pubmed/24288494" TargetMode="External"/><Relationship Id="rId211" Type="http://schemas.openxmlformats.org/officeDocument/2006/relationships/hyperlink" Target="http://www.ncbi.nlm.nih.gov/pubmed/18172370" TargetMode="External"/><Relationship Id="rId210" Type="http://schemas.openxmlformats.org/officeDocument/2006/relationships/hyperlink" Target="https://www.ncbi.nlm.nih.gov/pubmed/28301678" TargetMode="External"/><Relationship Id="rId242" Type="http://schemas.openxmlformats.org/officeDocument/2006/relationships/hyperlink" Target="http://www.ncbi.nlm.nih.gov/pubmed/3982191" TargetMode="External"/><Relationship Id="rId241" Type="http://schemas.openxmlformats.org/officeDocument/2006/relationships/hyperlink" Target="http://www.ncbi.nlm.nih.gov/pubmed/15570642" TargetMode="External"/><Relationship Id="rId240" Type="http://schemas.openxmlformats.org/officeDocument/2006/relationships/hyperlink" Target="https://www.ncbi.nlm.nih.gov/pubmed/30361793" TargetMode="External"/><Relationship Id="rId244" Type="http://schemas.openxmlformats.org/officeDocument/2006/relationships/drawing" Target="../drawings/drawing4.xml"/><Relationship Id="rId243" Type="http://schemas.openxmlformats.org/officeDocument/2006/relationships/hyperlink" Target="http://www.ncbi.nlm.nih.gov/pubmed/27495063" TargetMode="External"/><Relationship Id="rId239" Type="http://schemas.openxmlformats.org/officeDocument/2006/relationships/hyperlink" Target="https://www.ncbi.nlm.nih.gov/pubmed/26468834" TargetMode="External"/><Relationship Id="rId238" Type="http://schemas.openxmlformats.org/officeDocument/2006/relationships/hyperlink" Target="https://www.ncbi.nlm.nih.gov/pubmed/26797192" TargetMode="External"/><Relationship Id="rId237" Type="http://schemas.openxmlformats.org/officeDocument/2006/relationships/hyperlink" Target="https://www.ncbi.nlm.nih.gov/pubmed/31325124" TargetMode="External"/><Relationship Id="rId236" Type="http://schemas.openxmlformats.org/officeDocument/2006/relationships/hyperlink" Target="https://www.ncbi.nlm.nih.gov/pubmed/27839705" TargetMode="External"/><Relationship Id="rId231" Type="http://schemas.openxmlformats.org/officeDocument/2006/relationships/hyperlink" Target="https://www.ncbi.nlm.nih.gov/pubmed/27919663" TargetMode="External"/><Relationship Id="rId230" Type="http://schemas.openxmlformats.org/officeDocument/2006/relationships/hyperlink" Target="https://www.ncbi.nlm.nih.gov/pubmed/18424354" TargetMode="External"/><Relationship Id="rId235" Type="http://schemas.openxmlformats.org/officeDocument/2006/relationships/hyperlink" Target="https://www.ncbi.nlm.nih.gov/pubmed/27236292" TargetMode="External"/><Relationship Id="rId234" Type="http://schemas.openxmlformats.org/officeDocument/2006/relationships/hyperlink" Target="https://www.ncbi.nlm.nih.gov/pubmed/25769363" TargetMode="External"/><Relationship Id="rId233" Type="http://schemas.openxmlformats.org/officeDocument/2006/relationships/hyperlink" Target="https://www.ncbi.nlm.nih.gov/pubmed/25432632" TargetMode="External"/><Relationship Id="rId232" Type="http://schemas.openxmlformats.org/officeDocument/2006/relationships/hyperlink" Target="https://www.ncbi.nlm.nih.gov/pubmed/20977100" TargetMode="External"/><Relationship Id="rId206" Type="http://schemas.openxmlformats.org/officeDocument/2006/relationships/hyperlink" Target="http://www.ncbi.nlm.nih.gov/pubmed/17508839" TargetMode="External"/><Relationship Id="rId205" Type="http://schemas.openxmlformats.org/officeDocument/2006/relationships/hyperlink" Target="https://www.ncbi.nlm.nih.gov/pubmed/25606312/" TargetMode="External"/><Relationship Id="rId204" Type="http://schemas.openxmlformats.org/officeDocument/2006/relationships/hyperlink" Target="https://www.ncbi.nlm.nih.gov/pubmed/25800534" TargetMode="External"/><Relationship Id="rId203" Type="http://schemas.openxmlformats.org/officeDocument/2006/relationships/hyperlink" Target="http://valtsuhealth.blogspot.fi/2015/09/voiko-lahi-infrapuna-lievittaa-tai.html" TargetMode="External"/><Relationship Id="rId209" Type="http://schemas.openxmlformats.org/officeDocument/2006/relationships/hyperlink" Target="https://www.ncbi.nlm.nih.gov/pubmed/22047597" TargetMode="External"/><Relationship Id="rId208" Type="http://schemas.openxmlformats.org/officeDocument/2006/relationships/hyperlink" Target="https://www.ncbi.nlm.nih.gov/pubmed/23200785" TargetMode="External"/><Relationship Id="rId207" Type="http://schemas.openxmlformats.org/officeDocument/2006/relationships/hyperlink" Target="https://www.ncbi.nlm.nih.gov/pubmed/31532306" TargetMode="External"/><Relationship Id="rId202" Type="http://schemas.openxmlformats.org/officeDocument/2006/relationships/hyperlink" Target="https://www.ncbi.nlm.nih.gov/pubmed/24717149" TargetMode="External"/><Relationship Id="rId201" Type="http://schemas.openxmlformats.org/officeDocument/2006/relationships/hyperlink" Target="https://www.ncbi.nlm.nih.gov/pubmed/31390288" TargetMode="External"/><Relationship Id="rId200" Type="http://schemas.openxmlformats.org/officeDocument/2006/relationships/hyperlink" Target="https://www.ncbi.nlm.nih.gov/pubmed/25491183" TargetMode="External"/><Relationship Id="rId1" Type="http://schemas.openxmlformats.org/officeDocument/2006/relationships/hyperlink" Target="http://www.ncbi.nlm.nih.gov/pubmed/27081265" TargetMode="External"/><Relationship Id="rId2" Type="http://schemas.openxmlformats.org/officeDocument/2006/relationships/hyperlink" Target="http://www.ncbi.nlm.nih.gov/pubmed/27475897" TargetMode="External"/><Relationship Id="rId3" Type="http://schemas.openxmlformats.org/officeDocument/2006/relationships/hyperlink" Target="http://www.ncbi.nlm.nih.gov/pubmed/25378263" TargetMode="External"/><Relationship Id="rId4" Type="http://schemas.openxmlformats.org/officeDocument/2006/relationships/hyperlink" Target="https://www.ncbi.nlm.nih.gov/pubmed/20932182" TargetMode="External"/><Relationship Id="rId9" Type="http://schemas.openxmlformats.org/officeDocument/2006/relationships/hyperlink" Target="https://www.ncbi.nlm.nih.gov/pubmed/23167284" TargetMode="External"/><Relationship Id="rId5" Type="http://schemas.openxmlformats.org/officeDocument/2006/relationships/hyperlink" Target="https://www.ncbi.nlm.nih.gov/pubmed/25119457" TargetMode="External"/><Relationship Id="rId6" Type="http://schemas.openxmlformats.org/officeDocument/2006/relationships/hyperlink" Target="https://www.ncbi.nlm.nih.gov/pubmed/9562022" TargetMode="External"/><Relationship Id="rId7" Type="http://schemas.openxmlformats.org/officeDocument/2006/relationships/hyperlink" Target="http://www.ncbi.nlm.nih.gov/pubmed/22674405" TargetMode="External"/><Relationship Id="rId8" Type="http://schemas.openxmlformats.org/officeDocument/2006/relationships/hyperlink" Target="https://link.springer.com/article/10.1007/s42341-019-00132-8" TargetMode="External"/><Relationship Id="rId190" Type="http://schemas.openxmlformats.org/officeDocument/2006/relationships/hyperlink" Target="https://www.ncbi.nlm.nih.gov/pubmed/24552468" TargetMode="External"/><Relationship Id="rId194" Type="http://schemas.openxmlformats.org/officeDocument/2006/relationships/hyperlink" Target="https://www.ncbi.nlm.nih.gov/pubmed/16706691" TargetMode="External"/><Relationship Id="rId193" Type="http://schemas.openxmlformats.org/officeDocument/2006/relationships/hyperlink" Target="https://www.ncbi.nlm.nih.gov/pubmed/30803856" TargetMode="External"/><Relationship Id="rId192" Type="http://schemas.openxmlformats.org/officeDocument/2006/relationships/hyperlink" Target="https://www.ncbi.nlm.nih.gov/pubmed/25198431" TargetMode="External"/><Relationship Id="rId191" Type="http://schemas.openxmlformats.org/officeDocument/2006/relationships/hyperlink" Target="http://www.ncbi.nlm.nih.gov/pubmed/26690359" TargetMode="External"/><Relationship Id="rId187" Type="http://schemas.openxmlformats.org/officeDocument/2006/relationships/hyperlink" Target="https://www.ncbi.nlm.nih.gov/pubmed/29909435" TargetMode="External"/><Relationship Id="rId186" Type="http://schemas.openxmlformats.org/officeDocument/2006/relationships/hyperlink" Target="https://www.ncbi.nlm.nih.gov/pubmed/27363734" TargetMode="External"/><Relationship Id="rId185" Type="http://schemas.openxmlformats.org/officeDocument/2006/relationships/hyperlink" Target="https://www.ncbi.nlm.nih.gov/pubmed/27655559" TargetMode="External"/><Relationship Id="rId184" Type="http://schemas.openxmlformats.org/officeDocument/2006/relationships/hyperlink" Target="https://www.ncbi.nlm.nih.gov/pubmed/25413975/" TargetMode="External"/><Relationship Id="rId189" Type="http://schemas.openxmlformats.org/officeDocument/2006/relationships/hyperlink" Target="https://www.ncbi.nlm.nih.gov/pubmed/29956199" TargetMode="External"/><Relationship Id="rId188" Type="http://schemas.openxmlformats.org/officeDocument/2006/relationships/hyperlink" Target="https://www.ncbi.nlm.nih.gov/pubmed/26463915" TargetMode="External"/><Relationship Id="rId183" Type="http://schemas.openxmlformats.org/officeDocument/2006/relationships/hyperlink" Target="https://www.ncbi.nlm.nih.gov/pubmed/24701539" TargetMode="External"/><Relationship Id="rId182" Type="http://schemas.openxmlformats.org/officeDocument/2006/relationships/hyperlink" Target="https://www.jstage.jst.go.jp/article/islsm/4/3/4_92-OR-15/_article/-char/en" TargetMode="External"/><Relationship Id="rId181" Type="http://schemas.openxmlformats.org/officeDocument/2006/relationships/hyperlink" Target="https://www.ncbi.nlm.nih.gov/pubmed/31811497" TargetMode="External"/><Relationship Id="rId180" Type="http://schemas.openxmlformats.org/officeDocument/2006/relationships/hyperlink" Target="http://www.ncbi.nlm.nih.gov/pubmed/24160904" TargetMode="External"/><Relationship Id="rId176" Type="http://schemas.openxmlformats.org/officeDocument/2006/relationships/hyperlink" Target="http://www.ncbi.nlm.nih.gov/pubmed/17566756" TargetMode="External"/><Relationship Id="rId175" Type="http://schemas.openxmlformats.org/officeDocument/2006/relationships/hyperlink" Target="https://www.ncbi.nlm.nih.gov/pubmed/30719420" TargetMode="External"/><Relationship Id="rId174" Type="http://schemas.openxmlformats.org/officeDocument/2006/relationships/hyperlink" Target="https://www.ncbi.nlm.nih.gov/pubmed/23579335" TargetMode="External"/><Relationship Id="rId173" Type="http://schemas.openxmlformats.org/officeDocument/2006/relationships/hyperlink" Target="https://www.ncbi.nlm.nih.gov/pubmed/31647775" TargetMode="External"/><Relationship Id="rId179" Type="http://schemas.openxmlformats.org/officeDocument/2006/relationships/hyperlink" Target="https://www.ncbi.nlm.nih.gov/pubmed/31210575" TargetMode="External"/><Relationship Id="rId178" Type="http://schemas.openxmlformats.org/officeDocument/2006/relationships/hyperlink" Target="https://www.ncbi.nlm.nih.gov/pubmed/28466195" TargetMode="External"/><Relationship Id="rId177" Type="http://schemas.openxmlformats.org/officeDocument/2006/relationships/hyperlink" Target="https://www.ncbi.nlm.nih.gov/pubmed/26796709" TargetMode="External"/><Relationship Id="rId198" Type="http://schemas.openxmlformats.org/officeDocument/2006/relationships/hyperlink" Target="https://www.ncbi.nlm.nih.gov/pubmed/31154599" TargetMode="External"/><Relationship Id="rId197" Type="http://schemas.openxmlformats.org/officeDocument/2006/relationships/hyperlink" Target="http://www.ncbi.nlm.nih.gov/pubmed/14709221" TargetMode="External"/><Relationship Id="rId196" Type="http://schemas.openxmlformats.org/officeDocument/2006/relationships/hyperlink" Target="https://www.ncbi.nlm.nih.gov/pubmed/31338422" TargetMode="External"/><Relationship Id="rId195" Type="http://schemas.openxmlformats.org/officeDocument/2006/relationships/hyperlink" Target="http://www.ncbi.nlm.nih.gov/pubmed/23709010" TargetMode="External"/><Relationship Id="rId199" Type="http://schemas.openxmlformats.org/officeDocument/2006/relationships/hyperlink" Target="https://www.ncbi.nlm.nih.gov/pubmed/29978268" TargetMode="External"/><Relationship Id="rId150" Type="http://schemas.openxmlformats.org/officeDocument/2006/relationships/hyperlink" Target="https://www.ncbi.nlm.nih.gov/pubmed/23093133" TargetMode="External"/><Relationship Id="rId149" Type="http://schemas.openxmlformats.org/officeDocument/2006/relationships/hyperlink" Target="https://www.ncbi.nlm.nih.gov/pubmed/27874264" TargetMode="External"/><Relationship Id="rId148" Type="http://schemas.openxmlformats.org/officeDocument/2006/relationships/hyperlink" Target="https://www.ncbi.nlm.nih.gov/pubmed/26817446" TargetMode="External"/><Relationship Id="rId143" Type="http://schemas.openxmlformats.org/officeDocument/2006/relationships/hyperlink" Target="http://www.ncbi.nlm.nih.gov/pubmed/18306161" TargetMode="External"/><Relationship Id="rId142" Type="http://schemas.openxmlformats.org/officeDocument/2006/relationships/hyperlink" Target="https://www.ncbi.nlm.nih.gov/pubmed/25277249" TargetMode="External"/><Relationship Id="rId141" Type="http://schemas.openxmlformats.org/officeDocument/2006/relationships/hyperlink" Target="http://www.ncbi.nlm.nih.gov/pubmed/22615511" TargetMode="External"/><Relationship Id="rId140" Type="http://schemas.openxmlformats.org/officeDocument/2006/relationships/hyperlink" Target="https://www.ncbi.nlm.nih.gov/pubmed/20920649" TargetMode="External"/><Relationship Id="rId147" Type="http://schemas.openxmlformats.org/officeDocument/2006/relationships/hyperlink" Target="http://www.ncbi.nlm.nih.gov/pubmed/18588438" TargetMode="External"/><Relationship Id="rId146" Type="http://schemas.openxmlformats.org/officeDocument/2006/relationships/hyperlink" Target="https://www.ncbi.nlm.nih.gov/pubmed/20977377" TargetMode="External"/><Relationship Id="rId145" Type="http://schemas.openxmlformats.org/officeDocument/2006/relationships/hyperlink" Target="https://www.ncbi.nlm.nih.gov/pubmed/26115690" TargetMode="External"/><Relationship Id="rId144" Type="http://schemas.openxmlformats.org/officeDocument/2006/relationships/hyperlink" Target="https://www.ncbi.nlm.nih.gov/pubmed/18665761" TargetMode="External"/><Relationship Id="rId139" Type="http://schemas.openxmlformats.org/officeDocument/2006/relationships/hyperlink" Target="http://www.ncbi.nlm.nih.gov/pubmed/27543213" TargetMode="External"/><Relationship Id="rId138" Type="http://schemas.openxmlformats.org/officeDocument/2006/relationships/hyperlink" Target="https://www.ncbi.nlm.nih.gov/pubmed/31293929" TargetMode="External"/><Relationship Id="rId137" Type="http://schemas.openxmlformats.org/officeDocument/2006/relationships/hyperlink" Target="https://www.ncbi.nlm.nih.gov/pubmed/31113856" TargetMode="External"/><Relationship Id="rId132" Type="http://schemas.openxmlformats.org/officeDocument/2006/relationships/hyperlink" Target="https://www.ncbi.nlm.nih.gov/pubmed/27661759" TargetMode="External"/><Relationship Id="rId131" Type="http://schemas.openxmlformats.org/officeDocument/2006/relationships/hyperlink" Target="https://www.ncbi.nlm.nih.gov/pubmed/25975382" TargetMode="External"/><Relationship Id="rId130" Type="http://schemas.openxmlformats.org/officeDocument/2006/relationships/hyperlink" Target="https://www.ncbi.nlm.nih.gov/pubmed/28529151" TargetMode="External"/><Relationship Id="rId136" Type="http://schemas.openxmlformats.org/officeDocument/2006/relationships/hyperlink" Target="https://www.jstage.jst.go.jp/article/islsm/7/3/7_95-OR-15/_article" TargetMode="External"/><Relationship Id="rId135" Type="http://schemas.openxmlformats.org/officeDocument/2006/relationships/hyperlink" Target="https://www.ncbi.nlm.nih.gov/pubmed/16371497" TargetMode="External"/><Relationship Id="rId134" Type="http://schemas.openxmlformats.org/officeDocument/2006/relationships/hyperlink" Target="https://pubmed.ncbi.nlm.nih.gov/36869699/" TargetMode="External"/><Relationship Id="rId133" Type="http://schemas.openxmlformats.org/officeDocument/2006/relationships/hyperlink" Target="http://www.ncbi.nlm.nih.gov/pubmed/26853699" TargetMode="External"/><Relationship Id="rId172" Type="http://schemas.openxmlformats.org/officeDocument/2006/relationships/hyperlink" Target="https://www.ncbi.nlm.nih.gov/pubmed/31050959" TargetMode="External"/><Relationship Id="rId171" Type="http://schemas.openxmlformats.org/officeDocument/2006/relationships/hyperlink" Target="https://www.ncbi.nlm.nih.gov/pubmed/29423840" TargetMode="External"/><Relationship Id="rId170" Type="http://schemas.openxmlformats.org/officeDocument/2006/relationships/hyperlink" Target="https://www.ncbi.nlm.nih.gov/pubmed/25450903" TargetMode="External"/><Relationship Id="rId165" Type="http://schemas.openxmlformats.org/officeDocument/2006/relationships/hyperlink" Target="https://www.ncbi.nlm.nih.gov/pubmed/22235969" TargetMode="External"/><Relationship Id="rId164" Type="http://schemas.openxmlformats.org/officeDocument/2006/relationships/hyperlink" Target="https://www.ncbi.nlm.nih.gov/pubmed/31546043" TargetMode="External"/><Relationship Id="rId163" Type="http://schemas.openxmlformats.org/officeDocument/2006/relationships/hyperlink" Target="https://www.ncbi.nlm.nih.gov/pubmed/27649961" TargetMode="External"/><Relationship Id="rId162" Type="http://schemas.openxmlformats.org/officeDocument/2006/relationships/hyperlink" Target="http://www.ncbi.nlm.nih.gov/pubmed/25417170" TargetMode="External"/><Relationship Id="rId169" Type="http://schemas.openxmlformats.org/officeDocument/2006/relationships/hyperlink" Target="https://journals.sagepub.com/doi/abs/10.1177/074880680902600303" TargetMode="External"/><Relationship Id="rId168" Type="http://schemas.openxmlformats.org/officeDocument/2006/relationships/hyperlink" Target="https://www.ncbi.nlm.nih.gov/pubmed/25660439" TargetMode="External"/><Relationship Id="rId167" Type="http://schemas.openxmlformats.org/officeDocument/2006/relationships/hyperlink" Target="https://www.ncbi.nlm.nih.gov/pubmed/25271097" TargetMode="External"/><Relationship Id="rId166" Type="http://schemas.openxmlformats.org/officeDocument/2006/relationships/hyperlink" Target="https://www.ncbi.nlm.nih.gov/pubmed/30056586" TargetMode="External"/><Relationship Id="rId161" Type="http://schemas.openxmlformats.org/officeDocument/2006/relationships/hyperlink" Target="https://www.ncbi.nlm.nih.gov/pubmed/30300099" TargetMode="External"/><Relationship Id="rId160" Type="http://schemas.openxmlformats.org/officeDocument/2006/relationships/hyperlink" Target="https://www.ncbi.nlm.nih.gov/pubmed/12775206" TargetMode="External"/><Relationship Id="rId159" Type="http://schemas.openxmlformats.org/officeDocument/2006/relationships/hyperlink" Target="https://www.ncbi.nlm.nih.gov/pubmed/28186867" TargetMode="External"/><Relationship Id="rId154" Type="http://schemas.openxmlformats.org/officeDocument/2006/relationships/hyperlink" Target="https://www.ncbi.nlm.nih.gov/pubmed/31564823" TargetMode="External"/><Relationship Id="rId153" Type="http://schemas.openxmlformats.org/officeDocument/2006/relationships/hyperlink" Target="https://www.ncbi.nlm.nih.gov/pubmed/9109708" TargetMode="External"/><Relationship Id="rId152" Type="http://schemas.openxmlformats.org/officeDocument/2006/relationships/hyperlink" Target="https://www.ncbi.nlm.nih.gov/pubmed/31430763" TargetMode="External"/><Relationship Id="rId151" Type="http://schemas.openxmlformats.org/officeDocument/2006/relationships/hyperlink" Target="https://www.ncbi.nlm.nih.gov/pubmed/28301292" TargetMode="External"/><Relationship Id="rId158" Type="http://schemas.openxmlformats.org/officeDocument/2006/relationships/hyperlink" Target="https://www.ncbi.nlm.nih.gov/pubmed/16235295" TargetMode="External"/><Relationship Id="rId157" Type="http://schemas.openxmlformats.org/officeDocument/2006/relationships/hyperlink" Target="https://www.ncbi.nlm.nih.gov/pubmed/29027034" TargetMode="External"/><Relationship Id="rId156" Type="http://schemas.openxmlformats.org/officeDocument/2006/relationships/hyperlink" Target="https://www.ncbi.nlm.nih.gov/pubmed/22220935" TargetMode="External"/><Relationship Id="rId155" Type="http://schemas.openxmlformats.org/officeDocument/2006/relationships/hyperlink" Target="http://valtsuhealth.blogspot.fi/2014/05/fibromyalgian-ja-cfsn-oireiden.html" TargetMode="External"/><Relationship Id="rId107" Type="http://schemas.openxmlformats.org/officeDocument/2006/relationships/hyperlink" Target="https://www.ncbi.nlm.nih.gov/pubmed/30446721" TargetMode="External"/><Relationship Id="rId106" Type="http://schemas.openxmlformats.org/officeDocument/2006/relationships/hyperlink" Target="https://www.ncbi.nlm.nih.gov/pubmed/28280999" TargetMode="External"/><Relationship Id="rId105" Type="http://schemas.openxmlformats.org/officeDocument/2006/relationships/hyperlink" Target="https://www.ncbi.nlm.nih.gov/pubmed/16356146" TargetMode="External"/><Relationship Id="rId104" Type="http://schemas.openxmlformats.org/officeDocument/2006/relationships/hyperlink" Target="http://www.ncbi.nlm.nih.gov/pubmed/26426815" TargetMode="External"/><Relationship Id="rId109" Type="http://schemas.openxmlformats.org/officeDocument/2006/relationships/hyperlink" Target="https://www.ncbi.nlm.nih.gov/pubmed/15991302" TargetMode="External"/><Relationship Id="rId108" Type="http://schemas.openxmlformats.org/officeDocument/2006/relationships/hyperlink" Target="https://www.ncbi.nlm.nih.gov/pubmed/23425439" TargetMode="External"/><Relationship Id="rId103" Type="http://schemas.openxmlformats.org/officeDocument/2006/relationships/hyperlink" Target="https://www.ncbi.nlm.nih.gov/pubmed/22474473" TargetMode="External"/><Relationship Id="rId102" Type="http://schemas.openxmlformats.org/officeDocument/2006/relationships/hyperlink" Target="http://www.ncbi.nlm.nih.gov/pubmed/23583341" TargetMode="External"/><Relationship Id="rId101" Type="http://schemas.openxmlformats.org/officeDocument/2006/relationships/hyperlink" Target="https://www.ncbi.nlm.nih.gov/pubmed/27846310" TargetMode="External"/><Relationship Id="rId100" Type="http://schemas.openxmlformats.org/officeDocument/2006/relationships/hyperlink" Target="http://www.ncbi.nlm.nih.gov/pubmed/19530909" TargetMode="External"/><Relationship Id="rId129" Type="http://schemas.openxmlformats.org/officeDocument/2006/relationships/hyperlink" Target="https://www.ncbi.nlm.nih.gov/pubmed/24906482" TargetMode="External"/><Relationship Id="rId128" Type="http://schemas.openxmlformats.org/officeDocument/2006/relationships/hyperlink" Target="https://www.ncbi.nlm.nih.gov/pubmed/21948400" TargetMode="External"/><Relationship Id="rId127" Type="http://schemas.openxmlformats.org/officeDocument/2006/relationships/hyperlink" Target="https://www.ncbi.nlm.nih.gov/pubmed/23155359" TargetMode="External"/><Relationship Id="rId126" Type="http://schemas.openxmlformats.org/officeDocument/2006/relationships/hyperlink" Target="https://www.ncbi.nlm.nih.gov/pubmed/31287006" TargetMode="External"/><Relationship Id="rId121" Type="http://schemas.openxmlformats.org/officeDocument/2006/relationships/hyperlink" Target="https://www.ncbi.nlm.nih.gov/pubmed/26759725" TargetMode="External"/><Relationship Id="rId120" Type="http://schemas.openxmlformats.org/officeDocument/2006/relationships/hyperlink" Target="http://www.ncbi.nlm.nih.gov/pubmed/25966949" TargetMode="External"/><Relationship Id="rId125" Type="http://schemas.openxmlformats.org/officeDocument/2006/relationships/hyperlink" Target="https://www.ncbi.nlm.nih.gov/pubmed/30841658" TargetMode="External"/><Relationship Id="rId124" Type="http://schemas.openxmlformats.org/officeDocument/2006/relationships/hyperlink" Target="https://www.ncbi.nlm.nih.gov/pubmed/8426530" TargetMode="External"/><Relationship Id="rId123" Type="http://schemas.openxmlformats.org/officeDocument/2006/relationships/hyperlink" Target="http://www.ncbi.nlm.nih.gov/pubmed/22827550" TargetMode="External"/><Relationship Id="rId122" Type="http://schemas.openxmlformats.org/officeDocument/2006/relationships/hyperlink" Target="http://www.jkslms.or.kr/journal/view.html?doi=10.25289/ML.2019.8.2.50" TargetMode="External"/><Relationship Id="rId118" Type="http://schemas.openxmlformats.org/officeDocument/2006/relationships/hyperlink" Target="https://www.ncbi.nlm.nih.gov/pubmed/23190308" TargetMode="External"/><Relationship Id="rId117" Type="http://schemas.openxmlformats.org/officeDocument/2006/relationships/hyperlink" Target="https://www.ncbi.nlm.nih.gov/pubmed/27345261" TargetMode="External"/><Relationship Id="rId116" Type="http://schemas.openxmlformats.org/officeDocument/2006/relationships/hyperlink" Target="https://www.ncbi.nlm.nih.gov/pubmed/17033742" TargetMode="External"/><Relationship Id="rId115" Type="http://schemas.openxmlformats.org/officeDocument/2006/relationships/hyperlink" Target="https://www.ncbi.nlm.nih.gov/pubmed/27666974" TargetMode="External"/><Relationship Id="rId119" Type="http://schemas.openxmlformats.org/officeDocument/2006/relationships/hyperlink" Target="http://www.ncbi.nlm.nih.gov/pubmed/15684747" TargetMode="External"/><Relationship Id="rId110" Type="http://schemas.openxmlformats.org/officeDocument/2006/relationships/hyperlink" Target="https://www.ncbi.nlm.nih.gov/pubmed/28282557" TargetMode="External"/><Relationship Id="rId114" Type="http://schemas.openxmlformats.org/officeDocument/2006/relationships/hyperlink" Target="https://www.ncbi.nlm.nih.gov/pubmed/21456943" TargetMode="External"/><Relationship Id="rId113" Type="http://schemas.openxmlformats.org/officeDocument/2006/relationships/hyperlink" Target="https://www.ncbi.nlm.nih.gov/pubmed/18727002" TargetMode="External"/><Relationship Id="rId112" Type="http://schemas.openxmlformats.org/officeDocument/2006/relationships/hyperlink" Target="https://www.ncbi.nlm.nih.gov/pubmed/24599021/" TargetMode="External"/><Relationship Id="rId111" Type="http://schemas.openxmlformats.org/officeDocument/2006/relationships/hyperlink" Target="https://www.ncbi.nlm.nih.gov/pubmed/21421867" TargetMode="External"/></Relationships>
</file>

<file path=xl/worksheets/_rels/sheet5.xml.rels><?xml version="1.0" encoding="UTF-8" standalone="yes"?><Relationships xmlns="http://schemas.openxmlformats.org/package/2006/relationships"><Relationship Id="rId20" Type="http://schemas.openxmlformats.org/officeDocument/2006/relationships/hyperlink" Target="https://clinicaltrials.gov/ct2/show/NCT04437316" TargetMode="External"/><Relationship Id="rId22" Type="http://schemas.openxmlformats.org/officeDocument/2006/relationships/hyperlink" Target="https://clinicaltrials.gov/ct2/show/NCT04361773" TargetMode="External"/><Relationship Id="rId21" Type="http://schemas.openxmlformats.org/officeDocument/2006/relationships/hyperlink" Target="https://clinicaltrials.gov/ct2/show/NCT04320914" TargetMode="External"/><Relationship Id="rId23" Type="http://schemas.openxmlformats.org/officeDocument/2006/relationships/drawing" Target="../drawings/drawing5.xml"/><Relationship Id="rId11" Type="http://schemas.openxmlformats.org/officeDocument/2006/relationships/hyperlink" Target="https://clinicaltrials.gov/ct2/show/NCT04452409" TargetMode="External"/><Relationship Id="rId10" Type="http://schemas.openxmlformats.org/officeDocument/2006/relationships/hyperlink" Target="https://clinicaltrials.gov/ct2/show/NCT04383080" TargetMode="External"/><Relationship Id="rId13" Type="http://schemas.openxmlformats.org/officeDocument/2006/relationships/hyperlink" Target="https://clinicaltrials.gov/ct2/show/NCT04425330" TargetMode="External"/><Relationship Id="rId12" Type="http://schemas.openxmlformats.org/officeDocument/2006/relationships/hyperlink" Target="https://clinicaltrials.gov/ct2/show/NCT04477109" TargetMode="External"/><Relationship Id="rId15" Type="http://schemas.openxmlformats.org/officeDocument/2006/relationships/hyperlink" Target="https://clinicaltrials.gov/ct2/show/NCT04417738" TargetMode="External"/><Relationship Id="rId14" Type="http://schemas.openxmlformats.org/officeDocument/2006/relationships/hyperlink" Target="https://clinicaltrials.gov/ct2/show/NCT04445545" TargetMode="External"/><Relationship Id="rId17" Type="http://schemas.openxmlformats.org/officeDocument/2006/relationships/hyperlink" Target="https://clinicaltrials.gov/ct2/show/NCT04386278" TargetMode="External"/><Relationship Id="rId16" Type="http://schemas.openxmlformats.org/officeDocument/2006/relationships/hyperlink" Target="https://clinicaltrials.gov/ct2/show/NCT03972527" TargetMode="External"/><Relationship Id="rId19" Type="http://schemas.openxmlformats.org/officeDocument/2006/relationships/hyperlink" Target="https://clinicaltrials.gov/ct2/show/NCT04456946" TargetMode="External"/><Relationship Id="rId18" Type="http://schemas.openxmlformats.org/officeDocument/2006/relationships/hyperlink" Target="https://clinicaltrials.gov/ct2/show/NCT04415281" TargetMode="External"/><Relationship Id="rId1" Type="http://schemas.openxmlformats.org/officeDocument/2006/relationships/hyperlink" Target="https://clinicaltrials.gov/ct2/show/NCT04476095" TargetMode="External"/><Relationship Id="rId2" Type="http://schemas.openxmlformats.org/officeDocument/2006/relationships/hyperlink" Target="https://clinicaltrials.gov/ct2/show/NCT04424823" TargetMode="External"/><Relationship Id="rId3" Type="http://schemas.openxmlformats.org/officeDocument/2006/relationships/hyperlink" Target="https://clinicaltrials.gov/ct2/show/NCT04418505" TargetMode="External"/><Relationship Id="rId4" Type="http://schemas.openxmlformats.org/officeDocument/2006/relationships/hyperlink" Target="https://clinicaltrials.gov/ct2/show/NCT04391712" TargetMode="External"/><Relationship Id="rId9" Type="http://schemas.openxmlformats.org/officeDocument/2006/relationships/hyperlink" Target="https://clinicaltrials.gov/ct2/show/NCT04082793" TargetMode="External"/><Relationship Id="rId5" Type="http://schemas.openxmlformats.org/officeDocument/2006/relationships/hyperlink" Target="https://clinicaltrials.gov/ct2/show/NCT04386694" TargetMode="External"/><Relationship Id="rId6" Type="http://schemas.openxmlformats.org/officeDocument/2006/relationships/hyperlink" Target="https://clinicaltrials.gov/ct2/show/NCT04404231" TargetMode="External"/><Relationship Id="rId7" Type="http://schemas.openxmlformats.org/officeDocument/2006/relationships/hyperlink" Target="https://clinicaltrials.gov/ct2/show/NCT04366258" TargetMode="External"/><Relationship Id="rId8" Type="http://schemas.openxmlformats.org/officeDocument/2006/relationships/hyperlink" Target="https://clinicaltrials.gov/ct2/show/NCT04446767" TargetMode="External"/></Relationships>
</file>

<file path=xl/worksheets/_rels/sheet6.xml.rels><?xml version="1.0" encoding="UTF-8" standalone="yes"?><Relationships xmlns="http://schemas.openxmlformats.org/package/2006/relationships"><Relationship Id="rId392" Type="http://schemas.openxmlformats.org/officeDocument/2006/relationships/hyperlink" Target="http://journals.plos.org/plosone/article?id=10.1371/journal.pone.0100066" TargetMode="External"/><Relationship Id="rId391" Type="http://schemas.openxmlformats.org/officeDocument/2006/relationships/hyperlink" Target="http://journals.plos.org/plosone/article?id=10.1371/journal.pone.0072135" TargetMode="External"/><Relationship Id="rId390" Type="http://schemas.openxmlformats.org/officeDocument/2006/relationships/hyperlink" Target="http://journals.plos.org/plosone/article?id=10.1371/journal.pone.0054067" TargetMode="External"/><Relationship Id="rId385" Type="http://schemas.openxmlformats.org/officeDocument/2006/relationships/hyperlink" Target="http://journals.plos.org/plosone/article?id=10.1371/journal.pone.0026212" TargetMode="External"/><Relationship Id="rId384" Type="http://schemas.openxmlformats.org/officeDocument/2006/relationships/hyperlink" Target="http://journals.plos.org/plosone/article?id=10.1371/journal.pone.0022453" TargetMode="External"/><Relationship Id="rId383" Type="http://schemas.openxmlformats.org/officeDocument/2006/relationships/hyperlink" Target="http://journals.plos.org/plosone/article?id=10.1371/journal.pone.0053454" TargetMode="External"/><Relationship Id="rId382" Type="http://schemas.openxmlformats.org/officeDocument/2006/relationships/hyperlink" Target="http://journals.plos.org/plosone/article?id=10.1371/journal.pone.0122776" TargetMode="External"/><Relationship Id="rId389" Type="http://schemas.openxmlformats.org/officeDocument/2006/relationships/hyperlink" Target="http://journals.plos.org/plosone/article?id=10.1371/journal.pone.0038235" TargetMode="External"/><Relationship Id="rId388" Type="http://schemas.openxmlformats.org/officeDocument/2006/relationships/hyperlink" Target="http://journals.plos.org/plosone/article?id=10.1371/journal.pone.0110528" TargetMode="External"/><Relationship Id="rId387" Type="http://schemas.openxmlformats.org/officeDocument/2006/relationships/hyperlink" Target="http://journals.plos.org/plosone/article?id=10.1371/journal.pone.0158980" TargetMode="External"/><Relationship Id="rId386" Type="http://schemas.openxmlformats.org/officeDocument/2006/relationships/hyperlink" Target="http://journals.plos.org/plosone/article?id=10.1371/journal.pone.0127580" TargetMode="External"/><Relationship Id="rId381" Type="http://schemas.openxmlformats.org/officeDocument/2006/relationships/hyperlink" Target="http://journals.plos.org/plosone/article?id=10.1371/journal.pone.0136942" TargetMode="External"/><Relationship Id="rId380" Type="http://schemas.openxmlformats.org/officeDocument/2006/relationships/hyperlink" Target="http://journals.plos.org/plosone/article?id=10.1371/journal.pone.0057828" TargetMode="External"/><Relationship Id="rId379" Type="http://schemas.openxmlformats.org/officeDocument/2006/relationships/hyperlink" Target="http://journals.plos.org/plosone/article?id=10.1371/journal.pone.0107418" TargetMode="External"/><Relationship Id="rId374" Type="http://schemas.openxmlformats.org/officeDocument/2006/relationships/hyperlink" Target="http://journals.plos.org/plosone/article?id=10.1371/journal.pone.0089894" TargetMode="External"/><Relationship Id="rId373" Type="http://schemas.openxmlformats.org/officeDocument/2006/relationships/hyperlink" Target="http://journals.plos.org/plosone/article?id=10.1371/journal.pone.0089453" TargetMode="External"/><Relationship Id="rId372" Type="http://schemas.openxmlformats.org/officeDocument/2006/relationships/hyperlink" Target="http://journals.plos.org/plosone/article?id=10.1371/journal.pone.0103348" TargetMode="External"/><Relationship Id="rId371" Type="http://schemas.openxmlformats.org/officeDocument/2006/relationships/hyperlink" Target="http://journals.plos.org/plosone/article?id=10.1371/journal.pone.0128567" TargetMode="External"/><Relationship Id="rId378" Type="http://schemas.openxmlformats.org/officeDocument/2006/relationships/hyperlink" Target="https://www.ncbi.nlm.nih.gov/pubmed/23840470" TargetMode="External"/><Relationship Id="rId377" Type="http://schemas.openxmlformats.org/officeDocument/2006/relationships/hyperlink" Target="http://journals.plos.org/plosone/article?id=10.1371/journal.pone.0153618" TargetMode="External"/><Relationship Id="rId376" Type="http://schemas.openxmlformats.org/officeDocument/2006/relationships/hyperlink" Target="http://journals.plos.org/plosone/article?id=10.1371/journal.pone.0142816" TargetMode="External"/><Relationship Id="rId375" Type="http://schemas.openxmlformats.org/officeDocument/2006/relationships/hyperlink" Target="http://journals.plos.org/plosone/article?id=10.1371/journal.pone.0101270" TargetMode="External"/><Relationship Id="rId396" Type="http://schemas.openxmlformats.org/officeDocument/2006/relationships/hyperlink" Target="http://journals.plos.org/plosone/article?id=10.1371/journal.pone.0030655" TargetMode="External"/><Relationship Id="rId395" Type="http://schemas.openxmlformats.org/officeDocument/2006/relationships/hyperlink" Target="http://journals.plos.org/plosone/article?id=10.1371/journal.pone.0121487" TargetMode="External"/><Relationship Id="rId394" Type="http://schemas.openxmlformats.org/officeDocument/2006/relationships/hyperlink" Target="http://journals.plos.org/plosone/article?id=10.1371/journal.pone.0122042" TargetMode="External"/><Relationship Id="rId393" Type="http://schemas.openxmlformats.org/officeDocument/2006/relationships/hyperlink" Target="http://journals.plos.org/plosone/article?id=10.1371/journal.pone.0152890" TargetMode="External"/><Relationship Id="rId399" Type="http://schemas.openxmlformats.org/officeDocument/2006/relationships/hyperlink" Target="http://www.discoverymedicine.com/Robert-O-Poyton/2011/02/20/therapeutic-photobiomodulation-nitric-oxide-and-a-novel-function-of-mitochondrial-cytochrome-c-oxidase/" TargetMode="External"/><Relationship Id="rId398" Type="http://schemas.openxmlformats.org/officeDocument/2006/relationships/hyperlink" Target="https://www.ncbi.nlm.nih.gov/pubmed/24033440" TargetMode="External"/><Relationship Id="rId397" Type="http://schemas.openxmlformats.org/officeDocument/2006/relationships/hyperlink" Target="https://www.ncbi.nlm.nih.gov/pubmed/29797431" TargetMode="External"/><Relationship Id="rId40" Type="http://schemas.openxmlformats.org/officeDocument/2006/relationships/hyperlink" Target="https://pubmed.ncbi.nlm.nih.gov/38662345/" TargetMode="External"/><Relationship Id="rId42" Type="http://schemas.openxmlformats.org/officeDocument/2006/relationships/hyperlink" Target="http://bjsm.bmj.com/content/40/1/76.long" TargetMode="External"/><Relationship Id="rId41" Type="http://schemas.openxmlformats.org/officeDocument/2006/relationships/hyperlink" Target="http://archderm.jamanetwork.com/article.aspx?articleid=1922024" TargetMode="External"/><Relationship Id="rId44" Type="http://schemas.openxmlformats.org/officeDocument/2006/relationships/hyperlink" Target="https://onlinelibrary.wiley.com/doi/abs/10.1002/admt.201700391" TargetMode="External"/><Relationship Id="rId43" Type="http://schemas.openxmlformats.org/officeDocument/2006/relationships/hyperlink" Target="http://bjsm.bmj.com/content/early/2010/07/20/bjsm.2010.071431.abstract" TargetMode="External"/><Relationship Id="rId46" Type="http://schemas.openxmlformats.org/officeDocument/2006/relationships/hyperlink" Target="https://pubmed.ncbi.nlm.nih.gov/35185864/" TargetMode="External"/><Relationship Id="rId45" Type="http://schemas.openxmlformats.org/officeDocument/2006/relationships/hyperlink" Target="https://www.mdpi.com/2073-4409/11/24/3949" TargetMode="External"/><Relationship Id="rId48" Type="http://schemas.openxmlformats.org/officeDocument/2006/relationships/hyperlink" Target="https://onlinelibrary.wiley.com/doi/10.1111/acel.14005" TargetMode="External"/><Relationship Id="rId47" Type="http://schemas.openxmlformats.org/officeDocument/2006/relationships/hyperlink" Target="http://link.springer.com/article/10.1007%2Fs40257-013-0060-6" TargetMode="External"/><Relationship Id="rId49" Type="http://schemas.openxmlformats.org/officeDocument/2006/relationships/hyperlink" Target="http://www.sciencedirect.com/science/article/pii/S0190962216300500" TargetMode="External"/><Relationship Id="rId31" Type="http://schemas.openxmlformats.org/officeDocument/2006/relationships/hyperlink" Target="https://www.ncbi.nlm.nih.gov/pmc/articles/PMC7738878/" TargetMode="External"/><Relationship Id="rId30" Type="http://schemas.openxmlformats.org/officeDocument/2006/relationships/hyperlink" Target="https://www.ncbi.nlm.nih.gov/pmc/articles/PMC9925323/" TargetMode="External"/><Relationship Id="rId33" Type="http://schemas.openxmlformats.org/officeDocument/2006/relationships/hyperlink" Target="https://pubmed.ncbi.nlm.nih.gov/35079630/" TargetMode="External"/><Relationship Id="rId32" Type="http://schemas.openxmlformats.org/officeDocument/2006/relationships/hyperlink" Target="http://www.sciencedirect.com/science/article/pii/S0734975012001425" TargetMode="External"/><Relationship Id="rId35" Type="http://schemas.openxmlformats.org/officeDocument/2006/relationships/hyperlink" Target="https://cellandbioscience.biomedcentral.com/articles/10.1186/s13578-022-00949-6" TargetMode="External"/><Relationship Id="rId34" Type="http://schemas.openxmlformats.org/officeDocument/2006/relationships/hyperlink" Target="http://onlinelibrary.wiley.com/doi/10.1002/ana.24542/full" TargetMode="External"/><Relationship Id="rId37" Type="http://schemas.openxmlformats.org/officeDocument/2006/relationships/hyperlink" Target="https://pubmed.ncbi.nlm.nih.gov/34601196/" TargetMode="External"/><Relationship Id="rId36" Type="http://schemas.openxmlformats.org/officeDocument/2006/relationships/hyperlink" Target="http://www.pnas.org/content/100/6/3439.short" TargetMode="External"/><Relationship Id="rId39" Type="http://schemas.openxmlformats.org/officeDocument/2006/relationships/hyperlink" Target="http://www.sciencedirect.com/science/article/pii/S0142961214008837" TargetMode="External"/><Relationship Id="rId38" Type="http://schemas.openxmlformats.org/officeDocument/2006/relationships/hyperlink" Target="http://www.ncbi.nlm.nih.gov/pubmed/15621240" TargetMode="External"/><Relationship Id="rId20" Type="http://schemas.openxmlformats.org/officeDocument/2006/relationships/hyperlink" Target="https://pubmed.ncbi.nlm.nih.gov/36240954/" TargetMode="External"/><Relationship Id="rId22" Type="http://schemas.openxmlformats.org/officeDocument/2006/relationships/hyperlink" Target="https://pubmed.ncbi.nlm.nih.gov/34863776/" TargetMode="External"/><Relationship Id="rId21" Type="http://schemas.openxmlformats.org/officeDocument/2006/relationships/hyperlink" Target="https://pubmed.ncbi.nlm.nih.gov/36049646/" TargetMode="External"/><Relationship Id="rId24" Type="http://schemas.openxmlformats.org/officeDocument/2006/relationships/hyperlink" Target="http://care.diabetesjournals.org/content/27/4/921" TargetMode="External"/><Relationship Id="rId23" Type="http://schemas.openxmlformats.org/officeDocument/2006/relationships/hyperlink" Target="http://care.diabetesjournals.org/content/21/4/580" TargetMode="External"/><Relationship Id="rId26" Type="http://schemas.openxmlformats.org/officeDocument/2006/relationships/hyperlink" Target="https://www.nature.com/articles/s41380-021-01088-z" TargetMode="External"/><Relationship Id="rId25" Type="http://schemas.openxmlformats.org/officeDocument/2006/relationships/hyperlink" Target="http://care.diabetesjournals.org/content/38/10/e152" TargetMode="External"/><Relationship Id="rId28" Type="http://schemas.openxmlformats.org/officeDocument/2006/relationships/hyperlink" Target="http://onlinelibrary.wiley.com.libproxy.helsinki.fi/doi/10.1034/j.1600-079X.2003.00023.x/abstract" TargetMode="External"/><Relationship Id="rId27" Type="http://schemas.openxmlformats.org/officeDocument/2006/relationships/hyperlink" Target="http://ard.bmj.com/content/52/10/703.abstract" TargetMode="External"/><Relationship Id="rId29" Type="http://schemas.openxmlformats.org/officeDocument/2006/relationships/hyperlink" Target="https://www.thno.org/v12p2205.htm" TargetMode="External"/><Relationship Id="rId11" Type="http://schemas.openxmlformats.org/officeDocument/2006/relationships/hyperlink" Target="http://content.onlinejacc.org/article.aspx?articleid=1124466&amp;resultClick=3" TargetMode="External"/><Relationship Id="rId10" Type="http://schemas.openxmlformats.org/officeDocument/2006/relationships/hyperlink" Target="https://pubmed.ncbi.nlm.nih.gov/34493703/" TargetMode="External"/><Relationship Id="rId13" Type="http://schemas.openxmlformats.org/officeDocument/2006/relationships/hyperlink" Target="http://stm.sciencemag.org/content/6/238/238ra69" TargetMode="External"/><Relationship Id="rId12" Type="http://schemas.openxmlformats.org/officeDocument/2006/relationships/hyperlink" Target="http://stm.sciencemag.org/content/8/349/349ra101" TargetMode="External"/><Relationship Id="rId15" Type="http://schemas.openxmlformats.org/officeDocument/2006/relationships/hyperlink" Target="https://pubmed.ncbi.nlm.nih.gov/37702115/" TargetMode="External"/><Relationship Id="rId14" Type="http://schemas.openxmlformats.org/officeDocument/2006/relationships/hyperlink" Target="https://www.nature.com/articles/s41467-023-41710-y" TargetMode="External"/><Relationship Id="rId17" Type="http://schemas.openxmlformats.org/officeDocument/2006/relationships/hyperlink" Target="https://pubmed.ncbi.nlm.nih.gov/35427152/" TargetMode="External"/><Relationship Id="rId16" Type="http://schemas.openxmlformats.org/officeDocument/2006/relationships/hyperlink" Target="http://www.bloodjournal.org/content/109/5/2250.long?sso-checked=true" TargetMode="External"/><Relationship Id="rId19" Type="http://schemas.openxmlformats.org/officeDocument/2006/relationships/hyperlink" Target="http://pubs.acs.org/doi/10.1021/acsnano.5b03567" TargetMode="External"/><Relationship Id="rId18" Type="http://schemas.openxmlformats.org/officeDocument/2006/relationships/hyperlink" Target="https://pubmed.ncbi.nlm.nih.gov/36459562/" TargetMode="External"/><Relationship Id="rId84" Type="http://schemas.openxmlformats.org/officeDocument/2006/relationships/hyperlink" Target="http://onlinelibrary.wiley.com/doi/10.1046/j.1365-2133.2003.05070.x/abstract" TargetMode="External"/><Relationship Id="rId83" Type="http://schemas.openxmlformats.org/officeDocument/2006/relationships/hyperlink" Target="http://stroke.ahajournals.org/content/45/11/3187.long" TargetMode="External"/><Relationship Id="rId86" Type="http://schemas.openxmlformats.org/officeDocument/2006/relationships/hyperlink" Target="http://onlinelibrary.wiley.com/doi/10.1111/j.1365-2133.2009.09152.x/abstract" TargetMode="External"/><Relationship Id="rId85" Type="http://schemas.openxmlformats.org/officeDocument/2006/relationships/hyperlink" Target="http://onlinelibrary.wiley.com/doi/10.1111/j.1365-2133.1997.tb01141.x/abstract" TargetMode="External"/><Relationship Id="rId88" Type="http://schemas.openxmlformats.org/officeDocument/2006/relationships/hyperlink" Target="http://www.sciencedirect.com/science/article/pii/S1935861X1630105X" TargetMode="External"/><Relationship Id="rId87" Type="http://schemas.openxmlformats.org/officeDocument/2006/relationships/hyperlink" Target="http://ajs.sagepub.com/content/36/5/881.short" TargetMode="External"/><Relationship Id="rId89" Type="http://schemas.openxmlformats.org/officeDocument/2006/relationships/hyperlink" Target="http://www.jneurosci.org/content/33/33/13505.short?sid=eda3b24d-f797-46cf-b9fc-dd79f126b556" TargetMode="External"/><Relationship Id="rId80" Type="http://schemas.openxmlformats.org/officeDocument/2006/relationships/hyperlink" Target="http://www.ncbi.nlm.nih.gov/pubmed/15155955" TargetMode="External"/><Relationship Id="rId82" Type="http://schemas.openxmlformats.org/officeDocument/2006/relationships/hyperlink" Target="http://stroke.ahajournals.org/content/38/6/1843.full?sid=567df6b4-f396-4b68-94bb-298de62464d5" TargetMode="External"/><Relationship Id="rId81" Type="http://schemas.openxmlformats.org/officeDocument/2006/relationships/hyperlink" Target="http://stroke.ahajournals.org/content/44/7/2025.long" TargetMode="External"/><Relationship Id="rId73" Type="http://schemas.openxmlformats.org/officeDocument/2006/relationships/hyperlink" Target="http://www.jidonline.org/article/S0022-202X(15)42710-1/abstract" TargetMode="External"/><Relationship Id="rId72" Type="http://schemas.openxmlformats.org/officeDocument/2006/relationships/hyperlink" Target="http://www.sciencedirect.com/science/article/pii/S0022202X9090077J" TargetMode="External"/><Relationship Id="rId75" Type="http://schemas.openxmlformats.org/officeDocument/2006/relationships/hyperlink" Target="https://pubmed.ncbi.nlm.nih.gov/36878185/" TargetMode="External"/><Relationship Id="rId74" Type="http://schemas.openxmlformats.org/officeDocument/2006/relationships/hyperlink" Target="https://www.ncbi.nlm.nih.gov/pubmed/1383349" TargetMode="External"/><Relationship Id="rId77" Type="http://schemas.openxmlformats.org/officeDocument/2006/relationships/hyperlink" Target="http://onlinelibrary.wiley.com/doi/10.1111/prd.12080/abstract" TargetMode="External"/><Relationship Id="rId76" Type="http://schemas.openxmlformats.org/officeDocument/2006/relationships/hyperlink" Target="http://cardiovascres.oxfordjournals.org/content/83/4/785.long" TargetMode="External"/><Relationship Id="rId79" Type="http://schemas.openxmlformats.org/officeDocument/2006/relationships/hyperlink" Target="http://stroke.ahajournals.org/content/39/11/3073.full?sid=567df6b4-f396-4b68-94bb-298de62464d5" TargetMode="External"/><Relationship Id="rId78" Type="http://schemas.openxmlformats.org/officeDocument/2006/relationships/hyperlink" Target="http://stroke.ahajournals.org/content/37/10/2620.long" TargetMode="External"/><Relationship Id="rId71" Type="http://schemas.openxmlformats.org/officeDocument/2006/relationships/hyperlink" Target="http://www.sciencedirect.com/science/article/pii/S0022202X15335089" TargetMode="External"/><Relationship Id="rId70" Type="http://schemas.openxmlformats.org/officeDocument/2006/relationships/hyperlink" Target="http://www.sciencedirect.com/science/article/pii/S0022202X15364447" TargetMode="External"/><Relationship Id="rId62" Type="http://schemas.openxmlformats.org/officeDocument/2006/relationships/hyperlink" Target="https://www.ncbi.nlm.nih.gov/pubmed/29869529" TargetMode="External"/><Relationship Id="rId61" Type="http://schemas.openxmlformats.org/officeDocument/2006/relationships/hyperlink" Target="https://www.ncbi.nlm.nih.gov/pubmed/8625084" TargetMode="External"/><Relationship Id="rId64" Type="http://schemas.openxmlformats.org/officeDocument/2006/relationships/hyperlink" Target="https://molecularneurodegeneration.biomedcentral.com/articles/10.1186/1750-1326-4-26" TargetMode="External"/><Relationship Id="rId63" Type="http://schemas.openxmlformats.org/officeDocument/2006/relationships/hyperlink" Target="http://online.liebertpub.com/doi/abs/10.1089/152308602760598936" TargetMode="External"/><Relationship Id="rId66" Type="http://schemas.openxmlformats.org/officeDocument/2006/relationships/hyperlink" Target="http://www.sciencedirect.com/science/article/pii/S0022202X15341749" TargetMode="External"/><Relationship Id="rId65" Type="http://schemas.openxmlformats.org/officeDocument/2006/relationships/hyperlink" Target="https://pubmed.ncbi.nlm.nih.gov/34217659/" TargetMode="External"/><Relationship Id="rId68" Type="http://schemas.openxmlformats.org/officeDocument/2006/relationships/hyperlink" Target="http://www.ncbi.nlm.nih.gov/pubmed/12535198" TargetMode="External"/><Relationship Id="rId67" Type="http://schemas.openxmlformats.org/officeDocument/2006/relationships/hyperlink" Target="http://www.jidonline.org/article/S0022-202X(15)30243-8/abstract" TargetMode="External"/><Relationship Id="rId60" Type="http://schemas.openxmlformats.org/officeDocument/2006/relationships/hyperlink" Target="http://onlinelibrary.wiley.com/doi/10.1002/cncr.11641/abstract" TargetMode="External"/><Relationship Id="rId69" Type="http://schemas.openxmlformats.org/officeDocument/2006/relationships/hyperlink" Target="http://www.sciencedirect.com/science/article/pii/S0022202X15330554" TargetMode="External"/><Relationship Id="rId51" Type="http://schemas.openxmlformats.org/officeDocument/2006/relationships/hyperlink" Target="http://www.sciencedirect.com/science/article/pii/S0190962297701877" TargetMode="External"/><Relationship Id="rId50" Type="http://schemas.openxmlformats.org/officeDocument/2006/relationships/hyperlink" Target="http://www.sciencedirect.com/science/article/pii/S0190962299705037" TargetMode="External"/><Relationship Id="rId53" Type="http://schemas.openxmlformats.org/officeDocument/2006/relationships/hyperlink" Target="http://onlinelibrary.wiley.com/doi/10.1002/14651858.CD005107.pub4/full" TargetMode="External"/><Relationship Id="rId52" Type="http://schemas.openxmlformats.org/officeDocument/2006/relationships/hyperlink" Target="http://onlinelibrary.wiley.com/doi/10.1002/14651858.CD005107.pub4/full" TargetMode="External"/><Relationship Id="rId55" Type="http://schemas.openxmlformats.org/officeDocument/2006/relationships/hyperlink" Target="http://onlinelibrary.wiley.com/doi/10.1002/14651858.CD012225/full" TargetMode="External"/><Relationship Id="rId54" Type="http://schemas.openxmlformats.org/officeDocument/2006/relationships/hyperlink" Target="http://onlinelibrary.wiley.com/doi/10.1002/14651858.CD002049.pub2/full" TargetMode="External"/><Relationship Id="rId57" Type="http://schemas.openxmlformats.org/officeDocument/2006/relationships/hyperlink" Target="https://pubmed.ncbi.nlm.nih.gov/36369294/" TargetMode="External"/><Relationship Id="rId56" Type="http://schemas.openxmlformats.org/officeDocument/2006/relationships/hyperlink" Target="http://onlinelibrary.wiley.com/doi/10.1002/14651858.CD003490.pub2/full" TargetMode="External"/><Relationship Id="rId59" Type="http://schemas.openxmlformats.org/officeDocument/2006/relationships/hyperlink" Target="http://www.sciencedirect.com/science/article/pii/S1359644614002177" TargetMode="External"/><Relationship Id="rId58" Type="http://schemas.openxmlformats.org/officeDocument/2006/relationships/hyperlink" Target="https://www.frontiersin.org/articles/10.3389/fcell.2020.588621/full" TargetMode="External"/><Relationship Id="rId349" Type="http://schemas.openxmlformats.org/officeDocument/2006/relationships/hyperlink" Target="http://www.sciencedirect.com/science/article/pii/S1011134406002570" TargetMode="External"/><Relationship Id="rId348" Type="http://schemas.openxmlformats.org/officeDocument/2006/relationships/hyperlink" Target="http://www.sciencedirect.com/science/article/pii/S101113440700022X" TargetMode="External"/><Relationship Id="rId347" Type="http://schemas.openxmlformats.org/officeDocument/2006/relationships/hyperlink" Target="http://www.sciencedirect.com/science/article/pii/S1011134407000668" TargetMode="External"/><Relationship Id="rId346" Type="http://schemas.openxmlformats.org/officeDocument/2006/relationships/hyperlink" Target="http://www.sciencedirect.com/science/article/pii/S1011134407001273" TargetMode="External"/><Relationship Id="rId341" Type="http://schemas.openxmlformats.org/officeDocument/2006/relationships/hyperlink" Target="http://www.sciencedirect.com/science/article/pii/S1011134410000023" TargetMode="External"/><Relationship Id="rId340" Type="http://schemas.openxmlformats.org/officeDocument/2006/relationships/hyperlink" Target="http://www.sciencedirect.com/science/article/pii/S1011134410000655" TargetMode="External"/><Relationship Id="rId345" Type="http://schemas.openxmlformats.org/officeDocument/2006/relationships/hyperlink" Target="http://www.sciencedirect.com/science/article/pii/S1011134408001097" TargetMode="External"/><Relationship Id="rId344" Type="http://schemas.openxmlformats.org/officeDocument/2006/relationships/hyperlink" Target="http://www.sciencedirect.com/science/article/pii/S1011134408001966" TargetMode="External"/><Relationship Id="rId343" Type="http://schemas.openxmlformats.org/officeDocument/2006/relationships/hyperlink" Target="http://www.sciencedirect.com/science/article/pii/S1011134409000049" TargetMode="External"/><Relationship Id="rId342" Type="http://schemas.openxmlformats.org/officeDocument/2006/relationships/hyperlink" Target="http://www.sciencedirect.com/science/article/pii/S1011134409001675" TargetMode="External"/><Relationship Id="rId338" Type="http://schemas.openxmlformats.org/officeDocument/2006/relationships/hyperlink" Target="http://www.sciencedirect.com/science/article/pii/S1011134410002484" TargetMode="External"/><Relationship Id="rId337" Type="http://schemas.openxmlformats.org/officeDocument/2006/relationships/hyperlink" Target="http://www.sciencedirect.com/science/article/pii/S1011134411000790" TargetMode="External"/><Relationship Id="rId336" Type="http://schemas.openxmlformats.org/officeDocument/2006/relationships/hyperlink" Target="http://www.sciencedirect.com/science/article/pii/S1011134411001606" TargetMode="External"/><Relationship Id="rId335" Type="http://schemas.openxmlformats.org/officeDocument/2006/relationships/hyperlink" Target="http://www.sciencedirect.com/science/article/pii/S1011134411001989" TargetMode="External"/><Relationship Id="rId339" Type="http://schemas.openxmlformats.org/officeDocument/2006/relationships/hyperlink" Target="http://www.sciencedirect.com/science/article/pii/S101113441000179X" TargetMode="External"/><Relationship Id="rId330" Type="http://schemas.openxmlformats.org/officeDocument/2006/relationships/hyperlink" Target="http://www.sciencedirect.com/science/article/pii/S1011134413000304" TargetMode="External"/><Relationship Id="rId334" Type="http://schemas.openxmlformats.org/officeDocument/2006/relationships/hyperlink" Target="http://www.sciencedirect.com/science/article/pii/S101113441100217X" TargetMode="External"/><Relationship Id="rId333" Type="http://schemas.openxmlformats.org/officeDocument/2006/relationships/hyperlink" Target="http://www.sciencedirect.com/science/article/pii/S1011134411002454" TargetMode="External"/><Relationship Id="rId332" Type="http://schemas.openxmlformats.org/officeDocument/2006/relationships/hyperlink" Target="http://www.sciencedirect.com/science/article/pii/S1011134412000425" TargetMode="External"/><Relationship Id="rId331" Type="http://schemas.openxmlformats.org/officeDocument/2006/relationships/hyperlink" Target="http://www.sciencedirect.com/science/article/pii/S1011134413000079" TargetMode="External"/><Relationship Id="rId370" Type="http://schemas.openxmlformats.org/officeDocument/2006/relationships/hyperlink" Target="http://www.ncbi.nlm.nih.gov/pubmed/27347336" TargetMode="External"/><Relationship Id="rId369" Type="http://schemas.openxmlformats.org/officeDocument/2006/relationships/hyperlink" Target="http://onlinelibrary.wiley.com/doi/10.1002/jcb.25133/abstract" TargetMode="External"/><Relationship Id="rId368" Type="http://schemas.openxmlformats.org/officeDocument/2006/relationships/hyperlink" Target="https://pubmed.ncbi.nlm.nih.gov/38441733/" TargetMode="External"/><Relationship Id="rId363" Type="http://schemas.openxmlformats.org/officeDocument/2006/relationships/hyperlink" Target="https://pubmed.ncbi.nlm.nih.gov/35620152/" TargetMode="External"/><Relationship Id="rId362" Type="http://schemas.openxmlformats.org/officeDocument/2006/relationships/hyperlink" Target="http://www.sciencedirect.com/science/article/pii/S1011134416302184" TargetMode="External"/><Relationship Id="rId361" Type="http://schemas.openxmlformats.org/officeDocument/2006/relationships/hyperlink" Target="http://www.sciencedirect.com/science/article/pii/101113449285032P" TargetMode="External"/><Relationship Id="rId360" Type="http://schemas.openxmlformats.org/officeDocument/2006/relationships/hyperlink" Target="http://www.sciencedirect.com/science/article/pii/S1011134400001342" TargetMode="External"/><Relationship Id="rId367" Type="http://schemas.openxmlformats.org/officeDocument/2006/relationships/hyperlink" Target="http://www.tandfonline.com.libproxy.helsinki.fi/doi/full/10.3109/07853890.2010.532811?scroll=top&amp;needAccess=true" TargetMode="External"/><Relationship Id="rId366" Type="http://schemas.openxmlformats.org/officeDocument/2006/relationships/hyperlink" Target="https://pubmed.ncbi.nlm.nih.gov/37418018/" TargetMode="External"/><Relationship Id="rId365" Type="http://schemas.openxmlformats.org/officeDocument/2006/relationships/hyperlink" Target="http://journal.frontiersin.org/article/10.3389/fnbeh.2015.00147/full" TargetMode="External"/><Relationship Id="rId364" Type="http://schemas.openxmlformats.org/officeDocument/2006/relationships/hyperlink" Target="http://www.archives-pmr.org/article/S0003-9993(12)00069-X/abstract" TargetMode="External"/><Relationship Id="rId95" Type="http://schemas.openxmlformats.org/officeDocument/2006/relationships/hyperlink" Target="http://link.springer.com/article/10.1007/s003950070037" TargetMode="External"/><Relationship Id="rId94" Type="http://schemas.openxmlformats.org/officeDocument/2006/relationships/hyperlink" Target="https://pubmed.ncbi.nlm.nih.gov/33716203/" TargetMode="External"/><Relationship Id="rId97" Type="http://schemas.openxmlformats.org/officeDocument/2006/relationships/hyperlink" Target="http://www.sciencedirect.com/science/article/pii/S0304395906002880" TargetMode="External"/><Relationship Id="rId96" Type="http://schemas.openxmlformats.org/officeDocument/2006/relationships/hyperlink" Target="https://pubmed.ncbi.nlm.nih.gov/36967820/" TargetMode="External"/><Relationship Id="rId99" Type="http://schemas.openxmlformats.org/officeDocument/2006/relationships/hyperlink" Target="http://www.sciencedirect.com/science/article/pii/S0304395903001660" TargetMode="External"/><Relationship Id="rId98" Type="http://schemas.openxmlformats.org/officeDocument/2006/relationships/hyperlink" Target="http://www.sciencedirect.com/science/article/pii/S0304395907005714" TargetMode="External"/><Relationship Id="rId91" Type="http://schemas.openxmlformats.org/officeDocument/2006/relationships/hyperlink" Target="http://www.sciencedirect.com/science/article/pii/S0891584912004923" TargetMode="External"/><Relationship Id="rId90" Type="http://schemas.openxmlformats.org/officeDocument/2006/relationships/hyperlink" Target="http://www.jneurosci.org/content/28/50/13511.short?sid=810ea1f0-c7b3-4c8f-bf77-c9d8760ca30e" TargetMode="External"/><Relationship Id="rId93" Type="http://schemas.openxmlformats.org/officeDocument/2006/relationships/hyperlink" Target="http://jcb.sagepub.com/content/34/8/1391.long" TargetMode="External"/><Relationship Id="rId92" Type="http://schemas.openxmlformats.org/officeDocument/2006/relationships/hyperlink" Target="http://jcb.sagepub.com/content/35/9/1435.abstract" TargetMode="External"/><Relationship Id="rId359" Type="http://schemas.openxmlformats.org/officeDocument/2006/relationships/hyperlink" Target="http://www.sciencedirect.com/science/article/pii/S1011134402002671" TargetMode="External"/><Relationship Id="rId358" Type="http://schemas.openxmlformats.org/officeDocument/2006/relationships/hyperlink" Target="http://www.sciencedirect.com/science/article/pii/S1011134404000363" TargetMode="External"/><Relationship Id="rId357" Type="http://schemas.openxmlformats.org/officeDocument/2006/relationships/hyperlink" Target="http://www.sciencedirect.com/science/article/pii/S1011134404001472" TargetMode="External"/><Relationship Id="rId352" Type="http://schemas.openxmlformats.org/officeDocument/2006/relationships/hyperlink" Target="http://www.sciencedirect.com/science/article/pii/S1011134415002432" TargetMode="External"/><Relationship Id="rId351" Type="http://schemas.openxmlformats.org/officeDocument/2006/relationships/hyperlink" Target="http://www.sciencedirect.com/science/article/pii/S1011134406002284" TargetMode="External"/><Relationship Id="rId350" Type="http://schemas.openxmlformats.org/officeDocument/2006/relationships/hyperlink" Target="http://www.sciencedirect.com/science/article/pii/S1011134497000651" TargetMode="External"/><Relationship Id="rId356" Type="http://schemas.openxmlformats.org/officeDocument/2006/relationships/hyperlink" Target="http://www.sciencedirect.com/science/article/pii/S1011134405001272" TargetMode="External"/><Relationship Id="rId355" Type="http://schemas.openxmlformats.org/officeDocument/2006/relationships/hyperlink" Target="http://www.sciencedirect.com/science/article/pii/S1011134405002083" TargetMode="External"/><Relationship Id="rId354" Type="http://schemas.openxmlformats.org/officeDocument/2006/relationships/hyperlink" Target="http://www.sciencedirect.com/science/article/pii/S101113440500237X" TargetMode="External"/><Relationship Id="rId353" Type="http://schemas.openxmlformats.org/officeDocument/2006/relationships/hyperlink" Target="http://www.sciencedirect.com/science/article/pii/S1011134406001953" TargetMode="External"/><Relationship Id="rId305" Type="http://schemas.openxmlformats.org/officeDocument/2006/relationships/hyperlink" Target="http://www.sciencedirect.com/science/article/pii/S1011134416302354" TargetMode="External"/><Relationship Id="rId304" Type="http://schemas.openxmlformats.org/officeDocument/2006/relationships/hyperlink" Target="http://www.sciencedirect.com/science/article/pii/S101113441530172X" TargetMode="External"/><Relationship Id="rId303" Type="http://schemas.openxmlformats.org/officeDocument/2006/relationships/hyperlink" Target="http://www.sciencedirect.com/science/article/pii/S1011134416304456" TargetMode="External"/><Relationship Id="rId302" Type="http://schemas.openxmlformats.org/officeDocument/2006/relationships/hyperlink" Target="http://onlinelibrary.wiley.com/doi/10.1002/hon.2133/abstract;jsessionid=9CEF0751DC9BBB0AC9B0CDDB01994856.f04t03" TargetMode="External"/><Relationship Id="rId309" Type="http://schemas.openxmlformats.org/officeDocument/2006/relationships/hyperlink" Target="http://www.sciencedirect.com/science/article/pii/S1011134416301695" TargetMode="External"/><Relationship Id="rId308" Type="http://schemas.openxmlformats.org/officeDocument/2006/relationships/hyperlink" Target="http://www.sciencedirect.com/science/article/pii/S1011134416302044" TargetMode="External"/><Relationship Id="rId307" Type="http://schemas.openxmlformats.org/officeDocument/2006/relationships/hyperlink" Target="http://www.sciencedirect.com/science/article/pii/S1011134416302482" TargetMode="External"/><Relationship Id="rId306" Type="http://schemas.openxmlformats.org/officeDocument/2006/relationships/hyperlink" Target="http://www.sciencedirect.com/science/article/pii/S1011134415300890" TargetMode="External"/><Relationship Id="rId301" Type="http://schemas.openxmlformats.org/officeDocument/2006/relationships/hyperlink" Target="http://onlinelibrary.wiley.com/doi/10.1002/hon.2050/full" TargetMode="External"/><Relationship Id="rId300" Type="http://schemas.openxmlformats.org/officeDocument/2006/relationships/hyperlink" Target="http://www.sciencedirect.com/science/article/pii/S0378427401003150" TargetMode="External"/><Relationship Id="rId327" Type="http://schemas.openxmlformats.org/officeDocument/2006/relationships/hyperlink" Target="http://www.sciencedirect.com/science/article/pii/S1011134416303128" TargetMode="External"/><Relationship Id="rId326" Type="http://schemas.openxmlformats.org/officeDocument/2006/relationships/hyperlink" Target="http://www.sciencedirect.com/science/article/pii/S1011134499001219" TargetMode="External"/><Relationship Id="rId325" Type="http://schemas.openxmlformats.org/officeDocument/2006/relationships/hyperlink" Target="http://www.sciencedirect.com/science/article/pii/S101113441300290X" TargetMode="External"/><Relationship Id="rId324" Type="http://schemas.openxmlformats.org/officeDocument/2006/relationships/hyperlink" Target="http://www.sciencedirect.com/science/article/pii/S1011134413002959" TargetMode="External"/><Relationship Id="rId329" Type="http://schemas.openxmlformats.org/officeDocument/2006/relationships/hyperlink" Target="http://www.sciencedirect.com/science/article/pii/S1011134413000390" TargetMode="External"/><Relationship Id="rId328" Type="http://schemas.openxmlformats.org/officeDocument/2006/relationships/hyperlink" Target="http://www.sciencedirect.com/science/article/pii/S1011134413001255" TargetMode="External"/><Relationship Id="rId323" Type="http://schemas.openxmlformats.org/officeDocument/2006/relationships/hyperlink" Target="http://www.sciencedirect.com/science/article/pii/S1011134414000955" TargetMode="External"/><Relationship Id="rId322" Type="http://schemas.openxmlformats.org/officeDocument/2006/relationships/hyperlink" Target="http://www.sciencedirect.com/science/article/pii/S1011134414000979" TargetMode="External"/><Relationship Id="rId321" Type="http://schemas.openxmlformats.org/officeDocument/2006/relationships/hyperlink" Target="http://www.sciencedirect.com/science/article/pii/S1011134405001934" TargetMode="External"/><Relationship Id="rId320" Type="http://schemas.openxmlformats.org/officeDocument/2006/relationships/hyperlink" Target="http://www.sciencedirect.com/science/article/pii/S1011134414001900" TargetMode="External"/><Relationship Id="rId316" Type="http://schemas.openxmlformats.org/officeDocument/2006/relationships/hyperlink" Target="http://www.sciencedirect.com/science/article/pii/S1011134415001591" TargetMode="External"/><Relationship Id="rId315" Type="http://schemas.openxmlformats.org/officeDocument/2006/relationships/hyperlink" Target="http://www.sciencedirect.com/science/article/pii/S1011134415002420" TargetMode="External"/><Relationship Id="rId314" Type="http://schemas.openxmlformats.org/officeDocument/2006/relationships/hyperlink" Target="http://www.sciencedirect.com/science/article/pii/S1011134415002766" TargetMode="External"/><Relationship Id="rId313" Type="http://schemas.openxmlformats.org/officeDocument/2006/relationships/hyperlink" Target="http://www.sciencedirect.com/science/article/pii/S101113441500336X" TargetMode="External"/><Relationship Id="rId319" Type="http://schemas.openxmlformats.org/officeDocument/2006/relationships/hyperlink" Target="http://www.sciencedirect.com/science/article/pii/S1011134406000741" TargetMode="External"/><Relationship Id="rId318" Type="http://schemas.openxmlformats.org/officeDocument/2006/relationships/hyperlink" Target="http://www.sciencedirect.com/science/article/pii/S1011134415000238" TargetMode="External"/><Relationship Id="rId317" Type="http://schemas.openxmlformats.org/officeDocument/2006/relationships/hyperlink" Target="http://www.sciencedirect.com/science/article/pii/S1011134415001414" TargetMode="External"/><Relationship Id="rId312" Type="http://schemas.openxmlformats.org/officeDocument/2006/relationships/hyperlink" Target="http://www.sciencedirect.com/science/article/pii/S1011134415003577" TargetMode="External"/><Relationship Id="rId311" Type="http://schemas.openxmlformats.org/officeDocument/2006/relationships/hyperlink" Target="https://www.ncbi.nlm.nih.gov/pubmed/25226343" TargetMode="External"/><Relationship Id="rId310" Type="http://schemas.openxmlformats.org/officeDocument/2006/relationships/hyperlink" Target="http://www.sciencedirect.com/science/article/pii/S1011134415302402" TargetMode="External"/><Relationship Id="rId297" Type="http://schemas.openxmlformats.org/officeDocument/2006/relationships/hyperlink" Target="http://www.sciencedirect.com/science/article/pii/S0002914910012002" TargetMode="External"/><Relationship Id="rId296" Type="http://schemas.openxmlformats.org/officeDocument/2006/relationships/hyperlink" Target="http://www.sciencedirect.com/science/article/pii/S0002914900011243" TargetMode="External"/><Relationship Id="rId295" Type="http://schemas.openxmlformats.org/officeDocument/2006/relationships/hyperlink" Target="http://onlinelibrary.wiley.com/doi/10.1002/jbm.a.34581/abstract" TargetMode="External"/><Relationship Id="rId294" Type="http://schemas.openxmlformats.org/officeDocument/2006/relationships/hyperlink" Target="http://onlinelibrary.wiley.com/doi/10.1002/jbm.b.32897/abstract" TargetMode="External"/><Relationship Id="rId299" Type="http://schemas.openxmlformats.org/officeDocument/2006/relationships/hyperlink" Target="https://www.ncbi.nlm.nih.gov/pubmed/27664904" TargetMode="External"/><Relationship Id="rId298" Type="http://schemas.openxmlformats.org/officeDocument/2006/relationships/hyperlink" Target="http://www.sciencedirect.com/science/article/pii/S0014483514000682" TargetMode="External"/><Relationship Id="rId271" Type="http://schemas.openxmlformats.org/officeDocument/2006/relationships/hyperlink" Target="http://www.sciencedirect.com/science/article/pii/S0306452207008688" TargetMode="External"/><Relationship Id="rId270" Type="http://schemas.openxmlformats.org/officeDocument/2006/relationships/hyperlink" Target="http://www.sciencedirect.com/science/article/pii/S030645221001273X" TargetMode="External"/><Relationship Id="rId269" Type="http://schemas.openxmlformats.org/officeDocument/2006/relationships/hyperlink" Target="http://www.sciencedirect.com/science/article/pii/S0306452211007068" TargetMode="External"/><Relationship Id="rId264" Type="http://schemas.openxmlformats.org/officeDocument/2006/relationships/hyperlink" Target="http://www.ncbi.nlm.nih.gov/pubmed/23557732" TargetMode="External"/><Relationship Id="rId263" Type="http://schemas.openxmlformats.org/officeDocument/2006/relationships/hyperlink" Target="http://journal.frontiersin.org/article/10.3389/fphys.2014.00306/full" TargetMode="External"/><Relationship Id="rId262" Type="http://schemas.openxmlformats.org/officeDocument/2006/relationships/hyperlink" Target="http://ieeexplore.ieee.org/document/7488285/" TargetMode="External"/><Relationship Id="rId261" Type="http://schemas.openxmlformats.org/officeDocument/2006/relationships/hyperlink" Target="http://journals.lww.com/plasreconsurg/Abstract/2002/09010/Fat_Liquefaction__Effect_of_Low_Level_Laser_Energy.30.aspx" TargetMode="External"/><Relationship Id="rId268" Type="http://schemas.openxmlformats.org/officeDocument/2006/relationships/hyperlink" Target="http://www.sciencedirect.com/science/article/pii/S0306452212011268" TargetMode="External"/><Relationship Id="rId267" Type="http://schemas.openxmlformats.org/officeDocument/2006/relationships/hyperlink" Target="http://www.sciencedirect.com/science/article/pii/S0306452216300057" TargetMode="External"/><Relationship Id="rId266" Type="http://schemas.openxmlformats.org/officeDocument/2006/relationships/hyperlink" Target="http://bjo.bmj.com/content/98/8/1013.long" TargetMode="External"/><Relationship Id="rId265" Type="http://schemas.openxmlformats.org/officeDocument/2006/relationships/hyperlink" Target="https://www.ncbi.nlm.nih.gov/pubmed/19882716" TargetMode="External"/><Relationship Id="rId260" Type="http://schemas.openxmlformats.org/officeDocument/2006/relationships/hyperlink" Target="http://journals.lww.com/plasreconsurg/Abstract/2004/05000/Effect_of_Low_Level_Laser_Therapy_on_Abdominal.37.aspx" TargetMode="External"/><Relationship Id="rId259" Type="http://schemas.openxmlformats.org/officeDocument/2006/relationships/hyperlink" Target="https://pubmed.ncbi.nlm.nih.gov/33471046/" TargetMode="External"/><Relationship Id="rId258" Type="http://schemas.openxmlformats.org/officeDocument/2006/relationships/hyperlink" Target="http://www.jrheum.org/content/31/12/2408.long" TargetMode="External"/><Relationship Id="rId253" Type="http://schemas.openxmlformats.org/officeDocument/2006/relationships/hyperlink" Target="http://content.iospress.com/articles/journal-of-alzheimers-disease/jad100894" TargetMode="External"/><Relationship Id="rId252" Type="http://schemas.openxmlformats.org/officeDocument/2006/relationships/hyperlink" Target="http://content.iospress.com/articles/journal-of-alzheimers-disease/jad120817" TargetMode="External"/><Relationship Id="rId251" Type="http://schemas.openxmlformats.org/officeDocument/2006/relationships/hyperlink" Target="https://pubmed.ncbi.nlm.nih.gov/37490060/" TargetMode="External"/><Relationship Id="rId250" Type="http://schemas.openxmlformats.org/officeDocument/2006/relationships/hyperlink" Target="http://www.sciencedirect.com/science/article/pii/S0898656815000972" TargetMode="External"/><Relationship Id="rId257" Type="http://schemas.openxmlformats.org/officeDocument/2006/relationships/hyperlink" Target="https://www.hindawi.com/journals/mi/2016/9303126/" TargetMode="External"/><Relationship Id="rId256" Type="http://schemas.openxmlformats.org/officeDocument/2006/relationships/hyperlink" Target="http://www.ncbi.nlm.nih.gov/pubmed/24692853" TargetMode="External"/><Relationship Id="rId255" Type="http://schemas.openxmlformats.org/officeDocument/2006/relationships/hyperlink" Target="https://www.hindawi.com/journals/mi/2015/630361/" TargetMode="External"/><Relationship Id="rId254" Type="http://schemas.openxmlformats.org/officeDocument/2006/relationships/hyperlink" Target="http://www.eurekaselect.com/74697/article" TargetMode="External"/><Relationship Id="rId293" Type="http://schemas.openxmlformats.org/officeDocument/2006/relationships/hyperlink" Target="http://onlinelibrary.wiley.com/doi/10.1002/jbm.a.30270/abstract" TargetMode="External"/><Relationship Id="rId292" Type="http://schemas.openxmlformats.org/officeDocument/2006/relationships/hyperlink" Target="http://onlinelibrary.wiley.com/doi/10.1002/jbm.a.32930/abstract" TargetMode="External"/><Relationship Id="rId291" Type="http://schemas.openxmlformats.org/officeDocument/2006/relationships/hyperlink" Target="http://onlinelibrary.wiley.com/doi/10.1002/jbm.a.32800/abstract" TargetMode="External"/><Relationship Id="rId290" Type="http://schemas.openxmlformats.org/officeDocument/2006/relationships/hyperlink" Target="http://onlinelibrary.wiley.com/doi/10.1002/jbm.a.33107/abstract" TargetMode="External"/><Relationship Id="rId286" Type="http://schemas.openxmlformats.org/officeDocument/2006/relationships/hyperlink" Target="http://www.sciencedirect.com/science/article/pii/S0531556511003147" TargetMode="External"/><Relationship Id="rId285" Type="http://schemas.openxmlformats.org/officeDocument/2006/relationships/hyperlink" Target="http://www.sciencedirect.com/science/article/pii/S1567724904001461?np=y" TargetMode="External"/><Relationship Id="rId284" Type="http://schemas.openxmlformats.org/officeDocument/2006/relationships/hyperlink" Target="http://www.sciencedirect.com/science/article/pii/S156772490400145X" TargetMode="External"/><Relationship Id="rId283" Type="http://schemas.openxmlformats.org/officeDocument/2006/relationships/hyperlink" Target="http://www.sciencedirect.com/science/article/pii/S1567724913002730" TargetMode="External"/><Relationship Id="rId289" Type="http://schemas.openxmlformats.org/officeDocument/2006/relationships/hyperlink" Target="http://onlinelibrary.wiley.com/doi/10.1002/jbm.a.34314/abstract" TargetMode="External"/><Relationship Id="rId288" Type="http://schemas.openxmlformats.org/officeDocument/2006/relationships/hyperlink" Target="https://pubmed.ncbi.nlm.nih.gov/33392015/" TargetMode="External"/><Relationship Id="rId287" Type="http://schemas.openxmlformats.org/officeDocument/2006/relationships/hyperlink" Target="http://www.sciencedirect.com/science/article/pii/S1357272516301509" TargetMode="External"/><Relationship Id="rId282" Type="http://schemas.openxmlformats.org/officeDocument/2006/relationships/hyperlink" Target="http://jap.physiology.org/content/101/1/283.long" TargetMode="External"/><Relationship Id="rId281" Type="http://schemas.openxmlformats.org/officeDocument/2006/relationships/hyperlink" Target="http://jap.physiology.org/content/90/6/2411.long" TargetMode="External"/><Relationship Id="rId280" Type="http://schemas.openxmlformats.org/officeDocument/2006/relationships/hyperlink" Target="http://onlinelibrary.wiley.com/doi/10.1111/aos.12996/abstract" TargetMode="External"/><Relationship Id="rId275" Type="http://schemas.openxmlformats.org/officeDocument/2006/relationships/hyperlink" Target="https://pubmed.ncbi.nlm.nih.gov/33671931/" TargetMode="External"/><Relationship Id="rId274" Type="http://schemas.openxmlformats.org/officeDocument/2006/relationships/hyperlink" Target="https://www.ncbi.nlm.nih.gov/pubmed/24857852" TargetMode="External"/><Relationship Id="rId273" Type="http://schemas.openxmlformats.org/officeDocument/2006/relationships/hyperlink" Target="http://www.sciencedirect.com/science/article/pii/S0306452208004065" TargetMode="External"/><Relationship Id="rId272" Type="http://schemas.openxmlformats.org/officeDocument/2006/relationships/hyperlink" Target="http://www.sciencedirect.com/science/article/pii/S0306452205014946" TargetMode="External"/><Relationship Id="rId279" Type="http://schemas.openxmlformats.org/officeDocument/2006/relationships/hyperlink" Target="http://bmccancer.biomedcentral.com/articles/10.1186/1471-2407-9-404" TargetMode="External"/><Relationship Id="rId278" Type="http://schemas.openxmlformats.org/officeDocument/2006/relationships/hyperlink" Target="https://pubmed.ncbi.nlm.nih.gov/36291206/" TargetMode="External"/><Relationship Id="rId277" Type="http://schemas.openxmlformats.org/officeDocument/2006/relationships/hyperlink" Target="http://journal.frontiersin.org/article/10.3389/fnins.2015.00500/full" TargetMode="External"/><Relationship Id="rId276" Type="http://schemas.openxmlformats.org/officeDocument/2006/relationships/hyperlink" Target="http://www.annallergy.org/article/S1081-1206(10)63202-4/abstract" TargetMode="External"/><Relationship Id="rId228" Type="http://schemas.openxmlformats.org/officeDocument/2006/relationships/hyperlink" Target="http://onlinelibrary.wiley.com/doi/10.1002/jbio.201400069/abstract" TargetMode="External"/><Relationship Id="rId227" Type="http://schemas.openxmlformats.org/officeDocument/2006/relationships/hyperlink" Target="http://onlinelibrary.wiley.com/doi/10.1002/jbio.201400052/abstract" TargetMode="External"/><Relationship Id="rId226" Type="http://schemas.openxmlformats.org/officeDocument/2006/relationships/hyperlink" Target="http://onlinelibrary.wiley.com/doi/10.1002/jbio.201300125/abstract" TargetMode="External"/><Relationship Id="rId225" Type="http://schemas.openxmlformats.org/officeDocument/2006/relationships/hyperlink" Target="http://onlinelibrary.wiley.com/doi/10.1002/jbio.201300015/abstract" TargetMode="External"/><Relationship Id="rId229" Type="http://schemas.openxmlformats.org/officeDocument/2006/relationships/hyperlink" Target="http://onlinelibrary.wiley.com/doi/10.1002/jbio.201400058/abstract" TargetMode="External"/><Relationship Id="rId220" Type="http://schemas.openxmlformats.org/officeDocument/2006/relationships/hyperlink" Target="http://onlinelibrary.wiley.com/doi/10.1002/jbio.201500336/abstract" TargetMode="External"/><Relationship Id="rId224" Type="http://schemas.openxmlformats.org/officeDocument/2006/relationships/hyperlink" Target="http://onlinelibrary.wiley.com/doi/10.1002/jbio.201600025/abstract" TargetMode="External"/><Relationship Id="rId223" Type="http://schemas.openxmlformats.org/officeDocument/2006/relationships/hyperlink" Target="http://onlinelibrary.wiley.com/doi/10.1002/jbio.201600107/abstract" TargetMode="External"/><Relationship Id="rId222" Type="http://schemas.openxmlformats.org/officeDocument/2006/relationships/hyperlink" Target="http://onlinelibrary.wiley.com/doi/10.1002/jbio.201600059/abstract" TargetMode="External"/><Relationship Id="rId221" Type="http://schemas.openxmlformats.org/officeDocument/2006/relationships/hyperlink" Target="http://onlinelibrary.wiley.com/doi/10.1002/jbio.201500292/abstract" TargetMode="External"/><Relationship Id="rId217" Type="http://schemas.openxmlformats.org/officeDocument/2006/relationships/hyperlink" Target="http://onlinelibrary.wiley.com/doi/10.1002/jbio.201500113/abstract" TargetMode="External"/><Relationship Id="rId216" Type="http://schemas.openxmlformats.org/officeDocument/2006/relationships/hyperlink" Target="http://onlinelibrary.wiley.com/doi/10.1002/jbio.201200157/abstract" TargetMode="External"/><Relationship Id="rId215" Type="http://schemas.openxmlformats.org/officeDocument/2006/relationships/hyperlink" Target="https://pubmed.ncbi.nlm.nih.gov/33989716/" TargetMode="External"/><Relationship Id="rId214" Type="http://schemas.openxmlformats.org/officeDocument/2006/relationships/hyperlink" Target="http://link.springer.com/article/10.1007%2Fs11695-010-0126-y" TargetMode="External"/><Relationship Id="rId219" Type="http://schemas.openxmlformats.org/officeDocument/2006/relationships/hyperlink" Target="http://onlinelibrary.wiley.com/doi/10.1002/jbio.201500209/abstract" TargetMode="External"/><Relationship Id="rId218" Type="http://schemas.openxmlformats.org/officeDocument/2006/relationships/hyperlink" Target="http://onlinelibrary.wiley.com/doi/10.1002/jbio.201400064/abstract" TargetMode="External"/><Relationship Id="rId213" Type="http://schemas.openxmlformats.org/officeDocument/2006/relationships/hyperlink" Target="https://www.ncbi.nlm.nih.gov/pubmed/18706001" TargetMode="External"/><Relationship Id="rId212" Type="http://schemas.openxmlformats.org/officeDocument/2006/relationships/hyperlink" Target="http://wso.sagepub.com/content/8/5/315.abstract" TargetMode="External"/><Relationship Id="rId211" Type="http://schemas.openxmlformats.org/officeDocument/2006/relationships/hyperlink" Target="http://onlinelibrary.wiley.com/doi/10.1111/j.1600-051X.2005.00749.x/abstract" TargetMode="External"/><Relationship Id="rId210" Type="http://schemas.openxmlformats.org/officeDocument/2006/relationships/hyperlink" Target="http://onlinelibrary.wiley.com/doi/10.1111/j.1600-051X.2007.01194.x/abstract" TargetMode="External"/><Relationship Id="rId249" Type="http://schemas.openxmlformats.org/officeDocument/2006/relationships/hyperlink" Target="http://www.sciencedirect.com/science/article/pii/S089865681100283X" TargetMode="External"/><Relationship Id="rId248" Type="http://schemas.openxmlformats.org/officeDocument/2006/relationships/hyperlink" Target="http://www.sciencedirect.com/science/article/pii/S0898656812000368" TargetMode="External"/><Relationship Id="rId247" Type="http://schemas.openxmlformats.org/officeDocument/2006/relationships/hyperlink" Target="http://journals.lww.com/journalppo/Abstract/2002/05000/Pilot_Study_of_Laser_Effects_on_Oral_Mucositis_in.8.aspx" TargetMode="External"/><Relationship Id="rId242" Type="http://schemas.openxmlformats.org/officeDocument/2006/relationships/hyperlink" Target="https://pubmed.ncbi.nlm.nih.gov/35477157/" TargetMode="External"/><Relationship Id="rId241" Type="http://schemas.openxmlformats.org/officeDocument/2006/relationships/hyperlink" Target="https://www.sciencedirect.com/science/article/pii/S0022395620311122?via%3Dihub" TargetMode="External"/><Relationship Id="rId240" Type="http://schemas.openxmlformats.org/officeDocument/2006/relationships/hyperlink" Target="http://link.springer.com/article/10.1007%2Fs11764-014-0411-1" TargetMode="External"/><Relationship Id="rId246" Type="http://schemas.openxmlformats.org/officeDocument/2006/relationships/hyperlink" Target="http://www.ncbi.nlm.nih.gov/pubmed/18713929" TargetMode="External"/><Relationship Id="rId245" Type="http://schemas.openxmlformats.org/officeDocument/2006/relationships/hyperlink" Target="http://link.springer.com/article/10.1007%2Fs00198-010-1183-8" TargetMode="External"/><Relationship Id="rId244" Type="http://schemas.openxmlformats.org/officeDocument/2006/relationships/hyperlink" Target="https://link.springer.com/article/10.1007/s10571-020-01016-9" TargetMode="External"/><Relationship Id="rId243" Type="http://schemas.openxmlformats.org/officeDocument/2006/relationships/hyperlink" Target="http://www.mdpi.com/1422-0067/14/7/13542" TargetMode="External"/><Relationship Id="rId239" Type="http://schemas.openxmlformats.org/officeDocument/2006/relationships/hyperlink" Target="https://www.ncbi.nlm.nih.gov/pubmed/15818167" TargetMode="External"/><Relationship Id="rId238" Type="http://schemas.openxmlformats.org/officeDocument/2006/relationships/hyperlink" Target="http://journals.lww.com/co-oncology/pages/articleviewer.aspx?year=2012&amp;issue=07000&amp;article=00004&amp;type=abstract" TargetMode="External"/><Relationship Id="rId237" Type="http://schemas.openxmlformats.org/officeDocument/2006/relationships/hyperlink" Target="http://www.sciencedirect.com/science/article/pii/S0923181112002915" TargetMode="External"/><Relationship Id="rId236" Type="http://schemas.openxmlformats.org/officeDocument/2006/relationships/hyperlink" Target="http://www.annalsthoracicsurgery.org/article/S0003-4975(12)00006-9/abstract" TargetMode="External"/><Relationship Id="rId231" Type="http://schemas.openxmlformats.org/officeDocument/2006/relationships/hyperlink" Target="http://onlinelibrary.wiley.com/doi/10.1002/jbio.201600014/abstract" TargetMode="External"/><Relationship Id="rId230" Type="http://schemas.openxmlformats.org/officeDocument/2006/relationships/hyperlink" Target="http://onlinelibrary.wiley.com/doi/10.1002/jbio.201400087/abstract" TargetMode="External"/><Relationship Id="rId235" Type="http://schemas.openxmlformats.org/officeDocument/2006/relationships/hyperlink" Target="http://onlinelibrary.wiley.com/doi/10.1111/jnp.12074/abstract;jsessionid=EDDC03FFC5281423DED4D9234C4C31E3.f01t01" TargetMode="External"/><Relationship Id="rId234" Type="http://schemas.openxmlformats.org/officeDocument/2006/relationships/hyperlink" Target="http://onlinelibrary.wiley.com/doi/10.1002/jbio.201600088/full" TargetMode="External"/><Relationship Id="rId233" Type="http://schemas.openxmlformats.org/officeDocument/2006/relationships/hyperlink" Target="http://onlinelibrary.wiley.com/doi/10.1002/jbio.201100089/abstract" TargetMode="External"/><Relationship Id="rId232" Type="http://schemas.openxmlformats.org/officeDocument/2006/relationships/hyperlink" Target="http://onlinelibrary.wiley.com/doi/10.1002/jbio.201200077/abstract" TargetMode="External"/><Relationship Id="rId206" Type="http://schemas.openxmlformats.org/officeDocument/2006/relationships/hyperlink" Target="http://onlinelibrary.wiley.com/doi/10.1111/jcpe.12301/abstract" TargetMode="External"/><Relationship Id="rId205" Type="http://schemas.openxmlformats.org/officeDocument/2006/relationships/hyperlink" Target="http://onlinelibrary.wiley.com/doi/10.1111/jcpe.12328/abstract" TargetMode="External"/><Relationship Id="rId204" Type="http://schemas.openxmlformats.org/officeDocument/2006/relationships/hyperlink" Target="http://onlinelibrary.wiley.com/doi/10.1002/jcp.21693/abstract" TargetMode="External"/><Relationship Id="rId203" Type="http://schemas.openxmlformats.org/officeDocument/2006/relationships/hyperlink" Target="http://onlinelibrary.wiley.com/doi/10.1002/jcp.24119/abstract" TargetMode="External"/><Relationship Id="rId209" Type="http://schemas.openxmlformats.org/officeDocument/2006/relationships/hyperlink" Target="http://onlinelibrary.wiley.com/doi/10.1111/j.1600-051X.2007.01176.x/abstract" TargetMode="External"/><Relationship Id="rId208" Type="http://schemas.openxmlformats.org/officeDocument/2006/relationships/hyperlink" Target="http://onlinelibrary.wiley.com/doi/10.1111/j.1600-051X.2009.01433.x/abstract" TargetMode="External"/><Relationship Id="rId207" Type="http://schemas.openxmlformats.org/officeDocument/2006/relationships/hyperlink" Target="http://onlinelibrary.wiley.com/doi/10.1111/j.1600-051X.2011.01774.x/abstract" TargetMode="External"/><Relationship Id="rId202" Type="http://schemas.openxmlformats.org/officeDocument/2006/relationships/hyperlink" Target="http://onlinelibrary.wiley.com/doi/10.1002/jcp.22367/abstract" TargetMode="External"/><Relationship Id="rId201" Type="http://schemas.openxmlformats.org/officeDocument/2006/relationships/hyperlink" Target="http://onlinelibrary.wiley.com/doi/10.1002/jcp.24425/abstract" TargetMode="External"/><Relationship Id="rId200" Type="http://schemas.openxmlformats.org/officeDocument/2006/relationships/hyperlink" Target="http://onlinelibrary.wiley.com/doi/10.1002/jcp.21529/abstract" TargetMode="External"/><Relationship Id="rId400" Type="http://schemas.openxmlformats.org/officeDocument/2006/relationships/drawing" Target="../drawings/drawing6.xml"/><Relationship Id="rId1" Type="http://schemas.openxmlformats.org/officeDocument/2006/relationships/hyperlink" Target="https://pubmed.ncbi.nlm.nih.gov/32709961/" TargetMode="External"/><Relationship Id="rId2" Type="http://schemas.openxmlformats.org/officeDocument/2006/relationships/hyperlink" Target="https://pubmed.ncbi.nlm.nih.gov/36990615/" TargetMode="External"/><Relationship Id="rId3" Type="http://schemas.openxmlformats.org/officeDocument/2006/relationships/hyperlink" Target="http://www.thelancet.com/journals/lancet/article/PIIS0140-6736(09)61522-1/abstract" TargetMode="External"/><Relationship Id="rId4" Type="http://schemas.openxmlformats.org/officeDocument/2006/relationships/hyperlink" Target="http://www.nature.com/nature/journal/v443/n7114/full/443901a.html" TargetMode="External"/><Relationship Id="rId9" Type="http://schemas.openxmlformats.org/officeDocument/2006/relationships/hyperlink" Target="http://circ.ahajournals.org/content/85/2/756" TargetMode="External"/><Relationship Id="rId5" Type="http://schemas.openxmlformats.org/officeDocument/2006/relationships/hyperlink" Target="https://pubmed.ncbi.nlm.nih.gov/38048090/" TargetMode="External"/><Relationship Id="rId6" Type="http://schemas.openxmlformats.org/officeDocument/2006/relationships/hyperlink" Target="https://pubmed.ncbi.nlm.nih.gov/28649464/" TargetMode="External"/><Relationship Id="rId7" Type="http://schemas.openxmlformats.org/officeDocument/2006/relationships/hyperlink" Target="https://www.nature.com/articles/s41368-022-00207-y" TargetMode="External"/><Relationship Id="rId8" Type="http://schemas.openxmlformats.org/officeDocument/2006/relationships/hyperlink" Target="http://circ.ahajournals.org/content/103/2/296.long" TargetMode="External"/><Relationship Id="rId190" Type="http://schemas.openxmlformats.org/officeDocument/2006/relationships/hyperlink" Target="https://pubmed.ncbi.nlm.nih.gov/34981548/" TargetMode="External"/><Relationship Id="rId194" Type="http://schemas.openxmlformats.org/officeDocument/2006/relationships/hyperlink" Target="http://www.sciencedirect.com/science/article/pii/S1465324914008421" TargetMode="External"/><Relationship Id="rId193" Type="http://schemas.openxmlformats.org/officeDocument/2006/relationships/hyperlink" Target="http://www.jbc.org/content/280/6/4761.long" TargetMode="External"/><Relationship Id="rId192" Type="http://schemas.openxmlformats.org/officeDocument/2006/relationships/hyperlink" Target="http://www.internationaljournalofcardiology.com/article/S0167-5273(01)00503-4/abstract" TargetMode="External"/><Relationship Id="rId191" Type="http://schemas.openxmlformats.org/officeDocument/2006/relationships/hyperlink" Target="http://www.demajournal.com/article/S0109-5641(14)00046-3/fulltext" TargetMode="External"/><Relationship Id="rId187" Type="http://schemas.openxmlformats.org/officeDocument/2006/relationships/hyperlink" Target="https://www.ncbi.nlm.nih.gov/pmc/articles/PMC1877706/" TargetMode="External"/><Relationship Id="rId186" Type="http://schemas.openxmlformats.org/officeDocument/2006/relationships/hyperlink" Target="http://www.sciencedirect.com/science/article/pii/S0002944013006123" TargetMode="External"/><Relationship Id="rId185" Type="http://schemas.openxmlformats.org/officeDocument/2006/relationships/hyperlink" Target="http://www.nature.com/articles/srep12029" TargetMode="External"/><Relationship Id="rId184" Type="http://schemas.openxmlformats.org/officeDocument/2006/relationships/hyperlink" Target="http://www.ncbi.nlm.nih.gov/pubmed/26931070" TargetMode="External"/><Relationship Id="rId189" Type="http://schemas.openxmlformats.org/officeDocument/2006/relationships/hyperlink" Target="https://pubmed.ncbi.nlm.nih.gov/31404033/" TargetMode="External"/><Relationship Id="rId188" Type="http://schemas.openxmlformats.org/officeDocument/2006/relationships/hyperlink" Target="https://pubmed.ncbi.nlm.nih.gov/38958630/" TargetMode="External"/><Relationship Id="rId183" Type="http://schemas.openxmlformats.org/officeDocument/2006/relationships/hyperlink" Target="http://www.nature.com/articles/srep20084" TargetMode="External"/><Relationship Id="rId182" Type="http://schemas.openxmlformats.org/officeDocument/2006/relationships/hyperlink" Target="http://www.nature.com/articles/srep30540" TargetMode="External"/><Relationship Id="rId181" Type="http://schemas.openxmlformats.org/officeDocument/2006/relationships/hyperlink" Target="http://onlinelibrary.wiley.com/doi/10.1002/term.309/abstract" TargetMode="External"/><Relationship Id="rId180" Type="http://schemas.openxmlformats.org/officeDocument/2006/relationships/hyperlink" Target="http://onlinelibrary.wiley.com/doi/10.1002/term.1714/abstract" TargetMode="External"/><Relationship Id="rId176" Type="http://schemas.openxmlformats.org/officeDocument/2006/relationships/hyperlink" Target="https://pubs.acs.org/doi/abs/10.1021/acsbiomaterials.0c00294" TargetMode="External"/><Relationship Id="rId175" Type="http://schemas.openxmlformats.org/officeDocument/2006/relationships/hyperlink" Target="http://www.sciencedirect.com/science/article/pii/S0006295213007417" TargetMode="External"/><Relationship Id="rId174" Type="http://schemas.openxmlformats.org/officeDocument/2006/relationships/hyperlink" Target="http://www.sciencedirect.com/science/article/pii/S0006295213003833" TargetMode="External"/><Relationship Id="rId173" Type="http://schemas.openxmlformats.org/officeDocument/2006/relationships/hyperlink" Target="http://thejns.org/doi/abs/10.3171/2013.9.JNS13423?url_ver=Z39.88-2003&amp;rfr_id=ori:rid:crossref.org&amp;rfr_dat=cr_pub%3dpubmed" TargetMode="External"/><Relationship Id="rId179" Type="http://schemas.openxmlformats.org/officeDocument/2006/relationships/hyperlink" Target="https://www.sciencedirect.com/science/article/abs/pii/S1386142521007344" TargetMode="External"/><Relationship Id="rId178" Type="http://schemas.openxmlformats.org/officeDocument/2006/relationships/hyperlink" Target="https://pubs.acs.org/doi/10.1021/cg049805z" TargetMode="External"/><Relationship Id="rId177" Type="http://schemas.openxmlformats.org/officeDocument/2006/relationships/hyperlink" Target="http://www.sciencedirect.com/science/article/pii/S0002870396905153" TargetMode="External"/><Relationship Id="rId198" Type="http://schemas.openxmlformats.org/officeDocument/2006/relationships/hyperlink" Target="http://onlinelibrary.wiley.com/doi/10.1002/jcp.22123/abstract" TargetMode="External"/><Relationship Id="rId197" Type="http://schemas.openxmlformats.org/officeDocument/2006/relationships/hyperlink" Target="http://onlinelibrary.wiley.com/doi/10.1002/jcp.20484/abstract" TargetMode="External"/><Relationship Id="rId196" Type="http://schemas.openxmlformats.org/officeDocument/2006/relationships/hyperlink" Target="http://onlinelibrary.wiley.com/doi/10.1002/jcp.24252/full" TargetMode="External"/><Relationship Id="rId195" Type="http://schemas.openxmlformats.org/officeDocument/2006/relationships/hyperlink" Target="https://link.springer.com/article/10.1007/s00441-020-03306-6" TargetMode="External"/><Relationship Id="rId199" Type="http://schemas.openxmlformats.org/officeDocument/2006/relationships/hyperlink" Target="http://onlinelibrary.wiley.com/doi/10.1002/jcp.21636/abstract" TargetMode="External"/><Relationship Id="rId150" Type="http://schemas.openxmlformats.org/officeDocument/2006/relationships/hyperlink" Target="https://www.ncbi.nlm.nih.gov/pmc/articles/PMC4339524/" TargetMode="External"/><Relationship Id="rId149" Type="http://schemas.openxmlformats.org/officeDocument/2006/relationships/hyperlink" Target="http://nnr.sagepub.com/content/29/3/224.abstract" TargetMode="External"/><Relationship Id="rId148" Type="http://schemas.openxmlformats.org/officeDocument/2006/relationships/hyperlink" Target="http://www.sciencedirect.com/science/article/pii/S135380201200020X" TargetMode="External"/><Relationship Id="rId143" Type="http://schemas.openxmlformats.org/officeDocument/2006/relationships/hyperlink" Target="http://link.springer.com/article/10.1007/s00109-011-0822-7" TargetMode="External"/><Relationship Id="rId142" Type="http://schemas.openxmlformats.org/officeDocument/2006/relationships/hyperlink" Target="http://www.thegreenjournal.com/article/S0167-8140(12)00313-1/abstract" TargetMode="External"/><Relationship Id="rId141" Type="http://schemas.openxmlformats.org/officeDocument/2006/relationships/hyperlink" Target="http://www.thegreenjournal.com/article/S0167-8140(13)00391-5/abstract" TargetMode="External"/><Relationship Id="rId140" Type="http://schemas.openxmlformats.org/officeDocument/2006/relationships/hyperlink" Target="https://pubmed.ncbi.nlm.nih.gov/36066188/" TargetMode="External"/><Relationship Id="rId147" Type="http://schemas.openxmlformats.org/officeDocument/2006/relationships/hyperlink" Target="http://www.sciencedirect.com/science/article/pii/S0167488998001475" TargetMode="External"/><Relationship Id="rId146" Type="http://schemas.openxmlformats.org/officeDocument/2006/relationships/hyperlink" Target="http://www.sciencedirect.com/science/article/pii/S0167488902003506" TargetMode="External"/><Relationship Id="rId145" Type="http://schemas.openxmlformats.org/officeDocument/2006/relationships/hyperlink" Target="https://pubmed.ncbi.nlm.nih.gov/33501731/" TargetMode="External"/><Relationship Id="rId144" Type="http://schemas.openxmlformats.org/officeDocument/2006/relationships/hyperlink" Target="https://pubmed.ncbi.nlm.nih.gov/36302150/" TargetMode="External"/><Relationship Id="rId139" Type="http://schemas.openxmlformats.org/officeDocument/2006/relationships/hyperlink" Target="http://www.nanomedjournal.com/article/S1549-9634(13)00583-2/abstract" TargetMode="External"/><Relationship Id="rId138" Type="http://schemas.openxmlformats.org/officeDocument/2006/relationships/hyperlink" Target="https://www.ncbi.nlm.nih.gov/pubmed/20822460" TargetMode="External"/><Relationship Id="rId137" Type="http://schemas.openxmlformats.org/officeDocument/2006/relationships/hyperlink" Target="http://online.liebertpub.com/doi/abs/10.1089/neu.2013.3244" TargetMode="External"/><Relationship Id="rId132" Type="http://schemas.openxmlformats.org/officeDocument/2006/relationships/hyperlink" Target="https://www.ncbi.nlm.nih.gov/pubmed/24153107" TargetMode="External"/><Relationship Id="rId131" Type="http://schemas.openxmlformats.org/officeDocument/2006/relationships/hyperlink" Target="http://alzres.biomedcentral.com/articles/10.1186/alzrt232" TargetMode="External"/><Relationship Id="rId130" Type="http://schemas.openxmlformats.org/officeDocument/2006/relationships/hyperlink" Target="https://jamanetwork.com/journals/jamanetworkopen/fullarticle/2770551" TargetMode="External"/><Relationship Id="rId136" Type="http://schemas.openxmlformats.org/officeDocument/2006/relationships/hyperlink" Target="http://online.liebertpub.com/doi/abs/10.1089/neu.2006.0198" TargetMode="External"/><Relationship Id="rId135" Type="http://schemas.openxmlformats.org/officeDocument/2006/relationships/hyperlink" Target="http://online.liebertpub.com/doi/abs/10.1089/neu.2010.1745" TargetMode="External"/><Relationship Id="rId134" Type="http://schemas.openxmlformats.org/officeDocument/2006/relationships/hyperlink" Target="http://online.liebertpub.com/doi/abs/10.1089/neu.2011.2062" TargetMode="External"/><Relationship Id="rId133" Type="http://schemas.openxmlformats.org/officeDocument/2006/relationships/hyperlink" Target="http://online.liebertpub.com/doi/abs/10.1089/neu.2012.2603" TargetMode="External"/><Relationship Id="rId172" Type="http://schemas.openxmlformats.org/officeDocument/2006/relationships/hyperlink" Target="http://thejns.org/doi/abs/10.3171/2015.5.JNS15735?url_ver=Z39.88-2003&amp;rfr_id=ori:rid:crossref.org&amp;rfr_dat=cr_pub%3dpubmed" TargetMode="External"/><Relationship Id="rId171" Type="http://schemas.openxmlformats.org/officeDocument/2006/relationships/hyperlink" Target="http://arthritis-research.biomedcentral.com/articles/10.1186/ar4296" TargetMode="External"/><Relationship Id="rId170" Type="http://schemas.openxmlformats.org/officeDocument/2006/relationships/hyperlink" Target="http://arthritis-research.biomedcentral.com/articles/10.1186/s13075-015-0882-0" TargetMode="External"/><Relationship Id="rId165" Type="http://schemas.openxmlformats.org/officeDocument/2006/relationships/hyperlink" Target="http://onlinelibrary.wiley.com/doi/10.1196/annals.1352.040/full" TargetMode="External"/><Relationship Id="rId164" Type="http://schemas.openxmlformats.org/officeDocument/2006/relationships/hyperlink" Target="http://journal.frontiersin.org/article/10.3389/fncel.2015.00179/full" TargetMode="External"/><Relationship Id="rId163" Type="http://schemas.openxmlformats.org/officeDocument/2006/relationships/hyperlink" Target="http://onlinelibrary.wiley.com/doi/10.1111/j.1582-4934.2009.00886.x/abstract" TargetMode="External"/><Relationship Id="rId162" Type="http://schemas.openxmlformats.org/officeDocument/2006/relationships/hyperlink" Target="https://onlinelibrary.wiley.com/doi/10.1111/jcmm.16531" TargetMode="External"/><Relationship Id="rId169" Type="http://schemas.openxmlformats.org/officeDocument/2006/relationships/hyperlink" Target="http://onlinelibrary.wiley.com/doi/10.1034/j.1600-0501.2002.130308.x/abstract" TargetMode="External"/><Relationship Id="rId168" Type="http://schemas.openxmlformats.org/officeDocument/2006/relationships/hyperlink" Target="http://onlinelibrary.wiley.com/doi/10.1034/j.1600-0501.2003.00872.x/abstract" TargetMode="External"/><Relationship Id="rId167" Type="http://schemas.openxmlformats.org/officeDocument/2006/relationships/hyperlink" Target="http://onlinelibrary.wiley.com/doi/10.1111/j.1600-0501.2004.00994.x/abstract" TargetMode="External"/><Relationship Id="rId166" Type="http://schemas.openxmlformats.org/officeDocument/2006/relationships/hyperlink" Target="http://onlinelibrary.wiley.com/doi/10.1111/j.1600-0501.2004.01092.x/abstract;jsessionid=B74A05173335EB9FDBC9072ADAB709D1.f04t01" TargetMode="External"/><Relationship Id="rId161" Type="http://schemas.openxmlformats.org/officeDocument/2006/relationships/hyperlink" Target="https://pubmed.ncbi.nlm.nih.gov/36054314/" TargetMode="External"/><Relationship Id="rId160" Type="http://schemas.openxmlformats.org/officeDocument/2006/relationships/hyperlink" Target="http://journals.plos.org/plosntds/article?id=10.1371%2Fjournal.pntd.0003541" TargetMode="External"/><Relationship Id="rId159" Type="http://schemas.openxmlformats.org/officeDocument/2006/relationships/hyperlink" Target="http://www.thebonejournal.com/article/S8756-3282(97)00294-9/abstract" TargetMode="External"/><Relationship Id="rId154" Type="http://schemas.openxmlformats.org/officeDocument/2006/relationships/hyperlink" Target="http://www.oraloncology.com/article/S1368-8375(16)00008-7/abstract" TargetMode="External"/><Relationship Id="rId153" Type="http://schemas.openxmlformats.org/officeDocument/2006/relationships/hyperlink" Target="http://www.sciencedirect.com/science/article/pii/S1368837515003668" TargetMode="External"/><Relationship Id="rId152" Type="http://schemas.openxmlformats.org/officeDocument/2006/relationships/hyperlink" Target="http://www.oraloncology.com/article/S1368-8375(11)00810-4/abstract" TargetMode="External"/><Relationship Id="rId151" Type="http://schemas.openxmlformats.org/officeDocument/2006/relationships/hyperlink" Target="https://onlinelibrary.wiley.com/doi/10.1111/andr.13422" TargetMode="External"/><Relationship Id="rId158" Type="http://schemas.openxmlformats.org/officeDocument/2006/relationships/hyperlink" Target="http://www.thebonejournal.com/article/8756-3282(95)80010-N/pdf" TargetMode="External"/><Relationship Id="rId157" Type="http://schemas.openxmlformats.org/officeDocument/2006/relationships/hyperlink" Target="http://www.sciencedirect.com/science/article/pii/S0004951414601276" TargetMode="External"/><Relationship Id="rId156" Type="http://schemas.openxmlformats.org/officeDocument/2006/relationships/hyperlink" Target="http://www.sciencedirect.com/science/article/pii/S1368837512000966" TargetMode="External"/><Relationship Id="rId155" Type="http://schemas.openxmlformats.org/officeDocument/2006/relationships/hyperlink" Target="http://www.oraloncology.com/article/S1368-8375(11)00797-4/abstract" TargetMode="External"/><Relationship Id="rId107" Type="http://schemas.openxmlformats.org/officeDocument/2006/relationships/hyperlink" Target="http://www.oarsijournal.com/article/S1063-4584(15)01125-5/abstract" TargetMode="External"/><Relationship Id="rId106" Type="http://schemas.openxmlformats.org/officeDocument/2006/relationships/hyperlink" Target="http://www.oarsijournal.com/article/S1063-4584(15)01263-7/abstract" TargetMode="External"/><Relationship Id="rId105" Type="http://schemas.openxmlformats.org/officeDocument/2006/relationships/hyperlink" Target="http://www.karger.com/Article/Abstract/149799" TargetMode="External"/><Relationship Id="rId104" Type="http://schemas.openxmlformats.org/officeDocument/2006/relationships/hyperlink" Target="https://pubmed.ncbi.nlm.nih.gov/32475349/" TargetMode="External"/><Relationship Id="rId109" Type="http://schemas.openxmlformats.org/officeDocument/2006/relationships/hyperlink" Target="https://pubmed.ncbi.nlm.nih.gov/38095816/" TargetMode="External"/><Relationship Id="rId108" Type="http://schemas.openxmlformats.org/officeDocument/2006/relationships/hyperlink" Target="http://www.oarsijournal.com/article/S1063-4584(05)00293-1/abstract" TargetMode="External"/><Relationship Id="rId103" Type="http://schemas.openxmlformats.org/officeDocument/2006/relationships/hyperlink" Target="http://www.redjournal.org/article/S0360-3016(97)00076-X/abstract" TargetMode="External"/><Relationship Id="rId102" Type="http://schemas.openxmlformats.org/officeDocument/2006/relationships/hyperlink" Target="http://www.sciencedirect.com/science/article/pii/030439599091078W" TargetMode="External"/><Relationship Id="rId101" Type="http://schemas.openxmlformats.org/officeDocument/2006/relationships/hyperlink" Target="http://www.sciencedirect.com/science/article/pii/030439599091070Y" TargetMode="External"/><Relationship Id="rId100" Type="http://schemas.openxmlformats.org/officeDocument/2006/relationships/hyperlink" Target="http://journals.lww.com/pain/Abstract/1993/01000/The_effect_of_low_level_laser_therapy_on.7.aspx" TargetMode="External"/><Relationship Id="rId129" Type="http://schemas.openxmlformats.org/officeDocument/2006/relationships/hyperlink" Target="http://link.springer.com/article/10.1007%2Fs12035-016-9887-1" TargetMode="External"/><Relationship Id="rId128" Type="http://schemas.openxmlformats.org/officeDocument/2006/relationships/hyperlink" Target="http://link.springer.com/article/10.1007/s12035-016-9983-2" TargetMode="External"/><Relationship Id="rId127" Type="http://schemas.openxmlformats.org/officeDocument/2006/relationships/hyperlink" Target="http://jcs.biologists.org/content/115/7/1461.long" TargetMode="External"/><Relationship Id="rId126" Type="http://schemas.openxmlformats.org/officeDocument/2006/relationships/hyperlink" Target="https://pubmed.ncbi.nlm.nih.gov/33953158/" TargetMode="External"/><Relationship Id="rId121" Type="http://schemas.openxmlformats.org/officeDocument/2006/relationships/hyperlink" Target="http://jneuroinflammation.biomedcentral.com/articles/10.1186/1742-2094-9-219" TargetMode="External"/><Relationship Id="rId120" Type="http://schemas.openxmlformats.org/officeDocument/2006/relationships/hyperlink" Target="http://jneuroinflammation.biomedcentral.com/articles/10.1186/s12974-016-0679-3" TargetMode="External"/><Relationship Id="rId125" Type="http://schemas.openxmlformats.org/officeDocument/2006/relationships/hyperlink" Target="https://pubmed.ncbi.nlm.nih.gov/37580354/" TargetMode="External"/><Relationship Id="rId124" Type="http://schemas.openxmlformats.org/officeDocument/2006/relationships/hyperlink" Target="http://rheumatology.oxfordjournals.org/content/33/2/142.abstract" TargetMode="External"/><Relationship Id="rId123" Type="http://schemas.openxmlformats.org/officeDocument/2006/relationships/hyperlink" Target="http://rheumatology.oxfordjournals.org/content/32/8/740.abstract" TargetMode="External"/><Relationship Id="rId122" Type="http://schemas.openxmlformats.org/officeDocument/2006/relationships/hyperlink" Target="http://jneuroinflammation.biomedcentral.com/articles/10.1186/1742-2094-9-257" TargetMode="External"/><Relationship Id="rId118" Type="http://schemas.openxmlformats.org/officeDocument/2006/relationships/hyperlink" Target="http://www.neurobiologyofaging.org/article/S0197-4580(12)00262-X/fulltext" TargetMode="External"/><Relationship Id="rId117" Type="http://schemas.openxmlformats.org/officeDocument/2006/relationships/hyperlink" Target="http://www.sciencedirect.com/science/article/pii/S0022282813001752" TargetMode="External"/><Relationship Id="rId116" Type="http://schemas.openxmlformats.org/officeDocument/2006/relationships/hyperlink" Target="http://www.sciencedirect.com/science/article/pii/S0022282808005919" TargetMode="External"/><Relationship Id="rId115" Type="http://schemas.openxmlformats.org/officeDocument/2006/relationships/hyperlink" Target="https://pubmed.ncbi.nlm.nih.gov/37295546/" TargetMode="External"/><Relationship Id="rId119" Type="http://schemas.openxmlformats.org/officeDocument/2006/relationships/hyperlink" Target="http://www.sciencedirect.com/science/article/pii/S0197458015003218" TargetMode="External"/><Relationship Id="rId110" Type="http://schemas.openxmlformats.org/officeDocument/2006/relationships/hyperlink" Target="http://jdr.sagepub.com/content/92/6/492.long" TargetMode="External"/><Relationship Id="rId114" Type="http://schemas.openxmlformats.org/officeDocument/2006/relationships/hyperlink" Target="https://pubmed.ncbi.nlm.nih.gov/38861125/" TargetMode="External"/><Relationship Id="rId113" Type="http://schemas.openxmlformats.org/officeDocument/2006/relationships/hyperlink" Target="http://jdr.sagepub.com/content/74/7/1382.abstract" TargetMode="External"/><Relationship Id="rId112" Type="http://schemas.openxmlformats.org/officeDocument/2006/relationships/hyperlink" Target="http://jdr.sagepub.com/content/91/10/961.abstract" TargetMode="External"/><Relationship Id="rId111" Type="http://schemas.openxmlformats.org/officeDocument/2006/relationships/hyperlink" Target="http://jdr.sagepub.com/content/95/9/977.long"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www.lucerossa.it/" TargetMode="External"/><Relationship Id="rId10" Type="http://schemas.openxmlformats.org/officeDocument/2006/relationships/hyperlink" Target="https://revivelighttherapy.com/shop/" TargetMode="External"/><Relationship Id="rId13" Type="http://schemas.openxmlformats.org/officeDocument/2006/relationships/hyperlink" Target="https://shop.theflexbeam.com/" TargetMode="External"/><Relationship Id="rId12" Type="http://schemas.openxmlformats.org/officeDocument/2006/relationships/hyperlink" Target="https://www.wellred.com.au/the-founders" TargetMode="External"/><Relationship Id="rId15" Type="http://schemas.openxmlformats.org/officeDocument/2006/relationships/drawing" Target="../drawings/drawing7.xml"/><Relationship Id="rId14" Type="http://schemas.openxmlformats.org/officeDocument/2006/relationships/hyperlink" Target="https://www.orionrlt.ca/collections/orion-series" TargetMode="External"/><Relationship Id="rId1" Type="http://schemas.openxmlformats.org/officeDocument/2006/relationships/hyperlink" Target="https://link.springer.com/book/10.1007/978-3-030-92880-3" TargetMode="External"/><Relationship Id="rId2" Type="http://schemas.openxmlformats.org/officeDocument/2006/relationships/hyperlink" Target="https://spinoff.nasa.gov/NASA-Research-Illuminates-Medical-Uses-of-Light" TargetMode="External"/><Relationship Id="rId3" Type="http://schemas.openxmlformats.org/officeDocument/2006/relationships/hyperlink" Target="https://reviivlight.com/" TargetMode="External"/><Relationship Id="rId4" Type="http://schemas.openxmlformats.org/officeDocument/2006/relationships/hyperlink" Target="https://www.justlight.com/" TargetMode="External"/><Relationship Id="rId9" Type="http://schemas.openxmlformats.org/officeDocument/2006/relationships/hyperlink" Target="https://redlighttherapyhome.com/" TargetMode="External"/><Relationship Id="rId5" Type="http://schemas.openxmlformats.org/officeDocument/2006/relationships/hyperlink" Target="https://sunpowerled.com/" TargetMode="External"/><Relationship Id="rId6" Type="http://schemas.openxmlformats.org/officeDocument/2006/relationships/hyperlink" Target="https://www.redlight-wellness.com/" TargetMode="External"/><Relationship Id="rId7" Type="http://schemas.openxmlformats.org/officeDocument/2006/relationships/hyperlink" Target="https://www.biolase.com/" TargetMode="External"/><Relationship Id="rId8" Type="http://schemas.openxmlformats.org/officeDocument/2006/relationships/hyperlink" Target="https://laeqhealth.com/en/over-laeq/"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facebook.com/vladimir.heiskanen"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2.88"/>
    <col customWidth="1" min="2" max="3" width="9.13"/>
    <col customWidth="1" min="4" max="4" width="1.38"/>
    <col customWidth="1" min="5" max="5" width="9.0"/>
    <col customWidth="1" min="6" max="6" width="9.13"/>
    <col customWidth="1" min="7" max="7" width="4.13"/>
    <col customWidth="1" min="8" max="8" width="10.13"/>
    <col customWidth="1" min="9" max="9" width="36.88"/>
    <col customWidth="1" min="10" max="10" width="23.63"/>
    <col customWidth="1" min="11" max="11" width="13.38"/>
    <col customWidth="1" min="12" max="12" width="4.5"/>
    <col customWidth="1" min="13" max="13" width="4.75"/>
    <col customWidth="1" min="14" max="15" width="4.63"/>
    <col customWidth="1" min="16" max="16" width="4.5"/>
    <col customWidth="1" min="17" max="17" width="5.38"/>
    <col customWidth="1" min="18" max="18" width="5.0"/>
    <col customWidth="1" min="19" max="19" width="6.5"/>
    <col customWidth="1" min="20" max="20" width="36.13"/>
    <col customWidth="1" min="21" max="21" width="7.38"/>
    <col customWidth="1" min="22" max="22" width="78.75"/>
    <col customWidth="1" min="23" max="23" width="9.0"/>
    <col customWidth="1" min="24" max="24" width="7.75"/>
    <col customWidth="1" min="25" max="25" width="69.38"/>
  </cols>
  <sheetData>
    <row r="1">
      <c r="A1" s="1"/>
      <c r="B1" s="2"/>
      <c r="C1" s="2"/>
      <c r="D1" s="3"/>
      <c r="E1" s="4" t="s">
        <v>0</v>
      </c>
      <c r="J1" s="5"/>
      <c r="L1" s="4"/>
      <c r="M1" s="4"/>
      <c r="N1" s="6" t="s">
        <v>1</v>
      </c>
      <c r="U1" s="7"/>
      <c r="V1" s="8"/>
      <c r="W1" s="9"/>
      <c r="X1" s="9"/>
      <c r="Y1" s="10"/>
      <c r="Z1" s="10"/>
      <c r="AA1" s="10"/>
      <c r="AB1" s="10"/>
      <c r="AC1" s="10"/>
      <c r="AD1" s="10"/>
      <c r="AE1" s="10"/>
      <c r="AF1" s="10"/>
      <c r="AG1" s="10"/>
      <c r="AH1" s="10"/>
      <c r="AI1" s="10"/>
      <c r="AJ1" s="10"/>
      <c r="AK1" s="10"/>
      <c r="AL1" s="10"/>
    </row>
    <row r="2">
      <c r="A2" s="1" t="s">
        <v>2</v>
      </c>
      <c r="B2" s="2" t="s">
        <v>3</v>
      </c>
      <c r="D2" s="3"/>
      <c r="E2" s="2" t="s">
        <v>4</v>
      </c>
      <c r="F2" s="2" t="s">
        <v>5</v>
      </c>
      <c r="G2" s="11" t="s">
        <v>6</v>
      </c>
      <c r="H2" s="2" t="s">
        <v>7</v>
      </c>
      <c r="I2" s="2" t="s">
        <v>8</v>
      </c>
      <c r="J2" s="2" t="s">
        <v>9</v>
      </c>
      <c r="K2" s="2" t="s">
        <v>10</v>
      </c>
      <c r="L2" s="12" t="s">
        <v>11</v>
      </c>
      <c r="M2" s="12" t="s">
        <v>12</v>
      </c>
      <c r="N2" s="13" t="s">
        <v>13</v>
      </c>
      <c r="O2" s="12" t="s">
        <v>14</v>
      </c>
      <c r="P2" s="14" t="s">
        <v>15</v>
      </c>
      <c r="Q2" s="15" t="s">
        <v>16</v>
      </c>
      <c r="R2" s="12" t="s">
        <v>17</v>
      </c>
      <c r="S2" s="15" t="s">
        <v>18</v>
      </c>
      <c r="T2" s="16" t="s">
        <v>19</v>
      </c>
      <c r="U2" s="17" t="s">
        <v>20</v>
      </c>
      <c r="V2" s="8" t="s">
        <v>21</v>
      </c>
      <c r="W2" s="9" t="s">
        <v>22</v>
      </c>
      <c r="X2" s="9" t="s">
        <v>23</v>
      </c>
      <c r="Y2" s="8" t="s">
        <v>24</v>
      </c>
      <c r="Z2" s="10"/>
      <c r="AA2" s="10"/>
      <c r="AB2" s="10"/>
      <c r="AC2" s="10"/>
      <c r="AD2" s="10"/>
      <c r="AE2" s="10"/>
      <c r="AF2" s="10"/>
      <c r="AG2" s="10"/>
      <c r="AH2" s="10"/>
      <c r="AI2" s="10"/>
      <c r="AJ2" s="10"/>
      <c r="AK2" s="10"/>
      <c r="AL2" s="10"/>
    </row>
    <row r="3" ht="31.5" customHeight="1">
      <c r="A3" s="18"/>
      <c r="B3" s="19" t="s">
        <v>25</v>
      </c>
      <c r="C3" s="20" t="s">
        <v>26</v>
      </c>
      <c r="D3" s="21"/>
      <c r="E3" s="22" t="s">
        <v>27</v>
      </c>
      <c r="F3" s="22" t="s">
        <v>28</v>
      </c>
      <c r="G3" s="23">
        <v>2021.0</v>
      </c>
      <c r="H3" s="22" t="s">
        <v>29</v>
      </c>
      <c r="I3" s="24" t="s">
        <v>30</v>
      </c>
      <c r="J3" s="22" t="s">
        <v>31</v>
      </c>
      <c r="K3" s="22"/>
      <c r="L3" s="25">
        <v>1064.0</v>
      </c>
      <c r="M3" s="25">
        <v>2000.0</v>
      </c>
      <c r="N3" s="25" t="s">
        <v>32</v>
      </c>
      <c r="O3" s="26">
        <v>44706.0</v>
      </c>
      <c r="P3" s="27" t="s">
        <v>33</v>
      </c>
      <c r="Q3" s="25" t="s">
        <v>34</v>
      </c>
      <c r="R3" s="25">
        <v>120.0</v>
      </c>
      <c r="S3" s="25" t="s">
        <v>35</v>
      </c>
      <c r="T3" s="28" t="s">
        <v>36</v>
      </c>
      <c r="U3" s="29" t="s">
        <v>37</v>
      </c>
      <c r="V3" s="30"/>
      <c r="W3" s="31"/>
      <c r="X3" s="31"/>
      <c r="Y3" s="31"/>
      <c r="Z3" s="32"/>
      <c r="AA3" s="31"/>
      <c r="AB3" s="31"/>
      <c r="AC3" s="9"/>
      <c r="AD3" s="31"/>
      <c r="AE3" s="31"/>
      <c r="AF3" s="33"/>
      <c r="AG3" s="34"/>
      <c r="AH3" s="31"/>
      <c r="AI3" s="35"/>
      <c r="AJ3" s="35"/>
      <c r="AK3" s="35"/>
      <c r="AL3" s="35"/>
    </row>
    <row r="4" ht="31.5" customHeight="1">
      <c r="A4" s="18" t="s">
        <v>38</v>
      </c>
      <c r="B4" s="19" t="s">
        <v>25</v>
      </c>
      <c r="C4" s="20" t="s">
        <v>39</v>
      </c>
      <c r="D4" s="21"/>
      <c r="E4" s="22" t="s">
        <v>40</v>
      </c>
      <c r="F4" s="22" t="s">
        <v>41</v>
      </c>
      <c r="G4" s="23">
        <v>2016.0</v>
      </c>
      <c r="H4" s="22" t="s">
        <v>42</v>
      </c>
      <c r="I4" s="24" t="s">
        <v>43</v>
      </c>
      <c r="J4" s="22" t="s">
        <v>44</v>
      </c>
      <c r="K4" s="22" t="s">
        <v>45</v>
      </c>
      <c r="L4" s="36">
        <v>843.0</v>
      </c>
      <c r="M4" s="36">
        <v>60.0</v>
      </c>
      <c r="N4" s="36" t="s">
        <v>46</v>
      </c>
      <c r="O4" s="36">
        <v>18.0</v>
      </c>
      <c r="P4" s="37" t="s">
        <v>47</v>
      </c>
      <c r="Q4" s="36" t="s">
        <v>48</v>
      </c>
      <c r="R4" s="36">
        <v>300.0</v>
      </c>
      <c r="S4" s="36">
        <v>6.0</v>
      </c>
      <c r="T4" s="28" t="s">
        <v>49</v>
      </c>
      <c r="U4" s="38" t="str">
        <f>HYPERLINK("https://www.ncbi.nlm.nih.gov/pubmed/27635634","PubMed")</f>
        <v>PubMed</v>
      </c>
      <c r="V4" s="30"/>
      <c r="W4" s="31"/>
      <c r="X4" s="31"/>
      <c r="Y4" s="31"/>
      <c r="Z4" s="32"/>
      <c r="AA4" s="31"/>
      <c r="AB4" s="31"/>
      <c r="AC4" s="9"/>
      <c r="AD4" s="31"/>
      <c r="AE4" s="31"/>
      <c r="AF4" s="33"/>
      <c r="AG4" s="34"/>
      <c r="AH4" s="31"/>
      <c r="AI4" s="35"/>
      <c r="AJ4" s="35"/>
      <c r="AK4" s="35"/>
      <c r="AL4" s="35"/>
    </row>
    <row r="5" ht="31.5" customHeight="1">
      <c r="A5" s="39"/>
      <c r="B5" s="19" t="s">
        <v>25</v>
      </c>
      <c r="C5" s="20" t="s">
        <v>50</v>
      </c>
      <c r="D5" s="21"/>
      <c r="E5" s="22" t="s">
        <v>51</v>
      </c>
      <c r="F5" s="22" t="s">
        <v>52</v>
      </c>
      <c r="G5" s="23">
        <v>2021.0</v>
      </c>
      <c r="H5" s="22" t="s">
        <v>53</v>
      </c>
      <c r="I5" s="24" t="s">
        <v>54</v>
      </c>
      <c r="J5" s="22" t="s">
        <v>55</v>
      </c>
      <c r="K5" s="22" t="s">
        <v>56</v>
      </c>
      <c r="L5" s="36" t="s">
        <v>57</v>
      </c>
      <c r="M5" s="36" t="s">
        <v>58</v>
      </c>
      <c r="N5" s="36" t="s">
        <v>58</v>
      </c>
      <c r="O5" s="36" t="s">
        <v>58</v>
      </c>
      <c r="P5" s="37" t="s">
        <v>59</v>
      </c>
      <c r="Q5" s="36" t="s">
        <v>58</v>
      </c>
      <c r="R5" s="36">
        <v>720.0</v>
      </c>
      <c r="S5" s="36" t="s">
        <v>35</v>
      </c>
      <c r="T5" s="28" t="s">
        <v>60</v>
      </c>
      <c r="U5" s="29" t="s">
        <v>61</v>
      </c>
      <c r="V5" s="30"/>
      <c r="W5" s="31"/>
      <c r="X5" s="31"/>
      <c r="Y5" s="31"/>
      <c r="Z5" s="32"/>
      <c r="AA5" s="31"/>
      <c r="AB5" s="31"/>
      <c r="AC5" s="9"/>
      <c r="AD5" s="31"/>
      <c r="AE5" s="31"/>
      <c r="AF5" s="33"/>
      <c r="AG5" s="34"/>
      <c r="AH5" s="31"/>
      <c r="AI5" s="35"/>
      <c r="AJ5" s="35"/>
      <c r="AK5" s="35"/>
      <c r="AL5" s="35"/>
    </row>
    <row r="6" ht="52.5" customHeight="1">
      <c r="A6" s="40" t="s">
        <v>62</v>
      </c>
      <c r="B6" s="19" t="s">
        <v>25</v>
      </c>
      <c r="C6" s="20" t="s">
        <v>63</v>
      </c>
      <c r="D6" s="21"/>
      <c r="E6" s="22" t="s">
        <v>64</v>
      </c>
      <c r="F6" s="22" t="s">
        <v>65</v>
      </c>
      <c r="G6" s="23">
        <v>2019.0</v>
      </c>
      <c r="H6" s="22" t="s">
        <v>66</v>
      </c>
      <c r="I6" s="24" t="s">
        <v>67</v>
      </c>
      <c r="J6" s="22" t="s">
        <v>55</v>
      </c>
      <c r="K6" s="22" t="s">
        <v>68</v>
      </c>
      <c r="L6" s="36">
        <v>635.0</v>
      </c>
      <c r="M6" s="36">
        <v>5000.0</v>
      </c>
      <c r="N6" s="36" t="s">
        <v>69</v>
      </c>
      <c r="O6" s="36" t="s">
        <v>58</v>
      </c>
      <c r="P6" s="37" t="s">
        <v>70</v>
      </c>
      <c r="Q6" s="36" t="s">
        <v>58</v>
      </c>
      <c r="R6" s="36">
        <v>600.0</v>
      </c>
      <c r="S6" s="36" t="s">
        <v>71</v>
      </c>
      <c r="T6" s="28" t="s">
        <v>72</v>
      </c>
      <c r="U6" s="38" t="str">
        <f>HYPERLINK("https://www.ncbi.nlm.nih.gov/pubmed/31809873","PubMed")</f>
        <v>PubMed</v>
      </c>
      <c r="V6" s="30"/>
      <c r="W6" s="31"/>
      <c r="X6" s="31"/>
      <c r="Y6" s="31"/>
      <c r="Z6" s="32"/>
      <c r="AA6" s="31"/>
      <c r="AB6" s="31"/>
      <c r="AC6" s="9"/>
      <c r="AD6" s="31"/>
      <c r="AE6" s="31"/>
      <c r="AF6" s="33"/>
      <c r="AG6" s="34"/>
      <c r="AH6" s="31"/>
      <c r="AI6" s="35"/>
      <c r="AJ6" s="35"/>
      <c r="AK6" s="35"/>
      <c r="AL6" s="35"/>
    </row>
    <row r="7" ht="52.5" customHeight="1">
      <c r="A7" s="40"/>
      <c r="B7" s="19" t="s">
        <v>25</v>
      </c>
      <c r="C7" s="20" t="s">
        <v>73</v>
      </c>
      <c r="D7" s="21"/>
      <c r="E7" s="22" t="s">
        <v>74</v>
      </c>
      <c r="F7" s="22" t="s">
        <v>75</v>
      </c>
      <c r="G7" s="23" t="s">
        <v>76</v>
      </c>
      <c r="H7" s="22" t="s">
        <v>77</v>
      </c>
      <c r="I7" s="24" t="s">
        <v>78</v>
      </c>
      <c r="J7" s="22" t="s">
        <v>55</v>
      </c>
      <c r="K7" s="22" t="s">
        <v>79</v>
      </c>
      <c r="L7" s="36">
        <v>904.0</v>
      </c>
      <c r="M7" s="36">
        <v>60.0</v>
      </c>
      <c r="N7" s="36" t="s">
        <v>80</v>
      </c>
      <c r="O7" s="36" t="s">
        <v>81</v>
      </c>
      <c r="P7" s="37" t="s">
        <v>82</v>
      </c>
      <c r="Q7" s="36" t="s">
        <v>83</v>
      </c>
      <c r="R7" s="36" t="s">
        <v>84</v>
      </c>
      <c r="S7" s="36" t="s">
        <v>85</v>
      </c>
      <c r="T7" s="41" t="s">
        <v>86</v>
      </c>
      <c r="U7" s="38" t="str">
        <f>HYPERLINK("https://www.ncbi.nlm.nih.gov/pubmed/31846390","PubMed")</f>
        <v>PubMed</v>
      </c>
      <c r="V7" s="30"/>
      <c r="W7" s="31"/>
      <c r="X7" s="31"/>
      <c r="Y7" s="31"/>
      <c r="Z7" s="32"/>
      <c r="AA7" s="31"/>
      <c r="AB7" s="31"/>
      <c r="AC7" s="9"/>
      <c r="AD7" s="31"/>
      <c r="AE7" s="31"/>
      <c r="AF7" s="33"/>
      <c r="AG7" s="34"/>
      <c r="AH7" s="31"/>
      <c r="AI7" s="35"/>
      <c r="AJ7" s="35"/>
      <c r="AK7" s="35"/>
      <c r="AL7" s="35"/>
    </row>
    <row r="8" ht="52.5" customHeight="1">
      <c r="A8" s="40" t="s">
        <v>2</v>
      </c>
      <c r="B8" s="19" t="s">
        <v>25</v>
      </c>
      <c r="C8" s="20" t="s">
        <v>87</v>
      </c>
      <c r="D8" s="21"/>
      <c r="E8" s="22" t="s">
        <v>88</v>
      </c>
      <c r="F8" s="22" t="s">
        <v>89</v>
      </c>
      <c r="G8" s="23" t="s">
        <v>90</v>
      </c>
      <c r="H8" s="22" t="s">
        <v>91</v>
      </c>
      <c r="I8" s="24" t="s">
        <v>92</v>
      </c>
      <c r="J8" s="22" t="s">
        <v>44</v>
      </c>
      <c r="K8" s="22"/>
      <c r="L8" s="36">
        <v>780.0</v>
      </c>
      <c r="M8" s="36">
        <v>10.0</v>
      </c>
      <c r="N8" s="36" t="s">
        <v>93</v>
      </c>
      <c r="O8" s="36" t="s">
        <v>94</v>
      </c>
      <c r="P8" s="37" t="s">
        <v>95</v>
      </c>
      <c r="Q8" s="36" t="s">
        <v>96</v>
      </c>
      <c r="R8" s="36" t="s">
        <v>97</v>
      </c>
      <c r="S8" s="36">
        <v>20.0</v>
      </c>
      <c r="T8" s="28" t="s">
        <v>98</v>
      </c>
      <c r="U8" s="38" t="str">
        <f>HYPERLINK("https://www.ncbi.nlm.nih.gov/pubmed/29247431","PubMed")</f>
        <v>PubMed</v>
      </c>
      <c r="V8" s="30"/>
      <c r="W8" s="31"/>
      <c r="X8" s="31"/>
      <c r="Y8" s="31"/>
      <c r="Z8" s="32"/>
      <c r="AA8" s="31"/>
      <c r="AB8" s="31"/>
      <c r="AC8" s="9"/>
      <c r="AD8" s="31"/>
      <c r="AE8" s="31"/>
      <c r="AF8" s="33"/>
      <c r="AG8" s="34"/>
      <c r="AH8" s="31"/>
      <c r="AI8" s="35"/>
      <c r="AJ8" s="35"/>
      <c r="AK8" s="35"/>
      <c r="AL8" s="35"/>
    </row>
    <row r="9" ht="33.75" customHeight="1">
      <c r="A9" s="40"/>
      <c r="B9" s="19" t="s">
        <v>25</v>
      </c>
      <c r="C9" s="20" t="s">
        <v>99</v>
      </c>
      <c r="D9" s="21"/>
      <c r="E9" s="22" t="s">
        <v>74</v>
      </c>
      <c r="F9" s="22" t="s">
        <v>75</v>
      </c>
      <c r="G9" s="23">
        <v>2019.0</v>
      </c>
      <c r="H9" s="22" t="s">
        <v>77</v>
      </c>
      <c r="I9" s="24" t="s">
        <v>100</v>
      </c>
      <c r="J9" s="22" t="s">
        <v>31</v>
      </c>
      <c r="K9" s="22" t="s">
        <v>101</v>
      </c>
      <c r="L9" s="36">
        <v>904.0</v>
      </c>
      <c r="M9" s="36">
        <v>60.0</v>
      </c>
      <c r="N9" s="36" t="s">
        <v>102</v>
      </c>
      <c r="O9" s="36" t="s">
        <v>103</v>
      </c>
      <c r="P9" s="37" t="s">
        <v>104</v>
      </c>
      <c r="Q9" s="36" t="s">
        <v>105</v>
      </c>
      <c r="R9" s="36" t="s">
        <v>106</v>
      </c>
      <c r="S9" s="36">
        <v>1.0</v>
      </c>
      <c r="T9" s="28" t="s">
        <v>107</v>
      </c>
      <c r="U9" s="38" t="str">
        <f>HYPERLINK("https://www.ncbi.nlm.nih.gov/pubmed/31050926","PubMed")</f>
        <v>PubMed</v>
      </c>
      <c r="V9" s="30"/>
      <c r="W9" s="31"/>
      <c r="X9" s="31"/>
      <c r="Y9" s="31"/>
      <c r="Z9" s="32"/>
      <c r="AA9" s="31"/>
      <c r="AB9" s="31"/>
      <c r="AC9" s="9"/>
      <c r="AD9" s="31"/>
      <c r="AE9" s="31"/>
      <c r="AF9" s="33"/>
      <c r="AG9" s="34"/>
      <c r="AH9" s="31"/>
      <c r="AI9" s="35"/>
      <c r="AJ9" s="35"/>
      <c r="AK9" s="35"/>
      <c r="AL9" s="35"/>
    </row>
    <row r="10" ht="87.0" customHeight="1">
      <c r="A10" s="40"/>
      <c r="B10" s="19" t="s">
        <v>25</v>
      </c>
      <c r="C10" s="20" t="s">
        <v>108</v>
      </c>
      <c r="D10" s="21"/>
      <c r="E10" s="22" t="s">
        <v>109</v>
      </c>
      <c r="F10" s="22" t="s">
        <v>110</v>
      </c>
      <c r="G10" s="23">
        <v>2021.0</v>
      </c>
      <c r="H10" s="22" t="s">
        <v>91</v>
      </c>
      <c r="I10" s="24" t="s">
        <v>111</v>
      </c>
      <c r="J10" s="22" t="s">
        <v>55</v>
      </c>
      <c r="K10" s="22"/>
      <c r="L10" s="36" t="s">
        <v>112</v>
      </c>
      <c r="M10" s="36"/>
      <c r="N10" s="36"/>
      <c r="O10" s="36"/>
      <c r="P10" s="37"/>
      <c r="Q10" s="36"/>
      <c r="R10" s="36"/>
      <c r="S10" s="36"/>
      <c r="T10" s="42" t="s">
        <v>113</v>
      </c>
      <c r="U10" s="29" t="s">
        <v>61</v>
      </c>
      <c r="V10" s="30"/>
      <c r="W10" s="31"/>
      <c r="X10" s="31"/>
      <c r="Y10" s="31"/>
      <c r="Z10" s="32"/>
      <c r="AA10" s="31"/>
      <c r="AB10" s="31"/>
      <c r="AC10" s="9"/>
      <c r="AD10" s="31"/>
      <c r="AE10" s="31"/>
      <c r="AF10" s="33"/>
      <c r="AG10" s="34"/>
      <c r="AH10" s="31"/>
      <c r="AI10" s="35"/>
      <c r="AJ10" s="35"/>
      <c r="AK10" s="35"/>
      <c r="AL10" s="35"/>
    </row>
    <row r="11" ht="36.75" customHeight="1">
      <c r="A11" s="40"/>
      <c r="B11" s="19" t="s">
        <v>25</v>
      </c>
      <c r="C11" s="20" t="s">
        <v>108</v>
      </c>
      <c r="D11" s="21"/>
      <c r="E11" s="22" t="s">
        <v>114</v>
      </c>
      <c r="F11" s="22" t="s">
        <v>115</v>
      </c>
      <c r="G11" s="23">
        <v>2020.0</v>
      </c>
      <c r="H11" s="22" t="s">
        <v>116</v>
      </c>
      <c r="I11" s="24" t="s">
        <v>117</v>
      </c>
      <c r="J11" s="22" t="s">
        <v>118</v>
      </c>
      <c r="K11" s="22"/>
      <c r="L11" s="36">
        <v>940.0</v>
      </c>
      <c r="M11" s="36"/>
      <c r="N11" s="36"/>
      <c r="O11" s="36"/>
      <c r="P11" s="37"/>
      <c r="Q11" s="36"/>
      <c r="R11" s="36"/>
      <c r="S11" s="36"/>
      <c r="T11" s="41" t="s">
        <v>119</v>
      </c>
      <c r="U11" s="29" t="s">
        <v>61</v>
      </c>
      <c r="V11" s="30"/>
      <c r="W11" s="31"/>
      <c r="X11" s="31"/>
      <c r="Y11" s="31"/>
      <c r="Z11" s="32"/>
      <c r="AA11" s="31"/>
      <c r="AB11" s="31"/>
      <c r="AC11" s="9"/>
      <c r="AD11" s="31"/>
      <c r="AE11" s="31"/>
      <c r="AF11" s="33"/>
      <c r="AG11" s="34"/>
      <c r="AH11" s="31"/>
      <c r="AI11" s="35"/>
      <c r="AJ11" s="35"/>
      <c r="AK11" s="35"/>
      <c r="AL11" s="35"/>
    </row>
    <row r="12" ht="29.25" customHeight="1">
      <c r="A12" s="18"/>
      <c r="B12" s="19" t="s">
        <v>25</v>
      </c>
      <c r="C12" s="20" t="s">
        <v>120</v>
      </c>
      <c r="D12" s="21"/>
      <c r="E12" s="22" t="s">
        <v>121</v>
      </c>
      <c r="F12" s="22" t="s">
        <v>122</v>
      </c>
      <c r="G12" s="23">
        <v>2006.0</v>
      </c>
      <c r="H12" s="22" t="s">
        <v>123</v>
      </c>
      <c r="I12" s="24" t="s">
        <v>124</v>
      </c>
      <c r="J12" s="22" t="s">
        <v>125</v>
      </c>
      <c r="K12" s="22"/>
      <c r="L12" s="43" t="s">
        <v>126</v>
      </c>
      <c r="M12" s="44"/>
      <c r="N12" s="44"/>
      <c r="O12" s="44"/>
      <c r="P12" s="44"/>
      <c r="Q12" s="44"/>
      <c r="R12" s="44"/>
      <c r="S12" s="44"/>
      <c r="T12" s="45"/>
      <c r="U12" s="29" t="s">
        <v>61</v>
      </c>
      <c r="V12" s="30"/>
      <c r="W12" s="31"/>
      <c r="X12" s="31"/>
      <c r="Y12" s="31"/>
      <c r="Z12" s="32"/>
      <c r="AA12" s="31"/>
      <c r="AB12" s="31"/>
      <c r="AC12" s="9"/>
      <c r="AD12" s="31"/>
      <c r="AE12" s="31"/>
      <c r="AF12" s="33"/>
      <c r="AG12" s="34"/>
      <c r="AH12" s="31"/>
      <c r="AI12" s="35"/>
      <c r="AJ12" s="35"/>
      <c r="AK12" s="35"/>
      <c r="AL12" s="35"/>
    </row>
    <row r="13" ht="52.5" customHeight="1">
      <c r="A13" s="18"/>
      <c r="B13" s="19" t="s">
        <v>25</v>
      </c>
      <c r="C13" s="20" t="s">
        <v>120</v>
      </c>
      <c r="D13" s="21"/>
      <c r="E13" s="22" t="s">
        <v>127</v>
      </c>
      <c r="F13" s="22" t="s">
        <v>128</v>
      </c>
      <c r="G13" s="23">
        <v>2004.0</v>
      </c>
      <c r="H13" s="22" t="s">
        <v>129</v>
      </c>
      <c r="I13" s="24" t="s">
        <v>130</v>
      </c>
      <c r="J13" s="46" t="s">
        <v>131</v>
      </c>
      <c r="K13" s="22"/>
      <c r="L13" s="36">
        <v>635.0</v>
      </c>
      <c r="M13" s="36" t="s">
        <v>132</v>
      </c>
      <c r="N13" s="36"/>
      <c r="O13" s="36" t="s">
        <v>133</v>
      </c>
      <c r="P13" s="37"/>
      <c r="Q13" s="36"/>
      <c r="R13" s="36">
        <v>720.0</v>
      </c>
      <c r="S13" s="36"/>
      <c r="T13" s="42" t="s">
        <v>134</v>
      </c>
      <c r="U13" s="38" t="str">
        <f>HYPERLINK("https://www.ncbi.nlm.nih.gov/pubmed/15114147","PubMed")</f>
        <v>PubMed</v>
      </c>
      <c r="V13" s="30"/>
      <c r="W13" s="31"/>
      <c r="X13" s="31"/>
      <c r="Y13" s="31"/>
      <c r="Z13" s="32"/>
      <c r="AA13" s="31"/>
      <c r="AB13" s="31"/>
      <c r="AC13" s="9"/>
      <c r="AD13" s="31"/>
      <c r="AE13" s="31"/>
      <c r="AF13" s="33"/>
      <c r="AG13" s="34"/>
      <c r="AH13" s="31"/>
      <c r="AI13" s="35"/>
      <c r="AJ13" s="35"/>
      <c r="AK13" s="35"/>
      <c r="AL13" s="35"/>
    </row>
    <row r="14" ht="52.5" customHeight="1">
      <c r="A14" s="18"/>
      <c r="B14" s="19" t="s">
        <v>25</v>
      </c>
      <c r="C14" s="20" t="s">
        <v>120</v>
      </c>
      <c r="D14" s="21"/>
      <c r="E14" s="22" t="s">
        <v>135</v>
      </c>
      <c r="F14" s="22" t="s">
        <v>122</v>
      </c>
      <c r="G14" s="23">
        <v>2002.0</v>
      </c>
      <c r="H14" s="22" t="s">
        <v>136</v>
      </c>
      <c r="I14" s="24" t="s">
        <v>137</v>
      </c>
      <c r="J14" s="22" t="s">
        <v>138</v>
      </c>
      <c r="K14" s="22"/>
      <c r="L14" s="36">
        <v>635.0</v>
      </c>
      <c r="M14" s="36"/>
      <c r="N14" s="36"/>
      <c r="O14" s="36"/>
      <c r="P14" s="37"/>
      <c r="Q14" s="36"/>
      <c r="R14" s="36"/>
      <c r="S14" s="36"/>
      <c r="T14" s="28" t="s">
        <v>139</v>
      </c>
      <c r="U14" s="38" t="str">
        <f>HYPERLINK("https://www.ncbi.nlm.nih.gov/pubmed/19331999","PubMed")</f>
        <v>PubMed</v>
      </c>
      <c r="V14" s="30"/>
      <c r="W14" s="31"/>
      <c r="X14" s="31"/>
      <c r="Y14" s="31"/>
      <c r="Z14" s="32"/>
      <c r="AA14" s="31"/>
      <c r="AB14" s="31"/>
      <c r="AC14" s="9"/>
      <c r="AD14" s="31"/>
      <c r="AE14" s="31"/>
      <c r="AF14" s="33"/>
      <c r="AG14" s="34"/>
      <c r="AH14" s="31"/>
      <c r="AI14" s="35"/>
      <c r="AJ14" s="35"/>
      <c r="AK14" s="35"/>
      <c r="AL14" s="35"/>
    </row>
    <row r="15" ht="19.5" customHeight="1">
      <c r="A15" s="18"/>
      <c r="B15" s="19" t="s">
        <v>25</v>
      </c>
      <c r="C15" s="20" t="s">
        <v>120</v>
      </c>
      <c r="D15" s="21"/>
      <c r="E15" s="22" t="s">
        <v>121</v>
      </c>
      <c r="F15" s="22" t="s">
        <v>122</v>
      </c>
      <c r="G15" s="23">
        <v>2002.0</v>
      </c>
      <c r="H15" s="22" t="s">
        <v>129</v>
      </c>
      <c r="I15" s="24" t="s">
        <v>140</v>
      </c>
      <c r="J15" s="22" t="s">
        <v>31</v>
      </c>
      <c r="K15" s="22" t="s">
        <v>141</v>
      </c>
      <c r="L15" s="36">
        <v>635.0</v>
      </c>
      <c r="M15" s="36">
        <v>10.0</v>
      </c>
      <c r="N15" s="36"/>
      <c r="O15" s="36"/>
      <c r="P15" s="37" t="s">
        <v>142</v>
      </c>
      <c r="Q15" s="36"/>
      <c r="R15" s="36" t="s">
        <v>143</v>
      </c>
      <c r="S15" s="36"/>
      <c r="T15" s="42" t="s">
        <v>144</v>
      </c>
      <c r="U15" s="38" t="str">
        <f>HYPERLINK("https://www.ncbi.nlm.nih.gov/pubmed/12172159","PubMed")</f>
        <v>PubMed</v>
      </c>
      <c r="V15" s="30"/>
      <c r="W15" s="31"/>
      <c r="X15" s="31"/>
      <c r="Y15" s="31"/>
      <c r="Z15" s="32"/>
      <c r="AA15" s="31"/>
      <c r="AB15" s="31"/>
      <c r="AC15" s="9"/>
      <c r="AD15" s="31"/>
      <c r="AE15" s="31"/>
      <c r="AF15" s="33"/>
      <c r="AG15" s="34"/>
      <c r="AH15" s="31"/>
      <c r="AI15" s="35"/>
      <c r="AJ15" s="35"/>
      <c r="AK15" s="35"/>
      <c r="AL15" s="35"/>
    </row>
    <row r="16" ht="19.5" customHeight="1">
      <c r="A16" s="18"/>
      <c r="B16" s="19" t="s">
        <v>25</v>
      </c>
      <c r="C16" s="20" t="s">
        <v>145</v>
      </c>
      <c r="D16" s="21"/>
      <c r="E16" s="22" t="s">
        <v>146</v>
      </c>
      <c r="F16" s="22" t="s">
        <v>41</v>
      </c>
      <c r="G16" s="23">
        <v>2023.0</v>
      </c>
      <c r="H16" s="22" t="s">
        <v>147</v>
      </c>
      <c r="I16" s="24" t="s">
        <v>148</v>
      </c>
      <c r="J16" s="22" t="s">
        <v>149</v>
      </c>
      <c r="K16" s="22"/>
      <c r="L16" s="36">
        <v>808.0</v>
      </c>
      <c r="M16" s="36">
        <v>1100.0</v>
      </c>
      <c r="N16" s="36"/>
      <c r="O16" s="36" t="s">
        <v>150</v>
      </c>
      <c r="P16" s="37"/>
      <c r="Q16" s="36" t="s">
        <v>151</v>
      </c>
      <c r="R16" s="36"/>
      <c r="S16" s="36">
        <v>1.0</v>
      </c>
      <c r="T16" s="42" t="s">
        <v>152</v>
      </c>
      <c r="U16" s="38" t="s">
        <v>61</v>
      </c>
      <c r="V16" s="30"/>
      <c r="W16" s="31"/>
      <c r="X16" s="31"/>
      <c r="Y16" s="31"/>
      <c r="Z16" s="32"/>
      <c r="AA16" s="31"/>
      <c r="AB16" s="31"/>
      <c r="AC16" s="9"/>
      <c r="AD16" s="31"/>
      <c r="AE16" s="31"/>
      <c r="AF16" s="33"/>
      <c r="AG16" s="34"/>
      <c r="AH16" s="31"/>
      <c r="AI16" s="35"/>
      <c r="AJ16" s="35"/>
      <c r="AK16" s="35"/>
      <c r="AL16" s="35"/>
    </row>
    <row r="17" ht="19.5" customHeight="1">
      <c r="A17" s="18"/>
      <c r="B17" s="19" t="s">
        <v>25</v>
      </c>
      <c r="C17" s="20" t="s">
        <v>153</v>
      </c>
      <c r="D17" s="21"/>
      <c r="E17" s="22" t="s">
        <v>154</v>
      </c>
      <c r="F17" s="22" t="s">
        <v>41</v>
      </c>
      <c r="G17" s="23">
        <v>2023.0</v>
      </c>
      <c r="H17" s="22" t="s">
        <v>91</v>
      </c>
      <c r="I17" s="24" t="s">
        <v>155</v>
      </c>
      <c r="J17" s="22" t="s">
        <v>156</v>
      </c>
      <c r="K17" s="22" t="s">
        <v>157</v>
      </c>
      <c r="L17" s="36" t="s">
        <v>158</v>
      </c>
      <c r="M17" s="36" t="s">
        <v>159</v>
      </c>
      <c r="N17" s="36" t="s">
        <v>160</v>
      </c>
      <c r="O17" s="36" t="s">
        <v>161</v>
      </c>
      <c r="P17" s="37" t="s">
        <v>162</v>
      </c>
      <c r="Q17" s="36" t="s">
        <v>163</v>
      </c>
      <c r="R17" s="36" t="s">
        <v>164</v>
      </c>
      <c r="S17" s="36" t="s">
        <v>165</v>
      </c>
      <c r="T17" s="28" t="s">
        <v>166</v>
      </c>
      <c r="U17" s="38" t="s">
        <v>61</v>
      </c>
      <c r="V17" s="30" t="s">
        <v>167</v>
      </c>
      <c r="W17" s="31"/>
      <c r="X17" s="31"/>
      <c r="Y17" s="31"/>
      <c r="Z17" s="32"/>
      <c r="AA17" s="31"/>
      <c r="AB17" s="31"/>
      <c r="AC17" s="9"/>
      <c r="AD17" s="31"/>
      <c r="AE17" s="31"/>
      <c r="AF17" s="33"/>
      <c r="AG17" s="34"/>
      <c r="AH17" s="31"/>
      <c r="AI17" s="35"/>
      <c r="AJ17" s="35"/>
      <c r="AK17" s="35"/>
      <c r="AL17" s="35"/>
    </row>
    <row r="18">
      <c r="A18" s="1"/>
      <c r="B18" s="19" t="s">
        <v>25</v>
      </c>
      <c r="C18" s="20" t="s">
        <v>168</v>
      </c>
      <c r="D18" s="47"/>
      <c r="E18" s="22" t="s">
        <v>154</v>
      </c>
      <c r="F18" s="22" t="s">
        <v>41</v>
      </c>
      <c r="G18" s="23">
        <v>2022.0</v>
      </c>
      <c r="H18" s="22" t="s">
        <v>169</v>
      </c>
      <c r="I18" s="24" t="s">
        <v>170</v>
      </c>
      <c r="J18" s="22" t="s">
        <v>171</v>
      </c>
      <c r="K18" s="22" t="s">
        <v>157</v>
      </c>
      <c r="L18" s="36" t="s">
        <v>158</v>
      </c>
      <c r="M18" s="48" t="s">
        <v>172</v>
      </c>
      <c r="N18" s="36"/>
      <c r="O18" s="36"/>
      <c r="P18" s="37"/>
      <c r="Q18" s="36"/>
      <c r="R18" s="36"/>
      <c r="S18" s="36"/>
      <c r="T18" s="28" t="s">
        <v>173</v>
      </c>
      <c r="U18" s="38" t="s">
        <v>61</v>
      </c>
      <c r="V18" s="30" t="s">
        <v>174</v>
      </c>
      <c r="W18" s="49"/>
      <c r="X18" s="49"/>
      <c r="Y18" s="35"/>
      <c r="Z18" s="35"/>
      <c r="AA18" s="35"/>
      <c r="AB18" s="35"/>
      <c r="AC18" s="35"/>
      <c r="AD18" s="35"/>
      <c r="AE18" s="35"/>
      <c r="AF18" s="35"/>
      <c r="AG18" s="35"/>
      <c r="AH18" s="35"/>
      <c r="AI18" s="35"/>
      <c r="AJ18" s="35"/>
      <c r="AK18" s="35"/>
      <c r="AL18" s="35"/>
    </row>
    <row r="19">
      <c r="A19" s="1"/>
      <c r="B19" s="19" t="s">
        <v>25</v>
      </c>
      <c r="C19" s="20" t="s">
        <v>168</v>
      </c>
      <c r="D19" s="47"/>
      <c r="E19" s="22" t="s">
        <v>175</v>
      </c>
      <c r="F19" s="22" t="s">
        <v>176</v>
      </c>
      <c r="G19" s="23">
        <v>2011.0</v>
      </c>
      <c r="H19" s="22" t="s">
        <v>177</v>
      </c>
      <c r="I19" s="24" t="s">
        <v>178</v>
      </c>
      <c r="J19" s="22" t="s">
        <v>55</v>
      </c>
      <c r="K19" s="22" t="s">
        <v>56</v>
      </c>
      <c r="L19" s="36" t="s">
        <v>179</v>
      </c>
      <c r="M19" s="36"/>
      <c r="N19" s="36"/>
      <c r="O19" s="36"/>
      <c r="P19" s="37"/>
      <c r="Q19" s="36"/>
      <c r="R19" s="36"/>
      <c r="S19" s="36"/>
      <c r="T19" s="42" t="s">
        <v>180</v>
      </c>
      <c r="U19" s="38" t="str">
        <f>HYPERLINK("https://www.ncbi.nlm.nih.gov/pubmed/21408032","PubMed")</f>
        <v>PubMed</v>
      </c>
      <c r="V19" s="50"/>
      <c r="W19" s="49"/>
      <c r="X19" s="49"/>
      <c r="Y19" s="35"/>
      <c r="Z19" s="35"/>
      <c r="AA19" s="35"/>
      <c r="AB19" s="35"/>
      <c r="AC19" s="35"/>
      <c r="AD19" s="35"/>
      <c r="AE19" s="35"/>
      <c r="AF19" s="35"/>
      <c r="AG19" s="35"/>
      <c r="AH19" s="35"/>
      <c r="AI19" s="35"/>
      <c r="AJ19" s="35"/>
      <c r="AK19" s="35"/>
      <c r="AL19" s="35"/>
    </row>
    <row r="20" ht="23.25" customHeight="1">
      <c r="A20" s="51" t="s">
        <v>181</v>
      </c>
      <c r="B20" s="19" t="s">
        <v>25</v>
      </c>
      <c r="C20" s="20"/>
      <c r="D20" s="21"/>
      <c r="E20" s="22" t="s">
        <v>182</v>
      </c>
      <c r="F20" s="22" t="s">
        <v>183</v>
      </c>
      <c r="G20" s="23">
        <v>2006.0</v>
      </c>
      <c r="H20" s="22" t="s">
        <v>91</v>
      </c>
      <c r="I20" s="24" t="s">
        <v>184</v>
      </c>
      <c r="J20" s="22" t="s">
        <v>55</v>
      </c>
      <c r="K20" s="22"/>
      <c r="L20" s="36">
        <v>670.0</v>
      </c>
      <c r="M20" s="36">
        <v>9.0</v>
      </c>
      <c r="N20" s="52" t="s">
        <v>58</v>
      </c>
      <c r="O20" s="52" t="s">
        <v>58</v>
      </c>
      <c r="P20" s="37" t="s">
        <v>185</v>
      </c>
      <c r="Q20" s="52" t="s">
        <v>58</v>
      </c>
      <c r="R20" s="36" t="s">
        <v>186</v>
      </c>
      <c r="S20" s="36"/>
      <c r="T20" s="28" t="s">
        <v>187</v>
      </c>
      <c r="U20" s="38" t="str">
        <f>HYPERLINK("https://www.ncbi.nlm.nih.gov/pubmed/16565788","PubMed")</f>
        <v>PubMed</v>
      </c>
      <c r="V20" s="30"/>
      <c r="W20" s="31"/>
      <c r="X20" s="31"/>
      <c r="Y20" s="31"/>
      <c r="Z20" s="32"/>
      <c r="AA20" s="31"/>
      <c r="AB20" s="31"/>
      <c r="AC20" s="9"/>
      <c r="AD20" s="31"/>
      <c r="AE20" s="31"/>
      <c r="AF20" s="33"/>
      <c r="AG20" s="34"/>
      <c r="AH20" s="31"/>
      <c r="AI20" s="35"/>
      <c r="AJ20" s="35"/>
      <c r="AK20" s="35"/>
      <c r="AL20" s="35"/>
    </row>
    <row r="21" ht="23.25" customHeight="1">
      <c r="A21" s="51"/>
      <c r="B21" s="19" t="s">
        <v>188</v>
      </c>
      <c r="C21" s="20" t="s">
        <v>189</v>
      </c>
      <c r="D21" s="21"/>
      <c r="E21" s="22" t="s">
        <v>190</v>
      </c>
      <c r="F21" s="22" t="s">
        <v>41</v>
      </c>
      <c r="G21" s="23">
        <v>2024.0</v>
      </c>
      <c r="H21" s="22" t="s">
        <v>191</v>
      </c>
      <c r="I21" s="24" t="s">
        <v>192</v>
      </c>
      <c r="J21" s="22" t="s">
        <v>55</v>
      </c>
      <c r="K21" s="22" t="s">
        <v>193</v>
      </c>
      <c r="L21" s="36" t="s">
        <v>194</v>
      </c>
      <c r="M21" s="36"/>
      <c r="N21" s="52"/>
      <c r="O21" s="52" t="s">
        <v>195</v>
      </c>
      <c r="P21" s="36"/>
      <c r="Q21" s="52"/>
      <c r="R21" s="36"/>
      <c r="S21" s="36"/>
      <c r="T21" s="53" t="s">
        <v>196</v>
      </c>
      <c r="U21" s="38" t="s">
        <v>61</v>
      </c>
      <c r="V21" s="30"/>
      <c r="W21" s="31"/>
      <c r="X21" s="31"/>
      <c r="Y21" s="31"/>
      <c r="Z21" s="32"/>
      <c r="AA21" s="31"/>
      <c r="AB21" s="31"/>
      <c r="AC21" s="9"/>
      <c r="AD21" s="31"/>
      <c r="AE21" s="31"/>
      <c r="AF21" s="33"/>
      <c r="AG21" s="34"/>
      <c r="AH21" s="31"/>
      <c r="AI21" s="35"/>
      <c r="AJ21" s="35"/>
      <c r="AK21" s="35"/>
      <c r="AL21" s="35"/>
    </row>
    <row r="22" ht="23.25" customHeight="1">
      <c r="A22" s="51"/>
      <c r="B22" s="19" t="s">
        <v>188</v>
      </c>
      <c r="C22" s="20" t="s">
        <v>197</v>
      </c>
      <c r="D22" s="21"/>
      <c r="E22" s="22" t="s">
        <v>198</v>
      </c>
      <c r="F22" s="22" t="s">
        <v>199</v>
      </c>
      <c r="G22" s="23">
        <v>2018.0</v>
      </c>
      <c r="H22" s="22" t="s">
        <v>200</v>
      </c>
      <c r="I22" s="24" t="s">
        <v>201</v>
      </c>
      <c r="J22" s="22" t="s">
        <v>202</v>
      </c>
      <c r="K22" s="22"/>
      <c r="L22" s="43" t="s">
        <v>203</v>
      </c>
      <c r="M22" s="44"/>
      <c r="N22" s="44"/>
      <c r="O22" s="44"/>
      <c r="P22" s="44"/>
      <c r="Q22" s="44"/>
      <c r="R22" s="44"/>
      <c r="S22" s="44"/>
      <c r="T22" s="45"/>
      <c r="U22" s="38" t="str">
        <f>HYPERLINK("https://www.ncbi.nlm.nih.gov/pubmed/30219804","PubMed")</f>
        <v>PubMed</v>
      </c>
      <c r="V22" s="30"/>
      <c r="W22" s="31"/>
      <c r="X22" s="31"/>
      <c r="Y22" s="31"/>
      <c r="Z22" s="32"/>
      <c r="AA22" s="31"/>
      <c r="AB22" s="31"/>
      <c r="AC22" s="9"/>
      <c r="AD22" s="31"/>
      <c r="AE22" s="31"/>
      <c r="AF22" s="33"/>
      <c r="AG22" s="34"/>
      <c r="AH22" s="31"/>
      <c r="AI22" s="35"/>
      <c r="AJ22" s="35"/>
      <c r="AK22" s="35"/>
      <c r="AL22" s="35"/>
    </row>
    <row r="23" ht="23.25" customHeight="1">
      <c r="A23" s="51"/>
      <c r="B23" s="19" t="s">
        <v>188</v>
      </c>
      <c r="C23" s="20" t="s">
        <v>204</v>
      </c>
      <c r="D23" s="21"/>
      <c r="E23" s="22" t="s">
        <v>205</v>
      </c>
      <c r="F23" s="22" t="s">
        <v>206</v>
      </c>
      <c r="G23" s="23">
        <v>2024.0</v>
      </c>
      <c r="H23" s="22" t="s">
        <v>207</v>
      </c>
      <c r="I23" s="24" t="s">
        <v>208</v>
      </c>
      <c r="J23" s="22" t="s">
        <v>209</v>
      </c>
      <c r="K23" s="22" t="s">
        <v>210</v>
      </c>
      <c r="L23" s="36">
        <v>630.0</v>
      </c>
      <c r="M23" s="36"/>
      <c r="N23" s="52" t="s">
        <v>211</v>
      </c>
      <c r="O23" s="52"/>
      <c r="P23" s="37" t="s">
        <v>212</v>
      </c>
      <c r="Q23" s="52"/>
      <c r="R23" s="36">
        <v>300.0</v>
      </c>
      <c r="S23" s="36" t="s">
        <v>213</v>
      </c>
      <c r="T23" s="54" t="s">
        <v>214</v>
      </c>
      <c r="U23" s="38" t="s">
        <v>61</v>
      </c>
      <c r="V23" s="30"/>
      <c r="W23" s="31"/>
      <c r="X23" s="31"/>
      <c r="Y23" s="31"/>
      <c r="Z23" s="32"/>
      <c r="AA23" s="31"/>
      <c r="AB23" s="31"/>
      <c r="AC23" s="9"/>
      <c r="AD23" s="31"/>
      <c r="AE23" s="31"/>
      <c r="AF23" s="33"/>
      <c r="AG23" s="34"/>
      <c r="AH23" s="31"/>
      <c r="AI23" s="35"/>
      <c r="AJ23" s="35"/>
      <c r="AK23" s="35"/>
      <c r="AL23" s="35"/>
    </row>
    <row r="24" ht="52.5" customHeight="1">
      <c r="A24" s="55"/>
      <c r="B24" s="19" t="s">
        <v>215</v>
      </c>
      <c r="C24" s="20"/>
      <c r="D24" s="47"/>
      <c r="E24" s="56" t="s">
        <v>216</v>
      </c>
      <c r="F24" s="22" t="s">
        <v>217</v>
      </c>
      <c r="G24" s="57">
        <v>2023.0</v>
      </c>
      <c r="H24" s="22" t="s">
        <v>77</v>
      </c>
      <c r="I24" s="58" t="s">
        <v>218</v>
      </c>
      <c r="J24" s="56" t="s">
        <v>219</v>
      </c>
      <c r="K24" s="56"/>
      <c r="L24" s="59" t="s">
        <v>220</v>
      </c>
      <c r="U24" s="60" t="s">
        <v>61</v>
      </c>
      <c r="V24" s="50"/>
      <c r="W24" s="49"/>
      <c r="X24" s="49"/>
      <c r="Y24" s="35"/>
      <c r="Z24" s="35"/>
      <c r="AA24" s="35"/>
      <c r="AB24" s="35"/>
      <c r="AC24" s="35"/>
      <c r="AD24" s="35"/>
      <c r="AE24" s="35"/>
      <c r="AF24" s="35"/>
      <c r="AG24" s="35"/>
      <c r="AH24" s="35"/>
      <c r="AI24" s="35"/>
      <c r="AJ24" s="35"/>
      <c r="AK24" s="35"/>
      <c r="AL24" s="35"/>
    </row>
    <row r="25" ht="52.5" customHeight="1">
      <c r="A25" s="55"/>
      <c r="B25" s="19" t="s">
        <v>221</v>
      </c>
      <c r="C25" s="20" t="s">
        <v>222</v>
      </c>
      <c r="D25" s="47"/>
      <c r="E25" s="56" t="s">
        <v>223</v>
      </c>
      <c r="F25" s="22" t="s">
        <v>224</v>
      </c>
      <c r="G25" s="57">
        <v>2022.0</v>
      </c>
      <c r="H25" s="22" t="s">
        <v>225</v>
      </c>
      <c r="I25" s="58" t="s">
        <v>226</v>
      </c>
      <c r="J25" s="56" t="s">
        <v>55</v>
      </c>
      <c r="K25" s="56"/>
      <c r="L25" s="61"/>
      <c r="M25" s="61"/>
      <c r="N25" s="61"/>
      <c r="O25" s="61"/>
      <c r="P25" s="62">
        <v>120.0</v>
      </c>
      <c r="Q25" s="61"/>
      <c r="R25" s="61"/>
      <c r="S25" s="61"/>
      <c r="T25" s="63" t="s">
        <v>227</v>
      </c>
      <c r="U25" s="64" t="s">
        <v>61</v>
      </c>
      <c r="V25" s="50"/>
      <c r="W25" s="49"/>
      <c r="X25" s="49"/>
      <c r="Y25" s="35"/>
      <c r="Z25" s="35"/>
      <c r="AA25" s="35"/>
      <c r="AB25" s="35"/>
      <c r="AC25" s="35"/>
      <c r="AD25" s="35"/>
      <c r="AE25" s="35"/>
      <c r="AF25" s="35"/>
      <c r="AG25" s="35"/>
      <c r="AH25" s="35"/>
      <c r="AI25" s="35"/>
      <c r="AJ25" s="35"/>
      <c r="AK25" s="35"/>
      <c r="AL25" s="35"/>
    </row>
    <row r="26" ht="52.5" customHeight="1">
      <c r="A26" s="55"/>
      <c r="B26" s="19" t="s">
        <v>221</v>
      </c>
      <c r="C26" s="20" t="s">
        <v>228</v>
      </c>
      <c r="D26" s="47"/>
      <c r="E26" s="56" t="s">
        <v>229</v>
      </c>
      <c r="F26" s="22" t="s">
        <v>230</v>
      </c>
      <c r="G26" s="57">
        <v>2020.0</v>
      </c>
      <c r="H26" s="22" t="s">
        <v>231</v>
      </c>
      <c r="I26" s="58" t="s">
        <v>232</v>
      </c>
      <c r="J26" s="56" t="s">
        <v>233</v>
      </c>
      <c r="K26" s="56"/>
      <c r="L26" s="65" t="s">
        <v>234</v>
      </c>
      <c r="U26" s="66" t="str">
        <f>HYPERLINK("https://www.ncbi.nlm.nih.gov/pubmed/32194044","PubMed")</f>
        <v>PubMed</v>
      </c>
      <c r="V26" s="50"/>
      <c r="W26" s="49"/>
      <c r="X26" s="49"/>
      <c r="Y26" s="35"/>
      <c r="Z26" s="35"/>
      <c r="AA26" s="35"/>
      <c r="AB26" s="35"/>
      <c r="AC26" s="35"/>
      <c r="AD26" s="35"/>
      <c r="AE26" s="35"/>
      <c r="AF26" s="35"/>
      <c r="AG26" s="35"/>
      <c r="AH26" s="35"/>
      <c r="AI26" s="35"/>
      <c r="AJ26" s="35"/>
      <c r="AK26" s="35"/>
      <c r="AL26" s="35"/>
    </row>
    <row r="27" ht="52.5" customHeight="1">
      <c r="A27" s="55"/>
      <c r="B27" s="19" t="s">
        <v>221</v>
      </c>
      <c r="C27" s="20" t="s">
        <v>235</v>
      </c>
      <c r="D27" s="47"/>
      <c r="E27" s="56" t="s">
        <v>236</v>
      </c>
      <c r="F27" s="22" t="s">
        <v>237</v>
      </c>
      <c r="G27" s="57">
        <v>2023.0</v>
      </c>
      <c r="H27" s="22" t="s">
        <v>77</v>
      </c>
      <c r="I27" s="58" t="s">
        <v>238</v>
      </c>
      <c r="J27" s="56" t="s">
        <v>55</v>
      </c>
      <c r="K27" s="56"/>
      <c r="L27" s="67"/>
      <c r="M27" s="67"/>
      <c r="N27" s="67"/>
      <c r="O27" s="67"/>
      <c r="P27" s="68"/>
      <c r="Q27" s="67"/>
      <c r="R27" s="67"/>
      <c r="S27" s="67"/>
      <c r="T27" s="63" t="s">
        <v>239</v>
      </c>
      <c r="U27" s="60" t="s">
        <v>61</v>
      </c>
      <c r="V27" s="50"/>
      <c r="W27" s="49"/>
      <c r="X27" s="49"/>
      <c r="Y27" s="35"/>
      <c r="Z27" s="35"/>
      <c r="AA27" s="35"/>
      <c r="AB27" s="35"/>
      <c r="AC27" s="35"/>
      <c r="AD27" s="35"/>
      <c r="AE27" s="35"/>
      <c r="AF27" s="35"/>
      <c r="AG27" s="35"/>
      <c r="AH27" s="35"/>
      <c r="AI27" s="35"/>
      <c r="AJ27" s="35"/>
      <c r="AK27" s="35"/>
      <c r="AL27" s="35"/>
    </row>
    <row r="28" ht="52.5" customHeight="1">
      <c r="A28" s="55"/>
      <c r="B28" s="19" t="s">
        <v>221</v>
      </c>
      <c r="C28" s="20" t="s">
        <v>235</v>
      </c>
      <c r="D28" s="47"/>
      <c r="E28" s="56" t="s">
        <v>240</v>
      </c>
      <c r="F28" s="22" t="s">
        <v>241</v>
      </c>
      <c r="G28" s="57">
        <v>2016.0</v>
      </c>
      <c r="H28" s="22" t="s">
        <v>207</v>
      </c>
      <c r="I28" s="58" t="s">
        <v>242</v>
      </c>
      <c r="J28" s="56" t="s">
        <v>55</v>
      </c>
      <c r="K28" s="56"/>
      <c r="L28" s="69">
        <v>830.0</v>
      </c>
      <c r="M28" s="69">
        <v>30.0</v>
      </c>
      <c r="N28" s="69" t="s">
        <v>243</v>
      </c>
      <c r="O28" s="69" t="s">
        <v>244</v>
      </c>
      <c r="P28" s="70" t="s">
        <v>82</v>
      </c>
      <c r="Q28" s="69" t="s">
        <v>245</v>
      </c>
      <c r="R28" s="69" t="s">
        <v>246</v>
      </c>
      <c r="S28" s="69" t="s">
        <v>247</v>
      </c>
      <c r="T28" s="63" t="s">
        <v>248</v>
      </c>
      <c r="U28" s="66" t="str">
        <f>HYPERLINK("https://www.ncbi.nlm.nih.gov/pubmed/27497370","PubMed")</f>
        <v>PubMed</v>
      </c>
      <c r="V28" s="50"/>
      <c r="W28" s="49"/>
      <c r="X28" s="49"/>
      <c r="Y28" s="35"/>
      <c r="Z28" s="35"/>
      <c r="AA28" s="35"/>
      <c r="AB28" s="35"/>
      <c r="AC28" s="35"/>
      <c r="AD28" s="35"/>
      <c r="AE28" s="35"/>
      <c r="AF28" s="35"/>
      <c r="AG28" s="35"/>
      <c r="AH28" s="35"/>
      <c r="AI28" s="35"/>
      <c r="AJ28" s="35"/>
      <c r="AK28" s="35"/>
      <c r="AL28" s="35"/>
    </row>
    <row r="29" ht="52.5" customHeight="1">
      <c r="A29" s="55"/>
      <c r="B29" s="19" t="s">
        <v>221</v>
      </c>
      <c r="C29" s="20" t="s">
        <v>235</v>
      </c>
      <c r="D29" s="47"/>
      <c r="E29" s="56" t="s">
        <v>249</v>
      </c>
      <c r="F29" s="22" t="s">
        <v>250</v>
      </c>
      <c r="G29" s="57">
        <v>2012.0</v>
      </c>
      <c r="H29" s="22" t="s">
        <v>251</v>
      </c>
      <c r="I29" s="58" t="s">
        <v>252</v>
      </c>
      <c r="J29" s="56" t="s">
        <v>253</v>
      </c>
      <c r="K29" s="56"/>
      <c r="L29" s="69">
        <v>830.0</v>
      </c>
      <c r="M29" s="69"/>
      <c r="N29" s="69"/>
      <c r="O29" s="69"/>
      <c r="P29" s="70" t="s">
        <v>254</v>
      </c>
      <c r="Q29" s="69"/>
      <c r="R29" s="69"/>
      <c r="S29" s="69">
        <v>8.0</v>
      </c>
      <c r="T29" s="63" t="s">
        <v>255</v>
      </c>
      <c r="U29" s="64" t="s">
        <v>61</v>
      </c>
      <c r="V29" s="50"/>
      <c r="W29" s="49"/>
      <c r="X29" s="49"/>
      <c r="Y29" s="35"/>
      <c r="Z29" s="35"/>
      <c r="AA29" s="35"/>
      <c r="AB29" s="35"/>
      <c r="AC29" s="35"/>
      <c r="AD29" s="35"/>
      <c r="AE29" s="35"/>
      <c r="AF29" s="35"/>
      <c r="AG29" s="35"/>
      <c r="AH29" s="35"/>
      <c r="AI29" s="35"/>
      <c r="AJ29" s="35"/>
      <c r="AK29" s="35"/>
      <c r="AL29" s="35"/>
    </row>
    <row r="30" ht="22.5" customHeight="1">
      <c r="A30" s="55"/>
      <c r="B30" s="19" t="s">
        <v>221</v>
      </c>
      <c r="C30" s="20" t="s">
        <v>256</v>
      </c>
      <c r="D30" s="47"/>
      <c r="E30" s="56" t="s">
        <v>257</v>
      </c>
      <c r="F30" s="22" t="s">
        <v>258</v>
      </c>
      <c r="G30" s="57">
        <v>1994.0</v>
      </c>
      <c r="H30" s="22" t="s">
        <v>259</v>
      </c>
      <c r="I30" s="58" t="s">
        <v>260</v>
      </c>
      <c r="J30" s="56" t="s">
        <v>55</v>
      </c>
      <c r="K30" s="56"/>
      <c r="L30" s="69">
        <v>633.0</v>
      </c>
      <c r="M30" s="69">
        <v>5.0</v>
      </c>
      <c r="N30" s="69"/>
      <c r="O30" s="69"/>
      <c r="P30" s="70"/>
      <c r="Q30" s="69"/>
      <c r="R30" s="69"/>
      <c r="S30" s="69"/>
      <c r="T30" s="63" t="s">
        <v>261</v>
      </c>
      <c r="U30" s="66" t="str">
        <f>HYPERLINK("https://www.ncbi.nlm.nih.gov/pubmed/7641943","PubMed")</f>
        <v>PubMed</v>
      </c>
      <c r="V30" s="50"/>
      <c r="W30" s="49"/>
      <c r="X30" s="49"/>
      <c r="Y30" s="35"/>
      <c r="Z30" s="35"/>
      <c r="AA30" s="35"/>
      <c r="AB30" s="35"/>
      <c r="AC30" s="35"/>
      <c r="AD30" s="35"/>
      <c r="AE30" s="35"/>
      <c r="AF30" s="35"/>
      <c r="AG30" s="35"/>
      <c r="AH30" s="35"/>
      <c r="AI30" s="35"/>
      <c r="AJ30" s="35"/>
      <c r="AK30" s="35"/>
      <c r="AL30" s="35"/>
    </row>
    <row r="31" ht="22.5" customHeight="1">
      <c r="A31" s="55"/>
      <c r="B31" s="19" t="s">
        <v>221</v>
      </c>
      <c r="C31" s="20" t="s">
        <v>262</v>
      </c>
      <c r="D31" s="47"/>
      <c r="E31" s="56" t="s">
        <v>263</v>
      </c>
      <c r="F31" s="22" t="s">
        <v>41</v>
      </c>
      <c r="G31" s="57">
        <v>2018.0</v>
      </c>
      <c r="H31" s="22" t="s">
        <v>264</v>
      </c>
      <c r="I31" s="58" t="s">
        <v>265</v>
      </c>
      <c r="J31" s="56" t="s">
        <v>55</v>
      </c>
      <c r="K31" s="56" t="s">
        <v>266</v>
      </c>
      <c r="L31" s="69">
        <v>808.0</v>
      </c>
      <c r="M31" s="69">
        <v>200.0</v>
      </c>
      <c r="N31" s="69" t="s">
        <v>267</v>
      </c>
      <c r="O31" s="69" t="s">
        <v>268</v>
      </c>
      <c r="P31" s="70" t="s">
        <v>269</v>
      </c>
      <c r="Q31" s="69" t="s">
        <v>270</v>
      </c>
      <c r="R31" s="69" t="s">
        <v>271</v>
      </c>
      <c r="S31" s="69">
        <v>13.0</v>
      </c>
      <c r="T31" s="71" t="s">
        <v>272</v>
      </c>
      <c r="U31" s="66" t="str">
        <f>HYPERLINK("https://www.ncbi.nlm.nih.gov/pubmed/30328905","PubMed")</f>
        <v>PubMed</v>
      </c>
      <c r="V31" s="50"/>
      <c r="W31" s="49"/>
      <c r="X31" s="49"/>
      <c r="Y31" s="35"/>
      <c r="Z31" s="35"/>
      <c r="AA31" s="35"/>
      <c r="AB31" s="35"/>
      <c r="AC31" s="35"/>
      <c r="AD31" s="35"/>
      <c r="AE31" s="35"/>
      <c r="AF31" s="35"/>
      <c r="AG31" s="35"/>
      <c r="AH31" s="35"/>
      <c r="AI31" s="35"/>
      <c r="AJ31" s="35"/>
      <c r="AK31" s="35"/>
      <c r="AL31" s="35"/>
    </row>
    <row r="32" ht="52.5" customHeight="1">
      <c r="A32" s="55" t="s">
        <v>2</v>
      </c>
      <c r="B32" s="19" t="s">
        <v>221</v>
      </c>
      <c r="C32" s="20" t="s">
        <v>262</v>
      </c>
      <c r="D32" s="47"/>
      <c r="E32" s="56" t="s">
        <v>273</v>
      </c>
      <c r="F32" s="22" t="s">
        <v>274</v>
      </c>
      <c r="G32" s="57">
        <v>2016.0</v>
      </c>
      <c r="H32" s="22" t="s">
        <v>275</v>
      </c>
      <c r="I32" s="58" t="s">
        <v>276</v>
      </c>
      <c r="J32" s="56" t="s">
        <v>55</v>
      </c>
      <c r="K32" s="56" t="s">
        <v>277</v>
      </c>
      <c r="L32" s="69">
        <v>808.0</v>
      </c>
      <c r="M32" s="69">
        <v>100.0</v>
      </c>
      <c r="N32" s="69" t="s">
        <v>278</v>
      </c>
      <c r="O32" s="72">
        <v>42432.0</v>
      </c>
      <c r="P32" s="70" t="s">
        <v>279</v>
      </c>
      <c r="Q32" s="69" t="s">
        <v>280</v>
      </c>
      <c r="R32" s="69">
        <v>33.0</v>
      </c>
      <c r="S32" s="69">
        <v>24.0</v>
      </c>
      <c r="T32" s="73" t="s">
        <v>281</v>
      </c>
      <c r="U32" s="66" t="str">
        <f>HYPERLINK("https://www.ncbi.nlm.nih.gov/pubmed/27812609","PubMed")</f>
        <v>PubMed</v>
      </c>
      <c r="V32" s="50"/>
      <c r="W32" s="49"/>
      <c r="X32" s="49"/>
      <c r="Y32" s="35"/>
      <c r="Z32" s="35"/>
      <c r="AA32" s="35"/>
      <c r="AB32" s="35"/>
      <c r="AC32" s="35"/>
      <c r="AD32" s="35"/>
      <c r="AE32" s="35"/>
      <c r="AF32" s="35"/>
      <c r="AG32" s="35"/>
      <c r="AH32" s="35"/>
      <c r="AI32" s="35"/>
      <c r="AJ32" s="35"/>
      <c r="AK32" s="35"/>
      <c r="AL32" s="35"/>
    </row>
    <row r="33" ht="52.5" customHeight="1">
      <c r="A33" s="55"/>
      <c r="B33" s="19" t="s">
        <v>221</v>
      </c>
      <c r="C33" s="20" t="s">
        <v>262</v>
      </c>
      <c r="D33" s="47"/>
      <c r="E33" s="56" t="s">
        <v>282</v>
      </c>
      <c r="F33" s="22" t="s">
        <v>283</v>
      </c>
      <c r="G33" s="57">
        <v>1994.0</v>
      </c>
      <c r="H33" s="22" t="s">
        <v>284</v>
      </c>
      <c r="I33" s="58" t="s">
        <v>285</v>
      </c>
      <c r="J33" s="56" t="s">
        <v>55</v>
      </c>
      <c r="K33" s="56"/>
      <c r="L33" s="69">
        <v>904.0</v>
      </c>
      <c r="M33" s="69"/>
      <c r="N33" s="69" t="s">
        <v>286</v>
      </c>
      <c r="O33" s="72"/>
      <c r="P33" s="70" t="s">
        <v>287</v>
      </c>
      <c r="Q33" s="69"/>
      <c r="R33" s="69">
        <v>300.0</v>
      </c>
      <c r="S33" s="69" t="s">
        <v>288</v>
      </c>
      <c r="T33" s="71" t="s">
        <v>289</v>
      </c>
      <c r="U33" s="66" t="str">
        <f>HYPERLINK("https://www.ncbi.nlm.nih.gov/pubmed/8163863","PubMed")</f>
        <v>PubMed</v>
      </c>
      <c r="V33" s="50"/>
      <c r="W33" s="49"/>
      <c r="X33" s="49"/>
      <c r="Y33" s="35"/>
      <c r="Z33" s="35"/>
      <c r="AA33" s="35"/>
      <c r="AB33" s="35"/>
      <c r="AC33" s="35"/>
      <c r="AD33" s="35"/>
      <c r="AE33" s="35"/>
      <c r="AF33" s="35"/>
      <c r="AG33" s="35"/>
      <c r="AH33" s="35"/>
      <c r="AI33" s="35"/>
      <c r="AJ33" s="35"/>
      <c r="AK33" s="35"/>
      <c r="AL33" s="35"/>
    </row>
    <row r="34" ht="52.5" customHeight="1">
      <c r="A34" s="55"/>
      <c r="B34" s="19" t="s">
        <v>221</v>
      </c>
      <c r="C34" s="20" t="s">
        <v>262</v>
      </c>
      <c r="D34" s="47"/>
      <c r="E34" s="56" t="s">
        <v>290</v>
      </c>
      <c r="F34" s="22" t="s">
        <v>291</v>
      </c>
      <c r="G34" s="57">
        <v>1998.0</v>
      </c>
      <c r="H34" s="22" t="s">
        <v>292</v>
      </c>
      <c r="I34" s="58" t="s">
        <v>293</v>
      </c>
      <c r="J34" s="56" t="s">
        <v>31</v>
      </c>
      <c r="K34" s="56" t="s">
        <v>294</v>
      </c>
      <c r="L34" s="69" t="s">
        <v>295</v>
      </c>
      <c r="M34" s="69"/>
      <c r="N34" s="69"/>
      <c r="O34" s="72"/>
      <c r="P34" s="70"/>
      <c r="Q34" s="69"/>
      <c r="R34" s="69"/>
      <c r="S34" s="69"/>
      <c r="T34" s="74" t="s">
        <v>296</v>
      </c>
      <c r="U34" s="66" t="str">
        <f>HYPERLINK("https://www.jstage.jst.go.jp/article/islsm/10/2/10_2_55/_article/-char/en","J-STAGE")</f>
        <v>J-STAGE</v>
      </c>
      <c r="V34" s="50"/>
      <c r="W34" s="49"/>
      <c r="X34" s="49"/>
      <c r="Y34" s="35"/>
      <c r="Z34" s="35"/>
      <c r="AA34" s="35"/>
      <c r="AB34" s="35"/>
      <c r="AC34" s="35"/>
      <c r="AD34" s="35"/>
      <c r="AE34" s="35"/>
      <c r="AF34" s="35"/>
      <c r="AG34" s="35"/>
      <c r="AH34" s="35"/>
      <c r="AI34" s="35"/>
      <c r="AJ34" s="35"/>
      <c r="AK34" s="35"/>
      <c r="AL34" s="35"/>
    </row>
    <row r="35" ht="52.5" customHeight="1">
      <c r="A35" s="55"/>
      <c r="B35" s="75" t="s">
        <v>221</v>
      </c>
      <c r="C35" s="76" t="s">
        <v>297</v>
      </c>
      <c r="D35" s="47"/>
      <c r="E35" s="56" t="s">
        <v>298</v>
      </c>
      <c r="F35" s="22" t="s">
        <v>299</v>
      </c>
      <c r="G35" s="57">
        <v>2013.0</v>
      </c>
      <c r="H35" s="22" t="s">
        <v>300</v>
      </c>
      <c r="I35" s="58" t="s">
        <v>301</v>
      </c>
      <c r="J35" s="56" t="s">
        <v>55</v>
      </c>
      <c r="K35" s="56"/>
      <c r="L35" s="69" t="s">
        <v>302</v>
      </c>
      <c r="M35" s="69">
        <v>40.0</v>
      </c>
      <c r="N35" s="69" t="s">
        <v>303</v>
      </c>
      <c r="O35" s="72"/>
      <c r="P35" s="70"/>
      <c r="Q35" s="69"/>
      <c r="R35" s="69" t="s">
        <v>304</v>
      </c>
      <c r="S35" s="69">
        <v>9.0</v>
      </c>
      <c r="T35" s="63" t="s">
        <v>305</v>
      </c>
      <c r="U35" s="66" t="str">
        <f>HYPERLINK("https://www.ncbi.nlm.nih.gov/pubmed/23986782","PubMed")</f>
        <v>PubMed</v>
      </c>
      <c r="V35" s="50"/>
      <c r="W35" s="49"/>
      <c r="X35" s="49"/>
      <c r="Y35" s="35"/>
      <c r="Z35" s="35"/>
      <c r="AA35" s="35"/>
      <c r="AB35" s="35"/>
      <c r="AC35" s="35"/>
      <c r="AD35" s="35"/>
      <c r="AE35" s="35"/>
      <c r="AF35" s="35"/>
      <c r="AG35" s="35"/>
      <c r="AH35" s="35"/>
      <c r="AI35" s="35"/>
      <c r="AJ35" s="35"/>
      <c r="AK35" s="35"/>
      <c r="AL35" s="35"/>
    </row>
    <row r="36" ht="52.5" customHeight="1">
      <c r="A36" s="55"/>
      <c r="B36" s="75" t="s">
        <v>221</v>
      </c>
      <c r="C36" s="77" t="s">
        <v>306</v>
      </c>
      <c r="D36" s="47"/>
      <c r="E36" s="56" t="s">
        <v>307</v>
      </c>
      <c r="F36" s="22" t="s">
        <v>308</v>
      </c>
      <c r="G36" s="57">
        <v>2024.0</v>
      </c>
      <c r="H36" s="22" t="s">
        <v>309</v>
      </c>
      <c r="I36" s="58" t="s">
        <v>310</v>
      </c>
      <c r="J36" s="56" t="s">
        <v>55</v>
      </c>
      <c r="K36" s="56"/>
      <c r="L36" s="67">
        <v>808.0</v>
      </c>
      <c r="M36" s="67"/>
      <c r="N36" s="67"/>
      <c r="O36" s="78"/>
      <c r="P36" s="68"/>
      <c r="Q36" s="67"/>
      <c r="R36" s="67"/>
      <c r="S36" s="67"/>
      <c r="T36" s="74" t="s">
        <v>311</v>
      </c>
      <c r="U36" s="60" t="s">
        <v>61</v>
      </c>
      <c r="V36" s="50"/>
      <c r="W36" s="49"/>
      <c r="X36" s="49"/>
      <c r="Y36" s="35"/>
      <c r="Z36" s="35"/>
      <c r="AA36" s="35"/>
      <c r="AB36" s="35"/>
      <c r="AC36" s="35"/>
      <c r="AD36" s="35"/>
      <c r="AE36" s="35"/>
      <c r="AF36" s="35"/>
      <c r="AG36" s="35"/>
      <c r="AH36" s="35"/>
      <c r="AI36" s="35"/>
      <c r="AJ36" s="35"/>
      <c r="AK36" s="35"/>
      <c r="AL36" s="35"/>
    </row>
    <row r="37" ht="52.5" customHeight="1">
      <c r="A37" s="55"/>
      <c r="B37" s="75" t="s">
        <v>221</v>
      </c>
      <c r="C37" s="77" t="s">
        <v>306</v>
      </c>
      <c r="D37" s="47"/>
      <c r="E37" s="56" t="s">
        <v>312</v>
      </c>
      <c r="F37" s="22" t="s">
        <v>313</v>
      </c>
      <c r="G37" s="57">
        <v>2024.0</v>
      </c>
      <c r="H37" s="22" t="s">
        <v>314</v>
      </c>
      <c r="I37" s="58" t="s">
        <v>315</v>
      </c>
      <c r="J37" s="22" t="s">
        <v>125</v>
      </c>
      <c r="K37" s="56"/>
      <c r="L37" s="79" t="s">
        <v>316</v>
      </c>
      <c r="U37" s="60" t="s">
        <v>61</v>
      </c>
      <c r="V37" s="30"/>
      <c r="W37" s="49"/>
      <c r="X37" s="49"/>
      <c r="Y37" s="35"/>
      <c r="Z37" s="35"/>
      <c r="AA37" s="35"/>
      <c r="AB37" s="35"/>
      <c r="AC37" s="35"/>
      <c r="AD37" s="35"/>
      <c r="AE37" s="35"/>
      <c r="AF37" s="35"/>
      <c r="AG37" s="35"/>
      <c r="AH37" s="35"/>
      <c r="AI37" s="35"/>
      <c r="AJ37" s="35"/>
      <c r="AK37" s="35"/>
      <c r="AL37" s="35"/>
    </row>
    <row r="38" ht="52.5" customHeight="1">
      <c r="A38" s="55"/>
      <c r="B38" s="75" t="s">
        <v>221</v>
      </c>
      <c r="C38" s="77" t="s">
        <v>306</v>
      </c>
      <c r="D38" s="47"/>
      <c r="E38" s="56" t="s">
        <v>317</v>
      </c>
      <c r="F38" s="22" t="s">
        <v>41</v>
      </c>
      <c r="G38" s="57">
        <v>2024.0</v>
      </c>
      <c r="H38" s="22" t="s">
        <v>318</v>
      </c>
      <c r="I38" s="58" t="s">
        <v>319</v>
      </c>
      <c r="J38" s="56" t="s">
        <v>55</v>
      </c>
      <c r="K38" s="56" t="s">
        <v>320</v>
      </c>
      <c r="L38" s="69">
        <v>830.0</v>
      </c>
      <c r="M38" s="69"/>
      <c r="N38" s="69"/>
      <c r="O38" s="72"/>
      <c r="P38" s="70"/>
      <c r="Q38" s="69"/>
      <c r="R38" s="69"/>
      <c r="S38" s="69"/>
      <c r="T38" s="63" t="s">
        <v>321</v>
      </c>
      <c r="U38" s="60" t="s">
        <v>61</v>
      </c>
      <c r="V38" s="30"/>
      <c r="W38" s="49"/>
      <c r="X38" s="49"/>
      <c r="Y38" s="35"/>
      <c r="Z38" s="35"/>
      <c r="AA38" s="35"/>
      <c r="AB38" s="35"/>
      <c r="AC38" s="35"/>
      <c r="AD38" s="35"/>
      <c r="AE38" s="35"/>
      <c r="AF38" s="35"/>
      <c r="AG38" s="35"/>
      <c r="AH38" s="35"/>
      <c r="AI38" s="35"/>
      <c r="AJ38" s="35"/>
      <c r="AK38" s="35"/>
      <c r="AL38" s="35"/>
    </row>
    <row r="39" ht="52.5" customHeight="1">
      <c r="A39" s="55"/>
      <c r="B39" s="75" t="s">
        <v>221</v>
      </c>
      <c r="C39" s="77" t="s">
        <v>306</v>
      </c>
      <c r="D39" s="47"/>
      <c r="E39" s="56" t="s">
        <v>322</v>
      </c>
      <c r="F39" s="22" t="s">
        <v>323</v>
      </c>
      <c r="G39" s="57">
        <v>2023.0</v>
      </c>
      <c r="H39" s="22" t="s">
        <v>77</v>
      </c>
      <c r="I39" s="58" t="s">
        <v>324</v>
      </c>
      <c r="J39" s="56" t="s">
        <v>55</v>
      </c>
      <c r="K39" s="56"/>
      <c r="L39" s="69">
        <v>810.0</v>
      </c>
      <c r="M39" s="69"/>
      <c r="N39" s="69"/>
      <c r="O39" s="72"/>
      <c r="P39" s="70" t="s">
        <v>325</v>
      </c>
      <c r="Q39" s="69"/>
      <c r="R39" s="69"/>
      <c r="S39" s="69"/>
      <c r="T39" s="63" t="s">
        <v>326</v>
      </c>
      <c r="U39" s="60" t="s">
        <v>61</v>
      </c>
      <c r="V39" s="30"/>
      <c r="W39" s="49"/>
      <c r="X39" s="49"/>
      <c r="Y39" s="35"/>
      <c r="Z39" s="35"/>
      <c r="AA39" s="35"/>
      <c r="AB39" s="35"/>
      <c r="AC39" s="35"/>
      <c r="AD39" s="35"/>
      <c r="AE39" s="35"/>
      <c r="AF39" s="35"/>
      <c r="AG39" s="35"/>
      <c r="AH39" s="35"/>
      <c r="AI39" s="35"/>
      <c r="AJ39" s="35"/>
      <c r="AK39" s="35"/>
      <c r="AL39" s="35"/>
    </row>
    <row r="40" ht="52.5" customHeight="1">
      <c r="A40" s="55"/>
      <c r="B40" s="75" t="s">
        <v>221</v>
      </c>
      <c r="C40" s="77" t="s">
        <v>306</v>
      </c>
      <c r="D40" s="47"/>
      <c r="E40" s="56" t="s">
        <v>327</v>
      </c>
      <c r="F40" s="22" t="s">
        <v>41</v>
      </c>
      <c r="G40" s="57">
        <v>2023.0</v>
      </c>
      <c r="H40" s="22" t="s">
        <v>328</v>
      </c>
      <c r="I40" s="58" t="s">
        <v>329</v>
      </c>
      <c r="J40" s="56" t="s">
        <v>55</v>
      </c>
      <c r="K40" s="56"/>
      <c r="L40" s="69">
        <v>858.0</v>
      </c>
      <c r="M40" s="69"/>
      <c r="N40" s="69"/>
      <c r="O40" s="72"/>
      <c r="P40" s="70"/>
      <c r="Q40" s="69"/>
      <c r="R40" s="69"/>
      <c r="S40" s="69"/>
      <c r="T40" s="63" t="s">
        <v>330</v>
      </c>
      <c r="U40" s="60" t="s">
        <v>61</v>
      </c>
      <c r="V40" s="30"/>
      <c r="W40" s="49"/>
      <c r="X40" s="49"/>
      <c r="Y40" s="35"/>
      <c r="Z40" s="35"/>
      <c r="AA40" s="35"/>
      <c r="AB40" s="35"/>
      <c r="AC40" s="35"/>
      <c r="AD40" s="35"/>
      <c r="AE40" s="35"/>
      <c r="AF40" s="35"/>
      <c r="AG40" s="35"/>
      <c r="AH40" s="35"/>
      <c r="AI40" s="35"/>
      <c r="AJ40" s="35"/>
      <c r="AK40" s="35"/>
      <c r="AL40" s="35"/>
    </row>
    <row r="41" ht="52.5" customHeight="1">
      <c r="A41" s="55"/>
      <c r="B41" s="75" t="s">
        <v>221</v>
      </c>
      <c r="C41" s="77" t="s">
        <v>306</v>
      </c>
      <c r="D41" s="47"/>
      <c r="E41" s="56" t="s">
        <v>331</v>
      </c>
      <c r="F41" s="22" t="s">
        <v>332</v>
      </c>
      <c r="G41" s="57">
        <v>2023.0</v>
      </c>
      <c r="H41" s="22" t="s">
        <v>333</v>
      </c>
      <c r="I41" s="58" t="s">
        <v>334</v>
      </c>
      <c r="J41" s="56" t="s">
        <v>253</v>
      </c>
      <c r="K41" s="56"/>
      <c r="L41" s="69">
        <v>650.0</v>
      </c>
      <c r="M41" s="69"/>
      <c r="N41" s="69"/>
      <c r="O41" s="72"/>
      <c r="P41" s="70"/>
      <c r="Q41" s="69"/>
      <c r="R41" s="69"/>
      <c r="S41" s="69"/>
      <c r="T41" s="63" t="s">
        <v>335</v>
      </c>
      <c r="U41" s="60" t="s">
        <v>61</v>
      </c>
      <c r="V41" s="30"/>
      <c r="W41" s="49"/>
      <c r="X41" s="49"/>
      <c r="Y41" s="35"/>
      <c r="Z41" s="35"/>
      <c r="AA41" s="35"/>
      <c r="AB41" s="35"/>
      <c r="AC41" s="35"/>
      <c r="AD41" s="35"/>
      <c r="AE41" s="35"/>
      <c r="AF41" s="35"/>
      <c r="AG41" s="35"/>
      <c r="AH41" s="35"/>
      <c r="AI41" s="35"/>
      <c r="AJ41" s="35"/>
      <c r="AK41" s="35"/>
      <c r="AL41" s="35"/>
    </row>
    <row r="42" ht="52.5" customHeight="1">
      <c r="A42" s="55"/>
      <c r="B42" s="75" t="s">
        <v>221</v>
      </c>
      <c r="C42" s="77" t="s">
        <v>306</v>
      </c>
      <c r="D42" s="47"/>
      <c r="E42" s="56" t="s">
        <v>336</v>
      </c>
      <c r="F42" s="22" t="s">
        <v>241</v>
      </c>
      <c r="G42" s="57">
        <v>2022.0</v>
      </c>
      <c r="H42" s="22" t="s">
        <v>337</v>
      </c>
      <c r="I42" s="58" t="s">
        <v>338</v>
      </c>
      <c r="J42" s="56" t="s">
        <v>55</v>
      </c>
      <c r="K42" s="56"/>
      <c r="L42" s="69">
        <v>830.0</v>
      </c>
      <c r="M42" s="69">
        <v>30.0</v>
      </c>
      <c r="N42" s="69" t="s">
        <v>339</v>
      </c>
      <c r="O42" s="72">
        <v>44806.0</v>
      </c>
      <c r="P42" s="70" t="s">
        <v>340</v>
      </c>
      <c r="Q42" s="69" t="s">
        <v>341</v>
      </c>
      <c r="R42" s="69" t="s">
        <v>342</v>
      </c>
      <c r="S42" s="69" t="s">
        <v>343</v>
      </c>
      <c r="T42" s="63" t="s">
        <v>344</v>
      </c>
      <c r="U42" s="60" t="s">
        <v>61</v>
      </c>
      <c r="V42" s="30" t="s">
        <v>345</v>
      </c>
      <c r="W42" s="49"/>
      <c r="X42" s="49"/>
      <c r="Y42" s="35"/>
      <c r="Z42" s="35"/>
      <c r="AA42" s="35"/>
      <c r="AB42" s="35"/>
      <c r="AC42" s="35"/>
      <c r="AD42" s="35"/>
      <c r="AE42" s="35"/>
      <c r="AF42" s="35"/>
      <c r="AG42" s="35"/>
      <c r="AH42" s="35"/>
      <c r="AI42" s="35"/>
      <c r="AJ42" s="35"/>
      <c r="AK42" s="35"/>
      <c r="AL42" s="35"/>
    </row>
    <row r="43" ht="52.5" customHeight="1">
      <c r="A43" s="55"/>
      <c r="B43" s="75" t="s">
        <v>221</v>
      </c>
      <c r="C43" s="77" t="s">
        <v>306</v>
      </c>
      <c r="D43" s="47"/>
      <c r="E43" s="56" t="s">
        <v>346</v>
      </c>
      <c r="F43" s="22" t="s">
        <v>347</v>
      </c>
      <c r="G43" s="57">
        <v>2023.0</v>
      </c>
      <c r="H43" s="22" t="s">
        <v>348</v>
      </c>
      <c r="I43" s="58" t="s">
        <v>349</v>
      </c>
      <c r="J43" s="56" t="s">
        <v>350</v>
      </c>
      <c r="K43" s="56"/>
      <c r="L43" s="80" t="s">
        <v>351</v>
      </c>
      <c r="M43" s="44"/>
      <c r="N43" s="44"/>
      <c r="O43" s="44"/>
      <c r="P43" s="44"/>
      <c r="Q43" s="44"/>
      <c r="R43" s="44"/>
      <c r="S43" s="44"/>
      <c r="T43" s="45"/>
      <c r="U43" s="60" t="s">
        <v>61</v>
      </c>
      <c r="V43" s="50"/>
      <c r="W43" s="49"/>
      <c r="X43" s="49"/>
      <c r="Y43" s="35"/>
      <c r="Z43" s="35"/>
      <c r="AA43" s="35"/>
      <c r="AB43" s="35"/>
      <c r="AC43" s="35"/>
      <c r="AD43" s="35"/>
      <c r="AE43" s="35"/>
      <c r="AF43" s="35"/>
      <c r="AG43" s="35"/>
      <c r="AH43" s="35"/>
      <c r="AI43" s="35"/>
      <c r="AJ43" s="35"/>
      <c r="AK43" s="35"/>
      <c r="AL43" s="35"/>
    </row>
    <row r="44" ht="52.5" customHeight="1">
      <c r="A44" s="55"/>
      <c r="B44" s="75" t="s">
        <v>221</v>
      </c>
      <c r="C44" s="77" t="s">
        <v>306</v>
      </c>
      <c r="D44" s="47"/>
      <c r="E44" s="56" t="s">
        <v>352</v>
      </c>
      <c r="F44" s="22"/>
      <c r="G44" s="57">
        <v>2023.0</v>
      </c>
      <c r="H44" s="22" t="s">
        <v>328</v>
      </c>
      <c r="I44" s="58" t="s">
        <v>353</v>
      </c>
      <c r="J44" s="56" t="s">
        <v>55</v>
      </c>
      <c r="K44" s="56"/>
      <c r="L44" s="69">
        <v>730.0</v>
      </c>
      <c r="M44" s="69">
        <v>100.0</v>
      </c>
      <c r="N44" s="69"/>
      <c r="O44" s="69" t="s">
        <v>354</v>
      </c>
      <c r="P44" s="70" t="s">
        <v>355</v>
      </c>
      <c r="Q44" s="69"/>
      <c r="R44" s="69"/>
      <c r="S44" s="69"/>
      <c r="T44" s="74" t="s">
        <v>356</v>
      </c>
      <c r="U44" s="60" t="s">
        <v>61</v>
      </c>
      <c r="V44" s="50"/>
      <c r="W44" s="49"/>
      <c r="X44" s="49"/>
      <c r="Y44" s="35"/>
      <c r="Z44" s="35"/>
      <c r="AA44" s="35"/>
      <c r="AB44" s="35"/>
      <c r="AC44" s="35"/>
      <c r="AD44" s="35"/>
      <c r="AE44" s="35"/>
      <c r="AF44" s="35"/>
      <c r="AG44" s="35"/>
      <c r="AH44" s="35"/>
      <c r="AI44" s="35"/>
      <c r="AJ44" s="35"/>
      <c r="AK44" s="35"/>
      <c r="AL44" s="35"/>
    </row>
    <row r="45" ht="52.5" customHeight="1">
      <c r="A45" s="55"/>
      <c r="B45" s="75" t="s">
        <v>221</v>
      </c>
      <c r="C45" s="77" t="s">
        <v>306</v>
      </c>
      <c r="D45" s="47"/>
      <c r="E45" s="56" t="s">
        <v>357</v>
      </c>
      <c r="F45" s="22" t="s">
        <v>358</v>
      </c>
      <c r="G45" s="57">
        <v>2023.0</v>
      </c>
      <c r="H45" s="22" t="s">
        <v>328</v>
      </c>
      <c r="I45" s="58" t="s">
        <v>359</v>
      </c>
      <c r="J45" s="56" t="s">
        <v>55</v>
      </c>
      <c r="K45" s="56"/>
      <c r="L45" s="69">
        <v>808.0</v>
      </c>
      <c r="M45" s="69">
        <v>40.0</v>
      </c>
      <c r="N45" s="69" t="s">
        <v>360</v>
      </c>
      <c r="O45" s="69" t="s">
        <v>361</v>
      </c>
      <c r="P45" s="70" t="s">
        <v>254</v>
      </c>
      <c r="Q45" s="69" t="s">
        <v>151</v>
      </c>
      <c r="R45" s="69" t="s">
        <v>362</v>
      </c>
      <c r="S45" s="69" t="s">
        <v>363</v>
      </c>
      <c r="T45" s="63" t="s">
        <v>364</v>
      </c>
      <c r="U45" s="60" t="s">
        <v>61</v>
      </c>
      <c r="V45" s="50"/>
      <c r="W45" s="49"/>
      <c r="X45" s="49"/>
      <c r="Y45" s="35"/>
      <c r="Z45" s="35"/>
      <c r="AA45" s="35"/>
      <c r="AB45" s="35"/>
      <c r="AC45" s="35"/>
      <c r="AD45" s="35"/>
      <c r="AE45" s="35"/>
      <c r="AF45" s="35"/>
      <c r="AG45" s="35"/>
      <c r="AH45" s="35"/>
      <c r="AI45" s="35"/>
      <c r="AJ45" s="35"/>
      <c r="AK45" s="35"/>
      <c r="AL45" s="35"/>
    </row>
    <row r="46" ht="52.5" customHeight="1">
      <c r="A46" s="55"/>
      <c r="B46" s="75" t="s">
        <v>221</v>
      </c>
      <c r="C46" s="77" t="s">
        <v>306</v>
      </c>
      <c r="D46" s="47"/>
      <c r="E46" s="56" t="s">
        <v>365</v>
      </c>
      <c r="F46" s="22" t="s">
        <v>366</v>
      </c>
      <c r="G46" s="57">
        <v>2023.0</v>
      </c>
      <c r="H46" s="22" t="s">
        <v>91</v>
      </c>
      <c r="I46" s="58" t="s">
        <v>367</v>
      </c>
      <c r="J46" s="56" t="s">
        <v>55</v>
      </c>
      <c r="K46" s="56"/>
      <c r="L46" s="69">
        <v>1064.0</v>
      </c>
      <c r="M46" s="69"/>
      <c r="N46" s="72">
        <v>45110.0</v>
      </c>
      <c r="O46" s="69"/>
      <c r="P46" s="70" t="s">
        <v>368</v>
      </c>
      <c r="Q46" s="69"/>
      <c r="R46" s="69">
        <v>20.0</v>
      </c>
      <c r="S46" s="69" t="s">
        <v>369</v>
      </c>
      <c r="T46" s="63" t="s">
        <v>370</v>
      </c>
      <c r="U46" s="60" t="s">
        <v>61</v>
      </c>
      <c r="V46" s="50"/>
      <c r="W46" s="49"/>
      <c r="X46" s="49"/>
      <c r="Y46" s="35"/>
      <c r="Z46" s="35"/>
      <c r="AA46" s="35"/>
      <c r="AB46" s="35"/>
      <c r="AC46" s="35"/>
      <c r="AD46" s="35"/>
      <c r="AE46" s="35"/>
      <c r="AF46" s="35"/>
      <c r="AG46" s="35"/>
      <c r="AH46" s="35"/>
      <c r="AI46" s="35"/>
      <c r="AJ46" s="35"/>
      <c r="AK46" s="35"/>
      <c r="AL46" s="35"/>
    </row>
    <row r="47" ht="52.5" customHeight="1">
      <c r="A47" s="55"/>
      <c r="B47" s="75" t="s">
        <v>221</v>
      </c>
      <c r="C47" s="77" t="s">
        <v>306</v>
      </c>
      <c r="D47" s="47"/>
      <c r="E47" s="56" t="s">
        <v>371</v>
      </c>
      <c r="F47" s="22" t="s">
        <v>366</v>
      </c>
      <c r="G47" s="57">
        <v>2023.0</v>
      </c>
      <c r="H47" s="22" t="s">
        <v>372</v>
      </c>
      <c r="I47" s="58" t="s">
        <v>373</v>
      </c>
      <c r="J47" s="56" t="s">
        <v>55</v>
      </c>
      <c r="K47" s="56" t="s">
        <v>374</v>
      </c>
      <c r="L47" s="69">
        <v>10600.0</v>
      </c>
      <c r="M47" s="69"/>
      <c r="N47" s="69"/>
      <c r="O47" s="69"/>
      <c r="P47" s="70"/>
      <c r="Q47" s="69"/>
      <c r="R47" s="69"/>
      <c r="S47" s="69"/>
      <c r="T47" s="63" t="s">
        <v>375</v>
      </c>
      <c r="U47" s="60" t="s">
        <v>61</v>
      </c>
      <c r="V47" s="50"/>
      <c r="W47" s="49"/>
      <c r="X47" s="49"/>
      <c r="Y47" s="35"/>
      <c r="Z47" s="35"/>
      <c r="AA47" s="35"/>
      <c r="AB47" s="35"/>
      <c r="AC47" s="35"/>
      <c r="AD47" s="35"/>
      <c r="AE47" s="35"/>
      <c r="AF47" s="35"/>
      <c r="AG47" s="35"/>
      <c r="AH47" s="35"/>
      <c r="AI47" s="35"/>
      <c r="AJ47" s="35"/>
      <c r="AK47" s="35"/>
      <c r="AL47" s="35"/>
    </row>
    <row r="48" ht="52.5" customHeight="1">
      <c r="A48" s="55"/>
      <c r="B48" s="75" t="s">
        <v>221</v>
      </c>
      <c r="C48" s="76" t="s">
        <v>306</v>
      </c>
      <c r="D48" s="47"/>
      <c r="E48" s="56" t="s">
        <v>223</v>
      </c>
      <c r="F48" s="22" t="s">
        <v>224</v>
      </c>
      <c r="G48" s="57">
        <v>2023.0</v>
      </c>
      <c r="H48" s="22" t="s">
        <v>376</v>
      </c>
      <c r="I48" s="58" t="s">
        <v>377</v>
      </c>
      <c r="J48" s="56" t="s">
        <v>378</v>
      </c>
      <c r="K48" s="56"/>
      <c r="L48" s="69">
        <v>808.0</v>
      </c>
      <c r="M48" s="69" t="s">
        <v>379</v>
      </c>
      <c r="N48" s="69"/>
      <c r="O48" s="69"/>
      <c r="P48" s="70" t="s">
        <v>279</v>
      </c>
      <c r="Q48" s="69"/>
      <c r="R48" s="69">
        <v>600.0</v>
      </c>
      <c r="S48" s="69"/>
      <c r="T48" s="63" t="s">
        <v>380</v>
      </c>
      <c r="U48" s="60" t="s">
        <v>61</v>
      </c>
      <c r="V48" s="50"/>
      <c r="W48" s="49"/>
      <c r="X48" s="49"/>
      <c r="Y48" s="35"/>
      <c r="Z48" s="35"/>
      <c r="AA48" s="35"/>
      <c r="AB48" s="35"/>
      <c r="AC48" s="35"/>
      <c r="AD48" s="35"/>
      <c r="AE48" s="35"/>
      <c r="AF48" s="35"/>
      <c r="AG48" s="35"/>
      <c r="AH48" s="35"/>
      <c r="AI48" s="35"/>
      <c r="AJ48" s="35"/>
      <c r="AK48" s="35"/>
      <c r="AL48" s="35"/>
    </row>
    <row r="49" ht="52.5" customHeight="1">
      <c r="A49" s="55"/>
      <c r="B49" s="75" t="s">
        <v>221</v>
      </c>
      <c r="C49" s="76" t="s">
        <v>306</v>
      </c>
      <c r="D49" s="47"/>
      <c r="E49" s="56" t="s">
        <v>381</v>
      </c>
      <c r="F49" s="22" t="s">
        <v>382</v>
      </c>
      <c r="G49" s="57">
        <v>2023.0</v>
      </c>
      <c r="H49" s="22" t="s">
        <v>383</v>
      </c>
      <c r="I49" s="58" t="s">
        <v>384</v>
      </c>
      <c r="J49" s="56" t="s">
        <v>253</v>
      </c>
      <c r="K49" s="56"/>
      <c r="L49" s="69">
        <v>1064.0</v>
      </c>
      <c r="M49" s="69"/>
      <c r="N49" s="69"/>
      <c r="O49" s="69"/>
      <c r="P49" s="70" t="s">
        <v>385</v>
      </c>
      <c r="Q49" s="69" t="s">
        <v>386</v>
      </c>
      <c r="R49" s="69"/>
      <c r="S49" s="69"/>
      <c r="T49" s="63" t="s">
        <v>387</v>
      </c>
      <c r="U49" s="60" t="s">
        <v>61</v>
      </c>
      <c r="V49" s="50"/>
      <c r="W49" s="49"/>
      <c r="X49" s="49"/>
      <c r="Y49" s="35"/>
      <c r="Z49" s="35"/>
      <c r="AA49" s="35"/>
      <c r="AB49" s="35"/>
      <c r="AC49" s="35"/>
      <c r="AD49" s="35"/>
      <c r="AE49" s="35"/>
      <c r="AF49" s="35"/>
      <c r="AG49" s="35"/>
      <c r="AH49" s="35"/>
      <c r="AI49" s="35"/>
      <c r="AJ49" s="35"/>
      <c r="AK49" s="35"/>
      <c r="AL49" s="35"/>
    </row>
    <row r="50" ht="52.5" customHeight="1">
      <c r="A50" s="55"/>
      <c r="B50" s="75" t="s">
        <v>221</v>
      </c>
      <c r="C50" s="76" t="s">
        <v>306</v>
      </c>
      <c r="D50" s="47"/>
      <c r="E50" s="56" t="s">
        <v>388</v>
      </c>
      <c r="F50" s="22" t="s">
        <v>389</v>
      </c>
      <c r="G50" s="57">
        <v>2022.0</v>
      </c>
      <c r="H50" s="22" t="s">
        <v>147</v>
      </c>
      <c r="I50" s="58" t="s">
        <v>390</v>
      </c>
      <c r="J50" s="56" t="s">
        <v>55</v>
      </c>
      <c r="K50" s="56" t="s">
        <v>391</v>
      </c>
      <c r="L50" s="69"/>
      <c r="M50" s="69"/>
      <c r="N50" s="69"/>
      <c r="O50" s="69"/>
      <c r="P50" s="70"/>
      <c r="Q50" s="69"/>
      <c r="R50" s="69"/>
      <c r="S50" s="69"/>
      <c r="T50" s="63" t="s">
        <v>392</v>
      </c>
      <c r="U50" s="60" t="s">
        <v>61</v>
      </c>
      <c r="V50" s="50"/>
      <c r="W50" s="49"/>
      <c r="X50" s="49"/>
      <c r="Y50" s="35"/>
      <c r="Z50" s="35"/>
      <c r="AA50" s="35"/>
      <c r="AB50" s="35"/>
      <c r="AC50" s="35"/>
      <c r="AD50" s="35"/>
      <c r="AE50" s="35"/>
      <c r="AF50" s="35"/>
      <c r="AG50" s="35"/>
      <c r="AH50" s="35"/>
      <c r="AI50" s="35"/>
      <c r="AJ50" s="35"/>
      <c r="AK50" s="35"/>
      <c r="AL50" s="35"/>
    </row>
    <row r="51" ht="52.5" customHeight="1">
      <c r="A51" s="55"/>
      <c r="B51" s="75" t="s">
        <v>221</v>
      </c>
      <c r="C51" s="76" t="s">
        <v>306</v>
      </c>
      <c r="D51" s="47"/>
      <c r="E51" s="56" t="s">
        <v>393</v>
      </c>
      <c r="F51" s="22" t="s">
        <v>394</v>
      </c>
      <c r="G51" s="57">
        <v>2022.0</v>
      </c>
      <c r="H51" s="22" t="s">
        <v>147</v>
      </c>
      <c r="I51" s="58" t="s">
        <v>395</v>
      </c>
      <c r="J51" s="56" t="s">
        <v>55</v>
      </c>
      <c r="K51" s="81" t="s">
        <v>172</v>
      </c>
      <c r="L51" s="69">
        <v>660.0</v>
      </c>
      <c r="M51" s="69">
        <v>30.0</v>
      </c>
      <c r="N51" s="69"/>
      <c r="O51" s="69">
        <v>45.0</v>
      </c>
      <c r="P51" s="70"/>
      <c r="Q51" s="69" t="s">
        <v>396</v>
      </c>
      <c r="R51" s="69" t="s">
        <v>397</v>
      </c>
      <c r="S51" s="69"/>
      <c r="T51" s="63" t="s">
        <v>398</v>
      </c>
      <c r="U51" s="60" t="s">
        <v>61</v>
      </c>
      <c r="V51" s="50"/>
      <c r="W51" s="49"/>
      <c r="X51" s="49"/>
      <c r="Y51" s="35"/>
      <c r="Z51" s="35"/>
      <c r="AA51" s="35"/>
      <c r="AB51" s="35"/>
      <c r="AC51" s="35"/>
      <c r="AD51" s="35"/>
      <c r="AE51" s="35"/>
      <c r="AF51" s="35"/>
      <c r="AG51" s="35"/>
      <c r="AH51" s="35"/>
      <c r="AI51" s="35"/>
      <c r="AJ51" s="35"/>
      <c r="AK51" s="35"/>
      <c r="AL51" s="35"/>
    </row>
    <row r="52" ht="52.5" customHeight="1">
      <c r="A52" s="55"/>
      <c r="B52" s="75" t="s">
        <v>221</v>
      </c>
      <c r="C52" s="76" t="s">
        <v>306</v>
      </c>
      <c r="D52" s="47"/>
      <c r="E52" s="56" t="s">
        <v>399</v>
      </c>
      <c r="F52" s="22" t="s">
        <v>400</v>
      </c>
      <c r="G52" s="57">
        <v>2022.0</v>
      </c>
      <c r="H52" s="22" t="s">
        <v>401</v>
      </c>
      <c r="I52" s="58" t="s">
        <v>402</v>
      </c>
      <c r="J52" s="56" t="s">
        <v>55</v>
      </c>
      <c r="K52" s="56"/>
      <c r="L52" s="69">
        <v>730.0</v>
      </c>
      <c r="M52" s="69" t="s">
        <v>403</v>
      </c>
      <c r="N52" s="69"/>
      <c r="O52" s="69" t="s">
        <v>404</v>
      </c>
      <c r="P52" s="70" t="s">
        <v>405</v>
      </c>
      <c r="Q52" s="69"/>
      <c r="R52" s="69"/>
      <c r="S52" s="69"/>
      <c r="T52" s="63" t="s">
        <v>406</v>
      </c>
      <c r="U52" s="60" t="s">
        <v>61</v>
      </c>
      <c r="V52" s="50"/>
      <c r="W52" s="49"/>
      <c r="X52" s="49"/>
      <c r="Y52" s="35"/>
      <c r="Z52" s="35"/>
      <c r="AA52" s="35"/>
      <c r="AB52" s="35"/>
      <c r="AC52" s="35"/>
      <c r="AD52" s="35"/>
      <c r="AE52" s="35"/>
      <c r="AF52" s="35"/>
      <c r="AG52" s="35"/>
      <c r="AH52" s="35"/>
      <c r="AI52" s="35"/>
      <c r="AJ52" s="35"/>
      <c r="AK52" s="35"/>
      <c r="AL52" s="35"/>
    </row>
    <row r="53" ht="52.5" customHeight="1">
      <c r="A53" s="55"/>
      <c r="B53" s="75" t="s">
        <v>221</v>
      </c>
      <c r="C53" s="76" t="s">
        <v>306</v>
      </c>
      <c r="D53" s="47"/>
      <c r="E53" s="56" t="s">
        <v>407</v>
      </c>
      <c r="F53" s="22" t="s">
        <v>408</v>
      </c>
      <c r="G53" s="57">
        <v>2022.0</v>
      </c>
      <c r="H53" s="22" t="s">
        <v>91</v>
      </c>
      <c r="I53" s="58" t="s">
        <v>409</v>
      </c>
      <c r="J53" s="56" t="s">
        <v>55</v>
      </c>
      <c r="K53" s="56" t="s">
        <v>410</v>
      </c>
      <c r="L53" s="69">
        <v>905.0</v>
      </c>
      <c r="M53" s="69">
        <v>25.0</v>
      </c>
      <c r="N53" s="69"/>
      <c r="O53" s="69"/>
      <c r="P53" s="70"/>
      <c r="Q53" s="69"/>
      <c r="R53" s="69"/>
      <c r="S53" s="69"/>
      <c r="T53" s="74" t="s">
        <v>411</v>
      </c>
      <c r="U53" s="60" t="s">
        <v>61</v>
      </c>
      <c r="V53" s="50"/>
      <c r="W53" s="49"/>
      <c r="X53" s="49"/>
      <c r="Y53" s="35"/>
      <c r="Z53" s="35"/>
      <c r="AA53" s="35"/>
      <c r="AB53" s="35"/>
      <c r="AC53" s="35"/>
      <c r="AD53" s="35"/>
      <c r="AE53" s="35"/>
      <c r="AF53" s="35"/>
      <c r="AG53" s="35"/>
      <c r="AH53" s="35"/>
      <c r="AI53" s="35"/>
      <c r="AJ53" s="35"/>
      <c r="AK53" s="35"/>
      <c r="AL53" s="35"/>
    </row>
    <row r="54" ht="52.5" customHeight="1">
      <c r="A54" s="55"/>
      <c r="B54" s="75" t="s">
        <v>221</v>
      </c>
      <c r="C54" s="76" t="s">
        <v>306</v>
      </c>
      <c r="D54" s="47"/>
      <c r="E54" s="56" t="s">
        <v>412</v>
      </c>
      <c r="F54" s="22" t="s">
        <v>323</v>
      </c>
      <c r="G54" s="57">
        <v>2023.0</v>
      </c>
      <c r="H54" s="22" t="s">
        <v>207</v>
      </c>
      <c r="I54" s="58" t="s">
        <v>413</v>
      </c>
      <c r="J54" s="56" t="s">
        <v>55</v>
      </c>
      <c r="K54" s="56"/>
      <c r="L54" s="69">
        <v>810.0</v>
      </c>
      <c r="M54" s="69"/>
      <c r="N54" s="69" t="s">
        <v>414</v>
      </c>
      <c r="O54" s="69"/>
      <c r="P54" s="70" t="s">
        <v>254</v>
      </c>
      <c r="Q54" s="69"/>
      <c r="R54" s="69"/>
      <c r="S54" s="69"/>
      <c r="T54" s="63" t="s">
        <v>415</v>
      </c>
      <c r="U54" s="60" t="s">
        <v>61</v>
      </c>
      <c r="V54" s="50"/>
      <c r="W54" s="49"/>
      <c r="X54" s="49"/>
      <c r="Y54" s="35"/>
      <c r="Z54" s="35"/>
      <c r="AA54" s="35"/>
      <c r="AB54" s="35"/>
      <c r="AC54" s="35"/>
      <c r="AD54" s="35"/>
      <c r="AE54" s="35"/>
      <c r="AF54" s="35"/>
      <c r="AG54" s="35"/>
      <c r="AH54" s="35"/>
      <c r="AI54" s="35"/>
      <c r="AJ54" s="35"/>
      <c r="AK54" s="35"/>
      <c r="AL54" s="35"/>
    </row>
    <row r="55" ht="52.5" customHeight="1">
      <c r="A55" s="55" t="s">
        <v>38</v>
      </c>
      <c r="B55" s="75" t="s">
        <v>221</v>
      </c>
      <c r="C55" s="76" t="s">
        <v>306</v>
      </c>
      <c r="D55" s="47"/>
      <c r="E55" s="56" t="s">
        <v>336</v>
      </c>
      <c r="F55" s="22" t="s">
        <v>241</v>
      </c>
      <c r="G55" s="57">
        <v>2023.0</v>
      </c>
      <c r="H55" s="22" t="s">
        <v>416</v>
      </c>
      <c r="I55" s="58" t="s">
        <v>417</v>
      </c>
      <c r="J55" s="56" t="s">
        <v>55</v>
      </c>
      <c r="K55" s="56"/>
      <c r="L55" s="69">
        <v>808.0</v>
      </c>
      <c r="M55" s="69">
        <v>100.0</v>
      </c>
      <c r="N55" s="69" t="s">
        <v>278</v>
      </c>
      <c r="O55" s="69" t="s">
        <v>418</v>
      </c>
      <c r="P55" s="70"/>
      <c r="Q55" s="69" t="s">
        <v>419</v>
      </c>
      <c r="R55" s="69" t="s">
        <v>420</v>
      </c>
      <c r="S55" s="69"/>
      <c r="T55" s="63" t="s">
        <v>421</v>
      </c>
      <c r="U55" s="60" t="s">
        <v>61</v>
      </c>
      <c r="V55" s="50"/>
      <c r="W55" s="49"/>
      <c r="X55" s="49"/>
      <c r="Y55" s="35"/>
      <c r="Z55" s="35"/>
      <c r="AA55" s="35"/>
      <c r="AB55" s="35"/>
      <c r="AC55" s="35"/>
      <c r="AD55" s="35"/>
      <c r="AE55" s="35"/>
      <c r="AF55" s="35"/>
      <c r="AG55" s="35"/>
      <c r="AH55" s="35"/>
      <c r="AI55" s="35"/>
      <c r="AJ55" s="35"/>
      <c r="AK55" s="35"/>
      <c r="AL55" s="35"/>
    </row>
    <row r="56" ht="52.5" customHeight="1">
      <c r="A56" s="55"/>
      <c r="B56" s="75" t="s">
        <v>221</v>
      </c>
      <c r="C56" s="76" t="s">
        <v>306</v>
      </c>
      <c r="D56" s="47"/>
      <c r="E56" s="56" t="s">
        <v>422</v>
      </c>
      <c r="F56" s="22" t="s">
        <v>323</v>
      </c>
      <c r="G56" s="57">
        <v>2022.0</v>
      </c>
      <c r="H56" s="22" t="s">
        <v>147</v>
      </c>
      <c r="I56" s="58" t="s">
        <v>423</v>
      </c>
      <c r="J56" s="56" t="s">
        <v>378</v>
      </c>
      <c r="K56" s="56"/>
      <c r="L56" s="69">
        <v>890.0</v>
      </c>
      <c r="M56" s="69">
        <v>1.0</v>
      </c>
      <c r="N56" s="69"/>
      <c r="O56" s="69"/>
      <c r="P56" s="70" t="s">
        <v>424</v>
      </c>
      <c r="Q56" s="69" t="s">
        <v>425</v>
      </c>
      <c r="R56" s="69">
        <v>900.0</v>
      </c>
      <c r="S56" s="69"/>
      <c r="T56" s="63" t="s">
        <v>426</v>
      </c>
      <c r="U56" s="60" t="s">
        <v>61</v>
      </c>
      <c r="V56" s="50"/>
      <c r="W56" s="49"/>
      <c r="X56" s="49"/>
      <c r="Y56" s="35"/>
      <c r="Z56" s="35"/>
      <c r="AA56" s="35"/>
      <c r="AB56" s="35"/>
      <c r="AC56" s="35"/>
      <c r="AD56" s="35"/>
      <c r="AE56" s="35"/>
      <c r="AF56" s="35"/>
      <c r="AG56" s="35"/>
      <c r="AH56" s="35"/>
      <c r="AI56" s="35"/>
      <c r="AJ56" s="35"/>
      <c r="AK56" s="35"/>
      <c r="AL56" s="35"/>
    </row>
    <row r="57" ht="52.5" customHeight="1">
      <c r="A57" s="55"/>
      <c r="B57" s="75" t="s">
        <v>221</v>
      </c>
      <c r="C57" s="76" t="s">
        <v>306</v>
      </c>
      <c r="D57" s="47"/>
      <c r="E57" s="56" t="s">
        <v>427</v>
      </c>
      <c r="F57" s="22" t="s">
        <v>428</v>
      </c>
      <c r="G57" s="57">
        <v>2022.0</v>
      </c>
      <c r="H57" s="22" t="s">
        <v>429</v>
      </c>
      <c r="I57" s="58" t="s">
        <v>430</v>
      </c>
      <c r="J57" s="56" t="s">
        <v>253</v>
      </c>
      <c r="K57" s="56"/>
      <c r="L57" s="69">
        <v>808.0</v>
      </c>
      <c r="M57" s="69">
        <v>250.0</v>
      </c>
      <c r="N57" s="69" t="s">
        <v>431</v>
      </c>
      <c r="O57" s="69"/>
      <c r="P57" s="70" t="s">
        <v>432</v>
      </c>
      <c r="Q57" s="69" t="s">
        <v>433</v>
      </c>
      <c r="R57" s="69">
        <v>20.0</v>
      </c>
      <c r="S57" s="69" t="s">
        <v>434</v>
      </c>
      <c r="T57" s="63" t="s">
        <v>435</v>
      </c>
      <c r="U57" s="60" t="s">
        <v>61</v>
      </c>
      <c r="V57" s="50"/>
      <c r="W57" s="49"/>
      <c r="X57" s="49"/>
      <c r="Y57" s="35"/>
      <c r="Z57" s="35"/>
      <c r="AA57" s="35"/>
      <c r="AB57" s="35"/>
      <c r="AC57" s="35"/>
      <c r="AD57" s="35"/>
      <c r="AE57" s="35"/>
      <c r="AF57" s="35"/>
      <c r="AG57" s="35"/>
      <c r="AH57" s="35"/>
      <c r="AI57" s="35"/>
      <c r="AJ57" s="35"/>
      <c r="AK57" s="35"/>
      <c r="AL57" s="35"/>
    </row>
    <row r="58" ht="52.5" customHeight="1">
      <c r="A58" s="55"/>
      <c r="B58" s="75" t="s">
        <v>221</v>
      </c>
      <c r="C58" s="76" t="s">
        <v>306</v>
      </c>
      <c r="D58" s="47"/>
      <c r="E58" s="56" t="s">
        <v>88</v>
      </c>
      <c r="F58" s="22" t="s">
        <v>436</v>
      </c>
      <c r="G58" s="57">
        <v>2022.0</v>
      </c>
      <c r="H58" s="22" t="s">
        <v>348</v>
      </c>
      <c r="I58" s="58" t="s">
        <v>437</v>
      </c>
      <c r="J58" s="56" t="s">
        <v>55</v>
      </c>
      <c r="K58" s="56"/>
      <c r="L58" s="69">
        <v>904.0</v>
      </c>
      <c r="M58" s="69">
        <v>70.0</v>
      </c>
      <c r="N58" s="69">
        <v>7.0</v>
      </c>
      <c r="O58" s="69" t="s">
        <v>438</v>
      </c>
      <c r="P58" s="70" t="s">
        <v>439</v>
      </c>
      <c r="Q58" s="69" t="s">
        <v>440</v>
      </c>
      <c r="R58" s="69" t="s">
        <v>441</v>
      </c>
      <c r="S58" s="69" t="s">
        <v>442</v>
      </c>
      <c r="T58" s="63" t="s">
        <v>443</v>
      </c>
      <c r="U58" s="64" t="s">
        <v>61</v>
      </c>
      <c r="V58" s="50"/>
      <c r="W58" s="49"/>
      <c r="X58" s="49"/>
      <c r="Y58" s="35"/>
      <c r="Z58" s="35"/>
      <c r="AA58" s="35"/>
      <c r="AB58" s="35"/>
      <c r="AC58" s="35"/>
      <c r="AD58" s="35"/>
      <c r="AE58" s="35"/>
      <c r="AF58" s="35"/>
      <c r="AG58" s="35"/>
      <c r="AH58" s="35"/>
      <c r="AI58" s="35"/>
      <c r="AJ58" s="35"/>
      <c r="AK58" s="35"/>
      <c r="AL58" s="35"/>
    </row>
    <row r="59" ht="52.5" customHeight="1">
      <c r="A59" s="55"/>
      <c r="B59" s="75" t="s">
        <v>221</v>
      </c>
      <c r="C59" s="76" t="s">
        <v>306</v>
      </c>
      <c r="D59" s="47"/>
      <c r="E59" s="56" t="s">
        <v>444</v>
      </c>
      <c r="F59" s="22" t="s">
        <v>445</v>
      </c>
      <c r="G59" s="57">
        <v>2022.0</v>
      </c>
      <c r="H59" s="22" t="s">
        <v>337</v>
      </c>
      <c r="I59" s="58" t="s">
        <v>446</v>
      </c>
      <c r="J59" s="56" t="s">
        <v>55</v>
      </c>
      <c r="K59" s="56"/>
      <c r="L59" s="69">
        <v>830.0</v>
      </c>
      <c r="M59" s="69">
        <v>30.0</v>
      </c>
      <c r="N59" s="69" t="s">
        <v>339</v>
      </c>
      <c r="O59" s="72">
        <v>44806.0</v>
      </c>
      <c r="P59" s="70" t="s">
        <v>447</v>
      </c>
      <c r="Q59" s="69" t="s">
        <v>245</v>
      </c>
      <c r="R59" s="69">
        <v>96.0</v>
      </c>
      <c r="S59" s="69" t="s">
        <v>448</v>
      </c>
      <c r="T59" s="63" t="s">
        <v>449</v>
      </c>
      <c r="U59" s="64" t="s">
        <v>61</v>
      </c>
      <c r="V59" s="50"/>
      <c r="W59" s="49"/>
      <c r="X59" s="49"/>
      <c r="Y59" s="35"/>
      <c r="Z59" s="35"/>
      <c r="AA59" s="35"/>
      <c r="AB59" s="35"/>
      <c r="AC59" s="35"/>
      <c r="AD59" s="35"/>
      <c r="AE59" s="35"/>
      <c r="AF59" s="35"/>
      <c r="AG59" s="35"/>
      <c r="AH59" s="35"/>
      <c r="AI59" s="35"/>
      <c r="AJ59" s="35"/>
      <c r="AK59" s="35"/>
      <c r="AL59" s="35"/>
    </row>
    <row r="60" ht="52.5" customHeight="1">
      <c r="A60" s="55"/>
      <c r="B60" s="75" t="s">
        <v>221</v>
      </c>
      <c r="C60" s="76" t="s">
        <v>306</v>
      </c>
      <c r="D60" s="47"/>
      <c r="E60" s="56" t="s">
        <v>450</v>
      </c>
      <c r="F60" s="22" t="s">
        <v>451</v>
      </c>
      <c r="G60" s="57">
        <v>2022.0</v>
      </c>
      <c r="H60" s="22" t="s">
        <v>452</v>
      </c>
      <c r="I60" s="58" t="s">
        <v>453</v>
      </c>
      <c r="J60" s="56" t="s">
        <v>55</v>
      </c>
      <c r="K60" s="56"/>
      <c r="L60" s="69">
        <v>808.0</v>
      </c>
      <c r="M60" s="69">
        <v>100.0</v>
      </c>
      <c r="N60" s="69"/>
      <c r="O60" s="69"/>
      <c r="P60" s="70" t="s">
        <v>454</v>
      </c>
      <c r="Q60" s="69" t="s">
        <v>455</v>
      </c>
      <c r="R60" s="69">
        <v>60.0</v>
      </c>
      <c r="S60" s="69" t="s">
        <v>456</v>
      </c>
      <c r="T60" s="63" t="s">
        <v>457</v>
      </c>
      <c r="U60" s="64" t="s">
        <v>61</v>
      </c>
      <c r="V60" s="50"/>
      <c r="W60" s="49"/>
      <c r="X60" s="49"/>
      <c r="Y60" s="35"/>
      <c r="Z60" s="35"/>
      <c r="AA60" s="35"/>
      <c r="AB60" s="35"/>
      <c r="AC60" s="35"/>
      <c r="AD60" s="35"/>
      <c r="AE60" s="35"/>
      <c r="AF60" s="35"/>
      <c r="AG60" s="35"/>
      <c r="AH60" s="35"/>
      <c r="AI60" s="35"/>
      <c r="AJ60" s="35"/>
      <c r="AK60" s="35"/>
      <c r="AL60" s="35"/>
    </row>
    <row r="61" ht="52.5" customHeight="1">
      <c r="A61" s="55"/>
      <c r="B61" s="75" t="s">
        <v>221</v>
      </c>
      <c r="C61" s="76" t="s">
        <v>306</v>
      </c>
      <c r="D61" s="47"/>
      <c r="E61" s="56" t="s">
        <v>458</v>
      </c>
      <c r="F61" s="22" t="s">
        <v>445</v>
      </c>
      <c r="G61" s="57">
        <v>2022.0</v>
      </c>
      <c r="H61" s="22" t="s">
        <v>459</v>
      </c>
      <c r="I61" s="58" t="s">
        <v>460</v>
      </c>
      <c r="J61" s="56" t="s">
        <v>55</v>
      </c>
      <c r="K61" s="56"/>
      <c r="L61" s="69">
        <v>830.0</v>
      </c>
      <c r="M61" s="69">
        <v>30.0</v>
      </c>
      <c r="N61" s="69"/>
      <c r="O61" s="69" t="s">
        <v>461</v>
      </c>
      <c r="P61" s="70" t="s">
        <v>447</v>
      </c>
      <c r="Q61" s="69" t="s">
        <v>245</v>
      </c>
      <c r="R61" s="69"/>
      <c r="S61" s="69" t="s">
        <v>462</v>
      </c>
      <c r="T61" s="63" t="s">
        <v>463</v>
      </c>
      <c r="U61" s="64" t="s">
        <v>61</v>
      </c>
      <c r="V61" s="50"/>
      <c r="W61" s="49"/>
      <c r="X61" s="49"/>
      <c r="Y61" s="35"/>
      <c r="Z61" s="35"/>
      <c r="AA61" s="35"/>
      <c r="AB61" s="35"/>
      <c r="AC61" s="35"/>
      <c r="AD61" s="35"/>
      <c r="AE61" s="35"/>
      <c r="AF61" s="35"/>
      <c r="AG61" s="35"/>
      <c r="AH61" s="35"/>
      <c r="AI61" s="35"/>
      <c r="AJ61" s="35"/>
      <c r="AK61" s="35"/>
      <c r="AL61" s="35"/>
    </row>
    <row r="62" ht="52.5" customHeight="1">
      <c r="A62" s="55"/>
      <c r="B62" s="75" t="s">
        <v>221</v>
      </c>
      <c r="C62" s="76" t="s">
        <v>306</v>
      </c>
      <c r="D62" s="47"/>
      <c r="E62" s="56" t="s">
        <v>422</v>
      </c>
      <c r="F62" s="22" t="s">
        <v>323</v>
      </c>
      <c r="G62" s="57">
        <v>2022.0</v>
      </c>
      <c r="H62" s="22" t="s">
        <v>91</v>
      </c>
      <c r="I62" s="58" t="s">
        <v>464</v>
      </c>
      <c r="J62" s="56" t="s">
        <v>55</v>
      </c>
      <c r="K62" s="56"/>
      <c r="L62" s="69" t="s">
        <v>465</v>
      </c>
      <c r="M62" s="69"/>
      <c r="N62" s="69"/>
      <c r="O62" s="72"/>
      <c r="P62" s="70"/>
      <c r="Q62" s="69"/>
      <c r="R62" s="69"/>
      <c r="S62" s="69"/>
      <c r="T62" s="74" t="s">
        <v>466</v>
      </c>
      <c r="U62" s="64" t="s">
        <v>61</v>
      </c>
      <c r="V62" s="50"/>
      <c r="W62" s="49"/>
      <c r="X62" s="49"/>
      <c r="Y62" s="35"/>
      <c r="Z62" s="35"/>
      <c r="AA62" s="35"/>
      <c r="AB62" s="35"/>
      <c r="AC62" s="35"/>
      <c r="AD62" s="35"/>
      <c r="AE62" s="35"/>
      <c r="AF62" s="35"/>
      <c r="AG62" s="35"/>
      <c r="AH62" s="35"/>
      <c r="AI62" s="35"/>
      <c r="AJ62" s="35"/>
      <c r="AK62" s="35"/>
      <c r="AL62" s="35"/>
    </row>
    <row r="63" ht="52.5" customHeight="1">
      <c r="A63" s="55"/>
      <c r="B63" s="75" t="s">
        <v>221</v>
      </c>
      <c r="C63" s="77" t="s">
        <v>306</v>
      </c>
      <c r="D63" s="47"/>
      <c r="E63" s="56" t="s">
        <v>467</v>
      </c>
      <c r="F63" s="22" t="s">
        <v>468</v>
      </c>
      <c r="G63" s="57">
        <v>2022.0</v>
      </c>
      <c r="H63" s="22" t="s">
        <v>469</v>
      </c>
      <c r="I63" s="58" t="s">
        <v>470</v>
      </c>
      <c r="J63" s="56" t="s">
        <v>55</v>
      </c>
      <c r="K63" s="56"/>
      <c r="L63" s="69">
        <v>660.0</v>
      </c>
      <c r="M63" s="69">
        <v>35.0</v>
      </c>
      <c r="N63" s="69"/>
      <c r="O63" s="72"/>
      <c r="P63" s="70"/>
      <c r="Q63" s="69"/>
      <c r="R63" s="69">
        <v>60.0</v>
      </c>
      <c r="S63" s="69"/>
      <c r="T63" s="63" t="s">
        <v>471</v>
      </c>
      <c r="U63" s="64" t="s">
        <v>61</v>
      </c>
      <c r="V63" s="50"/>
      <c r="W63" s="49"/>
      <c r="X63" s="49"/>
      <c r="Y63" s="35"/>
      <c r="Z63" s="35"/>
      <c r="AA63" s="35"/>
      <c r="AB63" s="35"/>
      <c r="AC63" s="35"/>
      <c r="AD63" s="35"/>
      <c r="AE63" s="35"/>
      <c r="AF63" s="35"/>
      <c r="AG63" s="35"/>
      <c r="AH63" s="35"/>
      <c r="AI63" s="35"/>
      <c r="AJ63" s="35"/>
      <c r="AK63" s="35"/>
      <c r="AL63" s="35"/>
    </row>
    <row r="64" ht="52.5" customHeight="1">
      <c r="A64" s="55"/>
      <c r="B64" s="75" t="s">
        <v>221</v>
      </c>
      <c r="C64" s="77" t="s">
        <v>306</v>
      </c>
      <c r="D64" s="47"/>
      <c r="E64" s="56" t="s">
        <v>472</v>
      </c>
      <c r="F64" s="22" t="s">
        <v>52</v>
      </c>
      <c r="G64" s="57">
        <v>2022.0</v>
      </c>
      <c r="H64" s="22" t="s">
        <v>91</v>
      </c>
      <c r="I64" s="58" t="s">
        <v>473</v>
      </c>
      <c r="J64" s="56" t="s">
        <v>253</v>
      </c>
      <c r="K64" s="56"/>
      <c r="L64" s="69">
        <v>940.0</v>
      </c>
      <c r="M64" s="69"/>
      <c r="N64" s="69"/>
      <c r="O64" s="72"/>
      <c r="P64" s="70" t="s">
        <v>474</v>
      </c>
      <c r="Q64" s="69"/>
      <c r="R64" s="69"/>
      <c r="S64" s="69"/>
      <c r="T64" s="63" t="s">
        <v>475</v>
      </c>
      <c r="U64" s="64" t="s">
        <v>61</v>
      </c>
      <c r="V64" s="50"/>
      <c r="W64" s="49"/>
      <c r="X64" s="49"/>
      <c r="Y64" s="35"/>
      <c r="Z64" s="35"/>
      <c r="AA64" s="35"/>
      <c r="AB64" s="35"/>
      <c r="AC64" s="35"/>
      <c r="AD64" s="35"/>
      <c r="AE64" s="35"/>
      <c r="AF64" s="35"/>
      <c r="AG64" s="35"/>
      <c r="AH64" s="35"/>
      <c r="AI64" s="35"/>
      <c r="AJ64" s="35"/>
      <c r="AK64" s="35"/>
      <c r="AL64" s="35"/>
    </row>
    <row r="65" ht="52.5" customHeight="1">
      <c r="A65" s="55"/>
      <c r="B65" s="75" t="s">
        <v>221</v>
      </c>
      <c r="C65" s="77" t="s">
        <v>306</v>
      </c>
      <c r="D65" s="47"/>
      <c r="E65" s="56" t="s">
        <v>476</v>
      </c>
      <c r="F65" s="22" t="s">
        <v>358</v>
      </c>
      <c r="G65" s="57">
        <v>2021.0</v>
      </c>
      <c r="H65" s="22" t="s">
        <v>477</v>
      </c>
      <c r="I65" s="58" t="s">
        <v>478</v>
      </c>
      <c r="J65" s="56" t="s">
        <v>55</v>
      </c>
      <c r="K65" s="56" t="s">
        <v>479</v>
      </c>
      <c r="L65" s="69">
        <v>780.0</v>
      </c>
      <c r="M65" s="69"/>
      <c r="N65" s="72"/>
      <c r="O65" s="69"/>
      <c r="P65" s="70" t="s">
        <v>480</v>
      </c>
      <c r="Q65" s="69"/>
      <c r="R65" s="69"/>
      <c r="S65" s="69"/>
      <c r="T65" s="82" t="s">
        <v>481</v>
      </c>
      <c r="U65" s="64" t="s">
        <v>61</v>
      </c>
      <c r="V65" s="50"/>
      <c r="W65" s="49"/>
      <c r="X65" s="49"/>
      <c r="Y65" s="35"/>
      <c r="Z65" s="35"/>
      <c r="AA65" s="35"/>
      <c r="AB65" s="35"/>
      <c r="AC65" s="35"/>
      <c r="AD65" s="35"/>
      <c r="AE65" s="35"/>
      <c r="AF65" s="35"/>
      <c r="AG65" s="35"/>
      <c r="AH65" s="35"/>
      <c r="AI65" s="35"/>
      <c r="AJ65" s="35"/>
      <c r="AK65" s="35"/>
      <c r="AL65" s="35"/>
    </row>
    <row r="66" ht="52.5" customHeight="1">
      <c r="A66" s="55"/>
      <c r="B66" s="75" t="s">
        <v>221</v>
      </c>
      <c r="C66" s="77" t="s">
        <v>306</v>
      </c>
      <c r="D66" s="47"/>
      <c r="E66" s="56" t="s">
        <v>482</v>
      </c>
      <c r="F66" s="22" t="s">
        <v>483</v>
      </c>
      <c r="G66" s="57">
        <v>2021.0</v>
      </c>
      <c r="H66" s="22" t="s">
        <v>484</v>
      </c>
      <c r="I66" s="58" t="s">
        <v>485</v>
      </c>
      <c r="J66" s="56" t="s">
        <v>209</v>
      </c>
      <c r="K66" s="56"/>
      <c r="L66" s="69">
        <v>808.0</v>
      </c>
      <c r="M66" s="69" t="s">
        <v>486</v>
      </c>
      <c r="N66" s="72"/>
      <c r="O66" s="69"/>
      <c r="P66" s="70" t="s">
        <v>487</v>
      </c>
      <c r="Q66" s="69"/>
      <c r="R66" s="69"/>
      <c r="S66" s="69"/>
      <c r="T66" s="83" t="s">
        <v>488</v>
      </c>
      <c r="U66" s="64" t="s">
        <v>61</v>
      </c>
      <c r="V66" s="50"/>
      <c r="W66" s="49"/>
      <c r="X66" s="49"/>
      <c r="Y66" s="35"/>
      <c r="Z66" s="35"/>
      <c r="AA66" s="35"/>
      <c r="AB66" s="35"/>
      <c r="AC66" s="35"/>
      <c r="AD66" s="35"/>
      <c r="AE66" s="35"/>
      <c r="AF66" s="35"/>
      <c r="AG66" s="35"/>
      <c r="AH66" s="35"/>
      <c r="AI66" s="35"/>
      <c r="AJ66" s="35"/>
      <c r="AK66" s="35"/>
      <c r="AL66" s="35"/>
    </row>
    <row r="67" ht="52.5" customHeight="1">
      <c r="A67" s="55"/>
      <c r="B67" s="75" t="s">
        <v>221</v>
      </c>
      <c r="C67" s="77" t="s">
        <v>306</v>
      </c>
      <c r="D67" s="47"/>
      <c r="E67" s="56" t="s">
        <v>489</v>
      </c>
      <c r="F67" s="22" t="s">
        <v>490</v>
      </c>
      <c r="G67" s="57">
        <v>2021.0</v>
      </c>
      <c r="H67" s="22" t="s">
        <v>309</v>
      </c>
      <c r="I67" s="58" t="s">
        <v>491</v>
      </c>
      <c r="J67" s="56" t="s">
        <v>253</v>
      </c>
      <c r="K67" s="56"/>
      <c r="L67" s="69">
        <v>808.0</v>
      </c>
      <c r="M67" s="69">
        <v>100.0</v>
      </c>
      <c r="N67" s="72"/>
      <c r="O67" s="69"/>
      <c r="P67" s="70"/>
      <c r="Q67" s="69"/>
      <c r="R67" s="69"/>
      <c r="S67" s="69"/>
      <c r="T67" s="82" t="s">
        <v>492</v>
      </c>
      <c r="U67" s="64" t="s">
        <v>61</v>
      </c>
      <c r="V67" s="50"/>
      <c r="W67" s="49"/>
      <c r="X67" s="49"/>
      <c r="Y67" s="35"/>
      <c r="Z67" s="35"/>
      <c r="AA67" s="35"/>
      <c r="AB67" s="35"/>
      <c r="AC67" s="35"/>
      <c r="AD67" s="35"/>
      <c r="AE67" s="35"/>
      <c r="AF67" s="35"/>
      <c r="AG67" s="35"/>
      <c r="AH67" s="35"/>
      <c r="AI67" s="35"/>
      <c r="AJ67" s="35"/>
      <c r="AK67" s="35"/>
      <c r="AL67" s="35"/>
    </row>
    <row r="68" ht="52.5" customHeight="1">
      <c r="A68" s="55"/>
      <c r="B68" s="75" t="s">
        <v>221</v>
      </c>
      <c r="C68" s="77" t="s">
        <v>306</v>
      </c>
      <c r="D68" s="47"/>
      <c r="E68" s="56" t="s">
        <v>493</v>
      </c>
      <c r="F68" s="22" t="s">
        <v>494</v>
      </c>
      <c r="G68" s="57">
        <v>2021.0</v>
      </c>
      <c r="H68" s="22" t="s">
        <v>348</v>
      </c>
      <c r="I68" s="58" t="s">
        <v>495</v>
      </c>
      <c r="J68" s="56" t="s">
        <v>378</v>
      </c>
      <c r="K68" s="56"/>
      <c r="L68" s="69">
        <v>660.0</v>
      </c>
      <c r="M68" s="69"/>
      <c r="N68" s="72"/>
      <c r="O68" s="69"/>
      <c r="P68" s="70" t="s">
        <v>496</v>
      </c>
      <c r="Q68" s="69"/>
      <c r="R68" s="69"/>
      <c r="S68" s="69"/>
      <c r="T68" s="83" t="s">
        <v>497</v>
      </c>
      <c r="U68" s="64" t="s">
        <v>61</v>
      </c>
      <c r="V68" s="50"/>
      <c r="W68" s="49"/>
      <c r="X68" s="49"/>
      <c r="Y68" s="35"/>
      <c r="Z68" s="35"/>
      <c r="AA68" s="35"/>
      <c r="AB68" s="35"/>
      <c r="AC68" s="35"/>
      <c r="AD68" s="35"/>
      <c r="AE68" s="35"/>
      <c r="AF68" s="35"/>
      <c r="AG68" s="35"/>
      <c r="AH68" s="35"/>
      <c r="AI68" s="35"/>
      <c r="AJ68" s="35"/>
      <c r="AK68" s="35"/>
      <c r="AL68" s="35"/>
    </row>
    <row r="69" ht="52.5" customHeight="1">
      <c r="A69" s="55"/>
      <c r="B69" s="75" t="s">
        <v>221</v>
      </c>
      <c r="C69" s="77" t="s">
        <v>306</v>
      </c>
      <c r="D69" s="47"/>
      <c r="E69" s="56" t="s">
        <v>498</v>
      </c>
      <c r="F69" s="22" t="s">
        <v>499</v>
      </c>
      <c r="G69" s="57">
        <v>2021.0</v>
      </c>
      <c r="H69" s="22" t="s">
        <v>147</v>
      </c>
      <c r="I69" s="58" t="s">
        <v>500</v>
      </c>
      <c r="J69" s="56" t="s">
        <v>55</v>
      </c>
      <c r="K69" s="56"/>
      <c r="L69" s="69">
        <v>890.0</v>
      </c>
      <c r="M69" s="69"/>
      <c r="N69" s="72"/>
      <c r="O69" s="69"/>
      <c r="P69" s="70"/>
      <c r="Q69" s="69" t="s">
        <v>501</v>
      </c>
      <c r="R69" s="69" t="s">
        <v>502</v>
      </c>
      <c r="S69" s="69"/>
      <c r="T69" s="83" t="s">
        <v>503</v>
      </c>
      <c r="U69" s="64" t="s">
        <v>61</v>
      </c>
      <c r="V69" s="50"/>
      <c r="W69" s="49"/>
      <c r="X69" s="49"/>
      <c r="Y69" s="35"/>
      <c r="Z69" s="35"/>
      <c r="AA69" s="35"/>
      <c r="AB69" s="35"/>
      <c r="AC69" s="35"/>
      <c r="AD69" s="35"/>
      <c r="AE69" s="35"/>
      <c r="AF69" s="35"/>
      <c r="AG69" s="35"/>
      <c r="AH69" s="35"/>
      <c r="AI69" s="35"/>
      <c r="AJ69" s="35"/>
      <c r="AK69" s="35"/>
      <c r="AL69" s="35"/>
    </row>
    <row r="70" ht="52.5" customHeight="1">
      <c r="A70" s="55"/>
      <c r="B70" s="75" t="s">
        <v>221</v>
      </c>
      <c r="C70" s="77" t="s">
        <v>306</v>
      </c>
      <c r="D70" s="47"/>
      <c r="E70" s="56" t="s">
        <v>504</v>
      </c>
      <c r="F70" s="22" t="s">
        <v>400</v>
      </c>
      <c r="G70" s="57">
        <v>2021.0</v>
      </c>
      <c r="H70" s="22" t="s">
        <v>309</v>
      </c>
      <c r="I70" s="58" t="s">
        <v>505</v>
      </c>
      <c r="J70" s="56" t="s">
        <v>55</v>
      </c>
      <c r="K70" s="56"/>
      <c r="L70" s="69">
        <v>660.0</v>
      </c>
      <c r="M70" s="69"/>
      <c r="N70" s="72"/>
      <c r="O70" s="69"/>
      <c r="P70" s="70"/>
      <c r="Q70" s="69"/>
      <c r="R70" s="69"/>
      <c r="S70" s="69"/>
      <c r="T70" s="82" t="s">
        <v>506</v>
      </c>
      <c r="U70" s="64" t="s">
        <v>61</v>
      </c>
      <c r="V70" s="50"/>
      <c r="W70" s="49"/>
      <c r="X70" s="49"/>
      <c r="Y70" s="35"/>
      <c r="Z70" s="35"/>
      <c r="AA70" s="35"/>
      <c r="AB70" s="35"/>
      <c r="AC70" s="35"/>
      <c r="AD70" s="35"/>
      <c r="AE70" s="35"/>
      <c r="AF70" s="35"/>
      <c r="AG70" s="35"/>
      <c r="AH70" s="35"/>
      <c r="AI70" s="35"/>
      <c r="AJ70" s="35"/>
      <c r="AK70" s="35"/>
      <c r="AL70" s="35"/>
    </row>
    <row r="71" ht="52.5" customHeight="1">
      <c r="A71" s="55"/>
      <c r="B71" s="75" t="s">
        <v>221</v>
      </c>
      <c r="C71" s="77" t="s">
        <v>306</v>
      </c>
      <c r="D71" s="47"/>
      <c r="E71" s="56" t="s">
        <v>507</v>
      </c>
      <c r="F71" s="22" t="s">
        <v>52</v>
      </c>
      <c r="G71" s="57">
        <v>2021.0</v>
      </c>
      <c r="H71" s="22" t="s">
        <v>91</v>
      </c>
      <c r="I71" s="58" t="s">
        <v>508</v>
      </c>
      <c r="J71" s="56" t="s">
        <v>55</v>
      </c>
      <c r="K71" s="56" t="s">
        <v>56</v>
      </c>
      <c r="L71" s="69" t="s">
        <v>57</v>
      </c>
      <c r="M71" s="69"/>
      <c r="N71" s="72"/>
      <c r="O71" s="69"/>
      <c r="P71" s="70"/>
      <c r="Q71" s="69"/>
      <c r="R71" s="69"/>
      <c r="S71" s="69"/>
      <c r="T71" s="83" t="s">
        <v>509</v>
      </c>
      <c r="U71" s="64" t="s">
        <v>61</v>
      </c>
      <c r="V71" s="50"/>
      <c r="W71" s="49"/>
      <c r="X71" s="49"/>
      <c r="Y71" s="35"/>
      <c r="Z71" s="35"/>
      <c r="AA71" s="35"/>
      <c r="AB71" s="35"/>
      <c r="AC71" s="35"/>
      <c r="AD71" s="35"/>
      <c r="AE71" s="35"/>
      <c r="AF71" s="35"/>
      <c r="AG71" s="35"/>
      <c r="AH71" s="35"/>
      <c r="AI71" s="35"/>
      <c r="AJ71" s="35"/>
      <c r="AK71" s="35"/>
      <c r="AL71" s="35"/>
    </row>
    <row r="72" ht="52.5" customHeight="1">
      <c r="A72" s="55"/>
      <c r="B72" s="75" t="s">
        <v>221</v>
      </c>
      <c r="C72" s="77" t="s">
        <v>306</v>
      </c>
      <c r="D72" s="47"/>
      <c r="E72" s="56" t="s">
        <v>393</v>
      </c>
      <c r="F72" s="22" t="s">
        <v>510</v>
      </c>
      <c r="G72" s="57">
        <v>2021.0</v>
      </c>
      <c r="H72" s="22" t="s">
        <v>147</v>
      </c>
      <c r="I72" s="58" t="s">
        <v>511</v>
      </c>
      <c r="J72" s="56" t="s">
        <v>55</v>
      </c>
      <c r="K72" s="56"/>
      <c r="L72" s="69">
        <v>660.0</v>
      </c>
      <c r="M72" s="69">
        <v>30.0</v>
      </c>
      <c r="N72" s="72"/>
      <c r="O72" s="69"/>
      <c r="P72" s="70" t="s">
        <v>512</v>
      </c>
      <c r="Q72" s="69"/>
      <c r="R72" s="69"/>
      <c r="S72" s="69"/>
      <c r="T72" s="84" t="s">
        <v>513</v>
      </c>
      <c r="U72" s="64" t="s">
        <v>61</v>
      </c>
      <c r="V72" s="50"/>
      <c r="W72" s="49"/>
      <c r="X72" s="49"/>
      <c r="Y72" s="35"/>
      <c r="Z72" s="35"/>
      <c r="AA72" s="35"/>
      <c r="AB72" s="35"/>
      <c r="AC72" s="35"/>
      <c r="AD72" s="35"/>
      <c r="AE72" s="35"/>
      <c r="AF72" s="35"/>
      <c r="AG72" s="35"/>
      <c r="AH72" s="35"/>
      <c r="AI72" s="35"/>
      <c r="AJ72" s="35"/>
      <c r="AK72" s="35"/>
      <c r="AL72" s="35"/>
    </row>
    <row r="73" ht="52.5" customHeight="1">
      <c r="A73" s="55"/>
      <c r="B73" s="75" t="s">
        <v>221</v>
      </c>
      <c r="C73" s="77" t="s">
        <v>306</v>
      </c>
      <c r="D73" s="47"/>
      <c r="E73" s="56" t="s">
        <v>514</v>
      </c>
      <c r="F73" s="22" t="s">
        <v>515</v>
      </c>
      <c r="G73" s="57">
        <v>2021.0</v>
      </c>
      <c r="H73" s="22" t="s">
        <v>91</v>
      </c>
      <c r="I73" s="58" t="s">
        <v>516</v>
      </c>
      <c r="J73" s="56" t="s">
        <v>55</v>
      </c>
      <c r="K73" s="56"/>
      <c r="L73" s="69">
        <v>660.0</v>
      </c>
      <c r="M73" s="69"/>
      <c r="N73" s="72"/>
      <c r="O73" s="69"/>
      <c r="P73" s="70" t="s">
        <v>517</v>
      </c>
      <c r="Q73" s="69"/>
      <c r="R73" s="69"/>
      <c r="S73" s="69"/>
      <c r="T73" s="83" t="s">
        <v>518</v>
      </c>
      <c r="U73" s="64" t="s">
        <v>61</v>
      </c>
      <c r="V73" s="50"/>
      <c r="W73" s="49"/>
      <c r="X73" s="49"/>
      <c r="Y73" s="35"/>
      <c r="Z73" s="35"/>
      <c r="AA73" s="35"/>
      <c r="AB73" s="35"/>
      <c r="AC73" s="35"/>
      <c r="AD73" s="35"/>
      <c r="AE73" s="35"/>
      <c r="AF73" s="35"/>
      <c r="AG73" s="35"/>
      <c r="AH73" s="35"/>
      <c r="AI73" s="35"/>
      <c r="AJ73" s="35"/>
      <c r="AK73" s="35"/>
      <c r="AL73" s="35"/>
    </row>
    <row r="74" ht="52.5" customHeight="1">
      <c r="A74" s="55"/>
      <c r="B74" s="75" t="s">
        <v>221</v>
      </c>
      <c r="C74" s="77" t="s">
        <v>306</v>
      </c>
      <c r="D74" s="47"/>
      <c r="E74" s="56" t="s">
        <v>519</v>
      </c>
      <c r="F74" s="22" t="s">
        <v>520</v>
      </c>
      <c r="G74" s="57">
        <v>2021.0</v>
      </c>
      <c r="H74" s="22" t="s">
        <v>77</v>
      </c>
      <c r="I74" s="58" t="s">
        <v>521</v>
      </c>
      <c r="J74" s="56" t="s">
        <v>522</v>
      </c>
      <c r="K74" s="56"/>
      <c r="L74" s="69"/>
      <c r="M74" s="69"/>
      <c r="N74" s="72"/>
      <c r="O74" s="69"/>
      <c r="P74" s="70"/>
      <c r="Q74" s="69"/>
      <c r="R74" s="69"/>
      <c r="S74" s="69"/>
      <c r="T74" s="84" t="s">
        <v>523</v>
      </c>
      <c r="U74" s="64" t="s">
        <v>61</v>
      </c>
      <c r="V74" s="50"/>
      <c r="W74" s="49"/>
      <c r="X74" s="49"/>
      <c r="Y74" s="35"/>
      <c r="Z74" s="35"/>
      <c r="AA74" s="35"/>
      <c r="AB74" s="35"/>
      <c r="AC74" s="35"/>
      <c r="AD74" s="35"/>
      <c r="AE74" s="35"/>
      <c r="AF74" s="35"/>
      <c r="AG74" s="35"/>
      <c r="AH74" s="35"/>
      <c r="AI74" s="35"/>
      <c r="AJ74" s="35"/>
      <c r="AK74" s="35"/>
      <c r="AL74" s="35"/>
    </row>
    <row r="75" ht="52.5" customHeight="1">
      <c r="A75" s="55"/>
      <c r="B75" s="75" t="s">
        <v>221</v>
      </c>
      <c r="C75" s="77" t="s">
        <v>306</v>
      </c>
      <c r="D75" s="47"/>
      <c r="E75" s="56" t="s">
        <v>524</v>
      </c>
      <c r="F75" s="22" t="s">
        <v>525</v>
      </c>
      <c r="G75" s="57">
        <v>2021.0</v>
      </c>
      <c r="H75" s="22" t="s">
        <v>207</v>
      </c>
      <c r="I75" s="58" t="s">
        <v>526</v>
      </c>
      <c r="J75" s="56" t="s">
        <v>55</v>
      </c>
      <c r="K75" s="56"/>
      <c r="L75" s="69">
        <v>808.0</v>
      </c>
      <c r="M75" s="69">
        <v>100.0</v>
      </c>
      <c r="N75" s="72">
        <v>44319.0</v>
      </c>
      <c r="O75" s="69">
        <v>6.0</v>
      </c>
      <c r="P75" s="70" t="s">
        <v>527</v>
      </c>
      <c r="Q75" s="69"/>
      <c r="R75" s="69"/>
      <c r="S75" s="69"/>
      <c r="T75" s="83" t="s">
        <v>528</v>
      </c>
      <c r="U75" s="64" t="s">
        <v>61</v>
      </c>
      <c r="V75" s="50"/>
      <c r="W75" s="49"/>
      <c r="X75" s="49"/>
      <c r="Y75" s="35"/>
      <c r="Z75" s="35"/>
      <c r="AA75" s="35"/>
      <c r="AB75" s="35"/>
      <c r="AC75" s="35"/>
      <c r="AD75" s="35"/>
      <c r="AE75" s="35"/>
      <c r="AF75" s="35"/>
      <c r="AG75" s="35"/>
      <c r="AH75" s="35"/>
      <c r="AI75" s="35"/>
      <c r="AJ75" s="35"/>
      <c r="AK75" s="35"/>
      <c r="AL75" s="35"/>
    </row>
    <row r="76" ht="52.5" customHeight="1">
      <c r="A76" s="55"/>
      <c r="B76" s="75" t="s">
        <v>221</v>
      </c>
      <c r="C76" s="77" t="s">
        <v>306</v>
      </c>
      <c r="D76" s="47"/>
      <c r="E76" s="56" t="s">
        <v>529</v>
      </c>
      <c r="F76" s="22" t="s">
        <v>530</v>
      </c>
      <c r="G76" s="57">
        <v>2021.0</v>
      </c>
      <c r="H76" s="22" t="s">
        <v>531</v>
      </c>
      <c r="I76" s="58" t="s">
        <v>532</v>
      </c>
      <c r="J76" s="56" t="s">
        <v>533</v>
      </c>
      <c r="K76" s="56"/>
      <c r="L76" s="85" t="s">
        <v>534</v>
      </c>
      <c r="U76" s="64" t="s">
        <v>61</v>
      </c>
      <c r="V76" s="50"/>
      <c r="W76" s="49"/>
      <c r="X76" s="49"/>
      <c r="Y76" s="35"/>
      <c r="Z76" s="35"/>
      <c r="AA76" s="35"/>
      <c r="AB76" s="35"/>
      <c r="AC76" s="35"/>
      <c r="AD76" s="35"/>
      <c r="AE76" s="35"/>
      <c r="AF76" s="35"/>
      <c r="AG76" s="35"/>
      <c r="AH76" s="35"/>
      <c r="AI76" s="35"/>
      <c r="AJ76" s="35"/>
      <c r="AK76" s="35"/>
      <c r="AL76" s="35"/>
    </row>
    <row r="77" ht="52.5" customHeight="1">
      <c r="A77" s="55"/>
      <c r="B77" s="75" t="s">
        <v>221</v>
      </c>
      <c r="C77" s="77" t="s">
        <v>306</v>
      </c>
      <c r="D77" s="47"/>
      <c r="E77" s="56" t="s">
        <v>535</v>
      </c>
      <c r="F77" s="22" t="s">
        <v>41</v>
      </c>
      <c r="G77" s="57">
        <v>2021.0</v>
      </c>
      <c r="H77" s="22" t="s">
        <v>416</v>
      </c>
      <c r="I77" s="58" t="s">
        <v>536</v>
      </c>
      <c r="J77" s="56" t="s">
        <v>55</v>
      </c>
      <c r="K77" s="56"/>
      <c r="L77" s="67">
        <v>830.0</v>
      </c>
      <c r="M77" s="67">
        <v>30.0</v>
      </c>
      <c r="N77" s="67" t="s">
        <v>243</v>
      </c>
      <c r="O77" s="78">
        <v>44441.0</v>
      </c>
      <c r="P77" s="68" t="s">
        <v>447</v>
      </c>
      <c r="Q77" s="67" t="s">
        <v>341</v>
      </c>
      <c r="R77" s="67" t="s">
        <v>246</v>
      </c>
      <c r="S77" s="67" t="s">
        <v>537</v>
      </c>
      <c r="T77" s="63" t="s">
        <v>538</v>
      </c>
      <c r="U77" s="64" t="s">
        <v>61</v>
      </c>
      <c r="V77" s="50"/>
      <c r="W77" s="49"/>
      <c r="X77" s="49"/>
      <c r="Y77" s="35"/>
      <c r="Z77" s="35"/>
      <c r="AA77" s="35"/>
      <c r="AB77" s="35"/>
      <c r="AC77" s="35"/>
      <c r="AD77" s="35"/>
      <c r="AE77" s="35"/>
      <c r="AF77" s="35"/>
      <c r="AG77" s="35"/>
      <c r="AH77" s="35"/>
      <c r="AI77" s="35"/>
      <c r="AJ77" s="35"/>
      <c r="AK77" s="35"/>
      <c r="AL77" s="35"/>
    </row>
    <row r="78" ht="39.75" customHeight="1">
      <c r="A78" s="55"/>
      <c r="B78" s="75" t="s">
        <v>221</v>
      </c>
      <c r="C78" s="77" t="s">
        <v>306</v>
      </c>
      <c r="D78" s="47"/>
      <c r="E78" s="56" t="s">
        <v>539</v>
      </c>
      <c r="F78" s="22" t="s">
        <v>540</v>
      </c>
      <c r="G78" s="57">
        <v>2020.0</v>
      </c>
      <c r="H78" s="22" t="s">
        <v>42</v>
      </c>
      <c r="I78" s="58" t="s">
        <v>541</v>
      </c>
      <c r="J78" s="56" t="s">
        <v>533</v>
      </c>
      <c r="K78" s="56"/>
      <c r="L78" s="86" t="s">
        <v>542</v>
      </c>
      <c r="U78" s="64" t="s">
        <v>61</v>
      </c>
      <c r="V78" s="50"/>
      <c r="W78" s="49"/>
      <c r="X78" s="49"/>
      <c r="Y78" s="35"/>
      <c r="Z78" s="35"/>
      <c r="AA78" s="35"/>
      <c r="AB78" s="35"/>
      <c r="AC78" s="35"/>
      <c r="AD78" s="35"/>
      <c r="AE78" s="35"/>
      <c r="AF78" s="35"/>
      <c r="AG78" s="35"/>
      <c r="AH78" s="35"/>
      <c r="AI78" s="35"/>
      <c r="AJ78" s="35"/>
      <c r="AK78" s="35"/>
      <c r="AL78" s="35"/>
    </row>
    <row r="79" ht="52.5" customHeight="1">
      <c r="A79" s="55"/>
      <c r="B79" s="75" t="s">
        <v>221</v>
      </c>
      <c r="C79" s="77" t="s">
        <v>306</v>
      </c>
      <c r="D79" s="47"/>
      <c r="E79" s="56" t="s">
        <v>543</v>
      </c>
      <c r="F79" s="22" t="s">
        <v>41</v>
      </c>
      <c r="G79" s="57">
        <v>2020.0</v>
      </c>
      <c r="H79" s="22" t="s">
        <v>207</v>
      </c>
      <c r="I79" s="58" t="s">
        <v>544</v>
      </c>
      <c r="J79" s="56" t="s">
        <v>55</v>
      </c>
      <c r="K79" s="56"/>
      <c r="L79" s="67">
        <v>808.0</v>
      </c>
      <c r="M79" s="67">
        <v>40.0</v>
      </c>
      <c r="N79" s="67" t="s">
        <v>360</v>
      </c>
      <c r="O79" s="78"/>
      <c r="P79" s="68"/>
      <c r="Q79" s="67"/>
      <c r="R79" s="67"/>
      <c r="S79" s="67"/>
      <c r="T79" s="63" t="s">
        <v>545</v>
      </c>
      <c r="U79" s="64" t="s">
        <v>61</v>
      </c>
      <c r="V79" s="50"/>
      <c r="W79" s="49"/>
      <c r="X79" s="49"/>
      <c r="Y79" s="35"/>
      <c r="Z79" s="35"/>
      <c r="AA79" s="35"/>
      <c r="AB79" s="35"/>
      <c r="AC79" s="35"/>
      <c r="AD79" s="35"/>
      <c r="AE79" s="35"/>
      <c r="AF79" s="35"/>
      <c r="AG79" s="35"/>
      <c r="AH79" s="35"/>
      <c r="AI79" s="35"/>
      <c r="AJ79" s="35"/>
      <c r="AK79" s="35"/>
      <c r="AL79" s="35"/>
    </row>
    <row r="80" ht="52.5" customHeight="1">
      <c r="A80" s="55"/>
      <c r="B80" s="75" t="s">
        <v>221</v>
      </c>
      <c r="C80" s="77" t="s">
        <v>306</v>
      </c>
      <c r="D80" s="47"/>
      <c r="E80" s="56" t="s">
        <v>422</v>
      </c>
      <c r="F80" s="22" t="s">
        <v>323</v>
      </c>
      <c r="G80" s="57">
        <v>2020.0</v>
      </c>
      <c r="H80" s="22" t="s">
        <v>546</v>
      </c>
      <c r="I80" s="58" t="s">
        <v>547</v>
      </c>
      <c r="J80" s="56" t="s">
        <v>548</v>
      </c>
      <c r="K80" s="56"/>
      <c r="L80" s="67" t="s">
        <v>465</v>
      </c>
      <c r="M80" s="67"/>
      <c r="N80" s="67"/>
      <c r="O80" s="78"/>
      <c r="P80" s="68"/>
      <c r="Q80" s="67"/>
      <c r="R80" s="67"/>
      <c r="S80" s="67"/>
      <c r="T80" s="63" t="s">
        <v>549</v>
      </c>
      <c r="U80" s="64" t="s">
        <v>61</v>
      </c>
      <c r="V80" s="50"/>
      <c r="W80" s="49"/>
      <c r="X80" s="49"/>
      <c r="Y80" s="35"/>
      <c r="Z80" s="35"/>
      <c r="AA80" s="35"/>
      <c r="AB80" s="35"/>
      <c r="AC80" s="35"/>
      <c r="AD80" s="35"/>
      <c r="AE80" s="35"/>
      <c r="AF80" s="35"/>
      <c r="AG80" s="35"/>
      <c r="AH80" s="35"/>
      <c r="AI80" s="35"/>
      <c r="AJ80" s="35"/>
      <c r="AK80" s="35"/>
      <c r="AL80" s="35"/>
    </row>
    <row r="81" ht="52.5" customHeight="1">
      <c r="A81" s="55"/>
      <c r="B81" s="75" t="s">
        <v>221</v>
      </c>
      <c r="C81" s="77" t="s">
        <v>306</v>
      </c>
      <c r="D81" s="47"/>
      <c r="E81" s="56" t="s">
        <v>550</v>
      </c>
      <c r="F81" s="22" t="s">
        <v>400</v>
      </c>
      <c r="G81" s="57">
        <v>2020.0</v>
      </c>
      <c r="H81" s="22" t="s">
        <v>531</v>
      </c>
      <c r="I81" s="58" t="s">
        <v>551</v>
      </c>
      <c r="J81" s="56" t="s">
        <v>55</v>
      </c>
      <c r="K81" s="56"/>
      <c r="L81" s="67">
        <v>660.0</v>
      </c>
      <c r="M81" s="67"/>
      <c r="N81" s="67"/>
      <c r="O81" s="78"/>
      <c r="P81" s="68" t="s">
        <v>552</v>
      </c>
      <c r="Q81" s="67"/>
      <c r="R81" s="67"/>
      <c r="S81" s="67"/>
      <c r="T81" s="63" t="s">
        <v>553</v>
      </c>
      <c r="U81" s="64" t="s">
        <v>61</v>
      </c>
      <c r="V81" s="50"/>
      <c r="W81" s="49"/>
      <c r="X81" s="49"/>
      <c r="Y81" s="35"/>
      <c r="Z81" s="35"/>
      <c r="AA81" s="35"/>
      <c r="AB81" s="35"/>
      <c r="AC81" s="35"/>
      <c r="AD81" s="35"/>
      <c r="AE81" s="35"/>
      <c r="AF81" s="35"/>
      <c r="AG81" s="35"/>
      <c r="AH81" s="35"/>
      <c r="AI81" s="35"/>
      <c r="AJ81" s="35"/>
      <c r="AK81" s="35"/>
      <c r="AL81" s="35"/>
    </row>
    <row r="82" ht="47.25" customHeight="1">
      <c r="A82" s="55"/>
      <c r="B82" s="75" t="s">
        <v>221</v>
      </c>
      <c r="C82" s="77" t="s">
        <v>306</v>
      </c>
      <c r="D82" s="47"/>
      <c r="E82" s="56" t="s">
        <v>554</v>
      </c>
      <c r="F82" s="22" t="s">
        <v>323</v>
      </c>
      <c r="G82" s="57">
        <v>2020.0</v>
      </c>
      <c r="H82" s="22" t="s">
        <v>555</v>
      </c>
      <c r="I82" s="58" t="s">
        <v>556</v>
      </c>
      <c r="J82" s="56" t="s">
        <v>557</v>
      </c>
      <c r="K82" s="56"/>
      <c r="L82" s="86" t="s">
        <v>558</v>
      </c>
      <c r="U82" s="64" t="s">
        <v>61</v>
      </c>
      <c r="V82" s="50"/>
      <c r="W82" s="49"/>
      <c r="X82" s="49"/>
      <c r="Y82" s="35"/>
      <c r="Z82" s="35"/>
      <c r="AA82" s="35"/>
      <c r="AB82" s="35"/>
      <c r="AC82" s="35"/>
      <c r="AD82" s="35"/>
      <c r="AE82" s="35"/>
      <c r="AF82" s="35"/>
      <c r="AG82" s="35"/>
      <c r="AH82" s="35"/>
      <c r="AI82" s="35"/>
      <c r="AJ82" s="35"/>
      <c r="AK82" s="35"/>
      <c r="AL82" s="35"/>
    </row>
    <row r="83" ht="30.0" customHeight="1">
      <c r="A83" s="55"/>
      <c r="B83" s="75" t="s">
        <v>221</v>
      </c>
      <c r="C83" s="77" t="s">
        <v>306</v>
      </c>
      <c r="D83" s="47"/>
      <c r="E83" s="56" t="s">
        <v>559</v>
      </c>
      <c r="F83" s="22" t="s">
        <v>560</v>
      </c>
      <c r="G83" s="57">
        <v>2020.0</v>
      </c>
      <c r="H83" s="22" t="s">
        <v>561</v>
      </c>
      <c r="I83" s="58" t="s">
        <v>562</v>
      </c>
      <c r="J83" s="56" t="s">
        <v>55</v>
      </c>
      <c r="K83" s="56" t="s">
        <v>563</v>
      </c>
      <c r="L83" s="67">
        <v>810.0</v>
      </c>
      <c r="M83" s="67"/>
      <c r="N83" s="67"/>
      <c r="O83" s="67"/>
      <c r="P83" s="67"/>
      <c r="Q83" s="67"/>
      <c r="R83" s="67"/>
      <c r="S83" s="67"/>
      <c r="T83" s="83" t="s">
        <v>564</v>
      </c>
      <c r="U83" s="66" t="str">
        <f>HYPERLINK("https://www.ncbi.nlm.nih.gov/pubmed/32371691","PubMed")</f>
        <v>PubMed</v>
      </c>
      <c r="V83" s="50"/>
      <c r="W83" s="49"/>
      <c r="X83" s="49"/>
      <c r="Y83" s="35"/>
      <c r="Z83" s="35"/>
      <c r="AA83" s="35"/>
      <c r="AB83" s="35"/>
      <c r="AC83" s="35"/>
      <c r="AD83" s="35"/>
      <c r="AE83" s="35"/>
      <c r="AF83" s="35"/>
      <c r="AG83" s="35"/>
      <c r="AH83" s="35"/>
      <c r="AI83" s="35"/>
      <c r="AJ83" s="35"/>
      <c r="AK83" s="35"/>
      <c r="AL83" s="35"/>
    </row>
    <row r="84" ht="30.0" customHeight="1">
      <c r="A84" s="55"/>
      <c r="B84" s="75" t="s">
        <v>221</v>
      </c>
      <c r="C84" s="77" t="s">
        <v>306</v>
      </c>
      <c r="D84" s="47"/>
      <c r="E84" s="56" t="s">
        <v>565</v>
      </c>
      <c r="F84" s="22" t="s">
        <v>530</v>
      </c>
      <c r="G84" s="57">
        <v>2020.0</v>
      </c>
      <c r="H84" s="22" t="s">
        <v>566</v>
      </c>
      <c r="I84" s="58" t="s">
        <v>567</v>
      </c>
      <c r="J84" s="56" t="s">
        <v>55</v>
      </c>
      <c r="K84" s="56"/>
      <c r="L84" s="67">
        <v>808.0</v>
      </c>
      <c r="M84" s="67">
        <v>30.0</v>
      </c>
      <c r="N84" s="67"/>
      <c r="O84" s="67" t="s">
        <v>102</v>
      </c>
      <c r="P84" s="67">
        <v>30.0</v>
      </c>
      <c r="Q84" s="67" t="s">
        <v>280</v>
      </c>
      <c r="R84" s="67"/>
      <c r="S84" s="67"/>
      <c r="T84" s="83" t="s">
        <v>568</v>
      </c>
      <c r="U84" s="66" t="str">
        <f>HYPERLINK("https://www.ncbi.nlm.nih.gov/pubmed/32303916","PubMed")</f>
        <v>PubMed</v>
      </c>
      <c r="V84" s="50"/>
      <c r="W84" s="49"/>
      <c r="X84" s="49"/>
      <c r="Y84" s="35"/>
      <c r="Z84" s="35"/>
      <c r="AA84" s="35"/>
      <c r="AB84" s="35"/>
      <c r="AC84" s="35"/>
      <c r="AD84" s="35"/>
      <c r="AE84" s="35"/>
      <c r="AF84" s="35"/>
      <c r="AG84" s="35"/>
      <c r="AH84" s="35"/>
      <c r="AI84" s="35"/>
      <c r="AJ84" s="35"/>
      <c r="AK84" s="35"/>
      <c r="AL84" s="35"/>
    </row>
    <row r="85" ht="38.25" customHeight="1">
      <c r="A85" s="55"/>
      <c r="B85" s="75" t="s">
        <v>221</v>
      </c>
      <c r="C85" s="77" t="s">
        <v>306</v>
      </c>
      <c r="D85" s="47"/>
      <c r="E85" s="56" t="s">
        <v>569</v>
      </c>
      <c r="F85" s="22" t="s">
        <v>570</v>
      </c>
      <c r="G85" s="57">
        <v>2020.0</v>
      </c>
      <c r="H85" s="22" t="s">
        <v>348</v>
      </c>
      <c r="I85" s="58" t="s">
        <v>571</v>
      </c>
      <c r="J85" s="56" t="s">
        <v>55</v>
      </c>
      <c r="K85" s="56" t="s">
        <v>572</v>
      </c>
      <c r="L85" s="67">
        <v>808.0</v>
      </c>
      <c r="M85" s="67"/>
      <c r="N85" s="67" t="s">
        <v>573</v>
      </c>
      <c r="O85" s="78"/>
      <c r="P85" s="67" t="s">
        <v>574</v>
      </c>
      <c r="Q85" s="67"/>
      <c r="R85" s="67" t="s">
        <v>575</v>
      </c>
      <c r="S85" s="67"/>
      <c r="T85" s="83" t="s">
        <v>576</v>
      </c>
      <c r="U85" s="66" t="str">
        <f>HYPERLINK("https://www.ncbi.nlm.nih.gov/pubmed/31991756","PubMed")</f>
        <v>PubMed</v>
      </c>
      <c r="V85" s="50"/>
      <c r="W85" s="49"/>
      <c r="X85" s="49"/>
      <c r="Y85" s="35"/>
      <c r="Z85" s="35"/>
      <c r="AA85" s="35"/>
      <c r="AB85" s="35"/>
      <c r="AC85" s="35"/>
      <c r="AD85" s="35"/>
      <c r="AE85" s="35"/>
      <c r="AF85" s="35"/>
      <c r="AG85" s="35"/>
      <c r="AH85" s="35"/>
      <c r="AI85" s="35"/>
      <c r="AJ85" s="35"/>
      <c r="AK85" s="35"/>
      <c r="AL85" s="35"/>
    </row>
    <row r="86" ht="30.0" customHeight="1">
      <c r="A86" s="55"/>
      <c r="B86" s="75" t="s">
        <v>221</v>
      </c>
      <c r="C86" s="77" t="s">
        <v>306</v>
      </c>
      <c r="D86" s="47"/>
      <c r="E86" s="56" t="s">
        <v>577</v>
      </c>
      <c r="F86" s="22" t="s">
        <v>578</v>
      </c>
      <c r="G86" s="57">
        <v>2020.0</v>
      </c>
      <c r="H86" s="22" t="s">
        <v>207</v>
      </c>
      <c r="I86" s="58" t="s">
        <v>579</v>
      </c>
      <c r="J86" s="56" t="s">
        <v>55</v>
      </c>
      <c r="K86" s="56"/>
      <c r="L86" s="67">
        <v>808.0</v>
      </c>
      <c r="M86" s="67">
        <v>100.0</v>
      </c>
      <c r="N86" s="67"/>
      <c r="O86" s="67" t="s">
        <v>580</v>
      </c>
      <c r="P86" s="67">
        <v>80.0</v>
      </c>
      <c r="Q86" s="67"/>
      <c r="R86" s="67" t="s">
        <v>581</v>
      </c>
      <c r="S86" s="67"/>
      <c r="T86" s="83" t="s">
        <v>582</v>
      </c>
      <c r="U86" s="66" t="str">
        <f>HYPERLINK("https://www.ncbi.nlm.nih.gov/pubmed/32070823","PubMed")</f>
        <v>PubMed</v>
      </c>
      <c r="V86" s="50"/>
      <c r="W86" s="49"/>
      <c r="X86" s="49"/>
      <c r="Y86" s="35"/>
      <c r="Z86" s="35"/>
      <c r="AA86" s="35"/>
      <c r="AB86" s="35"/>
      <c r="AC86" s="35"/>
      <c r="AD86" s="35"/>
      <c r="AE86" s="35"/>
      <c r="AF86" s="35"/>
      <c r="AG86" s="35"/>
      <c r="AH86" s="35"/>
      <c r="AI86" s="35"/>
      <c r="AJ86" s="35"/>
      <c r="AK86" s="35"/>
      <c r="AL86" s="35"/>
    </row>
    <row r="87" ht="30.0" customHeight="1">
      <c r="A87" s="55"/>
      <c r="B87" s="75" t="s">
        <v>221</v>
      </c>
      <c r="C87" s="77" t="s">
        <v>306</v>
      </c>
      <c r="D87" s="47"/>
      <c r="E87" s="56" t="s">
        <v>583</v>
      </c>
      <c r="F87" s="22" t="s">
        <v>241</v>
      </c>
      <c r="G87" s="57">
        <v>2020.0</v>
      </c>
      <c r="H87" s="22" t="s">
        <v>584</v>
      </c>
      <c r="I87" s="58" t="s">
        <v>585</v>
      </c>
      <c r="J87" s="56" t="s">
        <v>55</v>
      </c>
      <c r="K87" s="56"/>
      <c r="L87" s="67">
        <v>830.0</v>
      </c>
      <c r="M87" s="67">
        <v>30.0</v>
      </c>
      <c r="N87" s="67" t="s">
        <v>339</v>
      </c>
      <c r="O87" s="67"/>
      <c r="P87" s="67">
        <v>6.0</v>
      </c>
      <c r="Q87" s="67" t="s">
        <v>341</v>
      </c>
      <c r="R87" s="67" t="s">
        <v>586</v>
      </c>
      <c r="S87" s="67"/>
      <c r="T87" s="83" t="s">
        <v>587</v>
      </c>
      <c r="U87" s="66" t="str">
        <f>HYPERLINK("https://www.ncbi.nlm.nih.gov/pubmed/32121647","PubMed")</f>
        <v>PubMed</v>
      </c>
      <c r="V87" s="50"/>
      <c r="W87" s="49"/>
      <c r="X87" s="49"/>
      <c r="Y87" s="35"/>
      <c r="Z87" s="35"/>
      <c r="AA87" s="35"/>
      <c r="AB87" s="35"/>
      <c r="AC87" s="35"/>
      <c r="AD87" s="35"/>
      <c r="AE87" s="35"/>
      <c r="AF87" s="35"/>
      <c r="AG87" s="35"/>
      <c r="AH87" s="35"/>
      <c r="AI87" s="35"/>
      <c r="AJ87" s="35"/>
      <c r="AK87" s="35"/>
      <c r="AL87" s="35"/>
    </row>
    <row r="88" ht="91.5" customHeight="1">
      <c r="A88" s="55"/>
      <c r="B88" s="75" t="s">
        <v>221</v>
      </c>
      <c r="C88" s="77" t="s">
        <v>306</v>
      </c>
      <c r="D88" s="47"/>
      <c r="E88" s="56" t="s">
        <v>529</v>
      </c>
      <c r="F88" s="22" t="s">
        <v>530</v>
      </c>
      <c r="G88" s="57">
        <v>2019.0</v>
      </c>
      <c r="H88" s="22" t="s">
        <v>292</v>
      </c>
      <c r="I88" s="58" t="s">
        <v>588</v>
      </c>
      <c r="J88" s="56" t="s">
        <v>55</v>
      </c>
      <c r="K88" s="56"/>
      <c r="L88" s="67">
        <v>808.0</v>
      </c>
      <c r="M88" s="67">
        <v>100.0</v>
      </c>
      <c r="N88" s="67"/>
      <c r="O88" s="67"/>
      <c r="P88" s="67">
        <v>30.0</v>
      </c>
      <c r="Q88" s="67"/>
      <c r="R88" s="67"/>
      <c r="S88" s="67" t="s">
        <v>589</v>
      </c>
      <c r="T88" s="83" t="s">
        <v>590</v>
      </c>
      <c r="U88" s="66" t="str">
        <f>HYPERLINK("https://www.ncbi.nlm.nih.gov/pubmed/32009730","PubMed")</f>
        <v>PubMed</v>
      </c>
      <c r="V88" s="50"/>
      <c r="W88" s="49"/>
      <c r="X88" s="49"/>
      <c r="Y88" s="35"/>
      <c r="Z88" s="35"/>
      <c r="AA88" s="35"/>
      <c r="AB88" s="35"/>
      <c r="AC88" s="35"/>
      <c r="AD88" s="35"/>
      <c r="AE88" s="35"/>
      <c r="AF88" s="35"/>
      <c r="AG88" s="35"/>
      <c r="AH88" s="35"/>
      <c r="AI88" s="35"/>
      <c r="AJ88" s="35"/>
      <c r="AK88" s="35"/>
      <c r="AL88" s="35"/>
    </row>
    <row r="89" ht="21.0" customHeight="1">
      <c r="A89" s="55"/>
      <c r="B89" s="75" t="s">
        <v>221</v>
      </c>
      <c r="C89" s="77" t="s">
        <v>306</v>
      </c>
      <c r="D89" s="47"/>
      <c r="E89" s="56" t="s">
        <v>591</v>
      </c>
      <c r="F89" s="22" t="s">
        <v>323</v>
      </c>
      <c r="G89" s="57">
        <v>2019.0</v>
      </c>
      <c r="H89" s="22" t="s">
        <v>147</v>
      </c>
      <c r="I89" s="58" t="s">
        <v>592</v>
      </c>
      <c r="J89" s="22" t="s">
        <v>125</v>
      </c>
      <c r="K89" s="56"/>
      <c r="L89" s="86" t="s">
        <v>593</v>
      </c>
      <c r="U89" s="66" t="str">
        <f>HYPERLINK("https://www.ncbi.nlm.nih.gov/pubmed/31875127","PubMed")</f>
        <v>PubMed</v>
      </c>
      <c r="V89" s="50"/>
      <c r="W89" s="49"/>
      <c r="X89" s="49"/>
      <c r="Y89" s="35"/>
      <c r="Z89" s="35"/>
      <c r="AA89" s="35"/>
      <c r="AB89" s="35"/>
      <c r="AC89" s="35"/>
      <c r="AD89" s="35"/>
      <c r="AE89" s="35"/>
      <c r="AF89" s="35"/>
      <c r="AG89" s="35"/>
      <c r="AH89" s="35"/>
      <c r="AI89" s="35"/>
      <c r="AJ89" s="35"/>
      <c r="AK89" s="35"/>
      <c r="AL89" s="35"/>
    </row>
    <row r="90" ht="52.5" customHeight="1">
      <c r="A90" s="55"/>
      <c r="B90" s="75" t="s">
        <v>221</v>
      </c>
      <c r="C90" s="77" t="s">
        <v>306</v>
      </c>
      <c r="D90" s="47"/>
      <c r="E90" s="56" t="s">
        <v>583</v>
      </c>
      <c r="F90" s="22" t="s">
        <v>241</v>
      </c>
      <c r="G90" s="57">
        <v>2019.0</v>
      </c>
      <c r="H90" s="22" t="s">
        <v>594</v>
      </c>
      <c r="I90" s="58" t="s">
        <v>595</v>
      </c>
      <c r="J90" s="56" t="s">
        <v>533</v>
      </c>
      <c r="K90" s="56"/>
      <c r="L90" s="86" t="s">
        <v>596</v>
      </c>
      <c r="U90" s="66" t="str">
        <f>HYPERLINK("https://www.ncbi.nlm.nih.gov/pubmed/31817369","PubMed")</f>
        <v>PubMed</v>
      </c>
      <c r="V90" s="50"/>
      <c r="W90" s="49"/>
      <c r="X90" s="49"/>
      <c r="Y90" s="35"/>
      <c r="Z90" s="35"/>
      <c r="AA90" s="35"/>
      <c r="AB90" s="35"/>
      <c r="AC90" s="35"/>
      <c r="AD90" s="35"/>
      <c r="AE90" s="35"/>
      <c r="AF90" s="35"/>
      <c r="AG90" s="35"/>
      <c r="AH90" s="35"/>
      <c r="AI90" s="35"/>
      <c r="AJ90" s="35"/>
      <c r="AK90" s="35"/>
      <c r="AL90" s="35"/>
    </row>
    <row r="91" ht="52.5" customHeight="1">
      <c r="A91" s="55"/>
      <c r="B91" s="75" t="s">
        <v>221</v>
      </c>
      <c r="C91" s="77" t="s">
        <v>306</v>
      </c>
      <c r="D91" s="47"/>
      <c r="E91" s="56" t="s">
        <v>597</v>
      </c>
      <c r="F91" s="22" t="s">
        <v>241</v>
      </c>
      <c r="G91" s="57">
        <v>2019.0</v>
      </c>
      <c r="H91" s="22" t="s">
        <v>598</v>
      </c>
      <c r="I91" s="58" t="s">
        <v>599</v>
      </c>
      <c r="J91" s="56" t="s">
        <v>533</v>
      </c>
      <c r="K91" s="56"/>
      <c r="L91" s="86" t="s">
        <v>600</v>
      </c>
      <c r="U91" s="66" t="str">
        <f>HYPERLINK("https://www.ncbi.nlm.nih.gov/pubmed/31585673","PubMed")</f>
        <v>PubMed</v>
      </c>
      <c r="V91" s="50"/>
      <c r="W91" s="49"/>
      <c r="X91" s="49"/>
      <c r="Y91" s="35"/>
      <c r="Z91" s="35"/>
      <c r="AA91" s="35"/>
      <c r="AB91" s="35"/>
      <c r="AC91" s="35"/>
      <c r="AD91" s="35"/>
      <c r="AE91" s="35"/>
      <c r="AF91" s="35"/>
      <c r="AG91" s="35"/>
      <c r="AH91" s="35"/>
      <c r="AI91" s="35"/>
      <c r="AJ91" s="35"/>
      <c r="AK91" s="35"/>
      <c r="AL91" s="35"/>
    </row>
    <row r="92" ht="52.5" customHeight="1">
      <c r="A92" s="55"/>
      <c r="B92" s="75" t="s">
        <v>221</v>
      </c>
      <c r="C92" s="77" t="s">
        <v>306</v>
      </c>
      <c r="D92" s="47"/>
      <c r="E92" s="56" t="s">
        <v>529</v>
      </c>
      <c r="F92" s="22" t="s">
        <v>530</v>
      </c>
      <c r="G92" s="57">
        <v>2019.0</v>
      </c>
      <c r="H92" s="22" t="s">
        <v>601</v>
      </c>
      <c r="I92" s="58" t="s">
        <v>602</v>
      </c>
      <c r="J92" s="56" t="s">
        <v>55</v>
      </c>
      <c r="K92" s="56"/>
      <c r="L92" s="67">
        <v>808.0</v>
      </c>
      <c r="M92" s="67">
        <v>100.0</v>
      </c>
      <c r="N92" s="67"/>
      <c r="O92" s="78"/>
      <c r="P92" s="68" t="s">
        <v>480</v>
      </c>
      <c r="Q92" s="67"/>
      <c r="R92" s="67"/>
      <c r="S92" s="67"/>
      <c r="T92" s="71" t="s">
        <v>603</v>
      </c>
      <c r="U92" s="66" t="str">
        <f>HYPERLINK("https://www.ncbi.nlm.nih.gov/pubmed/31494718","PubMed")</f>
        <v>PubMed</v>
      </c>
      <c r="V92" s="50"/>
      <c r="W92" s="49"/>
      <c r="X92" s="49"/>
      <c r="Y92" s="35"/>
      <c r="Z92" s="35"/>
      <c r="AA92" s="35"/>
      <c r="AB92" s="35"/>
      <c r="AC92" s="35"/>
      <c r="AD92" s="35"/>
      <c r="AE92" s="35"/>
      <c r="AF92" s="35"/>
      <c r="AG92" s="35"/>
      <c r="AH92" s="35"/>
      <c r="AI92" s="35"/>
      <c r="AJ92" s="35"/>
      <c r="AK92" s="35"/>
      <c r="AL92" s="35"/>
    </row>
    <row r="93" ht="52.5" customHeight="1">
      <c r="A93" s="55"/>
      <c r="B93" s="75" t="s">
        <v>221</v>
      </c>
      <c r="C93" s="77" t="s">
        <v>306</v>
      </c>
      <c r="D93" s="47"/>
      <c r="E93" s="56" t="s">
        <v>604</v>
      </c>
      <c r="F93" s="22" t="s">
        <v>605</v>
      </c>
      <c r="G93" s="57" t="s">
        <v>76</v>
      </c>
      <c r="H93" s="22" t="s">
        <v>561</v>
      </c>
      <c r="I93" s="58" t="s">
        <v>606</v>
      </c>
      <c r="J93" s="56" t="s">
        <v>55</v>
      </c>
      <c r="K93" s="56" t="s">
        <v>607</v>
      </c>
      <c r="L93" s="67">
        <v>808.0</v>
      </c>
      <c r="M93" s="67">
        <v>100.0</v>
      </c>
      <c r="N93" s="67" t="s">
        <v>278</v>
      </c>
      <c r="O93" s="78">
        <v>43498.0</v>
      </c>
      <c r="P93" s="68" t="s">
        <v>608</v>
      </c>
      <c r="Q93" s="67" t="s">
        <v>280</v>
      </c>
      <c r="R93" s="67">
        <v>22.0</v>
      </c>
      <c r="S93" s="67">
        <v>10.0</v>
      </c>
      <c r="T93" s="74" t="s">
        <v>609</v>
      </c>
      <c r="U93" s="66" t="str">
        <f>HYPERLINK("https://www.ncbi.nlm.nih.gov/pubmed/31232987","PubMed")</f>
        <v>PubMed</v>
      </c>
      <c r="V93" s="50"/>
      <c r="W93" s="49"/>
      <c r="X93" s="49"/>
      <c r="Y93" s="35"/>
      <c r="Z93" s="35"/>
      <c r="AA93" s="35"/>
      <c r="AB93" s="35"/>
      <c r="AC93" s="35"/>
      <c r="AD93" s="35"/>
      <c r="AE93" s="35"/>
      <c r="AF93" s="35"/>
      <c r="AG93" s="35"/>
      <c r="AH93" s="35"/>
      <c r="AI93" s="35"/>
      <c r="AJ93" s="35"/>
      <c r="AK93" s="35"/>
      <c r="AL93" s="35"/>
    </row>
    <row r="94" ht="52.5" customHeight="1">
      <c r="A94" s="55"/>
      <c r="B94" s="75" t="s">
        <v>221</v>
      </c>
      <c r="C94" s="77" t="s">
        <v>306</v>
      </c>
      <c r="D94" s="47"/>
      <c r="E94" s="56" t="s">
        <v>610</v>
      </c>
      <c r="F94" s="22" t="s">
        <v>41</v>
      </c>
      <c r="G94" s="57">
        <v>2019.0</v>
      </c>
      <c r="H94" s="22" t="s">
        <v>611</v>
      </c>
      <c r="I94" s="58" t="s">
        <v>612</v>
      </c>
      <c r="J94" s="56" t="s">
        <v>55</v>
      </c>
      <c r="K94" s="56"/>
      <c r="L94" s="67">
        <v>660.0</v>
      </c>
      <c r="M94" s="67">
        <v>30.0</v>
      </c>
      <c r="N94" s="67"/>
      <c r="O94" s="67"/>
      <c r="P94" s="68" t="s">
        <v>70</v>
      </c>
      <c r="Q94" s="67" t="s">
        <v>280</v>
      </c>
      <c r="R94" s="67"/>
      <c r="S94" s="67"/>
      <c r="T94" s="63" t="s">
        <v>613</v>
      </c>
      <c r="U94" s="66" t="str">
        <f>HYPERLINK("https://www.ncbi.nlm.nih.gov/pubmed/31215599","PubMed")</f>
        <v>PubMed</v>
      </c>
      <c r="V94" s="50"/>
      <c r="W94" s="49"/>
      <c r="X94" s="49"/>
      <c r="Y94" s="35"/>
      <c r="Z94" s="35"/>
      <c r="AA94" s="35"/>
      <c r="AB94" s="35"/>
      <c r="AC94" s="35"/>
      <c r="AD94" s="35"/>
      <c r="AE94" s="35"/>
      <c r="AF94" s="35"/>
      <c r="AG94" s="35"/>
      <c r="AH94" s="35"/>
      <c r="AI94" s="35"/>
      <c r="AJ94" s="35"/>
      <c r="AK94" s="35"/>
      <c r="AL94" s="35"/>
    </row>
    <row r="95" ht="52.5" customHeight="1">
      <c r="A95" s="55"/>
      <c r="B95" s="75" t="s">
        <v>221</v>
      </c>
      <c r="C95" s="77" t="s">
        <v>306</v>
      </c>
      <c r="D95" s="47"/>
      <c r="E95" s="56" t="s">
        <v>614</v>
      </c>
      <c r="F95" s="22" t="s">
        <v>41</v>
      </c>
      <c r="G95" s="57">
        <v>2019.0</v>
      </c>
      <c r="H95" s="22" t="s">
        <v>401</v>
      </c>
      <c r="I95" s="58" t="s">
        <v>615</v>
      </c>
      <c r="J95" s="56" t="s">
        <v>55</v>
      </c>
      <c r="K95" s="56" t="s">
        <v>616</v>
      </c>
      <c r="L95" s="67">
        <v>830.0</v>
      </c>
      <c r="M95" s="67" t="s">
        <v>617</v>
      </c>
      <c r="N95" s="67"/>
      <c r="O95" s="67" t="s">
        <v>618</v>
      </c>
      <c r="P95" s="68"/>
      <c r="Q95" s="67"/>
      <c r="R95" s="67"/>
      <c r="S95" s="67"/>
      <c r="T95" s="63" t="s">
        <v>619</v>
      </c>
      <c r="U95" s="66" t="str">
        <f>HYPERLINK("https://www.ncbi.nlm.nih.gov/pubmed/30892287","PubMed")</f>
        <v>PubMed</v>
      </c>
      <c r="V95" s="50"/>
      <c r="W95" s="49"/>
      <c r="X95" s="49"/>
      <c r="Y95" s="35"/>
      <c r="Z95" s="35"/>
      <c r="AA95" s="35"/>
      <c r="AB95" s="35"/>
      <c r="AC95" s="35"/>
      <c r="AD95" s="35"/>
      <c r="AE95" s="35"/>
      <c r="AF95" s="35"/>
      <c r="AG95" s="35"/>
      <c r="AH95" s="35"/>
      <c r="AI95" s="35"/>
      <c r="AJ95" s="35"/>
      <c r="AK95" s="35"/>
      <c r="AL95" s="35"/>
    </row>
    <row r="96" ht="52.5" customHeight="1">
      <c r="A96" s="55"/>
      <c r="B96" s="75" t="s">
        <v>221</v>
      </c>
      <c r="C96" s="77" t="s">
        <v>306</v>
      </c>
      <c r="D96" s="47"/>
      <c r="E96" s="56" t="s">
        <v>620</v>
      </c>
      <c r="F96" s="22" t="s">
        <v>41</v>
      </c>
      <c r="G96" s="57">
        <v>2019.0</v>
      </c>
      <c r="H96" s="22" t="s">
        <v>621</v>
      </c>
      <c r="I96" s="58" t="s">
        <v>622</v>
      </c>
      <c r="J96" s="56" t="s">
        <v>55</v>
      </c>
      <c r="K96" s="56"/>
      <c r="L96" s="67">
        <v>780.0</v>
      </c>
      <c r="M96" s="67"/>
      <c r="N96" s="67"/>
      <c r="O96" s="78"/>
      <c r="P96" s="68" t="s">
        <v>623</v>
      </c>
      <c r="Q96" s="67"/>
      <c r="R96" s="67"/>
      <c r="S96" s="67" t="s">
        <v>624</v>
      </c>
      <c r="T96" s="63" t="s">
        <v>625</v>
      </c>
      <c r="U96" s="66" t="str">
        <f>HYPERLINK("https://www.ncbi.nlm.nih.gov/pubmed/31016287","PubMed")</f>
        <v>PubMed</v>
      </c>
      <c r="V96" s="50"/>
      <c r="W96" s="49"/>
      <c r="X96" s="49"/>
      <c r="Y96" s="35"/>
      <c r="Z96" s="35"/>
      <c r="AA96" s="35"/>
      <c r="AB96" s="35"/>
      <c r="AC96" s="35"/>
      <c r="AD96" s="35"/>
      <c r="AE96" s="35"/>
      <c r="AF96" s="35"/>
      <c r="AG96" s="35"/>
      <c r="AH96" s="35"/>
      <c r="AI96" s="35"/>
      <c r="AJ96" s="35"/>
      <c r="AK96" s="35"/>
      <c r="AL96" s="35"/>
    </row>
    <row r="97" ht="52.5" customHeight="1">
      <c r="A97" s="55"/>
      <c r="B97" s="75" t="s">
        <v>221</v>
      </c>
      <c r="C97" s="77" t="s">
        <v>306</v>
      </c>
      <c r="D97" s="47"/>
      <c r="E97" s="56" t="s">
        <v>626</v>
      </c>
      <c r="F97" s="22" t="s">
        <v>494</v>
      </c>
      <c r="G97" s="57">
        <v>2018.0</v>
      </c>
      <c r="H97" s="22" t="s">
        <v>627</v>
      </c>
      <c r="I97" s="58" t="s">
        <v>628</v>
      </c>
      <c r="J97" s="56" t="s">
        <v>55</v>
      </c>
      <c r="K97" s="56"/>
      <c r="L97" s="67">
        <v>660.0</v>
      </c>
      <c r="M97" s="67"/>
      <c r="N97" s="67"/>
      <c r="O97" s="78"/>
      <c r="P97" s="68"/>
      <c r="Q97" s="67"/>
      <c r="R97" s="67"/>
      <c r="S97" s="67"/>
      <c r="T97" s="63" t="s">
        <v>629</v>
      </c>
      <c r="U97" s="64" t="s">
        <v>61</v>
      </c>
      <c r="V97" s="50"/>
      <c r="W97" s="49"/>
      <c r="X97" s="49"/>
      <c r="Y97" s="35"/>
      <c r="Z97" s="35"/>
      <c r="AA97" s="35"/>
      <c r="AB97" s="35"/>
      <c r="AC97" s="35"/>
      <c r="AD97" s="35"/>
      <c r="AE97" s="35"/>
      <c r="AF97" s="35"/>
      <c r="AG97" s="35"/>
      <c r="AH97" s="35"/>
      <c r="AI97" s="35"/>
      <c r="AJ97" s="35"/>
      <c r="AK97" s="35"/>
      <c r="AL97" s="35"/>
    </row>
    <row r="98" ht="52.5" customHeight="1">
      <c r="A98" s="55"/>
      <c r="B98" s="75" t="s">
        <v>221</v>
      </c>
      <c r="C98" s="77" t="s">
        <v>306</v>
      </c>
      <c r="D98" s="47"/>
      <c r="E98" s="56" t="s">
        <v>630</v>
      </c>
      <c r="F98" s="22" t="s">
        <v>41</v>
      </c>
      <c r="G98" s="57">
        <v>2018.0</v>
      </c>
      <c r="H98" s="22" t="s">
        <v>292</v>
      </c>
      <c r="I98" s="58" t="s">
        <v>631</v>
      </c>
      <c r="J98" s="56" t="s">
        <v>55</v>
      </c>
      <c r="K98" s="56"/>
      <c r="L98" s="67">
        <v>808.0</v>
      </c>
      <c r="M98" s="67">
        <v>30.0</v>
      </c>
      <c r="N98" s="67"/>
      <c r="O98" s="78">
        <v>43679.0</v>
      </c>
      <c r="P98" s="68"/>
      <c r="Q98" s="67"/>
      <c r="R98" s="67">
        <v>94.0</v>
      </c>
      <c r="S98" s="67"/>
      <c r="T98" s="63" t="s">
        <v>632</v>
      </c>
      <c r="U98" s="66" t="str">
        <f>HYPERLINK("https://www.ncbi.nlm.nih.gov/pubmed/31182902","PubMed")</f>
        <v>PubMed</v>
      </c>
      <c r="V98" s="50"/>
      <c r="W98" s="49"/>
      <c r="X98" s="49"/>
      <c r="Y98" s="35"/>
      <c r="Z98" s="35"/>
      <c r="AA98" s="35"/>
      <c r="AB98" s="35"/>
      <c r="AC98" s="35"/>
      <c r="AD98" s="35"/>
      <c r="AE98" s="35"/>
      <c r="AF98" s="35"/>
      <c r="AG98" s="35"/>
      <c r="AH98" s="35"/>
      <c r="AI98" s="35"/>
      <c r="AJ98" s="35"/>
      <c r="AK98" s="35"/>
      <c r="AL98" s="35"/>
    </row>
    <row r="99" ht="52.5" customHeight="1">
      <c r="A99" s="55"/>
      <c r="B99" s="75" t="s">
        <v>221</v>
      </c>
      <c r="C99" s="77" t="s">
        <v>306</v>
      </c>
      <c r="D99" s="47"/>
      <c r="E99" s="56" t="s">
        <v>633</v>
      </c>
      <c r="F99" s="22" t="s">
        <v>634</v>
      </c>
      <c r="G99" s="57">
        <v>2019.0</v>
      </c>
      <c r="H99" s="22" t="s">
        <v>91</v>
      </c>
      <c r="I99" s="58" t="s">
        <v>635</v>
      </c>
      <c r="J99" s="56" t="s">
        <v>55</v>
      </c>
      <c r="K99" s="56" t="s">
        <v>636</v>
      </c>
      <c r="L99" s="67">
        <v>808.0</v>
      </c>
      <c r="M99" s="67">
        <v>30.0</v>
      </c>
      <c r="N99" s="67" t="s">
        <v>637</v>
      </c>
      <c r="O99" s="67">
        <v>32.0</v>
      </c>
      <c r="P99" s="68" t="s">
        <v>638</v>
      </c>
      <c r="Q99" s="67" t="s">
        <v>639</v>
      </c>
      <c r="R99" s="67" t="s">
        <v>640</v>
      </c>
      <c r="S99" s="67"/>
      <c r="T99" s="63" t="s">
        <v>641</v>
      </c>
      <c r="U99" s="66" t="str">
        <f>HYPERLINK("https://www.ncbi.nlm.nih.gov/pubmed/31154596","PubMed")</f>
        <v>PubMed</v>
      </c>
      <c r="V99" s="50"/>
      <c r="W99" s="49"/>
      <c r="X99" s="49"/>
      <c r="Y99" s="35"/>
      <c r="Z99" s="35"/>
      <c r="AA99" s="35"/>
      <c r="AB99" s="35"/>
      <c r="AC99" s="35"/>
      <c r="AD99" s="35"/>
      <c r="AE99" s="35"/>
      <c r="AF99" s="35"/>
      <c r="AG99" s="35"/>
      <c r="AH99" s="35"/>
      <c r="AI99" s="35"/>
      <c r="AJ99" s="35"/>
      <c r="AK99" s="35"/>
      <c r="AL99" s="35"/>
    </row>
    <row r="100" ht="52.5" customHeight="1">
      <c r="A100" s="55"/>
      <c r="B100" s="75" t="s">
        <v>221</v>
      </c>
      <c r="C100" s="77" t="s">
        <v>306</v>
      </c>
      <c r="D100" s="47"/>
      <c r="E100" s="56" t="s">
        <v>336</v>
      </c>
      <c r="F100" s="22" t="s">
        <v>241</v>
      </c>
      <c r="G100" s="57">
        <v>2019.0</v>
      </c>
      <c r="H100" s="22" t="s">
        <v>348</v>
      </c>
      <c r="I100" s="58" t="s">
        <v>642</v>
      </c>
      <c r="J100" s="56"/>
      <c r="K100" s="56"/>
      <c r="L100" s="67">
        <v>830.0</v>
      </c>
      <c r="M100" s="67">
        <v>30.0</v>
      </c>
      <c r="N100" s="67" t="s">
        <v>339</v>
      </c>
      <c r="O100" s="78">
        <v>43710.0</v>
      </c>
      <c r="P100" s="68" t="s">
        <v>82</v>
      </c>
      <c r="Q100" s="67" t="s">
        <v>643</v>
      </c>
      <c r="R100" s="67" t="s">
        <v>644</v>
      </c>
      <c r="S100" s="67"/>
      <c r="T100" s="63" t="s">
        <v>645</v>
      </c>
      <c r="U100" s="66" t="str">
        <f>HYPERLINK("https://www.ncbi.nlm.nih.gov/pubmed/30974743","PubMed")</f>
        <v>PubMed</v>
      </c>
      <c r="V100" s="50"/>
      <c r="W100" s="49"/>
      <c r="X100" s="49"/>
      <c r="Y100" s="35"/>
      <c r="Z100" s="35"/>
      <c r="AA100" s="35"/>
      <c r="AB100" s="35"/>
      <c r="AC100" s="35"/>
      <c r="AD100" s="35"/>
      <c r="AE100" s="35"/>
      <c r="AF100" s="35"/>
      <c r="AG100" s="35"/>
      <c r="AH100" s="35"/>
      <c r="AI100" s="35"/>
      <c r="AJ100" s="35"/>
      <c r="AK100" s="35"/>
      <c r="AL100" s="35"/>
    </row>
    <row r="101" ht="52.5" customHeight="1">
      <c r="A101" s="55"/>
      <c r="B101" s="75" t="s">
        <v>221</v>
      </c>
      <c r="C101" s="77" t="s">
        <v>306</v>
      </c>
      <c r="D101" s="47"/>
      <c r="E101" s="56" t="s">
        <v>646</v>
      </c>
      <c r="F101" s="22" t="s">
        <v>647</v>
      </c>
      <c r="G101" s="57">
        <v>2019.0</v>
      </c>
      <c r="H101" s="22" t="s">
        <v>314</v>
      </c>
      <c r="I101" s="58" t="s">
        <v>648</v>
      </c>
      <c r="J101" s="56" t="s">
        <v>649</v>
      </c>
      <c r="K101" s="56"/>
      <c r="L101" s="86" t="s">
        <v>650</v>
      </c>
      <c r="U101" s="66" t="str">
        <f>HYPERLINK("https://www.ncbi.nlm.nih.gov/pubmed/31002851","PubMed")</f>
        <v>PubMed</v>
      </c>
      <c r="V101" s="50"/>
      <c r="W101" s="49"/>
      <c r="X101" s="49"/>
      <c r="Y101" s="35"/>
      <c r="Z101" s="35"/>
      <c r="AA101" s="35"/>
      <c r="AB101" s="35"/>
      <c r="AC101" s="35"/>
      <c r="AD101" s="35"/>
      <c r="AE101" s="35"/>
      <c r="AF101" s="35"/>
      <c r="AG101" s="35"/>
      <c r="AH101" s="35"/>
      <c r="AI101" s="35"/>
      <c r="AJ101" s="35"/>
      <c r="AK101" s="35"/>
      <c r="AL101" s="35"/>
    </row>
    <row r="102" ht="52.5" customHeight="1">
      <c r="A102" s="55"/>
      <c r="B102" s="75" t="s">
        <v>221</v>
      </c>
      <c r="C102" s="77" t="s">
        <v>306</v>
      </c>
      <c r="D102" s="47"/>
      <c r="E102" s="56" t="s">
        <v>651</v>
      </c>
      <c r="F102" s="22" t="s">
        <v>183</v>
      </c>
      <c r="G102" s="57">
        <v>2018.0</v>
      </c>
      <c r="H102" s="22" t="s">
        <v>91</v>
      </c>
      <c r="I102" s="58" t="s">
        <v>652</v>
      </c>
      <c r="J102" s="56" t="s">
        <v>253</v>
      </c>
      <c r="K102" s="56" t="s">
        <v>653</v>
      </c>
      <c r="L102" s="62" t="s">
        <v>654</v>
      </c>
      <c r="M102" s="62"/>
      <c r="N102" s="62"/>
      <c r="O102" s="62"/>
      <c r="P102" s="62"/>
      <c r="Q102" s="62"/>
      <c r="R102" s="62"/>
      <c r="S102" s="62"/>
      <c r="T102" s="83" t="s">
        <v>655</v>
      </c>
      <c r="U102" s="66" t="str">
        <f>HYPERLINK("https://www.ncbi.nlm.nih.gov/pubmed/29687410","PubMed")</f>
        <v>PubMed</v>
      </c>
      <c r="V102" s="50"/>
      <c r="W102" s="49"/>
      <c r="X102" s="49"/>
      <c r="Y102" s="35"/>
      <c r="Z102" s="35"/>
      <c r="AA102" s="35"/>
      <c r="AB102" s="35"/>
      <c r="AC102" s="35"/>
      <c r="AD102" s="35"/>
      <c r="AE102" s="35"/>
      <c r="AF102" s="35"/>
      <c r="AG102" s="35"/>
      <c r="AH102" s="35"/>
      <c r="AI102" s="35"/>
      <c r="AJ102" s="35"/>
      <c r="AK102" s="35"/>
      <c r="AL102" s="35"/>
    </row>
    <row r="103" ht="52.5" customHeight="1">
      <c r="A103" s="55"/>
      <c r="B103" s="75" t="s">
        <v>221</v>
      </c>
      <c r="C103" s="77" t="s">
        <v>306</v>
      </c>
      <c r="D103" s="47"/>
      <c r="E103" s="56" t="s">
        <v>656</v>
      </c>
      <c r="F103" s="22" t="s">
        <v>657</v>
      </c>
      <c r="G103" s="57">
        <v>2018.0</v>
      </c>
      <c r="H103" s="22" t="s">
        <v>658</v>
      </c>
      <c r="I103" s="58" t="s">
        <v>659</v>
      </c>
      <c r="J103" s="56" t="s">
        <v>55</v>
      </c>
      <c r="K103" s="56" t="s">
        <v>660</v>
      </c>
      <c r="L103" s="87">
        <v>830.0</v>
      </c>
      <c r="M103" s="87">
        <v>40.0</v>
      </c>
      <c r="N103" s="87"/>
      <c r="O103" s="87"/>
      <c r="P103" s="87">
        <v>4.0</v>
      </c>
      <c r="Q103" s="87" t="s">
        <v>661</v>
      </c>
      <c r="R103" s="87"/>
      <c r="S103" s="87" t="s">
        <v>662</v>
      </c>
      <c r="T103" s="83" t="s">
        <v>663</v>
      </c>
      <c r="U103" s="66" t="str">
        <f>HYPERLINK("https://www.ncbi.nlm.nih.gov/pubmed/30422755","PubMed")</f>
        <v>PubMed</v>
      </c>
      <c r="V103" s="50"/>
      <c r="W103" s="49"/>
      <c r="X103" s="49"/>
      <c r="Y103" s="35"/>
      <c r="Z103" s="35"/>
      <c r="AA103" s="35"/>
      <c r="AB103" s="35"/>
      <c r="AC103" s="35"/>
      <c r="AD103" s="35"/>
      <c r="AE103" s="35"/>
      <c r="AF103" s="35"/>
      <c r="AG103" s="35"/>
      <c r="AH103" s="35"/>
      <c r="AI103" s="35"/>
      <c r="AJ103" s="35"/>
      <c r="AK103" s="35"/>
      <c r="AL103" s="35"/>
    </row>
    <row r="104" ht="52.5" customHeight="1">
      <c r="A104" s="55"/>
      <c r="B104" s="75" t="s">
        <v>221</v>
      </c>
      <c r="C104" s="77" t="s">
        <v>306</v>
      </c>
      <c r="D104" s="47"/>
      <c r="E104" s="56" t="s">
        <v>664</v>
      </c>
      <c r="F104" s="22" t="s">
        <v>274</v>
      </c>
      <c r="G104" s="57">
        <v>2018.0</v>
      </c>
      <c r="H104" s="22" t="s">
        <v>91</v>
      </c>
      <c r="I104" s="58" t="s">
        <v>665</v>
      </c>
      <c r="J104" s="56" t="s">
        <v>666</v>
      </c>
      <c r="K104" s="56"/>
      <c r="L104" s="88" t="s">
        <v>667</v>
      </c>
      <c r="M104" s="44"/>
      <c r="N104" s="44"/>
      <c r="O104" s="44"/>
      <c r="P104" s="44"/>
      <c r="Q104" s="44"/>
      <c r="R104" s="44"/>
      <c r="S104" s="44"/>
      <c r="T104" s="45"/>
      <c r="U104" s="66" t="str">
        <f>HYPERLINK("https://www.ncbi.nlm.nih.gov/pubmed/30291464","PubMed")</f>
        <v>PubMed</v>
      </c>
      <c r="V104" s="50"/>
      <c r="W104" s="49"/>
      <c r="X104" s="49"/>
      <c r="Y104" s="35"/>
      <c r="Z104" s="35"/>
      <c r="AA104" s="35"/>
      <c r="AB104" s="35"/>
      <c r="AC104" s="35"/>
      <c r="AD104" s="35"/>
      <c r="AE104" s="35"/>
      <c r="AF104" s="35"/>
      <c r="AG104" s="35"/>
      <c r="AH104" s="35"/>
      <c r="AI104" s="35"/>
      <c r="AJ104" s="35"/>
      <c r="AK104" s="35"/>
      <c r="AL104" s="35"/>
    </row>
    <row r="105" ht="52.5" customHeight="1">
      <c r="A105" s="55"/>
      <c r="B105" s="75" t="s">
        <v>221</v>
      </c>
      <c r="C105" s="77" t="s">
        <v>306</v>
      </c>
      <c r="D105" s="47"/>
      <c r="E105" s="56" t="s">
        <v>668</v>
      </c>
      <c r="F105" s="22" t="s">
        <v>323</v>
      </c>
      <c r="G105" s="57">
        <v>2018.0</v>
      </c>
      <c r="H105" s="22" t="s">
        <v>147</v>
      </c>
      <c r="I105" s="58" t="s">
        <v>669</v>
      </c>
      <c r="J105" s="56" t="s">
        <v>55</v>
      </c>
      <c r="K105" s="56"/>
      <c r="L105" s="69">
        <v>890.0</v>
      </c>
      <c r="M105" s="69" t="s">
        <v>670</v>
      </c>
      <c r="N105" s="69"/>
      <c r="O105" s="72"/>
      <c r="P105" s="70" t="s">
        <v>671</v>
      </c>
      <c r="Q105" s="69"/>
      <c r="R105" s="69">
        <v>1300.0</v>
      </c>
      <c r="S105" s="69"/>
      <c r="T105" s="63" t="s">
        <v>672</v>
      </c>
      <c r="U105" s="64" t="s">
        <v>61</v>
      </c>
      <c r="V105" s="50"/>
      <c r="W105" s="49"/>
      <c r="X105" s="49"/>
      <c r="Y105" s="35"/>
      <c r="Z105" s="35"/>
      <c r="AA105" s="35"/>
      <c r="AB105" s="35"/>
      <c r="AC105" s="35"/>
      <c r="AD105" s="35"/>
      <c r="AE105" s="35"/>
      <c r="AF105" s="35"/>
      <c r="AG105" s="35"/>
      <c r="AH105" s="35"/>
      <c r="AI105" s="35"/>
      <c r="AJ105" s="35"/>
      <c r="AK105" s="35"/>
      <c r="AL105" s="35"/>
    </row>
    <row r="106" ht="52.5" customHeight="1">
      <c r="A106" s="55"/>
      <c r="B106" s="75" t="s">
        <v>221</v>
      </c>
      <c r="C106" s="77" t="s">
        <v>306</v>
      </c>
      <c r="D106" s="47"/>
      <c r="E106" s="56" t="s">
        <v>673</v>
      </c>
      <c r="F106" s="22" t="s">
        <v>323</v>
      </c>
      <c r="G106" s="57">
        <v>2018.0</v>
      </c>
      <c r="H106" s="22" t="s">
        <v>658</v>
      </c>
      <c r="I106" s="58" t="s">
        <v>674</v>
      </c>
      <c r="J106" s="56" t="s">
        <v>55</v>
      </c>
      <c r="K106" s="56" t="s">
        <v>607</v>
      </c>
      <c r="L106" s="69">
        <v>890.0</v>
      </c>
      <c r="M106" s="69"/>
      <c r="N106" s="69" t="s">
        <v>670</v>
      </c>
      <c r="O106" s="72"/>
      <c r="P106" s="70" t="s">
        <v>671</v>
      </c>
      <c r="Q106" s="69" t="s">
        <v>675</v>
      </c>
      <c r="R106" s="69" t="s">
        <v>676</v>
      </c>
      <c r="S106" s="69"/>
      <c r="T106" s="63" t="s">
        <v>677</v>
      </c>
      <c r="U106" s="66" t="str">
        <f>HYPERLINK("https://www.ncbi.nlm.nih.gov/pubmed/29851368","PubMed")</f>
        <v>PubMed</v>
      </c>
      <c r="V106" s="50"/>
      <c r="W106" s="49"/>
      <c r="X106" s="49"/>
      <c r="Y106" s="35"/>
      <c r="Z106" s="35"/>
      <c r="AA106" s="35"/>
      <c r="AB106" s="35"/>
      <c r="AC106" s="35"/>
      <c r="AD106" s="35"/>
      <c r="AE106" s="35"/>
      <c r="AF106" s="35"/>
      <c r="AG106" s="35"/>
      <c r="AH106" s="35"/>
      <c r="AI106" s="35"/>
      <c r="AJ106" s="35"/>
      <c r="AK106" s="35"/>
      <c r="AL106" s="35"/>
    </row>
    <row r="107" ht="52.5" customHeight="1">
      <c r="A107" s="55"/>
      <c r="B107" s="75" t="s">
        <v>221</v>
      </c>
      <c r="C107" s="77" t="s">
        <v>306</v>
      </c>
      <c r="D107" s="47"/>
      <c r="E107" s="56" t="s">
        <v>678</v>
      </c>
      <c r="F107" s="22" t="s">
        <v>679</v>
      </c>
      <c r="G107" s="57">
        <v>2018.0</v>
      </c>
      <c r="H107" s="22" t="s">
        <v>680</v>
      </c>
      <c r="I107" s="58" t="s">
        <v>681</v>
      </c>
      <c r="J107" s="56" t="s">
        <v>253</v>
      </c>
      <c r="K107" s="56"/>
      <c r="L107" s="69"/>
      <c r="M107" s="69"/>
      <c r="N107" s="69"/>
      <c r="O107" s="72"/>
      <c r="P107" s="70"/>
      <c r="Q107" s="69"/>
      <c r="R107" s="69"/>
      <c r="S107" s="69"/>
      <c r="T107" s="63" t="s">
        <v>682</v>
      </c>
      <c r="U107" s="66" t="str">
        <f>HYPERLINK("https://www.ncbi.nlm.nih.gov/pubmed/29885471","PubMed")</f>
        <v>PubMed</v>
      </c>
      <c r="V107" s="50"/>
      <c r="W107" s="49"/>
      <c r="X107" s="49"/>
      <c r="Y107" s="35"/>
      <c r="Z107" s="35"/>
      <c r="AA107" s="35"/>
      <c r="AB107" s="35"/>
      <c r="AC107" s="35"/>
      <c r="AD107" s="35"/>
      <c r="AE107" s="35"/>
      <c r="AF107" s="35"/>
      <c r="AG107" s="35"/>
      <c r="AH107" s="35"/>
      <c r="AI107" s="35"/>
      <c r="AJ107" s="35"/>
      <c r="AK107" s="35"/>
      <c r="AL107" s="35"/>
    </row>
    <row r="108" ht="52.5" customHeight="1">
      <c r="A108" s="55"/>
      <c r="B108" s="75" t="s">
        <v>221</v>
      </c>
      <c r="C108" s="77" t="s">
        <v>306</v>
      </c>
      <c r="D108" s="47"/>
      <c r="E108" s="56" t="s">
        <v>683</v>
      </c>
      <c r="F108" s="22" t="s">
        <v>241</v>
      </c>
      <c r="G108" s="57">
        <v>2018.0</v>
      </c>
      <c r="H108" s="22" t="s">
        <v>611</v>
      </c>
      <c r="I108" s="58" t="s">
        <v>684</v>
      </c>
      <c r="J108" s="56" t="s">
        <v>55</v>
      </c>
      <c r="K108" s="56"/>
      <c r="L108" s="69">
        <v>808.0</v>
      </c>
      <c r="M108" s="69">
        <v>100.0</v>
      </c>
      <c r="N108" s="69"/>
      <c r="O108" s="72"/>
      <c r="P108" s="70" t="s">
        <v>355</v>
      </c>
      <c r="Q108" s="69"/>
      <c r="R108" s="69" t="s">
        <v>685</v>
      </c>
      <c r="S108" s="69"/>
      <c r="T108" s="63" t="s">
        <v>686</v>
      </c>
      <c r="U108" s="66" t="str">
        <f>HYPERLINK("https://www.ncbi.nlm.nih.gov/pubmed/29742256","PubMed")</f>
        <v>PubMed</v>
      </c>
      <c r="V108" s="50"/>
      <c r="W108" s="49"/>
      <c r="X108" s="49"/>
      <c r="Y108" s="35"/>
      <c r="Z108" s="35"/>
      <c r="AA108" s="35"/>
      <c r="AB108" s="35"/>
      <c r="AC108" s="35"/>
      <c r="AD108" s="35"/>
      <c r="AE108" s="35"/>
      <c r="AF108" s="35"/>
      <c r="AG108" s="35"/>
      <c r="AH108" s="35"/>
      <c r="AI108" s="35"/>
      <c r="AJ108" s="35"/>
      <c r="AK108" s="35"/>
      <c r="AL108" s="35"/>
    </row>
    <row r="109" ht="52.5" customHeight="1">
      <c r="A109" s="55"/>
      <c r="B109" s="75" t="s">
        <v>221</v>
      </c>
      <c r="C109" s="77" t="s">
        <v>306</v>
      </c>
      <c r="D109" s="47"/>
      <c r="E109" s="56" t="s">
        <v>543</v>
      </c>
      <c r="F109" s="22" t="s">
        <v>510</v>
      </c>
      <c r="G109" s="57">
        <v>2018.0</v>
      </c>
      <c r="H109" s="22" t="s">
        <v>91</v>
      </c>
      <c r="I109" s="58" t="s">
        <v>687</v>
      </c>
      <c r="J109" s="56" t="s">
        <v>55</v>
      </c>
      <c r="K109" s="56"/>
      <c r="L109" s="69">
        <v>780.0</v>
      </c>
      <c r="M109" s="69">
        <v>60.0</v>
      </c>
      <c r="N109" s="69"/>
      <c r="O109" s="72"/>
      <c r="P109" s="70" t="s">
        <v>82</v>
      </c>
      <c r="Q109" s="69"/>
      <c r="R109" s="69">
        <v>4.0</v>
      </c>
      <c r="S109" s="69"/>
      <c r="T109" s="74" t="s">
        <v>688</v>
      </c>
      <c r="U109" s="66" t="str">
        <f>HYPERLINK("https://www.ncbi.nlm.nih.gov/pubmed/29728942","PubMed")</f>
        <v>PubMed</v>
      </c>
      <c r="V109" s="50"/>
      <c r="W109" s="49"/>
      <c r="X109" s="49"/>
      <c r="Y109" s="35"/>
      <c r="Z109" s="35"/>
      <c r="AA109" s="35"/>
      <c r="AB109" s="35"/>
      <c r="AC109" s="35"/>
      <c r="AD109" s="35"/>
      <c r="AE109" s="35"/>
      <c r="AF109" s="35"/>
      <c r="AG109" s="35"/>
      <c r="AH109" s="35"/>
      <c r="AI109" s="35"/>
      <c r="AJ109" s="35"/>
      <c r="AK109" s="35"/>
      <c r="AL109" s="35"/>
    </row>
    <row r="110" ht="18.75" customHeight="1">
      <c r="A110" s="55"/>
      <c r="B110" s="75" t="s">
        <v>221</v>
      </c>
      <c r="C110" s="77" t="s">
        <v>306</v>
      </c>
      <c r="D110" s="47"/>
      <c r="E110" s="56" t="s">
        <v>689</v>
      </c>
      <c r="F110" s="22" t="s">
        <v>400</v>
      </c>
      <c r="G110" s="57">
        <v>2018.0</v>
      </c>
      <c r="H110" s="22" t="s">
        <v>401</v>
      </c>
      <c r="I110" s="58" t="s">
        <v>690</v>
      </c>
      <c r="J110" s="56" t="s">
        <v>55</v>
      </c>
      <c r="K110" s="56"/>
      <c r="L110" s="69">
        <v>780.0</v>
      </c>
      <c r="M110" s="69">
        <v>100.0</v>
      </c>
      <c r="N110" s="69"/>
      <c r="O110" s="72"/>
      <c r="P110" s="70" t="s">
        <v>355</v>
      </c>
      <c r="Q110" s="69"/>
      <c r="R110" s="69" t="s">
        <v>691</v>
      </c>
      <c r="S110" s="69"/>
      <c r="T110" s="71" t="s">
        <v>692</v>
      </c>
      <c r="U110" s="66" t="str">
        <f>HYPERLINK("https://www.ncbi.nlm.nih.gov/pubmed/29340351","PubMed")</f>
        <v>PubMed</v>
      </c>
      <c r="V110" s="50"/>
      <c r="W110" s="49"/>
      <c r="X110" s="49"/>
      <c r="Y110" s="35"/>
      <c r="Z110" s="35"/>
      <c r="AA110" s="35"/>
      <c r="AB110" s="35"/>
      <c r="AC110" s="35"/>
      <c r="AD110" s="35"/>
      <c r="AE110" s="35"/>
      <c r="AF110" s="35"/>
      <c r="AG110" s="35"/>
      <c r="AH110" s="35"/>
      <c r="AI110" s="35"/>
      <c r="AJ110" s="35"/>
      <c r="AK110" s="35"/>
      <c r="AL110" s="35"/>
    </row>
    <row r="111" ht="18.75" customHeight="1">
      <c r="A111" s="55"/>
      <c r="B111" s="75" t="s">
        <v>221</v>
      </c>
      <c r="C111" s="77" t="s">
        <v>306</v>
      </c>
      <c r="D111" s="47"/>
      <c r="E111" s="56" t="s">
        <v>388</v>
      </c>
      <c r="F111" s="22" t="s">
        <v>41</v>
      </c>
      <c r="G111" s="57">
        <v>2018.0</v>
      </c>
      <c r="H111" s="22" t="s">
        <v>53</v>
      </c>
      <c r="I111" s="58" t="s">
        <v>693</v>
      </c>
      <c r="J111" s="56" t="s">
        <v>55</v>
      </c>
      <c r="K111" s="56"/>
      <c r="L111" s="69">
        <v>808.0</v>
      </c>
      <c r="M111" s="69">
        <v>100.0</v>
      </c>
      <c r="N111" s="69"/>
      <c r="O111" s="72"/>
      <c r="P111" s="70"/>
      <c r="Q111" s="69" t="s">
        <v>694</v>
      </c>
      <c r="R111" s="69"/>
      <c r="S111" s="69"/>
      <c r="T111" s="63" t="s">
        <v>695</v>
      </c>
      <c r="U111" s="66" t="str">
        <f>HYPERLINK("https://www.ncbi.nlm.nih.gov/pubmed/29331041","PubMed")</f>
        <v>PubMed</v>
      </c>
      <c r="V111" s="50"/>
      <c r="W111" s="49"/>
      <c r="X111" s="49"/>
      <c r="Y111" s="35"/>
      <c r="Z111" s="35"/>
      <c r="AA111" s="35"/>
      <c r="AB111" s="35"/>
      <c r="AC111" s="35"/>
      <c r="AD111" s="35"/>
      <c r="AE111" s="35"/>
      <c r="AF111" s="35"/>
      <c r="AG111" s="35"/>
      <c r="AH111" s="35"/>
      <c r="AI111" s="35"/>
      <c r="AJ111" s="35"/>
      <c r="AK111" s="35"/>
      <c r="AL111" s="35"/>
    </row>
    <row r="112" ht="46.5" customHeight="1">
      <c r="A112" s="55"/>
      <c r="B112" s="75" t="s">
        <v>221</v>
      </c>
      <c r="C112" s="77" t="s">
        <v>306</v>
      </c>
      <c r="D112" s="47"/>
      <c r="E112" s="56" t="s">
        <v>696</v>
      </c>
      <c r="F112" s="22" t="s">
        <v>697</v>
      </c>
      <c r="G112" s="57">
        <v>2017.0</v>
      </c>
      <c r="H112" s="22" t="s">
        <v>292</v>
      </c>
      <c r="I112" s="58" t="s">
        <v>698</v>
      </c>
      <c r="J112" s="56" t="s">
        <v>253</v>
      </c>
      <c r="K112" s="56" t="s">
        <v>699</v>
      </c>
      <c r="L112" s="69">
        <v>830.0</v>
      </c>
      <c r="M112" s="69"/>
      <c r="N112" s="69"/>
      <c r="O112" s="72"/>
      <c r="P112" s="70" t="s">
        <v>254</v>
      </c>
      <c r="Q112" s="69"/>
      <c r="R112" s="69"/>
      <c r="S112" s="69"/>
      <c r="T112" s="71" t="s">
        <v>700</v>
      </c>
      <c r="U112" s="66" t="str">
        <f>HYPERLINK("https://www.ncbi.nlm.nih.gov/pubmed/29133966","PubMed")</f>
        <v>PubMed</v>
      </c>
      <c r="V112" s="50"/>
      <c r="W112" s="49"/>
      <c r="X112" s="49"/>
      <c r="Y112" s="35"/>
      <c r="Z112" s="35"/>
      <c r="AA112" s="35"/>
      <c r="AB112" s="35"/>
      <c r="AC112" s="35"/>
      <c r="AD112" s="35"/>
      <c r="AE112" s="35"/>
      <c r="AF112" s="35"/>
      <c r="AG112" s="35"/>
      <c r="AH112" s="35"/>
      <c r="AI112" s="35"/>
      <c r="AJ112" s="35"/>
      <c r="AK112" s="35"/>
      <c r="AL112" s="35"/>
    </row>
    <row r="113" ht="46.5" customHeight="1">
      <c r="A113" s="55"/>
      <c r="B113" s="75" t="s">
        <v>221</v>
      </c>
      <c r="C113" s="77" t="s">
        <v>306</v>
      </c>
      <c r="D113" s="47"/>
      <c r="E113" s="56" t="s">
        <v>701</v>
      </c>
      <c r="F113" s="22" t="s">
        <v>468</v>
      </c>
      <c r="G113" s="57">
        <v>2017.0</v>
      </c>
      <c r="H113" s="22" t="s">
        <v>702</v>
      </c>
      <c r="I113" s="58" t="s">
        <v>703</v>
      </c>
      <c r="J113" s="56" t="s">
        <v>55</v>
      </c>
      <c r="K113" s="56"/>
      <c r="L113" s="69">
        <v>780.0</v>
      </c>
      <c r="M113" s="69" t="s">
        <v>58</v>
      </c>
      <c r="N113" s="69" t="s">
        <v>58</v>
      </c>
      <c r="O113" s="69" t="s">
        <v>58</v>
      </c>
      <c r="P113" s="70" t="s">
        <v>704</v>
      </c>
      <c r="Q113" s="69" t="s">
        <v>58</v>
      </c>
      <c r="R113" s="69">
        <v>60.0</v>
      </c>
      <c r="S113" s="69">
        <v>7.0</v>
      </c>
      <c r="T113" s="63" t="s">
        <v>705</v>
      </c>
      <c r="U113" s="66" t="str">
        <f>HYPERLINK("https://www.ncbi.nlm.nih.gov/pubmed/28935484","PubMed")</f>
        <v>PubMed</v>
      </c>
      <c r="V113" s="56" t="s">
        <v>706</v>
      </c>
      <c r="W113" s="49"/>
      <c r="X113" s="49"/>
      <c r="Y113" s="35"/>
      <c r="Z113" s="35"/>
      <c r="AA113" s="35"/>
      <c r="AB113" s="35"/>
      <c r="AC113" s="35"/>
      <c r="AD113" s="35"/>
      <c r="AE113" s="35"/>
      <c r="AF113" s="35"/>
      <c r="AG113" s="35"/>
      <c r="AH113" s="35"/>
      <c r="AI113" s="35"/>
      <c r="AJ113" s="35"/>
      <c r="AK113" s="35"/>
      <c r="AL113" s="35"/>
    </row>
    <row r="114" ht="46.5" customHeight="1">
      <c r="A114" s="55"/>
      <c r="B114" s="75" t="s">
        <v>221</v>
      </c>
      <c r="C114" s="77" t="s">
        <v>306</v>
      </c>
      <c r="D114" s="47"/>
      <c r="E114" s="76" t="s">
        <v>707</v>
      </c>
      <c r="F114" s="22" t="s">
        <v>605</v>
      </c>
      <c r="G114" s="57">
        <v>2017.0</v>
      </c>
      <c r="H114" s="22" t="s">
        <v>169</v>
      </c>
      <c r="I114" s="58" t="s">
        <v>708</v>
      </c>
      <c r="J114" s="56" t="s">
        <v>55</v>
      </c>
      <c r="L114" s="67">
        <v>820.0</v>
      </c>
      <c r="M114" s="67">
        <v>500.0</v>
      </c>
      <c r="N114" s="67"/>
      <c r="O114" s="67"/>
      <c r="P114" s="68" t="s">
        <v>709</v>
      </c>
      <c r="Q114" s="67" t="s">
        <v>675</v>
      </c>
      <c r="R114" s="67">
        <v>32.0</v>
      </c>
      <c r="S114" s="67">
        <v>12.0</v>
      </c>
      <c r="T114" s="63" t="s">
        <v>710</v>
      </c>
      <c r="U114" s="66" t="str">
        <f>HYPERLINK("https://www.ncbi.nlm.nih.gov/pubmed/28622041","PubMed")</f>
        <v>PubMed</v>
      </c>
      <c r="V114" s="56"/>
      <c r="W114" s="49"/>
      <c r="X114" s="49"/>
      <c r="Y114" s="35"/>
      <c r="Z114" s="35"/>
      <c r="AA114" s="35"/>
      <c r="AB114" s="35"/>
      <c r="AC114" s="35"/>
      <c r="AD114" s="35"/>
      <c r="AE114" s="35"/>
      <c r="AF114" s="35"/>
      <c r="AG114" s="35"/>
      <c r="AH114" s="35"/>
      <c r="AI114" s="35"/>
      <c r="AJ114" s="35"/>
      <c r="AK114" s="35"/>
      <c r="AL114" s="35"/>
    </row>
    <row r="115" ht="46.5" customHeight="1">
      <c r="A115" s="55"/>
      <c r="B115" s="75" t="s">
        <v>221</v>
      </c>
      <c r="C115" s="77" t="s">
        <v>306</v>
      </c>
      <c r="D115" s="47"/>
      <c r="E115" s="56" t="s">
        <v>711</v>
      </c>
      <c r="F115" s="22" t="s">
        <v>540</v>
      </c>
      <c r="G115" s="57">
        <v>2017.0</v>
      </c>
      <c r="H115" s="22" t="s">
        <v>658</v>
      </c>
      <c r="I115" s="58" t="s">
        <v>712</v>
      </c>
      <c r="J115" s="56" t="s">
        <v>666</v>
      </c>
      <c r="K115" s="56"/>
      <c r="L115" s="79" t="s">
        <v>713</v>
      </c>
      <c r="U115" s="66" t="str">
        <f>HYPERLINK("https://www.ncbi.nlm.nih.gov/pubmed/28742438","PubMed")</f>
        <v>PubMed</v>
      </c>
      <c r="V115" s="50"/>
      <c r="W115" s="49"/>
      <c r="X115" s="49"/>
      <c r="Y115" s="35"/>
      <c r="Z115" s="35"/>
      <c r="AA115" s="35"/>
      <c r="AB115" s="35"/>
      <c r="AC115" s="35"/>
      <c r="AD115" s="35"/>
      <c r="AE115" s="35"/>
      <c r="AF115" s="35"/>
      <c r="AG115" s="35"/>
      <c r="AH115" s="35"/>
      <c r="AI115" s="35"/>
      <c r="AJ115" s="35"/>
      <c r="AK115" s="35"/>
      <c r="AL115" s="35"/>
    </row>
    <row r="116" ht="27.0" customHeight="1">
      <c r="A116" s="55"/>
      <c r="B116" s="75" t="s">
        <v>221</v>
      </c>
      <c r="C116" s="77" t="s">
        <v>306</v>
      </c>
      <c r="D116" s="47"/>
      <c r="E116" s="56" t="s">
        <v>714</v>
      </c>
      <c r="F116" s="22" t="s">
        <v>530</v>
      </c>
      <c r="G116" s="57">
        <v>2017.0</v>
      </c>
      <c r="H116" s="22" t="s">
        <v>207</v>
      </c>
      <c r="I116" s="58" t="s">
        <v>715</v>
      </c>
      <c r="J116" s="56" t="s">
        <v>548</v>
      </c>
      <c r="K116" s="56" t="s">
        <v>716</v>
      </c>
      <c r="L116" s="69">
        <v>808.0</v>
      </c>
      <c r="M116" s="69">
        <v>30.0</v>
      </c>
      <c r="N116" s="70" t="s">
        <v>717</v>
      </c>
      <c r="O116" s="69" t="s">
        <v>718</v>
      </c>
      <c r="P116" s="70" t="s">
        <v>480</v>
      </c>
      <c r="Q116" s="69" t="s">
        <v>280</v>
      </c>
      <c r="R116" s="69">
        <v>28.0</v>
      </c>
      <c r="S116" s="69" t="s">
        <v>589</v>
      </c>
      <c r="T116" s="63" t="s">
        <v>719</v>
      </c>
      <c r="U116" s="66" t="str">
        <f>HYPERLINK("https://www.ncbi.nlm.nih.gov/pubmed/28603084","PubMed")</f>
        <v>PubMed</v>
      </c>
      <c r="V116" s="50"/>
      <c r="W116" s="49"/>
      <c r="X116" s="49"/>
      <c r="Y116" s="35"/>
      <c r="Z116" s="35"/>
      <c r="AA116" s="35"/>
      <c r="AB116" s="35"/>
      <c r="AC116" s="35"/>
      <c r="AD116" s="35"/>
      <c r="AE116" s="35"/>
      <c r="AF116" s="35"/>
      <c r="AG116" s="35"/>
      <c r="AH116" s="35"/>
      <c r="AI116" s="35"/>
      <c r="AJ116" s="35"/>
      <c r="AK116" s="35"/>
      <c r="AL116" s="35"/>
    </row>
    <row r="117" ht="27.0" customHeight="1">
      <c r="A117" s="55"/>
      <c r="B117" s="75" t="s">
        <v>221</v>
      </c>
      <c r="C117" s="77" t="s">
        <v>306</v>
      </c>
      <c r="D117" s="47"/>
      <c r="E117" s="56" t="s">
        <v>388</v>
      </c>
      <c r="F117" s="22" t="s">
        <v>720</v>
      </c>
      <c r="G117" s="57">
        <v>2017.0</v>
      </c>
      <c r="H117" s="22" t="s">
        <v>721</v>
      </c>
      <c r="I117" s="58" t="s">
        <v>722</v>
      </c>
      <c r="J117" s="56" t="s">
        <v>55</v>
      </c>
      <c r="K117" s="56"/>
      <c r="L117" s="69">
        <v>780.0</v>
      </c>
      <c r="M117" s="69">
        <v>50.0</v>
      </c>
      <c r="N117" s="69" t="s">
        <v>723</v>
      </c>
      <c r="O117" s="69" t="s">
        <v>58</v>
      </c>
      <c r="P117" s="70" t="s">
        <v>279</v>
      </c>
      <c r="Q117" s="69" t="s">
        <v>58</v>
      </c>
      <c r="R117" s="69" t="s">
        <v>58</v>
      </c>
      <c r="S117" s="69"/>
      <c r="T117" s="63" t="s">
        <v>724</v>
      </c>
      <c r="U117" s="66" t="str">
        <f>HYPERLINK("https://www.ncbi.nlm.nih.gov/pubmed/28556971","PubMed")</f>
        <v>PubMed</v>
      </c>
      <c r="V117" s="50"/>
      <c r="W117" s="49"/>
      <c r="X117" s="49"/>
      <c r="Y117" s="35"/>
      <c r="Z117" s="35"/>
      <c r="AA117" s="35"/>
      <c r="AB117" s="35"/>
      <c r="AC117" s="35"/>
      <c r="AD117" s="35"/>
      <c r="AE117" s="35"/>
      <c r="AF117" s="35"/>
      <c r="AG117" s="35"/>
      <c r="AH117" s="35"/>
      <c r="AI117" s="35"/>
      <c r="AJ117" s="35"/>
      <c r="AK117" s="35"/>
      <c r="AL117" s="35"/>
    </row>
    <row r="118" ht="27.0" customHeight="1">
      <c r="A118" s="55"/>
      <c r="B118" s="75" t="s">
        <v>221</v>
      </c>
      <c r="C118" s="77" t="s">
        <v>306</v>
      </c>
      <c r="D118" s="47"/>
      <c r="E118" s="56" t="s">
        <v>725</v>
      </c>
      <c r="F118" s="22" t="s">
        <v>510</v>
      </c>
      <c r="G118" s="57" t="s">
        <v>90</v>
      </c>
      <c r="H118" s="22" t="s">
        <v>91</v>
      </c>
      <c r="I118" s="58" t="s">
        <v>726</v>
      </c>
      <c r="J118" s="56" t="s">
        <v>55</v>
      </c>
      <c r="K118" s="56" t="s">
        <v>727</v>
      </c>
      <c r="L118" s="69">
        <v>945.0</v>
      </c>
      <c r="M118" s="69">
        <v>48.0</v>
      </c>
      <c r="N118" s="69" t="s">
        <v>723</v>
      </c>
      <c r="O118" s="72">
        <v>43231.0</v>
      </c>
      <c r="P118" s="70" t="s">
        <v>728</v>
      </c>
      <c r="Q118" s="69" t="s">
        <v>729</v>
      </c>
      <c r="R118" s="69">
        <v>240.0</v>
      </c>
      <c r="S118" s="69" t="s">
        <v>730</v>
      </c>
      <c r="T118" s="63" t="s">
        <v>731</v>
      </c>
      <c r="U118" s="66" t="str">
        <f>HYPERLINK("https://www.ncbi.nlm.nih.gov/pubmed/28429193","PubMed")</f>
        <v>PubMed</v>
      </c>
      <c r="V118" s="50"/>
      <c r="W118" s="49"/>
      <c r="X118" s="49"/>
      <c r="Y118" s="35"/>
      <c r="Z118" s="35"/>
      <c r="AA118" s="35"/>
      <c r="AB118" s="35"/>
      <c r="AC118" s="35"/>
      <c r="AD118" s="35"/>
      <c r="AE118" s="35"/>
      <c r="AF118" s="35"/>
      <c r="AG118" s="35"/>
      <c r="AH118" s="35"/>
      <c r="AI118" s="35"/>
      <c r="AJ118" s="35"/>
      <c r="AK118" s="35"/>
      <c r="AL118" s="35"/>
    </row>
    <row r="119" ht="27.0" customHeight="1">
      <c r="A119" s="55"/>
      <c r="B119" s="75" t="s">
        <v>221</v>
      </c>
      <c r="C119" s="77" t="s">
        <v>306</v>
      </c>
      <c r="D119" s="47"/>
      <c r="E119" s="56" t="s">
        <v>673</v>
      </c>
      <c r="F119" s="22" t="s">
        <v>323</v>
      </c>
      <c r="G119" s="57" t="s">
        <v>90</v>
      </c>
      <c r="H119" s="22" t="s">
        <v>658</v>
      </c>
      <c r="I119" s="58" t="s">
        <v>732</v>
      </c>
      <c r="J119" s="56" t="s">
        <v>55</v>
      </c>
      <c r="K119" s="56" t="s">
        <v>733</v>
      </c>
      <c r="L119" s="69">
        <v>890.0</v>
      </c>
      <c r="M119" s="69" t="s">
        <v>734</v>
      </c>
      <c r="N119" s="69" t="s">
        <v>735</v>
      </c>
      <c r="O119" s="69" t="s">
        <v>58</v>
      </c>
      <c r="P119" s="70" t="s">
        <v>671</v>
      </c>
      <c r="Q119" s="69" t="s">
        <v>675</v>
      </c>
      <c r="R119" s="69" t="s">
        <v>736</v>
      </c>
      <c r="S119" s="69"/>
      <c r="T119" s="74" t="s">
        <v>737</v>
      </c>
      <c r="U119" s="66" t="str">
        <f>HYPERLINK("https://www.ncbi.nlm.nih.gov/pubmed/28358661","PubMed")</f>
        <v>PubMed</v>
      </c>
      <c r="V119" s="30" t="s">
        <v>738</v>
      </c>
      <c r="W119" s="49"/>
      <c r="X119" s="49"/>
      <c r="Y119" s="35"/>
      <c r="Z119" s="35"/>
      <c r="AA119" s="35"/>
      <c r="AB119" s="35"/>
      <c r="AC119" s="35"/>
      <c r="AD119" s="35"/>
      <c r="AE119" s="35"/>
      <c r="AF119" s="35"/>
      <c r="AG119" s="35"/>
      <c r="AH119" s="35"/>
      <c r="AI119" s="35"/>
      <c r="AJ119" s="35"/>
      <c r="AK119" s="35"/>
      <c r="AL119" s="35"/>
    </row>
    <row r="120" ht="15.0" customHeight="1">
      <c r="A120" s="89"/>
      <c r="B120" s="75" t="s">
        <v>221</v>
      </c>
      <c r="C120" s="77" t="s">
        <v>306</v>
      </c>
      <c r="D120" s="47"/>
      <c r="E120" s="56" t="s">
        <v>651</v>
      </c>
      <c r="F120" s="22" t="s">
        <v>183</v>
      </c>
      <c r="G120" s="57">
        <v>2017.0</v>
      </c>
      <c r="H120" s="22" t="s">
        <v>91</v>
      </c>
      <c r="I120" s="58" t="s">
        <v>739</v>
      </c>
      <c r="J120" s="56" t="s">
        <v>55</v>
      </c>
      <c r="K120" s="56" t="s">
        <v>740</v>
      </c>
      <c r="L120" s="69" t="s">
        <v>741</v>
      </c>
      <c r="M120" s="69" t="s">
        <v>742</v>
      </c>
      <c r="N120" s="69" t="s">
        <v>723</v>
      </c>
      <c r="O120" s="90" t="s">
        <v>58</v>
      </c>
      <c r="P120" s="70" t="s">
        <v>743</v>
      </c>
      <c r="Q120" s="69" t="s">
        <v>744</v>
      </c>
      <c r="R120" s="69"/>
      <c r="S120" s="69" t="s">
        <v>745</v>
      </c>
      <c r="T120" s="74" t="s">
        <v>746</v>
      </c>
      <c r="U120" s="66" t="str">
        <f>HYPERLINK("https://www.ncbi.nlm.nih.gov/pubmed/28188497","PubMed")</f>
        <v>PubMed</v>
      </c>
      <c r="V120" s="50"/>
      <c r="W120" s="49"/>
      <c r="X120" s="49"/>
      <c r="Y120" s="35"/>
      <c r="Z120" s="35"/>
      <c r="AA120" s="35"/>
      <c r="AB120" s="35"/>
      <c r="AC120" s="35"/>
      <c r="AD120" s="35"/>
      <c r="AE120" s="35"/>
      <c r="AF120" s="35"/>
      <c r="AG120" s="35"/>
      <c r="AH120" s="35"/>
      <c r="AI120" s="35"/>
      <c r="AJ120" s="35"/>
      <c r="AK120" s="35"/>
      <c r="AL120" s="35"/>
    </row>
    <row r="121" ht="52.5" customHeight="1">
      <c r="A121" s="51" t="s">
        <v>181</v>
      </c>
      <c r="B121" s="91" t="s">
        <v>221</v>
      </c>
      <c r="C121" s="92" t="s">
        <v>306</v>
      </c>
      <c r="D121" s="47"/>
      <c r="E121" s="56" t="s">
        <v>747</v>
      </c>
      <c r="F121" s="22" t="s">
        <v>748</v>
      </c>
      <c r="G121" s="57">
        <v>2016.0</v>
      </c>
      <c r="H121" s="22" t="s">
        <v>147</v>
      </c>
      <c r="I121" s="58" t="s">
        <v>749</v>
      </c>
      <c r="J121" s="56" t="s">
        <v>55</v>
      </c>
      <c r="K121" s="56" t="s">
        <v>750</v>
      </c>
      <c r="L121" s="69">
        <v>890.0</v>
      </c>
      <c r="M121" s="69" t="s">
        <v>751</v>
      </c>
      <c r="N121" s="69" t="s">
        <v>58</v>
      </c>
      <c r="O121" s="90" t="s">
        <v>58</v>
      </c>
      <c r="P121" s="70" t="s">
        <v>58</v>
      </c>
      <c r="Q121" s="69" t="s">
        <v>58</v>
      </c>
      <c r="R121" s="69">
        <v>600.0</v>
      </c>
      <c r="S121" s="69">
        <v>4.0</v>
      </c>
      <c r="T121" s="63" t="s">
        <v>752</v>
      </c>
      <c r="U121" s="66" t="str">
        <f>HYPERLINK("https://www.ncbi.nlm.nih.gov/pubmed/28144431","PubMed")</f>
        <v>PubMed</v>
      </c>
      <c r="V121" s="30" t="s">
        <v>753</v>
      </c>
      <c r="W121" s="49"/>
      <c r="X121" s="49"/>
      <c r="Y121" s="35"/>
      <c r="Z121" s="35"/>
      <c r="AA121" s="35"/>
      <c r="AB121" s="35"/>
      <c r="AC121" s="35"/>
      <c r="AD121" s="35"/>
      <c r="AE121" s="35"/>
      <c r="AF121" s="35"/>
      <c r="AG121" s="35"/>
      <c r="AH121" s="35"/>
      <c r="AI121" s="35"/>
      <c r="AJ121" s="35"/>
      <c r="AK121" s="35"/>
      <c r="AL121" s="35"/>
    </row>
    <row r="122" ht="21.0" customHeight="1">
      <c r="A122" s="89"/>
      <c r="B122" s="75" t="s">
        <v>221</v>
      </c>
      <c r="C122" s="77" t="s">
        <v>306</v>
      </c>
      <c r="D122" s="47"/>
      <c r="E122" s="56" t="s">
        <v>754</v>
      </c>
      <c r="F122" s="22" t="s">
        <v>755</v>
      </c>
      <c r="G122" s="57">
        <v>2017.0</v>
      </c>
      <c r="H122" s="22" t="s">
        <v>756</v>
      </c>
      <c r="I122" s="58" t="s">
        <v>757</v>
      </c>
      <c r="J122" s="56" t="s">
        <v>55</v>
      </c>
      <c r="K122" s="56" t="s">
        <v>758</v>
      </c>
      <c r="L122" s="69">
        <v>940.0</v>
      </c>
      <c r="M122" s="69" t="s">
        <v>759</v>
      </c>
      <c r="N122" s="69" t="s">
        <v>58</v>
      </c>
      <c r="O122" s="69" t="s">
        <v>58</v>
      </c>
      <c r="P122" s="70" t="s">
        <v>760</v>
      </c>
      <c r="Q122" s="69" t="s">
        <v>761</v>
      </c>
      <c r="R122" s="69" t="s">
        <v>762</v>
      </c>
      <c r="S122" s="69">
        <v>7.0</v>
      </c>
      <c r="T122" s="71" t="s">
        <v>763</v>
      </c>
      <c r="U122" s="66" t="str">
        <f>HYPERLINK("https://www.ncbi.nlm.nih.gov/pubmed/28076498","PubMed")</f>
        <v>PubMed</v>
      </c>
      <c r="V122" s="50"/>
      <c r="W122" s="49"/>
      <c r="X122" s="49"/>
      <c r="Y122" s="35"/>
      <c r="Z122" s="35"/>
      <c r="AA122" s="35"/>
      <c r="AB122" s="35"/>
      <c r="AC122" s="35"/>
      <c r="AD122" s="35"/>
      <c r="AE122" s="35"/>
      <c r="AF122" s="35"/>
      <c r="AG122" s="35"/>
      <c r="AH122" s="35"/>
      <c r="AI122" s="35"/>
      <c r="AJ122" s="35"/>
      <c r="AK122" s="35"/>
      <c r="AL122" s="35"/>
    </row>
    <row r="123" ht="18.0" customHeight="1">
      <c r="A123" s="51" t="s">
        <v>181</v>
      </c>
      <c r="B123" s="75" t="s">
        <v>221</v>
      </c>
      <c r="C123" s="77" t="s">
        <v>306</v>
      </c>
      <c r="D123" s="47"/>
      <c r="E123" s="56" t="s">
        <v>764</v>
      </c>
      <c r="F123" s="22" t="s">
        <v>765</v>
      </c>
      <c r="G123" s="57">
        <v>2016.0</v>
      </c>
      <c r="H123" s="22" t="s">
        <v>555</v>
      </c>
      <c r="I123" s="58" t="s">
        <v>766</v>
      </c>
      <c r="J123" s="56" t="s">
        <v>55</v>
      </c>
      <c r="K123" s="56" t="s">
        <v>767</v>
      </c>
      <c r="L123" s="69">
        <v>660.0</v>
      </c>
      <c r="M123" s="69">
        <v>35.0</v>
      </c>
      <c r="N123" s="69" t="s">
        <v>58</v>
      </c>
      <c r="O123" s="90" t="s">
        <v>58</v>
      </c>
      <c r="P123" s="70" t="s">
        <v>254</v>
      </c>
      <c r="Q123" s="69" t="s">
        <v>58</v>
      </c>
      <c r="R123" s="69">
        <v>27.0</v>
      </c>
      <c r="S123" s="69"/>
      <c r="T123" s="63" t="s">
        <v>768</v>
      </c>
      <c r="U123" s="66" t="str">
        <f>HYPERLINK("https://www.ncbi.nlm.nih.gov/pubmed/28012366","PubMed")</f>
        <v>PubMed</v>
      </c>
      <c r="V123" s="50"/>
      <c r="W123" s="49"/>
      <c r="X123" s="49"/>
      <c r="Y123" s="35"/>
      <c r="Z123" s="35"/>
      <c r="AA123" s="35"/>
      <c r="AB123" s="35"/>
      <c r="AC123" s="35"/>
      <c r="AD123" s="35"/>
      <c r="AE123" s="35"/>
      <c r="AF123" s="35"/>
      <c r="AG123" s="35"/>
      <c r="AH123" s="35"/>
      <c r="AI123" s="35"/>
      <c r="AJ123" s="35"/>
      <c r="AK123" s="35"/>
      <c r="AL123" s="35"/>
    </row>
    <row r="124" ht="18.0" customHeight="1">
      <c r="A124" s="51"/>
      <c r="B124" s="75" t="s">
        <v>221</v>
      </c>
      <c r="C124" s="77" t="s">
        <v>306</v>
      </c>
      <c r="D124" s="47"/>
      <c r="E124" s="56" t="s">
        <v>769</v>
      </c>
      <c r="F124" s="22" t="s">
        <v>605</v>
      </c>
      <c r="G124" s="57">
        <v>2016.0</v>
      </c>
      <c r="H124" s="22" t="s">
        <v>561</v>
      </c>
      <c r="I124" s="58" t="s">
        <v>770</v>
      </c>
      <c r="J124" s="56" t="s">
        <v>55</v>
      </c>
      <c r="K124" s="56" t="s">
        <v>771</v>
      </c>
      <c r="L124" s="69" t="s">
        <v>772</v>
      </c>
      <c r="M124" s="69"/>
      <c r="N124" s="69"/>
      <c r="O124" s="90"/>
      <c r="P124" s="70"/>
      <c r="Q124" s="69"/>
      <c r="R124" s="69"/>
      <c r="S124" s="69"/>
      <c r="T124" s="63" t="s">
        <v>773</v>
      </c>
      <c r="U124" s="64" t="s">
        <v>61</v>
      </c>
      <c r="V124" s="50"/>
      <c r="W124" s="49"/>
      <c r="X124" s="49"/>
      <c r="Y124" s="35"/>
      <c r="Z124" s="35"/>
      <c r="AA124" s="35"/>
      <c r="AB124" s="35"/>
      <c r="AC124" s="35"/>
      <c r="AD124" s="35"/>
      <c r="AE124" s="35"/>
      <c r="AF124" s="35"/>
      <c r="AG124" s="35"/>
      <c r="AH124" s="35"/>
      <c r="AI124" s="35"/>
      <c r="AJ124" s="35"/>
      <c r="AK124" s="35"/>
      <c r="AL124" s="35"/>
    </row>
    <row r="125" ht="52.5" customHeight="1">
      <c r="A125" s="89"/>
      <c r="B125" s="19" t="s">
        <v>221</v>
      </c>
      <c r="C125" s="20" t="s">
        <v>306</v>
      </c>
      <c r="D125" s="47"/>
      <c r="E125" s="56" t="s">
        <v>774</v>
      </c>
      <c r="F125" s="22" t="s">
        <v>41</v>
      </c>
      <c r="G125" s="57">
        <v>2016.0</v>
      </c>
      <c r="H125" s="22" t="s">
        <v>207</v>
      </c>
      <c r="I125" s="58" t="s">
        <v>775</v>
      </c>
      <c r="J125" s="56" t="s">
        <v>55</v>
      </c>
      <c r="K125" s="22" t="s">
        <v>776</v>
      </c>
      <c r="L125" s="69">
        <v>808.0</v>
      </c>
      <c r="M125" s="69">
        <v>30.0</v>
      </c>
      <c r="N125" s="72">
        <v>42917.0</v>
      </c>
      <c r="O125" s="93">
        <v>42949.0</v>
      </c>
      <c r="P125" s="70" t="s">
        <v>777</v>
      </c>
      <c r="Q125" s="69" t="s">
        <v>280</v>
      </c>
      <c r="R125" s="69">
        <v>94.0</v>
      </c>
      <c r="S125" s="69">
        <v>6.0</v>
      </c>
      <c r="T125" s="63" t="s">
        <v>778</v>
      </c>
      <c r="U125" s="66" t="str">
        <f>HYPERLINK("https://www.ncbi.nlm.nih.gov/pubmed/27077555","PubMed")</f>
        <v>PubMed</v>
      </c>
      <c r="V125" s="50"/>
      <c r="W125" s="49"/>
      <c r="X125" s="49"/>
      <c r="Y125" s="35"/>
      <c r="Z125" s="35"/>
      <c r="AA125" s="35"/>
      <c r="AB125" s="35"/>
      <c r="AC125" s="35"/>
      <c r="AD125" s="35"/>
      <c r="AE125" s="35"/>
      <c r="AF125" s="35"/>
      <c r="AG125" s="35"/>
      <c r="AH125" s="35"/>
      <c r="AI125" s="35"/>
      <c r="AJ125" s="35"/>
      <c r="AK125" s="35"/>
      <c r="AL125" s="35"/>
    </row>
    <row r="126" ht="21.0" customHeight="1">
      <c r="A126" s="51" t="s">
        <v>181</v>
      </c>
      <c r="B126" s="19" t="s">
        <v>221</v>
      </c>
      <c r="C126" s="20" t="s">
        <v>306</v>
      </c>
      <c r="D126" s="47"/>
      <c r="E126" s="56" t="s">
        <v>412</v>
      </c>
      <c r="F126" s="22" t="s">
        <v>323</v>
      </c>
      <c r="G126" s="57">
        <v>2016.0</v>
      </c>
      <c r="H126" s="22" t="s">
        <v>658</v>
      </c>
      <c r="I126" s="58" t="s">
        <v>779</v>
      </c>
      <c r="J126" s="56" t="s">
        <v>253</v>
      </c>
      <c r="K126" s="22"/>
      <c r="L126" s="69">
        <v>810.0</v>
      </c>
      <c r="M126" s="69">
        <v>30.0</v>
      </c>
      <c r="N126" s="69" t="s">
        <v>780</v>
      </c>
      <c r="O126" s="94" t="s">
        <v>58</v>
      </c>
      <c r="P126" s="70" t="s">
        <v>781</v>
      </c>
      <c r="Q126" s="69" t="s">
        <v>58</v>
      </c>
      <c r="R126" s="69">
        <v>20.0</v>
      </c>
      <c r="S126" s="69" t="s">
        <v>782</v>
      </c>
      <c r="T126" s="63" t="s">
        <v>783</v>
      </c>
      <c r="U126" s="66" t="str">
        <f>HYPERLINK("https://www.ncbi.nlm.nih.gov/pubmed/27058019","PubMed")</f>
        <v>PubMed</v>
      </c>
      <c r="V126" s="30" t="s">
        <v>784</v>
      </c>
      <c r="W126" s="49"/>
      <c r="X126" s="49"/>
      <c r="Y126" s="35"/>
      <c r="Z126" s="35"/>
      <c r="AA126" s="35"/>
      <c r="AB126" s="35"/>
      <c r="AC126" s="35"/>
      <c r="AD126" s="35"/>
      <c r="AE126" s="35"/>
      <c r="AF126" s="35"/>
      <c r="AG126" s="35"/>
      <c r="AH126" s="35"/>
      <c r="AI126" s="35"/>
      <c r="AJ126" s="35"/>
      <c r="AK126" s="35"/>
      <c r="AL126" s="35"/>
    </row>
    <row r="127" ht="33.0" customHeight="1">
      <c r="A127" s="89"/>
      <c r="B127" s="19" t="s">
        <v>221</v>
      </c>
      <c r="C127" s="20" t="s">
        <v>306</v>
      </c>
      <c r="D127" s="47"/>
      <c r="E127" s="56" t="s">
        <v>785</v>
      </c>
      <c r="F127" s="22" t="s">
        <v>323</v>
      </c>
      <c r="G127" s="57">
        <v>2016.0</v>
      </c>
      <c r="H127" s="22" t="s">
        <v>91</v>
      </c>
      <c r="I127" s="58" t="s">
        <v>786</v>
      </c>
      <c r="J127" s="56" t="s">
        <v>55</v>
      </c>
      <c r="K127" s="56" t="s">
        <v>787</v>
      </c>
      <c r="L127" s="69">
        <v>830.0</v>
      </c>
      <c r="M127" s="69">
        <v>40.0</v>
      </c>
      <c r="N127" s="69" t="s">
        <v>58</v>
      </c>
      <c r="O127" s="94" t="s">
        <v>788</v>
      </c>
      <c r="P127" s="70" t="s">
        <v>254</v>
      </c>
      <c r="Q127" s="69" t="s">
        <v>789</v>
      </c>
      <c r="R127" s="69">
        <v>38.0</v>
      </c>
      <c r="S127" s="69" t="s">
        <v>790</v>
      </c>
      <c r="T127" s="63" t="s">
        <v>791</v>
      </c>
      <c r="U127" s="66" t="str">
        <f>HYPERLINK("https://www.ncbi.nlm.nih.gov/pubmed/27572716","PubMed")</f>
        <v>PubMed</v>
      </c>
      <c r="V127" s="50"/>
      <c r="W127" s="49"/>
      <c r="X127" s="49"/>
      <c r="Y127" s="35"/>
      <c r="Z127" s="35"/>
      <c r="AA127" s="35"/>
      <c r="AB127" s="35"/>
      <c r="AC127" s="35"/>
      <c r="AD127" s="35"/>
      <c r="AE127" s="35"/>
      <c r="AF127" s="35"/>
      <c r="AG127" s="35"/>
      <c r="AH127" s="35"/>
      <c r="AI127" s="35"/>
      <c r="AJ127" s="35"/>
      <c r="AK127" s="35"/>
      <c r="AL127" s="35"/>
    </row>
    <row r="128" ht="52.5" customHeight="1">
      <c r="A128" s="51" t="s">
        <v>181</v>
      </c>
      <c r="B128" s="19" t="s">
        <v>221</v>
      </c>
      <c r="C128" s="20" t="s">
        <v>306</v>
      </c>
      <c r="D128" s="47"/>
      <c r="E128" s="56" t="s">
        <v>774</v>
      </c>
      <c r="F128" s="22" t="s">
        <v>41</v>
      </c>
      <c r="G128" s="57">
        <v>2016.0</v>
      </c>
      <c r="H128" s="56" t="s">
        <v>207</v>
      </c>
      <c r="I128" s="58" t="s">
        <v>775</v>
      </c>
      <c r="J128" s="22" t="s">
        <v>55</v>
      </c>
      <c r="K128" s="22" t="s">
        <v>776</v>
      </c>
      <c r="L128" s="94">
        <v>808.0</v>
      </c>
      <c r="M128" s="94">
        <v>30.0</v>
      </c>
      <c r="N128" s="94" t="s">
        <v>792</v>
      </c>
      <c r="O128" s="93">
        <v>42584.0</v>
      </c>
      <c r="P128" s="95" t="s">
        <v>777</v>
      </c>
      <c r="Q128" s="94" t="s">
        <v>280</v>
      </c>
      <c r="R128" s="94">
        <v>94.0</v>
      </c>
      <c r="S128" s="94">
        <v>6.0</v>
      </c>
      <c r="T128" s="73" t="s">
        <v>793</v>
      </c>
      <c r="U128" s="66" t="str">
        <f>HYPERLINK("https://www.ncbi.nlm.nih.gov/pubmed/27077555","PubMed")</f>
        <v>PubMed</v>
      </c>
      <c r="V128" s="30" t="s">
        <v>794</v>
      </c>
      <c r="W128" s="49"/>
      <c r="X128" s="49"/>
      <c r="Y128" s="35"/>
      <c r="Z128" s="35"/>
      <c r="AA128" s="35"/>
      <c r="AB128" s="35"/>
      <c r="AC128" s="35"/>
      <c r="AD128" s="35"/>
      <c r="AE128" s="35"/>
      <c r="AF128" s="35"/>
      <c r="AG128" s="35"/>
      <c r="AH128" s="35"/>
      <c r="AI128" s="35"/>
      <c r="AJ128" s="35"/>
      <c r="AK128" s="35"/>
      <c r="AL128" s="35"/>
    </row>
    <row r="129" ht="52.5" customHeight="1">
      <c r="A129" s="51" t="s">
        <v>795</v>
      </c>
      <c r="B129" s="19" t="s">
        <v>221</v>
      </c>
      <c r="C129" s="20" t="s">
        <v>306</v>
      </c>
      <c r="D129" s="47"/>
      <c r="E129" s="22" t="s">
        <v>796</v>
      </c>
      <c r="F129" s="22" t="s">
        <v>797</v>
      </c>
      <c r="G129" s="23">
        <v>2016.0</v>
      </c>
      <c r="H129" s="22" t="s">
        <v>798</v>
      </c>
      <c r="I129" s="24" t="s">
        <v>799</v>
      </c>
      <c r="J129" s="22" t="s">
        <v>253</v>
      </c>
      <c r="K129" s="22"/>
      <c r="L129" s="36" t="s">
        <v>800</v>
      </c>
      <c r="M129" s="36">
        <v>20.0</v>
      </c>
      <c r="N129" s="36"/>
      <c r="O129" s="36"/>
      <c r="P129" s="37" t="s">
        <v>801</v>
      </c>
      <c r="Q129" s="36" t="s">
        <v>802</v>
      </c>
      <c r="R129" s="36"/>
      <c r="S129" s="36">
        <v>10.0</v>
      </c>
      <c r="T129" s="42" t="s">
        <v>803</v>
      </c>
      <c r="U129" s="38" t="str">
        <f>HYPERLINK("https://www.ncbi.nlm.nih.gov/pubmed/27542547","PubMed")</f>
        <v>PubMed</v>
      </c>
      <c r="V129" s="50"/>
      <c r="W129" s="49"/>
      <c r="X129" s="49"/>
      <c r="Y129" s="35"/>
      <c r="Z129" s="35"/>
      <c r="AA129" s="35"/>
      <c r="AB129" s="35"/>
      <c r="AC129" s="35"/>
      <c r="AD129" s="35"/>
      <c r="AE129" s="35"/>
      <c r="AF129" s="35"/>
      <c r="AG129" s="35"/>
      <c r="AH129" s="35"/>
      <c r="AI129" s="35"/>
      <c r="AJ129" s="35"/>
      <c r="AK129" s="35"/>
      <c r="AL129" s="35"/>
    </row>
    <row r="130" ht="52.5" customHeight="1">
      <c r="A130" s="89"/>
      <c r="B130" s="19" t="s">
        <v>221</v>
      </c>
      <c r="C130" s="20" t="s">
        <v>306</v>
      </c>
      <c r="D130" s="47"/>
      <c r="E130" s="56" t="s">
        <v>804</v>
      </c>
      <c r="F130" s="22" t="s">
        <v>765</v>
      </c>
      <c r="G130" s="57">
        <v>2016.0</v>
      </c>
      <c r="H130" s="56" t="s">
        <v>207</v>
      </c>
      <c r="I130" s="58" t="s">
        <v>805</v>
      </c>
      <c r="J130" s="22" t="s">
        <v>55</v>
      </c>
      <c r="K130" s="56" t="s">
        <v>806</v>
      </c>
      <c r="L130" s="94">
        <v>660.0</v>
      </c>
      <c r="M130" s="94">
        <v>30.0</v>
      </c>
      <c r="N130" s="94" t="s">
        <v>637</v>
      </c>
      <c r="O130" s="94" t="s">
        <v>807</v>
      </c>
      <c r="P130" s="95" t="s">
        <v>808</v>
      </c>
      <c r="Q130" s="94" t="s">
        <v>809</v>
      </c>
      <c r="R130" s="94" t="s">
        <v>810</v>
      </c>
      <c r="S130" s="94" t="s">
        <v>811</v>
      </c>
      <c r="T130" s="63" t="s">
        <v>812</v>
      </c>
      <c r="U130" s="66" t="str">
        <f>HYPERLINK("https://www.ncbi.nlm.nih.gov/pubmed/27611453","PubMed")</f>
        <v>PubMed</v>
      </c>
      <c r="V130" s="50"/>
      <c r="W130" s="49"/>
      <c r="X130" s="49"/>
      <c r="Y130" s="35"/>
      <c r="Z130" s="35"/>
      <c r="AA130" s="35"/>
      <c r="AB130" s="35"/>
      <c r="AC130" s="35"/>
      <c r="AD130" s="35"/>
      <c r="AE130" s="35"/>
      <c r="AF130" s="35"/>
      <c r="AG130" s="35"/>
      <c r="AH130" s="35"/>
      <c r="AI130" s="35"/>
      <c r="AJ130" s="35"/>
      <c r="AK130" s="35"/>
      <c r="AL130" s="35"/>
    </row>
    <row r="131" ht="52.5" customHeight="1">
      <c r="A131" s="51" t="s">
        <v>181</v>
      </c>
      <c r="B131" s="19" t="s">
        <v>221</v>
      </c>
      <c r="C131" s="20" t="s">
        <v>306</v>
      </c>
      <c r="D131" s="47"/>
      <c r="E131" s="56" t="s">
        <v>813</v>
      </c>
      <c r="F131" s="22" t="s">
        <v>814</v>
      </c>
      <c r="G131" s="57">
        <v>2016.0</v>
      </c>
      <c r="H131" s="56" t="s">
        <v>555</v>
      </c>
      <c r="I131" s="58" t="s">
        <v>815</v>
      </c>
      <c r="J131" s="22" t="s">
        <v>253</v>
      </c>
      <c r="K131" s="96"/>
      <c r="L131" s="94">
        <v>810.0</v>
      </c>
      <c r="M131" s="94">
        <v>100.0</v>
      </c>
      <c r="N131" s="94" t="s">
        <v>58</v>
      </c>
      <c r="O131" s="94" t="s">
        <v>58</v>
      </c>
      <c r="P131" s="95" t="s">
        <v>254</v>
      </c>
      <c r="Q131" s="94" t="s">
        <v>58</v>
      </c>
      <c r="R131" s="94">
        <v>120.0</v>
      </c>
      <c r="S131" s="94">
        <v>6.0</v>
      </c>
      <c r="T131" s="73" t="s">
        <v>816</v>
      </c>
      <c r="U131" s="97" t="s">
        <v>61</v>
      </c>
      <c r="V131" s="30" t="s">
        <v>817</v>
      </c>
      <c r="W131" s="49"/>
      <c r="X131" s="49"/>
      <c r="Y131" s="35"/>
      <c r="Z131" s="35"/>
      <c r="AA131" s="35"/>
      <c r="AB131" s="35"/>
      <c r="AC131" s="35"/>
      <c r="AD131" s="35"/>
      <c r="AE131" s="35"/>
      <c r="AF131" s="35"/>
      <c r="AG131" s="35"/>
      <c r="AH131" s="35"/>
      <c r="AI131" s="35"/>
      <c r="AJ131" s="35"/>
      <c r="AK131" s="35"/>
      <c r="AL131" s="35"/>
    </row>
    <row r="132" ht="52.5" customHeight="1">
      <c r="A132" s="51" t="s">
        <v>181</v>
      </c>
      <c r="B132" s="19" t="s">
        <v>221</v>
      </c>
      <c r="C132" s="20" t="s">
        <v>306</v>
      </c>
      <c r="D132" s="47"/>
      <c r="E132" s="22" t="s">
        <v>818</v>
      </c>
      <c r="F132" s="22" t="s">
        <v>605</v>
      </c>
      <c r="G132" s="23">
        <v>2015.0</v>
      </c>
      <c r="H132" s="22" t="s">
        <v>819</v>
      </c>
      <c r="I132" s="24" t="s">
        <v>820</v>
      </c>
      <c r="J132" s="22" t="s">
        <v>55</v>
      </c>
      <c r="K132" s="22" t="s">
        <v>157</v>
      </c>
      <c r="L132" s="36">
        <v>618.0</v>
      </c>
      <c r="M132" s="36" t="s">
        <v>58</v>
      </c>
      <c r="N132" s="36" t="s">
        <v>821</v>
      </c>
      <c r="O132" s="36" t="s">
        <v>58</v>
      </c>
      <c r="P132" s="37" t="s">
        <v>822</v>
      </c>
      <c r="Q132" s="36" t="s">
        <v>58</v>
      </c>
      <c r="R132" s="36">
        <v>1200.0</v>
      </c>
      <c r="S132" s="36" t="s">
        <v>456</v>
      </c>
      <c r="T132" s="98" t="s">
        <v>823</v>
      </c>
      <c r="U132" s="38" t="str">
        <f>HYPERLINK("https://www.ncbi.nlm.nih.gov/pubmed/24766197","PubMed")</f>
        <v>PubMed</v>
      </c>
      <c r="V132" s="30" t="s">
        <v>824</v>
      </c>
      <c r="W132" s="49"/>
      <c r="X132" s="49"/>
      <c r="Y132" s="35"/>
      <c r="Z132" s="35"/>
      <c r="AA132" s="35"/>
      <c r="AB132" s="35"/>
      <c r="AC132" s="35"/>
      <c r="AD132" s="35"/>
      <c r="AE132" s="35"/>
      <c r="AF132" s="35"/>
      <c r="AG132" s="35"/>
      <c r="AH132" s="35"/>
      <c r="AI132" s="35"/>
      <c r="AJ132" s="35"/>
      <c r="AK132" s="35"/>
      <c r="AL132" s="35"/>
    </row>
    <row r="133" ht="52.5" customHeight="1">
      <c r="A133" s="18" t="s">
        <v>2</v>
      </c>
      <c r="B133" s="19" t="s">
        <v>221</v>
      </c>
      <c r="C133" s="20" t="s">
        <v>306</v>
      </c>
      <c r="D133" s="47"/>
      <c r="E133" s="22" t="s">
        <v>825</v>
      </c>
      <c r="F133" s="22" t="s">
        <v>578</v>
      </c>
      <c r="G133" s="23">
        <v>2015.0</v>
      </c>
      <c r="H133" s="22" t="s">
        <v>309</v>
      </c>
      <c r="I133" s="24" t="s">
        <v>826</v>
      </c>
      <c r="J133" s="22" t="s">
        <v>55</v>
      </c>
      <c r="K133" s="22" t="s">
        <v>607</v>
      </c>
      <c r="L133" s="36">
        <v>780.0</v>
      </c>
      <c r="M133" s="36">
        <v>70.0</v>
      </c>
      <c r="N133" s="36" t="s">
        <v>827</v>
      </c>
      <c r="O133" s="36" t="s">
        <v>828</v>
      </c>
      <c r="P133" s="37" t="s">
        <v>829</v>
      </c>
      <c r="Q133" s="36" t="s">
        <v>830</v>
      </c>
      <c r="R133" s="36" t="s">
        <v>831</v>
      </c>
      <c r="S133" s="36">
        <v>4.0</v>
      </c>
      <c r="T133" s="98" t="s">
        <v>832</v>
      </c>
      <c r="U133" s="38" t="str">
        <f>HYPERLINK("https://www.ncbi.nlm.nih.gov/pubmed/26560423","PubMed")</f>
        <v>PubMed</v>
      </c>
      <c r="V133" s="30"/>
      <c r="W133" s="49"/>
      <c r="X133" s="49"/>
      <c r="Y133" s="35"/>
      <c r="Z133" s="35"/>
      <c r="AA133" s="35"/>
      <c r="AB133" s="35"/>
      <c r="AC133" s="35"/>
      <c r="AD133" s="35"/>
      <c r="AE133" s="35"/>
      <c r="AF133" s="35"/>
      <c r="AG133" s="35"/>
      <c r="AH133" s="35"/>
      <c r="AI133" s="35"/>
      <c r="AJ133" s="35"/>
      <c r="AK133" s="35"/>
      <c r="AL133" s="35"/>
    </row>
    <row r="134" ht="52.5" customHeight="1">
      <c r="A134" s="1"/>
      <c r="B134" s="19" t="s">
        <v>221</v>
      </c>
      <c r="C134" s="20" t="s">
        <v>306</v>
      </c>
      <c r="D134" s="47"/>
      <c r="E134" s="22" t="s">
        <v>412</v>
      </c>
      <c r="F134" s="22" t="s">
        <v>323</v>
      </c>
      <c r="G134" s="23">
        <v>2015.0</v>
      </c>
      <c r="H134" s="22" t="s">
        <v>207</v>
      </c>
      <c r="I134" s="24" t="s">
        <v>833</v>
      </c>
      <c r="J134" s="22" t="s">
        <v>253</v>
      </c>
      <c r="K134" s="22"/>
      <c r="L134" s="36">
        <v>810.0</v>
      </c>
      <c r="M134" s="36"/>
      <c r="N134" s="36" t="s">
        <v>267</v>
      </c>
      <c r="O134" s="36"/>
      <c r="P134" s="37" t="s">
        <v>254</v>
      </c>
      <c r="Q134" s="36"/>
      <c r="R134" s="36"/>
      <c r="S134" s="36" t="s">
        <v>782</v>
      </c>
      <c r="T134" s="98" t="s">
        <v>834</v>
      </c>
      <c r="U134" s="38" t="str">
        <f>HYPERLINK("https://www.ncbi.nlm.nih.gov/pubmed/26298068","PubMed")</f>
        <v>PubMed</v>
      </c>
      <c r="V134" s="30"/>
      <c r="W134" s="49"/>
      <c r="X134" s="49"/>
      <c r="Y134" s="35"/>
      <c r="Z134" s="35"/>
      <c r="AA134" s="35"/>
      <c r="AB134" s="35"/>
      <c r="AC134" s="35"/>
      <c r="AD134" s="35"/>
      <c r="AE134" s="35"/>
      <c r="AF134" s="35"/>
      <c r="AG134" s="35"/>
      <c r="AH134" s="35"/>
      <c r="AI134" s="35"/>
      <c r="AJ134" s="35"/>
      <c r="AK134" s="35"/>
      <c r="AL134" s="35"/>
    </row>
    <row r="135" ht="52.5" customHeight="1">
      <c r="A135" s="1"/>
      <c r="B135" s="19" t="s">
        <v>221</v>
      </c>
      <c r="C135" s="20" t="s">
        <v>306</v>
      </c>
      <c r="D135" s="47"/>
      <c r="E135" s="22" t="s">
        <v>835</v>
      </c>
      <c r="F135" s="22" t="s">
        <v>836</v>
      </c>
      <c r="G135" s="23">
        <v>2015.0</v>
      </c>
      <c r="H135" s="22" t="s">
        <v>837</v>
      </c>
      <c r="I135" s="24" t="s">
        <v>838</v>
      </c>
      <c r="J135" s="22" t="s">
        <v>55</v>
      </c>
      <c r="K135" s="22" t="s">
        <v>839</v>
      </c>
      <c r="L135" s="36">
        <v>850.0</v>
      </c>
      <c r="M135" s="36">
        <v>150.0</v>
      </c>
      <c r="N135" s="36" t="s">
        <v>58</v>
      </c>
      <c r="O135" s="36" t="s">
        <v>58</v>
      </c>
      <c r="P135" s="37" t="s">
        <v>287</v>
      </c>
      <c r="Q135" s="36" t="s">
        <v>840</v>
      </c>
      <c r="R135" s="36" t="s">
        <v>58</v>
      </c>
      <c r="S135" s="36">
        <v>7.0</v>
      </c>
      <c r="T135" s="98" t="s">
        <v>841</v>
      </c>
      <c r="U135" s="38" t="str">
        <f>HYPERLINK("https://www.ncbi.nlm.nih.gov/pubmed/25672379","PubMed")</f>
        <v>PubMed</v>
      </c>
      <c r="V135" s="30" t="s">
        <v>842</v>
      </c>
      <c r="W135" s="49"/>
      <c r="X135" s="49"/>
      <c r="Y135" s="35"/>
      <c r="Z135" s="35"/>
      <c r="AA135" s="35"/>
      <c r="AB135" s="35"/>
      <c r="AC135" s="35"/>
      <c r="AD135" s="35"/>
      <c r="AE135" s="35"/>
      <c r="AF135" s="35"/>
      <c r="AG135" s="35"/>
      <c r="AH135" s="35"/>
      <c r="AI135" s="35"/>
      <c r="AJ135" s="35"/>
      <c r="AK135" s="35"/>
      <c r="AL135" s="35"/>
    </row>
    <row r="136" ht="28.5" customHeight="1">
      <c r="A136" s="40" t="s">
        <v>38</v>
      </c>
      <c r="B136" s="19" t="s">
        <v>221</v>
      </c>
      <c r="C136" s="20" t="s">
        <v>306</v>
      </c>
      <c r="D136" s="47"/>
      <c r="E136" s="22" t="s">
        <v>843</v>
      </c>
      <c r="F136" s="22" t="s">
        <v>41</v>
      </c>
      <c r="G136" s="23">
        <v>2015.0</v>
      </c>
      <c r="H136" s="22" t="s">
        <v>91</v>
      </c>
      <c r="I136" s="24" t="s">
        <v>844</v>
      </c>
      <c r="J136" s="22" t="s">
        <v>55</v>
      </c>
      <c r="K136" s="22"/>
      <c r="L136" s="36">
        <v>808.0</v>
      </c>
      <c r="M136" s="36" t="s">
        <v>58</v>
      </c>
      <c r="N136" s="36" t="s">
        <v>267</v>
      </c>
      <c r="O136" s="36" t="s">
        <v>845</v>
      </c>
      <c r="P136" s="37" t="s">
        <v>846</v>
      </c>
      <c r="Q136" s="36" t="s">
        <v>270</v>
      </c>
      <c r="R136" s="36" t="s">
        <v>847</v>
      </c>
      <c r="S136" s="36">
        <v>8.0</v>
      </c>
      <c r="T136" s="28" t="s">
        <v>848</v>
      </c>
      <c r="U136" s="38" t="str">
        <f>HYPERLINK("http://www.ncbi.nlm.nih.gov/pubmed/25596935","PubMed")</f>
        <v>PubMed</v>
      </c>
      <c r="V136" s="30" t="s">
        <v>849</v>
      </c>
      <c r="W136" s="49"/>
      <c r="X136" s="49"/>
      <c r="Y136" s="35"/>
      <c r="Z136" s="35"/>
      <c r="AA136" s="35"/>
      <c r="AB136" s="35"/>
      <c r="AC136" s="35"/>
      <c r="AD136" s="35"/>
      <c r="AE136" s="35"/>
      <c r="AF136" s="35"/>
      <c r="AG136" s="35"/>
      <c r="AH136" s="35"/>
      <c r="AI136" s="35"/>
      <c r="AJ136" s="35"/>
      <c r="AK136" s="35"/>
      <c r="AL136" s="35"/>
    </row>
    <row r="137" ht="31.5" customHeight="1">
      <c r="A137" s="40" t="s">
        <v>38</v>
      </c>
      <c r="B137" s="19" t="s">
        <v>221</v>
      </c>
      <c r="C137" s="20" t="s">
        <v>306</v>
      </c>
      <c r="D137" s="47"/>
      <c r="E137" s="22" t="s">
        <v>850</v>
      </c>
      <c r="F137" s="22" t="s">
        <v>241</v>
      </c>
      <c r="G137" s="23">
        <v>2015.0</v>
      </c>
      <c r="H137" s="22" t="s">
        <v>91</v>
      </c>
      <c r="I137" s="24" t="s">
        <v>851</v>
      </c>
      <c r="J137" s="22" t="s">
        <v>55</v>
      </c>
      <c r="K137" s="22"/>
      <c r="L137" s="36">
        <v>830.0</v>
      </c>
      <c r="M137" s="36">
        <v>50.0</v>
      </c>
      <c r="N137" s="36"/>
      <c r="O137" s="36"/>
      <c r="P137" s="37" t="s">
        <v>852</v>
      </c>
      <c r="Q137" s="36"/>
      <c r="R137" s="36" t="s">
        <v>853</v>
      </c>
      <c r="S137" s="36" t="s">
        <v>854</v>
      </c>
      <c r="T137" s="28" t="s">
        <v>855</v>
      </c>
      <c r="U137" s="38" t="str">
        <f>HYPERLINK("https://www.ncbi.nlm.nih.gov/pubmed/24756326","PubMed")</f>
        <v>PubMed</v>
      </c>
      <c r="V137" s="30"/>
      <c r="W137" s="49"/>
      <c r="X137" s="49"/>
      <c r="Y137" s="35"/>
      <c r="Z137" s="35"/>
      <c r="AA137" s="35"/>
      <c r="AB137" s="35"/>
      <c r="AC137" s="35"/>
      <c r="AD137" s="35"/>
      <c r="AE137" s="35"/>
      <c r="AF137" s="35"/>
      <c r="AG137" s="35"/>
      <c r="AH137" s="35"/>
      <c r="AI137" s="35"/>
      <c r="AJ137" s="35"/>
      <c r="AK137" s="35"/>
      <c r="AL137" s="35"/>
    </row>
    <row r="138" ht="31.5" customHeight="1">
      <c r="A138" s="55"/>
      <c r="B138" s="75" t="s">
        <v>221</v>
      </c>
      <c r="C138" s="77" t="s">
        <v>306</v>
      </c>
      <c r="D138" s="47"/>
      <c r="E138" s="56" t="s">
        <v>856</v>
      </c>
      <c r="F138" s="22" t="s">
        <v>274</v>
      </c>
      <c r="G138" s="57">
        <v>2015.0</v>
      </c>
      <c r="H138" s="22" t="s">
        <v>857</v>
      </c>
      <c r="I138" s="58" t="s">
        <v>858</v>
      </c>
      <c r="J138" s="56" t="s">
        <v>55</v>
      </c>
      <c r="K138" s="56" t="s">
        <v>859</v>
      </c>
      <c r="L138" s="69">
        <v>830.0</v>
      </c>
      <c r="M138" s="69">
        <v>100.0</v>
      </c>
      <c r="N138" s="69" t="s">
        <v>278</v>
      </c>
      <c r="O138" s="72">
        <v>42828.0</v>
      </c>
      <c r="P138" s="70" t="s">
        <v>279</v>
      </c>
      <c r="Q138" s="69" t="s">
        <v>280</v>
      </c>
      <c r="R138" s="69">
        <v>34.0</v>
      </c>
      <c r="S138" s="69" t="s">
        <v>860</v>
      </c>
      <c r="T138" s="71" t="s">
        <v>861</v>
      </c>
      <c r="U138" s="66" t="str">
        <f>HYPERLINK("https://www.ncbi.nlm.nih.gov/pubmed/27027088","PubMed")</f>
        <v>PubMed</v>
      </c>
      <c r="V138" s="50"/>
      <c r="W138" s="49"/>
      <c r="X138" s="49"/>
      <c r="Y138" s="35"/>
      <c r="Z138" s="35"/>
      <c r="AA138" s="35"/>
      <c r="AB138" s="35"/>
      <c r="AC138" s="35"/>
      <c r="AD138" s="35"/>
      <c r="AE138" s="35"/>
      <c r="AF138" s="35"/>
      <c r="AG138" s="35"/>
      <c r="AH138" s="35"/>
      <c r="AI138" s="35"/>
      <c r="AJ138" s="35"/>
      <c r="AK138" s="35"/>
      <c r="AL138" s="35"/>
    </row>
    <row r="139" ht="31.5" customHeight="1">
      <c r="A139" s="55" t="s">
        <v>2</v>
      </c>
      <c r="B139" s="19" t="s">
        <v>221</v>
      </c>
      <c r="C139" s="20" t="s">
        <v>306</v>
      </c>
      <c r="D139" s="47"/>
      <c r="E139" s="56" t="s">
        <v>529</v>
      </c>
      <c r="F139" s="22" t="s">
        <v>41</v>
      </c>
      <c r="G139" s="57">
        <v>2015.0</v>
      </c>
      <c r="H139" s="22" t="s">
        <v>91</v>
      </c>
      <c r="I139" s="58" t="s">
        <v>862</v>
      </c>
      <c r="J139" s="56" t="s">
        <v>55</v>
      </c>
      <c r="K139" s="56" t="s">
        <v>863</v>
      </c>
      <c r="L139" s="69">
        <v>808.0</v>
      </c>
      <c r="M139" s="69">
        <v>100.0</v>
      </c>
      <c r="N139" s="69" t="s">
        <v>278</v>
      </c>
      <c r="O139" s="69" t="s">
        <v>864</v>
      </c>
      <c r="P139" s="70" t="s">
        <v>865</v>
      </c>
      <c r="Q139" s="69" t="s">
        <v>280</v>
      </c>
      <c r="R139" s="69" t="s">
        <v>866</v>
      </c>
      <c r="S139" s="69" t="s">
        <v>867</v>
      </c>
      <c r="T139" s="63" t="s">
        <v>868</v>
      </c>
      <c r="U139" s="66" t="str">
        <f>HYPERLINK("https://www.ncbi.nlm.nih.gov/pubmed/26223384","PubMed")</f>
        <v>PubMed</v>
      </c>
      <c r="V139" s="50"/>
      <c r="W139" s="49"/>
      <c r="X139" s="49"/>
      <c r="Y139" s="35"/>
      <c r="Z139" s="35"/>
      <c r="AA139" s="35"/>
      <c r="AB139" s="35"/>
      <c r="AC139" s="35"/>
      <c r="AD139" s="35"/>
      <c r="AE139" s="35"/>
      <c r="AF139" s="35"/>
      <c r="AG139" s="35"/>
      <c r="AH139" s="35"/>
      <c r="AI139" s="35"/>
      <c r="AJ139" s="35"/>
      <c r="AK139" s="35"/>
      <c r="AL139" s="35"/>
    </row>
    <row r="140" ht="17.25" customHeight="1">
      <c r="A140" s="55"/>
      <c r="B140" s="19" t="s">
        <v>221</v>
      </c>
      <c r="C140" s="20" t="s">
        <v>306</v>
      </c>
      <c r="D140" s="47"/>
      <c r="E140" s="56" t="s">
        <v>869</v>
      </c>
      <c r="F140" s="22" t="s">
        <v>870</v>
      </c>
      <c r="G140" s="57">
        <v>2015.0</v>
      </c>
      <c r="H140" s="22" t="s">
        <v>91</v>
      </c>
      <c r="I140" s="58" t="s">
        <v>871</v>
      </c>
      <c r="J140" s="56" t="s">
        <v>55</v>
      </c>
      <c r="K140" s="56" t="s">
        <v>872</v>
      </c>
      <c r="L140" s="69">
        <v>830.0</v>
      </c>
      <c r="M140" s="69">
        <v>50.0</v>
      </c>
      <c r="N140" s="69" t="s">
        <v>58</v>
      </c>
      <c r="O140" s="69">
        <v>6.0</v>
      </c>
      <c r="P140" s="70" t="s">
        <v>355</v>
      </c>
      <c r="Q140" s="69" t="s">
        <v>873</v>
      </c>
      <c r="R140" s="69">
        <v>120.0</v>
      </c>
      <c r="S140" s="69" t="s">
        <v>874</v>
      </c>
      <c r="T140" s="74" t="s">
        <v>875</v>
      </c>
      <c r="U140" s="66" t="str">
        <f>HYPERLINK("https://www.ncbi.nlm.nih.gov/pubmed/25975746","PubMed")</f>
        <v>PubMed</v>
      </c>
      <c r="V140" s="30" t="s">
        <v>876</v>
      </c>
      <c r="W140" s="49"/>
      <c r="X140" s="49"/>
      <c r="Y140" s="35"/>
      <c r="Z140" s="35"/>
      <c r="AA140" s="35"/>
      <c r="AB140" s="35"/>
      <c r="AC140" s="35"/>
      <c r="AD140" s="35"/>
      <c r="AE140" s="35"/>
      <c r="AF140" s="35"/>
      <c r="AG140" s="35"/>
      <c r="AH140" s="35"/>
      <c r="AI140" s="35"/>
      <c r="AJ140" s="35"/>
      <c r="AK140" s="35"/>
      <c r="AL140" s="35"/>
    </row>
    <row r="141" ht="30.0" customHeight="1">
      <c r="A141" s="55"/>
      <c r="B141" s="19" t="s">
        <v>221</v>
      </c>
      <c r="C141" s="20" t="s">
        <v>306</v>
      </c>
      <c r="D141" s="47"/>
      <c r="E141" s="56" t="s">
        <v>877</v>
      </c>
      <c r="F141" s="22" t="s">
        <v>878</v>
      </c>
      <c r="G141" s="57">
        <v>2015.0</v>
      </c>
      <c r="H141" s="22" t="s">
        <v>91</v>
      </c>
      <c r="I141" s="58" t="s">
        <v>879</v>
      </c>
      <c r="J141" s="56" t="s">
        <v>55</v>
      </c>
      <c r="K141" s="56" t="s">
        <v>880</v>
      </c>
      <c r="L141" s="69">
        <v>820.0</v>
      </c>
      <c r="M141" s="69" t="s">
        <v>881</v>
      </c>
      <c r="N141" s="69" t="s">
        <v>882</v>
      </c>
      <c r="O141" s="69" t="s">
        <v>883</v>
      </c>
      <c r="P141" s="70" t="s">
        <v>884</v>
      </c>
      <c r="Q141" s="69" t="s">
        <v>885</v>
      </c>
      <c r="R141" s="69" t="s">
        <v>886</v>
      </c>
      <c r="S141" s="69">
        <v>4.0</v>
      </c>
      <c r="T141" s="63" t="s">
        <v>887</v>
      </c>
      <c r="U141" s="66" t="str">
        <f>HYPERLINK("https://www.ncbi.nlm.nih.gov/pubmed/25228094","PubMed")</f>
        <v>PubMed</v>
      </c>
      <c r="V141" s="50"/>
      <c r="W141" s="49"/>
      <c r="X141" s="49"/>
      <c r="Y141" s="35"/>
      <c r="Z141" s="35"/>
      <c r="AA141" s="35"/>
      <c r="AB141" s="35"/>
      <c r="AC141" s="35"/>
      <c r="AD141" s="35"/>
      <c r="AE141" s="35"/>
      <c r="AF141" s="35"/>
      <c r="AG141" s="35"/>
      <c r="AH141" s="35"/>
      <c r="AI141" s="35"/>
      <c r="AJ141" s="35"/>
      <c r="AK141" s="35"/>
      <c r="AL141" s="35"/>
    </row>
    <row r="142" ht="36.75" customHeight="1">
      <c r="A142" s="1"/>
      <c r="B142" s="19" t="s">
        <v>221</v>
      </c>
      <c r="C142" s="20" t="s">
        <v>306</v>
      </c>
      <c r="D142" s="47"/>
      <c r="E142" s="22" t="s">
        <v>888</v>
      </c>
      <c r="F142" s="22" t="s">
        <v>889</v>
      </c>
      <c r="G142" s="23">
        <v>2015.0</v>
      </c>
      <c r="H142" s="22" t="s">
        <v>91</v>
      </c>
      <c r="I142" s="24" t="s">
        <v>890</v>
      </c>
      <c r="J142" s="22" t="s">
        <v>55</v>
      </c>
      <c r="K142" s="22" t="s">
        <v>891</v>
      </c>
      <c r="L142" s="36">
        <v>808.0</v>
      </c>
      <c r="M142" s="36" t="s">
        <v>58</v>
      </c>
      <c r="N142" s="36" t="s">
        <v>892</v>
      </c>
      <c r="O142" s="36" t="s">
        <v>58</v>
      </c>
      <c r="P142" s="37" t="s">
        <v>269</v>
      </c>
      <c r="Q142" s="36" t="s">
        <v>675</v>
      </c>
      <c r="R142" s="36">
        <v>20.0</v>
      </c>
      <c r="S142" s="36">
        <v>5.0</v>
      </c>
      <c r="T142" s="28" t="s">
        <v>893</v>
      </c>
      <c r="U142" s="38" t="str">
        <f>HYPERLINK("https://www.ncbi.nlm.nih.gov/pubmed/25686915","PubMed")</f>
        <v>PubMed</v>
      </c>
      <c r="V142" s="30"/>
      <c r="W142" s="49"/>
      <c r="X142" s="49"/>
      <c r="Y142" s="35"/>
      <c r="Z142" s="35"/>
      <c r="AA142" s="35"/>
      <c r="AB142" s="35"/>
      <c r="AC142" s="35"/>
      <c r="AD142" s="35"/>
      <c r="AE142" s="35"/>
      <c r="AF142" s="35"/>
      <c r="AG142" s="35"/>
      <c r="AH142" s="35"/>
      <c r="AI142" s="35"/>
      <c r="AJ142" s="35"/>
      <c r="AK142" s="35"/>
      <c r="AL142" s="35"/>
    </row>
    <row r="143" ht="52.5" customHeight="1">
      <c r="A143" s="51" t="s">
        <v>181</v>
      </c>
      <c r="B143" s="19" t="s">
        <v>221</v>
      </c>
      <c r="C143" s="20" t="s">
        <v>306</v>
      </c>
      <c r="D143" s="47"/>
      <c r="E143" s="22" t="s">
        <v>869</v>
      </c>
      <c r="F143" s="22" t="s">
        <v>870</v>
      </c>
      <c r="G143" s="23">
        <v>2014.0</v>
      </c>
      <c r="H143" s="22" t="s">
        <v>91</v>
      </c>
      <c r="I143" s="24" t="s">
        <v>894</v>
      </c>
      <c r="J143" s="22" t="s">
        <v>55</v>
      </c>
      <c r="K143" s="22" t="s">
        <v>895</v>
      </c>
      <c r="L143" s="69">
        <v>830.0</v>
      </c>
      <c r="M143" s="69" t="s">
        <v>896</v>
      </c>
      <c r="N143" s="69"/>
      <c r="O143" s="69">
        <v>6.0</v>
      </c>
      <c r="P143" s="70" t="s">
        <v>355</v>
      </c>
      <c r="Q143" s="69" t="s">
        <v>897</v>
      </c>
      <c r="R143" s="69">
        <v>120.0</v>
      </c>
      <c r="S143" s="69">
        <v>4.0</v>
      </c>
      <c r="T143" s="99" t="s">
        <v>898</v>
      </c>
      <c r="U143" s="38" t="str">
        <f>HYPERLINK("https://www.ncbi.nlm.nih.gov/pubmed/24913422","PubMed")</f>
        <v>PubMed</v>
      </c>
      <c r="V143" s="30"/>
      <c r="W143" s="49"/>
      <c r="X143" s="49"/>
      <c r="Y143" s="35"/>
      <c r="Z143" s="35"/>
      <c r="AA143" s="35"/>
      <c r="AB143" s="35"/>
      <c r="AC143" s="35"/>
      <c r="AD143" s="35"/>
      <c r="AE143" s="35"/>
      <c r="AF143" s="35"/>
      <c r="AG143" s="35"/>
      <c r="AH143" s="35"/>
      <c r="AI143" s="35"/>
      <c r="AJ143" s="35"/>
      <c r="AK143" s="35"/>
      <c r="AL143" s="35"/>
    </row>
    <row r="144" ht="52.5" customHeight="1">
      <c r="A144" s="89"/>
      <c r="B144" s="19" t="s">
        <v>221</v>
      </c>
      <c r="C144" s="20" t="s">
        <v>306</v>
      </c>
      <c r="D144" s="47"/>
      <c r="E144" s="56" t="s">
        <v>835</v>
      </c>
      <c r="F144" s="22" t="s">
        <v>183</v>
      </c>
      <c r="G144" s="57">
        <v>2014.0</v>
      </c>
      <c r="H144" s="22" t="s">
        <v>91</v>
      </c>
      <c r="I144" s="58" t="s">
        <v>899</v>
      </c>
      <c r="J144" s="56" t="s">
        <v>55</v>
      </c>
      <c r="K144" s="56"/>
      <c r="L144" s="69">
        <v>780.0</v>
      </c>
      <c r="M144" s="69">
        <v>70.0</v>
      </c>
      <c r="N144" s="69" t="s">
        <v>58</v>
      </c>
      <c r="O144" s="69" t="s">
        <v>58</v>
      </c>
      <c r="P144" s="70" t="s">
        <v>900</v>
      </c>
      <c r="Q144" s="36" t="s">
        <v>901</v>
      </c>
      <c r="R144" s="36" t="s">
        <v>58</v>
      </c>
      <c r="S144" s="36">
        <v>7.0</v>
      </c>
      <c r="T144" s="28" t="s">
        <v>902</v>
      </c>
      <c r="U144" s="38" t="str">
        <f>HYPERLINK("https://www.ncbi.nlm.nih.gov/pubmed/23525868","PubMed")</f>
        <v>PubMed</v>
      </c>
      <c r="V144" s="30"/>
      <c r="W144" s="49"/>
      <c r="X144" s="49"/>
      <c r="Y144" s="35"/>
      <c r="Z144" s="35"/>
      <c r="AA144" s="35"/>
      <c r="AB144" s="35"/>
      <c r="AC144" s="35"/>
      <c r="AD144" s="35"/>
      <c r="AE144" s="35"/>
      <c r="AF144" s="35"/>
      <c r="AG144" s="35"/>
      <c r="AH144" s="35"/>
      <c r="AI144" s="35"/>
      <c r="AJ144" s="35"/>
      <c r="AK144" s="35"/>
      <c r="AL144" s="35"/>
    </row>
    <row r="145" ht="52.5" customHeight="1">
      <c r="A145" s="89"/>
      <c r="B145" s="19" t="s">
        <v>221</v>
      </c>
      <c r="C145" s="20" t="s">
        <v>306</v>
      </c>
      <c r="D145" s="47"/>
      <c r="E145" s="56" t="s">
        <v>835</v>
      </c>
      <c r="F145" s="22" t="s">
        <v>183</v>
      </c>
      <c r="G145" s="57">
        <v>2014.0</v>
      </c>
      <c r="H145" s="56" t="s">
        <v>207</v>
      </c>
      <c r="I145" s="58" t="s">
        <v>903</v>
      </c>
      <c r="J145" s="56" t="s">
        <v>55</v>
      </c>
      <c r="K145" s="56"/>
      <c r="L145" s="69">
        <v>780.0</v>
      </c>
      <c r="M145" s="69">
        <v>70.0</v>
      </c>
      <c r="N145" s="69" t="s">
        <v>58</v>
      </c>
      <c r="O145" s="69" t="s">
        <v>58</v>
      </c>
      <c r="P145" s="70" t="s">
        <v>900</v>
      </c>
      <c r="Q145" s="36" t="s">
        <v>901</v>
      </c>
      <c r="R145" s="36" t="s">
        <v>58</v>
      </c>
      <c r="S145" s="36">
        <v>7.0</v>
      </c>
      <c r="T145" s="28" t="s">
        <v>904</v>
      </c>
      <c r="U145" s="38" t="str">
        <f>HYPERLINK("https://www.ncbi.nlm.nih.gov/pubmed/24463564","PubMed")</f>
        <v>PubMed</v>
      </c>
      <c r="V145" s="30"/>
      <c r="W145" s="49"/>
      <c r="X145" s="49"/>
      <c r="Y145" s="35"/>
      <c r="Z145" s="35"/>
      <c r="AA145" s="35"/>
      <c r="AB145" s="35"/>
      <c r="AC145" s="35"/>
      <c r="AD145" s="35"/>
      <c r="AE145" s="35"/>
      <c r="AF145" s="35"/>
      <c r="AG145" s="35"/>
      <c r="AH145" s="35"/>
      <c r="AI145" s="35"/>
      <c r="AJ145" s="35"/>
      <c r="AK145" s="35"/>
      <c r="AL145" s="35"/>
    </row>
    <row r="146" ht="52.5" customHeight="1">
      <c r="A146" s="51" t="s">
        <v>795</v>
      </c>
      <c r="B146" s="19" t="s">
        <v>221</v>
      </c>
      <c r="C146" s="20" t="s">
        <v>306</v>
      </c>
      <c r="D146" s="47"/>
      <c r="E146" s="56" t="s">
        <v>764</v>
      </c>
      <c r="F146" s="22" t="s">
        <v>41</v>
      </c>
      <c r="G146" s="57">
        <v>2014.0</v>
      </c>
      <c r="H146" s="56" t="s">
        <v>905</v>
      </c>
      <c r="I146" s="58" t="s">
        <v>906</v>
      </c>
      <c r="J146" s="56" t="s">
        <v>55</v>
      </c>
      <c r="K146" s="56"/>
      <c r="L146" s="69" t="s">
        <v>907</v>
      </c>
      <c r="M146" s="69" t="s">
        <v>58</v>
      </c>
      <c r="N146" s="69" t="s">
        <v>908</v>
      </c>
      <c r="O146" s="69" t="s">
        <v>909</v>
      </c>
      <c r="P146" s="70" t="s">
        <v>910</v>
      </c>
      <c r="Q146" s="36" t="s">
        <v>691</v>
      </c>
      <c r="R146" s="36" t="s">
        <v>911</v>
      </c>
      <c r="S146" s="36">
        <v>1.0</v>
      </c>
      <c r="T146" s="28" t="s">
        <v>912</v>
      </c>
      <c r="U146" s="38" t="str">
        <f>HYPERLINK("https://www.ncbi.nlm.nih.gov/pubmed/23919887","PubMed")</f>
        <v>PubMed</v>
      </c>
      <c r="V146" s="30"/>
      <c r="W146" s="49"/>
      <c r="X146" s="49"/>
      <c r="Y146" s="35"/>
      <c r="Z146" s="35"/>
      <c r="AA146" s="35"/>
      <c r="AB146" s="35"/>
      <c r="AC146" s="35"/>
      <c r="AD146" s="35"/>
      <c r="AE146" s="35"/>
      <c r="AF146" s="35"/>
      <c r="AG146" s="35"/>
      <c r="AH146" s="35"/>
      <c r="AI146" s="35"/>
      <c r="AJ146" s="35"/>
      <c r="AK146" s="35"/>
      <c r="AL146" s="35"/>
    </row>
    <row r="147" ht="52.5" customHeight="1">
      <c r="A147" s="89"/>
      <c r="B147" s="19" t="s">
        <v>221</v>
      </c>
      <c r="C147" s="20" t="s">
        <v>306</v>
      </c>
      <c r="D147" s="47"/>
      <c r="E147" s="56" t="s">
        <v>913</v>
      </c>
      <c r="F147" s="22" t="s">
        <v>605</v>
      </c>
      <c r="G147" s="57">
        <v>2014.0</v>
      </c>
      <c r="H147" s="56" t="s">
        <v>284</v>
      </c>
      <c r="I147" s="58" t="s">
        <v>914</v>
      </c>
      <c r="J147" s="56" t="s">
        <v>55</v>
      </c>
      <c r="K147" s="56"/>
      <c r="L147" s="69">
        <v>820.0</v>
      </c>
      <c r="M147" s="69">
        <v>500.0</v>
      </c>
      <c r="N147" s="69" t="s">
        <v>58</v>
      </c>
      <c r="O147" s="69" t="s">
        <v>58</v>
      </c>
      <c r="P147" s="70" t="s">
        <v>709</v>
      </c>
      <c r="Q147" s="36" t="s">
        <v>675</v>
      </c>
      <c r="R147" s="36" t="s">
        <v>58</v>
      </c>
      <c r="S147" s="36" t="s">
        <v>915</v>
      </c>
      <c r="T147" s="28" t="s">
        <v>916</v>
      </c>
      <c r="U147" s="38" t="str">
        <f>HYPERLINK("https://www.ncbi.nlm.nih.gov/pubmed/24467933","PubMed")</f>
        <v>PubMed</v>
      </c>
      <c r="V147" s="30"/>
      <c r="W147" s="49"/>
      <c r="X147" s="49"/>
      <c r="Y147" s="35"/>
      <c r="Z147" s="35"/>
      <c r="AA147" s="35"/>
      <c r="AB147" s="35"/>
      <c r="AC147" s="35"/>
      <c r="AD147" s="35"/>
      <c r="AE147" s="35"/>
      <c r="AF147" s="35"/>
      <c r="AG147" s="35"/>
      <c r="AH147" s="35"/>
      <c r="AI147" s="35"/>
      <c r="AJ147" s="35"/>
      <c r="AK147" s="35"/>
      <c r="AL147" s="35"/>
    </row>
    <row r="148" ht="52.5" customHeight="1">
      <c r="A148" s="89"/>
      <c r="B148" s="19" t="s">
        <v>221</v>
      </c>
      <c r="C148" s="20" t="s">
        <v>306</v>
      </c>
      <c r="D148" s="47"/>
      <c r="E148" s="56" t="s">
        <v>917</v>
      </c>
      <c r="F148" s="22" t="s">
        <v>183</v>
      </c>
      <c r="G148" s="57">
        <v>2014.0</v>
      </c>
      <c r="H148" s="56" t="s">
        <v>91</v>
      </c>
      <c r="I148" s="58" t="s">
        <v>918</v>
      </c>
      <c r="J148" s="56" t="s">
        <v>55</v>
      </c>
      <c r="K148" s="56" t="s">
        <v>157</v>
      </c>
      <c r="L148" s="69">
        <v>850.0</v>
      </c>
      <c r="M148" s="69">
        <v>150.0</v>
      </c>
      <c r="N148" s="69"/>
      <c r="O148" s="69"/>
      <c r="P148" s="70" t="s">
        <v>919</v>
      </c>
      <c r="Q148" s="36" t="s">
        <v>840</v>
      </c>
      <c r="R148" s="36">
        <v>128.0</v>
      </c>
      <c r="S148" s="36">
        <v>7.0</v>
      </c>
      <c r="T148" s="28" t="s">
        <v>920</v>
      </c>
      <c r="U148" s="38" t="str">
        <f>HYPERLINK("https://www.ncbi.nlm.nih.gov/pubmed/24474327","PubMed")</f>
        <v>PubMed</v>
      </c>
      <c r="V148" s="30"/>
      <c r="W148" s="49"/>
      <c r="X148" s="49"/>
      <c r="Y148" s="35"/>
      <c r="Z148" s="35"/>
      <c r="AA148" s="35"/>
      <c r="AB148" s="35"/>
      <c r="AC148" s="35"/>
      <c r="AD148" s="35"/>
      <c r="AE148" s="35"/>
      <c r="AF148" s="35"/>
      <c r="AG148" s="35"/>
      <c r="AH148" s="35"/>
      <c r="AI148" s="35"/>
      <c r="AJ148" s="35"/>
      <c r="AK148" s="35"/>
      <c r="AL148" s="35"/>
    </row>
    <row r="149" ht="52.5" customHeight="1">
      <c r="A149" s="89"/>
      <c r="B149" s="19" t="s">
        <v>221</v>
      </c>
      <c r="C149" s="20" t="s">
        <v>306</v>
      </c>
      <c r="D149" s="47"/>
      <c r="E149" s="56" t="s">
        <v>651</v>
      </c>
      <c r="F149" s="22" t="s">
        <v>400</v>
      </c>
      <c r="G149" s="57">
        <v>2014.0</v>
      </c>
      <c r="H149" s="56" t="s">
        <v>207</v>
      </c>
      <c r="I149" s="58" t="s">
        <v>921</v>
      </c>
      <c r="J149" s="56" t="s">
        <v>55</v>
      </c>
      <c r="K149" s="56" t="s">
        <v>922</v>
      </c>
      <c r="L149" s="69" t="s">
        <v>654</v>
      </c>
      <c r="M149" s="69" t="s">
        <v>742</v>
      </c>
      <c r="N149" s="69" t="s">
        <v>58</v>
      </c>
      <c r="O149" s="69" t="s">
        <v>58</v>
      </c>
      <c r="P149" s="70" t="s">
        <v>923</v>
      </c>
      <c r="Q149" s="36" t="s">
        <v>924</v>
      </c>
      <c r="R149" s="36" t="s">
        <v>58</v>
      </c>
      <c r="S149" s="36" t="s">
        <v>925</v>
      </c>
      <c r="T149" s="28" t="s">
        <v>926</v>
      </c>
      <c r="U149" s="38" t="str">
        <f>HYPERLINK("https://www.ncbi.nlm.nih.gov/pubmed/24935415","PubMed")</f>
        <v>PubMed</v>
      </c>
      <c r="V149" s="30"/>
      <c r="W149" s="49"/>
      <c r="X149" s="49"/>
      <c r="Y149" s="35"/>
      <c r="Z149" s="35"/>
      <c r="AA149" s="35"/>
      <c r="AB149" s="35"/>
      <c r="AC149" s="35"/>
      <c r="AD149" s="35"/>
      <c r="AE149" s="35"/>
      <c r="AF149" s="35"/>
      <c r="AG149" s="35"/>
      <c r="AH149" s="35"/>
      <c r="AI149" s="35"/>
      <c r="AJ149" s="35"/>
      <c r="AK149" s="35"/>
      <c r="AL149" s="35"/>
    </row>
    <row r="150" ht="52.5" customHeight="1">
      <c r="A150" s="89"/>
      <c r="B150" s="19" t="s">
        <v>221</v>
      </c>
      <c r="C150" s="20" t="s">
        <v>306</v>
      </c>
      <c r="D150" s="47"/>
      <c r="E150" s="56" t="s">
        <v>927</v>
      </c>
      <c r="F150" s="22" t="s">
        <v>274</v>
      </c>
      <c r="G150" s="57">
        <v>2014.0</v>
      </c>
      <c r="H150" s="56" t="s">
        <v>928</v>
      </c>
      <c r="I150" s="58" t="s">
        <v>929</v>
      </c>
      <c r="J150" s="56" t="s">
        <v>55</v>
      </c>
      <c r="K150" s="56" t="s">
        <v>930</v>
      </c>
      <c r="L150" s="69">
        <v>830.0</v>
      </c>
      <c r="M150" s="69"/>
      <c r="N150" s="69"/>
      <c r="O150" s="69"/>
      <c r="P150" s="70" t="s">
        <v>279</v>
      </c>
      <c r="Q150" s="36"/>
      <c r="R150" s="36"/>
      <c r="S150" s="36"/>
      <c r="T150" s="42" t="s">
        <v>931</v>
      </c>
      <c r="U150" s="38" t="str">
        <f>HYPERLINK("https://www.ncbi.nlm.nih.gov/pubmed/24700268","PubMed")</f>
        <v>PubMed</v>
      </c>
      <c r="V150" s="30"/>
      <c r="W150" s="49"/>
      <c r="X150" s="49"/>
      <c r="Y150" s="35"/>
      <c r="Z150" s="35"/>
      <c r="AA150" s="35"/>
      <c r="AB150" s="35"/>
      <c r="AC150" s="35"/>
      <c r="AD150" s="35"/>
      <c r="AE150" s="35"/>
      <c r="AF150" s="35"/>
      <c r="AG150" s="35"/>
      <c r="AH150" s="35"/>
      <c r="AI150" s="35"/>
      <c r="AJ150" s="35"/>
      <c r="AK150" s="35"/>
      <c r="AL150" s="35"/>
    </row>
    <row r="151" ht="52.5" customHeight="1">
      <c r="A151" s="89"/>
      <c r="B151" s="19" t="s">
        <v>221</v>
      </c>
      <c r="C151" s="20" t="s">
        <v>306</v>
      </c>
      <c r="D151" s="47"/>
      <c r="E151" s="56" t="s">
        <v>932</v>
      </c>
      <c r="F151" s="22" t="s">
        <v>323</v>
      </c>
      <c r="G151" s="57">
        <v>2014.0</v>
      </c>
      <c r="H151" s="56" t="s">
        <v>91</v>
      </c>
      <c r="I151" s="58" t="s">
        <v>933</v>
      </c>
      <c r="J151" s="56" t="s">
        <v>253</v>
      </c>
      <c r="L151" s="69">
        <v>810.0</v>
      </c>
      <c r="M151" s="69">
        <v>300.0</v>
      </c>
      <c r="N151" s="69" t="s">
        <v>58</v>
      </c>
      <c r="O151" s="69" t="s">
        <v>58</v>
      </c>
      <c r="P151" s="70" t="s">
        <v>254</v>
      </c>
      <c r="Q151" s="36" t="s">
        <v>58</v>
      </c>
      <c r="R151" s="36" t="s">
        <v>58</v>
      </c>
      <c r="S151" s="36">
        <v>11.0</v>
      </c>
      <c r="T151" s="28" t="s">
        <v>934</v>
      </c>
      <c r="U151" s="38" t="str">
        <f>HYPERLINK("https://www.ncbi.nlm.nih.gov/pubmed/23996072","PubMed")</f>
        <v>PubMed</v>
      </c>
      <c r="V151" s="30"/>
      <c r="W151" s="49"/>
      <c r="X151" s="49"/>
      <c r="Y151" s="35"/>
      <c r="Z151" s="35"/>
      <c r="AA151" s="35"/>
      <c r="AB151" s="35"/>
      <c r="AC151" s="35"/>
      <c r="AD151" s="35"/>
      <c r="AE151" s="35"/>
      <c r="AF151" s="35"/>
      <c r="AG151" s="35"/>
      <c r="AH151" s="35"/>
      <c r="AI151" s="35"/>
      <c r="AJ151" s="35"/>
      <c r="AK151" s="35"/>
      <c r="AL151" s="35"/>
    </row>
    <row r="152" ht="52.5" customHeight="1">
      <c r="A152" s="89"/>
      <c r="B152" s="19" t="s">
        <v>221</v>
      </c>
      <c r="C152" s="20" t="s">
        <v>306</v>
      </c>
      <c r="D152" s="47"/>
      <c r="E152" s="56" t="s">
        <v>467</v>
      </c>
      <c r="F152" s="22" t="s">
        <v>765</v>
      </c>
      <c r="G152" s="57">
        <v>2014.0</v>
      </c>
      <c r="H152" s="56" t="s">
        <v>702</v>
      </c>
      <c r="I152" s="58" t="s">
        <v>935</v>
      </c>
      <c r="J152" s="56" t="s">
        <v>55</v>
      </c>
      <c r="L152" s="69">
        <v>660.0</v>
      </c>
      <c r="M152" s="69">
        <v>35.0</v>
      </c>
      <c r="N152" s="69" t="s">
        <v>58</v>
      </c>
      <c r="O152" s="69" t="s">
        <v>936</v>
      </c>
      <c r="P152" s="70" t="s">
        <v>937</v>
      </c>
      <c r="Q152" s="36" t="s">
        <v>938</v>
      </c>
      <c r="R152" s="36" t="s">
        <v>939</v>
      </c>
      <c r="S152" s="36">
        <v>1.0</v>
      </c>
      <c r="T152" s="28" t="s">
        <v>940</v>
      </c>
      <c r="U152" s="38" t="str">
        <f>HYPERLINK("https://www.ncbi.nlm.nih.gov/pubmed/24657115","PubMed")</f>
        <v>PubMed</v>
      </c>
      <c r="V152" s="30"/>
      <c r="W152" s="49"/>
      <c r="X152" s="49"/>
      <c r="Y152" s="35"/>
      <c r="Z152" s="35"/>
      <c r="AA152" s="35"/>
      <c r="AB152" s="35"/>
      <c r="AC152" s="35"/>
      <c r="AD152" s="35"/>
      <c r="AE152" s="35"/>
      <c r="AF152" s="35"/>
      <c r="AG152" s="35"/>
      <c r="AH152" s="35"/>
      <c r="AI152" s="35"/>
      <c r="AJ152" s="35"/>
      <c r="AK152" s="35"/>
      <c r="AL152" s="35"/>
    </row>
    <row r="153" ht="52.5" customHeight="1">
      <c r="A153" s="89"/>
      <c r="B153" s="19" t="s">
        <v>221</v>
      </c>
      <c r="C153" s="20" t="s">
        <v>306</v>
      </c>
      <c r="D153" s="47"/>
      <c r="E153" s="56" t="s">
        <v>114</v>
      </c>
      <c r="F153" s="22" t="s">
        <v>41</v>
      </c>
      <c r="G153" s="57">
        <v>2014.0</v>
      </c>
      <c r="H153" s="56" t="s">
        <v>941</v>
      </c>
      <c r="I153" s="58" t="s">
        <v>942</v>
      </c>
      <c r="J153" s="56" t="s">
        <v>55</v>
      </c>
      <c r="K153" s="56" t="s">
        <v>294</v>
      </c>
      <c r="L153" s="69" t="s">
        <v>943</v>
      </c>
      <c r="M153" s="69">
        <v>100.0</v>
      </c>
      <c r="N153" s="69" t="s">
        <v>58</v>
      </c>
      <c r="O153" s="69" t="s">
        <v>58</v>
      </c>
      <c r="P153" s="70" t="s">
        <v>944</v>
      </c>
      <c r="Q153" s="36" t="s">
        <v>675</v>
      </c>
      <c r="R153" s="36">
        <v>40.0</v>
      </c>
      <c r="S153" s="36" t="s">
        <v>456</v>
      </c>
      <c r="T153" s="28" t="s">
        <v>945</v>
      </c>
      <c r="U153" s="38" t="str">
        <f>HYPERLINK("https://www.ncbi.nlm.nih.gov/pubmed/24868182","PubMed")</f>
        <v>PubMed</v>
      </c>
      <c r="V153" s="30" t="s">
        <v>946</v>
      </c>
      <c r="W153" s="49"/>
      <c r="X153" s="49"/>
      <c r="Y153" s="35"/>
      <c r="Z153" s="35"/>
      <c r="AA153" s="35"/>
      <c r="AB153" s="35"/>
      <c r="AC153" s="35"/>
      <c r="AD153" s="35"/>
      <c r="AE153" s="35"/>
      <c r="AF153" s="35"/>
      <c r="AG153" s="35"/>
      <c r="AH153" s="35"/>
      <c r="AI153" s="35"/>
      <c r="AJ153" s="35"/>
      <c r="AK153" s="35"/>
      <c r="AL153" s="35"/>
    </row>
    <row r="154" ht="52.5" customHeight="1">
      <c r="A154" s="89"/>
      <c r="B154" s="19" t="s">
        <v>221</v>
      </c>
      <c r="C154" s="20" t="s">
        <v>306</v>
      </c>
      <c r="D154" s="47"/>
      <c r="E154" s="56" t="s">
        <v>835</v>
      </c>
      <c r="F154" s="22" t="s">
        <v>183</v>
      </c>
      <c r="G154" s="57">
        <v>2014.0</v>
      </c>
      <c r="H154" s="56" t="s">
        <v>91</v>
      </c>
      <c r="I154" s="58" t="s">
        <v>947</v>
      </c>
      <c r="J154" s="56" t="s">
        <v>55</v>
      </c>
      <c r="K154" s="56" t="s">
        <v>948</v>
      </c>
      <c r="L154" s="69" t="s">
        <v>654</v>
      </c>
      <c r="M154" s="69" t="s">
        <v>742</v>
      </c>
      <c r="N154" s="69" t="s">
        <v>58</v>
      </c>
      <c r="O154" s="69" t="s">
        <v>58</v>
      </c>
      <c r="P154" s="70" t="s">
        <v>949</v>
      </c>
      <c r="Q154" s="36" t="s">
        <v>924</v>
      </c>
      <c r="R154" s="36" t="s">
        <v>58</v>
      </c>
      <c r="S154" s="36" t="s">
        <v>925</v>
      </c>
      <c r="T154" s="28" t="s">
        <v>950</v>
      </c>
      <c r="U154" s="38" t="str">
        <f>HYPERLINK("https://www.ncbi.nlm.nih.gov/pubmed/24627284","PubMed")</f>
        <v>PubMed</v>
      </c>
      <c r="V154" s="30" t="s">
        <v>951</v>
      </c>
      <c r="W154" s="49"/>
      <c r="X154" s="49"/>
      <c r="Y154" s="35"/>
      <c r="Z154" s="35"/>
      <c r="AA154" s="35"/>
      <c r="AB154" s="35"/>
      <c r="AC154" s="35"/>
      <c r="AD154" s="35"/>
      <c r="AE154" s="35"/>
      <c r="AF154" s="35"/>
      <c r="AG154" s="35"/>
      <c r="AH154" s="35"/>
      <c r="AI154" s="35"/>
      <c r="AJ154" s="35"/>
      <c r="AK154" s="35"/>
      <c r="AL154" s="35"/>
    </row>
    <row r="155" ht="52.5" customHeight="1">
      <c r="A155" s="89"/>
      <c r="B155" s="19" t="s">
        <v>221</v>
      </c>
      <c r="C155" s="20" t="s">
        <v>306</v>
      </c>
      <c r="D155" s="47"/>
      <c r="E155" s="56" t="s">
        <v>952</v>
      </c>
      <c r="F155" s="22" t="s">
        <v>797</v>
      </c>
      <c r="G155" s="57">
        <v>2014.0</v>
      </c>
      <c r="H155" s="56" t="s">
        <v>91</v>
      </c>
      <c r="I155" s="58" t="s">
        <v>953</v>
      </c>
      <c r="J155" s="56" t="s">
        <v>253</v>
      </c>
      <c r="K155" s="56"/>
      <c r="L155" s="69">
        <v>830.0</v>
      </c>
      <c r="M155" s="69">
        <v>100.0</v>
      </c>
      <c r="N155" s="69" t="s">
        <v>58</v>
      </c>
      <c r="O155" s="69" t="s">
        <v>58</v>
      </c>
      <c r="P155" s="70" t="s">
        <v>954</v>
      </c>
      <c r="Q155" s="36" t="s">
        <v>955</v>
      </c>
      <c r="R155" s="36" t="s">
        <v>956</v>
      </c>
      <c r="S155" s="36" t="s">
        <v>957</v>
      </c>
      <c r="T155" s="42" t="s">
        <v>958</v>
      </c>
      <c r="U155" s="38" t="str">
        <f>HYPERLINK("https://www.ncbi.nlm.nih.gov/pubmed/23832178","PubMed")</f>
        <v>PubMed</v>
      </c>
      <c r="V155" s="30"/>
      <c r="W155" s="49"/>
      <c r="X155" s="49"/>
      <c r="Y155" s="35"/>
      <c r="Z155" s="35"/>
      <c r="AA155" s="35"/>
      <c r="AB155" s="35"/>
      <c r="AC155" s="35"/>
      <c r="AD155" s="35"/>
      <c r="AE155" s="35"/>
      <c r="AF155" s="35"/>
      <c r="AG155" s="35"/>
      <c r="AH155" s="35"/>
      <c r="AI155" s="35"/>
      <c r="AJ155" s="35"/>
      <c r="AK155" s="35"/>
      <c r="AL155" s="35"/>
    </row>
    <row r="156" ht="52.5" customHeight="1">
      <c r="A156" s="89"/>
      <c r="B156" s="19" t="s">
        <v>221</v>
      </c>
      <c r="C156" s="20" t="s">
        <v>306</v>
      </c>
      <c r="D156" s="47"/>
      <c r="E156" s="56" t="s">
        <v>959</v>
      </c>
      <c r="F156" s="22" t="s">
        <v>400</v>
      </c>
      <c r="G156" s="57">
        <v>2014.0</v>
      </c>
      <c r="H156" s="56" t="s">
        <v>960</v>
      </c>
      <c r="I156" s="58" t="s">
        <v>961</v>
      </c>
      <c r="J156" s="56" t="s">
        <v>55</v>
      </c>
      <c r="K156" s="56"/>
      <c r="L156" s="69">
        <v>780.0</v>
      </c>
      <c r="M156" s="69">
        <v>100.0</v>
      </c>
      <c r="N156" s="69"/>
      <c r="O156" s="69" t="s">
        <v>962</v>
      </c>
      <c r="P156" s="70" t="s">
        <v>355</v>
      </c>
      <c r="Q156" s="36" t="s">
        <v>963</v>
      </c>
      <c r="R156" s="36"/>
      <c r="S156" s="36"/>
      <c r="T156" s="28" t="s">
        <v>964</v>
      </c>
      <c r="U156" s="38" t="str">
        <f>HYPERLINK("https://www.ncbi.nlm.nih.gov/pubmed/24982858","PubMed")</f>
        <v>PubMed</v>
      </c>
      <c r="V156" s="30"/>
      <c r="W156" s="49"/>
      <c r="X156" s="49"/>
      <c r="Y156" s="35"/>
      <c r="Z156" s="35"/>
      <c r="AA156" s="35"/>
      <c r="AB156" s="35"/>
      <c r="AC156" s="35"/>
      <c r="AD156" s="35"/>
      <c r="AE156" s="35"/>
      <c r="AF156" s="35"/>
      <c r="AG156" s="35"/>
      <c r="AH156" s="35"/>
      <c r="AI156" s="35"/>
      <c r="AJ156" s="35"/>
      <c r="AK156" s="35"/>
      <c r="AL156" s="35"/>
    </row>
    <row r="157" ht="52.5" customHeight="1">
      <c r="A157" s="51"/>
      <c r="B157" s="19" t="s">
        <v>221</v>
      </c>
      <c r="C157" s="20" t="s">
        <v>306</v>
      </c>
      <c r="D157" s="47"/>
      <c r="E157" s="56" t="s">
        <v>965</v>
      </c>
      <c r="F157" s="22" t="s">
        <v>966</v>
      </c>
      <c r="G157" s="57">
        <v>2013.0</v>
      </c>
      <c r="H157" s="56" t="s">
        <v>967</v>
      </c>
      <c r="I157" s="58" t="s">
        <v>968</v>
      </c>
      <c r="J157" s="56" t="s">
        <v>55</v>
      </c>
      <c r="K157" s="56"/>
      <c r="L157" s="69">
        <v>904.0</v>
      </c>
      <c r="M157" s="69"/>
      <c r="N157" s="69"/>
      <c r="O157" s="69"/>
      <c r="P157" s="70" t="s">
        <v>969</v>
      </c>
      <c r="Q157" s="69"/>
      <c r="R157" s="69">
        <v>69.0</v>
      </c>
      <c r="S157" s="69"/>
      <c r="T157" s="28" t="s">
        <v>970</v>
      </c>
      <c r="U157" s="66" t="str">
        <f>HYPERLINK("http://iopscience.iop.org/article/10.1088/1054-660X/23/3/035605/meta","IOP")</f>
        <v>IOP</v>
      </c>
      <c r="V157" s="30"/>
      <c r="W157" s="49"/>
      <c r="X157" s="49"/>
      <c r="Y157" s="35"/>
      <c r="Z157" s="35"/>
      <c r="AA157" s="35"/>
      <c r="AB157" s="35"/>
      <c r="AC157" s="35"/>
      <c r="AD157" s="35"/>
      <c r="AE157" s="35"/>
      <c r="AF157" s="35"/>
      <c r="AG157" s="35"/>
      <c r="AH157" s="35"/>
      <c r="AI157" s="35"/>
      <c r="AJ157" s="35"/>
      <c r="AK157" s="35"/>
      <c r="AL157" s="35"/>
    </row>
    <row r="158" ht="52.5" customHeight="1">
      <c r="A158" s="51"/>
      <c r="B158" s="19" t="s">
        <v>221</v>
      </c>
      <c r="C158" s="20" t="s">
        <v>306</v>
      </c>
      <c r="D158" s="47"/>
      <c r="E158" s="56" t="s">
        <v>971</v>
      </c>
      <c r="F158" s="22" t="s">
        <v>870</v>
      </c>
      <c r="G158" s="57">
        <v>2013.0</v>
      </c>
      <c r="H158" s="56" t="s">
        <v>972</v>
      </c>
      <c r="I158" s="58" t="s">
        <v>973</v>
      </c>
      <c r="J158" s="56" t="s">
        <v>55</v>
      </c>
      <c r="K158" s="56"/>
      <c r="L158" s="69">
        <v>670.0</v>
      </c>
      <c r="M158" s="69">
        <v>30.0</v>
      </c>
      <c r="N158" s="69" t="s">
        <v>58</v>
      </c>
      <c r="O158" s="69" t="s">
        <v>58</v>
      </c>
      <c r="P158" s="70" t="s">
        <v>974</v>
      </c>
      <c r="Q158" s="69" t="s">
        <v>58</v>
      </c>
      <c r="R158" s="69">
        <v>273.0</v>
      </c>
      <c r="S158" s="69" t="s">
        <v>975</v>
      </c>
      <c r="T158" s="28" t="s">
        <v>976</v>
      </c>
      <c r="U158" s="66" t="str">
        <f>HYPERLINK("https://www.ncbi.nlm.nih.gov/pubmed/22850224","PubMed")</f>
        <v>PubMed</v>
      </c>
      <c r="V158" s="30" t="s">
        <v>977</v>
      </c>
      <c r="W158" s="49"/>
      <c r="X158" s="49"/>
      <c r="Y158" s="35"/>
      <c r="Z158" s="35"/>
      <c r="AA158" s="35"/>
      <c r="AB158" s="35"/>
      <c r="AC158" s="35"/>
      <c r="AD158" s="35"/>
      <c r="AE158" s="35"/>
      <c r="AF158" s="35"/>
      <c r="AG158" s="35"/>
      <c r="AH158" s="35"/>
      <c r="AI158" s="35"/>
      <c r="AJ158" s="35"/>
      <c r="AK158" s="35"/>
      <c r="AL158" s="35"/>
    </row>
    <row r="159" ht="52.5" customHeight="1">
      <c r="A159" s="51" t="s">
        <v>181</v>
      </c>
      <c r="B159" s="19" t="s">
        <v>221</v>
      </c>
      <c r="C159" s="20" t="s">
        <v>306</v>
      </c>
      <c r="D159" s="47"/>
      <c r="E159" s="56" t="s">
        <v>978</v>
      </c>
      <c r="F159" s="22" t="s">
        <v>979</v>
      </c>
      <c r="G159" s="57">
        <v>2013.0</v>
      </c>
      <c r="H159" s="56" t="s">
        <v>91</v>
      </c>
      <c r="I159" s="58" t="s">
        <v>980</v>
      </c>
      <c r="J159" s="56" t="s">
        <v>55</v>
      </c>
      <c r="K159" s="56" t="s">
        <v>157</v>
      </c>
      <c r="L159" s="69">
        <v>618.0</v>
      </c>
      <c r="M159" s="69"/>
      <c r="N159" s="69" t="s">
        <v>821</v>
      </c>
      <c r="O159" s="72"/>
      <c r="P159" s="70"/>
      <c r="Q159" s="69"/>
      <c r="R159" s="69">
        <v>1200.0</v>
      </c>
      <c r="S159" s="69" t="s">
        <v>782</v>
      </c>
      <c r="T159" s="28" t="s">
        <v>981</v>
      </c>
      <c r="U159" s="66" t="str">
        <f>HYPERLINK("https://www.ncbi.nlm.nih.gov/pubmed/23139069","PubMed")</f>
        <v>PubMed</v>
      </c>
      <c r="V159" s="30" t="s">
        <v>982</v>
      </c>
      <c r="W159" s="49"/>
      <c r="X159" s="49"/>
      <c r="Y159" s="35"/>
      <c r="Z159" s="35"/>
      <c r="AA159" s="35"/>
      <c r="AB159" s="35"/>
      <c r="AC159" s="35"/>
      <c r="AD159" s="35"/>
      <c r="AE159" s="35"/>
      <c r="AF159" s="35"/>
      <c r="AG159" s="35"/>
      <c r="AH159" s="35"/>
      <c r="AI159" s="35"/>
      <c r="AJ159" s="35"/>
      <c r="AK159" s="35"/>
      <c r="AL159" s="35"/>
    </row>
    <row r="160" ht="52.5" customHeight="1">
      <c r="A160" s="51"/>
      <c r="B160" s="19" t="s">
        <v>221</v>
      </c>
      <c r="C160" s="20" t="s">
        <v>306</v>
      </c>
      <c r="D160" s="47"/>
      <c r="E160" s="56" t="s">
        <v>467</v>
      </c>
      <c r="F160" s="22" t="s">
        <v>765</v>
      </c>
      <c r="G160" s="57">
        <v>2013.0</v>
      </c>
      <c r="H160" s="56" t="s">
        <v>91</v>
      </c>
      <c r="I160" s="58" t="s">
        <v>983</v>
      </c>
      <c r="J160" s="56" t="s">
        <v>55</v>
      </c>
      <c r="K160" s="56" t="s">
        <v>984</v>
      </c>
      <c r="L160" s="69">
        <v>660.0</v>
      </c>
      <c r="M160" s="69"/>
      <c r="N160" s="69" t="s">
        <v>985</v>
      </c>
      <c r="O160" s="69">
        <v>24.0</v>
      </c>
      <c r="P160" s="70"/>
      <c r="Q160" s="69"/>
      <c r="R160" s="69"/>
      <c r="S160" s="69"/>
      <c r="T160" s="28" t="s">
        <v>986</v>
      </c>
      <c r="U160" s="64" t="s">
        <v>61</v>
      </c>
      <c r="V160" s="50"/>
      <c r="W160" s="49"/>
      <c r="X160" s="49"/>
      <c r="Y160" s="35"/>
      <c r="Z160" s="35"/>
      <c r="AA160" s="35"/>
      <c r="AB160" s="35"/>
      <c r="AC160" s="35"/>
      <c r="AD160" s="35"/>
      <c r="AE160" s="35"/>
      <c r="AF160" s="35"/>
      <c r="AG160" s="35"/>
      <c r="AH160" s="35"/>
      <c r="AI160" s="35"/>
      <c r="AJ160" s="35"/>
      <c r="AK160" s="35"/>
      <c r="AL160" s="35"/>
    </row>
    <row r="161" ht="52.5" customHeight="1">
      <c r="A161" s="51" t="s">
        <v>181</v>
      </c>
      <c r="B161" s="19" t="s">
        <v>221</v>
      </c>
      <c r="C161" s="20" t="s">
        <v>306</v>
      </c>
      <c r="D161" s="47"/>
      <c r="E161" s="56" t="s">
        <v>987</v>
      </c>
      <c r="F161" s="22" t="s">
        <v>41</v>
      </c>
      <c r="G161" s="57">
        <v>2013.0</v>
      </c>
      <c r="H161" s="56" t="s">
        <v>91</v>
      </c>
      <c r="I161" s="58" t="s">
        <v>988</v>
      </c>
      <c r="J161" s="56" t="s">
        <v>253</v>
      </c>
      <c r="K161" s="56"/>
      <c r="L161" s="69">
        <v>633.0</v>
      </c>
      <c r="M161" s="69" t="s">
        <v>58</v>
      </c>
      <c r="N161" s="69" t="s">
        <v>58</v>
      </c>
      <c r="O161" s="69" t="s">
        <v>58</v>
      </c>
      <c r="P161" s="70" t="s">
        <v>82</v>
      </c>
      <c r="Q161" s="69" t="s">
        <v>989</v>
      </c>
      <c r="R161" s="69">
        <v>60.0</v>
      </c>
      <c r="S161" s="69" t="s">
        <v>990</v>
      </c>
      <c r="T161" s="28" t="s">
        <v>991</v>
      </c>
      <c r="U161" s="66" t="str">
        <f>HYPERLINK("https://www.ncbi.nlm.nih.gov/pubmed/23053246","PubMed")</f>
        <v>PubMed</v>
      </c>
      <c r="V161" s="50"/>
      <c r="W161" s="49"/>
      <c r="X161" s="49"/>
      <c r="Y161" s="35"/>
      <c r="Z161" s="35"/>
      <c r="AA161" s="35"/>
      <c r="AB161" s="35"/>
      <c r="AC161" s="35"/>
      <c r="AD161" s="35"/>
      <c r="AE161" s="35"/>
      <c r="AF161" s="35"/>
      <c r="AG161" s="35"/>
      <c r="AH161" s="35"/>
      <c r="AI161" s="35"/>
      <c r="AJ161" s="35"/>
      <c r="AK161" s="35"/>
      <c r="AL161" s="35"/>
    </row>
    <row r="162" ht="52.5" customHeight="1">
      <c r="A162" s="51"/>
      <c r="B162" s="19" t="s">
        <v>221</v>
      </c>
      <c r="C162" s="20" t="s">
        <v>306</v>
      </c>
      <c r="D162" s="47"/>
      <c r="E162" s="56" t="s">
        <v>992</v>
      </c>
      <c r="F162" s="22" t="s">
        <v>993</v>
      </c>
      <c r="G162" s="57">
        <v>2013.0</v>
      </c>
      <c r="H162" s="56" t="s">
        <v>994</v>
      </c>
      <c r="I162" s="58" t="s">
        <v>995</v>
      </c>
      <c r="J162" s="56" t="s">
        <v>253</v>
      </c>
      <c r="K162" s="56"/>
      <c r="L162" s="69">
        <v>808.0</v>
      </c>
      <c r="M162" s="69"/>
      <c r="N162" s="69"/>
      <c r="O162" s="69" t="s">
        <v>996</v>
      </c>
      <c r="P162" s="70" t="s">
        <v>974</v>
      </c>
      <c r="Q162" s="69"/>
      <c r="R162" s="69" t="s">
        <v>997</v>
      </c>
      <c r="S162" s="69"/>
      <c r="T162" s="28" t="s">
        <v>998</v>
      </c>
      <c r="U162" s="66" t="str">
        <f>HYPERLINK("https://www.ncbi.nlm.nih.gov/pubmed/23312924","PubMed")</f>
        <v>PubMed</v>
      </c>
      <c r="V162" s="50"/>
      <c r="W162" s="49"/>
      <c r="X162" s="49"/>
      <c r="Y162" s="35"/>
      <c r="Z162" s="35"/>
      <c r="AA162" s="35"/>
      <c r="AB162" s="35"/>
      <c r="AC162" s="35"/>
      <c r="AD162" s="35"/>
      <c r="AE162" s="35"/>
      <c r="AF162" s="35"/>
      <c r="AG162" s="35"/>
      <c r="AH162" s="35"/>
      <c r="AI162" s="35"/>
      <c r="AJ162" s="35"/>
      <c r="AK162" s="35"/>
      <c r="AL162" s="35"/>
    </row>
    <row r="163" ht="52.5" customHeight="1">
      <c r="A163" s="89"/>
      <c r="B163" s="19" t="s">
        <v>221</v>
      </c>
      <c r="C163" s="20" t="s">
        <v>306</v>
      </c>
      <c r="D163" s="47"/>
      <c r="E163" s="56" t="s">
        <v>999</v>
      </c>
      <c r="F163" s="22" t="s">
        <v>510</v>
      </c>
      <c r="G163" s="57">
        <v>2012.0</v>
      </c>
      <c r="H163" s="56" t="s">
        <v>1000</v>
      </c>
      <c r="I163" s="58" t="s">
        <v>1001</v>
      </c>
      <c r="J163" s="56" t="s">
        <v>55</v>
      </c>
      <c r="K163" s="56" t="s">
        <v>1002</v>
      </c>
      <c r="L163" s="69">
        <v>830.0</v>
      </c>
      <c r="M163" s="69">
        <v>10.0</v>
      </c>
      <c r="N163" s="69"/>
      <c r="O163" s="69"/>
      <c r="P163" s="70" t="s">
        <v>287</v>
      </c>
      <c r="Q163" s="69" t="s">
        <v>1003</v>
      </c>
      <c r="R163" s="69">
        <v>213.0</v>
      </c>
      <c r="S163" s="69"/>
      <c r="T163" s="74" t="s">
        <v>1004</v>
      </c>
      <c r="U163" s="66" t="str">
        <f>HYPERLINK("https://www.hindawi.com/journals/ijp/2012/829587/","Hindawi")</f>
        <v>Hindawi</v>
      </c>
      <c r="V163" s="30"/>
      <c r="W163" s="49"/>
      <c r="X163" s="49"/>
      <c r="Y163" s="35"/>
      <c r="Z163" s="35"/>
      <c r="AA163" s="35"/>
      <c r="AB163" s="35"/>
      <c r="AC163" s="35"/>
      <c r="AD163" s="35"/>
      <c r="AE163" s="35"/>
      <c r="AF163" s="35"/>
      <c r="AG163" s="35"/>
      <c r="AH163" s="35"/>
      <c r="AI163" s="35"/>
      <c r="AJ163" s="35"/>
      <c r="AK163" s="35"/>
      <c r="AL163" s="35"/>
    </row>
    <row r="164" ht="52.5" customHeight="1">
      <c r="A164" s="89"/>
      <c r="B164" s="19" t="s">
        <v>221</v>
      </c>
      <c r="C164" s="20" t="s">
        <v>306</v>
      </c>
      <c r="D164" s="47"/>
      <c r="E164" s="56" t="s">
        <v>651</v>
      </c>
      <c r="F164" s="22" t="s">
        <v>183</v>
      </c>
      <c r="G164" s="57">
        <v>2012.0</v>
      </c>
      <c r="H164" s="56" t="s">
        <v>91</v>
      </c>
      <c r="I164" s="58" t="s">
        <v>1005</v>
      </c>
      <c r="J164" s="56" t="s">
        <v>55</v>
      </c>
      <c r="K164" s="56" t="s">
        <v>157</v>
      </c>
      <c r="L164" s="69">
        <v>850.0</v>
      </c>
      <c r="M164" s="69"/>
      <c r="N164" s="69"/>
      <c r="O164" s="69"/>
      <c r="P164" s="70"/>
      <c r="Q164" s="69"/>
      <c r="R164" s="69"/>
      <c r="S164" s="69" t="s">
        <v>1006</v>
      </c>
      <c r="T164" s="63" t="s">
        <v>1007</v>
      </c>
      <c r="U164" s="66" t="str">
        <f>HYPERLINK("https://www.ncbi.nlm.nih.gov/pubmed/22016039","PubMed")</f>
        <v>PubMed</v>
      </c>
      <c r="V164" s="30"/>
      <c r="W164" s="49"/>
      <c r="X164" s="49"/>
      <c r="Y164" s="35"/>
      <c r="Z164" s="35"/>
      <c r="AA164" s="35"/>
      <c r="AB164" s="35"/>
      <c r="AC164" s="35"/>
      <c r="AD164" s="35"/>
      <c r="AE164" s="35"/>
      <c r="AF164" s="35"/>
      <c r="AG164" s="35"/>
      <c r="AH164" s="35"/>
      <c r="AI164" s="35"/>
      <c r="AJ164" s="35"/>
      <c r="AK164" s="35"/>
      <c r="AL164" s="35"/>
    </row>
    <row r="165" ht="52.5" customHeight="1">
      <c r="A165" s="89"/>
      <c r="B165" s="19" t="s">
        <v>221</v>
      </c>
      <c r="C165" s="20" t="s">
        <v>306</v>
      </c>
      <c r="D165" s="47"/>
      <c r="E165" s="56" t="s">
        <v>1008</v>
      </c>
      <c r="F165" s="22" t="s">
        <v>358</v>
      </c>
      <c r="G165" s="57">
        <v>2012.0</v>
      </c>
      <c r="H165" s="56" t="s">
        <v>91</v>
      </c>
      <c r="I165" s="58" t="s">
        <v>1009</v>
      </c>
      <c r="J165" s="56" t="s">
        <v>55</v>
      </c>
      <c r="K165" s="56"/>
      <c r="L165" s="69">
        <v>780.0</v>
      </c>
      <c r="M165" s="69">
        <v>60.0</v>
      </c>
      <c r="N165" s="69"/>
      <c r="O165" s="69"/>
      <c r="P165" s="70" t="s">
        <v>279</v>
      </c>
      <c r="Q165" s="69" t="s">
        <v>830</v>
      </c>
      <c r="R165" s="69">
        <v>80.0</v>
      </c>
      <c r="S165" s="69"/>
      <c r="T165" s="73" t="s">
        <v>1010</v>
      </c>
      <c r="U165" s="66" t="str">
        <f>HYPERLINK("https://www.ncbi.nlm.nih.gov/pubmed/22095190","PubMed")</f>
        <v>PubMed</v>
      </c>
      <c r="V165" s="30"/>
      <c r="W165" s="49"/>
      <c r="X165" s="49"/>
      <c r="Y165" s="35"/>
      <c r="Z165" s="35"/>
      <c r="AA165" s="35"/>
      <c r="AB165" s="35"/>
      <c r="AC165" s="35"/>
      <c r="AD165" s="35"/>
      <c r="AE165" s="35"/>
      <c r="AF165" s="35"/>
      <c r="AG165" s="35"/>
      <c r="AH165" s="35"/>
      <c r="AI165" s="35"/>
      <c r="AJ165" s="35"/>
      <c r="AK165" s="35"/>
      <c r="AL165" s="35"/>
    </row>
    <row r="166" ht="52.5" customHeight="1">
      <c r="A166" s="89"/>
      <c r="B166" s="19" t="s">
        <v>221</v>
      </c>
      <c r="C166" s="20" t="s">
        <v>306</v>
      </c>
      <c r="D166" s="47"/>
      <c r="E166" s="56" t="s">
        <v>1011</v>
      </c>
      <c r="F166" s="22" t="s">
        <v>323</v>
      </c>
      <c r="G166" s="57">
        <v>2012.0</v>
      </c>
      <c r="H166" s="56" t="s">
        <v>1012</v>
      </c>
      <c r="I166" s="58" t="s">
        <v>1013</v>
      </c>
      <c r="J166" s="22" t="s">
        <v>125</v>
      </c>
      <c r="K166" s="56"/>
      <c r="L166" s="88" t="s">
        <v>1014</v>
      </c>
      <c r="M166" s="44"/>
      <c r="N166" s="44"/>
      <c r="O166" s="44"/>
      <c r="P166" s="44"/>
      <c r="Q166" s="44"/>
      <c r="R166" s="44"/>
      <c r="S166" s="44"/>
      <c r="T166" s="45"/>
      <c r="U166" s="66" t="str">
        <f>HYPERLINK("https://www.ncbi.nlm.nih.gov/pubmed/23323186","PubMed")</f>
        <v>PubMed</v>
      </c>
      <c r="V166" s="30"/>
      <c r="W166" s="49"/>
      <c r="X166" s="49"/>
      <c r="Y166" s="35"/>
      <c r="Z166" s="35"/>
      <c r="AA166" s="35"/>
      <c r="AB166" s="35"/>
      <c r="AC166" s="35"/>
      <c r="AD166" s="35"/>
      <c r="AE166" s="35"/>
      <c r="AF166" s="35"/>
      <c r="AG166" s="35"/>
      <c r="AH166" s="35"/>
      <c r="AI166" s="35"/>
      <c r="AJ166" s="35"/>
      <c r="AK166" s="35"/>
      <c r="AL166" s="35"/>
    </row>
    <row r="167" ht="52.5" customHeight="1">
      <c r="A167" s="89"/>
      <c r="B167" s="19" t="s">
        <v>221</v>
      </c>
      <c r="C167" s="20" t="s">
        <v>306</v>
      </c>
      <c r="D167" s="47"/>
      <c r="E167" s="56" t="s">
        <v>1015</v>
      </c>
      <c r="F167" s="22" t="s">
        <v>1016</v>
      </c>
      <c r="G167" s="57">
        <v>2012.0</v>
      </c>
      <c r="H167" s="56" t="s">
        <v>658</v>
      </c>
      <c r="I167" s="58" t="s">
        <v>1017</v>
      </c>
      <c r="J167" s="56" t="s">
        <v>253</v>
      </c>
      <c r="K167" s="56"/>
      <c r="L167" s="69">
        <v>650.0</v>
      </c>
      <c r="M167" s="69">
        <v>25.0</v>
      </c>
      <c r="N167" s="69" t="s">
        <v>1018</v>
      </c>
      <c r="O167" s="69" t="s">
        <v>1019</v>
      </c>
      <c r="P167" s="70" t="s">
        <v>1020</v>
      </c>
      <c r="Q167" s="69" t="s">
        <v>1021</v>
      </c>
      <c r="R167" s="69" t="s">
        <v>1022</v>
      </c>
      <c r="S167" s="69" t="s">
        <v>1023</v>
      </c>
      <c r="T167" s="63" t="s">
        <v>1024</v>
      </c>
      <c r="U167" s="66" t="str">
        <f>HYPERLINK("https://www.ncbi.nlm.nih.gov/pubmed/22779421","PubMed")</f>
        <v>PubMed</v>
      </c>
      <c r="V167" s="30"/>
      <c r="W167" s="49"/>
      <c r="X167" s="49"/>
      <c r="Y167" s="35"/>
      <c r="Z167" s="35"/>
      <c r="AA167" s="35"/>
      <c r="AB167" s="35"/>
      <c r="AC167" s="35"/>
      <c r="AD167" s="35"/>
      <c r="AE167" s="35"/>
      <c r="AF167" s="35"/>
      <c r="AG167" s="35"/>
      <c r="AH167" s="35"/>
      <c r="AI167" s="35"/>
      <c r="AJ167" s="35"/>
      <c r="AK167" s="35"/>
      <c r="AL167" s="35"/>
    </row>
    <row r="168" ht="52.5" customHeight="1">
      <c r="A168" s="89"/>
      <c r="B168" s="19" t="s">
        <v>221</v>
      </c>
      <c r="C168" s="20" t="s">
        <v>306</v>
      </c>
      <c r="D168" s="47"/>
      <c r="E168" s="56" t="s">
        <v>927</v>
      </c>
      <c r="F168" s="22" t="s">
        <v>274</v>
      </c>
      <c r="G168" s="57">
        <v>2011.0</v>
      </c>
      <c r="H168" s="56" t="s">
        <v>1025</v>
      </c>
      <c r="I168" s="58" t="s">
        <v>1026</v>
      </c>
      <c r="J168" s="56" t="s">
        <v>55</v>
      </c>
      <c r="K168" s="56" t="s">
        <v>1027</v>
      </c>
      <c r="L168" s="69">
        <v>830.0</v>
      </c>
      <c r="M168" s="69">
        <v>100.0</v>
      </c>
      <c r="N168" s="69" t="s">
        <v>58</v>
      </c>
      <c r="O168" s="72">
        <v>43282.0</v>
      </c>
      <c r="P168" s="70" t="s">
        <v>1028</v>
      </c>
      <c r="Q168" s="69" t="s">
        <v>280</v>
      </c>
      <c r="R168" s="69">
        <v>17.0</v>
      </c>
      <c r="S168" s="69">
        <v>7.0</v>
      </c>
      <c r="T168" s="28" t="s">
        <v>1029</v>
      </c>
      <c r="U168" s="38" t="str">
        <f>HYPERLINK("https://www.ncbi.nlm.nih.gov/pubmed/21806293","PubMed")</f>
        <v>PubMed</v>
      </c>
      <c r="V168" s="30"/>
      <c r="W168" s="49"/>
      <c r="X168" s="49"/>
      <c r="Y168" s="35"/>
      <c r="Z168" s="35"/>
      <c r="AA168" s="35"/>
      <c r="AB168" s="35"/>
      <c r="AC168" s="35"/>
      <c r="AD168" s="35"/>
      <c r="AE168" s="35"/>
      <c r="AF168" s="35"/>
      <c r="AG168" s="35"/>
      <c r="AH168" s="35"/>
      <c r="AI168" s="35"/>
      <c r="AJ168" s="35"/>
      <c r="AK168" s="35"/>
      <c r="AL168" s="35"/>
    </row>
    <row r="169" ht="52.5" customHeight="1">
      <c r="A169" s="89"/>
      <c r="B169" s="19" t="s">
        <v>221</v>
      </c>
      <c r="C169" s="20" t="s">
        <v>306</v>
      </c>
      <c r="D169" s="47"/>
      <c r="E169" s="56" t="s">
        <v>1030</v>
      </c>
      <c r="F169" s="22" t="s">
        <v>358</v>
      </c>
      <c r="G169" s="57">
        <v>2011.0</v>
      </c>
      <c r="H169" s="56" t="s">
        <v>658</v>
      </c>
      <c r="I169" s="58" t="s">
        <v>1031</v>
      </c>
      <c r="J169" s="56" t="s">
        <v>55</v>
      </c>
      <c r="K169" s="56"/>
      <c r="L169" s="69">
        <v>780.0</v>
      </c>
      <c r="M169" s="69">
        <v>60.0</v>
      </c>
      <c r="N169" s="72">
        <v>42856.0</v>
      </c>
      <c r="O169" s="69"/>
      <c r="P169" s="70" t="s">
        <v>279</v>
      </c>
      <c r="Q169" s="69" t="s">
        <v>830</v>
      </c>
      <c r="R169" s="69">
        <v>80.0</v>
      </c>
      <c r="S169" s="69"/>
      <c r="T169" s="28" t="s">
        <v>1032</v>
      </c>
      <c r="U169" s="38" t="str">
        <f>HYPERLINK("https://www.ncbi.nlm.nih.gov/pubmed/21303263","PubMed")</f>
        <v>PubMed</v>
      </c>
      <c r="V169" s="30"/>
      <c r="W169" s="49"/>
      <c r="X169" s="49"/>
      <c r="Y169" s="35"/>
      <c r="Z169" s="35"/>
      <c r="AA169" s="35"/>
      <c r="AB169" s="35"/>
      <c r="AC169" s="35"/>
      <c r="AD169" s="35"/>
      <c r="AE169" s="35"/>
      <c r="AF169" s="35"/>
      <c r="AG169" s="35"/>
      <c r="AH169" s="35"/>
      <c r="AI169" s="35"/>
      <c r="AJ169" s="35"/>
      <c r="AK169" s="35"/>
      <c r="AL169" s="35"/>
    </row>
    <row r="170" ht="52.5" customHeight="1">
      <c r="A170" s="89"/>
      <c r="B170" s="19" t="s">
        <v>221</v>
      </c>
      <c r="C170" s="20" t="s">
        <v>306</v>
      </c>
      <c r="D170" s="47"/>
      <c r="E170" s="56" t="s">
        <v>1033</v>
      </c>
      <c r="F170" s="22" t="s">
        <v>1034</v>
      </c>
      <c r="G170" s="57">
        <v>2011.0</v>
      </c>
      <c r="H170" s="56" t="s">
        <v>91</v>
      </c>
      <c r="I170" s="58" t="s">
        <v>1035</v>
      </c>
      <c r="J170" s="56" t="s">
        <v>55</v>
      </c>
      <c r="K170" s="56" t="s">
        <v>294</v>
      </c>
      <c r="L170" s="69" t="s">
        <v>112</v>
      </c>
      <c r="M170" s="69" t="s">
        <v>1036</v>
      </c>
      <c r="N170" s="69" t="s">
        <v>1037</v>
      </c>
      <c r="O170" s="69"/>
      <c r="P170" s="70" t="s">
        <v>1038</v>
      </c>
      <c r="Q170" s="69" t="s">
        <v>1039</v>
      </c>
      <c r="R170" s="69" t="s">
        <v>831</v>
      </c>
      <c r="S170" s="69" t="s">
        <v>1040</v>
      </c>
      <c r="T170" s="28" t="s">
        <v>1041</v>
      </c>
      <c r="U170" s="38" t="str">
        <f>HYPERLINK("https://www.ncbi.nlm.nih.gov/pubmed/21246388","PubMed")</f>
        <v>PubMed</v>
      </c>
      <c r="V170" s="30"/>
      <c r="W170" s="49"/>
      <c r="X170" s="49"/>
      <c r="Y170" s="35"/>
      <c r="Z170" s="35"/>
      <c r="AA170" s="35"/>
      <c r="AB170" s="35"/>
      <c r="AC170" s="35"/>
      <c r="AD170" s="35"/>
      <c r="AE170" s="35"/>
      <c r="AF170" s="35"/>
      <c r="AG170" s="35"/>
      <c r="AH170" s="35"/>
      <c r="AI170" s="35"/>
      <c r="AJ170" s="35"/>
      <c r="AK170" s="35"/>
      <c r="AL170" s="35"/>
    </row>
    <row r="171" ht="52.5" customHeight="1">
      <c r="A171" s="89"/>
      <c r="B171" s="19" t="s">
        <v>221</v>
      </c>
      <c r="C171" s="20" t="s">
        <v>306</v>
      </c>
      <c r="D171" s="47"/>
      <c r="E171" s="56" t="s">
        <v>651</v>
      </c>
      <c r="F171" s="22" t="s">
        <v>183</v>
      </c>
      <c r="G171" s="57">
        <v>2011.0</v>
      </c>
      <c r="H171" s="56" t="s">
        <v>531</v>
      </c>
      <c r="I171" s="58" t="s">
        <v>1042</v>
      </c>
      <c r="J171" s="56" t="s">
        <v>55</v>
      </c>
      <c r="K171" s="56"/>
      <c r="L171" s="69">
        <v>850.0</v>
      </c>
      <c r="M171" s="69">
        <v>150.0</v>
      </c>
      <c r="N171" s="69" t="s">
        <v>58</v>
      </c>
      <c r="O171" s="69" t="s">
        <v>58</v>
      </c>
      <c r="P171" s="70" t="s">
        <v>1043</v>
      </c>
      <c r="Q171" s="69" t="s">
        <v>840</v>
      </c>
      <c r="R171" s="69" t="s">
        <v>58</v>
      </c>
      <c r="S171" s="69">
        <v>7.0</v>
      </c>
      <c r="T171" s="28" t="s">
        <v>1044</v>
      </c>
      <c r="U171" s="38" t="str">
        <f>HYPERLINK("https://www.ncbi.nlm.nih.gov/pubmed/21548072","PubMed")</f>
        <v>PubMed</v>
      </c>
      <c r="V171" s="30"/>
      <c r="W171" s="49"/>
      <c r="X171" s="49"/>
      <c r="Y171" s="35"/>
      <c r="Z171" s="35"/>
      <c r="AA171" s="35"/>
      <c r="AB171" s="35"/>
      <c r="AC171" s="35"/>
      <c r="AD171" s="35"/>
      <c r="AE171" s="35"/>
      <c r="AF171" s="35"/>
      <c r="AG171" s="35"/>
      <c r="AH171" s="35"/>
      <c r="AI171" s="35"/>
      <c r="AJ171" s="35"/>
      <c r="AK171" s="35"/>
      <c r="AL171" s="35"/>
    </row>
    <row r="172" ht="52.5" customHeight="1">
      <c r="A172" s="89"/>
      <c r="B172" s="19" t="s">
        <v>221</v>
      </c>
      <c r="C172" s="20" t="s">
        <v>306</v>
      </c>
      <c r="D172" s="47"/>
      <c r="E172" s="56" t="s">
        <v>1045</v>
      </c>
      <c r="F172" s="22" t="s">
        <v>1046</v>
      </c>
      <c r="G172" s="57">
        <v>2010.0</v>
      </c>
      <c r="H172" s="56" t="s">
        <v>91</v>
      </c>
      <c r="I172" s="58" t="s">
        <v>1047</v>
      </c>
      <c r="J172" s="56" t="s">
        <v>253</v>
      </c>
      <c r="K172" s="56"/>
      <c r="L172" s="69">
        <v>780.0</v>
      </c>
      <c r="M172" s="69" t="s">
        <v>58</v>
      </c>
      <c r="N172" s="69" t="s">
        <v>58</v>
      </c>
      <c r="O172" s="69" t="s">
        <v>58</v>
      </c>
      <c r="P172" s="70" t="s">
        <v>254</v>
      </c>
      <c r="Q172" s="69" t="s">
        <v>58</v>
      </c>
      <c r="R172" s="69">
        <v>300.0</v>
      </c>
      <c r="S172" s="69"/>
      <c r="T172" s="42" t="s">
        <v>1048</v>
      </c>
      <c r="U172" s="38" t="str">
        <f>HYPERLINK("https://www.ncbi.nlm.nih.gov/pubmed/19399356","PubMed")</f>
        <v>PubMed</v>
      </c>
      <c r="V172" s="30" t="s">
        <v>1049</v>
      </c>
      <c r="W172" s="49"/>
      <c r="X172" s="49"/>
      <c r="Y172" s="35"/>
      <c r="Z172" s="35"/>
      <c r="AA172" s="35"/>
      <c r="AB172" s="35"/>
      <c r="AC172" s="35"/>
      <c r="AD172" s="35"/>
      <c r="AE172" s="35"/>
      <c r="AF172" s="35"/>
      <c r="AG172" s="35"/>
      <c r="AH172" s="35"/>
      <c r="AI172" s="35"/>
      <c r="AJ172" s="35"/>
      <c r="AK172" s="35"/>
      <c r="AL172" s="35"/>
    </row>
    <row r="173" ht="52.5" customHeight="1">
      <c r="A173" s="51"/>
      <c r="B173" s="19" t="s">
        <v>221</v>
      </c>
      <c r="C173" s="20" t="s">
        <v>306</v>
      </c>
      <c r="D173" s="47"/>
      <c r="E173" s="56" t="s">
        <v>1050</v>
      </c>
      <c r="F173" s="22" t="s">
        <v>797</v>
      </c>
      <c r="G173" s="57">
        <v>2010.0</v>
      </c>
      <c r="H173" s="56" t="s">
        <v>91</v>
      </c>
      <c r="I173" s="58" t="s">
        <v>1051</v>
      </c>
      <c r="J173" s="56" t="s">
        <v>253</v>
      </c>
      <c r="K173" s="56"/>
      <c r="L173" s="69">
        <v>830.0</v>
      </c>
      <c r="M173" s="69">
        <v>40.0</v>
      </c>
      <c r="N173" s="69"/>
      <c r="O173" s="69"/>
      <c r="P173" s="70"/>
      <c r="Q173" s="69"/>
      <c r="R173" s="69"/>
      <c r="S173" s="69"/>
      <c r="T173" s="28" t="s">
        <v>1052</v>
      </c>
      <c r="U173" s="38" t="str">
        <f>HYPERLINK("https://www.ncbi.nlm.nih.gov/pubmed/19548055","PubMed")</f>
        <v>PubMed</v>
      </c>
      <c r="V173" s="30"/>
      <c r="W173" s="49"/>
      <c r="X173" s="49"/>
      <c r="Y173" s="35"/>
      <c r="Z173" s="35"/>
      <c r="AA173" s="35"/>
      <c r="AB173" s="35"/>
      <c r="AC173" s="35"/>
      <c r="AD173" s="35"/>
      <c r="AE173" s="35"/>
      <c r="AF173" s="35"/>
      <c r="AG173" s="35"/>
      <c r="AH173" s="35"/>
      <c r="AI173" s="35"/>
      <c r="AJ173" s="35"/>
      <c r="AK173" s="35"/>
      <c r="AL173" s="35"/>
    </row>
    <row r="174" ht="52.5" customHeight="1">
      <c r="A174" s="51" t="s">
        <v>38</v>
      </c>
      <c r="B174" s="19" t="s">
        <v>221</v>
      </c>
      <c r="C174" s="20" t="s">
        <v>306</v>
      </c>
      <c r="D174" s="47"/>
      <c r="E174" s="56" t="s">
        <v>825</v>
      </c>
      <c r="F174" s="22" t="s">
        <v>41</v>
      </c>
      <c r="G174" s="57">
        <v>2010.0</v>
      </c>
      <c r="H174" s="56" t="s">
        <v>658</v>
      </c>
      <c r="I174" s="58" t="s">
        <v>1053</v>
      </c>
      <c r="J174" s="56" t="s">
        <v>55</v>
      </c>
      <c r="K174" s="56" t="s">
        <v>1054</v>
      </c>
      <c r="L174" s="69">
        <v>830.0</v>
      </c>
      <c r="M174" s="69">
        <v>10.0</v>
      </c>
      <c r="N174" s="69" t="s">
        <v>58</v>
      </c>
      <c r="O174" s="69" t="s">
        <v>58</v>
      </c>
      <c r="P174" s="70" t="s">
        <v>287</v>
      </c>
      <c r="Q174" s="69" t="s">
        <v>1003</v>
      </c>
      <c r="R174" s="69" t="s">
        <v>1055</v>
      </c>
      <c r="S174" s="69" t="s">
        <v>1056</v>
      </c>
      <c r="T174" s="98" t="s">
        <v>1057</v>
      </c>
      <c r="U174" s="38" t="str">
        <f>HYPERLINK("https://www.ncbi.nlm.nih.gov/pubmed/19712023","PubMed")</f>
        <v>PubMed</v>
      </c>
      <c r="V174" s="30" t="s">
        <v>1058</v>
      </c>
      <c r="W174" s="49"/>
      <c r="X174" s="49"/>
      <c r="Y174" s="35"/>
      <c r="Z174" s="35"/>
      <c r="AA174" s="35"/>
      <c r="AB174" s="35"/>
      <c r="AC174" s="35"/>
      <c r="AD174" s="35"/>
      <c r="AE174" s="35"/>
      <c r="AF174" s="35"/>
      <c r="AG174" s="35"/>
      <c r="AH174" s="35"/>
      <c r="AI174" s="35"/>
      <c r="AJ174" s="35"/>
      <c r="AK174" s="35"/>
      <c r="AL174" s="35"/>
    </row>
    <row r="175" ht="52.5" customHeight="1">
      <c r="A175" s="51" t="s">
        <v>181</v>
      </c>
      <c r="B175" s="19" t="s">
        <v>221</v>
      </c>
      <c r="C175" s="20" t="s">
        <v>306</v>
      </c>
      <c r="D175" s="47"/>
      <c r="E175" s="56" t="s">
        <v>1059</v>
      </c>
      <c r="F175" s="22" t="s">
        <v>510</v>
      </c>
      <c r="G175" s="57">
        <v>2010.0</v>
      </c>
      <c r="H175" s="56" t="s">
        <v>531</v>
      </c>
      <c r="I175" s="58" t="s">
        <v>1060</v>
      </c>
      <c r="J175" s="56" t="s">
        <v>55</v>
      </c>
      <c r="K175" s="56"/>
      <c r="L175" s="69">
        <v>790.0</v>
      </c>
      <c r="M175" s="69">
        <v>40.0</v>
      </c>
      <c r="N175" s="69" t="s">
        <v>58</v>
      </c>
      <c r="O175" s="69" t="s">
        <v>58</v>
      </c>
      <c r="P175" s="70" t="s">
        <v>1061</v>
      </c>
      <c r="Q175" s="69" t="s">
        <v>58</v>
      </c>
      <c r="R175" s="69" t="s">
        <v>58</v>
      </c>
      <c r="S175" s="69">
        <v>7.0</v>
      </c>
      <c r="T175" s="98" t="s">
        <v>1062</v>
      </c>
      <c r="U175" s="38" t="str">
        <f>HYPERLINK("https://www.ncbi.nlm.nih.gov/pubmed/20694993","PubMed")</f>
        <v>PubMed</v>
      </c>
      <c r="V175" s="30"/>
      <c r="W175" s="49"/>
      <c r="X175" s="49"/>
      <c r="Y175" s="35"/>
      <c r="Z175" s="35"/>
      <c r="AA175" s="35"/>
      <c r="AB175" s="35"/>
      <c r="AC175" s="35"/>
      <c r="AD175" s="35"/>
      <c r="AE175" s="35"/>
      <c r="AF175" s="35"/>
      <c r="AG175" s="35"/>
      <c r="AH175" s="35"/>
      <c r="AI175" s="35"/>
      <c r="AJ175" s="35"/>
      <c r="AK175" s="35"/>
      <c r="AL175" s="35"/>
    </row>
    <row r="176" ht="52.5" customHeight="1">
      <c r="A176" s="89"/>
      <c r="B176" s="19" t="s">
        <v>221</v>
      </c>
      <c r="C176" s="20" t="s">
        <v>306</v>
      </c>
      <c r="D176" s="47"/>
      <c r="E176" s="56" t="s">
        <v>856</v>
      </c>
      <c r="F176" s="22" t="s">
        <v>274</v>
      </c>
      <c r="G176" s="57">
        <v>2010.0</v>
      </c>
      <c r="H176" s="56" t="s">
        <v>601</v>
      </c>
      <c r="I176" s="58" t="s">
        <v>1063</v>
      </c>
      <c r="J176" s="56" t="s">
        <v>55</v>
      </c>
      <c r="K176" s="56"/>
      <c r="L176" s="69">
        <v>830.0</v>
      </c>
      <c r="M176" s="69" t="s">
        <v>58</v>
      </c>
      <c r="N176" s="69">
        <v>100.0</v>
      </c>
      <c r="O176" s="69" t="s">
        <v>58</v>
      </c>
      <c r="P176" s="70" t="s">
        <v>1064</v>
      </c>
      <c r="Q176" s="69" t="s">
        <v>1065</v>
      </c>
      <c r="R176" s="69" t="s">
        <v>1066</v>
      </c>
      <c r="S176" s="69">
        <v>7.0</v>
      </c>
      <c r="T176" s="100" t="s">
        <v>1067</v>
      </c>
      <c r="U176" s="38" t="str">
        <f>HYPERLINK("https://www.ncbi.nlm.nih.gov/pubmed/19943088","PubMed")</f>
        <v>PubMed</v>
      </c>
      <c r="V176" s="30"/>
      <c r="W176" s="49"/>
      <c r="X176" s="49"/>
      <c r="Y176" s="35"/>
      <c r="Z176" s="35"/>
      <c r="AA176" s="35"/>
      <c r="AB176" s="35"/>
      <c r="AC176" s="35"/>
      <c r="AD176" s="35"/>
      <c r="AE176" s="35"/>
      <c r="AF176" s="35"/>
      <c r="AG176" s="35"/>
      <c r="AH176" s="35"/>
      <c r="AI176" s="35"/>
      <c r="AJ176" s="35"/>
      <c r="AK176" s="35"/>
      <c r="AL176" s="35"/>
    </row>
    <row r="177" ht="52.5" customHeight="1">
      <c r="A177" s="89"/>
      <c r="B177" s="19" t="s">
        <v>221</v>
      </c>
      <c r="C177" s="20" t="s">
        <v>306</v>
      </c>
      <c r="D177" s="47"/>
      <c r="E177" s="56" t="s">
        <v>774</v>
      </c>
      <c r="F177" s="22" t="s">
        <v>41</v>
      </c>
      <c r="G177" s="57">
        <v>2010.0</v>
      </c>
      <c r="H177" s="56" t="s">
        <v>658</v>
      </c>
      <c r="I177" s="58" t="s">
        <v>1068</v>
      </c>
      <c r="J177" s="56" t="s">
        <v>55</v>
      </c>
      <c r="K177" s="56"/>
      <c r="L177" s="69">
        <v>830.0</v>
      </c>
      <c r="M177" s="69">
        <v>100.0</v>
      </c>
      <c r="N177" s="69" t="s">
        <v>1069</v>
      </c>
      <c r="O177" s="69" t="s">
        <v>1070</v>
      </c>
      <c r="P177" s="70" t="s">
        <v>1071</v>
      </c>
      <c r="Q177" s="69" t="s">
        <v>280</v>
      </c>
      <c r="R177" s="69" t="s">
        <v>1072</v>
      </c>
      <c r="S177" s="69">
        <v>12.0</v>
      </c>
      <c r="T177" s="100" t="s">
        <v>1073</v>
      </c>
      <c r="U177" s="38" t="str">
        <f>HYPERLINK("http://www.ncbi.nlm.nih.gov/pubmed/20939678","PubMed")</f>
        <v>PubMed</v>
      </c>
      <c r="V177" s="30"/>
      <c r="W177" s="49"/>
      <c r="X177" s="49"/>
      <c r="Y177" s="35"/>
      <c r="Z177" s="35"/>
      <c r="AA177" s="35"/>
      <c r="AB177" s="35"/>
      <c r="AC177" s="35"/>
      <c r="AD177" s="35"/>
      <c r="AE177" s="35"/>
      <c r="AF177" s="35"/>
      <c r="AG177" s="35"/>
      <c r="AH177" s="35"/>
      <c r="AI177" s="35"/>
      <c r="AJ177" s="35"/>
      <c r="AK177" s="35"/>
      <c r="AL177" s="35"/>
    </row>
    <row r="178" ht="52.5" customHeight="1">
      <c r="A178" s="89"/>
      <c r="B178" s="19" t="s">
        <v>221</v>
      </c>
      <c r="C178" s="20" t="s">
        <v>306</v>
      </c>
      <c r="D178" s="47"/>
      <c r="E178" s="56" t="s">
        <v>1074</v>
      </c>
      <c r="F178" s="22" t="s">
        <v>1075</v>
      </c>
      <c r="G178" s="57">
        <v>2010.0</v>
      </c>
      <c r="H178" s="56" t="s">
        <v>1076</v>
      </c>
      <c r="I178" s="58" t="s">
        <v>1077</v>
      </c>
      <c r="J178" s="56" t="s">
        <v>1078</v>
      </c>
      <c r="K178" s="56"/>
      <c r="L178" s="101" t="s">
        <v>1079</v>
      </c>
      <c r="M178" s="44"/>
      <c r="N178" s="44"/>
      <c r="O178" s="44"/>
      <c r="P178" s="44"/>
      <c r="Q178" s="44"/>
      <c r="R178" s="44"/>
      <c r="S178" s="44"/>
      <c r="T178" s="45"/>
      <c r="U178" s="66" t="str">
        <f>HYPERLINK("https://www.ncbi.nlm.nih.gov/pubmed/20047683","PubMed")</f>
        <v>PubMed</v>
      </c>
      <c r="V178" s="50"/>
      <c r="W178" s="49"/>
      <c r="X178" s="49"/>
      <c r="Y178" s="35"/>
      <c r="Z178" s="35"/>
      <c r="AA178" s="35"/>
      <c r="AB178" s="35"/>
      <c r="AC178" s="35"/>
      <c r="AD178" s="35"/>
      <c r="AE178" s="35"/>
      <c r="AF178" s="35"/>
      <c r="AG178" s="35"/>
      <c r="AH178" s="35"/>
      <c r="AI178" s="35"/>
      <c r="AJ178" s="35"/>
      <c r="AK178" s="35"/>
      <c r="AL178" s="35"/>
    </row>
    <row r="179" ht="52.5" customHeight="1">
      <c r="A179" s="89"/>
      <c r="B179" s="19" t="s">
        <v>221</v>
      </c>
      <c r="C179" s="20" t="s">
        <v>306</v>
      </c>
      <c r="D179" s="47"/>
      <c r="E179" s="56" t="s">
        <v>1080</v>
      </c>
      <c r="F179" s="22" t="s">
        <v>1081</v>
      </c>
      <c r="G179" s="57">
        <v>2009.0</v>
      </c>
      <c r="H179" s="56" t="s">
        <v>91</v>
      </c>
      <c r="I179" s="58" t="s">
        <v>1082</v>
      </c>
      <c r="J179" s="22" t="s">
        <v>55</v>
      </c>
      <c r="K179" s="22"/>
      <c r="L179" s="69">
        <v>808.0</v>
      </c>
      <c r="M179" s="69">
        <v>96.0</v>
      </c>
      <c r="N179" s="69" t="s">
        <v>1083</v>
      </c>
      <c r="O179" s="69" t="s">
        <v>1084</v>
      </c>
      <c r="P179" s="70" t="s">
        <v>1085</v>
      </c>
      <c r="Q179" s="69" t="s">
        <v>1086</v>
      </c>
      <c r="R179" s="69" t="s">
        <v>1087</v>
      </c>
      <c r="S179" s="69">
        <v>7.0</v>
      </c>
      <c r="T179" s="54" t="s">
        <v>1088</v>
      </c>
      <c r="U179" s="66" t="str">
        <f>HYPERLINK("https://www.ncbi.nlm.nih.gov/pubmed/18825474","PubMed")</f>
        <v>PubMed</v>
      </c>
      <c r="V179" s="50"/>
      <c r="W179" s="49"/>
      <c r="X179" s="49"/>
      <c r="Y179" s="35"/>
      <c r="Z179" s="35"/>
      <c r="AA179" s="35"/>
      <c r="AB179" s="35"/>
      <c r="AC179" s="35"/>
      <c r="AD179" s="35"/>
      <c r="AE179" s="35"/>
      <c r="AF179" s="35"/>
      <c r="AG179" s="35"/>
      <c r="AH179" s="35"/>
      <c r="AI179" s="35"/>
      <c r="AJ179" s="35"/>
      <c r="AK179" s="35"/>
      <c r="AL179" s="35"/>
    </row>
    <row r="180" ht="52.5" customHeight="1">
      <c r="A180" s="89"/>
      <c r="B180" s="19" t="s">
        <v>221</v>
      </c>
      <c r="C180" s="20" t="s">
        <v>306</v>
      </c>
      <c r="D180" s="47"/>
      <c r="E180" s="56" t="s">
        <v>1089</v>
      </c>
      <c r="F180" s="22" t="s">
        <v>510</v>
      </c>
      <c r="G180" s="57">
        <v>2009.0</v>
      </c>
      <c r="H180" s="56" t="s">
        <v>91</v>
      </c>
      <c r="I180" s="58" t="s">
        <v>1090</v>
      </c>
      <c r="J180" s="22" t="s">
        <v>55</v>
      </c>
      <c r="K180" s="22" t="s">
        <v>984</v>
      </c>
      <c r="L180" s="69">
        <v>830.0</v>
      </c>
      <c r="M180" s="69">
        <v>50.0</v>
      </c>
      <c r="N180" s="69" t="s">
        <v>58</v>
      </c>
      <c r="O180" s="69" t="s">
        <v>1091</v>
      </c>
      <c r="P180" s="70" t="s">
        <v>254</v>
      </c>
      <c r="Q180" s="69" t="s">
        <v>1092</v>
      </c>
      <c r="R180" s="69" t="s">
        <v>1093</v>
      </c>
      <c r="S180" s="69">
        <v>28.0</v>
      </c>
      <c r="T180" s="54" t="s">
        <v>1094</v>
      </c>
      <c r="U180" s="66" t="str">
        <f>HYPERLINK("https://www.ncbi.nlm.nih.gov/pubmed/18648870","PubMed")</f>
        <v>PubMed</v>
      </c>
      <c r="V180" s="50"/>
      <c r="W180" s="49"/>
      <c r="X180" s="49"/>
      <c r="Y180" s="35"/>
      <c r="Z180" s="35"/>
      <c r="AA180" s="35"/>
      <c r="AB180" s="35"/>
      <c r="AC180" s="35"/>
      <c r="AD180" s="35"/>
      <c r="AE180" s="35"/>
      <c r="AF180" s="35"/>
      <c r="AG180" s="35"/>
      <c r="AH180" s="35"/>
      <c r="AI180" s="35"/>
      <c r="AJ180" s="35"/>
      <c r="AK180" s="35"/>
      <c r="AL180" s="35"/>
    </row>
    <row r="181" ht="52.5" customHeight="1">
      <c r="A181" s="89"/>
      <c r="B181" s="19" t="s">
        <v>221</v>
      </c>
      <c r="C181" s="20" t="s">
        <v>306</v>
      </c>
      <c r="D181" s="47"/>
      <c r="E181" s="56" t="s">
        <v>1095</v>
      </c>
      <c r="F181" s="22" t="s">
        <v>323</v>
      </c>
      <c r="G181" s="57">
        <v>2009.0</v>
      </c>
      <c r="H181" s="56" t="s">
        <v>658</v>
      </c>
      <c r="I181" s="58" t="s">
        <v>1096</v>
      </c>
      <c r="J181" s="22" t="s">
        <v>55</v>
      </c>
      <c r="K181" s="22" t="s">
        <v>607</v>
      </c>
      <c r="L181" s="69">
        <v>890.0</v>
      </c>
      <c r="M181" s="69" t="s">
        <v>58</v>
      </c>
      <c r="N181" s="69" t="s">
        <v>58</v>
      </c>
      <c r="O181" s="69" t="s">
        <v>1097</v>
      </c>
      <c r="P181" s="70" t="s">
        <v>58</v>
      </c>
      <c r="Q181" s="69" t="s">
        <v>675</v>
      </c>
      <c r="R181" s="69" t="s">
        <v>1098</v>
      </c>
      <c r="S181" s="69" t="s">
        <v>537</v>
      </c>
      <c r="T181" s="54" t="s">
        <v>1099</v>
      </c>
      <c r="U181" s="66" t="str">
        <f>HYPERLINK("https://www.ncbi.nlm.nih.gov/pubmed/19694509","PubMed")</f>
        <v>PubMed</v>
      </c>
      <c r="V181" s="30" t="s">
        <v>1100</v>
      </c>
      <c r="W181" s="49"/>
      <c r="X181" s="49"/>
      <c r="Y181" s="35"/>
      <c r="Z181" s="35"/>
      <c r="AA181" s="35"/>
      <c r="AB181" s="35"/>
      <c r="AC181" s="35"/>
      <c r="AD181" s="35"/>
      <c r="AE181" s="35"/>
      <c r="AF181" s="35"/>
      <c r="AG181" s="35"/>
      <c r="AH181" s="35"/>
      <c r="AI181" s="35"/>
      <c r="AJ181" s="35"/>
      <c r="AK181" s="35"/>
      <c r="AL181" s="35"/>
    </row>
    <row r="182" ht="52.5" customHeight="1">
      <c r="A182" s="89"/>
      <c r="B182" s="19" t="s">
        <v>221</v>
      </c>
      <c r="C182" s="20" t="s">
        <v>306</v>
      </c>
      <c r="D182" s="47"/>
      <c r="E182" s="56" t="s">
        <v>1101</v>
      </c>
      <c r="F182" s="22" t="s">
        <v>1102</v>
      </c>
      <c r="G182" s="57">
        <v>2009.0</v>
      </c>
      <c r="H182" s="56" t="s">
        <v>401</v>
      </c>
      <c r="I182" s="58" t="s">
        <v>1103</v>
      </c>
      <c r="J182" s="22" t="s">
        <v>253</v>
      </c>
      <c r="K182" s="22"/>
      <c r="L182" s="69" t="s">
        <v>58</v>
      </c>
      <c r="M182" s="69" t="s">
        <v>58</v>
      </c>
      <c r="N182" s="69" t="s">
        <v>58</v>
      </c>
      <c r="O182" s="69" t="s">
        <v>58</v>
      </c>
      <c r="P182" s="70" t="s">
        <v>58</v>
      </c>
      <c r="Q182" s="69" t="s">
        <v>58</v>
      </c>
      <c r="R182" s="69" t="s">
        <v>58</v>
      </c>
      <c r="S182" s="69" t="s">
        <v>58</v>
      </c>
      <c r="T182" s="102" t="s">
        <v>1104</v>
      </c>
      <c r="U182" s="66" t="str">
        <f>HYPERLINK("https://www.ncbi.nlm.nih.gov/pubmed/19344024","PubMed")</f>
        <v>PubMed</v>
      </c>
      <c r="V182" s="50"/>
      <c r="W182" s="49"/>
      <c r="X182" s="49"/>
      <c r="Y182" s="35"/>
      <c r="Z182" s="35"/>
      <c r="AA182" s="35"/>
      <c r="AB182" s="35"/>
      <c r="AC182" s="35"/>
      <c r="AD182" s="35"/>
      <c r="AE182" s="35"/>
      <c r="AF182" s="35"/>
      <c r="AG182" s="35"/>
      <c r="AH182" s="35"/>
      <c r="AI182" s="35"/>
      <c r="AJ182" s="35"/>
      <c r="AK182" s="35"/>
      <c r="AL182" s="35"/>
    </row>
    <row r="183" ht="52.5" customHeight="1">
      <c r="A183" s="89"/>
      <c r="B183" s="19" t="s">
        <v>221</v>
      </c>
      <c r="C183" s="20" t="s">
        <v>306</v>
      </c>
      <c r="D183" s="47"/>
      <c r="E183" s="56" t="s">
        <v>1105</v>
      </c>
      <c r="F183" s="22" t="s">
        <v>1034</v>
      </c>
      <c r="G183" s="57">
        <v>2009.0</v>
      </c>
      <c r="H183" s="56" t="s">
        <v>91</v>
      </c>
      <c r="I183" s="58" t="s">
        <v>1106</v>
      </c>
      <c r="J183" s="22" t="s">
        <v>55</v>
      </c>
      <c r="K183" s="22"/>
      <c r="L183" s="69">
        <v>650.0</v>
      </c>
      <c r="M183" s="69">
        <v>50.0</v>
      </c>
      <c r="N183" s="69" t="s">
        <v>58</v>
      </c>
      <c r="O183" s="69" t="s">
        <v>58</v>
      </c>
      <c r="P183" s="70" t="s">
        <v>254</v>
      </c>
      <c r="Q183" s="69" t="s">
        <v>1107</v>
      </c>
      <c r="R183" s="69">
        <v>80.0</v>
      </c>
      <c r="S183" s="69"/>
      <c r="T183" s="54" t="s">
        <v>1108</v>
      </c>
      <c r="U183" s="66" t="str">
        <f>HYPERLINK("https://www.ncbi.nlm.nih.gov/pubmed/18787760","PubMed")</f>
        <v>PubMed</v>
      </c>
      <c r="V183" s="30" t="s">
        <v>1109</v>
      </c>
      <c r="W183" s="49"/>
      <c r="X183" s="49"/>
      <c r="Y183" s="35"/>
      <c r="Z183" s="35"/>
      <c r="AA183" s="35"/>
      <c r="AB183" s="35"/>
      <c r="AC183" s="35"/>
      <c r="AD183" s="35"/>
      <c r="AE183" s="35"/>
      <c r="AF183" s="35"/>
      <c r="AG183" s="35"/>
      <c r="AH183" s="35"/>
      <c r="AI183" s="35"/>
      <c r="AJ183" s="35"/>
      <c r="AK183" s="35"/>
      <c r="AL183" s="35"/>
    </row>
    <row r="184" ht="52.5" customHeight="1">
      <c r="A184" s="89"/>
      <c r="B184" s="19" t="s">
        <v>221</v>
      </c>
      <c r="C184" s="20" t="s">
        <v>306</v>
      </c>
      <c r="D184" s="47"/>
      <c r="E184" s="56" t="s">
        <v>1110</v>
      </c>
      <c r="F184" s="22" t="s">
        <v>323</v>
      </c>
      <c r="G184" s="57">
        <v>2009.0</v>
      </c>
      <c r="H184" s="56" t="s">
        <v>658</v>
      </c>
      <c r="I184" s="58" t="s">
        <v>1111</v>
      </c>
      <c r="J184" s="22" t="s">
        <v>55</v>
      </c>
      <c r="K184" s="22" t="s">
        <v>1112</v>
      </c>
      <c r="L184" s="69">
        <v>633.0</v>
      </c>
      <c r="M184" s="69">
        <v>10.0</v>
      </c>
      <c r="N184" s="69" t="s">
        <v>58</v>
      </c>
      <c r="O184" s="69" t="s">
        <v>58</v>
      </c>
      <c r="P184" s="70" t="s">
        <v>1113</v>
      </c>
      <c r="Q184" s="69" t="s">
        <v>989</v>
      </c>
      <c r="R184" s="69" t="s">
        <v>1114</v>
      </c>
      <c r="S184" s="69"/>
      <c r="T184" s="54" t="s">
        <v>1115</v>
      </c>
      <c r="U184" s="66" t="str">
        <f>HYPERLINK("https://www.ncbi.nlm.nih.gov/pubmed/19698018","PubMed")</f>
        <v>PubMed</v>
      </c>
      <c r="V184" s="30" t="s">
        <v>1116</v>
      </c>
      <c r="W184" s="49"/>
      <c r="X184" s="49"/>
      <c r="Y184" s="35"/>
      <c r="Z184" s="35"/>
      <c r="AA184" s="35"/>
      <c r="AB184" s="35"/>
      <c r="AC184" s="35"/>
      <c r="AD184" s="35"/>
      <c r="AE184" s="35"/>
      <c r="AF184" s="35"/>
      <c r="AG184" s="35"/>
      <c r="AH184" s="35"/>
      <c r="AI184" s="35"/>
      <c r="AJ184" s="35"/>
      <c r="AK184" s="35"/>
      <c r="AL184" s="35"/>
    </row>
    <row r="185" ht="52.5" customHeight="1">
      <c r="A185" s="89"/>
      <c r="B185" s="19" t="s">
        <v>221</v>
      </c>
      <c r="C185" s="20" t="s">
        <v>306</v>
      </c>
      <c r="D185" s="47"/>
      <c r="E185" s="56" t="s">
        <v>1117</v>
      </c>
      <c r="F185" s="22" t="s">
        <v>323</v>
      </c>
      <c r="G185" s="57">
        <v>2009.0</v>
      </c>
      <c r="H185" s="56" t="s">
        <v>658</v>
      </c>
      <c r="I185" s="58" t="s">
        <v>1118</v>
      </c>
      <c r="J185" s="22" t="s">
        <v>55</v>
      </c>
      <c r="K185" s="22" t="s">
        <v>607</v>
      </c>
      <c r="L185" s="69">
        <v>633.0</v>
      </c>
      <c r="M185" s="69">
        <v>10.0</v>
      </c>
      <c r="N185" s="69" t="s">
        <v>58</v>
      </c>
      <c r="O185" s="69" t="s">
        <v>58</v>
      </c>
      <c r="P185" s="70" t="s">
        <v>1119</v>
      </c>
      <c r="Q185" s="69" t="s">
        <v>989</v>
      </c>
      <c r="R185" s="69" t="s">
        <v>1120</v>
      </c>
      <c r="S185" s="69" t="s">
        <v>1121</v>
      </c>
      <c r="T185" s="103" t="s">
        <v>1122</v>
      </c>
      <c r="U185" s="66" t="str">
        <f>HYPERLINK("https://www.ncbi.nlm.nih.gov/pubmed/20035603","PubMed")</f>
        <v>PubMed</v>
      </c>
      <c r="V185" s="50"/>
      <c r="W185" s="49"/>
      <c r="X185" s="49"/>
      <c r="Y185" s="35"/>
      <c r="Z185" s="35"/>
      <c r="AA185" s="35"/>
      <c r="AB185" s="35"/>
      <c r="AC185" s="35"/>
      <c r="AD185" s="35"/>
      <c r="AE185" s="35"/>
      <c r="AF185" s="35"/>
      <c r="AG185" s="35"/>
      <c r="AH185" s="35"/>
      <c r="AI185" s="35"/>
      <c r="AJ185" s="35"/>
      <c r="AK185" s="35"/>
      <c r="AL185" s="35"/>
    </row>
    <row r="186" ht="52.5" customHeight="1">
      <c r="A186" s="89"/>
      <c r="B186" s="19" t="s">
        <v>221</v>
      </c>
      <c r="C186" s="20" t="s">
        <v>306</v>
      </c>
      <c r="D186" s="47"/>
      <c r="E186" s="56" t="s">
        <v>1123</v>
      </c>
      <c r="F186" s="22" t="s">
        <v>1124</v>
      </c>
      <c r="G186" s="57">
        <v>2009.0</v>
      </c>
      <c r="H186" s="56" t="s">
        <v>91</v>
      </c>
      <c r="I186" s="58" t="s">
        <v>1125</v>
      </c>
      <c r="J186" s="22" t="s">
        <v>55</v>
      </c>
      <c r="K186" s="22"/>
      <c r="L186" s="69">
        <v>830.0</v>
      </c>
      <c r="M186" s="69">
        <v>40.0</v>
      </c>
      <c r="N186" s="69" t="s">
        <v>58</v>
      </c>
      <c r="O186" s="69" t="s">
        <v>58</v>
      </c>
      <c r="P186" s="70" t="s">
        <v>254</v>
      </c>
      <c r="Q186" s="69" t="s">
        <v>1126</v>
      </c>
      <c r="R186" s="69">
        <v>60.0</v>
      </c>
      <c r="S186" s="69">
        <v>4.0</v>
      </c>
      <c r="T186" s="54" t="s">
        <v>1127</v>
      </c>
      <c r="U186" s="66" t="str">
        <f>HYPERLINK("https://www.ncbi.nlm.nih.gov/pubmed/18626570","PubMed")</f>
        <v>PubMed</v>
      </c>
      <c r="V186" s="50"/>
      <c r="W186" s="49"/>
      <c r="X186" s="49"/>
      <c r="Y186" s="35"/>
      <c r="Z186" s="35"/>
      <c r="AA186" s="35"/>
      <c r="AB186" s="35"/>
      <c r="AC186" s="35"/>
      <c r="AD186" s="35"/>
      <c r="AE186" s="35"/>
      <c r="AF186" s="35"/>
      <c r="AG186" s="35"/>
      <c r="AH186" s="35"/>
      <c r="AI186" s="35"/>
      <c r="AJ186" s="35"/>
      <c r="AK186" s="35"/>
      <c r="AL186" s="35"/>
    </row>
    <row r="187" ht="52.5" customHeight="1">
      <c r="A187" s="51" t="s">
        <v>181</v>
      </c>
      <c r="B187" s="19" t="s">
        <v>221</v>
      </c>
      <c r="C187" s="20" t="s">
        <v>306</v>
      </c>
      <c r="D187" s="47"/>
      <c r="E187" s="56" t="s">
        <v>1128</v>
      </c>
      <c r="F187" s="22" t="s">
        <v>241</v>
      </c>
      <c r="G187" s="57">
        <v>2009.0</v>
      </c>
      <c r="H187" s="56" t="s">
        <v>91</v>
      </c>
      <c r="I187" s="58" t="s">
        <v>1129</v>
      </c>
      <c r="J187" s="22" t="s">
        <v>55</v>
      </c>
      <c r="K187" s="22"/>
      <c r="L187" s="69">
        <v>735.0</v>
      </c>
      <c r="M187" s="69" t="s">
        <v>58</v>
      </c>
      <c r="N187" s="69" t="s">
        <v>58</v>
      </c>
      <c r="O187" s="69" t="s">
        <v>58</v>
      </c>
      <c r="P187" s="70" t="s">
        <v>709</v>
      </c>
      <c r="Q187" s="69" t="s">
        <v>58</v>
      </c>
      <c r="R187" s="69">
        <v>60.0</v>
      </c>
      <c r="S187" s="69" t="s">
        <v>1130</v>
      </c>
      <c r="T187" s="54" t="s">
        <v>1131</v>
      </c>
      <c r="U187" s="66" t="str">
        <f>HYPERLINK("https://www.ncbi.nlm.nih.gov/pubmed/18309458","PubMed")</f>
        <v>PubMed</v>
      </c>
      <c r="V187" s="50"/>
      <c r="W187" s="49"/>
      <c r="X187" s="49"/>
      <c r="Y187" s="35"/>
      <c r="Z187" s="35"/>
      <c r="AA187" s="35"/>
      <c r="AB187" s="35"/>
      <c r="AC187" s="35"/>
      <c r="AD187" s="35"/>
      <c r="AE187" s="35"/>
      <c r="AF187" s="35"/>
      <c r="AG187" s="35"/>
      <c r="AH187" s="35"/>
      <c r="AI187" s="35"/>
      <c r="AJ187" s="35"/>
      <c r="AK187" s="35"/>
      <c r="AL187" s="35"/>
    </row>
    <row r="188" ht="52.5" customHeight="1">
      <c r="A188" s="51" t="s">
        <v>181</v>
      </c>
      <c r="B188" s="19" t="s">
        <v>221</v>
      </c>
      <c r="C188" s="20" t="s">
        <v>306</v>
      </c>
      <c r="D188" s="47"/>
      <c r="E188" s="56" t="s">
        <v>651</v>
      </c>
      <c r="F188" s="22" t="s">
        <v>183</v>
      </c>
      <c r="G188" s="57">
        <v>2009.0</v>
      </c>
      <c r="H188" s="56" t="s">
        <v>91</v>
      </c>
      <c r="I188" s="58" t="s">
        <v>1132</v>
      </c>
      <c r="J188" s="22" t="s">
        <v>55</v>
      </c>
      <c r="K188" s="22"/>
      <c r="L188" s="69">
        <v>830.0</v>
      </c>
      <c r="M188" s="69">
        <v>40.0</v>
      </c>
      <c r="N188" s="69" t="s">
        <v>58</v>
      </c>
      <c r="O188" s="69" t="s">
        <v>58</v>
      </c>
      <c r="P188" s="70" t="s">
        <v>1043</v>
      </c>
      <c r="Q188" s="69" t="s">
        <v>1133</v>
      </c>
      <c r="R188" s="69" t="s">
        <v>58</v>
      </c>
      <c r="S188" s="69">
        <v>7.0</v>
      </c>
      <c r="T188" s="54" t="s">
        <v>1134</v>
      </c>
      <c r="U188" s="66" t="str">
        <f>HYPERLINK("https://www.ncbi.nlm.nih.gov/pubmed/18418643","PubMed")</f>
        <v>PubMed</v>
      </c>
      <c r="V188" s="50"/>
      <c r="W188" s="49"/>
      <c r="X188" s="49"/>
      <c r="Y188" s="35"/>
      <c r="Z188" s="35"/>
      <c r="AA188" s="35"/>
      <c r="AB188" s="35"/>
      <c r="AC188" s="35"/>
      <c r="AD188" s="35"/>
      <c r="AE188" s="35"/>
      <c r="AF188" s="35"/>
      <c r="AG188" s="35"/>
      <c r="AH188" s="35"/>
      <c r="AI188" s="35"/>
      <c r="AJ188" s="35"/>
      <c r="AK188" s="35"/>
      <c r="AL188" s="35"/>
    </row>
    <row r="189" ht="52.5" customHeight="1">
      <c r="A189" s="51" t="s">
        <v>181</v>
      </c>
      <c r="B189" s="19" t="s">
        <v>221</v>
      </c>
      <c r="C189" s="20" t="s">
        <v>306</v>
      </c>
      <c r="D189" s="47"/>
      <c r="E189" s="56" t="s">
        <v>651</v>
      </c>
      <c r="F189" s="22" t="s">
        <v>183</v>
      </c>
      <c r="G189" s="57">
        <v>2008.0</v>
      </c>
      <c r="H189" s="56" t="s">
        <v>658</v>
      </c>
      <c r="I189" s="58" t="s">
        <v>1135</v>
      </c>
      <c r="J189" s="22" t="s">
        <v>55</v>
      </c>
      <c r="K189" s="22" t="s">
        <v>1136</v>
      </c>
      <c r="L189" s="69">
        <v>830.0</v>
      </c>
      <c r="M189" s="69">
        <v>40.0</v>
      </c>
      <c r="N189" s="69" t="s">
        <v>58</v>
      </c>
      <c r="O189" s="69" t="s">
        <v>58</v>
      </c>
      <c r="P189" s="70" t="s">
        <v>1043</v>
      </c>
      <c r="Q189" s="69" t="s">
        <v>1065</v>
      </c>
      <c r="R189" s="69" t="s">
        <v>58</v>
      </c>
      <c r="S189" s="69">
        <v>7.0</v>
      </c>
      <c r="T189" s="54" t="s">
        <v>1137</v>
      </c>
      <c r="U189" s="66" t="str">
        <f>HYPERLINK("https://www.ncbi.nlm.nih.gov/pubmed/18341420","PubMed")</f>
        <v>PubMed</v>
      </c>
      <c r="V189" s="50"/>
      <c r="W189" s="49"/>
      <c r="X189" s="49"/>
      <c r="Y189" s="35"/>
      <c r="Z189" s="35"/>
      <c r="AA189" s="35"/>
      <c r="AB189" s="35"/>
      <c r="AC189" s="35"/>
      <c r="AD189" s="35"/>
      <c r="AE189" s="35"/>
      <c r="AF189" s="35"/>
      <c r="AG189" s="35"/>
      <c r="AH189" s="35"/>
      <c r="AI189" s="35"/>
      <c r="AJ189" s="35"/>
      <c r="AK189" s="35"/>
      <c r="AL189" s="35"/>
    </row>
    <row r="190" ht="52.5" customHeight="1">
      <c r="A190" s="51" t="s">
        <v>181</v>
      </c>
      <c r="B190" s="19" t="s">
        <v>221</v>
      </c>
      <c r="C190" s="20" t="s">
        <v>306</v>
      </c>
      <c r="D190" s="47"/>
      <c r="E190" s="56" t="s">
        <v>1138</v>
      </c>
      <c r="F190" s="22" t="s">
        <v>183</v>
      </c>
      <c r="G190" s="57">
        <v>2008.0</v>
      </c>
      <c r="H190" s="56" t="s">
        <v>658</v>
      </c>
      <c r="I190" s="58" t="s">
        <v>1139</v>
      </c>
      <c r="J190" s="22" t="s">
        <v>55</v>
      </c>
      <c r="K190" s="22"/>
      <c r="L190" s="69">
        <v>790.0</v>
      </c>
      <c r="M190" s="69">
        <v>50.0</v>
      </c>
      <c r="N190" s="69" t="s">
        <v>58</v>
      </c>
      <c r="O190" s="69" t="s">
        <v>58</v>
      </c>
      <c r="P190" s="70" t="s">
        <v>1140</v>
      </c>
      <c r="Q190" s="69" t="s">
        <v>1141</v>
      </c>
      <c r="R190" s="69" t="s">
        <v>58</v>
      </c>
      <c r="S190" s="69">
        <v>8.0</v>
      </c>
      <c r="T190" s="104" t="s">
        <v>1142</v>
      </c>
      <c r="U190" s="66" t="str">
        <f>HYPERLINK("https://www.ncbi.nlm.nih.gov/pubmed/18647094","PubMed")</f>
        <v>PubMed</v>
      </c>
      <c r="V190" s="50"/>
      <c r="W190" s="49"/>
      <c r="X190" s="49"/>
      <c r="Y190" s="35"/>
      <c r="Z190" s="35"/>
      <c r="AA190" s="35"/>
      <c r="AB190" s="35"/>
      <c r="AC190" s="35"/>
      <c r="AD190" s="35"/>
      <c r="AE190" s="35"/>
      <c r="AF190" s="35"/>
      <c r="AG190" s="35"/>
      <c r="AH190" s="35"/>
      <c r="AI190" s="35"/>
      <c r="AJ190" s="35"/>
      <c r="AK190" s="35"/>
      <c r="AL190" s="35"/>
    </row>
    <row r="191" ht="52.5" customHeight="1">
      <c r="A191" s="89"/>
      <c r="B191" s="19" t="s">
        <v>221</v>
      </c>
      <c r="C191" s="20" t="s">
        <v>306</v>
      </c>
      <c r="D191" s="47"/>
      <c r="E191" s="56" t="s">
        <v>1143</v>
      </c>
      <c r="F191" s="22" t="s">
        <v>530</v>
      </c>
      <c r="G191" s="57">
        <v>2008.0</v>
      </c>
      <c r="H191" s="56" t="s">
        <v>1144</v>
      </c>
      <c r="I191" s="58" t="s">
        <v>1145</v>
      </c>
      <c r="J191" s="22" t="s">
        <v>55</v>
      </c>
      <c r="K191" s="22" t="s">
        <v>1146</v>
      </c>
      <c r="L191" s="69">
        <v>735.0</v>
      </c>
      <c r="M191" s="69" t="s">
        <v>58</v>
      </c>
      <c r="N191" s="69">
        <v>30.0</v>
      </c>
      <c r="O191" s="69" t="s">
        <v>58</v>
      </c>
      <c r="P191" s="70" t="s">
        <v>709</v>
      </c>
      <c r="Q191" s="69" t="s">
        <v>1126</v>
      </c>
      <c r="R191" s="69">
        <v>60.0</v>
      </c>
      <c r="S191" s="69" t="s">
        <v>1147</v>
      </c>
      <c r="T191" s="104" t="s">
        <v>1148</v>
      </c>
      <c r="U191" s="66" t="str">
        <f>HYPERLINK("https://www.ncbi.nlm.nih.gov/pubmed/19090909","PubMed")</f>
        <v>PubMed</v>
      </c>
      <c r="V191" s="50"/>
      <c r="W191" s="49"/>
      <c r="X191" s="49"/>
      <c r="Y191" s="35"/>
      <c r="Z191" s="35"/>
      <c r="AA191" s="35"/>
      <c r="AB191" s="35"/>
      <c r="AC191" s="35"/>
      <c r="AD191" s="35"/>
      <c r="AE191" s="35"/>
      <c r="AF191" s="35"/>
      <c r="AG191" s="35"/>
      <c r="AH191" s="35"/>
      <c r="AI191" s="35"/>
      <c r="AJ191" s="35"/>
      <c r="AK191" s="35"/>
      <c r="AL191" s="35"/>
    </row>
    <row r="192" ht="52.5" customHeight="1">
      <c r="A192" s="89"/>
      <c r="B192" s="19" t="s">
        <v>221</v>
      </c>
      <c r="C192" s="20" t="s">
        <v>306</v>
      </c>
      <c r="D192" s="47"/>
      <c r="E192" s="56" t="s">
        <v>1149</v>
      </c>
      <c r="F192" s="22" t="s">
        <v>657</v>
      </c>
      <c r="G192" s="57">
        <v>2008.0</v>
      </c>
      <c r="H192" s="56" t="s">
        <v>91</v>
      </c>
      <c r="I192" s="58" t="s">
        <v>1150</v>
      </c>
      <c r="J192" s="22" t="s">
        <v>55</v>
      </c>
      <c r="K192" s="22" t="s">
        <v>1151</v>
      </c>
      <c r="L192" s="69">
        <v>830.0</v>
      </c>
      <c r="M192" s="69">
        <v>40.0</v>
      </c>
      <c r="N192" s="69" t="s">
        <v>58</v>
      </c>
      <c r="O192" s="69" t="s">
        <v>58</v>
      </c>
      <c r="P192" s="70" t="s">
        <v>1043</v>
      </c>
      <c r="Q192" s="69" t="s">
        <v>1065</v>
      </c>
      <c r="R192" s="69" t="s">
        <v>58</v>
      </c>
      <c r="S192" s="69" t="s">
        <v>1152</v>
      </c>
      <c r="T192" s="104" t="s">
        <v>1153</v>
      </c>
      <c r="U192" s="66" t="str">
        <f>HYPERLINK("https://www.ncbi.nlm.nih.gov/pubmed/17882467","PubMed")</f>
        <v>PubMed</v>
      </c>
      <c r="V192" s="50"/>
      <c r="W192" s="49"/>
      <c r="X192" s="49"/>
      <c r="Y192" s="35"/>
      <c r="Z192" s="35"/>
      <c r="AA192" s="35"/>
      <c r="AB192" s="35"/>
      <c r="AC192" s="35"/>
      <c r="AD192" s="35"/>
      <c r="AE192" s="35"/>
      <c r="AF192" s="35"/>
      <c r="AG192" s="35"/>
      <c r="AH192" s="35"/>
      <c r="AI192" s="35"/>
      <c r="AJ192" s="35"/>
      <c r="AK192" s="35"/>
      <c r="AL192" s="35"/>
    </row>
    <row r="193" ht="52.5" customHeight="1">
      <c r="A193" s="51" t="s">
        <v>181</v>
      </c>
      <c r="B193" s="19" t="s">
        <v>221</v>
      </c>
      <c r="C193" s="20" t="s">
        <v>306</v>
      </c>
      <c r="D193" s="47"/>
      <c r="E193" s="56" t="s">
        <v>656</v>
      </c>
      <c r="F193" s="22" t="s">
        <v>1154</v>
      </c>
      <c r="G193" s="57">
        <v>2008.0</v>
      </c>
      <c r="H193" s="56" t="s">
        <v>658</v>
      </c>
      <c r="I193" s="58" t="s">
        <v>1155</v>
      </c>
      <c r="J193" s="22" t="s">
        <v>55</v>
      </c>
      <c r="K193" s="22" t="s">
        <v>1136</v>
      </c>
      <c r="L193" s="69">
        <v>830.0</v>
      </c>
      <c r="M193" s="69">
        <v>40.0</v>
      </c>
      <c r="N193" s="69" t="s">
        <v>58</v>
      </c>
      <c r="O193" s="69" t="s">
        <v>58</v>
      </c>
      <c r="P193" s="70" t="s">
        <v>1043</v>
      </c>
      <c r="Q193" s="69" t="s">
        <v>1065</v>
      </c>
      <c r="R193" s="69" t="s">
        <v>58</v>
      </c>
      <c r="S193" s="69">
        <v>8.0</v>
      </c>
      <c r="T193" s="104" t="s">
        <v>1156</v>
      </c>
      <c r="U193" s="66" t="str">
        <f>HYPERLINK("https://www.ncbi.nlm.nih.gov/pubmed/18248162","PubMed")</f>
        <v>PubMed</v>
      </c>
      <c r="V193" s="50"/>
      <c r="W193" s="49"/>
      <c r="X193" s="49"/>
      <c r="Y193" s="35"/>
      <c r="Z193" s="35"/>
      <c r="AA193" s="35"/>
      <c r="AB193" s="35"/>
      <c r="AC193" s="35"/>
      <c r="AD193" s="35"/>
      <c r="AE193" s="35"/>
      <c r="AF193" s="35"/>
      <c r="AG193" s="35"/>
      <c r="AH193" s="35"/>
      <c r="AI193" s="35"/>
      <c r="AJ193" s="35"/>
      <c r="AK193" s="35"/>
      <c r="AL193" s="35"/>
    </row>
    <row r="194" ht="52.5" customHeight="1">
      <c r="A194" s="89"/>
      <c r="B194" s="19" t="s">
        <v>221</v>
      </c>
      <c r="C194" s="20" t="s">
        <v>306</v>
      </c>
      <c r="D194" s="47"/>
      <c r="E194" s="56" t="s">
        <v>1059</v>
      </c>
      <c r="F194" s="22" t="s">
        <v>510</v>
      </c>
      <c r="G194" s="57">
        <v>2007.0</v>
      </c>
      <c r="H194" s="56" t="s">
        <v>658</v>
      </c>
      <c r="I194" s="58" t="s">
        <v>1157</v>
      </c>
      <c r="J194" s="22" t="s">
        <v>253</v>
      </c>
      <c r="K194" s="22" t="s">
        <v>1158</v>
      </c>
      <c r="L194" s="69">
        <v>830.0</v>
      </c>
      <c r="M194" s="69">
        <v>10.0</v>
      </c>
      <c r="N194" s="69" t="s">
        <v>58</v>
      </c>
      <c r="O194" s="69">
        <v>86.0</v>
      </c>
      <c r="P194" s="70" t="s">
        <v>1159</v>
      </c>
      <c r="Q194" s="69" t="s">
        <v>1160</v>
      </c>
      <c r="R194" s="69" t="s">
        <v>58</v>
      </c>
      <c r="S194" s="69">
        <v>7.0</v>
      </c>
      <c r="T194" s="104" t="s">
        <v>1161</v>
      </c>
      <c r="U194" s="66" t="str">
        <f>HYPERLINK("https://www.ncbi.nlm.nih.gov/pubmed/17508844","PubMed")</f>
        <v>PubMed</v>
      </c>
      <c r="V194" s="50"/>
      <c r="W194" s="49"/>
      <c r="X194" s="49"/>
      <c r="Y194" s="35"/>
      <c r="Z194" s="35"/>
      <c r="AA194" s="35"/>
      <c r="AB194" s="35"/>
      <c r="AC194" s="35"/>
      <c r="AD194" s="35"/>
      <c r="AE194" s="35"/>
      <c r="AF194" s="35"/>
      <c r="AG194" s="35"/>
      <c r="AH194" s="35"/>
      <c r="AI194" s="35"/>
      <c r="AJ194" s="35"/>
      <c r="AK194" s="35"/>
      <c r="AL194" s="35"/>
    </row>
    <row r="195" ht="52.5" customHeight="1">
      <c r="A195" s="51" t="s">
        <v>181</v>
      </c>
      <c r="B195" s="75" t="s">
        <v>221</v>
      </c>
      <c r="C195" s="77" t="s">
        <v>306</v>
      </c>
      <c r="D195" s="47"/>
      <c r="E195" s="56" t="s">
        <v>1162</v>
      </c>
      <c r="F195" s="22" t="s">
        <v>1163</v>
      </c>
      <c r="G195" s="57">
        <v>2007.0</v>
      </c>
      <c r="H195" s="56" t="s">
        <v>798</v>
      </c>
      <c r="I195" s="58" t="s">
        <v>1164</v>
      </c>
      <c r="J195" s="22" t="s">
        <v>253</v>
      </c>
      <c r="K195" s="22"/>
      <c r="L195" s="69">
        <v>820.0</v>
      </c>
      <c r="M195" s="69">
        <v>400.0</v>
      </c>
      <c r="N195" s="69" t="s">
        <v>58</v>
      </c>
      <c r="O195" s="69" t="s">
        <v>1165</v>
      </c>
      <c r="P195" s="70" t="s">
        <v>58</v>
      </c>
      <c r="Q195" s="69" t="s">
        <v>58</v>
      </c>
      <c r="R195" s="69" t="s">
        <v>58</v>
      </c>
      <c r="S195" s="69" t="s">
        <v>132</v>
      </c>
      <c r="T195" s="104" t="s">
        <v>1166</v>
      </c>
      <c r="U195" s="66" t="str">
        <f>HYPERLINK("https://www.ncbi.nlm.nih.gov/pubmed/17236917","PubMed")</f>
        <v>PubMed</v>
      </c>
      <c r="V195" s="30" t="s">
        <v>1167</v>
      </c>
      <c r="W195" s="49"/>
      <c r="X195" s="49"/>
      <c r="Y195" s="35"/>
      <c r="Z195" s="35"/>
      <c r="AA195" s="35"/>
      <c r="AB195" s="35"/>
      <c r="AC195" s="35"/>
      <c r="AD195" s="35"/>
      <c r="AE195" s="35"/>
      <c r="AF195" s="35"/>
      <c r="AG195" s="35"/>
      <c r="AH195" s="35"/>
      <c r="AI195" s="35"/>
      <c r="AJ195" s="35"/>
      <c r="AK195" s="35"/>
      <c r="AL195" s="35"/>
    </row>
    <row r="196" ht="52.5" customHeight="1">
      <c r="A196" s="89"/>
      <c r="B196" s="75" t="s">
        <v>221</v>
      </c>
      <c r="C196" s="77" t="s">
        <v>306</v>
      </c>
      <c r="D196" s="47"/>
      <c r="E196" s="56" t="s">
        <v>1168</v>
      </c>
      <c r="F196" s="22" t="s">
        <v>183</v>
      </c>
      <c r="G196" s="57">
        <v>2007.0</v>
      </c>
      <c r="H196" s="56" t="s">
        <v>658</v>
      </c>
      <c r="I196" s="58" t="s">
        <v>1169</v>
      </c>
      <c r="J196" s="22" t="s">
        <v>55</v>
      </c>
      <c r="K196" s="22"/>
      <c r="L196" s="69">
        <v>780.0</v>
      </c>
      <c r="M196" s="69">
        <v>40.0</v>
      </c>
      <c r="N196" s="69" t="s">
        <v>58</v>
      </c>
      <c r="O196" s="69" t="s">
        <v>58</v>
      </c>
      <c r="P196" s="70" t="s">
        <v>1043</v>
      </c>
      <c r="Q196" s="69" t="s">
        <v>830</v>
      </c>
      <c r="R196" s="69">
        <v>100.0</v>
      </c>
      <c r="S196" s="69" t="s">
        <v>58</v>
      </c>
      <c r="T196" s="104" t="s">
        <v>1170</v>
      </c>
      <c r="U196" s="66" t="str">
        <f>HYPERLINK("https://www.ncbi.nlm.nih.gov/pubmed/17603861","PubMed")</f>
        <v>PubMed</v>
      </c>
      <c r="V196" s="50"/>
      <c r="W196" s="49"/>
      <c r="X196" s="49"/>
      <c r="Y196" s="35"/>
      <c r="Z196" s="35"/>
      <c r="AA196" s="35"/>
      <c r="AB196" s="35"/>
      <c r="AC196" s="35"/>
      <c r="AD196" s="35"/>
      <c r="AE196" s="35"/>
      <c r="AF196" s="35"/>
      <c r="AG196" s="35"/>
      <c r="AH196" s="35"/>
      <c r="AI196" s="35"/>
      <c r="AJ196" s="35"/>
      <c r="AK196" s="35"/>
      <c r="AL196" s="35"/>
    </row>
    <row r="197" ht="52.5" customHeight="1">
      <c r="A197" s="51" t="s">
        <v>181</v>
      </c>
      <c r="B197" s="19" t="s">
        <v>221</v>
      </c>
      <c r="C197" s="20" t="s">
        <v>306</v>
      </c>
      <c r="D197" s="47"/>
      <c r="E197" s="56" t="s">
        <v>1059</v>
      </c>
      <c r="F197" s="22" t="s">
        <v>510</v>
      </c>
      <c r="G197" s="57">
        <v>2007.0</v>
      </c>
      <c r="H197" s="56" t="s">
        <v>207</v>
      </c>
      <c r="I197" s="58" t="s">
        <v>1171</v>
      </c>
      <c r="J197" s="22" t="s">
        <v>253</v>
      </c>
      <c r="K197" s="22"/>
      <c r="L197" s="69">
        <v>790.0</v>
      </c>
      <c r="M197" s="69">
        <v>40.0</v>
      </c>
      <c r="N197" s="69" t="s">
        <v>58</v>
      </c>
      <c r="O197" s="69" t="s">
        <v>58</v>
      </c>
      <c r="P197" s="70" t="s">
        <v>254</v>
      </c>
      <c r="Q197" s="69" t="s">
        <v>840</v>
      </c>
      <c r="R197" s="69" t="s">
        <v>58</v>
      </c>
      <c r="S197" s="69" t="s">
        <v>1130</v>
      </c>
      <c r="T197" s="104" t="s">
        <v>1172</v>
      </c>
      <c r="U197" s="66" t="str">
        <f>HYPERLINK("https://www.ncbi.nlm.nih.gov/pubmed/17981047","PubMed")</f>
        <v>PubMed</v>
      </c>
      <c r="V197" s="50"/>
      <c r="W197" s="49"/>
      <c r="X197" s="49"/>
      <c r="Y197" s="35"/>
      <c r="Z197" s="35"/>
      <c r="AA197" s="35"/>
      <c r="AB197" s="35"/>
      <c r="AC197" s="35"/>
      <c r="AD197" s="35"/>
      <c r="AE197" s="35"/>
      <c r="AF197" s="35"/>
      <c r="AG197" s="35"/>
      <c r="AH197" s="35"/>
      <c r="AI197" s="35"/>
      <c r="AJ197" s="35"/>
      <c r="AK197" s="35"/>
      <c r="AL197" s="35"/>
    </row>
    <row r="198" ht="52.5" customHeight="1">
      <c r="A198" s="89"/>
      <c r="B198" s="19" t="s">
        <v>221</v>
      </c>
      <c r="C198" s="20" t="s">
        <v>306</v>
      </c>
      <c r="D198" s="47"/>
      <c r="E198" s="56" t="s">
        <v>216</v>
      </c>
      <c r="F198" s="22" t="s">
        <v>1173</v>
      </c>
      <c r="G198" s="57">
        <v>2007.0</v>
      </c>
      <c r="H198" s="56" t="s">
        <v>658</v>
      </c>
      <c r="I198" s="58" t="s">
        <v>1174</v>
      </c>
      <c r="J198" s="22" t="s">
        <v>253</v>
      </c>
      <c r="K198" s="22"/>
      <c r="L198" s="69">
        <v>830.0</v>
      </c>
      <c r="M198" s="69" t="s">
        <v>58</v>
      </c>
      <c r="N198" s="69" t="s">
        <v>1175</v>
      </c>
      <c r="O198" s="69" t="s">
        <v>58</v>
      </c>
      <c r="P198" s="70" t="s">
        <v>1176</v>
      </c>
      <c r="Q198" s="69" t="s">
        <v>1177</v>
      </c>
      <c r="R198" s="69" t="s">
        <v>1178</v>
      </c>
      <c r="S198" s="69">
        <v>28.0</v>
      </c>
      <c r="T198" s="104" t="s">
        <v>1179</v>
      </c>
      <c r="U198" s="66" t="str">
        <f>HYPERLINK("https://www.ncbi.nlm.nih.gov/pubmed/18158750","PubMed")</f>
        <v>PubMed</v>
      </c>
      <c r="V198" s="30" t="s">
        <v>1180</v>
      </c>
      <c r="W198" s="49"/>
      <c r="X198" s="49"/>
      <c r="Y198" s="35"/>
      <c r="Z198" s="35"/>
      <c r="AA198" s="35"/>
      <c r="AB198" s="35"/>
      <c r="AC198" s="35"/>
      <c r="AD198" s="35"/>
      <c r="AE198" s="35"/>
      <c r="AF198" s="35"/>
      <c r="AG198" s="35"/>
      <c r="AH198" s="35"/>
      <c r="AI198" s="35"/>
      <c r="AJ198" s="35"/>
      <c r="AK198" s="35"/>
      <c r="AL198" s="35"/>
    </row>
    <row r="199" ht="52.5" customHeight="1">
      <c r="A199" s="89"/>
      <c r="B199" s="19" t="s">
        <v>221</v>
      </c>
      <c r="C199" s="20" t="s">
        <v>306</v>
      </c>
      <c r="D199" s="47"/>
      <c r="E199" s="56" t="s">
        <v>1181</v>
      </c>
      <c r="F199" s="22" t="s">
        <v>1182</v>
      </c>
      <c r="G199" s="57">
        <v>2007.0</v>
      </c>
      <c r="H199" s="56" t="s">
        <v>221</v>
      </c>
      <c r="I199" s="58" t="s">
        <v>1183</v>
      </c>
      <c r="J199" s="22" t="s">
        <v>55</v>
      </c>
      <c r="K199" s="22" t="s">
        <v>1184</v>
      </c>
      <c r="L199" s="69">
        <v>1064.0</v>
      </c>
      <c r="M199" s="69"/>
      <c r="N199" s="69" t="s">
        <v>1185</v>
      </c>
      <c r="O199" s="69"/>
      <c r="P199" s="70"/>
      <c r="Q199" s="69"/>
      <c r="R199" s="69">
        <v>600.0</v>
      </c>
      <c r="S199" s="69" t="s">
        <v>1186</v>
      </c>
      <c r="T199" s="104" t="s">
        <v>1187</v>
      </c>
      <c r="U199" s="66" t="str">
        <f>HYPERLINK("https://www.ncbi.nlm.nih.gov/pubmed/16978938","PubMed")</f>
        <v>PubMed</v>
      </c>
      <c r="V199" s="30"/>
      <c r="W199" s="49"/>
      <c r="X199" s="49"/>
      <c r="Y199" s="35"/>
      <c r="Z199" s="35"/>
      <c r="AA199" s="35"/>
      <c r="AB199" s="35"/>
      <c r="AC199" s="35"/>
      <c r="AD199" s="35"/>
      <c r="AE199" s="35"/>
      <c r="AF199" s="35"/>
      <c r="AG199" s="35"/>
      <c r="AH199" s="35"/>
      <c r="AI199" s="35"/>
      <c r="AJ199" s="35"/>
      <c r="AK199" s="35"/>
      <c r="AL199" s="35"/>
    </row>
    <row r="200" ht="52.5" customHeight="1">
      <c r="A200" s="89"/>
      <c r="B200" s="19" t="s">
        <v>221</v>
      </c>
      <c r="C200" s="20" t="s">
        <v>306</v>
      </c>
      <c r="D200" s="47"/>
      <c r="E200" s="56" t="s">
        <v>1188</v>
      </c>
      <c r="F200" s="22" t="s">
        <v>308</v>
      </c>
      <c r="G200" s="57">
        <v>2007.0</v>
      </c>
      <c r="H200" s="56" t="s">
        <v>53</v>
      </c>
      <c r="I200" s="58" t="s">
        <v>1189</v>
      </c>
      <c r="J200" s="22" t="s">
        <v>55</v>
      </c>
      <c r="K200" s="22"/>
      <c r="L200" s="69">
        <v>780.0</v>
      </c>
      <c r="M200" s="69">
        <v>35.0</v>
      </c>
      <c r="N200" s="69"/>
      <c r="O200" s="72">
        <v>42826.0</v>
      </c>
      <c r="P200" s="70" t="s">
        <v>1190</v>
      </c>
      <c r="Q200" s="69" t="s">
        <v>1191</v>
      </c>
      <c r="R200" s="69">
        <v>40.0</v>
      </c>
      <c r="S200" s="69">
        <v>1.0</v>
      </c>
      <c r="T200" s="104" t="s">
        <v>1192</v>
      </c>
      <c r="U200" s="66" t="str">
        <f>HYPERLINK("https://www.ncbi.nlm.nih.gov/pubmed/18081142","PubMed")</f>
        <v>PubMed</v>
      </c>
      <c r="V200" s="50"/>
      <c r="W200" s="49"/>
      <c r="X200" s="49"/>
      <c r="Y200" s="35"/>
      <c r="Z200" s="35"/>
      <c r="AA200" s="35"/>
      <c r="AB200" s="35"/>
      <c r="AC200" s="35"/>
      <c r="AD200" s="35"/>
      <c r="AE200" s="35"/>
      <c r="AF200" s="35"/>
      <c r="AG200" s="35"/>
      <c r="AH200" s="35"/>
      <c r="AI200" s="35"/>
      <c r="AJ200" s="35"/>
      <c r="AK200" s="35"/>
      <c r="AL200" s="35"/>
    </row>
    <row r="201" ht="52.5" customHeight="1">
      <c r="A201" s="89"/>
      <c r="B201" s="19" t="s">
        <v>221</v>
      </c>
      <c r="C201" s="20" t="s">
        <v>306</v>
      </c>
      <c r="D201" s="47"/>
      <c r="E201" s="56" t="s">
        <v>1193</v>
      </c>
      <c r="F201" s="22" t="s">
        <v>183</v>
      </c>
      <c r="G201" s="57">
        <v>2006.0</v>
      </c>
      <c r="H201" s="56" t="s">
        <v>658</v>
      </c>
      <c r="I201" s="58" t="s">
        <v>1194</v>
      </c>
      <c r="J201" s="22" t="s">
        <v>125</v>
      </c>
      <c r="K201" s="96"/>
      <c r="L201" s="105" t="s">
        <v>1195</v>
      </c>
      <c r="M201" s="44"/>
      <c r="N201" s="44"/>
      <c r="O201" s="44"/>
      <c r="P201" s="44"/>
      <c r="Q201" s="44"/>
      <c r="R201" s="44"/>
      <c r="S201" s="44"/>
      <c r="T201" s="45"/>
      <c r="U201" s="66" t="str">
        <f>HYPERLINK("https://www.ncbi.nlm.nih.gov/pubmed/16706695","PubMed")</f>
        <v>PubMed</v>
      </c>
      <c r="V201" s="50"/>
      <c r="W201" s="49"/>
      <c r="X201" s="49"/>
      <c r="Y201" s="35"/>
      <c r="Z201" s="35"/>
      <c r="AA201" s="35"/>
      <c r="AB201" s="35"/>
      <c r="AC201" s="35"/>
      <c r="AD201" s="35"/>
      <c r="AE201" s="35"/>
      <c r="AF201" s="35"/>
      <c r="AG201" s="35"/>
      <c r="AH201" s="35"/>
      <c r="AI201" s="35"/>
      <c r="AJ201" s="35"/>
      <c r="AK201" s="35"/>
      <c r="AL201" s="35"/>
    </row>
    <row r="202" ht="52.5" customHeight="1">
      <c r="A202" s="89"/>
      <c r="B202" s="19" t="s">
        <v>221</v>
      </c>
      <c r="C202" s="20" t="s">
        <v>306</v>
      </c>
      <c r="D202" s="47"/>
      <c r="E202" s="56" t="s">
        <v>1196</v>
      </c>
      <c r="F202" s="22" t="s">
        <v>41</v>
      </c>
      <c r="G202" s="57">
        <v>2006.0</v>
      </c>
      <c r="H202" s="56" t="s">
        <v>658</v>
      </c>
      <c r="I202" s="58" t="s">
        <v>1197</v>
      </c>
      <c r="J202" s="22" t="s">
        <v>55</v>
      </c>
      <c r="L202" s="69">
        <v>780.0</v>
      </c>
      <c r="M202" s="69">
        <v>30.0</v>
      </c>
      <c r="N202" s="69" t="s">
        <v>58</v>
      </c>
      <c r="O202" s="69" t="s">
        <v>58</v>
      </c>
      <c r="P202" s="70" t="s">
        <v>1198</v>
      </c>
      <c r="Q202" s="69" t="s">
        <v>1199</v>
      </c>
      <c r="R202" s="69">
        <v>150.0</v>
      </c>
      <c r="S202" s="69" t="s">
        <v>1200</v>
      </c>
      <c r="T202" s="104" t="s">
        <v>1201</v>
      </c>
      <c r="U202" s="66" t="str">
        <f>HYPERLINK("https://www.ncbi.nlm.nih.gov/pubmed/17199474","PubMed")</f>
        <v>PubMed</v>
      </c>
      <c r="V202" s="50"/>
      <c r="W202" s="49"/>
      <c r="X202" s="49"/>
      <c r="Y202" s="35"/>
      <c r="Z202" s="35"/>
      <c r="AA202" s="35"/>
      <c r="AB202" s="35"/>
      <c r="AC202" s="35"/>
      <c r="AD202" s="35"/>
      <c r="AE202" s="35"/>
      <c r="AF202" s="35"/>
      <c r="AG202" s="35"/>
      <c r="AH202" s="35"/>
      <c r="AI202" s="35"/>
      <c r="AJ202" s="35"/>
      <c r="AK202" s="35"/>
      <c r="AL202" s="35"/>
    </row>
    <row r="203" ht="52.5" customHeight="1">
      <c r="A203" s="89"/>
      <c r="B203" s="19" t="s">
        <v>221</v>
      </c>
      <c r="C203" s="20" t="s">
        <v>306</v>
      </c>
      <c r="D203" s="47"/>
      <c r="E203" s="56" t="s">
        <v>1202</v>
      </c>
      <c r="F203" s="22" t="s">
        <v>1203</v>
      </c>
      <c r="G203" s="57">
        <v>2006.0</v>
      </c>
      <c r="H203" s="56" t="s">
        <v>1204</v>
      </c>
      <c r="I203" s="58" t="s">
        <v>1205</v>
      </c>
      <c r="J203" s="22" t="s">
        <v>55</v>
      </c>
      <c r="K203" s="56" t="s">
        <v>294</v>
      </c>
      <c r="L203" s="69" t="s">
        <v>1206</v>
      </c>
      <c r="M203" s="69" t="s">
        <v>1207</v>
      </c>
      <c r="N203" s="69" t="s">
        <v>58</v>
      </c>
      <c r="O203" s="69" t="s">
        <v>58</v>
      </c>
      <c r="P203" s="70" t="s">
        <v>1208</v>
      </c>
      <c r="Q203" s="69" t="s">
        <v>58</v>
      </c>
      <c r="R203" s="69" t="s">
        <v>58</v>
      </c>
      <c r="S203" s="69" t="s">
        <v>1209</v>
      </c>
      <c r="T203" s="104" t="s">
        <v>1210</v>
      </c>
      <c r="U203" s="66" t="str">
        <f>HYPERLINK("https://www.ncbi.nlm.nih.gov/pubmed/18784858","PubMed")</f>
        <v>PubMed</v>
      </c>
      <c r="V203" s="50"/>
      <c r="W203" s="49"/>
      <c r="X203" s="49"/>
      <c r="Y203" s="35"/>
      <c r="Z203" s="35"/>
      <c r="AA203" s="35"/>
      <c r="AB203" s="35"/>
      <c r="AC203" s="35"/>
      <c r="AD203" s="35"/>
      <c r="AE203" s="35"/>
      <c r="AF203" s="35"/>
      <c r="AG203" s="35"/>
      <c r="AH203" s="35"/>
      <c r="AI203" s="35"/>
      <c r="AJ203" s="35"/>
      <c r="AK203" s="35"/>
      <c r="AL203" s="35"/>
    </row>
    <row r="204" ht="52.5" customHeight="1">
      <c r="A204" s="89"/>
      <c r="B204" s="75" t="s">
        <v>221</v>
      </c>
      <c r="C204" s="77" t="s">
        <v>306</v>
      </c>
      <c r="D204" s="47"/>
      <c r="E204" s="56" t="s">
        <v>1211</v>
      </c>
      <c r="F204" s="22" t="s">
        <v>274</v>
      </c>
      <c r="G204" s="57">
        <v>2006.0</v>
      </c>
      <c r="H204" s="56" t="s">
        <v>658</v>
      </c>
      <c r="I204" s="58" t="s">
        <v>1212</v>
      </c>
      <c r="J204" s="22" t="s">
        <v>55</v>
      </c>
      <c r="L204" s="69">
        <v>830.0</v>
      </c>
      <c r="M204" s="69"/>
      <c r="N204" s="69"/>
      <c r="O204" s="69"/>
      <c r="P204" s="70" t="s">
        <v>1064</v>
      </c>
      <c r="Q204" s="69"/>
      <c r="R204" s="69"/>
      <c r="S204" s="69"/>
      <c r="T204" s="54" t="s">
        <v>1213</v>
      </c>
      <c r="U204" s="64" t="s">
        <v>1214</v>
      </c>
      <c r="V204" s="30"/>
      <c r="W204" s="49"/>
      <c r="X204" s="49"/>
      <c r="Y204" s="35"/>
      <c r="Z204" s="35"/>
      <c r="AA204" s="35"/>
      <c r="AB204" s="35"/>
      <c r="AC204" s="35"/>
      <c r="AD204" s="35"/>
      <c r="AE204" s="35"/>
      <c r="AF204" s="35"/>
      <c r="AG204" s="35"/>
      <c r="AH204" s="35"/>
      <c r="AI204" s="35"/>
      <c r="AJ204" s="35"/>
      <c r="AK204" s="35"/>
      <c r="AL204" s="35"/>
    </row>
    <row r="205" ht="52.5" customHeight="1">
      <c r="A205" s="89"/>
      <c r="B205" s="75" t="s">
        <v>221</v>
      </c>
      <c r="C205" s="77" t="s">
        <v>306</v>
      </c>
      <c r="D205" s="47"/>
      <c r="E205" s="56" t="s">
        <v>1215</v>
      </c>
      <c r="F205" s="22" t="s">
        <v>274</v>
      </c>
      <c r="G205" s="57">
        <v>2006.0</v>
      </c>
      <c r="H205" s="56" t="s">
        <v>91</v>
      </c>
      <c r="I205" s="58" t="s">
        <v>1216</v>
      </c>
      <c r="J205" s="22" t="s">
        <v>55</v>
      </c>
      <c r="L205" s="69">
        <v>830.0</v>
      </c>
      <c r="M205" s="69" t="s">
        <v>58</v>
      </c>
      <c r="N205" s="69">
        <v>100.0</v>
      </c>
      <c r="O205" s="69" t="s">
        <v>58</v>
      </c>
      <c r="P205" s="70" t="s">
        <v>279</v>
      </c>
      <c r="Q205" s="69" t="s">
        <v>1065</v>
      </c>
      <c r="R205" s="69">
        <v>34.0</v>
      </c>
      <c r="S205" s="69" t="s">
        <v>1217</v>
      </c>
      <c r="T205" s="103" t="s">
        <v>1218</v>
      </c>
      <c r="U205" s="66" t="str">
        <f>HYPERLINK("https://www.ncbi.nlm.nih.gov/pubmed/16937073","PubMed")</f>
        <v>PubMed</v>
      </c>
      <c r="V205" s="30" t="s">
        <v>1219</v>
      </c>
      <c r="W205" s="49"/>
      <c r="X205" s="49"/>
      <c r="Y205" s="35"/>
      <c r="Z205" s="35"/>
      <c r="AA205" s="35"/>
      <c r="AB205" s="35"/>
      <c r="AC205" s="35"/>
      <c r="AD205" s="35"/>
      <c r="AE205" s="35"/>
      <c r="AF205" s="35"/>
      <c r="AG205" s="35"/>
      <c r="AH205" s="35"/>
      <c r="AI205" s="35"/>
      <c r="AJ205" s="35"/>
      <c r="AK205" s="35"/>
      <c r="AL205" s="35"/>
    </row>
    <row r="206" ht="52.5" customHeight="1">
      <c r="A206" s="89"/>
      <c r="B206" s="75" t="s">
        <v>221</v>
      </c>
      <c r="C206" s="77" t="s">
        <v>306</v>
      </c>
      <c r="D206" s="47"/>
      <c r="E206" s="56" t="s">
        <v>1220</v>
      </c>
      <c r="F206" s="22" t="s">
        <v>237</v>
      </c>
      <c r="G206" s="57">
        <v>2006.0</v>
      </c>
      <c r="H206" s="56" t="s">
        <v>561</v>
      </c>
      <c r="I206" s="58" t="s">
        <v>1221</v>
      </c>
      <c r="J206" s="22" t="s">
        <v>55</v>
      </c>
      <c r="L206" s="69">
        <v>735.0</v>
      </c>
      <c r="M206" s="72">
        <v>42827.0</v>
      </c>
      <c r="N206" s="69" t="s">
        <v>1222</v>
      </c>
      <c r="O206" s="69" t="s">
        <v>1223</v>
      </c>
      <c r="P206" s="70" t="s">
        <v>1224</v>
      </c>
      <c r="Q206" s="69" t="s">
        <v>1126</v>
      </c>
      <c r="R206" s="69"/>
      <c r="S206" s="69">
        <v>12.0</v>
      </c>
      <c r="T206" s="54" t="s">
        <v>1225</v>
      </c>
      <c r="U206" s="66" t="str">
        <f>HYPERLINK("https://www.ncbi.nlm.nih.gov/pubmed/16633179","PubMed")</f>
        <v>PubMed</v>
      </c>
      <c r="V206" s="50"/>
      <c r="W206" s="49"/>
      <c r="X206" s="49"/>
      <c r="Y206" s="35"/>
      <c r="Z206" s="35"/>
      <c r="AA206" s="35"/>
      <c r="AB206" s="35"/>
      <c r="AC206" s="35"/>
      <c r="AD206" s="35"/>
      <c r="AE206" s="35"/>
      <c r="AF206" s="35"/>
      <c r="AG206" s="35"/>
      <c r="AH206" s="35"/>
      <c r="AI206" s="35"/>
      <c r="AJ206" s="35"/>
      <c r="AK206" s="35"/>
      <c r="AL206" s="35"/>
    </row>
    <row r="207" ht="52.5" customHeight="1">
      <c r="A207" s="89"/>
      <c r="B207" s="75" t="s">
        <v>221</v>
      </c>
      <c r="C207" s="77" t="s">
        <v>306</v>
      </c>
      <c r="D207" s="47"/>
      <c r="E207" s="56" t="s">
        <v>1211</v>
      </c>
      <c r="F207" s="22" t="s">
        <v>274</v>
      </c>
      <c r="G207" s="57">
        <v>2006.0</v>
      </c>
      <c r="H207" s="56" t="s">
        <v>658</v>
      </c>
      <c r="I207" s="58" t="s">
        <v>1226</v>
      </c>
      <c r="J207" s="22" t="s">
        <v>55</v>
      </c>
      <c r="L207" s="69">
        <v>830.0</v>
      </c>
      <c r="M207" s="69" t="s">
        <v>58</v>
      </c>
      <c r="N207" s="69">
        <v>100.0</v>
      </c>
      <c r="O207" s="69" t="s">
        <v>58</v>
      </c>
      <c r="P207" s="70" t="s">
        <v>279</v>
      </c>
      <c r="Q207" s="69" t="s">
        <v>1133</v>
      </c>
      <c r="R207" s="69">
        <v>34.0</v>
      </c>
      <c r="S207" s="69">
        <v>24.0</v>
      </c>
      <c r="T207" s="54" t="s">
        <v>1227</v>
      </c>
      <c r="U207" s="66" t="str">
        <f>HYPERLINK("https://www.ncbi.nlm.nih.gov/pubmed/17069497","PubMed")</f>
        <v>PubMed</v>
      </c>
      <c r="V207" s="50"/>
      <c r="W207" s="49"/>
      <c r="X207" s="49"/>
      <c r="Y207" s="35"/>
      <c r="Z207" s="35"/>
      <c r="AA207" s="35"/>
      <c r="AB207" s="35"/>
      <c r="AC207" s="35"/>
      <c r="AD207" s="35"/>
      <c r="AE207" s="35"/>
      <c r="AF207" s="35"/>
      <c r="AG207" s="35"/>
      <c r="AH207" s="35"/>
      <c r="AI207" s="35"/>
      <c r="AJ207" s="35"/>
      <c r="AK207" s="35"/>
      <c r="AL207" s="35"/>
    </row>
    <row r="208" ht="52.5" customHeight="1">
      <c r="A208" s="89"/>
      <c r="B208" s="75" t="s">
        <v>221</v>
      </c>
      <c r="C208" s="77" t="s">
        <v>306</v>
      </c>
      <c r="D208" s="47"/>
      <c r="E208" s="56" t="s">
        <v>1228</v>
      </c>
      <c r="F208" s="22" t="s">
        <v>1034</v>
      </c>
      <c r="G208" s="57">
        <v>2006.0</v>
      </c>
      <c r="H208" s="56" t="s">
        <v>309</v>
      </c>
      <c r="I208" s="58" t="s">
        <v>1229</v>
      </c>
      <c r="J208" s="22" t="s">
        <v>55</v>
      </c>
      <c r="L208" s="69">
        <v>650.0</v>
      </c>
      <c r="M208" s="69">
        <v>50.0</v>
      </c>
      <c r="N208" s="69" t="s">
        <v>58</v>
      </c>
      <c r="O208" s="69" t="s">
        <v>58</v>
      </c>
      <c r="P208" s="70" t="s">
        <v>254</v>
      </c>
      <c r="Q208" s="69" t="s">
        <v>1230</v>
      </c>
      <c r="R208" s="69">
        <v>80.0</v>
      </c>
      <c r="S208" s="69" t="s">
        <v>1231</v>
      </c>
      <c r="T208" s="54" t="s">
        <v>1232</v>
      </c>
      <c r="U208" s="66" t="str">
        <f>HYPERLINK("https://www.ncbi.nlm.nih.gov/pubmed/17293969","PubMed")</f>
        <v>PubMed</v>
      </c>
      <c r="V208" s="30" t="s">
        <v>1233</v>
      </c>
      <c r="W208" s="49"/>
      <c r="X208" s="49"/>
      <c r="Y208" s="35"/>
      <c r="Z208" s="35"/>
      <c r="AA208" s="35"/>
      <c r="AB208" s="35"/>
      <c r="AC208" s="35"/>
      <c r="AD208" s="35"/>
      <c r="AE208" s="35"/>
      <c r="AF208" s="35"/>
      <c r="AG208" s="35"/>
      <c r="AH208" s="35"/>
      <c r="AI208" s="35"/>
      <c r="AJ208" s="35"/>
      <c r="AK208" s="35"/>
      <c r="AL208" s="35"/>
    </row>
    <row r="209" ht="52.5" customHeight="1">
      <c r="A209" s="89"/>
      <c r="B209" s="19" t="s">
        <v>221</v>
      </c>
      <c r="C209" s="20" t="s">
        <v>306</v>
      </c>
      <c r="D209" s="47"/>
      <c r="E209" s="56" t="s">
        <v>1234</v>
      </c>
      <c r="F209" s="22" t="s">
        <v>797</v>
      </c>
      <c r="G209" s="57">
        <v>2006.0</v>
      </c>
      <c r="H209" s="56" t="s">
        <v>658</v>
      </c>
      <c r="I209" s="58" t="s">
        <v>1235</v>
      </c>
      <c r="J209" s="22" t="s">
        <v>55</v>
      </c>
      <c r="K209" s="22"/>
      <c r="L209" s="69">
        <v>830.0</v>
      </c>
      <c r="M209" s="69">
        <v>50.0</v>
      </c>
      <c r="N209" s="69"/>
      <c r="O209" s="69"/>
      <c r="P209" s="70" t="s">
        <v>95</v>
      </c>
      <c r="Q209" s="69" t="s">
        <v>840</v>
      </c>
      <c r="R209" s="69"/>
      <c r="S209" s="69">
        <v>8.0</v>
      </c>
      <c r="T209" s="54" t="s">
        <v>1236</v>
      </c>
      <c r="U209" s="66" t="str">
        <f>HYPERLINK("https://www.ncbi.nlm.nih.gov/pubmed/16503787","PubMed")</f>
        <v>PubMed</v>
      </c>
      <c r="V209" s="50"/>
      <c r="W209" s="49"/>
      <c r="X209" s="49"/>
      <c r="Y209" s="35"/>
      <c r="Z209" s="35"/>
      <c r="AA209" s="35"/>
      <c r="AB209" s="35"/>
      <c r="AC209" s="35"/>
      <c r="AD209" s="35"/>
      <c r="AE209" s="35"/>
      <c r="AF209" s="35"/>
      <c r="AG209" s="35"/>
      <c r="AH209" s="35"/>
      <c r="AI209" s="35"/>
      <c r="AJ209" s="35"/>
      <c r="AK209" s="35"/>
      <c r="AL209" s="35"/>
    </row>
    <row r="210" ht="52.5" customHeight="1">
      <c r="A210" s="89"/>
      <c r="B210" s="19" t="s">
        <v>221</v>
      </c>
      <c r="C210" s="20" t="s">
        <v>306</v>
      </c>
      <c r="D210" s="47"/>
      <c r="E210" s="56" t="s">
        <v>1237</v>
      </c>
      <c r="F210" s="22" t="s">
        <v>291</v>
      </c>
      <c r="G210" s="57">
        <v>2006.0</v>
      </c>
      <c r="H210" s="56" t="s">
        <v>1238</v>
      </c>
      <c r="I210" s="58" t="s">
        <v>1239</v>
      </c>
      <c r="J210" s="22" t="s">
        <v>55</v>
      </c>
      <c r="K210" s="22" t="s">
        <v>1240</v>
      </c>
      <c r="L210" s="69">
        <v>904.0</v>
      </c>
      <c r="M210" s="69"/>
      <c r="N210" s="69" t="s">
        <v>1241</v>
      </c>
      <c r="O210" s="69"/>
      <c r="P210" s="70" t="s">
        <v>1242</v>
      </c>
      <c r="Q210" s="69"/>
      <c r="R210" s="69">
        <v>180.0</v>
      </c>
      <c r="S210" s="69"/>
      <c r="T210" s="102" t="s">
        <v>1243</v>
      </c>
      <c r="U210" s="66" t="str">
        <f>HYPERLINK("https://www.ncbi.nlm.nih.gov/pubmed/16856960","PubMed")</f>
        <v>PubMed</v>
      </c>
      <c r="V210" s="50"/>
      <c r="W210" s="49"/>
      <c r="X210" s="49"/>
      <c r="Y210" s="35"/>
      <c r="Z210" s="35"/>
      <c r="AA210" s="35"/>
      <c r="AB210" s="35"/>
      <c r="AC210" s="35"/>
      <c r="AD210" s="35"/>
      <c r="AE210" s="35"/>
      <c r="AF210" s="35"/>
      <c r="AG210" s="35"/>
      <c r="AH210" s="35"/>
      <c r="AI210" s="35"/>
      <c r="AJ210" s="35"/>
      <c r="AK210" s="35"/>
      <c r="AL210" s="35"/>
    </row>
    <row r="211" ht="52.5" customHeight="1">
      <c r="A211" s="89"/>
      <c r="B211" s="19" t="s">
        <v>221</v>
      </c>
      <c r="C211" s="20" t="s">
        <v>306</v>
      </c>
      <c r="D211" s="47"/>
      <c r="E211" s="56" t="s">
        <v>1059</v>
      </c>
      <c r="F211" s="22" t="s">
        <v>41</v>
      </c>
      <c r="G211" s="57">
        <v>2005.0</v>
      </c>
      <c r="H211" s="56" t="s">
        <v>658</v>
      </c>
      <c r="I211" s="58" t="s">
        <v>1244</v>
      </c>
      <c r="J211" s="22" t="s">
        <v>253</v>
      </c>
      <c r="K211" s="22"/>
      <c r="L211" s="36">
        <v>830.0</v>
      </c>
      <c r="M211" s="36">
        <v>10.0</v>
      </c>
      <c r="N211" s="36"/>
      <c r="O211" s="36"/>
      <c r="P211" s="37" t="s">
        <v>1245</v>
      </c>
      <c r="Q211" s="36" t="s">
        <v>1160</v>
      </c>
      <c r="R211" s="36"/>
      <c r="S211" s="36">
        <v>7.0</v>
      </c>
      <c r="T211" s="63" t="s">
        <v>1246</v>
      </c>
      <c r="U211" s="66" t="str">
        <f>HYPERLINK("https://www.ncbi.nlm.nih.gov/pubmed/15782028","PubMed")</f>
        <v>PubMed</v>
      </c>
      <c r="V211" s="50"/>
      <c r="W211" s="49"/>
      <c r="X211" s="49"/>
      <c r="Y211" s="35"/>
      <c r="Z211" s="35"/>
      <c r="AA211" s="35"/>
      <c r="AB211" s="35"/>
      <c r="AC211" s="35"/>
      <c r="AD211" s="35"/>
      <c r="AE211" s="35"/>
      <c r="AF211" s="35"/>
      <c r="AG211" s="35"/>
      <c r="AH211" s="35"/>
      <c r="AI211" s="35"/>
      <c r="AJ211" s="35"/>
      <c r="AK211" s="35"/>
      <c r="AL211" s="35"/>
    </row>
    <row r="212" ht="52.5" customHeight="1">
      <c r="A212" s="89"/>
      <c r="B212" s="19" t="s">
        <v>221</v>
      </c>
      <c r="C212" s="20" t="s">
        <v>306</v>
      </c>
      <c r="D212" s="47"/>
      <c r="E212" s="56" t="s">
        <v>1247</v>
      </c>
      <c r="F212" s="22" t="s">
        <v>41</v>
      </c>
      <c r="G212" s="57">
        <v>2005.0</v>
      </c>
      <c r="H212" s="56" t="s">
        <v>658</v>
      </c>
      <c r="I212" s="58" t="s">
        <v>1248</v>
      </c>
      <c r="J212" s="22" t="s">
        <v>55</v>
      </c>
      <c r="K212" s="22"/>
      <c r="L212" s="36">
        <v>670.0</v>
      </c>
      <c r="M212" s="36">
        <v>15.0</v>
      </c>
      <c r="N212" s="36"/>
      <c r="O212" s="36">
        <v>3.0</v>
      </c>
      <c r="P212" s="37"/>
      <c r="Q212" s="36"/>
      <c r="R212" s="36"/>
      <c r="S212" s="36"/>
      <c r="T212" s="63" t="s">
        <v>1249</v>
      </c>
      <c r="U212" s="66" t="str">
        <f>HYPERLINK("https://www.ncbi.nlm.nih.gov/pubmed/15910189","PubMed")</f>
        <v>PubMed</v>
      </c>
      <c r="V212" s="50"/>
      <c r="W212" s="49"/>
      <c r="X212" s="49"/>
      <c r="Y212" s="35"/>
      <c r="Z212" s="35"/>
      <c r="AA212" s="35"/>
      <c r="AB212" s="35"/>
      <c r="AC212" s="35"/>
      <c r="AD212" s="35"/>
      <c r="AE212" s="35"/>
      <c r="AF212" s="35"/>
      <c r="AG212" s="35"/>
      <c r="AH212" s="35"/>
      <c r="AI212" s="35"/>
      <c r="AJ212" s="35"/>
      <c r="AK212" s="35"/>
      <c r="AL212" s="35"/>
    </row>
    <row r="213" ht="52.5" customHeight="1">
      <c r="A213" s="89"/>
      <c r="B213" s="19" t="s">
        <v>221</v>
      </c>
      <c r="C213" s="20" t="s">
        <v>306</v>
      </c>
      <c r="D213" s="47"/>
      <c r="E213" s="56" t="s">
        <v>656</v>
      </c>
      <c r="F213" s="22" t="s">
        <v>836</v>
      </c>
      <c r="G213" s="57">
        <v>2005.0</v>
      </c>
      <c r="H213" s="56" t="s">
        <v>658</v>
      </c>
      <c r="I213" s="58" t="s">
        <v>1250</v>
      </c>
      <c r="J213" s="22" t="s">
        <v>55</v>
      </c>
      <c r="K213" s="22"/>
      <c r="L213" s="36">
        <v>830.0</v>
      </c>
      <c r="M213" s="36">
        <v>40.0</v>
      </c>
      <c r="N213" s="36"/>
      <c r="O213" s="36"/>
      <c r="P213" s="37"/>
      <c r="Q213" s="36"/>
      <c r="R213" s="36"/>
      <c r="S213" s="36"/>
      <c r="T213" s="63" t="s">
        <v>1251</v>
      </c>
      <c r="U213" s="66" t="str">
        <f>HYPERLINK("https://www.ncbi.nlm.nih.gov/pubmed/16144481","PubMed")</f>
        <v>PubMed</v>
      </c>
      <c r="V213" s="50"/>
      <c r="W213" s="49"/>
      <c r="X213" s="49"/>
      <c r="Y213" s="35"/>
      <c r="Z213" s="35"/>
      <c r="AA213" s="35"/>
      <c r="AB213" s="35"/>
      <c r="AC213" s="35"/>
      <c r="AD213" s="35"/>
      <c r="AE213" s="35"/>
      <c r="AF213" s="35"/>
      <c r="AG213" s="35"/>
      <c r="AH213" s="35"/>
      <c r="AI213" s="35"/>
      <c r="AJ213" s="35"/>
      <c r="AK213" s="35"/>
      <c r="AL213" s="35"/>
    </row>
    <row r="214" ht="52.5" customHeight="1">
      <c r="A214" s="89"/>
      <c r="B214" s="19" t="s">
        <v>221</v>
      </c>
      <c r="C214" s="20" t="s">
        <v>306</v>
      </c>
      <c r="D214" s="47"/>
      <c r="E214" s="56" t="s">
        <v>1252</v>
      </c>
      <c r="F214" s="22" t="s">
        <v>237</v>
      </c>
      <c r="G214" s="57">
        <v>2004.0</v>
      </c>
      <c r="H214" s="56" t="s">
        <v>1253</v>
      </c>
      <c r="I214" s="58" t="s">
        <v>1254</v>
      </c>
      <c r="J214" s="22" t="s">
        <v>55</v>
      </c>
      <c r="K214" s="22"/>
      <c r="L214" s="36"/>
      <c r="M214" s="36"/>
      <c r="N214" s="36"/>
      <c r="O214" s="36"/>
      <c r="P214" s="37" t="s">
        <v>1255</v>
      </c>
      <c r="Q214" s="36"/>
      <c r="R214" s="36"/>
      <c r="S214" s="36"/>
      <c r="T214" s="63" t="s">
        <v>1256</v>
      </c>
      <c r="U214" s="66" t="str">
        <f>HYPERLINK("https://www.ncbi.nlm.nih.gov/pubmed/14702170","PubMed")</f>
        <v>PubMed</v>
      </c>
      <c r="V214" s="50"/>
      <c r="W214" s="49"/>
      <c r="X214" s="49"/>
      <c r="Y214" s="35"/>
      <c r="Z214" s="35"/>
      <c r="AA214" s="35"/>
      <c r="AB214" s="35"/>
      <c r="AC214" s="35"/>
      <c r="AD214" s="35"/>
      <c r="AE214" s="35"/>
      <c r="AF214" s="35"/>
      <c r="AG214" s="35"/>
      <c r="AH214" s="35"/>
      <c r="AI214" s="35"/>
      <c r="AJ214" s="35"/>
      <c r="AK214" s="35"/>
      <c r="AL214" s="35"/>
    </row>
    <row r="215" ht="52.5" customHeight="1">
      <c r="A215" s="89"/>
      <c r="B215" s="19" t="s">
        <v>221</v>
      </c>
      <c r="C215" s="20" t="s">
        <v>306</v>
      </c>
      <c r="D215" s="47"/>
      <c r="E215" s="56" t="s">
        <v>1257</v>
      </c>
      <c r="F215" s="22" t="s">
        <v>1258</v>
      </c>
      <c r="G215" s="57">
        <v>2004.0</v>
      </c>
      <c r="H215" s="56" t="s">
        <v>1259</v>
      </c>
      <c r="I215" s="58" t="s">
        <v>1260</v>
      </c>
      <c r="J215" s="22" t="s">
        <v>55</v>
      </c>
      <c r="K215" s="22"/>
      <c r="L215" s="36">
        <v>830.0</v>
      </c>
      <c r="M215" s="36">
        <v>75.0</v>
      </c>
      <c r="N215" s="36" t="s">
        <v>1261</v>
      </c>
      <c r="O215" s="36" t="s">
        <v>1262</v>
      </c>
      <c r="P215" s="37" t="s">
        <v>1263</v>
      </c>
      <c r="Q215" s="36" t="s">
        <v>1264</v>
      </c>
      <c r="R215" s="36" t="s">
        <v>1265</v>
      </c>
      <c r="S215" s="36">
        <v>7.0</v>
      </c>
      <c r="T215" s="63" t="s">
        <v>1266</v>
      </c>
      <c r="U215" s="66" t="str">
        <f>HYPERLINK("https://www.ncbi.nlm.nih.gov/pubmed/15184850","PubMed")</f>
        <v>PubMed</v>
      </c>
      <c r="V215" s="50"/>
      <c r="W215" s="49"/>
      <c r="X215" s="49"/>
      <c r="Y215" s="35"/>
      <c r="Z215" s="35"/>
      <c r="AA215" s="35"/>
      <c r="AB215" s="35"/>
      <c r="AC215" s="35"/>
      <c r="AD215" s="35"/>
      <c r="AE215" s="35"/>
      <c r="AF215" s="35"/>
      <c r="AG215" s="35"/>
      <c r="AH215" s="35"/>
      <c r="AI215" s="35"/>
      <c r="AJ215" s="35"/>
      <c r="AK215" s="35"/>
      <c r="AL215" s="35"/>
    </row>
    <row r="216" ht="52.5" customHeight="1">
      <c r="A216" s="89"/>
      <c r="B216" s="19" t="s">
        <v>221</v>
      </c>
      <c r="C216" s="20" t="s">
        <v>306</v>
      </c>
      <c r="D216" s="47"/>
      <c r="E216" s="56" t="s">
        <v>1267</v>
      </c>
      <c r="F216" s="22" t="s">
        <v>291</v>
      </c>
      <c r="G216" s="57">
        <v>2004.0</v>
      </c>
      <c r="H216" s="56" t="s">
        <v>658</v>
      </c>
      <c r="I216" s="58" t="s">
        <v>1268</v>
      </c>
      <c r="J216" s="22" t="s">
        <v>55</v>
      </c>
      <c r="K216" s="22" t="s">
        <v>1269</v>
      </c>
      <c r="L216" s="36">
        <v>633.0</v>
      </c>
      <c r="M216" s="36">
        <v>35.0</v>
      </c>
      <c r="N216" s="36"/>
      <c r="O216" s="36"/>
      <c r="P216" s="37"/>
      <c r="Q216" s="36" t="s">
        <v>1270</v>
      </c>
      <c r="R216" s="36">
        <v>1200.0</v>
      </c>
      <c r="S216" s="36">
        <v>14.0</v>
      </c>
      <c r="T216" s="63" t="s">
        <v>1271</v>
      </c>
      <c r="U216" s="66" t="str">
        <f>HYPERLINK("https://www.ncbi.nlm.nih.gov/pubmed/15315733","PubMed")</f>
        <v>PubMed</v>
      </c>
      <c r="V216" s="50"/>
      <c r="W216" s="49"/>
      <c r="X216" s="49"/>
      <c r="Y216" s="35"/>
      <c r="Z216" s="35"/>
      <c r="AA216" s="35"/>
      <c r="AB216" s="35"/>
      <c r="AC216" s="35"/>
      <c r="AD216" s="35"/>
      <c r="AE216" s="35"/>
      <c r="AF216" s="35"/>
      <c r="AG216" s="35"/>
      <c r="AH216" s="35"/>
      <c r="AI216" s="35"/>
      <c r="AJ216" s="35"/>
      <c r="AK216" s="35"/>
      <c r="AL216" s="35"/>
    </row>
    <row r="217" ht="52.5" customHeight="1">
      <c r="A217" s="89"/>
      <c r="B217" s="19" t="s">
        <v>221</v>
      </c>
      <c r="C217" s="20" t="s">
        <v>306</v>
      </c>
      <c r="D217" s="47"/>
      <c r="E217" s="56" t="s">
        <v>1272</v>
      </c>
      <c r="F217" s="22" t="s">
        <v>510</v>
      </c>
      <c r="G217" s="57">
        <v>2003.0</v>
      </c>
      <c r="H217" s="56" t="s">
        <v>91</v>
      </c>
      <c r="I217" s="58" t="s">
        <v>1273</v>
      </c>
      <c r="J217" s="22" t="s">
        <v>55</v>
      </c>
      <c r="K217" s="22" t="s">
        <v>1274</v>
      </c>
      <c r="L217" s="36">
        <v>660.0</v>
      </c>
      <c r="M217" s="36">
        <v>5.0</v>
      </c>
      <c r="N217" s="36" t="s">
        <v>1275</v>
      </c>
      <c r="O217" s="36" t="s">
        <v>102</v>
      </c>
      <c r="P217" s="37" t="s">
        <v>95</v>
      </c>
      <c r="Q217" s="36" t="s">
        <v>1276</v>
      </c>
      <c r="R217" s="36"/>
      <c r="S217" s="36">
        <v>4.0</v>
      </c>
      <c r="T217" s="74" t="s">
        <v>1277</v>
      </c>
      <c r="U217" s="66" t="str">
        <f>HYPERLINK("https://www.ncbi.nlm.nih.gov/pubmed/12928818","PubMed")</f>
        <v>PubMed</v>
      </c>
      <c r="V217" s="50"/>
      <c r="W217" s="49"/>
      <c r="X217" s="49"/>
      <c r="Y217" s="35"/>
      <c r="Z217" s="35"/>
      <c r="AA217" s="35"/>
      <c r="AB217" s="35"/>
      <c r="AC217" s="35"/>
      <c r="AD217" s="35"/>
      <c r="AE217" s="35"/>
      <c r="AF217" s="35"/>
      <c r="AG217" s="35"/>
      <c r="AH217" s="35"/>
      <c r="AI217" s="35"/>
      <c r="AJ217" s="35"/>
      <c r="AK217" s="35"/>
      <c r="AL217" s="35"/>
    </row>
    <row r="218" ht="52.5" customHeight="1">
      <c r="A218" s="89"/>
      <c r="B218" s="19" t="s">
        <v>221</v>
      </c>
      <c r="C218" s="20" t="s">
        <v>306</v>
      </c>
      <c r="D218" s="47"/>
      <c r="E218" s="56" t="s">
        <v>1181</v>
      </c>
      <c r="F218" s="22" t="s">
        <v>1278</v>
      </c>
      <c r="G218" s="57">
        <v>2003.0</v>
      </c>
      <c r="H218" s="56" t="s">
        <v>566</v>
      </c>
      <c r="I218" s="58" t="s">
        <v>1279</v>
      </c>
      <c r="J218" s="22" t="s">
        <v>55</v>
      </c>
      <c r="K218" s="22" t="s">
        <v>1184</v>
      </c>
      <c r="L218" s="36">
        <v>1064.0</v>
      </c>
      <c r="M218" s="36"/>
      <c r="N218" s="36" t="s">
        <v>1280</v>
      </c>
      <c r="O218" s="36"/>
      <c r="P218" s="37"/>
      <c r="Q218" s="36"/>
      <c r="R218" s="36"/>
      <c r="S218" s="36" t="s">
        <v>1281</v>
      </c>
      <c r="T218" s="63" t="s">
        <v>1282</v>
      </c>
      <c r="U218" s="66" t="str">
        <f>HYPERLINK("https://www.ncbi.nlm.nih.gov/pubmed/12601569","PubMed")</f>
        <v>PubMed</v>
      </c>
      <c r="V218" s="50"/>
      <c r="W218" s="49"/>
      <c r="X218" s="49"/>
      <c r="Y218" s="35"/>
      <c r="Z218" s="35"/>
      <c r="AA218" s="35"/>
      <c r="AB218" s="35"/>
      <c r="AC218" s="35"/>
      <c r="AD218" s="35"/>
      <c r="AE218" s="35"/>
      <c r="AF218" s="35"/>
      <c r="AG218" s="35"/>
      <c r="AH218" s="35"/>
      <c r="AI218" s="35"/>
      <c r="AJ218" s="35"/>
      <c r="AK218" s="35"/>
      <c r="AL218" s="35"/>
    </row>
    <row r="219" ht="52.5" customHeight="1">
      <c r="A219" s="89"/>
      <c r="B219" s="19" t="s">
        <v>221</v>
      </c>
      <c r="C219" s="20" t="s">
        <v>306</v>
      </c>
      <c r="D219" s="47"/>
      <c r="E219" s="56" t="s">
        <v>651</v>
      </c>
      <c r="F219" s="22" t="s">
        <v>836</v>
      </c>
      <c r="G219" s="57">
        <v>2003.0</v>
      </c>
      <c r="H219" s="56" t="s">
        <v>837</v>
      </c>
      <c r="I219" s="58" t="s">
        <v>1283</v>
      </c>
      <c r="J219" s="22" t="s">
        <v>55</v>
      </c>
      <c r="K219" s="22" t="s">
        <v>806</v>
      </c>
      <c r="L219" s="36">
        <v>830.0</v>
      </c>
      <c r="M219" s="36">
        <v>40.0</v>
      </c>
      <c r="N219" s="36"/>
      <c r="O219" s="36"/>
      <c r="P219" s="37" t="s">
        <v>709</v>
      </c>
      <c r="Q219" s="36" t="s">
        <v>1133</v>
      </c>
      <c r="R219" s="36"/>
      <c r="S219" s="36">
        <v>8.0</v>
      </c>
      <c r="T219" s="63" t="s">
        <v>1284</v>
      </c>
      <c r="U219" s="66" t="str">
        <f>HYPERLINK("https://www.ncbi.nlm.nih.gov/pubmed/15057393","PubMed")</f>
        <v>PubMed</v>
      </c>
      <c r="V219" s="50"/>
      <c r="W219" s="49"/>
      <c r="X219" s="49"/>
      <c r="Y219" s="35"/>
      <c r="Z219" s="35"/>
      <c r="AA219" s="35"/>
      <c r="AB219" s="35"/>
      <c r="AC219" s="35"/>
      <c r="AD219" s="35"/>
      <c r="AE219" s="35"/>
      <c r="AF219" s="35"/>
      <c r="AG219" s="35"/>
      <c r="AH219" s="35"/>
      <c r="AI219" s="35"/>
      <c r="AJ219" s="35"/>
      <c r="AK219" s="35"/>
      <c r="AL219" s="35"/>
    </row>
    <row r="220" ht="52.5" customHeight="1">
      <c r="A220" s="89"/>
      <c r="B220" s="19" t="s">
        <v>221</v>
      </c>
      <c r="C220" s="20" t="s">
        <v>306</v>
      </c>
      <c r="D220" s="47"/>
      <c r="E220" s="56" t="s">
        <v>1285</v>
      </c>
      <c r="F220" s="22" t="s">
        <v>237</v>
      </c>
      <c r="G220" s="57">
        <v>2003.0</v>
      </c>
      <c r="H220" s="56" t="s">
        <v>207</v>
      </c>
      <c r="I220" s="58" t="s">
        <v>1286</v>
      </c>
      <c r="J220" s="22" t="s">
        <v>55</v>
      </c>
      <c r="K220" s="22"/>
      <c r="L220" s="36">
        <v>633.0</v>
      </c>
      <c r="M220" s="36"/>
      <c r="N220" s="36"/>
      <c r="O220" s="36" t="s">
        <v>1287</v>
      </c>
      <c r="P220" s="37"/>
      <c r="Q220" s="36"/>
      <c r="R220" s="36"/>
      <c r="S220" s="36"/>
      <c r="T220" s="63" t="s">
        <v>1288</v>
      </c>
      <c r="U220" s="66" t="str">
        <f>HYPERLINK("https://www.ncbi.nlm.nih.gov/pubmed/12849698","PubMed")</f>
        <v>PubMed</v>
      </c>
      <c r="V220" s="50"/>
      <c r="W220" s="49"/>
      <c r="X220" s="49"/>
      <c r="Y220" s="35"/>
      <c r="Z220" s="35"/>
      <c r="AA220" s="35"/>
      <c r="AB220" s="35"/>
      <c r="AC220" s="35"/>
      <c r="AD220" s="35"/>
      <c r="AE220" s="35"/>
      <c r="AF220" s="35"/>
      <c r="AG220" s="35"/>
      <c r="AH220" s="35"/>
      <c r="AI220" s="35"/>
      <c r="AJ220" s="35"/>
      <c r="AK220" s="35"/>
      <c r="AL220" s="35"/>
    </row>
    <row r="221" ht="52.5" customHeight="1">
      <c r="A221" s="89"/>
      <c r="B221" s="19" t="s">
        <v>221</v>
      </c>
      <c r="C221" s="20" t="s">
        <v>306</v>
      </c>
      <c r="D221" s="47"/>
      <c r="E221" s="56" t="s">
        <v>651</v>
      </c>
      <c r="F221" s="22" t="s">
        <v>836</v>
      </c>
      <c r="G221" s="57">
        <v>2003.0</v>
      </c>
      <c r="H221" s="56" t="s">
        <v>1289</v>
      </c>
      <c r="I221" s="58" t="s">
        <v>1290</v>
      </c>
      <c r="J221" s="22" t="s">
        <v>55</v>
      </c>
      <c r="K221" s="22"/>
      <c r="L221" s="36"/>
      <c r="M221" s="36"/>
      <c r="N221" s="36"/>
      <c r="O221" s="36"/>
      <c r="P221" s="37"/>
      <c r="Q221" s="36"/>
      <c r="R221" s="36"/>
      <c r="S221" s="36"/>
      <c r="T221" s="63" t="s">
        <v>1291</v>
      </c>
      <c r="U221" s="66" t="str">
        <f>HYPERLINK("https://www.ncbi.nlm.nih.gov/pubmed/14651799","PubMed")</f>
        <v>PubMed</v>
      </c>
      <c r="V221" s="50"/>
      <c r="W221" s="49"/>
      <c r="X221" s="49"/>
      <c r="Y221" s="35"/>
      <c r="Z221" s="35"/>
      <c r="AA221" s="35"/>
      <c r="AB221" s="35"/>
      <c r="AC221" s="35"/>
      <c r="AD221" s="35"/>
      <c r="AE221" s="35"/>
      <c r="AF221" s="35"/>
      <c r="AG221" s="35"/>
      <c r="AH221" s="35"/>
      <c r="AI221" s="35"/>
      <c r="AJ221" s="35"/>
      <c r="AK221" s="35"/>
      <c r="AL221" s="35"/>
    </row>
    <row r="222" ht="52.5" customHeight="1">
      <c r="A222" s="89"/>
      <c r="B222" s="19" t="s">
        <v>221</v>
      </c>
      <c r="C222" s="20" t="s">
        <v>306</v>
      </c>
      <c r="D222" s="47"/>
      <c r="E222" s="56" t="s">
        <v>1292</v>
      </c>
      <c r="F222" s="22" t="s">
        <v>836</v>
      </c>
      <c r="G222" s="57">
        <v>2003.0</v>
      </c>
      <c r="H222" s="56" t="s">
        <v>1289</v>
      </c>
      <c r="I222" s="58" t="s">
        <v>1293</v>
      </c>
      <c r="J222" s="22" t="s">
        <v>55</v>
      </c>
      <c r="K222" s="22" t="s">
        <v>806</v>
      </c>
      <c r="L222" s="36">
        <v>830.0</v>
      </c>
      <c r="M222" s="36">
        <v>40.0</v>
      </c>
      <c r="N222" s="36"/>
      <c r="O222" s="36"/>
      <c r="P222" s="37" t="s">
        <v>254</v>
      </c>
      <c r="Q222" s="36"/>
      <c r="R222" s="36"/>
      <c r="S222" s="36">
        <v>8.0</v>
      </c>
      <c r="T222" s="63" t="s">
        <v>1294</v>
      </c>
      <c r="U222" s="66" t="str">
        <f>HYPERLINK("https://www.ncbi.nlm.nih.gov/pubmed/14709224","PubMed")</f>
        <v>PubMed</v>
      </c>
      <c r="V222" s="50"/>
      <c r="W222" s="49"/>
      <c r="X222" s="49"/>
      <c r="Y222" s="35"/>
      <c r="Z222" s="35"/>
      <c r="AA222" s="35"/>
      <c r="AB222" s="35"/>
      <c r="AC222" s="35"/>
      <c r="AD222" s="35"/>
      <c r="AE222" s="35"/>
      <c r="AF222" s="35"/>
      <c r="AG222" s="35"/>
      <c r="AH222" s="35"/>
      <c r="AI222" s="35"/>
      <c r="AJ222" s="35"/>
      <c r="AK222" s="35"/>
      <c r="AL222" s="35"/>
    </row>
    <row r="223" ht="52.5" customHeight="1">
      <c r="A223" s="89"/>
      <c r="B223" s="19" t="s">
        <v>221</v>
      </c>
      <c r="C223" s="20" t="s">
        <v>306</v>
      </c>
      <c r="D223" s="47"/>
      <c r="E223" s="56" t="s">
        <v>1295</v>
      </c>
      <c r="F223" s="22" t="s">
        <v>230</v>
      </c>
      <c r="G223" s="57">
        <v>2002.0</v>
      </c>
      <c r="H223" s="56" t="s">
        <v>91</v>
      </c>
      <c r="I223" s="58" t="s">
        <v>1296</v>
      </c>
      <c r="J223" s="22" t="s">
        <v>31</v>
      </c>
      <c r="K223" s="22"/>
      <c r="L223" s="36">
        <v>780.0</v>
      </c>
      <c r="M223" s="36"/>
      <c r="N223" s="36"/>
      <c r="O223" s="36"/>
      <c r="P223" s="37"/>
      <c r="Q223" s="36"/>
      <c r="R223" s="36"/>
      <c r="S223" s="36"/>
      <c r="T223" s="63" t="s">
        <v>1297</v>
      </c>
      <c r="U223" s="66" t="str">
        <f>HYPERLINK("https://www.ncbi.nlm.nih.gov/pubmed/12181636","PubMed")</f>
        <v>PubMed</v>
      </c>
      <c r="V223" s="50"/>
      <c r="W223" s="49"/>
      <c r="X223" s="49"/>
      <c r="Y223" s="35"/>
      <c r="Z223" s="35"/>
      <c r="AA223" s="35"/>
      <c r="AB223" s="35"/>
      <c r="AC223" s="35"/>
      <c r="AD223" s="35"/>
      <c r="AE223" s="35"/>
      <c r="AF223" s="35"/>
      <c r="AG223" s="35"/>
      <c r="AH223" s="35"/>
      <c r="AI223" s="35"/>
      <c r="AJ223" s="35"/>
      <c r="AK223" s="35"/>
      <c r="AL223" s="35"/>
    </row>
    <row r="224" ht="52.5" customHeight="1">
      <c r="A224" s="89"/>
      <c r="B224" s="19" t="s">
        <v>221</v>
      </c>
      <c r="C224" s="20" t="s">
        <v>306</v>
      </c>
      <c r="D224" s="47"/>
      <c r="E224" s="56" t="s">
        <v>290</v>
      </c>
      <c r="F224" s="22" t="s">
        <v>291</v>
      </c>
      <c r="G224" s="57">
        <v>1998.0</v>
      </c>
      <c r="H224" s="56" t="s">
        <v>53</v>
      </c>
      <c r="I224" s="58" t="s">
        <v>1298</v>
      </c>
      <c r="J224" s="22" t="s">
        <v>55</v>
      </c>
      <c r="K224" s="22"/>
      <c r="L224" s="94">
        <v>633.0</v>
      </c>
      <c r="M224" s="94">
        <v>35.0</v>
      </c>
      <c r="N224" s="94"/>
      <c r="O224" s="94"/>
      <c r="P224" s="95"/>
      <c r="Q224" s="94"/>
      <c r="R224" s="94">
        <v>1800.0</v>
      </c>
      <c r="S224" s="94">
        <v>14.0</v>
      </c>
      <c r="T224" s="63" t="s">
        <v>1299</v>
      </c>
      <c r="U224" s="66" t="str">
        <f>HYPERLINK("https://www.ncbi.nlm.nih.gov/pubmed/9484702","PubMed")</f>
        <v>PubMed</v>
      </c>
      <c r="V224" s="50"/>
      <c r="W224" s="49"/>
      <c r="X224" s="49"/>
      <c r="Y224" s="35"/>
      <c r="Z224" s="35"/>
      <c r="AA224" s="35"/>
      <c r="AB224" s="35"/>
      <c r="AC224" s="35"/>
      <c r="AD224" s="35"/>
      <c r="AE224" s="35"/>
      <c r="AF224" s="35"/>
      <c r="AG224" s="35"/>
      <c r="AH224" s="35"/>
      <c r="AI224" s="35"/>
      <c r="AJ224" s="35"/>
      <c r="AK224" s="35"/>
      <c r="AL224" s="35"/>
    </row>
    <row r="225" ht="52.5" customHeight="1">
      <c r="A225" s="89"/>
      <c r="B225" s="19" t="s">
        <v>221</v>
      </c>
      <c r="C225" s="20" t="s">
        <v>306</v>
      </c>
      <c r="D225" s="47"/>
      <c r="E225" s="56" t="s">
        <v>1300</v>
      </c>
      <c r="F225" s="22" t="s">
        <v>291</v>
      </c>
      <c r="G225" s="57">
        <v>1996.0</v>
      </c>
      <c r="H225" s="56" t="s">
        <v>1301</v>
      </c>
      <c r="I225" s="58" t="s">
        <v>1302</v>
      </c>
      <c r="J225" s="22" t="s">
        <v>55</v>
      </c>
      <c r="K225" s="22"/>
      <c r="L225" s="94">
        <v>633.0</v>
      </c>
      <c r="M225" s="94"/>
      <c r="N225" s="94"/>
      <c r="O225" s="94"/>
      <c r="P225" s="95"/>
      <c r="Q225" s="94"/>
      <c r="R225" s="94"/>
      <c r="S225" s="94"/>
      <c r="T225" s="63" t="s">
        <v>1303</v>
      </c>
      <c r="U225" s="66" t="str">
        <f>HYPERLINK("https://www.ncbi.nlm.nih.gov/pubmed/8781055","PubMed")</f>
        <v>PubMed</v>
      </c>
      <c r="V225" s="50"/>
      <c r="W225" s="49"/>
      <c r="X225" s="49"/>
      <c r="Y225" s="35"/>
      <c r="Z225" s="35"/>
      <c r="AA225" s="35"/>
      <c r="AB225" s="35"/>
      <c r="AC225" s="35"/>
      <c r="AD225" s="35"/>
      <c r="AE225" s="35"/>
      <c r="AF225" s="35"/>
      <c r="AG225" s="35"/>
      <c r="AH225" s="35"/>
      <c r="AI225" s="35"/>
      <c r="AJ225" s="35"/>
      <c r="AK225" s="35"/>
      <c r="AL225" s="35"/>
    </row>
    <row r="226" ht="52.5" customHeight="1">
      <c r="A226" s="89"/>
      <c r="B226" s="19" t="s">
        <v>221</v>
      </c>
      <c r="C226" s="20" t="s">
        <v>306</v>
      </c>
      <c r="D226" s="47"/>
      <c r="E226" s="56" t="s">
        <v>1304</v>
      </c>
      <c r="F226" s="22" t="s">
        <v>1305</v>
      </c>
      <c r="G226" s="57">
        <v>1996.0</v>
      </c>
      <c r="H226" s="56" t="s">
        <v>53</v>
      </c>
      <c r="I226" s="58" t="s">
        <v>1306</v>
      </c>
      <c r="J226" s="22" t="s">
        <v>55</v>
      </c>
      <c r="K226" s="22"/>
      <c r="L226" s="94">
        <v>633.0</v>
      </c>
      <c r="M226" s="94"/>
      <c r="N226" s="94"/>
      <c r="O226" s="94" t="s">
        <v>1307</v>
      </c>
      <c r="P226" s="95"/>
      <c r="Q226" s="94"/>
      <c r="R226" s="94"/>
      <c r="S226" s="94"/>
      <c r="T226" s="71" t="s">
        <v>1308</v>
      </c>
      <c r="U226" s="66" t="str">
        <f>HYPERLINK("https://www.ncbi.nlm.nih.gov/pubmed/8983007","PubMed")</f>
        <v>PubMed</v>
      </c>
      <c r="V226" s="50"/>
      <c r="W226" s="49"/>
      <c r="X226" s="49"/>
      <c r="Y226" s="35"/>
      <c r="Z226" s="35"/>
      <c r="AA226" s="35"/>
      <c r="AB226" s="35"/>
      <c r="AC226" s="35"/>
      <c r="AD226" s="35"/>
      <c r="AE226" s="35"/>
      <c r="AF226" s="35"/>
      <c r="AG226" s="35"/>
      <c r="AH226" s="35"/>
      <c r="AI226" s="35"/>
      <c r="AJ226" s="35"/>
      <c r="AK226" s="35"/>
      <c r="AL226" s="35"/>
    </row>
    <row r="227" ht="52.5" customHeight="1">
      <c r="A227" s="89"/>
      <c r="B227" s="19" t="s">
        <v>221</v>
      </c>
      <c r="C227" s="20" t="s">
        <v>306</v>
      </c>
      <c r="D227" s="47"/>
      <c r="E227" s="56" t="s">
        <v>1309</v>
      </c>
      <c r="F227" s="22" t="s">
        <v>1310</v>
      </c>
      <c r="G227" s="57">
        <v>1995.0</v>
      </c>
      <c r="H227" s="56" t="s">
        <v>221</v>
      </c>
      <c r="I227" s="58" t="s">
        <v>1311</v>
      </c>
      <c r="J227" s="22" t="s">
        <v>55</v>
      </c>
      <c r="K227" s="22"/>
      <c r="L227" s="94">
        <v>633.0</v>
      </c>
      <c r="M227" s="94">
        <v>6.0</v>
      </c>
      <c r="N227" s="94"/>
      <c r="O227" s="94"/>
      <c r="P227" s="95" t="s">
        <v>1312</v>
      </c>
      <c r="Q227" s="94" t="s">
        <v>1313</v>
      </c>
      <c r="R227" s="94" t="s">
        <v>1314</v>
      </c>
      <c r="S227" s="94">
        <v>2.0</v>
      </c>
      <c r="T227" s="63" t="s">
        <v>1315</v>
      </c>
      <c r="U227" s="97" t="s">
        <v>61</v>
      </c>
      <c r="V227" s="50"/>
      <c r="W227" s="49"/>
      <c r="X227" s="49"/>
      <c r="Y227" s="35"/>
      <c r="Z227" s="35"/>
      <c r="AA227" s="35"/>
      <c r="AB227" s="35"/>
      <c r="AC227" s="35"/>
      <c r="AD227" s="35"/>
      <c r="AE227" s="35"/>
      <c r="AF227" s="35"/>
      <c r="AG227" s="35"/>
      <c r="AH227" s="35"/>
      <c r="AI227" s="35"/>
      <c r="AJ227" s="35"/>
      <c r="AK227" s="35"/>
      <c r="AL227" s="35"/>
    </row>
    <row r="228" ht="52.5" customHeight="1">
      <c r="A228" s="89"/>
      <c r="B228" s="19" t="s">
        <v>221</v>
      </c>
      <c r="C228" s="20" t="s">
        <v>306</v>
      </c>
      <c r="D228" s="47"/>
      <c r="E228" s="56" t="s">
        <v>1316</v>
      </c>
      <c r="F228" s="22"/>
      <c r="G228" s="57">
        <v>1995.0</v>
      </c>
      <c r="H228" s="56" t="s">
        <v>292</v>
      </c>
      <c r="I228" s="58" t="s">
        <v>1317</v>
      </c>
      <c r="J228" s="22" t="s">
        <v>44</v>
      </c>
      <c r="K228" s="22"/>
      <c r="L228" s="94" t="s">
        <v>1318</v>
      </c>
      <c r="M228" s="94" t="s">
        <v>1319</v>
      </c>
      <c r="N228" s="94"/>
      <c r="O228" s="94"/>
      <c r="P228" s="95" t="s">
        <v>1320</v>
      </c>
      <c r="Q228" s="94"/>
      <c r="R228" s="94"/>
      <c r="S228" s="94" t="s">
        <v>1321</v>
      </c>
      <c r="T228" s="63" t="s">
        <v>1322</v>
      </c>
      <c r="U228" s="60" t="str">
        <f>HYPERLINK("https://www.jstage.jst.go.jp/article/islsm/7/2/7_95-OR-09/_article/-char/en","J-STAGE")</f>
        <v>J-STAGE</v>
      </c>
      <c r="V228" s="50"/>
      <c r="W228" s="49"/>
      <c r="X228" s="49"/>
      <c r="Y228" s="35"/>
      <c r="Z228" s="35"/>
      <c r="AA228" s="35"/>
      <c r="AB228" s="35"/>
      <c r="AC228" s="35"/>
      <c r="AD228" s="35"/>
      <c r="AE228" s="35"/>
      <c r="AF228" s="35"/>
      <c r="AG228" s="35"/>
      <c r="AH228" s="35"/>
      <c r="AI228" s="35"/>
      <c r="AJ228" s="35"/>
      <c r="AK228" s="35"/>
      <c r="AL228" s="35"/>
    </row>
    <row r="229" ht="52.5" customHeight="1">
      <c r="A229" s="89"/>
      <c r="B229" s="19" t="s">
        <v>221</v>
      </c>
      <c r="C229" s="20" t="s">
        <v>1323</v>
      </c>
      <c r="D229" s="47"/>
      <c r="E229" s="56" t="s">
        <v>1324</v>
      </c>
      <c r="F229" s="22" t="s">
        <v>1325</v>
      </c>
      <c r="G229" s="57">
        <v>2018.0</v>
      </c>
      <c r="H229" s="56" t="s">
        <v>658</v>
      </c>
      <c r="I229" s="58" t="s">
        <v>1326</v>
      </c>
      <c r="J229" s="22" t="s">
        <v>31</v>
      </c>
      <c r="K229" s="22" t="s">
        <v>1327</v>
      </c>
      <c r="L229" s="94">
        <v>810.0</v>
      </c>
      <c r="M229" s="94"/>
      <c r="N229" s="94"/>
      <c r="O229" s="94"/>
      <c r="P229" s="95" t="s">
        <v>1328</v>
      </c>
      <c r="Q229" s="94"/>
      <c r="R229" s="94"/>
      <c r="S229" s="94"/>
      <c r="T229" s="63" t="s">
        <v>1329</v>
      </c>
      <c r="U229" s="60" t="str">
        <f>HYPERLINK("https://www.ncbi.nlm.nih.gov/pubmed/29466082","PubMed")</f>
        <v>PubMed</v>
      </c>
      <c r="V229" s="50"/>
      <c r="W229" s="49"/>
      <c r="X229" s="49"/>
      <c r="Y229" s="35"/>
      <c r="Z229" s="35"/>
      <c r="AA229" s="35"/>
      <c r="AB229" s="35"/>
      <c r="AC229" s="35"/>
      <c r="AD229" s="35"/>
      <c r="AE229" s="35"/>
      <c r="AF229" s="35"/>
      <c r="AG229" s="35"/>
      <c r="AH229" s="35"/>
      <c r="AI229" s="35"/>
      <c r="AJ229" s="35"/>
      <c r="AK229" s="35"/>
      <c r="AL229" s="35"/>
    </row>
    <row r="230" ht="39.0" customHeight="1">
      <c r="A230" s="1"/>
      <c r="B230" s="19" t="s">
        <v>221</v>
      </c>
      <c r="C230" s="20" t="s">
        <v>1323</v>
      </c>
      <c r="D230" s="47"/>
      <c r="E230" s="22" t="s">
        <v>1110</v>
      </c>
      <c r="F230" s="22" t="s">
        <v>323</v>
      </c>
      <c r="G230" s="23">
        <v>2017.0</v>
      </c>
      <c r="H230" s="22" t="s">
        <v>314</v>
      </c>
      <c r="I230" s="24" t="s">
        <v>1330</v>
      </c>
      <c r="J230" s="22" t="s">
        <v>649</v>
      </c>
      <c r="K230" s="22" t="s">
        <v>1331</v>
      </c>
      <c r="L230" s="105" t="s">
        <v>1332</v>
      </c>
      <c r="M230" s="44"/>
      <c r="N230" s="44"/>
      <c r="O230" s="44"/>
      <c r="P230" s="44"/>
      <c r="Q230" s="44"/>
      <c r="R230" s="44"/>
      <c r="S230" s="44"/>
      <c r="T230" s="45"/>
      <c r="U230" s="38" t="str">
        <f>HYPERLINK("https://www.ncbi.nlm.nih.gov/pubmed/29126668","PubMed")</f>
        <v>PubMed</v>
      </c>
      <c r="V230" s="30"/>
      <c r="W230" s="49"/>
      <c r="X230" s="49"/>
      <c r="Y230" s="35"/>
      <c r="Z230" s="35"/>
      <c r="AA230" s="35"/>
      <c r="AB230" s="35"/>
      <c r="AC230" s="35"/>
      <c r="AD230" s="35"/>
      <c r="AE230" s="35"/>
      <c r="AF230" s="35"/>
      <c r="AG230" s="35"/>
      <c r="AH230" s="35"/>
      <c r="AI230" s="35"/>
      <c r="AJ230" s="35"/>
      <c r="AK230" s="35"/>
      <c r="AL230" s="35"/>
    </row>
    <row r="231" ht="39.0" customHeight="1">
      <c r="A231" s="1"/>
      <c r="B231" s="19" t="s">
        <v>221</v>
      </c>
      <c r="C231" s="20" t="s">
        <v>1323</v>
      </c>
      <c r="D231" s="47"/>
      <c r="E231" s="22" t="s">
        <v>1333</v>
      </c>
      <c r="F231" s="22" t="s">
        <v>323</v>
      </c>
      <c r="G231" s="23">
        <v>2014.0</v>
      </c>
      <c r="H231" s="22" t="s">
        <v>147</v>
      </c>
      <c r="I231" s="24" t="s">
        <v>1334</v>
      </c>
      <c r="J231" s="22" t="s">
        <v>125</v>
      </c>
      <c r="K231" s="22"/>
      <c r="L231" s="105" t="s">
        <v>1335</v>
      </c>
      <c r="M231" s="44"/>
      <c r="N231" s="44"/>
      <c r="O231" s="44"/>
      <c r="P231" s="44"/>
      <c r="Q231" s="44"/>
      <c r="R231" s="44"/>
      <c r="S231" s="44"/>
      <c r="T231" s="45"/>
      <c r="U231" s="38" t="str">
        <f>HYPERLINK("https://www.ncbi.nlm.nih.gov/pubmed/25653816","PubMed")</f>
        <v>PubMed</v>
      </c>
      <c r="V231" s="30"/>
      <c r="W231" s="49"/>
      <c r="X231" s="49"/>
      <c r="Y231" s="35"/>
      <c r="Z231" s="35"/>
      <c r="AA231" s="35"/>
      <c r="AB231" s="35"/>
      <c r="AC231" s="35"/>
      <c r="AD231" s="35"/>
      <c r="AE231" s="35"/>
      <c r="AF231" s="35"/>
      <c r="AG231" s="35"/>
      <c r="AH231" s="35"/>
      <c r="AI231" s="35"/>
      <c r="AJ231" s="35"/>
      <c r="AK231" s="35"/>
      <c r="AL231" s="35"/>
    </row>
    <row r="232" ht="52.5" customHeight="1">
      <c r="A232" s="1"/>
      <c r="B232" s="19" t="s">
        <v>221</v>
      </c>
      <c r="C232" s="20" t="s">
        <v>1323</v>
      </c>
      <c r="D232" s="47"/>
      <c r="E232" s="22" t="s">
        <v>1336</v>
      </c>
      <c r="F232" s="22" t="s">
        <v>1337</v>
      </c>
      <c r="G232" s="23">
        <v>2014.0</v>
      </c>
      <c r="H232" s="22" t="s">
        <v>1338</v>
      </c>
      <c r="I232" s="24" t="s">
        <v>1339</v>
      </c>
      <c r="J232" s="22" t="s">
        <v>1340</v>
      </c>
      <c r="K232" s="22"/>
      <c r="L232" s="36">
        <v>940.0</v>
      </c>
      <c r="M232" s="36">
        <v>70.0</v>
      </c>
      <c r="N232" s="36" t="s">
        <v>1341</v>
      </c>
      <c r="O232" s="36" t="s">
        <v>1342</v>
      </c>
      <c r="P232" s="37"/>
      <c r="Q232" s="36" t="s">
        <v>1343</v>
      </c>
      <c r="R232" s="106"/>
      <c r="S232" s="36">
        <v>1.0</v>
      </c>
      <c r="T232" s="28" t="s">
        <v>1344</v>
      </c>
      <c r="U232" s="38" t="str">
        <f>HYPERLINK("http://www.ncbi.nlm.nih.gov/pubmed/23559459","PubMed")</f>
        <v>PubMed</v>
      </c>
      <c r="V232" s="30"/>
      <c r="W232" s="49"/>
      <c r="X232" s="49"/>
      <c r="Y232" s="35"/>
      <c r="Z232" s="35"/>
      <c r="AA232" s="35"/>
      <c r="AB232" s="35"/>
      <c r="AC232" s="35"/>
      <c r="AD232" s="35"/>
      <c r="AE232" s="35"/>
      <c r="AF232" s="35"/>
      <c r="AG232" s="35"/>
      <c r="AH232" s="35"/>
      <c r="AI232" s="35"/>
      <c r="AJ232" s="35"/>
      <c r="AK232" s="35"/>
      <c r="AL232" s="35"/>
    </row>
    <row r="233" ht="52.5" customHeight="1">
      <c r="A233" s="1"/>
      <c r="B233" s="19" t="s">
        <v>221</v>
      </c>
      <c r="C233" s="20" t="s">
        <v>1323</v>
      </c>
      <c r="D233" s="47"/>
      <c r="E233" s="22" t="s">
        <v>1345</v>
      </c>
      <c r="F233" s="22" t="s">
        <v>41</v>
      </c>
      <c r="G233" s="23">
        <v>2014.0</v>
      </c>
      <c r="H233" s="22" t="s">
        <v>91</v>
      </c>
      <c r="I233" s="24" t="s">
        <v>1346</v>
      </c>
      <c r="J233" s="22" t="s">
        <v>31</v>
      </c>
      <c r="K233" s="22" t="s">
        <v>1347</v>
      </c>
      <c r="L233" s="36" t="s">
        <v>1348</v>
      </c>
      <c r="M233" s="36"/>
      <c r="N233" s="36"/>
      <c r="O233" s="36"/>
      <c r="P233" s="37"/>
      <c r="Q233" s="36"/>
      <c r="R233" s="106"/>
      <c r="S233" s="36"/>
      <c r="T233" s="42" t="s">
        <v>1349</v>
      </c>
      <c r="U233" s="38" t="str">
        <f>HYPERLINK("https://www.ncbi.nlm.nih.gov/pubmed/23179312","PubMed")</f>
        <v>PubMed</v>
      </c>
      <c r="V233" s="30"/>
      <c r="W233" s="49"/>
      <c r="X233" s="49"/>
      <c r="Y233" s="35"/>
      <c r="Z233" s="35"/>
      <c r="AA233" s="35"/>
      <c r="AB233" s="35"/>
      <c r="AC233" s="35"/>
      <c r="AD233" s="35"/>
      <c r="AE233" s="35"/>
      <c r="AF233" s="35"/>
      <c r="AG233" s="35"/>
      <c r="AH233" s="35"/>
      <c r="AI233" s="35"/>
      <c r="AJ233" s="35"/>
      <c r="AK233" s="35"/>
      <c r="AL233" s="35"/>
    </row>
    <row r="234" ht="52.5" customHeight="1">
      <c r="A234" s="89"/>
      <c r="B234" s="19" t="s">
        <v>221</v>
      </c>
      <c r="C234" s="20" t="s">
        <v>1323</v>
      </c>
      <c r="D234" s="47"/>
      <c r="E234" s="56" t="s">
        <v>1350</v>
      </c>
      <c r="F234" s="22" t="s">
        <v>347</v>
      </c>
      <c r="G234" s="57">
        <v>2013.0</v>
      </c>
      <c r="H234" s="56" t="s">
        <v>1025</v>
      </c>
      <c r="I234" s="58" t="s">
        <v>1351</v>
      </c>
      <c r="J234" s="22" t="s">
        <v>31</v>
      </c>
      <c r="K234" s="96"/>
      <c r="L234" s="36">
        <v>659.0</v>
      </c>
      <c r="M234" s="36">
        <v>10.0</v>
      </c>
      <c r="N234" s="107"/>
      <c r="O234" s="107"/>
      <c r="P234" s="37" t="s">
        <v>1352</v>
      </c>
      <c r="Q234" s="107"/>
      <c r="R234" s="107"/>
      <c r="S234" s="36">
        <v>3.0</v>
      </c>
      <c r="T234" s="63" t="s">
        <v>1353</v>
      </c>
      <c r="U234" s="66" t="str">
        <f>HYPERLINK("https://www.ncbi.nlm.nih.gov/pubmed/24365957","PubMed")</f>
        <v>PubMed</v>
      </c>
      <c r="V234" s="50"/>
      <c r="W234" s="49"/>
      <c r="X234" s="49"/>
      <c r="Y234" s="35"/>
      <c r="Z234" s="35"/>
      <c r="AA234" s="35"/>
      <c r="AB234" s="35"/>
      <c r="AC234" s="35"/>
      <c r="AD234" s="35"/>
      <c r="AE234" s="35"/>
      <c r="AF234" s="35"/>
      <c r="AG234" s="35"/>
      <c r="AH234" s="35"/>
      <c r="AI234" s="35"/>
      <c r="AJ234" s="35"/>
      <c r="AK234" s="35"/>
      <c r="AL234" s="35"/>
    </row>
    <row r="235" ht="52.5" customHeight="1">
      <c r="A235" s="89"/>
      <c r="B235" s="19" t="s">
        <v>221</v>
      </c>
      <c r="C235" s="20" t="s">
        <v>1323</v>
      </c>
      <c r="D235" s="47"/>
      <c r="E235" s="56" t="s">
        <v>1354</v>
      </c>
      <c r="F235" s="22" t="s">
        <v>308</v>
      </c>
      <c r="G235" s="57">
        <v>2011.0</v>
      </c>
      <c r="H235" s="56" t="s">
        <v>91</v>
      </c>
      <c r="I235" s="58" t="s">
        <v>1355</v>
      </c>
      <c r="J235" s="22" t="s">
        <v>31</v>
      </c>
      <c r="K235" s="96"/>
      <c r="L235" s="36">
        <v>685.0</v>
      </c>
      <c r="M235" s="107"/>
      <c r="N235" s="107"/>
      <c r="O235" s="107"/>
      <c r="P235" s="37" t="s">
        <v>1356</v>
      </c>
      <c r="Q235" s="107"/>
      <c r="R235" s="107"/>
      <c r="S235" s="36"/>
      <c r="T235" s="71" t="s">
        <v>1357</v>
      </c>
      <c r="U235" s="66" t="str">
        <f>HYPERLINK("https://www.ncbi.nlm.nih.gov/pubmed/21387157","PubMed")</f>
        <v>PubMed</v>
      </c>
      <c r="V235" s="50"/>
      <c r="W235" s="49"/>
      <c r="X235" s="49"/>
      <c r="Y235" s="35"/>
      <c r="Z235" s="35"/>
      <c r="AA235" s="35"/>
      <c r="AB235" s="35"/>
      <c r="AC235" s="35"/>
      <c r="AD235" s="35"/>
      <c r="AE235" s="35"/>
      <c r="AF235" s="35"/>
      <c r="AG235" s="35"/>
      <c r="AH235" s="35"/>
      <c r="AI235" s="35"/>
      <c r="AJ235" s="35"/>
      <c r="AK235" s="35"/>
      <c r="AL235" s="35"/>
    </row>
    <row r="236" ht="52.5" customHeight="1">
      <c r="A236" s="89"/>
      <c r="B236" s="19" t="s">
        <v>221</v>
      </c>
      <c r="C236" s="20" t="s">
        <v>1323</v>
      </c>
      <c r="D236" s="47"/>
      <c r="E236" s="56" t="s">
        <v>1358</v>
      </c>
      <c r="F236" s="22" t="s">
        <v>41</v>
      </c>
      <c r="G236" s="57">
        <v>2011.0</v>
      </c>
      <c r="H236" s="56" t="s">
        <v>1359</v>
      </c>
      <c r="I236" s="58" t="s">
        <v>1360</v>
      </c>
      <c r="J236" s="22" t="s">
        <v>1361</v>
      </c>
      <c r="K236" s="56" t="s">
        <v>294</v>
      </c>
      <c r="L236" s="36" t="s">
        <v>1362</v>
      </c>
      <c r="M236" s="107"/>
      <c r="N236" s="107"/>
      <c r="O236" s="107"/>
      <c r="P236" s="37" t="s">
        <v>1363</v>
      </c>
      <c r="Q236" s="107"/>
      <c r="R236" s="107"/>
      <c r="S236" s="36"/>
      <c r="T236" s="71" t="s">
        <v>1364</v>
      </c>
      <c r="U236" s="66" t="str">
        <f>HYPERLINK("https://www.ncbi.nlm.nih.gov/pubmed/21702221","PubMed")</f>
        <v>PubMed</v>
      </c>
      <c r="V236" s="50"/>
      <c r="W236" s="49"/>
      <c r="X236" s="49"/>
      <c r="Y236" s="35"/>
      <c r="Z236" s="35"/>
      <c r="AA236" s="35"/>
      <c r="AB236" s="35"/>
      <c r="AC236" s="35"/>
      <c r="AD236" s="35"/>
      <c r="AE236" s="35"/>
      <c r="AF236" s="35"/>
      <c r="AG236" s="35"/>
      <c r="AH236" s="35"/>
      <c r="AI236" s="35"/>
      <c r="AJ236" s="35"/>
      <c r="AK236" s="35"/>
      <c r="AL236" s="35"/>
    </row>
    <row r="237" ht="52.5" customHeight="1">
      <c r="A237" s="89"/>
      <c r="B237" s="19" t="s">
        <v>221</v>
      </c>
      <c r="C237" s="20" t="s">
        <v>1323</v>
      </c>
      <c r="D237" s="47"/>
      <c r="E237" s="56" t="s">
        <v>1211</v>
      </c>
      <c r="F237" s="22" t="s">
        <v>400</v>
      </c>
      <c r="G237" s="57">
        <v>2010.0</v>
      </c>
      <c r="H237" s="56" t="s">
        <v>658</v>
      </c>
      <c r="I237" s="58" t="s">
        <v>1365</v>
      </c>
      <c r="J237" s="22" t="s">
        <v>31</v>
      </c>
      <c r="K237" s="96"/>
      <c r="L237" s="36">
        <v>830.0</v>
      </c>
      <c r="M237" s="36">
        <v>30.0</v>
      </c>
      <c r="N237" s="107"/>
      <c r="O237" s="107"/>
      <c r="P237" s="37" t="s">
        <v>95</v>
      </c>
      <c r="Q237" s="36" t="s">
        <v>1366</v>
      </c>
      <c r="R237" s="36" t="s">
        <v>1367</v>
      </c>
      <c r="S237" s="36">
        <v>1.0</v>
      </c>
      <c r="T237" s="71" t="s">
        <v>1368</v>
      </c>
      <c r="U237" s="97" t="s">
        <v>61</v>
      </c>
      <c r="V237" s="50"/>
      <c r="W237" s="49"/>
      <c r="X237" s="49"/>
      <c r="Y237" s="35"/>
      <c r="Z237" s="35"/>
      <c r="AA237" s="35"/>
      <c r="AB237" s="35"/>
      <c r="AC237" s="35"/>
      <c r="AD237" s="35"/>
      <c r="AE237" s="35"/>
      <c r="AF237" s="35"/>
      <c r="AG237" s="35"/>
      <c r="AH237" s="35"/>
      <c r="AI237" s="35"/>
      <c r="AJ237" s="35"/>
      <c r="AK237" s="35"/>
      <c r="AL237" s="35"/>
    </row>
    <row r="238" ht="52.5" customHeight="1">
      <c r="A238" s="89"/>
      <c r="B238" s="19" t="s">
        <v>221</v>
      </c>
      <c r="C238" s="20" t="s">
        <v>1323</v>
      </c>
      <c r="D238" s="47"/>
      <c r="E238" s="56" t="s">
        <v>1369</v>
      </c>
      <c r="F238" s="22" t="s">
        <v>1370</v>
      </c>
      <c r="G238" s="57">
        <v>2009.0</v>
      </c>
      <c r="H238" s="56" t="s">
        <v>658</v>
      </c>
      <c r="I238" s="58" t="s">
        <v>1371</v>
      </c>
      <c r="J238" s="22" t="s">
        <v>31</v>
      </c>
      <c r="K238" s="22"/>
      <c r="L238" s="36">
        <v>650.0</v>
      </c>
      <c r="M238" s="36">
        <v>2.0</v>
      </c>
      <c r="N238" s="107"/>
      <c r="O238" s="107"/>
      <c r="P238" s="37" t="s">
        <v>1372</v>
      </c>
      <c r="Q238" s="107"/>
      <c r="R238" s="107"/>
      <c r="S238" s="36"/>
      <c r="T238" s="63" t="s">
        <v>1373</v>
      </c>
      <c r="U238" s="66" t="str">
        <f>HYPERLINK("https://www.ncbi.nlm.nih.gov/pubmed/18800943","PubMed")</f>
        <v>PubMed</v>
      </c>
      <c r="V238" s="50"/>
      <c r="W238" s="49"/>
      <c r="X238" s="49"/>
      <c r="Y238" s="35"/>
      <c r="Z238" s="35"/>
      <c r="AA238" s="35"/>
      <c r="AB238" s="35"/>
      <c r="AC238" s="35"/>
      <c r="AD238" s="35"/>
      <c r="AE238" s="35"/>
      <c r="AF238" s="35"/>
      <c r="AG238" s="35"/>
      <c r="AH238" s="35"/>
      <c r="AI238" s="35"/>
      <c r="AJ238" s="35"/>
      <c r="AK238" s="35"/>
      <c r="AL238" s="35"/>
    </row>
    <row r="239" ht="52.5" customHeight="1">
      <c r="A239" s="89"/>
      <c r="B239" s="19" t="s">
        <v>221</v>
      </c>
      <c r="C239" s="20" t="s">
        <v>1323</v>
      </c>
      <c r="D239" s="47"/>
      <c r="E239" s="56" t="s">
        <v>1211</v>
      </c>
      <c r="F239" s="22" t="s">
        <v>400</v>
      </c>
      <c r="G239" s="57">
        <v>2007.0</v>
      </c>
      <c r="H239" s="56" t="s">
        <v>658</v>
      </c>
      <c r="I239" s="58" t="s">
        <v>1374</v>
      </c>
      <c r="J239" s="22" t="s">
        <v>31</v>
      </c>
      <c r="K239" s="22" t="s">
        <v>1375</v>
      </c>
      <c r="L239" s="36" t="s">
        <v>1376</v>
      </c>
      <c r="M239" s="107"/>
      <c r="N239" s="107"/>
      <c r="O239" s="107"/>
      <c r="P239" s="37" t="s">
        <v>1377</v>
      </c>
      <c r="Q239" s="107"/>
      <c r="R239" s="107"/>
      <c r="S239" s="36">
        <v>1.0</v>
      </c>
      <c r="T239" s="108" t="s">
        <v>1378</v>
      </c>
      <c r="U239" s="97" t="s">
        <v>61</v>
      </c>
      <c r="V239" s="50"/>
      <c r="W239" s="49"/>
      <c r="X239" s="49"/>
      <c r="Y239" s="35"/>
      <c r="Z239" s="35"/>
      <c r="AA239" s="35"/>
      <c r="AB239" s="35"/>
      <c r="AC239" s="35"/>
      <c r="AD239" s="35"/>
      <c r="AE239" s="35"/>
      <c r="AF239" s="35"/>
      <c r="AG239" s="35"/>
      <c r="AH239" s="35"/>
      <c r="AI239" s="35"/>
      <c r="AJ239" s="35"/>
      <c r="AK239" s="35"/>
      <c r="AL239" s="35"/>
    </row>
    <row r="240" ht="52.5" customHeight="1">
      <c r="A240" s="89"/>
      <c r="B240" s="19" t="s">
        <v>221</v>
      </c>
      <c r="C240" s="20" t="s">
        <v>1323</v>
      </c>
      <c r="D240" s="47"/>
      <c r="E240" s="56" t="s">
        <v>1379</v>
      </c>
      <c r="F240" s="22" t="s">
        <v>1380</v>
      </c>
      <c r="G240" s="57">
        <v>2007.0</v>
      </c>
      <c r="H240" s="56" t="s">
        <v>658</v>
      </c>
      <c r="I240" s="58" t="s">
        <v>1381</v>
      </c>
      <c r="J240" s="22" t="s">
        <v>31</v>
      </c>
      <c r="K240" s="22" t="s">
        <v>1382</v>
      </c>
      <c r="L240" s="36">
        <v>633.0</v>
      </c>
      <c r="M240" s="107"/>
      <c r="N240" s="107"/>
      <c r="O240" s="107"/>
      <c r="P240" s="37" t="s">
        <v>1383</v>
      </c>
      <c r="Q240" s="107"/>
      <c r="R240" s="107"/>
      <c r="S240" s="36"/>
      <c r="T240" s="63" t="s">
        <v>1384</v>
      </c>
      <c r="U240" s="66" t="str">
        <f>HYPERLINK("https://www.ncbi.nlm.nih.gov/pubmed/18158755","PubMed")</f>
        <v>PubMed</v>
      </c>
      <c r="V240" s="50"/>
      <c r="W240" s="49"/>
      <c r="X240" s="49"/>
      <c r="Y240" s="35"/>
      <c r="Z240" s="35"/>
      <c r="AA240" s="35"/>
      <c r="AB240" s="35"/>
      <c r="AC240" s="35"/>
      <c r="AD240" s="35"/>
      <c r="AE240" s="35"/>
      <c r="AF240" s="35"/>
      <c r="AG240" s="35"/>
      <c r="AH240" s="35"/>
      <c r="AI240" s="35"/>
      <c r="AJ240" s="35"/>
      <c r="AK240" s="35"/>
      <c r="AL240" s="35"/>
    </row>
    <row r="241" ht="52.5" customHeight="1">
      <c r="A241" s="89"/>
      <c r="B241" s="19" t="s">
        <v>221</v>
      </c>
      <c r="C241" s="20" t="s">
        <v>1323</v>
      </c>
      <c r="D241" s="47"/>
      <c r="E241" s="56" t="s">
        <v>1385</v>
      </c>
      <c r="F241" s="22" t="s">
        <v>1386</v>
      </c>
      <c r="G241" s="57">
        <v>2007.0</v>
      </c>
      <c r="H241" s="56" t="s">
        <v>658</v>
      </c>
      <c r="I241" s="58" t="s">
        <v>1387</v>
      </c>
      <c r="J241" s="22" t="s">
        <v>31</v>
      </c>
      <c r="K241" s="22" t="s">
        <v>1388</v>
      </c>
      <c r="L241" s="36" t="s">
        <v>1389</v>
      </c>
      <c r="M241" s="107"/>
      <c r="N241" s="107"/>
      <c r="O241" s="107"/>
      <c r="P241" s="37" t="s">
        <v>432</v>
      </c>
      <c r="Q241" s="107"/>
      <c r="R241" s="107"/>
      <c r="S241" s="107"/>
      <c r="T241" s="63" t="s">
        <v>1390</v>
      </c>
      <c r="U241" s="66" t="str">
        <f>HYPERLINK("https://www.ncbi.nlm.nih.gov/pubmed/17603855","PubMed")</f>
        <v>PubMed</v>
      </c>
      <c r="V241" s="50"/>
      <c r="W241" s="49"/>
      <c r="X241" s="49"/>
      <c r="Y241" s="35"/>
      <c r="Z241" s="35"/>
      <c r="AA241" s="35"/>
      <c r="AB241" s="35"/>
      <c r="AC241" s="35"/>
      <c r="AD241" s="35"/>
      <c r="AE241" s="35"/>
      <c r="AF241" s="35"/>
      <c r="AG241" s="35"/>
      <c r="AH241" s="35"/>
      <c r="AI241" s="35"/>
      <c r="AJ241" s="35"/>
      <c r="AK241" s="35"/>
      <c r="AL241" s="35"/>
    </row>
    <row r="242" ht="52.5" customHeight="1">
      <c r="A242" s="89"/>
      <c r="B242" s="19" t="s">
        <v>221</v>
      </c>
      <c r="C242" s="20" t="s">
        <v>1323</v>
      </c>
      <c r="D242" s="47"/>
      <c r="E242" s="56" t="s">
        <v>1391</v>
      </c>
      <c r="F242" s="22" t="s">
        <v>1392</v>
      </c>
      <c r="G242" s="57">
        <v>2007.0</v>
      </c>
      <c r="H242" s="56" t="s">
        <v>1393</v>
      </c>
      <c r="I242" s="58" t="s">
        <v>1394</v>
      </c>
      <c r="J242" s="22" t="s">
        <v>31</v>
      </c>
      <c r="K242" s="22" t="s">
        <v>1395</v>
      </c>
      <c r="L242" s="107"/>
      <c r="M242" s="107"/>
      <c r="N242" s="107"/>
      <c r="O242" s="107"/>
      <c r="P242" s="109"/>
      <c r="Q242" s="107"/>
      <c r="R242" s="107"/>
      <c r="S242" s="107"/>
      <c r="T242" s="63" t="s">
        <v>1396</v>
      </c>
      <c r="U242" s="97" t="s">
        <v>61</v>
      </c>
      <c r="V242" s="50"/>
      <c r="W242" s="49"/>
      <c r="X242" s="49"/>
      <c r="Y242" s="35"/>
      <c r="Z242" s="35"/>
      <c r="AA242" s="35"/>
      <c r="AB242" s="35"/>
      <c r="AC242" s="35"/>
      <c r="AD242" s="35"/>
      <c r="AE242" s="35"/>
      <c r="AF242" s="35"/>
      <c r="AG242" s="35"/>
      <c r="AH242" s="35"/>
      <c r="AI242" s="35"/>
      <c r="AJ242" s="35"/>
      <c r="AK242" s="35"/>
      <c r="AL242" s="35"/>
    </row>
    <row r="243" ht="52.5" customHeight="1">
      <c r="A243" s="89"/>
      <c r="B243" s="19" t="s">
        <v>221</v>
      </c>
      <c r="C243" s="20" t="s">
        <v>1323</v>
      </c>
      <c r="D243" s="47"/>
      <c r="E243" s="56" t="s">
        <v>1397</v>
      </c>
      <c r="F243" s="22" t="s">
        <v>1398</v>
      </c>
      <c r="G243" s="57">
        <v>2007.0</v>
      </c>
      <c r="H243" s="56" t="s">
        <v>53</v>
      </c>
      <c r="I243" s="58" t="s">
        <v>1399</v>
      </c>
      <c r="J243" s="22" t="s">
        <v>31</v>
      </c>
      <c r="K243" s="22"/>
      <c r="L243" s="36">
        <v>830.0</v>
      </c>
      <c r="M243" s="36"/>
      <c r="N243" s="36"/>
      <c r="O243" s="36"/>
      <c r="P243" s="37" t="s">
        <v>1400</v>
      </c>
      <c r="Q243" s="36"/>
      <c r="R243" s="36"/>
      <c r="S243" s="36"/>
      <c r="T243" s="63" t="s">
        <v>1401</v>
      </c>
      <c r="U243" s="66" t="str">
        <f>HYPERLINK("https://www.ncbi.nlm.nih.gov/pubmed/17659585","PubMed")</f>
        <v>PubMed</v>
      </c>
      <c r="V243" s="50"/>
      <c r="W243" s="49"/>
      <c r="X243" s="49"/>
      <c r="Y243" s="35"/>
      <c r="Z243" s="35"/>
      <c r="AA243" s="35"/>
      <c r="AB243" s="35"/>
      <c r="AC243" s="35"/>
      <c r="AD243" s="35"/>
      <c r="AE243" s="35"/>
      <c r="AF243" s="35"/>
      <c r="AG243" s="35"/>
      <c r="AH243" s="35"/>
      <c r="AI243" s="35"/>
      <c r="AJ243" s="35"/>
      <c r="AK243" s="35"/>
      <c r="AL243" s="35"/>
    </row>
    <row r="244" ht="52.5" customHeight="1">
      <c r="A244" s="89"/>
      <c r="B244" s="19" t="s">
        <v>221</v>
      </c>
      <c r="C244" s="20" t="s">
        <v>1323</v>
      </c>
      <c r="D244" s="47"/>
      <c r="E244" s="56" t="s">
        <v>1402</v>
      </c>
      <c r="F244" s="22" t="s">
        <v>1310</v>
      </c>
      <c r="G244" s="57">
        <v>2005.0</v>
      </c>
      <c r="H244" s="56" t="s">
        <v>658</v>
      </c>
      <c r="I244" s="58" t="s">
        <v>1403</v>
      </c>
      <c r="J244" s="22" t="s">
        <v>31</v>
      </c>
      <c r="K244" s="22" t="s">
        <v>1404</v>
      </c>
      <c r="L244" s="36">
        <v>632.0</v>
      </c>
      <c r="M244" s="36">
        <v>10.0</v>
      </c>
      <c r="N244" s="36" t="s">
        <v>1405</v>
      </c>
      <c r="O244" s="36"/>
      <c r="P244" s="37" t="s">
        <v>1406</v>
      </c>
      <c r="Q244" s="36" t="s">
        <v>1407</v>
      </c>
      <c r="R244" s="36" t="s">
        <v>1408</v>
      </c>
      <c r="S244" s="36">
        <v>2.0</v>
      </c>
      <c r="T244" s="63" t="s">
        <v>1409</v>
      </c>
      <c r="U244" s="97" t="s">
        <v>61</v>
      </c>
      <c r="V244" s="50"/>
      <c r="W244" s="49"/>
      <c r="X244" s="49"/>
      <c r="Y244" s="35"/>
      <c r="Z244" s="35"/>
      <c r="AA244" s="35"/>
      <c r="AB244" s="35"/>
      <c r="AC244" s="35"/>
      <c r="AD244" s="35"/>
      <c r="AE244" s="35"/>
      <c r="AF244" s="35"/>
      <c r="AG244" s="35"/>
      <c r="AH244" s="35"/>
      <c r="AI244" s="35"/>
      <c r="AJ244" s="35"/>
      <c r="AK244" s="35"/>
      <c r="AL244" s="35"/>
    </row>
    <row r="245" ht="52.5" customHeight="1">
      <c r="A245" s="89"/>
      <c r="B245" s="19" t="s">
        <v>221</v>
      </c>
      <c r="C245" s="20" t="s">
        <v>1323</v>
      </c>
      <c r="D245" s="47"/>
      <c r="E245" s="56" t="s">
        <v>1410</v>
      </c>
      <c r="F245" s="22" t="s">
        <v>1411</v>
      </c>
      <c r="G245" s="57">
        <v>2003.0</v>
      </c>
      <c r="H245" s="56" t="s">
        <v>1289</v>
      </c>
      <c r="I245" s="58" t="s">
        <v>1412</v>
      </c>
      <c r="J245" s="22" t="s">
        <v>31</v>
      </c>
      <c r="K245" s="56" t="s">
        <v>1413</v>
      </c>
      <c r="L245" s="69">
        <v>830.0</v>
      </c>
      <c r="M245" s="69">
        <v>500.0</v>
      </c>
      <c r="N245" s="69"/>
      <c r="O245" s="69"/>
      <c r="P245" s="70" t="s">
        <v>1414</v>
      </c>
      <c r="Q245" s="69"/>
      <c r="R245" s="69"/>
      <c r="S245" s="69"/>
      <c r="T245" s="63" t="s">
        <v>1415</v>
      </c>
      <c r="U245" s="60" t="str">
        <f>HYPERLINK("https://www.ncbi.nlm.nih.gov/pubmed/14651794","PubMed")</f>
        <v>PubMed</v>
      </c>
      <c r="V245" s="50"/>
      <c r="W245" s="49"/>
      <c r="X245" s="49"/>
      <c r="Y245" s="35"/>
      <c r="Z245" s="35"/>
      <c r="AA245" s="35"/>
      <c r="AB245" s="35"/>
      <c r="AC245" s="35"/>
      <c r="AD245" s="35"/>
      <c r="AE245" s="35"/>
      <c r="AF245" s="35"/>
      <c r="AG245" s="35"/>
      <c r="AH245" s="35"/>
      <c r="AI245" s="35"/>
      <c r="AJ245" s="35"/>
      <c r="AK245" s="35"/>
      <c r="AL245" s="35"/>
    </row>
    <row r="246" ht="52.5" customHeight="1">
      <c r="A246" s="89"/>
      <c r="B246" s="19" t="s">
        <v>221</v>
      </c>
      <c r="C246" s="20" t="s">
        <v>1323</v>
      </c>
      <c r="D246" s="47"/>
      <c r="E246" s="56" t="s">
        <v>1410</v>
      </c>
      <c r="F246" s="22" t="s">
        <v>1416</v>
      </c>
      <c r="G246" s="57">
        <v>2001.0</v>
      </c>
      <c r="H246" s="56" t="s">
        <v>1417</v>
      </c>
      <c r="I246" s="58" t="s">
        <v>1418</v>
      </c>
      <c r="J246" s="22" t="s">
        <v>31</v>
      </c>
      <c r="K246" s="56"/>
      <c r="L246" s="69">
        <v>830.0</v>
      </c>
      <c r="M246" s="69">
        <v>500.0</v>
      </c>
      <c r="N246" s="69"/>
      <c r="O246" s="69"/>
      <c r="P246" s="70"/>
      <c r="Q246" s="69"/>
      <c r="R246" s="69"/>
      <c r="S246" s="69">
        <v>1.0</v>
      </c>
      <c r="T246" s="63" t="s">
        <v>1419</v>
      </c>
      <c r="U246" s="97" t="s">
        <v>61</v>
      </c>
      <c r="V246" s="50"/>
      <c r="W246" s="49"/>
      <c r="X246" s="49"/>
      <c r="Y246" s="35"/>
      <c r="Z246" s="35"/>
      <c r="AA246" s="35"/>
      <c r="AB246" s="35"/>
      <c r="AC246" s="35"/>
      <c r="AD246" s="35"/>
      <c r="AE246" s="35"/>
      <c r="AF246" s="35"/>
      <c r="AG246" s="35"/>
      <c r="AH246" s="35"/>
      <c r="AI246" s="35"/>
      <c r="AJ246" s="35"/>
      <c r="AK246" s="35"/>
      <c r="AL246" s="35"/>
    </row>
    <row r="247" ht="52.5" customHeight="1">
      <c r="A247" s="89"/>
      <c r="B247" s="19" t="s">
        <v>221</v>
      </c>
      <c r="C247" s="20" t="s">
        <v>1323</v>
      </c>
      <c r="D247" s="47"/>
      <c r="E247" s="56" t="s">
        <v>1420</v>
      </c>
      <c r="F247" s="22" t="s">
        <v>1416</v>
      </c>
      <c r="G247" s="57">
        <v>1998.0</v>
      </c>
      <c r="H247" s="56" t="s">
        <v>221</v>
      </c>
      <c r="I247" s="58" t="s">
        <v>1421</v>
      </c>
      <c r="J247" s="22" t="s">
        <v>31</v>
      </c>
      <c r="K247" s="56" t="s">
        <v>1422</v>
      </c>
      <c r="L247" s="69">
        <v>830.0</v>
      </c>
      <c r="M247" s="69">
        <v>500.0</v>
      </c>
      <c r="N247" s="69"/>
      <c r="O247" s="69"/>
      <c r="P247" s="70"/>
      <c r="Q247" s="69"/>
      <c r="R247" s="69"/>
      <c r="S247" s="69"/>
      <c r="T247" s="63" t="s">
        <v>1423</v>
      </c>
      <c r="U247" s="97" t="s">
        <v>61</v>
      </c>
      <c r="V247" s="110" t="s">
        <v>1424</v>
      </c>
      <c r="W247" s="49"/>
      <c r="X247" s="49"/>
      <c r="Y247" s="35"/>
      <c r="Z247" s="35"/>
      <c r="AA247" s="35"/>
      <c r="AB247" s="35"/>
      <c r="AC247" s="35"/>
      <c r="AD247" s="35"/>
      <c r="AE247" s="35"/>
      <c r="AF247" s="35"/>
      <c r="AG247" s="35"/>
      <c r="AH247" s="35"/>
      <c r="AI247" s="35"/>
      <c r="AJ247" s="35"/>
      <c r="AK247" s="35"/>
      <c r="AL247" s="35"/>
    </row>
    <row r="248" ht="52.5" customHeight="1">
      <c r="A248" s="89"/>
      <c r="B248" s="19" t="s">
        <v>221</v>
      </c>
      <c r="C248" s="20" t="s">
        <v>1323</v>
      </c>
      <c r="D248" s="47"/>
      <c r="E248" s="56" t="s">
        <v>1425</v>
      </c>
      <c r="F248" s="22" t="s">
        <v>1426</v>
      </c>
      <c r="G248" s="57">
        <v>1993.0</v>
      </c>
      <c r="H248" s="56" t="s">
        <v>292</v>
      </c>
      <c r="I248" s="58" t="s">
        <v>1427</v>
      </c>
      <c r="J248" s="22" t="s">
        <v>31</v>
      </c>
      <c r="K248" s="56" t="s">
        <v>1428</v>
      </c>
      <c r="L248" s="69">
        <v>633.0</v>
      </c>
      <c r="M248" s="69"/>
      <c r="N248" s="69"/>
      <c r="O248" s="69"/>
      <c r="P248" s="70"/>
      <c r="Q248" s="69"/>
      <c r="R248" s="69"/>
      <c r="S248" s="69"/>
      <c r="T248" s="63" t="s">
        <v>1429</v>
      </c>
      <c r="U248" s="66" t="str">
        <f>HYPERLINK("https://www.jstage.jst.go.jp/article/islsm/5/2/5_93-OR-05/_article/-char/en","J-STAGE")</f>
        <v>J-STAGE</v>
      </c>
      <c r="V248" s="110"/>
      <c r="W248" s="49"/>
      <c r="X248" s="49"/>
      <c r="Y248" s="35"/>
      <c r="Z248" s="35"/>
      <c r="AA248" s="35"/>
      <c r="AB248" s="35"/>
      <c r="AC248" s="35"/>
      <c r="AD248" s="35"/>
      <c r="AE248" s="35"/>
      <c r="AF248" s="35"/>
      <c r="AG248" s="35"/>
      <c r="AH248" s="35"/>
      <c r="AI248" s="35"/>
      <c r="AJ248" s="35"/>
      <c r="AK248" s="35"/>
      <c r="AL248" s="35"/>
    </row>
    <row r="249" ht="52.5" customHeight="1">
      <c r="A249" s="89"/>
      <c r="B249" s="19" t="s">
        <v>221</v>
      </c>
      <c r="C249" s="20" t="s">
        <v>1323</v>
      </c>
      <c r="D249" s="47"/>
      <c r="E249" s="56" t="s">
        <v>1430</v>
      </c>
      <c r="F249" s="22" t="s">
        <v>1431</v>
      </c>
      <c r="G249" s="57">
        <v>1993.0</v>
      </c>
      <c r="H249" s="56" t="s">
        <v>1432</v>
      </c>
      <c r="I249" s="58" t="s">
        <v>1433</v>
      </c>
      <c r="J249" s="22" t="s">
        <v>31</v>
      </c>
      <c r="K249" s="56" t="s">
        <v>1434</v>
      </c>
      <c r="L249" s="69">
        <v>633.0</v>
      </c>
      <c r="M249" s="69">
        <v>6.0</v>
      </c>
      <c r="N249" s="69"/>
      <c r="O249" s="69"/>
      <c r="P249" s="70"/>
      <c r="Q249" s="69"/>
      <c r="R249" s="69"/>
      <c r="S249" s="69"/>
      <c r="T249" s="74" t="s">
        <v>1435</v>
      </c>
      <c r="U249" s="66" t="str">
        <f>HYPERLINK("https://www.ncbi.nlm.nih.gov/pubmed/8478640","PubMed")</f>
        <v>PubMed</v>
      </c>
      <c r="V249" s="110"/>
      <c r="W249" s="49"/>
      <c r="X249" s="49"/>
      <c r="Y249" s="35"/>
      <c r="Z249" s="35"/>
      <c r="AA249" s="35"/>
      <c r="AB249" s="35"/>
      <c r="AC249" s="35"/>
      <c r="AD249" s="35"/>
      <c r="AE249" s="35"/>
      <c r="AF249" s="35"/>
      <c r="AG249" s="35"/>
      <c r="AH249" s="35"/>
      <c r="AI249" s="35"/>
      <c r="AJ249" s="35"/>
      <c r="AK249" s="35"/>
      <c r="AL249" s="35"/>
    </row>
    <row r="250" ht="52.5" customHeight="1">
      <c r="A250" s="89"/>
      <c r="B250" s="19" t="s">
        <v>221</v>
      </c>
      <c r="C250" s="20" t="s">
        <v>1323</v>
      </c>
      <c r="D250" s="47"/>
      <c r="E250" s="56" t="s">
        <v>1436</v>
      </c>
      <c r="F250" s="22" t="s">
        <v>1437</v>
      </c>
      <c r="G250" s="57">
        <v>1990.0</v>
      </c>
      <c r="H250" s="56" t="s">
        <v>53</v>
      </c>
      <c r="I250" s="58" t="s">
        <v>1438</v>
      </c>
      <c r="J250" s="22" t="s">
        <v>31</v>
      </c>
      <c r="K250" s="56" t="s">
        <v>1240</v>
      </c>
      <c r="L250" s="69">
        <v>633.0</v>
      </c>
      <c r="M250" s="69"/>
      <c r="N250" s="69" t="s">
        <v>1439</v>
      </c>
      <c r="O250" s="69"/>
      <c r="P250" s="70"/>
      <c r="Q250" s="69"/>
      <c r="R250" s="69"/>
      <c r="S250" s="69"/>
      <c r="T250" s="74" t="s">
        <v>1440</v>
      </c>
      <c r="U250" s="66" t="str">
        <f>HYPERLINK("https://www.ncbi.nlm.nih.gov/pubmed/2308463","PubMed")</f>
        <v>PubMed</v>
      </c>
      <c r="V250" s="110"/>
      <c r="W250" s="49"/>
      <c r="X250" s="49"/>
      <c r="Y250" s="35"/>
      <c r="Z250" s="35"/>
      <c r="AA250" s="35"/>
      <c r="AB250" s="35"/>
      <c r="AC250" s="35"/>
      <c r="AD250" s="35"/>
      <c r="AE250" s="35"/>
      <c r="AF250" s="35"/>
      <c r="AG250" s="35"/>
      <c r="AH250" s="35"/>
      <c r="AI250" s="35"/>
      <c r="AJ250" s="35"/>
      <c r="AK250" s="35"/>
      <c r="AL250" s="35"/>
    </row>
    <row r="251" ht="52.5" customHeight="1">
      <c r="A251" s="89"/>
      <c r="B251" s="19" t="s">
        <v>221</v>
      </c>
      <c r="C251" s="20" t="s">
        <v>1441</v>
      </c>
      <c r="D251" s="47"/>
      <c r="E251" s="56" t="s">
        <v>1442</v>
      </c>
      <c r="F251" s="22" t="s">
        <v>176</v>
      </c>
      <c r="G251" s="57">
        <v>2014.0</v>
      </c>
      <c r="H251" s="56" t="s">
        <v>292</v>
      </c>
      <c r="I251" s="58" t="s">
        <v>1443</v>
      </c>
      <c r="J251" s="22" t="s">
        <v>1444</v>
      </c>
      <c r="K251" s="56" t="s">
        <v>1445</v>
      </c>
      <c r="L251" s="69" t="s">
        <v>1446</v>
      </c>
      <c r="M251" s="69"/>
      <c r="N251" s="69"/>
      <c r="O251" s="69"/>
      <c r="P251" s="70"/>
      <c r="Q251" s="69"/>
      <c r="R251" s="69"/>
      <c r="S251" s="69"/>
      <c r="T251" s="74" t="s">
        <v>1447</v>
      </c>
      <c r="U251" s="66" t="str">
        <f>HYPERLINK("https://www.ncbi.nlm.nih.gov/pubmed/25071311","PubMed")</f>
        <v>PubMed</v>
      </c>
      <c r="V251" s="110"/>
      <c r="W251" s="49"/>
      <c r="X251" s="49"/>
      <c r="Y251" s="35"/>
      <c r="Z251" s="35"/>
      <c r="AA251" s="35"/>
      <c r="AB251" s="35"/>
      <c r="AC251" s="35"/>
      <c r="AD251" s="35"/>
      <c r="AE251" s="35"/>
      <c r="AF251" s="35"/>
      <c r="AG251" s="35"/>
      <c r="AH251" s="35"/>
      <c r="AI251" s="35"/>
      <c r="AJ251" s="35"/>
      <c r="AK251" s="35"/>
      <c r="AL251" s="35"/>
    </row>
    <row r="252" ht="52.5" customHeight="1">
      <c r="A252" s="111"/>
      <c r="B252" s="19" t="s">
        <v>221</v>
      </c>
      <c r="C252" s="20" t="s">
        <v>1448</v>
      </c>
      <c r="D252" s="112"/>
      <c r="E252" s="113" t="s">
        <v>1449</v>
      </c>
      <c r="F252" s="113" t="s">
        <v>1450</v>
      </c>
      <c r="G252" s="57">
        <v>2024.0</v>
      </c>
      <c r="H252" s="113" t="s">
        <v>42</v>
      </c>
      <c r="I252" s="114" t="s">
        <v>1451</v>
      </c>
      <c r="J252" s="113" t="s">
        <v>1452</v>
      </c>
      <c r="K252" s="115"/>
      <c r="L252" s="69">
        <v>780.0</v>
      </c>
      <c r="M252" s="69">
        <v>40.0</v>
      </c>
      <c r="N252" s="69">
        <v>1.0</v>
      </c>
      <c r="O252" s="69" t="s">
        <v>431</v>
      </c>
      <c r="P252" s="70" t="s">
        <v>95</v>
      </c>
      <c r="Q252" s="69" t="s">
        <v>1453</v>
      </c>
      <c r="R252" s="69" t="s">
        <v>1454</v>
      </c>
      <c r="S252" s="69" t="s">
        <v>1455</v>
      </c>
      <c r="T252" s="116" t="s">
        <v>1456</v>
      </c>
      <c r="U252" s="117" t="s">
        <v>61</v>
      </c>
      <c r="V252" s="110" t="s">
        <v>174</v>
      </c>
      <c r="W252" s="49"/>
      <c r="X252" s="49"/>
      <c r="Y252" s="35"/>
      <c r="Z252" s="35"/>
      <c r="AA252" s="35"/>
      <c r="AB252" s="35"/>
      <c r="AC252" s="35"/>
      <c r="AD252" s="35"/>
      <c r="AE252" s="35"/>
      <c r="AF252" s="35"/>
      <c r="AG252" s="35"/>
      <c r="AH252" s="35"/>
      <c r="AI252" s="35"/>
      <c r="AJ252" s="35"/>
      <c r="AK252" s="35"/>
      <c r="AL252" s="35"/>
    </row>
    <row r="253" ht="52.5" customHeight="1">
      <c r="A253" s="111"/>
      <c r="B253" s="19" t="s">
        <v>221</v>
      </c>
      <c r="C253" s="20" t="s">
        <v>1448</v>
      </c>
      <c r="D253" s="112"/>
      <c r="E253" s="113" t="s">
        <v>1457</v>
      </c>
      <c r="F253" s="115" t="s">
        <v>41</v>
      </c>
      <c r="G253" s="57">
        <v>2023.0</v>
      </c>
      <c r="H253" s="113" t="s">
        <v>627</v>
      </c>
      <c r="I253" s="114" t="s">
        <v>1458</v>
      </c>
      <c r="J253" s="113" t="s">
        <v>1459</v>
      </c>
      <c r="K253" s="115"/>
      <c r="L253" s="118"/>
      <c r="M253" s="118"/>
      <c r="N253" s="118"/>
      <c r="O253" s="118"/>
      <c r="P253" s="119"/>
      <c r="Q253" s="118"/>
      <c r="R253" s="118"/>
      <c r="S253" s="118"/>
      <c r="T253" s="116" t="s">
        <v>1460</v>
      </c>
      <c r="U253" s="117" t="s">
        <v>61</v>
      </c>
      <c r="V253" s="110"/>
      <c r="W253" s="49"/>
      <c r="X253" s="49"/>
      <c r="Y253" s="35"/>
      <c r="Z253" s="35"/>
      <c r="AA253" s="35"/>
      <c r="AB253" s="35"/>
      <c r="AC253" s="35"/>
      <c r="AD253" s="35"/>
      <c r="AE253" s="35"/>
      <c r="AF253" s="35"/>
      <c r="AG253" s="35"/>
      <c r="AH253" s="35"/>
      <c r="AI253" s="35"/>
      <c r="AJ253" s="35"/>
      <c r="AK253" s="35"/>
      <c r="AL253" s="35"/>
    </row>
    <row r="254" ht="52.5" customHeight="1">
      <c r="A254" s="111"/>
      <c r="B254" s="19" t="s">
        <v>221</v>
      </c>
      <c r="C254" s="20" t="s">
        <v>1448</v>
      </c>
      <c r="D254" s="112"/>
      <c r="E254" s="115" t="s">
        <v>1457</v>
      </c>
      <c r="F254" s="115" t="s">
        <v>41</v>
      </c>
      <c r="G254" s="57">
        <v>2023.0</v>
      </c>
      <c r="H254" s="115" t="s">
        <v>42</v>
      </c>
      <c r="I254" s="120" t="s">
        <v>1461</v>
      </c>
      <c r="J254" s="115" t="s">
        <v>1462</v>
      </c>
      <c r="K254" s="121"/>
      <c r="L254" s="118"/>
      <c r="M254" s="118"/>
      <c r="N254" s="118"/>
      <c r="O254" s="118"/>
      <c r="P254" s="119"/>
      <c r="Q254" s="118"/>
      <c r="R254" s="118"/>
      <c r="S254" s="118"/>
      <c r="T254" s="122" t="s">
        <v>1463</v>
      </c>
      <c r="U254" s="123" t="s">
        <v>61</v>
      </c>
      <c r="V254" s="110"/>
      <c r="W254" s="49"/>
      <c r="X254" s="49"/>
      <c r="Y254" s="35"/>
      <c r="Z254" s="35"/>
      <c r="AA254" s="35"/>
      <c r="AB254" s="35"/>
      <c r="AC254" s="35"/>
      <c r="AD254" s="35"/>
      <c r="AE254" s="35"/>
      <c r="AF254" s="35"/>
      <c r="AG254" s="35"/>
      <c r="AH254" s="35"/>
      <c r="AI254" s="35"/>
      <c r="AJ254" s="35"/>
      <c r="AK254" s="35"/>
      <c r="AL254" s="35"/>
    </row>
    <row r="255" ht="52.5" customHeight="1">
      <c r="A255" s="89"/>
      <c r="B255" s="19" t="s">
        <v>221</v>
      </c>
      <c r="C255" s="20" t="s">
        <v>1448</v>
      </c>
      <c r="D255" s="47"/>
      <c r="E255" s="56" t="s">
        <v>1464</v>
      </c>
      <c r="F255" s="22" t="s">
        <v>1465</v>
      </c>
      <c r="G255" s="57">
        <v>2022.0</v>
      </c>
      <c r="H255" s="56" t="s">
        <v>77</v>
      </c>
      <c r="I255" s="58" t="s">
        <v>1466</v>
      </c>
      <c r="J255" s="22" t="s">
        <v>1467</v>
      </c>
      <c r="K255" s="56"/>
      <c r="L255" s="67">
        <v>904.0</v>
      </c>
      <c r="M255" s="67">
        <v>60.0</v>
      </c>
      <c r="N255" s="67" t="s">
        <v>1468</v>
      </c>
      <c r="O255" s="67" t="s">
        <v>1469</v>
      </c>
      <c r="P255" s="68"/>
      <c r="Q255" s="67"/>
      <c r="R255" s="67"/>
      <c r="S255" s="67" t="s">
        <v>1470</v>
      </c>
      <c r="T255" s="63" t="s">
        <v>1471</v>
      </c>
      <c r="U255" s="64" t="s">
        <v>61</v>
      </c>
      <c r="V255" s="110" t="s">
        <v>1472</v>
      </c>
      <c r="W255" s="49"/>
      <c r="X255" s="49"/>
      <c r="Y255" s="35"/>
      <c r="Z255" s="35"/>
      <c r="AA255" s="35"/>
      <c r="AB255" s="35"/>
      <c r="AC255" s="35"/>
      <c r="AD255" s="35"/>
      <c r="AE255" s="35"/>
      <c r="AF255" s="35"/>
      <c r="AG255" s="35"/>
      <c r="AH255" s="35"/>
      <c r="AI255" s="35"/>
      <c r="AJ255" s="35"/>
      <c r="AK255" s="35"/>
      <c r="AL255" s="35"/>
    </row>
    <row r="256" ht="52.5" customHeight="1">
      <c r="A256" s="89"/>
      <c r="B256" s="19" t="s">
        <v>221</v>
      </c>
      <c r="C256" s="20" t="s">
        <v>1448</v>
      </c>
      <c r="D256" s="47"/>
      <c r="E256" s="56" t="s">
        <v>1473</v>
      </c>
      <c r="F256" s="22" t="s">
        <v>1465</v>
      </c>
      <c r="G256" s="57">
        <v>2021.0</v>
      </c>
      <c r="H256" s="56" t="s">
        <v>77</v>
      </c>
      <c r="I256" s="58" t="s">
        <v>1474</v>
      </c>
      <c r="J256" s="22" t="s">
        <v>1475</v>
      </c>
      <c r="K256" s="56"/>
      <c r="L256" s="67">
        <v>904.0</v>
      </c>
      <c r="M256" s="67">
        <v>60.0</v>
      </c>
      <c r="N256" s="67"/>
      <c r="O256" s="78">
        <v>44718.0</v>
      </c>
      <c r="P256" s="68"/>
      <c r="Q256" s="67" t="s">
        <v>1476</v>
      </c>
      <c r="R256" s="67">
        <v>120.0</v>
      </c>
      <c r="S256" s="67" t="s">
        <v>1470</v>
      </c>
      <c r="T256" s="74" t="s">
        <v>1477</v>
      </c>
      <c r="U256" s="64" t="s">
        <v>61</v>
      </c>
      <c r="V256" s="110" t="s">
        <v>1478</v>
      </c>
      <c r="W256" s="49"/>
      <c r="X256" s="49"/>
      <c r="Y256" s="35"/>
      <c r="Z256" s="35"/>
      <c r="AA256" s="35"/>
      <c r="AB256" s="35"/>
      <c r="AC256" s="35"/>
      <c r="AD256" s="35"/>
      <c r="AE256" s="35"/>
      <c r="AF256" s="35"/>
      <c r="AG256" s="35"/>
      <c r="AH256" s="35"/>
      <c r="AI256" s="35"/>
      <c r="AJ256" s="35"/>
      <c r="AK256" s="35"/>
      <c r="AL256" s="35"/>
    </row>
    <row r="257" ht="52.5" customHeight="1">
      <c r="A257" s="89"/>
      <c r="B257" s="19" t="s">
        <v>221</v>
      </c>
      <c r="C257" s="20" t="s">
        <v>1448</v>
      </c>
      <c r="D257" s="47"/>
      <c r="E257" s="56" t="s">
        <v>651</v>
      </c>
      <c r="F257" s="22" t="s">
        <v>183</v>
      </c>
      <c r="G257" s="57">
        <v>2020.0</v>
      </c>
      <c r="H257" s="56" t="s">
        <v>91</v>
      </c>
      <c r="I257" s="58" t="s">
        <v>1479</v>
      </c>
      <c r="J257" s="22" t="s">
        <v>253</v>
      </c>
      <c r="K257" s="56" t="s">
        <v>948</v>
      </c>
      <c r="L257" s="67" t="s">
        <v>654</v>
      </c>
      <c r="M257" s="67"/>
      <c r="N257" s="67"/>
      <c r="O257" s="67"/>
      <c r="P257" s="68"/>
      <c r="Q257" s="67"/>
      <c r="R257" s="67"/>
      <c r="S257" s="67"/>
      <c r="T257" s="74" t="s">
        <v>1480</v>
      </c>
      <c r="U257" s="64" t="s">
        <v>61</v>
      </c>
      <c r="V257" s="110"/>
      <c r="W257" s="49"/>
      <c r="X257" s="49"/>
      <c r="Y257" s="35"/>
      <c r="Z257" s="35"/>
      <c r="AA257" s="35"/>
      <c r="AB257" s="35"/>
      <c r="AC257" s="35"/>
      <c r="AD257" s="35"/>
      <c r="AE257" s="35"/>
      <c r="AF257" s="35"/>
      <c r="AG257" s="35"/>
      <c r="AH257" s="35"/>
      <c r="AI257" s="35"/>
      <c r="AJ257" s="35"/>
      <c r="AK257" s="35"/>
      <c r="AL257" s="35"/>
    </row>
    <row r="258">
      <c r="A258" s="89"/>
      <c r="B258" s="19" t="s">
        <v>221</v>
      </c>
      <c r="C258" s="20" t="s">
        <v>1448</v>
      </c>
      <c r="D258" s="47"/>
      <c r="E258" s="56" t="s">
        <v>1481</v>
      </c>
      <c r="F258" s="22" t="s">
        <v>1482</v>
      </c>
      <c r="G258" s="57">
        <v>2020.0</v>
      </c>
      <c r="H258" s="56" t="s">
        <v>77</v>
      </c>
      <c r="I258" s="58" t="s">
        <v>1483</v>
      </c>
      <c r="J258" s="22" t="s">
        <v>125</v>
      </c>
      <c r="K258" s="56"/>
      <c r="L258" s="124" t="s">
        <v>1484</v>
      </c>
      <c r="U258" s="64" t="s">
        <v>61</v>
      </c>
      <c r="V258" s="110"/>
      <c r="W258" s="49"/>
      <c r="X258" s="49"/>
      <c r="Y258" s="35"/>
      <c r="Z258" s="35"/>
      <c r="AA258" s="35"/>
      <c r="AB258" s="35"/>
      <c r="AC258" s="35"/>
      <c r="AD258" s="35"/>
      <c r="AE258" s="35"/>
      <c r="AF258" s="35"/>
      <c r="AG258" s="35"/>
      <c r="AH258" s="35"/>
      <c r="AI258" s="35"/>
      <c r="AJ258" s="35"/>
      <c r="AK258" s="35"/>
      <c r="AL258" s="35"/>
    </row>
    <row r="259">
      <c r="A259" s="89"/>
      <c r="B259" s="19" t="s">
        <v>221</v>
      </c>
      <c r="C259" s="20" t="s">
        <v>1448</v>
      </c>
      <c r="D259" s="47"/>
      <c r="E259" s="56" t="s">
        <v>651</v>
      </c>
      <c r="F259" s="22" t="s">
        <v>183</v>
      </c>
      <c r="G259" s="57">
        <v>2020.0</v>
      </c>
      <c r="H259" s="56" t="s">
        <v>1485</v>
      </c>
      <c r="I259" s="58" t="s">
        <v>1486</v>
      </c>
      <c r="J259" s="22" t="s">
        <v>253</v>
      </c>
      <c r="K259" s="56" t="s">
        <v>653</v>
      </c>
      <c r="L259" s="67" t="s">
        <v>1487</v>
      </c>
      <c r="M259" s="67"/>
      <c r="N259" s="67"/>
      <c r="O259" s="67"/>
      <c r="P259" s="68"/>
      <c r="Q259" s="67"/>
      <c r="R259" s="67"/>
      <c r="S259" s="67"/>
      <c r="T259" s="63" t="s">
        <v>1488</v>
      </c>
      <c r="U259" s="66" t="str">
        <f>HYPERLINK("https://www.ncbi.nlm.nih.gov/pubmed/32315779","PubMed")</f>
        <v>PubMed</v>
      </c>
      <c r="V259" s="110"/>
      <c r="W259" s="49"/>
      <c r="X259" s="49"/>
      <c r="Y259" s="35"/>
      <c r="Z259" s="35"/>
      <c r="AA259" s="35"/>
      <c r="AB259" s="35"/>
      <c r="AC259" s="35"/>
      <c r="AD259" s="35"/>
      <c r="AE259" s="35"/>
      <c r="AF259" s="35"/>
      <c r="AG259" s="35"/>
      <c r="AH259" s="35"/>
      <c r="AI259" s="35"/>
      <c r="AJ259" s="35"/>
      <c r="AK259" s="35"/>
      <c r="AL259" s="35"/>
    </row>
    <row r="260" ht="52.5" customHeight="1">
      <c r="A260" s="51"/>
      <c r="B260" s="19" t="s">
        <v>221</v>
      </c>
      <c r="C260" s="20" t="s">
        <v>1448</v>
      </c>
      <c r="D260" s="47"/>
      <c r="E260" s="56" t="s">
        <v>1457</v>
      </c>
      <c r="F260" s="22" t="s">
        <v>41</v>
      </c>
      <c r="G260" s="57">
        <v>2019.0</v>
      </c>
      <c r="H260" s="56" t="s">
        <v>91</v>
      </c>
      <c r="I260" s="58" t="s">
        <v>1489</v>
      </c>
      <c r="J260" s="22" t="s">
        <v>1078</v>
      </c>
      <c r="K260" s="56"/>
      <c r="L260" s="65" t="s">
        <v>1490</v>
      </c>
      <c r="U260" s="66" t="str">
        <f>HYPERLINK("https://www.ncbi.nlm.nih.gov/pubmed/30982176","PubMed")</f>
        <v>PubMed</v>
      </c>
      <c r="V260" s="110"/>
      <c r="W260" s="49"/>
      <c r="X260" s="49"/>
      <c r="Y260" s="35"/>
      <c r="Z260" s="35"/>
      <c r="AA260" s="35"/>
      <c r="AB260" s="35"/>
      <c r="AC260" s="35"/>
      <c r="AD260" s="35"/>
      <c r="AE260" s="35"/>
      <c r="AF260" s="35"/>
      <c r="AG260" s="35"/>
      <c r="AH260" s="35"/>
      <c r="AI260" s="35"/>
      <c r="AJ260" s="35"/>
      <c r="AK260" s="35"/>
      <c r="AL260" s="35"/>
    </row>
    <row r="261" ht="52.5" customHeight="1">
      <c r="A261" s="51" t="s">
        <v>181</v>
      </c>
      <c r="B261" s="19" t="s">
        <v>221</v>
      </c>
      <c r="C261" s="20" t="s">
        <v>1448</v>
      </c>
      <c r="D261" s="47"/>
      <c r="E261" s="56" t="s">
        <v>1491</v>
      </c>
      <c r="F261" s="22" t="s">
        <v>299</v>
      </c>
      <c r="G261" s="57" t="s">
        <v>90</v>
      </c>
      <c r="H261" s="56" t="s">
        <v>702</v>
      </c>
      <c r="I261" s="58" t="s">
        <v>1492</v>
      </c>
      <c r="J261" s="22" t="s">
        <v>1493</v>
      </c>
      <c r="K261" s="56" t="s">
        <v>1494</v>
      </c>
      <c r="L261" s="69" t="s">
        <v>1495</v>
      </c>
      <c r="M261" s="69"/>
      <c r="N261" s="69"/>
      <c r="O261" s="69"/>
      <c r="P261" s="70"/>
      <c r="Q261" s="69"/>
      <c r="R261" s="69">
        <v>1060.0</v>
      </c>
      <c r="S261" s="69" t="s">
        <v>1496</v>
      </c>
      <c r="T261" s="63" t="s">
        <v>1497</v>
      </c>
      <c r="U261" s="66" t="str">
        <f>HYPERLINK("https://www.ncbi.nlm.nih.gov/pubmed/28986000","PubMed")</f>
        <v>PubMed</v>
      </c>
      <c r="V261" s="110"/>
      <c r="W261" s="49"/>
      <c r="X261" s="49"/>
      <c r="Y261" s="35"/>
      <c r="Z261" s="35"/>
      <c r="AA261" s="35"/>
      <c r="AB261" s="35"/>
      <c r="AC261" s="35"/>
      <c r="AD261" s="35"/>
      <c r="AE261" s="35"/>
      <c r="AF261" s="35"/>
      <c r="AG261" s="35"/>
      <c r="AH261" s="35"/>
      <c r="AI261" s="35"/>
      <c r="AJ261" s="35"/>
      <c r="AK261" s="35"/>
      <c r="AL261" s="35"/>
    </row>
    <row r="262" ht="52.5" customHeight="1">
      <c r="A262" s="1"/>
      <c r="B262" s="19" t="s">
        <v>221</v>
      </c>
      <c r="C262" s="20" t="s">
        <v>1448</v>
      </c>
      <c r="D262" s="47"/>
      <c r="E262" s="56" t="s">
        <v>1498</v>
      </c>
      <c r="F262" s="22" t="s">
        <v>1499</v>
      </c>
      <c r="G262" s="57">
        <v>2015.0</v>
      </c>
      <c r="H262" s="56" t="s">
        <v>857</v>
      </c>
      <c r="I262" s="58" t="s">
        <v>1500</v>
      </c>
      <c r="J262" s="22" t="s">
        <v>55</v>
      </c>
      <c r="K262" s="56" t="s">
        <v>1112</v>
      </c>
      <c r="L262" s="69">
        <v>904.0</v>
      </c>
      <c r="M262" s="69"/>
      <c r="N262" s="69"/>
      <c r="O262" s="69"/>
      <c r="P262" s="70" t="s">
        <v>1501</v>
      </c>
      <c r="Q262" s="69"/>
      <c r="R262" s="69"/>
      <c r="S262" s="69"/>
      <c r="T262" s="74" t="s">
        <v>1502</v>
      </c>
      <c r="U262" s="64" t="s">
        <v>61</v>
      </c>
      <c r="V262" s="110"/>
      <c r="W262" s="49"/>
      <c r="X262" s="49"/>
      <c r="Y262" s="35"/>
      <c r="Z262" s="35"/>
      <c r="AA262" s="35"/>
      <c r="AB262" s="35"/>
      <c r="AC262" s="35"/>
      <c r="AD262" s="35"/>
      <c r="AE262" s="35"/>
      <c r="AF262" s="35"/>
      <c r="AG262" s="35"/>
      <c r="AH262" s="35"/>
      <c r="AI262" s="35"/>
      <c r="AJ262" s="35"/>
      <c r="AK262" s="35"/>
      <c r="AL262" s="35"/>
    </row>
    <row r="263" ht="52.5" customHeight="1">
      <c r="A263" s="1"/>
      <c r="B263" s="19" t="s">
        <v>221</v>
      </c>
      <c r="C263" s="20" t="s">
        <v>1448</v>
      </c>
      <c r="D263" s="47"/>
      <c r="E263" s="56" t="s">
        <v>1503</v>
      </c>
      <c r="F263" s="22" t="s">
        <v>1504</v>
      </c>
      <c r="G263" s="57">
        <v>2015.0</v>
      </c>
      <c r="H263" s="56" t="s">
        <v>91</v>
      </c>
      <c r="I263" s="58" t="s">
        <v>1505</v>
      </c>
      <c r="J263" s="22" t="s">
        <v>55</v>
      </c>
      <c r="K263" s="56"/>
      <c r="L263" s="69">
        <v>850.0</v>
      </c>
      <c r="M263" s="69">
        <v>100.0</v>
      </c>
      <c r="N263" s="69"/>
      <c r="O263" s="69"/>
      <c r="P263" s="70" t="s">
        <v>70</v>
      </c>
      <c r="Q263" s="69"/>
      <c r="R263" s="69">
        <v>64.0</v>
      </c>
      <c r="S263" s="69"/>
      <c r="T263" s="63" t="s">
        <v>1506</v>
      </c>
      <c r="U263" s="66" t="str">
        <f>HYPERLINK("https://www.ncbi.nlm.nih.gov/pubmed/25274198","PubMed")</f>
        <v>PubMed</v>
      </c>
      <c r="V263" s="110"/>
      <c r="W263" s="49"/>
      <c r="X263" s="49"/>
      <c r="Y263" s="35"/>
      <c r="Z263" s="35"/>
      <c r="AA263" s="35"/>
      <c r="AB263" s="35"/>
      <c r="AC263" s="35"/>
      <c r="AD263" s="35"/>
      <c r="AE263" s="35"/>
      <c r="AF263" s="35"/>
      <c r="AG263" s="35"/>
      <c r="AH263" s="35"/>
      <c r="AI263" s="35"/>
      <c r="AJ263" s="35"/>
      <c r="AK263" s="35"/>
      <c r="AL263" s="35"/>
    </row>
    <row r="264" ht="52.5" customHeight="1">
      <c r="A264" s="1" t="s">
        <v>2</v>
      </c>
      <c r="B264" s="19" t="s">
        <v>221</v>
      </c>
      <c r="C264" s="20" t="s">
        <v>1448</v>
      </c>
      <c r="D264" s="47"/>
      <c r="E264" s="56" t="s">
        <v>1507</v>
      </c>
      <c r="F264" s="22" t="s">
        <v>1508</v>
      </c>
      <c r="G264" s="57">
        <v>2014.0</v>
      </c>
      <c r="H264" s="56" t="s">
        <v>658</v>
      </c>
      <c r="I264" s="58" t="s">
        <v>1509</v>
      </c>
      <c r="J264" s="22" t="s">
        <v>1510</v>
      </c>
      <c r="K264" s="56"/>
      <c r="L264" s="69">
        <v>830.0</v>
      </c>
      <c r="M264" s="69">
        <v>60.0</v>
      </c>
      <c r="N264" s="69" t="s">
        <v>1511</v>
      </c>
      <c r="O264" s="69">
        <v>36.0</v>
      </c>
      <c r="P264" s="70" t="s">
        <v>1512</v>
      </c>
      <c r="Q264" s="69" t="s">
        <v>1513</v>
      </c>
      <c r="R264" s="69">
        <v>600.0</v>
      </c>
      <c r="S264" s="69" t="s">
        <v>1514</v>
      </c>
      <c r="T264" s="63" t="s">
        <v>1515</v>
      </c>
      <c r="U264" s="66" t="str">
        <f>HYPERLINK("https://www.ncbi.nlm.nih.gov/pubmed/24649935","PubMed")</f>
        <v>PubMed</v>
      </c>
      <c r="V264" s="110" t="s">
        <v>1516</v>
      </c>
      <c r="W264" s="49"/>
      <c r="X264" s="49"/>
      <c r="Y264" s="35"/>
      <c r="Z264" s="35"/>
      <c r="AA264" s="35"/>
      <c r="AB264" s="35"/>
      <c r="AC264" s="35"/>
      <c r="AD264" s="35"/>
      <c r="AE264" s="35"/>
      <c r="AF264" s="35"/>
      <c r="AG264" s="35"/>
      <c r="AH264" s="35"/>
      <c r="AI264" s="35"/>
      <c r="AJ264" s="35"/>
      <c r="AK264" s="35"/>
      <c r="AL264" s="35"/>
    </row>
    <row r="265" ht="52.5" customHeight="1">
      <c r="A265" s="89"/>
      <c r="B265" s="19" t="s">
        <v>221</v>
      </c>
      <c r="C265" s="20" t="s">
        <v>73</v>
      </c>
      <c r="D265" s="47"/>
      <c r="E265" s="56" t="s">
        <v>1517</v>
      </c>
      <c r="F265" s="22" t="s">
        <v>1518</v>
      </c>
      <c r="G265" s="57">
        <v>2016.0</v>
      </c>
      <c r="H265" s="56" t="s">
        <v>207</v>
      </c>
      <c r="I265" s="58" t="s">
        <v>1519</v>
      </c>
      <c r="J265" s="56" t="s">
        <v>55</v>
      </c>
      <c r="K265" s="56"/>
      <c r="L265" s="69">
        <v>830.0</v>
      </c>
      <c r="M265" s="69">
        <v>30.0</v>
      </c>
      <c r="N265" s="69"/>
      <c r="O265" s="72">
        <v>42584.0</v>
      </c>
      <c r="P265" s="70"/>
      <c r="Q265" s="69"/>
      <c r="R265" s="69">
        <v>94.0</v>
      </c>
      <c r="S265" s="69" t="s">
        <v>1520</v>
      </c>
      <c r="T265" s="73" t="s">
        <v>1521</v>
      </c>
      <c r="U265" s="97" t="s">
        <v>61</v>
      </c>
      <c r="V265" s="50"/>
      <c r="W265" s="49"/>
      <c r="X265" s="49"/>
      <c r="Y265" s="35"/>
      <c r="Z265" s="35"/>
      <c r="AA265" s="35"/>
      <c r="AB265" s="35"/>
      <c r="AC265" s="35"/>
      <c r="AD265" s="35"/>
      <c r="AE265" s="35"/>
      <c r="AF265" s="35"/>
      <c r="AG265" s="35"/>
      <c r="AH265" s="35"/>
      <c r="AI265" s="35"/>
      <c r="AJ265" s="35"/>
      <c r="AK265" s="35"/>
      <c r="AL265" s="35"/>
    </row>
    <row r="266" ht="52.5" customHeight="1">
      <c r="A266" s="89"/>
      <c r="B266" s="19" t="s">
        <v>221</v>
      </c>
      <c r="C266" s="20" t="s">
        <v>73</v>
      </c>
      <c r="D266" s="47"/>
      <c r="E266" s="56" t="s">
        <v>714</v>
      </c>
      <c r="F266" s="22" t="s">
        <v>400</v>
      </c>
      <c r="G266" s="57">
        <v>2013.0</v>
      </c>
      <c r="H266" s="56" t="s">
        <v>1025</v>
      </c>
      <c r="I266" s="58" t="s">
        <v>1522</v>
      </c>
      <c r="J266" s="56" t="s">
        <v>55</v>
      </c>
      <c r="K266" s="56"/>
      <c r="L266" s="69">
        <v>830.0</v>
      </c>
      <c r="M266" s="69">
        <v>30.0</v>
      </c>
      <c r="N266" s="69" t="s">
        <v>1523</v>
      </c>
      <c r="O266" s="72">
        <v>42584.0</v>
      </c>
      <c r="P266" s="70" t="s">
        <v>777</v>
      </c>
      <c r="Q266" s="69" t="s">
        <v>280</v>
      </c>
      <c r="R266" s="69">
        <v>94.0</v>
      </c>
      <c r="S266" s="69" t="s">
        <v>1524</v>
      </c>
      <c r="T266" s="28" t="s">
        <v>1525</v>
      </c>
      <c r="U266" s="97" t="s">
        <v>61</v>
      </c>
      <c r="V266" s="50"/>
      <c r="W266" s="49"/>
      <c r="X266" s="49"/>
      <c r="Y266" s="35"/>
      <c r="Z266" s="35"/>
      <c r="AA266" s="35"/>
      <c r="AB266" s="35"/>
      <c r="AC266" s="35"/>
      <c r="AD266" s="35"/>
      <c r="AE266" s="35"/>
      <c r="AF266" s="35"/>
      <c r="AG266" s="35"/>
      <c r="AH266" s="35"/>
      <c r="AI266" s="35"/>
      <c r="AJ266" s="35"/>
      <c r="AK266" s="35"/>
      <c r="AL266" s="35"/>
    </row>
    <row r="267" ht="52.5" customHeight="1">
      <c r="A267" s="89"/>
      <c r="B267" s="19" t="s">
        <v>221</v>
      </c>
      <c r="C267" s="20" t="s">
        <v>73</v>
      </c>
      <c r="D267" s="47"/>
      <c r="E267" s="56" t="s">
        <v>1526</v>
      </c>
      <c r="F267" s="22" t="s">
        <v>400</v>
      </c>
      <c r="G267" s="57">
        <v>2011.0</v>
      </c>
      <c r="H267" s="56" t="s">
        <v>658</v>
      </c>
      <c r="I267" s="58" t="s">
        <v>1527</v>
      </c>
      <c r="J267" s="56" t="s">
        <v>55</v>
      </c>
      <c r="K267" s="56" t="s">
        <v>1528</v>
      </c>
      <c r="L267" s="69">
        <v>830.0</v>
      </c>
      <c r="M267" s="69">
        <v>30.0</v>
      </c>
      <c r="N267" s="69" t="s">
        <v>1523</v>
      </c>
      <c r="O267" s="72">
        <v>42461.0</v>
      </c>
      <c r="P267" s="70" t="s">
        <v>1529</v>
      </c>
      <c r="Q267" s="69" t="s">
        <v>280</v>
      </c>
      <c r="R267" s="69">
        <v>47.0</v>
      </c>
      <c r="S267" s="69" t="s">
        <v>624</v>
      </c>
      <c r="T267" s="63" t="s">
        <v>1530</v>
      </c>
      <c r="U267" s="97" t="s">
        <v>61</v>
      </c>
      <c r="V267" s="50"/>
      <c r="W267" s="49"/>
      <c r="X267" s="49"/>
      <c r="Y267" s="35"/>
      <c r="Z267" s="35"/>
      <c r="AA267" s="35"/>
      <c r="AB267" s="35"/>
      <c r="AC267" s="35"/>
      <c r="AD267" s="35"/>
      <c r="AE267" s="35"/>
      <c r="AF267" s="35"/>
      <c r="AG267" s="35"/>
      <c r="AH267" s="35"/>
      <c r="AI267" s="35"/>
      <c r="AJ267" s="35"/>
      <c r="AK267" s="35"/>
      <c r="AL267" s="35"/>
    </row>
    <row r="268" ht="52.5" customHeight="1">
      <c r="A268" s="89"/>
      <c r="B268" s="19" t="s">
        <v>221</v>
      </c>
      <c r="C268" s="20" t="s">
        <v>1531</v>
      </c>
      <c r="D268" s="47"/>
      <c r="E268" s="56" t="s">
        <v>668</v>
      </c>
      <c r="F268" s="22" t="s">
        <v>323</v>
      </c>
      <c r="G268" s="57">
        <v>2018.0</v>
      </c>
      <c r="H268" s="56" t="s">
        <v>147</v>
      </c>
      <c r="I268" s="58" t="s">
        <v>1532</v>
      </c>
      <c r="J268" s="56" t="s">
        <v>55</v>
      </c>
      <c r="K268" s="56"/>
      <c r="L268" s="69">
        <v>890.0</v>
      </c>
      <c r="M268" s="69"/>
      <c r="N268" s="69"/>
      <c r="O268" s="72"/>
      <c r="P268" s="70" t="s">
        <v>671</v>
      </c>
      <c r="Q268" s="69"/>
      <c r="R268" s="69"/>
      <c r="S268" s="69"/>
      <c r="T268" s="63" t="s">
        <v>1533</v>
      </c>
      <c r="U268" s="60" t="str">
        <f>HYPERLINK("https://www.ncbi.nlm.nih.gov/pubmed/31119018","PubMed")</f>
        <v>PubMed</v>
      </c>
      <c r="V268" s="50"/>
      <c r="W268" s="49"/>
      <c r="X268" s="49"/>
      <c r="Y268" s="35"/>
      <c r="Z268" s="35"/>
      <c r="AA268" s="35"/>
      <c r="AB268" s="35"/>
      <c r="AC268" s="35"/>
      <c r="AD268" s="35"/>
      <c r="AE268" s="35"/>
      <c r="AF268" s="35"/>
      <c r="AG268" s="35"/>
      <c r="AH268" s="35"/>
      <c r="AI268" s="35"/>
      <c r="AJ268" s="35"/>
      <c r="AK268" s="35"/>
      <c r="AL268" s="35"/>
    </row>
    <row r="269" ht="52.5" customHeight="1">
      <c r="A269" s="89"/>
      <c r="B269" s="19" t="s">
        <v>221</v>
      </c>
      <c r="C269" s="20" t="s">
        <v>1534</v>
      </c>
      <c r="D269" s="47"/>
      <c r="E269" s="56" t="s">
        <v>1535</v>
      </c>
      <c r="F269" s="22" t="s">
        <v>1536</v>
      </c>
      <c r="G269" s="57">
        <v>2023.0</v>
      </c>
      <c r="H269" s="56" t="s">
        <v>1537</v>
      </c>
      <c r="I269" s="58" t="s">
        <v>1538</v>
      </c>
      <c r="J269" s="56" t="s">
        <v>55</v>
      </c>
      <c r="K269" s="56"/>
      <c r="L269" s="69">
        <v>850.0</v>
      </c>
      <c r="M269" s="69"/>
      <c r="N269" s="69"/>
      <c r="O269" s="72"/>
      <c r="P269" s="70"/>
      <c r="Q269" s="69"/>
      <c r="R269" s="69"/>
      <c r="S269" s="69"/>
      <c r="T269" s="71" t="s">
        <v>1539</v>
      </c>
      <c r="U269" s="60" t="s">
        <v>61</v>
      </c>
      <c r="V269" s="50"/>
      <c r="W269" s="49"/>
      <c r="X269" s="49"/>
      <c r="Y269" s="35"/>
      <c r="Z269" s="35"/>
      <c r="AA269" s="35"/>
      <c r="AB269" s="35"/>
      <c r="AC269" s="35"/>
      <c r="AD269" s="35"/>
      <c r="AE269" s="35"/>
      <c r="AF269" s="35"/>
      <c r="AG269" s="35"/>
      <c r="AH269" s="35"/>
      <c r="AI269" s="35"/>
      <c r="AJ269" s="35"/>
      <c r="AK269" s="35"/>
      <c r="AL269" s="35"/>
    </row>
    <row r="270" ht="52.5" customHeight="1">
      <c r="A270" s="89"/>
      <c r="B270" s="19" t="s">
        <v>221</v>
      </c>
      <c r="C270" s="20" t="s">
        <v>1534</v>
      </c>
      <c r="D270" s="47"/>
      <c r="E270" s="56" t="s">
        <v>109</v>
      </c>
      <c r="F270" s="22" t="s">
        <v>237</v>
      </c>
      <c r="G270" s="57">
        <v>2022.0</v>
      </c>
      <c r="H270" s="56" t="s">
        <v>91</v>
      </c>
      <c r="I270" s="58" t="s">
        <v>1540</v>
      </c>
      <c r="J270" s="56" t="s">
        <v>55</v>
      </c>
      <c r="K270" s="56"/>
      <c r="L270" s="69">
        <v>810.0</v>
      </c>
      <c r="M270" s="69">
        <v>100.0</v>
      </c>
      <c r="N270" s="69"/>
      <c r="O270" s="72"/>
      <c r="P270" s="70"/>
      <c r="Q270" s="69"/>
      <c r="R270" s="69"/>
      <c r="S270" s="69"/>
      <c r="T270" s="63" t="s">
        <v>1541</v>
      </c>
      <c r="U270" s="64" t="s">
        <v>61</v>
      </c>
      <c r="V270" s="50"/>
      <c r="W270" s="49"/>
      <c r="X270" s="49"/>
      <c r="Y270" s="35"/>
      <c r="Z270" s="35"/>
      <c r="AA270" s="35"/>
      <c r="AB270" s="35"/>
      <c r="AC270" s="35"/>
      <c r="AD270" s="35"/>
      <c r="AE270" s="35"/>
      <c r="AF270" s="35"/>
      <c r="AG270" s="35"/>
      <c r="AH270" s="35"/>
      <c r="AI270" s="35"/>
      <c r="AJ270" s="35"/>
      <c r="AK270" s="35"/>
      <c r="AL270" s="35"/>
    </row>
    <row r="271" ht="52.5" customHeight="1">
      <c r="A271" s="89"/>
      <c r="B271" s="19" t="s">
        <v>221</v>
      </c>
      <c r="C271" s="20" t="s">
        <v>1534</v>
      </c>
      <c r="D271" s="47"/>
      <c r="E271" s="56" t="s">
        <v>1542</v>
      </c>
      <c r="F271" s="22" t="s">
        <v>41</v>
      </c>
      <c r="G271" s="57">
        <v>2022.0</v>
      </c>
      <c r="H271" s="56" t="s">
        <v>91</v>
      </c>
      <c r="I271" s="58" t="s">
        <v>1543</v>
      </c>
      <c r="J271" s="56" t="s">
        <v>55</v>
      </c>
      <c r="K271" s="56" t="s">
        <v>294</v>
      </c>
      <c r="L271" s="69" t="s">
        <v>112</v>
      </c>
      <c r="M271" s="69"/>
      <c r="N271" s="69"/>
      <c r="O271" s="72"/>
      <c r="P271" s="70"/>
      <c r="Q271" s="69"/>
      <c r="R271" s="69"/>
      <c r="S271" s="69"/>
      <c r="T271" s="74" t="s">
        <v>1544</v>
      </c>
      <c r="U271" s="64" t="s">
        <v>61</v>
      </c>
      <c r="V271" s="50"/>
      <c r="W271" s="49"/>
      <c r="X271" s="49"/>
      <c r="Y271" s="35"/>
      <c r="Z271" s="35"/>
      <c r="AA271" s="35"/>
      <c r="AB271" s="35"/>
      <c r="AC271" s="35"/>
      <c r="AD271" s="35"/>
      <c r="AE271" s="35"/>
      <c r="AF271" s="35"/>
      <c r="AG271" s="35"/>
      <c r="AH271" s="35"/>
      <c r="AI271" s="35"/>
      <c r="AJ271" s="35"/>
      <c r="AK271" s="35"/>
      <c r="AL271" s="35"/>
    </row>
    <row r="272" ht="52.5" customHeight="1">
      <c r="A272" s="89"/>
      <c r="B272" s="19" t="s">
        <v>221</v>
      </c>
      <c r="C272" s="20" t="s">
        <v>1534</v>
      </c>
      <c r="D272" s="47"/>
      <c r="E272" s="56" t="s">
        <v>388</v>
      </c>
      <c r="F272" s="22" t="s">
        <v>870</v>
      </c>
      <c r="G272" s="57">
        <v>2021.0</v>
      </c>
      <c r="H272" s="56" t="s">
        <v>1545</v>
      </c>
      <c r="I272" s="58" t="s">
        <v>1546</v>
      </c>
      <c r="J272" s="56" t="s">
        <v>55</v>
      </c>
      <c r="K272" s="56"/>
      <c r="L272" s="69">
        <v>808.0</v>
      </c>
      <c r="M272" s="69">
        <v>100.0</v>
      </c>
      <c r="N272" s="69"/>
      <c r="O272" s="72"/>
      <c r="P272" s="70"/>
      <c r="Q272" s="69"/>
      <c r="R272" s="69"/>
      <c r="S272" s="69"/>
      <c r="T272" s="63" t="s">
        <v>1547</v>
      </c>
      <c r="U272" s="64" t="s">
        <v>61</v>
      </c>
      <c r="V272" s="50"/>
      <c r="W272" s="49"/>
      <c r="X272" s="49"/>
      <c r="Y272" s="35"/>
      <c r="Z272" s="35"/>
      <c r="AA272" s="35"/>
      <c r="AB272" s="35"/>
      <c r="AC272" s="35"/>
      <c r="AD272" s="35"/>
      <c r="AE272" s="35"/>
      <c r="AF272" s="35"/>
      <c r="AG272" s="35"/>
      <c r="AH272" s="35"/>
      <c r="AI272" s="35"/>
      <c r="AJ272" s="35"/>
      <c r="AK272" s="35"/>
      <c r="AL272" s="35"/>
    </row>
    <row r="273" ht="52.5" customHeight="1">
      <c r="A273" s="89"/>
      <c r="B273" s="19" t="s">
        <v>221</v>
      </c>
      <c r="C273" s="20" t="s">
        <v>1534</v>
      </c>
      <c r="D273" s="47"/>
      <c r="E273" s="56" t="s">
        <v>1548</v>
      </c>
      <c r="F273" s="22" t="s">
        <v>605</v>
      </c>
      <c r="G273" s="57">
        <v>2020.0</v>
      </c>
      <c r="H273" s="56" t="s">
        <v>1549</v>
      </c>
      <c r="I273" s="58" t="s">
        <v>1550</v>
      </c>
      <c r="J273" s="56" t="s">
        <v>253</v>
      </c>
      <c r="K273" s="56"/>
      <c r="L273" s="69">
        <v>940.0</v>
      </c>
      <c r="M273" s="69"/>
      <c r="N273" s="69"/>
      <c r="O273" s="72"/>
      <c r="P273" s="70"/>
      <c r="Q273" s="69"/>
      <c r="R273" s="69"/>
      <c r="S273" s="69"/>
      <c r="T273" s="63" t="s">
        <v>1551</v>
      </c>
      <c r="U273" s="64" t="s">
        <v>61</v>
      </c>
      <c r="V273" s="50"/>
      <c r="W273" s="49"/>
      <c r="X273" s="49"/>
      <c r="Y273" s="35"/>
      <c r="Z273" s="35"/>
      <c r="AA273" s="35"/>
      <c r="AB273" s="35"/>
      <c r="AC273" s="35"/>
      <c r="AD273" s="35"/>
      <c r="AE273" s="35"/>
      <c r="AF273" s="35"/>
      <c r="AG273" s="35"/>
      <c r="AH273" s="35"/>
      <c r="AI273" s="35"/>
      <c r="AJ273" s="35"/>
      <c r="AK273" s="35"/>
      <c r="AL273" s="35"/>
    </row>
    <row r="274" ht="52.5" customHeight="1">
      <c r="A274" s="89"/>
      <c r="B274" s="19" t="s">
        <v>221</v>
      </c>
      <c r="C274" s="20" t="s">
        <v>1534</v>
      </c>
      <c r="D274" s="47"/>
      <c r="E274" s="56" t="s">
        <v>388</v>
      </c>
      <c r="F274" s="22" t="s">
        <v>870</v>
      </c>
      <c r="G274" s="57">
        <v>2020.0</v>
      </c>
      <c r="H274" s="56" t="s">
        <v>91</v>
      </c>
      <c r="I274" s="58" t="s">
        <v>1552</v>
      </c>
      <c r="J274" s="56" t="s">
        <v>55</v>
      </c>
      <c r="K274" s="56"/>
      <c r="L274" s="69">
        <v>808.0</v>
      </c>
      <c r="M274" s="69">
        <v>100.0</v>
      </c>
      <c r="N274" s="69"/>
      <c r="O274" s="72"/>
      <c r="P274" s="70"/>
      <c r="Q274" s="69" t="s">
        <v>1553</v>
      </c>
      <c r="R274" s="69"/>
      <c r="S274" s="69"/>
      <c r="T274" s="63" t="s">
        <v>1554</v>
      </c>
      <c r="U274" s="60" t="str">
        <f>HYPERLINK("https://www.ncbi.nlm.nih.gov/pubmed/32026163","PubMed")</f>
        <v>PubMed</v>
      </c>
      <c r="V274" s="50"/>
      <c r="W274" s="49"/>
      <c r="X274" s="49"/>
      <c r="Y274" s="35"/>
      <c r="Z274" s="35"/>
      <c r="AA274" s="35"/>
      <c r="AB274" s="35"/>
      <c r="AC274" s="35"/>
      <c r="AD274" s="35"/>
      <c r="AE274" s="35"/>
      <c r="AF274" s="35"/>
      <c r="AG274" s="35"/>
      <c r="AH274" s="35"/>
      <c r="AI274" s="35"/>
      <c r="AJ274" s="35"/>
      <c r="AK274" s="35"/>
      <c r="AL274" s="35"/>
    </row>
    <row r="275" ht="52.5" customHeight="1">
      <c r="A275" s="89"/>
      <c r="B275" s="19" t="s">
        <v>221</v>
      </c>
      <c r="C275" s="20" t="s">
        <v>1534</v>
      </c>
      <c r="D275" s="47"/>
      <c r="E275" s="56" t="s">
        <v>1555</v>
      </c>
      <c r="F275" s="22" t="s">
        <v>1556</v>
      </c>
      <c r="G275" s="57">
        <v>2019.0</v>
      </c>
      <c r="H275" s="56" t="s">
        <v>401</v>
      </c>
      <c r="I275" s="58" t="s">
        <v>1557</v>
      </c>
      <c r="J275" s="56" t="s">
        <v>253</v>
      </c>
      <c r="K275" s="56"/>
      <c r="L275" s="69"/>
      <c r="M275" s="69"/>
      <c r="N275" s="69"/>
      <c r="O275" s="72"/>
      <c r="P275" s="70"/>
      <c r="Q275" s="69"/>
      <c r="R275" s="69"/>
      <c r="S275" s="69"/>
      <c r="T275" s="63" t="s">
        <v>1558</v>
      </c>
      <c r="U275" s="60" t="str">
        <f>HYPERLINK("https://www.ncbi.nlm.nih.gov/pubmed/31711076","PubMed")</f>
        <v>PubMed</v>
      </c>
      <c r="V275" s="50"/>
      <c r="W275" s="49"/>
      <c r="X275" s="49"/>
      <c r="Y275" s="35"/>
      <c r="Z275" s="35"/>
      <c r="AA275" s="35"/>
      <c r="AB275" s="35"/>
      <c r="AC275" s="35"/>
      <c r="AD275" s="35"/>
      <c r="AE275" s="35"/>
      <c r="AF275" s="35"/>
      <c r="AG275" s="35"/>
      <c r="AH275" s="35"/>
      <c r="AI275" s="35"/>
      <c r="AJ275" s="35"/>
      <c r="AK275" s="35"/>
      <c r="AL275" s="35"/>
    </row>
    <row r="276" ht="52.5" customHeight="1">
      <c r="A276" s="89"/>
      <c r="B276" s="19" t="s">
        <v>221</v>
      </c>
      <c r="C276" s="20" t="s">
        <v>1534</v>
      </c>
      <c r="D276" s="47"/>
      <c r="E276" s="56" t="s">
        <v>835</v>
      </c>
      <c r="F276" s="22" t="s">
        <v>183</v>
      </c>
      <c r="G276" s="57">
        <v>2013.0</v>
      </c>
      <c r="H276" s="56" t="s">
        <v>837</v>
      </c>
      <c r="I276" s="58" t="s">
        <v>1559</v>
      </c>
      <c r="J276" s="56" t="s">
        <v>253</v>
      </c>
      <c r="K276" s="56"/>
      <c r="L276" s="69">
        <v>780.0</v>
      </c>
      <c r="M276" s="69">
        <v>70.0</v>
      </c>
      <c r="N276" s="69"/>
      <c r="O276" s="72"/>
      <c r="P276" s="70"/>
      <c r="Q276" s="69" t="s">
        <v>840</v>
      </c>
      <c r="R276" s="69"/>
      <c r="S276" s="69"/>
      <c r="T276" s="63" t="s">
        <v>1560</v>
      </c>
      <c r="U276" s="60" t="str">
        <f>HYPERLINK("https://www.ncbi.nlm.nih.gov/pubmed/23969909","PubMed")</f>
        <v>PubMed</v>
      </c>
      <c r="V276" s="50"/>
      <c r="W276" s="49"/>
      <c r="X276" s="49"/>
      <c r="Y276" s="35"/>
      <c r="Z276" s="35"/>
      <c r="AA276" s="35"/>
      <c r="AB276" s="35"/>
      <c r="AC276" s="35"/>
      <c r="AD276" s="35"/>
      <c r="AE276" s="35"/>
      <c r="AF276" s="35"/>
      <c r="AG276" s="35"/>
      <c r="AH276" s="35"/>
      <c r="AI276" s="35"/>
      <c r="AJ276" s="35"/>
      <c r="AK276" s="35"/>
      <c r="AL276" s="35"/>
    </row>
    <row r="277" ht="52.5" customHeight="1">
      <c r="A277" s="55"/>
      <c r="B277" s="19" t="s">
        <v>221</v>
      </c>
      <c r="C277" s="20" t="s">
        <v>1534</v>
      </c>
      <c r="D277" s="47"/>
      <c r="E277" s="56" t="s">
        <v>1561</v>
      </c>
      <c r="F277" s="22" t="s">
        <v>110</v>
      </c>
      <c r="G277" s="57">
        <v>2013.0</v>
      </c>
      <c r="H277" s="22" t="s">
        <v>819</v>
      </c>
      <c r="I277" s="58" t="s">
        <v>1562</v>
      </c>
      <c r="J277" s="56" t="s">
        <v>55</v>
      </c>
      <c r="K277" s="56"/>
      <c r="L277" s="69">
        <v>830.0</v>
      </c>
      <c r="M277" s="69">
        <v>40.0</v>
      </c>
      <c r="N277" s="69"/>
      <c r="O277" s="69"/>
      <c r="P277" s="70"/>
      <c r="Q277" s="69" t="s">
        <v>1563</v>
      </c>
      <c r="R277" s="69"/>
      <c r="S277" s="69"/>
      <c r="T277" s="74" t="s">
        <v>1564</v>
      </c>
      <c r="U277" s="66" t="str">
        <f>HYPERLINK("https://www.ncbi.nlm.nih.gov/pubmed/21534821","PubMed")</f>
        <v>PubMed</v>
      </c>
      <c r="V277" s="50"/>
      <c r="W277" s="49"/>
      <c r="X277" s="49"/>
      <c r="Y277" s="35"/>
      <c r="Z277" s="35"/>
      <c r="AA277" s="35"/>
      <c r="AB277" s="35"/>
      <c r="AC277" s="35"/>
      <c r="AD277" s="35"/>
      <c r="AE277" s="35"/>
      <c r="AF277" s="35"/>
      <c r="AG277" s="35"/>
      <c r="AH277" s="35"/>
      <c r="AI277" s="35"/>
      <c r="AJ277" s="35"/>
      <c r="AK277" s="35"/>
      <c r="AL277" s="35"/>
    </row>
    <row r="278" ht="52.5" customHeight="1">
      <c r="A278" s="89"/>
      <c r="B278" s="19" t="s">
        <v>221</v>
      </c>
      <c r="C278" s="20" t="s">
        <v>1534</v>
      </c>
      <c r="D278" s="47"/>
      <c r="E278" s="56" t="s">
        <v>1565</v>
      </c>
      <c r="F278" s="22" t="s">
        <v>1398</v>
      </c>
      <c r="G278" s="57">
        <v>2012.0</v>
      </c>
      <c r="H278" s="56" t="s">
        <v>658</v>
      </c>
      <c r="I278" s="58" t="s">
        <v>1566</v>
      </c>
      <c r="J278" s="56" t="s">
        <v>55</v>
      </c>
      <c r="K278" s="56" t="s">
        <v>1567</v>
      </c>
      <c r="L278" s="69">
        <v>830.0</v>
      </c>
      <c r="M278" s="69">
        <v>200.0</v>
      </c>
      <c r="N278" s="69"/>
      <c r="O278" s="69">
        <v>54.0</v>
      </c>
      <c r="P278" s="70" t="s">
        <v>1568</v>
      </c>
      <c r="Q278" s="69" t="s">
        <v>1569</v>
      </c>
      <c r="R278" s="69" t="s">
        <v>1570</v>
      </c>
      <c r="S278" s="69">
        <v>7.0</v>
      </c>
      <c r="T278" s="73" t="s">
        <v>1571</v>
      </c>
      <c r="U278" s="66" t="str">
        <f>HYPERLINK("https://www.ncbi.nlm.nih.gov/pubmed/22404559","PubMed")</f>
        <v>PubMed</v>
      </c>
      <c r="V278" s="30"/>
      <c r="W278" s="49"/>
      <c r="X278" s="49"/>
      <c r="Y278" s="35"/>
      <c r="Z278" s="35"/>
      <c r="AA278" s="35"/>
      <c r="AB278" s="35"/>
      <c r="AC278" s="35"/>
      <c r="AD278" s="35"/>
      <c r="AE278" s="35"/>
      <c r="AF278" s="35"/>
      <c r="AG278" s="35"/>
      <c r="AH278" s="35"/>
      <c r="AI278" s="35"/>
      <c r="AJ278" s="35"/>
      <c r="AK278" s="35"/>
      <c r="AL278" s="35"/>
    </row>
    <row r="279" ht="52.5" customHeight="1">
      <c r="A279" s="55"/>
      <c r="B279" s="19" t="s">
        <v>221</v>
      </c>
      <c r="C279" s="20" t="s">
        <v>1534</v>
      </c>
      <c r="D279" s="47"/>
      <c r="E279" s="56" t="s">
        <v>1572</v>
      </c>
      <c r="F279" s="22" t="s">
        <v>237</v>
      </c>
      <c r="G279" s="57">
        <v>2010.0</v>
      </c>
      <c r="H279" s="56" t="s">
        <v>91</v>
      </c>
      <c r="I279" s="58" t="s">
        <v>1573</v>
      </c>
      <c r="J279" s="56" t="s">
        <v>44</v>
      </c>
      <c r="K279" s="56"/>
      <c r="L279" s="69">
        <v>795.0</v>
      </c>
      <c r="M279" s="69">
        <v>120.0</v>
      </c>
      <c r="N279" s="69"/>
      <c r="O279" s="69"/>
      <c r="P279" s="70" t="s">
        <v>70</v>
      </c>
      <c r="Q279" s="69"/>
      <c r="R279" s="69"/>
      <c r="S279" s="69">
        <v>6.0</v>
      </c>
      <c r="T279" s="63" t="s">
        <v>1574</v>
      </c>
      <c r="U279" s="66" t="str">
        <f>HYPERLINK("https://www.ncbi.nlm.nih.gov/pubmed/20393769","PubMed")</f>
        <v>PubMed</v>
      </c>
      <c r="V279" s="50"/>
      <c r="W279" s="49"/>
      <c r="X279" s="49"/>
      <c r="Y279" s="35"/>
      <c r="Z279" s="35"/>
      <c r="AA279" s="35"/>
      <c r="AB279" s="35"/>
      <c r="AC279" s="35"/>
      <c r="AD279" s="35"/>
      <c r="AE279" s="35"/>
      <c r="AF279" s="35"/>
      <c r="AG279" s="35"/>
      <c r="AH279" s="35"/>
      <c r="AI279" s="35"/>
      <c r="AJ279" s="35"/>
      <c r="AK279" s="35"/>
      <c r="AL279" s="35"/>
    </row>
    <row r="280" ht="52.5" customHeight="1">
      <c r="A280" s="55"/>
      <c r="B280" s="19" t="s">
        <v>221</v>
      </c>
      <c r="C280" s="20" t="s">
        <v>1534</v>
      </c>
      <c r="D280" s="47"/>
      <c r="E280" s="56" t="s">
        <v>1575</v>
      </c>
      <c r="F280" s="22" t="s">
        <v>1576</v>
      </c>
      <c r="G280" s="57">
        <v>2010.0</v>
      </c>
      <c r="H280" s="22" t="s">
        <v>658</v>
      </c>
      <c r="I280" s="58" t="s">
        <v>1577</v>
      </c>
      <c r="J280" s="56" t="s">
        <v>253</v>
      </c>
      <c r="K280" s="56"/>
      <c r="L280" s="69">
        <v>830.0</v>
      </c>
      <c r="M280" s="69">
        <v>10.0</v>
      </c>
      <c r="N280" s="69"/>
      <c r="O280" s="69">
        <v>86.0</v>
      </c>
      <c r="P280" s="70" t="s">
        <v>1245</v>
      </c>
      <c r="Q280" s="69" t="s">
        <v>1578</v>
      </c>
      <c r="R280" s="69" t="s">
        <v>1579</v>
      </c>
      <c r="S280" s="69">
        <v>7.0</v>
      </c>
      <c r="T280" s="63" t="s">
        <v>1580</v>
      </c>
      <c r="U280" s="66" t="str">
        <f>HYPERLINK("https://www.ncbi.nlm.nih.gov/pubmed/19860572","PubMed")</f>
        <v>PubMed</v>
      </c>
      <c r="V280" s="50"/>
      <c r="W280" s="49"/>
      <c r="X280" s="49"/>
      <c r="Y280" s="35"/>
      <c r="Z280" s="35"/>
      <c r="AA280" s="35"/>
      <c r="AB280" s="35"/>
      <c r="AC280" s="35"/>
      <c r="AD280" s="35"/>
      <c r="AE280" s="35"/>
      <c r="AF280" s="35"/>
      <c r="AG280" s="35"/>
      <c r="AH280" s="35"/>
      <c r="AI280" s="35"/>
      <c r="AJ280" s="35"/>
      <c r="AK280" s="35"/>
      <c r="AL280" s="35"/>
    </row>
    <row r="281" ht="52.5" customHeight="1">
      <c r="A281" s="89"/>
      <c r="B281" s="19" t="s">
        <v>221</v>
      </c>
      <c r="C281" s="20" t="s">
        <v>1534</v>
      </c>
      <c r="D281" s="47"/>
      <c r="E281" s="56" t="s">
        <v>1581</v>
      </c>
      <c r="F281" s="22" t="s">
        <v>1582</v>
      </c>
      <c r="G281" s="57">
        <v>2009.0</v>
      </c>
      <c r="H281" s="56" t="s">
        <v>91</v>
      </c>
      <c r="I281" s="58" t="s">
        <v>1583</v>
      </c>
      <c r="J281" s="22" t="s">
        <v>125</v>
      </c>
      <c r="K281" s="22"/>
      <c r="L281" s="65" t="s">
        <v>1584</v>
      </c>
      <c r="U281" s="66" t="str">
        <f>HYPERLINK("https://www.ncbi.nlm.nih.gov/pubmed/18566853","PubMed")</f>
        <v>PubMed</v>
      </c>
      <c r="V281" s="50"/>
      <c r="W281" s="49"/>
      <c r="X281" s="49"/>
      <c r="Y281" s="35"/>
      <c r="Z281" s="35"/>
      <c r="AA281" s="35"/>
      <c r="AB281" s="35"/>
      <c r="AC281" s="35"/>
      <c r="AD281" s="35"/>
      <c r="AE281" s="35"/>
      <c r="AF281" s="35"/>
      <c r="AG281" s="35"/>
      <c r="AH281" s="35"/>
      <c r="AI281" s="35"/>
      <c r="AJ281" s="35"/>
      <c r="AK281" s="35"/>
      <c r="AL281" s="35"/>
    </row>
    <row r="282" ht="52.5" customHeight="1">
      <c r="A282" s="89"/>
      <c r="B282" s="19" t="s">
        <v>221</v>
      </c>
      <c r="C282" s="20" t="s">
        <v>1534</v>
      </c>
      <c r="D282" s="47"/>
      <c r="E282" s="56" t="s">
        <v>796</v>
      </c>
      <c r="F282" s="22" t="s">
        <v>797</v>
      </c>
      <c r="G282" s="57">
        <v>2009.0</v>
      </c>
      <c r="H282" s="56" t="s">
        <v>91</v>
      </c>
      <c r="I282" s="58" t="s">
        <v>1585</v>
      </c>
      <c r="J282" s="22" t="s">
        <v>55</v>
      </c>
      <c r="K282" s="22" t="s">
        <v>1586</v>
      </c>
      <c r="L282" s="69" t="s">
        <v>1206</v>
      </c>
      <c r="M282" s="36" t="s">
        <v>1207</v>
      </c>
      <c r="N282" s="36"/>
      <c r="O282" s="36"/>
      <c r="P282" s="125"/>
      <c r="Q282" s="36" t="s">
        <v>1587</v>
      </c>
      <c r="R282" s="36"/>
      <c r="S282" s="36"/>
      <c r="T282" s="63" t="s">
        <v>1588</v>
      </c>
      <c r="U282" s="66" t="str">
        <f>HYPERLINK("https://www.ncbi.nlm.nih.gov/pubmed/19011949","PubMed")</f>
        <v>PubMed</v>
      </c>
      <c r="V282" s="50"/>
      <c r="W282" s="49"/>
      <c r="X282" s="49"/>
      <c r="Y282" s="35"/>
      <c r="Z282" s="35"/>
      <c r="AA282" s="35"/>
      <c r="AB282" s="35"/>
      <c r="AC282" s="35"/>
      <c r="AD282" s="35"/>
      <c r="AE282" s="35"/>
      <c r="AF282" s="35"/>
      <c r="AG282" s="35"/>
      <c r="AH282" s="35"/>
      <c r="AI282" s="35"/>
      <c r="AJ282" s="35"/>
      <c r="AK282" s="35"/>
      <c r="AL282" s="35"/>
    </row>
    <row r="283" ht="52.5" customHeight="1">
      <c r="A283" s="89"/>
      <c r="B283" s="19" t="s">
        <v>221</v>
      </c>
      <c r="C283" s="20" t="s">
        <v>1534</v>
      </c>
      <c r="D283" s="47"/>
      <c r="E283" s="56" t="s">
        <v>1080</v>
      </c>
      <c r="F283" s="22" t="s">
        <v>1081</v>
      </c>
      <c r="G283" s="57">
        <v>2007.0</v>
      </c>
      <c r="H283" s="56" t="s">
        <v>53</v>
      </c>
      <c r="I283" s="58" t="s">
        <v>1589</v>
      </c>
      <c r="J283" s="22" t="s">
        <v>55</v>
      </c>
      <c r="K283" s="22"/>
      <c r="L283" s="69">
        <v>830.0</v>
      </c>
      <c r="M283" s="36">
        <v>96.0</v>
      </c>
      <c r="N283" s="36" t="s">
        <v>1083</v>
      </c>
      <c r="O283" s="36" t="s">
        <v>1590</v>
      </c>
      <c r="P283" s="70"/>
      <c r="Q283" s="36"/>
      <c r="R283" s="36"/>
      <c r="S283" s="36">
        <v>6.0</v>
      </c>
      <c r="T283" s="63" t="s">
        <v>1591</v>
      </c>
      <c r="U283" s="66" t="str">
        <f>HYPERLINK("https://www.ncbi.nlm.nih.gov/pubmed/17523169","PubMed")</f>
        <v>PubMed</v>
      </c>
      <c r="V283" s="50"/>
      <c r="W283" s="49"/>
      <c r="X283" s="49"/>
      <c r="Y283" s="35"/>
      <c r="Z283" s="35"/>
      <c r="AA283" s="35"/>
      <c r="AB283" s="35"/>
      <c r="AC283" s="35"/>
      <c r="AD283" s="35"/>
      <c r="AE283" s="35"/>
      <c r="AF283" s="35"/>
      <c r="AG283" s="35"/>
      <c r="AH283" s="35"/>
      <c r="AI283" s="35"/>
      <c r="AJ283" s="35"/>
      <c r="AK283" s="35"/>
      <c r="AL283" s="35"/>
    </row>
    <row r="284" ht="52.5" customHeight="1">
      <c r="A284" s="89"/>
      <c r="B284" s="19" t="s">
        <v>221</v>
      </c>
      <c r="C284" s="20" t="s">
        <v>1534</v>
      </c>
      <c r="D284" s="47"/>
      <c r="E284" s="56" t="s">
        <v>1592</v>
      </c>
      <c r="F284" s="22" t="s">
        <v>1258</v>
      </c>
      <c r="G284" s="57">
        <v>2005.0</v>
      </c>
      <c r="H284" s="56" t="s">
        <v>1593</v>
      </c>
      <c r="I284" s="58" t="s">
        <v>1594</v>
      </c>
      <c r="J284" s="22" t="s">
        <v>378</v>
      </c>
      <c r="K284" s="22"/>
      <c r="L284" s="69"/>
      <c r="M284" s="36"/>
      <c r="N284" s="36"/>
      <c r="O284" s="36"/>
      <c r="P284" s="70" t="s">
        <v>1595</v>
      </c>
      <c r="Q284" s="36"/>
      <c r="R284" s="36"/>
      <c r="S284" s="36"/>
      <c r="T284" s="63" t="s">
        <v>1596</v>
      </c>
      <c r="U284" s="66" t="str">
        <f>HYPERLINK("https://www.ncbi.nlm.nih.gov/pubmed/15906852","PubMed")</f>
        <v>PubMed</v>
      </c>
      <c r="V284" s="50"/>
      <c r="W284" s="49"/>
      <c r="X284" s="49"/>
      <c r="Y284" s="35"/>
      <c r="Z284" s="35"/>
      <c r="AA284" s="35"/>
      <c r="AB284" s="35"/>
      <c r="AC284" s="35"/>
      <c r="AD284" s="35"/>
      <c r="AE284" s="35"/>
      <c r="AF284" s="35"/>
      <c r="AG284" s="35"/>
      <c r="AH284" s="35"/>
      <c r="AI284" s="35"/>
      <c r="AJ284" s="35"/>
      <c r="AK284" s="35"/>
      <c r="AL284" s="35"/>
    </row>
    <row r="285" ht="52.5" customHeight="1">
      <c r="A285" s="55"/>
      <c r="B285" s="19" t="s">
        <v>221</v>
      </c>
      <c r="C285" s="20" t="s">
        <v>1534</v>
      </c>
      <c r="D285" s="47"/>
      <c r="E285" s="56" t="s">
        <v>1257</v>
      </c>
      <c r="F285" s="22" t="s">
        <v>1258</v>
      </c>
      <c r="G285" s="57">
        <v>2004.0</v>
      </c>
      <c r="H285" s="22" t="s">
        <v>905</v>
      </c>
      <c r="I285" s="58" t="s">
        <v>1597</v>
      </c>
      <c r="J285" s="56" t="s">
        <v>253</v>
      </c>
      <c r="K285" s="56"/>
      <c r="L285" s="69">
        <v>830.0</v>
      </c>
      <c r="M285" s="69">
        <v>150.0</v>
      </c>
      <c r="N285" s="69"/>
      <c r="O285" s="69">
        <v>27.0</v>
      </c>
      <c r="P285" s="70" t="s">
        <v>1263</v>
      </c>
      <c r="Q285" s="69" t="s">
        <v>1264</v>
      </c>
      <c r="R285" s="69">
        <v>20.0</v>
      </c>
      <c r="S285" s="69"/>
      <c r="T285" s="63" t="s">
        <v>1598</v>
      </c>
      <c r="U285" s="66" t="str">
        <f>HYPERLINK("https://www.ncbi.nlm.nih.gov/pubmed/15142095","PubMed")</f>
        <v>PubMed</v>
      </c>
      <c r="V285" s="50"/>
      <c r="W285" s="49"/>
      <c r="X285" s="49"/>
      <c r="Y285" s="35"/>
      <c r="Z285" s="35"/>
      <c r="AA285" s="35"/>
      <c r="AB285" s="35"/>
      <c r="AC285" s="35"/>
      <c r="AD285" s="35"/>
      <c r="AE285" s="35"/>
      <c r="AF285" s="35"/>
      <c r="AG285" s="35"/>
      <c r="AH285" s="35"/>
      <c r="AI285" s="35"/>
      <c r="AJ285" s="35"/>
      <c r="AK285" s="35"/>
      <c r="AL285" s="35"/>
    </row>
    <row r="286" ht="52.5" customHeight="1">
      <c r="A286" s="55"/>
      <c r="B286" s="19" t="s">
        <v>221</v>
      </c>
      <c r="C286" s="20" t="s">
        <v>1534</v>
      </c>
      <c r="D286" s="47"/>
      <c r="E286" s="56" t="s">
        <v>1295</v>
      </c>
      <c r="F286" s="22" t="s">
        <v>230</v>
      </c>
      <c r="G286" s="57">
        <v>2003.0</v>
      </c>
      <c r="H286" s="22" t="s">
        <v>905</v>
      </c>
      <c r="I286" s="58" t="s">
        <v>1599</v>
      </c>
      <c r="J286" s="56" t="s">
        <v>253</v>
      </c>
      <c r="K286" s="56"/>
      <c r="L286" s="69">
        <v>780.0</v>
      </c>
      <c r="M286" s="69">
        <v>1000.0</v>
      </c>
      <c r="N286" s="69"/>
      <c r="O286" s="69"/>
      <c r="P286" s="70" t="s">
        <v>1600</v>
      </c>
      <c r="Q286" s="69"/>
      <c r="R286" s="69">
        <v>600.0</v>
      </c>
      <c r="S286" s="69"/>
      <c r="T286" s="63" t="s">
        <v>1601</v>
      </c>
      <c r="U286" s="66" t="str">
        <f>HYPERLINK("https://www.ncbi.nlm.nih.gov/pubmed/12656884","PubMed")</f>
        <v>PubMed</v>
      </c>
      <c r="V286" s="50"/>
      <c r="W286" s="49"/>
      <c r="X286" s="49"/>
      <c r="Y286" s="35"/>
      <c r="Z286" s="35"/>
      <c r="AA286" s="35"/>
      <c r="AB286" s="35"/>
      <c r="AC286" s="35"/>
      <c r="AD286" s="35"/>
      <c r="AE286" s="35"/>
      <c r="AF286" s="35"/>
      <c r="AG286" s="35"/>
      <c r="AH286" s="35"/>
      <c r="AI286" s="35"/>
      <c r="AJ286" s="35"/>
      <c r="AK286" s="35"/>
      <c r="AL286" s="35"/>
    </row>
    <row r="287" ht="52.5" customHeight="1">
      <c r="A287" s="55"/>
      <c r="B287" s="19" t="s">
        <v>221</v>
      </c>
      <c r="C287" s="20" t="s">
        <v>1534</v>
      </c>
      <c r="D287" s="47"/>
      <c r="E287" s="56" t="s">
        <v>1602</v>
      </c>
      <c r="F287" s="22" t="s">
        <v>1603</v>
      </c>
      <c r="G287" s="57">
        <v>2002.0</v>
      </c>
      <c r="H287" s="22" t="s">
        <v>905</v>
      </c>
      <c r="I287" s="58" t="s">
        <v>1604</v>
      </c>
      <c r="J287" s="56" t="s">
        <v>1605</v>
      </c>
      <c r="K287" s="56"/>
      <c r="L287" s="69">
        <v>690.0</v>
      </c>
      <c r="M287" s="69">
        <v>100.0</v>
      </c>
      <c r="N287" s="69"/>
      <c r="O287" s="69">
        <v>6.0</v>
      </c>
      <c r="P287" s="70"/>
      <c r="Q287" s="69"/>
      <c r="R287" s="69">
        <v>60.0</v>
      </c>
      <c r="S287" s="69">
        <v>1.0</v>
      </c>
      <c r="T287" s="74" t="s">
        <v>1606</v>
      </c>
      <c r="U287" s="66" t="str">
        <f>HYPERLINK("https://www.ncbi.nlm.nih.gov/pubmed/12010159","PubMed")</f>
        <v>PubMed</v>
      </c>
      <c r="V287" s="50"/>
      <c r="W287" s="49"/>
      <c r="X287" s="49"/>
      <c r="Y287" s="35"/>
      <c r="Z287" s="35"/>
      <c r="AA287" s="35"/>
      <c r="AB287" s="35"/>
      <c r="AC287" s="35"/>
      <c r="AD287" s="35"/>
      <c r="AE287" s="35"/>
      <c r="AF287" s="35"/>
      <c r="AG287" s="35"/>
      <c r="AH287" s="35"/>
      <c r="AI287" s="35"/>
      <c r="AJ287" s="35"/>
      <c r="AK287" s="35"/>
      <c r="AL287" s="35"/>
    </row>
    <row r="288" ht="52.5" customHeight="1">
      <c r="A288" s="55"/>
      <c r="B288" s="19" t="s">
        <v>221</v>
      </c>
      <c r="C288" s="20" t="s">
        <v>1534</v>
      </c>
      <c r="D288" s="47"/>
      <c r="E288" s="56" t="s">
        <v>1295</v>
      </c>
      <c r="F288" s="22" t="s">
        <v>230</v>
      </c>
      <c r="G288" s="57">
        <v>2001.0</v>
      </c>
      <c r="H288" s="22" t="s">
        <v>1607</v>
      </c>
      <c r="I288" s="58" t="s">
        <v>1608</v>
      </c>
      <c r="J288" s="56" t="s">
        <v>253</v>
      </c>
      <c r="K288" s="56"/>
      <c r="L288" s="69">
        <v>780.0</v>
      </c>
      <c r="M288" s="69">
        <v>1000.0</v>
      </c>
      <c r="N288" s="69"/>
      <c r="O288" s="69"/>
      <c r="P288" s="70" t="s">
        <v>1600</v>
      </c>
      <c r="Q288" s="69"/>
      <c r="R288" s="69">
        <v>600.0</v>
      </c>
      <c r="S288" s="69"/>
      <c r="T288" s="63" t="s">
        <v>1609</v>
      </c>
      <c r="U288" s="66" t="str">
        <f>HYPERLINK("https://www.ncbi.nlm.nih.gov/pubmed/11831596","PubMed")</f>
        <v>PubMed</v>
      </c>
      <c r="V288" s="50"/>
      <c r="W288" s="49"/>
      <c r="X288" s="49"/>
      <c r="Y288" s="35"/>
      <c r="Z288" s="35"/>
      <c r="AA288" s="35"/>
      <c r="AB288" s="35"/>
      <c r="AC288" s="35"/>
      <c r="AD288" s="35"/>
      <c r="AE288" s="35"/>
      <c r="AF288" s="35"/>
      <c r="AG288" s="35"/>
      <c r="AH288" s="35"/>
      <c r="AI288" s="35"/>
      <c r="AJ288" s="35"/>
      <c r="AK288" s="35"/>
      <c r="AL288" s="35"/>
    </row>
    <row r="289" ht="52.5" customHeight="1">
      <c r="A289" s="89"/>
      <c r="B289" s="19" t="s">
        <v>221</v>
      </c>
      <c r="C289" s="20" t="s">
        <v>1610</v>
      </c>
      <c r="D289" s="47"/>
      <c r="E289" s="56" t="s">
        <v>1611</v>
      </c>
      <c r="F289" s="22" t="s">
        <v>52</v>
      </c>
      <c r="G289" s="57">
        <v>2016.0</v>
      </c>
      <c r="H289" s="56" t="s">
        <v>91</v>
      </c>
      <c r="I289" s="58" t="s">
        <v>1612</v>
      </c>
      <c r="J289" s="22" t="s">
        <v>31</v>
      </c>
      <c r="K289" s="22" t="s">
        <v>56</v>
      </c>
      <c r="L289" s="69" t="s">
        <v>1613</v>
      </c>
      <c r="M289" s="36"/>
      <c r="N289" s="36"/>
      <c r="O289" s="36"/>
      <c r="P289" s="70"/>
      <c r="Q289" s="36"/>
      <c r="R289" s="36"/>
      <c r="S289" s="36"/>
      <c r="T289" s="63" t="s">
        <v>1614</v>
      </c>
      <c r="U289" s="66" t="str">
        <f>HYPERLINK("https://www.ncbi.nlm.nih.gov/pubmed/27492374","PubMed")</f>
        <v>PubMed</v>
      </c>
      <c r="V289" s="50"/>
      <c r="W289" s="49"/>
      <c r="X289" s="49"/>
      <c r="Y289" s="35"/>
      <c r="Z289" s="35"/>
      <c r="AA289" s="35"/>
      <c r="AB289" s="35"/>
      <c r="AC289" s="35"/>
      <c r="AD289" s="35"/>
      <c r="AE289" s="35"/>
      <c r="AF289" s="35"/>
      <c r="AG289" s="35"/>
      <c r="AH289" s="35"/>
      <c r="AI289" s="35"/>
      <c r="AJ289" s="35"/>
      <c r="AK289" s="35"/>
      <c r="AL289" s="35"/>
    </row>
    <row r="290" ht="52.5" customHeight="1">
      <c r="A290" s="40"/>
      <c r="B290" s="19" t="s">
        <v>221</v>
      </c>
      <c r="C290" s="20" t="s">
        <v>1615</v>
      </c>
      <c r="D290" s="47"/>
      <c r="E290" s="56" t="s">
        <v>1616</v>
      </c>
      <c r="F290" s="22" t="s">
        <v>1617</v>
      </c>
      <c r="G290" s="57">
        <v>2023.0</v>
      </c>
      <c r="H290" s="56" t="s">
        <v>147</v>
      </c>
      <c r="I290" s="58" t="s">
        <v>1618</v>
      </c>
      <c r="J290" s="22" t="s">
        <v>31</v>
      </c>
      <c r="K290" s="22"/>
      <c r="L290" s="69">
        <v>810.0</v>
      </c>
      <c r="M290" s="36"/>
      <c r="N290" s="36"/>
      <c r="O290" s="36"/>
      <c r="P290" s="70" t="s">
        <v>1619</v>
      </c>
      <c r="Q290" s="36"/>
      <c r="R290" s="36">
        <v>96.0</v>
      </c>
      <c r="S290" s="36"/>
      <c r="T290" s="63" t="s">
        <v>1620</v>
      </c>
      <c r="U290" s="60" t="s">
        <v>61</v>
      </c>
      <c r="V290" s="30"/>
      <c r="W290" s="49"/>
      <c r="X290" s="49"/>
      <c r="Y290" s="35"/>
      <c r="Z290" s="35"/>
      <c r="AA290" s="35"/>
      <c r="AB290" s="35"/>
      <c r="AC290" s="35"/>
      <c r="AD290" s="35"/>
      <c r="AE290" s="35"/>
      <c r="AF290" s="35"/>
      <c r="AG290" s="35"/>
      <c r="AH290" s="35"/>
      <c r="AI290" s="35"/>
      <c r="AJ290" s="35"/>
      <c r="AK290" s="35"/>
      <c r="AL290" s="35"/>
    </row>
    <row r="291" ht="52.5" customHeight="1">
      <c r="A291" s="40"/>
      <c r="B291" s="19" t="s">
        <v>221</v>
      </c>
      <c r="C291" s="20" t="s">
        <v>1615</v>
      </c>
      <c r="D291" s="47"/>
      <c r="E291" s="56" t="s">
        <v>1621</v>
      </c>
      <c r="F291" s="22" t="s">
        <v>1622</v>
      </c>
      <c r="G291" s="57">
        <v>2023.0</v>
      </c>
      <c r="H291" s="56" t="s">
        <v>348</v>
      </c>
      <c r="I291" s="58" t="s">
        <v>1623</v>
      </c>
      <c r="J291" s="22" t="s">
        <v>31</v>
      </c>
      <c r="K291" s="22" t="s">
        <v>1624</v>
      </c>
      <c r="L291" s="69">
        <v>625.0</v>
      </c>
      <c r="M291" s="36"/>
      <c r="N291" s="36"/>
      <c r="O291" s="36"/>
      <c r="P291" s="70"/>
      <c r="Q291" s="36"/>
      <c r="R291" s="36"/>
      <c r="S291" s="36"/>
      <c r="T291" s="63" t="s">
        <v>1625</v>
      </c>
      <c r="U291" s="60" t="s">
        <v>61</v>
      </c>
      <c r="V291" s="30"/>
      <c r="W291" s="49"/>
      <c r="X291" s="49"/>
      <c r="Y291" s="35"/>
      <c r="Z291" s="35"/>
      <c r="AA291" s="35"/>
      <c r="AB291" s="35"/>
      <c r="AC291" s="35"/>
      <c r="AD291" s="35"/>
      <c r="AE291" s="35"/>
      <c r="AF291" s="35"/>
      <c r="AG291" s="35"/>
      <c r="AH291" s="35"/>
      <c r="AI291" s="35"/>
      <c r="AJ291" s="35"/>
      <c r="AK291" s="35"/>
      <c r="AL291" s="35"/>
    </row>
    <row r="292" ht="52.5" customHeight="1">
      <c r="A292" s="40" t="s">
        <v>2</v>
      </c>
      <c r="B292" s="19" t="s">
        <v>221</v>
      </c>
      <c r="C292" s="20" t="s">
        <v>1615</v>
      </c>
      <c r="D292" s="47"/>
      <c r="E292" s="56" t="s">
        <v>1626</v>
      </c>
      <c r="F292" s="22" t="s">
        <v>313</v>
      </c>
      <c r="G292" s="57">
        <v>2022.0</v>
      </c>
      <c r="H292" s="56" t="s">
        <v>1627</v>
      </c>
      <c r="I292" s="58" t="s">
        <v>1628</v>
      </c>
      <c r="J292" s="22" t="s">
        <v>1629</v>
      </c>
      <c r="K292" s="22" t="s">
        <v>1630</v>
      </c>
      <c r="L292" s="69">
        <v>810.0</v>
      </c>
      <c r="M292" s="36"/>
      <c r="N292" s="36" t="s">
        <v>1631</v>
      </c>
      <c r="O292" s="36"/>
      <c r="P292" s="70"/>
      <c r="Q292" s="36"/>
      <c r="R292" s="36"/>
      <c r="S292" s="36"/>
      <c r="T292" s="63" t="s">
        <v>1632</v>
      </c>
      <c r="U292" s="60" t="s">
        <v>1633</v>
      </c>
      <c r="V292" s="30" t="s">
        <v>1634</v>
      </c>
      <c r="W292" s="49"/>
      <c r="X292" s="49"/>
      <c r="Y292" s="35"/>
      <c r="Z292" s="35"/>
      <c r="AA292" s="35"/>
      <c r="AB292" s="35"/>
      <c r="AC292" s="35"/>
      <c r="AD292" s="35"/>
      <c r="AE292" s="35"/>
      <c r="AF292" s="35"/>
      <c r="AG292" s="35"/>
      <c r="AH292" s="35"/>
      <c r="AI292" s="35"/>
      <c r="AJ292" s="35"/>
      <c r="AK292" s="35"/>
      <c r="AL292" s="35"/>
    </row>
    <row r="293" ht="52.5" customHeight="1">
      <c r="A293" s="89"/>
      <c r="B293" s="19" t="s">
        <v>221</v>
      </c>
      <c r="C293" s="20" t="s">
        <v>1615</v>
      </c>
      <c r="D293" s="47"/>
      <c r="E293" s="56" t="s">
        <v>1635</v>
      </c>
      <c r="F293" s="22" t="s">
        <v>1636</v>
      </c>
      <c r="G293" s="57">
        <v>2022.0</v>
      </c>
      <c r="H293" s="56" t="s">
        <v>91</v>
      </c>
      <c r="I293" s="58" t="s">
        <v>1637</v>
      </c>
      <c r="J293" s="22" t="s">
        <v>1638</v>
      </c>
      <c r="K293" s="22"/>
      <c r="L293" s="101" t="s">
        <v>1639</v>
      </c>
      <c r="M293" s="44"/>
      <c r="N293" s="44"/>
      <c r="O293" s="44"/>
      <c r="P293" s="44"/>
      <c r="Q293" s="44"/>
      <c r="R293" s="44"/>
      <c r="S293" s="44"/>
      <c r="T293" s="45"/>
      <c r="U293" s="64" t="s">
        <v>61</v>
      </c>
      <c r="V293" s="50"/>
      <c r="W293" s="49"/>
      <c r="X293" s="49"/>
      <c r="Y293" s="35"/>
      <c r="Z293" s="35"/>
      <c r="AA293" s="35"/>
      <c r="AB293" s="35"/>
      <c r="AC293" s="35"/>
      <c r="AD293" s="35"/>
      <c r="AE293" s="35"/>
      <c r="AF293" s="35"/>
      <c r="AG293" s="35"/>
      <c r="AH293" s="35"/>
      <c r="AI293" s="35"/>
      <c r="AJ293" s="35"/>
      <c r="AK293" s="35"/>
      <c r="AL293" s="35"/>
    </row>
    <row r="294" ht="52.5" customHeight="1">
      <c r="A294" s="89"/>
      <c r="B294" s="19" t="s">
        <v>221</v>
      </c>
      <c r="C294" s="20" t="s">
        <v>1615</v>
      </c>
      <c r="D294" s="47"/>
      <c r="E294" s="56" t="s">
        <v>1640</v>
      </c>
      <c r="F294" s="22" t="s">
        <v>1641</v>
      </c>
      <c r="G294" s="57">
        <v>2021.0</v>
      </c>
      <c r="H294" s="56" t="s">
        <v>91</v>
      </c>
      <c r="I294" s="58" t="s">
        <v>1642</v>
      </c>
      <c r="J294" s="22" t="s">
        <v>1638</v>
      </c>
      <c r="K294" s="22"/>
      <c r="L294" s="80" t="s">
        <v>1643</v>
      </c>
      <c r="M294" s="44"/>
      <c r="N294" s="44"/>
      <c r="O294" s="44"/>
      <c r="P294" s="44"/>
      <c r="Q294" s="44"/>
      <c r="R294" s="44"/>
      <c r="S294" s="44"/>
      <c r="T294" s="45"/>
      <c r="U294" s="64" t="s">
        <v>61</v>
      </c>
      <c r="V294" s="50"/>
      <c r="W294" s="49"/>
      <c r="X294" s="49"/>
      <c r="Y294" s="35"/>
      <c r="Z294" s="35"/>
      <c r="AA294" s="35"/>
      <c r="AB294" s="35"/>
      <c r="AC294" s="35"/>
      <c r="AD294" s="35"/>
      <c r="AE294" s="35"/>
      <c r="AF294" s="35"/>
      <c r="AG294" s="35"/>
      <c r="AH294" s="35"/>
      <c r="AI294" s="35"/>
      <c r="AJ294" s="35"/>
      <c r="AK294" s="35"/>
      <c r="AL294" s="35"/>
    </row>
    <row r="295" ht="52.5" customHeight="1">
      <c r="A295" s="89"/>
      <c r="B295" s="19" t="s">
        <v>221</v>
      </c>
      <c r="C295" s="20" t="s">
        <v>1615</v>
      </c>
      <c r="D295" s="47"/>
      <c r="E295" s="56" t="s">
        <v>1644</v>
      </c>
      <c r="F295" s="22" t="s">
        <v>1645</v>
      </c>
      <c r="G295" s="57">
        <v>2021.0</v>
      </c>
      <c r="H295" s="56" t="s">
        <v>348</v>
      </c>
      <c r="I295" s="58" t="s">
        <v>1646</v>
      </c>
      <c r="J295" s="22" t="s">
        <v>125</v>
      </c>
      <c r="K295" s="22"/>
      <c r="L295" s="88" t="s">
        <v>1647</v>
      </c>
      <c r="M295" s="44"/>
      <c r="N295" s="44"/>
      <c r="O295" s="44"/>
      <c r="P295" s="44"/>
      <c r="Q295" s="44"/>
      <c r="R295" s="44"/>
      <c r="S295" s="44"/>
      <c r="T295" s="45"/>
      <c r="U295" s="64" t="s">
        <v>61</v>
      </c>
      <c r="V295" s="50"/>
      <c r="W295" s="49"/>
      <c r="X295" s="49"/>
      <c r="Y295" s="35"/>
      <c r="Z295" s="35"/>
      <c r="AA295" s="35"/>
      <c r="AB295" s="35"/>
      <c r="AC295" s="35"/>
      <c r="AD295" s="35"/>
      <c r="AE295" s="35"/>
      <c r="AF295" s="35"/>
      <c r="AG295" s="35"/>
      <c r="AH295" s="35"/>
      <c r="AI295" s="35"/>
      <c r="AJ295" s="35"/>
      <c r="AK295" s="35"/>
      <c r="AL295" s="35"/>
    </row>
    <row r="296" ht="52.5" customHeight="1">
      <c r="A296" s="89"/>
      <c r="B296" s="19" t="s">
        <v>221</v>
      </c>
      <c r="C296" s="20" t="s">
        <v>1615</v>
      </c>
      <c r="D296" s="47"/>
      <c r="E296" s="56" t="s">
        <v>1648</v>
      </c>
      <c r="F296" s="22" t="s">
        <v>1649</v>
      </c>
      <c r="G296" s="57">
        <v>2021.0</v>
      </c>
      <c r="H296" s="56" t="s">
        <v>91</v>
      </c>
      <c r="I296" s="58" t="s">
        <v>1650</v>
      </c>
      <c r="J296" s="22" t="s">
        <v>31</v>
      </c>
      <c r="K296" s="22"/>
      <c r="L296" s="69">
        <v>808.0</v>
      </c>
      <c r="M296" s="36">
        <v>80.0</v>
      </c>
      <c r="N296" s="36"/>
      <c r="O296" s="36"/>
      <c r="P296" s="70"/>
      <c r="Q296" s="36" t="s">
        <v>675</v>
      </c>
      <c r="R296" s="36"/>
      <c r="S296" s="36"/>
      <c r="T296" s="63" t="s">
        <v>1651</v>
      </c>
      <c r="U296" s="64" t="s">
        <v>61</v>
      </c>
      <c r="V296" s="50"/>
      <c r="W296" s="49"/>
      <c r="X296" s="49"/>
      <c r="Y296" s="35"/>
      <c r="Z296" s="35"/>
      <c r="AA296" s="35"/>
      <c r="AB296" s="35"/>
      <c r="AC296" s="35"/>
      <c r="AD296" s="35"/>
      <c r="AE296" s="35"/>
      <c r="AF296" s="35"/>
      <c r="AG296" s="35"/>
      <c r="AH296" s="35"/>
      <c r="AI296" s="35"/>
      <c r="AJ296" s="35"/>
      <c r="AK296" s="35"/>
      <c r="AL296" s="35"/>
    </row>
    <row r="297" ht="52.5" customHeight="1">
      <c r="A297" s="89"/>
      <c r="B297" s="19" t="s">
        <v>221</v>
      </c>
      <c r="C297" s="20" t="s">
        <v>1615</v>
      </c>
      <c r="D297" s="47"/>
      <c r="E297" s="56" t="s">
        <v>1652</v>
      </c>
      <c r="F297" s="22" t="s">
        <v>41</v>
      </c>
      <c r="G297" s="57">
        <v>2021.0</v>
      </c>
      <c r="H297" s="56" t="s">
        <v>42</v>
      </c>
      <c r="I297" s="58" t="s">
        <v>1653</v>
      </c>
      <c r="J297" s="22" t="s">
        <v>55</v>
      </c>
      <c r="K297" s="22" t="s">
        <v>1654</v>
      </c>
      <c r="L297" s="69">
        <v>660.0</v>
      </c>
      <c r="M297" s="36">
        <v>20.0</v>
      </c>
      <c r="N297" s="36" t="s">
        <v>1655</v>
      </c>
      <c r="O297" s="36" t="s">
        <v>1656</v>
      </c>
      <c r="P297" s="70" t="s">
        <v>432</v>
      </c>
      <c r="Q297" s="36"/>
      <c r="R297" s="36"/>
      <c r="S297" s="36"/>
      <c r="T297" s="63" t="s">
        <v>1657</v>
      </c>
      <c r="U297" s="64" t="s">
        <v>61</v>
      </c>
      <c r="V297" s="50"/>
      <c r="W297" s="49"/>
      <c r="X297" s="49"/>
      <c r="Y297" s="35"/>
      <c r="Z297" s="35"/>
      <c r="AA297" s="35"/>
      <c r="AB297" s="35"/>
      <c r="AC297" s="35"/>
      <c r="AD297" s="35"/>
      <c r="AE297" s="35"/>
      <c r="AF297" s="35"/>
      <c r="AG297" s="35"/>
      <c r="AH297" s="35"/>
      <c r="AI297" s="35"/>
      <c r="AJ297" s="35"/>
      <c r="AK297" s="35"/>
      <c r="AL297" s="35"/>
    </row>
    <row r="298" ht="52.5" customHeight="1">
      <c r="A298" s="18"/>
      <c r="B298" s="19" t="s">
        <v>221</v>
      </c>
      <c r="C298" s="20" t="s">
        <v>1615</v>
      </c>
      <c r="D298" s="47"/>
      <c r="E298" s="56" t="s">
        <v>1658</v>
      </c>
      <c r="F298" s="22" t="s">
        <v>1659</v>
      </c>
      <c r="G298" s="57">
        <v>2021.0</v>
      </c>
      <c r="H298" s="56" t="s">
        <v>77</v>
      </c>
      <c r="I298" s="58" t="s">
        <v>1660</v>
      </c>
      <c r="J298" s="22" t="s">
        <v>31</v>
      </c>
      <c r="K298" s="22"/>
      <c r="L298" s="87">
        <v>645.0</v>
      </c>
      <c r="M298" s="126"/>
      <c r="N298" s="126"/>
      <c r="O298" s="126"/>
      <c r="P298" s="126"/>
      <c r="Q298" s="126"/>
      <c r="R298" s="126"/>
      <c r="S298" s="126"/>
      <c r="T298" s="84" t="s">
        <v>1661</v>
      </c>
      <c r="U298" s="64" t="s">
        <v>61</v>
      </c>
      <c r="V298" s="50"/>
      <c r="W298" s="49"/>
      <c r="X298" s="49"/>
      <c r="Y298" s="35"/>
      <c r="Z298" s="35"/>
      <c r="AA298" s="35"/>
      <c r="AB298" s="35"/>
      <c r="AC298" s="35"/>
      <c r="AD298" s="35"/>
      <c r="AE298" s="35"/>
      <c r="AF298" s="35"/>
      <c r="AG298" s="35"/>
      <c r="AH298" s="35"/>
      <c r="AI298" s="35"/>
      <c r="AJ298" s="35"/>
      <c r="AK298" s="35"/>
      <c r="AL298" s="35"/>
    </row>
    <row r="299" ht="52.5" customHeight="1">
      <c r="A299" s="18"/>
      <c r="B299" s="19" t="s">
        <v>221</v>
      </c>
      <c r="C299" s="20" t="s">
        <v>1615</v>
      </c>
      <c r="D299" s="47"/>
      <c r="E299" s="56" t="s">
        <v>1662</v>
      </c>
      <c r="F299" s="22" t="s">
        <v>1386</v>
      </c>
      <c r="G299" s="57">
        <v>2021.0</v>
      </c>
      <c r="H299" s="56" t="s">
        <v>1663</v>
      </c>
      <c r="I299" s="58" t="s">
        <v>1664</v>
      </c>
      <c r="J299" s="22" t="s">
        <v>125</v>
      </c>
      <c r="K299" s="22"/>
      <c r="L299" s="101" t="s">
        <v>1665</v>
      </c>
      <c r="M299" s="44"/>
      <c r="N299" s="44"/>
      <c r="O299" s="44"/>
      <c r="P299" s="44"/>
      <c r="Q299" s="44"/>
      <c r="R299" s="44"/>
      <c r="S299" s="44"/>
      <c r="T299" s="45"/>
      <c r="U299" s="64" t="s">
        <v>61</v>
      </c>
      <c r="V299" s="50"/>
      <c r="W299" s="49"/>
      <c r="X299" s="49"/>
      <c r="Y299" s="35"/>
      <c r="Z299" s="35"/>
      <c r="AA299" s="35"/>
      <c r="AB299" s="35"/>
      <c r="AC299" s="35"/>
      <c r="AD299" s="35"/>
      <c r="AE299" s="35"/>
      <c r="AF299" s="35"/>
      <c r="AG299" s="35"/>
      <c r="AH299" s="35"/>
      <c r="AI299" s="35"/>
      <c r="AJ299" s="35"/>
      <c r="AK299" s="35"/>
      <c r="AL299" s="35"/>
    </row>
    <row r="300" ht="52.5" customHeight="1">
      <c r="A300" s="18"/>
      <c r="B300" s="19" t="s">
        <v>221</v>
      </c>
      <c r="C300" s="20" t="s">
        <v>1615</v>
      </c>
      <c r="D300" s="47"/>
      <c r="E300" s="56" t="s">
        <v>1666</v>
      </c>
      <c r="F300" s="22" t="s">
        <v>1398</v>
      </c>
      <c r="G300" s="57">
        <v>2020.0</v>
      </c>
      <c r="H300" s="56" t="s">
        <v>1667</v>
      </c>
      <c r="I300" s="58" t="s">
        <v>1668</v>
      </c>
      <c r="J300" s="22" t="s">
        <v>31</v>
      </c>
      <c r="K300" s="22"/>
      <c r="L300" s="69">
        <v>2940.0</v>
      </c>
      <c r="M300" s="36"/>
      <c r="N300" s="36"/>
      <c r="O300" s="36"/>
      <c r="P300" s="70" t="s">
        <v>1669</v>
      </c>
      <c r="Q300" s="36"/>
      <c r="R300" s="36"/>
      <c r="S300" s="36"/>
      <c r="T300" s="63" t="s">
        <v>1670</v>
      </c>
      <c r="U300" s="64" t="s">
        <v>61</v>
      </c>
      <c r="V300" s="50"/>
      <c r="W300" s="49"/>
      <c r="X300" s="49"/>
      <c r="Y300" s="35"/>
      <c r="Z300" s="35"/>
      <c r="AA300" s="35"/>
      <c r="AB300" s="35"/>
      <c r="AC300" s="35"/>
      <c r="AD300" s="35"/>
      <c r="AE300" s="35"/>
      <c r="AF300" s="35"/>
      <c r="AG300" s="35"/>
      <c r="AH300" s="35"/>
      <c r="AI300" s="35"/>
      <c r="AJ300" s="35"/>
      <c r="AK300" s="35"/>
      <c r="AL300" s="35"/>
    </row>
    <row r="301" ht="52.5" customHeight="1">
      <c r="A301" s="18"/>
      <c r="B301" s="19" t="s">
        <v>221</v>
      </c>
      <c r="C301" s="20" t="s">
        <v>1615</v>
      </c>
      <c r="D301" s="47"/>
      <c r="E301" s="56" t="s">
        <v>1671</v>
      </c>
      <c r="F301" s="22" t="s">
        <v>1672</v>
      </c>
      <c r="G301" s="57">
        <v>2020.0</v>
      </c>
      <c r="H301" s="56" t="s">
        <v>91</v>
      </c>
      <c r="I301" s="58" t="s">
        <v>1673</v>
      </c>
      <c r="J301" s="22" t="s">
        <v>31</v>
      </c>
      <c r="K301" s="22" t="s">
        <v>948</v>
      </c>
      <c r="L301" s="69" t="s">
        <v>1674</v>
      </c>
      <c r="M301" s="36"/>
      <c r="N301" s="36"/>
      <c r="O301" s="36"/>
      <c r="P301" s="70"/>
      <c r="Q301" s="36"/>
      <c r="R301" s="36"/>
      <c r="S301" s="36"/>
      <c r="T301" s="63" t="s">
        <v>1675</v>
      </c>
      <c r="U301" s="64" t="s">
        <v>61</v>
      </c>
      <c r="V301" s="50"/>
      <c r="W301" s="49"/>
      <c r="X301" s="49"/>
      <c r="Y301" s="35"/>
      <c r="Z301" s="35"/>
      <c r="AA301" s="35"/>
      <c r="AB301" s="35"/>
      <c r="AC301" s="35"/>
      <c r="AD301" s="35"/>
      <c r="AE301" s="35"/>
      <c r="AF301" s="35"/>
      <c r="AG301" s="35"/>
      <c r="AH301" s="35"/>
      <c r="AI301" s="35"/>
      <c r="AJ301" s="35"/>
      <c r="AK301" s="35"/>
      <c r="AL301" s="35"/>
    </row>
    <row r="302" ht="52.5" customHeight="1">
      <c r="A302" s="18"/>
      <c r="B302" s="19" t="s">
        <v>221</v>
      </c>
      <c r="C302" s="20" t="s">
        <v>1615</v>
      </c>
      <c r="D302" s="47"/>
      <c r="E302" s="56" t="s">
        <v>1676</v>
      </c>
      <c r="F302" s="22" t="s">
        <v>1677</v>
      </c>
      <c r="G302" s="57">
        <v>2020.0</v>
      </c>
      <c r="H302" s="56" t="s">
        <v>1678</v>
      </c>
      <c r="I302" s="58" t="s">
        <v>1679</v>
      </c>
      <c r="J302" s="22" t="s">
        <v>31</v>
      </c>
      <c r="K302" s="22" t="s">
        <v>1413</v>
      </c>
      <c r="L302" s="69" t="s">
        <v>1680</v>
      </c>
      <c r="M302" s="36"/>
      <c r="N302" s="36"/>
      <c r="O302" s="36"/>
      <c r="P302" s="70"/>
      <c r="Q302" s="36"/>
      <c r="R302" s="36"/>
      <c r="S302" s="36"/>
      <c r="T302" s="74" t="s">
        <v>1681</v>
      </c>
      <c r="U302" s="64" t="s">
        <v>61</v>
      </c>
      <c r="V302" s="50"/>
      <c r="W302" s="49"/>
      <c r="X302" s="49"/>
      <c r="Y302" s="35"/>
      <c r="Z302" s="35"/>
      <c r="AA302" s="35"/>
      <c r="AB302" s="35"/>
      <c r="AC302" s="35"/>
      <c r="AD302" s="35"/>
      <c r="AE302" s="35"/>
      <c r="AF302" s="35"/>
      <c r="AG302" s="35"/>
      <c r="AH302" s="35"/>
      <c r="AI302" s="35"/>
      <c r="AJ302" s="35"/>
      <c r="AK302" s="35"/>
      <c r="AL302" s="35"/>
    </row>
    <row r="303" ht="52.5" customHeight="1">
      <c r="A303" s="18" t="s">
        <v>38</v>
      </c>
      <c r="B303" s="19" t="s">
        <v>221</v>
      </c>
      <c r="C303" s="20" t="s">
        <v>1615</v>
      </c>
      <c r="D303" s="47"/>
      <c r="E303" s="56" t="s">
        <v>1507</v>
      </c>
      <c r="F303" s="22" t="s">
        <v>224</v>
      </c>
      <c r="G303" s="57">
        <v>2019.0</v>
      </c>
      <c r="H303" s="56" t="s">
        <v>1682</v>
      </c>
      <c r="I303" s="58" t="s">
        <v>1683</v>
      </c>
      <c r="J303" s="22" t="s">
        <v>31</v>
      </c>
      <c r="K303" s="22" t="s">
        <v>1684</v>
      </c>
      <c r="L303" s="69" t="s">
        <v>1685</v>
      </c>
      <c r="M303" s="36"/>
      <c r="N303" s="36" t="s">
        <v>1686</v>
      </c>
      <c r="O303" s="36"/>
      <c r="P303" s="70"/>
      <c r="Q303" s="36"/>
      <c r="R303" s="36" t="s">
        <v>1687</v>
      </c>
      <c r="S303" s="36"/>
      <c r="T303" s="63" t="s">
        <v>1688</v>
      </c>
      <c r="U303" s="66" t="str">
        <f>HYPERLINK("https://www.ncbi.nlm.nih.gov/pubmed/31743330","PubMed")</f>
        <v>PubMed</v>
      </c>
      <c r="V303" s="50"/>
      <c r="W303" s="49"/>
      <c r="X303" s="49"/>
      <c r="Y303" s="35"/>
      <c r="Z303" s="35"/>
      <c r="AA303" s="35"/>
      <c r="AB303" s="35"/>
      <c r="AC303" s="35"/>
      <c r="AD303" s="35"/>
      <c r="AE303" s="35"/>
      <c r="AF303" s="35"/>
      <c r="AG303" s="35"/>
      <c r="AH303" s="35"/>
      <c r="AI303" s="35"/>
      <c r="AJ303" s="35"/>
      <c r="AK303" s="35"/>
      <c r="AL303" s="35"/>
    </row>
    <row r="304" ht="52.5" customHeight="1">
      <c r="A304" s="1"/>
      <c r="B304" s="19" t="s">
        <v>221</v>
      </c>
      <c r="C304" s="20" t="s">
        <v>1615</v>
      </c>
      <c r="D304" s="47"/>
      <c r="E304" s="56" t="s">
        <v>1689</v>
      </c>
      <c r="F304" s="22" t="s">
        <v>1690</v>
      </c>
      <c r="G304" s="57">
        <v>2019.0</v>
      </c>
      <c r="H304" s="56" t="s">
        <v>91</v>
      </c>
      <c r="I304" s="58" t="s">
        <v>1691</v>
      </c>
      <c r="J304" s="22" t="s">
        <v>31</v>
      </c>
      <c r="K304" s="22"/>
      <c r="L304" s="69">
        <v>808.0</v>
      </c>
      <c r="M304" s="36"/>
      <c r="N304" s="36" t="s">
        <v>1692</v>
      </c>
      <c r="O304" s="36"/>
      <c r="P304" s="70" t="s">
        <v>1400</v>
      </c>
      <c r="Q304" s="36"/>
      <c r="R304" s="36"/>
      <c r="S304" s="36"/>
      <c r="T304" s="63" t="s">
        <v>1693</v>
      </c>
      <c r="U304" s="66" t="str">
        <f>HYPERLINK("https://www.ncbi.nlm.nih.gov/pubmed/30218348","PubMed")</f>
        <v>PubMed</v>
      </c>
      <c r="V304" s="50"/>
      <c r="W304" s="49"/>
      <c r="X304" s="49"/>
      <c r="Y304" s="35"/>
      <c r="Z304" s="35"/>
      <c r="AA304" s="35"/>
      <c r="AB304" s="35"/>
      <c r="AC304" s="35"/>
      <c r="AD304" s="35"/>
      <c r="AE304" s="35"/>
      <c r="AF304" s="35"/>
      <c r="AG304" s="35"/>
      <c r="AH304" s="35"/>
      <c r="AI304" s="35"/>
      <c r="AJ304" s="35"/>
      <c r="AK304" s="35"/>
      <c r="AL304" s="35"/>
    </row>
    <row r="305" ht="52.5" customHeight="1">
      <c r="A305" s="1"/>
      <c r="B305" s="19" t="s">
        <v>221</v>
      </c>
      <c r="C305" s="20" t="s">
        <v>1615</v>
      </c>
      <c r="D305" s="47"/>
      <c r="E305" s="56" t="s">
        <v>1694</v>
      </c>
      <c r="F305" s="22" t="s">
        <v>1649</v>
      </c>
      <c r="G305" s="57">
        <v>2018.0</v>
      </c>
      <c r="H305" s="56" t="s">
        <v>1695</v>
      </c>
      <c r="I305" s="58" t="s">
        <v>1696</v>
      </c>
      <c r="J305" s="22" t="s">
        <v>31</v>
      </c>
      <c r="K305" s="22"/>
      <c r="L305" s="69">
        <v>808.0</v>
      </c>
      <c r="M305" s="36">
        <v>80.0</v>
      </c>
      <c r="N305" s="36"/>
      <c r="O305" s="36"/>
      <c r="P305" s="70" t="s">
        <v>325</v>
      </c>
      <c r="Q305" s="36"/>
      <c r="R305" s="36">
        <v>15.0</v>
      </c>
      <c r="S305" s="36"/>
      <c r="T305" s="63" t="s">
        <v>1697</v>
      </c>
      <c r="U305" s="66" t="str">
        <f>HYPERLINK("https://www.ncbi.nlm.nih.gov/pubmed/30637239","PubMed")</f>
        <v>PubMed</v>
      </c>
      <c r="V305" s="50"/>
      <c r="W305" s="49"/>
      <c r="X305" s="49"/>
      <c r="Y305" s="35"/>
      <c r="Z305" s="35"/>
      <c r="AA305" s="35"/>
      <c r="AB305" s="35"/>
      <c r="AC305" s="35"/>
      <c r="AD305" s="35"/>
      <c r="AE305" s="35"/>
      <c r="AF305" s="35"/>
      <c r="AG305" s="35"/>
      <c r="AH305" s="35"/>
      <c r="AI305" s="35"/>
      <c r="AJ305" s="35"/>
      <c r="AK305" s="35"/>
      <c r="AL305" s="35"/>
    </row>
    <row r="306" ht="52.5" customHeight="1">
      <c r="A306" s="1"/>
      <c r="B306" s="19" t="s">
        <v>221</v>
      </c>
      <c r="C306" s="20" t="s">
        <v>1615</v>
      </c>
      <c r="D306" s="47"/>
      <c r="E306" s="56" t="s">
        <v>1698</v>
      </c>
      <c r="F306" s="22" t="s">
        <v>41</v>
      </c>
      <c r="G306" s="57">
        <v>2019.0</v>
      </c>
      <c r="H306" s="56" t="s">
        <v>309</v>
      </c>
      <c r="I306" s="58" t="s">
        <v>1699</v>
      </c>
      <c r="J306" s="22" t="s">
        <v>31</v>
      </c>
      <c r="K306" s="22"/>
      <c r="L306" s="69">
        <v>808.0</v>
      </c>
      <c r="M306" s="36"/>
      <c r="N306" s="36"/>
      <c r="O306" s="36"/>
      <c r="P306" s="70" t="s">
        <v>269</v>
      </c>
      <c r="Q306" s="36"/>
      <c r="R306" s="36">
        <v>5.0</v>
      </c>
      <c r="S306" s="36"/>
      <c r="T306" s="63" t="s">
        <v>1700</v>
      </c>
      <c r="U306" s="66" t="str">
        <f>HYPERLINK("https://www.ncbi.nlm.nih.gov/pubmed/30843943","PubMed")</f>
        <v>PubMed</v>
      </c>
      <c r="V306" s="50"/>
      <c r="W306" s="49"/>
      <c r="X306" s="49"/>
      <c r="Y306" s="35"/>
      <c r="Z306" s="35"/>
      <c r="AA306" s="35"/>
      <c r="AB306" s="35"/>
      <c r="AC306" s="35"/>
      <c r="AD306" s="35"/>
      <c r="AE306" s="35"/>
      <c r="AF306" s="35"/>
      <c r="AG306" s="35"/>
      <c r="AH306" s="35"/>
      <c r="AI306" s="35"/>
      <c r="AJ306" s="35"/>
      <c r="AK306" s="35"/>
      <c r="AL306" s="35"/>
    </row>
    <row r="307" ht="52.5" customHeight="1">
      <c r="A307" s="1" t="s">
        <v>2</v>
      </c>
      <c r="B307" s="19" t="s">
        <v>221</v>
      </c>
      <c r="C307" s="20" t="s">
        <v>1615</v>
      </c>
      <c r="D307" s="47"/>
      <c r="E307" s="56" t="s">
        <v>539</v>
      </c>
      <c r="F307" s="22" t="s">
        <v>540</v>
      </c>
      <c r="G307" s="57">
        <v>2019.0</v>
      </c>
      <c r="H307" s="56" t="s">
        <v>1701</v>
      </c>
      <c r="I307" s="58" t="s">
        <v>1702</v>
      </c>
      <c r="J307" s="22" t="s">
        <v>31</v>
      </c>
      <c r="K307" s="22" t="s">
        <v>1703</v>
      </c>
      <c r="L307" s="69">
        <v>980.0</v>
      </c>
      <c r="M307" s="36">
        <v>900.0</v>
      </c>
      <c r="N307" s="36" t="s">
        <v>1704</v>
      </c>
      <c r="O307" s="36">
        <v>55.0</v>
      </c>
      <c r="P307" s="70" t="s">
        <v>1705</v>
      </c>
      <c r="Q307" s="36" t="s">
        <v>675</v>
      </c>
      <c r="R307" s="36">
        <v>60.0</v>
      </c>
      <c r="S307" s="36" t="s">
        <v>1706</v>
      </c>
      <c r="T307" s="63" t="s">
        <v>1707</v>
      </c>
      <c r="U307" s="66" t="str">
        <f>HYPERLINK("https://www.ncbi.nlm.nih.gov/pubmed/30842754","PubMed")</f>
        <v>PubMed</v>
      </c>
      <c r="V307" s="50"/>
      <c r="W307" s="49"/>
      <c r="X307" s="49"/>
      <c r="Y307" s="35"/>
      <c r="Z307" s="35"/>
      <c r="AA307" s="35"/>
      <c r="AB307" s="35"/>
      <c r="AC307" s="35"/>
      <c r="AD307" s="35"/>
      <c r="AE307" s="35"/>
      <c r="AF307" s="35"/>
      <c r="AG307" s="35"/>
      <c r="AH307" s="35"/>
      <c r="AI307" s="35"/>
      <c r="AJ307" s="35"/>
      <c r="AK307" s="35"/>
      <c r="AL307" s="35"/>
    </row>
    <row r="308" ht="52.5" customHeight="1">
      <c r="A308" s="51" t="s">
        <v>181</v>
      </c>
      <c r="B308" s="19" t="s">
        <v>221</v>
      </c>
      <c r="C308" s="20" t="s">
        <v>1615</v>
      </c>
      <c r="D308" s="47"/>
      <c r="E308" s="56" t="s">
        <v>1708</v>
      </c>
      <c r="F308" s="22" t="s">
        <v>1649</v>
      </c>
      <c r="G308" s="57">
        <v>2018.0</v>
      </c>
      <c r="H308" s="56" t="s">
        <v>1709</v>
      </c>
      <c r="I308" s="58" t="s">
        <v>1710</v>
      </c>
      <c r="J308" s="22" t="s">
        <v>31</v>
      </c>
      <c r="K308" s="22" t="s">
        <v>1711</v>
      </c>
      <c r="L308" s="69">
        <v>808.0</v>
      </c>
      <c r="M308" s="36">
        <v>80.0</v>
      </c>
      <c r="N308" s="36" t="s">
        <v>58</v>
      </c>
      <c r="O308" s="36" t="s">
        <v>58</v>
      </c>
      <c r="P308" s="70" t="s">
        <v>58</v>
      </c>
      <c r="Q308" s="36" t="s">
        <v>58</v>
      </c>
      <c r="R308" s="36">
        <v>15.0</v>
      </c>
      <c r="S308" s="36"/>
      <c r="T308" s="63" t="s">
        <v>1712</v>
      </c>
      <c r="U308" s="66" t="str">
        <f>HYPERLINK("https://www.ncbi.nlm.nih.gov/pubmed/30603597","PubMed")</f>
        <v>PubMed</v>
      </c>
      <c r="V308" s="50"/>
      <c r="W308" s="49"/>
      <c r="X308" s="49"/>
      <c r="Y308" s="35"/>
      <c r="Z308" s="35"/>
      <c r="AA308" s="35"/>
      <c r="AB308" s="35"/>
      <c r="AC308" s="35"/>
      <c r="AD308" s="35"/>
      <c r="AE308" s="35"/>
      <c r="AF308" s="35"/>
      <c r="AG308" s="35"/>
      <c r="AH308" s="35"/>
      <c r="AI308" s="35"/>
      <c r="AJ308" s="35"/>
      <c r="AK308" s="35"/>
      <c r="AL308" s="35"/>
    </row>
    <row r="309" ht="52.5" customHeight="1">
      <c r="A309" s="89"/>
      <c r="B309" s="19" t="s">
        <v>221</v>
      </c>
      <c r="C309" s="20" t="s">
        <v>1615</v>
      </c>
      <c r="D309" s="47"/>
      <c r="E309" s="56" t="s">
        <v>1713</v>
      </c>
      <c r="F309" s="22" t="s">
        <v>1714</v>
      </c>
      <c r="G309" s="57">
        <v>2018.0</v>
      </c>
      <c r="H309" s="56" t="s">
        <v>91</v>
      </c>
      <c r="I309" s="58" t="s">
        <v>1715</v>
      </c>
      <c r="J309" s="22" t="s">
        <v>31</v>
      </c>
      <c r="K309" s="22"/>
      <c r="L309" s="69">
        <v>1064.0</v>
      </c>
      <c r="M309" s="36">
        <v>300.0</v>
      </c>
      <c r="N309" s="36"/>
      <c r="O309" s="36"/>
      <c r="P309" s="70"/>
      <c r="Q309" s="36"/>
      <c r="R309" s="36">
        <v>60.0</v>
      </c>
      <c r="S309" s="36"/>
      <c r="T309" s="63" t="s">
        <v>1716</v>
      </c>
      <c r="U309" s="66" t="str">
        <f>HYPERLINK("https://www.ncbi.nlm.nih.gov/pubmed/30003426","PubMed")</f>
        <v>PubMed</v>
      </c>
      <c r="V309" s="50"/>
      <c r="W309" s="49"/>
      <c r="X309" s="49"/>
      <c r="Y309" s="35"/>
      <c r="Z309" s="35"/>
      <c r="AA309" s="35"/>
      <c r="AB309" s="35"/>
      <c r="AC309" s="35"/>
      <c r="AD309" s="35"/>
      <c r="AE309" s="35"/>
      <c r="AF309" s="35"/>
      <c r="AG309" s="35"/>
      <c r="AH309" s="35"/>
      <c r="AI309" s="35"/>
      <c r="AJ309" s="35"/>
      <c r="AK309" s="35"/>
      <c r="AL309" s="35"/>
    </row>
    <row r="310" ht="52.5" customHeight="1">
      <c r="A310" s="89"/>
      <c r="B310" s="19" t="s">
        <v>221</v>
      </c>
      <c r="C310" s="20" t="s">
        <v>1615</v>
      </c>
      <c r="D310" s="47"/>
      <c r="E310" s="56" t="s">
        <v>1717</v>
      </c>
      <c r="F310" s="22" t="s">
        <v>1718</v>
      </c>
      <c r="G310" s="57">
        <v>2018.0</v>
      </c>
      <c r="H310" s="56" t="s">
        <v>1025</v>
      </c>
      <c r="I310" s="58" t="s">
        <v>1719</v>
      </c>
      <c r="J310" s="22" t="s">
        <v>31</v>
      </c>
      <c r="K310" s="22"/>
      <c r="L310" s="69">
        <v>940.0</v>
      </c>
      <c r="M310" s="36"/>
      <c r="N310" s="36" t="s">
        <v>1720</v>
      </c>
      <c r="O310" s="36"/>
      <c r="P310" s="70" t="s">
        <v>1721</v>
      </c>
      <c r="Q310" s="36"/>
      <c r="R310" s="36"/>
      <c r="S310" s="36"/>
      <c r="T310" s="74" t="s">
        <v>1722</v>
      </c>
      <c r="U310" s="66" t="str">
        <f>HYPERLINK("https://www.ncbi.nlm.nih.gov/pubmed/30030913","PubMed")</f>
        <v>PubMed</v>
      </c>
      <c r="V310" s="50"/>
      <c r="W310" s="49"/>
      <c r="X310" s="49"/>
      <c r="Y310" s="35"/>
      <c r="Z310" s="35"/>
      <c r="AA310" s="35"/>
      <c r="AB310" s="35"/>
      <c r="AC310" s="35"/>
      <c r="AD310" s="35"/>
      <c r="AE310" s="35"/>
      <c r="AF310" s="35"/>
      <c r="AG310" s="35"/>
      <c r="AH310" s="35"/>
      <c r="AI310" s="35"/>
      <c r="AJ310" s="35"/>
      <c r="AK310" s="35"/>
      <c r="AL310" s="35"/>
    </row>
    <row r="311" ht="52.5" customHeight="1">
      <c r="A311" s="89"/>
      <c r="B311" s="19" t="s">
        <v>221</v>
      </c>
      <c r="C311" s="20" t="s">
        <v>1615</v>
      </c>
      <c r="D311" s="47"/>
      <c r="E311" s="56" t="s">
        <v>1723</v>
      </c>
      <c r="F311" s="22" t="s">
        <v>1398</v>
      </c>
      <c r="G311" s="57">
        <v>2018.0</v>
      </c>
      <c r="H311" s="56" t="s">
        <v>53</v>
      </c>
      <c r="I311" s="58" t="s">
        <v>1724</v>
      </c>
      <c r="J311" s="22" t="s">
        <v>31</v>
      </c>
      <c r="K311" s="22" t="s">
        <v>1725</v>
      </c>
      <c r="L311" s="69">
        <v>405.0</v>
      </c>
      <c r="M311" s="36"/>
      <c r="N311" s="36"/>
      <c r="O311" s="36"/>
      <c r="P311" s="70"/>
      <c r="Q311" s="36"/>
      <c r="R311" s="36"/>
      <c r="S311" s="36"/>
      <c r="T311" s="63" t="s">
        <v>1726</v>
      </c>
      <c r="U311" s="64" t="s">
        <v>61</v>
      </c>
      <c r="V311" s="50"/>
      <c r="W311" s="49"/>
      <c r="X311" s="49"/>
      <c r="Y311" s="35"/>
      <c r="Z311" s="35"/>
      <c r="AA311" s="35"/>
      <c r="AB311" s="35"/>
      <c r="AC311" s="35"/>
      <c r="AD311" s="35"/>
      <c r="AE311" s="35"/>
      <c r="AF311" s="35"/>
      <c r="AG311" s="35"/>
      <c r="AH311" s="35"/>
      <c r="AI311" s="35"/>
      <c r="AJ311" s="35"/>
      <c r="AK311" s="35"/>
      <c r="AL311" s="35"/>
    </row>
    <row r="312" ht="52.5" customHeight="1">
      <c r="A312" s="89"/>
      <c r="B312" s="19" t="s">
        <v>221</v>
      </c>
      <c r="C312" s="20" t="s">
        <v>1615</v>
      </c>
      <c r="D312" s="47"/>
      <c r="E312" s="56" t="s">
        <v>1727</v>
      </c>
      <c r="F312" s="22" t="s">
        <v>605</v>
      </c>
      <c r="G312" s="57">
        <v>2018.0</v>
      </c>
      <c r="H312" s="56" t="s">
        <v>91</v>
      </c>
      <c r="I312" s="58" t="s">
        <v>1728</v>
      </c>
      <c r="J312" s="22" t="s">
        <v>31</v>
      </c>
      <c r="K312" s="22" t="s">
        <v>1404</v>
      </c>
      <c r="L312" s="69">
        <v>809.0</v>
      </c>
      <c r="M312" s="36"/>
      <c r="N312" s="36" t="s">
        <v>1729</v>
      </c>
      <c r="O312" s="36"/>
      <c r="P312" s="70" t="s">
        <v>1730</v>
      </c>
      <c r="Q312" s="36"/>
      <c r="R312" s="36" t="s">
        <v>1731</v>
      </c>
      <c r="S312" s="36"/>
      <c r="T312" s="63" t="s">
        <v>1732</v>
      </c>
      <c r="U312" s="66" t="str">
        <f>HYPERLINK("https://www.ncbi.nlm.nih.gov/pubmed/29744752","PubMed")</f>
        <v>PubMed</v>
      </c>
      <c r="V312" s="50"/>
      <c r="W312" s="49"/>
      <c r="X312" s="49"/>
      <c r="Y312" s="35"/>
      <c r="Z312" s="35"/>
      <c r="AA312" s="35"/>
      <c r="AB312" s="35"/>
      <c r="AC312" s="35"/>
      <c r="AD312" s="35"/>
      <c r="AE312" s="35"/>
      <c r="AF312" s="35"/>
      <c r="AG312" s="35"/>
      <c r="AH312" s="35"/>
      <c r="AI312" s="35"/>
      <c r="AJ312" s="35"/>
      <c r="AK312" s="35"/>
      <c r="AL312" s="35"/>
    </row>
    <row r="313" ht="52.5" customHeight="1">
      <c r="A313" s="89"/>
      <c r="B313" s="19" t="s">
        <v>221</v>
      </c>
      <c r="C313" s="20" t="s">
        <v>1615</v>
      </c>
      <c r="D313" s="47"/>
      <c r="E313" s="56" t="s">
        <v>1733</v>
      </c>
      <c r="F313" s="22" t="s">
        <v>41</v>
      </c>
      <c r="G313" s="57">
        <v>2018.0</v>
      </c>
      <c r="H313" s="56" t="s">
        <v>91</v>
      </c>
      <c r="I313" s="58" t="s">
        <v>1734</v>
      </c>
      <c r="J313" s="22" t="s">
        <v>125</v>
      </c>
      <c r="K313" s="22" t="s">
        <v>1240</v>
      </c>
      <c r="L313" s="127" t="s">
        <v>1735</v>
      </c>
      <c r="M313" s="44"/>
      <c r="N313" s="44"/>
      <c r="O313" s="44"/>
      <c r="P313" s="44"/>
      <c r="Q313" s="44"/>
      <c r="R313" s="44"/>
      <c r="S313" s="44"/>
      <c r="T313" s="45"/>
      <c r="U313" s="66" t="str">
        <f>HYPERLINK("https://www.ncbi.nlm.nih.gov/pubmed/29572767","PubMed")</f>
        <v>PubMed</v>
      </c>
      <c r="V313" s="50"/>
      <c r="W313" s="49"/>
      <c r="X313" s="49"/>
      <c r="Y313" s="35"/>
      <c r="Z313" s="35"/>
      <c r="AA313" s="35"/>
      <c r="AB313" s="35"/>
      <c r="AC313" s="35"/>
      <c r="AD313" s="35"/>
      <c r="AE313" s="35"/>
      <c r="AF313" s="35"/>
      <c r="AG313" s="35"/>
      <c r="AH313" s="35"/>
      <c r="AI313" s="35"/>
      <c r="AJ313" s="35"/>
      <c r="AK313" s="35"/>
      <c r="AL313" s="35"/>
    </row>
    <row r="314" ht="52.5" customHeight="1">
      <c r="A314" s="89"/>
      <c r="B314" s="19" t="s">
        <v>221</v>
      </c>
      <c r="C314" s="20" t="s">
        <v>1615</v>
      </c>
      <c r="D314" s="47"/>
      <c r="E314" s="56" t="s">
        <v>1736</v>
      </c>
      <c r="F314" s="22" t="s">
        <v>1659</v>
      </c>
      <c r="G314" s="57">
        <v>2018.0</v>
      </c>
      <c r="H314" s="56" t="s">
        <v>91</v>
      </c>
      <c r="I314" s="58" t="s">
        <v>1737</v>
      </c>
      <c r="J314" s="22" t="s">
        <v>31</v>
      </c>
      <c r="K314" s="22" t="s">
        <v>1738</v>
      </c>
      <c r="L314" s="69">
        <v>915.0</v>
      </c>
      <c r="M314" s="36"/>
      <c r="N314" s="36"/>
      <c r="O314" s="36"/>
      <c r="P314" s="70" t="s">
        <v>1739</v>
      </c>
      <c r="Q314" s="36"/>
      <c r="R314" s="36" t="s">
        <v>1740</v>
      </c>
      <c r="S314" s="128">
        <v>43254.0</v>
      </c>
      <c r="T314" s="63" t="s">
        <v>1741</v>
      </c>
      <c r="U314" s="66" t="str">
        <f>HYPERLINK("https://www.ncbi.nlm.nih.gov/pubmed/29450763","PubMed")</f>
        <v>PubMed</v>
      </c>
      <c r="V314" s="50"/>
      <c r="W314" s="49"/>
      <c r="X314" s="49"/>
      <c r="Y314" s="35"/>
      <c r="Z314" s="35"/>
      <c r="AA314" s="35"/>
      <c r="AB314" s="35"/>
      <c r="AC314" s="35"/>
      <c r="AD314" s="35"/>
      <c r="AE314" s="35"/>
      <c r="AF314" s="35"/>
      <c r="AG314" s="35"/>
      <c r="AH314" s="35"/>
      <c r="AI314" s="35"/>
      <c r="AJ314" s="35"/>
      <c r="AK314" s="35"/>
      <c r="AL314" s="35"/>
    </row>
    <row r="315" ht="52.5" customHeight="1">
      <c r="A315" s="89"/>
      <c r="B315" s="19" t="s">
        <v>221</v>
      </c>
      <c r="C315" s="20" t="s">
        <v>1615</v>
      </c>
      <c r="D315" s="47"/>
      <c r="E315" s="56" t="s">
        <v>1742</v>
      </c>
      <c r="F315" s="22" t="s">
        <v>605</v>
      </c>
      <c r="G315" s="57" t="s">
        <v>90</v>
      </c>
      <c r="H315" s="56" t="s">
        <v>91</v>
      </c>
      <c r="I315" s="58" t="s">
        <v>1743</v>
      </c>
      <c r="J315" s="22" t="s">
        <v>31</v>
      </c>
      <c r="K315" s="22" t="s">
        <v>294</v>
      </c>
      <c r="L315" s="69" t="s">
        <v>1744</v>
      </c>
      <c r="M315" s="36"/>
      <c r="N315" s="36"/>
      <c r="O315" s="36"/>
      <c r="P315" s="70" t="s">
        <v>1730</v>
      </c>
      <c r="Q315" s="36"/>
      <c r="R315" s="36"/>
      <c r="S315" s="36"/>
      <c r="T315" s="74" t="s">
        <v>1745</v>
      </c>
      <c r="U315" s="66" t="str">
        <f>HYPERLINK("https://www.ncbi.nlm.nih.gov/pubmed/28116535","PubMed")</f>
        <v>PubMed</v>
      </c>
      <c r="V315" s="50"/>
      <c r="W315" s="49"/>
      <c r="X315" s="49"/>
      <c r="Y315" s="35"/>
      <c r="Z315" s="35"/>
      <c r="AA315" s="35"/>
      <c r="AB315" s="35"/>
      <c r="AC315" s="35"/>
      <c r="AD315" s="35"/>
      <c r="AE315" s="35"/>
      <c r="AF315" s="35"/>
      <c r="AG315" s="35"/>
      <c r="AH315" s="35"/>
      <c r="AI315" s="35"/>
      <c r="AJ315" s="35"/>
      <c r="AK315" s="35"/>
      <c r="AL315" s="35"/>
    </row>
    <row r="316" ht="52.5" customHeight="1">
      <c r="A316" s="89"/>
      <c r="B316" s="19" t="s">
        <v>221</v>
      </c>
      <c r="C316" s="20" t="s">
        <v>1615</v>
      </c>
      <c r="D316" s="47"/>
      <c r="E316" s="56" t="s">
        <v>1746</v>
      </c>
      <c r="F316" s="22" t="s">
        <v>1617</v>
      </c>
      <c r="G316" s="57">
        <v>2017.0</v>
      </c>
      <c r="H316" s="56" t="s">
        <v>905</v>
      </c>
      <c r="I316" s="58" t="s">
        <v>1747</v>
      </c>
      <c r="J316" s="22" t="s">
        <v>31</v>
      </c>
      <c r="K316" s="22"/>
      <c r="L316" s="69">
        <v>1064.0</v>
      </c>
      <c r="M316" s="36"/>
      <c r="N316" s="36"/>
      <c r="O316" s="70"/>
      <c r="P316" s="70"/>
      <c r="Q316" s="36"/>
      <c r="R316" s="36"/>
      <c r="S316" s="36"/>
      <c r="T316" s="63" t="s">
        <v>1748</v>
      </c>
      <c r="U316" s="66" t="str">
        <f>HYPERLINK("https://www.ncbi.nlm.nih.gov/pubmed/27279385","PubMed")</f>
        <v>PubMed</v>
      </c>
      <c r="V316" s="50"/>
      <c r="W316" s="49"/>
      <c r="X316" s="49"/>
      <c r="Y316" s="35"/>
      <c r="Z316" s="35"/>
      <c r="AA316" s="35"/>
      <c r="AB316" s="35"/>
      <c r="AC316" s="35"/>
      <c r="AD316" s="35"/>
      <c r="AE316" s="35"/>
      <c r="AF316" s="35"/>
      <c r="AG316" s="35"/>
      <c r="AH316" s="35"/>
      <c r="AI316" s="35"/>
      <c r="AJ316" s="35"/>
      <c r="AK316" s="35"/>
      <c r="AL316" s="35"/>
    </row>
    <row r="317" ht="52.5" customHeight="1">
      <c r="A317" s="89"/>
      <c r="B317" s="19" t="s">
        <v>221</v>
      </c>
      <c r="C317" s="20" t="s">
        <v>1615</v>
      </c>
      <c r="D317" s="47"/>
      <c r="E317" s="56" t="s">
        <v>856</v>
      </c>
      <c r="F317" s="22" t="s">
        <v>241</v>
      </c>
      <c r="G317" s="57">
        <v>2017.0</v>
      </c>
      <c r="H317" s="56" t="s">
        <v>207</v>
      </c>
      <c r="I317" s="58" t="s">
        <v>1749</v>
      </c>
      <c r="J317" s="22" t="s">
        <v>31</v>
      </c>
      <c r="K317" s="56" t="s">
        <v>294</v>
      </c>
      <c r="L317" s="69" t="s">
        <v>1750</v>
      </c>
      <c r="M317" s="36">
        <v>20.0</v>
      </c>
      <c r="N317" s="36"/>
      <c r="O317" s="70" t="s">
        <v>1751</v>
      </c>
      <c r="P317" s="70" t="s">
        <v>1752</v>
      </c>
      <c r="Q317" s="36"/>
      <c r="R317" s="36"/>
      <c r="S317" s="36"/>
      <c r="T317" s="63" t="s">
        <v>1753</v>
      </c>
      <c r="U317" s="66" t="str">
        <f>HYPERLINK("https://www.ncbi.nlm.nih.gov/pubmed/28264787","PubMed")</f>
        <v>PubMed</v>
      </c>
      <c r="V317" s="50"/>
      <c r="W317" s="49"/>
      <c r="X317" s="49"/>
      <c r="Y317" s="35"/>
      <c r="Z317" s="35"/>
      <c r="AA317" s="35"/>
      <c r="AB317" s="35"/>
      <c r="AC317" s="35"/>
      <c r="AD317" s="35"/>
      <c r="AE317" s="35"/>
      <c r="AF317" s="35"/>
      <c r="AG317" s="35"/>
      <c r="AH317" s="35"/>
      <c r="AI317" s="35"/>
      <c r="AJ317" s="35"/>
      <c r="AK317" s="35"/>
      <c r="AL317" s="35"/>
    </row>
    <row r="318" ht="52.5" customHeight="1">
      <c r="A318" s="89"/>
      <c r="B318" s="19" t="s">
        <v>221</v>
      </c>
      <c r="C318" s="20" t="s">
        <v>1615</v>
      </c>
      <c r="D318" s="47"/>
      <c r="E318" s="56" t="s">
        <v>1754</v>
      </c>
      <c r="F318" s="22" t="s">
        <v>1755</v>
      </c>
      <c r="G318" s="57">
        <v>2017.0</v>
      </c>
      <c r="H318" s="56" t="s">
        <v>91</v>
      </c>
      <c r="I318" s="58" t="s">
        <v>1756</v>
      </c>
      <c r="J318" s="22" t="s">
        <v>31</v>
      </c>
      <c r="K318" s="22" t="s">
        <v>1757</v>
      </c>
      <c r="L318" s="69">
        <v>808.0</v>
      </c>
      <c r="M318" s="36">
        <v>80.0</v>
      </c>
      <c r="N318" s="36"/>
      <c r="O318" s="36"/>
      <c r="P318" s="70"/>
      <c r="Q318" s="36"/>
      <c r="R318" s="36"/>
      <c r="S318" s="36"/>
      <c r="T318" s="63" t="s">
        <v>1758</v>
      </c>
      <c r="U318" s="66" t="str">
        <f>HYPERLINK("https://www.ncbi.nlm.nih.gov/pubmed/28091848","PubMed")</f>
        <v>PubMed</v>
      </c>
      <c r="V318" s="50"/>
      <c r="W318" s="49"/>
      <c r="X318" s="49"/>
      <c r="Y318" s="35"/>
      <c r="Z318" s="35"/>
      <c r="AA318" s="35"/>
      <c r="AB318" s="35"/>
      <c r="AC318" s="35"/>
      <c r="AD318" s="35"/>
      <c r="AE318" s="35"/>
      <c r="AF318" s="35"/>
      <c r="AG318" s="35"/>
      <c r="AH318" s="35"/>
      <c r="AI318" s="35"/>
      <c r="AJ318" s="35"/>
      <c r="AK318" s="35"/>
      <c r="AL318" s="35"/>
    </row>
    <row r="319" ht="52.5" customHeight="1">
      <c r="A319" s="89"/>
      <c r="B319" s="19" t="s">
        <v>221</v>
      </c>
      <c r="C319" s="20" t="s">
        <v>1615</v>
      </c>
      <c r="D319" s="47"/>
      <c r="E319" s="56" t="s">
        <v>1759</v>
      </c>
      <c r="F319" s="22" t="s">
        <v>1649</v>
      </c>
      <c r="G319" s="57">
        <v>2016.0</v>
      </c>
      <c r="H319" s="56" t="s">
        <v>1760</v>
      </c>
      <c r="I319" s="58" t="s">
        <v>1761</v>
      </c>
      <c r="J319" s="22" t="s">
        <v>31</v>
      </c>
      <c r="K319" s="22"/>
      <c r="L319" s="69">
        <v>808.0</v>
      </c>
      <c r="M319" s="36">
        <v>80.0</v>
      </c>
      <c r="N319" s="36"/>
      <c r="O319" s="36"/>
      <c r="P319" s="70"/>
      <c r="Q319" s="36" t="s">
        <v>675</v>
      </c>
      <c r="R319" s="36"/>
      <c r="S319" s="36"/>
      <c r="T319" s="74" t="s">
        <v>1762</v>
      </c>
      <c r="U319" s="66" t="str">
        <f>HYPERLINK("https://www.ncbi.nlm.nih.gov/pubmed/27995121","PubMed")</f>
        <v>PubMed</v>
      </c>
      <c r="V319" s="50"/>
      <c r="W319" s="49"/>
      <c r="X319" s="49"/>
      <c r="Y319" s="35"/>
      <c r="Z319" s="35"/>
      <c r="AA319" s="35"/>
      <c r="AB319" s="35"/>
      <c r="AC319" s="35"/>
      <c r="AD319" s="35"/>
      <c r="AE319" s="35"/>
      <c r="AF319" s="35"/>
      <c r="AG319" s="35"/>
      <c r="AH319" s="35"/>
      <c r="AI319" s="35"/>
      <c r="AJ319" s="35"/>
      <c r="AK319" s="35"/>
      <c r="AL319" s="35"/>
    </row>
    <row r="320" ht="52.5" customHeight="1">
      <c r="A320" s="89"/>
      <c r="B320" s="19" t="s">
        <v>221</v>
      </c>
      <c r="C320" s="20" t="s">
        <v>1615</v>
      </c>
      <c r="D320" s="47"/>
      <c r="E320" s="56" t="s">
        <v>1763</v>
      </c>
      <c r="F320" s="22" t="s">
        <v>230</v>
      </c>
      <c r="G320" s="57">
        <v>2015.0</v>
      </c>
      <c r="H320" s="56" t="s">
        <v>1025</v>
      </c>
      <c r="I320" s="58" t="s">
        <v>1764</v>
      </c>
      <c r="J320" s="22" t="s">
        <v>31</v>
      </c>
      <c r="K320" s="22"/>
      <c r="L320" s="69">
        <v>915.0</v>
      </c>
      <c r="M320" s="36"/>
      <c r="N320" s="36"/>
      <c r="O320" s="36"/>
      <c r="P320" s="70" t="s">
        <v>1765</v>
      </c>
      <c r="Q320" s="36"/>
      <c r="R320" s="36"/>
      <c r="S320" s="36"/>
      <c r="T320" s="63" t="s">
        <v>1766</v>
      </c>
      <c r="U320" s="66" t="str">
        <f>HYPERLINK("https://www.ncbi.nlm.nih.gov/pubmed/26140461","PubMed")</f>
        <v>PubMed</v>
      </c>
      <c r="V320" s="50"/>
      <c r="W320" s="49"/>
      <c r="X320" s="49"/>
      <c r="Y320" s="35"/>
      <c r="Z320" s="35"/>
      <c r="AA320" s="35"/>
      <c r="AB320" s="35"/>
      <c r="AC320" s="35"/>
      <c r="AD320" s="35"/>
      <c r="AE320" s="35"/>
      <c r="AF320" s="35"/>
      <c r="AG320" s="35"/>
      <c r="AH320" s="35"/>
      <c r="AI320" s="35"/>
      <c r="AJ320" s="35"/>
      <c r="AK320" s="35"/>
      <c r="AL320" s="35"/>
    </row>
    <row r="321" ht="52.5" customHeight="1">
      <c r="A321" s="1" t="s">
        <v>2</v>
      </c>
      <c r="B321" s="19" t="s">
        <v>221</v>
      </c>
      <c r="C321" s="20" t="s">
        <v>1615</v>
      </c>
      <c r="D321" s="47"/>
      <c r="E321" s="56" t="s">
        <v>1767</v>
      </c>
      <c r="F321" s="22" t="s">
        <v>224</v>
      </c>
      <c r="G321" s="57">
        <v>2015.0</v>
      </c>
      <c r="H321" s="56" t="s">
        <v>1768</v>
      </c>
      <c r="I321" s="58" t="s">
        <v>1769</v>
      </c>
      <c r="J321" s="22" t="s">
        <v>31</v>
      </c>
      <c r="K321" s="22" t="s">
        <v>1770</v>
      </c>
      <c r="L321" s="69"/>
      <c r="M321" s="36"/>
      <c r="N321" s="36"/>
      <c r="O321" s="36"/>
      <c r="P321" s="70"/>
      <c r="Q321" s="36"/>
      <c r="R321" s="36"/>
      <c r="S321" s="36"/>
      <c r="T321" s="63" t="s">
        <v>1771</v>
      </c>
      <c r="U321" s="66" t="str">
        <f>HYPERLINK("https://www.ncbi.nlm.nih.gov/pubmed/26161869","PubMed")</f>
        <v>PubMed</v>
      </c>
      <c r="V321" s="50"/>
      <c r="W321" s="49"/>
      <c r="X321" s="49"/>
      <c r="Y321" s="35"/>
      <c r="Z321" s="35"/>
      <c r="AA321" s="35"/>
      <c r="AB321" s="35"/>
      <c r="AC321" s="35"/>
      <c r="AD321" s="35"/>
      <c r="AE321" s="35"/>
      <c r="AF321" s="35"/>
      <c r="AG321" s="35"/>
      <c r="AH321" s="35"/>
      <c r="AI321" s="35"/>
      <c r="AJ321" s="35"/>
      <c r="AK321" s="35"/>
      <c r="AL321" s="35"/>
    </row>
    <row r="322" ht="52.5" customHeight="1">
      <c r="A322" s="1"/>
      <c r="B322" s="19" t="s">
        <v>221</v>
      </c>
      <c r="C322" s="20" t="s">
        <v>1615</v>
      </c>
      <c r="D322" s="47"/>
      <c r="E322" s="56" t="s">
        <v>1772</v>
      </c>
      <c r="F322" s="22" t="s">
        <v>1773</v>
      </c>
      <c r="G322" s="57">
        <v>2015.0</v>
      </c>
      <c r="H322" s="56" t="s">
        <v>1774</v>
      </c>
      <c r="I322" s="58" t="s">
        <v>1775</v>
      </c>
      <c r="J322" s="22" t="s">
        <v>1776</v>
      </c>
      <c r="K322" s="22" t="s">
        <v>294</v>
      </c>
      <c r="L322" s="69" t="s">
        <v>1777</v>
      </c>
      <c r="M322" s="36"/>
      <c r="N322" s="36" t="s">
        <v>1778</v>
      </c>
      <c r="O322" s="36"/>
      <c r="P322" s="70" t="s">
        <v>1779</v>
      </c>
      <c r="Q322" s="36"/>
      <c r="R322" s="36"/>
      <c r="S322" s="36"/>
      <c r="T322" s="63" t="s">
        <v>1780</v>
      </c>
      <c r="U322" s="66" t="str">
        <f>HYPERLINK("https://www.ncbi.nlm.nih.gov/pubmed/26737050","PubMed")</f>
        <v>PubMed</v>
      </c>
      <c r="V322" s="50"/>
      <c r="W322" s="49"/>
      <c r="X322" s="49"/>
      <c r="Y322" s="35"/>
      <c r="Z322" s="35"/>
      <c r="AA322" s="35"/>
      <c r="AB322" s="35"/>
      <c r="AC322" s="35"/>
      <c r="AD322" s="35"/>
      <c r="AE322" s="35"/>
      <c r="AF322" s="35"/>
      <c r="AG322" s="35"/>
      <c r="AH322" s="35"/>
      <c r="AI322" s="35"/>
      <c r="AJ322" s="35"/>
      <c r="AK322" s="35"/>
      <c r="AL322" s="35"/>
    </row>
    <row r="323" ht="52.5" customHeight="1">
      <c r="A323" s="89"/>
      <c r="B323" s="19" t="s">
        <v>221</v>
      </c>
      <c r="C323" s="20" t="s">
        <v>1615</v>
      </c>
      <c r="D323" s="47"/>
      <c r="E323" s="56" t="s">
        <v>1781</v>
      </c>
      <c r="F323" s="22" t="s">
        <v>1782</v>
      </c>
      <c r="G323" s="57">
        <v>2014.0</v>
      </c>
      <c r="H323" s="56" t="s">
        <v>1783</v>
      </c>
      <c r="I323" s="58" t="s">
        <v>1784</v>
      </c>
      <c r="J323" s="22" t="s">
        <v>31</v>
      </c>
      <c r="K323" s="22" t="s">
        <v>1785</v>
      </c>
      <c r="L323" s="69">
        <v>630.0</v>
      </c>
      <c r="M323" s="36"/>
      <c r="N323" s="36"/>
      <c r="O323" s="36"/>
      <c r="P323" s="70" t="s">
        <v>1786</v>
      </c>
      <c r="Q323" s="36"/>
      <c r="R323" s="36"/>
      <c r="S323" s="36"/>
      <c r="T323" s="63" t="s">
        <v>1787</v>
      </c>
      <c r="U323" s="66" t="str">
        <f>HYPERLINK("https://www.ncbi.nlm.nih.gov/pubmed/25011637","PubMed")</f>
        <v>PubMed</v>
      </c>
      <c r="V323" s="50"/>
      <c r="W323" s="49"/>
      <c r="X323" s="49"/>
      <c r="Y323" s="35"/>
      <c r="Z323" s="35"/>
      <c r="AA323" s="35"/>
      <c r="AB323" s="35"/>
      <c r="AC323" s="35"/>
      <c r="AD323" s="35"/>
      <c r="AE323" s="35"/>
      <c r="AF323" s="35"/>
      <c r="AG323" s="35"/>
      <c r="AH323" s="35"/>
      <c r="AI323" s="35"/>
      <c r="AJ323" s="35"/>
      <c r="AK323" s="35"/>
      <c r="AL323" s="35"/>
    </row>
    <row r="324" ht="52.5" customHeight="1">
      <c r="A324" s="89"/>
      <c r="B324" s="19" t="s">
        <v>221</v>
      </c>
      <c r="C324" s="20" t="s">
        <v>1615</v>
      </c>
      <c r="D324" s="47"/>
      <c r="E324" s="56" t="s">
        <v>1788</v>
      </c>
      <c r="F324" s="22" t="s">
        <v>1789</v>
      </c>
      <c r="G324" s="57">
        <v>2014.0</v>
      </c>
      <c r="H324" s="56" t="s">
        <v>91</v>
      </c>
      <c r="I324" s="58" t="s">
        <v>1790</v>
      </c>
      <c r="J324" s="22" t="s">
        <v>31</v>
      </c>
      <c r="K324" s="22"/>
      <c r="L324" s="69">
        <v>940.0</v>
      </c>
      <c r="M324" s="36"/>
      <c r="N324" s="36" t="s">
        <v>1791</v>
      </c>
      <c r="O324" s="36">
        <v>3.0</v>
      </c>
      <c r="P324" s="70"/>
      <c r="Q324" s="36"/>
      <c r="R324" s="36"/>
      <c r="S324" s="36"/>
      <c r="T324" s="63" t="s">
        <v>1792</v>
      </c>
      <c r="U324" s="66" t="str">
        <f>HYPERLINK("https://www.ncbi.nlm.nih.gov/pubmed/24619140","PubMed")</f>
        <v>PubMed</v>
      </c>
      <c r="V324" s="50"/>
      <c r="W324" s="49"/>
      <c r="X324" s="49"/>
      <c r="Y324" s="35"/>
      <c r="Z324" s="35"/>
      <c r="AA324" s="35"/>
      <c r="AB324" s="35"/>
      <c r="AC324" s="35"/>
      <c r="AD324" s="35"/>
      <c r="AE324" s="35"/>
      <c r="AF324" s="35"/>
      <c r="AG324" s="35"/>
      <c r="AH324" s="35"/>
      <c r="AI324" s="35"/>
      <c r="AJ324" s="35"/>
      <c r="AK324" s="35"/>
      <c r="AL324" s="35"/>
    </row>
    <row r="325" ht="52.5" customHeight="1">
      <c r="A325" s="89"/>
      <c r="B325" s="19" t="s">
        <v>221</v>
      </c>
      <c r="C325" s="20" t="s">
        <v>1615</v>
      </c>
      <c r="D325" s="47"/>
      <c r="E325" s="56" t="s">
        <v>1793</v>
      </c>
      <c r="F325" s="22" t="s">
        <v>230</v>
      </c>
      <c r="G325" s="57">
        <v>2014.0</v>
      </c>
      <c r="H325" s="56" t="s">
        <v>1025</v>
      </c>
      <c r="I325" s="58" t="s">
        <v>1794</v>
      </c>
      <c r="J325" s="22" t="s">
        <v>31</v>
      </c>
      <c r="K325" s="22" t="s">
        <v>1240</v>
      </c>
      <c r="L325" s="69">
        <v>915.0</v>
      </c>
      <c r="M325" s="36"/>
      <c r="N325" s="36"/>
      <c r="O325" s="36"/>
      <c r="P325" s="70" t="s">
        <v>1795</v>
      </c>
      <c r="Q325" s="36"/>
      <c r="R325" s="36" t="s">
        <v>1796</v>
      </c>
      <c r="S325" s="36"/>
      <c r="T325" s="63" t="s">
        <v>1797</v>
      </c>
      <c r="U325" s="66" t="str">
        <f>HYPERLINK("https://www.ncbi.nlm.nih.gov/pubmed/25279541","PubMed")</f>
        <v>PubMed</v>
      </c>
      <c r="V325" s="50"/>
      <c r="W325" s="49"/>
      <c r="X325" s="49"/>
      <c r="Y325" s="35"/>
      <c r="Z325" s="35"/>
      <c r="AA325" s="35"/>
      <c r="AB325" s="35"/>
      <c r="AC325" s="35"/>
      <c r="AD325" s="35"/>
      <c r="AE325" s="35"/>
      <c r="AF325" s="35"/>
      <c r="AG325" s="35"/>
      <c r="AH325" s="35"/>
      <c r="AI325" s="35"/>
      <c r="AJ325" s="35"/>
      <c r="AK325" s="35"/>
      <c r="AL325" s="35"/>
    </row>
    <row r="326" ht="52.5" customHeight="1">
      <c r="A326" s="89"/>
      <c r="B326" s="19" t="s">
        <v>221</v>
      </c>
      <c r="C326" s="20" t="s">
        <v>1615</v>
      </c>
      <c r="D326" s="47"/>
      <c r="E326" s="56" t="s">
        <v>1793</v>
      </c>
      <c r="F326" s="22" t="s">
        <v>230</v>
      </c>
      <c r="G326" s="57">
        <v>2013.0</v>
      </c>
      <c r="H326" s="56" t="s">
        <v>1798</v>
      </c>
      <c r="I326" s="58" t="s">
        <v>1799</v>
      </c>
      <c r="J326" s="22" t="s">
        <v>31</v>
      </c>
      <c r="K326" s="22"/>
      <c r="L326" s="69">
        <v>915.0</v>
      </c>
      <c r="M326" s="36"/>
      <c r="N326" s="36"/>
      <c r="O326" s="36"/>
      <c r="P326" s="70" t="s">
        <v>269</v>
      </c>
      <c r="Q326" s="36"/>
      <c r="R326" s="36"/>
      <c r="S326" s="36"/>
      <c r="T326" s="71" t="s">
        <v>1800</v>
      </c>
      <c r="U326" s="66" t="str">
        <f>HYPERLINK("https://www.ncbi.nlm.nih.gov/pubmed/24071604","PubMed")</f>
        <v>PubMed</v>
      </c>
      <c r="V326" s="50"/>
      <c r="W326" s="49"/>
      <c r="X326" s="49"/>
      <c r="Y326" s="35"/>
      <c r="Z326" s="35"/>
      <c r="AA326" s="35"/>
      <c r="AB326" s="35"/>
      <c r="AC326" s="35"/>
      <c r="AD326" s="35"/>
      <c r="AE326" s="35"/>
      <c r="AF326" s="35"/>
      <c r="AG326" s="35"/>
      <c r="AH326" s="35"/>
      <c r="AI326" s="35"/>
      <c r="AJ326" s="35"/>
      <c r="AK326" s="35"/>
      <c r="AL326" s="35"/>
    </row>
    <row r="327" ht="52.5" customHeight="1">
      <c r="A327" s="89"/>
      <c r="B327" s="19" t="s">
        <v>221</v>
      </c>
      <c r="C327" s="20" t="s">
        <v>1615</v>
      </c>
      <c r="D327" s="47"/>
      <c r="E327" s="56" t="s">
        <v>1801</v>
      </c>
      <c r="F327" s="22" t="s">
        <v>241</v>
      </c>
      <c r="G327" s="57">
        <v>2013.0</v>
      </c>
      <c r="H327" s="56" t="s">
        <v>658</v>
      </c>
      <c r="I327" s="58" t="s">
        <v>1802</v>
      </c>
      <c r="J327" s="22" t="s">
        <v>31</v>
      </c>
      <c r="K327" s="22" t="s">
        <v>1803</v>
      </c>
      <c r="L327" s="69" t="s">
        <v>1804</v>
      </c>
      <c r="M327" s="36"/>
      <c r="N327" s="36"/>
      <c r="O327" s="36"/>
      <c r="P327" s="70" t="s">
        <v>1805</v>
      </c>
      <c r="Q327" s="36"/>
      <c r="R327" s="36"/>
      <c r="S327" s="36"/>
      <c r="T327" s="71" t="s">
        <v>1806</v>
      </c>
      <c r="U327" s="66" t="str">
        <f>HYPERLINK("https://www.ncbi.nlm.nih.gov/pubmed/23639292","PubMed")</f>
        <v>PubMed</v>
      </c>
      <c r="V327" s="50"/>
      <c r="W327" s="49"/>
      <c r="X327" s="49"/>
      <c r="Y327" s="35"/>
      <c r="Z327" s="35"/>
      <c r="AA327" s="35"/>
      <c r="AB327" s="35"/>
      <c r="AC327" s="35"/>
      <c r="AD327" s="35"/>
      <c r="AE327" s="35"/>
      <c r="AF327" s="35"/>
      <c r="AG327" s="35"/>
      <c r="AH327" s="35"/>
      <c r="AI327" s="35"/>
      <c r="AJ327" s="35"/>
      <c r="AK327" s="35"/>
      <c r="AL327" s="35"/>
    </row>
    <row r="328" ht="52.5" customHeight="1">
      <c r="A328" s="89"/>
      <c r="B328" s="19" t="s">
        <v>221</v>
      </c>
      <c r="C328" s="20" t="s">
        <v>1615</v>
      </c>
      <c r="D328" s="47"/>
      <c r="E328" s="56" t="s">
        <v>1807</v>
      </c>
      <c r="F328" s="22" t="s">
        <v>1808</v>
      </c>
      <c r="G328" s="57">
        <v>2013.0</v>
      </c>
      <c r="H328" s="56" t="s">
        <v>1025</v>
      </c>
      <c r="I328" s="58" t="s">
        <v>1809</v>
      </c>
      <c r="J328" s="22" t="s">
        <v>31</v>
      </c>
      <c r="K328" s="22"/>
      <c r="L328" s="69">
        <v>940.0</v>
      </c>
      <c r="M328" s="36" t="s">
        <v>1810</v>
      </c>
      <c r="N328" s="36"/>
      <c r="O328" s="36"/>
      <c r="P328" s="70"/>
      <c r="Q328" s="36"/>
      <c r="R328" s="36"/>
      <c r="S328" s="36"/>
      <c r="T328" s="63" t="s">
        <v>1811</v>
      </c>
      <c r="U328" s="66" t="str">
        <f>HYPERLINK("https://www.ncbi.nlm.nih.gov/pubmed/24337495","PubMed")</f>
        <v>PubMed</v>
      </c>
      <c r="V328" s="50"/>
      <c r="W328" s="49"/>
      <c r="X328" s="49"/>
      <c r="Y328" s="35"/>
      <c r="Z328" s="35"/>
      <c r="AA328" s="35"/>
      <c r="AB328" s="35"/>
      <c r="AC328" s="35"/>
      <c r="AD328" s="35"/>
      <c r="AE328" s="35"/>
      <c r="AF328" s="35"/>
      <c r="AG328" s="35"/>
      <c r="AH328" s="35"/>
      <c r="AI328" s="35"/>
      <c r="AJ328" s="35"/>
      <c r="AK328" s="35"/>
      <c r="AL328" s="35"/>
    </row>
    <row r="329" ht="52.5" customHeight="1">
      <c r="A329" s="89"/>
      <c r="B329" s="19" t="s">
        <v>221</v>
      </c>
      <c r="C329" s="20" t="s">
        <v>1615</v>
      </c>
      <c r="D329" s="47"/>
      <c r="E329" s="56" t="s">
        <v>1812</v>
      </c>
      <c r="F329" s="22" t="s">
        <v>41</v>
      </c>
      <c r="G329" s="57">
        <v>2012.0</v>
      </c>
      <c r="H329" s="56" t="s">
        <v>91</v>
      </c>
      <c r="I329" s="58" t="s">
        <v>1813</v>
      </c>
      <c r="J329" s="22" t="s">
        <v>31</v>
      </c>
      <c r="K329" s="22"/>
      <c r="L329" s="69">
        <v>780.0</v>
      </c>
      <c r="M329" s="36">
        <v>10.0</v>
      </c>
      <c r="N329" s="36"/>
      <c r="O329" s="36" t="s">
        <v>1814</v>
      </c>
      <c r="P329" s="70" t="s">
        <v>969</v>
      </c>
      <c r="Q329" s="36" t="s">
        <v>830</v>
      </c>
      <c r="R329" s="36"/>
      <c r="S329" s="36"/>
      <c r="T329" s="74" t="s">
        <v>1815</v>
      </c>
      <c r="U329" s="66" t="str">
        <f>HYPERLINK("https://www.ncbi.nlm.nih.gov/pubmed/22190155","PubMed")</f>
        <v>PubMed</v>
      </c>
      <c r="V329" s="50"/>
      <c r="W329" s="49"/>
      <c r="X329" s="49"/>
      <c r="Y329" s="35"/>
      <c r="Z329" s="35"/>
      <c r="AA329" s="35"/>
      <c r="AB329" s="35"/>
      <c r="AC329" s="35"/>
      <c r="AD329" s="35"/>
      <c r="AE329" s="35"/>
      <c r="AF329" s="35"/>
      <c r="AG329" s="35"/>
      <c r="AH329" s="35"/>
      <c r="AI329" s="35"/>
      <c r="AJ329" s="35"/>
      <c r="AK329" s="35"/>
      <c r="AL329" s="35"/>
    </row>
    <row r="330" ht="52.5" customHeight="1">
      <c r="A330" s="89"/>
      <c r="B330" s="19" t="s">
        <v>221</v>
      </c>
      <c r="C330" s="20" t="s">
        <v>1615</v>
      </c>
      <c r="D330" s="47"/>
      <c r="E330" s="56" t="s">
        <v>1816</v>
      </c>
      <c r="F330" s="22" t="s">
        <v>52</v>
      </c>
      <c r="G330" s="57">
        <v>2012.0</v>
      </c>
      <c r="H330" s="56" t="s">
        <v>658</v>
      </c>
      <c r="I330" s="58" t="s">
        <v>1817</v>
      </c>
      <c r="J330" s="22" t="s">
        <v>31</v>
      </c>
      <c r="K330" s="22"/>
      <c r="L330" s="69">
        <v>685.0</v>
      </c>
      <c r="M330" s="36">
        <v>25.0</v>
      </c>
      <c r="N330" s="36" t="s">
        <v>1818</v>
      </c>
      <c r="O330" s="36"/>
      <c r="P330" s="70" t="s">
        <v>269</v>
      </c>
      <c r="Q330" s="36"/>
      <c r="R330" s="36">
        <v>140.0</v>
      </c>
      <c r="S330" s="36" t="s">
        <v>1819</v>
      </c>
      <c r="T330" s="63" t="s">
        <v>1820</v>
      </c>
      <c r="U330" s="66" t="str">
        <f>HYPERLINK("https://www.ncbi.nlm.nih.gov/pubmed/22235971","PubMed")</f>
        <v>PubMed</v>
      </c>
      <c r="V330" s="50"/>
      <c r="W330" s="49"/>
      <c r="X330" s="49"/>
      <c r="Y330" s="35"/>
      <c r="Z330" s="35"/>
      <c r="AA330" s="35"/>
      <c r="AB330" s="35"/>
      <c r="AC330" s="35"/>
      <c r="AD330" s="35"/>
      <c r="AE330" s="35"/>
      <c r="AF330" s="35"/>
      <c r="AG330" s="35"/>
      <c r="AH330" s="35"/>
      <c r="AI330" s="35"/>
      <c r="AJ330" s="35"/>
      <c r="AK330" s="35"/>
      <c r="AL330" s="35"/>
    </row>
    <row r="331" ht="52.5" customHeight="1">
      <c r="A331" s="89"/>
      <c r="B331" s="19" t="s">
        <v>221</v>
      </c>
      <c r="C331" s="20" t="s">
        <v>1615</v>
      </c>
      <c r="D331" s="47"/>
      <c r="E331" s="56" t="s">
        <v>1821</v>
      </c>
      <c r="F331" s="22" t="s">
        <v>1822</v>
      </c>
      <c r="G331" s="57">
        <v>2011.0</v>
      </c>
      <c r="H331" s="56" t="s">
        <v>292</v>
      </c>
      <c r="I331" s="58" t="s">
        <v>1823</v>
      </c>
      <c r="J331" s="22" t="s">
        <v>31</v>
      </c>
      <c r="K331" s="22"/>
      <c r="L331" s="69">
        <v>830.0</v>
      </c>
      <c r="M331" s="36"/>
      <c r="N331" s="36"/>
      <c r="O331" s="36"/>
      <c r="P331" s="70"/>
      <c r="Q331" s="36"/>
      <c r="R331" s="36"/>
      <c r="S331" s="36"/>
      <c r="T331" s="63" t="s">
        <v>1824</v>
      </c>
      <c r="U331" s="64" t="s">
        <v>61</v>
      </c>
      <c r="V331" s="50"/>
      <c r="W331" s="49"/>
      <c r="X331" s="49"/>
      <c r="Y331" s="35"/>
      <c r="Z331" s="35"/>
      <c r="AA331" s="35"/>
      <c r="AB331" s="35"/>
      <c r="AC331" s="35"/>
      <c r="AD331" s="35"/>
      <c r="AE331" s="35"/>
      <c r="AF331" s="35"/>
      <c r="AG331" s="35"/>
      <c r="AH331" s="35"/>
      <c r="AI331" s="35"/>
      <c r="AJ331" s="35"/>
      <c r="AK331" s="35"/>
      <c r="AL331" s="35"/>
    </row>
    <row r="332" ht="52.5" customHeight="1">
      <c r="A332" s="89"/>
      <c r="B332" s="19" t="s">
        <v>221</v>
      </c>
      <c r="C332" s="20" t="s">
        <v>1615</v>
      </c>
      <c r="D332" s="47"/>
      <c r="E332" s="56" t="s">
        <v>1825</v>
      </c>
      <c r="F332" s="22" t="s">
        <v>1398</v>
      </c>
      <c r="G332" s="57">
        <v>2010.0</v>
      </c>
      <c r="H332" s="56" t="s">
        <v>658</v>
      </c>
      <c r="I332" s="58" t="s">
        <v>1826</v>
      </c>
      <c r="J332" s="22" t="s">
        <v>31</v>
      </c>
      <c r="K332" s="22" t="s">
        <v>1827</v>
      </c>
      <c r="L332" s="69">
        <v>830.0</v>
      </c>
      <c r="M332" s="36"/>
      <c r="N332" s="36"/>
      <c r="O332" s="36"/>
      <c r="P332" s="70" t="s">
        <v>1828</v>
      </c>
      <c r="Q332" s="36"/>
      <c r="R332" s="36" t="s">
        <v>1829</v>
      </c>
      <c r="S332" s="36"/>
      <c r="T332" s="63" t="s">
        <v>1830</v>
      </c>
      <c r="U332" s="66" t="str">
        <f>HYPERLINK("https://www.ncbi.nlm.nih.gov/pubmed/20649430","PubMed")</f>
        <v>PubMed</v>
      </c>
      <c r="V332" s="50"/>
      <c r="W332" s="49"/>
      <c r="X332" s="49"/>
      <c r="Y332" s="35"/>
      <c r="Z332" s="35"/>
      <c r="AA332" s="35"/>
      <c r="AB332" s="35"/>
      <c r="AC332" s="35"/>
      <c r="AD332" s="35"/>
      <c r="AE332" s="35"/>
      <c r="AF332" s="35"/>
      <c r="AG332" s="35"/>
      <c r="AH332" s="35"/>
      <c r="AI332" s="35"/>
      <c r="AJ332" s="35"/>
      <c r="AK332" s="35"/>
      <c r="AL332" s="35"/>
    </row>
    <row r="333" ht="52.5" customHeight="1">
      <c r="A333" s="89"/>
      <c r="B333" s="19" t="s">
        <v>221</v>
      </c>
      <c r="C333" s="20" t="s">
        <v>1615</v>
      </c>
      <c r="D333" s="47"/>
      <c r="E333" s="56" t="s">
        <v>1831</v>
      </c>
      <c r="F333" s="22" t="s">
        <v>1398</v>
      </c>
      <c r="G333" s="57">
        <v>2010.0</v>
      </c>
      <c r="H333" s="56" t="s">
        <v>53</v>
      </c>
      <c r="I333" s="58" t="s">
        <v>1832</v>
      </c>
      <c r="J333" s="22" t="s">
        <v>31</v>
      </c>
      <c r="K333" s="22" t="s">
        <v>1827</v>
      </c>
      <c r="L333" s="69">
        <v>830.0</v>
      </c>
      <c r="M333" s="36"/>
      <c r="N333" s="36"/>
      <c r="O333" s="36"/>
      <c r="P333" s="70" t="s">
        <v>1828</v>
      </c>
      <c r="Q333" s="36"/>
      <c r="R333" s="36" t="s">
        <v>1829</v>
      </c>
      <c r="S333" s="36"/>
      <c r="T333" s="63" t="s">
        <v>1833</v>
      </c>
      <c r="U333" s="66" t="str">
        <f>HYPERLINK("https://www.ncbi.nlm.nih.gov/pubmed/20662028","PubMed")</f>
        <v>PubMed</v>
      </c>
      <c r="V333" s="50"/>
      <c r="W333" s="49"/>
      <c r="X333" s="49"/>
      <c r="Y333" s="35"/>
      <c r="Z333" s="35"/>
      <c r="AA333" s="35"/>
      <c r="AB333" s="35"/>
      <c r="AC333" s="35"/>
      <c r="AD333" s="35"/>
      <c r="AE333" s="35"/>
      <c r="AF333" s="35"/>
      <c r="AG333" s="35"/>
      <c r="AH333" s="35"/>
      <c r="AI333" s="35"/>
      <c r="AJ333" s="35"/>
      <c r="AK333" s="35"/>
      <c r="AL333" s="35"/>
    </row>
    <row r="334" ht="52.5" customHeight="1">
      <c r="A334" s="89"/>
      <c r="B334" s="19" t="s">
        <v>221</v>
      </c>
      <c r="C334" s="20" t="s">
        <v>1615</v>
      </c>
      <c r="D334" s="47"/>
      <c r="E334" s="56" t="s">
        <v>1834</v>
      </c>
      <c r="F334" s="22" t="s">
        <v>358</v>
      </c>
      <c r="G334" s="57">
        <v>2010.0</v>
      </c>
      <c r="H334" s="56" t="s">
        <v>837</v>
      </c>
      <c r="I334" s="58" t="s">
        <v>1835</v>
      </c>
      <c r="J334" s="22" t="s">
        <v>31</v>
      </c>
      <c r="K334" s="22"/>
      <c r="L334" s="69">
        <v>780.0</v>
      </c>
      <c r="M334" s="36"/>
      <c r="N334" s="36"/>
      <c r="O334" s="36"/>
      <c r="P334" s="70" t="s">
        <v>969</v>
      </c>
      <c r="Q334" s="36"/>
      <c r="R334" s="36"/>
      <c r="S334" s="36">
        <v>2.0</v>
      </c>
      <c r="T334" s="74" t="s">
        <v>1836</v>
      </c>
      <c r="U334" s="66" t="str">
        <f>HYPERLINK("https://www.ncbi.nlm.nih.gov/pubmed/21271038","PubMed")</f>
        <v>PubMed</v>
      </c>
      <c r="V334" s="50"/>
      <c r="W334" s="49"/>
      <c r="X334" s="49"/>
      <c r="Y334" s="35"/>
      <c r="Z334" s="35"/>
      <c r="AA334" s="35"/>
      <c r="AB334" s="35"/>
      <c r="AC334" s="35"/>
      <c r="AD334" s="35"/>
      <c r="AE334" s="35"/>
      <c r="AF334" s="35"/>
      <c r="AG334" s="35"/>
      <c r="AH334" s="35"/>
      <c r="AI334" s="35"/>
      <c r="AJ334" s="35"/>
      <c r="AK334" s="35"/>
      <c r="AL334" s="35"/>
    </row>
    <row r="335" ht="52.5" customHeight="1">
      <c r="A335" s="89"/>
      <c r="B335" s="19" t="s">
        <v>221</v>
      </c>
      <c r="C335" s="20" t="s">
        <v>1615</v>
      </c>
      <c r="D335" s="47"/>
      <c r="E335" s="56" t="s">
        <v>1402</v>
      </c>
      <c r="F335" s="22" t="s">
        <v>1603</v>
      </c>
      <c r="G335" s="57">
        <v>2009.0</v>
      </c>
      <c r="H335" s="56" t="s">
        <v>658</v>
      </c>
      <c r="I335" s="58" t="s">
        <v>1837</v>
      </c>
      <c r="J335" s="22" t="s">
        <v>31</v>
      </c>
      <c r="K335" s="22" t="s">
        <v>1240</v>
      </c>
      <c r="L335" s="69">
        <v>670.0</v>
      </c>
      <c r="M335" s="36">
        <v>400.0</v>
      </c>
      <c r="N335" s="36"/>
      <c r="O335" s="36"/>
      <c r="P335" s="70" t="s">
        <v>1819</v>
      </c>
      <c r="Q335" s="36"/>
      <c r="R335" s="36" t="s">
        <v>1838</v>
      </c>
      <c r="S335" s="36"/>
      <c r="T335" s="74" t="s">
        <v>1839</v>
      </c>
      <c r="U335" s="66" t="str">
        <f>HYPERLINK("https://www.ncbi.nlm.nih.gov/pubmed/19196108","PubMed")</f>
        <v>PubMed</v>
      </c>
      <c r="V335" s="50"/>
      <c r="W335" s="49"/>
      <c r="X335" s="49"/>
      <c r="Y335" s="35"/>
      <c r="Z335" s="35"/>
      <c r="AA335" s="35"/>
      <c r="AB335" s="35"/>
      <c r="AC335" s="35"/>
      <c r="AD335" s="35"/>
      <c r="AE335" s="35"/>
      <c r="AF335" s="35"/>
      <c r="AG335" s="35"/>
      <c r="AH335" s="35"/>
      <c r="AI335" s="35"/>
      <c r="AJ335" s="35"/>
      <c r="AK335" s="35"/>
      <c r="AL335" s="35"/>
    </row>
    <row r="336" ht="52.5" customHeight="1">
      <c r="A336" s="89"/>
      <c r="B336" s="19" t="s">
        <v>221</v>
      </c>
      <c r="C336" s="20" t="s">
        <v>1615</v>
      </c>
      <c r="D336" s="47"/>
      <c r="E336" s="56" t="s">
        <v>1840</v>
      </c>
      <c r="F336" s="22" t="s">
        <v>1392</v>
      </c>
      <c r="G336" s="57">
        <v>2009.0</v>
      </c>
      <c r="H336" s="56" t="s">
        <v>53</v>
      </c>
      <c r="I336" s="58" t="s">
        <v>1841</v>
      </c>
      <c r="J336" s="22" t="s">
        <v>31</v>
      </c>
      <c r="K336" s="22"/>
      <c r="L336" s="69" t="s">
        <v>1842</v>
      </c>
      <c r="M336" s="36">
        <v>200.0</v>
      </c>
      <c r="N336" s="36"/>
      <c r="O336" s="36">
        <v>60.0</v>
      </c>
      <c r="P336" s="125"/>
      <c r="Q336" s="36" t="s">
        <v>1843</v>
      </c>
      <c r="R336" s="36">
        <v>300.0</v>
      </c>
      <c r="S336" s="36" t="s">
        <v>1844</v>
      </c>
      <c r="T336" s="74" t="s">
        <v>1845</v>
      </c>
      <c r="U336" s="97" t="s">
        <v>61</v>
      </c>
      <c r="V336" s="50"/>
      <c r="W336" s="49"/>
      <c r="X336" s="49"/>
      <c r="Y336" s="35"/>
      <c r="Z336" s="35"/>
      <c r="AA336" s="35"/>
      <c r="AB336" s="35"/>
      <c r="AC336" s="35"/>
      <c r="AD336" s="35"/>
      <c r="AE336" s="35"/>
      <c r="AF336" s="35"/>
      <c r="AG336" s="35"/>
      <c r="AH336" s="35"/>
      <c r="AI336" s="35"/>
      <c r="AJ336" s="35"/>
      <c r="AK336" s="35"/>
      <c r="AL336" s="35"/>
    </row>
    <row r="337" ht="52.5" customHeight="1">
      <c r="A337" s="89"/>
      <c r="B337" s="19" t="s">
        <v>221</v>
      </c>
      <c r="C337" s="20" t="s">
        <v>1615</v>
      </c>
      <c r="D337" s="47"/>
      <c r="E337" s="56" t="s">
        <v>1402</v>
      </c>
      <c r="F337" s="22" t="s">
        <v>1603</v>
      </c>
      <c r="G337" s="57">
        <v>2008.0</v>
      </c>
      <c r="H337" s="56" t="s">
        <v>1846</v>
      </c>
      <c r="I337" s="58" t="s">
        <v>1847</v>
      </c>
      <c r="J337" s="22" t="s">
        <v>31</v>
      </c>
      <c r="K337" s="22" t="s">
        <v>1848</v>
      </c>
      <c r="L337" s="69">
        <v>670.0</v>
      </c>
      <c r="M337" s="36">
        <v>400.0</v>
      </c>
      <c r="N337" s="36"/>
      <c r="O337" s="36"/>
      <c r="P337" s="70" t="s">
        <v>1819</v>
      </c>
      <c r="Q337" s="36"/>
      <c r="R337" s="36"/>
      <c r="S337" s="36"/>
      <c r="T337" s="74" t="s">
        <v>1849</v>
      </c>
      <c r="U337" s="66" t="str">
        <f>HYPERLINK("https://www.ncbi.nlm.nih.gov/pubmed/18322773","PubMed")</f>
        <v>PubMed</v>
      </c>
      <c r="V337" s="50"/>
      <c r="W337" s="49"/>
      <c r="X337" s="49"/>
      <c r="Y337" s="35"/>
      <c r="Z337" s="35"/>
      <c r="AA337" s="35"/>
      <c r="AB337" s="35"/>
      <c r="AC337" s="35"/>
      <c r="AD337" s="35"/>
      <c r="AE337" s="35"/>
      <c r="AF337" s="35"/>
      <c r="AG337" s="35"/>
      <c r="AH337" s="35"/>
      <c r="AI337" s="35"/>
      <c r="AJ337" s="35"/>
      <c r="AK337" s="35"/>
      <c r="AL337" s="35"/>
    </row>
    <row r="338" ht="52.5" customHeight="1">
      <c r="A338" s="89"/>
      <c r="B338" s="75" t="s">
        <v>221</v>
      </c>
      <c r="C338" s="77" t="s">
        <v>1615</v>
      </c>
      <c r="D338" s="47"/>
      <c r="E338" s="56" t="s">
        <v>1850</v>
      </c>
      <c r="F338" s="22" t="s">
        <v>1851</v>
      </c>
      <c r="G338" s="57">
        <v>2006.0</v>
      </c>
      <c r="H338" s="56" t="s">
        <v>1301</v>
      </c>
      <c r="I338" s="58" t="s">
        <v>1852</v>
      </c>
      <c r="J338" s="22" t="s">
        <v>31</v>
      </c>
      <c r="K338" s="22" t="s">
        <v>1827</v>
      </c>
      <c r="L338" s="69">
        <v>905.0</v>
      </c>
      <c r="M338" s="36"/>
      <c r="N338" s="36"/>
      <c r="O338" s="36"/>
      <c r="P338" s="70" t="s">
        <v>1853</v>
      </c>
      <c r="Q338" s="36"/>
      <c r="R338" s="36"/>
      <c r="S338" s="36"/>
      <c r="T338" s="63" t="s">
        <v>1854</v>
      </c>
      <c r="U338" s="66" t="str">
        <f>HYPERLINK("https://www.ncbi.nlm.nih.gov/pubmed/17160575","PubMed")</f>
        <v>PubMed</v>
      </c>
      <c r="V338" s="50"/>
      <c r="W338" s="49"/>
      <c r="X338" s="49"/>
      <c r="Y338" s="35"/>
      <c r="Z338" s="35"/>
      <c r="AA338" s="35"/>
      <c r="AB338" s="35"/>
      <c r="AC338" s="35"/>
      <c r="AD338" s="35"/>
      <c r="AE338" s="35"/>
      <c r="AF338" s="35"/>
      <c r="AG338" s="35"/>
      <c r="AH338" s="35"/>
      <c r="AI338" s="35"/>
      <c r="AJ338" s="35"/>
      <c r="AK338" s="35"/>
      <c r="AL338" s="35"/>
    </row>
    <row r="339" ht="52.5" customHeight="1">
      <c r="A339" s="89"/>
      <c r="B339" s="19" t="s">
        <v>221</v>
      </c>
      <c r="C339" s="20" t="s">
        <v>1615</v>
      </c>
      <c r="D339" s="47"/>
      <c r="E339" s="56" t="s">
        <v>1855</v>
      </c>
      <c r="F339" s="22" t="s">
        <v>41</v>
      </c>
      <c r="G339" s="57">
        <v>2006.0</v>
      </c>
      <c r="H339" s="56" t="s">
        <v>53</v>
      </c>
      <c r="I339" s="58" t="s">
        <v>1856</v>
      </c>
      <c r="J339" s="22" t="s">
        <v>31</v>
      </c>
      <c r="K339" s="22"/>
      <c r="L339" s="69">
        <v>780.0</v>
      </c>
      <c r="M339" s="36">
        <v>10.0</v>
      </c>
      <c r="N339" s="36"/>
      <c r="O339" s="36"/>
      <c r="P339" s="70" t="s">
        <v>969</v>
      </c>
      <c r="Q339" s="36"/>
      <c r="R339" s="36"/>
      <c r="S339" s="36"/>
      <c r="T339" s="63" t="s">
        <v>1857</v>
      </c>
      <c r="U339" s="66" t="str">
        <f>HYPERLINK("https://www.ncbi.nlm.nih.gov/pubmed/16526043","PubMed")</f>
        <v>PubMed</v>
      </c>
      <c r="V339" s="50"/>
      <c r="W339" s="49"/>
      <c r="X339" s="49"/>
      <c r="Y339" s="35"/>
      <c r="Z339" s="35"/>
      <c r="AA339" s="35"/>
      <c r="AB339" s="35"/>
      <c r="AC339" s="35"/>
      <c r="AD339" s="35"/>
      <c r="AE339" s="35"/>
      <c r="AF339" s="35"/>
      <c r="AG339" s="35"/>
      <c r="AH339" s="35"/>
      <c r="AI339" s="35"/>
      <c r="AJ339" s="35"/>
      <c r="AK339" s="35"/>
      <c r="AL339" s="35"/>
    </row>
    <row r="340" ht="52.5" customHeight="1">
      <c r="A340" s="89"/>
      <c r="B340" s="19" t="s">
        <v>221</v>
      </c>
      <c r="C340" s="20" t="s">
        <v>1615</v>
      </c>
      <c r="D340" s="47"/>
      <c r="E340" s="56" t="s">
        <v>1257</v>
      </c>
      <c r="F340" s="22" t="s">
        <v>1258</v>
      </c>
      <c r="G340" s="57">
        <v>2005.0</v>
      </c>
      <c r="H340" s="56" t="s">
        <v>1858</v>
      </c>
      <c r="I340" s="58" t="s">
        <v>1859</v>
      </c>
      <c r="J340" s="22" t="s">
        <v>31</v>
      </c>
      <c r="K340" s="22"/>
      <c r="L340" s="69">
        <v>830.0</v>
      </c>
      <c r="M340" s="36"/>
      <c r="N340" s="36"/>
      <c r="O340" s="36"/>
      <c r="P340" s="70" t="s">
        <v>1595</v>
      </c>
      <c r="Q340" s="36"/>
      <c r="R340" s="36"/>
      <c r="S340" s="36"/>
      <c r="T340" s="63" t="s">
        <v>1860</v>
      </c>
      <c r="U340" s="66" t="str">
        <f>HYPERLINK("https://www.ncbi.nlm.nih.gov/pubmed/15621240","PubMed")</f>
        <v>PubMed</v>
      </c>
      <c r="V340" s="50"/>
      <c r="W340" s="49"/>
      <c r="X340" s="49"/>
      <c r="Y340" s="35"/>
      <c r="Z340" s="35"/>
      <c r="AA340" s="35"/>
      <c r="AB340" s="35"/>
      <c r="AC340" s="35"/>
      <c r="AD340" s="35"/>
      <c r="AE340" s="35"/>
      <c r="AF340" s="35"/>
      <c r="AG340" s="35"/>
      <c r="AH340" s="35"/>
      <c r="AI340" s="35"/>
      <c r="AJ340" s="35"/>
      <c r="AK340" s="35"/>
      <c r="AL340" s="35"/>
    </row>
    <row r="341" ht="52.5" customHeight="1">
      <c r="A341" s="89"/>
      <c r="B341" s="19" t="s">
        <v>221</v>
      </c>
      <c r="C341" s="20" t="s">
        <v>1615</v>
      </c>
      <c r="D341" s="47"/>
      <c r="E341" s="56" t="s">
        <v>1861</v>
      </c>
      <c r="F341" s="22" t="s">
        <v>1862</v>
      </c>
      <c r="G341" s="57">
        <v>2001.0</v>
      </c>
      <c r="H341" s="56" t="s">
        <v>1863</v>
      </c>
      <c r="I341" s="58" t="s">
        <v>1864</v>
      </c>
      <c r="J341" s="22" t="s">
        <v>31</v>
      </c>
      <c r="K341" s="22"/>
      <c r="L341" s="69">
        <v>830.0</v>
      </c>
      <c r="M341" s="36">
        <v>90.0</v>
      </c>
      <c r="N341" s="36"/>
      <c r="O341" s="36" t="s">
        <v>1865</v>
      </c>
      <c r="P341" s="125"/>
      <c r="Q341" s="36"/>
      <c r="R341" s="36"/>
      <c r="S341" s="36"/>
      <c r="T341" s="71" t="s">
        <v>1866</v>
      </c>
      <c r="U341" s="66" t="str">
        <f>HYPERLINK("https://www.ncbi.nlm.nih.gov/pubmed/11553080","PubMed")</f>
        <v>PubMed</v>
      </c>
      <c r="V341" s="50"/>
      <c r="W341" s="49"/>
      <c r="X341" s="49"/>
      <c r="Y341" s="35"/>
      <c r="Z341" s="35"/>
      <c r="AA341" s="35"/>
      <c r="AB341" s="35"/>
      <c r="AC341" s="35"/>
      <c r="AD341" s="35"/>
      <c r="AE341" s="35"/>
      <c r="AF341" s="35"/>
      <c r="AG341" s="35"/>
      <c r="AH341" s="35"/>
      <c r="AI341" s="35"/>
      <c r="AJ341" s="35"/>
      <c r="AK341" s="35"/>
      <c r="AL341" s="35"/>
    </row>
    <row r="342" ht="52.5" customHeight="1">
      <c r="A342" s="89"/>
      <c r="B342" s="19" t="s">
        <v>221</v>
      </c>
      <c r="C342" s="20" t="s">
        <v>1615</v>
      </c>
      <c r="D342" s="47"/>
      <c r="E342" s="56" t="s">
        <v>1602</v>
      </c>
      <c r="F342" s="22" t="s">
        <v>1603</v>
      </c>
      <c r="G342" s="57">
        <v>2000.0</v>
      </c>
      <c r="H342" s="56" t="s">
        <v>905</v>
      </c>
      <c r="I342" s="58" t="s">
        <v>1867</v>
      </c>
      <c r="J342" s="22" t="s">
        <v>31</v>
      </c>
      <c r="K342" s="22"/>
      <c r="L342" s="69">
        <v>690.0</v>
      </c>
      <c r="M342" s="36"/>
      <c r="N342" s="36"/>
      <c r="O342" s="129">
        <v>43192.0</v>
      </c>
      <c r="P342" s="125"/>
      <c r="Q342" s="36"/>
      <c r="R342" s="36">
        <v>60.0</v>
      </c>
      <c r="S342" s="36">
        <v>3.0</v>
      </c>
      <c r="T342" s="63" t="s">
        <v>1868</v>
      </c>
      <c r="U342" s="66" t="str">
        <f>HYPERLINK("https://www.ncbi.nlm.nih.gov/pubmed/11168247","PubMed")</f>
        <v>PubMed</v>
      </c>
      <c r="V342" s="50"/>
      <c r="W342" s="49"/>
      <c r="X342" s="49"/>
      <c r="Y342" s="35"/>
      <c r="Z342" s="35"/>
      <c r="AA342" s="35"/>
      <c r="AB342" s="35"/>
      <c r="AC342" s="35"/>
      <c r="AD342" s="35"/>
      <c r="AE342" s="35"/>
      <c r="AF342" s="35"/>
      <c r="AG342" s="35"/>
      <c r="AH342" s="35"/>
      <c r="AI342" s="35"/>
      <c r="AJ342" s="35"/>
      <c r="AK342" s="35"/>
      <c r="AL342" s="35"/>
    </row>
    <row r="343" ht="52.5" customHeight="1">
      <c r="A343" s="89"/>
      <c r="B343" s="19" t="s">
        <v>221</v>
      </c>
      <c r="C343" s="20" t="s">
        <v>1869</v>
      </c>
      <c r="D343" s="47"/>
      <c r="E343" s="56" t="s">
        <v>1095</v>
      </c>
      <c r="F343" s="22" t="s">
        <v>323</v>
      </c>
      <c r="G343" s="57">
        <v>2010.0</v>
      </c>
      <c r="H343" s="56" t="s">
        <v>658</v>
      </c>
      <c r="I343" s="58" t="s">
        <v>1870</v>
      </c>
      <c r="J343" s="22" t="s">
        <v>253</v>
      </c>
      <c r="K343" s="22"/>
      <c r="L343" s="69">
        <v>633.0</v>
      </c>
      <c r="M343" s="36">
        <v>10.0</v>
      </c>
      <c r="N343" s="36"/>
      <c r="O343" s="36"/>
      <c r="P343" s="70" t="s">
        <v>1871</v>
      </c>
      <c r="Q343" s="36" t="s">
        <v>989</v>
      </c>
      <c r="R343" s="36"/>
      <c r="S343" s="36">
        <v>48.0</v>
      </c>
      <c r="T343" s="71" t="s">
        <v>1872</v>
      </c>
      <c r="U343" s="66" t="str">
        <f>HYPERLINK("https://www.ncbi.nlm.nih.gov/pubmed/19821703","PubMed")</f>
        <v>PubMed</v>
      </c>
      <c r="V343" s="50"/>
      <c r="W343" s="49"/>
      <c r="X343" s="49"/>
      <c r="Y343" s="35"/>
      <c r="Z343" s="35"/>
      <c r="AA343" s="35"/>
      <c r="AB343" s="35"/>
      <c r="AC343" s="35"/>
      <c r="AD343" s="35"/>
      <c r="AE343" s="35"/>
      <c r="AF343" s="35"/>
      <c r="AG343" s="35"/>
      <c r="AH343" s="35"/>
      <c r="AI343" s="35"/>
      <c r="AJ343" s="35"/>
      <c r="AK343" s="35"/>
      <c r="AL343" s="35"/>
    </row>
    <row r="344" ht="52.5" customHeight="1">
      <c r="A344" s="89"/>
      <c r="B344" s="19" t="s">
        <v>221</v>
      </c>
      <c r="C344" s="20" t="s">
        <v>1869</v>
      </c>
      <c r="D344" s="47"/>
      <c r="E344" s="56" t="s">
        <v>1110</v>
      </c>
      <c r="F344" s="22" t="s">
        <v>323</v>
      </c>
      <c r="G344" s="57">
        <v>2009.0</v>
      </c>
      <c r="H344" s="56" t="s">
        <v>1873</v>
      </c>
      <c r="I344" s="58" t="s">
        <v>1874</v>
      </c>
      <c r="J344" s="22" t="s">
        <v>253</v>
      </c>
      <c r="K344" s="22"/>
      <c r="L344" s="69">
        <v>633.0</v>
      </c>
      <c r="M344" s="36">
        <v>10.0</v>
      </c>
      <c r="N344" s="36"/>
      <c r="O344" s="36"/>
      <c r="P344" s="70" t="s">
        <v>1871</v>
      </c>
      <c r="Q344" s="36"/>
      <c r="R344" s="36"/>
      <c r="S344" s="36"/>
      <c r="T344" s="71" t="s">
        <v>1875</v>
      </c>
      <c r="U344" s="66" t="str">
        <f>HYPERLINK("https://www.ncbi.nlm.nih.gov/pubmed/20437320","PubMed")</f>
        <v>PubMed</v>
      </c>
      <c r="V344" s="50"/>
      <c r="W344" s="49"/>
      <c r="X344" s="49"/>
      <c r="Y344" s="35"/>
      <c r="Z344" s="35"/>
      <c r="AA344" s="35"/>
      <c r="AB344" s="35"/>
      <c r="AC344" s="35"/>
      <c r="AD344" s="35"/>
      <c r="AE344" s="35"/>
      <c r="AF344" s="35"/>
      <c r="AG344" s="35"/>
      <c r="AH344" s="35"/>
      <c r="AI344" s="35"/>
      <c r="AJ344" s="35"/>
      <c r="AK344" s="35"/>
      <c r="AL344" s="35"/>
    </row>
    <row r="345" ht="52.5" customHeight="1">
      <c r="A345" s="89"/>
      <c r="B345" s="19" t="s">
        <v>221</v>
      </c>
      <c r="C345" s="20" t="s">
        <v>1869</v>
      </c>
      <c r="D345" s="47"/>
      <c r="E345" s="56" t="s">
        <v>1876</v>
      </c>
      <c r="F345" s="22" t="s">
        <v>323</v>
      </c>
      <c r="G345" s="57">
        <v>2009.0</v>
      </c>
      <c r="H345" s="56" t="s">
        <v>658</v>
      </c>
      <c r="I345" s="58" t="s">
        <v>1877</v>
      </c>
      <c r="J345" s="22" t="s">
        <v>253</v>
      </c>
      <c r="K345" s="22"/>
      <c r="L345" s="69">
        <v>890.0</v>
      </c>
      <c r="M345" s="36"/>
      <c r="N345" s="36"/>
      <c r="O345" s="36"/>
      <c r="P345" s="70" t="s">
        <v>1878</v>
      </c>
      <c r="Q345" s="36"/>
      <c r="R345" s="36"/>
      <c r="S345" s="36"/>
      <c r="T345" s="74" t="s">
        <v>1879</v>
      </c>
      <c r="U345" s="66" t="str">
        <f>HYPERLINK("https://www.ncbi.nlm.nih.gov/pubmed/19196107","PubMed")</f>
        <v>PubMed</v>
      </c>
      <c r="V345" s="50"/>
      <c r="W345" s="49"/>
      <c r="X345" s="49"/>
      <c r="Y345" s="35"/>
      <c r="Z345" s="35"/>
      <c r="AA345" s="35"/>
      <c r="AB345" s="35"/>
      <c r="AC345" s="35"/>
      <c r="AD345" s="35"/>
      <c r="AE345" s="35"/>
      <c r="AF345" s="35"/>
      <c r="AG345" s="35"/>
      <c r="AH345" s="35"/>
      <c r="AI345" s="35"/>
      <c r="AJ345" s="35"/>
      <c r="AK345" s="35"/>
      <c r="AL345" s="35"/>
    </row>
    <row r="346" ht="52.5" customHeight="1">
      <c r="A346" s="89"/>
      <c r="B346" s="19" t="s">
        <v>221</v>
      </c>
      <c r="C346" s="20" t="s">
        <v>1869</v>
      </c>
      <c r="D346" s="47"/>
      <c r="E346" s="56" t="s">
        <v>1880</v>
      </c>
      <c r="F346" s="22" t="s">
        <v>323</v>
      </c>
      <c r="G346" s="57">
        <v>2007.0</v>
      </c>
      <c r="H346" s="56" t="s">
        <v>207</v>
      </c>
      <c r="I346" s="58" t="s">
        <v>1881</v>
      </c>
      <c r="J346" s="22" t="s">
        <v>253</v>
      </c>
      <c r="K346" s="22"/>
      <c r="L346" s="69">
        <v>890.0</v>
      </c>
      <c r="M346" s="36"/>
      <c r="N346" s="36"/>
      <c r="O346" s="36"/>
      <c r="P346" s="70" t="s">
        <v>1878</v>
      </c>
      <c r="Q346" s="36"/>
      <c r="R346" s="36"/>
      <c r="S346" s="36"/>
      <c r="T346" s="74" t="s">
        <v>1882</v>
      </c>
      <c r="U346" s="66" t="str">
        <f>HYPERLINK("https://www.ncbi.nlm.nih.gov/pubmed/17555980","PubMed")</f>
        <v>PubMed</v>
      </c>
      <c r="V346" s="50"/>
      <c r="W346" s="49"/>
      <c r="X346" s="49"/>
      <c r="Y346" s="35"/>
      <c r="Z346" s="35"/>
      <c r="AA346" s="35"/>
      <c r="AB346" s="35"/>
      <c r="AC346" s="35"/>
      <c r="AD346" s="35"/>
      <c r="AE346" s="35"/>
      <c r="AF346" s="35"/>
      <c r="AG346" s="35"/>
      <c r="AH346" s="35"/>
      <c r="AI346" s="35"/>
      <c r="AJ346" s="35"/>
      <c r="AK346" s="35"/>
      <c r="AL346" s="35"/>
    </row>
    <row r="347" ht="52.5" customHeight="1">
      <c r="A347" s="89"/>
      <c r="B347" s="19" t="s">
        <v>221</v>
      </c>
      <c r="C347" s="20" t="s">
        <v>1869</v>
      </c>
      <c r="D347" s="47"/>
      <c r="E347" s="56" t="s">
        <v>1295</v>
      </c>
      <c r="F347" s="22" t="s">
        <v>230</v>
      </c>
      <c r="G347" s="57">
        <v>2001.0</v>
      </c>
      <c r="H347" s="56" t="s">
        <v>1883</v>
      </c>
      <c r="I347" s="58" t="s">
        <v>1884</v>
      </c>
      <c r="J347" s="22" t="s">
        <v>253</v>
      </c>
      <c r="K347" s="22"/>
      <c r="L347" s="69">
        <v>780.0</v>
      </c>
      <c r="M347" s="36"/>
      <c r="N347" s="36"/>
      <c r="O347" s="36"/>
      <c r="P347" s="70"/>
      <c r="Q347" s="36"/>
      <c r="R347" s="36"/>
      <c r="S347" s="36"/>
      <c r="T347" s="63" t="s">
        <v>1885</v>
      </c>
      <c r="U347" s="66" t="str">
        <f>HYPERLINK("https://www.ncbi.nlm.nih.gov/pubmed/11358039","PubMed")</f>
        <v>PubMed</v>
      </c>
      <c r="V347" s="50"/>
      <c r="W347" s="49"/>
      <c r="X347" s="49"/>
      <c r="Y347" s="35"/>
      <c r="Z347" s="35"/>
      <c r="AA347" s="35"/>
      <c r="AB347" s="35"/>
      <c r="AC347" s="35"/>
      <c r="AD347" s="35"/>
      <c r="AE347" s="35"/>
      <c r="AF347" s="35"/>
      <c r="AG347" s="35"/>
      <c r="AH347" s="35"/>
      <c r="AI347" s="35"/>
      <c r="AJ347" s="35"/>
      <c r="AK347" s="35"/>
      <c r="AL347" s="35"/>
    </row>
    <row r="348" ht="52.5" customHeight="1">
      <c r="A348" s="89"/>
      <c r="B348" s="19" t="s">
        <v>221</v>
      </c>
      <c r="C348" s="20" t="s">
        <v>1869</v>
      </c>
      <c r="D348" s="47"/>
      <c r="E348" s="56" t="s">
        <v>1886</v>
      </c>
      <c r="F348" s="22" t="s">
        <v>230</v>
      </c>
      <c r="G348" s="57">
        <v>2000.0</v>
      </c>
      <c r="H348" s="56" t="s">
        <v>1883</v>
      </c>
      <c r="I348" s="58" t="s">
        <v>1887</v>
      </c>
      <c r="J348" s="22" t="s">
        <v>253</v>
      </c>
      <c r="K348" s="22"/>
      <c r="L348" s="69">
        <v>780.0</v>
      </c>
      <c r="M348" s="36">
        <v>1000.0</v>
      </c>
      <c r="N348" s="36"/>
      <c r="O348" s="36"/>
      <c r="P348" s="70" t="s">
        <v>1600</v>
      </c>
      <c r="Q348" s="36"/>
      <c r="R348" s="36">
        <v>600.0</v>
      </c>
      <c r="S348" s="36"/>
      <c r="T348" s="63" t="s">
        <v>1888</v>
      </c>
      <c r="U348" s="66" t="str">
        <f>HYPERLINK("https://www.ncbi.nlm.nih.gov/pubmed/10928702","PubMed")</f>
        <v>PubMed</v>
      </c>
      <c r="V348" s="50"/>
      <c r="W348" s="49"/>
      <c r="X348" s="49"/>
      <c r="Y348" s="35"/>
      <c r="Z348" s="35"/>
      <c r="AA348" s="35"/>
      <c r="AB348" s="35"/>
      <c r="AC348" s="35"/>
      <c r="AD348" s="35"/>
      <c r="AE348" s="35"/>
      <c r="AF348" s="35"/>
      <c r="AG348" s="35"/>
      <c r="AH348" s="35"/>
      <c r="AI348" s="35"/>
      <c r="AJ348" s="35"/>
      <c r="AK348" s="35"/>
      <c r="AL348" s="35"/>
    </row>
    <row r="349" ht="52.5" customHeight="1">
      <c r="A349" s="89"/>
      <c r="B349" s="19" t="s">
        <v>221</v>
      </c>
      <c r="C349" s="20" t="s">
        <v>1889</v>
      </c>
      <c r="D349" s="47"/>
      <c r="E349" s="56" t="s">
        <v>1890</v>
      </c>
      <c r="F349" s="22" t="s">
        <v>1891</v>
      </c>
      <c r="G349" s="57">
        <v>2020.0</v>
      </c>
      <c r="H349" s="56" t="s">
        <v>91</v>
      </c>
      <c r="I349" s="58" t="s">
        <v>1892</v>
      </c>
      <c r="J349" s="22" t="s">
        <v>31</v>
      </c>
      <c r="K349" s="22" t="s">
        <v>1893</v>
      </c>
      <c r="L349" s="69">
        <v>810.0</v>
      </c>
      <c r="M349" s="36">
        <v>100.0</v>
      </c>
      <c r="N349" s="36"/>
      <c r="O349" s="36"/>
      <c r="P349" s="125"/>
      <c r="Q349" s="36"/>
      <c r="R349" s="36">
        <v>75.0</v>
      </c>
      <c r="S349" s="36"/>
      <c r="T349" s="63" t="s">
        <v>1894</v>
      </c>
      <c r="U349" s="66" t="str">
        <f>HYPERLINK("https://www.ncbi.nlm.nih.gov/pubmed/32221769","PubMed")</f>
        <v>PubMed</v>
      </c>
      <c r="V349" s="50"/>
      <c r="W349" s="49"/>
      <c r="X349" s="49"/>
      <c r="Y349" s="35"/>
      <c r="Z349" s="35"/>
      <c r="AA349" s="35"/>
      <c r="AB349" s="35"/>
      <c r="AC349" s="35"/>
      <c r="AD349" s="35"/>
      <c r="AE349" s="35"/>
      <c r="AF349" s="35"/>
      <c r="AG349" s="35"/>
      <c r="AH349" s="35"/>
      <c r="AI349" s="35"/>
      <c r="AJ349" s="35"/>
      <c r="AK349" s="35"/>
      <c r="AL349" s="35"/>
    </row>
    <row r="350" ht="52.5" customHeight="1">
      <c r="A350" s="89"/>
      <c r="B350" s="19" t="s">
        <v>221</v>
      </c>
      <c r="C350" s="20" t="s">
        <v>1889</v>
      </c>
      <c r="D350" s="47"/>
      <c r="E350" s="56" t="s">
        <v>1895</v>
      </c>
      <c r="F350" s="22" t="s">
        <v>1622</v>
      </c>
      <c r="G350" s="57">
        <v>2017.0</v>
      </c>
      <c r="H350" s="56" t="s">
        <v>91</v>
      </c>
      <c r="I350" s="58" t="s">
        <v>1896</v>
      </c>
      <c r="J350" s="22" t="s">
        <v>31</v>
      </c>
      <c r="K350" s="22" t="s">
        <v>157</v>
      </c>
      <c r="L350" s="69">
        <v>635.0</v>
      </c>
      <c r="M350" s="36"/>
      <c r="N350" s="36" t="s">
        <v>1897</v>
      </c>
      <c r="O350" s="36">
        <v>18.0</v>
      </c>
      <c r="P350" s="125"/>
      <c r="Q350" s="36" t="s">
        <v>1898</v>
      </c>
      <c r="R350" s="36">
        <v>3600.0</v>
      </c>
      <c r="S350" s="36"/>
      <c r="T350" s="63" t="s">
        <v>1899</v>
      </c>
      <c r="U350" s="66" t="str">
        <f>HYPERLINK("https://www.ncbi.nlm.nih.gov/pubmed/27807651","PubMed")</f>
        <v>PubMed</v>
      </c>
      <c r="V350" s="50"/>
      <c r="W350" s="49"/>
      <c r="X350" s="49"/>
      <c r="Y350" s="35"/>
      <c r="Z350" s="35"/>
      <c r="AA350" s="35"/>
      <c r="AB350" s="35"/>
      <c r="AC350" s="35"/>
      <c r="AD350" s="35"/>
      <c r="AE350" s="35"/>
      <c r="AF350" s="35"/>
      <c r="AG350" s="35"/>
      <c r="AH350" s="35"/>
      <c r="AI350" s="35"/>
      <c r="AJ350" s="35"/>
      <c r="AK350" s="35"/>
      <c r="AL350" s="35"/>
    </row>
    <row r="351" ht="52.5" customHeight="1">
      <c r="A351" s="89"/>
      <c r="B351" s="19" t="s">
        <v>221</v>
      </c>
      <c r="C351" s="20" t="s">
        <v>1889</v>
      </c>
      <c r="D351" s="47"/>
      <c r="E351" s="56" t="s">
        <v>493</v>
      </c>
      <c r="F351" s="22" t="s">
        <v>1622</v>
      </c>
      <c r="G351" s="57">
        <v>2017.0</v>
      </c>
      <c r="H351" s="56" t="s">
        <v>658</v>
      </c>
      <c r="I351" s="58" t="s">
        <v>1900</v>
      </c>
      <c r="J351" s="22" t="s">
        <v>31</v>
      </c>
      <c r="K351" s="22" t="s">
        <v>157</v>
      </c>
      <c r="L351" s="69">
        <v>635.0</v>
      </c>
      <c r="M351" s="36"/>
      <c r="N351" s="36"/>
      <c r="O351" s="36"/>
      <c r="P351" s="125"/>
      <c r="Q351" s="36"/>
      <c r="R351" s="36"/>
      <c r="S351" s="36"/>
      <c r="T351" s="63" t="s">
        <v>1901</v>
      </c>
      <c r="U351" s="66" t="str">
        <f>HYPERLINK("https://www.ncbi.nlm.nih.gov/pubmed/27626322","PubMed")</f>
        <v>PubMed</v>
      </c>
      <c r="V351" s="50"/>
      <c r="W351" s="49"/>
      <c r="X351" s="49"/>
      <c r="Y351" s="35"/>
      <c r="Z351" s="35"/>
      <c r="AA351" s="35"/>
      <c r="AB351" s="35"/>
      <c r="AC351" s="35"/>
      <c r="AD351" s="35"/>
      <c r="AE351" s="35"/>
      <c r="AF351" s="35"/>
      <c r="AG351" s="35"/>
      <c r="AH351" s="35"/>
      <c r="AI351" s="35"/>
      <c r="AJ351" s="35"/>
      <c r="AK351" s="35"/>
      <c r="AL351" s="35"/>
    </row>
    <row r="352" ht="52.5" customHeight="1">
      <c r="A352" s="89"/>
      <c r="B352" s="19" t="s">
        <v>221</v>
      </c>
      <c r="C352" s="20" t="s">
        <v>1889</v>
      </c>
      <c r="D352" s="47"/>
      <c r="E352" s="56" t="s">
        <v>1895</v>
      </c>
      <c r="F352" s="22" t="s">
        <v>1622</v>
      </c>
      <c r="G352" s="57">
        <v>2015.0</v>
      </c>
      <c r="H352" s="56" t="s">
        <v>53</v>
      </c>
      <c r="I352" s="58" t="s">
        <v>1902</v>
      </c>
      <c r="J352" s="22" t="s">
        <v>31</v>
      </c>
      <c r="K352" s="22" t="s">
        <v>157</v>
      </c>
      <c r="L352" s="69">
        <v>635.0</v>
      </c>
      <c r="M352" s="36"/>
      <c r="N352" s="36" t="s">
        <v>1897</v>
      </c>
      <c r="O352" s="36"/>
      <c r="P352" s="125"/>
      <c r="Q352" s="36"/>
      <c r="R352" s="36"/>
      <c r="S352" s="36"/>
      <c r="T352" s="63" t="s">
        <v>1903</v>
      </c>
      <c r="U352" s="66" t="str">
        <f>HYPERLINK("https://www.ncbi.nlm.nih.gov/pubmed/26391894","PubMed")</f>
        <v>PubMed</v>
      </c>
      <c r="V352" s="50"/>
      <c r="W352" s="49"/>
      <c r="X352" s="49"/>
      <c r="Y352" s="35"/>
      <c r="Z352" s="35"/>
      <c r="AA352" s="35"/>
      <c r="AB352" s="35"/>
      <c r="AC352" s="35"/>
      <c r="AD352" s="35"/>
      <c r="AE352" s="35"/>
      <c r="AF352" s="35"/>
      <c r="AG352" s="35"/>
      <c r="AH352" s="35"/>
      <c r="AI352" s="35"/>
      <c r="AJ352" s="35"/>
      <c r="AK352" s="35"/>
      <c r="AL352" s="35"/>
    </row>
    <row r="353" ht="52.5" customHeight="1">
      <c r="A353" s="89"/>
      <c r="B353" s="19" t="s">
        <v>221</v>
      </c>
      <c r="C353" s="20" t="s">
        <v>1889</v>
      </c>
      <c r="D353" s="47"/>
      <c r="E353" s="56" t="s">
        <v>1904</v>
      </c>
      <c r="F353" s="22" t="s">
        <v>1905</v>
      </c>
      <c r="G353" s="57">
        <v>2014.0</v>
      </c>
      <c r="H353" s="56" t="s">
        <v>91</v>
      </c>
      <c r="I353" s="58" t="s">
        <v>1906</v>
      </c>
      <c r="J353" s="22" t="s">
        <v>31</v>
      </c>
      <c r="K353" s="22" t="s">
        <v>157</v>
      </c>
      <c r="L353" s="69">
        <v>635.0</v>
      </c>
      <c r="M353" s="36"/>
      <c r="N353" s="36"/>
      <c r="O353" s="36"/>
      <c r="P353" s="125"/>
      <c r="Q353" s="36"/>
      <c r="R353" s="36"/>
      <c r="S353" s="36"/>
      <c r="T353" s="63" t="s">
        <v>1907</v>
      </c>
      <c r="U353" s="66" t="str">
        <f>HYPERLINK("https://www.ncbi.nlm.nih.gov/pubmed/23812848","PubMed")</f>
        <v>PubMed</v>
      </c>
      <c r="V353" s="50"/>
      <c r="W353" s="49"/>
      <c r="X353" s="49"/>
      <c r="Y353" s="35"/>
      <c r="Z353" s="35"/>
      <c r="AA353" s="35"/>
      <c r="AB353" s="35"/>
      <c r="AC353" s="35"/>
      <c r="AD353" s="35"/>
      <c r="AE353" s="35"/>
      <c r="AF353" s="35"/>
      <c r="AG353" s="35"/>
      <c r="AH353" s="35"/>
      <c r="AI353" s="35"/>
      <c r="AJ353" s="35"/>
      <c r="AK353" s="35"/>
      <c r="AL353" s="35"/>
    </row>
    <row r="354" ht="52.5" customHeight="1">
      <c r="A354" s="89"/>
      <c r="B354" s="19" t="s">
        <v>221</v>
      </c>
      <c r="C354" s="20" t="s">
        <v>1889</v>
      </c>
      <c r="D354" s="47"/>
      <c r="E354" s="56" t="s">
        <v>1908</v>
      </c>
      <c r="F354" s="22" t="s">
        <v>1822</v>
      </c>
      <c r="G354" s="57">
        <v>2006.0</v>
      </c>
      <c r="H354" s="56" t="s">
        <v>91</v>
      </c>
      <c r="I354" s="58" t="s">
        <v>1909</v>
      </c>
      <c r="J354" s="22" t="s">
        <v>31</v>
      </c>
      <c r="K354" s="22" t="s">
        <v>1240</v>
      </c>
      <c r="L354" s="69">
        <v>810.0</v>
      </c>
      <c r="M354" s="36">
        <v>50.0</v>
      </c>
      <c r="N354" s="36"/>
      <c r="O354" s="36"/>
      <c r="P354" s="125"/>
      <c r="Q354" s="36"/>
      <c r="R354" s="36"/>
      <c r="S354" s="36">
        <v>8.0</v>
      </c>
      <c r="T354" s="63" t="s">
        <v>1910</v>
      </c>
      <c r="U354" s="66" t="str">
        <f>HYPERLINK("https://www.ncbi.nlm.nih.gov/pubmed/16568210","PubMed")</f>
        <v>PubMed</v>
      </c>
      <c r="V354" s="50"/>
      <c r="W354" s="49"/>
      <c r="X354" s="49"/>
      <c r="Y354" s="35"/>
      <c r="Z354" s="35"/>
      <c r="AA354" s="35"/>
      <c r="AB354" s="35"/>
      <c r="AC354" s="35"/>
      <c r="AD354" s="35"/>
      <c r="AE354" s="35"/>
      <c r="AF354" s="35"/>
      <c r="AG354" s="35"/>
      <c r="AH354" s="35"/>
      <c r="AI354" s="35"/>
      <c r="AJ354" s="35"/>
      <c r="AK354" s="35"/>
      <c r="AL354" s="35"/>
    </row>
    <row r="355" ht="52.5" customHeight="1">
      <c r="A355" s="89"/>
      <c r="B355" s="19" t="s">
        <v>221</v>
      </c>
      <c r="C355" s="20" t="s">
        <v>1911</v>
      </c>
      <c r="D355" s="47"/>
      <c r="E355" s="56" t="s">
        <v>1912</v>
      </c>
      <c r="F355" s="22" t="s">
        <v>408</v>
      </c>
      <c r="G355" s="57">
        <v>2011.0</v>
      </c>
      <c r="H355" s="56" t="s">
        <v>658</v>
      </c>
      <c r="I355" s="58" t="s">
        <v>1913</v>
      </c>
      <c r="J355" s="22" t="s">
        <v>55</v>
      </c>
      <c r="K355" s="22"/>
      <c r="L355" s="69">
        <v>808.0</v>
      </c>
      <c r="M355" s="36">
        <v>100.0</v>
      </c>
      <c r="N355" s="36" t="s">
        <v>1914</v>
      </c>
      <c r="O355" s="36">
        <v>18.0</v>
      </c>
      <c r="P355" s="36" t="s">
        <v>1915</v>
      </c>
      <c r="Q355" s="36" t="s">
        <v>1916</v>
      </c>
      <c r="R355" s="36">
        <v>180.0</v>
      </c>
      <c r="S355" s="36">
        <v>5.0</v>
      </c>
      <c r="T355" s="63" t="s">
        <v>1917</v>
      </c>
      <c r="U355" s="66" t="str">
        <f>HYPERLINK("https://www.ncbi.nlm.nih.gov/pubmed/21219239","PubMed")</f>
        <v>PubMed</v>
      </c>
      <c r="V355" s="50"/>
      <c r="W355" s="130" t="str">
        <f>HYPERLINK("https://www.ncbi.nlm.nih.gov/pubmed/22107485","Comment")</f>
        <v>Comment</v>
      </c>
      <c r="X355" s="49"/>
      <c r="Y355" s="35"/>
      <c r="Z355" s="35"/>
      <c r="AA355" s="35"/>
      <c r="AB355" s="35"/>
      <c r="AC355" s="35"/>
      <c r="AD355" s="35"/>
      <c r="AE355" s="35"/>
      <c r="AF355" s="35"/>
      <c r="AG355" s="35"/>
      <c r="AH355" s="35"/>
      <c r="AI355" s="35"/>
      <c r="AJ355" s="35"/>
      <c r="AK355" s="35"/>
      <c r="AL355" s="35"/>
    </row>
    <row r="356" ht="52.5" customHeight="1">
      <c r="A356" s="55"/>
      <c r="B356" s="75" t="s">
        <v>221</v>
      </c>
      <c r="C356" s="20" t="s">
        <v>1918</v>
      </c>
      <c r="D356" s="47"/>
      <c r="E356" s="56" t="s">
        <v>1110</v>
      </c>
      <c r="F356" s="22" t="s">
        <v>323</v>
      </c>
      <c r="G356" s="57">
        <v>2024.0</v>
      </c>
      <c r="H356" s="56" t="s">
        <v>91</v>
      </c>
      <c r="I356" s="58" t="s">
        <v>1919</v>
      </c>
      <c r="J356" s="22" t="s">
        <v>55</v>
      </c>
      <c r="K356" s="22"/>
      <c r="L356" s="69"/>
      <c r="M356" s="36"/>
      <c r="N356" s="36"/>
      <c r="O356" s="36"/>
      <c r="P356" s="36"/>
      <c r="Q356" s="36"/>
      <c r="R356" s="36"/>
      <c r="S356" s="36"/>
      <c r="T356" s="63" t="s">
        <v>1920</v>
      </c>
      <c r="U356" s="60" t="s">
        <v>61</v>
      </c>
      <c r="V356" s="50"/>
      <c r="W356" s="34"/>
      <c r="X356" s="49"/>
      <c r="Y356" s="35"/>
      <c r="Z356" s="35"/>
      <c r="AA356" s="35"/>
      <c r="AB356" s="35"/>
      <c r="AC356" s="35"/>
      <c r="AD356" s="35"/>
      <c r="AE356" s="35"/>
      <c r="AF356" s="35"/>
      <c r="AG356" s="35"/>
      <c r="AH356" s="35"/>
      <c r="AI356" s="35"/>
      <c r="AJ356" s="35"/>
      <c r="AK356" s="35"/>
      <c r="AL356" s="35"/>
    </row>
    <row r="357" ht="52.5" customHeight="1">
      <c r="A357" s="55" t="s">
        <v>38</v>
      </c>
      <c r="B357" s="75" t="s">
        <v>221</v>
      </c>
      <c r="C357" s="20" t="s">
        <v>1918</v>
      </c>
      <c r="D357" s="47"/>
      <c r="E357" s="56" t="s">
        <v>1921</v>
      </c>
      <c r="F357" s="22" t="s">
        <v>65</v>
      </c>
      <c r="G357" s="57">
        <v>2023.0</v>
      </c>
      <c r="H357" s="56" t="s">
        <v>77</v>
      </c>
      <c r="I357" s="58" t="s">
        <v>1922</v>
      </c>
      <c r="J357" s="22" t="s">
        <v>55</v>
      </c>
      <c r="K357" s="22" t="s">
        <v>1785</v>
      </c>
      <c r="L357" s="69">
        <v>810.0</v>
      </c>
      <c r="M357" s="36"/>
      <c r="N357" s="36" t="s">
        <v>1923</v>
      </c>
      <c r="O357" s="36"/>
      <c r="P357" s="36" t="s">
        <v>1924</v>
      </c>
      <c r="Q357" s="36" t="s">
        <v>1925</v>
      </c>
      <c r="R357" s="36" t="s">
        <v>1926</v>
      </c>
      <c r="S357" s="36" t="s">
        <v>1927</v>
      </c>
      <c r="T357" s="63" t="s">
        <v>1928</v>
      </c>
      <c r="U357" s="60" t="s">
        <v>61</v>
      </c>
      <c r="V357" s="50"/>
      <c r="W357" s="34"/>
      <c r="X357" s="49"/>
      <c r="Y357" s="35"/>
      <c r="Z357" s="35"/>
      <c r="AA357" s="35"/>
      <c r="AB357" s="35"/>
      <c r="AC357" s="35"/>
      <c r="AD357" s="35"/>
      <c r="AE357" s="35"/>
      <c r="AF357" s="35"/>
      <c r="AG357" s="35"/>
      <c r="AH357" s="35"/>
      <c r="AI357" s="35"/>
      <c r="AJ357" s="35"/>
      <c r="AK357" s="35"/>
      <c r="AL357" s="35"/>
    </row>
    <row r="358" ht="52.5" customHeight="1">
      <c r="A358" s="89"/>
      <c r="B358" s="75" t="s">
        <v>221</v>
      </c>
      <c r="C358" s="20" t="s">
        <v>1918</v>
      </c>
      <c r="D358" s="47"/>
      <c r="E358" s="56" t="s">
        <v>1929</v>
      </c>
      <c r="F358" s="22" t="s">
        <v>1930</v>
      </c>
      <c r="G358" s="57">
        <v>2023.0</v>
      </c>
      <c r="H358" s="56" t="s">
        <v>91</v>
      </c>
      <c r="I358" s="58" t="s">
        <v>1931</v>
      </c>
      <c r="J358" s="22" t="s">
        <v>55</v>
      </c>
      <c r="K358" s="22" t="s">
        <v>1932</v>
      </c>
      <c r="L358" s="69" t="s">
        <v>1933</v>
      </c>
      <c r="M358" s="36"/>
      <c r="N358" s="36"/>
      <c r="O358" s="36"/>
      <c r="P358" s="36"/>
      <c r="Q358" s="36"/>
      <c r="R358" s="36"/>
      <c r="S358" s="36"/>
      <c r="T358" s="63" t="s">
        <v>1934</v>
      </c>
      <c r="U358" s="60" t="s">
        <v>61</v>
      </c>
      <c r="V358" s="50"/>
      <c r="W358" s="34"/>
      <c r="X358" s="49"/>
      <c r="Y358" s="35"/>
      <c r="Z358" s="35"/>
      <c r="AA358" s="35"/>
      <c r="AB358" s="35"/>
      <c r="AC358" s="35"/>
      <c r="AD358" s="35"/>
      <c r="AE358" s="35"/>
      <c r="AF358" s="35"/>
      <c r="AG358" s="35"/>
      <c r="AH358" s="35"/>
      <c r="AI358" s="35"/>
      <c r="AJ358" s="35"/>
      <c r="AK358" s="35"/>
      <c r="AL358" s="35"/>
    </row>
    <row r="359" ht="52.5" customHeight="1">
      <c r="A359" s="89"/>
      <c r="B359" s="75" t="s">
        <v>221</v>
      </c>
      <c r="C359" s="20" t="s">
        <v>1918</v>
      </c>
      <c r="D359" s="47"/>
      <c r="E359" s="56" t="s">
        <v>1935</v>
      </c>
      <c r="F359" s="22" t="s">
        <v>323</v>
      </c>
      <c r="G359" s="57">
        <v>2022.0</v>
      </c>
      <c r="H359" s="56" t="s">
        <v>77</v>
      </c>
      <c r="I359" s="58" t="s">
        <v>1936</v>
      </c>
      <c r="J359" s="22" t="s">
        <v>55</v>
      </c>
      <c r="K359" s="22" t="s">
        <v>1937</v>
      </c>
      <c r="L359" s="69"/>
      <c r="M359" s="36"/>
      <c r="N359" s="36"/>
      <c r="O359" s="36"/>
      <c r="P359" s="36"/>
      <c r="Q359" s="36"/>
      <c r="R359" s="36"/>
      <c r="S359" s="36"/>
      <c r="T359" s="74" t="s">
        <v>1938</v>
      </c>
      <c r="U359" s="64" t="s">
        <v>61</v>
      </c>
      <c r="V359" s="50"/>
      <c r="W359" s="34"/>
      <c r="X359" s="49"/>
      <c r="Y359" s="35"/>
      <c r="Z359" s="35"/>
      <c r="AA359" s="35"/>
      <c r="AB359" s="35"/>
      <c r="AC359" s="35"/>
      <c r="AD359" s="35"/>
      <c r="AE359" s="35"/>
      <c r="AF359" s="35"/>
      <c r="AG359" s="35"/>
      <c r="AH359" s="35"/>
      <c r="AI359" s="35"/>
      <c r="AJ359" s="35"/>
      <c r="AK359" s="35"/>
      <c r="AL359" s="35"/>
    </row>
    <row r="360" ht="52.5" customHeight="1">
      <c r="A360" s="89"/>
      <c r="B360" s="75" t="s">
        <v>221</v>
      </c>
      <c r="C360" s="20" t="s">
        <v>1918</v>
      </c>
      <c r="D360" s="47"/>
      <c r="E360" s="56" t="s">
        <v>1935</v>
      </c>
      <c r="F360" s="22" t="s">
        <v>499</v>
      </c>
      <c r="G360" s="57">
        <v>2020.0</v>
      </c>
      <c r="H360" s="56" t="s">
        <v>1939</v>
      </c>
      <c r="I360" s="58" t="s">
        <v>1940</v>
      </c>
      <c r="J360" s="22" t="s">
        <v>55</v>
      </c>
      <c r="K360" s="22"/>
      <c r="L360" s="69">
        <v>890.0</v>
      </c>
      <c r="M360" s="36"/>
      <c r="N360" s="36"/>
      <c r="O360" s="36"/>
      <c r="P360" s="36"/>
      <c r="Q360" s="36"/>
      <c r="R360" s="36"/>
      <c r="S360" s="36"/>
      <c r="T360" s="63" t="s">
        <v>1941</v>
      </c>
      <c r="U360" s="64" t="s">
        <v>61</v>
      </c>
      <c r="V360" s="50"/>
      <c r="W360" s="34"/>
      <c r="X360" s="49"/>
      <c r="Y360" s="35"/>
      <c r="Z360" s="35"/>
      <c r="AA360" s="35"/>
      <c r="AB360" s="35"/>
      <c r="AC360" s="35"/>
      <c r="AD360" s="35"/>
      <c r="AE360" s="35"/>
      <c r="AF360" s="35"/>
      <c r="AG360" s="35"/>
      <c r="AH360" s="35"/>
      <c r="AI360" s="35"/>
      <c r="AJ360" s="35"/>
      <c r="AK360" s="35"/>
      <c r="AL360" s="35"/>
    </row>
    <row r="361" ht="52.5" customHeight="1">
      <c r="A361" s="89"/>
      <c r="B361" s="75" t="s">
        <v>221</v>
      </c>
      <c r="C361" s="20" t="s">
        <v>1918</v>
      </c>
      <c r="D361" s="47"/>
      <c r="E361" s="56" t="s">
        <v>1942</v>
      </c>
      <c r="F361" s="22" t="s">
        <v>1943</v>
      </c>
      <c r="G361" s="57">
        <v>2020.0</v>
      </c>
      <c r="H361" s="56" t="s">
        <v>1944</v>
      </c>
      <c r="I361" s="58" t="s">
        <v>1945</v>
      </c>
      <c r="J361" s="22" t="s">
        <v>55</v>
      </c>
      <c r="K361" s="22" t="s">
        <v>1946</v>
      </c>
      <c r="L361" s="69">
        <v>807.0</v>
      </c>
      <c r="M361" s="36">
        <v>350.0</v>
      </c>
      <c r="N361" s="36"/>
      <c r="O361" s="36"/>
      <c r="P361" s="36"/>
      <c r="Q361" s="36"/>
      <c r="R361" s="36"/>
      <c r="S361" s="36"/>
      <c r="T361" s="63" t="s">
        <v>1947</v>
      </c>
      <c r="U361" s="64" t="s">
        <v>61</v>
      </c>
      <c r="V361" s="50"/>
      <c r="W361" s="34"/>
      <c r="X361" s="49"/>
      <c r="Y361" s="35"/>
      <c r="Z361" s="35"/>
      <c r="AA361" s="35"/>
      <c r="AB361" s="35"/>
      <c r="AC361" s="35"/>
      <c r="AD361" s="35"/>
      <c r="AE361" s="35"/>
      <c r="AF361" s="35"/>
      <c r="AG361" s="35"/>
      <c r="AH361" s="35"/>
      <c r="AI361" s="35"/>
      <c r="AJ361" s="35"/>
      <c r="AK361" s="35"/>
      <c r="AL361" s="35"/>
    </row>
    <row r="362" ht="46.5" customHeight="1">
      <c r="A362" s="55"/>
      <c r="B362" s="75" t="s">
        <v>221</v>
      </c>
      <c r="C362" s="20" t="s">
        <v>1918</v>
      </c>
      <c r="D362" s="47"/>
      <c r="E362" s="22" t="s">
        <v>1948</v>
      </c>
      <c r="F362" s="22" t="s">
        <v>1949</v>
      </c>
      <c r="G362" s="57">
        <v>2018.0</v>
      </c>
      <c r="H362" s="56" t="s">
        <v>658</v>
      </c>
      <c r="I362" s="58" t="s">
        <v>1950</v>
      </c>
      <c r="J362" s="56" t="s">
        <v>1951</v>
      </c>
      <c r="K362" s="56"/>
      <c r="L362" s="69">
        <v>1064.0</v>
      </c>
      <c r="M362" s="69">
        <v>10500.0</v>
      </c>
      <c r="N362" s="69"/>
      <c r="O362" s="69">
        <v>3000.0</v>
      </c>
      <c r="P362" s="70" t="s">
        <v>1952</v>
      </c>
      <c r="Q362" s="69" t="s">
        <v>1953</v>
      </c>
      <c r="R362" s="69" t="s">
        <v>1954</v>
      </c>
      <c r="S362" s="69" t="s">
        <v>1955</v>
      </c>
      <c r="T362" s="71" t="s">
        <v>1956</v>
      </c>
      <c r="U362" s="66" t="str">
        <f>HYPERLINK("https://www.ncbi.nlm.nih.gov/pubmed/29068756","PubMed")</f>
        <v>PubMed</v>
      </c>
      <c r="V362" s="30" t="s">
        <v>1957</v>
      </c>
      <c r="W362" s="49"/>
      <c r="X362" s="49"/>
      <c r="Y362" s="35"/>
      <c r="Z362" s="35"/>
      <c r="AA362" s="35"/>
      <c r="AB362" s="35"/>
      <c r="AC362" s="35"/>
      <c r="AD362" s="35"/>
      <c r="AE362" s="35"/>
      <c r="AF362" s="35"/>
      <c r="AG362" s="35"/>
      <c r="AH362" s="35"/>
      <c r="AI362" s="35"/>
      <c r="AJ362" s="35"/>
      <c r="AK362" s="35"/>
      <c r="AL362" s="35"/>
    </row>
    <row r="363" ht="46.5" customHeight="1">
      <c r="A363" s="55"/>
      <c r="B363" s="75" t="s">
        <v>221</v>
      </c>
      <c r="C363" s="20" t="s">
        <v>1918</v>
      </c>
      <c r="D363" s="47"/>
      <c r="E363" s="22" t="s">
        <v>1948</v>
      </c>
      <c r="F363" s="22" t="s">
        <v>1949</v>
      </c>
      <c r="G363" s="57">
        <v>2017.0</v>
      </c>
      <c r="H363" s="56" t="s">
        <v>1958</v>
      </c>
      <c r="I363" s="58" t="s">
        <v>1959</v>
      </c>
      <c r="J363" s="56" t="s">
        <v>1960</v>
      </c>
      <c r="K363" s="56"/>
      <c r="L363" s="69">
        <v>1064.0</v>
      </c>
      <c r="M363" s="69">
        <v>10500.0</v>
      </c>
      <c r="N363" s="69"/>
      <c r="O363" s="72"/>
      <c r="P363" s="70"/>
      <c r="Q363" s="69" t="s">
        <v>1953</v>
      </c>
      <c r="R363" s="69"/>
      <c r="S363" s="69" t="s">
        <v>1961</v>
      </c>
      <c r="T363" s="63" t="s">
        <v>1962</v>
      </c>
      <c r="U363" s="66" t="str">
        <f>HYPERLINK("https://www.ncbi.nlm.nih.gov/pubmed/28932011","PubMed")</f>
        <v>PubMed</v>
      </c>
      <c r="V363" s="30" t="s">
        <v>1963</v>
      </c>
      <c r="W363" s="49"/>
      <c r="X363" s="49"/>
      <c r="Y363" s="35"/>
      <c r="Z363" s="35"/>
      <c r="AA363" s="35"/>
      <c r="AB363" s="35"/>
      <c r="AC363" s="35"/>
      <c r="AD363" s="35"/>
      <c r="AE363" s="35"/>
      <c r="AF363" s="35"/>
      <c r="AG363" s="35"/>
      <c r="AH363" s="35"/>
      <c r="AI363" s="35"/>
      <c r="AJ363" s="35"/>
      <c r="AK363" s="35"/>
      <c r="AL363" s="35"/>
    </row>
    <row r="364" ht="46.5" customHeight="1">
      <c r="A364" s="55"/>
      <c r="B364" s="75" t="s">
        <v>221</v>
      </c>
      <c r="C364" s="20" t="s">
        <v>1918</v>
      </c>
      <c r="D364" s="47"/>
      <c r="E364" s="56" t="s">
        <v>673</v>
      </c>
      <c r="F364" s="22" t="s">
        <v>323</v>
      </c>
      <c r="G364" s="57">
        <v>2017.0</v>
      </c>
      <c r="H364" s="22" t="s">
        <v>207</v>
      </c>
      <c r="I364" s="58" t="s">
        <v>1964</v>
      </c>
      <c r="J364" s="56" t="s">
        <v>55</v>
      </c>
      <c r="K364" s="56" t="s">
        <v>984</v>
      </c>
      <c r="L364" s="69">
        <v>890.0</v>
      </c>
      <c r="M364" s="69"/>
      <c r="N364" s="69"/>
      <c r="O364" s="72"/>
      <c r="P364" s="70" t="s">
        <v>1965</v>
      </c>
      <c r="Q364" s="69"/>
      <c r="R364" s="69"/>
      <c r="S364" s="69" t="s">
        <v>1966</v>
      </c>
      <c r="T364" s="63" t="s">
        <v>1967</v>
      </c>
      <c r="U364" s="66" t="str">
        <f>HYPERLINK("https://www.ncbi.nlm.nih.gov/pubmed/28846932","PubMed")</f>
        <v>PubMed</v>
      </c>
      <c r="V364" s="50"/>
      <c r="W364" s="49"/>
      <c r="X364" s="49"/>
      <c r="Y364" s="35"/>
      <c r="Z364" s="35"/>
      <c r="AA364" s="35"/>
      <c r="AB364" s="35"/>
      <c r="AC364" s="35"/>
      <c r="AD364" s="35"/>
      <c r="AE364" s="35"/>
      <c r="AF364" s="35"/>
      <c r="AG364" s="35"/>
      <c r="AH364" s="35"/>
      <c r="AI364" s="35"/>
      <c r="AJ364" s="35"/>
      <c r="AK364" s="35"/>
      <c r="AL364" s="35"/>
    </row>
    <row r="365" ht="52.5" customHeight="1">
      <c r="A365" s="89"/>
      <c r="B365" s="19" t="s">
        <v>221</v>
      </c>
      <c r="C365" s="20" t="s">
        <v>1918</v>
      </c>
      <c r="D365" s="47"/>
      <c r="E365" s="56" t="s">
        <v>1921</v>
      </c>
      <c r="F365" s="22" t="s">
        <v>1968</v>
      </c>
      <c r="G365" s="57">
        <v>2017.0</v>
      </c>
      <c r="H365" s="56" t="s">
        <v>1969</v>
      </c>
      <c r="I365" s="58" t="s">
        <v>1970</v>
      </c>
      <c r="J365" s="22" t="s">
        <v>55</v>
      </c>
      <c r="K365" s="22"/>
      <c r="L365" s="69"/>
      <c r="M365" s="36"/>
      <c r="N365" s="36"/>
      <c r="O365" s="36"/>
      <c r="P365" s="36"/>
      <c r="Q365" s="36"/>
      <c r="R365" s="36"/>
      <c r="S365" s="36"/>
      <c r="T365" s="63" t="s">
        <v>1971</v>
      </c>
      <c r="U365" s="66" t="str">
        <f>HYPERLINK("https://www.ncbi.nlm.nih.gov/pubmed/29228439","PubMed")</f>
        <v>PubMed</v>
      </c>
      <c r="V365" s="50"/>
      <c r="W365" s="34"/>
      <c r="X365" s="49"/>
      <c r="Y365" s="35"/>
      <c r="Z365" s="35"/>
      <c r="AA365" s="35"/>
      <c r="AB365" s="35"/>
      <c r="AC365" s="35"/>
      <c r="AD365" s="35"/>
      <c r="AE365" s="35"/>
      <c r="AF365" s="35"/>
      <c r="AG365" s="35"/>
      <c r="AH365" s="35"/>
      <c r="AI365" s="35"/>
      <c r="AJ365" s="35"/>
      <c r="AK365" s="35"/>
      <c r="AL365" s="35"/>
    </row>
    <row r="366" ht="27.0" customHeight="1">
      <c r="A366" s="51" t="s">
        <v>181</v>
      </c>
      <c r="B366" s="75" t="s">
        <v>221</v>
      </c>
      <c r="C366" s="20" t="s">
        <v>1918</v>
      </c>
      <c r="D366" s="47"/>
      <c r="E366" s="56" t="s">
        <v>1972</v>
      </c>
      <c r="F366" s="22" t="s">
        <v>1973</v>
      </c>
      <c r="G366" s="57">
        <v>2017.0</v>
      </c>
      <c r="H366" s="22" t="s">
        <v>91</v>
      </c>
      <c r="I366" s="58" t="s">
        <v>1974</v>
      </c>
      <c r="J366" s="56" t="s">
        <v>55</v>
      </c>
      <c r="K366" s="56" t="s">
        <v>984</v>
      </c>
      <c r="L366" s="69">
        <v>890.0</v>
      </c>
      <c r="M366" s="69" t="s">
        <v>1975</v>
      </c>
      <c r="N366" s="70" t="s">
        <v>1975</v>
      </c>
      <c r="O366" s="69"/>
      <c r="P366" s="70" t="s">
        <v>1976</v>
      </c>
      <c r="Q366" s="69"/>
      <c r="R366" s="69">
        <v>900.0</v>
      </c>
      <c r="S366" s="69"/>
      <c r="T366" s="131" t="s">
        <v>1977</v>
      </c>
      <c r="U366" s="66" t="str">
        <f>HYPERLINK("https://www.ncbi.nlm.nih.gov/pubmed/28725994","PubMed")</f>
        <v>PubMed</v>
      </c>
      <c r="V366" s="50"/>
      <c r="W366" s="49"/>
      <c r="X366" s="49"/>
      <c r="Y366" s="35"/>
      <c r="Z366" s="35"/>
      <c r="AA366" s="35"/>
      <c r="AB366" s="35"/>
      <c r="AC366" s="35"/>
      <c r="AD366" s="35"/>
      <c r="AE366" s="35"/>
      <c r="AF366" s="35"/>
      <c r="AG366" s="35"/>
      <c r="AH366" s="35"/>
      <c r="AI366" s="35"/>
      <c r="AJ366" s="35"/>
      <c r="AK366" s="35"/>
      <c r="AL366" s="35"/>
    </row>
    <row r="367" ht="27.0" customHeight="1">
      <c r="A367" s="55"/>
      <c r="B367" s="75" t="s">
        <v>221</v>
      </c>
      <c r="C367" s="20" t="s">
        <v>1918</v>
      </c>
      <c r="D367" s="47"/>
      <c r="E367" s="56" t="s">
        <v>673</v>
      </c>
      <c r="F367" s="22" t="s">
        <v>323</v>
      </c>
      <c r="G367" s="57" t="s">
        <v>90</v>
      </c>
      <c r="H367" s="22" t="s">
        <v>658</v>
      </c>
      <c r="I367" s="58" t="s">
        <v>1978</v>
      </c>
      <c r="J367" s="56" t="s">
        <v>55</v>
      </c>
      <c r="K367" s="56" t="s">
        <v>1979</v>
      </c>
      <c r="L367" s="69">
        <v>890.0</v>
      </c>
      <c r="M367" s="69"/>
      <c r="N367" s="69"/>
      <c r="O367" s="72"/>
      <c r="P367" s="70" t="s">
        <v>671</v>
      </c>
      <c r="Q367" s="69"/>
      <c r="R367" s="69"/>
      <c r="S367" s="69"/>
      <c r="T367" s="63" t="s">
        <v>1980</v>
      </c>
      <c r="U367" s="66" t="str">
        <f>HYPERLINK("https://www.ncbi.nlm.nih.gov/pubmed/28437193","PubMed")</f>
        <v>PubMed</v>
      </c>
      <c r="V367" s="50"/>
      <c r="W367" s="49"/>
      <c r="X367" s="49"/>
      <c r="Y367" s="35"/>
      <c r="Z367" s="35"/>
      <c r="AA367" s="35"/>
      <c r="AB367" s="35"/>
      <c r="AC367" s="35"/>
      <c r="AD367" s="35"/>
      <c r="AE367" s="35"/>
      <c r="AF367" s="35"/>
      <c r="AG367" s="35"/>
      <c r="AH367" s="35"/>
      <c r="AI367" s="35"/>
      <c r="AJ367" s="35"/>
      <c r="AK367" s="35"/>
      <c r="AL367" s="35"/>
    </row>
    <row r="368" ht="52.5" customHeight="1">
      <c r="A368" s="89"/>
      <c r="B368" s="75" t="s">
        <v>221</v>
      </c>
      <c r="C368" s="20" t="s">
        <v>1918</v>
      </c>
      <c r="D368" s="47"/>
      <c r="E368" s="56" t="s">
        <v>1981</v>
      </c>
      <c r="F368" s="22" t="s">
        <v>323</v>
      </c>
      <c r="G368" s="57">
        <v>2016.0</v>
      </c>
      <c r="H368" s="22" t="s">
        <v>91</v>
      </c>
      <c r="I368" s="58" t="s">
        <v>1982</v>
      </c>
      <c r="J368" s="56" t="s">
        <v>55</v>
      </c>
      <c r="K368" s="56" t="s">
        <v>1983</v>
      </c>
      <c r="L368" s="69">
        <v>890.0</v>
      </c>
      <c r="M368" s="70" t="s">
        <v>1984</v>
      </c>
      <c r="N368" s="69"/>
      <c r="O368" s="106"/>
      <c r="P368" s="70" t="s">
        <v>424</v>
      </c>
      <c r="Q368" s="69" t="s">
        <v>675</v>
      </c>
      <c r="R368" s="69" t="s">
        <v>1985</v>
      </c>
      <c r="S368" s="69">
        <v>24.0</v>
      </c>
      <c r="T368" s="63" t="s">
        <v>1986</v>
      </c>
      <c r="U368" s="66" t="str">
        <f>HYPERLINK("https://www.ncbi.nlm.nih.gov/pubmed/26964799","PubMed")</f>
        <v>PubMed</v>
      </c>
      <c r="V368" s="50"/>
      <c r="W368" s="49"/>
      <c r="X368" s="49"/>
      <c r="Y368" s="35"/>
      <c r="Z368" s="35"/>
      <c r="AA368" s="35"/>
      <c r="AB368" s="35"/>
      <c r="AC368" s="35"/>
      <c r="AD368" s="35"/>
      <c r="AE368" s="35"/>
      <c r="AF368" s="35"/>
      <c r="AG368" s="35"/>
      <c r="AH368" s="35"/>
      <c r="AI368" s="35"/>
      <c r="AJ368" s="35"/>
      <c r="AK368" s="35"/>
      <c r="AL368" s="35"/>
    </row>
    <row r="369" ht="52.5" customHeight="1">
      <c r="A369" s="89"/>
      <c r="B369" s="19" t="s">
        <v>221</v>
      </c>
      <c r="C369" s="20" t="s">
        <v>1918</v>
      </c>
      <c r="D369" s="47"/>
      <c r="E369" s="56" t="s">
        <v>1987</v>
      </c>
      <c r="F369" s="22" t="s">
        <v>510</v>
      </c>
      <c r="G369" s="57">
        <v>2016.0</v>
      </c>
      <c r="H369" s="22" t="s">
        <v>91</v>
      </c>
      <c r="I369" s="58" t="s">
        <v>1988</v>
      </c>
      <c r="J369" s="22" t="s">
        <v>55</v>
      </c>
      <c r="K369" s="22" t="s">
        <v>1989</v>
      </c>
      <c r="L369" s="94">
        <v>780.0</v>
      </c>
      <c r="M369" s="94">
        <v>40.0</v>
      </c>
      <c r="N369" s="93"/>
      <c r="O369" s="93"/>
      <c r="P369" s="95" t="s">
        <v>1990</v>
      </c>
      <c r="Q369" s="94" t="s">
        <v>1991</v>
      </c>
      <c r="R369" s="94">
        <v>100.0</v>
      </c>
      <c r="S369" s="94"/>
      <c r="T369" s="63" t="s">
        <v>1992</v>
      </c>
      <c r="U369" s="66" t="str">
        <f>HYPERLINK("https://www.ncbi.nlm.nih.gov/pubmed/27056701","PubMed")</f>
        <v>PubMed</v>
      </c>
      <c r="V369" s="50"/>
      <c r="W369" s="49"/>
      <c r="X369" s="49"/>
      <c r="Y369" s="35"/>
      <c r="Z369" s="35"/>
      <c r="AA369" s="35"/>
      <c r="AB369" s="35"/>
      <c r="AC369" s="35"/>
      <c r="AD369" s="35"/>
      <c r="AE369" s="35"/>
      <c r="AF369" s="35"/>
      <c r="AG369" s="35"/>
      <c r="AH369" s="35"/>
      <c r="AI369" s="35"/>
      <c r="AJ369" s="35"/>
      <c r="AK369" s="35"/>
      <c r="AL369" s="35"/>
    </row>
    <row r="370" ht="52.5" customHeight="1">
      <c r="A370" s="89"/>
      <c r="B370" s="75" t="s">
        <v>221</v>
      </c>
      <c r="C370" s="20" t="s">
        <v>1918</v>
      </c>
      <c r="D370" s="47"/>
      <c r="E370" s="56" t="s">
        <v>1110</v>
      </c>
      <c r="F370" s="22" t="s">
        <v>323</v>
      </c>
      <c r="G370" s="57">
        <v>2016.0</v>
      </c>
      <c r="H370" s="56" t="s">
        <v>91</v>
      </c>
      <c r="I370" s="58" t="s">
        <v>1993</v>
      </c>
      <c r="J370" s="22" t="s">
        <v>55</v>
      </c>
      <c r="K370" s="56" t="s">
        <v>1994</v>
      </c>
      <c r="L370" s="94">
        <v>890.0</v>
      </c>
      <c r="M370" s="95" t="s">
        <v>1984</v>
      </c>
      <c r="N370" s="94" t="s">
        <v>1995</v>
      </c>
      <c r="O370" s="94"/>
      <c r="P370" s="95" t="s">
        <v>424</v>
      </c>
      <c r="Q370" s="94" t="s">
        <v>675</v>
      </c>
      <c r="R370" s="94" t="s">
        <v>1985</v>
      </c>
      <c r="S370" s="94">
        <v>24.0</v>
      </c>
      <c r="T370" s="63" t="s">
        <v>1996</v>
      </c>
      <c r="U370" s="66" t="str">
        <f>HYPERLINK("https://www.ncbi.nlm.nih.gov/pubmed/26719056","PubMed")</f>
        <v>PubMed</v>
      </c>
      <c r="V370" s="50"/>
      <c r="W370" s="49"/>
      <c r="X370" s="49"/>
      <c r="Y370" s="35"/>
      <c r="Z370" s="35"/>
      <c r="AA370" s="35"/>
      <c r="AB370" s="35"/>
      <c r="AC370" s="35"/>
      <c r="AD370" s="35"/>
      <c r="AE370" s="35"/>
      <c r="AF370" s="35"/>
      <c r="AG370" s="35"/>
      <c r="AH370" s="35"/>
      <c r="AI370" s="35"/>
      <c r="AJ370" s="35"/>
      <c r="AK370" s="35"/>
      <c r="AL370" s="35"/>
    </row>
    <row r="371" ht="52.5" customHeight="1">
      <c r="A371" s="1"/>
      <c r="B371" s="19" t="s">
        <v>221</v>
      </c>
      <c r="C371" s="20" t="s">
        <v>1918</v>
      </c>
      <c r="D371" s="47"/>
      <c r="E371" s="22" t="s">
        <v>620</v>
      </c>
      <c r="F371" s="22" t="s">
        <v>358</v>
      </c>
      <c r="G371" s="23">
        <v>2015.0</v>
      </c>
      <c r="H371" s="22" t="s">
        <v>91</v>
      </c>
      <c r="I371" s="24" t="s">
        <v>1997</v>
      </c>
      <c r="J371" s="22" t="s">
        <v>55</v>
      </c>
      <c r="K371" s="22" t="s">
        <v>1998</v>
      </c>
      <c r="L371" s="36">
        <v>780.0</v>
      </c>
      <c r="M371" s="36"/>
      <c r="N371" s="36"/>
      <c r="O371" s="36"/>
      <c r="P371" s="37" t="s">
        <v>1999</v>
      </c>
      <c r="Q371" s="36"/>
      <c r="R371" s="36"/>
      <c r="S371" s="36">
        <v>12.0</v>
      </c>
      <c r="T371" s="98" t="s">
        <v>2000</v>
      </c>
      <c r="U371" s="38" t="str">
        <f>HYPERLINK("https://www.ncbi.nlm.nih.gov/pubmed/26037661","PubMed")</f>
        <v>PubMed</v>
      </c>
      <c r="V371" s="30"/>
      <c r="W371" s="49"/>
      <c r="X371" s="49"/>
      <c r="Y371" s="35"/>
      <c r="Z371" s="35"/>
      <c r="AA371" s="35"/>
      <c r="AB371" s="35"/>
      <c r="AC371" s="35"/>
      <c r="AD371" s="35"/>
      <c r="AE371" s="35"/>
      <c r="AF371" s="35"/>
      <c r="AG371" s="35"/>
      <c r="AH371" s="35"/>
      <c r="AI371" s="35"/>
      <c r="AJ371" s="35"/>
      <c r="AK371" s="35"/>
      <c r="AL371" s="35"/>
    </row>
    <row r="372" ht="52.5" customHeight="1">
      <c r="A372" s="1"/>
      <c r="B372" s="19" t="s">
        <v>221</v>
      </c>
      <c r="C372" s="20" t="s">
        <v>1918</v>
      </c>
      <c r="D372" s="47"/>
      <c r="E372" s="22" t="s">
        <v>2001</v>
      </c>
      <c r="F372" s="22" t="s">
        <v>323</v>
      </c>
      <c r="G372" s="23">
        <v>2015.0</v>
      </c>
      <c r="H372" s="22" t="s">
        <v>91</v>
      </c>
      <c r="I372" s="24" t="s">
        <v>2002</v>
      </c>
      <c r="J372" s="22" t="s">
        <v>55</v>
      </c>
      <c r="K372" s="22" t="s">
        <v>2003</v>
      </c>
      <c r="L372" s="36">
        <v>890.0</v>
      </c>
      <c r="M372" s="36"/>
      <c r="N372" s="36"/>
      <c r="O372" s="36"/>
      <c r="P372" s="37" t="s">
        <v>424</v>
      </c>
      <c r="Q372" s="36"/>
      <c r="R372" s="36"/>
      <c r="S372" s="36"/>
      <c r="T372" s="42" t="s">
        <v>2004</v>
      </c>
      <c r="U372" s="38" t="str">
        <f>HYPERLINK("https://www.ncbi.nlm.nih.gov/pubmed/25616711","PubMed")</f>
        <v>PubMed</v>
      </c>
      <c r="V372" s="30"/>
      <c r="W372" s="49"/>
      <c r="X372" s="49"/>
      <c r="Y372" s="35"/>
      <c r="Z372" s="35"/>
      <c r="AA372" s="35"/>
      <c r="AB372" s="35"/>
      <c r="AC372" s="35"/>
      <c r="AD372" s="35"/>
      <c r="AE372" s="35"/>
      <c r="AF372" s="35"/>
      <c r="AG372" s="35"/>
      <c r="AH372" s="35"/>
      <c r="AI372" s="35"/>
      <c r="AJ372" s="35"/>
      <c r="AK372" s="35"/>
      <c r="AL372" s="35"/>
    </row>
    <row r="373" ht="52.5" customHeight="1">
      <c r="A373" s="89"/>
      <c r="B373" s="19" t="s">
        <v>221</v>
      </c>
      <c r="C373" s="20" t="s">
        <v>1918</v>
      </c>
      <c r="D373" s="47"/>
      <c r="E373" s="56" t="s">
        <v>273</v>
      </c>
      <c r="F373" s="22" t="s">
        <v>274</v>
      </c>
      <c r="G373" s="57">
        <v>2014.0</v>
      </c>
      <c r="H373" s="22" t="s">
        <v>91</v>
      </c>
      <c r="I373" s="58" t="s">
        <v>2005</v>
      </c>
      <c r="J373" s="56" t="s">
        <v>55</v>
      </c>
      <c r="K373" s="56" t="s">
        <v>607</v>
      </c>
      <c r="L373" s="69" t="s">
        <v>2006</v>
      </c>
      <c r="M373" s="69">
        <v>100.0</v>
      </c>
      <c r="N373" s="69" t="s">
        <v>278</v>
      </c>
      <c r="O373" s="69" t="s">
        <v>2007</v>
      </c>
      <c r="P373" s="70" t="s">
        <v>279</v>
      </c>
      <c r="Q373" s="69" t="s">
        <v>280</v>
      </c>
      <c r="R373" s="69" t="s">
        <v>2008</v>
      </c>
      <c r="S373" s="69" t="s">
        <v>2009</v>
      </c>
      <c r="T373" s="63" t="s">
        <v>2010</v>
      </c>
      <c r="U373" s="60" t="str">
        <f>HYPERLINK("https://www.ncbi.nlm.nih.gov/pubmed/23990218","PubMed")</f>
        <v>PubMed</v>
      </c>
      <c r="V373" s="30"/>
      <c r="W373" s="49"/>
      <c r="X373" s="49"/>
      <c r="Y373" s="35"/>
      <c r="Z373" s="35"/>
      <c r="AA373" s="35"/>
      <c r="AB373" s="35"/>
      <c r="AC373" s="35"/>
      <c r="AD373" s="35"/>
      <c r="AE373" s="35"/>
      <c r="AF373" s="35"/>
      <c r="AG373" s="35"/>
      <c r="AH373" s="35"/>
      <c r="AI373" s="35"/>
      <c r="AJ373" s="35"/>
      <c r="AK373" s="35"/>
      <c r="AL373" s="35"/>
    </row>
    <row r="374" ht="52.5" customHeight="1">
      <c r="A374" s="89"/>
      <c r="B374" s="19" t="s">
        <v>221</v>
      </c>
      <c r="C374" s="20" t="s">
        <v>1918</v>
      </c>
      <c r="D374" s="47"/>
      <c r="E374" s="56" t="s">
        <v>2011</v>
      </c>
      <c r="F374" s="22" t="s">
        <v>400</v>
      </c>
      <c r="G374" s="57">
        <v>2012.0</v>
      </c>
      <c r="H374" s="56" t="s">
        <v>2012</v>
      </c>
      <c r="I374" s="58" t="s">
        <v>2013</v>
      </c>
      <c r="J374" s="56" t="s">
        <v>55</v>
      </c>
      <c r="K374" s="56"/>
      <c r="L374" s="69">
        <v>830.0</v>
      </c>
      <c r="M374" s="69">
        <v>100.0</v>
      </c>
      <c r="N374" s="69"/>
      <c r="O374" s="69"/>
      <c r="P374" s="70" t="s">
        <v>1064</v>
      </c>
      <c r="Q374" s="69" t="s">
        <v>280</v>
      </c>
      <c r="R374" s="69"/>
      <c r="S374" s="69">
        <v>7.0</v>
      </c>
      <c r="T374" s="63" t="s">
        <v>2014</v>
      </c>
      <c r="U374" s="97" t="s">
        <v>61</v>
      </c>
      <c r="V374" s="30"/>
      <c r="W374" s="49"/>
      <c r="X374" s="49"/>
      <c r="Y374" s="35"/>
      <c r="Z374" s="35"/>
      <c r="AA374" s="35"/>
      <c r="AB374" s="35"/>
      <c r="AC374" s="35"/>
      <c r="AD374" s="35"/>
      <c r="AE374" s="35"/>
      <c r="AF374" s="35"/>
      <c r="AG374" s="35"/>
      <c r="AH374" s="35"/>
      <c r="AI374" s="35"/>
      <c r="AJ374" s="35"/>
      <c r="AK374" s="35"/>
      <c r="AL374" s="35"/>
    </row>
    <row r="375" ht="52.5" customHeight="1">
      <c r="A375" s="89"/>
      <c r="B375" s="19" t="s">
        <v>221</v>
      </c>
      <c r="C375" s="20" t="s">
        <v>1918</v>
      </c>
      <c r="D375" s="47"/>
      <c r="E375" s="56" t="s">
        <v>2011</v>
      </c>
      <c r="F375" s="22" t="s">
        <v>274</v>
      </c>
      <c r="G375" s="57">
        <v>2011.0</v>
      </c>
      <c r="H375" s="56" t="s">
        <v>2015</v>
      </c>
      <c r="I375" s="58" t="s">
        <v>2016</v>
      </c>
      <c r="J375" s="56" t="s">
        <v>55</v>
      </c>
      <c r="K375" s="56"/>
      <c r="L375" s="69">
        <v>830.0</v>
      </c>
      <c r="M375" s="69"/>
      <c r="N375" s="69">
        <v>100.0</v>
      </c>
      <c r="O375" s="69"/>
      <c r="P375" s="70" t="s">
        <v>1064</v>
      </c>
      <c r="Q375" s="69" t="s">
        <v>2017</v>
      </c>
      <c r="R375" s="69" t="s">
        <v>1066</v>
      </c>
      <c r="S375" s="69"/>
      <c r="T375" s="28" t="s">
        <v>2018</v>
      </c>
      <c r="U375" s="38" t="str">
        <f>HYPERLINK("https://www.ncbi.nlm.nih.gov/pubmed/20925130","PubMed")</f>
        <v>PubMed</v>
      </c>
      <c r="V375" s="30"/>
      <c r="W375" s="49"/>
      <c r="X375" s="49"/>
      <c r="Y375" s="35"/>
      <c r="Z375" s="35"/>
      <c r="AA375" s="35"/>
      <c r="AB375" s="35"/>
      <c r="AC375" s="35"/>
      <c r="AD375" s="35"/>
      <c r="AE375" s="35"/>
      <c r="AF375" s="35"/>
      <c r="AG375" s="35"/>
      <c r="AH375" s="35"/>
      <c r="AI375" s="35"/>
      <c r="AJ375" s="35"/>
      <c r="AK375" s="35"/>
      <c r="AL375" s="35"/>
    </row>
    <row r="376" ht="52.5" customHeight="1">
      <c r="A376" s="89"/>
      <c r="B376" s="19" t="s">
        <v>221</v>
      </c>
      <c r="C376" s="20" t="s">
        <v>1918</v>
      </c>
      <c r="D376" s="47"/>
      <c r="E376" s="56" t="s">
        <v>2019</v>
      </c>
      <c r="F376" s="22" t="s">
        <v>1943</v>
      </c>
      <c r="G376" s="57">
        <v>2011.0</v>
      </c>
      <c r="H376" s="56" t="s">
        <v>2020</v>
      </c>
      <c r="I376" s="58" t="s">
        <v>2021</v>
      </c>
      <c r="J376" s="56" t="s">
        <v>2022</v>
      </c>
      <c r="K376" s="56" t="s">
        <v>2023</v>
      </c>
      <c r="L376" s="69" t="s">
        <v>2024</v>
      </c>
      <c r="M376" s="69"/>
      <c r="N376" s="69"/>
      <c r="O376" s="69">
        <v>2000.0</v>
      </c>
      <c r="P376" s="70" t="s">
        <v>2025</v>
      </c>
      <c r="Q376" s="69"/>
      <c r="R376" s="69"/>
      <c r="S376" s="69"/>
      <c r="T376" s="28" t="s">
        <v>2026</v>
      </c>
      <c r="U376" s="38" t="str">
        <f>HYPERLINK("http://erepository.cu.edu.eg/index.php/BFPTH/article/view/455","Cairo University")</f>
        <v>Cairo University</v>
      </c>
      <c r="V376" s="30"/>
      <c r="W376" s="49"/>
      <c r="X376" s="49"/>
      <c r="Y376" s="35"/>
      <c r="Z376" s="35"/>
      <c r="AA376" s="35"/>
      <c r="AB376" s="35"/>
      <c r="AC376" s="35"/>
      <c r="AD376" s="35"/>
      <c r="AE376" s="35"/>
      <c r="AF376" s="35"/>
      <c r="AG376" s="35"/>
      <c r="AH376" s="35"/>
      <c r="AI376" s="35"/>
      <c r="AJ376" s="35"/>
      <c r="AK376" s="35"/>
      <c r="AL376" s="35"/>
    </row>
    <row r="377" ht="52.5" customHeight="1">
      <c r="A377" s="89"/>
      <c r="B377" s="19" t="s">
        <v>221</v>
      </c>
      <c r="C377" s="20" t="s">
        <v>1918</v>
      </c>
      <c r="D377" s="47"/>
      <c r="E377" s="56" t="s">
        <v>2027</v>
      </c>
      <c r="F377" s="22" t="s">
        <v>2028</v>
      </c>
      <c r="G377" s="57">
        <v>2010.0</v>
      </c>
      <c r="H377" s="56" t="s">
        <v>2029</v>
      </c>
      <c r="I377" s="58" t="s">
        <v>2030</v>
      </c>
      <c r="J377" s="56" t="s">
        <v>55</v>
      </c>
      <c r="K377" s="56"/>
      <c r="L377" s="69"/>
      <c r="M377" s="69"/>
      <c r="N377" s="69"/>
      <c r="O377" s="69"/>
      <c r="P377" s="70"/>
      <c r="Q377" s="69"/>
      <c r="R377" s="69">
        <v>30.0</v>
      </c>
      <c r="S377" s="69"/>
      <c r="T377" s="98" t="s">
        <v>2031</v>
      </c>
      <c r="U377" s="38" t="str">
        <f>HYPERLINK("https://www.ncbi.nlm.nih.gov/pubmed/21077725","PubMed")</f>
        <v>PubMed</v>
      </c>
      <c r="V377" s="30"/>
      <c r="W377" s="49"/>
      <c r="X377" s="49"/>
      <c r="Y377" s="35"/>
      <c r="Z377" s="35"/>
      <c r="AA377" s="35"/>
      <c r="AB377" s="35"/>
      <c r="AC377" s="35"/>
      <c r="AD377" s="35"/>
      <c r="AE377" s="35"/>
      <c r="AF377" s="35"/>
      <c r="AG377" s="35"/>
      <c r="AH377" s="35"/>
      <c r="AI377" s="35"/>
      <c r="AJ377" s="35"/>
      <c r="AK377" s="35"/>
      <c r="AL377" s="35"/>
    </row>
    <row r="378" ht="52.5" customHeight="1">
      <c r="A378" s="89"/>
      <c r="B378" s="19" t="s">
        <v>221</v>
      </c>
      <c r="C378" s="20" t="s">
        <v>1918</v>
      </c>
      <c r="D378" s="47"/>
      <c r="E378" s="56" t="s">
        <v>2032</v>
      </c>
      <c r="F378" s="22" t="s">
        <v>41</v>
      </c>
      <c r="G378" s="57">
        <v>2010.0</v>
      </c>
      <c r="H378" s="56" t="s">
        <v>2033</v>
      </c>
      <c r="I378" s="58" t="s">
        <v>2034</v>
      </c>
      <c r="J378" s="56" t="s">
        <v>55</v>
      </c>
      <c r="K378" s="56"/>
      <c r="L378" s="69">
        <v>904.0</v>
      </c>
      <c r="M378" s="69"/>
      <c r="N378" s="69"/>
      <c r="O378" s="69"/>
      <c r="P378" s="70" t="s">
        <v>1729</v>
      </c>
      <c r="Q378" s="69"/>
      <c r="R378" s="69">
        <v>2.0</v>
      </c>
      <c r="S378" s="69"/>
      <c r="T378" s="28" t="s">
        <v>2035</v>
      </c>
      <c r="U378" s="38" t="str">
        <f>HYPERLINK("https://www.ncbi.nlm.nih.gov/pubmed/20204601","PubMed")</f>
        <v>PubMed</v>
      </c>
      <c r="V378" s="30"/>
      <c r="W378" s="49"/>
      <c r="X378" s="49"/>
      <c r="Y378" s="35"/>
      <c r="Z378" s="35"/>
      <c r="AA378" s="35"/>
      <c r="AB378" s="35"/>
      <c r="AC378" s="35"/>
      <c r="AD378" s="35"/>
      <c r="AE378" s="35"/>
      <c r="AF378" s="35"/>
      <c r="AG378" s="35"/>
      <c r="AH378" s="35"/>
      <c r="AI378" s="35"/>
      <c r="AJ378" s="35"/>
      <c r="AK378" s="35"/>
      <c r="AL378" s="35"/>
    </row>
    <row r="379" ht="52.5" customHeight="1">
      <c r="A379" s="89"/>
      <c r="B379" s="19" t="s">
        <v>221</v>
      </c>
      <c r="C379" s="20" t="s">
        <v>2036</v>
      </c>
      <c r="D379" s="47"/>
      <c r="E379" s="56" t="s">
        <v>2037</v>
      </c>
      <c r="F379" s="22" t="s">
        <v>224</v>
      </c>
      <c r="G379" s="57">
        <v>2020.0</v>
      </c>
      <c r="H379" s="56" t="s">
        <v>2038</v>
      </c>
      <c r="I379" s="58" t="s">
        <v>2039</v>
      </c>
      <c r="J379" s="56" t="s">
        <v>649</v>
      </c>
      <c r="K379" s="56"/>
      <c r="L379" s="132" t="s">
        <v>2040</v>
      </c>
      <c r="U379" s="29" t="s">
        <v>61</v>
      </c>
      <c r="V379" s="30"/>
      <c r="W379" s="49"/>
      <c r="X379" s="49"/>
      <c r="Y379" s="35"/>
      <c r="Z379" s="35"/>
      <c r="AA379" s="35"/>
      <c r="AB379" s="35"/>
      <c r="AC379" s="35"/>
      <c r="AD379" s="35"/>
      <c r="AE379" s="35"/>
      <c r="AF379" s="35"/>
      <c r="AG379" s="35"/>
      <c r="AH379" s="35"/>
      <c r="AI379" s="35"/>
      <c r="AJ379" s="35"/>
      <c r="AK379" s="35"/>
      <c r="AL379" s="35"/>
    </row>
    <row r="380" ht="52.5" customHeight="1">
      <c r="A380" s="55"/>
      <c r="B380" s="19" t="s">
        <v>221</v>
      </c>
      <c r="C380" s="20" t="s">
        <v>2036</v>
      </c>
      <c r="D380" s="47"/>
      <c r="E380" s="56" t="s">
        <v>651</v>
      </c>
      <c r="F380" s="22" t="s">
        <v>183</v>
      </c>
      <c r="G380" s="57">
        <v>2015.0</v>
      </c>
      <c r="H380" s="22" t="s">
        <v>2041</v>
      </c>
      <c r="I380" s="58" t="s">
        <v>2042</v>
      </c>
      <c r="J380" s="22" t="s">
        <v>125</v>
      </c>
      <c r="K380" s="56"/>
      <c r="L380" s="101" t="s">
        <v>2043</v>
      </c>
      <c r="M380" s="44"/>
      <c r="N380" s="44"/>
      <c r="O380" s="44"/>
      <c r="P380" s="44"/>
      <c r="Q380" s="44"/>
      <c r="R380" s="44"/>
      <c r="S380" s="44"/>
      <c r="T380" s="45"/>
      <c r="U380" s="66" t="str">
        <f>HYPERLINK("http://onlinelibrary.wiley.com/doi/10.1002/9781118987742.ch25/summary","Wiley")</f>
        <v>Wiley</v>
      </c>
      <c r="V380" s="50"/>
      <c r="W380" s="49"/>
      <c r="X380" s="49"/>
      <c r="Y380" s="35"/>
      <c r="Z380" s="35"/>
      <c r="AA380" s="35"/>
      <c r="AB380" s="35"/>
      <c r="AC380" s="35"/>
      <c r="AD380" s="35"/>
      <c r="AE380" s="35"/>
      <c r="AF380" s="35"/>
      <c r="AG380" s="35"/>
      <c r="AH380" s="35"/>
      <c r="AI380" s="35"/>
      <c r="AJ380" s="35"/>
      <c r="AK380" s="35"/>
      <c r="AL380" s="35"/>
    </row>
    <row r="381" ht="52.5" customHeight="1">
      <c r="A381" s="55"/>
      <c r="B381" s="19" t="s">
        <v>221</v>
      </c>
      <c r="C381" s="20" t="s">
        <v>2044</v>
      </c>
      <c r="D381" s="47"/>
      <c r="E381" s="56" t="s">
        <v>2045</v>
      </c>
      <c r="F381" s="22" t="s">
        <v>2046</v>
      </c>
      <c r="G381" s="57">
        <v>2023.0</v>
      </c>
      <c r="H381" s="22" t="s">
        <v>2047</v>
      </c>
      <c r="I381" s="58" t="s">
        <v>2048</v>
      </c>
      <c r="J381" s="56" t="s">
        <v>2049</v>
      </c>
      <c r="K381" s="56"/>
      <c r="L381" s="87"/>
      <c r="M381" s="87"/>
      <c r="N381" s="126"/>
      <c r="O381" s="126"/>
      <c r="P381" s="87"/>
      <c r="Q381" s="126"/>
      <c r="R381" s="126"/>
      <c r="S381" s="126"/>
      <c r="T381" s="84" t="s">
        <v>2050</v>
      </c>
      <c r="U381" s="60" t="s">
        <v>61</v>
      </c>
      <c r="V381" s="50"/>
      <c r="W381" s="49"/>
      <c r="X381" s="49"/>
      <c r="Y381" s="35"/>
      <c r="Z381" s="35"/>
      <c r="AA381" s="35"/>
      <c r="AB381" s="35"/>
      <c r="AC381" s="35"/>
      <c r="AD381" s="35"/>
      <c r="AE381" s="35"/>
      <c r="AF381" s="35"/>
      <c r="AG381" s="35"/>
      <c r="AH381" s="35"/>
      <c r="AI381" s="35"/>
      <c r="AJ381" s="35"/>
      <c r="AK381" s="35"/>
      <c r="AL381" s="35"/>
    </row>
    <row r="382" ht="52.5" customHeight="1">
      <c r="A382" s="55"/>
      <c r="B382" s="19" t="s">
        <v>221</v>
      </c>
      <c r="C382" s="20" t="s">
        <v>2044</v>
      </c>
      <c r="D382" s="47"/>
      <c r="E382" s="56" t="s">
        <v>2051</v>
      </c>
      <c r="F382" s="22" t="s">
        <v>2052</v>
      </c>
      <c r="G382" s="57">
        <v>2018.0</v>
      </c>
      <c r="H382" s="22" t="s">
        <v>2047</v>
      </c>
      <c r="I382" s="58" t="s">
        <v>2053</v>
      </c>
      <c r="J382" s="56" t="s">
        <v>2049</v>
      </c>
      <c r="K382" s="56" t="s">
        <v>2054</v>
      </c>
      <c r="L382" s="87">
        <v>635.0</v>
      </c>
      <c r="M382" s="87" t="s">
        <v>2055</v>
      </c>
      <c r="N382" s="126"/>
      <c r="O382" s="126"/>
      <c r="P382" s="87" t="s">
        <v>2056</v>
      </c>
      <c r="Q382" s="126"/>
      <c r="R382" s="126"/>
      <c r="S382" s="126"/>
      <c r="T382" s="82" t="s">
        <v>2057</v>
      </c>
      <c r="U382" s="66" t="str">
        <f>HYPERLINK("https://www.ncbi.nlm.nih.gov/pubmed/30058855","PubMed")</f>
        <v>PubMed</v>
      </c>
      <c r="V382" s="50"/>
      <c r="W382" s="49"/>
      <c r="X382" s="49"/>
      <c r="Y382" s="35"/>
      <c r="Z382" s="35"/>
      <c r="AA382" s="35"/>
      <c r="AB382" s="35"/>
      <c r="AC382" s="35"/>
      <c r="AD382" s="35"/>
      <c r="AE382" s="35"/>
      <c r="AF382" s="35"/>
      <c r="AG382" s="35"/>
      <c r="AH382" s="35"/>
      <c r="AI382" s="35"/>
      <c r="AJ382" s="35"/>
      <c r="AK382" s="35"/>
      <c r="AL382" s="35"/>
    </row>
    <row r="383" ht="52.5" customHeight="1">
      <c r="A383" s="55"/>
      <c r="B383" s="19" t="s">
        <v>221</v>
      </c>
      <c r="C383" s="20" t="s">
        <v>2044</v>
      </c>
      <c r="D383" s="47"/>
      <c r="E383" s="56" t="s">
        <v>2058</v>
      </c>
      <c r="F383" s="22" t="s">
        <v>2059</v>
      </c>
      <c r="G383" s="57">
        <v>2018.0</v>
      </c>
      <c r="H383" s="22" t="s">
        <v>2060</v>
      </c>
      <c r="I383" s="58" t="s">
        <v>2061</v>
      </c>
      <c r="J383" s="56" t="s">
        <v>2049</v>
      </c>
      <c r="K383" s="56"/>
      <c r="L383" s="87" t="s">
        <v>2062</v>
      </c>
      <c r="M383" s="126">
        <v>100.0</v>
      </c>
      <c r="N383" s="126"/>
      <c r="O383" s="126"/>
      <c r="P383" s="126"/>
      <c r="Q383" s="126"/>
      <c r="R383" s="126"/>
      <c r="S383" s="126"/>
      <c r="T383" s="84" t="s">
        <v>2063</v>
      </c>
      <c r="U383" s="66" t="str">
        <f>HYPERLINK("https://www.ncbi.nlm.nih.gov/pubmed/29697148","PubMed")</f>
        <v>PubMed</v>
      </c>
      <c r="V383" s="50"/>
      <c r="W383" s="49"/>
      <c r="X383" s="49"/>
      <c r="Y383" s="35"/>
      <c r="Z383" s="35"/>
      <c r="AA383" s="35"/>
      <c r="AB383" s="35"/>
      <c r="AC383" s="35"/>
      <c r="AD383" s="35"/>
      <c r="AE383" s="35"/>
      <c r="AF383" s="35"/>
      <c r="AG383" s="35"/>
      <c r="AH383" s="35"/>
      <c r="AI383" s="35"/>
      <c r="AJ383" s="35"/>
      <c r="AK383" s="35"/>
      <c r="AL383" s="35"/>
    </row>
    <row r="384" ht="27.0" customHeight="1">
      <c r="A384" s="55"/>
      <c r="B384" s="75" t="s">
        <v>221</v>
      </c>
      <c r="C384" s="20" t="s">
        <v>2044</v>
      </c>
      <c r="D384" s="47"/>
      <c r="E384" s="56" t="s">
        <v>2064</v>
      </c>
      <c r="F384" s="22" t="s">
        <v>2065</v>
      </c>
      <c r="G384" s="57">
        <v>2017.0</v>
      </c>
      <c r="H384" s="22" t="s">
        <v>2066</v>
      </c>
      <c r="I384" s="58" t="s">
        <v>2067</v>
      </c>
      <c r="J384" s="56" t="s">
        <v>2049</v>
      </c>
      <c r="K384" s="56" t="s">
        <v>2068</v>
      </c>
      <c r="L384" s="69" t="s">
        <v>2069</v>
      </c>
      <c r="M384" s="69">
        <v>6000.0</v>
      </c>
      <c r="N384" s="69"/>
      <c r="O384" s="69"/>
      <c r="P384" s="70" t="s">
        <v>2070</v>
      </c>
      <c r="Q384" s="69" t="s">
        <v>2071</v>
      </c>
      <c r="R384" s="69"/>
      <c r="S384" s="69"/>
      <c r="T384" s="74" t="s">
        <v>2072</v>
      </c>
      <c r="U384" s="66" t="str">
        <f>HYPERLINK("https://www.ncbi.nlm.nih.gov/pubmed/27935005","PubMed")</f>
        <v>PubMed</v>
      </c>
      <c r="V384" s="30"/>
      <c r="W384" s="49"/>
      <c r="X384" s="49"/>
      <c r="Y384" s="35"/>
      <c r="Z384" s="35"/>
      <c r="AA384" s="35"/>
      <c r="AB384" s="35"/>
      <c r="AC384" s="35"/>
      <c r="AD384" s="35"/>
      <c r="AE384" s="35"/>
      <c r="AF384" s="35"/>
      <c r="AG384" s="35"/>
      <c r="AH384" s="35"/>
      <c r="AI384" s="35"/>
      <c r="AJ384" s="35"/>
      <c r="AK384" s="35"/>
      <c r="AL384" s="35"/>
    </row>
    <row r="385" ht="27.75" customHeight="1">
      <c r="A385" s="18"/>
      <c r="B385" s="19" t="s">
        <v>2073</v>
      </c>
      <c r="C385" s="20" t="s">
        <v>2074</v>
      </c>
      <c r="D385" s="21"/>
      <c r="E385" s="22" t="s">
        <v>2075</v>
      </c>
      <c r="F385" s="22" t="s">
        <v>2076</v>
      </c>
      <c r="G385" s="23">
        <v>2004.0</v>
      </c>
      <c r="H385" s="22" t="s">
        <v>91</v>
      </c>
      <c r="I385" s="24" t="s">
        <v>2077</v>
      </c>
      <c r="J385" s="22" t="s">
        <v>2078</v>
      </c>
      <c r="K385" s="22"/>
      <c r="L385" s="36" t="s">
        <v>2079</v>
      </c>
      <c r="M385" s="36" t="s">
        <v>2080</v>
      </c>
      <c r="N385" s="36" t="s">
        <v>58</v>
      </c>
      <c r="O385" s="36" t="s">
        <v>58</v>
      </c>
      <c r="P385" s="36" t="s">
        <v>58</v>
      </c>
      <c r="Q385" s="36" t="s">
        <v>2081</v>
      </c>
      <c r="R385" s="36" t="s">
        <v>2082</v>
      </c>
      <c r="S385" s="36" t="s">
        <v>2083</v>
      </c>
      <c r="T385" s="28" t="s">
        <v>2084</v>
      </c>
      <c r="U385" s="38" t="str">
        <f>HYPERLINK("https://www.ncbi.nlm.nih.gov/pubmed/15674998","PubMed")</f>
        <v>PubMed</v>
      </c>
      <c r="V385" s="30"/>
      <c r="W385" s="31"/>
      <c r="X385" s="31"/>
      <c r="Y385" s="31"/>
      <c r="Z385" s="32"/>
      <c r="AA385" s="31"/>
      <c r="AB385" s="31"/>
      <c r="AC385" s="9"/>
      <c r="AD385" s="31"/>
      <c r="AE385" s="31"/>
      <c r="AF385" s="33"/>
      <c r="AG385" s="34"/>
      <c r="AH385" s="31"/>
      <c r="AI385" s="35"/>
      <c r="AJ385" s="35"/>
      <c r="AK385" s="35"/>
      <c r="AL385" s="35"/>
    </row>
    <row r="386">
      <c r="A386" s="133"/>
      <c r="B386" s="19" t="s">
        <v>2073</v>
      </c>
      <c r="C386" s="20" t="s">
        <v>2085</v>
      </c>
      <c r="D386" s="47"/>
      <c r="E386" s="57" t="s">
        <v>2086</v>
      </c>
      <c r="F386" s="23" t="s">
        <v>2087</v>
      </c>
      <c r="G386" s="23">
        <v>2024.0</v>
      </c>
      <c r="H386" s="57" t="s">
        <v>77</v>
      </c>
      <c r="I386" s="134" t="s">
        <v>2088</v>
      </c>
      <c r="J386" s="23" t="s">
        <v>2089</v>
      </c>
      <c r="K386" s="23" t="s">
        <v>2090</v>
      </c>
      <c r="L386" s="36">
        <v>810.0</v>
      </c>
      <c r="M386" s="36">
        <v>300.0</v>
      </c>
      <c r="N386" s="36"/>
      <c r="O386" s="36" t="s">
        <v>2091</v>
      </c>
      <c r="P386" s="37"/>
      <c r="Q386" s="36"/>
      <c r="R386" s="36"/>
      <c r="S386" s="36" t="s">
        <v>2092</v>
      </c>
      <c r="T386" s="54" t="s">
        <v>2093</v>
      </c>
      <c r="U386" s="135" t="s">
        <v>61</v>
      </c>
      <c r="V386" s="136" t="s">
        <v>174</v>
      </c>
      <c r="W386" s="49"/>
      <c r="X386" s="49"/>
      <c r="Y386" s="35"/>
      <c r="Z386" s="35"/>
      <c r="AA386" s="35"/>
      <c r="AB386" s="35"/>
      <c r="AC386" s="35"/>
      <c r="AD386" s="35"/>
      <c r="AE386" s="35"/>
      <c r="AF386" s="35"/>
      <c r="AG386" s="35"/>
      <c r="AH386" s="35"/>
      <c r="AI386" s="35"/>
      <c r="AJ386" s="35"/>
      <c r="AK386" s="35"/>
      <c r="AL386" s="35"/>
    </row>
    <row r="387">
      <c r="A387" s="133"/>
      <c r="B387" s="19" t="s">
        <v>2073</v>
      </c>
      <c r="C387" s="20" t="s">
        <v>2085</v>
      </c>
      <c r="D387" s="47"/>
      <c r="E387" s="57" t="s">
        <v>2094</v>
      </c>
      <c r="F387" s="23" t="s">
        <v>2095</v>
      </c>
      <c r="G387" s="23">
        <v>2021.0</v>
      </c>
      <c r="H387" s="57" t="s">
        <v>2096</v>
      </c>
      <c r="I387" s="134" t="s">
        <v>2097</v>
      </c>
      <c r="J387" s="23" t="s">
        <v>2098</v>
      </c>
      <c r="K387" s="23" t="s">
        <v>157</v>
      </c>
      <c r="L387" s="36">
        <v>810.0</v>
      </c>
      <c r="M387" s="36"/>
      <c r="N387" s="36" t="s">
        <v>93</v>
      </c>
      <c r="O387" s="36"/>
      <c r="P387" s="37" t="s">
        <v>1028</v>
      </c>
      <c r="Q387" s="36"/>
      <c r="R387" s="36">
        <v>240.0</v>
      </c>
      <c r="S387" s="36" t="s">
        <v>2099</v>
      </c>
      <c r="T387" s="137" t="s">
        <v>2100</v>
      </c>
      <c r="U387" s="138" t="s">
        <v>61</v>
      </c>
      <c r="V387" s="139"/>
      <c r="W387" s="49"/>
      <c r="X387" s="49"/>
      <c r="Y387" s="35"/>
      <c r="Z387" s="35"/>
      <c r="AA387" s="35"/>
      <c r="AB387" s="35"/>
      <c r="AC387" s="35"/>
      <c r="AD387" s="35"/>
      <c r="AE387" s="35"/>
      <c r="AF387" s="35"/>
      <c r="AG387" s="35"/>
      <c r="AH387" s="35"/>
      <c r="AI387" s="35"/>
      <c r="AJ387" s="35"/>
      <c r="AK387" s="35"/>
      <c r="AL387" s="35"/>
    </row>
    <row r="388">
      <c r="A388" s="133"/>
      <c r="B388" s="19" t="s">
        <v>2073</v>
      </c>
      <c r="C388" s="20" t="s">
        <v>2085</v>
      </c>
      <c r="D388" s="47"/>
      <c r="E388" s="57" t="s">
        <v>2094</v>
      </c>
      <c r="F388" s="23" t="s">
        <v>2095</v>
      </c>
      <c r="G388" s="23">
        <v>2020.0</v>
      </c>
      <c r="H388" s="57" t="s">
        <v>2096</v>
      </c>
      <c r="I388" s="134" t="s">
        <v>2101</v>
      </c>
      <c r="J388" s="23" t="s">
        <v>2102</v>
      </c>
      <c r="K388" s="23"/>
      <c r="L388" s="36">
        <v>810.0</v>
      </c>
      <c r="M388" s="36"/>
      <c r="N388" s="36" t="s">
        <v>93</v>
      </c>
      <c r="O388" s="36"/>
      <c r="P388" s="37" t="s">
        <v>1028</v>
      </c>
      <c r="Q388" s="36"/>
      <c r="R388" s="36">
        <v>240.0</v>
      </c>
      <c r="S388" s="36">
        <v>1.0</v>
      </c>
      <c r="T388" s="137" t="s">
        <v>2103</v>
      </c>
      <c r="U388" s="138" t="s">
        <v>61</v>
      </c>
      <c r="V388" s="139"/>
      <c r="W388" s="49"/>
      <c r="X388" s="49"/>
      <c r="Y388" s="35"/>
      <c r="Z388" s="35"/>
      <c r="AA388" s="35"/>
      <c r="AB388" s="35"/>
      <c r="AC388" s="35"/>
      <c r="AD388" s="35"/>
      <c r="AE388" s="35"/>
      <c r="AF388" s="35"/>
      <c r="AG388" s="35"/>
      <c r="AH388" s="35"/>
      <c r="AI388" s="35"/>
      <c r="AJ388" s="35"/>
      <c r="AK388" s="35"/>
      <c r="AL388" s="35"/>
    </row>
    <row r="389">
      <c r="A389" s="133"/>
      <c r="B389" s="19" t="s">
        <v>2073</v>
      </c>
      <c r="C389" s="20" t="s">
        <v>2085</v>
      </c>
      <c r="D389" s="47"/>
      <c r="E389" s="57" t="s">
        <v>2104</v>
      </c>
      <c r="F389" s="23" t="s">
        <v>2105</v>
      </c>
      <c r="G389" s="23">
        <v>2014.0</v>
      </c>
      <c r="H389" s="57" t="s">
        <v>91</v>
      </c>
      <c r="I389" s="134" t="s">
        <v>2106</v>
      </c>
      <c r="J389" s="23" t="s">
        <v>44</v>
      </c>
      <c r="K389" s="23" t="s">
        <v>2107</v>
      </c>
      <c r="L389" s="36">
        <v>830.0</v>
      </c>
      <c r="M389" s="36">
        <v>50.0</v>
      </c>
      <c r="N389" s="36"/>
      <c r="O389" s="36"/>
      <c r="P389" s="37" t="s">
        <v>2108</v>
      </c>
      <c r="Q389" s="36" t="s">
        <v>2109</v>
      </c>
      <c r="R389" s="36">
        <v>55.0</v>
      </c>
      <c r="S389" s="36"/>
      <c r="T389" s="137" t="s">
        <v>2110</v>
      </c>
      <c r="U389" s="135" t="str">
        <f>HYPERLINK("https://www.ncbi.nlm.nih.gov/pubmed/24711009","PubMed")</f>
        <v>PubMed</v>
      </c>
      <c r="V389" s="139"/>
      <c r="W389" s="49"/>
      <c r="X389" s="49"/>
      <c r="Y389" s="35"/>
      <c r="Z389" s="35"/>
      <c r="AA389" s="35"/>
      <c r="AB389" s="35"/>
      <c r="AC389" s="35"/>
      <c r="AD389" s="35"/>
      <c r="AE389" s="35"/>
      <c r="AF389" s="35"/>
      <c r="AG389" s="35"/>
      <c r="AH389" s="35"/>
      <c r="AI389" s="35"/>
      <c r="AJ389" s="35"/>
      <c r="AK389" s="35"/>
      <c r="AL389" s="35"/>
    </row>
    <row r="390">
      <c r="A390" s="133"/>
      <c r="B390" s="19" t="s">
        <v>2073</v>
      </c>
      <c r="C390" s="20" t="s">
        <v>2085</v>
      </c>
      <c r="D390" s="47"/>
      <c r="E390" s="57" t="s">
        <v>2111</v>
      </c>
      <c r="F390" s="23" t="s">
        <v>323</v>
      </c>
      <c r="G390" s="23">
        <v>2009.0</v>
      </c>
      <c r="H390" s="57" t="s">
        <v>2112</v>
      </c>
      <c r="I390" s="134" t="s">
        <v>2113</v>
      </c>
      <c r="J390" s="23" t="s">
        <v>55</v>
      </c>
      <c r="K390" s="23"/>
      <c r="L390" s="36">
        <v>830.0</v>
      </c>
      <c r="M390" s="36">
        <v>50.0</v>
      </c>
      <c r="N390" s="36"/>
      <c r="O390" s="36"/>
      <c r="P390" s="37"/>
      <c r="Q390" s="36" t="s">
        <v>2109</v>
      </c>
      <c r="R390" s="36">
        <v>55.0</v>
      </c>
      <c r="S390" s="36"/>
      <c r="T390" s="137" t="s">
        <v>2114</v>
      </c>
      <c r="U390" s="135" t="str">
        <f>HYPERLINK("https://www.ncbi.nlm.nih.gov/pubmed/18926854","PubMed")</f>
        <v>PubMed</v>
      </c>
      <c r="V390" s="139"/>
      <c r="W390" s="49"/>
      <c r="X390" s="49"/>
      <c r="Y390" s="35"/>
      <c r="Z390" s="35"/>
      <c r="AA390" s="35"/>
      <c r="AB390" s="35"/>
      <c r="AC390" s="35"/>
      <c r="AD390" s="35"/>
      <c r="AE390" s="35"/>
      <c r="AF390" s="35"/>
      <c r="AG390" s="35"/>
      <c r="AH390" s="35"/>
      <c r="AI390" s="35"/>
      <c r="AJ390" s="35"/>
      <c r="AK390" s="35"/>
      <c r="AL390" s="35"/>
    </row>
    <row r="391">
      <c r="A391" s="133"/>
      <c r="B391" s="19" t="s">
        <v>2073</v>
      </c>
      <c r="C391" s="20" t="s">
        <v>2085</v>
      </c>
      <c r="D391" s="47"/>
      <c r="E391" s="57" t="s">
        <v>2115</v>
      </c>
      <c r="F391" s="23" t="s">
        <v>2116</v>
      </c>
      <c r="G391" s="23">
        <v>2021.0</v>
      </c>
      <c r="H391" s="57" t="s">
        <v>2117</v>
      </c>
      <c r="I391" s="134" t="s">
        <v>2118</v>
      </c>
      <c r="J391" s="23" t="s">
        <v>2119</v>
      </c>
      <c r="K391" s="23"/>
      <c r="L391" s="36">
        <v>810.0</v>
      </c>
      <c r="M391" s="36" t="s">
        <v>93</v>
      </c>
      <c r="N391" s="36"/>
      <c r="O391" s="36"/>
      <c r="P391" s="37" t="s">
        <v>1028</v>
      </c>
      <c r="Q391" s="36"/>
      <c r="R391" s="36">
        <v>240.0</v>
      </c>
      <c r="S391" s="36"/>
      <c r="T391" s="137" t="s">
        <v>2120</v>
      </c>
      <c r="U391" s="138" t="s">
        <v>61</v>
      </c>
      <c r="V391" s="139"/>
      <c r="W391" s="49"/>
      <c r="X391" s="49"/>
      <c r="Y391" s="35"/>
      <c r="Z391" s="35"/>
      <c r="AA391" s="35"/>
      <c r="AB391" s="35"/>
      <c r="AC391" s="35"/>
      <c r="AD391" s="35"/>
      <c r="AE391" s="35"/>
      <c r="AF391" s="35"/>
      <c r="AG391" s="35"/>
      <c r="AH391" s="35"/>
      <c r="AI391" s="35"/>
      <c r="AJ391" s="35"/>
      <c r="AK391" s="35"/>
      <c r="AL391" s="35"/>
    </row>
    <row r="392" ht="27.0" customHeight="1">
      <c r="A392" s="55"/>
      <c r="B392" s="140" t="s">
        <v>2073</v>
      </c>
      <c r="C392" s="141" t="s">
        <v>188</v>
      </c>
      <c r="D392" s="47"/>
      <c r="E392" s="56" t="s">
        <v>1671</v>
      </c>
      <c r="F392" s="22" t="s">
        <v>2121</v>
      </c>
      <c r="G392" s="57">
        <v>2022.0</v>
      </c>
      <c r="H392" s="22" t="s">
        <v>2122</v>
      </c>
      <c r="I392" s="58" t="s">
        <v>2123</v>
      </c>
      <c r="J392" s="56" t="s">
        <v>55</v>
      </c>
      <c r="K392" s="56"/>
      <c r="L392" s="67">
        <v>810.0</v>
      </c>
      <c r="M392" s="67">
        <v>100.0</v>
      </c>
      <c r="N392" s="67"/>
      <c r="O392" s="67"/>
      <c r="P392" s="68"/>
      <c r="Q392" s="67"/>
      <c r="R392" s="67"/>
      <c r="S392" s="67" t="s">
        <v>2124</v>
      </c>
      <c r="T392" s="63" t="s">
        <v>2125</v>
      </c>
      <c r="U392" s="64" t="s">
        <v>61</v>
      </c>
      <c r="V392" s="30"/>
      <c r="W392" s="49"/>
      <c r="X392" s="49"/>
      <c r="Y392" s="35"/>
      <c r="Z392" s="35"/>
      <c r="AA392" s="35"/>
      <c r="AB392" s="35"/>
      <c r="AC392" s="35"/>
      <c r="AD392" s="35"/>
      <c r="AE392" s="35"/>
      <c r="AF392" s="35"/>
      <c r="AG392" s="35"/>
      <c r="AH392" s="35"/>
      <c r="AI392" s="35"/>
      <c r="AJ392" s="35"/>
      <c r="AK392" s="35"/>
      <c r="AL392" s="35"/>
    </row>
    <row r="393" ht="27.0" customHeight="1">
      <c r="A393" s="55"/>
      <c r="B393" s="140" t="s">
        <v>2073</v>
      </c>
      <c r="C393" s="141" t="s">
        <v>188</v>
      </c>
      <c r="D393" s="47"/>
      <c r="E393" s="56" t="s">
        <v>2126</v>
      </c>
      <c r="F393" s="22" t="s">
        <v>1046</v>
      </c>
      <c r="G393" s="57">
        <v>2021.0</v>
      </c>
      <c r="H393" s="22" t="s">
        <v>91</v>
      </c>
      <c r="I393" s="58" t="s">
        <v>2127</v>
      </c>
      <c r="J393" s="56" t="s">
        <v>44</v>
      </c>
      <c r="K393" s="56" t="s">
        <v>1240</v>
      </c>
      <c r="L393" s="67">
        <v>810.0</v>
      </c>
      <c r="M393" s="67"/>
      <c r="N393" s="67"/>
      <c r="O393" s="67"/>
      <c r="P393" s="68" t="s">
        <v>2128</v>
      </c>
      <c r="Q393" s="67"/>
      <c r="R393" s="67"/>
      <c r="S393" s="67"/>
      <c r="T393" s="63" t="s">
        <v>2129</v>
      </c>
      <c r="U393" s="64" t="s">
        <v>61</v>
      </c>
      <c r="V393" s="30"/>
      <c r="W393" s="49"/>
      <c r="X393" s="49"/>
      <c r="Y393" s="35"/>
      <c r="Z393" s="35"/>
      <c r="AA393" s="35"/>
      <c r="AB393" s="35"/>
      <c r="AC393" s="35"/>
      <c r="AD393" s="35"/>
      <c r="AE393" s="35"/>
      <c r="AF393" s="35"/>
      <c r="AG393" s="35"/>
      <c r="AH393" s="35"/>
      <c r="AI393" s="35"/>
      <c r="AJ393" s="35"/>
      <c r="AK393" s="35"/>
      <c r="AL393" s="35"/>
    </row>
    <row r="394" ht="27.0" customHeight="1">
      <c r="A394" s="55"/>
      <c r="B394" s="140" t="s">
        <v>2073</v>
      </c>
      <c r="C394" s="141" t="s">
        <v>188</v>
      </c>
      <c r="D394" s="47"/>
      <c r="E394" s="56" t="s">
        <v>1671</v>
      </c>
      <c r="F394" s="22" t="s">
        <v>2130</v>
      </c>
      <c r="G394" s="57">
        <v>2021.0</v>
      </c>
      <c r="H394" s="22" t="s">
        <v>2131</v>
      </c>
      <c r="I394" s="58" t="s">
        <v>2132</v>
      </c>
      <c r="J394" s="56" t="s">
        <v>55</v>
      </c>
      <c r="K394" s="56"/>
      <c r="L394" s="67">
        <v>810.0</v>
      </c>
      <c r="M394" s="67">
        <v>100.0</v>
      </c>
      <c r="N394" s="67">
        <v>3.571</v>
      </c>
      <c r="O394" s="67">
        <v>15.0</v>
      </c>
      <c r="P394" s="68" t="s">
        <v>2133</v>
      </c>
      <c r="Q394" s="67" t="s">
        <v>151</v>
      </c>
      <c r="R394" s="67" t="s">
        <v>2134</v>
      </c>
      <c r="S394" s="67">
        <v>58.0</v>
      </c>
      <c r="T394" s="63" t="s">
        <v>2135</v>
      </c>
      <c r="U394" s="64" t="s">
        <v>61</v>
      </c>
      <c r="V394" s="30"/>
      <c r="W394" s="49"/>
      <c r="X394" s="49"/>
      <c r="Y394" s="35"/>
      <c r="Z394" s="35"/>
      <c r="AA394" s="35"/>
      <c r="AB394" s="35"/>
      <c r="AC394" s="35"/>
      <c r="AD394" s="35"/>
      <c r="AE394" s="35"/>
      <c r="AF394" s="35"/>
      <c r="AG394" s="35"/>
      <c r="AH394" s="35"/>
      <c r="AI394" s="35"/>
      <c r="AJ394" s="35"/>
      <c r="AK394" s="35"/>
      <c r="AL394" s="35"/>
    </row>
    <row r="395" ht="27.0" customHeight="1">
      <c r="A395" s="55"/>
      <c r="B395" s="142" t="s">
        <v>2073</v>
      </c>
      <c r="C395" s="143" t="s">
        <v>2136</v>
      </c>
      <c r="D395" s="47"/>
      <c r="E395" s="56" t="s">
        <v>2137</v>
      </c>
      <c r="F395" s="22" t="s">
        <v>2138</v>
      </c>
      <c r="G395" s="57">
        <v>2024.0</v>
      </c>
      <c r="H395" s="22" t="s">
        <v>2139</v>
      </c>
      <c r="I395" s="58" t="s">
        <v>2140</v>
      </c>
      <c r="J395" s="56" t="s">
        <v>2141</v>
      </c>
      <c r="K395" s="56"/>
      <c r="L395" s="144"/>
      <c r="M395" s="144"/>
      <c r="N395" s="144"/>
      <c r="O395" s="144"/>
      <c r="P395" s="145"/>
      <c r="Q395" s="144"/>
      <c r="R395" s="144"/>
      <c r="S395" s="144"/>
      <c r="T395" s="59"/>
      <c r="U395" s="60" t="s">
        <v>61</v>
      </c>
      <c r="V395" s="30"/>
      <c r="W395" s="49"/>
      <c r="X395" s="49"/>
      <c r="Y395" s="35"/>
      <c r="Z395" s="35"/>
      <c r="AA395" s="35"/>
      <c r="AB395" s="35"/>
      <c r="AC395" s="35"/>
      <c r="AD395" s="35"/>
      <c r="AE395" s="35"/>
      <c r="AF395" s="35"/>
      <c r="AG395" s="35"/>
      <c r="AH395" s="35"/>
      <c r="AI395" s="35"/>
      <c r="AJ395" s="35"/>
      <c r="AK395" s="35"/>
      <c r="AL395" s="35"/>
    </row>
    <row r="396" ht="27.0" customHeight="1">
      <c r="A396" s="146"/>
      <c r="B396" s="142" t="s">
        <v>2073</v>
      </c>
      <c r="C396" s="143" t="s">
        <v>2136</v>
      </c>
      <c r="D396" s="47"/>
      <c r="E396" s="56" t="s">
        <v>2142</v>
      </c>
      <c r="F396" s="22" t="s">
        <v>2143</v>
      </c>
      <c r="G396" s="57">
        <v>2024.0</v>
      </c>
      <c r="H396" s="22" t="s">
        <v>2144</v>
      </c>
      <c r="I396" s="58" t="s">
        <v>2145</v>
      </c>
      <c r="J396" s="56" t="s">
        <v>125</v>
      </c>
      <c r="K396" s="56"/>
      <c r="L396" s="86" t="s">
        <v>2146</v>
      </c>
      <c r="U396" s="60" t="s">
        <v>61</v>
      </c>
      <c r="V396" s="30"/>
      <c r="W396" s="49"/>
      <c r="X396" s="49"/>
      <c r="Y396" s="35"/>
      <c r="Z396" s="35"/>
      <c r="AA396" s="35"/>
      <c r="AB396" s="35"/>
      <c r="AC396" s="35"/>
      <c r="AD396" s="35"/>
      <c r="AE396" s="35"/>
      <c r="AF396" s="35"/>
      <c r="AG396" s="35"/>
      <c r="AH396" s="35"/>
      <c r="AI396" s="35"/>
      <c r="AJ396" s="35"/>
      <c r="AK396" s="35"/>
      <c r="AL396" s="35"/>
    </row>
    <row r="397" ht="27.0" customHeight="1">
      <c r="A397" s="146"/>
      <c r="B397" s="142" t="s">
        <v>2073</v>
      </c>
      <c r="C397" s="143" t="s">
        <v>2136</v>
      </c>
      <c r="D397" s="47"/>
      <c r="E397" s="56" t="s">
        <v>223</v>
      </c>
      <c r="F397" s="22" t="s">
        <v>2147</v>
      </c>
      <c r="G397" s="57">
        <v>2024.0</v>
      </c>
      <c r="H397" s="22" t="s">
        <v>2148</v>
      </c>
      <c r="I397" s="58" t="s">
        <v>2149</v>
      </c>
      <c r="J397" s="56" t="s">
        <v>125</v>
      </c>
      <c r="K397" s="56"/>
      <c r="L397" s="86" t="s">
        <v>2150</v>
      </c>
      <c r="U397" s="60" t="s">
        <v>61</v>
      </c>
      <c r="V397" s="30"/>
      <c r="W397" s="49"/>
      <c r="X397" s="49"/>
      <c r="Y397" s="35"/>
      <c r="Z397" s="35"/>
      <c r="AA397" s="35"/>
      <c r="AB397" s="35"/>
      <c r="AC397" s="35"/>
      <c r="AD397" s="35"/>
      <c r="AE397" s="35"/>
      <c r="AF397" s="35"/>
      <c r="AG397" s="35"/>
      <c r="AH397" s="35"/>
      <c r="AI397" s="35"/>
      <c r="AJ397" s="35"/>
      <c r="AK397" s="35"/>
      <c r="AL397" s="35"/>
    </row>
    <row r="398" ht="27.0" customHeight="1">
      <c r="A398" s="146"/>
      <c r="B398" s="142" t="s">
        <v>2073</v>
      </c>
      <c r="C398" s="143" t="s">
        <v>2136</v>
      </c>
      <c r="D398" s="47"/>
      <c r="E398" s="56" t="s">
        <v>2151</v>
      </c>
      <c r="F398" s="22" t="s">
        <v>2152</v>
      </c>
      <c r="G398" s="57">
        <v>2024.0</v>
      </c>
      <c r="H398" s="22" t="s">
        <v>2153</v>
      </c>
      <c r="I398" s="58" t="s">
        <v>2154</v>
      </c>
      <c r="J398" s="56" t="s">
        <v>125</v>
      </c>
      <c r="K398" s="56"/>
      <c r="L398" s="124" t="s">
        <v>2155</v>
      </c>
      <c r="U398" s="60" t="s">
        <v>61</v>
      </c>
      <c r="V398" s="30"/>
      <c r="W398" s="49"/>
      <c r="X398" s="49"/>
      <c r="Y398" s="35"/>
      <c r="Z398" s="35"/>
      <c r="AA398" s="35"/>
      <c r="AB398" s="35"/>
      <c r="AC398" s="35"/>
      <c r="AD398" s="35"/>
      <c r="AE398" s="35"/>
      <c r="AF398" s="35"/>
      <c r="AG398" s="35"/>
      <c r="AH398" s="35"/>
      <c r="AI398" s="35"/>
      <c r="AJ398" s="35"/>
      <c r="AK398" s="35"/>
      <c r="AL398" s="35"/>
    </row>
    <row r="399" ht="27.0" customHeight="1">
      <c r="A399" s="146"/>
      <c r="B399" s="142" t="s">
        <v>2073</v>
      </c>
      <c r="C399" s="143" t="s">
        <v>2136</v>
      </c>
      <c r="D399" s="47"/>
      <c r="E399" s="56" t="s">
        <v>2151</v>
      </c>
      <c r="F399" s="22" t="s">
        <v>2152</v>
      </c>
      <c r="G399" s="57">
        <v>2024.0</v>
      </c>
      <c r="H399" s="22" t="s">
        <v>2153</v>
      </c>
      <c r="I399" s="58" t="s">
        <v>2156</v>
      </c>
      <c r="J399" s="56" t="s">
        <v>2157</v>
      </c>
      <c r="K399" s="56" t="s">
        <v>2158</v>
      </c>
      <c r="L399" s="67"/>
      <c r="M399" s="67"/>
      <c r="N399" s="67"/>
      <c r="O399" s="67"/>
      <c r="P399" s="68"/>
      <c r="Q399" s="67"/>
      <c r="R399" s="67"/>
      <c r="S399" s="67"/>
      <c r="T399" s="83" t="s">
        <v>2159</v>
      </c>
      <c r="U399" s="60" t="s">
        <v>61</v>
      </c>
      <c r="V399" s="30"/>
      <c r="W399" s="49"/>
      <c r="X399" s="49"/>
      <c r="Y399" s="35"/>
      <c r="Z399" s="35"/>
      <c r="AA399" s="35"/>
      <c r="AB399" s="35"/>
      <c r="AC399" s="35"/>
      <c r="AD399" s="35"/>
      <c r="AE399" s="35"/>
      <c r="AF399" s="35"/>
      <c r="AG399" s="35"/>
      <c r="AH399" s="35"/>
      <c r="AI399" s="35"/>
      <c r="AJ399" s="35"/>
      <c r="AK399" s="35"/>
      <c r="AL399" s="35"/>
    </row>
    <row r="400" ht="27.0" customHeight="1">
      <c r="A400" s="146"/>
      <c r="B400" s="142" t="s">
        <v>2073</v>
      </c>
      <c r="C400" s="143" t="s">
        <v>2136</v>
      </c>
      <c r="D400" s="47"/>
      <c r="E400" s="56" t="s">
        <v>2160</v>
      </c>
      <c r="F400" s="22" t="s">
        <v>2161</v>
      </c>
      <c r="G400" s="57">
        <v>2024.0</v>
      </c>
      <c r="H400" s="22" t="s">
        <v>2162</v>
      </c>
      <c r="I400" s="58" t="s">
        <v>2163</v>
      </c>
      <c r="J400" s="56" t="s">
        <v>2164</v>
      </c>
      <c r="K400" s="56"/>
      <c r="L400" s="67">
        <v>808.0</v>
      </c>
      <c r="M400" s="67"/>
      <c r="N400" s="67" t="s">
        <v>2165</v>
      </c>
      <c r="O400" s="67"/>
      <c r="P400" s="68"/>
      <c r="Q400" s="67"/>
      <c r="R400" s="67"/>
      <c r="S400" s="67"/>
      <c r="T400" s="84" t="s">
        <v>2166</v>
      </c>
      <c r="U400" s="60" t="s">
        <v>61</v>
      </c>
      <c r="V400" s="30"/>
      <c r="W400" s="49"/>
      <c r="X400" s="49"/>
      <c r="Y400" s="35"/>
      <c r="Z400" s="35"/>
      <c r="AA400" s="35"/>
      <c r="AB400" s="35"/>
      <c r="AC400" s="35"/>
      <c r="AD400" s="35"/>
      <c r="AE400" s="35"/>
      <c r="AF400" s="35"/>
      <c r="AG400" s="35"/>
      <c r="AH400" s="35"/>
      <c r="AI400" s="35"/>
      <c r="AJ400" s="35"/>
      <c r="AK400" s="35"/>
      <c r="AL400" s="35"/>
    </row>
    <row r="401" ht="27.0" customHeight="1">
      <c r="A401" s="146"/>
      <c r="B401" s="142" t="s">
        <v>2073</v>
      </c>
      <c r="C401" s="143" t="s">
        <v>2136</v>
      </c>
      <c r="D401" s="47"/>
      <c r="E401" s="56" t="s">
        <v>2167</v>
      </c>
      <c r="F401" s="22" t="s">
        <v>323</v>
      </c>
      <c r="G401" s="57">
        <v>2024.0</v>
      </c>
      <c r="H401" s="22" t="s">
        <v>1485</v>
      </c>
      <c r="I401" s="58" t="s">
        <v>2168</v>
      </c>
      <c r="J401" s="56" t="s">
        <v>2169</v>
      </c>
      <c r="K401" s="56" t="s">
        <v>157</v>
      </c>
      <c r="L401" s="67">
        <v>810.0</v>
      </c>
      <c r="M401" s="67"/>
      <c r="N401" s="67"/>
      <c r="O401" s="67"/>
      <c r="P401" s="68"/>
      <c r="Q401" s="67"/>
      <c r="R401" s="67">
        <v>1200.0</v>
      </c>
      <c r="S401" s="67" t="s">
        <v>2170</v>
      </c>
      <c r="T401" s="82" t="s">
        <v>2171</v>
      </c>
      <c r="U401" s="60" t="s">
        <v>61</v>
      </c>
      <c r="V401" s="30"/>
      <c r="W401" s="49"/>
      <c r="X401" s="49"/>
      <c r="Y401" s="35"/>
      <c r="Z401" s="35"/>
      <c r="AA401" s="35"/>
      <c r="AB401" s="35"/>
      <c r="AC401" s="35"/>
      <c r="AD401" s="35"/>
      <c r="AE401" s="35"/>
      <c r="AF401" s="35"/>
      <c r="AG401" s="35"/>
      <c r="AH401" s="35"/>
      <c r="AI401" s="35"/>
      <c r="AJ401" s="35"/>
      <c r="AK401" s="35"/>
      <c r="AL401" s="35"/>
    </row>
    <row r="402" ht="27.0" customHeight="1">
      <c r="A402" s="146"/>
      <c r="B402" s="142" t="s">
        <v>2073</v>
      </c>
      <c r="C402" s="143" t="s">
        <v>2136</v>
      </c>
      <c r="D402" s="47"/>
      <c r="E402" s="56" t="s">
        <v>1689</v>
      </c>
      <c r="F402" s="22" t="s">
        <v>313</v>
      </c>
      <c r="G402" s="57">
        <v>2023.0</v>
      </c>
      <c r="H402" s="22" t="s">
        <v>2172</v>
      </c>
      <c r="I402" s="58" t="s">
        <v>2173</v>
      </c>
      <c r="J402" s="56" t="s">
        <v>44</v>
      </c>
      <c r="K402" s="56"/>
      <c r="L402" s="67">
        <v>1267.0</v>
      </c>
      <c r="M402" s="67"/>
      <c r="N402" s="67"/>
      <c r="O402" s="67"/>
      <c r="P402" s="68"/>
      <c r="Q402" s="67"/>
      <c r="R402" s="67"/>
      <c r="S402" s="67"/>
      <c r="T402" s="83" t="s">
        <v>2174</v>
      </c>
      <c r="U402" s="60" t="s">
        <v>61</v>
      </c>
      <c r="V402" s="30"/>
      <c r="W402" s="49"/>
      <c r="X402" s="49"/>
      <c r="Y402" s="35"/>
      <c r="Z402" s="35"/>
      <c r="AA402" s="35"/>
      <c r="AB402" s="35"/>
      <c r="AC402" s="35"/>
      <c r="AD402" s="35"/>
      <c r="AE402" s="35"/>
      <c r="AF402" s="35"/>
      <c r="AG402" s="35"/>
      <c r="AH402" s="35"/>
      <c r="AI402" s="35"/>
      <c r="AJ402" s="35"/>
      <c r="AK402" s="35"/>
      <c r="AL402" s="35"/>
    </row>
    <row r="403" ht="27.0" customHeight="1">
      <c r="A403" s="146"/>
      <c r="B403" s="142" t="s">
        <v>2073</v>
      </c>
      <c r="C403" s="143" t="s">
        <v>2136</v>
      </c>
      <c r="D403" s="47"/>
      <c r="E403" s="56" t="s">
        <v>1369</v>
      </c>
      <c r="F403" s="22" t="s">
        <v>2175</v>
      </c>
      <c r="G403" s="57">
        <v>2023.0</v>
      </c>
      <c r="H403" s="22" t="s">
        <v>207</v>
      </c>
      <c r="I403" s="58" t="s">
        <v>2176</v>
      </c>
      <c r="J403" s="56" t="s">
        <v>44</v>
      </c>
      <c r="K403" s="56"/>
      <c r="L403" s="67" t="s">
        <v>2177</v>
      </c>
      <c r="M403" s="67"/>
      <c r="N403" s="67"/>
      <c r="O403" s="67"/>
      <c r="P403" s="68"/>
      <c r="Q403" s="67"/>
      <c r="R403" s="67"/>
      <c r="S403" s="67"/>
      <c r="T403" s="83" t="s">
        <v>2178</v>
      </c>
      <c r="U403" s="60" t="s">
        <v>61</v>
      </c>
      <c r="V403" s="30" t="s">
        <v>174</v>
      </c>
      <c r="W403" s="49"/>
      <c r="X403" s="49"/>
      <c r="Y403" s="35"/>
      <c r="Z403" s="35"/>
      <c r="AA403" s="35"/>
      <c r="AB403" s="35"/>
      <c r="AC403" s="35"/>
      <c r="AD403" s="35"/>
      <c r="AE403" s="35"/>
      <c r="AF403" s="35"/>
      <c r="AG403" s="35"/>
      <c r="AH403" s="35"/>
      <c r="AI403" s="35"/>
      <c r="AJ403" s="35"/>
      <c r="AK403" s="35"/>
      <c r="AL403" s="35"/>
    </row>
    <row r="404" ht="27.0" customHeight="1">
      <c r="A404" s="146"/>
      <c r="B404" s="142" t="s">
        <v>2073</v>
      </c>
      <c r="C404" s="143" t="s">
        <v>2136</v>
      </c>
      <c r="D404" s="47"/>
      <c r="E404" s="56" t="s">
        <v>2179</v>
      </c>
      <c r="F404" s="22" t="s">
        <v>2180</v>
      </c>
      <c r="G404" s="57">
        <v>2023.0</v>
      </c>
      <c r="H404" s="22" t="s">
        <v>2181</v>
      </c>
      <c r="I404" s="58" t="s">
        <v>2182</v>
      </c>
      <c r="J404" s="56" t="s">
        <v>44</v>
      </c>
      <c r="K404" s="56" t="s">
        <v>157</v>
      </c>
      <c r="L404" s="67">
        <v>810.0</v>
      </c>
      <c r="M404" s="67" t="s">
        <v>2183</v>
      </c>
      <c r="N404" s="67" t="s">
        <v>2184</v>
      </c>
      <c r="O404" s="67"/>
      <c r="P404" s="68"/>
      <c r="Q404" s="67"/>
      <c r="R404" s="67">
        <v>120.0</v>
      </c>
      <c r="S404" s="67" t="s">
        <v>2185</v>
      </c>
      <c r="T404" s="83" t="s">
        <v>2186</v>
      </c>
      <c r="U404" s="60" t="s">
        <v>61</v>
      </c>
      <c r="V404" s="30"/>
      <c r="W404" s="49"/>
      <c r="X404" s="49"/>
      <c r="Y404" s="35"/>
      <c r="Z404" s="35"/>
      <c r="AA404" s="35"/>
      <c r="AB404" s="35"/>
      <c r="AC404" s="35"/>
      <c r="AD404" s="35"/>
      <c r="AE404" s="35"/>
      <c r="AF404" s="35"/>
      <c r="AG404" s="35"/>
      <c r="AH404" s="35"/>
      <c r="AI404" s="35"/>
      <c r="AJ404" s="35"/>
      <c r="AK404" s="35"/>
      <c r="AL404" s="35"/>
    </row>
    <row r="405" ht="27.0" customHeight="1">
      <c r="A405" s="146"/>
      <c r="B405" s="142" t="s">
        <v>2073</v>
      </c>
      <c r="C405" s="143" t="s">
        <v>2136</v>
      </c>
      <c r="D405" s="47"/>
      <c r="E405" s="56" t="s">
        <v>2187</v>
      </c>
      <c r="F405" s="22" t="s">
        <v>224</v>
      </c>
      <c r="G405" s="57">
        <v>2023.0</v>
      </c>
      <c r="H405" s="22" t="s">
        <v>91</v>
      </c>
      <c r="I405" s="58" t="s">
        <v>2188</v>
      </c>
      <c r="J405" s="56" t="s">
        <v>1078</v>
      </c>
      <c r="K405" s="56"/>
      <c r="L405" s="86" t="s">
        <v>2189</v>
      </c>
      <c r="U405" s="60" t="s">
        <v>61</v>
      </c>
      <c r="V405" s="30"/>
      <c r="W405" s="49"/>
      <c r="X405" s="49"/>
      <c r="Y405" s="35"/>
      <c r="Z405" s="35"/>
      <c r="AA405" s="35"/>
      <c r="AB405" s="35"/>
      <c r="AC405" s="35"/>
      <c r="AD405" s="35"/>
      <c r="AE405" s="35"/>
      <c r="AF405" s="35"/>
      <c r="AG405" s="35"/>
      <c r="AH405" s="35"/>
      <c r="AI405" s="35"/>
      <c r="AJ405" s="35"/>
      <c r="AK405" s="35"/>
      <c r="AL405" s="35"/>
    </row>
    <row r="406" ht="27.0" customHeight="1">
      <c r="A406" s="146"/>
      <c r="B406" s="142" t="s">
        <v>2073</v>
      </c>
      <c r="C406" s="143" t="s">
        <v>2136</v>
      </c>
      <c r="D406" s="47"/>
      <c r="E406" s="56" t="s">
        <v>2190</v>
      </c>
      <c r="F406" s="22" t="s">
        <v>2191</v>
      </c>
      <c r="G406" s="57">
        <v>2023.0</v>
      </c>
      <c r="H406" s="22" t="s">
        <v>2172</v>
      </c>
      <c r="I406" s="58" t="s">
        <v>2192</v>
      </c>
      <c r="J406" s="56" t="s">
        <v>44</v>
      </c>
      <c r="K406" s="56" t="s">
        <v>157</v>
      </c>
      <c r="L406" s="67">
        <v>1050.0</v>
      </c>
      <c r="M406" s="67" t="s">
        <v>58</v>
      </c>
      <c r="N406" s="67" t="s">
        <v>58</v>
      </c>
      <c r="O406" s="67" t="s">
        <v>58</v>
      </c>
      <c r="P406" s="68" t="s">
        <v>2193</v>
      </c>
      <c r="Q406" s="67" t="s">
        <v>58</v>
      </c>
      <c r="R406" s="67">
        <v>1020.0</v>
      </c>
      <c r="S406" s="67" t="s">
        <v>35</v>
      </c>
      <c r="T406" s="63" t="s">
        <v>2194</v>
      </c>
      <c r="U406" s="60" t="s">
        <v>61</v>
      </c>
      <c r="V406" s="30"/>
      <c r="W406" s="49"/>
      <c r="X406" s="49"/>
      <c r="Y406" s="35"/>
      <c r="Z406" s="35"/>
      <c r="AA406" s="35"/>
      <c r="AB406" s="35"/>
      <c r="AC406" s="35"/>
      <c r="AD406" s="35"/>
      <c r="AE406" s="35"/>
      <c r="AF406" s="35"/>
      <c r="AG406" s="35"/>
      <c r="AH406" s="35"/>
      <c r="AI406" s="35"/>
      <c r="AJ406" s="35"/>
      <c r="AK406" s="35"/>
      <c r="AL406" s="35"/>
    </row>
    <row r="407" ht="27.0" customHeight="1">
      <c r="A407" s="146" t="s">
        <v>2</v>
      </c>
      <c r="B407" s="142" t="s">
        <v>2073</v>
      </c>
      <c r="C407" s="143" t="s">
        <v>2136</v>
      </c>
      <c r="D407" s="47"/>
      <c r="E407" s="56" t="s">
        <v>2195</v>
      </c>
      <c r="F407" s="22" t="s">
        <v>2196</v>
      </c>
      <c r="G407" s="57">
        <v>2023.0</v>
      </c>
      <c r="H407" s="22" t="s">
        <v>2197</v>
      </c>
      <c r="I407" s="58" t="s">
        <v>2198</v>
      </c>
      <c r="J407" s="56" t="s">
        <v>209</v>
      </c>
      <c r="K407" s="56" t="s">
        <v>2199</v>
      </c>
      <c r="L407" s="67">
        <v>1070.0</v>
      </c>
      <c r="M407" s="67"/>
      <c r="N407" s="67"/>
      <c r="O407" s="67"/>
      <c r="P407" s="68" t="s">
        <v>2200</v>
      </c>
      <c r="Q407" s="67"/>
      <c r="R407" s="67"/>
      <c r="S407" s="67"/>
      <c r="T407" s="63" t="s">
        <v>2201</v>
      </c>
      <c r="U407" s="60" t="s">
        <v>61</v>
      </c>
      <c r="V407" s="30"/>
      <c r="W407" s="49"/>
      <c r="X407" s="49"/>
      <c r="Y407" s="35"/>
      <c r="Z407" s="35"/>
      <c r="AA407" s="35"/>
      <c r="AB407" s="35"/>
      <c r="AC407" s="35"/>
      <c r="AD407" s="35"/>
      <c r="AE407" s="35"/>
      <c r="AF407" s="35"/>
      <c r="AG407" s="35"/>
      <c r="AH407" s="35"/>
      <c r="AI407" s="35"/>
      <c r="AJ407" s="35"/>
      <c r="AK407" s="35"/>
      <c r="AL407" s="35"/>
    </row>
    <row r="408" ht="27.0" customHeight="1">
      <c r="A408" s="55"/>
      <c r="B408" s="142" t="s">
        <v>2073</v>
      </c>
      <c r="C408" s="143" t="s">
        <v>2136</v>
      </c>
      <c r="D408" s="47"/>
      <c r="E408" s="56" t="s">
        <v>2202</v>
      </c>
      <c r="F408" s="22" t="s">
        <v>2203</v>
      </c>
      <c r="G408" s="57">
        <v>2023.0</v>
      </c>
      <c r="H408" s="22" t="s">
        <v>2204</v>
      </c>
      <c r="I408" s="58" t="s">
        <v>2205</v>
      </c>
      <c r="J408" s="56" t="s">
        <v>2141</v>
      </c>
      <c r="K408" s="56"/>
      <c r="L408" s="144"/>
      <c r="M408" s="144"/>
      <c r="N408" s="144"/>
      <c r="O408" s="144"/>
      <c r="P408" s="145"/>
      <c r="Q408" s="144"/>
      <c r="R408" s="144"/>
      <c r="S408" s="144"/>
      <c r="T408" s="59" t="s">
        <v>2206</v>
      </c>
      <c r="U408" s="64" t="s">
        <v>61</v>
      </c>
      <c r="V408" s="30"/>
      <c r="W408" s="49"/>
      <c r="X408" s="49"/>
      <c r="Y408" s="35"/>
      <c r="Z408" s="35"/>
      <c r="AA408" s="35"/>
      <c r="AB408" s="35"/>
      <c r="AC408" s="35"/>
      <c r="AD408" s="35"/>
      <c r="AE408" s="35"/>
      <c r="AF408" s="35"/>
      <c r="AG408" s="35"/>
      <c r="AH408" s="35"/>
      <c r="AI408" s="35"/>
      <c r="AJ408" s="35"/>
      <c r="AK408" s="35"/>
      <c r="AL408" s="35"/>
    </row>
    <row r="409" ht="31.5" customHeight="1">
      <c r="A409" s="147"/>
      <c r="B409" s="142" t="s">
        <v>2073</v>
      </c>
      <c r="C409" s="143" t="s">
        <v>2136</v>
      </c>
      <c r="D409" s="47"/>
      <c r="E409" s="56" t="s">
        <v>2207</v>
      </c>
      <c r="F409" s="22" t="s">
        <v>2208</v>
      </c>
      <c r="G409" s="57">
        <v>2023.0</v>
      </c>
      <c r="H409" s="56" t="s">
        <v>348</v>
      </c>
      <c r="I409" s="58" t="s">
        <v>2209</v>
      </c>
      <c r="J409" s="56" t="s">
        <v>125</v>
      </c>
      <c r="K409" s="56"/>
      <c r="L409" s="79" t="s">
        <v>2210</v>
      </c>
      <c r="U409" s="60" t="s">
        <v>61</v>
      </c>
      <c r="V409" s="30"/>
      <c r="W409" s="49"/>
      <c r="X409" s="49"/>
      <c r="Y409" s="35"/>
      <c r="Z409" s="35"/>
      <c r="AA409" s="35"/>
      <c r="AB409" s="35"/>
      <c r="AC409" s="35"/>
      <c r="AD409" s="35"/>
      <c r="AE409" s="35"/>
      <c r="AF409" s="35"/>
      <c r="AG409" s="35"/>
      <c r="AH409" s="35"/>
      <c r="AI409" s="35"/>
      <c r="AJ409" s="35"/>
      <c r="AK409" s="35"/>
      <c r="AL409" s="35"/>
    </row>
    <row r="410" ht="31.5" customHeight="1">
      <c r="A410" s="147" t="s">
        <v>38</v>
      </c>
      <c r="B410" s="142" t="s">
        <v>2073</v>
      </c>
      <c r="C410" s="143" t="s">
        <v>2136</v>
      </c>
      <c r="D410" s="47"/>
      <c r="E410" s="56" t="s">
        <v>2190</v>
      </c>
      <c r="F410" s="22" t="s">
        <v>2191</v>
      </c>
      <c r="G410" s="57">
        <v>2023.0</v>
      </c>
      <c r="H410" s="56" t="s">
        <v>348</v>
      </c>
      <c r="I410" s="58" t="s">
        <v>2211</v>
      </c>
      <c r="J410" s="56" t="s">
        <v>125</v>
      </c>
      <c r="K410" s="56"/>
      <c r="L410" s="79" t="s">
        <v>2212</v>
      </c>
      <c r="U410" s="60" t="s">
        <v>61</v>
      </c>
      <c r="V410" s="30"/>
      <c r="W410" s="49"/>
      <c r="X410" s="49"/>
      <c r="Y410" s="35"/>
      <c r="Z410" s="35"/>
      <c r="AA410" s="35"/>
      <c r="AB410" s="35"/>
      <c r="AC410" s="35"/>
      <c r="AD410" s="35"/>
      <c r="AE410" s="35"/>
      <c r="AF410" s="35"/>
      <c r="AG410" s="35"/>
      <c r="AH410" s="35"/>
      <c r="AI410" s="35"/>
      <c r="AJ410" s="35"/>
      <c r="AK410" s="35"/>
      <c r="AL410" s="35"/>
    </row>
    <row r="411" ht="27.0" customHeight="1">
      <c r="A411" s="55"/>
      <c r="B411" s="142" t="s">
        <v>2073</v>
      </c>
      <c r="C411" s="143" t="s">
        <v>2136</v>
      </c>
      <c r="D411" s="47"/>
      <c r="E411" s="56" t="s">
        <v>2213</v>
      </c>
      <c r="F411" s="22" t="s">
        <v>2214</v>
      </c>
      <c r="G411" s="57">
        <v>2023.0</v>
      </c>
      <c r="H411" s="22" t="s">
        <v>627</v>
      </c>
      <c r="I411" s="58" t="s">
        <v>2215</v>
      </c>
      <c r="J411" s="56" t="s">
        <v>31</v>
      </c>
      <c r="K411" s="56" t="s">
        <v>2216</v>
      </c>
      <c r="L411" s="67" t="s">
        <v>2217</v>
      </c>
      <c r="M411" s="67"/>
      <c r="N411" s="67"/>
      <c r="O411" s="67"/>
      <c r="P411" s="68" t="s">
        <v>2218</v>
      </c>
      <c r="Q411" s="67"/>
      <c r="R411" s="67"/>
      <c r="S411" s="67"/>
      <c r="T411" s="63" t="s">
        <v>2219</v>
      </c>
      <c r="U411" s="60" t="s">
        <v>61</v>
      </c>
      <c r="V411" s="30"/>
      <c r="W411" s="49"/>
      <c r="X411" s="49"/>
      <c r="Y411" s="35"/>
      <c r="Z411" s="35"/>
      <c r="AA411" s="35"/>
      <c r="AB411" s="35"/>
      <c r="AC411" s="35"/>
      <c r="AD411" s="35"/>
      <c r="AE411" s="35"/>
      <c r="AF411" s="35"/>
      <c r="AG411" s="35"/>
      <c r="AH411" s="35"/>
      <c r="AI411" s="35"/>
      <c r="AJ411" s="35"/>
      <c r="AK411" s="35"/>
      <c r="AL411" s="35"/>
    </row>
    <row r="412" ht="27.0" customHeight="1">
      <c r="A412" s="55"/>
      <c r="B412" s="142" t="s">
        <v>2073</v>
      </c>
      <c r="C412" s="143" t="s">
        <v>2136</v>
      </c>
      <c r="D412" s="47"/>
      <c r="E412" s="56" t="s">
        <v>2220</v>
      </c>
      <c r="F412" s="22" t="s">
        <v>2221</v>
      </c>
      <c r="G412" s="57">
        <v>2023.0</v>
      </c>
      <c r="H412" s="22" t="s">
        <v>42</v>
      </c>
      <c r="I412" s="58" t="s">
        <v>2222</v>
      </c>
      <c r="J412" s="56" t="s">
        <v>55</v>
      </c>
      <c r="K412" s="56" t="s">
        <v>157</v>
      </c>
      <c r="L412" s="67" t="s">
        <v>2223</v>
      </c>
      <c r="M412" s="67"/>
      <c r="N412" s="67"/>
      <c r="O412" s="67"/>
      <c r="P412" s="68"/>
      <c r="Q412" s="67"/>
      <c r="R412" s="67"/>
      <c r="S412" s="67"/>
      <c r="T412" s="63" t="s">
        <v>2224</v>
      </c>
      <c r="U412" s="60" t="s">
        <v>61</v>
      </c>
      <c r="V412" s="30"/>
      <c r="W412" s="49"/>
      <c r="X412" s="49"/>
      <c r="Y412" s="35"/>
      <c r="Z412" s="35"/>
      <c r="AA412" s="35"/>
      <c r="AB412" s="35"/>
      <c r="AC412" s="35"/>
      <c r="AD412" s="35"/>
      <c r="AE412" s="35"/>
      <c r="AF412" s="35"/>
      <c r="AG412" s="35"/>
      <c r="AH412" s="35"/>
      <c r="AI412" s="35"/>
      <c r="AJ412" s="35"/>
      <c r="AK412" s="35"/>
      <c r="AL412" s="35"/>
    </row>
    <row r="413" ht="31.5" customHeight="1">
      <c r="A413" s="89"/>
      <c r="B413" s="142" t="s">
        <v>2073</v>
      </c>
      <c r="C413" s="143" t="s">
        <v>2136</v>
      </c>
      <c r="D413" s="47"/>
      <c r="E413" s="56" t="s">
        <v>216</v>
      </c>
      <c r="F413" s="22" t="s">
        <v>28</v>
      </c>
      <c r="G413" s="57">
        <v>2023.0</v>
      </c>
      <c r="H413" s="56" t="s">
        <v>2225</v>
      </c>
      <c r="I413" s="58" t="s">
        <v>2226</v>
      </c>
      <c r="J413" s="56" t="s">
        <v>125</v>
      </c>
      <c r="K413" s="56"/>
      <c r="L413" s="79" t="s">
        <v>2227</v>
      </c>
      <c r="U413" s="60" t="s">
        <v>61</v>
      </c>
      <c r="V413" s="30"/>
      <c r="W413" s="49"/>
      <c r="X413" s="49"/>
      <c r="Y413" s="35"/>
      <c r="Z413" s="35"/>
      <c r="AA413" s="35"/>
      <c r="AB413" s="35"/>
      <c r="AC413" s="35"/>
      <c r="AD413" s="35"/>
      <c r="AE413" s="35"/>
      <c r="AF413" s="35"/>
      <c r="AG413" s="35"/>
      <c r="AH413" s="35"/>
      <c r="AI413" s="35"/>
      <c r="AJ413" s="35"/>
      <c r="AK413" s="35"/>
      <c r="AL413" s="35"/>
    </row>
    <row r="414" ht="31.5" customHeight="1">
      <c r="A414" s="89"/>
      <c r="B414" s="142" t="s">
        <v>2073</v>
      </c>
      <c r="C414" s="143" t="s">
        <v>2136</v>
      </c>
      <c r="D414" s="47"/>
      <c r="E414" s="56" t="s">
        <v>2228</v>
      </c>
      <c r="F414" s="22" t="s">
        <v>2229</v>
      </c>
      <c r="G414" s="57">
        <v>2023.0</v>
      </c>
      <c r="H414" s="56" t="s">
        <v>2230</v>
      </c>
      <c r="I414" s="58" t="s">
        <v>2231</v>
      </c>
      <c r="J414" s="56" t="s">
        <v>1078</v>
      </c>
      <c r="K414" s="56"/>
      <c r="L414" s="79" t="s">
        <v>2232</v>
      </c>
      <c r="U414" s="60" t="s">
        <v>61</v>
      </c>
      <c r="V414" s="50"/>
      <c r="W414" s="49"/>
      <c r="X414" s="49"/>
      <c r="Y414" s="35"/>
      <c r="Z414" s="35"/>
      <c r="AA414" s="35"/>
      <c r="AB414" s="35"/>
      <c r="AC414" s="35"/>
      <c r="AD414" s="35"/>
      <c r="AE414" s="35"/>
      <c r="AF414" s="35"/>
      <c r="AG414" s="35"/>
      <c r="AH414" s="35"/>
      <c r="AI414" s="35"/>
      <c r="AJ414" s="35"/>
      <c r="AK414" s="35"/>
      <c r="AL414" s="35"/>
    </row>
    <row r="415" ht="31.5" customHeight="1">
      <c r="A415" s="89"/>
      <c r="B415" s="140" t="s">
        <v>2073</v>
      </c>
      <c r="C415" s="141" t="s">
        <v>2136</v>
      </c>
      <c r="D415" s="47"/>
      <c r="E415" s="56" t="s">
        <v>2233</v>
      </c>
      <c r="F415" s="22" t="s">
        <v>2234</v>
      </c>
      <c r="G415" s="57">
        <v>2023.0</v>
      </c>
      <c r="H415" s="56" t="s">
        <v>2235</v>
      </c>
      <c r="I415" s="58" t="s">
        <v>2236</v>
      </c>
      <c r="J415" s="56" t="s">
        <v>125</v>
      </c>
      <c r="K415" s="56"/>
      <c r="L415" s="79" t="s">
        <v>2237</v>
      </c>
      <c r="U415" s="60" t="s">
        <v>61</v>
      </c>
      <c r="V415" s="50"/>
      <c r="W415" s="49"/>
      <c r="X415" s="49"/>
      <c r="Y415" s="35"/>
      <c r="Z415" s="35"/>
      <c r="AA415" s="35"/>
      <c r="AB415" s="35"/>
      <c r="AC415" s="35"/>
      <c r="AD415" s="35"/>
      <c r="AE415" s="35"/>
      <c r="AF415" s="35"/>
      <c r="AG415" s="35"/>
      <c r="AH415" s="35"/>
      <c r="AI415" s="35"/>
      <c r="AJ415" s="35"/>
      <c r="AK415" s="35"/>
      <c r="AL415" s="35"/>
    </row>
    <row r="416" ht="27.0" customHeight="1">
      <c r="A416" s="55"/>
      <c r="B416" s="140" t="s">
        <v>2073</v>
      </c>
      <c r="C416" s="141" t="s">
        <v>2136</v>
      </c>
      <c r="D416" s="47"/>
      <c r="E416" s="22" t="s">
        <v>2195</v>
      </c>
      <c r="F416" s="22" t="s">
        <v>2196</v>
      </c>
      <c r="G416" s="57">
        <v>2023.0</v>
      </c>
      <c r="H416" s="22" t="s">
        <v>2238</v>
      </c>
      <c r="I416" s="58" t="s">
        <v>2239</v>
      </c>
      <c r="J416" s="56" t="s">
        <v>2240</v>
      </c>
      <c r="K416" s="56"/>
      <c r="L416" s="67" t="s">
        <v>2241</v>
      </c>
      <c r="M416" s="67"/>
      <c r="N416" s="67"/>
      <c r="O416" s="67"/>
      <c r="P416" s="68"/>
      <c r="Q416" s="67"/>
      <c r="R416" s="67"/>
      <c r="S416" s="67"/>
      <c r="T416" s="74" t="s">
        <v>2242</v>
      </c>
      <c r="U416" s="60" t="s">
        <v>61</v>
      </c>
      <c r="V416" s="30"/>
      <c r="W416" s="49"/>
      <c r="X416" s="49"/>
      <c r="Y416" s="35"/>
      <c r="Z416" s="35"/>
      <c r="AA416" s="35"/>
      <c r="AB416" s="35"/>
      <c r="AC416" s="35"/>
      <c r="AD416" s="35"/>
      <c r="AE416" s="35"/>
      <c r="AF416" s="35"/>
      <c r="AG416" s="35"/>
      <c r="AH416" s="35"/>
      <c r="AI416" s="35"/>
      <c r="AJ416" s="35"/>
      <c r="AK416" s="35"/>
      <c r="AL416" s="35"/>
    </row>
    <row r="417" ht="31.5" customHeight="1">
      <c r="A417" s="89"/>
      <c r="B417" s="140" t="s">
        <v>2073</v>
      </c>
      <c r="C417" s="141" t="s">
        <v>2136</v>
      </c>
      <c r="D417" s="47"/>
      <c r="E417" s="56" t="s">
        <v>2243</v>
      </c>
      <c r="F417" s="22" t="s">
        <v>2244</v>
      </c>
      <c r="G417" s="57">
        <v>2023.0</v>
      </c>
      <c r="H417" s="56" t="s">
        <v>91</v>
      </c>
      <c r="I417" s="58" t="s">
        <v>2245</v>
      </c>
      <c r="J417" s="56" t="s">
        <v>125</v>
      </c>
      <c r="K417" s="56"/>
      <c r="L417" s="79" t="s">
        <v>2246</v>
      </c>
      <c r="U417" s="60" t="s">
        <v>61</v>
      </c>
      <c r="V417" s="50"/>
      <c r="W417" s="49"/>
      <c r="X417" s="49"/>
      <c r="Y417" s="35"/>
      <c r="Z417" s="35"/>
      <c r="AA417" s="35"/>
      <c r="AB417" s="35"/>
      <c r="AC417" s="35"/>
      <c r="AD417" s="35"/>
      <c r="AE417" s="35"/>
      <c r="AF417" s="35"/>
      <c r="AG417" s="35"/>
      <c r="AH417" s="35"/>
      <c r="AI417" s="35"/>
      <c r="AJ417" s="35"/>
      <c r="AK417" s="35"/>
      <c r="AL417" s="35"/>
    </row>
    <row r="418" ht="31.5" customHeight="1">
      <c r="A418" s="89"/>
      <c r="B418" s="140" t="s">
        <v>2073</v>
      </c>
      <c r="C418" s="141" t="s">
        <v>2136</v>
      </c>
      <c r="D418" s="47"/>
      <c r="E418" s="56" t="s">
        <v>493</v>
      </c>
      <c r="F418" s="22" t="s">
        <v>1370</v>
      </c>
      <c r="G418" s="57">
        <v>2023.0</v>
      </c>
      <c r="H418" s="56" t="s">
        <v>2247</v>
      </c>
      <c r="I418" s="58" t="s">
        <v>2248</v>
      </c>
      <c r="J418" s="22" t="s">
        <v>649</v>
      </c>
      <c r="K418" s="56"/>
      <c r="L418" s="148" t="s">
        <v>2249</v>
      </c>
      <c r="M418" s="44"/>
      <c r="N418" s="44"/>
      <c r="O418" s="44"/>
      <c r="P418" s="44"/>
      <c r="Q418" s="44"/>
      <c r="R418" s="44"/>
      <c r="S418" s="44"/>
      <c r="T418" s="45"/>
      <c r="U418" s="60" t="s">
        <v>61</v>
      </c>
      <c r="V418" s="50"/>
      <c r="W418" s="49"/>
      <c r="X418" s="49"/>
      <c r="Y418" s="35"/>
      <c r="Z418" s="35"/>
      <c r="AA418" s="35"/>
      <c r="AB418" s="35"/>
      <c r="AC418" s="35"/>
      <c r="AD418" s="35"/>
      <c r="AE418" s="35"/>
      <c r="AF418" s="35"/>
      <c r="AG418" s="35"/>
      <c r="AH418" s="35"/>
      <c r="AI418" s="35"/>
      <c r="AJ418" s="35"/>
      <c r="AK418" s="35"/>
      <c r="AL418" s="35"/>
    </row>
    <row r="419" ht="31.5" customHeight="1">
      <c r="A419" s="89"/>
      <c r="B419" s="140" t="s">
        <v>2073</v>
      </c>
      <c r="C419" s="141" t="s">
        <v>2136</v>
      </c>
      <c r="D419" s="47"/>
      <c r="E419" s="56" t="s">
        <v>190</v>
      </c>
      <c r="F419" s="22" t="s">
        <v>2250</v>
      </c>
      <c r="G419" s="57">
        <v>2022.0</v>
      </c>
      <c r="H419" s="56" t="s">
        <v>2251</v>
      </c>
      <c r="I419" s="58" t="s">
        <v>2252</v>
      </c>
      <c r="J419" s="22" t="s">
        <v>2253</v>
      </c>
      <c r="K419" s="56"/>
      <c r="L419" s="79" t="s">
        <v>2254</v>
      </c>
      <c r="U419" s="60" t="s">
        <v>61</v>
      </c>
      <c r="V419" s="50"/>
      <c r="W419" s="49"/>
      <c r="X419" s="49"/>
      <c r="Y419" s="35"/>
      <c r="Z419" s="35"/>
      <c r="AA419" s="35"/>
      <c r="AB419" s="35"/>
      <c r="AC419" s="35"/>
      <c r="AD419" s="35"/>
      <c r="AE419" s="35"/>
      <c r="AF419" s="35"/>
      <c r="AG419" s="35"/>
      <c r="AH419" s="35"/>
      <c r="AI419" s="35"/>
      <c r="AJ419" s="35"/>
      <c r="AK419" s="35"/>
      <c r="AL419" s="35"/>
    </row>
    <row r="420" ht="27.0" customHeight="1">
      <c r="A420" s="55"/>
      <c r="B420" s="140" t="s">
        <v>2073</v>
      </c>
      <c r="C420" s="141" t="s">
        <v>2136</v>
      </c>
      <c r="D420" s="47"/>
      <c r="E420" s="22" t="s">
        <v>2255</v>
      </c>
      <c r="F420" s="22" t="s">
        <v>2256</v>
      </c>
      <c r="G420" s="57">
        <v>2022.0</v>
      </c>
      <c r="H420" s="22" t="s">
        <v>2257</v>
      </c>
      <c r="I420" s="58" t="s">
        <v>2258</v>
      </c>
      <c r="J420" s="56" t="s">
        <v>44</v>
      </c>
      <c r="K420" s="56" t="s">
        <v>157</v>
      </c>
      <c r="L420" s="67">
        <v>630.0</v>
      </c>
      <c r="M420" s="67">
        <v>4000.0</v>
      </c>
      <c r="N420" s="67" t="s">
        <v>2259</v>
      </c>
      <c r="O420" s="67">
        <v>100.0</v>
      </c>
      <c r="P420" s="68" t="s">
        <v>2260</v>
      </c>
      <c r="Q420" s="67"/>
      <c r="R420" s="67">
        <v>125.0</v>
      </c>
      <c r="S420" s="67"/>
      <c r="T420" s="74" t="s">
        <v>2261</v>
      </c>
      <c r="U420" s="60" t="s">
        <v>61</v>
      </c>
      <c r="V420" s="30"/>
      <c r="W420" s="49"/>
      <c r="X420" s="49"/>
      <c r="Y420" s="35"/>
      <c r="Z420" s="35"/>
      <c r="AA420" s="35"/>
      <c r="AB420" s="35"/>
      <c r="AC420" s="35"/>
      <c r="AD420" s="35"/>
      <c r="AE420" s="35"/>
      <c r="AF420" s="35"/>
      <c r="AG420" s="35"/>
      <c r="AH420" s="35"/>
      <c r="AI420" s="35"/>
      <c r="AJ420" s="35"/>
      <c r="AK420" s="35"/>
      <c r="AL420" s="35"/>
    </row>
    <row r="421" ht="27.0" customHeight="1">
      <c r="A421" s="55"/>
      <c r="B421" s="142" t="s">
        <v>2073</v>
      </c>
      <c r="C421" s="143" t="s">
        <v>2136</v>
      </c>
      <c r="D421" s="47"/>
      <c r="E421" s="56" t="s">
        <v>216</v>
      </c>
      <c r="F421" s="22" t="s">
        <v>2196</v>
      </c>
      <c r="G421" s="57">
        <v>2022.0</v>
      </c>
      <c r="H421" s="22" t="s">
        <v>383</v>
      </c>
      <c r="I421" s="58" t="s">
        <v>2262</v>
      </c>
      <c r="J421" s="56" t="s">
        <v>44</v>
      </c>
      <c r="K421" s="56" t="s">
        <v>2263</v>
      </c>
      <c r="L421" s="67">
        <v>808.0</v>
      </c>
      <c r="M421" s="67"/>
      <c r="N421" s="67"/>
      <c r="O421" s="67"/>
      <c r="P421" s="68"/>
      <c r="Q421" s="67"/>
      <c r="R421" s="67"/>
      <c r="S421" s="67"/>
      <c r="T421" s="63" t="s">
        <v>2264</v>
      </c>
      <c r="U421" s="60" t="s">
        <v>61</v>
      </c>
      <c r="V421" s="30"/>
      <c r="W421" s="49"/>
      <c r="X421" s="49"/>
      <c r="Y421" s="35"/>
      <c r="Z421" s="35"/>
      <c r="AA421" s="35"/>
      <c r="AB421" s="35"/>
      <c r="AC421" s="35"/>
      <c r="AD421" s="35"/>
      <c r="AE421" s="35"/>
      <c r="AF421" s="35"/>
      <c r="AG421" s="35"/>
      <c r="AH421" s="35"/>
      <c r="AI421" s="35"/>
      <c r="AJ421" s="35"/>
      <c r="AK421" s="35"/>
      <c r="AL421" s="35"/>
    </row>
    <row r="422" ht="27.0" customHeight="1">
      <c r="A422" s="55"/>
      <c r="B422" s="140" t="s">
        <v>2073</v>
      </c>
      <c r="C422" s="141" t="s">
        <v>2136</v>
      </c>
      <c r="D422" s="47"/>
      <c r="E422" s="56" t="s">
        <v>2265</v>
      </c>
      <c r="F422" s="22" t="s">
        <v>2266</v>
      </c>
      <c r="G422" s="57">
        <v>2022.0</v>
      </c>
      <c r="H422" s="22" t="s">
        <v>348</v>
      </c>
      <c r="I422" s="58" t="s">
        <v>2267</v>
      </c>
      <c r="J422" s="56" t="s">
        <v>125</v>
      </c>
      <c r="K422" s="56" t="s">
        <v>2158</v>
      </c>
      <c r="L422" s="86" t="s">
        <v>2268</v>
      </c>
      <c r="U422" s="60" t="s">
        <v>61</v>
      </c>
      <c r="V422" s="30"/>
      <c r="W422" s="49"/>
      <c r="X422" s="49"/>
      <c r="Y422" s="35"/>
      <c r="Z422" s="35"/>
      <c r="AA422" s="35"/>
      <c r="AB422" s="35"/>
      <c r="AC422" s="35"/>
      <c r="AD422" s="35"/>
      <c r="AE422" s="35"/>
      <c r="AF422" s="35"/>
      <c r="AG422" s="35"/>
      <c r="AH422" s="35"/>
      <c r="AI422" s="35"/>
      <c r="AJ422" s="35"/>
      <c r="AK422" s="35"/>
      <c r="AL422" s="35"/>
    </row>
    <row r="423" ht="27.0" customHeight="1">
      <c r="A423" s="55" t="s">
        <v>38</v>
      </c>
      <c r="B423" s="140" t="s">
        <v>2073</v>
      </c>
      <c r="C423" s="141" t="s">
        <v>2136</v>
      </c>
      <c r="D423" s="47"/>
      <c r="E423" s="56" t="s">
        <v>2269</v>
      </c>
      <c r="F423" s="22" t="s">
        <v>2270</v>
      </c>
      <c r="G423" s="57">
        <v>2022.0</v>
      </c>
      <c r="H423" s="22" t="s">
        <v>2271</v>
      </c>
      <c r="I423" s="58" t="s">
        <v>2272</v>
      </c>
      <c r="J423" s="56" t="s">
        <v>2273</v>
      </c>
      <c r="K423" s="56" t="s">
        <v>157</v>
      </c>
      <c r="L423" s="67">
        <v>810.0</v>
      </c>
      <c r="M423" s="67"/>
      <c r="N423" s="67"/>
      <c r="O423" s="67"/>
      <c r="P423" s="68"/>
      <c r="Q423" s="67"/>
      <c r="R423" s="67"/>
      <c r="S423" s="67"/>
      <c r="T423" s="63" t="s">
        <v>2274</v>
      </c>
      <c r="U423" s="60" t="s">
        <v>61</v>
      </c>
      <c r="V423" s="30"/>
      <c r="W423" s="49"/>
      <c r="X423" s="49"/>
      <c r="Y423" s="35"/>
      <c r="Z423" s="35"/>
      <c r="AA423" s="35"/>
      <c r="AB423" s="35"/>
      <c r="AC423" s="35"/>
      <c r="AD423" s="35"/>
      <c r="AE423" s="35"/>
      <c r="AF423" s="35"/>
      <c r="AG423" s="35"/>
      <c r="AH423" s="35"/>
      <c r="AI423" s="35"/>
      <c r="AJ423" s="35"/>
      <c r="AK423" s="35"/>
      <c r="AL423" s="35"/>
    </row>
    <row r="424" ht="27.0" customHeight="1">
      <c r="A424" s="55"/>
      <c r="B424" s="140" t="s">
        <v>2073</v>
      </c>
      <c r="C424" s="141" t="s">
        <v>2136</v>
      </c>
      <c r="D424" s="47"/>
      <c r="E424" s="56" t="s">
        <v>2275</v>
      </c>
      <c r="F424" s="22" t="s">
        <v>65</v>
      </c>
      <c r="G424" s="57">
        <v>2022.0</v>
      </c>
      <c r="H424" s="22" t="s">
        <v>2276</v>
      </c>
      <c r="I424" s="58" t="s">
        <v>2277</v>
      </c>
      <c r="J424" s="56" t="s">
        <v>209</v>
      </c>
      <c r="K424" s="56"/>
      <c r="L424" s="67">
        <v>635.0</v>
      </c>
      <c r="M424" s="67" t="s">
        <v>58</v>
      </c>
      <c r="N424" s="67" t="s">
        <v>58</v>
      </c>
      <c r="O424" s="67" t="s">
        <v>58</v>
      </c>
      <c r="P424" s="68" t="s">
        <v>95</v>
      </c>
      <c r="Q424" s="67" t="s">
        <v>58</v>
      </c>
      <c r="R424" s="67">
        <v>600.0</v>
      </c>
      <c r="S424" s="67" t="s">
        <v>2278</v>
      </c>
      <c r="T424" s="63" t="s">
        <v>2279</v>
      </c>
      <c r="U424" s="60" t="s">
        <v>61</v>
      </c>
      <c r="V424" s="30" t="s">
        <v>2280</v>
      </c>
      <c r="W424" s="49"/>
      <c r="X424" s="49"/>
      <c r="Y424" s="35"/>
      <c r="Z424" s="35"/>
      <c r="AA424" s="35"/>
      <c r="AB424" s="35"/>
      <c r="AC424" s="35"/>
      <c r="AD424" s="35"/>
      <c r="AE424" s="35"/>
      <c r="AF424" s="35"/>
      <c r="AG424" s="35"/>
      <c r="AH424" s="35"/>
      <c r="AI424" s="35"/>
      <c r="AJ424" s="35"/>
      <c r="AK424" s="35"/>
      <c r="AL424" s="35"/>
    </row>
    <row r="425" ht="27.0" customHeight="1">
      <c r="A425" s="55"/>
      <c r="B425" s="140" t="s">
        <v>2073</v>
      </c>
      <c r="C425" s="141" t="s">
        <v>2136</v>
      </c>
      <c r="D425" s="47"/>
      <c r="E425" s="56" t="s">
        <v>2275</v>
      </c>
      <c r="F425" s="22" t="s">
        <v>65</v>
      </c>
      <c r="G425" s="57">
        <v>2022.0</v>
      </c>
      <c r="H425" s="22" t="s">
        <v>2281</v>
      </c>
      <c r="I425" s="58" t="s">
        <v>2282</v>
      </c>
      <c r="J425" s="56" t="s">
        <v>125</v>
      </c>
      <c r="K425" s="56"/>
      <c r="L425" s="86" t="s">
        <v>2283</v>
      </c>
      <c r="U425" s="60" t="s">
        <v>61</v>
      </c>
      <c r="V425" s="30"/>
      <c r="W425" s="49"/>
      <c r="X425" s="49"/>
      <c r="Y425" s="35"/>
      <c r="Z425" s="35"/>
      <c r="AA425" s="35"/>
      <c r="AB425" s="35"/>
      <c r="AC425" s="35"/>
      <c r="AD425" s="35"/>
      <c r="AE425" s="35"/>
      <c r="AF425" s="35"/>
      <c r="AG425" s="35"/>
      <c r="AH425" s="35"/>
      <c r="AI425" s="35"/>
      <c r="AJ425" s="35"/>
      <c r="AK425" s="35"/>
      <c r="AL425" s="35"/>
    </row>
    <row r="426" ht="27.0" customHeight="1">
      <c r="A426" s="55"/>
      <c r="B426" s="140" t="s">
        <v>2073</v>
      </c>
      <c r="C426" s="141" t="s">
        <v>2136</v>
      </c>
      <c r="D426" s="47"/>
      <c r="E426" s="56" t="s">
        <v>2284</v>
      </c>
      <c r="F426" s="22" t="s">
        <v>2285</v>
      </c>
      <c r="G426" s="57">
        <v>2022.0</v>
      </c>
      <c r="H426" s="22" t="s">
        <v>2238</v>
      </c>
      <c r="I426" s="58" t="s">
        <v>2286</v>
      </c>
      <c r="J426" s="56" t="s">
        <v>125</v>
      </c>
      <c r="K426" s="56"/>
      <c r="L426" s="86" t="s">
        <v>2287</v>
      </c>
      <c r="U426" s="60" t="s">
        <v>61</v>
      </c>
      <c r="V426" s="30"/>
      <c r="W426" s="49"/>
      <c r="X426" s="49"/>
      <c r="Y426" s="35"/>
      <c r="Z426" s="35"/>
      <c r="AA426" s="35"/>
      <c r="AB426" s="35"/>
      <c r="AC426" s="35"/>
      <c r="AD426" s="35"/>
      <c r="AE426" s="35"/>
      <c r="AF426" s="35"/>
      <c r="AG426" s="35"/>
      <c r="AH426" s="35"/>
      <c r="AI426" s="35"/>
      <c r="AJ426" s="35"/>
      <c r="AK426" s="35"/>
      <c r="AL426" s="35"/>
    </row>
    <row r="427" ht="27.0" customHeight="1">
      <c r="A427" s="55"/>
      <c r="B427" s="140" t="s">
        <v>2073</v>
      </c>
      <c r="C427" s="141" t="s">
        <v>2136</v>
      </c>
      <c r="D427" s="47"/>
      <c r="E427" s="56" t="s">
        <v>2151</v>
      </c>
      <c r="F427" s="22" t="s">
        <v>2288</v>
      </c>
      <c r="G427" s="57">
        <v>2022.0</v>
      </c>
      <c r="H427" s="22" t="s">
        <v>2238</v>
      </c>
      <c r="I427" s="58" t="s">
        <v>2289</v>
      </c>
      <c r="J427" s="56" t="s">
        <v>2290</v>
      </c>
      <c r="K427" s="56"/>
      <c r="L427" s="67"/>
      <c r="M427" s="67"/>
      <c r="N427" s="67"/>
      <c r="O427" s="67"/>
      <c r="P427" s="68"/>
      <c r="Q427" s="67"/>
      <c r="R427" s="67"/>
      <c r="S427" s="67" t="s">
        <v>2291</v>
      </c>
      <c r="T427" s="63" t="s">
        <v>2292</v>
      </c>
      <c r="U427" s="60" t="s">
        <v>61</v>
      </c>
      <c r="V427" s="30" t="s">
        <v>174</v>
      </c>
      <c r="W427" s="49"/>
      <c r="X427" s="49"/>
      <c r="Y427" s="35"/>
      <c r="Z427" s="35"/>
      <c r="AA427" s="35"/>
      <c r="AB427" s="35"/>
      <c r="AC427" s="35"/>
      <c r="AD427" s="35"/>
      <c r="AE427" s="35"/>
      <c r="AF427" s="35"/>
      <c r="AG427" s="35"/>
      <c r="AH427" s="35"/>
      <c r="AI427" s="35"/>
      <c r="AJ427" s="35"/>
      <c r="AK427" s="35"/>
      <c r="AL427" s="35"/>
    </row>
    <row r="428" ht="27.0" customHeight="1">
      <c r="A428" s="55"/>
      <c r="B428" s="140" t="s">
        <v>2073</v>
      </c>
      <c r="C428" s="141" t="s">
        <v>2136</v>
      </c>
      <c r="D428" s="47"/>
      <c r="E428" s="56" t="s">
        <v>2293</v>
      </c>
      <c r="F428" s="22" t="s">
        <v>323</v>
      </c>
      <c r="G428" s="57">
        <v>2022.0</v>
      </c>
      <c r="H428" s="22" t="s">
        <v>77</v>
      </c>
      <c r="I428" s="58" t="s">
        <v>2294</v>
      </c>
      <c r="J428" s="56" t="s">
        <v>2295</v>
      </c>
      <c r="K428" s="56" t="s">
        <v>2296</v>
      </c>
      <c r="L428" s="67" t="s">
        <v>465</v>
      </c>
      <c r="M428" s="67" t="s">
        <v>2297</v>
      </c>
      <c r="N428" s="67" t="s">
        <v>2298</v>
      </c>
      <c r="O428" s="67" t="s">
        <v>2299</v>
      </c>
      <c r="P428" s="68" t="s">
        <v>2300</v>
      </c>
      <c r="Q428" s="67" t="s">
        <v>2301</v>
      </c>
      <c r="R428" s="67">
        <v>600.0</v>
      </c>
      <c r="S428" s="67" t="s">
        <v>2302</v>
      </c>
      <c r="T428" s="63" t="s">
        <v>2303</v>
      </c>
      <c r="U428" s="60" t="s">
        <v>61</v>
      </c>
      <c r="V428" s="30" t="s">
        <v>2304</v>
      </c>
      <c r="W428" s="49"/>
      <c r="X428" s="49"/>
      <c r="Y428" s="35"/>
      <c r="Z428" s="35"/>
      <c r="AA428" s="35"/>
      <c r="AB428" s="35"/>
      <c r="AC428" s="35"/>
      <c r="AD428" s="35"/>
      <c r="AE428" s="35"/>
      <c r="AF428" s="35"/>
      <c r="AG428" s="35"/>
      <c r="AH428" s="35"/>
      <c r="AI428" s="35"/>
      <c r="AJ428" s="35"/>
      <c r="AK428" s="35"/>
      <c r="AL428" s="35"/>
    </row>
    <row r="429" ht="27.0" customHeight="1">
      <c r="A429" s="55"/>
      <c r="B429" s="140" t="s">
        <v>2073</v>
      </c>
      <c r="C429" s="141" t="s">
        <v>2136</v>
      </c>
      <c r="D429" s="47"/>
      <c r="E429" s="56" t="s">
        <v>2305</v>
      </c>
      <c r="F429" s="22" t="s">
        <v>323</v>
      </c>
      <c r="G429" s="57">
        <v>2022.0</v>
      </c>
      <c r="H429" s="22" t="s">
        <v>2306</v>
      </c>
      <c r="I429" s="58" t="s">
        <v>2307</v>
      </c>
      <c r="J429" s="56" t="s">
        <v>55</v>
      </c>
      <c r="K429" s="56"/>
      <c r="L429" s="67" t="s">
        <v>2308</v>
      </c>
      <c r="M429" s="67">
        <v>30000.0</v>
      </c>
      <c r="N429" s="67" t="s">
        <v>2309</v>
      </c>
      <c r="O429" s="67"/>
      <c r="P429" s="68" t="s">
        <v>2310</v>
      </c>
      <c r="Q429" s="67"/>
      <c r="R429" s="67">
        <v>900.0</v>
      </c>
      <c r="S429" s="67" t="s">
        <v>35</v>
      </c>
      <c r="T429" s="63" t="s">
        <v>2311</v>
      </c>
      <c r="U429" s="60" t="s">
        <v>61</v>
      </c>
      <c r="V429" s="30"/>
      <c r="W429" s="49"/>
      <c r="X429" s="49"/>
      <c r="Y429" s="35"/>
      <c r="Z429" s="35"/>
      <c r="AA429" s="35"/>
      <c r="AB429" s="35"/>
      <c r="AC429" s="35"/>
      <c r="AD429" s="35"/>
      <c r="AE429" s="35"/>
      <c r="AF429" s="35"/>
      <c r="AG429" s="35"/>
      <c r="AH429" s="35"/>
      <c r="AI429" s="35"/>
      <c r="AJ429" s="35"/>
      <c r="AK429" s="35"/>
      <c r="AL429" s="35"/>
    </row>
    <row r="430" ht="27.0" customHeight="1">
      <c r="A430" s="55"/>
      <c r="B430" s="140" t="s">
        <v>2073</v>
      </c>
      <c r="C430" s="141" t="s">
        <v>2136</v>
      </c>
      <c r="D430" s="47"/>
      <c r="E430" s="56" t="s">
        <v>1921</v>
      </c>
      <c r="F430" s="22" t="s">
        <v>2312</v>
      </c>
      <c r="G430" s="57">
        <v>2022.0</v>
      </c>
      <c r="H430" s="22" t="s">
        <v>2230</v>
      </c>
      <c r="I430" s="58" t="s">
        <v>2313</v>
      </c>
      <c r="J430" s="56" t="s">
        <v>2314</v>
      </c>
      <c r="K430" s="56"/>
      <c r="L430" s="86" t="s">
        <v>2315</v>
      </c>
      <c r="U430" s="64" t="s">
        <v>61</v>
      </c>
      <c r="V430" s="30"/>
      <c r="W430" s="49"/>
      <c r="X430" s="49"/>
      <c r="Y430" s="35"/>
      <c r="Z430" s="35"/>
      <c r="AA430" s="35"/>
      <c r="AB430" s="35"/>
      <c r="AC430" s="35"/>
      <c r="AD430" s="35"/>
      <c r="AE430" s="35"/>
      <c r="AF430" s="35"/>
      <c r="AG430" s="35"/>
      <c r="AH430" s="35"/>
      <c r="AI430" s="35"/>
      <c r="AJ430" s="35"/>
      <c r="AK430" s="35"/>
      <c r="AL430" s="35"/>
    </row>
    <row r="431" ht="27.0" customHeight="1">
      <c r="A431" s="55"/>
      <c r="B431" s="140" t="s">
        <v>2073</v>
      </c>
      <c r="C431" s="141" t="s">
        <v>2136</v>
      </c>
      <c r="D431" s="47"/>
      <c r="E431" s="56" t="s">
        <v>2316</v>
      </c>
      <c r="F431" s="22" t="s">
        <v>2175</v>
      </c>
      <c r="G431" s="57">
        <v>2022.0</v>
      </c>
      <c r="H431" s="22" t="s">
        <v>2317</v>
      </c>
      <c r="I431" s="58" t="s">
        <v>2318</v>
      </c>
      <c r="J431" s="56" t="s">
        <v>31</v>
      </c>
      <c r="K431" s="56" t="s">
        <v>2319</v>
      </c>
      <c r="L431" s="67" t="s">
        <v>2320</v>
      </c>
      <c r="M431" s="67"/>
      <c r="N431" s="67"/>
      <c r="O431" s="67"/>
      <c r="P431" s="68"/>
      <c r="Q431" s="67"/>
      <c r="R431" s="67"/>
      <c r="S431" s="67"/>
      <c r="T431" s="63" t="s">
        <v>2321</v>
      </c>
      <c r="U431" s="60" t="s">
        <v>2322</v>
      </c>
      <c r="V431" s="30"/>
      <c r="W431" s="49"/>
      <c r="X431" s="49"/>
      <c r="Y431" s="35"/>
      <c r="Z431" s="35"/>
      <c r="AA431" s="35"/>
      <c r="AB431" s="35"/>
      <c r="AC431" s="35"/>
      <c r="AD431" s="35"/>
      <c r="AE431" s="35"/>
      <c r="AF431" s="35"/>
      <c r="AG431" s="35"/>
      <c r="AH431" s="35"/>
      <c r="AI431" s="35"/>
      <c r="AJ431" s="35"/>
      <c r="AK431" s="35"/>
      <c r="AL431" s="35"/>
    </row>
    <row r="432" ht="27.0" customHeight="1">
      <c r="A432" s="55"/>
      <c r="B432" s="140" t="s">
        <v>2073</v>
      </c>
      <c r="C432" s="141" t="s">
        <v>2136</v>
      </c>
      <c r="D432" s="47"/>
      <c r="E432" s="56" t="s">
        <v>2323</v>
      </c>
      <c r="F432" s="22" t="s">
        <v>2175</v>
      </c>
      <c r="G432" s="57">
        <v>2022.0</v>
      </c>
      <c r="H432" s="22" t="s">
        <v>2148</v>
      </c>
      <c r="I432" s="58" t="s">
        <v>2324</v>
      </c>
      <c r="J432" s="56" t="s">
        <v>31</v>
      </c>
      <c r="K432" s="56"/>
      <c r="L432" s="67">
        <v>808.0</v>
      </c>
      <c r="M432" s="67"/>
      <c r="N432" s="67" t="s">
        <v>2325</v>
      </c>
      <c r="O432" s="67"/>
      <c r="P432" s="68" t="s">
        <v>95</v>
      </c>
      <c r="Q432" s="67"/>
      <c r="R432" s="67">
        <v>300.0</v>
      </c>
      <c r="S432" s="67">
        <v>1.0</v>
      </c>
      <c r="T432" s="63" t="s">
        <v>2326</v>
      </c>
      <c r="U432" s="64" t="s">
        <v>61</v>
      </c>
      <c r="V432" s="30"/>
      <c r="W432" s="49"/>
      <c r="X432" s="49"/>
      <c r="Y432" s="35"/>
      <c r="Z432" s="35"/>
      <c r="AA432" s="35"/>
      <c r="AB432" s="35"/>
      <c r="AC432" s="35"/>
      <c r="AD432" s="35"/>
      <c r="AE432" s="35"/>
      <c r="AF432" s="35"/>
      <c r="AG432" s="35"/>
      <c r="AH432" s="35"/>
      <c r="AI432" s="35"/>
      <c r="AJ432" s="35"/>
      <c r="AK432" s="35"/>
      <c r="AL432" s="35"/>
    </row>
    <row r="433" ht="27.0" customHeight="1">
      <c r="A433" s="55"/>
      <c r="B433" s="140" t="s">
        <v>2073</v>
      </c>
      <c r="C433" s="141" t="s">
        <v>2136</v>
      </c>
      <c r="D433" s="47"/>
      <c r="E433" s="56" t="s">
        <v>1689</v>
      </c>
      <c r="F433" s="22" t="s">
        <v>65</v>
      </c>
      <c r="G433" s="57">
        <v>2022.0</v>
      </c>
      <c r="H433" s="22" t="s">
        <v>2276</v>
      </c>
      <c r="I433" s="58" t="s">
        <v>2327</v>
      </c>
      <c r="J433" s="56" t="s">
        <v>44</v>
      </c>
      <c r="K433" s="56" t="s">
        <v>2328</v>
      </c>
      <c r="L433" s="67" t="s">
        <v>2329</v>
      </c>
      <c r="M433" s="67"/>
      <c r="N433" s="67" t="s">
        <v>2330</v>
      </c>
      <c r="O433" s="67"/>
      <c r="P433" s="68"/>
      <c r="Q433" s="67"/>
      <c r="R433" s="67">
        <v>3600.0</v>
      </c>
      <c r="S433" s="67" t="s">
        <v>2331</v>
      </c>
      <c r="T433" s="63" t="s">
        <v>2332</v>
      </c>
      <c r="U433" s="64" t="s">
        <v>61</v>
      </c>
      <c r="V433" s="30"/>
      <c r="W433" s="49"/>
      <c r="X433" s="49"/>
      <c r="Y433" s="35"/>
      <c r="Z433" s="35"/>
      <c r="AA433" s="35"/>
      <c r="AB433" s="35"/>
      <c r="AC433" s="35"/>
      <c r="AD433" s="35"/>
      <c r="AE433" s="35"/>
      <c r="AF433" s="35"/>
      <c r="AG433" s="35"/>
      <c r="AH433" s="35"/>
      <c r="AI433" s="35"/>
      <c r="AJ433" s="35"/>
      <c r="AK433" s="35"/>
      <c r="AL433" s="35"/>
    </row>
    <row r="434" ht="27.0" customHeight="1">
      <c r="A434" s="55" t="s">
        <v>38</v>
      </c>
      <c r="B434" s="140" t="s">
        <v>2073</v>
      </c>
      <c r="C434" s="141" t="s">
        <v>2136</v>
      </c>
      <c r="D434" s="47"/>
      <c r="E434" s="56" t="s">
        <v>2333</v>
      </c>
      <c r="F434" s="22" t="s">
        <v>2334</v>
      </c>
      <c r="G434" s="57">
        <v>2022.0</v>
      </c>
      <c r="H434" s="22" t="s">
        <v>2335</v>
      </c>
      <c r="I434" s="58" t="s">
        <v>2336</v>
      </c>
      <c r="J434" s="56" t="s">
        <v>125</v>
      </c>
      <c r="K434" s="56"/>
      <c r="L434" s="86" t="s">
        <v>2337</v>
      </c>
      <c r="U434" s="64" t="s">
        <v>61</v>
      </c>
      <c r="V434" s="30"/>
      <c r="W434" s="49"/>
      <c r="X434" s="49"/>
      <c r="Y434" s="35"/>
      <c r="Z434" s="35"/>
      <c r="AA434" s="35"/>
      <c r="AB434" s="35"/>
      <c r="AC434" s="35"/>
      <c r="AD434" s="35"/>
      <c r="AE434" s="35"/>
      <c r="AF434" s="35"/>
      <c r="AG434" s="35"/>
      <c r="AH434" s="35"/>
      <c r="AI434" s="35"/>
      <c r="AJ434" s="35"/>
      <c r="AK434" s="35"/>
      <c r="AL434" s="35"/>
    </row>
    <row r="435" ht="27.0" customHeight="1">
      <c r="A435" s="55"/>
      <c r="B435" s="140" t="s">
        <v>2073</v>
      </c>
      <c r="C435" s="141" t="s">
        <v>2136</v>
      </c>
      <c r="D435" s="47"/>
      <c r="E435" s="56" t="s">
        <v>2338</v>
      </c>
      <c r="F435" s="22" t="s">
        <v>2147</v>
      </c>
      <c r="G435" s="57">
        <v>2022.0</v>
      </c>
      <c r="H435" s="22" t="s">
        <v>2038</v>
      </c>
      <c r="I435" s="58" t="s">
        <v>2339</v>
      </c>
      <c r="J435" s="56" t="s">
        <v>55</v>
      </c>
      <c r="K435" s="56"/>
      <c r="L435" s="67">
        <v>808.0</v>
      </c>
      <c r="M435" s="67"/>
      <c r="N435" s="67" t="s">
        <v>2340</v>
      </c>
      <c r="O435" s="67"/>
      <c r="P435" s="68" t="s">
        <v>2341</v>
      </c>
      <c r="Q435" s="67"/>
      <c r="R435" s="67">
        <v>120.0</v>
      </c>
      <c r="S435" s="67" t="s">
        <v>2342</v>
      </c>
      <c r="T435" s="63" t="s">
        <v>2343</v>
      </c>
      <c r="U435" s="64" t="s">
        <v>61</v>
      </c>
      <c r="V435" s="30" t="s">
        <v>2344</v>
      </c>
      <c r="W435" s="49"/>
      <c r="X435" s="49"/>
      <c r="Y435" s="35"/>
      <c r="Z435" s="35"/>
      <c r="AA435" s="35"/>
      <c r="AB435" s="35"/>
      <c r="AC435" s="35"/>
      <c r="AD435" s="35"/>
      <c r="AE435" s="35"/>
      <c r="AF435" s="35"/>
      <c r="AG435" s="35"/>
      <c r="AH435" s="35"/>
      <c r="AI435" s="35"/>
      <c r="AJ435" s="35"/>
      <c r="AK435" s="35"/>
      <c r="AL435" s="35"/>
    </row>
    <row r="436" ht="27.0" customHeight="1">
      <c r="A436" s="55"/>
      <c r="B436" s="140" t="s">
        <v>2073</v>
      </c>
      <c r="C436" s="141" t="s">
        <v>2136</v>
      </c>
      <c r="D436" s="47"/>
      <c r="E436" s="56" t="s">
        <v>2345</v>
      </c>
      <c r="F436" s="22" t="s">
        <v>2346</v>
      </c>
      <c r="G436" s="57">
        <v>2021.0</v>
      </c>
      <c r="H436" s="22" t="s">
        <v>2347</v>
      </c>
      <c r="I436" s="58" t="s">
        <v>2348</v>
      </c>
      <c r="J436" s="56" t="s">
        <v>2349</v>
      </c>
      <c r="K436" s="56"/>
      <c r="L436" s="67"/>
      <c r="M436" s="67"/>
      <c r="N436" s="67"/>
      <c r="O436" s="67"/>
      <c r="P436" s="68"/>
      <c r="Q436" s="67"/>
      <c r="R436" s="67"/>
      <c r="S436" s="67"/>
      <c r="T436" s="63" t="s">
        <v>2350</v>
      </c>
      <c r="U436" s="64" t="s">
        <v>61</v>
      </c>
      <c r="V436" s="30"/>
      <c r="W436" s="49"/>
      <c r="X436" s="49"/>
      <c r="Y436" s="35"/>
      <c r="Z436" s="35"/>
      <c r="AA436" s="35"/>
      <c r="AB436" s="35"/>
      <c r="AC436" s="35"/>
      <c r="AD436" s="35"/>
      <c r="AE436" s="35"/>
      <c r="AF436" s="35"/>
      <c r="AG436" s="35"/>
      <c r="AH436" s="35"/>
      <c r="AI436" s="35"/>
      <c r="AJ436" s="35"/>
      <c r="AK436" s="35"/>
      <c r="AL436" s="35"/>
    </row>
    <row r="437" ht="27.0" customHeight="1">
      <c r="A437" s="55"/>
      <c r="B437" s="140" t="s">
        <v>2073</v>
      </c>
      <c r="C437" s="141" t="s">
        <v>2136</v>
      </c>
      <c r="D437" s="47"/>
      <c r="E437" s="56" t="s">
        <v>2351</v>
      </c>
      <c r="F437" s="22" t="s">
        <v>2352</v>
      </c>
      <c r="G437" s="57">
        <v>2021.0</v>
      </c>
      <c r="H437" s="22" t="s">
        <v>2347</v>
      </c>
      <c r="I437" s="58" t="s">
        <v>2353</v>
      </c>
      <c r="J437" s="56" t="s">
        <v>2354</v>
      </c>
      <c r="K437" s="56" t="s">
        <v>2355</v>
      </c>
      <c r="L437" s="67">
        <v>1068.0</v>
      </c>
      <c r="M437" s="67"/>
      <c r="N437" s="67"/>
      <c r="O437" s="67"/>
      <c r="P437" s="68"/>
      <c r="Q437" s="67"/>
      <c r="R437" s="67"/>
      <c r="S437" s="67"/>
      <c r="T437" s="63" t="s">
        <v>2356</v>
      </c>
      <c r="U437" s="64" t="s">
        <v>61</v>
      </c>
      <c r="V437" s="30"/>
      <c r="W437" s="49"/>
      <c r="X437" s="49"/>
      <c r="Y437" s="35"/>
      <c r="Z437" s="35"/>
      <c r="AA437" s="35"/>
      <c r="AB437" s="35"/>
      <c r="AC437" s="35"/>
      <c r="AD437" s="35"/>
      <c r="AE437" s="35"/>
      <c r="AF437" s="35"/>
      <c r="AG437" s="35"/>
      <c r="AH437" s="35"/>
      <c r="AI437" s="35"/>
      <c r="AJ437" s="35"/>
      <c r="AK437" s="35"/>
      <c r="AL437" s="35"/>
    </row>
    <row r="438" ht="27.0" customHeight="1">
      <c r="A438" s="55"/>
      <c r="B438" s="140" t="s">
        <v>2073</v>
      </c>
      <c r="C438" s="141" t="s">
        <v>2136</v>
      </c>
      <c r="D438" s="47"/>
      <c r="E438" s="56" t="s">
        <v>2316</v>
      </c>
      <c r="F438" s="22" t="s">
        <v>2175</v>
      </c>
      <c r="G438" s="57">
        <v>2021.0</v>
      </c>
      <c r="H438" s="22" t="s">
        <v>2357</v>
      </c>
      <c r="I438" s="58" t="s">
        <v>2358</v>
      </c>
      <c r="J438" s="22" t="s">
        <v>125</v>
      </c>
      <c r="K438" s="56"/>
      <c r="L438" s="86" t="s">
        <v>2359</v>
      </c>
      <c r="U438" s="64" t="s">
        <v>2360</v>
      </c>
      <c r="V438" s="30"/>
      <c r="W438" s="49"/>
      <c r="X438" s="49"/>
      <c r="Y438" s="35"/>
      <c r="Z438" s="35"/>
      <c r="AA438" s="35"/>
      <c r="AB438" s="35"/>
      <c r="AC438" s="35"/>
      <c r="AD438" s="35"/>
      <c r="AE438" s="35"/>
      <c r="AF438" s="35"/>
      <c r="AG438" s="35"/>
      <c r="AH438" s="35"/>
      <c r="AI438" s="35"/>
      <c r="AJ438" s="35"/>
      <c r="AK438" s="35"/>
      <c r="AL438" s="35"/>
    </row>
    <row r="439" ht="27.0" customHeight="1">
      <c r="A439" s="55"/>
      <c r="B439" s="140" t="s">
        <v>2073</v>
      </c>
      <c r="C439" s="141" t="s">
        <v>2136</v>
      </c>
      <c r="D439" s="47"/>
      <c r="E439" s="56" t="s">
        <v>2361</v>
      </c>
      <c r="F439" s="22" t="s">
        <v>2196</v>
      </c>
      <c r="G439" s="57">
        <v>2021.0</v>
      </c>
      <c r="H439" s="22" t="s">
        <v>2362</v>
      </c>
      <c r="I439" s="58" t="s">
        <v>2363</v>
      </c>
      <c r="J439" s="56" t="s">
        <v>44</v>
      </c>
      <c r="K439" s="56" t="s">
        <v>2364</v>
      </c>
      <c r="L439" s="67">
        <v>1070.0</v>
      </c>
      <c r="M439" s="67">
        <v>900.0</v>
      </c>
      <c r="N439" s="67" t="s">
        <v>2365</v>
      </c>
      <c r="O439" s="67"/>
      <c r="P439" s="68" t="s">
        <v>2366</v>
      </c>
      <c r="Q439" s="67"/>
      <c r="R439" s="67">
        <v>360.0</v>
      </c>
      <c r="S439" s="67" t="s">
        <v>2367</v>
      </c>
      <c r="T439" s="63" t="s">
        <v>2368</v>
      </c>
      <c r="U439" s="64" t="s">
        <v>61</v>
      </c>
      <c r="V439" s="30"/>
      <c r="W439" s="49"/>
      <c r="X439" s="49"/>
      <c r="Y439" s="35"/>
      <c r="Z439" s="35"/>
      <c r="AA439" s="35"/>
      <c r="AB439" s="35"/>
      <c r="AC439" s="35"/>
      <c r="AD439" s="35"/>
      <c r="AE439" s="35"/>
      <c r="AF439" s="35"/>
      <c r="AG439" s="35"/>
      <c r="AH439" s="35"/>
      <c r="AI439" s="35"/>
      <c r="AJ439" s="35"/>
      <c r="AK439" s="35"/>
      <c r="AL439" s="35"/>
    </row>
    <row r="440" ht="27.0" customHeight="1">
      <c r="A440" s="55"/>
      <c r="B440" s="140" t="s">
        <v>2073</v>
      </c>
      <c r="C440" s="141" t="s">
        <v>2136</v>
      </c>
      <c r="D440" s="47"/>
      <c r="E440" s="56" t="s">
        <v>2369</v>
      </c>
      <c r="F440" s="22" t="s">
        <v>2370</v>
      </c>
      <c r="G440" s="57">
        <v>2021.0</v>
      </c>
      <c r="H440" s="22" t="s">
        <v>2238</v>
      </c>
      <c r="I440" s="58" t="s">
        <v>2371</v>
      </c>
      <c r="J440" s="56" t="s">
        <v>2372</v>
      </c>
      <c r="K440" s="56"/>
      <c r="L440" s="86" t="s">
        <v>2373</v>
      </c>
      <c r="U440" s="64" t="s">
        <v>61</v>
      </c>
      <c r="V440" s="30"/>
      <c r="W440" s="49"/>
      <c r="X440" s="49"/>
      <c r="Y440" s="35"/>
      <c r="Z440" s="35"/>
      <c r="AA440" s="35"/>
      <c r="AB440" s="35"/>
      <c r="AC440" s="35"/>
      <c r="AD440" s="35"/>
      <c r="AE440" s="35"/>
      <c r="AF440" s="35"/>
      <c r="AG440" s="35"/>
      <c r="AH440" s="35"/>
      <c r="AI440" s="35"/>
      <c r="AJ440" s="35"/>
      <c r="AK440" s="35"/>
      <c r="AL440" s="35"/>
    </row>
    <row r="441" ht="27.0" customHeight="1">
      <c r="A441" s="55"/>
      <c r="B441" s="140" t="s">
        <v>2073</v>
      </c>
      <c r="C441" s="141" t="s">
        <v>2136</v>
      </c>
      <c r="D441" s="47"/>
      <c r="E441" s="56" t="s">
        <v>2374</v>
      </c>
      <c r="F441" s="22" t="s">
        <v>2161</v>
      </c>
      <c r="G441" s="57">
        <v>2021.0</v>
      </c>
      <c r="H441" s="22" t="s">
        <v>2375</v>
      </c>
      <c r="I441" s="58" t="s">
        <v>2376</v>
      </c>
      <c r="J441" s="56" t="s">
        <v>2377</v>
      </c>
      <c r="K441" s="56"/>
      <c r="L441" s="62" t="s">
        <v>2378</v>
      </c>
      <c r="M441" s="62">
        <v>15000.0</v>
      </c>
      <c r="N441" s="62" t="s">
        <v>2379</v>
      </c>
      <c r="O441" s="62"/>
      <c r="P441" s="62"/>
      <c r="Q441" s="62" t="s">
        <v>2380</v>
      </c>
      <c r="R441" s="62">
        <v>360.0</v>
      </c>
      <c r="S441" s="62" t="s">
        <v>2381</v>
      </c>
      <c r="T441" s="83" t="s">
        <v>2382</v>
      </c>
      <c r="U441" s="64" t="s">
        <v>61</v>
      </c>
      <c r="V441" s="30"/>
      <c r="W441" s="49"/>
      <c r="X441" s="49"/>
      <c r="Y441" s="35"/>
      <c r="Z441" s="35"/>
      <c r="AA441" s="35"/>
      <c r="AB441" s="35"/>
      <c r="AC441" s="35"/>
      <c r="AD441" s="35"/>
      <c r="AE441" s="35"/>
      <c r="AF441" s="35"/>
      <c r="AG441" s="35"/>
      <c r="AH441" s="35"/>
      <c r="AI441" s="35"/>
      <c r="AJ441" s="35"/>
      <c r="AK441" s="35"/>
      <c r="AL441" s="35"/>
    </row>
    <row r="442" ht="27.0" customHeight="1">
      <c r="A442" s="55"/>
      <c r="B442" s="140" t="s">
        <v>2073</v>
      </c>
      <c r="C442" s="141" t="s">
        <v>2136</v>
      </c>
      <c r="D442" s="47"/>
      <c r="E442" s="56" t="s">
        <v>2275</v>
      </c>
      <c r="F442" s="22" t="s">
        <v>65</v>
      </c>
      <c r="G442" s="57">
        <v>2021.0</v>
      </c>
      <c r="H442" s="22" t="s">
        <v>484</v>
      </c>
      <c r="I442" s="58" t="s">
        <v>2383</v>
      </c>
      <c r="J442" s="56" t="s">
        <v>209</v>
      </c>
      <c r="K442" s="56"/>
      <c r="L442" s="62">
        <v>635.0</v>
      </c>
      <c r="M442" s="62"/>
      <c r="N442" s="62"/>
      <c r="O442" s="62" t="s">
        <v>2384</v>
      </c>
      <c r="P442" s="62" t="s">
        <v>2385</v>
      </c>
      <c r="Q442" s="62" t="s">
        <v>2386</v>
      </c>
      <c r="R442" s="62">
        <v>600.0</v>
      </c>
      <c r="S442" s="62" t="s">
        <v>2387</v>
      </c>
      <c r="T442" s="83" t="s">
        <v>2388</v>
      </c>
      <c r="U442" s="64" t="s">
        <v>61</v>
      </c>
      <c r="V442" s="30"/>
      <c r="W442" s="49"/>
      <c r="X442" s="49"/>
      <c r="Y442" s="35"/>
      <c r="Z442" s="35"/>
      <c r="AA442" s="35"/>
      <c r="AB442" s="35"/>
      <c r="AC442" s="35"/>
      <c r="AD442" s="35"/>
      <c r="AE442" s="35"/>
      <c r="AF442" s="35"/>
      <c r="AG442" s="35"/>
      <c r="AH442" s="35"/>
      <c r="AI442" s="35"/>
      <c r="AJ442" s="35"/>
      <c r="AK442" s="35"/>
      <c r="AL442" s="35"/>
    </row>
    <row r="443" ht="27.0" customHeight="1">
      <c r="A443" s="55"/>
      <c r="B443" s="140" t="s">
        <v>2073</v>
      </c>
      <c r="C443" s="141" t="s">
        <v>2136</v>
      </c>
      <c r="D443" s="47"/>
      <c r="E443" s="56" t="s">
        <v>2316</v>
      </c>
      <c r="F443" s="22" t="s">
        <v>2175</v>
      </c>
      <c r="G443" s="57">
        <v>2021.0</v>
      </c>
      <c r="H443" s="22" t="s">
        <v>2357</v>
      </c>
      <c r="I443" s="58" t="s">
        <v>2389</v>
      </c>
      <c r="J443" s="22" t="s">
        <v>125</v>
      </c>
      <c r="K443" s="56"/>
      <c r="L443" s="85" t="s">
        <v>2390</v>
      </c>
      <c r="U443" s="64" t="s">
        <v>2360</v>
      </c>
      <c r="V443" s="30"/>
      <c r="W443" s="49"/>
      <c r="X443" s="49"/>
      <c r="Y443" s="35"/>
      <c r="Z443" s="35"/>
      <c r="AA443" s="35"/>
      <c r="AB443" s="35"/>
      <c r="AC443" s="35"/>
      <c r="AD443" s="35"/>
      <c r="AE443" s="35"/>
      <c r="AF443" s="35"/>
      <c r="AG443" s="35"/>
      <c r="AH443" s="35"/>
      <c r="AI443" s="35"/>
      <c r="AJ443" s="35"/>
      <c r="AK443" s="35"/>
      <c r="AL443" s="35"/>
    </row>
    <row r="444" ht="27.0" customHeight="1">
      <c r="A444" s="55"/>
      <c r="B444" s="140" t="s">
        <v>2073</v>
      </c>
      <c r="C444" s="141" t="s">
        <v>2136</v>
      </c>
      <c r="D444" s="47"/>
      <c r="E444" s="56" t="s">
        <v>2190</v>
      </c>
      <c r="F444" s="22" t="s">
        <v>2391</v>
      </c>
      <c r="G444" s="57">
        <v>2021.0</v>
      </c>
      <c r="H444" s="22" t="s">
        <v>2392</v>
      </c>
      <c r="I444" s="58" t="s">
        <v>2393</v>
      </c>
      <c r="J444" s="56" t="s">
        <v>44</v>
      </c>
      <c r="K444" s="56" t="s">
        <v>2394</v>
      </c>
      <c r="L444" s="67">
        <v>1267.0</v>
      </c>
      <c r="M444" s="67"/>
      <c r="N444" s="67"/>
      <c r="O444" s="67"/>
      <c r="P444" s="68" t="s">
        <v>2395</v>
      </c>
      <c r="Q444" s="67"/>
      <c r="R444" s="67">
        <v>3660.0</v>
      </c>
      <c r="S444" s="67" t="s">
        <v>2396</v>
      </c>
      <c r="T444" s="63" t="s">
        <v>2397</v>
      </c>
      <c r="U444" s="64" t="s">
        <v>61</v>
      </c>
      <c r="V444" s="30"/>
      <c r="W444" s="49"/>
      <c r="X444" s="49"/>
      <c r="Y444" s="35"/>
      <c r="Z444" s="35"/>
      <c r="AA444" s="35"/>
      <c r="AB444" s="35"/>
      <c r="AC444" s="35"/>
      <c r="AD444" s="35"/>
      <c r="AE444" s="35"/>
      <c r="AF444" s="35"/>
      <c r="AG444" s="35"/>
      <c r="AH444" s="35"/>
      <c r="AI444" s="35"/>
      <c r="AJ444" s="35"/>
      <c r="AK444" s="35"/>
      <c r="AL444" s="35"/>
    </row>
    <row r="445" ht="27.0" customHeight="1">
      <c r="A445" s="55"/>
      <c r="B445" s="140" t="s">
        <v>2073</v>
      </c>
      <c r="C445" s="141" t="s">
        <v>2136</v>
      </c>
      <c r="D445" s="47"/>
      <c r="E445" s="56" t="s">
        <v>2190</v>
      </c>
      <c r="F445" s="22" t="s">
        <v>2391</v>
      </c>
      <c r="G445" s="57">
        <v>2021.0</v>
      </c>
      <c r="H445" s="22" t="s">
        <v>2398</v>
      </c>
      <c r="I445" s="58" t="s">
        <v>2399</v>
      </c>
      <c r="J445" s="56" t="s">
        <v>44</v>
      </c>
      <c r="K445" s="56"/>
      <c r="L445" s="67">
        <v>1267.0</v>
      </c>
      <c r="M445" s="67"/>
      <c r="N445" s="67"/>
      <c r="O445" s="67"/>
      <c r="P445" s="68" t="s">
        <v>2400</v>
      </c>
      <c r="Q445" s="67"/>
      <c r="R445" s="67"/>
      <c r="S445" s="67">
        <v>9.0</v>
      </c>
      <c r="T445" s="63" t="s">
        <v>2401</v>
      </c>
      <c r="U445" s="64" t="s">
        <v>61</v>
      </c>
      <c r="V445" s="30"/>
      <c r="W445" s="49"/>
      <c r="X445" s="49"/>
      <c r="Y445" s="35"/>
      <c r="Z445" s="35"/>
      <c r="AA445" s="35"/>
      <c r="AB445" s="35"/>
      <c r="AC445" s="35"/>
      <c r="AD445" s="35"/>
      <c r="AE445" s="35"/>
      <c r="AF445" s="35"/>
      <c r="AG445" s="35"/>
      <c r="AH445" s="35"/>
      <c r="AI445" s="35"/>
      <c r="AJ445" s="35"/>
      <c r="AK445" s="35"/>
      <c r="AL445" s="35"/>
    </row>
    <row r="446" ht="27.0" customHeight="1">
      <c r="A446" s="55"/>
      <c r="B446" s="140" t="s">
        <v>2073</v>
      </c>
      <c r="C446" s="141" t="s">
        <v>2136</v>
      </c>
      <c r="D446" s="47"/>
      <c r="E446" s="56" t="s">
        <v>2402</v>
      </c>
      <c r="F446" s="22" t="s">
        <v>2403</v>
      </c>
      <c r="G446" s="57">
        <v>2021.0</v>
      </c>
      <c r="H446" s="22" t="s">
        <v>2238</v>
      </c>
      <c r="I446" s="58" t="s">
        <v>2404</v>
      </c>
      <c r="J446" s="56" t="s">
        <v>649</v>
      </c>
      <c r="K446" s="56"/>
      <c r="L446" s="85" t="s">
        <v>2405</v>
      </c>
      <c r="U446" s="64" t="s">
        <v>61</v>
      </c>
      <c r="V446" s="30"/>
      <c r="W446" s="49"/>
      <c r="X446" s="49"/>
      <c r="Y446" s="35"/>
      <c r="Z446" s="35"/>
      <c r="AA446" s="35"/>
      <c r="AB446" s="35"/>
      <c r="AC446" s="35"/>
      <c r="AD446" s="35"/>
      <c r="AE446" s="35"/>
      <c r="AF446" s="35"/>
      <c r="AG446" s="35"/>
      <c r="AH446" s="35"/>
      <c r="AI446" s="35"/>
      <c r="AJ446" s="35"/>
      <c r="AK446" s="35"/>
      <c r="AL446" s="35"/>
    </row>
    <row r="447" ht="27.0" customHeight="1">
      <c r="A447" s="55"/>
      <c r="B447" s="140" t="s">
        <v>2073</v>
      </c>
      <c r="C447" s="141" t="s">
        <v>2136</v>
      </c>
      <c r="D447" s="47"/>
      <c r="E447" s="56" t="s">
        <v>2406</v>
      </c>
      <c r="F447" s="22" t="s">
        <v>2407</v>
      </c>
      <c r="G447" s="57">
        <v>2021.0</v>
      </c>
      <c r="H447" s="22" t="s">
        <v>2238</v>
      </c>
      <c r="I447" s="58" t="s">
        <v>2408</v>
      </c>
      <c r="J447" s="56" t="s">
        <v>2409</v>
      </c>
      <c r="K447" s="56"/>
      <c r="L447" s="67">
        <v>830.0</v>
      </c>
      <c r="M447" s="67"/>
      <c r="N447" s="67" t="s">
        <v>2410</v>
      </c>
      <c r="O447" s="67"/>
      <c r="P447" s="68"/>
      <c r="Q447" s="67"/>
      <c r="R447" s="67"/>
      <c r="S447" s="67" t="s">
        <v>2411</v>
      </c>
      <c r="T447" s="63" t="s">
        <v>2412</v>
      </c>
      <c r="U447" s="64" t="s">
        <v>61</v>
      </c>
      <c r="V447" s="30"/>
      <c r="W447" s="49"/>
      <c r="X447" s="49"/>
      <c r="Y447" s="35"/>
      <c r="Z447" s="35"/>
      <c r="AA447" s="35"/>
      <c r="AB447" s="35"/>
      <c r="AC447" s="35"/>
      <c r="AD447" s="35"/>
      <c r="AE447" s="35"/>
      <c r="AF447" s="35"/>
      <c r="AG447" s="35"/>
      <c r="AH447" s="35"/>
      <c r="AI447" s="35"/>
      <c r="AJ447" s="35"/>
      <c r="AK447" s="35"/>
      <c r="AL447" s="35"/>
    </row>
    <row r="448" ht="27.0" customHeight="1">
      <c r="A448" s="55"/>
      <c r="B448" s="140" t="s">
        <v>2073</v>
      </c>
      <c r="C448" s="141" t="s">
        <v>2136</v>
      </c>
      <c r="D448" s="47"/>
      <c r="E448" s="56" t="s">
        <v>2413</v>
      </c>
      <c r="F448" s="22" t="s">
        <v>2414</v>
      </c>
      <c r="G448" s="57">
        <v>2021.0</v>
      </c>
      <c r="H448" s="22" t="s">
        <v>2415</v>
      </c>
      <c r="I448" s="58" t="s">
        <v>2416</v>
      </c>
      <c r="J448" s="56" t="s">
        <v>2377</v>
      </c>
      <c r="K448" s="56" t="s">
        <v>157</v>
      </c>
      <c r="L448" s="67" t="s">
        <v>2378</v>
      </c>
      <c r="M448" s="67"/>
      <c r="N448" s="67" t="s">
        <v>2417</v>
      </c>
      <c r="O448" s="67"/>
      <c r="P448" s="68"/>
      <c r="Q448" s="67" t="s">
        <v>2418</v>
      </c>
      <c r="R448" s="67" t="s">
        <v>2419</v>
      </c>
      <c r="S448" s="67" t="s">
        <v>2420</v>
      </c>
      <c r="T448" s="63" t="s">
        <v>2421</v>
      </c>
      <c r="U448" s="64" t="s">
        <v>2422</v>
      </c>
      <c r="V448" s="30"/>
      <c r="W448" s="49"/>
      <c r="X448" s="49"/>
      <c r="Y448" s="35"/>
      <c r="Z448" s="35"/>
      <c r="AA448" s="35"/>
      <c r="AB448" s="35"/>
      <c r="AC448" s="35"/>
      <c r="AD448" s="35"/>
      <c r="AE448" s="35"/>
      <c r="AF448" s="35"/>
      <c r="AG448" s="35"/>
      <c r="AH448" s="35"/>
      <c r="AI448" s="35"/>
      <c r="AJ448" s="35"/>
      <c r="AK448" s="35"/>
      <c r="AL448" s="35"/>
    </row>
    <row r="449" ht="27.0" customHeight="1">
      <c r="A449" s="55"/>
      <c r="B449" s="140" t="s">
        <v>2073</v>
      </c>
      <c r="C449" s="141" t="s">
        <v>2136</v>
      </c>
      <c r="D449" s="47"/>
      <c r="E449" s="56" t="s">
        <v>2423</v>
      </c>
      <c r="F449" s="22" t="s">
        <v>332</v>
      </c>
      <c r="G449" s="57">
        <v>2021.0</v>
      </c>
      <c r="H449" s="22" t="s">
        <v>2424</v>
      </c>
      <c r="I449" s="58" t="s">
        <v>2425</v>
      </c>
      <c r="J449" s="56" t="s">
        <v>2426</v>
      </c>
      <c r="K449" s="56" t="s">
        <v>2427</v>
      </c>
      <c r="L449" s="67">
        <v>650.0</v>
      </c>
      <c r="M449" s="67"/>
      <c r="N449" s="67"/>
      <c r="O449" s="67"/>
      <c r="P449" s="68"/>
      <c r="Q449" s="67"/>
      <c r="R449" s="67" t="s">
        <v>2428</v>
      </c>
      <c r="S449" s="67" t="s">
        <v>2429</v>
      </c>
      <c r="T449" s="63" t="s">
        <v>2430</v>
      </c>
      <c r="U449" s="64" t="s">
        <v>61</v>
      </c>
      <c r="V449" s="30" t="s">
        <v>2431</v>
      </c>
      <c r="W449" s="49"/>
      <c r="X449" s="49"/>
      <c r="Y449" s="35"/>
      <c r="Z449" s="35"/>
      <c r="AA449" s="35"/>
      <c r="AB449" s="35"/>
      <c r="AC449" s="35"/>
      <c r="AD449" s="35"/>
      <c r="AE449" s="35"/>
      <c r="AF449" s="35"/>
      <c r="AG449" s="35"/>
      <c r="AH449" s="35"/>
      <c r="AI449" s="35"/>
      <c r="AJ449" s="35"/>
      <c r="AK449" s="35"/>
      <c r="AL449" s="35"/>
    </row>
    <row r="450" ht="27.0" customHeight="1">
      <c r="A450" s="55"/>
      <c r="B450" s="140" t="s">
        <v>2073</v>
      </c>
      <c r="C450" s="141" t="s">
        <v>2136</v>
      </c>
      <c r="D450" s="47"/>
      <c r="E450" s="56" t="s">
        <v>2432</v>
      </c>
      <c r="F450" s="22" t="s">
        <v>65</v>
      </c>
      <c r="G450" s="57">
        <v>2021.0</v>
      </c>
      <c r="H450" s="22" t="s">
        <v>2433</v>
      </c>
      <c r="I450" s="58" t="s">
        <v>2434</v>
      </c>
      <c r="J450" s="56" t="s">
        <v>209</v>
      </c>
      <c r="K450" s="56" t="s">
        <v>2435</v>
      </c>
      <c r="L450" s="67">
        <v>635.0</v>
      </c>
      <c r="M450" s="67"/>
      <c r="N450" s="67"/>
      <c r="O450" s="67"/>
      <c r="P450" s="68" t="s">
        <v>82</v>
      </c>
      <c r="Q450" s="67"/>
      <c r="R450" s="67"/>
      <c r="S450" s="67">
        <v>30.0</v>
      </c>
      <c r="T450" s="63" t="s">
        <v>2436</v>
      </c>
      <c r="U450" s="64" t="s">
        <v>61</v>
      </c>
      <c r="V450" s="30"/>
      <c r="W450" s="49"/>
      <c r="X450" s="49"/>
      <c r="Y450" s="35"/>
      <c r="Z450" s="35"/>
      <c r="AA450" s="35"/>
      <c r="AB450" s="35"/>
      <c r="AC450" s="35"/>
      <c r="AD450" s="35"/>
      <c r="AE450" s="35"/>
      <c r="AF450" s="35"/>
      <c r="AG450" s="35"/>
      <c r="AH450" s="35"/>
      <c r="AI450" s="35"/>
      <c r="AJ450" s="35"/>
      <c r="AK450" s="35"/>
      <c r="AL450" s="35"/>
    </row>
    <row r="451" ht="27.0" customHeight="1">
      <c r="A451" s="55"/>
      <c r="B451" s="140" t="s">
        <v>2073</v>
      </c>
      <c r="C451" s="141" t="s">
        <v>2136</v>
      </c>
      <c r="D451" s="47"/>
      <c r="E451" s="56" t="s">
        <v>2195</v>
      </c>
      <c r="F451" s="22" t="s">
        <v>2437</v>
      </c>
      <c r="G451" s="57">
        <v>2021.0</v>
      </c>
      <c r="H451" s="22" t="s">
        <v>207</v>
      </c>
      <c r="I451" s="58" t="s">
        <v>2438</v>
      </c>
      <c r="J451" s="56" t="s">
        <v>44</v>
      </c>
      <c r="K451" s="56" t="s">
        <v>157</v>
      </c>
      <c r="L451" s="67" t="s">
        <v>2439</v>
      </c>
      <c r="M451" s="67"/>
      <c r="N451" s="67"/>
      <c r="O451" s="67"/>
      <c r="P451" s="68" t="s">
        <v>777</v>
      </c>
      <c r="Q451" s="67"/>
      <c r="R451" s="67"/>
      <c r="S451" s="67"/>
      <c r="T451" s="63" t="s">
        <v>2440</v>
      </c>
      <c r="U451" s="64" t="s">
        <v>61</v>
      </c>
      <c r="V451" s="30"/>
      <c r="W451" s="49"/>
      <c r="X451" s="49"/>
      <c r="Y451" s="35"/>
      <c r="Z451" s="35"/>
      <c r="AA451" s="35"/>
      <c r="AB451" s="35"/>
      <c r="AC451" s="35"/>
      <c r="AD451" s="35"/>
      <c r="AE451" s="35"/>
      <c r="AF451" s="35"/>
      <c r="AG451" s="35"/>
      <c r="AH451" s="35"/>
      <c r="AI451" s="35"/>
      <c r="AJ451" s="35"/>
      <c r="AK451" s="35"/>
      <c r="AL451" s="35"/>
    </row>
    <row r="452" ht="27.0" customHeight="1">
      <c r="A452" s="55"/>
      <c r="B452" s="140" t="s">
        <v>2073</v>
      </c>
      <c r="C452" s="141" t="s">
        <v>2136</v>
      </c>
      <c r="D452" s="47"/>
      <c r="E452" s="56" t="s">
        <v>1671</v>
      </c>
      <c r="F452" s="22" t="s">
        <v>400</v>
      </c>
      <c r="G452" s="57">
        <v>2020.0</v>
      </c>
      <c r="H452" s="22" t="s">
        <v>147</v>
      </c>
      <c r="I452" s="58" t="s">
        <v>2441</v>
      </c>
      <c r="J452" s="56" t="s">
        <v>2442</v>
      </c>
      <c r="K452" s="56"/>
      <c r="L452" s="86" t="s">
        <v>2443</v>
      </c>
      <c r="U452" s="64" t="s">
        <v>61</v>
      </c>
      <c r="V452" s="30"/>
      <c r="W452" s="49"/>
      <c r="X452" s="49"/>
      <c r="Y452" s="35"/>
      <c r="Z452" s="35"/>
      <c r="AA452" s="35"/>
      <c r="AB452" s="35"/>
      <c r="AC452" s="35"/>
      <c r="AD452" s="35"/>
      <c r="AE452" s="35"/>
      <c r="AF452" s="35"/>
      <c r="AG452" s="35"/>
      <c r="AH452" s="35"/>
      <c r="AI452" s="35"/>
      <c r="AJ452" s="35"/>
      <c r="AK452" s="35"/>
      <c r="AL452" s="35"/>
    </row>
    <row r="453" ht="27.0" customHeight="1">
      <c r="A453" s="149"/>
      <c r="B453" s="140" t="s">
        <v>2073</v>
      </c>
      <c r="C453" s="141" t="s">
        <v>2136</v>
      </c>
      <c r="D453" s="47"/>
      <c r="E453" s="56" t="s">
        <v>2444</v>
      </c>
      <c r="F453" s="22" t="s">
        <v>2445</v>
      </c>
      <c r="G453" s="57">
        <v>2020.0</v>
      </c>
      <c r="H453" s="22" t="s">
        <v>2238</v>
      </c>
      <c r="I453" s="58" t="s">
        <v>2446</v>
      </c>
      <c r="J453" s="22" t="s">
        <v>125</v>
      </c>
      <c r="K453" s="56"/>
      <c r="L453" s="79" t="s">
        <v>2447</v>
      </c>
      <c r="U453" s="64" t="s">
        <v>61</v>
      </c>
      <c r="V453" s="30"/>
      <c r="W453" s="49"/>
      <c r="X453" s="49"/>
      <c r="Y453" s="35"/>
      <c r="Z453" s="35"/>
      <c r="AA453" s="35"/>
      <c r="AB453" s="35"/>
      <c r="AC453" s="35"/>
      <c r="AD453" s="35"/>
      <c r="AE453" s="35"/>
      <c r="AF453" s="35"/>
      <c r="AG453" s="35"/>
      <c r="AH453" s="35"/>
      <c r="AI453" s="35"/>
      <c r="AJ453" s="35"/>
      <c r="AK453" s="35"/>
      <c r="AL453" s="35"/>
    </row>
    <row r="454" ht="27.0" customHeight="1">
      <c r="A454" s="149"/>
      <c r="B454" s="140" t="s">
        <v>2073</v>
      </c>
      <c r="C454" s="141" t="s">
        <v>2136</v>
      </c>
      <c r="D454" s="47"/>
      <c r="E454" s="56" t="s">
        <v>223</v>
      </c>
      <c r="F454" s="22" t="s">
        <v>224</v>
      </c>
      <c r="G454" s="57">
        <v>2020.0</v>
      </c>
      <c r="H454" s="22" t="s">
        <v>2230</v>
      </c>
      <c r="I454" s="58" t="s">
        <v>2448</v>
      </c>
      <c r="J454" s="56" t="s">
        <v>2141</v>
      </c>
      <c r="K454" s="56"/>
      <c r="L454" s="150"/>
      <c r="M454" s="150"/>
      <c r="N454" s="150"/>
      <c r="O454" s="150"/>
      <c r="P454" s="151"/>
      <c r="Q454" s="150"/>
      <c r="R454" s="150"/>
      <c r="S454" s="150"/>
      <c r="T454" s="59"/>
      <c r="U454" s="64" t="s">
        <v>61</v>
      </c>
      <c r="V454" s="30"/>
      <c r="W454" s="49"/>
      <c r="X454" s="49"/>
      <c r="Y454" s="35"/>
      <c r="Z454" s="35"/>
      <c r="AA454" s="35"/>
      <c r="AB454" s="35"/>
      <c r="AC454" s="35"/>
      <c r="AD454" s="35"/>
      <c r="AE454" s="35"/>
      <c r="AF454" s="35"/>
      <c r="AG454" s="35"/>
      <c r="AH454" s="35"/>
      <c r="AI454" s="35"/>
      <c r="AJ454" s="35"/>
      <c r="AK454" s="35"/>
      <c r="AL454" s="35"/>
    </row>
    <row r="455" ht="27.0" customHeight="1">
      <c r="A455" s="149"/>
      <c r="B455" s="140" t="s">
        <v>2073</v>
      </c>
      <c r="C455" s="141" t="s">
        <v>2136</v>
      </c>
      <c r="D455" s="47"/>
      <c r="E455" s="56" t="s">
        <v>2449</v>
      </c>
      <c r="F455" s="22" t="s">
        <v>2391</v>
      </c>
      <c r="G455" s="57">
        <v>2020.0</v>
      </c>
      <c r="H455" s="22" t="s">
        <v>2450</v>
      </c>
      <c r="I455" s="58" t="s">
        <v>2451</v>
      </c>
      <c r="J455" s="56" t="s">
        <v>44</v>
      </c>
      <c r="K455" s="56"/>
      <c r="L455" s="69">
        <v>1267.0</v>
      </c>
      <c r="M455" s="69"/>
      <c r="N455" s="69"/>
      <c r="O455" s="69"/>
      <c r="P455" s="70" t="s">
        <v>2395</v>
      </c>
      <c r="Q455" s="69"/>
      <c r="R455" s="69"/>
      <c r="S455" s="69"/>
      <c r="T455" s="63" t="s">
        <v>2452</v>
      </c>
      <c r="U455" s="64" t="s">
        <v>2453</v>
      </c>
      <c r="V455" s="30"/>
      <c r="W455" s="49"/>
      <c r="X455" s="49"/>
      <c r="Y455" s="35"/>
      <c r="Z455" s="35"/>
      <c r="AA455" s="35"/>
      <c r="AB455" s="35"/>
      <c r="AC455" s="35"/>
      <c r="AD455" s="35"/>
      <c r="AE455" s="35"/>
      <c r="AF455" s="35"/>
      <c r="AG455" s="35"/>
      <c r="AH455" s="35"/>
      <c r="AI455" s="35"/>
      <c r="AJ455" s="35"/>
      <c r="AK455" s="35"/>
      <c r="AL455" s="35"/>
    </row>
    <row r="456" ht="27.0" customHeight="1">
      <c r="A456" s="149"/>
      <c r="B456" s="140" t="s">
        <v>2073</v>
      </c>
      <c r="C456" s="141" t="s">
        <v>2136</v>
      </c>
      <c r="D456" s="47"/>
      <c r="E456" s="56" t="s">
        <v>2454</v>
      </c>
      <c r="F456" s="22" t="s">
        <v>2455</v>
      </c>
      <c r="G456" s="57">
        <v>2020.0</v>
      </c>
      <c r="H456" s="22" t="s">
        <v>2456</v>
      </c>
      <c r="I456" s="58" t="s">
        <v>2457</v>
      </c>
      <c r="J456" s="22" t="s">
        <v>125</v>
      </c>
      <c r="K456" s="56"/>
      <c r="L456" s="88" t="s">
        <v>2458</v>
      </c>
      <c r="M456" s="44"/>
      <c r="N456" s="44"/>
      <c r="O456" s="44"/>
      <c r="P456" s="44"/>
      <c r="Q456" s="44"/>
      <c r="R456" s="44"/>
      <c r="S456" s="44"/>
      <c r="T456" s="45"/>
      <c r="U456" s="64" t="s">
        <v>61</v>
      </c>
      <c r="V456" s="30"/>
      <c r="W456" s="49"/>
      <c r="X456" s="49"/>
      <c r="Y456" s="35"/>
      <c r="Z456" s="35"/>
      <c r="AA456" s="35"/>
      <c r="AB456" s="35"/>
      <c r="AC456" s="35"/>
      <c r="AD456" s="35"/>
      <c r="AE456" s="35"/>
      <c r="AF456" s="35"/>
      <c r="AG456" s="35"/>
      <c r="AH456" s="35"/>
      <c r="AI456" s="35"/>
      <c r="AJ456" s="35"/>
      <c r="AK456" s="35"/>
      <c r="AL456" s="35"/>
    </row>
    <row r="457" ht="27.0" customHeight="1">
      <c r="A457" s="149"/>
      <c r="B457" s="140" t="s">
        <v>2073</v>
      </c>
      <c r="C457" s="141" t="s">
        <v>2136</v>
      </c>
      <c r="D457" s="47"/>
      <c r="E457" s="56" t="s">
        <v>2459</v>
      </c>
      <c r="F457" s="22" t="s">
        <v>2460</v>
      </c>
      <c r="G457" s="57">
        <v>2020.0</v>
      </c>
      <c r="H457" s="22" t="s">
        <v>2238</v>
      </c>
      <c r="I457" s="58" t="s">
        <v>2461</v>
      </c>
      <c r="J457" s="22" t="s">
        <v>125</v>
      </c>
      <c r="K457" s="56"/>
      <c r="L457" s="88" t="s">
        <v>2462</v>
      </c>
      <c r="M457" s="44"/>
      <c r="N457" s="44"/>
      <c r="O457" s="44"/>
      <c r="P457" s="44"/>
      <c r="Q457" s="44"/>
      <c r="R457" s="44"/>
      <c r="S457" s="44"/>
      <c r="T457" s="45"/>
      <c r="U457" s="64" t="s">
        <v>61</v>
      </c>
      <c r="V457" s="30"/>
      <c r="W457" s="49"/>
      <c r="X457" s="49"/>
      <c r="Y457" s="35"/>
      <c r="Z457" s="35"/>
      <c r="AA457" s="35"/>
      <c r="AB457" s="35"/>
      <c r="AC457" s="35"/>
      <c r="AD457" s="35"/>
      <c r="AE457" s="35"/>
      <c r="AF457" s="35"/>
      <c r="AG457" s="35"/>
      <c r="AH457" s="35"/>
      <c r="AI457" s="35"/>
      <c r="AJ457" s="35"/>
      <c r="AK457" s="35"/>
      <c r="AL457" s="35"/>
    </row>
    <row r="458" ht="27.0" customHeight="1">
      <c r="A458" s="149"/>
      <c r="B458" s="140" t="s">
        <v>2073</v>
      </c>
      <c r="C458" s="141" t="s">
        <v>2136</v>
      </c>
      <c r="D458" s="47"/>
      <c r="E458" s="56" t="s">
        <v>2463</v>
      </c>
      <c r="F458" s="22" t="s">
        <v>2464</v>
      </c>
      <c r="G458" s="57">
        <v>2020.0</v>
      </c>
      <c r="H458" s="22" t="s">
        <v>1485</v>
      </c>
      <c r="I458" s="58" t="s">
        <v>2465</v>
      </c>
      <c r="J458" s="56" t="s">
        <v>2466</v>
      </c>
      <c r="K458" s="56" t="s">
        <v>157</v>
      </c>
      <c r="L458" s="69">
        <v>810.0</v>
      </c>
      <c r="M458" s="69"/>
      <c r="N458" s="69"/>
      <c r="O458" s="69"/>
      <c r="P458" s="70"/>
      <c r="Q458" s="69"/>
      <c r="R458" s="69"/>
      <c r="S458" s="69"/>
      <c r="T458" s="63" t="s">
        <v>2467</v>
      </c>
      <c r="U458" s="66" t="str">
        <f>HYPERLINK("https://www.ncbi.nlm.nih.gov/pubmed/32305654","PubMed")</f>
        <v>PubMed</v>
      </c>
      <c r="V458" s="30"/>
      <c r="W458" s="49"/>
      <c r="X458" s="49"/>
      <c r="Y458" s="35"/>
      <c r="Z458" s="35"/>
      <c r="AA458" s="35"/>
      <c r="AB458" s="35"/>
      <c r="AC458" s="35"/>
      <c r="AD458" s="35"/>
      <c r="AE458" s="35"/>
      <c r="AF458" s="35"/>
      <c r="AG458" s="35"/>
      <c r="AH458" s="35"/>
      <c r="AI458" s="35"/>
      <c r="AJ458" s="35"/>
      <c r="AK458" s="35"/>
      <c r="AL458" s="35"/>
    </row>
    <row r="459" ht="27.0" customHeight="1">
      <c r="A459" s="149" t="s">
        <v>181</v>
      </c>
      <c r="B459" s="140" t="s">
        <v>2073</v>
      </c>
      <c r="C459" s="141" t="s">
        <v>2136</v>
      </c>
      <c r="D459" s="47"/>
      <c r="E459" s="56" t="s">
        <v>2468</v>
      </c>
      <c r="F459" s="22" t="s">
        <v>2352</v>
      </c>
      <c r="G459" s="57">
        <v>2019.0</v>
      </c>
      <c r="H459" s="22" t="s">
        <v>77</v>
      </c>
      <c r="I459" s="58" t="s">
        <v>2469</v>
      </c>
      <c r="J459" s="22" t="s">
        <v>125</v>
      </c>
      <c r="K459" s="56"/>
      <c r="L459" s="79" t="s">
        <v>2470</v>
      </c>
      <c r="U459" s="66" t="str">
        <f>HYPERLINK("https://www.ncbi.nlm.nih.gov/pubmed/31647776","PubMed")</f>
        <v>PubMed</v>
      </c>
      <c r="V459" s="30"/>
      <c r="W459" s="49"/>
      <c r="X459" s="49"/>
      <c r="Y459" s="35"/>
      <c r="Z459" s="35"/>
      <c r="AA459" s="35"/>
      <c r="AB459" s="35"/>
      <c r="AC459" s="35"/>
      <c r="AD459" s="35"/>
      <c r="AE459" s="35"/>
      <c r="AF459" s="35"/>
      <c r="AG459" s="35"/>
      <c r="AH459" s="35"/>
      <c r="AI459" s="35"/>
      <c r="AJ459" s="35"/>
      <c r="AK459" s="35"/>
      <c r="AL459" s="35"/>
    </row>
    <row r="460" ht="27.0" customHeight="1">
      <c r="A460" s="18"/>
      <c r="B460" s="140" t="s">
        <v>2073</v>
      </c>
      <c r="C460" s="141" t="s">
        <v>2136</v>
      </c>
      <c r="D460" s="47"/>
      <c r="E460" s="56" t="s">
        <v>2471</v>
      </c>
      <c r="F460" s="22" t="s">
        <v>224</v>
      </c>
      <c r="G460" s="57">
        <v>2019.0</v>
      </c>
      <c r="H460" s="22" t="s">
        <v>2251</v>
      </c>
      <c r="I460" s="58" t="s">
        <v>2472</v>
      </c>
      <c r="J460" s="56" t="s">
        <v>44</v>
      </c>
      <c r="K460" s="56" t="s">
        <v>157</v>
      </c>
      <c r="L460" s="69" t="s">
        <v>2473</v>
      </c>
      <c r="M460" s="69"/>
      <c r="N460" s="69" t="s">
        <v>2474</v>
      </c>
      <c r="O460" s="69"/>
      <c r="P460" s="70"/>
      <c r="Q460" s="69"/>
      <c r="R460" s="69">
        <v>2400.0</v>
      </c>
      <c r="S460" s="69" t="s">
        <v>2475</v>
      </c>
      <c r="T460" s="63" t="s">
        <v>2476</v>
      </c>
      <c r="U460" s="66" t="str">
        <f>HYPERLINK("https://www.ncbi.nlm.nih.gov/pubmed/31720368","PubMed")</f>
        <v>PubMed</v>
      </c>
      <c r="V460" s="30"/>
      <c r="W460" s="49"/>
      <c r="X460" s="49"/>
      <c r="Y460" s="35"/>
      <c r="Z460" s="35"/>
      <c r="AA460" s="35"/>
      <c r="AB460" s="35"/>
      <c r="AC460" s="35"/>
      <c r="AD460" s="35"/>
      <c r="AE460" s="35"/>
      <c r="AF460" s="35"/>
      <c r="AG460" s="35"/>
      <c r="AH460" s="35"/>
      <c r="AI460" s="35"/>
      <c r="AJ460" s="35"/>
      <c r="AK460" s="35"/>
      <c r="AL460" s="35"/>
    </row>
    <row r="461" ht="27.0" customHeight="1">
      <c r="A461" s="40" t="s">
        <v>2</v>
      </c>
      <c r="B461" s="140" t="s">
        <v>2073</v>
      </c>
      <c r="C461" s="141" t="s">
        <v>2136</v>
      </c>
      <c r="D461" s="47"/>
      <c r="E461" s="56" t="s">
        <v>2316</v>
      </c>
      <c r="F461" s="22" t="s">
        <v>65</v>
      </c>
      <c r="G461" s="57">
        <v>2019.0</v>
      </c>
      <c r="H461" s="22" t="s">
        <v>2433</v>
      </c>
      <c r="I461" s="58" t="s">
        <v>2477</v>
      </c>
      <c r="J461" s="56" t="s">
        <v>44</v>
      </c>
      <c r="K461" s="56"/>
      <c r="L461" s="69">
        <v>633.0</v>
      </c>
      <c r="M461" s="69"/>
      <c r="N461" s="69"/>
      <c r="O461" s="69"/>
      <c r="P461" s="70"/>
      <c r="Q461" s="69"/>
      <c r="R461" s="69"/>
      <c r="S461" s="69"/>
      <c r="T461" s="63" t="s">
        <v>2478</v>
      </c>
      <c r="U461" s="66" t="str">
        <f>HYPERLINK("https://www.ncbi.nlm.nih.gov/pubmed/31663252","PubMed")</f>
        <v>PubMed</v>
      </c>
      <c r="V461" s="30"/>
      <c r="W461" s="49"/>
      <c r="X461" s="49"/>
      <c r="Y461" s="35"/>
      <c r="Z461" s="35"/>
      <c r="AA461" s="35"/>
      <c r="AB461" s="35"/>
      <c r="AC461" s="35"/>
      <c r="AD461" s="35"/>
      <c r="AE461" s="35"/>
      <c r="AF461" s="35"/>
      <c r="AG461" s="35"/>
      <c r="AH461" s="35"/>
      <c r="AI461" s="35"/>
      <c r="AJ461" s="35"/>
      <c r="AK461" s="35"/>
      <c r="AL461" s="35"/>
    </row>
    <row r="462" ht="27.0" customHeight="1">
      <c r="A462" s="55"/>
      <c r="B462" s="140" t="s">
        <v>2073</v>
      </c>
      <c r="C462" s="141" t="s">
        <v>2136</v>
      </c>
      <c r="D462" s="47"/>
      <c r="E462" s="56" t="s">
        <v>2449</v>
      </c>
      <c r="F462" s="22" t="s">
        <v>2391</v>
      </c>
      <c r="G462" s="57">
        <v>2019.0</v>
      </c>
      <c r="H462" s="22" t="s">
        <v>2479</v>
      </c>
      <c r="I462" s="58" t="s">
        <v>2480</v>
      </c>
      <c r="J462" s="56" t="s">
        <v>44</v>
      </c>
      <c r="K462" s="56"/>
      <c r="L462" s="69">
        <v>1267.0</v>
      </c>
      <c r="M462" s="69"/>
      <c r="N462" s="69"/>
      <c r="O462" s="69"/>
      <c r="P462" s="70" t="s">
        <v>2400</v>
      </c>
      <c r="Q462" s="69"/>
      <c r="R462" s="69"/>
      <c r="S462" s="69" t="s">
        <v>900</v>
      </c>
      <c r="T462" s="63" t="s">
        <v>2481</v>
      </c>
      <c r="U462" s="66" t="str">
        <f>HYPERLINK("https://www.ncbi.nlm.nih.gov/pubmed/31452991","PubMed")</f>
        <v>PubMed</v>
      </c>
      <c r="V462" s="30"/>
      <c r="W462" s="49"/>
      <c r="X462" s="49"/>
      <c r="Y462" s="35"/>
      <c r="Z462" s="35"/>
      <c r="AA462" s="35"/>
      <c r="AB462" s="35"/>
      <c r="AC462" s="35"/>
      <c r="AD462" s="35"/>
      <c r="AE462" s="35"/>
      <c r="AF462" s="35"/>
      <c r="AG462" s="35"/>
      <c r="AH462" s="35"/>
      <c r="AI462" s="35"/>
      <c r="AJ462" s="35"/>
      <c r="AK462" s="35"/>
      <c r="AL462" s="35"/>
    </row>
    <row r="463" ht="33.0" customHeight="1">
      <c r="A463" s="51"/>
      <c r="B463" s="140" t="s">
        <v>2073</v>
      </c>
      <c r="C463" s="141" t="s">
        <v>2136</v>
      </c>
      <c r="D463" s="152"/>
      <c r="E463" s="22" t="s">
        <v>2482</v>
      </c>
      <c r="F463" s="22" t="s">
        <v>2407</v>
      </c>
      <c r="G463" s="23">
        <v>2019.0</v>
      </c>
      <c r="H463" s="22" t="s">
        <v>2483</v>
      </c>
      <c r="I463" s="24" t="s">
        <v>2484</v>
      </c>
      <c r="J463" s="22" t="s">
        <v>125</v>
      </c>
      <c r="K463" s="22"/>
      <c r="L463" s="43" t="s">
        <v>2485</v>
      </c>
      <c r="M463" s="44"/>
      <c r="N463" s="44"/>
      <c r="O463" s="44"/>
      <c r="P463" s="44"/>
      <c r="Q463" s="44"/>
      <c r="R463" s="44"/>
      <c r="S463" s="44"/>
      <c r="T463" s="45"/>
      <c r="U463" s="153" t="str">
        <f>HYPERLINK("https://www.ncbi.nlm.nih.gov/pubmed/31363464","PubMed")</f>
        <v>PubMed</v>
      </c>
      <c r="V463" s="30"/>
      <c r="W463" s="49"/>
      <c r="X463" s="49"/>
      <c r="Y463" s="35"/>
      <c r="Z463" s="35"/>
      <c r="AA463" s="35"/>
      <c r="AB463" s="35"/>
      <c r="AC463" s="35"/>
      <c r="AD463" s="35"/>
      <c r="AE463" s="35"/>
      <c r="AF463" s="35"/>
      <c r="AG463" s="35"/>
      <c r="AH463" s="35"/>
      <c r="AI463" s="35"/>
      <c r="AJ463" s="35"/>
      <c r="AK463" s="35"/>
      <c r="AL463" s="35"/>
    </row>
    <row r="464" ht="33.0" customHeight="1">
      <c r="A464" s="51" t="s">
        <v>38</v>
      </c>
      <c r="B464" s="140" t="s">
        <v>2073</v>
      </c>
      <c r="C464" s="141" t="s">
        <v>2136</v>
      </c>
      <c r="D464" s="152"/>
      <c r="E464" s="22" t="s">
        <v>2402</v>
      </c>
      <c r="F464" s="22" t="s">
        <v>1046</v>
      </c>
      <c r="G464" s="23">
        <v>2019.0</v>
      </c>
      <c r="H464" s="22" t="s">
        <v>77</v>
      </c>
      <c r="I464" s="24" t="s">
        <v>2486</v>
      </c>
      <c r="J464" s="22" t="s">
        <v>2487</v>
      </c>
      <c r="K464" s="22" t="s">
        <v>157</v>
      </c>
      <c r="L464" s="36" t="s">
        <v>2488</v>
      </c>
      <c r="M464" s="36"/>
      <c r="N464" s="36"/>
      <c r="O464" s="36"/>
      <c r="P464" s="37"/>
      <c r="Q464" s="36"/>
      <c r="R464" s="36"/>
      <c r="S464" s="36" t="s">
        <v>2489</v>
      </c>
      <c r="T464" s="28" t="s">
        <v>2490</v>
      </c>
      <c r="U464" s="153" t="str">
        <f>HYPERLINK("https://www.ncbi.nlm.nih.gov/pubmed/31050946","PubMed")</f>
        <v>PubMed</v>
      </c>
      <c r="V464" s="30"/>
      <c r="W464" s="49"/>
      <c r="X464" s="49"/>
      <c r="Y464" s="35"/>
      <c r="Z464" s="35"/>
      <c r="AA464" s="35"/>
      <c r="AB464" s="35"/>
      <c r="AC464" s="35"/>
      <c r="AD464" s="35"/>
      <c r="AE464" s="35"/>
      <c r="AF464" s="35"/>
      <c r="AG464" s="35"/>
      <c r="AH464" s="35"/>
      <c r="AI464" s="35"/>
      <c r="AJ464" s="35"/>
      <c r="AK464" s="35"/>
      <c r="AL464" s="35"/>
    </row>
    <row r="465" ht="33.0" customHeight="1">
      <c r="A465" s="18"/>
      <c r="B465" s="140" t="s">
        <v>2073</v>
      </c>
      <c r="C465" s="141" t="s">
        <v>2136</v>
      </c>
      <c r="D465" s="152"/>
      <c r="E465" s="22" t="s">
        <v>2491</v>
      </c>
      <c r="F465" s="22" t="s">
        <v>2492</v>
      </c>
      <c r="G465" s="23">
        <v>2019.0</v>
      </c>
      <c r="H465" s="22" t="s">
        <v>77</v>
      </c>
      <c r="I465" s="24" t="s">
        <v>2493</v>
      </c>
      <c r="J465" s="22" t="s">
        <v>2494</v>
      </c>
      <c r="K465" s="22" t="s">
        <v>157</v>
      </c>
      <c r="L465" s="36">
        <v>810.0</v>
      </c>
      <c r="M465" s="36"/>
      <c r="N465" s="36"/>
      <c r="O465" s="36">
        <v>240.0</v>
      </c>
      <c r="P465" s="37"/>
      <c r="Q465" s="36"/>
      <c r="R465" s="36"/>
      <c r="S465" s="36" t="s">
        <v>2495</v>
      </c>
      <c r="T465" s="28" t="s">
        <v>2496</v>
      </c>
      <c r="U465" s="153" t="str">
        <f>HYPERLINK("https://www.ncbi.nlm.nih.gov/pubmed/31050950","PubMed")</f>
        <v>PubMed</v>
      </c>
      <c r="V465" s="30" t="s">
        <v>2497</v>
      </c>
      <c r="W465" s="49"/>
      <c r="X465" s="49"/>
      <c r="Y465" s="35"/>
      <c r="Z465" s="35"/>
      <c r="AA465" s="35"/>
      <c r="AB465" s="35"/>
      <c r="AC465" s="35"/>
      <c r="AD465" s="35"/>
      <c r="AE465" s="35"/>
      <c r="AF465" s="35"/>
      <c r="AG465" s="35"/>
      <c r="AH465" s="35"/>
      <c r="AI465" s="35"/>
      <c r="AJ465" s="35"/>
      <c r="AK465" s="35"/>
      <c r="AL465" s="35"/>
    </row>
    <row r="466" ht="33.0" customHeight="1">
      <c r="A466" s="51"/>
      <c r="B466" s="140" t="s">
        <v>2073</v>
      </c>
      <c r="C466" s="141" t="s">
        <v>2136</v>
      </c>
      <c r="D466" s="152"/>
      <c r="E466" s="22" t="s">
        <v>2498</v>
      </c>
      <c r="F466" s="22" t="s">
        <v>1649</v>
      </c>
      <c r="G466" s="23" t="s">
        <v>2499</v>
      </c>
      <c r="H466" s="22" t="s">
        <v>2500</v>
      </c>
      <c r="I466" s="24" t="s">
        <v>2501</v>
      </c>
      <c r="J466" s="22" t="s">
        <v>44</v>
      </c>
      <c r="K466" s="22" t="s">
        <v>157</v>
      </c>
      <c r="L466" s="36">
        <v>660.0</v>
      </c>
      <c r="M466" s="36"/>
      <c r="N466" s="36"/>
      <c r="O466" s="36"/>
      <c r="P466" s="37"/>
      <c r="Q466" s="36"/>
      <c r="R466" s="36"/>
      <c r="S466" s="36"/>
      <c r="T466" s="28" t="s">
        <v>2502</v>
      </c>
      <c r="U466" s="153" t="str">
        <f>HYPERLINK("https://www.ncbi.nlm.nih.gov/pubmed/30346494","PubMed")</f>
        <v>PubMed</v>
      </c>
      <c r="V466" s="30"/>
      <c r="W466" s="49"/>
      <c r="X466" s="49"/>
      <c r="Y466" s="35"/>
      <c r="Z466" s="35"/>
      <c r="AA466" s="35"/>
      <c r="AB466" s="35"/>
      <c r="AC466" s="35"/>
      <c r="AD466" s="35"/>
      <c r="AE466" s="35"/>
      <c r="AF466" s="35"/>
      <c r="AG466" s="35"/>
      <c r="AH466" s="35"/>
      <c r="AI466" s="35"/>
      <c r="AJ466" s="35"/>
      <c r="AK466" s="35"/>
      <c r="AL466" s="35"/>
    </row>
    <row r="467" ht="33.0" customHeight="1">
      <c r="A467" s="18"/>
      <c r="B467" s="140" t="s">
        <v>2073</v>
      </c>
      <c r="C467" s="141" t="s">
        <v>2136</v>
      </c>
      <c r="D467" s="152"/>
      <c r="E467" s="22" t="s">
        <v>2503</v>
      </c>
      <c r="F467" s="22" t="s">
        <v>2504</v>
      </c>
      <c r="G467" s="23">
        <v>2018.0</v>
      </c>
      <c r="H467" s="22" t="s">
        <v>2505</v>
      </c>
      <c r="I467" s="24" t="s">
        <v>2506</v>
      </c>
      <c r="J467" s="22" t="s">
        <v>44</v>
      </c>
      <c r="K467" s="22" t="s">
        <v>2507</v>
      </c>
      <c r="L467" s="36">
        <v>670.0</v>
      </c>
      <c r="M467" s="36"/>
      <c r="N467" s="36"/>
      <c r="O467" s="36"/>
      <c r="P467" s="37"/>
      <c r="Q467" s="36"/>
      <c r="R467" s="36">
        <v>90.0</v>
      </c>
      <c r="S467" s="36">
        <v>20.0</v>
      </c>
      <c r="T467" s="28" t="s">
        <v>2508</v>
      </c>
      <c r="U467" s="153" t="str">
        <f>HYPERLINK("https://www.ncbi.nlm.nih.gov/pubmed/30120733","PubMed")</f>
        <v>PubMed</v>
      </c>
      <c r="V467" s="30" t="s">
        <v>2509</v>
      </c>
      <c r="W467" s="49"/>
      <c r="X467" s="49"/>
      <c r="Y467" s="35"/>
      <c r="Z467" s="35"/>
      <c r="AA467" s="35"/>
      <c r="AB467" s="35"/>
      <c r="AC467" s="35"/>
      <c r="AD467" s="35"/>
      <c r="AE467" s="35"/>
      <c r="AF467" s="35"/>
      <c r="AG467" s="35"/>
      <c r="AH467" s="35"/>
      <c r="AI467" s="35"/>
      <c r="AJ467" s="35"/>
      <c r="AK467" s="35"/>
      <c r="AL467" s="35"/>
    </row>
    <row r="468" ht="33.0" customHeight="1">
      <c r="A468" s="18"/>
      <c r="B468" s="140" t="s">
        <v>2073</v>
      </c>
      <c r="C468" s="141" t="s">
        <v>2136</v>
      </c>
      <c r="D468" s="152"/>
      <c r="E468" s="22" t="s">
        <v>2151</v>
      </c>
      <c r="F468" s="22" t="s">
        <v>2288</v>
      </c>
      <c r="G468" s="23">
        <v>2018.0</v>
      </c>
      <c r="H468" s="22" t="s">
        <v>2510</v>
      </c>
      <c r="I468" s="24" t="s">
        <v>2511</v>
      </c>
      <c r="J468" s="22" t="s">
        <v>44</v>
      </c>
      <c r="K468" s="22" t="s">
        <v>2512</v>
      </c>
      <c r="L468" s="36" t="s">
        <v>2513</v>
      </c>
      <c r="M468" s="36"/>
      <c r="N468" s="36"/>
      <c r="O468" s="36"/>
      <c r="P468" s="37"/>
      <c r="Q468" s="36"/>
      <c r="R468" s="36"/>
      <c r="S468" s="36"/>
      <c r="T468" s="28" t="s">
        <v>2514</v>
      </c>
      <c r="U468" s="153" t="str">
        <f>HYPERLINK("https://www.ncbi.nlm.nih.gov/pubmed/29955652","PubMed")</f>
        <v>PubMed</v>
      </c>
      <c r="V468" s="30" t="s">
        <v>2515</v>
      </c>
      <c r="W468" s="49"/>
      <c r="X468" s="49"/>
      <c r="Y468" s="35"/>
      <c r="Z468" s="35"/>
      <c r="AA468" s="35"/>
      <c r="AB468" s="35"/>
      <c r="AC468" s="35"/>
      <c r="AD468" s="35"/>
      <c r="AE468" s="35"/>
      <c r="AF468" s="35"/>
      <c r="AG468" s="35"/>
      <c r="AH468" s="35"/>
      <c r="AI468" s="35"/>
      <c r="AJ468" s="35"/>
      <c r="AK468" s="35"/>
      <c r="AL468" s="35"/>
    </row>
    <row r="469" ht="33.0" customHeight="1">
      <c r="A469" s="18"/>
      <c r="B469" s="140" t="s">
        <v>2073</v>
      </c>
      <c r="C469" s="141" t="s">
        <v>2136</v>
      </c>
      <c r="D469" s="152"/>
      <c r="E469" s="22" t="s">
        <v>2316</v>
      </c>
      <c r="F469" s="22" t="s">
        <v>224</v>
      </c>
      <c r="G469" s="23" t="s">
        <v>2499</v>
      </c>
      <c r="H469" s="22" t="s">
        <v>2516</v>
      </c>
      <c r="I469" s="24" t="s">
        <v>2517</v>
      </c>
      <c r="J469" s="22" t="s">
        <v>44</v>
      </c>
      <c r="K469" s="22" t="s">
        <v>157</v>
      </c>
      <c r="L469" s="36">
        <v>630.0</v>
      </c>
      <c r="M469" s="36"/>
      <c r="N469" s="36"/>
      <c r="O469" s="36"/>
      <c r="P469" s="37"/>
      <c r="Q469" s="36"/>
      <c r="R469" s="36"/>
      <c r="S469" s="36"/>
      <c r="T469" s="28" t="s">
        <v>2518</v>
      </c>
      <c r="U469" s="153" t="str">
        <f>HYPERLINK("https://www.ncbi.nlm.nih.gov/pubmed/29869529","PubMed")</f>
        <v>PubMed</v>
      </c>
      <c r="V469" s="30"/>
      <c r="W469" s="49"/>
      <c r="X469" s="49"/>
      <c r="Y469" s="35"/>
      <c r="Z469" s="35"/>
      <c r="AA469" s="35"/>
      <c r="AB469" s="35"/>
      <c r="AC469" s="35"/>
      <c r="AD469" s="35"/>
      <c r="AE469" s="35"/>
      <c r="AF469" s="35"/>
      <c r="AG469" s="35"/>
      <c r="AH469" s="35"/>
      <c r="AI469" s="35"/>
      <c r="AJ469" s="35"/>
      <c r="AK469" s="35"/>
      <c r="AL469" s="35"/>
    </row>
    <row r="470" ht="33.0" customHeight="1">
      <c r="A470" s="18"/>
      <c r="B470" s="140" t="s">
        <v>2073</v>
      </c>
      <c r="C470" s="141" t="s">
        <v>2136</v>
      </c>
      <c r="D470" s="152"/>
      <c r="E470" s="22" t="s">
        <v>2503</v>
      </c>
      <c r="F470" s="22" t="s">
        <v>2504</v>
      </c>
      <c r="G470" s="23">
        <v>2017.0</v>
      </c>
      <c r="H470" s="22" t="s">
        <v>2181</v>
      </c>
      <c r="I470" s="24" t="s">
        <v>2519</v>
      </c>
      <c r="J470" s="22" t="s">
        <v>44</v>
      </c>
      <c r="K470" s="22" t="s">
        <v>157</v>
      </c>
      <c r="L470" s="36">
        <v>670.0</v>
      </c>
      <c r="M470" s="36"/>
      <c r="N470" s="36"/>
      <c r="O470" s="36"/>
      <c r="P470" s="37"/>
      <c r="Q470" s="36"/>
      <c r="R470" s="36" t="s">
        <v>2520</v>
      </c>
      <c r="S470" s="36">
        <v>20.0</v>
      </c>
      <c r="T470" s="28" t="s">
        <v>2521</v>
      </c>
      <c r="U470" s="153" t="str">
        <f>HYPERLINK("https://www.ncbi.nlm.nih.gov/pubmed/29118388","PubMed")</f>
        <v>PubMed</v>
      </c>
      <c r="V470" s="50"/>
      <c r="W470" s="49"/>
      <c r="X470" s="49"/>
      <c r="Y470" s="35"/>
      <c r="Z470" s="35"/>
      <c r="AA470" s="35"/>
      <c r="AB470" s="35"/>
      <c r="AC470" s="35"/>
      <c r="AD470" s="35"/>
      <c r="AE470" s="35"/>
      <c r="AF470" s="35"/>
      <c r="AG470" s="35"/>
      <c r="AH470" s="35"/>
      <c r="AI470" s="35"/>
      <c r="AJ470" s="35"/>
      <c r="AK470" s="35"/>
      <c r="AL470" s="35"/>
    </row>
    <row r="471" ht="33.0" customHeight="1">
      <c r="A471" s="18"/>
      <c r="B471" s="140" t="s">
        <v>2073</v>
      </c>
      <c r="C471" s="141" t="s">
        <v>2136</v>
      </c>
      <c r="D471" s="152"/>
      <c r="E471" s="22" t="s">
        <v>2522</v>
      </c>
      <c r="F471" s="22" t="s">
        <v>2161</v>
      </c>
      <c r="G471" s="23">
        <v>2017.0</v>
      </c>
      <c r="H471" s="22" t="s">
        <v>2523</v>
      </c>
      <c r="I471" s="24" t="s">
        <v>2524</v>
      </c>
      <c r="J471" s="22" t="s">
        <v>2525</v>
      </c>
      <c r="K471" s="22"/>
      <c r="L471" s="36" t="s">
        <v>2378</v>
      </c>
      <c r="M471" s="36"/>
      <c r="N471" s="36"/>
      <c r="O471" s="36"/>
      <c r="P471" s="37"/>
      <c r="Q471" s="36"/>
      <c r="R471" s="36">
        <v>360.0</v>
      </c>
      <c r="S471" s="36" t="s">
        <v>2526</v>
      </c>
      <c r="T471" s="28" t="s">
        <v>2527</v>
      </c>
      <c r="U471" s="153" t="str">
        <f>HYPERLINK("https://www.ncbi.nlm.nih.gov/pubmed/28593105","PubMed")</f>
        <v>PubMed</v>
      </c>
      <c r="V471" s="50"/>
      <c r="W471" s="49"/>
      <c r="X471" s="49"/>
      <c r="Y471" s="35"/>
      <c r="Z471" s="35"/>
      <c r="AA471" s="35"/>
      <c r="AB471" s="35"/>
      <c r="AC471" s="35"/>
      <c r="AD471" s="35"/>
      <c r="AE471" s="35"/>
      <c r="AF471" s="35"/>
      <c r="AG471" s="35"/>
      <c r="AH471" s="35"/>
      <c r="AI471" s="35"/>
      <c r="AJ471" s="35"/>
      <c r="AK471" s="35"/>
      <c r="AL471" s="35"/>
    </row>
    <row r="472" ht="33.0" customHeight="1">
      <c r="A472" s="18" t="s">
        <v>2</v>
      </c>
      <c r="B472" s="140" t="s">
        <v>2073</v>
      </c>
      <c r="C472" s="141" t="s">
        <v>2136</v>
      </c>
      <c r="D472" s="152"/>
      <c r="E472" s="22" t="s">
        <v>2528</v>
      </c>
      <c r="F472" s="22" t="s">
        <v>2529</v>
      </c>
      <c r="G472" s="23">
        <v>2017.0</v>
      </c>
      <c r="H472" s="22" t="s">
        <v>91</v>
      </c>
      <c r="I472" s="24" t="s">
        <v>2530</v>
      </c>
      <c r="J472" s="22" t="s">
        <v>55</v>
      </c>
      <c r="K472" s="22" t="s">
        <v>2531</v>
      </c>
      <c r="L472" s="36">
        <v>627.0</v>
      </c>
      <c r="M472" s="36">
        <v>70.0</v>
      </c>
      <c r="N472" s="36"/>
      <c r="O472" s="36"/>
      <c r="P472" s="37" t="s">
        <v>2532</v>
      </c>
      <c r="Q472" s="36"/>
      <c r="R472" s="36">
        <v>100.0</v>
      </c>
      <c r="S472" s="36">
        <v>21.0</v>
      </c>
      <c r="T472" s="28" t="s">
        <v>2533</v>
      </c>
      <c r="U472" s="153" t="str">
        <f>HYPERLINK("https://www.ncbi.nlm.nih.gov/pubmed/28255783","PubMed")</f>
        <v>PubMed</v>
      </c>
      <c r="V472" s="50"/>
      <c r="W472" s="49"/>
      <c r="X472" s="49"/>
      <c r="Y472" s="35"/>
      <c r="Z472" s="35"/>
      <c r="AA472" s="35"/>
      <c r="AB472" s="35"/>
      <c r="AC472" s="35"/>
      <c r="AD472" s="35"/>
      <c r="AE472" s="35"/>
      <c r="AF472" s="35"/>
      <c r="AG472" s="35"/>
      <c r="AH472" s="35"/>
      <c r="AI472" s="35"/>
      <c r="AJ472" s="35"/>
      <c r="AK472" s="35"/>
      <c r="AL472" s="35"/>
    </row>
    <row r="473" ht="33.0" customHeight="1">
      <c r="A473" s="1"/>
      <c r="B473" s="140" t="s">
        <v>2073</v>
      </c>
      <c r="C473" s="141" t="s">
        <v>2136</v>
      </c>
      <c r="D473" s="152"/>
      <c r="E473" s="22" t="s">
        <v>2534</v>
      </c>
      <c r="F473" s="22" t="s">
        <v>2535</v>
      </c>
      <c r="G473" s="23">
        <v>2017.0</v>
      </c>
      <c r="H473" s="22" t="s">
        <v>658</v>
      </c>
      <c r="I473" s="24" t="s">
        <v>2536</v>
      </c>
      <c r="J473" s="22" t="s">
        <v>2537</v>
      </c>
      <c r="K473" s="22" t="s">
        <v>2538</v>
      </c>
      <c r="L473" s="36">
        <v>810.0</v>
      </c>
      <c r="M473" s="36"/>
      <c r="N473" s="36"/>
      <c r="O473" s="36"/>
      <c r="P473" s="37"/>
      <c r="Q473" s="36"/>
      <c r="R473" s="36"/>
      <c r="S473" s="36"/>
      <c r="T473" s="28" t="s">
        <v>2539</v>
      </c>
      <c r="U473" s="153" t="str">
        <f>HYPERLINK("https://www.ncbi.nlm.nih.gov/pubmed/28186867","PubMed")</f>
        <v>PubMed</v>
      </c>
      <c r="V473" s="50"/>
      <c r="W473" s="49"/>
      <c r="X473" s="49"/>
      <c r="Y473" s="35"/>
      <c r="Z473" s="35"/>
      <c r="AA473" s="35"/>
      <c r="AB473" s="35"/>
      <c r="AC473" s="35"/>
      <c r="AD473" s="35"/>
      <c r="AE473" s="35"/>
      <c r="AF473" s="35"/>
      <c r="AG473" s="35"/>
      <c r="AH473" s="35"/>
      <c r="AI473" s="35"/>
      <c r="AJ473" s="35"/>
      <c r="AK473" s="35"/>
      <c r="AL473" s="35"/>
    </row>
    <row r="474" ht="52.5" customHeight="1">
      <c r="A474" s="1" t="s">
        <v>2</v>
      </c>
      <c r="B474" s="140" t="s">
        <v>2073</v>
      </c>
      <c r="C474" s="141" t="s">
        <v>2136</v>
      </c>
      <c r="D474" s="152"/>
      <c r="E474" s="22" t="s">
        <v>312</v>
      </c>
      <c r="F474" s="22" t="s">
        <v>2540</v>
      </c>
      <c r="G474" s="23">
        <v>2017.0</v>
      </c>
      <c r="H474" s="22" t="s">
        <v>2541</v>
      </c>
      <c r="I474" s="24" t="s">
        <v>2542</v>
      </c>
      <c r="J474" s="22" t="s">
        <v>55</v>
      </c>
      <c r="K474" s="22" t="s">
        <v>2543</v>
      </c>
      <c r="L474" s="36">
        <v>808.0</v>
      </c>
      <c r="M474" s="36"/>
      <c r="N474" s="36" t="s">
        <v>2544</v>
      </c>
      <c r="O474" s="36"/>
      <c r="P474" s="37" t="s">
        <v>2545</v>
      </c>
      <c r="Q474" s="36" t="s">
        <v>675</v>
      </c>
      <c r="R474" s="36">
        <v>120.0</v>
      </c>
      <c r="S474" s="36">
        <v>5.0</v>
      </c>
      <c r="T474" s="28" t="s">
        <v>2546</v>
      </c>
      <c r="U474" s="153" t="str">
        <f>HYPERLINK("https://www.ncbi.nlm.nih.gov/pubmed/27815990","PubMed")</f>
        <v>PubMed</v>
      </c>
      <c r="V474" s="50"/>
      <c r="W474" s="49"/>
      <c r="X474" s="49"/>
      <c r="Y474" s="35"/>
      <c r="Z474" s="35"/>
      <c r="AA474" s="35"/>
      <c r="AB474" s="35"/>
      <c r="AC474" s="35"/>
      <c r="AD474" s="35"/>
      <c r="AE474" s="35"/>
      <c r="AF474" s="35"/>
      <c r="AG474" s="35"/>
      <c r="AH474" s="35"/>
      <c r="AI474" s="35"/>
      <c r="AJ474" s="35"/>
      <c r="AK474" s="35"/>
      <c r="AL474" s="35"/>
    </row>
    <row r="475" ht="52.5" customHeight="1">
      <c r="A475" s="1"/>
      <c r="B475" s="140" t="s">
        <v>2073</v>
      </c>
      <c r="C475" s="141" t="s">
        <v>2136</v>
      </c>
      <c r="D475" s="152"/>
      <c r="E475" s="22" t="s">
        <v>2547</v>
      </c>
      <c r="F475" s="22" t="s">
        <v>2130</v>
      </c>
      <c r="G475" s="23">
        <v>2016.0</v>
      </c>
      <c r="H475" s="22" t="s">
        <v>2548</v>
      </c>
      <c r="I475" s="24" t="s">
        <v>2549</v>
      </c>
      <c r="J475" s="22" t="s">
        <v>125</v>
      </c>
      <c r="K475" s="22"/>
      <c r="L475" s="105" t="s">
        <v>2550</v>
      </c>
      <c r="M475" s="44"/>
      <c r="N475" s="44"/>
      <c r="O475" s="44"/>
      <c r="P475" s="44"/>
      <c r="Q475" s="44"/>
      <c r="R475" s="44"/>
      <c r="S475" s="44"/>
      <c r="T475" s="45"/>
      <c r="U475" s="38" t="str">
        <f>HYPERLINK("https://www.ncbi.nlm.nih.gov/pubmed/27324946","PubMed")</f>
        <v>PubMed</v>
      </c>
      <c r="V475" s="50"/>
      <c r="W475" s="49"/>
      <c r="X475" s="49"/>
      <c r="Y475" s="35"/>
      <c r="Z475" s="35"/>
      <c r="AA475" s="35"/>
      <c r="AB475" s="35"/>
      <c r="AC475" s="35"/>
      <c r="AD475" s="35"/>
      <c r="AE475" s="35"/>
      <c r="AF475" s="35"/>
      <c r="AG475" s="35"/>
      <c r="AH475" s="35"/>
      <c r="AI475" s="35"/>
      <c r="AJ475" s="35"/>
      <c r="AK475" s="35"/>
      <c r="AL475" s="35"/>
    </row>
    <row r="476" ht="52.5" customHeight="1">
      <c r="A476" s="1"/>
      <c r="B476" s="140" t="s">
        <v>2073</v>
      </c>
      <c r="C476" s="141" t="s">
        <v>2136</v>
      </c>
      <c r="D476" s="152"/>
      <c r="E476" s="22" t="s">
        <v>2551</v>
      </c>
      <c r="F476" s="22" t="s">
        <v>1310</v>
      </c>
      <c r="G476" s="23">
        <v>2016.0</v>
      </c>
      <c r="H476" s="22" t="s">
        <v>658</v>
      </c>
      <c r="I476" s="24" t="s">
        <v>2552</v>
      </c>
      <c r="J476" s="22" t="s">
        <v>44</v>
      </c>
      <c r="K476" s="22" t="s">
        <v>2158</v>
      </c>
      <c r="L476" s="36">
        <v>808.0</v>
      </c>
      <c r="M476" s="36" t="s">
        <v>2553</v>
      </c>
      <c r="N476" s="36" t="s">
        <v>2554</v>
      </c>
      <c r="O476" s="36"/>
      <c r="P476" s="37" t="s">
        <v>2555</v>
      </c>
      <c r="Q476" s="36"/>
      <c r="R476" s="36">
        <v>100.0</v>
      </c>
      <c r="S476" s="36">
        <v>6.0</v>
      </c>
      <c r="T476" s="28" t="s">
        <v>2556</v>
      </c>
      <c r="U476" s="38" t="str">
        <f>HYPERLINK("https://www.ncbi.nlm.nih.gov/pubmed/27294393","PubMed")</f>
        <v>PubMed</v>
      </c>
      <c r="V476" s="50"/>
      <c r="W476" s="49"/>
      <c r="X476" s="49"/>
      <c r="Y476" s="35"/>
      <c r="Z476" s="35"/>
      <c r="AA476" s="35"/>
      <c r="AB476" s="35"/>
      <c r="AC476" s="35"/>
      <c r="AD476" s="35"/>
      <c r="AE476" s="35"/>
      <c r="AF476" s="35"/>
      <c r="AG476" s="35"/>
      <c r="AH476" s="35"/>
      <c r="AI476" s="35"/>
      <c r="AJ476" s="35"/>
      <c r="AK476" s="35"/>
      <c r="AL476" s="35"/>
    </row>
    <row r="477" ht="52.5" customHeight="1">
      <c r="A477" s="1"/>
      <c r="B477" s="140" t="s">
        <v>2073</v>
      </c>
      <c r="C477" s="141" t="s">
        <v>2136</v>
      </c>
      <c r="D477" s="152"/>
      <c r="E477" s="22" t="s">
        <v>2557</v>
      </c>
      <c r="F477" s="22" t="s">
        <v>1862</v>
      </c>
      <c r="G477" s="23">
        <v>2015.0</v>
      </c>
      <c r="H477" s="22" t="s">
        <v>2558</v>
      </c>
      <c r="I477" s="24" t="s">
        <v>2559</v>
      </c>
      <c r="J477" s="22" t="s">
        <v>44</v>
      </c>
      <c r="K477" s="22" t="s">
        <v>2560</v>
      </c>
      <c r="L477" s="154">
        <v>670.0</v>
      </c>
      <c r="M477" s="36"/>
      <c r="N477" s="36"/>
      <c r="O477" s="36"/>
      <c r="P477" s="37" t="s">
        <v>254</v>
      </c>
      <c r="Q477" s="36"/>
      <c r="R477" s="36"/>
      <c r="S477" s="36">
        <v>20.0</v>
      </c>
      <c r="T477" s="28" t="s">
        <v>2561</v>
      </c>
      <c r="U477" s="38" t="str">
        <f>HYPERLINK("https://www.ncbi.nlm.nih.gov/pubmed/25703226","PubMed")</f>
        <v>PubMed</v>
      </c>
      <c r="V477" s="50"/>
      <c r="W477" s="49"/>
      <c r="X477" s="49"/>
      <c r="Y477" s="35"/>
      <c r="Z477" s="35"/>
      <c r="AA477" s="35"/>
      <c r="AB477" s="35"/>
      <c r="AC477" s="35"/>
      <c r="AD477" s="35"/>
      <c r="AE477" s="35"/>
      <c r="AF477" s="35"/>
      <c r="AG477" s="35"/>
      <c r="AH477" s="35"/>
      <c r="AI477" s="35"/>
      <c r="AJ477" s="35"/>
      <c r="AK477" s="35"/>
      <c r="AL477" s="35"/>
    </row>
    <row r="478" ht="52.5" customHeight="1">
      <c r="A478" s="149" t="s">
        <v>181</v>
      </c>
      <c r="B478" s="140" t="s">
        <v>2073</v>
      </c>
      <c r="C478" s="141" t="s">
        <v>2136</v>
      </c>
      <c r="D478" s="152"/>
      <c r="E478" s="22" t="s">
        <v>2562</v>
      </c>
      <c r="F478" s="22" t="s">
        <v>1310</v>
      </c>
      <c r="G478" s="23">
        <v>2015.0</v>
      </c>
      <c r="H478" s="22" t="s">
        <v>2563</v>
      </c>
      <c r="I478" s="24" t="s">
        <v>2564</v>
      </c>
      <c r="J478" s="22" t="s">
        <v>44</v>
      </c>
      <c r="K478" s="22" t="s">
        <v>2565</v>
      </c>
      <c r="L478" s="155" t="s">
        <v>2566</v>
      </c>
      <c r="M478" s="36"/>
      <c r="N478" s="36"/>
      <c r="O478" s="36"/>
      <c r="P478" s="37" t="s">
        <v>2555</v>
      </c>
      <c r="Q478" s="36" t="s">
        <v>2567</v>
      </c>
      <c r="R478" s="36"/>
      <c r="S478" s="36"/>
      <c r="T478" s="28" t="s">
        <v>2568</v>
      </c>
      <c r="U478" s="38" t="str">
        <f>HYPERLINK("https://www.ncbi.nlm.nih.gov/pubmed/24994540","PubMed")</f>
        <v>PubMed</v>
      </c>
      <c r="V478" s="50"/>
      <c r="W478" s="49"/>
      <c r="X478" s="49"/>
      <c r="Y478" s="35"/>
      <c r="Z478" s="35"/>
      <c r="AA478" s="35"/>
      <c r="AB478" s="35"/>
      <c r="AC478" s="35"/>
      <c r="AD478" s="35"/>
      <c r="AE478" s="35"/>
      <c r="AF478" s="35"/>
      <c r="AG478" s="35"/>
      <c r="AH478" s="35"/>
      <c r="AI478" s="35"/>
      <c r="AJ478" s="35"/>
      <c r="AK478" s="35"/>
      <c r="AL478" s="35"/>
    </row>
    <row r="479" ht="52.5" customHeight="1">
      <c r="A479" s="1" t="s">
        <v>2</v>
      </c>
      <c r="B479" s="140" t="s">
        <v>2073</v>
      </c>
      <c r="C479" s="141" t="s">
        <v>2136</v>
      </c>
      <c r="D479" s="152"/>
      <c r="E479" s="22" t="s">
        <v>2557</v>
      </c>
      <c r="F479" s="22" t="s">
        <v>1862</v>
      </c>
      <c r="G479" s="23">
        <v>2014.0</v>
      </c>
      <c r="H479" s="22" t="s">
        <v>2148</v>
      </c>
      <c r="I479" s="24" t="s">
        <v>2569</v>
      </c>
      <c r="J479" s="22" t="s">
        <v>44</v>
      </c>
      <c r="K479" s="22" t="s">
        <v>2570</v>
      </c>
      <c r="L479" s="154">
        <v>670.0</v>
      </c>
      <c r="M479" s="36"/>
      <c r="N479" s="36"/>
      <c r="O479" s="36"/>
      <c r="P479" s="37" t="s">
        <v>254</v>
      </c>
      <c r="Q479" s="36"/>
      <c r="R479" s="36">
        <v>90.0</v>
      </c>
      <c r="S479" s="36">
        <v>20.0</v>
      </c>
      <c r="T479" s="28" t="s">
        <v>2571</v>
      </c>
      <c r="U479" s="38" t="str">
        <f>HYPERLINK("https://www.ncbi.nlm.nih.gov/pubmed/24387311","PubMed")</f>
        <v>PubMed</v>
      </c>
      <c r="V479" s="30" t="s">
        <v>2572</v>
      </c>
      <c r="W479" s="49"/>
      <c r="X479" s="49"/>
      <c r="Y479" s="35"/>
      <c r="Z479" s="35"/>
      <c r="AA479" s="35"/>
      <c r="AB479" s="35"/>
      <c r="AC479" s="35"/>
      <c r="AD479" s="35"/>
      <c r="AE479" s="35"/>
      <c r="AF479" s="35"/>
      <c r="AG479" s="35"/>
      <c r="AH479" s="35"/>
      <c r="AI479" s="35"/>
      <c r="AJ479" s="35"/>
      <c r="AK479" s="35"/>
      <c r="AL479" s="35"/>
    </row>
    <row r="480" ht="52.5" customHeight="1">
      <c r="A480" s="1"/>
      <c r="B480" s="140" t="s">
        <v>2073</v>
      </c>
      <c r="C480" s="141" t="s">
        <v>2136</v>
      </c>
      <c r="D480" s="152"/>
      <c r="E480" s="22" t="s">
        <v>2573</v>
      </c>
      <c r="F480" s="22" t="s">
        <v>2574</v>
      </c>
      <c r="G480" s="23">
        <v>2014.0</v>
      </c>
      <c r="H480" s="22" t="s">
        <v>2575</v>
      </c>
      <c r="I480" s="24" t="s">
        <v>2576</v>
      </c>
      <c r="J480" s="22" t="s">
        <v>31</v>
      </c>
      <c r="K480" s="22"/>
      <c r="L480" s="154">
        <v>800.0</v>
      </c>
      <c r="M480" s="36"/>
      <c r="N480" s="36"/>
      <c r="O480" s="36"/>
      <c r="P480" s="37"/>
      <c r="Q480" s="36"/>
      <c r="R480" s="36"/>
      <c r="S480" s="36"/>
      <c r="T480" s="28" t="s">
        <v>2577</v>
      </c>
      <c r="U480" s="38" t="str">
        <f>HYPERLINK("https://www.ncbi.nlm.nih.gov/pubmed/24200521","PubMed")</f>
        <v>PubMed</v>
      </c>
      <c r="V480" s="30"/>
      <c r="W480" s="49"/>
      <c r="X480" s="49"/>
      <c r="Y480" s="35"/>
      <c r="Z480" s="35"/>
      <c r="AA480" s="35"/>
      <c r="AB480" s="35"/>
      <c r="AC480" s="35"/>
      <c r="AD480" s="35"/>
      <c r="AE480" s="35"/>
      <c r="AF480" s="35"/>
      <c r="AG480" s="35"/>
      <c r="AH480" s="35"/>
      <c r="AI480" s="35"/>
      <c r="AJ480" s="35"/>
      <c r="AK480" s="35"/>
      <c r="AL480" s="35"/>
    </row>
    <row r="481" ht="52.5" customHeight="1">
      <c r="A481" s="1"/>
      <c r="B481" s="140" t="s">
        <v>2073</v>
      </c>
      <c r="C481" s="141" t="s">
        <v>2136</v>
      </c>
      <c r="D481" s="152"/>
      <c r="E481" s="22" t="s">
        <v>2578</v>
      </c>
      <c r="F481" s="22" t="s">
        <v>2579</v>
      </c>
      <c r="G481" s="23">
        <v>2014.0</v>
      </c>
      <c r="H481" s="22" t="s">
        <v>2580</v>
      </c>
      <c r="I481" s="24" t="s">
        <v>2581</v>
      </c>
      <c r="J481" s="22" t="s">
        <v>31</v>
      </c>
      <c r="K481" s="22"/>
      <c r="L481" s="154">
        <v>1068.0</v>
      </c>
      <c r="M481" s="36"/>
      <c r="N481" s="36"/>
      <c r="O481" s="36"/>
      <c r="P481" s="37"/>
      <c r="Q481" s="36"/>
      <c r="R481" s="36"/>
      <c r="S481" s="36"/>
      <c r="T481" s="28" t="s">
        <v>2582</v>
      </c>
      <c r="U481" s="38" t="str">
        <f>HYPERLINK("http://www.omicsonline.com/open-access/lowintensity-light-therapy-nm-protects-cad-neuroblastoma-cells-from-amyloidmediated-cell-death-0974-8369-s1-1000003.php?aid=31009","OMICS")</f>
        <v>OMICS</v>
      </c>
      <c r="V481" s="30"/>
      <c r="W481" s="49"/>
      <c r="X481" s="49"/>
      <c r="Y481" s="35"/>
      <c r="Z481" s="35"/>
      <c r="AA481" s="35"/>
      <c r="AB481" s="35"/>
      <c r="AC481" s="35"/>
      <c r="AD481" s="35"/>
      <c r="AE481" s="35"/>
      <c r="AF481" s="35"/>
      <c r="AG481" s="35"/>
      <c r="AH481" s="35"/>
      <c r="AI481" s="35"/>
      <c r="AJ481" s="35"/>
      <c r="AK481" s="35"/>
      <c r="AL481" s="35"/>
    </row>
    <row r="482" ht="52.5" customHeight="1">
      <c r="A482" s="1"/>
      <c r="B482" s="140" t="s">
        <v>2073</v>
      </c>
      <c r="C482" s="141" t="s">
        <v>2136</v>
      </c>
      <c r="D482" s="152"/>
      <c r="E482" s="22" t="s">
        <v>2583</v>
      </c>
      <c r="F482" s="22" t="s">
        <v>65</v>
      </c>
      <c r="G482" s="23">
        <v>2013.0</v>
      </c>
      <c r="H482" s="22" t="s">
        <v>2584</v>
      </c>
      <c r="I482" s="24" t="s">
        <v>2585</v>
      </c>
      <c r="J482" s="22" t="s">
        <v>31</v>
      </c>
      <c r="K482" s="22"/>
      <c r="L482" s="154">
        <v>633.0</v>
      </c>
      <c r="M482" s="36">
        <v>10.0</v>
      </c>
      <c r="N482" s="36" t="s">
        <v>2586</v>
      </c>
      <c r="O482" s="36"/>
      <c r="P482" s="37" t="s">
        <v>2587</v>
      </c>
      <c r="Q482" s="36"/>
      <c r="R482" s="36" t="s">
        <v>2588</v>
      </c>
      <c r="S482" s="36"/>
      <c r="T482" s="28" t="s">
        <v>2589</v>
      </c>
      <c r="U482" s="38" t="str">
        <f>HYPERLINK("https://www.ncbi.nlm.nih.gov/pubmed/23946409","PubMed")</f>
        <v>PubMed</v>
      </c>
      <c r="V482" s="30"/>
      <c r="W482" s="49"/>
      <c r="X482" s="49"/>
      <c r="Y482" s="35"/>
      <c r="Z482" s="35"/>
      <c r="AA482" s="35"/>
      <c r="AB482" s="35"/>
      <c r="AC482" s="35"/>
      <c r="AD482" s="35"/>
      <c r="AE482" s="35"/>
      <c r="AF482" s="35"/>
      <c r="AG482" s="35"/>
      <c r="AH482" s="35"/>
      <c r="AI482" s="35"/>
      <c r="AJ482" s="35"/>
      <c r="AK482" s="35"/>
      <c r="AL482" s="35"/>
    </row>
    <row r="483" ht="52.5" customHeight="1">
      <c r="A483" s="1"/>
      <c r="B483" s="140" t="s">
        <v>2073</v>
      </c>
      <c r="C483" s="141" t="s">
        <v>2136</v>
      </c>
      <c r="D483" s="152"/>
      <c r="E483" s="22" t="s">
        <v>2590</v>
      </c>
      <c r="F483" s="22" t="s">
        <v>2579</v>
      </c>
      <c r="G483" s="23">
        <v>2013.0</v>
      </c>
      <c r="H483" s="22" t="s">
        <v>207</v>
      </c>
      <c r="I483" s="24" t="s">
        <v>2591</v>
      </c>
      <c r="J483" s="22" t="s">
        <v>44</v>
      </c>
      <c r="K483" s="22"/>
      <c r="L483" s="154">
        <v>1072.0</v>
      </c>
      <c r="M483" s="36"/>
      <c r="N483" s="36"/>
      <c r="O483" s="36"/>
      <c r="P483" s="37"/>
      <c r="Q483" s="36"/>
      <c r="R483" s="36"/>
      <c r="S483" s="36"/>
      <c r="T483" s="28" t="s">
        <v>2592</v>
      </c>
      <c r="U483" s="38" t="str">
        <f>HYPERLINK("https://www.ncbi.nlm.nih.gov/pubmed/23603448","PubMed")</f>
        <v>PubMed</v>
      </c>
      <c r="V483" s="30"/>
      <c r="W483" s="49"/>
      <c r="X483" s="49"/>
      <c r="Y483" s="35"/>
      <c r="Z483" s="35"/>
      <c r="AA483" s="35"/>
      <c r="AB483" s="35"/>
      <c r="AC483" s="35"/>
      <c r="AD483" s="35"/>
      <c r="AE483" s="35"/>
      <c r="AF483" s="35"/>
      <c r="AG483" s="35"/>
      <c r="AH483" s="35"/>
      <c r="AI483" s="35"/>
      <c r="AJ483" s="35"/>
      <c r="AK483" s="35"/>
      <c r="AL483" s="35"/>
    </row>
    <row r="484" ht="52.5" customHeight="1">
      <c r="A484" s="1"/>
      <c r="B484" s="140" t="s">
        <v>2073</v>
      </c>
      <c r="C484" s="141" t="s">
        <v>2136</v>
      </c>
      <c r="D484" s="152"/>
      <c r="E484" s="22" t="s">
        <v>2593</v>
      </c>
      <c r="F484" s="22" t="s">
        <v>65</v>
      </c>
      <c r="G484" s="23">
        <v>2012.0</v>
      </c>
      <c r="H484" s="22" t="s">
        <v>2594</v>
      </c>
      <c r="I484" s="24" t="s">
        <v>2595</v>
      </c>
      <c r="J484" s="22" t="s">
        <v>31</v>
      </c>
      <c r="K484" s="22"/>
      <c r="L484" s="36">
        <v>633.0</v>
      </c>
      <c r="M484" s="36">
        <v>10.0</v>
      </c>
      <c r="N484" s="36" t="s">
        <v>2596</v>
      </c>
      <c r="O484" s="36"/>
      <c r="P484" s="37" t="s">
        <v>269</v>
      </c>
      <c r="Q484" s="36"/>
      <c r="R484" s="36"/>
      <c r="S484" s="36"/>
      <c r="T484" s="28" t="s">
        <v>2597</v>
      </c>
      <c r="U484" s="38" t="str">
        <f>HYPERLINK("https://www.ncbi.nlm.nih.gov/pubmed/22917976","PubMed")</f>
        <v>PubMed</v>
      </c>
      <c r="V484" s="50"/>
      <c r="W484" s="49"/>
      <c r="X484" s="49"/>
      <c r="Y484" s="35"/>
      <c r="Z484" s="35"/>
      <c r="AA484" s="35"/>
      <c r="AB484" s="35"/>
      <c r="AC484" s="35"/>
      <c r="AD484" s="35"/>
      <c r="AE484" s="35"/>
      <c r="AF484" s="35"/>
      <c r="AG484" s="35"/>
      <c r="AH484" s="35"/>
      <c r="AI484" s="35"/>
      <c r="AJ484" s="35"/>
      <c r="AK484" s="35"/>
      <c r="AL484" s="35"/>
    </row>
    <row r="485" ht="52.5" customHeight="1">
      <c r="A485" s="1"/>
      <c r="B485" s="140" t="s">
        <v>2073</v>
      </c>
      <c r="C485" s="141" t="s">
        <v>2136</v>
      </c>
      <c r="D485" s="152"/>
      <c r="E485" s="22" t="s">
        <v>2316</v>
      </c>
      <c r="F485" s="22" t="s">
        <v>65</v>
      </c>
      <c r="G485" s="23">
        <v>2012.0</v>
      </c>
      <c r="H485" s="22" t="s">
        <v>66</v>
      </c>
      <c r="I485" s="24" t="s">
        <v>2598</v>
      </c>
      <c r="J485" s="22" t="s">
        <v>2599</v>
      </c>
      <c r="K485" s="22" t="s">
        <v>2600</v>
      </c>
      <c r="L485" s="36">
        <v>633.0</v>
      </c>
      <c r="M485" s="129">
        <v>42465.0</v>
      </c>
      <c r="N485" s="36" t="s">
        <v>2601</v>
      </c>
      <c r="O485" s="36"/>
      <c r="P485" s="37" t="s">
        <v>269</v>
      </c>
      <c r="Q485" s="36"/>
      <c r="R485" s="36"/>
      <c r="S485" s="36"/>
      <c r="T485" s="28" t="s">
        <v>2602</v>
      </c>
      <c r="U485" s="38" t="str">
        <f>HYPERLINK("https://www.ncbi.nlm.nih.gov/pubmed/21945154","PubMed")</f>
        <v>PubMed</v>
      </c>
      <c r="V485" s="50"/>
      <c r="W485" s="49"/>
      <c r="X485" s="49"/>
      <c r="Y485" s="35"/>
      <c r="Z485" s="35"/>
      <c r="AA485" s="35"/>
      <c r="AB485" s="35"/>
      <c r="AC485" s="35"/>
      <c r="AD485" s="35"/>
      <c r="AE485" s="35"/>
      <c r="AF485" s="35"/>
      <c r="AG485" s="35"/>
      <c r="AH485" s="35"/>
      <c r="AI485" s="35"/>
      <c r="AJ485" s="35"/>
      <c r="AK485" s="35"/>
      <c r="AL485" s="35"/>
    </row>
    <row r="486" ht="52.5" customHeight="1">
      <c r="A486" s="1"/>
      <c r="B486" s="140" t="s">
        <v>2073</v>
      </c>
      <c r="C486" s="141" t="s">
        <v>2136</v>
      </c>
      <c r="D486" s="152"/>
      <c r="E486" s="22" t="s">
        <v>2603</v>
      </c>
      <c r="F486" s="22" t="s">
        <v>2604</v>
      </c>
      <c r="G486" s="23">
        <v>2012.0</v>
      </c>
      <c r="H486" s="22" t="s">
        <v>658</v>
      </c>
      <c r="I486" s="24" t="s">
        <v>2605</v>
      </c>
      <c r="J486" s="22" t="s">
        <v>31</v>
      </c>
      <c r="K486" s="22"/>
      <c r="L486" s="36">
        <v>670.0</v>
      </c>
      <c r="M486" s="36">
        <v>33.0</v>
      </c>
      <c r="N486" s="36" t="s">
        <v>892</v>
      </c>
      <c r="O486" s="36"/>
      <c r="P486" s="37" t="s">
        <v>2555</v>
      </c>
      <c r="Q486" s="36"/>
      <c r="R486" s="36"/>
      <c r="S486" s="36"/>
      <c r="T486" s="28" t="s">
        <v>2606</v>
      </c>
      <c r="U486" s="38" t="str">
        <f>HYPERLINK("https://www.ncbi.nlm.nih.gov/pubmed/22029866","PubMed")</f>
        <v>PubMed</v>
      </c>
      <c r="V486" s="50"/>
      <c r="W486" s="156"/>
      <c r="X486" s="156"/>
      <c r="Y486" s="35"/>
      <c r="Z486" s="35"/>
      <c r="AA486" s="35"/>
      <c r="AB486" s="35"/>
      <c r="AC486" s="35"/>
      <c r="AD486" s="35"/>
      <c r="AE486" s="35"/>
      <c r="AF486" s="35"/>
      <c r="AG486" s="35"/>
      <c r="AH486" s="35"/>
      <c r="AI486" s="35"/>
      <c r="AJ486" s="35"/>
      <c r="AK486" s="35"/>
      <c r="AL486" s="35"/>
    </row>
    <row r="487" ht="52.5" customHeight="1">
      <c r="A487" s="1"/>
      <c r="B487" s="140" t="s">
        <v>2073</v>
      </c>
      <c r="C487" s="141" t="s">
        <v>2136</v>
      </c>
      <c r="D487" s="152"/>
      <c r="E487" s="22" t="s">
        <v>2607</v>
      </c>
      <c r="F487" s="22" t="s">
        <v>2608</v>
      </c>
      <c r="G487" s="23">
        <v>2011.0</v>
      </c>
      <c r="H487" s="22" t="s">
        <v>2238</v>
      </c>
      <c r="I487" s="24" t="s">
        <v>2609</v>
      </c>
      <c r="J487" s="22" t="s">
        <v>44</v>
      </c>
      <c r="K487" s="22" t="s">
        <v>2610</v>
      </c>
      <c r="L487" s="36">
        <v>808.0</v>
      </c>
      <c r="M487" s="36"/>
      <c r="N487" s="36"/>
      <c r="O487" s="36"/>
      <c r="P487" s="37"/>
      <c r="Q487" s="36"/>
      <c r="R487" s="36"/>
      <c r="S487" s="36">
        <v>78.0</v>
      </c>
      <c r="T487" s="28" t="s">
        <v>2611</v>
      </c>
      <c r="U487" s="38" t="str">
        <f>HYPERLINK("https://www.ncbi.nlm.nih.gov/pubmed/21116053","PubMed")</f>
        <v>PubMed</v>
      </c>
      <c r="V487" s="50"/>
      <c r="W487" s="49"/>
      <c r="X487" s="49"/>
      <c r="Y487" s="35"/>
      <c r="Z487" s="35"/>
      <c r="AA487" s="35"/>
      <c r="AB487" s="35"/>
      <c r="AC487" s="35"/>
      <c r="AD487" s="35"/>
      <c r="AE487" s="35"/>
      <c r="AF487" s="35"/>
      <c r="AG487" s="35"/>
      <c r="AH487" s="35"/>
      <c r="AI487" s="35"/>
      <c r="AJ487" s="35"/>
      <c r="AK487" s="35"/>
      <c r="AL487" s="35"/>
    </row>
    <row r="488" ht="52.5" customHeight="1">
      <c r="A488" s="1"/>
      <c r="B488" s="140" t="s">
        <v>2073</v>
      </c>
      <c r="C488" s="141" t="s">
        <v>2136</v>
      </c>
      <c r="D488" s="152"/>
      <c r="E488" s="22" t="s">
        <v>2338</v>
      </c>
      <c r="F488" s="22" t="s">
        <v>2574</v>
      </c>
      <c r="G488" s="23">
        <v>2010.0</v>
      </c>
      <c r="H488" s="22" t="s">
        <v>2612</v>
      </c>
      <c r="I488" s="24" t="s">
        <v>2613</v>
      </c>
      <c r="J488" s="22" t="s">
        <v>2614</v>
      </c>
      <c r="K488" s="22"/>
      <c r="L488" s="36">
        <v>633.0</v>
      </c>
      <c r="M488" s="36">
        <v>15.0</v>
      </c>
      <c r="N488" s="36" t="s">
        <v>2615</v>
      </c>
      <c r="O488" s="36">
        <v>162.0</v>
      </c>
      <c r="P488" s="37" t="s">
        <v>2616</v>
      </c>
      <c r="Q488" s="36" t="s">
        <v>2617</v>
      </c>
      <c r="R488" s="36" t="s">
        <v>2618</v>
      </c>
      <c r="S488" s="36"/>
      <c r="T488" s="28" t="s">
        <v>2619</v>
      </c>
      <c r="U488" s="38" t="str">
        <f>HYPERLINK("https://www.ncbi.nlm.nih.gov/pubmed/20884337","PubMed")</f>
        <v>PubMed</v>
      </c>
      <c r="V488" s="50"/>
      <c r="W488" s="49"/>
      <c r="X488" s="49"/>
      <c r="Y488" s="35"/>
      <c r="Z488" s="35"/>
      <c r="AA488" s="35"/>
      <c r="AB488" s="35"/>
      <c r="AC488" s="35"/>
      <c r="AD488" s="35"/>
      <c r="AE488" s="35"/>
      <c r="AF488" s="35"/>
      <c r="AG488" s="35"/>
      <c r="AH488" s="35"/>
      <c r="AI488" s="35"/>
      <c r="AJ488" s="35"/>
      <c r="AK488" s="35"/>
      <c r="AL488" s="35"/>
    </row>
    <row r="489" ht="31.5" customHeight="1">
      <c r="A489" s="89"/>
      <c r="B489" s="157" t="s">
        <v>2073</v>
      </c>
      <c r="C489" s="158" t="s">
        <v>2136</v>
      </c>
      <c r="D489" s="159"/>
      <c r="E489" s="56" t="s">
        <v>2620</v>
      </c>
      <c r="F489" s="22" t="s">
        <v>2621</v>
      </c>
      <c r="G489" s="57">
        <v>2008.0</v>
      </c>
      <c r="H489" s="56" t="s">
        <v>2622</v>
      </c>
      <c r="I489" s="58" t="s">
        <v>2623</v>
      </c>
      <c r="J489" s="22" t="s">
        <v>44</v>
      </c>
      <c r="K489" s="22" t="s">
        <v>2624</v>
      </c>
      <c r="L489" s="36">
        <v>1072.0</v>
      </c>
      <c r="M489" s="36"/>
      <c r="N489" s="36"/>
      <c r="O489" s="36"/>
      <c r="P489" s="37"/>
      <c r="Q489" s="36"/>
      <c r="R489" s="36"/>
      <c r="S489" s="36"/>
      <c r="T489" s="160" t="s">
        <v>2625</v>
      </c>
      <c r="U489" s="161" t="str">
        <f>HYPERLINK("https://www.ncbi.nlm.nih.gov/pubmed/17855128","PubMed")</f>
        <v>PubMed</v>
      </c>
      <c r="V489" s="50"/>
      <c r="W489" s="162"/>
      <c r="X489" s="156"/>
      <c r="Y489" s="35"/>
      <c r="Z489" s="35"/>
      <c r="AA489" s="35"/>
      <c r="AB489" s="35"/>
      <c r="AC489" s="35"/>
      <c r="AD489" s="35"/>
      <c r="AE489" s="35"/>
      <c r="AF489" s="35"/>
      <c r="AG489" s="35"/>
      <c r="AH489" s="35"/>
      <c r="AI489" s="35"/>
      <c r="AJ489" s="35"/>
      <c r="AK489" s="35"/>
      <c r="AL489" s="35"/>
    </row>
    <row r="490" ht="31.5" customHeight="1">
      <c r="A490" s="89"/>
      <c r="B490" s="157" t="s">
        <v>2073</v>
      </c>
      <c r="C490" s="158" t="s">
        <v>2136</v>
      </c>
      <c r="D490" s="159"/>
      <c r="E490" s="56" t="s">
        <v>2626</v>
      </c>
      <c r="F490" s="22" t="s">
        <v>65</v>
      </c>
      <c r="G490" s="57">
        <v>2003.0</v>
      </c>
      <c r="H490" s="56" t="s">
        <v>53</v>
      </c>
      <c r="I490" s="58" t="s">
        <v>2627</v>
      </c>
      <c r="J490" s="22" t="s">
        <v>31</v>
      </c>
      <c r="K490" s="22" t="s">
        <v>2628</v>
      </c>
      <c r="L490" s="36">
        <v>640.0</v>
      </c>
      <c r="M490" s="36"/>
      <c r="N490" s="36" t="s">
        <v>2629</v>
      </c>
      <c r="O490" s="36"/>
      <c r="P490" s="37" t="s">
        <v>2630</v>
      </c>
      <c r="Q490" s="36"/>
      <c r="R490" s="36" t="s">
        <v>2631</v>
      </c>
      <c r="S490" s="36"/>
      <c r="T490" s="160" t="s">
        <v>2632</v>
      </c>
      <c r="U490" s="161" t="str">
        <f>HYPERLINK("https://www.ncbi.nlm.nih.gov/pubmed/12949950","PubMed")</f>
        <v>PubMed</v>
      </c>
      <c r="V490" s="50"/>
      <c r="W490" s="162"/>
      <c r="X490" s="156"/>
      <c r="Y490" s="35"/>
      <c r="Z490" s="35"/>
      <c r="AA490" s="35"/>
      <c r="AB490" s="35"/>
      <c r="AC490" s="35"/>
      <c r="AD490" s="35"/>
      <c r="AE490" s="35"/>
      <c r="AF490" s="35"/>
      <c r="AG490" s="35"/>
      <c r="AH490" s="35"/>
      <c r="AI490" s="35"/>
      <c r="AJ490" s="35"/>
      <c r="AK490" s="35"/>
      <c r="AL490" s="35"/>
    </row>
    <row r="491" ht="31.5" customHeight="1">
      <c r="A491" s="89"/>
      <c r="B491" s="157" t="s">
        <v>2073</v>
      </c>
      <c r="C491" s="158" t="s">
        <v>2633</v>
      </c>
      <c r="D491" s="159"/>
      <c r="E491" s="56" t="s">
        <v>2634</v>
      </c>
      <c r="F491" s="22" t="s">
        <v>2635</v>
      </c>
      <c r="G491" s="57">
        <v>1991.0</v>
      </c>
      <c r="H491" s="56" t="s">
        <v>292</v>
      </c>
      <c r="I491" s="58" t="s">
        <v>2636</v>
      </c>
      <c r="J491" s="22" t="s">
        <v>55</v>
      </c>
      <c r="K491" s="22"/>
      <c r="L491" s="36">
        <v>633.0</v>
      </c>
      <c r="M491" s="36"/>
      <c r="N491" s="36"/>
      <c r="O491" s="36" t="s">
        <v>2637</v>
      </c>
      <c r="P491" s="37" t="s">
        <v>1984</v>
      </c>
      <c r="Q491" s="36" t="s">
        <v>675</v>
      </c>
      <c r="R491" s="36" t="s">
        <v>2638</v>
      </c>
      <c r="S491" s="36"/>
      <c r="T491" s="160" t="s">
        <v>2639</v>
      </c>
      <c r="U491" s="161" t="str">
        <f>HYPERLINK("https://www.jstage.jst.go.jp/article/islsm/3/4/3_91-OR-25/_article/-char/en","J-STAGE")</f>
        <v>J-STAGE</v>
      </c>
      <c r="V491" s="30"/>
      <c r="W491" s="162"/>
      <c r="X491" s="156"/>
      <c r="Y491" s="35"/>
      <c r="Z491" s="35"/>
      <c r="AA491" s="35"/>
      <c r="AB491" s="35"/>
      <c r="AC491" s="35"/>
      <c r="AD491" s="35"/>
      <c r="AE491" s="35"/>
      <c r="AF491" s="35"/>
      <c r="AG491" s="35"/>
      <c r="AH491" s="35"/>
      <c r="AI491" s="35"/>
      <c r="AJ491" s="35"/>
      <c r="AK491" s="35"/>
      <c r="AL491" s="35"/>
    </row>
    <row r="492" ht="31.5" customHeight="1">
      <c r="A492" s="89"/>
      <c r="B492" s="157" t="s">
        <v>2073</v>
      </c>
      <c r="C492" s="158" t="s">
        <v>2640</v>
      </c>
      <c r="D492" s="159"/>
      <c r="E492" s="56" t="s">
        <v>626</v>
      </c>
      <c r="F492" s="22" t="s">
        <v>224</v>
      </c>
      <c r="G492" s="57">
        <v>2023.0</v>
      </c>
      <c r="H492" s="56" t="s">
        <v>2641</v>
      </c>
      <c r="I492" s="58" t="s">
        <v>2642</v>
      </c>
      <c r="J492" s="22" t="s">
        <v>2643</v>
      </c>
      <c r="K492" s="22"/>
      <c r="L492" s="36">
        <v>820.0</v>
      </c>
      <c r="M492" s="36"/>
      <c r="N492" s="36" t="s">
        <v>2644</v>
      </c>
      <c r="O492" s="36" t="s">
        <v>2645</v>
      </c>
      <c r="P492" s="37"/>
      <c r="Q492" s="36"/>
      <c r="R492" s="36" t="s">
        <v>2646</v>
      </c>
      <c r="S492" s="36" t="s">
        <v>2647</v>
      </c>
      <c r="T492" s="160" t="s">
        <v>2648</v>
      </c>
      <c r="U492" s="60" t="s">
        <v>61</v>
      </c>
      <c r="V492" s="30"/>
      <c r="W492" s="162"/>
      <c r="X492" s="156"/>
      <c r="Y492" s="35"/>
      <c r="Z492" s="35"/>
      <c r="AA492" s="35"/>
      <c r="AB492" s="35"/>
      <c r="AC492" s="35"/>
      <c r="AD492" s="35"/>
      <c r="AE492" s="35"/>
      <c r="AF492" s="35"/>
      <c r="AG492" s="35"/>
      <c r="AH492" s="35"/>
      <c r="AI492" s="35"/>
      <c r="AJ492" s="35"/>
      <c r="AK492" s="35"/>
      <c r="AL492" s="35"/>
    </row>
    <row r="493" ht="31.5" customHeight="1">
      <c r="A493" s="89"/>
      <c r="B493" s="157" t="s">
        <v>2073</v>
      </c>
      <c r="C493" s="158" t="s">
        <v>2640</v>
      </c>
      <c r="D493" s="159"/>
      <c r="E493" s="56" t="s">
        <v>714</v>
      </c>
      <c r="F493" s="22" t="s">
        <v>358</v>
      </c>
      <c r="G493" s="57">
        <v>2020.0</v>
      </c>
      <c r="H493" s="56" t="s">
        <v>2649</v>
      </c>
      <c r="I493" s="58" t="s">
        <v>2650</v>
      </c>
      <c r="J493" s="22" t="s">
        <v>2651</v>
      </c>
      <c r="K493" s="22" t="s">
        <v>2652</v>
      </c>
      <c r="L493" s="36">
        <v>808.0</v>
      </c>
      <c r="M493" s="36">
        <v>100.0</v>
      </c>
      <c r="N493" s="36"/>
      <c r="O493" s="36"/>
      <c r="P493" s="37"/>
      <c r="Q493" s="36"/>
      <c r="R493" s="36"/>
      <c r="S493" s="36" t="s">
        <v>2653</v>
      </c>
      <c r="T493" s="163" t="s">
        <v>2654</v>
      </c>
      <c r="U493" s="64" t="s">
        <v>61</v>
      </c>
      <c r="V493" s="30" t="s">
        <v>2655</v>
      </c>
      <c r="W493" s="162"/>
      <c r="X493" s="156"/>
      <c r="Y493" s="35"/>
      <c r="Z493" s="35"/>
      <c r="AA493" s="35"/>
      <c r="AB493" s="35"/>
      <c r="AC493" s="35"/>
      <c r="AD493" s="35"/>
      <c r="AE493" s="35"/>
      <c r="AF493" s="35"/>
      <c r="AG493" s="35"/>
      <c r="AH493" s="35"/>
      <c r="AI493" s="35"/>
      <c r="AJ493" s="35"/>
      <c r="AK493" s="35"/>
      <c r="AL493" s="35"/>
    </row>
    <row r="494" ht="31.5" customHeight="1">
      <c r="A494" s="89"/>
      <c r="B494" s="157" t="s">
        <v>2073</v>
      </c>
      <c r="C494" s="158" t="s">
        <v>2640</v>
      </c>
      <c r="D494" s="159"/>
      <c r="E494" s="56" t="s">
        <v>2656</v>
      </c>
      <c r="F494" s="22" t="s">
        <v>2407</v>
      </c>
      <c r="G494" s="57">
        <v>2019.0</v>
      </c>
      <c r="H494" s="56" t="s">
        <v>77</v>
      </c>
      <c r="I494" s="58" t="s">
        <v>2657</v>
      </c>
      <c r="J494" s="22" t="s">
        <v>2658</v>
      </c>
      <c r="K494" s="22" t="s">
        <v>157</v>
      </c>
      <c r="L494" s="36">
        <v>830.0</v>
      </c>
      <c r="M494" s="36">
        <v>2400.0</v>
      </c>
      <c r="N494" s="36" t="s">
        <v>2325</v>
      </c>
      <c r="O494" s="36">
        <v>2900.0</v>
      </c>
      <c r="P494" s="37" t="s">
        <v>2659</v>
      </c>
      <c r="Q494" s="36" t="s">
        <v>2660</v>
      </c>
      <c r="R494" s="36">
        <v>1200.0</v>
      </c>
      <c r="S494" s="36" t="s">
        <v>2661</v>
      </c>
      <c r="T494" s="160" t="s">
        <v>2662</v>
      </c>
      <c r="U494" s="161" t="str">
        <f>HYPERLINK("https://www.ncbi.nlm.nih.gov/pubmed/31647775","PubMed")</f>
        <v>PubMed</v>
      </c>
      <c r="V494" s="30" t="s">
        <v>2655</v>
      </c>
      <c r="W494" s="162"/>
      <c r="X494" s="156"/>
      <c r="Y494" s="35"/>
      <c r="Z494" s="35"/>
      <c r="AA494" s="35"/>
      <c r="AB494" s="35"/>
      <c r="AC494" s="35"/>
      <c r="AD494" s="35"/>
      <c r="AE494" s="35"/>
      <c r="AF494" s="35"/>
      <c r="AG494" s="35"/>
      <c r="AH494" s="35"/>
      <c r="AI494" s="35"/>
      <c r="AJ494" s="35"/>
      <c r="AK494" s="35"/>
      <c r="AL494" s="35"/>
    </row>
    <row r="495" ht="31.5" customHeight="1">
      <c r="A495" s="164" t="s">
        <v>2</v>
      </c>
      <c r="B495" s="157" t="s">
        <v>2073</v>
      </c>
      <c r="C495" s="158" t="s">
        <v>2663</v>
      </c>
      <c r="D495" s="112"/>
      <c r="E495" s="115" t="s">
        <v>2664</v>
      </c>
      <c r="F495" s="115" t="s">
        <v>2665</v>
      </c>
      <c r="G495" s="115">
        <v>2023.0</v>
      </c>
      <c r="H495" s="115" t="s">
        <v>2225</v>
      </c>
      <c r="I495" s="120" t="s">
        <v>2666</v>
      </c>
      <c r="J495" s="115" t="s">
        <v>125</v>
      </c>
      <c r="K495" s="121"/>
      <c r="L495" s="165" t="s">
        <v>2667</v>
      </c>
      <c r="M495" s="44"/>
      <c r="N495" s="44"/>
      <c r="O495" s="44"/>
      <c r="P495" s="44"/>
      <c r="Q495" s="44"/>
      <c r="R495" s="44"/>
      <c r="S495" s="44"/>
      <c r="T495" s="45"/>
      <c r="U495" s="123" t="s">
        <v>61</v>
      </c>
      <c r="V495" s="30"/>
      <c r="W495" s="162"/>
      <c r="X495" s="156"/>
      <c r="Y495" s="35"/>
      <c r="Z495" s="35"/>
      <c r="AA495" s="35"/>
      <c r="AB495" s="35"/>
      <c r="AC495" s="35"/>
      <c r="AD495" s="35"/>
      <c r="AE495" s="35"/>
      <c r="AF495" s="35"/>
      <c r="AG495" s="35"/>
      <c r="AH495" s="35"/>
      <c r="AI495" s="35"/>
      <c r="AJ495" s="35"/>
      <c r="AK495" s="35"/>
      <c r="AL495" s="35"/>
    </row>
    <row r="496" ht="31.5" customHeight="1">
      <c r="A496" s="89"/>
      <c r="B496" s="157" t="s">
        <v>2073</v>
      </c>
      <c r="C496" s="158" t="s">
        <v>2663</v>
      </c>
      <c r="D496" s="159"/>
      <c r="E496" s="56" t="s">
        <v>2668</v>
      </c>
      <c r="F496" s="22" t="s">
        <v>1905</v>
      </c>
      <c r="G496" s="57">
        <v>2023.0</v>
      </c>
      <c r="H496" s="56" t="s">
        <v>2181</v>
      </c>
      <c r="I496" s="58" t="s">
        <v>2669</v>
      </c>
      <c r="J496" s="22" t="s">
        <v>31</v>
      </c>
      <c r="K496" s="22"/>
      <c r="L496" s="36">
        <v>660.0</v>
      </c>
      <c r="M496" s="36"/>
      <c r="N496" s="36"/>
      <c r="O496" s="36"/>
      <c r="P496" s="37" t="s">
        <v>2670</v>
      </c>
      <c r="Q496" s="36"/>
      <c r="R496" s="36"/>
      <c r="S496" s="36"/>
      <c r="T496" s="160" t="s">
        <v>2671</v>
      </c>
      <c r="U496" s="60" t="s">
        <v>61</v>
      </c>
      <c r="V496" s="30"/>
      <c r="W496" s="162"/>
      <c r="X496" s="156"/>
      <c r="Y496" s="35"/>
      <c r="Z496" s="35"/>
      <c r="AA496" s="35"/>
      <c r="AB496" s="35"/>
      <c r="AC496" s="35"/>
      <c r="AD496" s="35"/>
      <c r="AE496" s="35"/>
      <c r="AF496" s="35"/>
      <c r="AG496" s="35"/>
      <c r="AH496" s="35"/>
      <c r="AI496" s="35"/>
      <c r="AJ496" s="35"/>
      <c r="AK496" s="35"/>
      <c r="AL496" s="35"/>
    </row>
    <row r="497" ht="31.5" customHeight="1">
      <c r="A497" s="89"/>
      <c r="B497" s="157" t="s">
        <v>2073</v>
      </c>
      <c r="C497" s="158" t="s">
        <v>2672</v>
      </c>
      <c r="D497" s="159"/>
      <c r="E497" s="56" t="s">
        <v>2673</v>
      </c>
      <c r="F497" s="22" t="s">
        <v>2407</v>
      </c>
      <c r="G497" s="57">
        <v>2024.0</v>
      </c>
      <c r="H497" s="56" t="s">
        <v>2674</v>
      </c>
      <c r="I497" s="58" t="s">
        <v>2675</v>
      </c>
      <c r="J497" s="115" t="s">
        <v>125</v>
      </c>
      <c r="K497" s="22"/>
      <c r="L497" s="105" t="s">
        <v>2676</v>
      </c>
      <c r="M497" s="44"/>
      <c r="N497" s="44"/>
      <c r="O497" s="44"/>
      <c r="P497" s="44"/>
      <c r="Q497" s="44"/>
      <c r="R497" s="44"/>
      <c r="S497" s="44"/>
      <c r="T497" s="45"/>
      <c r="U497" s="60" t="s">
        <v>61</v>
      </c>
      <c r="V497" s="30"/>
      <c r="W497" s="162"/>
      <c r="X497" s="156"/>
      <c r="Y497" s="35"/>
      <c r="Z497" s="35"/>
      <c r="AA497" s="35"/>
      <c r="AB497" s="35"/>
      <c r="AC497" s="35"/>
      <c r="AD497" s="35"/>
      <c r="AE497" s="35"/>
      <c r="AF497" s="35"/>
      <c r="AG497" s="35"/>
      <c r="AH497" s="35"/>
      <c r="AI497" s="35"/>
      <c r="AJ497" s="35"/>
      <c r="AK497" s="35"/>
      <c r="AL497" s="35"/>
    </row>
    <row r="498" ht="31.5" customHeight="1">
      <c r="A498" s="89"/>
      <c r="B498" s="157" t="s">
        <v>2073</v>
      </c>
      <c r="C498" s="158" t="s">
        <v>2672</v>
      </c>
      <c r="D498" s="159"/>
      <c r="E498" s="56" t="s">
        <v>2677</v>
      </c>
      <c r="F498" s="22" t="s">
        <v>2161</v>
      </c>
      <c r="G498" s="57">
        <v>2024.0</v>
      </c>
      <c r="H498" s="56" t="s">
        <v>2139</v>
      </c>
      <c r="I498" s="58" t="s">
        <v>2678</v>
      </c>
      <c r="J498" s="22" t="s">
        <v>2679</v>
      </c>
      <c r="K498" s="22"/>
      <c r="L498" s="36">
        <v>850.0</v>
      </c>
      <c r="M498" s="36"/>
      <c r="N498" s="36"/>
      <c r="O498" s="36"/>
      <c r="P498" s="37"/>
      <c r="Q498" s="36"/>
      <c r="R498" s="36"/>
      <c r="S498" s="36" t="s">
        <v>2680</v>
      </c>
      <c r="T498" s="160" t="s">
        <v>2681</v>
      </c>
      <c r="U498" s="60" t="s">
        <v>61</v>
      </c>
      <c r="V498" s="30"/>
      <c r="W498" s="162"/>
      <c r="X498" s="156"/>
      <c r="Y498" s="35"/>
      <c r="Z498" s="35"/>
      <c r="AA498" s="35"/>
      <c r="AB498" s="35"/>
      <c r="AC498" s="35"/>
      <c r="AD498" s="35"/>
      <c r="AE498" s="35"/>
      <c r="AF498" s="35"/>
      <c r="AG498" s="35"/>
      <c r="AH498" s="35"/>
      <c r="AI498" s="35"/>
      <c r="AJ498" s="35"/>
      <c r="AK498" s="35"/>
      <c r="AL498" s="35"/>
    </row>
    <row r="499" ht="31.5" customHeight="1">
      <c r="A499" s="89"/>
      <c r="B499" s="157" t="s">
        <v>2073</v>
      </c>
      <c r="C499" s="158" t="s">
        <v>2672</v>
      </c>
      <c r="D499" s="159"/>
      <c r="E499" s="56" t="s">
        <v>2682</v>
      </c>
      <c r="F499" s="22" t="s">
        <v>1943</v>
      </c>
      <c r="G499" s="57">
        <v>2023.0</v>
      </c>
      <c r="H499" s="56" t="s">
        <v>2683</v>
      </c>
      <c r="I499" s="58" t="s">
        <v>2684</v>
      </c>
      <c r="J499" s="22" t="s">
        <v>2685</v>
      </c>
      <c r="K499" s="22" t="s">
        <v>2686</v>
      </c>
      <c r="L499" s="36">
        <v>850.0</v>
      </c>
      <c r="M499" s="36">
        <v>200.0</v>
      </c>
      <c r="N499" s="36" t="s">
        <v>58</v>
      </c>
      <c r="O499" s="36" t="s">
        <v>58</v>
      </c>
      <c r="P499" s="37" t="s">
        <v>969</v>
      </c>
      <c r="Q499" s="36" t="s">
        <v>58</v>
      </c>
      <c r="R499" s="36" t="s">
        <v>2687</v>
      </c>
      <c r="S499" s="36" t="s">
        <v>2688</v>
      </c>
      <c r="T499" s="160" t="s">
        <v>2689</v>
      </c>
      <c r="U499" s="60" t="s">
        <v>61</v>
      </c>
      <c r="V499" s="30" t="s">
        <v>2690</v>
      </c>
      <c r="W499" s="162"/>
      <c r="X499" s="156"/>
      <c r="Y499" s="35"/>
      <c r="Z499" s="35"/>
      <c r="AA499" s="35"/>
      <c r="AB499" s="35"/>
      <c r="AC499" s="35"/>
      <c r="AD499" s="35"/>
      <c r="AE499" s="35"/>
      <c r="AF499" s="35"/>
      <c r="AG499" s="35"/>
      <c r="AH499" s="35"/>
      <c r="AI499" s="35"/>
      <c r="AJ499" s="35"/>
      <c r="AK499" s="35"/>
      <c r="AL499" s="35"/>
    </row>
    <row r="500" ht="31.5" customHeight="1">
      <c r="A500" s="89"/>
      <c r="B500" s="157" t="s">
        <v>2073</v>
      </c>
      <c r="C500" s="158" t="s">
        <v>2672</v>
      </c>
      <c r="D500" s="159"/>
      <c r="E500" s="56" t="s">
        <v>1080</v>
      </c>
      <c r="F500" s="22" t="s">
        <v>1905</v>
      </c>
      <c r="G500" s="57">
        <v>2022.0</v>
      </c>
      <c r="H500" s="56" t="s">
        <v>348</v>
      </c>
      <c r="I500" s="58" t="s">
        <v>2691</v>
      </c>
      <c r="J500" s="22" t="s">
        <v>44</v>
      </c>
      <c r="K500" s="22"/>
      <c r="L500" s="36">
        <v>830.0</v>
      </c>
      <c r="M500" s="36"/>
      <c r="N500" s="36" t="s">
        <v>2692</v>
      </c>
      <c r="O500" s="36"/>
      <c r="P500" s="37" t="s">
        <v>2693</v>
      </c>
      <c r="Q500" s="36" t="s">
        <v>2694</v>
      </c>
      <c r="R500" s="36">
        <v>600.0</v>
      </c>
      <c r="S500" s="36" t="s">
        <v>2695</v>
      </c>
      <c r="T500" s="160" t="s">
        <v>2696</v>
      </c>
      <c r="U500" s="60" t="s">
        <v>61</v>
      </c>
      <c r="V500" s="30"/>
      <c r="W500" s="162"/>
      <c r="X500" s="156"/>
      <c r="Y500" s="35"/>
      <c r="Z500" s="35"/>
      <c r="AA500" s="35"/>
      <c r="AB500" s="35"/>
      <c r="AC500" s="35"/>
      <c r="AD500" s="35"/>
      <c r="AE500" s="35"/>
      <c r="AF500" s="35"/>
      <c r="AG500" s="35"/>
      <c r="AH500" s="35"/>
      <c r="AI500" s="35"/>
      <c r="AJ500" s="35"/>
      <c r="AK500" s="35"/>
      <c r="AL500" s="35"/>
    </row>
    <row r="501" ht="31.5" customHeight="1">
      <c r="A501" s="89"/>
      <c r="B501" s="157" t="s">
        <v>2073</v>
      </c>
      <c r="C501" s="158" t="s">
        <v>2672</v>
      </c>
      <c r="D501" s="159"/>
      <c r="E501" s="56" t="s">
        <v>2697</v>
      </c>
      <c r="F501" s="22" t="s">
        <v>2698</v>
      </c>
      <c r="G501" s="57">
        <v>2022.0</v>
      </c>
      <c r="H501" s="56" t="s">
        <v>2699</v>
      </c>
      <c r="I501" s="58" t="s">
        <v>2700</v>
      </c>
      <c r="J501" s="22" t="s">
        <v>125</v>
      </c>
      <c r="K501" s="22"/>
      <c r="L501" s="105" t="s">
        <v>2701</v>
      </c>
      <c r="M501" s="44"/>
      <c r="N501" s="44"/>
      <c r="O501" s="44"/>
      <c r="P501" s="44"/>
      <c r="Q501" s="44"/>
      <c r="R501" s="44"/>
      <c r="S501" s="44"/>
      <c r="T501" s="45"/>
      <c r="U501" s="60" t="s">
        <v>61</v>
      </c>
      <c r="V501" s="30"/>
      <c r="W501" s="162"/>
      <c r="X501" s="156"/>
      <c r="Y501" s="35"/>
      <c r="Z501" s="35"/>
      <c r="AA501" s="35"/>
      <c r="AB501" s="35"/>
      <c r="AC501" s="35"/>
      <c r="AD501" s="35"/>
      <c r="AE501" s="35"/>
      <c r="AF501" s="35"/>
      <c r="AG501" s="35"/>
      <c r="AH501" s="35"/>
      <c r="AI501" s="35"/>
      <c r="AJ501" s="35"/>
      <c r="AK501" s="35"/>
      <c r="AL501" s="35"/>
    </row>
    <row r="502" ht="31.5" customHeight="1">
      <c r="A502" s="89"/>
      <c r="B502" s="157" t="s">
        <v>2073</v>
      </c>
      <c r="C502" s="158" t="s">
        <v>2672</v>
      </c>
      <c r="D502" s="159"/>
      <c r="E502" s="56" t="s">
        <v>2482</v>
      </c>
      <c r="F502" s="22" t="s">
        <v>2702</v>
      </c>
      <c r="G502" s="57">
        <v>2022.0</v>
      </c>
      <c r="H502" s="56" t="s">
        <v>77</v>
      </c>
      <c r="I502" s="58" t="s">
        <v>2703</v>
      </c>
      <c r="J502" s="22" t="s">
        <v>202</v>
      </c>
      <c r="K502" s="22"/>
      <c r="L502" s="43"/>
      <c r="M502" s="44"/>
      <c r="N502" s="44"/>
      <c r="O502" s="44"/>
      <c r="P502" s="44"/>
      <c r="Q502" s="44"/>
      <c r="R502" s="44"/>
      <c r="S502" s="44"/>
      <c r="T502" s="45"/>
      <c r="U502" s="64" t="s">
        <v>61</v>
      </c>
      <c r="V502" s="30"/>
      <c r="W502" s="162"/>
      <c r="X502" s="156"/>
      <c r="Y502" s="35"/>
      <c r="Z502" s="35"/>
      <c r="AA502" s="35"/>
      <c r="AB502" s="35"/>
      <c r="AC502" s="35"/>
      <c r="AD502" s="35"/>
      <c r="AE502" s="35"/>
      <c r="AF502" s="35"/>
      <c r="AG502" s="35"/>
      <c r="AH502" s="35"/>
      <c r="AI502" s="35"/>
      <c r="AJ502" s="35"/>
      <c r="AK502" s="35"/>
      <c r="AL502" s="35"/>
    </row>
    <row r="503" ht="31.5" customHeight="1">
      <c r="A503" s="89"/>
      <c r="B503" s="157" t="s">
        <v>2073</v>
      </c>
      <c r="C503" s="158" t="s">
        <v>2672</v>
      </c>
      <c r="D503" s="159"/>
      <c r="E503" s="56" t="s">
        <v>2704</v>
      </c>
      <c r="F503" s="22" t="s">
        <v>2705</v>
      </c>
      <c r="G503" s="57">
        <v>2022.0</v>
      </c>
      <c r="H503" s="56" t="s">
        <v>2706</v>
      </c>
      <c r="I503" s="58" t="s">
        <v>2707</v>
      </c>
      <c r="J503" s="22" t="s">
        <v>2708</v>
      </c>
      <c r="K503" s="22" t="s">
        <v>157</v>
      </c>
      <c r="L503" s="36">
        <v>810.0</v>
      </c>
      <c r="M503" s="36"/>
      <c r="N503" s="36"/>
      <c r="O503" s="36" t="s">
        <v>2709</v>
      </c>
      <c r="P503" s="37"/>
      <c r="Q503" s="36"/>
      <c r="R503" s="36" t="s">
        <v>2710</v>
      </c>
      <c r="S503" s="36" t="s">
        <v>2711</v>
      </c>
      <c r="T503" s="160" t="s">
        <v>2712</v>
      </c>
      <c r="U503" s="64" t="s">
        <v>61</v>
      </c>
      <c r="V503" s="30" t="s">
        <v>2713</v>
      </c>
      <c r="W503" s="162"/>
      <c r="X503" s="156"/>
      <c r="Y503" s="35"/>
      <c r="Z503" s="35"/>
      <c r="AA503" s="35"/>
      <c r="AB503" s="35"/>
      <c r="AC503" s="35"/>
      <c r="AD503" s="35"/>
      <c r="AE503" s="35"/>
      <c r="AF503" s="35"/>
      <c r="AG503" s="35"/>
      <c r="AH503" s="35"/>
      <c r="AI503" s="35"/>
      <c r="AJ503" s="35"/>
      <c r="AK503" s="35"/>
      <c r="AL503" s="35"/>
    </row>
    <row r="504" ht="31.5" customHeight="1">
      <c r="A504" s="89"/>
      <c r="B504" s="157" t="s">
        <v>2073</v>
      </c>
      <c r="C504" s="158" t="s">
        <v>2672</v>
      </c>
      <c r="D504" s="159"/>
      <c r="E504" s="56" t="s">
        <v>2714</v>
      </c>
      <c r="F504" s="22" t="s">
        <v>2407</v>
      </c>
      <c r="G504" s="57">
        <v>2022.0</v>
      </c>
      <c r="H504" s="56" t="s">
        <v>77</v>
      </c>
      <c r="I504" s="58" t="s">
        <v>2715</v>
      </c>
      <c r="J504" s="22" t="s">
        <v>2716</v>
      </c>
      <c r="K504" s="22"/>
      <c r="L504" s="36"/>
      <c r="M504" s="36"/>
      <c r="N504" s="36"/>
      <c r="O504" s="36"/>
      <c r="P504" s="37"/>
      <c r="Q504" s="36"/>
      <c r="R504" s="36"/>
      <c r="S504" s="36"/>
      <c r="T504" s="160" t="s">
        <v>2717</v>
      </c>
      <c r="U504" s="64" t="s">
        <v>61</v>
      </c>
      <c r="V504" s="30" t="s">
        <v>2655</v>
      </c>
      <c r="W504" s="162"/>
      <c r="X504" s="156"/>
      <c r="Y504" s="35"/>
      <c r="Z504" s="35"/>
      <c r="AA504" s="35"/>
      <c r="AB504" s="35"/>
      <c r="AC504" s="35"/>
      <c r="AD504" s="35"/>
      <c r="AE504" s="35"/>
      <c r="AF504" s="35"/>
      <c r="AG504" s="35"/>
      <c r="AH504" s="35"/>
      <c r="AI504" s="35"/>
      <c r="AJ504" s="35"/>
      <c r="AK504" s="35"/>
      <c r="AL504" s="35"/>
    </row>
    <row r="505" ht="31.5" customHeight="1">
      <c r="A505" s="89"/>
      <c r="B505" s="157" t="s">
        <v>2073</v>
      </c>
      <c r="C505" s="158" t="s">
        <v>2672</v>
      </c>
      <c r="D505" s="159"/>
      <c r="E505" s="56" t="s">
        <v>2718</v>
      </c>
      <c r="F505" s="22" t="s">
        <v>1677</v>
      </c>
      <c r="G505" s="57">
        <v>2018.0</v>
      </c>
      <c r="H505" s="56" t="s">
        <v>2398</v>
      </c>
      <c r="I505" s="58" t="s">
        <v>2719</v>
      </c>
      <c r="J505" s="22" t="s">
        <v>2720</v>
      </c>
      <c r="K505" s="22" t="s">
        <v>2721</v>
      </c>
      <c r="L505" s="36">
        <v>635.0</v>
      </c>
      <c r="M505" s="36">
        <v>15.0</v>
      </c>
      <c r="N505" s="36"/>
      <c r="O505" s="36"/>
      <c r="P505" s="37"/>
      <c r="Q505" s="36"/>
      <c r="R505" s="36">
        <v>300.0</v>
      </c>
      <c r="S505" s="36">
        <v>8.0</v>
      </c>
      <c r="T505" s="160" t="s">
        <v>2722</v>
      </c>
      <c r="U505" s="161" t="str">
        <f>HYPERLINK("https://www.ncbi.nlm.nih.gov/pubmed/29956199","PubMed")</f>
        <v>PubMed</v>
      </c>
      <c r="V505" s="30" t="s">
        <v>2723</v>
      </c>
      <c r="W505" s="162"/>
      <c r="X505" s="156"/>
      <c r="Y505" s="35"/>
      <c r="Z505" s="35"/>
      <c r="AA505" s="35"/>
      <c r="AB505" s="35"/>
      <c r="AC505" s="35"/>
      <c r="AD505" s="35"/>
      <c r="AE505" s="35"/>
      <c r="AF505" s="35"/>
      <c r="AG505" s="35"/>
      <c r="AH505" s="35"/>
      <c r="AI505" s="35"/>
      <c r="AJ505" s="35"/>
      <c r="AK505" s="35"/>
      <c r="AL505" s="35"/>
    </row>
    <row r="506" ht="31.5" customHeight="1">
      <c r="A506" s="89"/>
      <c r="B506" s="157" t="s">
        <v>2073</v>
      </c>
      <c r="C506" s="158" t="s">
        <v>2724</v>
      </c>
      <c r="D506" s="159"/>
      <c r="E506" s="56" t="s">
        <v>2345</v>
      </c>
      <c r="F506" s="22" t="s">
        <v>2346</v>
      </c>
      <c r="G506" s="57">
        <v>2019.0</v>
      </c>
      <c r="H506" s="56" t="s">
        <v>77</v>
      </c>
      <c r="I506" s="58" t="s">
        <v>2725</v>
      </c>
      <c r="J506" s="22" t="s">
        <v>2726</v>
      </c>
      <c r="K506" s="22"/>
      <c r="L506" s="36">
        <v>633.0</v>
      </c>
      <c r="M506" s="36"/>
      <c r="N506" s="36"/>
      <c r="O506" s="36"/>
      <c r="P506" s="37"/>
      <c r="Q506" s="36"/>
      <c r="R506" s="36" t="s">
        <v>2727</v>
      </c>
      <c r="S506" s="36"/>
      <c r="T506" s="160" t="s">
        <v>2728</v>
      </c>
      <c r="U506" s="161" t="str">
        <f>HYPERLINK("https://www.ncbi.nlm.nih.gov/pubmed/31390288","PubMed")</f>
        <v>PubMed</v>
      </c>
      <c r="V506" s="30" t="s">
        <v>2655</v>
      </c>
      <c r="W506" s="162"/>
      <c r="X506" s="156"/>
      <c r="Y506" s="35"/>
      <c r="Z506" s="35"/>
      <c r="AA506" s="35"/>
      <c r="AB506" s="35"/>
      <c r="AC506" s="35"/>
      <c r="AD506" s="35"/>
      <c r="AE506" s="35"/>
      <c r="AF506" s="35"/>
      <c r="AG506" s="35"/>
      <c r="AH506" s="35"/>
      <c r="AI506" s="35"/>
      <c r="AJ506" s="35"/>
      <c r="AK506" s="35"/>
      <c r="AL506" s="35"/>
    </row>
    <row r="507" ht="31.5" customHeight="1">
      <c r="A507" s="18"/>
      <c r="B507" s="157" t="s">
        <v>2073</v>
      </c>
      <c r="C507" s="158" t="s">
        <v>2729</v>
      </c>
      <c r="D507" s="159"/>
      <c r="E507" s="56" t="s">
        <v>2730</v>
      </c>
      <c r="F507" s="22" t="s">
        <v>2130</v>
      </c>
      <c r="G507" s="57">
        <v>2023.0</v>
      </c>
      <c r="H507" s="56" t="s">
        <v>2122</v>
      </c>
      <c r="I507" s="58" t="s">
        <v>2731</v>
      </c>
      <c r="J507" s="22" t="s">
        <v>2732</v>
      </c>
      <c r="K507" s="22"/>
      <c r="L507" s="36">
        <v>1064.0</v>
      </c>
      <c r="M507" s="36">
        <v>3400.0</v>
      </c>
      <c r="N507" s="36" t="s">
        <v>93</v>
      </c>
      <c r="O507" s="36"/>
      <c r="P507" s="37" t="s">
        <v>2733</v>
      </c>
      <c r="Q507" s="36" t="s">
        <v>2734</v>
      </c>
      <c r="R507" s="36">
        <v>600.0</v>
      </c>
      <c r="S507" s="36">
        <v>1.0</v>
      </c>
      <c r="T507" s="160" t="s">
        <v>2735</v>
      </c>
      <c r="U507" s="60" t="s">
        <v>61</v>
      </c>
      <c r="V507" s="30" t="s">
        <v>2736</v>
      </c>
      <c r="W507" s="162"/>
      <c r="X507" s="156"/>
      <c r="Y507" s="35"/>
      <c r="Z507" s="35"/>
      <c r="AA507" s="35"/>
      <c r="AB507" s="35"/>
      <c r="AC507" s="35"/>
      <c r="AD507" s="35"/>
      <c r="AE507" s="35"/>
      <c r="AF507" s="35"/>
      <c r="AG507" s="35"/>
      <c r="AH507" s="35"/>
      <c r="AI507" s="35"/>
      <c r="AJ507" s="35"/>
      <c r="AK507" s="35"/>
      <c r="AL507" s="35"/>
    </row>
    <row r="508" ht="31.5" customHeight="1">
      <c r="A508" s="18"/>
      <c r="B508" s="157" t="s">
        <v>2073</v>
      </c>
      <c r="C508" s="158" t="s">
        <v>2729</v>
      </c>
      <c r="D508" s="159"/>
      <c r="E508" s="56" t="s">
        <v>2730</v>
      </c>
      <c r="F508" s="22" t="s">
        <v>2130</v>
      </c>
      <c r="G508" s="57">
        <v>2021.0</v>
      </c>
      <c r="H508" s="56" t="s">
        <v>2737</v>
      </c>
      <c r="I508" s="58" t="s">
        <v>2738</v>
      </c>
      <c r="J508" s="22" t="s">
        <v>2739</v>
      </c>
      <c r="K508" s="22"/>
      <c r="L508" s="36">
        <v>1064.0</v>
      </c>
      <c r="M508" s="36"/>
      <c r="N508" s="36"/>
      <c r="O508" s="36"/>
      <c r="P508" s="37"/>
      <c r="Q508" s="36"/>
      <c r="R508" s="36"/>
      <c r="S508" s="36"/>
      <c r="T508" s="163" t="s">
        <v>2740</v>
      </c>
      <c r="U508" s="64" t="s">
        <v>61</v>
      </c>
      <c r="V508" s="30"/>
      <c r="W508" s="162"/>
      <c r="X508" s="156"/>
      <c r="Y508" s="35"/>
      <c r="Z508" s="35"/>
      <c r="AA508" s="35"/>
      <c r="AB508" s="35"/>
      <c r="AC508" s="35"/>
      <c r="AD508" s="35"/>
      <c r="AE508" s="35"/>
      <c r="AF508" s="35"/>
      <c r="AG508" s="35"/>
      <c r="AH508" s="35"/>
      <c r="AI508" s="35"/>
      <c r="AJ508" s="35"/>
      <c r="AK508" s="35"/>
      <c r="AL508" s="35"/>
    </row>
    <row r="509" ht="31.5" customHeight="1">
      <c r="A509" s="18"/>
      <c r="B509" s="157" t="s">
        <v>2073</v>
      </c>
      <c r="C509" s="158" t="s">
        <v>2729</v>
      </c>
      <c r="D509" s="159"/>
      <c r="E509" s="56" t="s">
        <v>2741</v>
      </c>
      <c r="F509" s="22" t="s">
        <v>2742</v>
      </c>
      <c r="G509" s="57">
        <v>2019.0</v>
      </c>
      <c r="H509" s="56" t="s">
        <v>77</v>
      </c>
      <c r="I509" s="58" t="s">
        <v>2743</v>
      </c>
      <c r="J509" s="22" t="s">
        <v>2744</v>
      </c>
      <c r="K509" s="22"/>
      <c r="L509" s="36">
        <v>830.0</v>
      </c>
      <c r="M509" s="36"/>
      <c r="N509" s="36" t="s">
        <v>2745</v>
      </c>
      <c r="O509" s="36">
        <v>2300.0</v>
      </c>
      <c r="P509" s="37" t="s">
        <v>2746</v>
      </c>
      <c r="Q509" s="36" t="s">
        <v>2747</v>
      </c>
      <c r="R509" s="36"/>
      <c r="S509" s="36" t="s">
        <v>2099</v>
      </c>
      <c r="T509" s="160" t="s">
        <v>2748</v>
      </c>
      <c r="U509" s="161" t="str">
        <f>HYPERLINK("https://www.ncbi.nlm.nih.gov/pubmed/31532306","PubMed")</f>
        <v>PubMed</v>
      </c>
      <c r="V509" s="30"/>
      <c r="W509" s="162"/>
      <c r="X509" s="156"/>
      <c r="Y509" s="35"/>
      <c r="Z509" s="35"/>
      <c r="AA509" s="35"/>
      <c r="AB509" s="35"/>
      <c r="AC509" s="35"/>
      <c r="AD509" s="35"/>
      <c r="AE509" s="35"/>
      <c r="AF509" s="35"/>
      <c r="AG509" s="35"/>
      <c r="AH509" s="35"/>
      <c r="AI509" s="35"/>
      <c r="AJ509" s="35"/>
      <c r="AK509" s="35"/>
      <c r="AL509" s="35"/>
    </row>
    <row r="510" ht="31.5" customHeight="1">
      <c r="A510" s="40" t="s">
        <v>2</v>
      </c>
      <c r="B510" s="157" t="s">
        <v>2073</v>
      </c>
      <c r="C510" s="158" t="s">
        <v>2749</v>
      </c>
      <c r="D510" s="159"/>
      <c r="E510" s="56" t="s">
        <v>2190</v>
      </c>
      <c r="F510" s="22" t="s">
        <v>2750</v>
      </c>
      <c r="G510" s="57">
        <v>2023.0</v>
      </c>
      <c r="H510" s="56" t="s">
        <v>2235</v>
      </c>
      <c r="I510" s="58" t="s">
        <v>2751</v>
      </c>
      <c r="J510" s="22" t="s">
        <v>209</v>
      </c>
      <c r="K510" s="22" t="s">
        <v>2752</v>
      </c>
      <c r="L510" s="36" t="s">
        <v>2753</v>
      </c>
      <c r="M510" s="36"/>
      <c r="N510" s="36"/>
      <c r="O510" s="36"/>
      <c r="P510" s="37"/>
      <c r="Q510" s="36"/>
      <c r="R510" s="36"/>
      <c r="S510" s="36"/>
      <c r="T510" s="160" t="s">
        <v>2754</v>
      </c>
      <c r="U510" s="60" t="s">
        <v>61</v>
      </c>
      <c r="V510" s="30"/>
      <c r="W510" s="162"/>
      <c r="X510" s="156"/>
      <c r="Y510" s="35"/>
      <c r="Z510" s="35"/>
      <c r="AA510" s="35"/>
      <c r="AB510" s="35"/>
      <c r="AC510" s="35"/>
      <c r="AD510" s="35"/>
      <c r="AE510" s="35"/>
      <c r="AF510" s="35"/>
      <c r="AG510" s="35"/>
      <c r="AH510" s="35"/>
      <c r="AI510" s="35"/>
      <c r="AJ510" s="35"/>
      <c r="AK510" s="35"/>
      <c r="AL510" s="35"/>
    </row>
    <row r="511" ht="31.5" customHeight="1">
      <c r="A511" s="18"/>
      <c r="B511" s="157" t="s">
        <v>2073</v>
      </c>
      <c r="C511" s="158" t="s">
        <v>2749</v>
      </c>
      <c r="D511" s="159"/>
      <c r="E511" s="56" t="s">
        <v>2755</v>
      </c>
      <c r="F511" s="22" t="s">
        <v>2175</v>
      </c>
      <c r="G511" s="57">
        <v>2021.0</v>
      </c>
      <c r="H511" s="56" t="s">
        <v>2479</v>
      </c>
      <c r="I511" s="58" t="s">
        <v>2756</v>
      </c>
      <c r="J511" s="22" t="s">
        <v>31</v>
      </c>
      <c r="K511" s="22" t="s">
        <v>1112</v>
      </c>
      <c r="L511" s="36">
        <v>808.0</v>
      </c>
      <c r="M511" s="36"/>
      <c r="N511" s="36"/>
      <c r="O511" s="36"/>
      <c r="P511" s="37" t="s">
        <v>2757</v>
      </c>
      <c r="Q511" s="36"/>
      <c r="R511" s="36"/>
      <c r="S511" s="36"/>
      <c r="T511" s="160" t="s">
        <v>2758</v>
      </c>
      <c r="U511" s="64" t="s">
        <v>61</v>
      </c>
      <c r="V511" s="30"/>
      <c r="W511" s="162"/>
      <c r="X511" s="156"/>
      <c r="Y511" s="35"/>
      <c r="Z511" s="35"/>
      <c r="AA511" s="35"/>
      <c r="AB511" s="35"/>
      <c r="AC511" s="35"/>
      <c r="AD511" s="35"/>
      <c r="AE511" s="35"/>
      <c r="AF511" s="35"/>
      <c r="AG511" s="35"/>
      <c r="AH511" s="35"/>
      <c r="AI511" s="35"/>
      <c r="AJ511" s="35"/>
      <c r="AK511" s="35"/>
      <c r="AL511" s="35"/>
    </row>
    <row r="512" ht="51.0" customHeight="1">
      <c r="A512" s="18"/>
      <c r="B512" s="157" t="s">
        <v>2073</v>
      </c>
      <c r="C512" s="158" t="s">
        <v>2759</v>
      </c>
      <c r="D512" s="159"/>
      <c r="E512" s="56" t="s">
        <v>2760</v>
      </c>
      <c r="F512" s="22" t="s">
        <v>224</v>
      </c>
      <c r="G512" s="57">
        <v>2024.0</v>
      </c>
      <c r="H512" s="56" t="s">
        <v>2761</v>
      </c>
      <c r="I512" s="58" t="s">
        <v>2762</v>
      </c>
      <c r="J512" s="22" t="s">
        <v>649</v>
      </c>
      <c r="K512" s="22"/>
      <c r="L512" s="105" t="s">
        <v>2763</v>
      </c>
      <c r="M512" s="44"/>
      <c r="N512" s="44"/>
      <c r="O512" s="44"/>
      <c r="P512" s="44"/>
      <c r="Q512" s="44"/>
      <c r="R512" s="44"/>
      <c r="S512" s="44"/>
      <c r="T512" s="45"/>
      <c r="U512" s="60" t="s">
        <v>61</v>
      </c>
      <c r="V512" s="30"/>
      <c r="W512" s="162"/>
      <c r="X512" s="156"/>
      <c r="Y512" s="35"/>
      <c r="Z512" s="35"/>
      <c r="AA512" s="35"/>
      <c r="AB512" s="35"/>
      <c r="AC512" s="35"/>
      <c r="AD512" s="35"/>
      <c r="AE512" s="35"/>
      <c r="AF512" s="35"/>
      <c r="AG512" s="35"/>
      <c r="AH512" s="35"/>
      <c r="AI512" s="35"/>
      <c r="AJ512" s="35"/>
      <c r="AK512" s="35"/>
      <c r="AL512" s="35"/>
    </row>
    <row r="513" ht="39.75" customHeight="1">
      <c r="A513" s="18"/>
      <c r="B513" s="157" t="s">
        <v>2073</v>
      </c>
      <c r="C513" s="158" t="s">
        <v>2759</v>
      </c>
      <c r="D513" s="159"/>
      <c r="E513" s="56" t="s">
        <v>2764</v>
      </c>
      <c r="F513" s="22" t="s">
        <v>2765</v>
      </c>
      <c r="G513" s="57">
        <v>2024.0</v>
      </c>
      <c r="H513" s="56" t="s">
        <v>2766</v>
      </c>
      <c r="I513" s="58" t="s">
        <v>2767</v>
      </c>
      <c r="J513" s="22" t="s">
        <v>2768</v>
      </c>
      <c r="K513" s="22" t="s">
        <v>157</v>
      </c>
      <c r="L513" s="166"/>
      <c r="M513" s="166"/>
      <c r="N513" s="166"/>
      <c r="O513" s="166"/>
      <c r="P513" s="166"/>
      <c r="Q513" s="166"/>
      <c r="R513" s="36">
        <v>2400.0</v>
      </c>
      <c r="S513" s="166"/>
      <c r="T513" s="102" t="s">
        <v>2769</v>
      </c>
      <c r="U513" s="60" t="s">
        <v>61</v>
      </c>
      <c r="V513" s="30"/>
      <c r="W513" s="162"/>
      <c r="X513" s="156"/>
      <c r="Y513" s="35"/>
      <c r="Z513" s="35"/>
      <c r="AA513" s="35"/>
      <c r="AB513" s="35"/>
      <c r="AC513" s="35"/>
      <c r="AD513" s="35"/>
      <c r="AE513" s="35"/>
      <c r="AF513" s="35"/>
      <c r="AG513" s="35"/>
      <c r="AH513" s="35"/>
      <c r="AI513" s="35"/>
      <c r="AJ513" s="35"/>
      <c r="AK513" s="35"/>
      <c r="AL513" s="35"/>
    </row>
    <row r="514" ht="31.5" customHeight="1">
      <c r="A514" s="18"/>
      <c r="B514" s="157" t="s">
        <v>2073</v>
      </c>
      <c r="C514" s="158" t="s">
        <v>2759</v>
      </c>
      <c r="D514" s="159"/>
      <c r="E514" s="56" t="s">
        <v>2770</v>
      </c>
      <c r="F514" s="22" t="s">
        <v>2161</v>
      </c>
      <c r="G514" s="57">
        <v>2024.0</v>
      </c>
      <c r="H514" s="56" t="s">
        <v>2771</v>
      </c>
      <c r="I514" s="58" t="s">
        <v>2772</v>
      </c>
      <c r="J514" s="22" t="s">
        <v>2773</v>
      </c>
      <c r="K514" s="22"/>
      <c r="L514" s="166"/>
      <c r="M514" s="166"/>
      <c r="N514" s="166"/>
      <c r="O514" s="166"/>
      <c r="P514" s="166"/>
      <c r="Q514" s="166"/>
      <c r="R514" s="166"/>
      <c r="S514" s="166"/>
      <c r="T514" s="54" t="s">
        <v>2774</v>
      </c>
      <c r="U514" s="60" t="s">
        <v>61</v>
      </c>
      <c r="V514" s="30"/>
      <c r="W514" s="162"/>
      <c r="X514" s="156"/>
      <c r="Y514" s="35"/>
      <c r="Z514" s="35"/>
      <c r="AA514" s="35"/>
      <c r="AB514" s="35"/>
      <c r="AC514" s="35"/>
      <c r="AD514" s="35"/>
      <c r="AE514" s="35"/>
      <c r="AF514" s="35"/>
      <c r="AG514" s="35"/>
      <c r="AH514" s="35"/>
      <c r="AI514" s="35"/>
      <c r="AJ514" s="35"/>
      <c r="AK514" s="35"/>
      <c r="AL514" s="35"/>
    </row>
    <row r="515" ht="31.5" customHeight="1">
      <c r="A515" s="18"/>
      <c r="B515" s="157" t="s">
        <v>2073</v>
      </c>
      <c r="C515" s="158" t="s">
        <v>2759</v>
      </c>
      <c r="D515" s="159"/>
      <c r="E515" s="56" t="s">
        <v>2775</v>
      </c>
      <c r="F515" s="22" t="s">
        <v>2445</v>
      </c>
      <c r="G515" s="57">
        <v>2024.0</v>
      </c>
      <c r="H515" s="56" t="s">
        <v>2392</v>
      </c>
      <c r="I515" s="58" t="s">
        <v>2776</v>
      </c>
      <c r="J515" s="22" t="s">
        <v>125</v>
      </c>
      <c r="K515" s="22"/>
      <c r="L515" s="105" t="s">
        <v>2777</v>
      </c>
      <c r="M515" s="44"/>
      <c r="N515" s="44"/>
      <c r="O515" s="44"/>
      <c r="P515" s="44"/>
      <c r="Q515" s="44"/>
      <c r="R515" s="44"/>
      <c r="S515" s="44"/>
      <c r="T515" s="45"/>
      <c r="U515" s="60" t="s">
        <v>61</v>
      </c>
      <c r="V515" s="30"/>
      <c r="W515" s="162"/>
      <c r="X515" s="156"/>
      <c r="Y515" s="35"/>
      <c r="Z515" s="35"/>
      <c r="AA515" s="35"/>
      <c r="AB515" s="35"/>
      <c r="AC515" s="35"/>
      <c r="AD515" s="35"/>
      <c r="AE515" s="35"/>
      <c r="AF515" s="35"/>
      <c r="AG515" s="35"/>
      <c r="AH515" s="35"/>
      <c r="AI515" s="35"/>
      <c r="AJ515" s="35"/>
      <c r="AK515" s="35"/>
      <c r="AL515" s="35"/>
    </row>
    <row r="516" ht="31.5" customHeight="1">
      <c r="A516" s="18"/>
      <c r="B516" s="157" t="s">
        <v>2073</v>
      </c>
      <c r="C516" s="158" t="s">
        <v>2759</v>
      </c>
      <c r="D516" s="159"/>
      <c r="E516" s="56" t="s">
        <v>2195</v>
      </c>
      <c r="F516" s="22" t="s">
        <v>65</v>
      </c>
      <c r="G516" s="57">
        <v>2023.0</v>
      </c>
      <c r="H516" s="56" t="s">
        <v>42</v>
      </c>
      <c r="I516" s="58" t="s">
        <v>2778</v>
      </c>
      <c r="J516" s="22" t="s">
        <v>2779</v>
      </c>
      <c r="K516" s="22"/>
      <c r="L516" s="36">
        <v>808.0</v>
      </c>
      <c r="M516" s="36"/>
      <c r="N516" s="36" t="s">
        <v>2780</v>
      </c>
      <c r="O516" s="36"/>
      <c r="P516" s="36"/>
      <c r="Q516" s="36"/>
      <c r="R516" s="36">
        <v>120.0</v>
      </c>
      <c r="S516" s="36" t="s">
        <v>2781</v>
      </c>
      <c r="T516" s="54" t="s">
        <v>2782</v>
      </c>
      <c r="U516" s="60" t="s">
        <v>61</v>
      </c>
      <c r="V516" s="30"/>
      <c r="W516" s="162"/>
      <c r="X516" s="156"/>
      <c r="Y516" s="35"/>
      <c r="Z516" s="35"/>
      <c r="AA516" s="35"/>
      <c r="AB516" s="35"/>
      <c r="AC516" s="35"/>
      <c r="AD516" s="35"/>
      <c r="AE516" s="35"/>
      <c r="AF516" s="35"/>
      <c r="AG516" s="35"/>
      <c r="AH516" s="35"/>
      <c r="AI516" s="35"/>
      <c r="AJ516" s="35"/>
      <c r="AK516" s="35"/>
      <c r="AL516" s="35"/>
    </row>
    <row r="517" ht="31.5" customHeight="1">
      <c r="A517" s="18"/>
      <c r="B517" s="157" t="s">
        <v>2073</v>
      </c>
      <c r="C517" s="158" t="s">
        <v>2759</v>
      </c>
      <c r="D517" s="159"/>
      <c r="E517" s="56" t="s">
        <v>2783</v>
      </c>
      <c r="F517" s="22" t="s">
        <v>494</v>
      </c>
      <c r="G517" s="57">
        <v>2023.0</v>
      </c>
      <c r="H517" s="56" t="s">
        <v>91</v>
      </c>
      <c r="I517" s="58" t="s">
        <v>2784</v>
      </c>
      <c r="J517" s="22" t="s">
        <v>2785</v>
      </c>
      <c r="K517" s="22"/>
      <c r="L517" s="36">
        <v>633.0</v>
      </c>
      <c r="M517" s="36"/>
      <c r="N517" s="36"/>
      <c r="O517" s="36"/>
      <c r="P517" s="36"/>
      <c r="Q517" s="36"/>
      <c r="R517" s="36"/>
      <c r="S517" s="36"/>
      <c r="T517" s="102" t="s">
        <v>2786</v>
      </c>
      <c r="U517" s="60" t="s">
        <v>61</v>
      </c>
      <c r="V517" s="30"/>
      <c r="W517" s="162"/>
      <c r="X517" s="156"/>
      <c r="Y517" s="35"/>
      <c r="Z517" s="35"/>
      <c r="AA517" s="35"/>
      <c r="AB517" s="35"/>
      <c r="AC517" s="35"/>
      <c r="AD517" s="35"/>
      <c r="AE517" s="35"/>
      <c r="AF517" s="35"/>
      <c r="AG517" s="35"/>
      <c r="AH517" s="35"/>
      <c r="AI517" s="35"/>
      <c r="AJ517" s="35"/>
      <c r="AK517" s="35"/>
      <c r="AL517" s="35"/>
    </row>
    <row r="518" ht="31.5" customHeight="1">
      <c r="A518" s="18"/>
      <c r="B518" s="157" t="s">
        <v>2073</v>
      </c>
      <c r="C518" s="158" t="s">
        <v>2759</v>
      </c>
      <c r="D518" s="159"/>
      <c r="E518" s="56" t="s">
        <v>2787</v>
      </c>
      <c r="F518" s="22" t="s">
        <v>2407</v>
      </c>
      <c r="G518" s="57">
        <v>2023.0</v>
      </c>
      <c r="H518" s="56" t="s">
        <v>2788</v>
      </c>
      <c r="I518" s="58" t="s">
        <v>2789</v>
      </c>
      <c r="J518" s="22" t="s">
        <v>2790</v>
      </c>
      <c r="K518" s="22" t="s">
        <v>2791</v>
      </c>
      <c r="L518" s="36" t="s">
        <v>2792</v>
      </c>
      <c r="M518" s="36"/>
      <c r="N518" s="36"/>
      <c r="O518" s="36"/>
      <c r="P518" s="36"/>
      <c r="Q518" s="36"/>
      <c r="R518" s="36"/>
      <c r="S518" s="36"/>
      <c r="T518" s="54" t="s">
        <v>2793</v>
      </c>
      <c r="U518" s="60" t="s">
        <v>61</v>
      </c>
      <c r="V518" s="30"/>
      <c r="W518" s="162"/>
      <c r="X518" s="156"/>
      <c r="Y518" s="35"/>
      <c r="Z518" s="35"/>
      <c r="AA518" s="35"/>
      <c r="AB518" s="35"/>
      <c r="AC518" s="35"/>
      <c r="AD518" s="35"/>
      <c r="AE518" s="35"/>
      <c r="AF518" s="35"/>
      <c r="AG518" s="35"/>
      <c r="AH518" s="35"/>
      <c r="AI518" s="35"/>
      <c r="AJ518" s="35"/>
      <c r="AK518" s="35"/>
      <c r="AL518" s="35"/>
    </row>
    <row r="519" ht="31.5" customHeight="1">
      <c r="A519" s="18"/>
      <c r="B519" s="157" t="s">
        <v>2073</v>
      </c>
      <c r="C519" s="158" t="s">
        <v>2759</v>
      </c>
      <c r="D519" s="159"/>
      <c r="E519" s="56" t="s">
        <v>2794</v>
      </c>
      <c r="F519" s="22" t="s">
        <v>2795</v>
      </c>
      <c r="G519" s="57">
        <v>2022.0</v>
      </c>
      <c r="H519" s="56" t="s">
        <v>147</v>
      </c>
      <c r="I519" s="58" t="s">
        <v>2796</v>
      </c>
      <c r="J519" s="22" t="s">
        <v>2797</v>
      </c>
      <c r="K519" s="22"/>
      <c r="L519" s="36">
        <v>1064.0</v>
      </c>
      <c r="M519" s="36"/>
      <c r="N519" s="36" t="s">
        <v>93</v>
      </c>
      <c r="O519" s="36"/>
      <c r="P519" s="36">
        <v>120.0</v>
      </c>
      <c r="Q519" s="36"/>
      <c r="R519" s="36" t="s">
        <v>2798</v>
      </c>
      <c r="S519" s="36" t="s">
        <v>2799</v>
      </c>
      <c r="T519" s="54" t="s">
        <v>2800</v>
      </c>
      <c r="U519" s="60" t="s">
        <v>61</v>
      </c>
      <c r="V519" s="30"/>
      <c r="W519" s="162"/>
      <c r="X519" s="156"/>
      <c r="Y519" s="35"/>
      <c r="Z519" s="35"/>
      <c r="AA519" s="35"/>
      <c r="AB519" s="35"/>
      <c r="AC519" s="35"/>
      <c r="AD519" s="35"/>
      <c r="AE519" s="35"/>
      <c r="AF519" s="35"/>
      <c r="AG519" s="35"/>
      <c r="AH519" s="35"/>
      <c r="AI519" s="35"/>
      <c r="AJ519" s="35"/>
      <c r="AK519" s="35"/>
      <c r="AL519" s="35"/>
    </row>
    <row r="520" ht="31.5" customHeight="1">
      <c r="A520" s="18"/>
      <c r="B520" s="157" t="s">
        <v>2073</v>
      </c>
      <c r="C520" s="158" t="s">
        <v>2759</v>
      </c>
      <c r="D520" s="159"/>
      <c r="E520" s="56" t="s">
        <v>2338</v>
      </c>
      <c r="F520" s="22" t="s">
        <v>2801</v>
      </c>
      <c r="G520" s="57">
        <v>2022.0</v>
      </c>
      <c r="H520" s="56" t="s">
        <v>2139</v>
      </c>
      <c r="I520" s="58" t="s">
        <v>2802</v>
      </c>
      <c r="J520" s="22" t="s">
        <v>55</v>
      </c>
      <c r="K520" s="22" t="s">
        <v>2803</v>
      </c>
      <c r="L520" s="36">
        <v>473.0</v>
      </c>
      <c r="M520" s="36">
        <v>200.0</v>
      </c>
      <c r="N520" s="36" t="s">
        <v>2692</v>
      </c>
      <c r="O520" s="36"/>
      <c r="P520" s="36">
        <v>40.0</v>
      </c>
      <c r="Q520" s="36"/>
      <c r="R520" s="36" t="s">
        <v>2804</v>
      </c>
      <c r="S520" s="36" t="s">
        <v>2805</v>
      </c>
      <c r="T520" s="54" t="s">
        <v>2806</v>
      </c>
      <c r="U520" s="64" t="s">
        <v>61</v>
      </c>
      <c r="V520" s="30"/>
      <c r="W520" s="162"/>
      <c r="X520" s="156"/>
      <c r="Y520" s="35"/>
      <c r="Z520" s="35"/>
      <c r="AA520" s="35"/>
      <c r="AB520" s="35"/>
      <c r="AC520" s="35"/>
      <c r="AD520" s="35"/>
      <c r="AE520" s="35"/>
      <c r="AF520" s="35"/>
      <c r="AG520" s="35"/>
      <c r="AH520" s="35"/>
      <c r="AI520" s="35"/>
      <c r="AJ520" s="35"/>
      <c r="AK520" s="35"/>
      <c r="AL520" s="35"/>
    </row>
    <row r="521" ht="31.5" customHeight="1">
      <c r="A521" s="18"/>
      <c r="B521" s="157" t="s">
        <v>2073</v>
      </c>
      <c r="C521" s="158" t="s">
        <v>2759</v>
      </c>
      <c r="D521" s="159"/>
      <c r="E521" s="56" t="s">
        <v>2807</v>
      </c>
      <c r="F521" s="22" t="s">
        <v>2808</v>
      </c>
      <c r="G521" s="57">
        <v>2022.0</v>
      </c>
      <c r="H521" s="56" t="s">
        <v>2809</v>
      </c>
      <c r="I521" s="58" t="s">
        <v>2810</v>
      </c>
      <c r="J521" s="22" t="s">
        <v>557</v>
      </c>
      <c r="K521" s="22"/>
      <c r="L521" s="105" t="s">
        <v>2811</v>
      </c>
      <c r="M521" s="44"/>
      <c r="N521" s="44"/>
      <c r="O521" s="44"/>
      <c r="P521" s="44"/>
      <c r="Q521" s="44"/>
      <c r="R521" s="44"/>
      <c r="S521" s="44"/>
      <c r="T521" s="45"/>
      <c r="U521" s="64" t="s">
        <v>61</v>
      </c>
      <c r="V521" s="30"/>
      <c r="W521" s="162"/>
      <c r="X521" s="156"/>
      <c r="Y521" s="35"/>
      <c r="Z521" s="35"/>
      <c r="AA521" s="35"/>
      <c r="AB521" s="35"/>
      <c r="AC521" s="35"/>
      <c r="AD521" s="35"/>
      <c r="AE521" s="35"/>
      <c r="AF521" s="35"/>
      <c r="AG521" s="35"/>
      <c r="AH521" s="35"/>
      <c r="AI521" s="35"/>
      <c r="AJ521" s="35"/>
      <c r="AK521" s="35"/>
      <c r="AL521" s="35"/>
    </row>
    <row r="522" ht="31.5" customHeight="1">
      <c r="A522" s="18"/>
      <c r="B522" s="157" t="s">
        <v>2073</v>
      </c>
      <c r="C522" s="158" t="s">
        <v>2759</v>
      </c>
      <c r="D522" s="159"/>
      <c r="E522" s="56" t="s">
        <v>216</v>
      </c>
      <c r="F522" s="22" t="s">
        <v>1508</v>
      </c>
      <c r="G522" s="57">
        <v>2021.0</v>
      </c>
      <c r="H522" s="56" t="s">
        <v>2812</v>
      </c>
      <c r="I522" s="58" t="s">
        <v>2813</v>
      </c>
      <c r="J522" s="22" t="s">
        <v>2814</v>
      </c>
      <c r="K522" s="22" t="s">
        <v>2815</v>
      </c>
      <c r="L522" s="36">
        <v>633.0</v>
      </c>
      <c r="M522" s="36"/>
      <c r="N522" s="36" t="s">
        <v>2816</v>
      </c>
      <c r="O522" s="36"/>
      <c r="P522" s="37" t="s">
        <v>2817</v>
      </c>
      <c r="Q522" s="36"/>
      <c r="R522" s="36">
        <v>3600.0</v>
      </c>
      <c r="S522" s="36" t="s">
        <v>2818</v>
      </c>
      <c r="T522" s="160" t="s">
        <v>2819</v>
      </c>
      <c r="U522" s="64" t="s">
        <v>61</v>
      </c>
      <c r="V522" s="30"/>
      <c r="W522" s="162"/>
      <c r="X522" s="156"/>
      <c r="Y522" s="35"/>
      <c r="Z522" s="35"/>
      <c r="AA522" s="35"/>
      <c r="AB522" s="35"/>
      <c r="AC522" s="35"/>
      <c r="AD522" s="35"/>
      <c r="AE522" s="35"/>
      <c r="AF522" s="35"/>
      <c r="AG522" s="35"/>
      <c r="AH522" s="35"/>
      <c r="AI522" s="35"/>
      <c r="AJ522" s="35"/>
      <c r="AK522" s="35"/>
      <c r="AL522" s="35"/>
    </row>
    <row r="523" ht="31.5" customHeight="1">
      <c r="A523" s="18"/>
      <c r="B523" s="157" t="s">
        <v>2073</v>
      </c>
      <c r="C523" s="158" t="s">
        <v>2759</v>
      </c>
      <c r="D523" s="159"/>
      <c r="E523" s="56" t="s">
        <v>2820</v>
      </c>
      <c r="F523" s="22" t="s">
        <v>2821</v>
      </c>
      <c r="G523" s="57">
        <v>2021.0</v>
      </c>
      <c r="H523" s="56" t="s">
        <v>452</v>
      </c>
      <c r="I523" s="58" t="s">
        <v>2822</v>
      </c>
      <c r="J523" s="22" t="s">
        <v>2823</v>
      </c>
      <c r="K523" s="22" t="s">
        <v>157</v>
      </c>
      <c r="L523" s="36">
        <v>750.0</v>
      </c>
      <c r="M523" s="36"/>
      <c r="N523" s="36"/>
      <c r="O523" s="36"/>
      <c r="P523" s="37"/>
      <c r="Q523" s="36"/>
      <c r="R523" s="36"/>
      <c r="S523" s="36"/>
      <c r="T523" s="160" t="s">
        <v>2824</v>
      </c>
      <c r="U523" s="64" t="s">
        <v>61</v>
      </c>
      <c r="V523" s="30"/>
      <c r="W523" s="162"/>
      <c r="X523" s="156"/>
      <c r="Y523" s="35"/>
      <c r="Z523" s="35"/>
      <c r="AA523" s="35"/>
      <c r="AB523" s="35"/>
      <c r="AC523" s="35"/>
      <c r="AD523" s="35"/>
      <c r="AE523" s="35"/>
      <c r="AF523" s="35"/>
      <c r="AG523" s="35"/>
      <c r="AH523" s="35"/>
      <c r="AI523" s="35"/>
      <c r="AJ523" s="35"/>
      <c r="AK523" s="35"/>
      <c r="AL523" s="35"/>
    </row>
    <row r="524" ht="31.5" customHeight="1">
      <c r="A524" s="18"/>
      <c r="B524" s="157" t="s">
        <v>2073</v>
      </c>
      <c r="C524" s="158" t="s">
        <v>2759</v>
      </c>
      <c r="D524" s="159"/>
      <c r="E524" s="56" t="s">
        <v>2825</v>
      </c>
      <c r="F524" s="22" t="s">
        <v>2407</v>
      </c>
      <c r="G524" s="57">
        <v>2020.0</v>
      </c>
      <c r="H524" s="56" t="s">
        <v>2826</v>
      </c>
      <c r="I524" s="58" t="s">
        <v>2827</v>
      </c>
      <c r="J524" s="22" t="s">
        <v>2828</v>
      </c>
      <c r="K524" s="22" t="s">
        <v>157</v>
      </c>
      <c r="L524" s="36">
        <v>810.0</v>
      </c>
      <c r="M524" s="36"/>
      <c r="N524" s="36" t="s">
        <v>2829</v>
      </c>
      <c r="O524" s="36"/>
      <c r="P524" s="37" t="s">
        <v>2830</v>
      </c>
      <c r="Q524" s="36"/>
      <c r="R524" s="36">
        <v>1200.0</v>
      </c>
      <c r="S524" s="36" t="s">
        <v>2831</v>
      </c>
      <c r="T524" s="160" t="s">
        <v>2832</v>
      </c>
      <c r="U524" s="64" t="s">
        <v>61</v>
      </c>
      <c r="V524" s="30"/>
      <c r="W524" s="162"/>
      <c r="X524" s="156"/>
      <c r="Y524" s="35"/>
      <c r="Z524" s="35"/>
      <c r="AA524" s="35"/>
      <c r="AB524" s="35"/>
      <c r="AC524" s="35"/>
      <c r="AD524" s="35"/>
      <c r="AE524" s="35"/>
      <c r="AF524" s="35"/>
      <c r="AG524" s="35"/>
      <c r="AH524" s="35"/>
      <c r="AI524" s="35"/>
      <c r="AJ524" s="35"/>
      <c r="AK524" s="35"/>
      <c r="AL524" s="35"/>
    </row>
    <row r="525" ht="31.5" customHeight="1">
      <c r="A525" s="18" t="s">
        <v>2</v>
      </c>
      <c r="B525" s="157" t="s">
        <v>2073</v>
      </c>
      <c r="C525" s="158" t="s">
        <v>2759</v>
      </c>
      <c r="D525" s="159"/>
      <c r="E525" s="56" t="s">
        <v>2338</v>
      </c>
      <c r="F525" s="22" t="s">
        <v>2833</v>
      </c>
      <c r="G525" s="57" t="s">
        <v>76</v>
      </c>
      <c r="H525" s="56" t="s">
        <v>42</v>
      </c>
      <c r="I525" s="58" t="s">
        <v>2834</v>
      </c>
      <c r="J525" s="22" t="s">
        <v>55</v>
      </c>
      <c r="K525" s="22"/>
      <c r="L525" s="36">
        <v>808.0</v>
      </c>
      <c r="M525" s="36"/>
      <c r="N525" s="36" t="s">
        <v>2835</v>
      </c>
      <c r="O525" s="36"/>
      <c r="P525" s="37"/>
      <c r="Q525" s="36"/>
      <c r="R525" s="36">
        <v>120.0</v>
      </c>
      <c r="S525" s="36">
        <v>15.0</v>
      </c>
      <c r="T525" s="160" t="s">
        <v>2836</v>
      </c>
      <c r="U525" s="161" t="str">
        <f>HYPERLINK("https://www.ncbi.nlm.nih.gov/pubmed/31657525","PubMed")</f>
        <v>PubMed</v>
      </c>
      <c r="V525" s="30"/>
      <c r="W525" s="162"/>
      <c r="X525" s="156"/>
      <c r="Y525" s="35"/>
      <c r="Z525" s="35"/>
      <c r="AA525" s="35"/>
      <c r="AB525" s="35"/>
      <c r="AC525" s="35"/>
      <c r="AD525" s="35"/>
      <c r="AE525" s="35"/>
      <c r="AF525" s="35"/>
      <c r="AG525" s="35"/>
      <c r="AH525" s="35"/>
      <c r="AI525" s="35"/>
      <c r="AJ525" s="35"/>
      <c r="AK525" s="35"/>
      <c r="AL525" s="35"/>
    </row>
    <row r="526" ht="31.5" customHeight="1">
      <c r="A526" s="89"/>
      <c r="B526" s="157" t="s">
        <v>2073</v>
      </c>
      <c r="C526" s="158" t="s">
        <v>2759</v>
      </c>
      <c r="D526" s="159"/>
      <c r="E526" s="56" t="s">
        <v>2837</v>
      </c>
      <c r="F526" s="22" t="s">
        <v>510</v>
      </c>
      <c r="G526" s="57">
        <v>2019.0</v>
      </c>
      <c r="H526" s="56" t="s">
        <v>77</v>
      </c>
      <c r="I526" s="58" t="s">
        <v>2838</v>
      </c>
      <c r="J526" s="22" t="s">
        <v>2839</v>
      </c>
      <c r="K526" s="22" t="s">
        <v>157</v>
      </c>
      <c r="L526" s="36">
        <v>630.0</v>
      </c>
      <c r="M526" s="36"/>
      <c r="N526" s="36" t="s">
        <v>2840</v>
      </c>
      <c r="O526" s="36" t="s">
        <v>2841</v>
      </c>
      <c r="P526" s="37" t="s">
        <v>2842</v>
      </c>
      <c r="Q526" s="36" t="s">
        <v>2843</v>
      </c>
      <c r="R526" s="36">
        <v>1800.0</v>
      </c>
      <c r="S526" s="36" t="s">
        <v>2844</v>
      </c>
      <c r="T526" s="163" t="s">
        <v>2845</v>
      </c>
      <c r="U526" s="161" t="str">
        <f>HYPERLINK("https://www.ncbi.nlm.nih.gov/pubmed/31647777","PubMed")</f>
        <v>PubMed</v>
      </c>
      <c r="V526" s="30"/>
      <c r="W526" s="162"/>
      <c r="X526" s="156"/>
      <c r="Y526" s="35"/>
      <c r="Z526" s="35"/>
      <c r="AA526" s="35"/>
      <c r="AB526" s="35"/>
      <c r="AC526" s="35"/>
      <c r="AD526" s="35"/>
      <c r="AE526" s="35"/>
      <c r="AF526" s="35"/>
      <c r="AG526" s="35"/>
      <c r="AH526" s="35"/>
      <c r="AI526" s="35"/>
      <c r="AJ526" s="35"/>
      <c r="AK526" s="35"/>
      <c r="AL526" s="35"/>
    </row>
    <row r="527" ht="31.5" customHeight="1">
      <c r="A527" s="89"/>
      <c r="B527" s="157" t="s">
        <v>2073</v>
      </c>
      <c r="C527" s="158" t="s">
        <v>2759</v>
      </c>
      <c r="D527" s="159"/>
      <c r="E527" s="56" t="s">
        <v>2338</v>
      </c>
      <c r="F527" s="22" t="s">
        <v>65</v>
      </c>
      <c r="G527" s="57">
        <v>2019.0</v>
      </c>
      <c r="H527" s="56" t="s">
        <v>42</v>
      </c>
      <c r="I527" s="58" t="s">
        <v>2846</v>
      </c>
      <c r="J527" s="22" t="s">
        <v>55</v>
      </c>
      <c r="K527" s="22" t="s">
        <v>2847</v>
      </c>
      <c r="L527" s="36">
        <v>808.0</v>
      </c>
      <c r="M527" s="36"/>
      <c r="N527" s="36" t="s">
        <v>414</v>
      </c>
      <c r="O527" s="36"/>
      <c r="P527" s="37" t="s">
        <v>2848</v>
      </c>
      <c r="Q527" s="36" t="s">
        <v>675</v>
      </c>
      <c r="R527" s="36"/>
      <c r="S527" s="36"/>
      <c r="T527" s="160" t="s">
        <v>2849</v>
      </c>
      <c r="U527" s="161" t="str">
        <f>HYPERLINK("https://www.ncbi.nlm.nih.gov/pubmed/30652418","PubMed")</f>
        <v>PubMed</v>
      </c>
      <c r="V527" s="30"/>
      <c r="W527" s="162"/>
      <c r="X527" s="156"/>
      <c r="Y527" s="35"/>
      <c r="Z527" s="35"/>
      <c r="AA527" s="35"/>
      <c r="AB527" s="35"/>
      <c r="AC527" s="35"/>
      <c r="AD527" s="35"/>
      <c r="AE527" s="35"/>
      <c r="AF527" s="35"/>
      <c r="AG527" s="35"/>
      <c r="AH527" s="35"/>
      <c r="AI527" s="35"/>
      <c r="AJ527" s="35"/>
      <c r="AK527" s="35"/>
      <c r="AL527" s="35"/>
    </row>
    <row r="528" ht="31.5" customHeight="1">
      <c r="A528" s="89"/>
      <c r="B528" s="157" t="s">
        <v>2073</v>
      </c>
      <c r="C528" s="158" t="s">
        <v>2759</v>
      </c>
      <c r="D528" s="159"/>
      <c r="E528" s="56" t="s">
        <v>2850</v>
      </c>
      <c r="F528" s="22" t="s">
        <v>41</v>
      </c>
      <c r="G528" s="57">
        <v>2018.0</v>
      </c>
      <c r="H528" s="56" t="s">
        <v>2851</v>
      </c>
      <c r="I528" s="58" t="s">
        <v>2852</v>
      </c>
      <c r="J528" s="22" t="s">
        <v>125</v>
      </c>
      <c r="K528" s="22"/>
      <c r="L528" s="167" t="s">
        <v>2853</v>
      </c>
      <c r="M528" s="44"/>
      <c r="N528" s="44"/>
      <c r="O528" s="44"/>
      <c r="P528" s="44"/>
      <c r="Q528" s="44"/>
      <c r="R528" s="44"/>
      <c r="S528" s="44"/>
      <c r="T528" s="45"/>
      <c r="U528" s="161" t="str">
        <f>HYPERLINK("https://www.ncbi.nlm.nih.gov/pubmed/29731669","PubMed")</f>
        <v>PubMed</v>
      </c>
      <c r="V528" s="50"/>
      <c r="W528" s="162"/>
      <c r="X528" s="156"/>
      <c r="Y528" s="35"/>
      <c r="Z528" s="35"/>
      <c r="AA528" s="35"/>
      <c r="AB528" s="35"/>
      <c r="AC528" s="35"/>
      <c r="AD528" s="35"/>
      <c r="AE528" s="35"/>
      <c r="AF528" s="35"/>
      <c r="AG528" s="35"/>
      <c r="AH528" s="35"/>
      <c r="AI528" s="35"/>
      <c r="AJ528" s="35"/>
      <c r="AK528" s="35"/>
      <c r="AL528" s="35"/>
    </row>
    <row r="529" ht="31.5" customHeight="1">
      <c r="A529" s="89"/>
      <c r="B529" s="157" t="s">
        <v>2073</v>
      </c>
      <c r="C529" s="158" t="s">
        <v>2759</v>
      </c>
      <c r="D529" s="159"/>
      <c r="E529" s="56" t="s">
        <v>2854</v>
      </c>
      <c r="F529" s="22" t="s">
        <v>2855</v>
      </c>
      <c r="G529" s="57">
        <v>2018.0</v>
      </c>
      <c r="H529" s="56" t="s">
        <v>658</v>
      </c>
      <c r="I529" s="58" t="s">
        <v>2856</v>
      </c>
      <c r="J529" s="22" t="s">
        <v>2857</v>
      </c>
      <c r="K529" s="22" t="s">
        <v>2858</v>
      </c>
      <c r="L529" s="94" t="s">
        <v>2859</v>
      </c>
      <c r="M529" s="94" t="s">
        <v>1069</v>
      </c>
      <c r="N529" s="93">
        <v>43196.0</v>
      </c>
      <c r="O529" s="94"/>
      <c r="P529" s="95" t="s">
        <v>2860</v>
      </c>
      <c r="Q529" s="94"/>
      <c r="R529" s="94">
        <v>1200.0</v>
      </c>
      <c r="S529" s="94" t="s">
        <v>2861</v>
      </c>
      <c r="T529" s="163" t="s">
        <v>2862</v>
      </c>
      <c r="U529" s="161" t="str">
        <f>HYPERLINK("https://www.ncbi.nlm.nih.gov/pubmed/30418082","PubMed")</f>
        <v>PubMed</v>
      </c>
      <c r="V529" s="50"/>
      <c r="W529" s="162"/>
      <c r="X529" s="156"/>
      <c r="Y529" s="35"/>
      <c r="Z529" s="35"/>
      <c r="AA529" s="35"/>
      <c r="AB529" s="35"/>
      <c r="AC529" s="35"/>
      <c r="AD529" s="35"/>
      <c r="AE529" s="35"/>
      <c r="AF529" s="35"/>
      <c r="AG529" s="35"/>
      <c r="AH529" s="35"/>
      <c r="AI529" s="35"/>
      <c r="AJ529" s="35"/>
      <c r="AK529" s="35"/>
      <c r="AL529" s="35"/>
    </row>
    <row r="530" ht="31.5" customHeight="1">
      <c r="A530" s="89"/>
      <c r="B530" s="157" t="s">
        <v>2073</v>
      </c>
      <c r="C530" s="158" t="s">
        <v>2759</v>
      </c>
      <c r="D530" s="159"/>
      <c r="E530" s="56" t="s">
        <v>450</v>
      </c>
      <c r="F530" s="22" t="s">
        <v>41</v>
      </c>
      <c r="G530" s="57">
        <v>2018.0</v>
      </c>
      <c r="H530" s="56" t="s">
        <v>2863</v>
      </c>
      <c r="I530" s="58" t="s">
        <v>2864</v>
      </c>
      <c r="J530" s="22" t="s">
        <v>2141</v>
      </c>
      <c r="K530" s="22"/>
      <c r="L530" s="168">
        <v>627.0</v>
      </c>
      <c r="M530" s="168"/>
      <c r="N530" s="168" t="s">
        <v>2865</v>
      </c>
      <c r="O530" s="168"/>
      <c r="P530" s="169" t="s">
        <v>95</v>
      </c>
      <c r="Q530" s="168"/>
      <c r="R530" s="168"/>
      <c r="S530" s="168">
        <v>18.0</v>
      </c>
      <c r="T530" s="170" t="s">
        <v>2866</v>
      </c>
      <c r="U530" s="161" t="str">
        <f>HYPERLINK("https://www.ncbi.nlm.nih.gov/pubmed/29690927","PubMed")</f>
        <v>PubMed</v>
      </c>
      <c r="V530" s="50"/>
      <c r="W530" s="162"/>
      <c r="X530" s="156"/>
      <c r="Y530" s="35"/>
      <c r="Z530" s="35"/>
      <c r="AA530" s="35"/>
      <c r="AB530" s="35"/>
      <c r="AC530" s="35"/>
      <c r="AD530" s="35"/>
      <c r="AE530" s="35"/>
      <c r="AF530" s="35"/>
      <c r="AG530" s="35"/>
      <c r="AH530" s="35"/>
      <c r="AI530" s="35"/>
      <c r="AJ530" s="35"/>
      <c r="AK530" s="35"/>
      <c r="AL530" s="35"/>
    </row>
    <row r="531" ht="31.5" customHeight="1">
      <c r="A531" s="89"/>
      <c r="B531" s="157" t="s">
        <v>2073</v>
      </c>
      <c r="C531" s="158" t="s">
        <v>2759</v>
      </c>
      <c r="D531" s="159"/>
      <c r="E531" s="56" t="s">
        <v>2867</v>
      </c>
      <c r="F531" s="22" t="s">
        <v>41</v>
      </c>
      <c r="G531" s="57">
        <v>2018.0</v>
      </c>
      <c r="H531" s="56" t="s">
        <v>2863</v>
      </c>
      <c r="I531" s="58" t="s">
        <v>2868</v>
      </c>
      <c r="J531" s="22" t="s">
        <v>2141</v>
      </c>
      <c r="K531" s="22"/>
      <c r="L531" s="168"/>
      <c r="M531" s="168"/>
      <c r="N531" s="168"/>
      <c r="O531" s="168"/>
      <c r="P531" s="169"/>
      <c r="Q531" s="168"/>
      <c r="R531" s="168"/>
      <c r="S531" s="168"/>
      <c r="T531" s="170"/>
      <c r="U531" s="161" t="str">
        <f>HYPERLINK("https://www.ncbi.nlm.nih.gov/pubmed/29310710","PubMed")</f>
        <v>PubMed</v>
      </c>
      <c r="V531" s="50"/>
      <c r="W531" s="162"/>
      <c r="X531" s="156"/>
      <c r="Y531" s="35"/>
      <c r="Z531" s="35"/>
      <c r="AA531" s="35"/>
      <c r="AB531" s="35"/>
      <c r="AC531" s="35"/>
      <c r="AD531" s="35"/>
      <c r="AE531" s="35"/>
      <c r="AF531" s="35"/>
      <c r="AG531" s="35"/>
      <c r="AH531" s="35"/>
      <c r="AI531" s="35"/>
      <c r="AJ531" s="35"/>
      <c r="AK531" s="35"/>
      <c r="AL531" s="35"/>
    </row>
    <row r="532" ht="52.5" customHeight="1">
      <c r="A532" s="1"/>
      <c r="B532" s="157" t="s">
        <v>2073</v>
      </c>
      <c r="C532" s="158" t="s">
        <v>2759</v>
      </c>
      <c r="D532" s="159"/>
      <c r="E532" s="22" t="s">
        <v>2482</v>
      </c>
      <c r="F532" s="22" t="s">
        <v>2407</v>
      </c>
      <c r="G532" s="23" t="s">
        <v>90</v>
      </c>
      <c r="H532" s="22" t="s">
        <v>2869</v>
      </c>
      <c r="I532" s="24" t="s">
        <v>2870</v>
      </c>
      <c r="J532" s="22" t="s">
        <v>125</v>
      </c>
      <c r="K532" s="22"/>
      <c r="L532" s="105" t="s">
        <v>2871</v>
      </c>
      <c r="M532" s="44"/>
      <c r="N532" s="44"/>
      <c r="O532" s="44"/>
      <c r="P532" s="44"/>
      <c r="Q532" s="44"/>
      <c r="R532" s="44"/>
      <c r="S532" s="44"/>
      <c r="T532" s="45"/>
      <c r="U532" s="38" t="str">
        <f>HYPERLINK("https://www.ncbi.nlm.nih.gov/pubmed/29131369","PubMed")</f>
        <v>PubMed</v>
      </c>
      <c r="V532" s="139"/>
      <c r="W532" s="49"/>
      <c r="X532" s="49"/>
      <c r="Y532" s="35"/>
      <c r="Z532" s="35"/>
      <c r="AA532" s="35"/>
      <c r="AB532" s="35"/>
      <c r="AC532" s="35"/>
      <c r="AD532" s="35"/>
      <c r="AE532" s="35"/>
      <c r="AF532" s="35"/>
      <c r="AG532" s="35"/>
      <c r="AH532" s="35"/>
      <c r="AI532" s="35"/>
      <c r="AJ532" s="35"/>
      <c r="AK532" s="35"/>
      <c r="AL532" s="35"/>
    </row>
    <row r="533" ht="52.5" customHeight="1">
      <c r="A533" s="1"/>
      <c r="B533" s="157" t="s">
        <v>2073</v>
      </c>
      <c r="C533" s="158" t="s">
        <v>2759</v>
      </c>
      <c r="D533" s="159"/>
      <c r="E533" s="22" t="s">
        <v>2787</v>
      </c>
      <c r="F533" s="22" t="s">
        <v>2407</v>
      </c>
      <c r="G533" s="23">
        <v>2016.0</v>
      </c>
      <c r="H533" s="22" t="s">
        <v>658</v>
      </c>
      <c r="I533" s="24" t="s">
        <v>2872</v>
      </c>
      <c r="J533" s="22" t="s">
        <v>125</v>
      </c>
      <c r="K533" s="22" t="s">
        <v>2873</v>
      </c>
      <c r="L533" s="105" t="s">
        <v>2874</v>
      </c>
      <c r="M533" s="44"/>
      <c r="N533" s="44"/>
      <c r="O533" s="44"/>
      <c r="P533" s="44"/>
      <c r="Q533" s="44"/>
      <c r="R533" s="44"/>
      <c r="S533" s="44"/>
      <c r="T533" s="45"/>
      <c r="U533" s="38" t="str">
        <f>HYPERLINK("https://www.ncbi.nlm.nih.gov/pubmed/28001756","PubMed")</f>
        <v>PubMed</v>
      </c>
      <c r="V533" s="139"/>
      <c r="W533" s="49"/>
      <c r="X533" s="49"/>
      <c r="Y533" s="35"/>
      <c r="Z533" s="35"/>
      <c r="AA533" s="35"/>
      <c r="AB533" s="35"/>
      <c r="AC533" s="35"/>
      <c r="AD533" s="35"/>
      <c r="AE533" s="35"/>
      <c r="AF533" s="35"/>
      <c r="AG533" s="35"/>
      <c r="AH533" s="35"/>
      <c r="AI533" s="35"/>
      <c r="AJ533" s="35"/>
      <c r="AK533" s="35"/>
      <c r="AL533" s="35"/>
    </row>
    <row r="534" ht="52.5" customHeight="1">
      <c r="A534" s="1"/>
      <c r="B534" s="157" t="s">
        <v>2073</v>
      </c>
      <c r="C534" s="158" t="s">
        <v>2759</v>
      </c>
      <c r="D534" s="159"/>
      <c r="E534" s="22" t="s">
        <v>2875</v>
      </c>
      <c r="F534" s="22" t="s">
        <v>2876</v>
      </c>
      <c r="G534" s="23">
        <v>2016.0</v>
      </c>
      <c r="H534" s="22" t="s">
        <v>658</v>
      </c>
      <c r="I534" s="24" t="s">
        <v>2877</v>
      </c>
      <c r="J534" s="22" t="s">
        <v>125</v>
      </c>
      <c r="K534" s="22"/>
      <c r="L534" s="105" t="s">
        <v>2878</v>
      </c>
      <c r="M534" s="44"/>
      <c r="N534" s="44"/>
      <c r="O534" s="44"/>
      <c r="P534" s="44"/>
      <c r="Q534" s="44"/>
      <c r="R534" s="44"/>
      <c r="S534" s="44"/>
      <c r="T534" s="45"/>
      <c r="U534" s="38" t="str">
        <f>HYPERLINK("https://www.ncbi.nlm.nih.gov/pubmed/28001759","PubMed")</f>
        <v>PubMed</v>
      </c>
      <c r="V534" s="139"/>
      <c r="W534" s="49"/>
      <c r="X534" s="49"/>
      <c r="Y534" s="35"/>
      <c r="Z534" s="35"/>
      <c r="AA534" s="35"/>
      <c r="AB534" s="35"/>
      <c r="AC534" s="35"/>
      <c r="AD534" s="35"/>
      <c r="AE534" s="35"/>
      <c r="AF534" s="35"/>
      <c r="AG534" s="35"/>
      <c r="AH534" s="35"/>
      <c r="AI534" s="35"/>
      <c r="AJ534" s="35"/>
      <c r="AK534" s="35"/>
      <c r="AL534" s="35"/>
    </row>
    <row r="535" ht="21.75" customHeight="1">
      <c r="A535" s="1"/>
      <c r="B535" s="157" t="s">
        <v>2073</v>
      </c>
      <c r="C535" s="158" t="s">
        <v>2759</v>
      </c>
      <c r="D535" s="159"/>
      <c r="E535" s="22" t="s">
        <v>2879</v>
      </c>
      <c r="F535" s="22" t="s">
        <v>2880</v>
      </c>
      <c r="G535" s="23">
        <v>2016.0</v>
      </c>
      <c r="H535" s="22" t="s">
        <v>2225</v>
      </c>
      <c r="I535" s="24" t="s">
        <v>2881</v>
      </c>
      <c r="J535" s="22" t="s">
        <v>2882</v>
      </c>
      <c r="K535" s="22"/>
      <c r="L535" s="105" t="s">
        <v>2883</v>
      </c>
      <c r="M535" s="44"/>
      <c r="N535" s="44"/>
      <c r="O535" s="44"/>
      <c r="P535" s="44"/>
      <c r="Q535" s="44"/>
      <c r="R535" s="44"/>
      <c r="S535" s="44"/>
      <c r="T535" s="45"/>
      <c r="U535" s="38" t="str">
        <f>HYPERLINK("https://www.ncbi.nlm.nih.gov/pubmed/27212912","PubMed")</f>
        <v>PubMed</v>
      </c>
      <c r="V535" s="139"/>
      <c r="W535" s="49"/>
      <c r="X535" s="49"/>
      <c r="Y535" s="35"/>
      <c r="Z535" s="35"/>
      <c r="AA535" s="35"/>
      <c r="AB535" s="35"/>
      <c r="AC535" s="35"/>
      <c r="AD535" s="35"/>
      <c r="AE535" s="35"/>
      <c r="AF535" s="35"/>
      <c r="AG535" s="35"/>
      <c r="AH535" s="35"/>
      <c r="AI535" s="35"/>
      <c r="AJ535" s="35"/>
      <c r="AK535" s="35"/>
      <c r="AL535" s="35"/>
    </row>
    <row r="536" ht="52.5" customHeight="1">
      <c r="A536" s="1"/>
      <c r="B536" s="157" t="s">
        <v>2073</v>
      </c>
      <c r="C536" s="158" t="s">
        <v>2759</v>
      </c>
      <c r="D536" s="159"/>
      <c r="E536" s="22" t="s">
        <v>2884</v>
      </c>
      <c r="F536" s="22" t="s">
        <v>2407</v>
      </c>
      <c r="G536" s="23">
        <v>2016.0</v>
      </c>
      <c r="H536" s="22" t="s">
        <v>42</v>
      </c>
      <c r="I536" s="24" t="s">
        <v>2885</v>
      </c>
      <c r="J536" s="22" t="s">
        <v>44</v>
      </c>
      <c r="K536" s="22"/>
      <c r="L536" s="36">
        <v>810.0</v>
      </c>
      <c r="M536" s="36"/>
      <c r="N536" s="36" t="s">
        <v>1018</v>
      </c>
      <c r="O536" s="36"/>
      <c r="P536" s="37" t="s">
        <v>2886</v>
      </c>
      <c r="Q536" s="36" t="s">
        <v>2887</v>
      </c>
      <c r="R536" s="36">
        <v>720.0</v>
      </c>
      <c r="S536" s="36" t="s">
        <v>2888</v>
      </c>
      <c r="T536" s="98" t="s">
        <v>2889</v>
      </c>
      <c r="U536" s="38" t="str">
        <f>HYPERLINK("https://www.ncbi.nlm.nih.gov/pubmed/26990361","PubMed")</f>
        <v>PubMed</v>
      </c>
      <c r="V536" s="139"/>
      <c r="W536" s="49"/>
      <c r="X536" s="49"/>
      <c r="Y536" s="35"/>
      <c r="Z536" s="35"/>
      <c r="AA536" s="35"/>
      <c r="AB536" s="35"/>
      <c r="AC536" s="35"/>
      <c r="AD536" s="35"/>
      <c r="AE536" s="35"/>
      <c r="AF536" s="35"/>
      <c r="AG536" s="35"/>
      <c r="AH536" s="35"/>
      <c r="AI536" s="35"/>
      <c r="AJ536" s="35"/>
      <c r="AK536" s="35"/>
      <c r="AL536" s="35"/>
    </row>
    <row r="537" ht="52.5" customHeight="1">
      <c r="A537" s="1"/>
      <c r="B537" s="157" t="s">
        <v>2073</v>
      </c>
      <c r="C537" s="158" t="s">
        <v>2759</v>
      </c>
      <c r="D537" s="159"/>
      <c r="E537" s="22" t="s">
        <v>2884</v>
      </c>
      <c r="F537" s="22" t="s">
        <v>2407</v>
      </c>
      <c r="G537" s="23">
        <v>2015.0</v>
      </c>
      <c r="H537" s="22" t="s">
        <v>42</v>
      </c>
      <c r="I537" s="24" t="s">
        <v>2890</v>
      </c>
      <c r="J537" s="22" t="s">
        <v>44</v>
      </c>
      <c r="K537" s="22"/>
      <c r="L537" s="36">
        <v>810.0</v>
      </c>
      <c r="M537" s="36"/>
      <c r="N537" s="36" t="s">
        <v>1729</v>
      </c>
      <c r="O537" s="129">
        <v>42457.0</v>
      </c>
      <c r="P537" s="37" t="s">
        <v>2659</v>
      </c>
      <c r="Q537" s="36" t="s">
        <v>2891</v>
      </c>
      <c r="R537" s="36">
        <v>720.0</v>
      </c>
      <c r="S537" s="36" t="s">
        <v>2892</v>
      </c>
      <c r="T537" s="28" t="s">
        <v>2893</v>
      </c>
      <c r="U537" s="38" t="str">
        <f>HYPERLINK("https://www.ncbi.nlm.nih.gov/pubmed/25196192","PubMed")</f>
        <v>PubMed</v>
      </c>
      <c r="V537" s="139"/>
      <c r="W537" s="49"/>
      <c r="X537" s="49"/>
      <c r="Y537" s="35"/>
      <c r="Z537" s="35"/>
      <c r="AA537" s="35"/>
      <c r="AB537" s="35"/>
      <c r="AC537" s="35"/>
      <c r="AD537" s="35"/>
      <c r="AE537" s="35"/>
      <c r="AF537" s="35"/>
      <c r="AG537" s="35"/>
      <c r="AH537" s="35"/>
      <c r="AI537" s="35"/>
      <c r="AJ537" s="35"/>
      <c r="AK537" s="35"/>
      <c r="AL537" s="35"/>
    </row>
    <row r="538" ht="52.5" customHeight="1">
      <c r="A538" s="1"/>
      <c r="B538" s="157" t="s">
        <v>2073</v>
      </c>
      <c r="C538" s="158" t="s">
        <v>2759</v>
      </c>
      <c r="D538" s="159"/>
      <c r="E538" s="22" t="s">
        <v>2894</v>
      </c>
      <c r="F538" s="22" t="s">
        <v>2407</v>
      </c>
      <c r="G538" s="23">
        <v>2015.0</v>
      </c>
      <c r="H538" s="22" t="s">
        <v>658</v>
      </c>
      <c r="I538" s="24" t="s">
        <v>2895</v>
      </c>
      <c r="J538" s="22" t="s">
        <v>2896</v>
      </c>
      <c r="K538" s="22"/>
      <c r="L538" s="171" t="s">
        <v>2897</v>
      </c>
      <c r="M538" s="44"/>
      <c r="N538" s="44"/>
      <c r="O538" s="44"/>
      <c r="P538" s="44"/>
      <c r="Q538" s="44"/>
      <c r="R538" s="44"/>
      <c r="S538" s="44"/>
      <c r="T538" s="45"/>
      <c r="U538" s="38" t="str">
        <f>HYPERLINK("https://www.ncbi.nlm.nih.gov/pubmed/26280257","PubMed")</f>
        <v>PubMed</v>
      </c>
      <c r="V538" s="139"/>
      <c r="W538" s="49"/>
      <c r="X538" s="49"/>
      <c r="Y538" s="35"/>
      <c r="Z538" s="35"/>
      <c r="AA538" s="35"/>
      <c r="AB538" s="35"/>
      <c r="AC538" s="35"/>
      <c r="AD538" s="35"/>
      <c r="AE538" s="35"/>
      <c r="AF538" s="35"/>
      <c r="AG538" s="35"/>
      <c r="AH538" s="35"/>
      <c r="AI538" s="35"/>
      <c r="AJ538" s="35"/>
      <c r="AK538" s="35"/>
      <c r="AL538" s="35"/>
    </row>
    <row r="539" ht="52.5" customHeight="1">
      <c r="A539" s="1"/>
      <c r="B539" s="157" t="s">
        <v>2073</v>
      </c>
      <c r="C539" s="158" t="s">
        <v>2759</v>
      </c>
      <c r="D539" s="159"/>
      <c r="E539" s="22" t="s">
        <v>2898</v>
      </c>
      <c r="F539" s="23" t="s">
        <v>2899</v>
      </c>
      <c r="G539" s="23">
        <v>2015.0</v>
      </c>
      <c r="H539" s="22" t="s">
        <v>2900</v>
      </c>
      <c r="I539" s="24" t="s">
        <v>2901</v>
      </c>
      <c r="J539" s="22" t="s">
        <v>2902</v>
      </c>
      <c r="K539" s="22"/>
      <c r="L539" s="94" t="s">
        <v>2903</v>
      </c>
      <c r="M539" s="94" t="s">
        <v>2904</v>
      </c>
      <c r="N539" s="94"/>
      <c r="O539" s="94" t="s">
        <v>2905</v>
      </c>
      <c r="P539" s="94" t="s">
        <v>2906</v>
      </c>
      <c r="Q539" s="172"/>
      <c r="R539" s="94"/>
      <c r="S539" s="94" t="s">
        <v>2907</v>
      </c>
      <c r="T539" s="173" t="s">
        <v>2908</v>
      </c>
      <c r="U539" s="38" t="str">
        <f>HYPERLINK("https://www.ncbi.nlm.nih.gov/pubmed/26347062","PubMed")</f>
        <v>PubMed</v>
      </c>
      <c r="V539" s="136" t="s">
        <v>2909</v>
      </c>
      <c r="W539" s="49"/>
      <c r="X539" s="49"/>
      <c r="Y539" s="35"/>
      <c r="Z539" s="35"/>
      <c r="AA539" s="35"/>
      <c r="AB539" s="35"/>
      <c r="AC539" s="35"/>
      <c r="AD539" s="35"/>
      <c r="AE539" s="35"/>
      <c r="AF539" s="35"/>
      <c r="AG539" s="35"/>
      <c r="AH539" s="35"/>
      <c r="AI539" s="35"/>
      <c r="AJ539" s="35"/>
      <c r="AK539" s="35"/>
      <c r="AL539" s="35"/>
    </row>
    <row r="540" ht="52.5" customHeight="1">
      <c r="A540" s="1"/>
      <c r="B540" s="157" t="s">
        <v>2073</v>
      </c>
      <c r="C540" s="158" t="s">
        <v>2759</v>
      </c>
      <c r="D540" s="159"/>
      <c r="E540" s="22" t="s">
        <v>2910</v>
      </c>
      <c r="F540" s="23" t="s">
        <v>1773</v>
      </c>
      <c r="G540" s="23">
        <v>2015.0</v>
      </c>
      <c r="H540" s="22" t="s">
        <v>2911</v>
      </c>
      <c r="I540" s="24" t="s">
        <v>2912</v>
      </c>
      <c r="J540" s="22" t="s">
        <v>2913</v>
      </c>
      <c r="K540" s="22"/>
      <c r="L540" s="36" t="s">
        <v>2914</v>
      </c>
      <c r="M540" s="36" t="s">
        <v>2915</v>
      </c>
      <c r="N540" s="36"/>
      <c r="O540" s="36"/>
      <c r="P540" s="37"/>
      <c r="Q540" s="36"/>
      <c r="R540" s="36"/>
      <c r="S540" s="36" t="s">
        <v>2916</v>
      </c>
      <c r="T540" s="28" t="s">
        <v>2917</v>
      </c>
      <c r="U540" s="38" t="str">
        <f>HYPERLINK("https://www.ncbi.nlm.nih.gov/pubmed/26535475","PubMed")</f>
        <v>PubMed</v>
      </c>
      <c r="V540" s="139"/>
      <c r="W540" s="49"/>
      <c r="X540" s="49"/>
      <c r="Y540" s="35"/>
      <c r="Z540" s="35"/>
      <c r="AA540" s="35"/>
      <c r="AB540" s="35"/>
      <c r="AC540" s="35"/>
      <c r="AD540" s="35"/>
      <c r="AE540" s="35"/>
      <c r="AF540" s="35"/>
      <c r="AG540" s="35"/>
      <c r="AH540" s="35"/>
      <c r="AI540" s="35"/>
      <c r="AJ540" s="35"/>
      <c r="AK540" s="35"/>
      <c r="AL540" s="35"/>
    </row>
    <row r="541" ht="52.5" customHeight="1">
      <c r="A541" s="133" t="s">
        <v>2</v>
      </c>
      <c r="B541" s="157" t="s">
        <v>2073</v>
      </c>
      <c r="C541" s="158" t="s">
        <v>2759</v>
      </c>
      <c r="D541" s="159"/>
      <c r="E541" s="22" t="s">
        <v>2918</v>
      </c>
      <c r="F541" s="22" t="s">
        <v>2407</v>
      </c>
      <c r="G541" s="23">
        <v>2015.0</v>
      </c>
      <c r="H541" s="22" t="s">
        <v>2919</v>
      </c>
      <c r="I541" s="24" t="s">
        <v>2920</v>
      </c>
      <c r="J541" s="22" t="s">
        <v>44</v>
      </c>
      <c r="K541" s="22" t="s">
        <v>2921</v>
      </c>
      <c r="L541" s="36">
        <v>810.0</v>
      </c>
      <c r="M541" s="36"/>
      <c r="N541" s="36" t="s">
        <v>2922</v>
      </c>
      <c r="O541" s="36"/>
      <c r="P541" s="37" t="s">
        <v>2659</v>
      </c>
      <c r="Q541" s="36" t="s">
        <v>2923</v>
      </c>
      <c r="R541" s="36">
        <v>240.0</v>
      </c>
      <c r="S541" s="36"/>
      <c r="T541" s="28" t="s">
        <v>2924</v>
      </c>
      <c r="U541" s="38" t="str">
        <f>HYPERLINK("https://www.ncbi.nlm.nih.gov/pubmed/25966949","PubMed")</f>
        <v>PubMed</v>
      </c>
      <c r="V541" s="139"/>
      <c r="W541" s="49"/>
      <c r="X541" s="49"/>
      <c r="Y541" s="35"/>
      <c r="Z541" s="35"/>
      <c r="AA541" s="35"/>
      <c r="AB541" s="35"/>
      <c r="AC541" s="35"/>
      <c r="AD541" s="35"/>
      <c r="AE541" s="35"/>
      <c r="AF541" s="35"/>
      <c r="AG541" s="35"/>
      <c r="AH541" s="35"/>
      <c r="AI541" s="35"/>
      <c r="AJ541" s="35"/>
      <c r="AK541" s="35"/>
      <c r="AL541" s="35"/>
    </row>
    <row r="542" ht="52.5" customHeight="1">
      <c r="A542" s="1"/>
      <c r="B542" s="157" t="s">
        <v>2073</v>
      </c>
      <c r="C542" s="158" t="s">
        <v>2759</v>
      </c>
      <c r="D542" s="159"/>
      <c r="E542" s="22" t="s">
        <v>2316</v>
      </c>
      <c r="F542" s="22" t="s">
        <v>2407</v>
      </c>
      <c r="G542" s="23">
        <v>2014.0</v>
      </c>
      <c r="H542" s="22" t="s">
        <v>2919</v>
      </c>
      <c r="I542" s="24" t="s">
        <v>2925</v>
      </c>
      <c r="J542" s="22" t="s">
        <v>44</v>
      </c>
      <c r="K542" s="22"/>
      <c r="L542" s="36"/>
      <c r="M542" s="36"/>
      <c r="N542" s="36"/>
      <c r="O542" s="36"/>
      <c r="P542" s="37"/>
      <c r="Q542" s="36"/>
      <c r="R542" s="36"/>
      <c r="S542" s="36"/>
      <c r="T542" s="28" t="s">
        <v>2926</v>
      </c>
      <c r="U542" s="38" t="str">
        <f>HYPERLINK("https://www.ncbi.nlm.nih.gov/pubmed/24849666","PubMed")</f>
        <v>PubMed</v>
      </c>
      <c r="V542" s="139"/>
      <c r="W542" s="49"/>
      <c r="X542" s="49"/>
      <c r="Y542" s="35"/>
      <c r="Z542" s="35"/>
      <c r="AA542" s="35"/>
      <c r="AB542" s="35"/>
      <c r="AC542" s="35"/>
      <c r="AD542" s="35"/>
      <c r="AE542" s="35"/>
      <c r="AF542" s="35"/>
      <c r="AG542" s="35"/>
      <c r="AH542" s="35"/>
      <c r="AI542" s="35"/>
      <c r="AJ542" s="35"/>
      <c r="AK542" s="35"/>
      <c r="AL542" s="35"/>
    </row>
    <row r="543" ht="52.5" customHeight="1">
      <c r="A543" s="1"/>
      <c r="B543" s="157" t="s">
        <v>2073</v>
      </c>
      <c r="C543" s="158" t="s">
        <v>2759</v>
      </c>
      <c r="D543" s="159"/>
      <c r="E543" s="22" t="s">
        <v>2884</v>
      </c>
      <c r="F543" s="22" t="s">
        <v>2407</v>
      </c>
      <c r="G543" s="23">
        <v>2014.0</v>
      </c>
      <c r="H543" s="22" t="s">
        <v>1025</v>
      </c>
      <c r="I543" s="24" t="s">
        <v>2927</v>
      </c>
      <c r="J543" s="22" t="s">
        <v>44</v>
      </c>
      <c r="K543" s="22"/>
      <c r="L543" s="36">
        <v>810.0</v>
      </c>
      <c r="M543" s="36"/>
      <c r="N543" s="36" t="s">
        <v>1018</v>
      </c>
      <c r="O543" s="36"/>
      <c r="P543" s="37" t="s">
        <v>2886</v>
      </c>
      <c r="Q543" s="36" t="s">
        <v>2891</v>
      </c>
      <c r="R543" s="36">
        <v>720.0</v>
      </c>
      <c r="S543" s="36" t="s">
        <v>1352</v>
      </c>
      <c r="T543" s="28" t="s">
        <v>2928</v>
      </c>
      <c r="U543" s="38" t="str">
        <f>HYPERLINK("https://www.ncbi.nlm.nih.gov/pubmed/25292167","PubMed")</f>
        <v>PubMed</v>
      </c>
      <c r="V543" s="139"/>
      <c r="W543" s="49"/>
      <c r="X543" s="49"/>
      <c r="Y543" s="35"/>
      <c r="Z543" s="35"/>
      <c r="AA543" s="35"/>
      <c r="AB543" s="35"/>
      <c r="AC543" s="35"/>
      <c r="AD543" s="35"/>
      <c r="AE543" s="35"/>
      <c r="AF543" s="35"/>
      <c r="AG543" s="35"/>
      <c r="AH543" s="35"/>
      <c r="AI543" s="35"/>
      <c r="AJ543" s="35"/>
      <c r="AK543" s="35"/>
      <c r="AL543" s="35"/>
    </row>
    <row r="544" ht="52.5" customHeight="1">
      <c r="A544" s="1"/>
      <c r="B544" s="157" t="s">
        <v>2073</v>
      </c>
      <c r="C544" s="158" t="s">
        <v>2759</v>
      </c>
      <c r="D544" s="159"/>
      <c r="E544" s="22" t="s">
        <v>2787</v>
      </c>
      <c r="F544" s="22" t="s">
        <v>2407</v>
      </c>
      <c r="G544" s="23">
        <v>2014.0</v>
      </c>
      <c r="H544" s="22" t="s">
        <v>2809</v>
      </c>
      <c r="I544" s="24" t="s">
        <v>2929</v>
      </c>
      <c r="J544" s="22" t="s">
        <v>2930</v>
      </c>
      <c r="K544" s="22" t="s">
        <v>2931</v>
      </c>
      <c r="L544" s="36" t="s">
        <v>2932</v>
      </c>
      <c r="M544" s="36" t="s">
        <v>2933</v>
      </c>
      <c r="N544" s="36"/>
      <c r="O544" s="36"/>
      <c r="P544" s="37" t="s">
        <v>2934</v>
      </c>
      <c r="Q544" s="36"/>
      <c r="R544" s="36">
        <v>600.0</v>
      </c>
      <c r="S544" s="36" t="s">
        <v>2935</v>
      </c>
      <c r="T544" s="28" t="s">
        <v>2936</v>
      </c>
      <c r="U544" s="38" t="str">
        <f>HYPERLINK("https://www.ncbi.nlm.nih.gov/pubmed/24568233","PubMed")</f>
        <v>PubMed</v>
      </c>
      <c r="V544" s="139"/>
      <c r="W544" s="49"/>
      <c r="X544" s="49"/>
      <c r="Y544" s="35"/>
      <c r="Z544" s="35"/>
      <c r="AA544" s="35"/>
      <c r="AB544" s="35"/>
      <c r="AC544" s="35"/>
      <c r="AD544" s="35"/>
      <c r="AE544" s="35"/>
      <c r="AF544" s="35"/>
      <c r="AG544" s="35"/>
      <c r="AH544" s="35"/>
      <c r="AI544" s="35"/>
      <c r="AJ544" s="35"/>
      <c r="AK544" s="35"/>
      <c r="AL544" s="35"/>
    </row>
    <row r="545" ht="52.5" customHeight="1">
      <c r="A545" s="133"/>
      <c r="B545" s="157" t="s">
        <v>2073</v>
      </c>
      <c r="C545" s="158" t="s">
        <v>2759</v>
      </c>
      <c r="D545" s="159"/>
      <c r="E545" s="174" t="s">
        <v>2937</v>
      </c>
      <c r="F545" s="23" t="s">
        <v>2938</v>
      </c>
      <c r="G545" s="174">
        <v>2014.0</v>
      </c>
      <c r="H545" s="174" t="s">
        <v>627</v>
      </c>
      <c r="I545" s="175" t="s">
        <v>2939</v>
      </c>
      <c r="J545" s="23" t="s">
        <v>55</v>
      </c>
      <c r="K545" s="23"/>
      <c r="L545" s="36"/>
      <c r="M545" s="36"/>
      <c r="N545" s="36"/>
      <c r="O545" s="36"/>
      <c r="P545" s="37"/>
      <c r="Q545" s="36"/>
      <c r="R545" s="36"/>
      <c r="S545" s="36"/>
      <c r="T545" s="176" t="s">
        <v>2940</v>
      </c>
      <c r="U545" s="135" t="str">
        <f>HYPERLINK("https://www.ncbi.nlm.nih.gov/pubmed/25105800","PubMed")</f>
        <v>PubMed</v>
      </c>
      <c r="V545" s="139"/>
      <c r="W545" s="49"/>
      <c r="X545" s="49"/>
      <c r="Y545" s="35"/>
      <c r="Z545" s="35"/>
      <c r="AA545" s="35"/>
      <c r="AB545" s="35"/>
      <c r="AC545" s="35"/>
      <c r="AD545" s="35"/>
      <c r="AE545" s="35"/>
      <c r="AF545" s="35"/>
      <c r="AG545" s="35"/>
      <c r="AH545" s="35"/>
      <c r="AI545" s="35"/>
      <c r="AJ545" s="35"/>
      <c r="AK545" s="35"/>
      <c r="AL545" s="35"/>
    </row>
    <row r="546" ht="52.5" customHeight="1">
      <c r="A546" s="133" t="s">
        <v>2</v>
      </c>
      <c r="B546" s="157" t="s">
        <v>2073</v>
      </c>
      <c r="C546" s="158" t="s">
        <v>2759</v>
      </c>
      <c r="D546" s="159"/>
      <c r="E546" s="22" t="s">
        <v>2884</v>
      </c>
      <c r="F546" s="22" t="s">
        <v>2407</v>
      </c>
      <c r="G546" s="177">
        <v>2013.0</v>
      </c>
      <c r="H546" s="178" t="s">
        <v>627</v>
      </c>
      <c r="I546" s="179" t="s">
        <v>2941</v>
      </c>
      <c r="J546" s="23" t="s">
        <v>44</v>
      </c>
      <c r="K546" s="23" t="s">
        <v>1240</v>
      </c>
      <c r="L546" s="36"/>
      <c r="M546" s="36"/>
      <c r="N546" s="36"/>
      <c r="O546" s="36"/>
      <c r="P546" s="37"/>
      <c r="Q546" s="36"/>
      <c r="R546" s="36"/>
      <c r="S546" s="36"/>
      <c r="T546" s="28" t="s">
        <v>2942</v>
      </c>
      <c r="U546" s="38" t="str">
        <f>HYPERLINK("http://www.ncbi.nlm.nih.gov/pubmed/23308226","PubMed")</f>
        <v>PubMed</v>
      </c>
      <c r="V546" s="139"/>
      <c r="W546" s="49"/>
      <c r="X546" s="49"/>
      <c r="Y546" s="35"/>
      <c r="Z546" s="35"/>
      <c r="AA546" s="35"/>
      <c r="AB546" s="35"/>
      <c r="AC546" s="35"/>
      <c r="AD546" s="35"/>
      <c r="AE546" s="35"/>
      <c r="AF546" s="35"/>
      <c r="AG546" s="35"/>
      <c r="AH546" s="35"/>
      <c r="AI546" s="35"/>
      <c r="AJ546" s="35"/>
      <c r="AK546" s="35"/>
      <c r="AL546" s="35"/>
    </row>
    <row r="547" ht="23.25" customHeight="1">
      <c r="A547" s="180"/>
      <c r="B547" s="157" t="s">
        <v>2073</v>
      </c>
      <c r="C547" s="158" t="s">
        <v>2759</v>
      </c>
      <c r="D547" s="159"/>
      <c r="E547" s="22" t="s">
        <v>2943</v>
      </c>
      <c r="F547" s="23" t="s">
        <v>1416</v>
      </c>
      <c r="G547" s="177">
        <v>2012.0</v>
      </c>
      <c r="H547" s="178" t="s">
        <v>658</v>
      </c>
      <c r="I547" s="179" t="s">
        <v>2944</v>
      </c>
      <c r="J547" s="22" t="s">
        <v>2945</v>
      </c>
      <c r="K547" s="22" t="s">
        <v>2946</v>
      </c>
      <c r="L547" s="36">
        <v>850.0</v>
      </c>
      <c r="M547" s="36">
        <v>299.0</v>
      </c>
      <c r="N547" s="36" t="s">
        <v>2947</v>
      </c>
      <c r="O547" s="107"/>
      <c r="P547" s="37" t="s">
        <v>2948</v>
      </c>
      <c r="Q547" s="36" t="s">
        <v>2949</v>
      </c>
      <c r="R547" s="36">
        <v>1800.0</v>
      </c>
      <c r="S547" s="36" t="s">
        <v>2950</v>
      </c>
      <c r="T547" s="28" t="s">
        <v>2951</v>
      </c>
      <c r="U547" s="38" t="str">
        <f>HYPERLINK("http://www.ncbi.nlm.nih.gov/pubmed/22047598","PubMed")</f>
        <v>PubMed</v>
      </c>
      <c r="V547" s="139"/>
      <c r="W547" s="49"/>
      <c r="X547" s="49"/>
      <c r="Y547" s="35"/>
      <c r="Z547" s="35"/>
      <c r="AA547" s="35"/>
      <c r="AB547" s="35"/>
      <c r="AC547" s="35"/>
      <c r="AD547" s="35"/>
      <c r="AE547" s="35"/>
      <c r="AF547" s="35"/>
      <c r="AG547" s="35"/>
      <c r="AH547" s="35"/>
      <c r="AI547" s="35"/>
      <c r="AJ547" s="35"/>
      <c r="AK547" s="35"/>
      <c r="AL547" s="35"/>
    </row>
    <row r="548" ht="31.5" customHeight="1">
      <c r="A548" s="180"/>
      <c r="B548" s="157" t="s">
        <v>2073</v>
      </c>
      <c r="C548" s="158" t="s">
        <v>2759</v>
      </c>
      <c r="D548" s="159"/>
      <c r="E548" s="22" t="s">
        <v>2275</v>
      </c>
      <c r="F548" s="22" t="s">
        <v>2407</v>
      </c>
      <c r="G548" s="177">
        <v>2012.0</v>
      </c>
      <c r="H548" s="178" t="s">
        <v>53</v>
      </c>
      <c r="I548" s="179" t="s">
        <v>2952</v>
      </c>
      <c r="J548" s="23" t="s">
        <v>44</v>
      </c>
      <c r="K548" s="56" t="s">
        <v>294</v>
      </c>
      <c r="L548" s="36" t="s">
        <v>2953</v>
      </c>
      <c r="M548" s="36"/>
      <c r="N548" s="36"/>
      <c r="O548" s="36"/>
      <c r="P548" s="37"/>
      <c r="Q548" s="36"/>
      <c r="R548" s="36"/>
      <c r="S548" s="36"/>
      <c r="T548" s="181" t="s">
        <v>2954</v>
      </c>
      <c r="U548" s="182" t="s">
        <v>61</v>
      </c>
      <c r="V548" s="139"/>
      <c r="W548" s="49"/>
      <c r="X548" s="49"/>
      <c r="Y548" s="35"/>
      <c r="Z548" s="35"/>
      <c r="AA548" s="35"/>
      <c r="AB548" s="35"/>
      <c r="AC548" s="35"/>
      <c r="AD548" s="35"/>
      <c r="AE548" s="35"/>
      <c r="AF548" s="35"/>
      <c r="AG548" s="35"/>
      <c r="AH548" s="35"/>
      <c r="AI548" s="35"/>
      <c r="AJ548" s="35"/>
      <c r="AK548" s="35"/>
      <c r="AL548" s="35"/>
    </row>
    <row r="549" ht="31.5" customHeight="1">
      <c r="A549" s="1"/>
      <c r="B549" s="157" t="s">
        <v>2073</v>
      </c>
      <c r="C549" s="158" t="s">
        <v>2759</v>
      </c>
      <c r="D549" s="159"/>
      <c r="E549" s="22" t="s">
        <v>2955</v>
      </c>
      <c r="F549" s="22" t="s">
        <v>2956</v>
      </c>
      <c r="G549" s="23">
        <v>2012.0</v>
      </c>
      <c r="H549" s="22" t="s">
        <v>658</v>
      </c>
      <c r="I549" s="24" t="s">
        <v>2957</v>
      </c>
      <c r="J549" s="22" t="s">
        <v>55</v>
      </c>
      <c r="K549" s="22"/>
      <c r="L549" s="36"/>
      <c r="M549" s="36"/>
      <c r="N549" s="36"/>
      <c r="O549" s="36"/>
      <c r="P549" s="37"/>
      <c r="Q549" s="36"/>
      <c r="R549" s="36"/>
      <c r="S549" s="36"/>
      <c r="T549" s="28" t="s">
        <v>2958</v>
      </c>
      <c r="U549" s="38" t="str">
        <f>HYPERLINK("https://www.ncbi.nlm.nih.gov/pubmed/22793787","PubMed")</f>
        <v>PubMed</v>
      </c>
      <c r="V549" s="139"/>
      <c r="W549" s="49"/>
      <c r="X549" s="49"/>
      <c r="Y549" s="35"/>
      <c r="Z549" s="35"/>
      <c r="AA549" s="35"/>
      <c r="AB549" s="35"/>
      <c r="AC549" s="35"/>
      <c r="AD549" s="35"/>
      <c r="AE549" s="35"/>
      <c r="AF549" s="35"/>
      <c r="AG549" s="35"/>
      <c r="AH549" s="35"/>
      <c r="AI549" s="35"/>
      <c r="AJ549" s="35"/>
      <c r="AK549" s="35"/>
      <c r="AL549" s="35"/>
    </row>
    <row r="550" ht="31.5" customHeight="1">
      <c r="A550" s="180"/>
      <c r="B550" s="157" t="s">
        <v>2073</v>
      </c>
      <c r="C550" s="158" t="s">
        <v>2759</v>
      </c>
      <c r="D550" s="159"/>
      <c r="E550" s="22" t="s">
        <v>2551</v>
      </c>
      <c r="F550" s="23" t="s">
        <v>1310</v>
      </c>
      <c r="G550" s="177">
        <v>2012.0</v>
      </c>
      <c r="H550" s="178" t="s">
        <v>2809</v>
      </c>
      <c r="I550" s="179" t="s">
        <v>2959</v>
      </c>
      <c r="J550" s="23" t="s">
        <v>44</v>
      </c>
      <c r="K550" s="23"/>
      <c r="L550" s="36">
        <v>808.0</v>
      </c>
      <c r="M550" s="36"/>
      <c r="N550" s="36"/>
      <c r="O550" s="36"/>
      <c r="P550" s="37"/>
      <c r="Q550" s="36"/>
      <c r="R550" s="36"/>
      <c r="S550" s="36"/>
      <c r="T550" s="181" t="s">
        <v>2960</v>
      </c>
      <c r="U550" s="182" t="s">
        <v>61</v>
      </c>
      <c r="V550" s="139"/>
      <c r="W550" s="49"/>
      <c r="X550" s="49"/>
      <c r="Y550" s="35"/>
      <c r="Z550" s="35"/>
      <c r="AA550" s="35"/>
      <c r="AB550" s="35"/>
      <c r="AC550" s="35"/>
      <c r="AD550" s="35"/>
      <c r="AE550" s="35"/>
      <c r="AF550" s="35"/>
      <c r="AG550" s="35"/>
      <c r="AH550" s="35"/>
      <c r="AI550" s="35"/>
      <c r="AJ550" s="35"/>
      <c r="AK550" s="35"/>
      <c r="AL550" s="35"/>
    </row>
    <row r="551" ht="31.5" customHeight="1">
      <c r="A551" s="180"/>
      <c r="B551" s="157" t="s">
        <v>2073</v>
      </c>
      <c r="C551" s="158" t="s">
        <v>2759</v>
      </c>
      <c r="D551" s="159"/>
      <c r="E551" s="22" t="s">
        <v>2961</v>
      </c>
      <c r="F551" s="23" t="s">
        <v>2962</v>
      </c>
      <c r="G551" s="23">
        <v>2012.0</v>
      </c>
      <c r="H551" s="178" t="s">
        <v>2809</v>
      </c>
      <c r="I551" s="24" t="s">
        <v>2963</v>
      </c>
      <c r="J551" s="23" t="s">
        <v>44</v>
      </c>
      <c r="K551" s="23" t="s">
        <v>2964</v>
      </c>
      <c r="L551" s="36">
        <v>800.0</v>
      </c>
      <c r="M551" s="36"/>
      <c r="N551" s="36" t="s">
        <v>1185</v>
      </c>
      <c r="O551" s="36"/>
      <c r="P551" s="37" t="s">
        <v>1028</v>
      </c>
      <c r="Q551" s="36"/>
      <c r="R551" s="36">
        <v>120.0</v>
      </c>
      <c r="S551" s="36"/>
      <c r="T551" s="28" t="s">
        <v>2965</v>
      </c>
      <c r="U551" s="38" t="str">
        <f>HYPERLINK("https://www.ncbi.nlm.nih.gov/pubmed/21851183","PubMed")</f>
        <v>PubMed</v>
      </c>
      <c r="V551" s="139"/>
      <c r="W551" s="49"/>
      <c r="X551" s="49"/>
      <c r="Y551" s="35"/>
      <c r="Z551" s="35"/>
      <c r="AA551" s="35"/>
      <c r="AB551" s="35"/>
      <c r="AC551" s="35"/>
      <c r="AD551" s="35"/>
      <c r="AE551" s="35"/>
      <c r="AF551" s="35"/>
      <c r="AG551" s="35"/>
      <c r="AH551" s="35"/>
      <c r="AI551" s="35"/>
      <c r="AJ551" s="35"/>
      <c r="AK551" s="35"/>
      <c r="AL551" s="35"/>
    </row>
    <row r="552" ht="20.25" customHeight="1">
      <c r="A552" s="1" t="s">
        <v>62</v>
      </c>
      <c r="B552" s="157" t="s">
        <v>2073</v>
      </c>
      <c r="C552" s="158" t="s">
        <v>2759</v>
      </c>
      <c r="D552" s="159"/>
      <c r="E552" s="22" t="s">
        <v>2787</v>
      </c>
      <c r="F552" s="23" t="s">
        <v>2966</v>
      </c>
      <c r="G552" s="177">
        <v>2011.0</v>
      </c>
      <c r="H552" s="178" t="s">
        <v>658</v>
      </c>
      <c r="I552" s="179" t="s">
        <v>2967</v>
      </c>
      <c r="J552" s="22" t="s">
        <v>2968</v>
      </c>
      <c r="K552" s="22" t="s">
        <v>157</v>
      </c>
      <c r="L552" s="36" t="s">
        <v>2969</v>
      </c>
      <c r="M552" s="107"/>
      <c r="N552" s="107"/>
      <c r="O552" s="107"/>
      <c r="P552" s="109"/>
      <c r="Q552" s="107"/>
      <c r="R552" s="107"/>
      <c r="S552" s="107"/>
      <c r="T552" s="181" t="s">
        <v>2970</v>
      </c>
      <c r="U552" s="182" t="s">
        <v>61</v>
      </c>
      <c r="V552" s="139"/>
      <c r="W552" s="49"/>
      <c r="X552" s="49"/>
      <c r="Y552" s="35"/>
      <c r="Z552" s="35"/>
      <c r="AA552" s="35"/>
      <c r="AB552" s="35"/>
      <c r="AC552" s="35"/>
      <c r="AD552" s="35"/>
      <c r="AE552" s="35"/>
      <c r="AF552" s="35"/>
      <c r="AG552" s="35"/>
      <c r="AH552" s="35"/>
      <c r="AI552" s="35"/>
      <c r="AJ552" s="35"/>
      <c r="AK552" s="35"/>
      <c r="AL552" s="35"/>
    </row>
    <row r="553" ht="31.5" customHeight="1">
      <c r="A553" s="180"/>
      <c r="B553" s="157" t="s">
        <v>2073</v>
      </c>
      <c r="C553" s="158" t="s">
        <v>2759</v>
      </c>
      <c r="D553" s="159"/>
      <c r="E553" s="22" t="s">
        <v>223</v>
      </c>
      <c r="F553" s="22" t="s">
        <v>2407</v>
      </c>
      <c r="G553" s="23">
        <v>2012.0</v>
      </c>
      <c r="H553" s="22" t="s">
        <v>42</v>
      </c>
      <c r="I553" s="24" t="s">
        <v>2971</v>
      </c>
      <c r="J553" s="22" t="s">
        <v>125</v>
      </c>
      <c r="K553" s="23"/>
      <c r="L553" s="105" t="s">
        <v>2972</v>
      </c>
      <c r="M553" s="44"/>
      <c r="N553" s="44"/>
      <c r="O553" s="44"/>
      <c r="P553" s="44"/>
      <c r="Q553" s="44"/>
      <c r="R553" s="44"/>
      <c r="S553" s="44"/>
      <c r="T553" s="45"/>
      <c r="U553" s="38" t="str">
        <f>HYPERLINK("https://www.ncbi.nlm.nih.gov/pubmed/22807422","PubMed")</f>
        <v>PubMed</v>
      </c>
      <c r="V553" s="139"/>
      <c r="W553" s="49"/>
      <c r="X553" s="49"/>
      <c r="Y553" s="35"/>
      <c r="Z553" s="35"/>
      <c r="AA553" s="35"/>
      <c r="AB553" s="35"/>
      <c r="AC553" s="35"/>
      <c r="AD553" s="35"/>
      <c r="AE553" s="35"/>
      <c r="AF553" s="35"/>
      <c r="AG553" s="35"/>
      <c r="AH553" s="35"/>
      <c r="AI553" s="35"/>
      <c r="AJ553" s="35"/>
      <c r="AK553" s="35"/>
      <c r="AL553" s="35"/>
    </row>
    <row r="554" ht="31.5" customHeight="1">
      <c r="A554" s="180"/>
      <c r="B554" s="157" t="s">
        <v>2073</v>
      </c>
      <c r="C554" s="158" t="s">
        <v>2759</v>
      </c>
      <c r="D554" s="159"/>
      <c r="E554" s="22" t="s">
        <v>2973</v>
      </c>
      <c r="F554" s="22" t="s">
        <v>2407</v>
      </c>
      <c r="G554" s="23">
        <v>2012.0</v>
      </c>
      <c r="H554" s="22" t="s">
        <v>2974</v>
      </c>
      <c r="I554" s="24" t="s">
        <v>2975</v>
      </c>
      <c r="J554" s="22" t="s">
        <v>125</v>
      </c>
      <c r="K554" s="23"/>
      <c r="L554" s="105" t="s">
        <v>2976</v>
      </c>
      <c r="M554" s="44"/>
      <c r="N554" s="44"/>
      <c r="O554" s="44"/>
      <c r="P554" s="44"/>
      <c r="Q554" s="44"/>
      <c r="R554" s="44"/>
      <c r="S554" s="44"/>
      <c r="T554" s="45"/>
      <c r="U554" s="29" t="s">
        <v>61</v>
      </c>
      <c r="V554" s="139"/>
      <c r="W554" s="49"/>
      <c r="X554" s="49"/>
      <c r="Y554" s="35"/>
      <c r="Z554" s="35"/>
      <c r="AA554" s="35"/>
      <c r="AB554" s="35"/>
      <c r="AC554" s="35"/>
      <c r="AD554" s="35"/>
      <c r="AE554" s="35"/>
      <c r="AF554" s="35"/>
      <c r="AG554" s="35"/>
      <c r="AH554" s="35"/>
      <c r="AI554" s="35"/>
      <c r="AJ554" s="35"/>
      <c r="AK554" s="35"/>
      <c r="AL554" s="35"/>
    </row>
    <row r="555" ht="31.5" customHeight="1">
      <c r="A555" s="180"/>
      <c r="B555" s="157" t="s">
        <v>2073</v>
      </c>
      <c r="C555" s="158" t="s">
        <v>2759</v>
      </c>
      <c r="D555" s="159"/>
      <c r="E555" s="22" t="s">
        <v>2977</v>
      </c>
      <c r="F555" s="22" t="s">
        <v>2407</v>
      </c>
      <c r="G555" s="177">
        <v>2011.0</v>
      </c>
      <c r="H555" s="178" t="s">
        <v>627</v>
      </c>
      <c r="I555" s="179" t="s">
        <v>2978</v>
      </c>
      <c r="J555" s="23" t="s">
        <v>44</v>
      </c>
      <c r="K555" s="23"/>
      <c r="L555" s="36">
        <v>810.0</v>
      </c>
      <c r="M555" s="36"/>
      <c r="N555" s="36"/>
      <c r="O555" s="36"/>
      <c r="P555" s="37"/>
      <c r="Q555" s="36"/>
      <c r="R555" s="36"/>
      <c r="S555" s="36"/>
      <c r="T555" s="181" t="s">
        <v>2979</v>
      </c>
      <c r="U555" s="182" t="s">
        <v>61</v>
      </c>
      <c r="V555" s="139"/>
      <c r="W555" s="49"/>
      <c r="X555" s="49"/>
      <c r="Y555" s="35"/>
      <c r="Z555" s="35"/>
      <c r="AA555" s="35"/>
      <c r="AB555" s="35"/>
      <c r="AC555" s="35"/>
      <c r="AD555" s="35"/>
      <c r="AE555" s="35"/>
      <c r="AF555" s="35"/>
      <c r="AG555" s="35"/>
      <c r="AH555" s="35"/>
      <c r="AI555" s="35"/>
      <c r="AJ555" s="35"/>
      <c r="AK555" s="35"/>
      <c r="AL555" s="35"/>
    </row>
    <row r="556" ht="31.5" customHeight="1">
      <c r="A556" s="146" t="s">
        <v>38</v>
      </c>
      <c r="B556" s="157" t="s">
        <v>2073</v>
      </c>
      <c r="C556" s="158" t="s">
        <v>2759</v>
      </c>
      <c r="D556" s="159"/>
      <c r="E556" s="22" t="s">
        <v>689</v>
      </c>
      <c r="F556" s="23" t="s">
        <v>400</v>
      </c>
      <c r="G556" s="23">
        <v>2011.0</v>
      </c>
      <c r="H556" s="178" t="s">
        <v>207</v>
      </c>
      <c r="I556" s="24" t="s">
        <v>2980</v>
      </c>
      <c r="J556" s="22" t="s">
        <v>55</v>
      </c>
      <c r="K556" s="22"/>
      <c r="L556" s="36">
        <v>780.0</v>
      </c>
      <c r="M556" s="36">
        <v>40.0</v>
      </c>
      <c r="N556" s="36"/>
      <c r="O556" s="36" t="s">
        <v>2981</v>
      </c>
      <c r="P556" s="37" t="s">
        <v>969</v>
      </c>
      <c r="Q556" s="36" t="s">
        <v>830</v>
      </c>
      <c r="R556" s="183"/>
      <c r="S556" s="36"/>
      <c r="T556" s="28" t="s">
        <v>2982</v>
      </c>
      <c r="U556" s="38" t="str">
        <f>HYPERLINK("https://www.ncbi.nlm.nih.gov/pubmed/22024356","PubMed")</f>
        <v>PubMed</v>
      </c>
      <c r="V556" s="139"/>
      <c r="W556" s="49"/>
      <c r="X556" s="49"/>
      <c r="Y556" s="35"/>
      <c r="Z556" s="35"/>
      <c r="AA556" s="35"/>
      <c r="AB556" s="35"/>
      <c r="AC556" s="35"/>
      <c r="AD556" s="35"/>
      <c r="AE556" s="35"/>
      <c r="AF556" s="35"/>
      <c r="AG556" s="35"/>
      <c r="AH556" s="35"/>
      <c r="AI556" s="35"/>
      <c r="AJ556" s="35"/>
      <c r="AK556" s="35"/>
      <c r="AL556" s="35"/>
    </row>
    <row r="557" ht="31.5" customHeight="1">
      <c r="A557" s="55" t="s">
        <v>2983</v>
      </c>
      <c r="B557" s="157" t="s">
        <v>2073</v>
      </c>
      <c r="C557" s="158" t="s">
        <v>2759</v>
      </c>
      <c r="D557" s="159"/>
      <c r="E557" s="22" t="s">
        <v>689</v>
      </c>
      <c r="F557" s="23" t="s">
        <v>400</v>
      </c>
      <c r="G557" s="177">
        <v>2009.0</v>
      </c>
      <c r="H557" s="178" t="s">
        <v>207</v>
      </c>
      <c r="I557" s="179" t="s">
        <v>2984</v>
      </c>
      <c r="J557" s="22" t="s">
        <v>55</v>
      </c>
      <c r="K557" s="22" t="s">
        <v>2985</v>
      </c>
      <c r="L557" s="36" t="s">
        <v>1750</v>
      </c>
      <c r="M557" s="36">
        <v>40.0</v>
      </c>
      <c r="N557" s="36"/>
      <c r="O557" s="36" t="s">
        <v>2986</v>
      </c>
      <c r="P557" s="37" t="s">
        <v>2987</v>
      </c>
      <c r="Q557" s="36" t="s">
        <v>830</v>
      </c>
      <c r="R557" s="183">
        <v>42493.0</v>
      </c>
      <c r="S557" s="36"/>
      <c r="T557" s="42" t="s">
        <v>2988</v>
      </c>
      <c r="U557" s="182" t="s">
        <v>61</v>
      </c>
      <c r="V557" s="139"/>
      <c r="W557" s="49"/>
      <c r="X557" s="49"/>
      <c r="Y557" s="35"/>
      <c r="Z557" s="35"/>
      <c r="AA557" s="35"/>
      <c r="AB557" s="35"/>
      <c r="AC557" s="35"/>
      <c r="AD557" s="35"/>
      <c r="AE557" s="35"/>
      <c r="AF557" s="35"/>
      <c r="AG557" s="35"/>
      <c r="AH557" s="35"/>
      <c r="AI557" s="35"/>
      <c r="AJ557" s="35"/>
      <c r="AK557" s="35"/>
      <c r="AL557" s="35"/>
    </row>
    <row r="558" ht="31.5" customHeight="1">
      <c r="A558" s="1"/>
      <c r="B558" s="157" t="s">
        <v>2073</v>
      </c>
      <c r="C558" s="158" t="s">
        <v>2759</v>
      </c>
      <c r="D558" s="159"/>
      <c r="E558" s="22" t="s">
        <v>2551</v>
      </c>
      <c r="F558" s="23" t="s">
        <v>1310</v>
      </c>
      <c r="G558" s="23">
        <v>2007.0</v>
      </c>
      <c r="H558" s="178" t="s">
        <v>2809</v>
      </c>
      <c r="I558" s="24" t="s">
        <v>2989</v>
      </c>
      <c r="J558" s="23" t="s">
        <v>44</v>
      </c>
      <c r="K558" s="23"/>
      <c r="L558" s="36">
        <v>808.0</v>
      </c>
      <c r="M558" s="36"/>
      <c r="N558" s="36" t="s">
        <v>2990</v>
      </c>
      <c r="O558" s="36"/>
      <c r="P558" s="37" t="s">
        <v>2991</v>
      </c>
      <c r="Q558" s="36" t="s">
        <v>2992</v>
      </c>
      <c r="R558" s="36">
        <v>120.0</v>
      </c>
      <c r="S558" s="36">
        <v>1.0</v>
      </c>
      <c r="T558" s="28" t="s">
        <v>2993</v>
      </c>
      <c r="U558" s="38" t="str">
        <f>HYPERLINK("https://www.ncbi.nlm.nih.gov/pubmed/17439348","PubMed")</f>
        <v>PubMed</v>
      </c>
      <c r="V558" s="139"/>
      <c r="W558" s="49"/>
      <c r="X558" s="49"/>
      <c r="Y558" s="35"/>
      <c r="Z558" s="35"/>
      <c r="AA558" s="35"/>
      <c r="AB558" s="35"/>
      <c r="AC558" s="35"/>
      <c r="AD558" s="35"/>
      <c r="AE558" s="35"/>
      <c r="AF558" s="35"/>
      <c r="AG558" s="35"/>
      <c r="AH558" s="35"/>
      <c r="AI558" s="35"/>
      <c r="AJ558" s="35"/>
      <c r="AK558" s="35"/>
      <c r="AL558" s="35"/>
    </row>
    <row r="559" ht="31.5" customHeight="1">
      <c r="A559" s="146" t="s">
        <v>38</v>
      </c>
      <c r="B559" s="19" t="s">
        <v>2073</v>
      </c>
      <c r="C559" s="20" t="s">
        <v>2994</v>
      </c>
      <c r="D559" s="159"/>
      <c r="E559" s="22" t="s">
        <v>2995</v>
      </c>
      <c r="F559" s="23" t="s">
        <v>1943</v>
      </c>
      <c r="G559" s="23">
        <v>2023.0</v>
      </c>
      <c r="H559" s="22" t="s">
        <v>91</v>
      </c>
      <c r="I559" s="24" t="s">
        <v>2996</v>
      </c>
      <c r="J559" s="23" t="s">
        <v>2997</v>
      </c>
      <c r="K559" s="23"/>
      <c r="L559" s="36">
        <v>810.0</v>
      </c>
      <c r="M559" s="36">
        <v>200.0</v>
      </c>
      <c r="N559" s="36" t="s">
        <v>2998</v>
      </c>
      <c r="O559" s="36" t="s">
        <v>2999</v>
      </c>
      <c r="P559" s="37" t="s">
        <v>3000</v>
      </c>
      <c r="Q559" s="36" t="s">
        <v>3001</v>
      </c>
      <c r="R559" s="36" t="s">
        <v>3002</v>
      </c>
      <c r="S559" s="36" t="s">
        <v>3003</v>
      </c>
      <c r="T559" s="28" t="s">
        <v>3004</v>
      </c>
      <c r="U559" s="38" t="s">
        <v>61</v>
      </c>
      <c r="V559" s="139"/>
      <c r="W559" s="49"/>
      <c r="X559" s="49"/>
      <c r="Y559" s="35"/>
      <c r="Z559" s="35"/>
      <c r="AA559" s="35"/>
      <c r="AB559" s="35"/>
      <c r="AC559" s="35"/>
      <c r="AD559" s="35"/>
      <c r="AE559" s="35"/>
      <c r="AF559" s="35"/>
      <c r="AG559" s="35"/>
      <c r="AH559" s="35"/>
      <c r="AI559" s="35"/>
      <c r="AJ559" s="35"/>
      <c r="AK559" s="35"/>
      <c r="AL559" s="35"/>
    </row>
    <row r="560" ht="31.5" customHeight="1">
      <c r="A560" s="1"/>
      <c r="B560" s="19" t="s">
        <v>2073</v>
      </c>
      <c r="C560" s="20" t="s">
        <v>2994</v>
      </c>
      <c r="D560" s="47"/>
      <c r="E560" s="22" t="s">
        <v>3005</v>
      </c>
      <c r="F560" s="22" t="s">
        <v>3006</v>
      </c>
      <c r="G560" s="23">
        <v>2016.0</v>
      </c>
      <c r="H560" s="22" t="s">
        <v>3007</v>
      </c>
      <c r="I560" s="24" t="s">
        <v>3008</v>
      </c>
      <c r="J560" s="22" t="s">
        <v>3009</v>
      </c>
      <c r="K560" s="22"/>
      <c r="L560" s="105" t="s">
        <v>3010</v>
      </c>
      <c r="M560" s="44"/>
      <c r="N560" s="44"/>
      <c r="O560" s="44"/>
      <c r="P560" s="44"/>
      <c r="Q560" s="44"/>
      <c r="R560" s="44"/>
      <c r="S560" s="44"/>
      <c r="T560" s="45"/>
      <c r="U560" s="38" t="str">
        <f>HYPERLINK("https://www.omicsonline.org/open-access/24-years-experience-of-low-level-laser-therapy-lllt-for-children-with-cerebral-palsy-2329-9096-1000320.php?aid=67424","OMICS")</f>
        <v>OMICS</v>
      </c>
      <c r="V560" s="30"/>
      <c r="W560" s="49"/>
      <c r="X560" s="49"/>
      <c r="Y560" s="35"/>
      <c r="Z560" s="35"/>
      <c r="AA560" s="35"/>
      <c r="AB560" s="35"/>
      <c r="AC560" s="35"/>
      <c r="AD560" s="35"/>
      <c r="AE560" s="35"/>
      <c r="AF560" s="35"/>
      <c r="AG560" s="35"/>
      <c r="AH560" s="35"/>
      <c r="AI560" s="35"/>
      <c r="AJ560" s="35"/>
      <c r="AK560" s="35"/>
      <c r="AL560" s="35"/>
    </row>
    <row r="561" ht="31.5" customHeight="1">
      <c r="A561" s="1"/>
      <c r="B561" s="19" t="s">
        <v>2073</v>
      </c>
      <c r="C561" s="20" t="s">
        <v>2994</v>
      </c>
      <c r="D561" s="47"/>
      <c r="E561" s="22" t="s">
        <v>3011</v>
      </c>
      <c r="F561" s="22" t="s">
        <v>510</v>
      </c>
      <c r="G561" s="23">
        <v>2012.0</v>
      </c>
      <c r="H561" s="22" t="s">
        <v>3012</v>
      </c>
      <c r="I561" s="24" t="s">
        <v>3013</v>
      </c>
      <c r="J561" s="22" t="s">
        <v>2141</v>
      </c>
      <c r="K561" s="22"/>
      <c r="L561" s="168"/>
      <c r="M561" s="184"/>
      <c r="N561" s="168"/>
      <c r="O561" s="168"/>
      <c r="P561" s="169"/>
      <c r="Q561" s="168"/>
      <c r="R561" s="168"/>
      <c r="S561" s="168"/>
      <c r="T561" s="185"/>
      <c r="U561" s="38" t="str">
        <f>HYPERLINK("https://www.ncbi.nlm.nih.gov/pubmed/22587485","PubMed")</f>
        <v>PubMed</v>
      </c>
      <c r="V561" s="30"/>
      <c r="W561" s="49"/>
      <c r="X561" s="49"/>
      <c r="Y561" s="35"/>
      <c r="Z561" s="35"/>
      <c r="AA561" s="35"/>
      <c r="AB561" s="35"/>
      <c r="AC561" s="35"/>
      <c r="AD561" s="35"/>
      <c r="AE561" s="35"/>
      <c r="AF561" s="35"/>
      <c r="AG561" s="35"/>
      <c r="AH561" s="35"/>
      <c r="AI561" s="35"/>
      <c r="AJ561" s="35"/>
      <c r="AK561" s="35"/>
      <c r="AL561" s="35"/>
    </row>
    <row r="562" ht="31.5" customHeight="1">
      <c r="A562" s="1"/>
      <c r="B562" s="19" t="s">
        <v>2073</v>
      </c>
      <c r="C562" s="20" t="s">
        <v>2994</v>
      </c>
      <c r="D562" s="47"/>
      <c r="E562" s="22" t="s">
        <v>1442</v>
      </c>
      <c r="F562" s="22" t="s">
        <v>1416</v>
      </c>
      <c r="G562" s="23">
        <v>2005.0</v>
      </c>
      <c r="H562" s="22" t="s">
        <v>292</v>
      </c>
      <c r="I562" s="24" t="s">
        <v>3014</v>
      </c>
      <c r="J562" s="22" t="s">
        <v>3015</v>
      </c>
      <c r="L562" s="36">
        <v>810.0</v>
      </c>
      <c r="M562" s="36" t="s">
        <v>3016</v>
      </c>
      <c r="N562" s="36"/>
      <c r="O562" s="36"/>
      <c r="P562" s="37"/>
      <c r="Q562" s="36"/>
      <c r="R562" s="36" t="s">
        <v>3017</v>
      </c>
      <c r="S562" s="36" t="s">
        <v>3018</v>
      </c>
      <c r="T562" s="54" t="s">
        <v>3019</v>
      </c>
      <c r="U562" s="29" t="s">
        <v>3020</v>
      </c>
      <c r="V562" s="30"/>
      <c r="W562" s="49"/>
      <c r="X562" s="49"/>
      <c r="Y562" s="35"/>
      <c r="Z562" s="35"/>
      <c r="AA562" s="35"/>
      <c r="AB562" s="35"/>
      <c r="AC562" s="35"/>
      <c r="AD562" s="35"/>
      <c r="AE562" s="35"/>
      <c r="AF562" s="35"/>
      <c r="AG562" s="35"/>
      <c r="AH562" s="35"/>
      <c r="AI562" s="35"/>
      <c r="AJ562" s="35"/>
      <c r="AK562" s="35"/>
      <c r="AL562" s="35"/>
    </row>
    <row r="563" ht="31.5" customHeight="1">
      <c r="A563" s="1"/>
      <c r="B563" s="19" t="s">
        <v>2073</v>
      </c>
      <c r="C563" s="20" t="s">
        <v>2994</v>
      </c>
      <c r="D563" s="47"/>
      <c r="E563" s="22" t="s">
        <v>1442</v>
      </c>
      <c r="F563" s="22" t="s">
        <v>1416</v>
      </c>
      <c r="G563" s="23">
        <v>1995.0</v>
      </c>
      <c r="H563" s="22" t="s">
        <v>292</v>
      </c>
      <c r="I563" s="24" t="s">
        <v>3021</v>
      </c>
      <c r="J563" s="22" t="s">
        <v>3022</v>
      </c>
      <c r="L563" s="36">
        <v>830.0</v>
      </c>
      <c r="M563" s="36">
        <v>60.0</v>
      </c>
      <c r="N563" s="36"/>
      <c r="O563" s="36"/>
      <c r="P563" s="37"/>
      <c r="Q563" s="36"/>
      <c r="R563" s="36"/>
      <c r="S563" s="36" t="s">
        <v>3023</v>
      </c>
      <c r="T563" s="54" t="s">
        <v>3024</v>
      </c>
      <c r="U563" s="38" t="str">
        <f>HYPERLINK("https://www.jstage.jst.go.jp/article/islsm/7/3/7_95-OR-15/_article","J-STAGE")</f>
        <v>J-STAGE</v>
      </c>
      <c r="V563" s="30"/>
      <c r="W563" s="49"/>
      <c r="X563" s="49"/>
      <c r="Y563" s="35"/>
      <c r="Z563" s="35"/>
      <c r="AA563" s="35"/>
      <c r="AB563" s="35"/>
      <c r="AC563" s="35"/>
      <c r="AD563" s="35"/>
      <c r="AE563" s="35"/>
      <c r="AF563" s="35"/>
      <c r="AG563" s="35"/>
      <c r="AH563" s="35"/>
      <c r="AI563" s="35"/>
      <c r="AJ563" s="35"/>
      <c r="AK563" s="35"/>
      <c r="AL563" s="35"/>
    </row>
    <row r="564" ht="31.5" customHeight="1">
      <c r="A564" s="1"/>
      <c r="B564" s="19" t="s">
        <v>2073</v>
      </c>
      <c r="C564" s="20" t="s">
        <v>3025</v>
      </c>
      <c r="D564" s="47"/>
      <c r="E564" s="22" t="s">
        <v>3026</v>
      </c>
      <c r="F564" s="22" t="s">
        <v>3027</v>
      </c>
      <c r="G564" s="23">
        <v>2024.0</v>
      </c>
      <c r="H564" s="22" t="s">
        <v>3028</v>
      </c>
      <c r="I564" s="24" t="s">
        <v>3029</v>
      </c>
      <c r="J564" s="22" t="s">
        <v>44</v>
      </c>
      <c r="K564" s="22" t="s">
        <v>3030</v>
      </c>
      <c r="L564" s="36" t="s">
        <v>3031</v>
      </c>
      <c r="M564" s="36"/>
      <c r="N564" s="36"/>
      <c r="O564" s="36"/>
      <c r="P564" s="37"/>
      <c r="Q564" s="36"/>
      <c r="R564" s="36">
        <v>360.0</v>
      </c>
      <c r="S564" s="36" t="s">
        <v>3032</v>
      </c>
      <c r="T564" s="54" t="s">
        <v>3033</v>
      </c>
      <c r="U564" s="38" t="s">
        <v>61</v>
      </c>
      <c r="V564" s="30"/>
      <c r="W564" s="49"/>
      <c r="X564" s="49"/>
      <c r="Y564" s="35"/>
      <c r="Z564" s="35"/>
      <c r="AA564" s="35"/>
      <c r="AB564" s="35"/>
      <c r="AC564" s="35"/>
      <c r="AD564" s="35"/>
      <c r="AE564" s="35"/>
      <c r="AF564" s="35"/>
      <c r="AG564" s="35"/>
      <c r="AH564" s="35"/>
      <c r="AI564" s="35"/>
      <c r="AJ564" s="35"/>
      <c r="AK564" s="35"/>
      <c r="AL564" s="35"/>
    </row>
    <row r="565" ht="31.5" customHeight="1">
      <c r="A565" s="40"/>
      <c r="B565" s="19" t="s">
        <v>2073</v>
      </c>
      <c r="C565" s="20" t="s">
        <v>3034</v>
      </c>
      <c r="D565" s="47"/>
      <c r="E565" s="22" t="s">
        <v>3035</v>
      </c>
      <c r="F565" s="22" t="s">
        <v>2196</v>
      </c>
      <c r="G565" s="23">
        <v>2023.0</v>
      </c>
      <c r="H565" s="22" t="s">
        <v>3036</v>
      </c>
      <c r="I565" s="24" t="s">
        <v>3037</v>
      </c>
      <c r="J565" s="22" t="s">
        <v>3038</v>
      </c>
      <c r="K565" s="22"/>
      <c r="L565" s="36">
        <v>1064.0</v>
      </c>
      <c r="M565" s="129"/>
      <c r="N565" s="36" t="s">
        <v>93</v>
      </c>
      <c r="O565" s="36"/>
      <c r="P565" s="37"/>
      <c r="Q565" s="36"/>
      <c r="R565" s="36">
        <v>720.0</v>
      </c>
      <c r="S565" s="36"/>
      <c r="T565" s="28" t="s">
        <v>3039</v>
      </c>
      <c r="U565" s="38" t="s">
        <v>61</v>
      </c>
      <c r="V565" s="30"/>
      <c r="W565" s="49"/>
      <c r="X565" s="49"/>
      <c r="Y565" s="35"/>
      <c r="Z565" s="35"/>
      <c r="AA565" s="35"/>
      <c r="AB565" s="35"/>
      <c r="AC565" s="35"/>
      <c r="AD565" s="35"/>
      <c r="AE565" s="35"/>
      <c r="AF565" s="35"/>
      <c r="AG565" s="35"/>
      <c r="AH565" s="35"/>
      <c r="AI565" s="35"/>
      <c r="AJ565" s="35"/>
      <c r="AK565" s="35"/>
      <c r="AL565" s="35"/>
    </row>
    <row r="566" ht="31.5" customHeight="1">
      <c r="A566" s="40" t="s">
        <v>2</v>
      </c>
      <c r="B566" s="19" t="s">
        <v>2073</v>
      </c>
      <c r="C566" s="20" t="s">
        <v>3034</v>
      </c>
      <c r="D566" s="47"/>
      <c r="E566" s="22" t="s">
        <v>493</v>
      </c>
      <c r="F566" s="22" t="s">
        <v>3040</v>
      </c>
      <c r="G566" s="23">
        <v>2019.0</v>
      </c>
      <c r="H566" s="22" t="s">
        <v>3041</v>
      </c>
      <c r="I566" s="24" t="s">
        <v>3042</v>
      </c>
      <c r="J566" s="22" t="s">
        <v>44</v>
      </c>
      <c r="K566" s="22" t="s">
        <v>3043</v>
      </c>
      <c r="L566" s="36">
        <v>810.0</v>
      </c>
      <c r="M566" s="129"/>
      <c r="N566" s="36" t="s">
        <v>3044</v>
      </c>
      <c r="O566" s="36"/>
      <c r="P566" s="37"/>
      <c r="Q566" s="36"/>
      <c r="R566" s="36">
        <v>1800.0</v>
      </c>
      <c r="S566" s="36">
        <v>12.0</v>
      </c>
      <c r="T566" s="28" t="s">
        <v>3045</v>
      </c>
      <c r="U566" s="38" t="str">
        <f>HYPERLINK("https://link.springer.com/article/10.1007/s42341-019-00132-8","Springer")</f>
        <v>Springer</v>
      </c>
      <c r="V566" s="30"/>
      <c r="W566" s="49"/>
      <c r="X566" s="49"/>
      <c r="Y566" s="35"/>
      <c r="Z566" s="35"/>
      <c r="AA566" s="35"/>
      <c r="AB566" s="35"/>
      <c r="AC566" s="35"/>
      <c r="AD566" s="35"/>
      <c r="AE566" s="35"/>
      <c r="AF566" s="35"/>
      <c r="AG566" s="35"/>
      <c r="AH566" s="35"/>
      <c r="AI566" s="35"/>
      <c r="AJ566" s="35"/>
      <c r="AK566" s="35"/>
      <c r="AL566" s="35"/>
    </row>
    <row r="567" ht="31.5" customHeight="1">
      <c r="A567" s="1"/>
      <c r="B567" s="19" t="s">
        <v>2073</v>
      </c>
      <c r="C567" s="20" t="s">
        <v>3034</v>
      </c>
      <c r="D567" s="47"/>
      <c r="E567" s="22" t="s">
        <v>3046</v>
      </c>
      <c r="F567" s="22" t="s">
        <v>3047</v>
      </c>
      <c r="G567" s="23">
        <v>2019.0</v>
      </c>
      <c r="H567" s="22" t="s">
        <v>3048</v>
      </c>
      <c r="I567" s="24" t="s">
        <v>3049</v>
      </c>
      <c r="J567" s="22" t="s">
        <v>2273</v>
      </c>
      <c r="K567" s="22" t="s">
        <v>3050</v>
      </c>
      <c r="L567" s="36">
        <v>810.0</v>
      </c>
      <c r="M567" s="129"/>
      <c r="N567" s="36"/>
      <c r="O567" s="36"/>
      <c r="P567" s="37"/>
      <c r="Q567" s="36"/>
      <c r="R567" s="36"/>
      <c r="S567" s="36"/>
      <c r="T567" s="28" t="s">
        <v>3051</v>
      </c>
      <c r="U567" s="38" t="str">
        <f>HYPERLINK("https://www.ncbi.nlm.nih.gov/pubmed/30654508","PubMed")</f>
        <v>PubMed</v>
      </c>
      <c r="V567" s="30"/>
      <c r="W567" s="49"/>
      <c r="X567" s="49"/>
      <c r="Y567" s="35"/>
      <c r="Z567" s="35"/>
      <c r="AA567" s="35"/>
      <c r="AB567" s="35"/>
      <c r="AC567" s="35"/>
      <c r="AD567" s="35"/>
      <c r="AE567" s="35"/>
      <c r="AF567" s="35"/>
      <c r="AG567" s="35"/>
      <c r="AH567" s="35"/>
      <c r="AI567" s="35"/>
      <c r="AJ567" s="35"/>
      <c r="AK567" s="35"/>
      <c r="AL567" s="35"/>
    </row>
    <row r="568" ht="31.5" customHeight="1">
      <c r="A568" s="1"/>
      <c r="B568" s="19" t="s">
        <v>2073</v>
      </c>
      <c r="C568" s="20" t="s">
        <v>3034</v>
      </c>
      <c r="D568" s="47"/>
      <c r="E568" s="22" t="s">
        <v>2243</v>
      </c>
      <c r="F568" s="22" t="s">
        <v>28</v>
      </c>
      <c r="G568" s="23">
        <v>2016.0</v>
      </c>
      <c r="H568" s="22" t="s">
        <v>53</v>
      </c>
      <c r="I568" s="24" t="s">
        <v>3052</v>
      </c>
      <c r="J568" s="22" t="s">
        <v>3053</v>
      </c>
      <c r="K568" s="22"/>
      <c r="L568" s="36">
        <v>1064.0</v>
      </c>
      <c r="M568" s="129">
        <v>42463.0</v>
      </c>
      <c r="N568" s="36" t="s">
        <v>3054</v>
      </c>
      <c r="O568" s="36"/>
      <c r="P568" s="37"/>
      <c r="Q568" s="36" t="s">
        <v>3055</v>
      </c>
      <c r="R568" s="36"/>
      <c r="S568" s="36"/>
      <c r="T568" s="28" t="s">
        <v>3056</v>
      </c>
      <c r="U568" s="38" t="str">
        <f>HYPERLINK("www.ncbi.nlm.nih.gov/pubmed/26817446","PubMed")</f>
        <v>PubMed</v>
      </c>
      <c r="V568" s="30"/>
      <c r="W568" s="49"/>
      <c r="X568" s="49"/>
      <c r="Y568" s="35"/>
      <c r="Z568" s="35"/>
      <c r="AA568" s="35"/>
      <c r="AB568" s="35"/>
      <c r="AC568" s="35"/>
      <c r="AD568" s="35"/>
      <c r="AE568" s="35"/>
      <c r="AF568" s="35"/>
      <c r="AG568" s="35"/>
      <c r="AH568" s="35"/>
      <c r="AI568" s="35"/>
      <c r="AJ568" s="35"/>
      <c r="AK568" s="35"/>
      <c r="AL568" s="35"/>
    </row>
    <row r="569">
      <c r="A569" s="89"/>
      <c r="B569" s="19" t="s">
        <v>2073</v>
      </c>
      <c r="C569" s="20" t="s">
        <v>3034</v>
      </c>
      <c r="D569" s="159"/>
      <c r="E569" s="56" t="s">
        <v>3057</v>
      </c>
      <c r="F569" s="22" t="s">
        <v>41</v>
      </c>
      <c r="G569" s="57">
        <v>2015.0</v>
      </c>
      <c r="H569" s="22" t="s">
        <v>91</v>
      </c>
      <c r="I569" s="58" t="s">
        <v>3058</v>
      </c>
      <c r="J569" s="22" t="s">
        <v>3059</v>
      </c>
      <c r="K569" s="22" t="s">
        <v>3060</v>
      </c>
      <c r="L569" s="36">
        <v>627.0</v>
      </c>
      <c r="M569" s="36"/>
      <c r="N569" s="36" t="s">
        <v>2865</v>
      </c>
      <c r="O569" s="36"/>
      <c r="P569" s="37" t="s">
        <v>95</v>
      </c>
      <c r="Q569" s="36"/>
      <c r="R569" s="36" t="s">
        <v>3061</v>
      </c>
      <c r="S569" s="36" t="s">
        <v>2099</v>
      </c>
      <c r="T569" s="186" t="s">
        <v>3062</v>
      </c>
      <c r="U569" s="161" t="str">
        <f>HYPERLINK("https://www.ncbi.nlm.nih.gov/pubmed/25277249","PubMed")</f>
        <v>PubMed</v>
      </c>
      <c r="V569" s="50"/>
      <c r="W569" s="162"/>
      <c r="X569" s="156"/>
      <c r="Y569" s="35"/>
      <c r="Z569" s="35"/>
      <c r="AA569" s="35"/>
      <c r="AB569" s="35"/>
      <c r="AC569" s="35"/>
      <c r="AD569" s="35"/>
      <c r="AE569" s="35"/>
      <c r="AF569" s="35"/>
      <c r="AG569" s="35"/>
      <c r="AH569" s="35"/>
      <c r="AI569" s="35"/>
      <c r="AJ569" s="35"/>
      <c r="AK569" s="35"/>
      <c r="AL569" s="35"/>
    </row>
    <row r="570" ht="31.5" customHeight="1">
      <c r="A570" s="1"/>
      <c r="B570" s="19" t="s">
        <v>2073</v>
      </c>
      <c r="C570" s="20" t="s">
        <v>3034</v>
      </c>
      <c r="D570" s="47"/>
      <c r="E570" s="22" t="s">
        <v>3063</v>
      </c>
      <c r="F570" s="22" t="s">
        <v>3064</v>
      </c>
      <c r="G570" s="23">
        <v>2013.0</v>
      </c>
      <c r="H570" s="22" t="s">
        <v>3065</v>
      </c>
      <c r="I570" s="24" t="s">
        <v>3066</v>
      </c>
      <c r="J570" s="22" t="s">
        <v>55</v>
      </c>
      <c r="K570" s="22"/>
      <c r="L570" s="36">
        <v>650.0</v>
      </c>
      <c r="M570" s="129"/>
      <c r="N570" s="36" t="s">
        <v>211</v>
      </c>
      <c r="O570" s="36"/>
      <c r="P570" s="37"/>
      <c r="Q570" s="36"/>
      <c r="R570" s="36">
        <v>300.0</v>
      </c>
      <c r="S570" s="36"/>
      <c r="T570" s="28" t="s">
        <v>3067</v>
      </c>
      <c r="U570" s="29" t="s">
        <v>61</v>
      </c>
      <c r="V570" s="30"/>
      <c r="W570" s="49"/>
      <c r="X570" s="49"/>
      <c r="Y570" s="35"/>
      <c r="Z570" s="35"/>
      <c r="AA570" s="35"/>
      <c r="AB570" s="35"/>
      <c r="AC570" s="35"/>
      <c r="AD570" s="35"/>
      <c r="AE570" s="35"/>
      <c r="AF570" s="35"/>
      <c r="AG570" s="35"/>
      <c r="AH570" s="35"/>
      <c r="AI570" s="35"/>
      <c r="AJ570" s="35"/>
      <c r="AK570" s="35"/>
      <c r="AL570" s="35"/>
    </row>
    <row r="571" ht="31.5" customHeight="1">
      <c r="A571" s="1"/>
      <c r="B571" s="19" t="s">
        <v>2073</v>
      </c>
      <c r="C571" s="20" t="s">
        <v>3034</v>
      </c>
      <c r="D571" s="47"/>
      <c r="E571" s="22" t="s">
        <v>3068</v>
      </c>
      <c r="F571" s="22" t="s">
        <v>3064</v>
      </c>
      <c r="G571" s="23">
        <v>2011.0</v>
      </c>
      <c r="H571" s="22" t="s">
        <v>3065</v>
      </c>
      <c r="I571" s="24" t="s">
        <v>3069</v>
      </c>
      <c r="J571" s="22" t="s">
        <v>55</v>
      </c>
      <c r="K571" s="22" t="s">
        <v>771</v>
      </c>
      <c r="L571" s="36" t="s">
        <v>3070</v>
      </c>
      <c r="M571" s="36">
        <v>20.0</v>
      </c>
      <c r="N571" s="36" t="s">
        <v>211</v>
      </c>
      <c r="O571" s="36"/>
      <c r="P571" s="37"/>
      <c r="Q571" s="36"/>
      <c r="R571" s="36"/>
      <c r="S571" s="36"/>
      <c r="T571" s="28" t="s">
        <v>3071</v>
      </c>
      <c r="U571" s="38" t="s">
        <v>61</v>
      </c>
      <c r="V571" s="30"/>
      <c r="W571" s="49"/>
      <c r="X571" s="49"/>
      <c r="Y571" s="35"/>
      <c r="Z571" s="35"/>
      <c r="AA571" s="35"/>
      <c r="AB571" s="35"/>
      <c r="AC571" s="35"/>
      <c r="AD571" s="35"/>
      <c r="AE571" s="35"/>
      <c r="AF571" s="35"/>
      <c r="AG571" s="35"/>
      <c r="AH571" s="35"/>
      <c r="AI571" s="35"/>
      <c r="AJ571" s="35"/>
      <c r="AK571" s="35"/>
      <c r="AL571" s="35"/>
    </row>
    <row r="572" ht="31.5" customHeight="1">
      <c r="A572" s="1"/>
      <c r="B572" s="19" t="s">
        <v>2073</v>
      </c>
      <c r="C572" s="20" t="s">
        <v>3034</v>
      </c>
      <c r="D572" s="47"/>
      <c r="E572" s="22" t="s">
        <v>3072</v>
      </c>
      <c r="F572" s="22" t="s">
        <v>748</v>
      </c>
      <c r="G572" s="23">
        <v>1993.0</v>
      </c>
      <c r="H572" s="22" t="s">
        <v>3073</v>
      </c>
      <c r="I572" s="24" t="s">
        <v>3074</v>
      </c>
      <c r="J572" s="22" t="s">
        <v>55</v>
      </c>
      <c r="K572" s="22" t="s">
        <v>1240</v>
      </c>
      <c r="L572" s="36">
        <v>633.0</v>
      </c>
      <c r="M572" s="129"/>
      <c r="N572" s="36"/>
      <c r="O572" s="36"/>
      <c r="P572" s="37"/>
      <c r="Q572" s="36"/>
      <c r="R572" s="36"/>
      <c r="S572" s="36"/>
      <c r="T572" s="28" t="s">
        <v>3075</v>
      </c>
      <c r="U572" s="38" t="str">
        <f>HYPERLINK("https://www.ncbi.nlm.nih.gov/pubmed/8043815","PubMed")</f>
        <v>PubMed</v>
      </c>
      <c r="V572" s="30"/>
      <c r="W572" s="49"/>
      <c r="X572" s="49"/>
      <c r="Y572" s="35"/>
      <c r="Z572" s="35"/>
      <c r="AA572" s="35"/>
      <c r="AB572" s="35"/>
      <c r="AC572" s="35"/>
      <c r="AD572" s="35"/>
      <c r="AE572" s="35"/>
      <c r="AF572" s="35"/>
      <c r="AG572" s="35"/>
      <c r="AH572" s="35"/>
      <c r="AI572" s="35"/>
      <c r="AJ572" s="35"/>
      <c r="AK572" s="35"/>
      <c r="AL572" s="35"/>
    </row>
    <row r="573" ht="32.25" customHeight="1">
      <c r="A573" s="40"/>
      <c r="B573" s="157" t="s">
        <v>2073</v>
      </c>
      <c r="C573" s="158" t="s">
        <v>3076</v>
      </c>
      <c r="D573" s="159"/>
      <c r="E573" s="22" t="s">
        <v>3077</v>
      </c>
      <c r="F573" s="23" t="s">
        <v>2229</v>
      </c>
      <c r="G573" s="23">
        <v>2023.0</v>
      </c>
      <c r="H573" s="22" t="s">
        <v>3078</v>
      </c>
      <c r="I573" s="24" t="s">
        <v>3079</v>
      </c>
      <c r="J573" s="22" t="s">
        <v>55</v>
      </c>
      <c r="K573" s="22"/>
      <c r="L573" s="36">
        <v>808.0</v>
      </c>
      <c r="M573" s="36" t="s">
        <v>58</v>
      </c>
      <c r="N573" s="36" t="s">
        <v>211</v>
      </c>
      <c r="O573" s="36" t="s">
        <v>58</v>
      </c>
      <c r="P573" s="37" t="s">
        <v>58</v>
      </c>
      <c r="Q573" s="36" t="s">
        <v>58</v>
      </c>
      <c r="R573" s="36">
        <v>300.0</v>
      </c>
      <c r="S573" s="36" t="s">
        <v>3080</v>
      </c>
      <c r="T573" s="28" t="s">
        <v>3081</v>
      </c>
      <c r="U573" s="38" t="s">
        <v>61</v>
      </c>
      <c r="V573" s="139"/>
      <c r="W573" s="49"/>
      <c r="X573" s="49"/>
      <c r="Y573" s="35"/>
      <c r="Z573" s="35"/>
      <c r="AA573" s="35"/>
      <c r="AB573" s="35"/>
      <c r="AC573" s="35"/>
      <c r="AD573" s="35"/>
      <c r="AE573" s="35"/>
      <c r="AF573" s="35"/>
      <c r="AG573" s="35"/>
      <c r="AH573" s="35"/>
      <c r="AI573" s="35"/>
      <c r="AJ573" s="35"/>
      <c r="AK573" s="35"/>
      <c r="AL573" s="35"/>
    </row>
    <row r="574" ht="32.25" customHeight="1">
      <c r="A574" s="40"/>
      <c r="B574" s="157" t="s">
        <v>2073</v>
      </c>
      <c r="C574" s="158" t="s">
        <v>3076</v>
      </c>
      <c r="D574" s="159"/>
      <c r="E574" s="22" t="s">
        <v>3082</v>
      </c>
      <c r="F574" s="23" t="s">
        <v>2346</v>
      </c>
      <c r="G574" s="23">
        <v>2022.0</v>
      </c>
      <c r="H574" s="22" t="s">
        <v>3065</v>
      </c>
      <c r="I574" s="24" t="s">
        <v>3083</v>
      </c>
      <c r="J574" s="22" t="s">
        <v>55</v>
      </c>
      <c r="K574" s="22" t="s">
        <v>3084</v>
      </c>
      <c r="L574" s="36">
        <v>890.0</v>
      </c>
      <c r="M574" s="107"/>
      <c r="N574" s="129"/>
      <c r="O574" s="107"/>
      <c r="P574" s="37"/>
      <c r="Q574" s="107"/>
      <c r="R574" s="36"/>
      <c r="S574" s="107"/>
      <c r="T574" s="28" t="s">
        <v>3085</v>
      </c>
      <c r="U574" s="29" t="s">
        <v>61</v>
      </c>
      <c r="V574" s="139"/>
      <c r="W574" s="49"/>
      <c r="X574" s="49"/>
      <c r="Y574" s="35"/>
      <c r="Z574" s="35"/>
      <c r="AA574" s="35"/>
      <c r="AB574" s="35"/>
      <c r="AC574" s="35"/>
      <c r="AD574" s="35"/>
      <c r="AE574" s="35"/>
      <c r="AF574" s="35"/>
      <c r="AG574" s="35"/>
      <c r="AH574" s="35"/>
      <c r="AI574" s="35"/>
      <c r="AJ574" s="35"/>
      <c r="AK574" s="35"/>
      <c r="AL574" s="35"/>
    </row>
    <row r="575" ht="32.25" customHeight="1">
      <c r="A575" s="40"/>
      <c r="B575" s="157" t="s">
        <v>2073</v>
      </c>
      <c r="C575" s="158" t="s">
        <v>3076</v>
      </c>
      <c r="D575" s="159"/>
      <c r="E575" s="22" t="s">
        <v>3086</v>
      </c>
      <c r="F575" s="23" t="s">
        <v>3087</v>
      </c>
      <c r="G575" s="23">
        <v>2020.0</v>
      </c>
      <c r="H575" s="22" t="s">
        <v>3065</v>
      </c>
      <c r="I575" s="24" t="s">
        <v>3088</v>
      </c>
      <c r="J575" s="22" t="s">
        <v>55</v>
      </c>
      <c r="K575" s="22"/>
      <c r="L575" s="36">
        <v>890.0</v>
      </c>
      <c r="M575" s="107"/>
      <c r="N575" s="129"/>
      <c r="O575" s="107"/>
      <c r="P575" s="37" t="s">
        <v>3089</v>
      </c>
      <c r="Q575" s="107"/>
      <c r="R575" s="36"/>
      <c r="S575" s="107"/>
      <c r="T575" s="28" t="s">
        <v>3090</v>
      </c>
      <c r="U575" s="29" t="s">
        <v>61</v>
      </c>
      <c r="V575" s="139"/>
      <c r="W575" s="49"/>
      <c r="X575" s="49"/>
      <c r="Y575" s="35"/>
      <c r="Z575" s="35"/>
      <c r="AA575" s="35"/>
      <c r="AB575" s="35"/>
      <c r="AC575" s="35"/>
      <c r="AD575" s="35"/>
      <c r="AE575" s="35"/>
      <c r="AF575" s="35"/>
      <c r="AG575" s="35"/>
      <c r="AH575" s="35"/>
      <c r="AI575" s="35"/>
      <c r="AJ575" s="35"/>
      <c r="AK575" s="35"/>
      <c r="AL575" s="35"/>
    </row>
    <row r="576" ht="31.5" customHeight="1">
      <c r="A576" s="89"/>
      <c r="B576" s="19" t="s">
        <v>2073</v>
      </c>
      <c r="C576" s="20" t="s">
        <v>3091</v>
      </c>
      <c r="D576" s="47"/>
      <c r="E576" s="56" t="s">
        <v>3092</v>
      </c>
      <c r="F576" s="22" t="s">
        <v>3093</v>
      </c>
      <c r="G576" s="57">
        <v>2013.0</v>
      </c>
      <c r="H576" s="56" t="s">
        <v>3094</v>
      </c>
      <c r="I576" s="58" t="s">
        <v>3095</v>
      </c>
      <c r="J576" s="22" t="s">
        <v>125</v>
      </c>
      <c r="K576" s="56"/>
      <c r="L576" s="148" t="s">
        <v>3096</v>
      </c>
      <c r="M576" s="44"/>
      <c r="N576" s="44"/>
      <c r="O576" s="44"/>
      <c r="P576" s="44"/>
      <c r="Q576" s="44"/>
      <c r="R576" s="44"/>
      <c r="S576" s="44"/>
      <c r="T576" s="45"/>
      <c r="U576" s="66" t="str">
        <f>HYPERLINK("https://www.ncbi.nlm.nih.gov/pubmed/23492552","PubMed")</f>
        <v>PubMed</v>
      </c>
      <c r="V576" s="50"/>
      <c r="W576" s="49"/>
      <c r="X576" s="49"/>
      <c r="Y576" s="35"/>
      <c r="Z576" s="35"/>
      <c r="AA576" s="35"/>
      <c r="AB576" s="35"/>
      <c r="AC576" s="35"/>
      <c r="AD576" s="35"/>
      <c r="AE576" s="35"/>
      <c r="AF576" s="35"/>
      <c r="AG576" s="35"/>
      <c r="AH576" s="35"/>
      <c r="AI576" s="35"/>
      <c r="AJ576" s="35"/>
      <c r="AK576" s="35"/>
      <c r="AL576" s="35"/>
    </row>
    <row r="577" ht="31.5" customHeight="1">
      <c r="A577" s="1"/>
      <c r="B577" s="157" t="s">
        <v>2073</v>
      </c>
      <c r="C577" s="158" t="s">
        <v>3097</v>
      </c>
      <c r="D577" s="47"/>
      <c r="E577" s="22" t="s">
        <v>3098</v>
      </c>
      <c r="F577" s="22" t="s">
        <v>3099</v>
      </c>
      <c r="G577" s="23">
        <v>2020.0</v>
      </c>
      <c r="H577" s="22" t="s">
        <v>207</v>
      </c>
      <c r="I577" s="24" t="s">
        <v>3100</v>
      </c>
      <c r="J577" s="22" t="s">
        <v>3101</v>
      </c>
      <c r="K577" s="22" t="s">
        <v>157</v>
      </c>
      <c r="L577" s="36" t="s">
        <v>3102</v>
      </c>
      <c r="M577" s="36"/>
      <c r="N577" s="36"/>
      <c r="O577" s="36"/>
      <c r="P577" s="37"/>
      <c r="Q577" s="36"/>
      <c r="R577" s="36"/>
      <c r="S577" s="36"/>
      <c r="T577" s="28" t="s">
        <v>3103</v>
      </c>
      <c r="U577" s="29" t="s">
        <v>61</v>
      </c>
      <c r="V577" s="30"/>
      <c r="W577" s="49"/>
      <c r="X577" s="49"/>
      <c r="Y577" s="35"/>
      <c r="Z577" s="35"/>
      <c r="AA577" s="35"/>
      <c r="AB577" s="35"/>
      <c r="AC577" s="35"/>
      <c r="AD577" s="35"/>
      <c r="AE577" s="35"/>
      <c r="AF577" s="35"/>
      <c r="AG577" s="35"/>
      <c r="AH577" s="35"/>
      <c r="AI577" s="35"/>
      <c r="AJ577" s="35"/>
      <c r="AK577" s="35"/>
      <c r="AL577" s="35"/>
    </row>
    <row r="578" ht="31.5" customHeight="1">
      <c r="A578" s="18"/>
      <c r="B578" s="157" t="s">
        <v>2073</v>
      </c>
      <c r="C578" s="158" t="s">
        <v>3104</v>
      </c>
      <c r="D578" s="47"/>
      <c r="E578" s="22" t="s">
        <v>3105</v>
      </c>
      <c r="F578" s="22" t="s">
        <v>1046</v>
      </c>
      <c r="G578" s="23">
        <v>2023.0</v>
      </c>
      <c r="H578" s="22" t="s">
        <v>3106</v>
      </c>
      <c r="I578" s="24" t="s">
        <v>3107</v>
      </c>
      <c r="J578" s="22" t="s">
        <v>44</v>
      </c>
      <c r="K578" s="22"/>
      <c r="L578" s="36">
        <v>810.0</v>
      </c>
      <c r="M578" s="36"/>
      <c r="N578" s="36"/>
      <c r="O578" s="36"/>
      <c r="P578" s="37" t="s">
        <v>70</v>
      </c>
      <c r="Q578" s="36"/>
      <c r="R578" s="36"/>
      <c r="S578" s="36"/>
      <c r="T578" s="28" t="s">
        <v>3108</v>
      </c>
      <c r="U578" s="38" t="s">
        <v>61</v>
      </c>
      <c r="V578" s="30"/>
      <c r="W578" s="49"/>
      <c r="X578" s="49"/>
      <c r="Y578" s="35"/>
      <c r="Z578" s="35"/>
      <c r="AA578" s="35"/>
      <c r="AB578" s="35"/>
      <c r="AC578" s="35"/>
      <c r="AD578" s="35"/>
      <c r="AE578" s="35"/>
      <c r="AF578" s="35"/>
      <c r="AG578" s="35"/>
      <c r="AH578" s="35"/>
      <c r="AI578" s="35"/>
      <c r="AJ578" s="35"/>
      <c r="AK578" s="35"/>
      <c r="AL578" s="35"/>
    </row>
    <row r="579" ht="31.5" customHeight="1">
      <c r="A579" s="18"/>
      <c r="B579" s="157" t="s">
        <v>2073</v>
      </c>
      <c r="C579" s="158" t="s">
        <v>3104</v>
      </c>
      <c r="D579" s="47"/>
      <c r="E579" s="22" t="s">
        <v>3109</v>
      </c>
      <c r="F579" s="22" t="s">
        <v>1370</v>
      </c>
      <c r="G579" s="23">
        <v>2023.0</v>
      </c>
      <c r="H579" s="22" t="s">
        <v>2761</v>
      </c>
      <c r="I579" s="24" t="s">
        <v>3110</v>
      </c>
      <c r="J579" s="22" t="s">
        <v>3111</v>
      </c>
      <c r="K579" s="22"/>
      <c r="L579" s="36">
        <v>810.0</v>
      </c>
      <c r="M579" s="36"/>
      <c r="N579" s="36" t="s">
        <v>211</v>
      </c>
      <c r="O579" s="36">
        <v>189.0</v>
      </c>
      <c r="P579" s="37" t="s">
        <v>3112</v>
      </c>
      <c r="Q579" s="36" t="s">
        <v>3113</v>
      </c>
      <c r="R579" s="36">
        <v>1050.0</v>
      </c>
      <c r="S579" s="36" t="s">
        <v>3114</v>
      </c>
      <c r="T579" s="28" t="s">
        <v>3115</v>
      </c>
      <c r="U579" s="38" t="s">
        <v>61</v>
      </c>
      <c r="V579" s="30"/>
      <c r="W579" s="49"/>
      <c r="X579" s="49"/>
      <c r="Y579" s="35"/>
      <c r="Z579" s="35"/>
      <c r="AA579" s="35"/>
      <c r="AB579" s="35"/>
      <c r="AC579" s="35"/>
      <c r="AD579" s="35"/>
      <c r="AE579" s="35"/>
      <c r="AF579" s="35"/>
      <c r="AG579" s="35"/>
      <c r="AH579" s="35"/>
      <c r="AI579" s="35"/>
      <c r="AJ579" s="35"/>
      <c r="AK579" s="35"/>
      <c r="AL579" s="35"/>
    </row>
    <row r="580" ht="31.5" customHeight="1">
      <c r="A580" s="18"/>
      <c r="B580" s="157" t="s">
        <v>2073</v>
      </c>
      <c r="C580" s="158" t="s">
        <v>3104</v>
      </c>
      <c r="D580" s="47"/>
      <c r="E580" s="22" t="s">
        <v>3116</v>
      </c>
      <c r="F580" s="22" t="s">
        <v>1380</v>
      </c>
      <c r="G580" s="23">
        <v>2022.0</v>
      </c>
      <c r="H580" s="22" t="s">
        <v>3117</v>
      </c>
      <c r="I580" s="24" t="s">
        <v>3118</v>
      </c>
      <c r="J580" s="22" t="s">
        <v>3119</v>
      </c>
      <c r="K580" s="22" t="s">
        <v>3120</v>
      </c>
      <c r="L580" s="36">
        <v>850.0</v>
      </c>
      <c r="M580" s="36">
        <v>400.0</v>
      </c>
      <c r="N580" s="36" t="s">
        <v>3121</v>
      </c>
      <c r="O580" s="36" t="s">
        <v>3122</v>
      </c>
      <c r="P580" s="37" t="s">
        <v>3123</v>
      </c>
      <c r="Q580" s="36" t="s">
        <v>3124</v>
      </c>
      <c r="R580" s="36">
        <v>600.0</v>
      </c>
      <c r="S580" s="36" t="s">
        <v>3125</v>
      </c>
      <c r="T580" s="28" t="s">
        <v>3126</v>
      </c>
      <c r="U580" s="38" t="s">
        <v>61</v>
      </c>
      <c r="V580" s="30" t="s">
        <v>3127</v>
      </c>
      <c r="W580" s="49"/>
      <c r="X580" s="49"/>
      <c r="Y580" s="35"/>
      <c r="Z580" s="35"/>
      <c r="AA580" s="35"/>
      <c r="AB580" s="35"/>
      <c r="AC580" s="35"/>
      <c r="AD580" s="35"/>
      <c r="AE580" s="35"/>
      <c r="AF580" s="35"/>
      <c r="AG580" s="35"/>
      <c r="AH580" s="35"/>
      <c r="AI580" s="35"/>
      <c r="AJ580" s="35"/>
      <c r="AK580" s="35"/>
      <c r="AL580" s="35"/>
    </row>
    <row r="581" ht="31.5" customHeight="1">
      <c r="A581" s="18" t="s">
        <v>38</v>
      </c>
      <c r="B581" s="157" t="s">
        <v>2073</v>
      </c>
      <c r="C581" s="158" t="s">
        <v>3104</v>
      </c>
      <c r="D581" s="47"/>
      <c r="E581" s="22" t="s">
        <v>3128</v>
      </c>
      <c r="F581" s="22" t="s">
        <v>1649</v>
      </c>
      <c r="G581" s="23">
        <v>2021.0</v>
      </c>
      <c r="H581" s="22" t="s">
        <v>2238</v>
      </c>
      <c r="I581" s="24" t="s">
        <v>3129</v>
      </c>
      <c r="J581" s="22" t="s">
        <v>3130</v>
      </c>
      <c r="K581" s="22"/>
      <c r="L581" s="36">
        <v>610.0</v>
      </c>
      <c r="M581" s="36" t="s">
        <v>3131</v>
      </c>
      <c r="N581" s="36" t="s">
        <v>3132</v>
      </c>
      <c r="O581" s="36"/>
      <c r="P581" s="37"/>
      <c r="Q581" s="36"/>
      <c r="R581" s="36">
        <v>1800.0</v>
      </c>
      <c r="S581" s="36" t="s">
        <v>2291</v>
      </c>
      <c r="T581" s="28" t="s">
        <v>3133</v>
      </c>
      <c r="U581" s="29" t="s">
        <v>61</v>
      </c>
      <c r="V581" s="30" t="s">
        <v>3134</v>
      </c>
      <c r="W581" s="49"/>
      <c r="X581" s="49"/>
      <c r="Y581" s="35"/>
      <c r="Z581" s="35"/>
      <c r="AA581" s="35"/>
      <c r="AB581" s="35"/>
      <c r="AC581" s="35"/>
      <c r="AD581" s="35"/>
      <c r="AE581" s="35"/>
      <c r="AF581" s="35"/>
      <c r="AG581" s="35"/>
      <c r="AH581" s="35"/>
      <c r="AI581" s="35"/>
      <c r="AJ581" s="35"/>
      <c r="AK581" s="35"/>
      <c r="AL581" s="35"/>
    </row>
    <row r="582" ht="31.5" customHeight="1">
      <c r="A582" s="1"/>
      <c r="B582" s="157" t="s">
        <v>2073</v>
      </c>
      <c r="C582" s="158" t="s">
        <v>3104</v>
      </c>
      <c r="D582" s="47"/>
      <c r="E582" s="22" t="s">
        <v>2770</v>
      </c>
      <c r="F582" s="22" t="s">
        <v>1370</v>
      </c>
      <c r="G582" s="23">
        <v>2021.0</v>
      </c>
      <c r="H582" s="22" t="s">
        <v>2238</v>
      </c>
      <c r="I582" s="24" t="s">
        <v>3135</v>
      </c>
      <c r="J582" s="22" t="s">
        <v>3136</v>
      </c>
      <c r="K582" s="22"/>
      <c r="L582" s="36"/>
      <c r="M582" s="36"/>
      <c r="N582" s="36"/>
      <c r="O582" s="36"/>
      <c r="P582" s="37"/>
      <c r="Q582" s="36"/>
      <c r="R582" s="36"/>
      <c r="S582" s="36"/>
      <c r="T582" s="28" t="s">
        <v>3137</v>
      </c>
      <c r="U582" s="29" t="s">
        <v>61</v>
      </c>
      <c r="V582" s="30"/>
      <c r="W582" s="49"/>
      <c r="X582" s="49"/>
      <c r="Y582" s="35"/>
      <c r="Z582" s="35"/>
      <c r="AA582" s="35"/>
      <c r="AB582" s="35"/>
      <c r="AC582" s="35"/>
      <c r="AD582" s="35"/>
      <c r="AE582" s="35"/>
      <c r="AF582" s="35"/>
      <c r="AG582" s="35"/>
      <c r="AH582" s="35"/>
      <c r="AI582" s="35"/>
      <c r="AJ582" s="35"/>
      <c r="AK582" s="35"/>
      <c r="AL582" s="35"/>
    </row>
    <row r="583" ht="31.5" customHeight="1">
      <c r="A583" s="1"/>
      <c r="B583" s="157" t="s">
        <v>2073</v>
      </c>
      <c r="C583" s="158" t="s">
        <v>3104</v>
      </c>
      <c r="D583" s="159"/>
      <c r="E583" s="56" t="s">
        <v>2547</v>
      </c>
      <c r="F583" s="22" t="s">
        <v>2130</v>
      </c>
      <c r="G583" s="57">
        <v>2019.0</v>
      </c>
      <c r="H583" s="56" t="s">
        <v>3138</v>
      </c>
      <c r="I583" s="58" t="s">
        <v>3139</v>
      </c>
      <c r="J583" s="22" t="s">
        <v>125</v>
      </c>
      <c r="K583" s="22"/>
      <c r="L583" s="43" t="s">
        <v>3140</v>
      </c>
      <c r="M583" s="44"/>
      <c r="N583" s="44"/>
      <c r="O583" s="44"/>
      <c r="P583" s="44"/>
      <c r="Q583" s="44"/>
      <c r="R583" s="44"/>
      <c r="S583" s="44"/>
      <c r="T583" s="45"/>
      <c r="U583" s="161" t="str">
        <f>HYPERLINK("https://www.ncbi.nlm.nih.gov/pubmed/31704275","PubMed")</f>
        <v>PubMed</v>
      </c>
      <c r="V583" s="30"/>
      <c r="W583" s="162"/>
      <c r="X583" s="156"/>
      <c r="Y583" s="35"/>
      <c r="Z583" s="35"/>
      <c r="AA583" s="35"/>
      <c r="AB583" s="35"/>
      <c r="AC583" s="35"/>
      <c r="AD583" s="35"/>
      <c r="AE583" s="35"/>
      <c r="AF583" s="35"/>
      <c r="AG583" s="35"/>
      <c r="AH583" s="35"/>
      <c r="AI583" s="35"/>
      <c r="AJ583" s="35"/>
      <c r="AK583" s="35"/>
      <c r="AL583" s="35"/>
    </row>
    <row r="584" ht="31.5" customHeight="1">
      <c r="A584" s="133"/>
      <c r="B584" s="157" t="s">
        <v>2073</v>
      </c>
      <c r="C584" s="158" t="s">
        <v>3104</v>
      </c>
      <c r="D584" s="159"/>
      <c r="E584" s="56" t="s">
        <v>2402</v>
      </c>
      <c r="F584" s="22" t="s">
        <v>1046</v>
      </c>
      <c r="G584" s="57" t="s">
        <v>2499</v>
      </c>
      <c r="H584" s="56" t="s">
        <v>3106</v>
      </c>
      <c r="I584" s="58" t="s">
        <v>3141</v>
      </c>
      <c r="J584" s="22" t="s">
        <v>44</v>
      </c>
      <c r="K584" s="22" t="s">
        <v>3142</v>
      </c>
      <c r="L584" s="36">
        <v>810.0</v>
      </c>
      <c r="M584" s="36">
        <v>200.0</v>
      </c>
      <c r="N584" s="36" t="s">
        <v>3143</v>
      </c>
      <c r="O584" s="36" t="s">
        <v>58</v>
      </c>
      <c r="P584" s="37" t="s">
        <v>3144</v>
      </c>
      <c r="Q584" s="36" t="s">
        <v>1039</v>
      </c>
      <c r="R584" s="36">
        <v>5.0</v>
      </c>
      <c r="S584" s="36">
        <v>3.0</v>
      </c>
      <c r="T584" s="160" t="s">
        <v>3145</v>
      </c>
      <c r="U584" s="161" t="str">
        <f>HYPERLINK("https://www.ncbi.nlm.nih.gov/pubmed/29307593","PubMed")</f>
        <v>PubMed</v>
      </c>
      <c r="V584" s="30" t="s">
        <v>3146</v>
      </c>
      <c r="W584" s="162"/>
      <c r="X584" s="156"/>
      <c r="Y584" s="35"/>
      <c r="Z584" s="35"/>
      <c r="AA584" s="35"/>
      <c r="AB584" s="35"/>
      <c r="AC584" s="35"/>
      <c r="AD584" s="35"/>
      <c r="AE584" s="35"/>
      <c r="AF584" s="35"/>
      <c r="AG584" s="35"/>
      <c r="AH584" s="35"/>
      <c r="AI584" s="35"/>
      <c r="AJ584" s="35"/>
      <c r="AK584" s="35"/>
      <c r="AL584" s="35"/>
    </row>
    <row r="585" ht="31.5" customHeight="1">
      <c r="A585" s="133"/>
      <c r="B585" s="157" t="s">
        <v>2073</v>
      </c>
      <c r="C585" s="158" t="s">
        <v>3104</v>
      </c>
      <c r="D585" s="159"/>
      <c r="E585" s="56" t="s">
        <v>2402</v>
      </c>
      <c r="F585" s="22" t="s">
        <v>1046</v>
      </c>
      <c r="G585" s="57">
        <v>2017.0</v>
      </c>
      <c r="H585" s="56" t="s">
        <v>2541</v>
      </c>
      <c r="I585" s="58" t="s">
        <v>3147</v>
      </c>
      <c r="J585" s="22" t="s">
        <v>44</v>
      </c>
      <c r="K585" s="22" t="s">
        <v>3148</v>
      </c>
      <c r="L585" s="36" t="s">
        <v>3149</v>
      </c>
      <c r="M585" s="36"/>
      <c r="N585" s="36"/>
      <c r="O585" s="36"/>
      <c r="P585" s="37" t="s">
        <v>3150</v>
      </c>
      <c r="Q585" s="36"/>
      <c r="R585" s="36"/>
      <c r="S585" s="36"/>
      <c r="T585" s="160" t="s">
        <v>3151</v>
      </c>
      <c r="U585" s="161" t="str">
        <f>HYPERLINK("https://www.ncbi.nlm.nih.gov/pubmed/28735143","PubMed")</f>
        <v>PubMed</v>
      </c>
      <c r="V585" s="50"/>
      <c r="W585" s="162"/>
      <c r="X585" s="156"/>
      <c r="Y585" s="35"/>
      <c r="Z585" s="35"/>
      <c r="AA585" s="35"/>
      <c r="AB585" s="35"/>
      <c r="AC585" s="35"/>
      <c r="AD585" s="35"/>
      <c r="AE585" s="35"/>
      <c r="AF585" s="35"/>
      <c r="AG585" s="35"/>
      <c r="AH585" s="35"/>
      <c r="AI585" s="35"/>
      <c r="AJ585" s="35"/>
      <c r="AK585" s="35"/>
      <c r="AL585" s="35"/>
    </row>
    <row r="586" ht="31.5" customHeight="1">
      <c r="A586" s="18"/>
      <c r="B586" s="157" t="s">
        <v>2073</v>
      </c>
      <c r="C586" s="158" t="s">
        <v>3152</v>
      </c>
      <c r="D586" s="47"/>
      <c r="E586" s="22" t="s">
        <v>1767</v>
      </c>
      <c r="F586" s="22" t="s">
        <v>2196</v>
      </c>
      <c r="G586" s="23">
        <v>2023.0</v>
      </c>
      <c r="H586" s="22" t="s">
        <v>91</v>
      </c>
      <c r="I586" s="24" t="s">
        <v>3153</v>
      </c>
      <c r="J586" s="22" t="s">
        <v>3154</v>
      </c>
      <c r="K586" s="22" t="s">
        <v>3155</v>
      </c>
      <c r="L586" s="36" t="s">
        <v>3156</v>
      </c>
      <c r="M586" s="36"/>
      <c r="N586" s="36" t="s">
        <v>93</v>
      </c>
      <c r="O586" s="36"/>
      <c r="P586" s="37"/>
      <c r="Q586" s="36"/>
      <c r="R586" s="36">
        <v>480.0</v>
      </c>
      <c r="S586" s="36" t="s">
        <v>3157</v>
      </c>
      <c r="T586" s="28" t="s">
        <v>3158</v>
      </c>
      <c r="U586" s="38" t="s">
        <v>61</v>
      </c>
      <c r="V586" s="30"/>
      <c r="W586" s="49"/>
      <c r="X586" s="49"/>
      <c r="Y586" s="35"/>
      <c r="Z586" s="35"/>
      <c r="AA586" s="35"/>
      <c r="AB586" s="35"/>
      <c r="AC586" s="35"/>
      <c r="AD586" s="35"/>
      <c r="AE586" s="35"/>
      <c r="AF586" s="35"/>
      <c r="AG586" s="35"/>
      <c r="AH586" s="35"/>
      <c r="AI586" s="35"/>
      <c r="AJ586" s="35"/>
      <c r="AK586" s="35"/>
      <c r="AL586" s="35"/>
    </row>
    <row r="587" ht="31.5" customHeight="1">
      <c r="A587" s="18"/>
      <c r="B587" s="157" t="s">
        <v>2073</v>
      </c>
      <c r="C587" s="158" t="s">
        <v>3152</v>
      </c>
      <c r="D587" s="47"/>
      <c r="E587" s="22" t="s">
        <v>3159</v>
      </c>
      <c r="F587" s="22" t="s">
        <v>224</v>
      </c>
      <c r="G587" s="23">
        <v>2022.0</v>
      </c>
      <c r="H587" s="22" t="s">
        <v>3160</v>
      </c>
      <c r="I587" s="24" t="s">
        <v>3161</v>
      </c>
      <c r="J587" s="22" t="s">
        <v>3162</v>
      </c>
      <c r="K587" s="22" t="s">
        <v>294</v>
      </c>
      <c r="L587" s="36" t="s">
        <v>3163</v>
      </c>
      <c r="M587" s="36"/>
      <c r="N587" s="36"/>
      <c r="O587" s="36"/>
      <c r="P587" s="37"/>
      <c r="Q587" s="36"/>
      <c r="R587" s="36"/>
      <c r="S587" s="36"/>
      <c r="T587" s="28" t="s">
        <v>3164</v>
      </c>
      <c r="U587" s="38" t="s">
        <v>61</v>
      </c>
      <c r="V587" s="30"/>
      <c r="W587" s="49"/>
      <c r="X587" s="49"/>
      <c r="Y587" s="35"/>
      <c r="Z587" s="35"/>
      <c r="AA587" s="35"/>
      <c r="AB587" s="35"/>
      <c r="AC587" s="35"/>
      <c r="AD587" s="35"/>
      <c r="AE587" s="35"/>
      <c r="AF587" s="35"/>
      <c r="AG587" s="35"/>
      <c r="AH587" s="35"/>
      <c r="AI587" s="35"/>
      <c r="AJ587" s="35"/>
      <c r="AK587" s="35"/>
      <c r="AL587" s="35"/>
    </row>
    <row r="588" ht="31.5" customHeight="1">
      <c r="A588" s="18"/>
      <c r="B588" s="157" t="s">
        <v>2073</v>
      </c>
      <c r="C588" s="158" t="s">
        <v>3152</v>
      </c>
      <c r="D588" s="47"/>
      <c r="E588" s="22" t="s">
        <v>3165</v>
      </c>
      <c r="F588" s="22" t="s">
        <v>224</v>
      </c>
      <c r="G588" s="23">
        <v>2022.0</v>
      </c>
      <c r="H588" s="22" t="s">
        <v>3166</v>
      </c>
      <c r="I588" s="24" t="s">
        <v>3167</v>
      </c>
      <c r="J588" s="22" t="s">
        <v>3168</v>
      </c>
      <c r="K588" s="22"/>
      <c r="L588" s="36">
        <v>1064.0</v>
      </c>
      <c r="M588" s="36"/>
      <c r="N588" s="36" t="s">
        <v>93</v>
      </c>
      <c r="O588" s="36"/>
      <c r="P588" s="37"/>
      <c r="Q588" s="36"/>
      <c r="R588" s="36">
        <v>720.0</v>
      </c>
      <c r="S588" s="36" t="s">
        <v>35</v>
      </c>
      <c r="T588" s="28" t="s">
        <v>3169</v>
      </c>
      <c r="U588" s="38" t="s">
        <v>61</v>
      </c>
      <c r="V588" s="30"/>
      <c r="W588" s="49"/>
      <c r="X588" s="49"/>
      <c r="Y588" s="35"/>
      <c r="Z588" s="35"/>
      <c r="AA588" s="35"/>
      <c r="AB588" s="35"/>
      <c r="AC588" s="35"/>
      <c r="AD588" s="35"/>
      <c r="AE588" s="35"/>
      <c r="AF588" s="35"/>
      <c r="AG588" s="35"/>
      <c r="AH588" s="35"/>
      <c r="AI588" s="35"/>
      <c r="AJ588" s="35"/>
      <c r="AK588" s="35"/>
      <c r="AL588" s="35"/>
    </row>
    <row r="589" ht="31.5" customHeight="1">
      <c r="A589" s="18" t="s">
        <v>38</v>
      </c>
      <c r="B589" s="157" t="s">
        <v>2073</v>
      </c>
      <c r="C589" s="158" t="s">
        <v>3152</v>
      </c>
      <c r="D589" s="47"/>
      <c r="E589" s="22" t="s">
        <v>3170</v>
      </c>
      <c r="F589" s="22" t="s">
        <v>3171</v>
      </c>
      <c r="G589" s="23">
        <v>2021.0</v>
      </c>
      <c r="H589" s="22" t="s">
        <v>77</v>
      </c>
      <c r="I589" s="24" t="s">
        <v>3172</v>
      </c>
      <c r="J589" s="22" t="s">
        <v>3173</v>
      </c>
      <c r="K589" s="22"/>
      <c r="L589" s="36">
        <v>1068.0</v>
      </c>
      <c r="M589" s="36">
        <v>3800.0</v>
      </c>
      <c r="N589" s="36"/>
      <c r="O589" s="36"/>
      <c r="P589" s="37"/>
      <c r="Q589" s="36"/>
      <c r="R589" s="36"/>
      <c r="S589" s="36" t="s">
        <v>3174</v>
      </c>
      <c r="T589" s="28" t="s">
        <v>3175</v>
      </c>
      <c r="U589" s="29" t="s">
        <v>61</v>
      </c>
      <c r="V589" s="30" t="s">
        <v>3176</v>
      </c>
      <c r="W589" s="49"/>
      <c r="X589" s="49"/>
      <c r="Y589" s="35"/>
      <c r="Z589" s="35"/>
      <c r="AA589" s="35"/>
      <c r="AB589" s="35"/>
      <c r="AC589" s="35"/>
      <c r="AD589" s="35"/>
      <c r="AE589" s="35"/>
      <c r="AF589" s="35"/>
      <c r="AG589" s="35"/>
      <c r="AH589" s="35"/>
      <c r="AI589" s="35"/>
      <c r="AJ589" s="35"/>
      <c r="AK589" s="35"/>
      <c r="AL589" s="35"/>
    </row>
    <row r="590" ht="31.5" customHeight="1">
      <c r="A590" s="40"/>
      <c r="B590" s="19" t="s">
        <v>2073</v>
      </c>
      <c r="C590" s="158" t="s">
        <v>3152</v>
      </c>
      <c r="D590" s="47"/>
      <c r="E590" s="22" t="s">
        <v>3177</v>
      </c>
      <c r="F590" s="22" t="s">
        <v>1370</v>
      </c>
      <c r="G590" s="23">
        <v>2023.0</v>
      </c>
      <c r="H590" s="22" t="s">
        <v>2230</v>
      </c>
      <c r="I590" s="24" t="s">
        <v>3178</v>
      </c>
      <c r="J590" s="22" t="s">
        <v>3179</v>
      </c>
      <c r="K590" s="22" t="s">
        <v>157</v>
      </c>
      <c r="L590" s="36">
        <v>810.0</v>
      </c>
      <c r="M590" s="36" t="s">
        <v>3180</v>
      </c>
      <c r="N590" s="36" t="s">
        <v>3181</v>
      </c>
      <c r="O590" s="36" t="s">
        <v>3182</v>
      </c>
      <c r="P590" s="37" t="s">
        <v>2532</v>
      </c>
      <c r="Q590" s="36" t="s">
        <v>58</v>
      </c>
      <c r="R590" s="36">
        <v>350.0</v>
      </c>
      <c r="S590" s="36">
        <v>1.0</v>
      </c>
      <c r="T590" s="42" t="s">
        <v>3183</v>
      </c>
      <c r="U590" s="38" t="s">
        <v>61</v>
      </c>
      <c r="V590" s="30"/>
      <c r="W590" s="49"/>
      <c r="X590" s="49"/>
      <c r="Y590" s="35"/>
      <c r="Z590" s="35"/>
      <c r="AA590" s="35"/>
      <c r="AB590" s="35"/>
      <c r="AC590" s="35"/>
      <c r="AD590" s="35"/>
      <c r="AE590" s="35"/>
      <c r="AF590" s="35"/>
      <c r="AG590" s="35"/>
      <c r="AH590" s="35"/>
      <c r="AI590" s="35"/>
      <c r="AJ590" s="35"/>
      <c r="AK590" s="35"/>
      <c r="AL590" s="35"/>
    </row>
    <row r="591" ht="31.5" customHeight="1">
      <c r="A591" s="1"/>
      <c r="B591" s="157" t="s">
        <v>2073</v>
      </c>
      <c r="C591" s="158" t="s">
        <v>3152</v>
      </c>
      <c r="D591" s="47"/>
      <c r="E591" s="22" t="s">
        <v>2770</v>
      </c>
      <c r="F591" s="22" t="s">
        <v>1370</v>
      </c>
      <c r="G591" s="23">
        <v>2021.0</v>
      </c>
      <c r="H591" s="22" t="s">
        <v>2181</v>
      </c>
      <c r="I591" s="24" t="s">
        <v>3184</v>
      </c>
      <c r="J591" s="22" t="s">
        <v>3185</v>
      </c>
      <c r="K591" s="22"/>
      <c r="L591" s="36">
        <v>810.0</v>
      </c>
      <c r="M591" s="36"/>
      <c r="N591" s="36" t="s">
        <v>211</v>
      </c>
      <c r="O591" s="36"/>
      <c r="P591" s="37"/>
      <c r="Q591" s="36"/>
      <c r="R591" s="36"/>
      <c r="S591" s="36"/>
      <c r="T591" s="42" t="s">
        <v>3186</v>
      </c>
      <c r="U591" s="29" t="s">
        <v>61</v>
      </c>
      <c r="V591" s="30"/>
      <c r="W591" s="49"/>
      <c r="X591" s="49"/>
      <c r="Y591" s="35"/>
      <c r="Z591" s="35"/>
      <c r="AA591" s="35"/>
      <c r="AB591" s="35"/>
      <c r="AC591" s="35"/>
      <c r="AD591" s="35"/>
      <c r="AE591" s="35"/>
      <c r="AF591" s="35"/>
      <c r="AG591" s="35"/>
      <c r="AH591" s="35"/>
      <c r="AI591" s="35"/>
      <c r="AJ591" s="35"/>
      <c r="AK591" s="35"/>
      <c r="AL591" s="35"/>
    </row>
    <row r="592" ht="31.5" customHeight="1">
      <c r="A592" s="1"/>
      <c r="B592" s="157" t="s">
        <v>2073</v>
      </c>
      <c r="C592" s="158" t="s">
        <v>3152</v>
      </c>
      <c r="D592" s="47"/>
      <c r="E592" s="22" t="s">
        <v>3187</v>
      </c>
      <c r="F592" s="22" t="s">
        <v>3188</v>
      </c>
      <c r="G592" s="23">
        <v>2021.0</v>
      </c>
      <c r="H592" s="22" t="s">
        <v>3189</v>
      </c>
      <c r="I592" s="24" t="s">
        <v>3190</v>
      </c>
      <c r="J592" s="22" t="s">
        <v>55</v>
      </c>
      <c r="K592" s="22"/>
      <c r="L592" s="36">
        <v>1064.0</v>
      </c>
      <c r="M592" s="36">
        <v>30.0</v>
      </c>
      <c r="N592" s="36"/>
      <c r="O592" s="36"/>
      <c r="P592" s="37" t="s">
        <v>287</v>
      </c>
      <c r="Q592" s="36"/>
      <c r="R592" s="36"/>
      <c r="S592" s="36"/>
      <c r="T592" s="42" t="s">
        <v>3191</v>
      </c>
      <c r="U592" s="29" t="s">
        <v>61</v>
      </c>
      <c r="V592" s="30"/>
      <c r="W592" s="49"/>
      <c r="X592" s="49"/>
      <c r="Y592" s="35"/>
      <c r="Z592" s="35"/>
      <c r="AA592" s="35"/>
      <c r="AB592" s="35"/>
      <c r="AC592" s="35"/>
      <c r="AD592" s="35"/>
      <c r="AE592" s="35"/>
      <c r="AF592" s="35"/>
      <c r="AG592" s="35"/>
      <c r="AH592" s="35"/>
      <c r="AI592" s="35"/>
      <c r="AJ592" s="35"/>
      <c r="AK592" s="35"/>
      <c r="AL592" s="35"/>
    </row>
    <row r="593" ht="31.5" customHeight="1">
      <c r="A593" s="1"/>
      <c r="B593" s="157" t="s">
        <v>2073</v>
      </c>
      <c r="C593" s="158" t="s">
        <v>3152</v>
      </c>
      <c r="D593" s="47"/>
      <c r="E593" s="22" t="s">
        <v>1671</v>
      </c>
      <c r="F593" s="22" t="s">
        <v>41</v>
      </c>
      <c r="G593" s="23">
        <v>2021.0</v>
      </c>
      <c r="H593" s="22" t="s">
        <v>3192</v>
      </c>
      <c r="I593" s="24" t="s">
        <v>3193</v>
      </c>
      <c r="J593" s="22" t="s">
        <v>55</v>
      </c>
      <c r="K593" s="22"/>
      <c r="L593" s="36">
        <v>810.0</v>
      </c>
      <c r="M593" s="129"/>
      <c r="N593" s="36"/>
      <c r="O593" s="36" t="s">
        <v>3194</v>
      </c>
      <c r="P593" s="37" t="s">
        <v>2133</v>
      </c>
      <c r="Q593" s="36"/>
      <c r="R593" s="36"/>
      <c r="S593" s="36"/>
      <c r="T593" s="41" t="s">
        <v>3195</v>
      </c>
      <c r="U593" s="29" t="s">
        <v>61</v>
      </c>
      <c r="V593" s="30"/>
      <c r="W593" s="49"/>
      <c r="X593" s="49"/>
      <c r="Y593" s="35"/>
      <c r="Z593" s="35"/>
      <c r="AA593" s="35"/>
      <c r="AB593" s="35"/>
      <c r="AC593" s="35"/>
      <c r="AD593" s="35"/>
      <c r="AE593" s="35"/>
      <c r="AF593" s="35"/>
      <c r="AG593" s="35"/>
      <c r="AH593" s="35"/>
      <c r="AI593" s="35"/>
      <c r="AJ593" s="35"/>
      <c r="AK593" s="35"/>
      <c r="AL593" s="35"/>
    </row>
    <row r="594" ht="31.5" customHeight="1">
      <c r="A594" s="1"/>
      <c r="B594" s="157" t="s">
        <v>2073</v>
      </c>
      <c r="C594" s="158" t="s">
        <v>3152</v>
      </c>
      <c r="D594" s="47"/>
      <c r="E594" s="22" t="s">
        <v>3196</v>
      </c>
      <c r="F594" s="22" t="s">
        <v>299</v>
      </c>
      <c r="G594" s="23">
        <v>2020.0</v>
      </c>
      <c r="H594" s="22" t="s">
        <v>3197</v>
      </c>
      <c r="I594" s="24" t="s">
        <v>3198</v>
      </c>
      <c r="J594" s="22" t="s">
        <v>3199</v>
      </c>
      <c r="K594" s="22"/>
      <c r="L594" s="36" t="s">
        <v>3200</v>
      </c>
      <c r="M594" s="129"/>
      <c r="N594" s="36"/>
      <c r="O594" s="36"/>
      <c r="P594" s="37"/>
      <c r="Q594" s="36"/>
      <c r="R594" s="36"/>
      <c r="S594" s="36"/>
      <c r="T594" s="28" t="s">
        <v>3201</v>
      </c>
      <c r="U594" s="29" t="s">
        <v>61</v>
      </c>
      <c r="V594" s="30"/>
      <c r="W594" s="49"/>
      <c r="X594" s="49"/>
      <c r="Y594" s="35"/>
      <c r="Z594" s="35"/>
      <c r="AA594" s="35"/>
      <c r="AB594" s="35"/>
      <c r="AC594" s="35"/>
      <c r="AD594" s="35"/>
      <c r="AE594" s="35"/>
      <c r="AF594" s="35"/>
      <c r="AG594" s="35"/>
      <c r="AH594" s="35"/>
      <c r="AI594" s="35"/>
      <c r="AJ594" s="35"/>
      <c r="AK594" s="35"/>
      <c r="AL594" s="35"/>
    </row>
    <row r="595" ht="31.5" customHeight="1">
      <c r="A595" s="1"/>
      <c r="B595" s="157" t="s">
        <v>2073</v>
      </c>
      <c r="C595" s="158" t="s">
        <v>3152</v>
      </c>
      <c r="D595" s="159"/>
      <c r="E595" s="56" t="s">
        <v>2402</v>
      </c>
      <c r="F595" s="22" t="s">
        <v>3202</v>
      </c>
      <c r="G595" s="57">
        <v>2019.0</v>
      </c>
      <c r="H595" s="56" t="s">
        <v>77</v>
      </c>
      <c r="I595" s="58" t="s">
        <v>3203</v>
      </c>
      <c r="J595" s="22" t="s">
        <v>1078</v>
      </c>
      <c r="K595" s="22"/>
      <c r="L595" s="105" t="s">
        <v>3204</v>
      </c>
      <c r="M595" s="44"/>
      <c r="N595" s="44"/>
      <c r="O595" s="44"/>
      <c r="P595" s="44"/>
      <c r="Q595" s="44"/>
      <c r="R595" s="44"/>
      <c r="S595" s="44"/>
      <c r="T595" s="45"/>
      <c r="U595" s="161" t="str">
        <f>HYPERLINK("https://www.ncbi.nlm.nih.gov/pubmed/31549906","PubMed")</f>
        <v>PubMed</v>
      </c>
      <c r="V595" s="30"/>
      <c r="W595" s="162"/>
      <c r="X595" s="156"/>
      <c r="Y595" s="35"/>
      <c r="Z595" s="35"/>
      <c r="AA595" s="35"/>
      <c r="AB595" s="35"/>
      <c r="AC595" s="35"/>
      <c r="AD595" s="35"/>
      <c r="AE595" s="35"/>
      <c r="AF595" s="35"/>
      <c r="AG595" s="35"/>
      <c r="AH595" s="35"/>
      <c r="AI595" s="35"/>
      <c r="AJ595" s="35"/>
      <c r="AK595" s="35"/>
      <c r="AL595" s="35"/>
    </row>
    <row r="596" ht="31.5" customHeight="1">
      <c r="A596" s="1"/>
      <c r="B596" s="157" t="s">
        <v>2073</v>
      </c>
      <c r="C596" s="158" t="s">
        <v>3152</v>
      </c>
      <c r="D596" s="159"/>
      <c r="E596" s="56" t="s">
        <v>3205</v>
      </c>
      <c r="F596" s="22" t="s">
        <v>2130</v>
      </c>
      <c r="G596" s="57">
        <v>2019.0</v>
      </c>
      <c r="H596" s="56" t="s">
        <v>2122</v>
      </c>
      <c r="I596" s="58" t="s">
        <v>3206</v>
      </c>
      <c r="J596" s="22" t="s">
        <v>3207</v>
      </c>
      <c r="K596" s="22"/>
      <c r="L596" s="36">
        <v>1064.0</v>
      </c>
      <c r="M596" s="36">
        <v>3400.0</v>
      </c>
      <c r="N596" s="36" t="s">
        <v>93</v>
      </c>
      <c r="O596" s="36">
        <v>1632.0</v>
      </c>
      <c r="P596" s="37" t="s">
        <v>279</v>
      </c>
      <c r="Q596" s="36" t="s">
        <v>3208</v>
      </c>
      <c r="R596" s="36">
        <v>480.0</v>
      </c>
      <c r="S596" s="36">
        <v>1.0</v>
      </c>
      <c r="T596" s="160" t="s">
        <v>3209</v>
      </c>
      <c r="U596" s="161" t="str">
        <f>HYPERLINK("https://www.ncbi.nlm.nih.gov/pubmed/31680847","PubMed")</f>
        <v>PubMed</v>
      </c>
      <c r="V596" s="30"/>
      <c r="W596" s="162"/>
      <c r="X596" s="156"/>
      <c r="Y596" s="35"/>
      <c r="Z596" s="35"/>
      <c r="AA596" s="35"/>
      <c r="AB596" s="35"/>
      <c r="AC596" s="35"/>
      <c r="AD596" s="35"/>
      <c r="AE596" s="35"/>
      <c r="AF596" s="35"/>
      <c r="AG596" s="35"/>
      <c r="AH596" s="35"/>
      <c r="AI596" s="35"/>
      <c r="AJ596" s="35"/>
      <c r="AK596" s="35"/>
      <c r="AL596" s="35"/>
    </row>
    <row r="597" ht="31.5" customHeight="1">
      <c r="A597" s="1" t="s">
        <v>3210</v>
      </c>
      <c r="B597" s="157" t="s">
        <v>2073</v>
      </c>
      <c r="C597" s="158" t="s">
        <v>3152</v>
      </c>
      <c r="D597" s="159"/>
      <c r="E597" s="56" t="s">
        <v>2402</v>
      </c>
      <c r="F597" s="22" t="s">
        <v>1046</v>
      </c>
      <c r="G597" s="57">
        <v>2018.0</v>
      </c>
      <c r="H597" s="56" t="s">
        <v>3211</v>
      </c>
      <c r="I597" s="58" t="s">
        <v>3212</v>
      </c>
      <c r="J597" s="22" t="s">
        <v>44</v>
      </c>
      <c r="K597" s="22"/>
      <c r="L597" s="36">
        <v>660.0</v>
      </c>
      <c r="M597" s="36">
        <v>200.0</v>
      </c>
      <c r="N597" s="36" t="s">
        <v>3213</v>
      </c>
      <c r="O597" s="36"/>
      <c r="P597" s="37" t="s">
        <v>3214</v>
      </c>
      <c r="Q597" s="36" t="s">
        <v>1039</v>
      </c>
      <c r="R597" s="36">
        <v>15.0</v>
      </c>
      <c r="S597" s="36">
        <v>14.0</v>
      </c>
      <c r="T597" s="160" t="s">
        <v>3215</v>
      </c>
      <c r="U597" s="161" t="str">
        <f>HYPERLINK("https://www.ncbi.nlm.nih.gov/pubmed/30507909","PubMed")</f>
        <v>PubMed</v>
      </c>
      <c r="V597" s="30"/>
      <c r="W597" s="162"/>
      <c r="X597" s="156"/>
      <c r="Y597" s="35"/>
      <c r="Z597" s="35"/>
      <c r="AA597" s="35"/>
      <c r="AB597" s="35"/>
      <c r="AC597" s="35"/>
      <c r="AD597" s="35"/>
      <c r="AE597" s="35"/>
      <c r="AF597" s="35"/>
      <c r="AG597" s="35"/>
      <c r="AH597" s="35"/>
      <c r="AI597" s="35"/>
      <c r="AJ597" s="35"/>
      <c r="AK597" s="35"/>
      <c r="AL597" s="35"/>
    </row>
    <row r="598" ht="31.5" customHeight="1">
      <c r="A598" s="133"/>
      <c r="B598" s="157" t="s">
        <v>2073</v>
      </c>
      <c r="C598" s="158" t="s">
        <v>3152</v>
      </c>
      <c r="D598" s="159"/>
      <c r="E598" s="56" t="s">
        <v>2770</v>
      </c>
      <c r="F598" s="22" t="s">
        <v>1370</v>
      </c>
      <c r="G598" s="57">
        <v>2018.0</v>
      </c>
      <c r="H598" s="56" t="s">
        <v>3216</v>
      </c>
      <c r="I598" s="58" t="s">
        <v>3217</v>
      </c>
      <c r="J598" s="22" t="s">
        <v>3218</v>
      </c>
      <c r="K598" s="22" t="s">
        <v>157</v>
      </c>
      <c r="L598" s="36" t="s">
        <v>2932</v>
      </c>
      <c r="M598" s="36"/>
      <c r="N598" s="36"/>
      <c r="O598" s="36" t="s">
        <v>3219</v>
      </c>
      <c r="P598" s="37"/>
      <c r="Q598" s="36"/>
      <c r="R598" s="36">
        <v>450.0</v>
      </c>
      <c r="S598" s="36">
        <v>1.0</v>
      </c>
      <c r="T598" s="160" t="s">
        <v>3220</v>
      </c>
      <c r="U598" s="161" t="str">
        <f>HYPERLINK("https://www.ncbi.nlm.nih.gov/pubmed/30474306","PubMed")</f>
        <v>PubMed</v>
      </c>
      <c r="V598" s="30"/>
      <c r="W598" s="162"/>
      <c r="X598" s="156"/>
      <c r="Y598" s="35"/>
      <c r="Z598" s="35"/>
      <c r="AA598" s="35"/>
      <c r="AB598" s="35"/>
      <c r="AC598" s="35"/>
      <c r="AD598" s="35"/>
      <c r="AE598" s="35"/>
      <c r="AF598" s="35"/>
      <c r="AG598" s="35"/>
      <c r="AH598" s="35"/>
      <c r="AI598" s="35"/>
      <c r="AJ598" s="35"/>
      <c r="AK598" s="35"/>
      <c r="AL598" s="35"/>
    </row>
    <row r="599" ht="31.5" customHeight="1">
      <c r="A599" s="133"/>
      <c r="B599" s="157" t="s">
        <v>2073</v>
      </c>
      <c r="C599" s="158" t="s">
        <v>3152</v>
      </c>
      <c r="D599" s="159"/>
      <c r="E599" s="56" t="s">
        <v>3221</v>
      </c>
      <c r="F599" s="22" t="s">
        <v>3222</v>
      </c>
      <c r="G599" s="57">
        <v>2018.0</v>
      </c>
      <c r="H599" s="56" t="s">
        <v>3223</v>
      </c>
      <c r="I599" s="58" t="s">
        <v>3224</v>
      </c>
      <c r="J599" s="22" t="s">
        <v>55</v>
      </c>
      <c r="K599" s="22" t="s">
        <v>3225</v>
      </c>
      <c r="L599" s="36"/>
      <c r="M599" s="36"/>
      <c r="N599" s="36"/>
      <c r="O599" s="36"/>
      <c r="P599" s="37"/>
      <c r="Q599" s="36"/>
      <c r="R599" s="36"/>
      <c r="S599" s="36"/>
      <c r="T599" s="160" t="s">
        <v>3226</v>
      </c>
      <c r="U599" s="161" t="str">
        <f>HYPERLINK("https://www.ncbi.nlm.nih.gov/pubmed/29968547","PubMed")</f>
        <v>PubMed</v>
      </c>
      <c r="V599" s="50"/>
      <c r="W599" s="162"/>
      <c r="X599" s="156"/>
      <c r="Y599" s="35"/>
      <c r="Z599" s="35"/>
      <c r="AA599" s="35"/>
      <c r="AB599" s="35"/>
      <c r="AC599" s="35"/>
      <c r="AD599" s="35"/>
      <c r="AE599" s="35"/>
      <c r="AF599" s="35"/>
      <c r="AG599" s="35"/>
      <c r="AH599" s="35"/>
      <c r="AI599" s="35"/>
      <c r="AJ599" s="35"/>
      <c r="AK599" s="35"/>
      <c r="AL599" s="35"/>
    </row>
    <row r="600" ht="31.5" customHeight="1">
      <c r="A600" s="133"/>
      <c r="B600" s="157" t="s">
        <v>2073</v>
      </c>
      <c r="C600" s="158" t="s">
        <v>3152</v>
      </c>
      <c r="D600" s="159"/>
      <c r="E600" s="56" t="s">
        <v>3227</v>
      </c>
      <c r="F600" s="22" t="s">
        <v>2130</v>
      </c>
      <c r="G600" s="57" t="s">
        <v>90</v>
      </c>
      <c r="H600" s="56" t="s">
        <v>91</v>
      </c>
      <c r="I600" s="58" t="s">
        <v>3228</v>
      </c>
      <c r="J600" s="22" t="s">
        <v>3229</v>
      </c>
      <c r="K600" s="22"/>
      <c r="L600" s="36">
        <v>1064.0</v>
      </c>
      <c r="M600" s="36">
        <v>3400.0</v>
      </c>
      <c r="N600" s="36" t="s">
        <v>93</v>
      </c>
      <c r="O600" s="36" t="s">
        <v>3230</v>
      </c>
      <c r="P600" s="37" t="s">
        <v>1028</v>
      </c>
      <c r="Q600" s="36" t="s">
        <v>3231</v>
      </c>
      <c r="R600" s="36" t="s">
        <v>3232</v>
      </c>
      <c r="S600" s="36" t="s">
        <v>3233</v>
      </c>
      <c r="T600" s="160" t="s">
        <v>3234</v>
      </c>
      <c r="U600" s="161" t="str">
        <f>HYPERLINK("https://www.ncbi.nlm.nih.gov/pubmed/28466195","PubMed")</f>
        <v>PubMed</v>
      </c>
      <c r="V600" s="30" t="s">
        <v>3235</v>
      </c>
      <c r="W600" s="162"/>
      <c r="X600" s="156"/>
      <c r="Y600" s="35"/>
      <c r="Z600" s="35"/>
      <c r="AA600" s="35"/>
      <c r="AB600" s="35"/>
      <c r="AC600" s="35"/>
      <c r="AD600" s="35"/>
      <c r="AE600" s="35"/>
      <c r="AF600" s="35"/>
      <c r="AG600" s="35"/>
      <c r="AH600" s="35"/>
      <c r="AI600" s="35"/>
      <c r="AJ600" s="35"/>
      <c r="AK600" s="35"/>
      <c r="AL600" s="35"/>
    </row>
    <row r="601" ht="31.5" customHeight="1">
      <c r="A601" s="133"/>
      <c r="B601" s="157" t="s">
        <v>2073</v>
      </c>
      <c r="C601" s="158" t="s">
        <v>3152</v>
      </c>
      <c r="D601" s="159"/>
      <c r="E601" s="56" t="s">
        <v>3236</v>
      </c>
      <c r="F601" s="22" t="s">
        <v>2130</v>
      </c>
      <c r="G601" s="57">
        <v>2017.0</v>
      </c>
      <c r="H601" s="56" t="s">
        <v>3237</v>
      </c>
      <c r="I601" s="58" t="s">
        <v>3238</v>
      </c>
      <c r="J601" s="22" t="s">
        <v>3239</v>
      </c>
      <c r="K601" s="22"/>
      <c r="L601" s="36">
        <v>1064.0</v>
      </c>
      <c r="M601" s="36">
        <v>3400.0</v>
      </c>
      <c r="N601" s="36" t="s">
        <v>93</v>
      </c>
      <c r="O601" s="36"/>
      <c r="P601" s="37" t="s">
        <v>1028</v>
      </c>
      <c r="Q601" s="36"/>
      <c r="R601" s="36">
        <v>480.0</v>
      </c>
      <c r="S601" s="36">
        <v>1.0</v>
      </c>
      <c r="T601" s="160" t="s">
        <v>3240</v>
      </c>
      <c r="U601" s="161" t="str">
        <f>HYPERLINK("https://www.ncbi.nlm.nih.gov/pubmed/26017772","PubMed")</f>
        <v>PubMed</v>
      </c>
      <c r="V601" s="30" t="s">
        <v>3241</v>
      </c>
      <c r="W601" s="162"/>
      <c r="X601" s="156"/>
      <c r="Y601" s="35"/>
      <c r="Z601" s="35"/>
      <c r="AA601" s="35"/>
      <c r="AB601" s="35"/>
      <c r="AC601" s="35"/>
      <c r="AD601" s="35"/>
      <c r="AE601" s="35"/>
      <c r="AF601" s="35"/>
      <c r="AG601" s="35"/>
      <c r="AH601" s="35"/>
      <c r="AI601" s="35"/>
      <c r="AJ601" s="35"/>
      <c r="AK601" s="35"/>
      <c r="AL601" s="35"/>
    </row>
    <row r="602" ht="31.5" customHeight="1">
      <c r="A602" s="133"/>
      <c r="B602" s="157" t="s">
        <v>2073</v>
      </c>
      <c r="C602" s="158" t="s">
        <v>3152</v>
      </c>
      <c r="D602" s="159"/>
      <c r="E602" s="56" t="s">
        <v>3242</v>
      </c>
      <c r="F602" s="22" t="s">
        <v>3243</v>
      </c>
      <c r="G602" s="57">
        <v>2017.0</v>
      </c>
      <c r="H602" s="56" t="s">
        <v>658</v>
      </c>
      <c r="I602" s="58" t="s">
        <v>3244</v>
      </c>
      <c r="J602" s="22" t="s">
        <v>3245</v>
      </c>
      <c r="K602" s="22" t="s">
        <v>3246</v>
      </c>
      <c r="L602" s="36">
        <v>903.0</v>
      </c>
      <c r="M602" s="36"/>
      <c r="N602" s="36" t="s">
        <v>3247</v>
      </c>
      <c r="O602" s="36"/>
      <c r="P602" s="37" t="s">
        <v>287</v>
      </c>
      <c r="Q602" s="36" t="s">
        <v>3248</v>
      </c>
      <c r="R602" s="36"/>
      <c r="S602" s="36"/>
      <c r="T602" s="160" t="s">
        <v>3249</v>
      </c>
      <c r="U602" s="161" t="str">
        <f>HYPERLINK("https://www.ncbi.nlm.nih.gov/pubmed/27855264","PubMed")</f>
        <v>PubMed</v>
      </c>
      <c r="V602" s="30" t="s">
        <v>3250</v>
      </c>
      <c r="W602" s="162"/>
      <c r="X602" s="156"/>
      <c r="Y602" s="35"/>
      <c r="Z602" s="35"/>
      <c r="AA602" s="35"/>
      <c r="AB602" s="35"/>
      <c r="AC602" s="35"/>
      <c r="AD602" s="35"/>
      <c r="AE602" s="35"/>
      <c r="AF602" s="35"/>
      <c r="AG602" s="35"/>
      <c r="AH602" s="35"/>
      <c r="AI602" s="35"/>
      <c r="AJ602" s="35"/>
      <c r="AK602" s="35"/>
      <c r="AL602" s="35"/>
    </row>
    <row r="603" ht="31.5" customHeight="1">
      <c r="A603" s="133"/>
      <c r="B603" s="157" t="s">
        <v>2073</v>
      </c>
      <c r="C603" s="158" t="s">
        <v>3152</v>
      </c>
      <c r="D603" s="159"/>
      <c r="E603" s="56" t="s">
        <v>3236</v>
      </c>
      <c r="F603" s="22" t="s">
        <v>2130</v>
      </c>
      <c r="G603" s="57">
        <v>2016.0</v>
      </c>
      <c r="H603" s="56" t="s">
        <v>2622</v>
      </c>
      <c r="I603" s="58" t="s">
        <v>3251</v>
      </c>
      <c r="J603" s="22" t="s">
        <v>3252</v>
      </c>
      <c r="K603" s="22"/>
      <c r="L603" s="36">
        <v>1064.0</v>
      </c>
      <c r="M603" s="36">
        <v>3400.0</v>
      </c>
      <c r="N603" s="36" t="s">
        <v>93</v>
      </c>
      <c r="O603" s="36"/>
      <c r="P603" s="37"/>
      <c r="Q603" s="36"/>
      <c r="R603" s="36" t="s">
        <v>3253</v>
      </c>
      <c r="S603" s="36">
        <v>1.0</v>
      </c>
      <c r="T603" s="160" t="s">
        <v>3254</v>
      </c>
      <c r="U603" s="161" t="str">
        <f>HYPERLINK("https://www.ncbi.nlm.nih.gov/pubmed/28039085","PubMed")</f>
        <v>PubMed</v>
      </c>
      <c r="V603" s="30" t="s">
        <v>3255</v>
      </c>
      <c r="W603" s="162"/>
      <c r="X603" s="156"/>
      <c r="Y603" s="35"/>
      <c r="Z603" s="35"/>
      <c r="AA603" s="35"/>
      <c r="AB603" s="35"/>
      <c r="AC603" s="35"/>
      <c r="AD603" s="35"/>
      <c r="AE603" s="35"/>
      <c r="AF603" s="35"/>
      <c r="AG603" s="35"/>
      <c r="AH603" s="35"/>
      <c r="AI603" s="35"/>
      <c r="AJ603" s="35"/>
      <c r="AK603" s="35"/>
      <c r="AL603" s="35"/>
    </row>
    <row r="604" ht="31.5" customHeight="1">
      <c r="A604" s="133"/>
      <c r="B604" s="157" t="s">
        <v>2073</v>
      </c>
      <c r="C604" s="158" t="s">
        <v>3152</v>
      </c>
      <c r="D604" s="159"/>
      <c r="E604" s="56" t="s">
        <v>3256</v>
      </c>
      <c r="F604" s="22" t="s">
        <v>2130</v>
      </c>
      <c r="G604" s="57">
        <v>2016.0</v>
      </c>
      <c r="H604" s="56" t="s">
        <v>91</v>
      </c>
      <c r="I604" s="58" t="s">
        <v>3257</v>
      </c>
      <c r="J604" s="22" t="s">
        <v>3258</v>
      </c>
      <c r="K604" s="22" t="s">
        <v>3259</v>
      </c>
      <c r="L604" s="36">
        <v>1064.0</v>
      </c>
      <c r="M604" s="36"/>
      <c r="N604" s="36" t="s">
        <v>93</v>
      </c>
      <c r="O604" s="36"/>
      <c r="P604" s="37" t="s">
        <v>1028</v>
      </c>
      <c r="Q604" s="36" t="s">
        <v>3055</v>
      </c>
      <c r="R604" s="36">
        <v>480.0</v>
      </c>
      <c r="S604" s="36">
        <v>1.0</v>
      </c>
      <c r="T604" s="160" t="s">
        <v>3260</v>
      </c>
      <c r="U604" s="161" t="str">
        <f>HYPERLINK("https://www.ncbi.nlm.nih.gov/pubmed/27220529","PubMed")</f>
        <v>PubMed</v>
      </c>
      <c r="V604" s="30" t="s">
        <v>3261</v>
      </c>
      <c r="W604" s="162"/>
      <c r="X604" s="156"/>
      <c r="Y604" s="35"/>
      <c r="Z604" s="35"/>
      <c r="AA604" s="35"/>
      <c r="AB604" s="35"/>
      <c r="AC604" s="35"/>
      <c r="AD604" s="35"/>
      <c r="AE604" s="35"/>
      <c r="AF604" s="35"/>
      <c r="AG604" s="35"/>
      <c r="AH604" s="35"/>
      <c r="AI604" s="35"/>
      <c r="AJ604" s="35"/>
      <c r="AK604" s="35"/>
      <c r="AL604" s="35"/>
    </row>
    <row r="605" ht="31.5" customHeight="1">
      <c r="A605" s="133"/>
      <c r="B605" s="157" t="s">
        <v>2073</v>
      </c>
      <c r="C605" s="158" t="s">
        <v>3152</v>
      </c>
      <c r="D605" s="159"/>
      <c r="E605" s="56" t="s">
        <v>3262</v>
      </c>
      <c r="F605" s="22" t="s">
        <v>2130</v>
      </c>
      <c r="G605" s="57">
        <v>2014.0</v>
      </c>
      <c r="H605" s="56" t="s">
        <v>3263</v>
      </c>
      <c r="I605" s="58" t="s">
        <v>3264</v>
      </c>
      <c r="J605" s="22" t="s">
        <v>125</v>
      </c>
      <c r="K605" s="22" t="s">
        <v>3265</v>
      </c>
      <c r="L605" s="43" t="s">
        <v>3266</v>
      </c>
      <c r="M605" s="44"/>
      <c r="N605" s="44"/>
      <c r="O605" s="44"/>
      <c r="P605" s="44"/>
      <c r="Q605" s="44"/>
      <c r="R605" s="44"/>
      <c r="S605" s="44"/>
      <c r="T605" s="45"/>
      <c r="U605" s="161" t="str">
        <f>HYPERLINK("https://www.ncbi.nlm.nih.gov/pubmed/24672439","PubMed")</f>
        <v>PubMed</v>
      </c>
      <c r="V605" s="50"/>
      <c r="W605" s="162"/>
      <c r="X605" s="156"/>
      <c r="Y605" s="35"/>
      <c r="Z605" s="35"/>
      <c r="AA605" s="35"/>
      <c r="AB605" s="35"/>
      <c r="AC605" s="35"/>
      <c r="AD605" s="35"/>
      <c r="AE605" s="35"/>
      <c r="AF605" s="35"/>
      <c r="AG605" s="35"/>
      <c r="AH605" s="35"/>
      <c r="AI605" s="35"/>
      <c r="AJ605" s="35"/>
      <c r="AK605" s="35"/>
      <c r="AL605" s="35"/>
    </row>
    <row r="606" ht="31.5" customHeight="1">
      <c r="A606" s="133"/>
      <c r="B606" s="157" t="s">
        <v>2073</v>
      </c>
      <c r="C606" s="158" t="s">
        <v>3152</v>
      </c>
      <c r="D606" s="159"/>
      <c r="E606" s="56" t="s">
        <v>3267</v>
      </c>
      <c r="F606" s="22" t="s">
        <v>2130</v>
      </c>
      <c r="G606" s="57">
        <v>2013.0</v>
      </c>
      <c r="H606" s="56" t="s">
        <v>2612</v>
      </c>
      <c r="I606" s="58" t="s">
        <v>3268</v>
      </c>
      <c r="J606" s="22" t="s">
        <v>3269</v>
      </c>
      <c r="K606" s="22"/>
      <c r="L606" s="36">
        <v>1064.0</v>
      </c>
      <c r="M606" s="36"/>
      <c r="N606" s="36" t="s">
        <v>3054</v>
      </c>
      <c r="O606" s="36"/>
      <c r="P606" s="37" t="s">
        <v>1028</v>
      </c>
      <c r="Q606" s="36"/>
      <c r="R606" s="36">
        <v>480.0</v>
      </c>
      <c r="S606" s="36">
        <v>1.0</v>
      </c>
      <c r="T606" s="160" t="s">
        <v>3270</v>
      </c>
      <c r="U606" s="161" t="str">
        <f>HYPERLINK("https://www.ncbi.nlm.nih.gov/pubmed/23200785/","PubMed")</f>
        <v>PubMed</v>
      </c>
      <c r="V606" s="50"/>
      <c r="W606" s="162"/>
      <c r="X606" s="156"/>
      <c r="Y606" s="35"/>
      <c r="Z606" s="35"/>
      <c r="AA606" s="35"/>
      <c r="AB606" s="35"/>
      <c r="AC606" s="35"/>
      <c r="AD606" s="35"/>
      <c r="AE606" s="35"/>
      <c r="AF606" s="35"/>
      <c r="AG606" s="35"/>
      <c r="AH606" s="35"/>
      <c r="AI606" s="35"/>
      <c r="AJ606" s="35"/>
      <c r="AK606" s="35"/>
      <c r="AL606" s="35"/>
    </row>
    <row r="607" ht="31.5" customHeight="1">
      <c r="A607" s="133" t="s">
        <v>2</v>
      </c>
      <c r="B607" s="157" t="s">
        <v>2073</v>
      </c>
      <c r="C607" s="158" t="s">
        <v>3152</v>
      </c>
      <c r="D607" s="159"/>
      <c r="E607" s="56" t="s">
        <v>3271</v>
      </c>
      <c r="F607" s="22" t="s">
        <v>2130</v>
      </c>
      <c r="G607" s="57">
        <v>2012.0</v>
      </c>
      <c r="H607" s="56" t="s">
        <v>2238</v>
      </c>
      <c r="I607" s="58" t="s">
        <v>3272</v>
      </c>
      <c r="J607" s="22" t="s">
        <v>55</v>
      </c>
      <c r="K607" s="22"/>
      <c r="L607" s="36"/>
      <c r="M607" s="36"/>
      <c r="N607" s="36"/>
      <c r="O607" s="36"/>
      <c r="P607" s="37"/>
      <c r="Q607" s="36"/>
      <c r="R607" s="36"/>
      <c r="S607" s="36"/>
      <c r="T607" s="160" t="s">
        <v>3273</v>
      </c>
      <c r="U607" s="161" t="str">
        <f>HYPERLINK("https://www.ncbi.nlm.nih.gov/pubmed/22850314","PubMed")</f>
        <v>PubMed</v>
      </c>
      <c r="V607" s="50"/>
      <c r="W607" s="162"/>
      <c r="X607" s="156"/>
      <c r="Y607" s="35"/>
      <c r="Z607" s="35"/>
      <c r="AA607" s="35"/>
      <c r="AB607" s="35"/>
      <c r="AC607" s="35"/>
      <c r="AD607" s="35"/>
      <c r="AE607" s="35"/>
      <c r="AF607" s="35"/>
      <c r="AG607" s="35"/>
      <c r="AH607" s="35"/>
      <c r="AI607" s="35"/>
      <c r="AJ607" s="35"/>
      <c r="AK607" s="35"/>
      <c r="AL607" s="35"/>
    </row>
    <row r="608" ht="31.5" customHeight="1">
      <c r="A608" s="133"/>
      <c r="B608" s="19" t="s">
        <v>2073</v>
      </c>
      <c r="C608" s="20" t="s">
        <v>3274</v>
      </c>
      <c r="D608" s="159"/>
      <c r="E608" s="56" t="s">
        <v>3275</v>
      </c>
      <c r="F608" s="22" t="s">
        <v>2407</v>
      </c>
      <c r="G608" s="57">
        <v>2023.0</v>
      </c>
      <c r="H608" s="56" t="s">
        <v>3276</v>
      </c>
      <c r="I608" s="58" t="s">
        <v>3277</v>
      </c>
      <c r="J608" s="22" t="s">
        <v>3278</v>
      </c>
      <c r="K608" s="22"/>
      <c r="L608" s="36"/>
      <c r="M608" s="36"/>
      <c r="N608" s="36"/>
      <c r="O608" s="36"/>
      <c r="P608" s="37"/>
      <c r="Q608" s="36"/>
      <c r="R608" s="36" t="s">
        <v>3279</v>
      </c>
      <c r="S608" s="36" t="s">
        <v>3280</v>
      </c>
      <c r="T608" s="187" t="s">
        <v>3281</v>
      </c>
      <c r="U608" s="60" t="s">
        <v>61</v>
      </c>
      <c r="V608" s="30" t="s">
        <v>174</v>
      </c>
      <c r="W608" s="162"/>
      <c r="X608" s="156"/>
      <c r="Y608" s="35"/>
      <c r="Z608" s="35"/>
      <c r="AA608" s="35"/>
      <c r="AB608" s="35"/>
      <c r="AC608" s="35"/>
      <c r="AD608" s="35"/>
      <c r="AE608" s="35"/>
      <c r="AF608" s="35"/>
      <c r="AG608" s="35"/>
      <c r="AH608" s="35"/>
      <c r="AI608" s="35"/>
      <c r="AJ608" s="35"/>
      <c r="AK608" s="35"/>
      <c r="AL608" s="35"/>
    </row>
    <row r="609" ht="31.5" customHeight="1">
      <c r="A609" s="133"/>
      <c r="B609" s="19" t="s">
        <v>2073</v>
      </c>
      <c r="C609" s="20" t="s">
        <v>3274</v>
      </c>
      <c r="D609" s="159"/>
      <c r="E609" s="56" t="s">
        <v>3282</v>
      </c>
      <c r="F609" s="22" t="s">
        <v>2492</v>
      </c>
      <c r="G609" s="57">
        <v>2020.0</v>
      </c>
      <c r="H609" s="56" t="s">
        <v>2139</v>
      </c>
      <c r="I609" s="58" t="s">
        <v>3283</v>
      </c>
      <c r="J609" s="22" t="s">
        <v>3284</v>
      </c>
      <c r="K609" s="22" t="s">
        <v>157</v>
      </c>
      <c r="L609" s="36">
        <v>810.0</v>
      </c>
      <c r="M609" s="36"/>
      <c r="N609" s="36" t="s">
        <v>414</v>
      </c>
      <c r="O609" s="36"/>
      <c r="P609" s="37"/>
      <c r="Q609" s="36"/>
      <c r="R609" s="36"/>
      <c r="S609" s="36"/>
      <c r="T609" s="160" t="s">
        <v>3285</v>
      </c>
      <c r="U609" s="64" t="s">
        <v>61</v>
      </c>
      <c r="V609" s="50"/>
      <c r="W609" s="162"/>
      <c r="X609" s="156"/>
      <c r="Y609" s="35"/>
      <c r="Z609" s="35"/>
      <c r="AA609" s="35"/>
      <c r="AB609" s="35"/>
      <c r="AC609" s="35"/>
      <c r="AD609" s="35"/>
      <c r="AE609" s="35"/>
      <c r="AF609" s="35"/>
      <c r="AG609" s="35"/>
      <c r="AH609" s="35"/>
      <c r="AI609" s="35"/>
      <c r="AJ609" s="35"/>
      <c r="AK609" s="35"/>
      <c r="AL609" s="35"/>
    </row>
    <row r="610" ht="31.5" customHeight="1">
      <c r="A610" s="133"/>
      <c r="B610" s="19" t="s">
        <v>2073</v>
      </c>
      <c r="C610" s="20" t="s">
        <v>3286</v>
      </c>
      <c r="D610" s="159"/>
      <c r="E610" s="56" t="s">
        <v>3287</v>
      </c>
      <c r="F610" s="22" t="s">
        <v>647</v>
      </c>
      <c r="G610" s="57">
        <v>2023.0</v>
      </c>
      <c r="H610" s="56" t="s">
        <v>77</v>
      </c>
      <c r="I610" s="58" t="s">
        <v>3288</v>
      </c>
      <c r="J610" s="22" t="s">
        <v>3289</v>
      </c>
      <c r="K610" s="22"/>
      <c r="L610" s="188"/>
      <c r="U610" s="60" t="s">
        <v>61</v>
      </c>
      <c r="V610" s="30" t="s">
        <v>174</v>
      </c>
      <c r="W610" s="162"/>
      <c r="X610" s="156"/>
      <c r="Y610" s="35"/>
      <c r="Z610" s="35"/>
      <c r="AA610" s="35"/>
      <c r="AB610" s="35"/>
      <c r="AC610" s="35"/>
      <c r="AD610" s="35"/>
      <c r="AE610" s="35"/>
      <c r="AF610" s="35"/>
      <c r="AG610" s="35"/>
      <c r="AH610" s="35"/>
      <c r="AI610" s="35"/>
      <c r="AJ610" s="35"/>
      <c r="AK610" s="35"/>
      <c r="AL610" s="35"/>
    </row>
    <row r="611" ht="31.5" customHeight="1">
      <c r="A611" s="133"/>
      <c r="B611" s="19" t="s">
        <v>2073</v>
      </c>
      <c r="C611" s="20" t="s">
        <v>3290</v>
      </c>
      <c r="D611" s="159"/>
      <c r="E611" s="56" t="s">
        <v>3291</v>
      </c>
      <c r="F611" s="22" t="s">
        <v>224</v>
      </c>
      <c r="G611" s="57">
        <v>2024.0</v>
      </c>
      <c r="H611" s="56" t="s">
        <v>3292</v>
      </c>
      <c r="I611" s="58" t="s">
        <v>3293</v>
      </c>
      <c r="J611" s="22" t="s">
        <v>3294</v>
      </c>
      <c r="K611" s="22"/>
      <c r="L611" s="52">
        <v>820.0</v>
      </c>
      <c r="M611" s="52"/>
      <c r="N611" s="52"/>
      <c r="O611" s="52"/>
      <c r="P611" s="189"/>
      <c r="Q611" s="52"/>
      <c r="R611" s="52"/>
      <c r="S611" s="52" t="s">
        <v>3295</v>
      </c>
      <c r="T611" s="160" t="s">
        <v>3296</v>
      </c>
      <c r="U611" s="60" t="s">
        <v>61</v>
      </c>
      <c r="V611" s="50"/>
      <c r="W611" s="162"/>
      <c r="X611" s="156"/>
      <c r="Y611" s="35"/>
      <c r="Z611" s="35"/>
      <c r="AA611" s="35"/>
      <c r="AB611" s="35"/>
      <c r="AC611" s="35"/>
      <c r="AD611" s="35"/>
      <c r="AE611" s="35"/>
      <c r="AF611" s="35"/>
      <c r="AG611" s="35"/>
      <c r="AH611" s="35"/>
      <c r="AI611" s="35"/>
      <c r="AJ611" s="35"/>
      <c r="AK611" s="35"/>
      <c r="AL611" s="35"/>
    </row>
    <row r="612" ht="31.5" customHeight="1">
      <c r="A612" s="133"/>
      <c r="B612" s="19" t="s">
        <v>2073</v>
      </c>
      <c r="C612" s="20" t="s">
        <v>3290</v>
      </c>
      <c r="D612" s="159"/>
      <c r="E612" s="56" t="s">
        <v>3297</v>
      </c>
      <c r="F612" s="22" t="s">
        <v>323</v>
      </c>
      <c r="G612" s="57">
        <v>2023.0</v>
      </c>
      <c r="H612" s="56" t="s">
        <v>147</v>
      </c>
      <c r="I612" s="58" t="s">
        <v>3298</v>
      </c>
      <c r="J612" s="22" t="s">
        <v>125</v>
      </c>
      <c r="K612" s="22"/>
      <c r="L612" s="173" t="s">
        <v>3299</v>
      </c>
      <c r="U612" s="60" t="s">
        <v>61</v>
      </c>
      <c r="V612" s="50"/>
      <c r="W612" s="162"/>
      <c r="X612" s="156"/>
      <c r="Y612" s="35"/>
      <c r="Z612" s="35"/>
      <c r="AA612" s="35"/>
      <c r="AB612" s="35"/>
      <c r="AC612" s="35"/>
      <c r="AD612" s="35"/>
      <c r="AE612" s="35"/>
      <c r="AF612" s="35"/>
      <c r="AG612" s="35"/>
      <c r="AH612" s="35"/>
      <c r="AI612" s="35"/>
      <c r="AJ612" s="35"/>
      <c r="AK612" s="35"/>
      <c r="AL612" s="35"/>
    </row>
    <row r="613" ht="31.5" customHeight="1">
      <c r="A613" s="133"/>
      <c r="B613" s="19" t="s">
        <v>2073</v>
      </c>
      <c r="C613" s="20" t="s">
        <v>3290</v>
      </c>
      <c r="D613" s="159"/>
      <c r="E613" s="56" t="s">
        <v>3300</v>
      </c>
      <c r="F613" s="22" t="s">
        <v>3301</v>
      </c>
      <c r="G613" s="57">
        <v>2023.0</v>
      </c>
      <c r="H613" s="56" t="s">
        <v>3302</v>
      </c>
      <c r="I613" s="58" t="s">
        <v>3303</v>
      </c>
      <c r="J613" s="22" t="s">
        <v>55</v>
      </c>
      <c r="K613" s="22" t="s">
        <v>3304</v>
      </c>
      <c r="L613" s="52" t="s">
        <v>3305</v>
      </c>
      <c r="M613" s="52"/>
      <c r="N613" s="52"/>
      <c r="O613" s="52"/>
      <c r="P613" s="189"/>
      <c r="Q613" s="52"/>
      <c r="R613" s="52"/>
      <c r="S613" s="52"/>
      <c r="T613" s="160" t="s">
        <v>3306</v>
      </c>
      <c r="U613" s="60" t="s">
        <v>61</v>
      </c>
      <c r="V613" s="50"/>
      <c r="W613" s="162"/>
      <c r="X613" s="156"/>
      <c r="Y613" s="35"/>
      <c r="Z613" s="35"/>
      <c r="AA613" s="35"/>
      <c r="AB613" s="35"/>
      <c r="AC613" s="35"/>
      <c r="AD613" s="35"/>
      <c r="AE613" s="35"/>
      <c r="AF613" s="35"/>
      <c r="AG613" s="35"/>
      <c r="AH613" s="35"/>
      <c r="AI613" s="35"/>
      <c r="AJ613" s="35"/>
      <c r="AK613" s="35"/>
      <c r="AL613" s="35"/>
    </row>
    <row r="614" ht="31.5" customHeight="1">
      <c r="A614" s="133"/>
      <c r="B614" s="19" t="s">
        <v>2073</v>
      </c>
      <c r="C614" s="20" t="s">
        <v>3290</v>
      </c>
      <c r="D614" s="159"/>
      <c r="E614" s="56" t="s">
        <v>2498</v>
      </c>
      <c r="F614" s="22" t="s">
        <v>2962</v>
      </c>
      <c r="G614" s="57">
        <v>2023.0</v>
      </c>
      <c r="H614" s="56" t="s">
        <v>77</v>
      </c>
      <c r="I614" s="58" t="s">
        <v>3307</v>
      </c>
      <c r="J614" s="22" t="s">
        <v>1078</v>
      </c>
      <c r="K614" s="22"/>
      <c r="L614" s="188" t="s">
        <v>3308</v>
      </c>
      <c r="U614" s="60" t="s">
        <v>61</v>
      </c>
      <c r="V614" s="50"/>
      <c r="W614" s="162"/>
      <c r="X614" s="156"/>
      <c r="Y614" s="35"/>
      <c r="Z614" s="35"/>
      <c r="AA614" s="35"/>
      <c r="AB614" s="35"/>
      <c r="AC614" s="35"/>
      <c r="AD614" s="35"/>
      <c r="AE614" s="35"/>
      <c r="AF614" s="35"/>
      <c r="AG614" s="35"/>
      <c r="AH614" s="35"/>
      <c r="AI614" s="35"/>
      <c r="AJ614" s="35"/>
      <c r="AK614" s="35"/>
      <c r="AL614" s="35"/>
    </row>
    <row r="615" ht="31.5" customHeight="1">
      <c r="A615" s="133"/>
      <c r="B615" s="19" t="s">
        <v>2073</v>
      </c>
      <c r="C615" s="20" t="s">
        <v>3290</v>
      </c>
      <c r="D615" s="159"/>
      <c r="E615" s="56" t="s">
        <v>3309</v>
      </c>
      <c r="F615" s="22" t="s">
        <v>3310</v>
      </c>
      <c r="G615" s="57">
        <v>2023.0</v>
      </c>
      <c r="H615" s="56" t="s">
        <v>3311</v>
      </c>
      <c r="I615" s="58" t="s">
        <v>3312</v>
      </c>
      <c r="J615" s="22" t="s">
        <v>125</v>
      </c>
      <c r="K615" s="22"/>
      <c r="L615" s="190" t="s">
        <v>3313</v>
      </c>
      <c r="U615" s="60" t="s">
        <v>61</v>
      </c>
      <c r="V615" s="30"/>
      <c r="W615" s="162"/>
      <c r="X615" s="156"/>
      <c r="Y615" s="35"/>
      <c r="Z615" s="35"/>
      <c r="AA615" s="35"/>
      <c r="AB615" s="35"/>
      <c r="AC615" s="35"/>
      <c r="AD615" s="35"/>
      <c r="AE615" s="35"/>
      <c r="AF615" s="35"/>
      <c r="AG615" s="35"/>
      <c r="AH615" s="35"/>
      <c r="AI615" s="35"/>
      <c r="AJ615" s="35"/>
      <c r="AK615" s="35"/>
      <c r="AL615" s="35"/>
    </row>
    <row r="616" ht="31.5" customHeight="1">
      <c r="A616" s="133"/>
      <c r="B616" s="19" t="s">
        <v>2073</v>
      </c>
      <c r="C616" s="20" t="s">
        <v>3290</v>
      </c>
      <c r="D616" s="159"/>
      <c r="E616" s="56" t="s">
        <v>3309</v>
      </c>
      <c r="F616" s="22" t="s">
        <v>2407</v>
      </c>
      <c r="G616" s="57">
        <v>2023.0</v>
      </c>
      <c r="H616" s="56" t="s">
        <v>3314</v>
      </c>
      <c r="I616" s="58" t="s">
        <v>3315</v>
      </c>
      <c r="J616" s="22" t="s">
        <v>125</v>
      </c>
      <c r="K616" s="22"/>
      <c r="L616" s="190" t="s">
        <v>3316</v>
      </c>
      <c r="U616" s="60" t="s">
        <v>61</v>
      </c>
      <c r="V616" s="30" t="s">
        <v>174</v>
      </c>
      <c r="W616" s="162"/>
      <c r="X616" s="156"/>
      <c r="Y616" s="35"/>
      <c r="Z616" s="35"/>
      <c r="AA616" s="35"/>
      <c r="AB616" s="35"/>
      <c r="AC616" s="35"/>
      <c r="AD616" s="35"/>
      <c r="AE616" s="35"/>
      <c r="AF616" s="35"/>
      <c r="AG616" s="35"/>
      <c r="AH616" s="35"/>
      <c r="AI616" s="35"/>
      <c r="AJ616" s="35"/>
      <c r="AK616" s="35"/>
      <c r="AL616" s="35"/>
    </row>
    <row r="617" ht="27.0" customHeight="1">
      <c r="A617" s="55"/>
      <c r="B617" s="19" t="s">
        <v>2073</v>
      </c>
      <c r="C617" s="20" t="s">
        <v>3290</v>
      </c>
      <c r="D617" s="47"/>
      <c r="E617" s="56" t="s">
        <v>3317</v>
      </c>
      <c r="F617" s="22" t="s">
        <v>224</v>
      </c>
      <c r="G617" s="57">
        <v>2023.0</v>
      </c>
      <c r="H617" s="22" t="s">
        <v>3318</v>
      </c>
      <c r="I617" s="58" t="s">
        <v>3319</v>
      </c>
      <c r="J617" s="22" t="s">
        <v>125</v>
      </c>
      <c r="K617" s="56"/>
      <c r="L617" s="124" t="s">
        <v>3320</v>
      </c>
      <c r="U617" s="60" t="s">
        <v>61</v>
      </c>
      <c r="V617" s="30"/>
      <c r="W617" s="49"/>
      <c r="X617" s="49"/>
      <c r="Y617" s="35"/>
      <c r="Z617" s="35"/>
      <c r="AA617" s="35"/>
      <c r="AB617" s="35"/>
      <c r="AC617" s="35"/>
      <c r="AD617" s="35"/>
      <c r="AE617" s="35"/>
      <c r="AF617" s="35"/>
      <c r="AG617" s="35"/>
      <c r="AH617" s="35"/>
      <c r="AI617" s="35"/>
      <c r="AJ617" s="35"/>
      <c r="AK617" s="35"/>
      <c r="AL617" s="35"/>
    </row>
    <row r="618" ht="27.0" customHeight="1">
      <c r="A618" s="55"/>
      <c r="B618" s="19" t="s">
        <v>2073</v>
      </c>
      <c r="C618" s="20" t="s">
        <v>3290</v>
      </c>
      <c r="D618" s="47"/>
      <c r="E618" s="56" t="s">
        <v>3321</v>
      </c>
      <c r="F618" s="22" t="s">
        <v>3322</v>
      </c>
      <c r="G618" s="57">
        <v>2022.0</v>
      </c>
      <c r="H618" s="22" t="s">
        <v>3323</v>
      </c>
      <c r="I618" s="58" t="s">
        <v>3324</v>
      </c>
      <c r="J618" s="22" t="s">
        <v>125</v>
      </c>
      <c r="K618" s="56"/>
      <c r="L618" s="124" t="s">
        <v>3325</v>
      </c>
      <c r="U618" s="60" t="s">
        <v>3326</v>
      </c>
      <c r="V618" s="30"/>
      <c r="W618" s="49"/>
      <c r="X618" s="49"/>
      <c r="Y618" s="35"/>
      <c r="Z618" s="35"/>
      <c r="AA618" s="35"/>
      <c r="AB618" s="35"/>
      <c r="AC618" s="35"/>
      <c r="AD618" s="35"/>
      <c r="AE618" s="35"/>
      <c r="AF618" s="35"/>
      <c r="AG618" s="35"/>
      <c r="AH618" s="35"/>
      <c r="AI618" s="35"/>
      <c r="AJ618" s="35"/>
      <c r="AK618" s="35"/>
      <c r="AL618" s="35"/>
    </row>
    <row r="619" ht="31.5" customHeight="1">
      <c r="A619" s="133"/>
      <c r="B619" s="19" t="s">
        <v>2073</v>
      </c>
      <c r="C619" s="20" t="s">
        <v>3290</v>
      </c>
      <c r="D619" s="159"/>
      <c r="E619" s="56" t="s">
        <v>2202</v>
      </c>
      <c r="F619" s="22" t="s">
        <v>2203</v>
      </c>
      <c r="G619" s="57">
        <v>2022.0</v>
      </c>
      <c r="H619" s="56" t="s">
        <v>3327</v>
      </c>
      <c r="I619" s="58" t="s">
        <v>3328</v>
      </c>
      <c r="J619" s="22" t="s">
        <v>3329</v>
      </c>
      <c r="K619" s="22"/>
      <c r="L619" s="52">
        <v>830.0</v>
      </c>
      <c r="M619" s="52"/>
      <c r="N619" s="52" t="s">
        <v>3330</v>
      </c>
      <c r="O619" s="52"/>
      <c r="P619" s="189" t="s">
        <v>3331</v>
      </c>
      <c r="Q619" s="52" t="s">
        <v>3332</v>
      </c>
      <c r="R619" s="52">
        <v>1200.0</v>
      </c>
      <c r="S619" s="52" t="s">
        <v>2688</v>
      </c>
      <c r="T619" s="187" t="s">
        <v>3333</v>
      </c>
      <c r="U619" s="60" t="s">
        <v>61</v>
      </c>
      <c r="V619" s="50"/>
      <c r="W619" s="162"/>
      <c r="X619" s="156"/>
      <c r="Y619" s="35"/>
      <c r="Z619" s="35"/>
      <c r="AA619" s="35"/>
      <c r="AB619" s="35"/>
      <c r="AC619" s="35"/>
      <c r="AD619" s="35"/>
      <c r="AE619" s="35"/>
      <c r="AF619" s="35"/>
      <c r="AG619" s="35"/>
      <c r="AH619" s="35"/>
      <c r="AI619" s="35"/>
      <c r="AJ619" s="35"/>
      <c r="AK619" s="35"/>
      <c r="AL619" s="35"/>
    </row>
    <row r="620" ht="27.0" customHeight="1">
      <c r="A620" s="55"/>
      <c r="B620" s="140" t="s">
        <v>2073</v>
      </c>
      <c r="C620" s="20" t="s">
        <v>3290</v>
      </c>
      <c r="D620" s="47"/>
      <c r="E620" s="56" t="s">
        <v>3334</v>
      </c>
      <c r="F620" s="22" t="s">
        <v>797</v>
      </c>
      <c r="G620" s="57">
        <v>2021.0</v>
      </c>
      <c r="H620" s="22" t="s">
        <v>2238</v>
      </c>
      <c r="I620" s="58" t="s">
        <v>3335</v>
      </c>
      <c r="J620" s="22" t="s">
        <v>125</v>
      </c>
      <c r="K620" s="56" t="s">
        <v>3336</v>
      </c>
      <c r="L620" s="124" t="s">
        <v>3337</v>
      </c>
      <c r="U620" s="64" t="s">
        <v>61</v>
      </c>
      <c r="V620" s="30"/>
      <c r="W620" s="49"/>
      <c r="X620" s="49"/>
      <c r="Y620" s="35"/>
      <c r="Z620" s="35"/>
      <c r="AA620" s="35"/>
      <c r="AB620" s="35"/>
      <c r="AC620" s="35"/>
      <c r="AD620" s="35"/>
      <c r="AE620" s="35"/>
      <c r="AF620" s="35"/>
      <c r="AG620" s="35"/>
      <c r="AH620" s="35"/>
      <c r="AI620" s="35"/>
      <c r="AJ620" s="35"/>
      <c r="AK620" s="35"/>
      <c r="AL620" s="35"/>
    </row>
    <row r="621" ht="31.5" customHeight="1">
      <c r="A621" s="133"/>
      <c r="B621" s="19" t="s">
        <v>2073</v>
      </c>
      <c r="C621" s="20" t="s">
        <v>3290</v>
      </c>
      <c r="D621" s="159"/>
      <c r="E621" s="56" t="s">
        <v>3338</v>
      </c>
      <c r="F621" s="22" t="s">
        <v>1046</v>
      </c>
      <c r="G621" s="57">
        <v>2021.0</v>
      </c>
      <c r="H621" s="56" t="s">
        <v>91</v>
      </c>
      <c r="I621" s="58" t="s">
        <v>3339</v>
      </c>
      <c r="J621" s="22" t="s">
        <v>44</v>
      </c>
      <c r="K621" s="22"/>
      <c r="L621" s="52">
        <v>810.0</v>
      </c>
      <c r="M621" s="52"/>
      <c r="N621" s="52"/>
      <c r="O621" s="52"/>
      <c r="P621" s="189" t="s">
        <v>70</v>
      </c>
      <c r="Q621" s="52"/>
      <c r="R621" s="52"/>
      <c r="S621" s="52"/>
      <c r="T621" s="160" t="s">
        <v>3340</v>
      </c>
      <c r="U621" s="64" t="s">
        <v>61</v>
      </c>
      <c r="V621" s="50"/>
      <c r="W621" s="162"/>
      <c r="X621" s="156"/>
      <c r="Y621" s="35"/>
      <c r="Z621" s="35"/>
      <c r="AA621" s="35"/>
      <c r="AB621" s="35"/>
      <c r="AC621" s="35"/>
      <c r="AD621" s="35"/>
      <c r="AE621" s="35"/>
      <c r="AF621" s="35"/>
      <c r="AG621" s="35"/>
      <c r="AH621" s="35"/>
      <c r="AI621" s="35"/>
      <c r="AJ621" s="35"/>
      <c r="AK621" s="35"/>
      <c r="AL621" s="35"/>
    </row>
    <row r="622" ht="31.5" customHeight="1">
      <c r="A622" s="133"/>
      <c r="B622" s="19" t="s">
        <v>2073</v>
      </c>
      <c r="C622" s="20" t="s">
        <v>3290</v>
      </c>
      <c r="D622" s="159"/>
      <c r="E622" s="56" t="s">
        <v>3341</v>
      </c>
      <c r="F622" s="22" t="s">
        <v>332</v>
      </c>
      <c r="G622" s="57">
        <v>2021.0</v>
      </c>
      <c r="H622" s="56" t="s">
        <v>91</v>
      </c>
      <c r="I622" s="58" t="s">
        <v>3342</v>
      </c>
      <c r="J622" s="22" t="s">
        <v>55</v>
      </c>
      <c r="K622" s="22"/>
      <c r="L622" s="52">
        <v>830.0</v>
      </c>
      <c r="M622" s="52">
        <v>100.0</v>
      </c>
      <c r="N622" s="52"/>
      <c r="O622" s="52"/>
      <c r="P622" s="189"/>
      <c r="Q622" s="52"/>
      <c r="R622" s="52"/>
      <c r="S622" s="52"/>
      <c r="T622" s="160" t="s">
        <v>3343</v>
      </c>
      <c r="U622" s="64" t="s">
        <v>61</v>
      </c>
      <c r="V622" s="50"/>
      <c r="W622" s="162"/>
      <c r="X622" s="156"/>
      <c r="Y622" s="35"/>
      <c r="Z622" s="35"/>
      <c r="AA622" s="35"/>
      <c r="AB622" s="35"/>
      <c r="AC622" s="35"/>
      <c r="AD622" s="35"/>
      <c r="AE622" s="35"/>
      <c r="AF622" s="35"/>
      <c r="AG622" s="35"/>
      <c r="AH622" s="35"/>
      <c r="AI622" s="35"/>
      <c r="AJ622" s="35"/>
      <c r="AK622" s="35"/>
      <c r="AL622" s="35"/>
    </row>
    <row r="623" ht="31.5" customHeight="1">
      <c r="A623" s="133"/>
      <c r="B623" s="19" t="s">
        <v>2073</v>
      </c>
      <c r="C623" s="20" t="s">
        <v>3290</v>
      </c>
      <c r="D623" s="159"/>
      <c r="E623" s="56" t="s">
        <v>2338</v>
      </c>
      <c r="F623" s="22" t="s">
        <v>3344</v>
      </c>
      <c r="G623" s="57">
        <v>2021.0</v>
      </c>
      <c r="H623" s="56" t="s">
        <v>2238</v>
      </c>
      <c r="I623" s="58" t="s">
        <v>3345</v>
      </c>
      <c r="J623" s="22" t="s">
        <v>55</v>
      </c>
      <c r="K623" s="22"/>
      <c r="L623" s="36" t="s">
        <v>1773</v>
      </c>
      <c r="M623" s="36"/>
      <c r="N623" s="36" t="s">
        <v>1018</v>
      </c>
      <c r="O623" s="36"/>
      <c r="P623" s="37" t="s">
        <v>969</v>
      </c>
      <c r="Q623" s="36"/>
      <c r="R623" s="36"/>
      <c r="S623" s="36"/>
      <c r="T623" s="160" t="s">
        <v>3346</v>
      </c>
      <c r="U623" s="64" t="s">
        <v>61</v>
      </c>
      <c r="V623" s="50"/>
      <c r="W623" s="162"/>
      <c r="X623" s="156"/>
      <c r="Y623" s="35"/>
      <c r="Z623" s="35"/>
      <c r="AA623" s="35"/>
      <c r="AB623" s="35"/>
      <c r="AC623" s="35"/>
      <c r="AD623" s="35"/>
      <c r="AE623" s="35"/>
      <c r="AF623" s="35"/>
      <c r="AG623" s="35"/>
      <c r="AH623" s="35"/>
      <c r="AI623" s="35"/>
      <c r="AJ623" s="35"/>
      <c r="AK623" s="35"/>
      <c r="AL623" s="35"/>
    </row>
    <row r="624" ht="31.5" customHeight="1">
      <c r="A624" s="133"/>
      <c r="B624" s="19" t="s">
        <v>2073</v>
      </c>
      <c r="C624" s="20" t="s">
        <v>3290</v>
      </c>
      <c r="D624" s="159"/>
      <c r="E624" s="56" t="s">
        <v>2316</v>
      </c>
      <c r="F624" s="22" t="s">
        <v>65</v>
      </c>
      <c r="G624" s="57">
        <v>2021.0</v>
      </c>
      <c r="H624" s="56" t="s">
        <v>3347</v>
      </c>
      <c r="I624" s="58" t="s">
        <v>3348</v>
      </c>
      <c r="J624" s="22" t="s">
        <v>209</v>
      </c>
      <c r="K624" s="22"/>
      <c r="L624" s="36">
        <v>635.0</v>
      </c>
      <c r="M624" s="36"/>
      <c r="N624" s="36"/>
      <c r="O624" s="36"/>
      <c r="P624" s="37" t="s">
        <v>82</v>
      </c>
      <c r="Q624" s="36"/>
      <c r="R624" s="36"/>
      <c r="S624" s="36"/>
      <c r="T624" s="163" t="s">
        <v>3349</v>
      </c>
      <c r="U624" s="64" t="s">
        <v>61</v>
      </c>
      <c r="V624" s="50"/>
      <c r="W624" s="162"/>
      <c r="X624" s="156"/>
      <c r="Y624" s="35"/>
      <c r="Z624" s="35"/>
      <c r="AA624" s="35"/>
      <c r="AB624" s="35"/>
      <c r="AC624" s="35"/>
      <c r="AD624" s="35"/>
      <c r="AE624" s="35"/>
      <c r="AF624" s="35"/>
      <c r="AG624" s="35"/>
      <c r="AH624" s="35"/>
      <c r="AI624" s="35"/>
      <c r="AJ624" s="35"/>
      <c r="AK624" s="35"/>
      <c r="AL624" s="35"/>
    </row>
    <row r="625" ht="31.5" customHeight="1">
      <c r="A625" s="191" t="s">
        <v>181</v>
      </c>
      <c r="B625" s="19" t="s">
        <v>2073</v>
      </c>
      <c r="C625" s="20" t="s">
        <v>3290</v>
      </c>
      <c r="D625" s="159"/>
      <c r="E625" s="56" t="s">
        <v>3350</v>
      </c>
      <c r="F625" s="22" t="s">
        <v>3351</v>
      </c>
      <c r="G625" s="57">
        <v>2020.0</v>
      </c>
      <c r="H625" s="56" t="s">
        <v>91</v>
      </c>
      <c r="I625" s="58" t="s">
        <v>3352</v>
      </c>
      <c r="J625" s="22" t="s">
        <v>3353</v>
      </c>
      <c r="K625" s="22" t="s">
        <v>157</v>
      </c>
      <c r="L625" s="36">
        <v>945.0</v>
      </c>
      <c r="M625" s="36"/>
      <c r="N625" s="36"/>
      <c r="O625" s="36"/>
      <c r="P625" s="37" t="s">
        <v>3354</v>
      </c>
      <c r="Q625" s="36"/>
      <c r="R625" s="36">
        <v>85.0</v>
      </c>
      <c r="S625" s="36" t="s">
        <v>3355</v>
      </c>
      <c r="T625" s="160" t="s">
        <v>3356</v>
      </c>
      <c r="U625" s="161" t="str">
        <f>HYPERLINK("https://www.ncbi.nlm.nih.gov/pubmed/32144511","PubMed")</f>
        <v>PubMed</v>
      </c>
      <c r="V625" s="50"/>
      <c r="W625" s="162"/>
      <c r="X625" s="156"/>
      <c r="Y625" s="35"/>
      <c r="Z625" s="35"/>
      <c r="AA625" s="35"/>
      <c r="AB625" s="35"/>
      <c r="AC625" s="35"/>
      <c r="AD625" s="35"/>
      <c r="AE625" s="35"/>
      <c r="AF625" s="35"/>
      <c r="AG625" s="35"/>
      <c r="AH625" s="35"/>
      <c r="AI625" s="35"/>
      <c r="AJ625" s="35"/>
      <c r="AK625" s="35"/>
      <c r="AL625" s="35"/>
    </row>
    <row r="626" ht="31.5" customHeight="1">
      <c r="A626" s="146"/>
      <c r="B626" s="19" t="s">
        <v>2073</v>
      </c>
      <c r="C626" s="20" t="s">
        <v>3290</v>
      </c>
      <c r="D626" s="159"/>
      <c r="E626" s="56" t="s">
        <v>3357</v>
      </c>
      <c r="F626" s="22" t="s">
        <v>2052</v>
      </c>
      <c r="G626" s="57">
        <v>2019.0</v>
      </c>
      <c r="H626" s="56" t="s">
        <v>2900</v>
      </c>
      <c r="I626" s="58" t="s">
        <v>3358</v>
      </c>
      <c r="J626" s="22" t="s">
        <v>125</v>
      </c>
      <c r="K626" s="22"/>
      <c r="L626" s="167" t="s">
        <v>3359</v>
      </c>
      <c r="M626" s="44"/>
      <c r="N626" s="44"/>
      <c r="O626" s="44"/>
      <c r="P626" s="44"/>
      <c r="Q626" s="44"/>
      <c r="R626" s="44"/>
      <c r="S626" s="44"/>
      <c r="T626" s="45"/>
      <c r="U626" s="161" t="str">
        <f>HYPERLINK("https://www.ncbi.nlm.nih.gov/pubmed/31819453","PubMed")</f>
        <v>PubMed</v>
      </c>
      <c r="V626" s="30"/>
      <c r="W626" s="162"/>
      <c r="X626" s="156"/>
      <c r="Y626" s="35"/>
      <c r="Z626" s="35"/>
      <c r="AA626" s="35"/>
      <c r="AB626" s="35"/>
      <c r="AC626" s="35"/>
      <c r="AD626" s="35"/>
      <c r="AE626" s="35"/>
      <c r="AF626" s="35"/>
      <c r="AG626" s="35"/>
      <c r="AH626" s="35"/>
      <c r="AI626" s="35"/>
      <c r="AJ626" s="35"/>
      <c r="AK626" s="35"/>
      <c r="AL626" s="35"/>
    </row>
    <row r="627" ht="31.5" customHeight="1">
      <c r="A627" s="146" t="s">
        <v>2</v>
      </c>
      <c r="B627" s="19" t="s">
        <v>2073</v>
      </c>
      <c r="C627" s="20" t="s">
        <v>3290</v>
      </c>
      <c r="D627" s="159"/>
      <c r="E627" s="56" t="s">
        <v>2402</v>
      </c>
      <c r="F627" s="22" t="s">
        <v>1046</v>
      </c>
      <c r="G627" s="57">
        <v>2019.0</v>
      </c>
      <c r="H627" s="56" t="s">
        <v>2641</v>
      </c>
      <c r="I627" s="58" t="s">
        <v>3360</v>
      </c>
      <c r="J627" s="22" t="s">
        <v>44</v>
      </c>
      <c r="K627" s="22" t="s">
        <v>3361</v>
      </c>
      <c r="L627" s="36">
        <v>810.0</v>
      </c>
      <c r="M627" s="36"/>
      <c r="N627" s="36"/>
      <c r="O627" s="36"/>
      <c r="P627" s="37" t="s">
        <v>3362</v>
      </c>
      <c r="Q627" s="36"/>
      <c r="R627" s="36"/>
      <c r="S627" s="36"/>
      <c r="T627" s="160" t="s">
        <v>3363</v>
      </c>
      <c r="U627" s="161" t="str">
        <f>HYPERLINK("https://www.ncbi.nlm.nih.gov/pubmed/30385146","PubMed")</f>
        <v>PubMed</v>
      </c>
      <c r="V627" s="30"/>
      <c r="W627" s="162"/>
      <c r="X627" s="156"/>
      <c r="Y627" s="35"/>
      <c r="Z627" s="35"/>
      <c r="AA627" s="35"/>
      <c r="AB627" s="35"/>
      <c r="AC627" s="35"/>
      <c r="AD627" s="35"/>
      <c r="AE627" s="35"/>
      <c r="AF627" s="35"/>
      <c r="AG627" s="35"/>
      <c r="AH627" s="35"/>
      <c r="AI627" s="35"/>
      <c r="AJ627" s="35"/>
      <c r="AK627" s="35"/>
      <c r="AL627" s="35"/>
    </row>
    <row r="628" ht="31.5" customHeight="1">
      <c r="A628" s="133"/>
      <c r="B628" s="19" t="s">
        <v>2073</v>
      </c>
      <c r="C628" s="20" t="s">
        <v>3290</v>
      </c>
      <c r="D628" s="159"/>
      <c r="E628" s="56" t="s">
        <v>3364</v>
      </c>
      <c r="F628" s="22" t="s">
        <v>1046</v>
      </c>
      <c r="G628" s="57">
        <v>2019.0</v>
      </c>
      <c r="H628" s="56" t="s">
        <v>53</v>
      </c>
      <c r="I628" s="58" t="s">
        <v>3365</v>
      </c>
      <c r="J628" s="22" t="s">
        <v>44</v>
      </c>
      <c r="K628" s="22" t="s">
        <v>1827</v>
      </c>
      <c r="L628" s="36">
        <v>810.0</v>
      </c>
      <c r="M628" s="36">
        <v>200.0</v>
      </c>
      <c r="N628" s="36" t="s">
        <v>3366</v>
      </c>
      <c r="O628" s="36"/>
      <c r="P628" s="37" t="s">
        <v>3367</v>
      </c>
      <c r="Q628" s="36"/>
      <c r="R628" s="36" t="s">
        <v>3368</v>
      </c>
      <c r="S628" s="36" t="s">
        <v>3369</v>
      </c>
      <c r="T628" s="160" t="s">
        <v>3370</v>
      </c>
      <c r="U628" s="161" t="str">
        <f>HYPERLINK("https://www.ncbi.nlm.nih.gov/pubmed/30883832","PubMed")</f>
        <v>PubMed</v>
      </c>
      <c r="V628" s="30"/>
      <c r="W628" s="162"/>
      <c r="X628" s="156"/>
      <c r="Y628" s="35"/>
      <c r="Z628" s="35"/>
      <c r="AA628" s="35"/>
      <c r="AB628" s="35"/>
      <c r="AC628" s="35"/>
      <c r="AD628" s="35"/>
      <c r="AE628" s="35"/>
      <c r="AF628" s="35"/>
      <c r="AG628" s="35"/>
      <c r="AH628" s="35"/>
      <c r="AI628" s="35"/>
      <c r="AJ628" s="35"/>
      <c r="AK628" s="35"/>
      <c r="AL628" s="35"/>
    </row>
    <row r="629" ht="31.5" customHeight="1">
      <c r="A629" s="133" t="s">
        <v>2983</v>
      </c>
      <c r="B629" s="19" t="s">
        <v>2073</v>
      </c>
      <c r="C629" s="20" t="s">
        <v>3290</v>
      </c>
      <c r="D629" s="159"/>
      <c r="E629" s="56" t="s">
        <v>3371</v>
      </c>
      <c r="F629" s="22" t="s">
        <v>2407</v>
      </c>
      <c r="G629" s="57">
        <v>2018.0</v>
      </c>
      <c r="H629" s="56" t="s">
        <v>658</v>
      </c>
      <c r="I629" s="58" t="s">
        <v>3372</v>
      </c>
      <c r="J629" s="22" t="s">
        <v>3373</v>
      </c>
      <c r="K629" s="22" t="s">
        <v>157</v>
      </c>
      <c r="L629" s="36">
        <v>823.0</v>
      </c>
      <c r="M629" s="36"/>
      <c r="N629" s="36" t="s">
        <v>2829</v>
      </c>
      <c r="O629" s="36"/>
      <c r="P629" s="37" t="s">
        <v>3374</v>
      </c>
      <c r="Q629" s="36" t="s">
        <v>2747</v>
      </c>
      <c r="R629" s="36" t="s">
        <v>3375</v>
      </c>
      <c r="S629" s="36" t="s">
        <v>3376</v>
      </c>
      <c r="T629" s="160" t="s">
        <v>3377</v>
      </c>
      <c r="U629" s="161" t="str">
        <f>HYPERLINK("https://www.ncbi.nlm.nih.gov/pubmed/30346890","PubMed")</f>
        <v>PubMed</v>
      </c>
      <c r="V629" s="30" t="s">
        <v>3378</v>
      </c>
      <c r="W629" s="162"/>
      <c r="X629" s="156"/>
      <c r="Y629" s="35"/>
      <c r="Z629" s="35"/>
      <c r="AA629" s="35"/>
      <c r="AB629" s="35"/>
      <c r="AC629" s="35"/>
      <c r="AD629" s="35"/>
      <c r="AE629" s="35"/>
      <c r="AF629" s="35"/>
      <c r="AG629" s="35"/>
      <c r="AH629" s="35"/>
      <c r="AI629" s="35"/>
      <c r="AJ629" s="35"/>
      <c r="AK629" s="35"/>
      <c r="AL629" s="35"/>
    </row>
    <row r="630" ht="31.5" customHeight="1">
      <c r="A630" s="133"/>
      <c r="B630" s="19" t="s">
        <v>2073</v>
      </c>
      <c r="C630" s="20" t="s">
        <v>3290</v>
      </c>
      <c r="D630" s="159"/>
      <c r="E630" s="56" t="s">
        <v>3379</v>
      </c>
      <c r="F630" s="22" t="s">
        <v>3310</v>
      </c>
      <c r="G630" s="57">
        <v>2018.0</v>
      </c>
      <c r="H630" s="56" t="s">
        <v>3028</v>
      </c>
      <c r="I630" s="58" t="s">
        <v>3380</v>
      </c>
      <c r="J630" s="22" t="s">
        <v>125</v>
      </c>
      <c r="K630" s="22"/>
      <c r="L630" s="43" t="s">
        <v>3381</v>
      </c>
      <c r="M630" s="44"/>
      <c r="N630" s="44"/>
      <c r="O630" s="44"/>
      <c r="P630" s="44"/>
      <c r="Q630" s="44"/>
      <c r="R630" s="44"/>
      <c r="S630" s="44"/>
      <c r="T630" s="45"/>
      <c r="U630" s="161" t="str">
        <f>HYPERLINK("https://www.ncbi.nlm.nih.gov/pubmed/30248638","PubMed")</f>
        <v>PubMed</v>
      </c>
      <c r="V630" s="30"/>
      <c r="W630" s="162"/>
      <c r="X630" s="156"/>
      <c r="Y630" s="35"/>
      <c r="Z630" s="35"/>
      <c r="AA630" s="35"/>
      <c r="AB630" s="35"/>
      <c r="AC630" s="35"/>
      <c r="AD630" s="35"/>
      <c r="AE630" s="35"/>
      <c r="AF630" s="35"/>
      <c r="AG630" s="35"/>
      <c r="AH630" s="35"/>
      <c r="AI630" s="35"/>
      <c r="AJ630" s="35"/>
      <c r="AK630" s="35"/>
      <c r="AL630" s="35"/>
    </row>
    <row r="631" ht="31.5" customHeight="1">
      <c r="A631" s="133"/>
      <c r="B631" s="19" t="s">
        <v>2073</v>
      </c>
      <c r="C631" s="20" t="s">
        <v>3290</v>
      </c>
      <c r="D631" s="159"/>
      <c r="E631" s="56" t="s">
        <v>3382</v>
      </c>
      <c r="F631" s="22" t="s">
        <v>2698</v>
      </c>
      <c r="G631" s="57">
        <v>2018.0</v>
      </c>
      <c r="H631" s="56" t="s">
        <v>292</v>
      </c>
      <c r="I631" s="58" t="s">
        <v>3383</v>
      </c>
      <c r="J631" s="22" t="s">
        <v>3384</v>
      </c>
      <c r="K631" s="22" t="s">
        <v>2158</v>
      </c>
      <c r="L631" s="36" t="s">
        <v>3031</v>
      </c>
      <c r="M631" s="36"/>
      <c r="N631" s="36" t="s">
        <v>414</v>
      </c>
      <c r="O631" s="36"/>
      <c r="P631" s="37" t="s">
        <v>969</v>
      </c>
      <c r="Q631" s="36"/>
      <c r="R631" s="36" t="s">
        <v>3385</v>
      </c>
      <c r="S631" s="36"/>
      <c r="T631" s="160" t="s">
        <v>3386</v>
      </c>
      <c r="U631" s="161" t="str">
        <f>HYPERLINK("https://www.ncbi.nlm.nih.gov/pubmed/32158062","PubMed")</f>
        <v>PubMed</v>
      </c>
      <c r="V631" s="30"/>
      <c r="W631" s="162"/>
      <c r="X631" s="156"/>
      <c r="Y631" s="35"/>
      <c r="Z631" s="35"/>
      <c r="AA631" s="35"/>
      <c r="AB631" s="35"/>
      <c r="AC631" s="35"/>
      <c r="AD631" s="35"/>
      <c r="AE631" s="35"/>
      <c r="AF631" s="35"/>
      <c r="AG631" s="35"/>
      <c r="AH631" s="35"/>
      <c r="AI631" s="35"/>
      <c r="AJ631" s="35"/>
      <c r="AK631" s="35"/>
      <c r="AL631" s="35"/>
    </row>
    <row r="632" ht="31.5" customHeight="1">
      <c r="A632" s="133"/>
      <c r="B632" s="19" t="s">
        <v>2073</v>
      </c>
      <c r="C632" s="20" t="s">
        <v>3290</v>
      </c>
      <c r="D632" s="159"/>
      <c r="E632" s="56" t="s">
        <v>3334</v>
      </c>
      <c r="F632" s="22" t="s">
        <v>2407</v>
      </c>
      <c r="G632" s="57">
        <v>2018.0</v>
      </c>
      <c r="H632" s="56" t="s">
        <v>3387</v>
      </c>
      <c r="I632" s="58" t="s">
        <v>3388</v>
      </c>
      <c r="J632" s="22" t="s">
        <v>3389</v>
      </c>
      <c r="K632" s="22"/>
      <c r="L632" s="36" t="s">
        <v>3390</v>
      </c>
      <c r="M632" s="36"/>
      <c r="N632" s="36"/>
      <c r="O632" s="36"/>
      <c r="P632" s="37"/>
      <c r="Q632" s="36"/>
      <c r="R632" s="36"/>
      <c r="S632" s="36"/>
      <c r="T632" s="160" t="s">
        <v>3391</v>
      </c>
      <c r="U632" s="161" t="str">
        <f>HYPERLINK("https://www.ncbi.nlm.nih.gov/pubmed/29601319","PubMed")</f>
        <v>PubMed</v>
      </c>
      <c r="V632" s="30" t="s">
        <v>3392</v>
      </c>
      <c r="W632" s="162"/>
      <c r="X632" s="156"/>
      <c r="Y632" s="35"/>
      <c r="Z632" s="35"/>
      <c r="AA632" s="35"/>
      <c r="AB632" s="35"/>
      <c r="AC632" s="35"/>
      <c r="AD632" s="35"/>
      <c r="AE632" s="35"/>
      <c r="AF632" s="35"/>
      <c r="AG632" s="35"/>
      <c r="AH632" s="35"/>
      <c r="AI632" s="35"/>
      <c r="AJ632" s="35"/>
      <c r="AK632" s="35"/>
      <c r="AL632" s="35"/>
    </row>
    <row r="633" ht="31.5" customHeight="1">
      <c r="A633" s="133"/>
      <c r="B633" s="19" t="s">
        <v>2073</v>
      </c>
      <c r="C633" s="20" t="s">
        <v>3290</v>
      </c>
      <c r="D633" s="159"/>
      <c r="E633" s="56" t="s">
        <v>3393</v>
      </c>
      <c r="F633" s="22" t="s">
        <v>2880</v>
      </c>
      <c r="G633" s="57">
        <v>2017.0</v>
      </c>
      <c r="H633" s="56" t="s">
        <v>2096</v>
      </c>
      <c r="I633" s="58" t="s">
        <v>3394</v>
      </c>
      <c r="J633" s="22" t="s">
        <v>3395</v>
      </c>
      <c r="K633" s="22"/>
      <c r="L633" s="36" t="s">
        <v>3396</v>
      </c>
      <c r="M633" s="36" t="s">
        <v>3397</v>
      </c>
      <c r="N633" s="36"/>
      <c r="O633" s="36"/>
      <c r="P633" s="37"/>
      <c r="Q633" s="36"/>
      <c r="R633" s="36">
        <v>1800.0</v>
      </c>
      <c r="S633" s="36" t="s">
        <v>3398</v>
      </c>
      <c r="T633" s="160" t="s">
        <v>3399</v>
      </c>
      <c r="U633" s="161" t="str">
        <f>HYPERLINK("https://www.ncbi.nlm.nih.gov/pubmed/29033859","PubMed")</f>
        <v>PubMed</v>
      </c>
      <c r="V633" s="30" t="s">
        <v>3400</v>
      </c>
      <c r="W633" s="162"/>
      <c r="X633" s="156"/>
      <c r="Y633" s="35"/>
      <c r="Z633" s="35"/>
      <c r="AA633" s="35"/>
      <c r="AB633" s="35"/>
      <c r="AC633" s="35"/>
      <c r="AD633" s="35"/>
      <c r="AE633" s="35"/>
      <c r="AF633" s="35"/>
      <c r="AG633" s="35"/>
      <c r="AH633" s="35"/>
      <c r="AI633" s="35"/>
      <c r="AJ633" s="35"/>
      <c r="AK633" s="35"/>
      <c r="AL633" s="35"/>
    </row>
    <row r="634">
      <c r="A634" s="1"/>
      <c r="B634" s="19" t="s">
        <v>2073</v>
      </c>
      <c r="C634" s="20" t="s">
        <v>3290</v>
      </c>
      <c r="D634" s="47"/>
      <c r="E634" s="22" t="s">
        <v>3401</v>
      </c>
      <c r="F634" s="22" t="s">
        <v>1046</v>
      </c>
      <c r="G634" s="23">
        <v>2017.0</v>
      </c>
      <c r="H634" s="22" t="s">
        <v>3094</v>
      </c>
      <c r="I634" s="24" t="s">
        <v>3402</v>
      </c>
      <c r="J634" s="22" t="s">
        <v>125</v>
      </c>
      <c r="K634" s="22"/>
      <c r="L634" s="105" t="s">
        <v>3403</v>
      </c>
      <c r="M634" s="44"/>
      <c r="N634" s="44"/>
      <c r="O634" s="44"/>
      <c r="P634" s="44"/>
      <c r="Q634" s="44"/>
      <c r="R634" s="44"/>
      <c r="S634" s="44"/>
      <c r="T634" s="45"/>
      <c r="U634" s="38" t="str">
        <f>HYPERLINK("https://www.ncbi.nlm.nih.gov/pubmed/28231069","PubMed")</f>
        <v>PubMed</v>
      </c>
      <c r="V634" s="30"/>
      <c r="W634" s="31"/>
      <c r="X634" s="31"/>
      <c r="Y634" s="31"/>
      <c r="Z634" s="32"/>
      <c r="AA634" s="31"/>
      <c r="AB634" s="31"/>
      <c r="AC634" s="9"/>
      <c r="AD634" s="31"/>
      <c r="AE634" s="31"/>
      <c r="AF634" s="33"/>
      <c r="AG634" s="34"/>
      <c r="AH634" s="31"/>
      <c r="AI634" s="35"/>
      <c r="AJ634" s="35"/>
      <c r="AK634" s="35"/>
      <c r="AL634" s="35"/>
    </row>
    <row r="635">
      <c r="A635" s="1"/>
      <c r="B635" s="19" t="s">
        <v>2073</v>
      </c>
      <c r="C635" s="20" t="s">
        <v>3290</v>
      </c>
      <c r="D635" s="47"/>
      <c r="E635" s="22" t="s">
        <v>3371</v>
      </c>
      <c r="F635" s="22" t="s">
        <v>2407</v>
      </c>
      <c r="G635" s="23">
        <v>2016.0</v>
      </c>
      <c r="H635" s="22" t="s">
        <v>3166</v>
      </c>
      <c r="I635" s="24" t="s">
        <v>3404</v>
      </c>
      <c r="J635" s="22" t="s">
        <v>125</v>
      </c>
      <c r="K635" s="22"/>
      <c r="L635" s="105" t="s">
        <v>3405</v>
      </c>
      <c r="M635" s="44"/>
      <c r="N635" s="44"/>
      <c r="O635" s="44"/>
      <c r="P635" s="44"/>
      <c r="Q635" s="44"/>
      <c r="R635" s="44"/>
      <c r="S635" s="44"/>
      <c r="T635" s="45"/>
      <c r="U635" s="38" t="str">
        <f>HYPERLINK("https://www.ncbi.nlm.nih.gov/pubmed/26989758","PubMed")</f>
        <v>PubMed</v>
      </c>
      <c r="V635" s="30"/>
      <c r="W635" s="31"/>
      <c r="X635" s="31"/>
      <c r="Y635" s="31"/>
      <c r="Z635" s="32"/>
      <c r="AA635" s="31"/>
      <c r="AB635" s="31"/>
      <c r="AC635" s="9"/>
      <c r="AD635" s="31"/>
      <c r="AE635" s="31"/>
      <c r="AF635" s="33"/>
      <c r="AG635" s="34"/>
      <c r="AH635" s="31"/>
      <c r="AI635" s="35"/>
      <c r="AJ635" s="35"/>
      <c r="AK635" s="35"/>
      <c r="AL635" s="35"/>
    </row>
    <row r="636">
      <c r="A636" s="18" t="s">
        <v>38</v>
      </c>
      <c r="B636" s="19" t="s">
        <v>2073</v>
      </c>
      <c r="C636" s="20" t="s">
        <v>3290</v>
      </c>
      <c r="D636" s="47"/>
      <c r="E636" s="22" t="s">
        <v>3406</v>
      </c>
      <c r="F636" s="22" t="s">
        <v>2130</v>
      </c>
      <c r="G636" s="23">
        <v>2016.0</v>
      </c>
      <c r="H636" s="22" t="s">
        <v>2162</v>
      </c>
      <c r="I636" s="24" t="s">
        <v>3407</v>
      </c>
      <c r="J636" s="22" t="s">
        <v>3408</v>
      </c>
      <c r="K636" s="22"/>
      <c r="L636" s="36" t="s">
        <v>3409</v>
      </c>
      <c r="M636" s="36">
        <v>3400.0</v>
      </c>
      <c r="N636" s="36"/>
      <c r="O636" s="36" t="s">
        <v>3410</v>
      </c>
      <c r="P636" s="37"/>
      <c r="Q636" s="36" t="s">
        <v>3231</v>
      </c>
      <c r="R636" s="36">
        <v>480.0</v>
      </c>
      <c r="S636" s="36"/>
      <c r="T636" s="28" t="s">
        <v>3411</v>
      </c>
      <c r="U636" s="38" t="str">
        <f>HYPERLINK("https://www.ncbi.nlm.nih.gov/pubmed/27267860","PubMed")</f>
        <v>PubMed</v>
      </c>
      <c r="V636" s="30" t="s">
        <v>3412</v>
      </c>
      <c r="W636" s="31"/>
      <c r="X636" s="31"/>
      <c r="Y636" s="31"/>
      <c r="Z636" s="32"/>
      <c r="AA636" s="31"/>
      <c r="AB636" s="31"/>
      <c r="AC636" s="9"/>
      <c r="AD636" s="31"/>
      <c r="AE636" s="31"/>
      <c r="AF636" s="33"/>
      <c r="AG636" s="34"/>
      <c r="AH636" s="31"/>
      <c r="AI636" s="35"/>
      <c r="AJ636" s="35"/>
      <c r="AK636" s="35"/>
      <c r="AL636" s="35"/>
    </row>
    <row r="637">
      <c r="A637" s="1"/>
      <c r="B637" s="19" t="s">
        <v>2073</v>
      </c>
      <c r="C637" s="20" t="s">
        <v>3290</v>
      </c>
      <c r="D637" s="47"/>
      <c r="E637" s="22" t="s">
        <v>3413</v>
      </c>
      <c r="F637" s="22" t="s">
        <v>3414</v>
      </c>
      <c r="G637" s="23">
        <v>2016.0</v>
      </c>
      <c r="H637" s="22" t="s">
        <v>91</v>
      </c>
      <c r="I637" s="24" t="s">
        <v>3415</v>
      </c>
      <c r="J637" s="22" t="s">
        <v>55</v>
      </c>
      <c r="K637" s="22" t="s">
        <v>1240</v>
      </c>
      <c r="L637" s="36">
        <v>804.0</v>
      </c>
      <c r="M637" s="36" t="s">
        <v>3416</v>
      </c>
      <c r="N637" s="36" t="s">
        <v>3417</v>
      </c>
      <c r="O637" s="36" t="s">
        <v>3418</v>
      </c>
      <c r="P637" s="37"/>
      <c r="Q637" s="36" t="s">
        <v>3419</v>
      </c>
      <c r="R637" s="36" t="s">
        <v>3420</v>
      </c>
      <c r="S637" s="36">
        <v>7.0</v>
      </c>
      <c r="T637" s="42" t="s">
        <v>3421</v>
      </c>
      <c r="U637" s="38" t="str">
        <f>HYPERLINK("http://www.ncbi.nlm.nih.gov/pubmed/27437987","PubMed")</f>
        <v>PubMed</v>
      </c>
      <c r="V637" s="30"/>
      <c r="W637" s="31"/>
      <c r="X637" s="31"/>
      <c r="Y637" s="31"/>
      <c r="Z637" s="32"/>
      <c r="AA637" s="31"/>
      <c r="AB637" s="31"/>
      <c r="AC637" s="9"/>
      <c r="AD637" s="31"/>
      <c r="AE637" s="31"/>
      <c r="AF637" s="33"/>
      <c r="AG637" s="34"/>
      <c r="AH637" s="31"/>
      <c r="AI637" s="35"/>
      <c r="AJ637" s="35"/>
      <c r="AK637" s="35"/>
      <c r="AL637" s="35"/>
    </row>
    <row r="638">
      <c r="A638" s="1"/>
      <c r="B638" s="19" t="s">
        <v>2073</v>
      </c>
      <c r="C638" s="20" t="s">
        <v>3290</v>
      </c>
      <c r="D638" s="47"/>
      <c r="E638" s="22" t="s">
        <v>1369</v>
      </c>
      <c r="F638" s="22" t="s">
        <v>3422</v>
      </c>
      <c r="G638" s="23">
        <v>2016.0</v>
      </c>
      <c r="H638" s="22" t="s">
        <v>2505</v>
      </c>
      <c r="I638" s="24" t="s">
        <v>3423</v>
      </c>
      <c r="J638" s="22" t="s">
        <v>44</v>
      </c>
      <c r="K638" s="22"/>
      <c r="L638" s="36">
        <v>808.0</v>
      </c>
      <c r="M638" s="36">
        <v>30.0</v>
      </c>
      <c r="N638" s="36" t="s">
        <v>2379</v>
      </c>
      <c r="O638" s="36"/>
      <c r="P638" s="37"/>
      <c r="Q638" s="36" t="s">
        <v>3424</v>
      </c>
      <c r="R638" s="36">
        <v>1800.0</v>
      </c>
      <c r="S638" s="36">
        <v>28.0</v>
      </c>
      <c r="T638" s="98" t="s">
        <v>3425</v>
      </c>
      <c r="U638" s="38" t="str">
        <f>HYPERLINK("https://www.ncbi.nlm.nih.gov/pubmed/27379735","PubMed")</f>
        <v>PubMed</v>
      </c>
      <c r="V638" s="30"/>
      <c r="W638" s="31"/>
      <c r="X638" s="31"/>
      <c r="Y638" s="31"/>
      <c r="Z638" s="32"/>
      <c r="AA638" s="31"/>
      <c r="AB638" s="31"/>
      <c r="AC638" s="9"/>
      <c r="AD638" s="31"/>
      <c r="AE638" s="31"/>
      <c r="AF638" s="33"/>
      <c r="AG638" s="34"/>
      <c r="AH638" s="31"/>
      <c r="AI638" s="35"/>
      <c r="AJ638" s="35"/>
      <c r="AK638" s="35"/>
      <c r="AL638" s="35"/>
    </row>
    <row r="639" ht="32.25" customHeight="1">
      <c r="A639" s="1"/>
      <c r="B639" s="19" t="s">
        <v>2073</v>
      </c>
      <c r="C639" s="20" t="s">
        <v>3290</v>
      </c>
      <c r="D639" s="21"/>
      <c r="E639" s="22" t="s">
        <v>3426</v>
      </c>
      <c r="F639" s="22" t="s">
        <v>3427</v>
      </c>
      <c r="G639" s="23">
        <v>2016.0</v>
      </c>
      <c r="H639" s="22" t="s">
        <v>3428</v>
      </c>
      <c r="I639" s="24" t="s">
        <v>3429</v>
      </c>
      <c r="J639" s="22" t="s">
        <v>3430</v>
      </c>
      <c r="K639" s="22" t="s">
        <v>3431</v>
      </c>
      <c r="L639" s="36" t="s">
        <v>3432</v>
      </c>
      <c r="M639" s="36"/>
      <c r="N639" s="36" t="s">
        <v>3433</v>
      </c>
      <c r="O639" s="36"/>
      <c r="P639" s="37"/>
      <c r="Q639" s="36"/>
      <c r="R639" s="36"/>
      <c r="S639" s="36">
        <v>1.0</v>
      </c>
      <c r="T639" s="98" t="s">
        <v>3434</v>
      </c>
      <c r="U639" s="38" t="str">
        <f>HYPERLINK("https://www.ncbi.nlm.nih.gov/pubmed/27172277","PubMed")</f>
        <v>PubMed</v>
      </c>
      <c r="V639" s="30"/>
      <c r="W639" s="31"/>
      <c r="X639" s="31"/>
      <c r="Y639" s="31"/>
      <c r="Z639" s="32"/>
      <c r="AA639" s="31"/>
      <c r="AB639" s="31"/>
      <c r="AC639" s="9"/>
      <c r="AD639" s="31"/>
      <c r="AE639" s="31"/>
      <c r="AF639" s="33"/>
      <c r="AG639" s="34"/>
      <c r="AH639" s="31"/>
      <c r="AI639" s="35"/>
      <c r="AJ639" s="35"/>
      <c r="AK639" s="35"/>
      <c r="AL639" s="35"/>
    </row>
    <row r="640" ht="32.25" customHeight="1">
      <c r="A640" s="1"/>
      <c r="B640" s="19" t="s">
        <v>2073</v>
      </c>
      <c r="C640" s="20" t="s">
        <v>3290</v>
      </c>
      <c r="D640" s="21"/>
      <c r="E640" s="22" t="s">
        <v>2402</v>
      </c>
      <c r="F640" s="22" t="s">
        <v>3435</v>
      </c>
      <c r="G640" s="23">
        <v>2016.0</v>
      </c>
      <c r="H640" s="22" t="s">
        <v>53</v>
      </c>
      <c r="I640" s="24" t="s">
        <v>3436</v>
      </c>
      <c r="J640" s="22" t="s">
        <v>55</v>
      </c>
      <c r="K640" s="22" t="s">
        <v>294</v>
      </c>
      <c r="L640" s="36" t="s">
        <v>1685</v>
      </c>
      <c r="M640" s="36" t="s">
        <v>3437</v>
      </c>
      <c r="N640" s="36" t="s">
        <v>3438</v>
      </c>
      <c r="O640" s="36"/>
      <c r="P640" s="37" t="s">
        <v>3439</v>
      </c>
      <c r="Q640" s="36" t="s">
        <v>809</v>
      </c>
      <c r="R640" s="36"/>
      <c r="S640" s="36"/>
      <c r="T640" s="98" t="s">
        <v>3440</v>
      </c>
      <c r="U640" s="38" t="str">
        <f>HYPERLINK("https://www.ncbi.nlm.nih.gov/pubmed/27367569","PubMed")</f>
        <v>PubMed</v>
      </c>
      <c r="V640" s="30"/>
      <c r="W640" s="31"/>
      <c r="X640" s="31"/>
      <c r="Y640" s="31"/>
      <c r="Z640" s="32"/>
      <c r="AA640" s="31"/>
      <c r="AB640" s="31"/>
      <c r="AC640" s="9"/>
      <c r="AD640" s="31"/>
      <c r="AE640" s="31"/>
      <c r="AF640" s="33"/>
      <c r="AG640" s="34"/>
      <c r="AH640" s="31"/>
      <c r="AI640" s="35"/>
      <c r="AJ640" s="35"/>
      <c r="AK640" s="35"/>
      <c r="AL640" s="35"/>
    </row>
    <row r="641" ht="32.25" customHeight="1">
      <c r="A641" s="1"/>
      <c r="B641" s="19" t="s">
        <v>2073</v>
      </c>
      <c r="C641" s="20" t="s">
        <v>3290</v>
      </c>
      <c r="D641" s="21"/>
      <c r="E641" s="22" t="s">
        <v>2275</v>
      </c>
      <c r="F641" s="22" t="s">
        <v>3441</v>
      </c>
      <c r="G641" s="23">
        <v>2012.0</v>
      </c>
      <c r="H641" s="22" t="s">
        <v>53</v>
      </c>
      <c r="I641" s="24" t="s">
        <v>3442</v>
      </c>
      <c r="J641" s="22" t="s">
        <v>55</v>
      </c>
      <c r="K641" s="22" t="s">
        <v>3443</v>
      </c>
      <c r="L641" s="36">
        <v>810.0</v>
      </c>
      <c r="M641" s="36"/>
      <c r="N641" s="36"/>
      <c r="O641" s="36"/>
      <c r="P641" s="37" t="s">
        <v>279</v>
      </c>
      <c r="Q641" s="36"/>
      <c r="R641" s="36">
        <v>120.0</v>
      </c>
      <c r="S641" s="36"/>
      <c r="T641" s="28" t="s">
        <v>3444</v>
      </c>
      <c r="U641" s="38" t="str">
        <f>HYPERLINK("https://www.ncbi.nlm.nih.gov/pubmed/22334326","PubMed")</f>
        <v>PubMed</v>
      </c>
      <c r="V641" s="30"/>
      <c r="W641" s="31"/>
      <c r="X641" s="31"/>
      <c r="Y641" s="31"/>
      <c r="Z641" s="32"/>
      <c r="AA641" s="31"/>
      <c r="AB641" s="31"/>
      <c r="AC641" s="9"/>
      <c r="AD641" s="31"/>
      <c r="AE641" s="31"/>
      <c r="AF641" s="33"/>
      <c r="AG641" s="34"/>
      <c r="AH641" s="31"/>
      <c r="AI641" s="35"/>
      <c r="AJ641" s="35"/>
      <c r="AK641" s="35"/>
      <c r="AL641" s="35"/>
    </row>
    <row r="642" ht="32.25" customHeight="1">
      <c r="A642" s="1"/>
      <c r="B642" s="19" t="s">
        <v>2073</v>
      </c>
      <c r="C642" s="20" t="s">
        <v>3290</v>
      </c>
      <c r="D642" s="21"/>
      <c r="E642" s="22" t="s">
        <v>175</v>
      </c>
      <c r="F642" s="22" t="s">
        <v>3445</v>
      </c>
      <c r="G642" s="23">
        <v>2011.0</v>
      </c>
      <c r="H642" s="22" t="s">
        <v>2162</v>
      </c>
      <c r="I642" s="24" t="s">
        <v>3446</v>
      </c>
      <c r="J642" s="22" t="s">
        <v>55</v>
      </c>
      <c r="K642" s="22" t="s">
        <v>56</v>
      </c>
      <c r="L642" s="36" t="s">
        <v>3447</v>
      </c>
      <c r="M642" s="36">
        <v>60000.0</v>
      </c>
      <c r="N642" s="36"/>
      <c r="O642" s="36"/>
      <c r="P642" s="37"/>
      <c r="Q642" s="36"/>
      <c r="R642" s="36">
        <v>180.0</v>
      </c>
      <c r="S642" s="36" t="s">
        <v>3448</v>
      </c>
      <c r="T642" s="28" t="s">
        <v>3449</v>
      </c>
      <c r="U642" s="38" t="str">
        <f>HYPERLINK("https://www.ncbi.nlm.nih.gov/pubmed/21511206","PubMed")</f>
        <v>PubMed</v>
      </c>
      <c r="V642" s="30"/>
      <c r="W642" s="31"/>
      <c r="X642" s="31"/>
      <c r="Y642" s="31"/>
      <c r="Z642" s="32"/>
      <c r="AA642" s="31"/>
      <c r="AB642" s="31"/>
      <c r="AC642" s="9"/>
      <c r="AD642" s="31"/>
      <c r="AE642" s="31"/>
      <c r="AF642" s="33"/>
      <c r="AG642" s="34"/>
      <c r="AH642" s="31"/>
      <c r="AI642" s="35"/>
      <c r="AJ642" s="35"/>
      <c r="AK642" s="35"/>
      <c r="AL642" s="35"/>
    </row>
    <row r="643" ht="32.25" customHeight="1">
      <c r="A643" s="1"/>
      <c r="B643" s="19" t="s">
        <v>2073</v>
      </c>
      <c r="C643" s="20" t="s">
        <v>3290</v>
      </c>
      <c r="D643" s="21"/>
      <c r="E643" s="22" t="s">
        <v>2094</v>
      </c>
      <c r="F643" s="22" t="s">
        <v>3450</v>
      </c>
      <c r="G643" s="23">
        <v>2009.0</v>
      </c>
      <c r="H643" s="22" t="s">
        <v>3451</v>
      </c>
      <c r="I643" s="24" t="s">
        <v>3452</v>
      </c>
      <c r="J643" s="22" t="s">
        <v>3453</v>
      </c>
      <c r="K643" s="22" t="s">
        <v>3454</v>
      </c>
      <c r="L643" s="36">
        <v>810.0</v>
      </c>
      <c r="M643" s="36"/>
      <c r="N643" s="36" t="s">
        <v>3054</v>
      </c>
      <c r="O643" s="36"/>
      <c r="P643" s="37" t="s">
        <v>1028</v>
      </c>
      <c r="Q643" s="36"/>
      <c r="R643" s="36" t="s">
        <v>3455</v>
      </c>
      <c r="S643" s="36">
        <v>1.0</v>
      </c>
      <c r="T643" s="28" t="s">
        <v>3456</v>
      </c>
      <c r="U643" s="38" t="str">
        <f>HYPERLINK("https://www.ncbi.nlm.nih.gov/pubmed/19995444","PubMed")</f>
        <v>PubMed</v>
      </c>
      <c r="V643" s="30"/>
      <c r="W643" s="31"/>
      <c r="X643" s="31"/>
      <c r="Y643" s="31"/>
      <c r="Z643" s="32"/>
      <c r="AA643" s="31"/>
      <c r="AB643" s="31"/>
      <c r="AC643" s="9"/>
      <c r="AD643" s="31"/>
      <c r="AE643" s="31"/>
      <c r="AF643" s="33"/>
      <c r="AG643" s="34"/>
      <c r="AH643" s="31"/>
      <c r="AI643" s="35"/>
      <c r="AJ643" s="35"/>
      <c r="AK643" s="35"/>
      <c r="AL643" s="35"/>
    </row>
    <row r="644" ht="32.25" customHeight="1">
      <c r="A644" s="1"/>
      <c r="B644" s="19" t="s">
        <v>2073</v>
      </c>
      <c r="C644" s="20" t="s">
        <v>3290</v>
      </c>
      <c r="D644" s="21"/>
      <c r="E644" s="22" t="s">
        <v>3457</v>
      </c>
      <c r="F644" s="22" t="s">
        <v>3458</v>
      </c>
      <c r="G644" s="23">
        <v>2007.0</v>
      </c>
      <c r="H644" s="22" t="s">
        <v>3459</v>
      </c>
      <c r="I644" s="24" t="s">
        <v>3460</v>
      </c>
      <c r="J644" s="22" t="s">
        <v>44</v>
      </c>
      <c r="K644" s="22" t="s">
        <v>3461</v>
      </c>
      <c r="L644" s="36" t="s">
        <v>3462</v>
      </c>
      <c r="M644" s="36"/>
      <c r="N644" s="36"/>
      <c r="O644" s="36"/>
      <c r="P644" s="37" t="s">
        <v>3463</v>
      </c>
      <c r="Q644" s="36"/>
      <c r="R644" s="36">
        <v>3600.0</v>
      </c>
      <c r="S644" s="36">
        <v>28.0</v>
      </c>
      <c r="T644" s="28" t="s">
        <v>3464</v>
      </c>
      <c r="U644" s="38" t="str">
        <f>HYPERLINK("https://www.ncbi.nlm.nih.gov/pubmed/17618028","PubMed")</f>
        <v>PubMed</v>
      </c>
      <c r="V644" s="30"/>
      <c r="W644" s="31"/>
      <c r="X644" s="31"/>
      <c r="Y644" s="31"/>
      <c r="Z644" s="32"/>
      <c r="AA644" s="31"/>
      <c r="AB644" s="31"/>
      <c r="AC644" s="9"/>
      <c r="AD644" s="31"/>
      <c r="AE644" s="31"/>
      <c r="AF644" s="33"/>
      <c r="AG644" s="34"/>
      <c r="AH644" s="31"/>
      <c r="AI644" s="35"/>
      <c r="AJ644" s="35"/>
      <c r="AK644" s="35"/>
      <c r="AL644" s="35"/>
    </row>
    <row r="645" ht="32.25" customHeight="1">
      <c r="A645" s="51" t="s">
        <v>181</v>
      </c>
      <c r="B645" s="19" t="s">
        <v>2073</v>
      </c>
      <c r="C645" s="20" t="s">
        <v>3290</v>
      </c>
      <c r="D645" s="21"/>
      <c r="E645" s="22" t="s">
        <v>3465</v>
      </c>
      <c r="F645" s="22" t="s">
        <v>3466</v>
      </c>
      <c r="G645" s="23">
        <v>2005.0</v>
      </c>
      <c r="H645" s="22" t="s">
        <v>3467</v>
      </c>
      <c r="I645" s="24" t="s">
        <v>3468</v>
      </c>
      <c r="J645" s="22" t="s">
        <v>3469</v>
      </c>
      <c r="K645" s="22" t="s">
        <v>2686</v>
      </c>
      <c r="L645" s="36"/>
      <c r="M645" s="36">
        <v>100.0</v>
      </c>
      <c r="N645" s="36"/>
      <c r="O645" s="183">
        <v>43193.0</v>
      </c>
      <c r="P645" s="37"/>
      <c r="Q645" s="36"/>
      <c r="R645" s="36"/>
      <c r="S645" s="36" t="s">
        <v>3470</v>
      </c>
      <c r="T645" s="28" t="s">
        <v>3471</v>
      </c>
      <c r="U645" s="38" t="str">
        <f>HYPERLINK("https://www.ncbi.nlm.nih.gov/pubmed/16259308","PubMed")</f>
        <v>PubMed</v>
      </c>
      <c r="V645" s="30"/>
      <c r="W645" s="31"/>
      <c r="X645" s="31"/>
      <c r="Y645" s="31"/>
      <c r="Z645" s="32"/>
      <c r="AA645" s="31"/>
      <c r="AB645" s="31"/>
      <c r="AC645" s="9"/>
      <c r="AD645" s="31"/>
      <c r="AE645" s="31"/>
      <c r="AF645" s="33"/>
      <c r="AG645" s="34"/>
      <c r="AH645" s="31"/>
      <c r="AI645" s="35"/>
      <c r="AJ645" s="35"/>
      <c r="AK645" s="35"/>
      <c r="AL645" s="35"/>
    </row>
    <row r="646" ht="32.25" customHeight="1">
      <c r="A646" s="1"/>
      <c r="B646" s="19" t="s">
        <v>2073</v>
      </c>
      <c r="C646" s="20" t="s">
        <v>3290</v>
      </c>
      <c r="D646" s="21"/>
      <c r="E646" s="22" t="s">
        <v>3472</v>
      </c>
      <c r="F646" s="22" t="s">
        <v>3473</v>
      </c>
      <c r="G646" s="23">
        <v>1999.0</v>
      </c>
      <c r="H646" s="22" t="s">
        <v>3474</v>
      </c>
      <c r="I646" s="24" t="s">
        <v>3475</v>
      </c>
      <c r="J646" s="22" t="s">
        <v>3476</v>
      </c>
      <c r="K646" s="22"/>
      <c r="L646" s="36" t="s">
        <v>3477</v>
      </c>
      <c r="M646" s="36"/>
      <c r="N646" s="36"/>
      <c r="O646" s="36"/>
      <c r="P646" s="37"/>
      <c r="Q646" s="36"/>
      <c r="R646" s="36">
        <v>1800.0</v>
      </c>
      <c r="S646" s="36" t="s">
        <v>3478</v>
      </c>
      <c r="T646" s="28" t="s">
        <v>3479</v>
      </c>
      <c r="U646" s="38" t="str">
        <f>HYPERLINK("https://www.ncbi.nlm.nih.gov/pubmed/10418699","PubMed")</f>
        <v>PubMed</v>
      </c>
      <c r="V646" s="30"/>
      <c r="W646" s="31"/>
      <c r="X646" s="31"/>
      <c r="Y646" s="31"/>
      <c r="Z646" s="32"/>
      <c r="AA646" s="31"/>
      <c r="AB646" s="31"/>
      <c r="AC646" s="9"/>
      <c r="AD646" s="31"/>
      <c r="AE646" s="31"/>
      <c r="AF646" s="33"/>
      <c r="AG646" s="34"/>
      <c r="AH646" s="31"/>
      <c r="AI646" s="35"/>
      <c r="AJ646" s="35"/>
      <c r="AK646" s="35"/>
      <c r="AL646" s="35"/>
    </row>
    <row r="647" ht="32.25" customHeight="1">
      <c r="A647" s="1"/>
      <c r="B647" s="19" t="s">
        <v>2073</v>
      </c>
      <c r="C647" s="20" t="s">
        <v>3480</v>
      </c>
      <c r="D647" s="21"/>
      <c r="E647" s="22" t="s">
        <v>2741</v>
      </c>
      <c r="F647" s="22" t="s">
        <v>2742</v>
      </c>
      <c r="G647" s="23">
        <v>2019.0</v>
      </c>
      <c r="H647" s="22" t="s">
        <v>77</v>
      </c>
      <c r="I647" s="24" t="s">
        <v>3481</v>
      </c>
      <c r="J647" s="22" t="s">
        <v>3482</v>
      </c>
      <c r="K647" s="22" t="s">
        <v>157</v>
      </c>
      <c r="L647" s="36">
        <v>830.0</v>
      </c>
      <c r="M647" s="36"/>
      <c r="N647" s="36" t="s">
        <v>2745</v>
      </c>
      <c r="O647" s="36"/>
      <c r="P647" s="37" t="s">
        <v>2746</v>
      </c>
      <c r="Q647" s="36" t="s">
        <v>3483</v>
      </c>
      <c r="R647" s="36" t="s">
        <v>3484</v>
      </c>
      <c r="S647" s="36" t="s">
        <v>2099</v>
      </c>
      <c r="T647" s="28" t="s">
        <v>3485</v>
      </c>
      <c r="U647" s="38" t="str">
        <f>HYPERLINK("https://www.ncbi.nlm.nih.gov/pubmed/31536469","PubMed")</f>
        <v>PubMed</v>
      </c>
      <c r="V647" s="30"/>
      <c r="W647" s="31"/>
      <c r="X647" s="31"/>
      <c r="Y647" s="31"/>
      <c r="Z647" s="32"/>
      <c r="AA647" s="31"/>
      <c r="AB647" s="31"/>
      <c r="AC647" s="9"/>
      <c r="AD647" s="31"/>
      <c r="AE647" s="31"/>
      <c r="AF647" s="33"/>
      <c r="AG647" s="34"/>
      <c r="AH647" s="31"/>
      <c r="AI647" s="35"/>
      <c r="AJ647" s="35"/>
      <c r="AK647" s="35"/>
      <c r="AL647" s="35"/>
    </row>
    <row r="648" ht="32.25" customHeight="1">
      <c r="A648" s="1"/>
      <c r="B648" s="19" t="s">
        <v>2073</v>
      </c>
      <c r="C648" s="20" t="s">
        <v>3486</v>
      </c>
      <c r="D648" s="21"/>
      <c r="E648" s="22" t="s">
        <v>223</v>
      </c>
      <c r="F648" s="22" t="s">
        <v>2147</v>
      </c>
      <c r="G648" s="23">
        <v>2023.0</v>
      </c>
      <c r="H648" s="22" t="s">
        <v>2038</v>
      </c>
      <c r="I648" s="24" t="s">
        <v>3487</v>
      </c>
      <c r="J648" s="22" t="s">
        <v>55</v>
      </c>
      <c r="K648" s="22"/>
      <c r="L648" s="36">
        <v>808.0</v>
      </c>
      <c r="M648" s="36"/>
      <c r="N648" s="36" t="s">
        <v>1018</v>
      </c>
      <c r="O648" s="36">
        <v>3.0</v>
      </c>
      <c r="P648" s="37"/>
      <c r="Q648" s="36"/>
      <c r="R648" s="36">
        <v>120.0</v>
      </c>
      <c r="S648" s="36" t="s">
        <v>3488</v>
      </c>
      <c r="T648" s="28" t="s">
        <v>3489</v>
      </c>
      <c r="U648" s="38" t="s">
        <v>61</v>
      </c>
      <c r="V648" s="30"/>
      <c r="W648" s="31"/>
      <c r="X648" s="31"/>
      <c r="Y648" s="31"/>
      <c r="Z648" s="32"/>
      <c r="AA648" s="31"/>
      <c r="AB648" s="31"/>
      <c r="AC648" s="9"/>
      <c r="AD648" s="31"/>
      <c r="AE648" s="31"/>
      <c r="AF648" s="33"/>
      <c r="AG648" s="34"/>
      <c r="AH648" s="31"/>
      <c r="AI648" s="35"/>
      <c r="AJ648" s="35"/>
      <c r="AK648" s="35"/>
      <c r="AL648" s="35"/>
    </row>
    <row r="649" ht="21.75" customHeight="1">
      <c r="A649" s="1"/>
      <c r="B649" s="157" t="s">
        <v>2073</v>
      </c>
      <c r="C649" s="20" t="s">
        <v>3490</v>
      </c>
      <c r="D649" s="21"/>
      <c r="E649" s="22" t="s">
        <v>3491</v>
      </c>
      <c r="F649" s="22" t="s">
        <v>3492</v>
      </c>
      <c r="G649" s="23">
        <v>2019.0</v>
      </c>
      <c r="H649" s="22" t="s">
        <v>3493</v>
      </c>
      <c r="I649" s="24" t="s">
        <v>3494</v>
      </c>
      <c r="J649" s="22" t="s">
        <v>3495</v>
      </c>
      <c r="K649" s="22"/>
      <c r="L649" s="43"/>
      <c r="M649" s="44"/>
      <c r="N649" s="44"/>
      <c r="O649" s="44"/>
      <c r="P649" s="44"/>
      <c r="Q649" s="44"/>
      <c r="R649" s="44"/>
      <c r="S649" s="44"/>
      <c r="T649" s="45"/>
      <c r="U649" s="38" t="str">
        <f>HYPERLINK("https://www.ncbi.nlm.nih.gov/pubmed/30958037","PubMed")</f>
        <v>PubMed</v>
      </c>
      <c r="V649" s="30"/>
      <c r="W649" s="31"/>
      <c r="X649" s="31"/>
      <c r="Y649" s="31"/>
      <c r="Z649" s="32"/>
      <c r="AA649" s="31"/>
      <c r="AB649" s="31"/>
      <c r="AC649" s="9"/>
      <c r="AD649" s="31"/>
      <c r="AE649" s="31"/>
      <c r="AF649" s="33"/>
      <c r="AG649" s="34"/>
      <c r="AH649" s="31"/>
      <c r="AI649" s="35"/>
      <c r="AJ649" s="35"/>
      <c r="AK649" s="35"/>
      <c r="AL649" s="35"/>
    </row>
    <row r="650" ht="32.25" customHeight="1">
      <c r="A650" s="18"/>
      <c r="B650" s="157" t="s">
        <v>2073</v>
      </c>
      <c r="C650" s="158" t="s">
        <v>3496</v>
      </c>
      <c r="D650" s="159"/>
      <c r="E650" s="22" t="s">
        <v>3497</v>
      </c>
      <c r="F650" s="23" t="s">
        <v>128</v>
      </c>
      <c r="G650" s="23">
        <v>2024.0</v>
      </c>
      <c r="H650" s="22" t="s">
        <v>2122</v>
      </c>
      <c r="I650" s="24" t="s">
        <v>3498</v>
      </c>
      <c r="J650" s="22" t="s">
        <v>3499</v>
      </c>
      <c r="K650" s="22"/>
      <c r="L650" s="36">
        <v>1064.0</v>
      </c>
      <c r="M650" s="36"/>
      <c r="N650" s="36"/>
      <c r="O650" s="36"/>
      <c r="P650" s="37"/>
      <c r="Q650" s="36"/>
      <c r="R650" s="36">
        <v>480.0</v>
      </c>
      <c r="S650" s="36"/>
      <c r="T650" s="28" t="s">
        <v>3500</v>
      </c>
      <c r="U650" s="38" t="s">
        <v>61</v>
      </c>
      <c r="V650" s="136"/>
      <c r="W650" s="49"/>
      <c r="X650" s="49"/>
      <c r="Y650" s="35"/>
      <c r="Z650" s="35"/>
      <c r="AA650" s="35"/>
      <c r="AB650" s="35"/>
      <c r="AC650" s="35"/>
      <c r="AD650" s="35"/>
      <c r="AE650" s="35"/>
      <c r="AF650" s="35"/>
      <c r="AG650" s="35"/>
      <c r="AH650" s="35"/>
      <c r="AI650" s="35"/>
      <c r="AJ650" s="35"/>
      <c r="AK650" s="35"/>
      <c r="AL650" s="35"/>
    </row>
    <row r="651" ht="32.25" customHeight="1">
      <c r="A651" s="18"/>
      <c r="B651" s="157" t="s">
        <v>2073</v>
      </c>
      <c r="C651" s="158" t="s">
        <v>3496</v>
      </c>
      <c r="D651" s="159"/>
      <c r="E651" s="22" t="s">
        <v>3501</v>
      </c>
      <c r="F651" s="23" t="s">
        <v>28</v>
      </c>
      <c r="G651" s="23">
        <v>2024.0</v>
      </c>
      <c r="H651" s="22" t="s">
        <v>2181</v>
      </c>
      <c r="I651" s="24" t="s">
        <v>3502</v>
      </c>
      <c r="J651" s="22" t="s">
        <v>3503</v>
      </c>
      <c r="K651" s="22"/>
      <c r="L651" s="36">
        <v>800.0</v>
      </c>
      <c r="M651" s="36"/>
      <c r="N651" s="36"/>
      <c r="O651" s="36"/>
      <c r="P651" s="37"/>
      <c r="Q651" s="36"/>
      <c r="R651" s="36"/>
      <c r="S651" s="36"/>
      <c r="T651" s="28" t="s">
        <v>3504</v>
      </c>
      <c r="U651" s="38" t="s">
        <v>61</v>
      </c>
      <c r="V651" s="136"/>
      <c r="W651" s="49"/>
      <c r="X651" s="49"/>
      <c r="Y651" s="35"/>
      <c r="Z651" s="35"/>
      <c r="AA651" s="35"/>
      <c r="AB651" s="35"/>
      <c r="AC651" s="35"/>
      <c r="AD651" s="35"/>
      <c r="AE651" s="35"/>
      <c r="AF651" s="35"/>
      <c r="AG651" s="35"/>
      <c r="AH651" s="35"/>
      <c r="AI651" s="35"/>
      <c r="AJ651" s="35"/>
      <c r="AK651" s="35"/>
      <c r="AL651" s="35"/>
    </row>
    <row r="652" ht="32.25" customHeight="1">
      <c r="A652" s="18"/>
      <c r="B652" s="157" t="s">
        <v>2073</v>
      </c>
      <c r="C652" s="158" t="s">
        <v>3496</v>
      </c>
      <c r="D652" s="159"/>
      <c r="E652" s="22" t="s">
        <v>3505</v>
      </c>
      <c r="F652" s="23" t="s">
        <v>28</v>
      </c>
      <c r="G652" s="23">
        <v>2023.0</v>
      </c>
      <c r="H652" s="22" t="s">
        <v>2122</v>
      </c>
      <c r="I652" s="24" t="s">
        <v>3506</v>
      </c>
      <c r="J652" s="22" t="s">
        <v>3507</v>
      </c>
      <c r="K652" s="22"/>
      <c r="L652" s="36">
        <v>1064.0</v>
      </c>
      <c r="M652" s="36"/>
      <c r="N652" s="36"/>
      <c r="O652" s="36"/>
      <c r="P652" s="37"/>
      <c r="Q652" s="36"/>
      <c r="R652" s="36">
        <v>480.0</v>
      </c>
      <c r="S652" s="36" t="s">
        <v>3508</v>
      </c>
      <c r="T652" s="28" t="s">
        <v>3509</v>
      </c>
      <c r="U652" s="38" t="s">
        <v>61</v>
      </c>
      <c r="V652" s="136"/>
      <c r="W652" s="49"/>
      <c r="X652" s="49"/>
      <c r="Y652" s="35"/>
      <c r="Z652" s="35"/>
      <c r="AA652" s="35"/>
      <c r="AB652" s="35"/>
      <c r="AC652" s="35"/>
      <c r="AD652" s="35"/>
      <c r="AE652" s="35"/>
      <c r="AF652" s="35"/>
      <c r="AG652" s="35"/>
      <c r="AH652" s="35"/>
      <c r="AI652" s="35"/>
      <c r="AJ652" s="35"/>
      <c r="AK652" s="35"/>
      <c r="AL652" s="35"/>
    </row>
    <row r="653" ht="42.0" customHeight="1">
      <c r="A653" s="1"/>
      <c r="B653" s="157" t="s">
        <v>2073</v>
      </c>
      <c r="C653" s="158" t="s">
        <v>3496</v>
      </c>
      <c r="D653" s="21"/>
      <c r="E653" s="22" t="s">
        <v>3510</v>
      </c>
      <c r="F653" s="22" t="s">
        <v>3511</v>
      </c>
      <c r="G653" s="23">
        <v>2023.0</v>
      </c>
      <c r="H653" s="22" t="s">
        <v>3512</v>
      </c>
      <c r="I653" s="24" t="s">
        <v>3513</v>
      </c>
      <c r="J653" s="22" t="s">
        <v>3514</v>
      </c>
      <c r="K653" s="22"/>
      <c r="L653" s="105" t="s">
        <v>3515</v>
      </c>
      <c r="M653" s="44"/>
      <c r="N653" s="44"/>
      <c r="O653" s="44"/>
      <c r="P653" s="44"/>
      <c r="Q653" s="44"/>
      <c r="R653" s="44"/>
      <c r="S653" s="44"/>
      <c r="T653" s="45"/>
      <c r="U653" s="38" t="s">
        <v>61</v>
      </c>
      <c r="V653" s="30"/>
      <c r="W653" s="31"/>
      <c r="X653" s="31"/>
      <c r="Y653" s="31"/>
      <c r="Z653" s="32"/>
      <c r="AA653" s="31"/>
      <c r="AB653" s="31"/>
      <c r="AC653" s="9"/>
      <c r="AD653" s="31"/>
      <c r="AE653" s="31"/>
      <c r="AF653" s="33"/>
      <c r="AG653" s="34"/>
      <c r="AH653" s="31"/>
      <c r="AI653" s="35"/>
      <c r="AJ653" s="35"/>
      <c r="AK653" s="35"/>
      <c r="AL653" s="35"/>
    </row>
    <row r="654" ht="32.25" customHeight="1">
      <c r="A654" s="18"/>
      <c r="B654" s="157" t="s">
        <v>2073</v>
      </c>
      <c r="C654" s="158" t="s">
        <v>3496</v>
      </c>
      <c r="D654" s="159"/>
      <c r="E654" s="22" t="s">
        <v>3516</v>
      </c>
      <c r="F654" s="23" t="s">
        <v>28</v>
      </c>
      <c r="G654" s="23">
        <v>2023.0</v>
      </c>
      <c r="H654" s="22" t="s">
        <v>318</v>
      </c>
      <c r="I654" s="24" t="s">
        <v>3517</v>
      </c>
      <c r="J654" s="22" t="s">
        <v>3518</v>
      </c>
      <c r="K654" s="22" t="s">
        <v>157</v>
      </c>
      <c r="L654" s="36" t="s">
        <v>3519</v>
      </c>
      <c r="M654" s="36" t="s">
        <v>58</v>
      </c>
      <c r="N654" s="36" t="s">
        <v>2325</v>
      </c>
      <c r="O654" s="36">
        <v>576.0</v>
      </c>
      <c r="P654" s="37" t="s">
        <v>58</v>
      </c>
      <c r="Q654" s="36" t="s">
        <v>3520</v>
      </c>
      <c r="R654" s="36">
        <v>600.0</v>
      </c>
      <c r="S654" s="36" t="s">
        <v>2099</v>
      </c>
      <c r="T654" s="28" t="s">
        <v>3521</v>
      </c>
      <c r="U654" s="38" t="s">
        <v>61</v>
      </c>
      <c r="V654" s="136"/>
      <c r="W654" s="49"/>
      <c r="X654" s="49"/>
      <c r="Y654" s="35"/>
      <c r="Z654" s="35"/>
      <c r="AA654" s="35"/>
      <c r="AB654" s="35"/>
      <c r="AC654" s="35"/>
      <c r="AD654" s="35"/>
      <c r="AE654" s="35"/>
      <c r="AF654" s="35"/>
      <c r="AG654" s="35"/>
      <c r="AH654" s="35"/>
      <c r="AI654" s="35"/>
      <c r="AJ654" s="35"/>
      <c r="AK654" s="35"/>
      <c r="AL654" s="35"/>
    </row>
    <row r="655" ht="32.25" customHeight="1">
      <c r="A655" s="18" t="s">
        <v>38</v>
      </c>
      <c r="B655" s="157" t="s">
        <v>2073</v>
      </c>
      <c r="C655" s="158" t="s">
        <v>3496</v>
      </c>
      <c r="D655" s="159"/>
      <c r="E655" s="22" t="s">
        <v>2275</v>
      </c>
      <c r="F655" s="23" t="s">
        <v>3522</v>
      </c>
      <c r="G655" s="23">
        <v>2023.0</v>
      </c>
      <c r="H655" s="22" t="s">
        <v>3523</v>
      </c>
      <c r="I655" s="24" t="s">
        <v>3524</v>
      </c>
      <c r="J655" s="22" t="s">
        <v>3525</v>
      </c>
      <c r="K655" s="22" t="s">
        <v>3526</v>
      </c>
      <c r="L655" s="36">
        <v>830.0</v>
      </c>
      <c r="M655" s="36" t="s">
        <v>3527</v>
      </c>
      <c r="N655" s="36" t="s">
        <v>58</v>
      </c>
      <c r="O655" s="36" t="s">
        <v>3528</v>
      </c>
      <c r="P655" s="37" t="s">
        <v>58</v>
      </c>
      <c r="Q655" s="36" t="s">
        <v>58</v>
      </c>
      <c r="R655" s="36">
        <v>600.0</v>
      </c>
      <c r="S655" s="36">
        <v>1.0</v>
      </c>
      <c r="T655" s="28" t="s">
        <v>3529</v>
      </c>
      <c r="U655" s="38" t="s">
        <v>61</v>
      </c>
      <c r="V655" s="136" t="s">
        <v>3530</v>
      </c>
      <c r="W655" s="49"/>
      <c r="X655" s="49"/>
      <c r="Y655" s="35"/>
      <c r="Z655" s="35"/>
      <c r="AA655" s="35"/>
      <c r="AB655" s="35"/>
      <c r="AC655" s="35"/>
      <c r="AD655" s="35"/>
      <c r="AE655" s="35"/>
      <c r="AF655" s="35"/>
      <c r="AG655" s="35"/>
      <c r="AH655" s="35"/>
      <c r="AI655" s="35"/>
      <c r="AJ655" s="35"/>
      <c r="AK655" s="35"/>
      <c r="AL655" s="35"/>
    </row>
    <row r="656" ht="32.25" customHeight="1">
      <c r="A656" s="40"/>
      <c r="B656" s="157" t="s">
        <v>2073</v>
      </c>
      <c r="C656" s="158" t="s">
        <v>3496</v>
      </c>
      <c r="D656" s="159"/>
      <c r="E656" s="22" t="s">
        <v>3501</v>
      </c>
      <c r="F656" s="23" t="s">
        <v>28</v>
      </c>
      <c r="G656" s="23">
        <v>2022.0</v>
      </c>
      <c r="H656" s="22" t="s">
        <v>3531</v>
      </c>
      <c r="I656" s="24" t="s">
        <v>3532</v>
      </c>
      <c r="J656" s="22" t="s">
        <v>3533</v>
      </c>
      <c r="K656" s="22"/>
      <c r="L656" s="36">
        <v>1064.0</v>
      </c>
      <c r="M656" s="36"/>
      <c r="N656" s="36" t="s">
        <v>3534</v>
      </c>
      <c r="O656" s="36" t="s">
        <v>3535</v>
      </c>
      <c r="P656" s="37" t="s">
        <v>3536</v>
      </c>
      <c r="Q656" s="107"/>
      <c r="R656" s="36"/>
      <c r="S656" s="36" t="s">
        <v>3537</v>
      </c>
      <c r="T656" s="28" t="s">
        <v>3538</v>
      </c>
      <c r="U656" s="38" t="s">
        <v>61</v>
      </c>
      <c r="V656" s="136" t="s">
        <v>174</v>
      </c>
      <c r="W656" s="49"/>
      <c r="X656" s="49"/>
      <c r="Y656" s="35"/>
      <c r="Z656" s="35"/>
      <c r="AA656" s="35"/>
      <c r="AB656" s="35"/>
      <c r="AC656" s="35"/>
      <c r="AD656" s="35"/>
      <c r="AE656" s="35"/>
      <c r="AF656" s="35"/>
      <c r="AG656" s="35"/>
      <c r="AH656" s="35"/>
      <c r="AI656" s="35"/>
      <c r="AJ656" s="35"/>
      <c r="AK656" s="35"/>
      <c r="AL656" s="35"/>
    </row>
    <row r="657" ht="32.25" customHeight="1">
      <c r="A657" s="40"/>
      <c r="B657" s="157" t="s">
        <v>2073</v>
      </c>
      <c r="C657" s="158" t="s">
        <v>3496</v>
      </c>
      <c r="D657" s="159"/>
      <c r="E657" s="22" t="s">
        <v>626</v>
      </c>
      <c r="F657" s="23" t="s">
        <v>28</v>
      </c>
      <c r="G657" s="23">
        <v>2022.0</v>
      </c>
      <c r="H657" s="22" t="s">
        <v>3539</v>
      </c>
      <c r="I657" s="24" t="s">
        <v>3540</v>
      </c>
      <c r="J657" s="22" t="s">
        <v>3541</v>
      </c>
      <c r="K657" s="22"/>
      <c r="L657" s="36">
        <v>1064.0</v>
      </c>
      <c r="M657" s="36"/>
      <c r="N657" s="36" t="s">
        <v>3542</v>
      </c>
      <c r="O657" s="107"/>
      <c r="P657" s="109"/>
      <c r="Q657" s="107"/>
      <c r="R657" s="36">
        <v>480.0</v>
      </c>
      <c r="S657" s="36" t="s">
        <v>3537</v>
      </c>
      <c r="T657" s="28" t="s">
        <v>3543</v>
      </c>
      <c r="U657" s="29" t="s">
        <v>61</v>
      </c>
      <c r="V657" s="136"/>
      <c r="W657" s="49"/>
      <c r="X657" s="49"/>
      <c r="Y657" s="35"/>
      <c r="Z657" s="35"/>
      <c r="AA657" s="35"/>
      <c r="AB657" s="35"/>
      <c r="AC657" s="35"/>
      <c r="AD657" s="35"/>
      <c r="AE657" s="35"/>
      <c r="AF657" s="35"/>
      <c r="AG657" s="35"/>
      <c r="AH657" s="35"/>
      <c r="AI657" s="35"/>
      <c r="AJ657" s="35"/>
      <c r="AK657" s="35"/>
      <c r="AL657" s="35"/>
    </row>
    <row r="658" ht="32.25" customHeight="1">
      <c r="A658" s="40"/>
      <c r="B658" s="157" t="s">
        <v>2073</v>
      </c>
      <c r="C658" s="158" t="s">
        <v>3496</v>
      </c>
      <c r="D658" s="159"/>
      <c r="E658" s="22" t="s">
        <v>626</v>
      </c>
      <c r="F658" s="23" t="s">
        <v>28</v>
      </c>
      <c r="G658" s="23">
        <v>2021.0</v>
      </c>
      <c r="H658" s="22" t="s">
        <v>2181</v>
      </c>
      <c r="I658" s="24" t="s">
        <v>3544</v>
      </c>
      <c r="J658" s="22" t="s">
        <v>3545</v>
      </c>
      <c r="K658" s="22" t="s">
        <v>3546</v>
      </c>
      <c r="L658" s="36">
        <v>1064.0</v>
      </c>
      <c r="M658" s="36"/>
      <c r="N658" s="129"/>
      <c r="O658" s="107"/>
      <c r="P658" s="109"/>
      <c r="Q658" s="107"/>
      <c r="R658" s="36">
        <v>480.0</v>
      </c>
      <c r="S658" s="36" t="s">
        <v>3537</v>
      </c>
      <c r="T658" s="28" t="s">
        <v>3547</v>
      </c>
      <c r="U658" s="29" t="s">
        <v>61</v>
      </c>
      <c r="V658" s="136"/>
      <c r="W658" s="49"/>
      <c r="X658" s="49"/>
      <c r="Y658" s="35"/>
      <c r="Z658" s="35"/>
      <c r="AA658" s="35"/>
      <c r="AB658" s="35"/>
      <c r="AC658" s="35"/>
      <c r="AD658" s="35"/>
      <c r="AE658" s="35"/>
      <c r="AF658" s="35"/>
      <c r="AG658" s="35"/>
      <c r="AH658" s="35"/>
      <c r="AI658" s="35"/>
      <c r="AJ658" s="35"/>
      <c r="AK658" s="35"/>
      <c r="AL658" s="35"/>
    </row>
    <row r="659" ht="32.25" customHeight="1">
      <c r="A659" s="40"/>
      <c r="B659" s="157" t="s">
        <v>2073</v>
      </c>
      <c r="C659" s="158" t="s">
        <v>3496</v>
      </c>
      <c r="D659" s="159"/>
      <c r="E659" s="22" t="s">
        <v>3548</v>
      </c>
      <c r="F659" s="23" t="s">
        <v>2445</v>
      </c>
      <c r="G659" s="23">
        <v>2021.0</v>
      </c>
      <c r="H659" s="22" t="s">
        <v>3531</v>
      </c>
      <c r="I659" s="24" t="s">
        <v>3549</v>
      </c>
      <c r="J659" s="22" t="s">
        <v>3550</v>
      </c>
      <c r="K659" s="22" t="s">
        <v>157</v>
      </c>
      <c r="L659" s="36">
        <v>850.0</v>
      </c>
      <c r="M659" s="36" t="s">
        <v>3551</v>
      </c>
      <c r="N659" s="36" t="s">
        <v>3121</v>
      </c>
      <c r="O659" s="36">
        <v>60.0</v>
      </c>
      <c r="P659" s="109"/>
      <c r="Q659" s="107"/>
      <c r="R659" s="36">
        <v>150.0</v>
      </c>
      <c r="S659" s="36" t="s">
        <v>811</v>
      </c>
      <c r="T659" s="28" t="s">
        <v>3552</v>
      </c>
      <c r="U659" s="29" t="s">
        <v>61</v>
      </c>
      <c r="V659" s="136"/>
      <c r="W659" s="49"/>
      <c r="X659" s="49"/>
      <c r="Y659" s="35"/>
      <c r="Z659" s="35"/>
      <c r="AA659" s="35"/>
      <c r="AB659" s="35"/>
      <c r="AC659" s="35"/>
      <c r="AD659" s="35"/>
      <c r="AE659" s="35"/>
      <c r="AF659" s="35"/>
      <c r="AG659" s="35"/>
      <c r="AH659" s="35"/>
      <c r="AI659" s="35"/>
      <c r="AJ659" s="35"/>
      <c r="AK659" s="35"/>
      <c r="AL659" s="35"/>
    </row>
    <row r="660" ht="32.25" customHeight="1">
      <c r="A660" s="40"/>
      <c r="B660" s="157" t="s">
        <v>2073</v>
      </c>
      <c r="C660" s="158" t="s">
        <v>3496</v>
      </c>
      <c r="D660" s="159"/>
      <c r="E660" s="22" t="s">
        <v>626</v>
      </c>
      <c r="F660" s="23" t="s">
        <v>28</v>
      </c>
      <c r="G660" s="23">
        <v>2019.0</v>
      </c>
      <c r="H660" s="22" t="s">
        <v>3166</v>
      </c>
      <c r="I660" s="24" t="s">
        <v>3553</v>
      </c>
      <c r="J660" s="22" t="s">
        <v>3554</v>
      </c>
      <c r="K660" s="22"/>
      <c r="L660" s="36">
        <v>1064.0</v>
      </c>
      <c r="M660" s="36"/>
      <c r="N660" s="36" t="s">
        <v>3555</v>
      </c>
      <c r="O660" s="36">
        <v>1455.0</v>
      </c>
      <c r="P660" s="37" t="s">
        <v>3556</v>
      </c>
      <c r="Q660" s="36" t="s">
        <v>3557</v>
      </c>
      <c r="R660" s="36">
        <v>660.0</v>
      </c>
      <c r="S660" s="36" t="s">
        <v>3558</v>
      </c>
      <c r="T660" s="28" t="s">
        <v>3559</v>
      </c>
      <c r="U660" s="29" t="s">
        <v>61</v>
      </c>
      <c r="V660" s="136"/>
      <c r="W660" s="49"/>
      <c r="X660" s="49"/>
      <c r="Y660" s="35"/>
      <c r="Z660" s="35"/>
      <c r="AA660" s="35"/>
      <c r="AB660" s="35"/>
      <c r="AC660" s="35"/>
      <c r="AD660" s="35"/>
      <c r="AE660" s="35"/>
      <c r="AF660" s="35"/>
      <c r="AG660" s="35"/>
      <c r="AH660" s="35"/>
      <c r="AI660" s="35"/>
      <c r="AJ660" s="35"/>
      <c r="AK660" s="35"/>
      <c r="AL660" s="35"/>
    </row>
    <row r="661" ht="32.25" customHeight="1">
      <c r="A661" s="40"/>
      <c r="B661" s="157" t="s">
        <v>2073</v>
      </c>
      <c r="C661" s="158" t="s">
        <v>3496</v>
      </c>
      <c r="D661" s="159"/>
      <c r="E661" s="22" t="s">
        <v>3560</v>
      </c>
      <c r="F661" s="23" t="s">
        <v>1046</v>
      </c>
      <c r="G661" s="23">
        <v>2019.0</v>
      </c>
      <c r="H661" s="22" t="s">
        <v>91</v>
      </c>
      <c r="I661" s="24" t="s">
        <v>3561</v>
      </c>
      <c r="J661" s="22" t="s">
        <v>3562</v>
      </c>
      <c r="K661" s="22" t="s">
        <v>157</v>
      </c>
      <c r="L661" s="36">
        <v>850.0</v>
      </c>
      <c r="M661" s="36">
        <v>400.0</v>
      </c>
      <c r="N661" s="36" t="s">
        <v>3121</v>
      </c>
      <c r="O661" s="107"/>
      <c r="P661" s="37" t="s">
        <v>1028</v>
      </c>
      <c r="Q661" s="36" t="s">
        <v>3563</v>
      </c>
      <c r="R661" s="36">
        <v>150.0</v>
      </c>
      <c r="S661" s="36">
        <v>1.0</v>
      </c>
      <c r="T661" s="42" t="s">
        <v>3564</v>
      </c>
      <c r="U661" s="38" t="str">
        <f>HYPERLINK("https://www.ncbi.nlm.nih.gov/pubmed/31011865","PubMed")</f>
        <v>PubMed</v>
      </c>
      <c r="V661" s="136" t="s">
        <v>3565</v>
      </c>
      <c r="W661" s="49"/>
      <c r="X661" s="49"/>
      <c r="Y661" s="35"/>
      <c r="Z661" s="35"/>
      <c r="AA661" s="35"/>
      <c r="AB661" s="35"/>
      <c r="AC661" s="35"/>
      <c r="AD661" s="35"/>
      <c r="AE661" s="35"/>
      <c r="AF661" s="35"/>
      <c r="AG661" s="35"/>
      <c r="AH661" s="35"/>
      <c r="AI661" s="35"/>
      <c r="AJ661" s="35"/>
      <c r="AK661" s="35"/>
      <c r="AL661" s="35"/>
    </row>
    <row r="662" ht="32.25" customHeight="1">
      <c r="A662" s="40"/>
      <c r="B662" s="157" t="s">
        <v>2073</v>
      </c>
      <c r="C662" s="158" t="s">
        <v>3496</v>
      </c>
      <c r="D662" s="159"/>
      <c r="E662" s="22" t="s">
        <v>3566</v>
      </c>
      <c r="F662" s="23" t="s">
        <v>2445</v>
      </c>
      <c r="G662" s="23">
        <v>2019.0</v>
      </c>
      <c r="H662" s="22" t="s">
        <v>2181</v>
      </c>
      <c r="I662" s="24" t="s">
        <v>3567</v>
      </c>
      <c r="J662" s="22" t="s">
        <v>3568</v>
      </c>
      <c r="K662" s="22" t="s">
        <v>157</v>
      </c>
      <c r="L662" s="36" t="s">
        <v>3569</v>
      </c>
      <c r="M662" s="36"/>
      <c r="N662" s="129"/>
      <c r="O662" s="36">
        <v>240.0</v>
      </c>
      <c r="P662" s="37" t="s">
        <v>3570</v>
      </c>
      <c r="Q662" s="107"/>
      <c r="R662" s="36">
        <v>1200.0</v>
      </c>
      <c r="S662" s="36">
        <v>1.0</v>
      </c>
      <c r="T662" s="28" t="s">
        <v>3571</v>
      </c>
      <c r="U662" s="38" t="str">
        <f>HYPERLINK("https://www.ncbi.nlm.nih.gov/pubmed/31004126","PubMed")</f>
        <v>PubMed</v>
      </c>
      <c r="V662" s="136" t="s">
        <v>2497</v>
      </c>
      <c r="W662" s="49"/>
      <c r="X662" s="49"/>
      <c r="Y662" s="35"/>
      <c r="Z662" s="35"/>
      <c r="AA662" s="35"/>
      <c r="AB662" s="35"/>
      <c r="AC662" s="35"/>
      <c r="AD662" s="35"/>
      <c r="AE662" s="35"/>
      <c r="AF662" s="35"/>
      <c r="AG662" s="35"/>
      <c r="AH662" s="35"/>
      <c r="AI662" s="35"/>
      <c r="AJ662" s="35"/>
      <c r="AK662" s="35"/>
      <c r="AL662" s="35"/>
    </row>
    <row r="663" ht="32.25" customHeight="1">
      <c r="A663" s="40"/>
      <c r="B663" s="157" t="s">
        <v>2073</v>
      </c>
      <c r="C663" s="158" t="s">
        <v>3496</v>
      </c>
      <c r="D663" s="159"/>
      <c r="E663" s="22" t="s">
        <v>3572</v>
      </c>
      <c r="F663" s="23" t="s">
        <v>3522</v>
      </c>
      <c r="G663" s="23">
        <v>2013.0</v>
      </c>
      <c r="H663" s="22" t="s">
        <v>300</v>
      </c>
      <c r="I663" s="24" t="s">
        <v>3573</v>
      </c>
      <c r="J663" s="22" t="s">
        <v>3574</v>
      </c>
      <c r="K663" s="22"/>
      <c r="L663" s="36">
        <v>830.0</v>
      </c>
      <c r="M663" s="36">
        <v>42.0</v>
      </c>
      <c r="N663" s="129"/>
      <c r="O663" s="107"/>
      <c r="P663" s="37" t="s">
        <v>287</v>
      </c>
      <c r="Q663" s="36" t="s">
        <v>3575</v>
      </c>
      <c r="R663" s="36">
        <v>600.0</v>
      </c>
      <c r="S663" s="36" t="s">
        <v>3576</v>
      </c>
      <c r="T663" s="28" t="s">
        <v>3577</v>
      </c>
      <c r="U663" s="38" t="str">
        <f>HYPERLINK("https://www.ncbi.nlm.nih.gov/pubmed/24288562","PubMed")</f>
        <v>PubMed</v>
      </c>
      <c r="V663" s="139"/>
      <c r="W663" s="49"/>
      <c r="X663" s="49"/>
      <c r="Y663" s="35"/>
      <c r="Z663" s="35"/>
      <c r="AA663" s="35"/>
      <c r="AB663" s="35"/>
      <c r="AC663" s="35"/>
      <c r="AD663" s="35"/>
      <c r="AE663" s="35"/>
      <c r="AF663" s="35"/>
      <c r="AG663" s="35"/>
      <c r="AH663" s="35"/>
      <c r="AI663" s="35"/>
      <c r="AJ663" s="35"/>
      <c r="AK663" s="35"/>
      <c r="AL663" s="35"/>
    </row>
    <row r="664" ht="32.25" customHeight="1">
      <c r="A664" s="40"/>
      <c r="B664" s="157" t="s">
        <v>2073</v>
      </c>
      <c r="C664" s="158" t="s">
        <v>3496</v>
      </c>
      <c r="D664" s="159"/>
      <c r="E664" s="22" t="s">
        <v>2275</v>
      </c>
      <c r="F664" s="23" t="s">
        <v>3522</v>
      </c>
      <c r="G664" s="23">
        <v>2012.0</v>
      </c>
      <c r="H664" s="22" t="s">
        <v>300</v>
      </c>
      <c r="I664" s="24" t="s">
        <v>3578</v>
      </c>
      <c r="J664" s="22" t="s">
        <v>3579</v>
      </c>
      <c r="K664" s="22"/>
      <c r="L664" s="36">
        <v>830.0</v>
      </c>
      <c r="M664" s="36">
        <v>7.0</v>
      </c>
      <c r="N664" s="129"/>
      <c r="O664" s="107"/>
      <c r="P664" s="109"/>
      <c r="Q664" s="36" t="s">
        <v>3580</v>
      </c>
      <c r="R664" s="36">
        <v>600.0</v>
      </c>
      <c r="S664" s="36" t="s">
        <v>3581</v>
      </c>
      <c r="T664" s="28" t="s">
        <v>3582</v>
      </c>
      <c r="U664" s="38" t="str">
        <f>HYPERLINK("https://www.ncbi.nlm.nih.gov/pubmed/22973409","PubMed")</f>
        <v>PubMed</v>
      </c>
      <c r="V664" s="139"/>
      <c r="W664" s="49"/>
      <c r="X664" s="49"/>
      <c r="Y664" s="35"/>
      <c r="Z664" s="35"/>
      <c r="AA664" s="35"/>
      <c r="AB664" s="35"/>
      <c r="AC664" s="35"/>
      <c r="AD664" s="35"/>
      <c r="AE664" s="35"/>
      <c r="AF664" s="35"/>
      <c r="AG664" s="35"/>
      <c r="AH664" s="35"/>
      <c r="AI664" s="35"/>
      <c r="AJ664" s="35"/>
      <c r="AK664" s="35"/>
      <c r="AL664" s="35"/>
    </row>
    <row r="665" ht="32.25" customHeight="1">
      <c r="A665" s="40"/>
      <c r="B665" s="157" t="s">
        <v>2073</v>
      </c>
      <c r="C665" s="158" t="s">
        <v>3583</v>
      </c>
      <c r="D665" s="159"/>
      <c r="E665" s="22" t="s">
        <v>1648</v>
      </c>
      <c r="F665" s="23" t="s">
        <v>1905</v>
      </c>
      <c r="G665" s="23">
        <v>2023.0</v>
      </c>
      <c r="H665" s="22" t="s">
        <v>3584</v>
      </c>
      <c r="I665" s="24" t="s">
        <v>3585</v>
      </c>
      <c r="J665" s="22" t="s">
        <v>44</v>
      </c>
      <c r="K665" s="22"/>
      <c r="L665" s="52" t="s">
        <v>3586</v>
      </c>
      <c r="M665" s="52"/>
      <c r="N665" s="52" t="s">
        <v>3587</v>
      </c>
      <c r="O665" s="192"/>
      <c r="P665" s="189" t="s">
        <v>3588</v>
      </c>
      <c r="Q665" s="52"/>
      <c r="R665" s="52">
        <v>380.0</v>
      </c>
      <c r="S665" s="52">
        <v>1.0</v>
      </c>
      <c r="T665" s="28" t="s">
        <v>3589</v>
      </c>
      <c r="U665" s="38" t="s">
        <v>61</v>
      </c>
      <c r="V665" s="139"/>
      <c r="W665" s="49"/>
      <c r="X665" s="49"/>
      <c r="Y665" s="35"/>
      <c r="Z665" s="35"/>
      <c r="AA665" s="35"/>
      <c r="AB665" s="35"/>
      <c r="AC665" s="35"/>
      <c r="AD665" s="35"/>
      <c r="AE665" s="35"/>
      <c r="AF665" s="35"/>
      <c r="AG665" s="35"/>
      <c r="AH665" s="35"/>
      <c r="AI665" s="35"/>
      <c r="AJ665" s="35"/>
      <c r="AK665" s="35"/>
      <c r="AL665" s="35"/>
    </row>
    <row r="666" ht="32.25" customHeight="1">
      <c r="A666" s="40"/>
      <c r="B666" s="157" t="s">
        <v>2073</v>
      </c>
      <c r="C666" s="158" t="s">
        <v>3583</v>
      </c>
      <c r="D666" s="159"/>
      <c r="E666" s="22" t="s">
        <v>3590</v>
      </c>
      <c r="F666" s="23" t="s">
        <v>2665</v>
      </c>
      <c r="G666" s="23">
        <v>2023.0</v>
      </c>
      <c r="H666" s="22" t="s">
        <v>2225</v>
      </c>
      <c r="I666" s="24" t="s">
        <v>3591</v>
      </c>
      <c r="J666" s="22" t="s">
        <v>125</v>
      </c>
      <c r="K666" s="22"/>
      <c r="L666" s="173" t="s">
        <v>3592</v>
      </c>
      <c r="U666" s="38" t="s">
        <v>61</v>
      </c>
      <c r="V666" s="139"/>
      <c r="W666" s="49"/>
      <c r="X666" s="49"/>
      <c r="Y666" s="35"/>
      <c r="Z666" s="35"/>
      <c r="AA666" s="35"/>
      <c r="AB666" s="35"/>
      <c r="AC666" s="35"/>
      <c r="AD666" s="35"/>
      <c r="AE666" s="35"/>
      <c r="AF666" s="35"/>
      <c r="AG666" s="35"/>
      <c r="AH666" s="35"/>
      <c r="AI666" s="35"/>
      <c r="AJ666" s="35"/>
      <c r="AK666" s="35"/>
      <c r="AL666" s="35"/>
    </row>
    <row r="667" ht="32.25" customHeight="1">
      <c r="A667" s="40"/>
      <c r="B667" s="157" t="s">
        <v>2073</v>
      </c>
      <c r="C667" s="158" t="s">
        <v>3583</v>
      </c>
      <c r="D667" s="159"/>
      <c r="E667" s="22" t="s">
        <v>1648</v>
      </c>
      <c r="F667" s="23" t="s">
        <v>1905</v>
      </c>
      <c r="G667" s="23">
        <v>2022.0</v>
      </c>
      <c r="H667" s="22" t="s">
        <v>2181</v>
      </c>
      <c r="I667" s="24" t="s">
        <v>3593</v>
      </c>
      <c r="J667" s="22" t="s">
        <v>44</v>
      </c>
      <c r="K667" s="22"/>
      <c r="L667" s="52">
        <v>830.0</v>
      </c>
      <c r="M667" s="52"/>
      <c r="N667" s="52" t="s">
        <v>3594</v>
      </c>
      <c r="O667" s="192"/>
      <c r="P667" s="189" t="s">
        <v>2659</v>
      </c>
      <c r="Q667" s="52" t="s">
        <v>3595</v>
      </c>
      <c r="R667" s="52">
        <v>720.0</v>
      </c>
      <c r="S667" s="52" t="s">
        <v>3596</v>
      </c>
      <c r="T667" s="28" t="s">
        <v>3597</v>
      </c>
      <c r="U667" s="38" t="s">
        <v>61</v>
      </c>
      <c r="V667" s="139"/>
      <c r="W667" s="49"/>
      <c r="X667" s="49"/>
      <c r="Y667" s="35"/>
      <c r="Z667" s="35"/>
      <c r="AA667" s="35"/>
      <c r="AB667" s="35"/>
      <c r="AC667" s="35"/>
      <c r="AD667" s="35"/>
      <c r="AE667" s="35"/>
      <c r="AF667" s="35"/>
      <c r="AG667" s="35"/>
      <c r="AH667" s="35"/>
      <c r="AI667" s="35"/>
      <c r="AJ667" s="35"/>
      <c r="AK667" s="35"/>
      <c r="AL667" s="35"/>
    </row>
    <row r="668" ht="32.25" customHeight="1">
      <c r="A668" s="40"/>
      <c r="B668" s="157" t="s">
        <v>2073</v>
      </c>
      <c r="C668" s="158" t="s">
        <v>3583</v>
      </c>
      <c r="D668" s="159"/>
      <c r="E668" s="22" t="s">
        <v>1671</v>
      </c>
      <c r="F668" s="23" t="s">
        <v>358</v>
      </c>
      <c r="G668" s="23">
        <v>2022.0</v>
      </c>
      <c r="H668" s="22" t="s">
        <v>2139</v>
      </c>
      <c r="I668" s="24" t="s">
        <v>3598</v>
      </c>
      <c r="J668" s="22" t="s">
        <v>125</v>
      </c>
      <c r="K668" s="22"/>
      <c r="L668" s="28" t="s">
        <v>3599</v>
      </c>
      <c r="U668" s="29" t="s">
        <v>61</v>
      </c>
      <c r="V668" s="139"/>
      <c r="W668" s="49"/>
      <c r="X668" s="49"/>
      <c r="Y668" s="35"/>
      <c r="Z668" s="35"/>
      <c r="AA668" s="35"/>
      <c r="AB668" s="35"/>
      <c r="AC668" s="35"/>
      <c r="AD668" s="35"/>
      <c r="AE668" s="35"/>
      <c r="AF668" s="35"/>
      <c r="AG668" s="35"/>
      <c r="AH668" s="35"/>
      <c r="AI668" s="35"/>
      <c r="AJ668" s="35"/>
      <c r="AK668" s="35"/>
      <c r="AL668" s="35"/>
    </row>
    <row r="669" ht="32.25" customHeight="1">
      <c r="A669" s="40"/>
      <c r="B669" s="157" t="s">
        <v>2073</v>
      </c>
      <c r="C669" s="158" t="s">
        <v>3583</v>
      </c>
      <c r="D669" s="159"/>
      <c r="E669" s="22" t="s">
        <v>3457</v>
      </c>
      <c r="F669" s="23" t="s">
        <v>206</v>
      </c>
      <c r="G669" s="23">
        <v>2022.0</v>
      </c>
      <c r="H669" s="22" t="s">
        <v>3166</v>
      </c>
      <c r="I669" s="24" t="s">
        <v>3600</v>
      </c>
      <c r="J669" s="22" t="s">
        <v>55</v>
      </c>
      <c r="K669" s="22"/>
      <c r="L669" s="36">
        <v>808.0</v>
      </c>
      <c r="M669" s="36">
        <v>110.0</v>
      </c>
      <c r="N669" s="36" t="s">
        <v>3601</v>
      </c>
      <c r="O669" s="36">
        <v>11.0</v>
      </c>
      <c r="P669" s="37" t="s">
        <v>1038</v>
      </c>
      <c r="Q669" s="36" t="s">
        <v>3602</v>
      </c>
      <c r="R669" s="36">
        <v>100.0</v>
      </c>
      <c r="S669" s="36" t="s">
        <v>3603</v>
      </c>
      <c r="T669" s="28" t="s">
        <v>3604</v>
      </c>
      <c r="U669" s="29" t="s">
        <v>61</v>
      </c>
      <c r="V669" s="139"/>
      <c r="W669" s="49"/>
      <c r="X669" s="49"/>
      <c r="Y669" s="35"/>
      <c r="Z669" s="35"/>
      <c r="AA669" s="35"/>
      <c r="AB669" s="35"/>
      <c r="AC669" s="35"/>
      <c r="AD669" s="35"/>
      <c r="AE669" s="35"/>
      <c r="AF669" s="35"/>
      <c r="AG669" s="35"/>
      <c r="AH669" s="35"/>
      <c r="AI669" s="35"/>
      <c r="AJ669" s="35"/>
      <c r="AK669" s="35"/>
      <c r="AL669" s="35"/>
    </row>
    <row r="670" ht="32.25" customHeight="1">
      <c r="A670" s="40"/>
      <c r="B670" s="157" t="s">
        <v>2073</v>
      </c>
      <c r="C670" s="158" t="s">
        <v>3583</v>
      </c>
      <c r="D670" s="159"/>
      <c r="E670" s="22" t="s">
        <v>3457</v>
      </c>
      <c r="F670" s="23" t="s">
        <v>206</v>
      </c>
      <c r="G670" s="23">
        <v>2022.0</v>
      </c>
      <c r="H670" s="22" t="s">
        <v>3605</v>
      </c>
      <c r="I670" s="24" t="s">
        <v>3606</v>
      </c>
      <c r="J670" s="22" t="s">
        <v>55</v>
      </c>
      <c r="K670" s="22"/>
      <c r="L670" s="36">
        <v>808.0</v>
      </c>
      <c r="M670" s="36"/>
      <c r="N670" s="36" t="s">
        <v>3601</v>
      </c>
      <c r="O670" s="107"/>
      <c r="P670" s="109"/>
      <c r="Q670" s="107"/>
      <c r="R670" s="36">
        <v>100.0</v>
      </c>
      <c r="S670" s="107"/>
      <c r="T670" s="42" t="s">
        <v>3607</v>
      </c>
      <c r="U670" s="29" t="s">
        <v>61</v>
      </c>
      <c r="V670" s="139"/>
      <c r="W670" s="49"/>
      <c r="X670" s="49"/>
      <c r="Y670" s="35"/>
      <c r="Z670" s="35"/>
      <c r="AA670" s="35"/>
      <c r="AB670" s="35"/>
      <c r="AC670" s="35"/>
      <c r="AD670" s="35"/>
      <c r="AE670" s="35"/>
      <c r="AF670" s="35"/>
      <c r="AG670" s="35"/>
      <c r="AH670" s="35"/>
      <c r="AI670" s="35"/>
      <c r="AJ670" s="35"/>
      <c r="AK670" s="35"/>
      <c r="AL670" s="35"/>
    </row>
    <row r="671" ht="32.25" customHeight="1">
      <c r="A671" s="40"/>
      <c r="B671" s="157" t="s">
        <v>2073</v>
      </c>
      <c r="C671" s="158" t="s">
        <v>3583</v>
      </c>
      <c r="D671" s="159"/>
      <c r="E671" s="22" t="s">
        <v>3608</v>
      </c>
      <c r="F671" s="23" t="s">
        <v>41</v>
      </c>
      <c r="G671" s="23">
        <v>2020.0</v>
      </c>
      <c r="H671" s="22" t="s">
        <v>42</v>
      </c>
      <c r="I671" s="24" t="s">
        <v>3609</v>
      </c>
      <c r="J671" s="22" t="s">
        <v>55</v>
      </c>
      <c r="K671" s="22"/>
      <c r="L671" s="36">
        <v>780.0</v>
      </c>
      <c r="M671" s="36"/>
      <c r="N671" s="129"/>
      <c r="O671" s="107"/>
      <c r="P671" s="109"/>
      <c r="Q671" s="107"/>
      <c r="R671" s="36"/>
      <c r="S671" s="107"/>
      <c r="T671" s="28" t="s">
        <v>3610</v>
      </c>
      <c r="U671" s="29" t="s">
        <v>61</v>
      </c>
      <c r="V671" s="139"/>
      <c r="W671" s="49"/>
      <c r="X671" s="49"/>
      <c r="Y671" s="35"/>
      <c r="Z671" s="35"/>
      <c r="AA671" s="35"/>
      <c r="AB671" s="35"/>
      <c r="AC671" s="35"/>
      <c r="AD671" s="35"/>
      <c r="AE671" s="35"/>
      <c r="AF671" s="35"/>
      <c r="AG671" s="35"/>
      <c r="AH671" s="35"/>
      <c r="AI671" s="35"/>
      <c r="AJ671" s="35"/>
      <c r="AK671" s="35"/>
      <c r="AL671" s="35"/>
    </row>
    <row r="672" ht="32.25" customHeight="1">
      <c r="A672" s="40"/>
      <c r="B672" s="157" t="s">
        <v>2073</v>
      </c>
      <c r="C672" s="158" t="s">
        <v>3583</v>
      </c>
      <c r="D672" s="159"/>
      <c r="E672" s="22" t="s">
        <v>3457</v>
      </c>
      <c r="F672" s="23" t="s">
        <v>206</v>
      </c>
      <c r="G672" s="23">
        <v>2020.0</v>
      </c>
      <c r="H672" s="22" t="s">
        <v>42</v>
      </c>
      <c r="I672" s="24" t="s">
        <v>3611</v>
      </c>
      <c r="J672" s="22" t="s">
        <v>55</v>
      </c>
      <c r="K672" s="22"/>
      <c r="L672" s="36">
        <v>808.0</v>
      </c>
      <c r="M672" s="36"/>
      <c r="N672" s="129"/>
      <c r="O672" s="107"/>
      <c r="P672" s="109"/>
      <c r="Q672" s="107"/>
      <c r="R672" s="36"/>
      <c r="S672" s="107"/>
      <c r="T672" s="28" t="s">
        <v>3612</v>
      </c>
      <c r="U672" s="38" t="str">
        <f>HYPERLINK("https://www.ncbi.nlm.nih.gov/pubmed/32362066","PubMed")</f>
        <v>PubMed</v>
      </c>
      <c r="V672" s="139"/>
      <c r="W672" s="49"/>
      <c r="X672" s="49"/>
      <c r="Y672" s="35"/>
      <c r="Z672" s="35"/>
      <c r="AA672" s="35"/>
      <c r="AB672" s="35"/>
      <c r="AC672" s="35"/>
      <c r="AD672" s="35"/>
      <c r="AE672" s="35"/>
      <c r="AF672" s="35"/>
      <c r="AG672" s="35"/>
      <c r="AH672" s="35"/>
      <c r="AI672" s="35"/>
      <c r="AJ672" s="35"/>
      <c r="AK672" s="35"/>
      <c r="AL672" s="35"/>
    </row>
    <row r="673" ht="32.25" customHeight="1">
      <c r="A673" s="40"/>
      <c r="B673" s="157" t="s">
        <v>2073</v>
      </c>
      <c r="C673" s="158" t="s">
        <v>3583</v>
      </c>
      <c r="D673" s="159"/>
      <c r="E673" s="22" t="s">
        <v>3613</v>
      </c>
      <c r="F673" s="23" t="s">
        <v>1943</v>
      </c>
      <c r="G673" s="23">
        <v>2009.0</v>
      </c>
      <c r="H673" s="22" t="s">
        <v>658</v>
      </c>
      <c r="I673" s="24" t="s">
        <v>3614</v>
      </c>
      <c r="J673" s="22" t="s">
        <v>55</v>
      </c>
      <c r="K673" s="22"/>
      <c r="L673" s="36">
        <v>830.0</v>
      </c>
      <c r="M673" s="36">
        <v>90.0</v>
      </c>
      <c r="N673" s="129"/>
      <c r="O673" s="107"/>
      <c r="P673" s="109"/>
      <c r="Q673" s="107"/>
      <c r="R673" s="36"/>
      <c r="S673" s="107"/>
      <c r="T673" s="28" t="s">
        <v>3615</v>
      </c>
      <c r="U673" s="38" t="str">
        <f>HYPERLINK("https://www.ncbi.nlm.nih.gov/pubmed/19025405","PubMed")</f>
        <v>PubMed</v>
      </c>
      <c r="V673" s="139"/>
      <c r="W673" s="49"/>
      <c r="X673" s="49"/>
      <c r="Y673" s="35"/>
      <c r="Z673" s="35"/>
      <c r="AA673" s="35"/>
      <c r="AB673" s="35"/>
      <c r="AC673" s="35"/>
      <c r="AD673" s="35"/>
      <c r="AE673" s="35"/>
      <c r="AF673" s="35"/>
      <c r="AG673" s="35"/>
      <c r="AH673" s="35"/>
      <c r="AI673" s="35"/>
      <c r="AJ673" s="35"/>
      <c r="AK673" s="35"/>
      <c r="AL673" s="35"/>
    </row>
    <row r="674" ht="32.25" customHeight="1">
      <c r="A674" s="40"/>
      <c r="B674" s="157" t="s">
        <v>2073</v>
      </c>
      <c r="C674" s="158" t="s">
        <v>3616</v>
      </c>
      <c r="D674" s="159"/>
      <c r="E674" s="22" t="s">
        <v>3617</v>
      </c>
      <c r="F674" s="23" t="s">
        <v>224</v>
      </c>
      <c r="G674" s="23">
        <v>2019.0</v>
      </c>
      <c r="H674" s="22" t="s">
        <v>2641</v>
      </c>
      <c r="I674" s="24" t="s">
        <v>3618</v>
      </c>
      <c r="J674" s="22" t="s">
        <v>3053</v>
      </c>
      <c r="K674" s="22"/>
      <c r="L674" s="36">
        <v>820.0</v>
      </c>
      <c r="M674" s="36"/>
      <c r="N674" s="36" t="s">
        <v>2644</v>
      </c>
      <c r="O674" s="107"/>
      <c r="P674" s="109"/>
      <c r="Q674" s="107"/>
      <c r="R674" s="36">
        <v>240.0</v>
      </c>
      <c r="S674" s="107"/>
      <c r="T674" s="28" t="s">
        <v>3619</v>
      </c>
      <c r="U674" s="38" t="str">
        <f>HYPERLINK("https://www.ncbi.nlm.nih.gov/pubmed/31837460","PubMed")</f>
        <v>PubMed</v>
      </c>
      <c r="V674" s="139"/>
      <c r="W674" s="49"/>
      <c r="X674" s="49"/>
      <c r="Y674" s="35"/>
      <c r="Z674" s="35"/>
      <c r="AA674" s="35"/>
      <c r="AB674" s="35"/>
      <c r="AC674" s="35"/>
      <c r="AD674" s="35"/>
      <c r="AE674" s="35"/>
      <c r="AF674" s="35"/>
      <c r="AG674" s="35"/>
      <c r="AH674" s="35"/>
      <c r="AI674" s="35"/>
      <c r="AJ674" s="35"/>
      <c r="AK674" s="35"/>
      <c r="AL674" s="35"/>
    </row>
    <row r="675" ht="32.25" customHeight="1">
      <c r="A675" s="40"/>
      <c r="B675" s="157" t="s">
        <v>2073</v>
      </c>
      <c r="C675" s="158" t="s">
        <v>3620</v>
      </c>
      <c r="D675" s="159"/>
      <c r="E675" s="22" t="s">
        <v>3621</v>
      </c>
      <c r="F675" s="23" t="s">
        <v>2130</v>
      </c>
      <c r="G675" s="23">
        <v>2018.0</v>
      </c>
      <c r="H675" s="22" t="s">
        <v>3622</v>
      </c>
      <c r="I675" s="24" t="s">
        <v>3623</v>
      </c>
      <c r="J675" s="22" t="s">
        <v>2141</v>
      </c>
      <c r="K675" s="22"/>
      <c r="L675" s="168"/>
      <c r="M675" s="193"/>
      <c r="N675" s="184"/>
      <c r="O675" s="193"/>
      <c r="P675" s="194"/>
      <c r="Q675" s="193"/>
      <c r="R675" s="168"/>
      <c r="S675" s="193"/>
      <c r="T675" s="185"/>
      <c r="U675" s="38" t="str">
        <f>HYPERLINK("https://www.ncbi.nlm.nih.gov/pubmed/30092284","PubMed")</f>
        <v>PubMed</v>
      </c>
      <c r="V675" s="139"/>
      <c r="W675" s="49"/>
      <c r="X675" s="49"/>
      <c r="Y675" s="35"/>
      <c r="Z675" s="35"/>
      <c r="AA675" s="35"/>
      <c r="AB675" s="35"/>
      <c r="AC675" s="35"/>
      <c r="AD675" s="35"/>
      <c r="AE675" s="35"/>
      <c r="AF675" s="35"/>
      <c r="AG675" s="35"/>
      <c r="AH675" s="35"/>
      <c r="AI675" s="35"/>
      <c r="AJ675" s="35"/>
      <c r="AK675" s="35"/>
      <c r="AL675" s="35"/>
    </row>
    <row r="676" ht="32.25" customHeight="1">
      <c r="A676" s="40"/>
      <c r="B676" s="157" t="s">
        <v>2073</v>
      </c>
      <c r="C676" s="158" t="s">
        <v>3624</v>
      </c>
      <c r="D676" s="159"/>
      <c r="E676" s="22" t="s">
        <v>3625</v>
      </c>
      <c r="F676" s="23" t="s">
        <v>1862</v>
      </c>
      <c r="G676" s="23">
        <v>2021.0</v>
      </c>
      <c r="H676" s="22" t="s">
        <v>3626</v>
      </c>
      <c r="I676" s="24" t="s">
        <v>3627</v>
      </c>
      <c r="J676" s="22" t="s">
        <v>3628</v>
      </c>
      <c r="K676" s="22"/>
      <c r="L676" s="36">
        <v>810.0</v>
      </c>
      <c r="M676" s="107"/>
      <c r="N676" s="36" t="s">
        <v>414</v>
      </c>
      <c r="O676" s="107"/>
      <c r="P676" s="109"/>
      <c r="Q676" s="107"/>
      <c r="R676" s="36">
        <v>1200.0</v>
      </c>
      <c r="S676" s="36" t="s">
        <v>3576</v>
      </c>
      <c r="T676" s="41" t="s">
        <v>3629</v>
      </c>
      <c r="U676" s="29" t="s">
        <v>61</v>
      </c>
      <c r="V676" s="136" t="s">
        <v>3630</v>
      </c>
      <c r="W676" s="49"/>
      <c r="X676" s="49"/>
      <c r="Y676" s="35"/>
      <c r="Z676" s="35"/>
      <c r="AA676" s="35"/>
      <c r="AB676" s="35"/>
      <c r="AC676" s="35"/>
      <c r="AD676" s="35"/>
      <c r="AE676" s="35"/>
      <c r="AF676" s="35"/>
      <c r="AG676" s="35"/>
      <c r="AH676" s="35"/>
      <c r="AI676" s="35"/>
      <c r="AJ676" s="35"/>
      <c r="AK676" s="35"/>
      <c r="AL676" s="35"/>
    </row>
    <row r="677" ht="32.25" customHeight="1">
      <c r="A677" s="40"/>
      <c r="B677" s="157" t="s">
        <v>2073</v>
      </c>
      <c r="C677" s="158" t="s">
        <v>3624</v>
      </c>
      <c r="D677" s="159"/>
      <c r="E677" s="22" t="s">
        <v>3625</v>
      </c>
      <c r="F677" s="23" t="s">
        <v>1862</v>
      </c>
      <c r="G677" s="23">
        <v>2019.0</v>
      </c>
      <c r="H677" s="22" t="s">
        <v>2612</v>
      </c>
      <c r="I677" s="24" t="s">
        <v>3631</v>
      </c>
      <c r="J677" s="22" t="s">
        <v>3632</v>
      </c>
      <c r="K677" s="22" t="s">
        <v>157</v>
      </c>
      <c r="L677" s="36">
        <v>810.0</v>
      </c>
      <c r="M677" s="107"/>
      <c r="N677" s="129"/>
      <c r="O677" s="107"/>
      <c r="P677" s="109"/>
      <c r="Q677" s="107"/>
      <c r="R677" s="36"/>
      <c r="S677" s="107"/>
      <c r="T677" s="28" t="s">
        <v>3633</v>
      </c>
      <c r="U677" s="38" t="str">
        <f>HYPERLINK("https://www.ncbi.nlm.nih.gov/pubmed/31682952","PubMed")</f>
        <v>PubMed</v>
      </c>
      <c r="V677" s="136" t="s">
        <v>3630</v>
      </c>
      <c r="W677" s="49"/>
      <c r="X677" s="49"/>
      <c r="Y677" s="35"/>
      <c r="Z677" s="35"/>
      <c r="AA677" s="35"/>
      <c r="AB677" s="35"/>
      <c r="AC677" s="35"/>
      <c r="AD677" s="35"/>
      <c r="AE677" s="35"/>
      <c r="AF677" s="35"/>
      <c r="AG677" s="35"/>
      <c r="AH677" s="35"/>
      <c r="AI677" s="35"/>
      <c r="AJ677" s="35"/>
      <c r="AK677" s="35"/>
      <c r="AL677" s="35"/>
    </row>
    <row r="678" ht="32.25" customHeight="1">
      <c r="A678" s="40"/>
      <c r="B678" s="157" t="s">
        <v>2073</v>
      </c>
      <c r="C678" s="158" t="s">
        <v>3634</v>
      </c>
      <c r="D678" s="159"/>
      <c r="E678" s="22" t="s">
        <v>3635</v>
      </c>
      <c r="F678" s="23" t="s">
        <v>3636</v>
      </c>
      <c r="G678" s="23">
        <v>2023.0</v>
      </c>
      <c r="H678" s="22" t="s">
        <v>42</v>
      </c>
      <c r="I678" s="24" t="s">
        <v>3637</v>
      </c>
      <c r="J678" s="22" t="s">
        <v>3638</v>
      </c>
      <c r="K678" s="22" t="s">
        <v>3639</v>
      </c>
      <c r="L678" s="36"/>
      <c r="M678" s="107"/>
      <c r="N678" s="36"/>
      <c r="O678" s="107"/>
      <c r="P678" s="37" t="s">
        <v>3640</v>
      </c>
      <c r="Q678" s="107"/>
      <c r="R678" s="36"/>
      <c r="S678" s="36">
        <v>1.0</v>
      </c>
      <c r="T678" s="28" t="s">
        <v>3641</v>
      </c>
      <c r="U678" s="38" t="s">
        <v>61</v>
      </c>
      <c r="V678" s="136" t="s">
        <v>3642</v>
      </c>
      <c r="W678" s="49"/>
      <c r="X678" s="49"/>
      <c r="Y678" s="35"/>
      <c r="Z678" s="35"/>
      <c r="AA678" s="35"/>
      <c r="AB678" s="35"/>
      <c r="AC678" s="35"/>
      <c r="AD678" s="35"/>
      <c r="AE678" s="35"/>
      <c r="AF678" s="35"/>
      <c r="AG678" s="35"/>
      <c r="AH678" s="35"/>
      <c r="AI678" s="35"/>
      <c r="AJ678" s="35"/>
      <c r="AK678" s="35"/>
      <c r="AL678" s="35"/>
    </row>
    <row r="679" ht="32.25" customHeight="1">
      <c r="A679" s="40"/>
      <c r="B679" s="157" t="s">
        <v>2073</v>
      </c>
      <c r="C679" s="158" t="s">
        <v>3634</v>
      </c>
      <c r="D679" s="159"/>
      <c r="E679" s="22" t="s">
        <v>3501</v>
      </c>
      <c r="F679" s="23" t="s">
        <v>28</v>
      </c>
      <c r="G679" s="23">
        <v>2023.0</v>
      </c>
      <c r="H679" s="22" t="s">
        <v>3166</v>
      </c>
      <c r="I679" s="24" t="s">
        <v>3643</v>
      </c>
      <c r="J679" s="22" t="s">
        <v>3644</v>
      </c>
      <c r="K679" s="22"/>
      <c r="L679" s="36" t="s">
        <v>3645</v>
      </c>
      <c r="M679" s="107"/>
      <c r="N679" s="36" t="s">
        <v>3646</v>
      </c>
      <c r="O679" s="107"/>
      <c r="P679" s="109"/>
      <c r="Q679" s="107"/>
      <c r="R679" s="36"/>
      <c r="S679" s="36" t="s">
        <v>3647</v>
      </c>
      <c r="T679" s="28" t="s">
        <v>3648</v>
      </c>
      <c r="U679" s="38" t="s">
        <v>61</v>
      </c>
      <c r="V679" s="136"/>
      <c r="W679" s="49"/>
      <c r="X679" s="49"/>
      <c r="Y679" s="35"/>
      <c r="Z679" s="35"/>
      <c r="AA679" s="35"/>
      <c r="AB679" s="35"/>
      <c r="AC679" s="35"/>
      <c r="AD679" s="35"/>
      <c r="AE679" s="35"/>
      <c r="AF679" s="35"/>
      <c r="AG679" s="35"/>
      <c r="AH679" s="35"/>
      <c r="AI679" s="35"/>
      <c r="AJ679" s="35"/>
      <c r="AK679" s="35"/>
      <c r="AL679" s="35"/>
    </row>
    <row r="680" ht="32.25" customHeight="1">
      <c r="A680" s="40"/>
      <c r="B680" s="157" t="s">
        <v>2073</v>
      </c>
      <c r="C680" s="158" t="s">
        <v>3634</v>
      </c>
      <c r="D680" s="159"/>
      <c r="E680" s="22" t="s">
        <v>3649</v>
      </c>
      <c r="F680" s="23" t="s">
        <v>2665</v>
      </c>
      <c r="G680" s="23">
        <v>2023.0</v>
      </c>
      <c r="H680" s="22" t="s">
        <v>3094</v>
      </c>
      <c r="I680" s="24" t="s">
        <v>3650</v>
      </c>
      <c r="J680" s="22" t="s">
        <v>649</v>
      </c>
      <c r="K680" s="22"/>
      <c r="L680" s="195" t="s">
        <v>3651</v>
      </c>
      <c r="M680" s="44"/>
      <c r="N680" s="44"/>
      <c r="O680" s="44"/>
      <c r="P680" s="44"/>
      <c r="Q680" s="44"/>
      <c r="R680" s="44"/>
      <c r="S680" s="44"/>
      <c r="T680" s="45"/>
      <c r="U680" s="38" t="s">
        <v>61</v>
      </c>
      <c r="V680" s="136"/>
      <c r="W680" s="49"/>
      <c r="X680" s="49"/>
      <c r="Y680" s="35"/>
      <c r="Z680" s="35"/>
      <c r="AA680" s="35"/>
      <c r="AB680" s="35"/>
      <c r="AC680" s="35"/>
      <c r="AD680" s="35"/>
      <c r="AE680" s="35"/>
      <c r="AF680" s="35"/>
      <c r="AG680" s="35"/>
      <c r="AH680" s="35"/>
      <c r="AI680" s="35"/>
      <c r="AJ680" s="35"/>
      <c r="AK680" s="35"/>
      <c r="AL680" s="35"/>
    </row>
    <row r="681" ht="32.25" customHeight="1">
      <c r="A681" s="40"/>
      <c r="B681" s="157" t="s">
        <v>2073</v>
      </c>
      <c r="C681" s="158" t="s">
        <v>3634</v>
      </c>
      <c r="D681" s="159"/>
      <c r="E681" s="22" t="s">
        <v>3505</v>
      </c>
      <c r="F681" s="23" t="s">
        <v>28</v>
      </c>
      <c r="G681" s="23">
        <v>2022.0</v>
      </c>
      <c r="H681" s="22" t="s">
        <v>2122</v>
      </c>
      <c r="I681" s="24" t="s">
        <v>3652</v>
      </c>
      <c r="J681" s="22" t="s">
        <v>3653</v>
      </c>
      <c r="K681" s="22"/>
      <c r="L681" s="36">
        <v>1064.0</v>
      </c>
      <c r="M681" s="107"/>
      <c r="N681" s="36"/>
      <c r="O681" s="107"/>
      <c r="P681" s="109"/>
      <c r="Q681" s="36"/>
      <c r="R681" s="36">
        <v>480.0</v>
      </c>
      <c r="S681" s="36" t="s">
        <v>3576</v>
      </c>
      <c r="T681" s="28" t="s">
        <v>3654</v>
      </c>
      <c r="U681" s="38" t="s">
        <v>61</v>
      </c>
      <c r="V681" s="136"/>
      <c r="W681" s="49"/>
      <c r="X681" s="49"/>
      <c r="Y681" s="35"/>
      <c r="Z681" s="35"/>
      <c r="AA681" s="35"/>
      <c r="AB681" s="35"/>
      <c r="AC681" s="35"/>
      <c r="AD681" s="35"/>
      <c r="AE681" s="35"/>
      <c r="AF681" s="35"/>
      <c r="AG681" s="35"/>
      <c r="AH681" s="35"/>
      <c r="AI681" s="35"/>
      <c r="AJ681" s="35"/>
      <c r="AK681" s="35"/>
      <c r="AL681" s="35"/>
    </row>
    <row r="682" ht="32.25" customHeight="1">
      <c r="A682" s="40"/>
      <c r="B682" s="157" t="s">
        <v>2073</v>
      </c>
      <c r="C682" s="158" t="s">
        <v>3634</v>
      </c>
      <c r="D682" s="159"/>
      <c r="E682" s="22" t="s">
        <v>626</v>
      </c>
      <c r="F682" s="23" t="s">
        <v>28</v>
      </c>
      <c r="G682" s="23">
        <v>2022.0</v>
      </c>
      <c r="H682" s="22" t="s">
        <v>3655</v>
      </c>
      <c r="I682" s="24" t="s">
        <v>3656</v>
      </c>
      <c r="J682" s="22" t="s">
        <v>3657</v>
      </c>
      <c r="K682" s="22"/>
      <c r="L682" s="36">
        <v>1064.0</v>
      </c>
      <c r="M682" s="107"/>
      <c r="N682" s="36" t="s">
        <v>93</v>
      </c>
      <c r="O682" s="107"/>
      <c r="P682" s="109"/>
      <c r="Q682" s="36" t="s">
        <v>3231</v>
      </c>
      <c r="R682" s="36">
        <v>480.0</v>
      </c>
      <c r="S682" s="36" t="s">
        <v>3576</v>
      </c>
      <c r="T682" s="28" t="s">
        <v>3658</v>
      </c>
      <c r="U682" s="29" t="s">
        <v>61</v>
      </c>
      <c r="V682" s="136" t="s">
        <v>3659</v>
      </c>
      <c r="W682" s="49"/>
      <c r="X682" s="49"/>
      <c r="Y682" s="35"/>
      <c r="Z682" s="35"/>
      <c r="AA682" s="35"/>
      <c r="AB682" s="35"/>
      <c r="AC682" s="35"/>
      <c r="AD682" s="35"/>
      <c r="AE682" s="35"/>
      <c r="AF682" s="35"/>
      <c r="AG682" s="35"/>
      <c r="AH682" s="35"/>
      <c r="AI682" s="35"/>
      <c r="AJ682" s="35"/>
      <c r="AK682" s="35"/>
      <c r="AL682" s="35"/>
    </row>
    <row r="683" ht="32.25" customHeight="1">
      <c r="A683" s="40"/>
      <c r="B683" s="157" t="s">
        <v>2073</v>
      </c>
      <c r="C683" s="158" t="s">
        <v>3634</v>
      </c>
      <c r="D683" s="159"/>
      <c r="E683" s="22" t="s">
        <v>3660</v>
      </c>
      <c r="F683" s="23" t="s">
        <v>2130</v>
      </c>
      <c r="G683" s="23">
        <v>2020.0</v>
      </c>
      <c r="H683" s="22" t="s">
        <v>2479</v>
      </c>
      <c r="I683" s="24" t="s">
        <v>3661</v>
      </c>
      <c r="J683" s="22" t="s">
        <v>3662</v>
      </c>
      <c r="K683" s="22"/>
      <c r="L683" s="36">
        <v>1064.0</v>
      </c>
      <c r="M683" s="36">
        <v>3500.0</v>
      </c>
      <c r="N683" s="36" t="s">
        <v>93</v>
      </c>
      <c r="O683" s="107"/>
      <c r="P683" s="109"/>
      <c r="Q683" s="36" t="s">
        <v>3231</v>
      </c>
      <c r="R683" s="36">
        <v>480.0</v>
      </c>
      <c r="S683" s="36" t="s">
        <v>3576</v>
      </c>
      <c r="T683" s="28" t="s">
        <v>3663</v>
      </c>
      <c r="U683" s="29" t="s">
        <v>61</v>
      </c>
      <c r="V683" s="136" t="s">
        <v>3664</v>
      </c>
      <c r="W683" s="49"/>
      <c r="X683" s="49"/>
      <c r="Y683" s="35"/>
      <c r="Z683" s="35"/>
      <c r="AA683" s="35"/>
      <c r="AB683" s="35"/>
      <c r="AC683" s="35"/>
      <c r="AD683" s="35"/>
      <c r="AE683" s="35"/>
      <c r="AF683" s="35"/>
      <c r="AG683" s="35"/>
      <c r="AH683" s="35"/>
      <c r="AI683" s="35"/>
      <c r="AJ683" s="35"/>
      <c r="AK683" s="35"/>
      <c r="AL683" s="35"/>
    </row>
    <row r="684" ht="32.25" customHeight="1">
      <c r="A684" s="1" t="s">
        <v>2</v>
      </c>
      <c r="B684" s="157" t="s">
        <v>2073</v>
      </c>
      <c r="C684" s="158" t="s">
        <v>3665</v>
      </c>
      <c r="D684" s="159"/>
      <c r="E684" s="22" t="s">
        <v>1689</v>
      </c>
      <c r="F684" s="23" t="s">
        <v>3666</v>
      </c>
      <c r="G684" s="23">
        <v>2023.0</v>
      </c>
      <c r="H684" s="22" t="s">
        <v>3667</v>
      </c>
      <c r="I684" s="24" t="s">
        <v>3668</v>
      </c>
      <c r="J684" s="22" t="s">
        <v>3669</v>
      </c>
      <c r="K684" s="22"/>
      <c r="L684" s="36">
        <v>1267.0</v>
      </c>
      <c r="M684" s="107"/>
      <c r="N684" s="129"/>
      <c r="O684" s="107"/>
      <c r="P684" s="37" t="s">
        <v>3670</v>
      </c>
      <c r="Q684" s="107"/>
      <c r="R684" s="36" t="s">
        <v>3671</v>
      </c>
      <c r="S684" s="36" t="s">
        <v>35</v>
      </c>
      <c r="T684" s="28" t="s">
        <v>3672</v>
      </c>
      <c r="U684" s="38" t="s">
        <v>61</v>
      </c>
      <c r="V684" s="136" t="s">
        <v>3673</v>
      </c>
      <c r="W684" s="49"/>
      <c r="X684" s="49"/>
      <c r="Y684" s="35"/>
      <c r="Z684" s="35"/>
      <c r="AA684" s="35"/>
      <c r="AB684" s="35"/>
      <c r="AC684" s="35"/>
      <c r="AD684" s="35"/>
      <c r="AE684" s="35"/>
      <c r="AF684" s="35"/>
      <c r="AG684" s="35"/>
      <c r="AH684" s="35"/>
      <c r="AI684" s="35"/>
      <c r="AJ684" s="35"/>
      <c r="AK684" s="35"/>
      <c r="AL684" s="35"/>
    </row>
    <row r="685" ht="32.25" customHeight="1">
      <c r="A685" s="40"/>
      <c r="B685" s="157" t="s">
        <v>2073</v>
      </c>
      <c r="C685" s="158" t="s">
        <v>3674</v>
      </c>
      <c r="D685" s="159"/>
      <c r="E685" s="22" t="s">
        <v>3675</v>
      </c>
      <c r="F685" s="23" t="s">
        <v>3188</v>
      </c>
      <c r="G685" s="23">
        <v>2021.0</v>
      </c>
      <c r="H685" s="22" t="s">
        <v>2112</v>
      </c>
      <c r="I685" s="24" t="s">
        <v>3676</v>
      </c>
      <c r="J685" s="22" t="s">
        <v>55</v>
      </c>
      <c r="K685" s="22" t="s">
        <v>3677</v>
      </c>
      <c r="L685" s="36">
        <v>670.0</v>
      </c>
      <c r="M685" s="107"/>
      <c r="N685" s="129"/>
      <c r="O685" s="107"/>
      <c r="P685" s="37"/>
      <c r="Q685" s="107"/>
      <c r="R685" s="36"/>
      <c r="S685" s="107"/>
      <c r="T685" s="28" t="s">
        <v>3678</v>
      </c>
      <c r="U685" s="29" t="s">
        <v>61</v>
      </c>
      <c r="V685" s="139"/>
      <c r="W685" s="49"/>
      <c r="X685" s="49"/>
      <c r="Y685" s="35"/>
      <c r="Z685" s="35"/>
      <c r="AA685" s="35"/>
      <c r="AB685" s="35"/>
      <c r="AC685" s="35"/>
      <c r="AD685" s="35"/>
      <c r="AE685" s="35"/>
      <c r="AF685" s="35"/>
      <c r="AG685" s="35"/>
      <c r="AH685" s="35"/>
      <c r="AI685" s="35"/>
      <c r="AJ685" s="35"/>
      <c r="AK685" s="35"/>
      <c r="AL685" s="35"/>
    </row>
    <row r="686" ht="32.25" customHeight="1">
      <c r="A686" s="40"/>
      <c r="B686" s="157" t="s">
        <v>2073</v>
      </c>
      <c r="C686" s="158" t="s">
        <v>3679</v>
      </c>
      <c r="D686" s="159"/>
      <c r="E686" s="22" t="s">
        <v>3680</v>
      </c>
      <c r="F686" s="23" t="s">
        <v>3681</v>
      </c>
      <c r="G686" s="23">
        <v>2022.0</v>
      </c>
      <c r="H686" s="22" t="s">
        <v>207</v>
      </c>
      <c r="I686" s="24" t="s">
        <v>3682</v>
      </c>
      <c r="J686" s="22" t="s">
        <v>44</v>
      </c>
      <c r="K686" s="22" t="s">
        <v>157</v>
      </c>
      <c r="L686" s="36">
        <v>650.0</v>
      </c>
      <c r="M686" s="107"/>
      <c r="N686" s="129"/>
      <c r="O686" s="107"/>
      <c r="P686" s="37"/>
      <c r="Q686" s="107"/>
      <c r="R686" s="36"/>
      <c r="S686" s="107"/>
      <c r="T686" s="28" t="s">
        <v>3683</v>
      </c>
      <c r="U686" s="38" t="s">
        <v>61</v>
      </c>
      <c r="V686" s="139"/>
      <c r="W686" s="49"/>
      <c r="X686" s="49"/>
      <c r="Y686" s="35"/>
      <c r="Z686" s="35"/>
      <c r="AA686" s="35"/>
      <c r="AB686" s="35"/>
      <c r="AC686" s="35"/>
      <c r="AD686" s="35"/>
      <c r="AE686" s="35"/>
      <c r="AF686" s="35"/>
      <c r="AG686" s="35"/>
      <c r="AH686" s="35"/>
      <c r="AI686" s="35"/>
      <c r="AJ686" s="35"/>
      <c r="AK686" s="35"/>
      <c r="AL686" s="35"/>
    </row>
    <row r="687" ht="32.25" customHeight="1">
      <c r="A687" s="40"/>
      <c r="B687" s="157" t="s">
        <v>2073</v>
      </c>
      <c r="C687" s="158" t="s">
        <v>3684</v>
      </c>
      <c r="D687" s="159"/>
      <c r="E687" s="22" t="s">
        <v>3685</v>
      </c>
      <c r="F687" s="23" t="s">
        <v>224</v>
      </c>
      <c r="G687" s="23">
        <v>2022.0</v>
      </c>
      <c r="H687" s="22" t="s">
        <v>3686</v>
      </c>
      <c r="I687" s="24" t="s">
        <v>3687</v>
      </c>
      <c r="J687" s="22" t="s">
        <v>55</v>
      </c>
      <c r="K687" s="22"/>
      <c r="L687" s="36">
        <v>630.0</v>
      </c>
      <c r="M687" s="107"/>
      <c r="N687" s="129"/>
      <c r="O687" s="36"/>
      <c r="P687" s="37"/>
      <c r="Q687" s="107"/>
      <c r="R687" s="36"/>
      <c r="S687" s="107"/>
      <c r="T687" s="28" t="s">
        <v>3688</v>
      </c>
      <c r="U687" s="38" t="s">
        <v>61</v>
      </c>
      <c r="V687" s="139"/>
      <c r="W687" s="49"/>
      <c r="X687" s="49"/>
      <c r="Y687" s="35"/>
      <c r="Z687" s="35"/>
      <c r="AA687" s="35"/>
      <c r="AB687" s="35"/>
      <c r="AC687" s="35"/>
      <c r="AD687" s="35"/>
      <c r="AE687" s="35"/>
      <c r="AF687" s="35"/>
      <c r="AG687" s="35"/>
      <c r="AH687" s="35"/>
      <c r="AI687" s="35"/>
      <c r="AJ687" s="35"/>
      <c r="AK687" s="35"/>
      <c r="AL687" s="35"/>
    </row>
    <row r="688" ht="32.25" customHeight="1">
      <c r="A688" s="40" t="s">
        <v>2</v>
      </c>
      <c r="B688" s="157" t="s">
        <v>2073</v>
      </c>
      <c r="C688" s="158" t="s">
        <v>3689</v>
      </c>
      <c r="D688" s="159"/>
      <c r="E688" s="22" t="s">
        <v>3690</v>
      </c>
      <c r="F688" s="23" t="s">
        <v>3691</v>
      </c>
      <c r="G688" s="23">
        <v>2023.0</v>
      </c>
      <c r="H688" s="22" t="s">
        <v>3692</v>
      </c>
      <c r="I688" s="24" t="s">
        <v>3693</v>
      </c>
      <c r="J688" s="22" t="s">
        <v>3694</v>
      </c>
      <c r="K688" s="22" t="s">
        <v>3695</v>
      </c>
      <c r="L688" s="36" t="s">
        <v>3696</v>
      </c>
      <c r="M688" s="107"/>
      <c r="N688" s="129"/>
      <c r="O688" s="36"/>
      <c r="P688" s="37"/>
      <c r="Q688" s="107"/>
      <c r="R688" s="36"/>
      <c r="S688" s="107"/>
      <c r="T688" s="28" t="s">
        <v>3697</v>
      </c>
      <c r="U688" s="38" t="s">
        <v>61</v>
      </c>
      <c r="V688" s="139"/>
      <c r="W688" s="49"/>
      <c r="X688" s="49"/>
      <c r="Y688" s="35"/>
      <c r="Z688" s="35"/>
      <c r="AA688" s="35"/>
      <c r="AB688" s="35"/>
      <c r="AC688" s="35"/>
      <c r="AD688" s="35"/>
      <c r="AE688" s="35"/>
      <c r="AF688" s="35"/>
      <c r="AG688" s="35"/>
      <c r="AH688" s="35"/>
      <c r="AI688" s="35"/>
      <c r="AJ688" s="35"/>
      <c r="AK688" s="35"/>
      <c r="AL688" s="35"/>
    </row>
    <row r="689" ht="32.25" customHeight="1">
      <c r="A689" s="40"/>
      <c r="B689" s="157" t="s">
        <v>2073</v>
      </c>
      <c r="C689" s="158" t="s">
        <v>3698</v>
      </c>
      <c r="D689" s="159"/>
      <c r="E689" s="22" t="s">
        <v>3699</v>
      </c>
      <c r="F689" s="23" t="s">
        <v>3700</v>
      </c>
      <c r="G689" s="23">
        <v>2021.0</v>
      </c>
      <c r="H689" s="22" t="s">
        <v>2375</v>
      </c>
      <c r="I689" s="24" t="s">
        <v>3701</v>
      </c>
      <c r="J689" s="22" t="s">
        <v>3702</v>
      </c>
      <c r="K689" s="22" t="s">
        <v>3703</v>
      </c>
      <c r="L689" s="36">
        <v>633.0</v>
      </c>
      <c r="M689" s="107"/>
      <c r="N689" s="129"/>
      <c r="O689" s="36">
        <v>12.0</v>
      </c>
      <c r="P689" s="37"/>
      <c r="Q689" s="107"/>
      <c r="R689" s="36"/>
      <c r="S689" s="107"/>
      <c r="T689" s="28" t="s">
        <v>3704</v>
      </c>
      <c r="U689" s="29" t="s">
        <v>61</v>
      </c>
      <c r="V689" s="139"/>
      <c r="W689" s="49"/>
      <c r="X689" s="49"/>
      <c r="Y689" s="35"/>
      <c r="Z689" s="35"/>
      <c r="AA689" s="35"/>
      <c r="AB689" s="35"/>
      <c r="AC689" s="35"/>
      <c r="AD689" s="35"/>
      <c r="AE689" s="35"/>
      <c r="AF689" s="35"/>
      <c r="AG689" s="35"/>
      <c r="AH689" s="35"/>
      <c r="AI689" s="35"/>
      <c r="AJ689" s="35"/>
      <c r="AK689" s="35"/>
      <c r="AL689" s="35"/>
    </row>
    <row r="690" ht="32.25" customHeight="1">
      <c r="A690" s="40"/>
      <c r="B690" s="157" t="s">
        <v>2073</v>
      </c>
      <c r="C690" s="158" t="s">
        <v>3705</v>
      </c>
      <c r="D690" s="159"/>
      <c r="E690" s="22" t="s">
        <v>3706</v>
      </c>
      <c r="F690" s="23" t="s">
        <v>2391</v>
      </c>
      <c r="G690" s="23">
        <v>2023.0</v>
      </c>
      <c r="H690" s="22" t="s">
        <v>2479</v>
      </c>
      <c r="I690" s="24" t="s">
        <v>3707</v>
      </c>
      <c r="J690" s="22" t="s">
        <v>44</v>
      </c>
      <c r="K690" s="22" t="s">
        <v>3708</v>
      </c>
      <c r="L690" s="36">
        <v>1050.0</v>
      </c>
      <c r="M690" s="36">
        <v>50.0</v>
      </c>
      <c r="N690" s="36" t="s">
        <v>1185</v>
      </c>
      <c r="O690" s="107"/>
      <c r="P690" s="109"/>
      <c r="Q690" s="36" t="s">
        <v>3709</v>
      </c>
      <c r="R690" s="36"/>
      <c r="S690" s="107"/>
      <c r="T690" s="28" t="s">
        <v>3710</v>
      </c>
      <c r="U690" s="38" t="s">
        <v>61</v>
      </c>
      <c r="V690" s="139"/>
      <c r="W690" s="49"/>
      <c r="X690" s="49"/>
      <c r="Y690" s="35"/>
      <c r="Z690" s="35"/>
      <c r="AA690" s="35"/>
      <c r="AB690" s="35"/>
      <c r="AC690" s="35"/>
      <c r="AD690" s="35"/>
      <c r="AE690" s="35"/>
      <c r="AF690" s="35"/>
      <c r="AG690" s="35"/>
      <c r="AH690" s="35"/>
      <c r="AI690" s="35"/>
      <c r="AJ690" s="35"/>
      <c r="AK690" s="35"/>
      <c r="AL690" s="35"/>
    </row>
    <row r="691" ht="32.25" customHeight="1">
      <c r="A691" s="40"/>
      <c r="B691" s="157" t="s">
        <v>2073</v>
      </c>
      <c r="C691" s="158" t="s">
        <v>3705</v>
      </c>
      <c r="D691" s="159"/>
      <c r="E691" s="22" t="s">
        <v>3706</v>
      </c>
      <c r="F691" s="23" t="s">
        <v>2391</v>
      </c>
      <c r="G691" s="23">
        <v>2020.0</v>
      </c>
      <c r="H691" s="22" t="s">
        <v>3711</v>
      </c>
      <c r="I691" s="24" t="s">
        <v>3712</v>
      </c>
      <c r="J691" s="22" t="s">
        <v>44</v>
      </c>
      <c r="K691" s="22"/>
      <c r="L691" s="36">
        <v>1268.0</v>
      </c>
      <c r="M691" s="107"/>
      <c r="N691" s="129"/>
      <c r="O691" s="107"/>
      <c r="P691" s="109"/>
      <c r="Q691" s="107"/>
      <c r="R691" s="36"/>
      <c r="S691" s="107"/>
      <c r="T691" s="28" t="s">
        <v>3713</v>
      </c>
      <c r="U691" s="38" t="str">
        <f>HYPERLINK("https://onlinelibrary.wiley.com/doi/abs/10.1002/tbio.201900036","Wiley")</f>
        <v>Wiley</v>
      </c>
      <c r="V691" s="139"/>
      <c r="W691" s="49"/>
      <c r="X691" s="49"/>
      <c r="Y691" s="35"/>
      <c r="Z691" s="35"/>
      <c r="AA691" s="35"/>
      <c r="AB691" s="35"/>
      <c r="AC691" s="35"/>
      <c r="AD691" s="35"/>
      <c r="AE691" s="35"/>
      <c r="AF691" s="35"/>
      <c r="AG691" s="35"/>
      <c r="AH691" s="35"/>
      <c r="AI691" s="35"/>
      <c r="AJ691" s="35"/>
      <c r="AK691" s="35"/>
      <c r="AL691" s="35"/>
    </row>
    <row r="692" ht="32.25" customHeight="1">
      <c r="A692" s="40"/>
      <c r="B692" s="157" t="s">
        <v>2073</v>
      </c>
      <c r="C692" s="158" t="s">
        <v>3714</v>
      </c>
      <c r="D692" s="159"/>
      <c r="E692" s="22" t="s">
        <v>3715</v>
      </c>
      <c r="F692" s="23" t="s">
        <v>3188</v>
      </c>
      <c r="G692" s="23">
        <v>2024.0</v>
      </c>
      <c r="H692" s="22" t="s">
        <v>91</v>
      </c>
      <c r="I692" s="24" t="s">
        <v>3716</v>
      </c>
      <c r="J692" s="22" t="s">
        <v>55</v>
      </c>
      <c r="K692" s="22" t="s">
        <v>2319</v>
      </c>
      <c r="L692" s="36" t="s">
        <v>3717</v>
      </c>
      <c r="M692" s="36"/>
      <c r="N692" s="36"/>
      <c r="O692" s="107"/>
      <c r="P692" s="37"/>
      <c r="Q692" s="36"/>
      <c r="R692" s="36"/>
      <c r="S692" s="36" t="s">
        <v>3125</v>
      </c>
      <c r="T692" s="28" t="s">
        <v>3718</v>
      </c>
      <c r="U692" s="38" t="s">
        <v>61</v>
      </c>
      <c r="V692" s="136"/>
      <c r="W692" s="49"/>
      <c r="X692" s="49"/>
      <c r="Y692" s="35"/>
      <c r="Z692" s="35"/>
      <c r="AA692" s="35"/>
      <c r="AB692" s="35"/>
      <c r="AC692" s="35"/>
      <c r="AD692" s="35"/>
      <c r="AE692" s="35"/>
      <c r="AF692" s="35"/>
      <c r="AG692" s="35"/>
      <c r="AH692" s="35"/>
      <c r="AI692" s="35"/>
      <c r="AJ692" s="35"/>
      <c r="AK692" s="35"/>
      <c r="AL692" s="35"/>
    </row>
    <row r="693" ht="32.25" customHeight="1">
      <c r="A693" s="40"/>
      <c r="B693" s="157" t="s">
        <v>2073</v>
      </c>
      <c r="C693" s="158" t="s">
        <v>3714</v>
      </c>
      <c r="D693" s="159"/>
      <c r="E693" s="22" t="s">
        <v>3719</v>
      </c>
      <c r="F693" s="23" t="s">
        <v>3720</v>
      </c>
      <c r="G693" s="23">
        <v>2023.0</v>
      </c>
      <c r="H693" s="22" t="s">
        <v>2433</v>
      </c>
      <c r="I693" s="24" t="s">
        <v>3721</v>
      </c>
      <c r="J693" s="22" t="s">
        <v>3722</v>
      </c>
      <c r="K693" s="22" t="s">
        <v>3723</v>
      </c>
      <c r="L693" s="36">
        <v>670.0</v>
      </c>
      <c r="M693" s="36"/>
      <c r="N693" s="36"/>
      <c r="O693" s="107"/>
      <c r="P693" s="37"/>
      <c r="Q693" s="36"/>
      <c r="R693" s="36">
        <v>1200.0</v>
      </c>
      <c r="S693" s="36"/>
      <c r="T693" s="28" t="s">
        <v>3724</v>
      </c>
      <c r="U693" s="38" t="s">
        <v>61</v>
      </c>
      <c r="V693" s="136" t="s">
        <v>3725</v>
      </c>
      <c r="W693" s="49"/>
      <c r="X693" s="49"/>
      <c r="Y693" s="35"/>
      <c r="Z693" s="35"/>
      <c r="AA693" s="35"/>
      <c r="AB693" s="35"/>
      <c r="AC693" s="35"/>
      <c r="AD693" s="35"/>
      <c r="AE693" s="35"/>
      <c r="AF693" s="35"/>
      <c r="AG693" s="35"/>
      <c r="AH693" s="35"/>
      <c r="AI693" s="35"/>
      <c r="AJ693" s="35"/>
      <c r="AK693" s="35"/>
      <c r="AL693" s="35"/>
    </row>
    <row r="694" ht="32.25" customHeight="1">
      <c r="A694" s="40"/>
      <c r="B694" s="157" t="s">
        <v>2073</v>
      </c>
      <c r="C694" s="158" t="s">
        <v>3714</v>
      </c>
      <c r="D694" s="159"/>
      <c r="E694" s="22" t="s">
        <v>3726</v>
      </c>
      <c r="F694" s="23" t="s">
        <v>2130</v>
      </c>
      <c r="G694" s="23">
        <v>2023.0</v>
      </c>
      <c r="H694" s="22" t="s">
        <v>2122</v>
      </c>
      <c r="I694" s="24" t="s">
        <v>3727</v>
      </c>
      <c r="J694" s="22" t="s">
        <v>3728</v>
      </c>
      <c r="K694" s="22"/>
      <c r="L694" s="36">
        <v>1064.0</v>
      </c>
      <c r="M694" s="36"/>
      <c r="N694" s="36" t="s">
        <v>93</v>
      </c>
      <c r="O694" s="107"/>
      <c r="P694" s="37"/>
      <c r="Q694" s="36"/>
      <c r="R694" s="36">
        <v>50.0</v>
      </c>
      <c r="S694" s="36">
        <v>1.0</v>
      </c>
      <c r="T694" s="28" t="s">
        <v>3729</v>
      </c>
      <c r="U694" s="38" t="s">
        <v>61</v>
      </c>
      <c r="V694" s="136"/>
      <c r="W694" s="49"/>
      <c r="X694" s="49"/>
      <c r="Y694" s="35"/>
      <c r="Z694" s="35"/>
      <c r="AA694" s="35"/>
      <c r="AB694" s="35"/>
      <c r="AC694" s="35"/>
      <c r="AD694" s="35"/>
      <c r="AE694" s="35"/>
      <c r="AF694" s="35"/>
      <c r="AG694" s="35"/>
      <c r="AH694" s="35"/>
      <c r="AI694" s="35"/>
      <c r="AJ694" s="35"/>
      <c r="AK694" s="35"/>
      <c r="AL694" s="35"/>
    </row>
    <row r="695" ht="32.25" customHeight="1">
      <c r="A695" s="40"/>
      <c r="B695" s="157" t="s">
        <v>2073</v>
      </c>
      <c r="C695" s="158" t="s">
        <v>3714</v>
      </c>
      <c r="D695" s="159"/>
      <c r="E695" s="22" t="s">
        <v>3187</v>
      </c>
      <c r="F695" s="23" t="s">
        <v>3188</v>
      </c>
      <c r="G695" s="23">
        <v>2022.0</v>
      </c>
      <c r="H695" s="22" t="s">
        <v>2122</v>
      </c>
      <c r="I695" s="24" t="s">
        <v>3730</v>
      </c>
      <c r="J695" s="22" t="s">
        <v>55</v>
      </c>
      <c r="K695" s="22"/>
      <c r="L695" s="36">
        <v>810.0</v>
      </c>
      <c r="M695" s="36">
        <v>40.0</v>
      </c>
      <c r="N695" s="36" t="s">
        <v>3731</v>
      </c>
      <c r="O695" s="107"/>
      <c r="P695" s="37" t="s">
        <v>3732</v>
      </c>
      <c r="Q695" s="36" t="s">
        <v>3733</v>
      </c>
      <c r="R695" s="36">
        <v>1440.0</v>
      </c>
      <c r="S695" s="36" t="s">
        <v>3125</v>
      </c>
      <c r="T695" s="41" t="s">
        <v>3734</v>
      </c>
      <c r="U695" s="29" t="s">
        <v>61</v>
      </c>
      <c r="V695" s="136"/>
      <c r="W695" s="49"/>
      <c r="X695" s="49"/>
      <c r="Y695" s="35"/>
      <c r="Z695" s="35"/>
      <c r="AA695" s="35"/>
      <c r="AB695" s="35"/>
      <c r="AC695" s="35"/>
      <c r="AD695" s="35"/>
      <c r="AE695" s="35"/>
      <c r="AF695" s="35"/>
      <c r="AG695" s="35"/>
      <c r="AH695" s="35"/>
      <c r="AI695" s="35"/>
      <c r="AJ695" s="35"/>
      <c r="AK695" s="35"/>
      <c r="AL695" s="35"/>
    </row>
    <row r="696" ht="32.25" customHeight="1">
      <c r="A696" s="40"/>
      <c r="B696" s="157" t="s">
        <v>2073</v>
      </c>
      <c r="C696" s="158" t="s">
        <v>3714</v>
      </c>
      <c r="D696" s="159"/>
      <c r="E696" s="22" t="s">
        <v>3735</v>
      </c>
      <c r="F696" s="23" t="s">
        <v>2130</v>
      </c>
      <c r="G696" s="23">
        <v>2021.0</v>
      </c>
      <c r="H696" s="22" t="s">
        <v>2162</v>
      </c>
      <c r="I696" s="24" t="s">
        <v>3736</v>
      </c>
      <c r="J696" s="22" t="s">
        <v>3737</v>
      </c>
      <c r="K696" s="22"/>
      <c r="L696" s="36">
        <v>1064.0</v>
      </c>
      <c r="M696" s="107"/>
      <c r="N696" s="36" t="s">
        <v>93</v>
      </c>
      <c r="O696" s="107"/>
      <c r="P696" s="109"/>
      <c r="Q696" s="36" t="s">
        <v>3738</v>
      </c>
      <c r="R696" s="36"/>
      <c r="S696" s="36">
        <v>1.0</v>
      </c>
      <c r="T696" s="28" t="s">
        <v>3739</v>
      </c>
      <c r="U696" s="29" t="s">
        <v>61</v>
      </c>
      <c r="V696" s="136" t="s">
        <v>3740</v>
      </c>
      <c r="W696" s="49"/>
      <c r="X696" s="49"/>
      <c r="Y696" s="35"/>
      <c r="Z696" s="35"/>
      <c r="AA696" s="35"/>
      <c r="AB696" s="35"/>
      <c r="AC696" s="35"/>
      <c r="AD696" s="35"/>
      <c r="AE696" s="35"/>
      <c r="AF696" s="35"/>
      <c r="AG696" s="35"/>
      <c r="AH696" s="35"/>
      <c r="AI696" s="35"/>
      <c r="AJ696" s="35"/>
      <c r="AK696" s="35"/>
      <c r="AL696" s="35"/>
    </row>
    <row r="697" ht="32.25" customHeight="1">
      <c r="A697" s="40"/>
      <c r="B697" s="157" t="s">
        <v>2073</v>
      </c>
      <c r="C697" s="158" t="s">
        <v>3714</v>
      </c>
      <c r="D697" s="159"/>
      <c r="E697" s="22" t="s">
        <v>1671</v>
      </c>
      <c r="F697" s="23" t="s">
        <v>75</v>
      </c>
      <c r="G697" s="23">
        <v>2021.0</v>
      </c>
      <c r="H697" s="22" t="s">
        <v>3741</v>
      </c>
      <c r="I697" s="24" t="s">
        <v>3742</v>
      </c>
      <c r="J697" s="22" t="s">
        <v>55</v>
      </c>
      <c r="K697" s="22"/>
      <c r="L697" s="36">
        <v>810.0</v>
      </c>
      <c r="M697" s="107"/>
      <c r="N697" s="36" t="s">
        <v>278</v>
      </c>
      <c r="O697" s="107"/>
      <c r="P697" s="37" t="s">
        <v>3743</v>
      </c>
      <c r="Q697" s="36" t="s">
        <v>280</v>
      </c>
      <c r="R697" s="36" t="s">
        <v>3744</v>
      </c>
      <c r="S697" s="107"/>
      <c r="T697" s="28" t="s">
        <v>3745</v>
      </c>
      <c r="U697" s="29" t="s">
        <v>61</v>
      </c>
      <c r="V697" s="139"/>
      <c r="W697" s="49"/>
      <c r="X697" s="49"/>
      <c r="Y697" s="35"/>
      <c r="Z697" s="35"/>
      <c r="AA697" s="35"/>
      <c r="AB697" s="35"/>
      <c r="AC697" s="35"/>
      <c r="AD697" s="35"/>
      <c r="AE697" s="35"/>
      <c r="AF697" s="35"/>
      <c r="AG697" s="35"/>
      <c r="AH697" s="35"/>
      <c r="AI697" s="35"/>
      <c r="AJ697" s="35"/>
      <c r="AK697" s="35"/>
      <c r="AL697" s="35"/>
    </row>
    <row r="698" ht="32.25" customHeight="1">
      <c r="A698" s="40"/>
      <c r="B698" s="157" t="s">
        <v>2073</v>
      </c>
      <c r="C698" s="158" t="s">
        <v>3714</v>
      </c>
      <c r="D698" s="159"/>
      <c r="E698" s="22" t="s">
        <v>3746</v>
      </c>
      <c r="F698" s="23" t="s">
        <v>3188</v>
      </c>
      <c r="G698" s="23">
        <v>2020.0</v>
      </c>
      <c r="H698" s="22" t="s">
        <v>3166</v>
      </c>
      <c r="I698" s="24" t="s">
        <v>3747</v>
      </c>
      <c r="J698" s="22" t="s">
        <v>55</v>
      </c>
      <c r="K698" s="22" t="s">
        <v>157</v>
      </c>
      <c r="L698" s="36">
        <v>670.0</v>
      </c>
      <c r="M698" s="107"/>
      <c r="N698" s="36"/>
      <c r="O698" s="107"/>
      <c r="P698" s="37"/>
      <c r="Q698" s="36"/>
      <c r="R698" s="36"/>
      <c r="S698" s="107"/>
      <c r="T698" s="28" t="s">
        <v>3748</v>
      </c>
      <c r="U698" s="29" t="s">
        <v>61</v>
      </c>
      <c r="V698" s="136" t="s">
        <v>3749</v>
      </c>
      <c r="W698" s="49"/>
      <c r="X698" s="49"/>
      <c r="Y698" s="35"/>
      <c r="Z698" s="35"/>
      <c r="AA698" s="35"/>
      <c r="AB698" s="35"/>
      <c r="AC698" s="35"/>
      <c r="AD698" s="35"/>
      <c r="AE698" s="35"/>
      <c r="AF698" s="35"/>
      <c r="AG698" s="35"/>
      <c r="AH698" s="35"/>
      <c r="AI698" s="35"/>
      <c r="AJ698" s="35"/>
      <c r="AK698" s="35"/>
      <c r="AL698" s="35"/>
    </row>
    <row r="699" ht="32.25" customHeight="1">
      <c r="A699" s="40"/>
      <c r="B699" s="157" t="s">
        <v>2073</v>
      </c>
      <c r="C699" s="158" t="s">
        <v>3714</v>
      </c>
      <c r="D699" s="159"/>
      <c r="E699" s="22" t="s">
        <v>3497</v>
      </c>
      <c r="F699" s="23" t="s">
        <v>28</v>
      </c>
      <c r="G699" s="23">
        <v>2020.0</v>
      </c>
      <c r="H699" s="22" t="s">
        <v>53</v>
      </c>
      <c r="I699" s="24" t="s">
        <v>3750</v>
      </c>
      <c r="J699" s="22" t="s">
        <v>3751</v>
      </c>
      <c r="K699" s="22"/>
      <c r="L699" s="36">
        <v>1064.0</v>
      </c>
      <c r="M699" s="107"/>
      <c r="N699" s="36" t="s">
        <v>93</v>
      </c>
      <c r="O699" s="107"/>
      <c r="P699" s="109"/>
      <c r="Q699" s="36" t="s">
        <v>3738</v>
      </c>
      <c r="R699" s="36"/>
      <c r="S699" s="36" t="s">
        <v>3576</v>
      </c>
      <c r="T699" s="28" t="s">
        <v>3752</v>
      </c>
      <c r="U699" s="38" t="str">
        <f>HYPERLINK("https://www.ncbi.nlm.nih.gov/pubmed/32173886","PubMed")</f>
        <v>PubMed</v>
      </c>
      <c r="V699" s="139"/>
      <c r="W699" s="49"/>
      <c r="X699" s="49"/>
      <c r="Y699" s="35"/>
      <c r="Z699" s="35"/>
      <c r="AA699" s="35"/>
      <c r="AB699" s="35"/>
      <c r="AC699" s="35"/>
      <c r="AD699" s="35"/>
      <c r="AE699" s="35"/>
      <c r="AF699" s="35"/>
      <c r="AG699" s="35"/>
      <c r="AH699" s="35"/>
      <c r="AI699" s="35"/>
      <c r="AJ699" s="35"/>
      <c r="AK699" s="35"/>
      <c r="AL699" s="35"/>
    </row>
    <row r="700" ht="32.25" customHeight="1">
      <c r="A700" s="40"/>
      <c r="B700" s="157" t="s">
        <v>2073</v>
      </c>
      <c r="C700" s="158" t="s">
        <v>3714</v>
      </c>
      <c r="D700" s="159"/>
      <c r="E700" s="22" t="s">
        <v>3753</v>
      </c>
      <c r="F700" s="23" t="s">
        <v>2116</v>
      </c>
      <c r="G700" s="23">
        <v>2017.0</v>
      </c>
      <c r="H700" s="22" t="s">
        <v>658</v>
      </c>
      <c r="I700" s="24" t="s">
        <v>3754</v>
      </c>
      <c r="J700" s="22" t="s">
        <v>3755</v>
      </c>
      <c r="K700" s="22" t="s">
        <v>3756</v>
      </c>
      <c r="L700" s="36">
        <v>808.0</v>
      </c>
      <c r="M700" s="36" t="s">
        <v>3757</v>
      </c>
      <c r="N700" s="129"/>
      <c r="O700" s="36" t="s">
        <v>3758</v>
      </c>
      <c r="P700" s="109"/>
      <c r="Q700" s="107"/>
      <c r="R700" s="36" t="s">
        <v>3759</v>
      </c>
      <c r="S700" s="36" t="s">
        <v>2302</v>
      </c>
      <c r="T700" s="42" t="s">
        <v>3760</v>
      </c>
      <c r="U700" s="38" t="str">
        <f>HYPERLINK("https://www.ncbi.nlm.nih.gov/pubmed/28186868","PubMed")</f>
        <v>PubMed</v>
      </c>
      <c r="V700" s="139"/>
      <c r="W700" s="49"/>
      <c r="X700" s="49"/>
      <c r="Y700" s="35"/>
      <c r="Z700" s="35"/>
      <c r="AA700" s="35"/>
      <c r="AB700" s="35"/>
      <c r="AC700" s="35"/>
      <c r="AD700" s="35"/>
      <c r="AE700" s="35"/>
      <c r="AF700" s="35"/>
      <c r="AG700" s="35"/>
      <c r="AH700" s="35"/>
      <c r="AI700" s="35"/>
      <c r="AJ700" s="35"/>
      <c r="AK700" s="35"/>
      <c r="AL700" s="35"/>
    </row>
    <row r="701" ht="32.25" customHeight="1">
      <c r="A701" s="40"/>
      <c r="B701" s="157" t="s">
        <v>2073</v>
      </c>
      <c r="C701" s="158" t="s">
        <v>3714</v>
      </c>
      <c r="D701" s="159"/>
      <c r="E701" s="22" t="s">
        <v>3761</v>
      </c>
      <c r="F701" s="23" t="s">
        <v>3762</v>
      </c>
      <c r="G701" s="23">
        <v>2002.0</v>
      </c>
      <c r="H701" s="22" t="s">
        <v>2558</v>
      </c>
      <c r="I701" s="24" t="s">
        <v>3763</v>
      </c>
      <c r="J701" s="22" t="s">
        <v>55</v>
      </c>
      <c r="K701" s="22" t="s">
        <v>294</v>
      </c>
      <c r="L701" s="36" t="s">
        <v>3764</v>
      </c>
      <c r="M701" s="107"/>
      <c r="N701" s="129">
        <v>42586.0</v>
      </c>
      <c r="O701" s="107"/>
      <c r="P701" s="109"/>
      <c r="Q701" s="107"/>
      <c r="R701" s="36">
        <v>900.0</v>
      </c>
      <c r="S701" s="107"/>
      <c r="T701" s="28" t="s">
        <v>3765</v>
      </c>
      <c r="U701" s="38" t="str">
        <f>HYPERLINK("https://www.ncbi.nlm.nih.gov/pubmed/11959421","PubMed")</f>
        <v>PubMed</v>
      </c>
      <c r="V701" s="139"/>
      <c r="W701" s="49"/>
      <c r="X701" s="49"/>
      <c r="Y701" s="35"/>
      <c r="Z701" s="35"/>
      <c r="AA701" s="35"/>
      <c r="AB701" s="35"/>
      <c r="AC701" s="35"/>
      <c r="AD701" s="35"/>
      <c r="AE701" s="35"/>
      <c r="AF701" s="35"/>
      <c r="AG701" s="35"/>
      <c r="AH701" s="35"/>
      <c r="AI701" s="35"/>
      <c r="AJ701" s="35"/>
      <c r="AK701" s="35"/>
      <c r="AL701" s="35"/>
    </row>
    <row r="702" ht="32.25" customHeight="1">
      <c r="A702" s="40"/>
      <c r="B702" s="157" t="s">
        <v>2073</v>
      </c>
      <c r="C702" s="158" t="s">
        <v>3714</v>
      </c>
      <c r="D702" s="159"/>
      <c r="E702" s="22" t="s">
        <v>3766</v>
      </c>
      <c r="F702" s="23" t="s">
        <v>3767</v>
      </c>
      <c r="G702" s="23">
        <v>1997.0</v>
      </c>
      <c r="H702" s="22" t="s">
        <v>3766</v>
      </c>
      <c r="I702" s="24" t="s">
        <v>3768</v>
      </c>
      <c r="J702" s="22" t="s">
        <v>253</v>
      </c>
      <c r="K702" s="22"/>
      <c r="L702" s="36" t="s">
        <v>3769</v>
      </c>
      <c r="M702" s="36"/>
      <c r="N702" s="129"/>
      <c r="O702" s="37"/>
      <c r="P702" s="37"/>
      <c r="Q702" s="107"/>
      <c r="R702" s="36"/>
      <c r="S702" s="107"/>
      <c r="T702" s="42" t="s">
        <v>3770</v>
      </c>
      <c r="U702" s="29" t="s">
        <v>61</v>
      </c>
      <c r="V702" s="139"/>
      <c r="W702" s="49"/>
      <c r="X702" s="49"/>
      <c r="Y702" s="35"/>
      <c r="Z702" s="35"/>
      <c r="AA702" s="35"/>
      <c r="AB702" s="35"/>
      <c r="AC702" s="35"/>
      <c r="AD702" s="35"/>
      <c r="AE702" s="35"/>
      <c r="AF702" s="35"/>
      <c r="AG702" s="35"/>
      <c r="AH702" s="35"/>
      <c r="AI702" s="35"/>
      <c r="AJ702" s="35"/>
      <c r="AK702" s="35"/>
      <c r="AL702" s="35"/>
    </row>
    <row r="703" ht="32.25" customHeight="1">
      <c r="A703" s="40"/>
      <c r="B703" s="157" t="s">
        <v>2073</v>
      </c>
      <c r="C703" s="158" t="s">
        <v>3714</v>
      </c>
      <c r="D703" s="159"/>
      <c r="E703" s="22" t="s">
        <v>3771</v>
      </c>
      <c r="F703" s="23" t="s">
        <v>2635</v>
      </c>
      <c r="G703" s="23">
        <v>1993.0</v>
      </c>
      <c r="H703" s="22" t="s">
        <v>207</v>
      </c>
      <c r="I703" s="24" t="s">
        <v>3772</v>
      </c>
      <c r="J703" s="22" t="s">
        <v>55</v>
      </c>
      <c r="K703" s="22"/>
      <c r="L703" s="36">
        <v>633.0</v>
      </c>
      <c r="M703" s="36"/>
      <c r="N703" s="129"/>
      <c r="O703" s="37"/>
      <c r="P703" s="37"/>
      <c r="Q703" s="107"/>
      <c r="R703" s="36"/>
      <c r="S703" s="107"/>
      <c r="T703" s="28" t="s">
        <v>3773</v>
      </c>
      <c r="U703" s="38" t="str">
        <f>HYPERLINK("https://www.ncbi.nlm.nih.gov/pubmed/8350195","PubMed")</f>
        <v>PubMed</v>
      </c>
      <c r="V703" s="139"/>
      <c r="W703" s="49"/>
      <c r="X703" s="49"/>
      <c r="Y703" s="35"/>
      <c r="Z703" s="35"/>
      <c r="AA703" s="35"/>
      <c r="AB703" s="35"/>
      <c r="AC703" s="35"/>
      <c r="AD703" s="35"/>
      <c r="AE703" s="35"/>
      <c r="AF703" s="35"/>
      <c r="AG703" s="35"/>
      <c r="AH703" s="35"/>
      <c r="AI703" s="35"/>
      <c r="AJ703" s="35"/>
      <c r="AK703" s="35"/>
      <c r="AL703" s="35"/>
    </row>
    <row r="704" ht="32.25" customHeight="1">
      <c r="A704" s="40"/>
      <c r="B704" s="157" t="s">
        <v>2073</v>
      </c>
      <c r="C704" s="158" t="s">
        <v>3714</v>
      </c>
      <c r="D704" s="159"/>
      <c r="E704" s="22" t="s">
        <v>3774</v>
      </c>
      <c r="F704" s="23" t="s">
        <v>3775</v>
      </c>
      <c r="G704" s="23">
        <v>1991.0</v>
      </c>
      <c r="H704" s="22" t="s">
        <v>3776</v>
      </c>
      <c r="I704" s="24" t="s">
        <v>3777</v>
      </c>
      <c r="J704" s="22" t="s">
        <v>55</v>
      </c>
      <c r="K704" s="22"/>
      <c r="L704" s="36">
        <v>633.0</v>
      </c>
      <c r="M704" s="36"/>
      <c r="N704" s="129"/>
      <c r="O704" s="37" t="s">
        <v>1984</v>
      </c>
      <c r="P704" s="37"/>
      <c r="Q704" s="107"/>
      <c r="R704" s="36"/>
      <c r="S704" s="107"/>
      <c r="T704" s="28" t="s">
        <v>3778</v>
      </c>
      <c r="U704" s="38" t="str">
        <f>HYPERLINK("https://www.ncbi.nlm.nih.gov/pubmed/1776992","PubMed")</f>
        <v>PubMed</v>
      </c>
      <c r="V704" s="139"/>
      <c r="W704" s="49"/>
      <c r="X704" s="49"/>
      <c r="Y704" s="35"/>
      <c r="Z704" s="35"/>
      <c r="AA704" s="35"/>
      <c r="AB704" s="35"/>
      <c r="AC704" s="35"/>
      <c r="AD704" s="35"/>
      <c r="AE704" s="35"/>
      <c r="AF704" s="35"/>
      <c r="AG704" s="35"/>
      <c r="AH704" s="35"/>
      <c r="AI704" s="35"/>
      <c r="AJ704" s="35"/>
      <c r="AK704" s="35"/>
      <c r="AL704" s="35"/>
    </row>
    <row r="705" ht="32.25" customHeight="1">
      <c r="A705" s="40"/>
      <c r="B705" s="157" t="s">
        <v>2073</v>
      </c>
      <c r="C705" s="158" t="s">
        <v>3779</v>
      </c>
      <c r="D705" s="159"/>
      <c r="E705" s="22" t="s">
        <v>216</v>
      </c>
      <c r="F705" s="23" t="s">
        <v>313</v>
      </c>
      <c r="G705" s="23">
        <v>2023.0</v>
      </c>
      <c r="H705" s="22" t="s">
        <v>3780</v>
      </c>
      <c r="I705" s="24" t="s">
        <v>3781</v>
      </c>
      <c r="J705" s="22" t="s">
        <v>44</v>
      </c>
      <c r="K705" s="22" t="s">
        <v>3782</v>
      </c>
      <c r="L705" s="36"/>
      <c r="M705" s="36"/>
      <c r="N705" s="129"/>
      <c r="O705" s="107"/>
      <c r="P705" s="37"/>
      <c r="Q705" s="107"/>
      <c r="R705" s="36"/>
      <c r="S705" s="107"/>
      <c r="T705" s="28" t="s">
        <v>3783</v>
      </c>
      <c r="U705" s="38" t="s">
        <v>61</v>
      </c>
      <c r="V705" s="139"/>
      <c r="W705" s="49"/>
      <c r="X705" s="49"/>
      <c r="Y705" s="35"/>
      <c r="Z705" s="35"/>
      <c r="AA705" s="35"/>
      <c r="AB705" s="35"/>
      <c r="AC705" s="35"/>
      <c r="AD705" s="35"/>
      <c r="AE705" s="35"/>
      <c r="AF705" s="35"/>
      <c r="AG705" s="35"/>
      <c r="AH705" s="35"/>
      <c r="AI705" s="35"/>
      <c r="AJ705" s="35"/>
      <c r="AK705" s="35"/>
      <c r="AL705" s="35"/>
    </row>
    <row r="706" ht="32.25" customHeight="1">
      <c r="A706" s="40"/>
      <c r="B706" s="157" t="s">
        <v>2073</v>
      </c>
      <c r="C706" s="158" t="s">
        <v>3784</v>
      </c>
      <c r="D706" s="159"/>
      <c r="E706" s="22" t="s">
        <v>3785</v>
      </c>
      <c r="F706" s="23" t="s">
        <v>3441</v>
      </c>
      <c r="G706" s="23">
        <v>2013.0</v>
      </c>
      <c r="H706" s="22" t="s">
        <v>53</v>
      </c>
      <c r="I706" s="24" t="s">
        <v>3786</v>
      </c>
      <c r="J706" s="22" t="s">
        <v>31</v>
      </c>
      <c r="K706" s="22" t="s">
        <v>3787</v>
      </c>
      <c r="L706" s="36">
        <v>808.0</v>
      </c>
      <c r="M706" s="36">
        <v>50.0</v>
      </c>
      <c r="N706" s="129"/>
      <c r="O706" s="107"/>
      <c r="P706" s="37" t="s">
        <v>3788</v>
      </c>
      <c r="Q706" s="107"/>
      <c r="R706" s="36"/>
      <c r="S706" s="107"/>
      <c r="T706" s="28" t="s">
        <v>3789</v>
      </c>
      <c r="U706" s="38" t="str">
        <f>HYPERLINK("https://www.ncbi.nlm.nih.gov/pubmed/23619903","PubMed")</f>
        <v>PubMed</v>
      </c>
      <c r="V706" s="139"/>
      <c r="W706" s="49"/>
      <c r="X706" s="49"/>
      <c r="Y706" s="35"/>
      <c r="Z706" s="35"/>
      <c r="AA706" s="35"/>
      <c r="AB706" s="35"/>
      <c r="AC706" s="35"/>
      <c r="AD706" s="35"/>
      <c r="AE706" s="35"/>
      <c r="AF706" s="35"/>
      <c r="AG706" s="35"/>
      <c r="AH706" s="35"/>
      <c r="AI706" s="35"/>
      <c r="AJ706" s="35"/>
      <c r="AK706" s="35"/>
      <c r="AL706" s="35"/>
    </row>
    <row r="707" ht="52.5" customHeight="1">
      <c r="A707" s="18"/>
      <c r="B707" s="19" t="s">
        <v>2073</v>
      </c>
      <c r="C707" s="20" t="s">
        <v>3790</v>
      </c>
      <c r="D707" s="21"/>
      <c r="E707" s="22" t="s">
        <v>3791</v>
      </c>
      <c r="F707" s="22" t="s">
        <v>1046</v>
      </c>
      <c r="G707" s="23">
        <v>2019.0</v>
      </c>
      <c r="H707" s="22" t="s">
        <v>147</v>
      </c>
      <c r="I707" s="24" t="s">
        <v>3792</v>
      </c>
      <c r="J707" s="22" t="s">
        <v>3793</v>
      </c>
      <c r="K707" s="22"/>
      <c r="L707" s="36">
        <v>808.0</v>
      </c>
      <c r="M707" s="36">
        <v>628.0</v>
      </c>
      <c r="N707" s="36" t="s">
        <v>1175</v>
      </c>
      <c r="O707" s="36"/>
      <c r="P707" s="37" t="s">
        <v>1028</v>
      </c>
      <c r="Q707" s="36" t="s">
        <v>48</v>
      </c>
      <c r="R707" s="36">
        <v>300.0</v>
      </c>
      <c r="S707" s="36">
        <v>1.0</v>
      </c>
      <c r="T707" s="42" t="s">
        <v>3794</v>
      </c>
      <c r="U707" s="38" t="str">
        <f>HYPERLINK("https://www.ncbi.nlm.nih.gov/pubmed/31875125","PubMed")</f>
        <v>PubMed</v>
      </c>
      <c r="V707" s="30"/>
      <c r="W707" s="31"/>
      <c r="X707" s="31"/>
      <c r="Y707" s="31"/>
      <c r="Z707" s="32"/>
      <c r="AA707" s="31"/>
      <c r="AB707" s="31"/>
      <c r="AC707" s="9"/>
      <c r="AD707" s="31"/>
      <c r="AE707" s="31"/>
      <c r="AF707" s="33"/>
      <c r="AG707" s="34"/>
      <c r="AH707" s="31"/>
      <c r="AI707" s="35"/>
      <c r="AJ707" s="35"/>
      <c r="AK707" s="35"/>
      <c r="AL707" s="35"/>
    </row>
    <row r="708" ht="52.5" customHeight="1">
      <c r="A708" s="18"/>
      <c r="B708" s="19" t="s">
        <v>2073</v>
      </c>
      <c r="C708" s="20" t="s">
        <v>3795</v>
      </c>
      <c r="D708" s="21"/>
      <c r="E708" s="22" t="s">
        <v>3796</v>
      </c>
      <c r="F708" s="22" t="s">
        <v>1173</v>
      </c>
      <c r="G708" s="23">
        <v>2024.0</v>
      </c>
      <c r="H708" s="22" t="s">
        <v>3797</v>
      </c>
      <c r="I708" s="24" t="s">
        <v>3798</v>
      </c>
      <c r="J708" s="22" t="s">
        <v>3799</v>
      </c>
      <c r="K708" s="22"/>
      <c r="L708" s="52"/>
      <c r="M708" s="52"/>
      <c r="N708" s="52"/>
      <c r="O708" s="52" t="s">
        <v>3800</v>
      </c>
      <c r="P708" s="189"/>
      <c r="Q708" s="52"/>
      <c r="R708" s="52"/>
      <c r="S708" s="52"/>
      <c r="T708" s="28" t="s">
        <v>3801</v>
      </c>
      <c r="U708" s="38" t="s">
        <v>61</v>
      </c>
      <c r="V708" s="30" t="s">
        <v>174</v>
      </c>
      <c r="W708" s="31"/>
      <c r="X708" s="31"/>
      <c r="Y708" s="31"/>
      <c r="Z708" s="32"/>
      <c r="AA708" s="31"/>
      <c r="AB708" s="31"/>
      <c r="AC708" s="9"/>
      <c r="AD708" s="31"/>
      <c r="AE708" s="31"/>
      <c r="AF708" s="33"/>
      <c r="AG708" s="34"/>
      <c r="AH708" s="31"/>
      <c r="AI708" s="35"/>
      <c r="AJ708" s="35"/>
      <c r="AK708" s="35"/>
      <c r="AL708" s="35"/>
    </row>
    <row r="709" ht="52.5" customHeight="1">
      <c r="A709" s="18"/>
      <c r="B709" s="19" t="s">
        <v>2073</v>
      </c>
      <c r="C709" s="20" t="s">
        <v>3795</v>
      </c>
      <c r="D709" s="21"/>
      <c r="E709" s="22" t="s">
        <v>3802</v>
      </c>
      <c r="F709" s="22" t="s">
        <v>3803</v>
      </c>
      <c r="G709" s="23">
        <v>2022.0</v>
      </c>
      <c r="H709" s="22" t="s">
        <v>147</v>
      </c>
      <c r="I709" s="24" t="s">
        <v>3804</v>
      </c>
      <c r="J709" s="22" t="s">
        <v>125</v>
      </c>
      <c r="K709" s="22"/>
      <c r="L709" s="196" t="s">
        <v>3805</v>
      </c>
      <c r="U709" s="38" t="s">
        <v>61</v>
      </c>
      <c r="V709" s="30"/>
      <c r="W709" s="31"/>
      <c r="X709" s="31"/>
      <c r="Y709" s="31"/>
      <c r="Z709" s="32"/>
      <c r="AA709" s="31"/>
      <c r="AB709" s="31"/>
      <c r="AC709" s="9"/>
      <c r="AD709" s="31"/>
      <c r="AE709" s="31"/>
      <c r="AF709" s="33"/>
      <c r="AG709" s="34"/>
      <c r="AH709" s="31"/>
      <c r="AI709" s="35"/>
      <c r="AJ709" s="35"/>
      <c r="AK709" s="35"/>
      <c r="AL709" s="35"/>
    </row>
    <row r="710" ht="52.5" customHeight="1">
      <c r="A710" s="18"/>
      <c r="B710" s="19" t="s">
        <v>2073</v>
      </c>
      <c r="C710" s="20" t="s">
        <v>3795</v>
      </c>
      <c r="D710" s="21"/>
      <c r="E710" s="22" t="s">
        <v>3806</v>
      </c>
      <c r="F710" s="22" t="s">
        <v>1173</v>
      </c>
      <c r="G710" s="23">
        <v>2022.0</v>
      </c>
      <c r="H710" s="22" t="s">
        <v>77</v>
      </c>
      <c r="I710" s="24" t="s">
        <v>3807</v>
      </c>
      <c r="J710" s="22" t="s">
        <v>31</v>
      </c>
      <c r="K710" s="22"/>
      <c r="L710" s="36">
        <v>830.0</v>
      </c>
      <c r="M710" s="36"/>
      <c r="N710" s="36"/>
      <c r="O710" s="36"/>
      <c r="P710" s="37" t="s">
        <v>95</v>
      </c>
      <c r="Q710" s="36"/>
      <c r="R710" s="36"/>
      <c r="S710" s="36"/>
      <c r="T710" s="41" t="s">
        <v>3808</v>
      </c>
      <c r="U710" s="29" t="s">
        <v>61</v>
      </c>
      <c r="V710" s="30"/>
      <c r="W710" s="31"/>
      <c r="X710" s="31"/>
      <c r="Y710" s="31"/>
      <c r="Z710" s="32"/>
      <c r="AA710" s="31"/>
      <c r="AB710" s="31"/>
      <c r="AC710" s="9"/>
      <c r="AD710" s="31"/>
      <c r="AE710" s="31"/>
      <c r="AF710" s="33"/>
      <c r="AG710" s="34"/>
      <c r="AH710" s="31"/>
      <c r="AI710" s="35"/>
      <c r="AJ710" s="35"/>
      <c r="AK710" s="35"/>
      <c r="AL710" s="35"/>
    </row>
    <row r="711" ht="52.5" customHeight="1">
      <c r="A711" s="18"/>
      <c r="B711" s="19" t="s">
        <v>2073</v>
      </c>
      <c r="C711" s="20" t="s">
        <v>3795</v>
      </c>
      <c r="D711" s="21"/>
      <c r="E711" s="22" t="s">
        <v>88</v>
      </c>
      <c r="F711" s="22" t="s">
        <v>41</v>
      </c>
      <c r="G711" s="23">
        <v>2022.0</v>
      </c>
      <c r="H711" s="22" t="s">
        <v>91</v>
      </c>
      <c r="I711" s="24" t="s">
        <v>3809</v>
      </c>
      <c r="J711" s="22" t="s">
        <v>3810</v>
      </c>
      <c r="K711" s="22" t="s">
        <v>3811</v>
      </c>
      <c r="L711" s="36">
        <v>808.0</v>
      </c>
      <c r="M711" s="36"/>
      <c r="N711" s="36"/>
      <c r="O711" s="36">
        <v>36.0</v>
      </c>
      <c r="P711" s="37"/>
      <c r="Q711" s="36"/>
      <c r="R711" s="36">
        <v>360.0</v>
      </c>
      <c r="S711" s="36"/>
      <c r="T711" s="41" t="s">
        <v>3812</v>
      </c>
      <c r="U711" s="29" t="s">
        <v>61</v>
      </c>
      <c r="V711" s="30" t="s">
        <v>174</v>
      </c>
      <c r="W711" s="31"/>
      <c r="X711" s="31"/>
      <c r="Y711" s="31"/>
      <c r="Z711" s="32"/>
      <c r="AA711" s="31"/>
      <c r="AB711" s="31"/>
      <c r="AC711" s="9"/>
      <c r="AD711" s="31"/>
      <c r="AE711" s="31"/>
      <c r="AF711" s="33"/>
      <c r="AG711" s="34"/>
      <c r="AH711" s="31"/>
      <c r="AI711" s="35"/>
      <c r="AJ711" s="35"/>
      <c r="AK711" s="35"/>
      <c r="AL711" s="35"/>
    </row>
    <row r="712" ht="52.5" customHeight="1">
      <c r="A712" s="18"/>
      <c r="B712" s="19" t="s">
        <v>2073</v>
      </c>
      <c r="C712" s="20" t="s">
        <v>3795</v>
      </c>
      <c r="D712" s="21"/>
      <c r="E712" s="22" t="s">
        <v>3806</v>
      </c>
      <c r="F712" s="22" t="s">
        <v>1173</v>
      </c>
      <c r="G712" s="23">
        <v>2022.0</v>
      </c>
      <c r="H712" s="22" t="s">
        <v>77</v>
      </c>
      <c r="I712" s="24" t="s">
        <v>3813</v>
      </c>
      <c r="J712" s="22" t="s">
        <v>31</v>
      </c>
      <c r="K712" s="22"/>
      <c r="L712" s="36"/>
      <c r="M712" s="36"/>
      <c r="N712" s="36"/>
      <c r="O712" s="36"/>
      <c r="P712" s="37"/>
      <c r="Q712" s="36"/>
      <c r="R712" s="36"/>
      <c r="S712" s="36"/>
      <c r="T712" s="42" t="s">
        <v>3814</v>
      </c>
      <c r="U712" s="29" t="s">
        <v>61</v>
      </c>
      <c r="V712" s="30"/>
      <c r="W712" s="31"/>
      <c r="X712" s="31"/>
      <c r="Y712" s="31"/>
      <c r="Z712" s="32"/>
      <c r="AA712" s="31"/>
      <c r="AB712" s="31"/>
      <c r="AC712" s="9"/>
      <c r="AD712" s="31"/>
      <c r="AE712" s="31"/>
      <c r="AF712" s="33"/>
      <c r="AG712" s="34"/>
      <c r="AH712" s="31"/>
      <c r="AI712" s="35"/>
      <c r="AJ712" s="35"/>
      <c r="AK712" s="35"/>
      <c r="AL712" s="35"/>
    </row>
    <row r="713" ht="52.5" customHeight="1">
      <c r="A713" s="18"/>
      <c r="B713" s="19" t="s">
        <v>2073</v>
      </c>
      <c r="C713" s="20" t="s">
        <v>3795</v>
      </c>
      <c r="D713" s="21"/>
      <c r="E713" s="22" t="s">
        <v>3815</v>
      </c>
      <c r="F713" s="22" t="s">
        <v>323</v>
      </c>
      <c r="G713" s="23">
        <v>2021.0</v>
      </c>
      <c r="H713" s="22" t="s">
        <v>147</v>
      </c>
      <c r="I713" s="24" t="s">
        <v>3816</v>
      </c>
      <c r="J713" s="22" t="s">
        <v>125</v>
      </c>
      <c r="K713" s="22"/>
      <c r="L713" s="105" t="s">
        <v>3817</v>
      </c>
      <c r="M713" s="44"/>
      <c r="N713" s="44"/>
      <c r="O713" s="44"/>
      <c r="P713" s="44"/>
      <c r="Q713" s="44"/>
      <c r="R713" s="44"/>
      <c r="S713" s="44"/>
      <c r="T713" s="45"/>
      <c r="U713" s="29" t="s">
        <v>61</v>
      </c>
      <c r="V713" s="30"/>
      <c r="W713" s="31"/>
      <c r="X713" s="31"/>
      <c r="Y713" s="31"/>
      <c r="Z713" s="32"/>
      <c r="AA713" s="31"/>
      <c r="AB713" s="31"/>
      <c r="AC713" s="9"/>
      <c r="AD713" s="31"/>
      <c r="AE713" s="31"/>
      <c r="AF713" s="33"/>
      <c r="AG713" s="34"/>
      <c r="AH713" s="31"/>
      <c r="AI713" s="35"/>
      <c r="AJ713" s="35"/>
      <c r="AK713" s="35"/>
      <c r="AL713" s="35"/>
    </row>
    <row r="714" ht="52.5" customHeight="1">
      <c r="A714" s="18" t="s">
        <v>38</v>
      </c>
      <c r="B714" s="19" t="s">
        <v>2073</v>
      </c>
      <c r="C714" s="20" t="s">
        <v>3795</v>
      </c>
      <c r="D714" s="21"/>
      <c r="E714" s="22" t="s">
        <v>88</v>
      </c>
      <c r="F714" s="22" t="s">
        <v>41</v>
      </c>
      <c r="G714" s="23">
        <v>2020.0</v>
      </c>
      <c r="H714" s="22" t="s">
        <v>627</v>
      </c>
      <c r="I714" s="24" t="s">
        <v>3818</v>
      </c>
      <c r="J714" s="22" t="s">
        <v>3819</v>
      </c>
      <c r="K714" s="22" t="s">
        <v>3820</v>
      </c>
      <c r="L714" s="36">
        <v>808.0</v>
      </c>
      <c r="M714" s="36">
        <v>100.0</v>
      </c>
      <c r="N714" s="36"/>
      <c r="O714" s="36"/>
      <c r="P714" s="37"/>
      <c r="Q714" s="36"/>
      <c r="R714" s="36">
        <v>360.0</v>
      </c>
      <c r="S714" s="36">
        <v>24.0</v>
      </c>
      <c r="T714" s="42" t="s">
        <v>3821</v>
      </c>
      <c r="U714" s="38" t="str">
        <f>HYPERLINK("https://www.ncbi.nlm.nih.gov/pubmed/32255785","PubMed")</f>
        <v>PubMed</v>
      </c>
      <c r="V714" s="30"/>
      <c r="W714" s="31"/>
      <c r="X714" s="31"/>
      <c r="Y714" s="31"/>
      <c r="Z714" s="32"/>
      <c r="AA714" s="31"/>
      <c r="AB714" s="31"/>
      <c r="AC714" s="9"/>
      <c r="AD714" s="31"/>
      <c r="AE714" s="31"/>
      <c r="AF714" s="33"/>
      <c r="AG714" s="34"/>
      <c r="AH714" s="31"/>
      <c r="AI714" s="35"/>
      <c r="AJ714" s="35"/>
      <c r="AK714" s="35"/>
      <c r="AL714" s="35"/>
    </row>
    <row r="715" ht="52.5" customHeight="1">
      <c r="A715" s="18" t="s">
        <v>2</v>
      </c>
      <c r="B715" s="19" t="s">
        <v>2073</v>
      </c>
      <c r="C715" s="20" t="s">
        <v>3795</v>
      </c>
      <c r="D715" s="21"/>
      <c r="E715" s="22" t="s">
        <v>3822</v>
      </c>
      <c r="F715" s="22" t="s">
        <v>530</v>
      </c>
      <c r="G715" s="23">
        <v>2018.0</v>
      </c>
      <c r="H715" s="22" t="s">
        <v>207</v>
      </c>
      <c r="I715" s="24" t="s">
        <v>3823</v>
      </c>
      <c r="J715" s="22" t="s">
        <v>44</v>
      </c>
      <c r="K715" s="22"/>
      <c r="L715" s="36">
        <v>808.0</v>
      </c>
      <c r="M715" s="36">
        <v>50.0</v>
      </c>
      <c r="N715" s="36" t="s">
        <v>3824</v>
      </c>
      <c r="O715" s="36">
        <v>1.0</v>
      </c>
      <c r="P715" s="37" t="s">
        <v>2659</v>
      </c>
      <c r="Q715" s="36" t="s">
        <v>3825</v>
      </c>
      <c r="R715" s="36">
        <v>20.0</v>
      </c>
      <c r="S715" s="36">
        <v>6.0</v>
      </c>
      <c r="T715" s="28" t="s">
        <v>3826</v>
      </c>
      <c r="U715" s="38" t="str">
        <f>HYPERLINK("https://www.ncbi.nlm.nih.gov/pubmed/30312921","PubMed")</f>
        <v>PubMed</v>
      </c>
      <c r="V715" s="30"/>
      <c r="W715" s="31"/>
      <c r="X715" s="31"/>
      <c r="Y715" s="31"/>
      <c r="Z715" s="32"/>
      <c r="AA715" s="31"/>
      <c r="AB715" s="31"/>
      <c r="AC715" s="9"/>
      <c r="AD715" s="31"/>
      <c r="AE715" s="31"/>
      <c r="AF715" s="33"/>
      <c r="AG715" s="34"/>
      <c r="AH715" s="31"/>
      <c r="AI715" s="35"/>
      <c r="AJ715" s="35"/>
      <c r="AK715" s="35"/>
      <c r="AL715" s="35"/>
    </row>
    <row r="716" ht="52.5" customHeight="1">
      <c r="A716" s="1"/>
      <c r="B716" s="19" t="s">
        <v>2073</v>
      </c>
      <c r="C716" s="20" t="s">
        <v>3795</v>
      </c>
      <c r="D716" s="21"/>
      <c r="E716" s="22" t="s">
        <v>3827</v>
      </c>
      <c r="F716" s="22" t="s">
        <v>530</v>
      </c>
      <c r="G716" s="23">
        <v>2018.0</v>
      </c>
      <c r="H716" s="22" t="s">
        <v>3828</v>
      </c>
      <c r="I716" s="24" t="s">
        <v>3829</v>
      </c>
      <c r="J716" s="22" t="s">
        <v>2141</v>
      </c>
      <c r="K716" s="22"/>
      <c r="L716" s="168"/>
      <c r="M716" s="168"/>
      <c r="N716" s="197"/>
      <c r="O716" s="197"/>
      <c r="P716" s="198"/>
      <c r="Q716" s="168"/>
      <c r="R716" s="168"/>
      <c r="S716" s="168"/>
      <c r="T716" s="185" t="s">
        <v>3830</v>
      </c>
      <c r="U716" s="38" t="str">
        <f>HYPERLINK("https://www.ncbi.nlm.nih.gov/pubmed/29742699","PubMed")</f>
        <v>PubMed</v>
      </c>
      <c r="V716" s="30"/>
      <c r="W716" s="31"/>
      <c r="X716" s="31"/>
      <c r="Y716" s="31"/>
      <c r="Z716" s="32"/>
      <c r="AA716" s="31"/>
      <c r="AB716" s="31"/>
      <c r="AC716" s="9"/>
      <c r="AD716" s="31"/>
      <c r="AE716" s="31"/>
      <c r="AF716" s="33"/>
      <c r="AG716" s="34"/>
      <c r="AH716" s="31"/>
      <c r="AI716" s="35"/>
      <c r="AJ716" s="35"/>
      <c r="AK716" s="35"/>
      <c r="AL716" s="35"/>
    </row>
    <row r="717" ht="52.5" customHeight="1">
      <c r="A717" s="1" t="s">
        <v>2</v>
      </c>
      <c r="B717" s="19" t="s">
        <v>2073</v>
      </c>
      <c r="C717" s="20" t="s">
        <v>3795</v>
      </c>
      <c r="D717" s="21"/>
      <c r="E717" s="22" t="s">
        <v>3831</v>
      </c>
      <c r="F717" s="22" t="s">
        <v>3832</v>
      </c>
      <c r="G717" s="23">
        <v>2016.0</v>
      </c>
      <c r="H717" s="22" t="s">
        <v>3833</v>
      </c>
      <c r="I717" s="24" t="s">
        <v>3834</v>
      </c>
      <c r="J717" s="22" t="s">
        <v>44</v>
      </c>
      <c r="K717" s="22" t="s">
        <v>3835</v>
      </c>
      <c r="L717" s="36" t="s">
        <v>3836</v>
      </c>
      <c r="M717" s="36" t="s">
        <v>3837</v>
      </c>
      <c r="N717" s="36"/>
      <c r="O717" s="36" t="s">
        <v>3838</v>
      </c>
      <c r="P717" s="37" t="s">
        <v>3839</v>
      </c>
      <c r="Q717" s="36" t="s">
        <v>3840</v>
      </c>
      <c r="R717" s="36" t="s">
        <v>3841</v>
      </c>
      <c r="S717" s="36" t="s">
        <v>3842</v>
      </c>
      <c r="T717" s="28" t="s">
        <v>3843</v>
      </c>
      <c r="U717" s="38" t="str">
        <f>HYPERLINK("https://www.ncbi.nlm.nih.gov/pubmed/26703077","PubMed")</f>
        <v>PubMed</v>
      </c>
      <c r="V717" s="30"/>
      <c r="W717" s="31"/>
      <c r="X717" s="31"/>
      <c r="Y717" s="31"/>
      <c r="Z717" s="32"/>
      <c r="AA717" s="31"/>
      <c r="AB717" s="31"/>
      <c r="AC717" s="9"/>
      <c r="AD717" s="31"/>
      <c r="AE717" s="31"/>
      <c r="AF717" s="33"/>
      <c r="AG717" s="34"/>
      <c r="AH717" s="31"/>
      <c r="AI717" s="35"/>
      <c r="AJ717" s="35"/>
      <c r="AK717" s="35"/>
      <c r="AL717" s="35"/>
    </row>
    <row r="718" ht="39.75" customHeight="1">
      <c r="A718" s="1"/>
      <c r="B718" s="19" t="s">
        <v>2073</v>
      </c>
      <c r="C718" s="20" t="s">
        <v>3795</v>
      </c>
      <c r="D718" s="21"/>
      <c r="E718" s="22" t="s">
        <v>3844</v>
      </c>
      <c r="F718" s="22" t="s">
        <v>2076</v>
      </c>
      <c r="G718" s="199">
        <v>2016.0</v>
      </c>
      <c r="H718" s="22" t="s">
        <v>3845</v>
      </c>
      <c r="I718" s="24" t="s">
        <v>3846</v>
      </c>
      <c r="J718" s="22" t="s">
        <v>3847</v>
      </c>
      <c r="K718" s="22" t="s">
        <v>3848</v>
      </c>
      <c r="L718" s="36">
        <v>650.0</v>
      </c>
      <c r="M718" s="36">
        <v>50.0</v>
      </c>
      <c r="N718" s="36"/>
      <c r="O718" s="36">
        <v>3.0</v>
      </c>
      <c r="P718" s="37"/>
      <c r="Q718" s="36" t="s">
        <v>675</v>
      </c>
      <c r="R718" s="36"/>
      <c r="S718" s="36" t="s">
        <v>3849</v>
      </c>
      <c r="T718" s="41" t="s">
        <v>3850</v>
      </c>
      <c r="U718" s="29" t="s">
        <v>61</v>
      </c>
      <c r="V718" s="30"/>
      <c r="W718" s="31"/>
      <c r="X718" s="31"/>
      <c r="Y718" s="31"/>
      <c r="Z718" s="32"/>
      <c r="AA718" s="31"/>
      <c r="AB718" s="31"/>
      <c r="AC718" s="9"/>
      <c r="AD718" s="31"/>
      <c r="AE718" s="31"/>
      <c r="AF718" s="33"/>
      <c r="AG718" s="34"/>
      <c r="AH718" s="31"/>
      <c r="AI718" s="35"/>
      <c r="AJ718" s="35"/>
      <c r="AK718" s="35"/>
      <c r="AL718" s="35"/>
    </row>
    <row r="719" ht="39.75" customHeight="1">
      <c r="A719" s="1"/>
      <c r="B719" s="19" t="s">
        <v>2073</v>
      </c>
      <c r="C719" s="20" t="s">
        <v>3795</v>
      </c>
      <c r="D719" s="21"/>
      <c r="E719" s="22" t="s">
        <v>3851</v>
      </c>
      <c r="F719" s="22" t="s">
        <v>2956</v>
      </c>
      <c r="G719" s="199">
        <v>2013.0</v>
      </c>
      <c r="H719" s="22" t="s">
        <v>627</v>
      </c>
      <c r="I719" s="24" t="s">
        <v>3852</v>
      </c>
      <c r="J719" s="22" t="s">
        <v>3853</v>
      </c>
      <c r="K719" s="22" t="s">
        <v>3854</v>
      </c>
      <c r="L719" s="36">
        <v>670.0</v>
      </c>
      <c r="M719" s="36">
        <v>2100.0</v>
      </c>
      <c r="N719" s="36" t="s">
        <v>3855</v>
      </c>
      <c r="O719" s="36">
        <v>375.0</v>
      </c>
      <c r="P719" s="37" t="s">
        <v>432</v>
      </c>
      <c r="Q719" s="36" t="s">
        <v>3856</v>
      </c>
      <c r="R719" s="36">
        <v>180.0</v>
      </c>
      <c r="S719" s="36">
        <v>7.0</v>
      </c>
      <c r="T719" s="98" t="s">
        <v>3857</v>
      </c>
      <c r="U719" s="38" t="str">
        <f>HYPERLINK("https://www.ncbi.nlm.nih.gov/pubmed/23840675","PubMed")</f>
        <v>PubMed</v>
      </c>
      <c r="V719" s="30"/>
      <c r="W719" s="31"/>
      <c r="X719" s="31"/>
      <c r="Y719" s="31"/>
      <c r="Z719" s="32"/>
      <c r="AA719" s="31"/>
      <c r="AB719" s="31"/>
      <c r="AC719" s="9"/>
      <c r="AD719" s="31"/>
      <c r="AE719" s="31"/>
      <c r="AF719" s="33"/>
      <c r="AG719" s="34"/>
      <c r="AH719" s="31"/>
      <c r="AI719" s="35"/>
      <c r="AJ719" s="35"/>
      <c r="AK719" s="35"/>
      <c r="AL719" s="35"/>
    </row>
    <row r="720" ht="52.5" customHeight="1">
      <c r="A720" s="133" t="s">
        <v>2</v>
      </c>
      <c r="B720" s="19" t="s">
        <v>2073</v>
      </c>
      <c r="C720" s="20" t="s">
        <v>3795</v>
      </c>
      <c r="D720" s="21"/>
      <c r="E720" s="22" t="s">
        <v>3851</v>
      </c>
      <c r="F720" s="22" t="s">
        <v>2956</v>
      </c>
      <c r="G720" s="23">
        <v>2012.0</v>
      </c>
      <c r="H720" s="22" t="s">
        <v>627</v>
      </c>
      <c r="I720" s="24" t="s">
        <v>3858</v>
      </c>
      <c r="J720" s="22" t="s">
        <v>44</v>
      </c>
      <c r="K720" s="22" t="s">
        <v>3854</v>
      </c>
      <c r="L720" s="36">
        <v>670.0</v>
      </c>
      <c r="M720" s="36">
        <v>2100.0</v>
      </c>
      <c r="N720" s="36" t="s">
        <v>3855</v>
      </c>
      <c r="O720" s="36" t="s">
        <v>3859</v>
      </c>
      <c r="P720" s="37" t="s">
        <v>3860</v>
      </c>
      <c r="Q720" s="36" t="s">
        <v>3861</v>
      </c>
      <c r="R720" s="36">
        <v>180.0</v>
      </c>
      <c r="S720" s="36"/>
      <c r="T720" s="28" t="s">
        <v>3862</v>
      </c>
      <c r="U720" s="38" t="str">
        <f>HYPERLINK("https://www.ncbi.nlm.nih.gov/pubmed/22292010","PubMed")</f>
        <v>PubMed</v>
      </c>
      <c r="V720" s="30"/>
      <c r="W720" s="31"/>
      <c r="X720" s="31"/>
      <c r="Y720" s="31"/>
      <c r="Z720" s="32"/>
      <c r="AA720" s="31"/>
      <c r="AB720" s="31"/>
      <c r="AC720" s="9"/>
      <c r="AD720" s="31"/>
      <c r="AE720" s="31"/>
      <c r="AF720" s="33"/>
      <c r="AG720" s="34"/>
      <c r="AH720" s="31"/>
      <c r="AI720" s="35"/>
      <c r="AJ720" s="35"/>
      <c r="AK720" s="35"/>
      <c r="AL720" s="35"/>
    </row>
    <row r="721" ht="52.5" customHeight="1">
      <c r="A721" s="133"/>
      <c r="B721" s="19" t="s">
        <v>2073</v>
      </c>
      <c r="C721" s="20" t="s">
        <v>3795</v>
      </c>
      <c r="D721" s="21"/>
      <c r="E721" s="22" t="s">
        <v>3863</v>
      </c>
      <c r="F721" s="22" t="s">
        <v>3864</v>
      </c>
      <c r="G721" s="23">
        <v>2003.0</v>
      </c>
      <c r="H721" s="22" t="s">
        <v>3865</v>
      </c>
      <c r="I721" s="24" t="s">
        <v>3866</v>
      </c>
      <c r="J721" s="22" t="s">
        <v>3053</v>
      </c>
      <c r="K721" s="22"/>
      <c r="L721" s="36"/>
      <c r="M721" s="36"/>
      <c r="N721" s="36"/>
      <c r="O721" s="36"/>
      <c r="P721" s="37"/>
      <c r="Q721" s="36"/>
      <c r="R721" s="36"/>
      <c r="S721" s="36"/>
      <c r="T721" s="28" t="s">
        <v>3867</v>
      </c>
      <c r="U721" s="38" t="str">
        <f>HYPERLINK("http://spie.org/Publications/Proceedings/Paper/10.1117/12.520611","SPIE")</f>
        <v>SPIE</v>
      </c>
      <c r="V721" s="30"/>
      <c r="W721" s="31"/>
      <c r="X721" s="31"/>
      <c r="Y721" s="31"/>
      <c r="Z721" s="32"/>
      <c r="AA721" s="31"/>
      <c r="AB721" s="31"/>
      <c r="AC721" s="9"/>
      <c r="AD721" s="31"/>
      <c r="AE721" s="31"/>
      <c r="AF721" s="33"/>
      <c r="AG721" s="34"/>
      <c r="AH721" s="31"/>
      <c r="AI721" s="35"/>
      <c r="AJ721" s="35"/>
      <c r="AK721" s="35"/>
      <c r="AL721" s="35"/>
    </row>
    <row r="722" ht="52.5" customHeight="1">
      <c r="A722" s="133"/>
      <c r="B722" s="19" t="s">
        <v>2073</v>
      </c>
      <c r="C722" s="20" t="s">
        <v>3868</v>
      </c>
      <c r="D722" s="21"/>
      <c r="E722" s="22" t="s">
        <v>3869</v>
      </c>
      <c r="F722" s="22" t="s">
        <v>206</v>
      </c>
      <c r="G722" s="23">
        <v>2022.0</v>
      </c>
      <c r="H722" s="22" t="s">
        <v>2812</v>
      </c>
      <c r="I722" s="24" t="s">
        <v>3870</v>
      </c>
      <c r="J722" s="22" t="s">
        <v>2273</v>
      </c>
      <c r="K722" s="22"/>
      <c r="L722" s="52">
        <v>633.0</v>
      </c>
      <c r="M722" s="52"/>
      <c r="N722" s="52"/>
      <c r="O722" s="52" t="s">
        <v>3871</v>
      </c>
      <c r="P722" s="189" t="s">
        <v>3872</v>
      </c>
      <c r="Q722" s="52"/>
      <c r="R722" s="52">
        <v>3600.0</v>
      </c>
      <c r="S722" s="52" t="s">
        <v>3873</v>
      </c>
      <c r="T722" s="28" t="s">
        <v>3874</v>
      </c>
      <c r="U722" s="38" t="s">
        <v>61</v>
      </c>
      <c r="V722" s="30"/>
      <c r="W722" s="31"/>
      <c r="X722" s="31"/>
      <c r="Y722" s="31"/>
      <c r="Z722" s="32"/>
      <c r="AA722" s="31"/>
      <c r="AB722" s="31"/>
      <c r="AC722" s="9"/>
      <c r="AD722" s="31"/>
      <c r="AE722" s="31"/>
      <c r="AF722" s="33"/>
      <c r="AG722" s="34"/>
      <c r="AH722" s="31"/>
      <c r="AI722" s="35"/>
      <c r="AJ722" s="35"/>
      <c r="AK722" s="35"/>
      <c r="AL722" s="35"/>
    </row>
    <row r="723" ht="52.5" customHeight="1">
      <c r="A723" s="133"/>
      <c r="B723" s="19" t="s">
        <v>2073</v>
      </c>
      <c r="C723" s="20" t="s">
        <v>3875</v>
      </c>
      <c r="D723" s="21"/>
      <c r="E723" s="22" t="s">
        <v>3876</v>
      </c>
      <c r="F723" s="22" t="s">
        <v>3877</v>
      </c>
      <c r="G723" s="23">
        <v>2023.0</v>
      </c>
      <c r="H723" s="22" t="s">
        <v>3878</v>
      </c>
      <c r="I723" s="24" t="s">
        <v>3879</v>
      </c>
      <c r="J723" s="22" t="s">
        <v>3880</v>
      </c>
      <c r="K723" s="22"/>
      <c r="L723" s="52" t="s">
        <v>3881</v>
      </c>
      <c r="M723" s="52" t="s">
        <v>3882</v>
      </c>
      <c r="N723" s="52"/>
      <c r="O723" s="52"/>
      <c r="P723" s="189"/>
      <c r="Q723" s="52"/>
      <c r="R723" s="52"/>
      <c r="S723" s="52">
        <v>1.0</v>
      </c>
      <c r="T723" s="173" t="s">
        <v>3883</v>
      </c>
      <c r="U723" s="38" t="s">
        <v>61</v>
      </c>
      <c r="V723" s="30"/>
      <c r="W723" s="31"/>
      <c r="X723" s="31"/>
      <c r="Y723" s="31"/>
      <c r="Z723" s="32"/>
      <c r="AA723" s="31"/>
      <c r="AB723" s="31"/>
      <c r="AC723" s="9"/>
      <c r="AD723" s="31"/>
      <c r="AE723" s="31"/>
      <c r="AF723" s="33"/>
      <c r="AG723" s="34"/>
      <c r="AH723" s="31"/>
      <c r="AI723" s="35"/>
      <c r="AJ723" s="35"/>
      <c r="AK723" s="35"/>
      <c r="AL723" s="35"/>
    </row>
    <row r="724" ht="52.5" customHeight="1">
      <c r="A724" s="133"/>
      <c r="B724" s="19" t="s">
        <v>2073</v>
      </c>
      <c r="C724" s="20" t="s">
        <v>3875</v>
      </c>
      <c r="D724" s="21"/>
      <c r="E724" s="22" t="s">
        <v>3884</v>
      </c>
      <c r="F724" s="22" t="s">
        <v>3885</v>
      </c>
      <c r="G724" s="23">
        <v>2021.0</v>
      </c>
      <c r="H724" s="22" t="s">
        <v>2153</v>
      </c>
      <c r="I724" s="24" t="s">
        <v>3886</v>
      </c>
      <c r="J724" s="22" t="s">
        <v>3887</v>
      </c>
      <c r="K724" s="22"/>
      <c r="L724" s="173" t="s">
        <v>3888</v>
      </c>
      <c r="U724" s="29" t="s">
        <v>61</v>
      </c>
      <c r="V724" s="30"/>
      <c r="W724" s="31"/>
      <c r="X724" s="31"/>
      <c r="Y724" s="31"/>
      <c r="Z724" s="32"/>
      <c r="AA724" s="31"/>
      <c r="AB724" s="31"/>
      <c r="AC724" s="9"/>
      <c r="AD724" s="31"/>
      <c r="AE724" s="31"/>
      <c r="AF724" s="33"/>
      <c r="AG724" s="34"/>
      <c r="AH724" s="31"/>
      <c r="AI724" s="35"/>
      <c r="AJ724" s="35"/>
      <c r="AK724" s="35"/>
      <c r="AL724" s="35"/>
    </row>
    <row r="725" ht="27.0" customHeight="1">
      <c r="A725" s="55"/>
      <c r="B725" s="140" t="s">
        <v>2073</v>
      </c>
      <c r="C725" s="158" t="s">
        <v>3889</v>
      </c>
      <c r="D725" s="47"/>
      <c r="E725" s="56" t="s">
        <v>3890</v>
      </c>
      <c r="F725" s="22" t="s">
        <v>1862</v>
      </c>
      <c r="G725" s="57">
        <v>2022.0</v>
      </c>
      <c r="H725" s="22" t="s">
        <v>3094</v>
      </c>
      <c r="I725" s="58" t="s">
        <v>3891</v>
      </c>
      <c r="J725" s="22" t="s">
        <v>3892</v>
      </c>
      <c r="K725" s="56"/>
      <c r="L725" s="86" t="s">
        <v>3893</v>
      </c>
      <c r="U725" s="60" t="s">
        <v>61</v>
      </c>
      <c r="V725" s="30"/>
      <c r="W725" s="49"/>
      <c r="X725" s="49"/>
      <c r="Y725" s="35"/>
      <c r="Z725" s="35"/>
      <c r="AA725" s="35"/>
      <c r="AB725" s="35"/>
      <c r="AC725" s="35"/>
      <c r="AD725" s="35"/>
      <c r="AE725" s="35"/>
      <c r="AF725" s="35"/>
      <c r="AG725" s="35"/>
      <c r="AH725" s="35"/>
      <c r="AI725" s="35"/>
      <c r="AJ725" s="35"/>
      <c r="AK725" s="35"/>
      <c r="AL725" s="35"/>
    </row>
    <row r="726" ht="52.5" customHeight="1">
      <c r="A726" s="133"/>
      <c r="B726" s="140" t="s">
        <v>2073</v>
      </c>
      <c r="C726" s="158" t="s">
        <v>3889</v>
      </c>
      <c r="D726" s="21"/>
      <c r="E726" s="22" t="s">
        <v>1671</v>
      </c>
      <c r="F726" s="22" t="s">
        <v>358</v>
      </c>
      <c r="G726" s="23">
        <v>2022.0</v>
      </c>
      <c r="H726" s="22" t="s">
        <v>2122</v>
      </c>
      <c r="I726" s="24" t="s">
        <v>3894</v>
      </c>
      <c r="J726" s="22" t="s">
        <v>3892</v>
      </c>
      <c r="K726" s="22"/>
      <c r="L726" s="173" t="s">
        <v>3895</v>
      </c>
      <c r="U726" s="38" t="s">
        <v>61</v>
      </c>
      <c r="V726" s="30"/>
      <c r="W726" s="31"/>
      <c r="X726" s="31"/>
      <c r="Y726" s="31"/>
      <c r="Z726" s="32"/>
      <c r="AA726" s="31"/>
      <c r="AB726" s="31"/>
      <c r="AC726" s="9"/>
      <c r="AD726" s="31"/>
      <c r="AE726" s="31"/>
      <c r="AF726" s="33"/>
      <c r="AG726" s="34"/>
      <c r="AH726" s="31"/>
      <c r="AI726" s="35"/>
      <c r="AJ726" s="35"/>
      <c r="AK726" s="35"/>
      <c r="AL726" s="35"/>
    </row>
    <row r="727" ht="27.0" customHeight="1">
      <c r="A727" s="55"/>
      <c r="B727" s="140" t="s">
        <v>2073</v>
      </c>
      <c r="C727" s="158" t="s">
        <v>3889</v>
      </c>
      <c r="D727" s="47"/>
      <c r="E727" s="56" t="s">
        <v>3896</v>
      </c>
      <c r="F727" s="22" t="s">
        <v>2504</v>
      </c>
      <c r="G727" s="57">
        <v>2022.0</v>
      </c>
      <c r="H727" s="22" t="s">
        <v>2181</v>
      </c>
      <c r="I727" s="58" t="s">
        <v>3897</v>
      </c>
      <c r="J727" s="22" t="s">
        <v>44</v>
      </c>
      <c r="K727" s="56" t="s">
        <v>157</v>
      </c>
      <c r="L727" s="62">
        <v>670.0</v>
      </c>
      <c r="M727" s="62"/>
      <c r="N727" s="62"/>
      <c r="O727" s="62"/>
      <c r="P727" s="62">
        <v>4.0</v>
      </c>
      <c r="Q727" s="62"/>
      <c r="R727" s="62">
        <v>90.0</v>
      </c>
      <c r="S727" s="62" t="s">
        <v>3898</v>
      </c>
      <c r="T727" s="83" t="s">
        <v>3899</v>
      </c>
      <c r="U727" s="64" t="s">
        <v>61</v>
      </c>
      <c r="V727" s="30" t="s">
        <v>3900</v>
      </c>
      <c r="W727" s="49"/>
      <c r="X727" s="49"/>
      <c r="Y727" s="35"/>
      <c r="Z727" s="35"/>
      <c r="AA727" s="35"/>
      <c r="AB727" s="35"/>
      <c r="AC727" s="35"/>
      <c r="AD727" s="35"/>
      <c r="AE727" s="35"/>
      <c r="AF727" s="35"/>
      <c r="AG727" s="35"/>
      <c r="AH727" s="35"/>
      <c r="AI727" s="35"/>
      <c r="AJ727" s="35"/>
      <c r="AK727" s="35"/>
      <c r="AL727" s="35"/>
    </row>
    <row r="728" ht="27.0" customHeight="1">
      <c r="A728" s="55"/>
      <c r="B728" s="140" t="s">
        <v>2073</v>
      </c>
      <c r="C728" s="158" t="s">
        <v>3889</v>
      </c>
      <c r="D728" s="47"/>
      <c r="E728" s="56" t="s">
        <v>3901</v>
      </c>
      <c r="F728" s="22" t="s">
        <v>499</v>
      </c>
      <c r="G728" s="57">
        <v>2022.0</v>
      </c>
      <c r="H728" s="22" t="s">
        <v>3902</v>
      </c>
      <c r="I728" s="58" t="s">
        <v>3903</v>
      </c>
      <c r="J728" s="56" t="s">
        <v>55</v>
      </c>
      <c r="K728" s="56" t="s">
        <v>3904</v>
      </c>
      <c r="L728" s="62">
        <v>630.0</v>
      </c>
      <c r="M728" s="62"/>
      <c r="N728" s="62"/>
      <c r="O728" s="62"/>
      <c r="P728" s="62"/>
      <c r="Q728" s="62"/>
      <c r="R728" s="62"/>
      <c r="S728" s="62"/>
      <c r="T728" s="83" t="s">
        <v>3905</v>
      </c>
      <c r="U728" s="64" t="s">
        <v>61</v>
      </c>
      <c r="V728" s="30" t="s">
        <v>174</v>
      </c>
      <c r="W728" s="49"/>
      <c r="X728" s="49"/>
      <c r="Y728" s="35"/>
      <c r="Z728" s="35"/>
      <c r="AA728" s="35"/>
      <c r="AB728" s="35"/>
      <c r="AC728" s="35"/>
      <c r="AD728" s="35"/>
      <c r="AE728" s="35"/>
      <c r="AF728" s="35"/>
      <c r="AG728" s="35"/>
      <c r="AH728" s="35"/>
      <c r="AI728" s="35"/>
      <c r="AJ728" s="35"/>
      <c r="AK728" s="35"/>
      <c r="AL728" s="35"/>
    </row>
    <row r="729" ht="27.0" customHeight="1">
      <c r="A729" s="55"/>
      <c r="B729" s="140" t="s">
        <v>2073</v>
      </c>
      <c r="C729" s="158" t="s">
        <v>3889</v>
      </c>
      <c r="D729" s="47"/>
      <c r="E729" s="56" t="s">
        <v>1671</v>
      </c>
      <c r="F729" s="22" t="s">
        <v>75</v>
      </c>
      <c r="G729" s="57">
        <v>2021.0</v>
      </c>
      <c r="H729" s="22" t="s">
        <v>2505</v>
      </c>
      <c r="I729" s="58" t="s">
        <v>3906</v>
      </c>
      <c r="J729" s="56" t="s">
        <v>55</v>
      </c>
      <c r="K729" s="56"/>
      <c r="L729" s="62">
        <v>660.0</v>
      </c>
      <c r="M729" s="62">
        <v>100.0</v>
      </c>
      <c r="N729" s="62"/>
      <c r="O729" s="62"/>
      <c r="P729" s="62"/>
      <c r="Q729" s="62"/>
      <c r="R729" s="62"/>
      <c r="S729" s="62">
        <v>10.0</v>
      </c>
      <c r="T729" s="83" t="s">
        <v>3907</v>
      </c>
      <c r="U729" s="64" t="s">
        <v>61</v>
      </c>
      <c r="V729" s="30"/>
      <c r="W729" s="49"/>
      <c r="X729" s="49"/>
      <c r="Y729" s="35"/>
      <c r="Z729" s="35"/>
      <c r="AA729" s="35"/>
      <c r="AB729" s="35"/>
      <c r="AC729" s="35"/>
      <c r="AD729" s="35"/>
      <c r="AE729" s="35"/>
      <c r="AF729" s="35"/>
      <c r="AG729" s="35"/>
      <c r="AH729" s="35"/>
      <c r="AI729" s="35"/>
      <c r="AJ729" s="35"/>
      <c r="AK729" s="35"/>
      <c r="AL729" s="35"/>
    </row>
    <row r="730" ht="32.25" customHeight="1">
      <c r="A730" s="40"/>
      <c r="B730" s="157" t="s">
        <v>2073</v>
      </c>
      <c r="C730" s="158" t="s">
        <v>3889</v>
      </c>
      <c r="D730" s="159"/>
      <c r="E730" s="22" t="s">
        <v>3908</v>
      </c>
      <c r="F730" s="23" t="s">
        <v>2161</v>
      </c>
      <c r="G730" s="23">
        <v>2021.0</v>
      </c>
      <c r="H730" s="22" t="s">
        <v>3909</v>
      </c>
      <c r="I730" s="24" t="s">
        <v>3910</v>
      </c>
      <c r="J730" s="22" t="s">
        <v>44</v>
      </c>
      <c r="K730" s="22" t="s">
        <v>157</v>
      </c>
      <c r="L730" s="36">
        <v>670.0</v>
      </c>
      <c r="M730" s="36"/>
      <c r="N730" s="36" t="s">
        <v>3911</v>
      </c>
      <c r="O730" s="107"/>
      <c r="P730" s="37" t="s">
        <v>254</v>
      </c>
      <c r="Q730" s="107"/>
      <c r="R730" s="36"/>
      <c r="S730" s="107"/>
      <c r="T730" s="28" t="s">
        <v>3912</v>
      </c>
      <c r="U730" s="29" t="s">
        <v>3913</v>
      </c>
      <c r="V730" s="139"/>
      <c r="W730" s="49"/>
      <c r="X730" s="49"/>
      <c r="Y730" s="35"/>
      <c r="Z730" s="35"/>
      <c r="AA730" s="35"/>
      <c r="AB730" s="35"/>
      <c r="AC730" s="35"/>
      <c r="AD730" s="35"/>
      <c r="AE730" s="35"/>
      <c r="AF730" s="35"/>
      <c r="AG730" s="35"/>
      <c r="AH730" s="35"/>
      <c r="AI730" s="35"/>
      <c r="AJ730" s="35"/>
      <c r="AK730" s="35"/>
      <c r="AL730" s="35"/>
    </row>
    <row r="731" ht="32.25" customHeight="1">
      <c r="A731" s="40"/>
      <c r="B731" s="157" t="s">
        <v>2073</v>
      </c>
      <c r="C731" s="158" t="s">
        <v>3914</v>
      </c>
      <c r="D731" s="159"/>
      <c r="E731" s="22" t="s">
        <v>3915</v>
      </c>
      <c r="F731" s="23" t="s">
        <v>3916</v>
      </c>
      <c r="G731" s="23">
        <v>2015.0</v>
      </c>
      <c r="H731" s="22" t="s">
        <v>2479</v>
      </c>
      <c r="I731" s="24" t="s">
        <v>3917</v>
      </c>
      <c r="J731" s="22" t="s">
        <v>55</v>
      </c>
      <c r="K731" s="22"/>
      <c r="L731" s="36">
        <v>840.0</v>
      </c>
      <c r="M731" s="36"/>
      <c r="N731" s="129"/>
      <c r="O731" s="107"/>
      <c r="P731" s="37"/>
      <c r="Q731" s="107"/>
      <c r="R731" s="36"/>
      <c r="S731" s="107"/>
      <c r="T731" s="28" t="s">
        <v>3918</v>
      </c>
      <c r="U731" s="38" t="str">
        <f>HYPERLINK("https://www.osapublishing.org/boe/abstract.cfm?uri=boe-6-1-23","OSA")</f>
        <v>OSA</v>
      </c>
      <c r="V731" s="139"/>
      <c r="W731" s="49"/>
      <c r="X731" s="49"/>
      <c r="Y731" s="35"/>
      <c r="Z731" s="35"/>
      <c r="AA731" s="35"/>
      <c r="AB731" s="35"/>
      <c r="AC731" s="35"/>
      <c r="AD731" s="35"/>
      <c r="AE731" s="35"/>
      <c r="AF731" s="35"/>
      <c r="AG731" s="35"/>
      <c r="AH731" s="35"/>
      <c r="AI731" s="35"/>
      <c r="AJ731" s="35"/>
      <c r="AK731" s="35"/>
      <c r="AL731" s="35"/>
    </row>
    <row r="732" ht="32.25" customHeight="1">
      <c r="A732" s="40"/>
      <c r="B732" s="157" t="s">
        <v>2073</v>
      </c>
      <c r="C732" s="158" t="s">
        <v>3914</v>
      </c>
      <c r="D732" s="159"/>
      <c r="E732" s="22" t="s">
        <v>3919</v>
      </c>
      <c r="F732" s="23" t="s">
        <v>1943</v>
      </c>
      <c r="G732" s="23">
        <v>2008.0</v>
      </c>
      <c r="H732" s="22" t="s">
        <v>658</v>
      </c>
      <c r="I732" s="24" t="s">
        <v>3920</v>
      </c>
      <c r="J732" s="22" t="s">
        <v>55</v>
      </c>
      <c r="K732" s="22"/>
      <c r="L732" s="36" t="s">
        <v>3921</v>
      </c>
      <c r="M732" s="36" t="s">
        <v>3922</v>
      </c>
      <c r="N732" s="129"/>
      <c r="O732" s="107"/>
      <c r="P732" s="37"/>
      <c r="Q732" s="107"/>
      <c r="R732" s="36"/>
      <c r="S732" s="107"/>
      <c r="T732" s="42" t="s">
        <v>3923</v>
      </c>
      <c r="U732" s="38" t="str">
        <f>HYPERLINK("https://www.ncbi.nlm.nih.gov/pubmed/18800949","PubMed")</f>
        <v>PubMed</v>
      </c>
      <c r="V732" s="139"/>
      <c r="W732" s="49"/>
      <c r="X732" s="49"/>
      <c r="Y732" s="35"/>
      <c r="Z732" s="35"/>
      <c r="AA732" s="35"/>
      <c r="AB732" s="35"/>
      <c r="AC732" s="35"/>
      <c r="AD732" s="35"/>
      <c r="AE732" s="35"/>
      <c r="AF732" s="35"/>
      <c r="AG732" s="35"/>
      <c r="AH732" s="35"/>
      <c r="AI732" s="35"/>
      <c r="AJ732" s="35"/>
      <c r="AK732" s="35"/>
      <c r="AL732" s="35"/>
    </row>
    <row r="733" ht="32.25" customHeight="1">
      <c r="A733" s="40"/>
      <c r="B733" s="157" t="s">
        <v>2073</v>
      </c>
      <c r="C733" s="158" t="s">
        <v>3924</v>
      </c>
      <c r="D733" s="159"/>
      <c r="E733" s="22" t="s">
        <v>1671</v>
      </c>
      <c r="F733" s="23" t="s">
        <v>75</v>
      </c>
      <c r="G733" s="23">
        <v>2022.0</v>
      </c>
      <c r="H733" s="22" t="s">
        <v>2558</v>
      </c>
      <c r="I733" s="24" t="s">
        <v>3925</v>
      </c>
      <c r="J733" s="22" t="s">
        <v>55</v>
      </c>
      <c r="K733" s="22"/>
      <c r="L733" s="52">
        <v>810.0</v>
      </c>
      <c r="M733" s="52">
        <v>10.0</v>
      </c>
      <c r="N733" s="200"/>
      <c r="O733" s="192"/>
      <c r="P733" s="189"/>
      <c r="Q733" s="192"/>
      <c r="R733" s="52">
        <v>150.0</v>
      </c>
      <c r="S733" s="52" t="s">
        <v>2124</v>
      </c>
      <c r="T733" s="28" t="s">
        <v>3926</v>
      </c>
      <c r="U733" s="29" t="s">
        <v>61</v>
      </c>
      <c r="V733" s="139"/>
      <c r="W733" s="49"/>
      <c r="X733" s="49"/>
      <c r="Y733" s="35"/>
      <c r="Z733" s="35"/>
      <c r="AA733" s="35"/>
      <c r="AB733" s="35"/>
      <c r="AC733" s="35"/>
      <c r="AD733" s="35"/>
      <c r="AE733" s="35"/>
      <c r="AF733" s="35"/>
      <c r="AG733" s="35"/>
      <c r="AH733" s="35"/>
      <c r="AI733" s="35"/>
      <c r="AJ733" s="35"/>
      <c r="AK733" s="35"/>
      <c r="AL733" s="35"/>
    </row>
    <row r="734" ht="32.25" customHeight="1">
      <c r="A734" s="40"/>
      <c r="B734" s="157" t="s">
        <v>2073</v>
      </c>
      <c r="C734" s="158" t="s">
        <v>3927</v>
      </c>
      <c r="D734" s="159"/>
      <c r="E734" s="22" t="s">
        <v>952</v>
      </c>
      <c r="F734" s="23" t="s">
        <v>2407</v>
      </c>
      <c r="G734" s="23">
        <v>2024.0</v>
      </c>
      <c r="H734" s="22" t="s">
        <v>2869</v>
      </c>
      <c r="I734" s="24" t="s">
        <v>3928</v>
      </c>
      <c r="J734" s="22" t="s">
        <v>125</v>
      </c>
      <c r="K734" s="22"/>
      <c r="L734" s="53" t="s">
        <v>3929</v>
      </c>
      <c r="U734" s="38" t="s">
        <v>61</v>
      </c>
      <c r="V734" s="139"/>
      <c r="W734" s="49"/>
      <c r="X734" s="49"/>
      <c r="Y734" s="35"/>
      <c r="Z734" s="35"/>
      <c r="AA734" s="35"/>
      <c r="AB734" s="35"/>
      <c r="AC734" s="35"/>
      <c r="AD734" s="35"/>
      <c r="AE734" s="35"/>
      <c r="AF734" s="35"/>
      <c r="AG734" s="35"/>
      <c r="AH734" s="35"/>
      <c r="AI734" s="35"/>
      <c r="AJ734" s="35"/>
      <c r="AK734" s="35"/>
      <c r="AL734" s="35"/>
    </row>
    <row r="735" ht="32.25" customHeight="1">
      <c r="A735" s="40"/>
      <c r="B735" s="75" t="s">
        <v>2073</v>
      </c>
      <c r="C735" s="76" t="s">
        <v>3930</v>
      </c>
      <c r="D735" s="159"/>
      <c r="E735" s="22" t="s">
        <v>3931</v>
      </c>
      <c r="F735" s="23" t="s">
        <v>3932</v>
      </c>
      <c r="G735" s="23">
        <v>2024.0</v>
      </c>
      <c r="H735" s="22" t="s">
        <v>2257</v>
      </c>
      <c r="I735" s="24" t="s">
        <v>3933</v>
      </c>
      <c r="J735" s="22" t="s">
        <v>2273</v>
      </c>
      <c r="K735" s="22"/>
      <c r="L735" s="52"/>
      <c r="M735" s="52"/>
      <c r="N735" s="52"/>
      <c r="O735" s="52"/>
      <c r="P735" s="189"/>
      <c r="Q735" s="52"/>
      <c r="R735" s="52"/>
      <c r="S735" s="52"/>
      <c r="T735" s="28" t="s">
        <v>3934</v>
      </c>
      <c r="U735" s="38" t="s">
        <v>61</v>
      </c>
      <c r="V735" s="139"/>
      <c r="W735" s="49"/>
      <c r="X735" s="49"/>
      <c r="Y735" s="35"/>
      <c r="Z735" s="35"/>
      <c r="AA735" s="35"/>
      <c r="AB735" s="35"/>
      <c r="AC735" s="35"/>
      <c r="AD735" s="35"/>
      <c r="AE735" s="35"/>
      <c r="AF735" s="35"/>
      <c r="AG735" s="35"/>
      <c r="AH735" s="35"/>
      <c r="AI735" s="35"/>
      <c r="AJ735" s="35"/>
      <c r="AK735" s="35"/>
      <c r="AL735" s="35"/>
    </row>
    <row r="736" ht="32.25" customHeight="1">
      <c r="A736" s="40"/>
      <c r="B736" s="75" t="s">
        <v>2073</v>
      </c>
      <c r="C736" s="77" t="s">
        <v>3935</v>
      </c>
      <c r="D736" s="159"/>
      <c r="E736" s="22" t="s">
        <v>2316</v>
      </c>
      <c r="F736" s="23" t="s">
        <v>3936</v>
      </c>
      <c r="G736" s="23">
        <v>2024.0</v>
      </c>
      <c r="H736" s="22" t="s">
        <v>383</v>
      </c>
      <c r="I736" s="24" t="s">
        <v>3937</v>
      </c>
      <c r="J736" s="22" t="s">
        <v>55</v>
      </c>
      <c r="K736" s="22" t="s">
        <v>157</v>
      </c>
      <c r="L736" s="52">
        <v>1070.0</v>
      </c>
      <c r="M736" s="52">
        <v>500.0</v>
      </c>
      <c r="N736" s="52"/>
      <c r="O736" s="52"/>
      <c r="P736" s="189"/>
      <c r="Q736" s="52"/>
      <c r="R736" s="52"/>
      <c r="S736" s="52"/>
      <c r="T736" s="28" t="s">
        <v>3938</v>
      </c>
      <c r="U736" s="38" t="s">
        <v>61</v>
      </c>
      <c r="V736" s="139"/>
      <c r="W736" s="49"/>
      <c r="X736" s="49"/>
      <c r="Y736" s="35"/>
      <c r="Z736" s="35"/>
      <c r="AA736" s="35"/>
      <c r="AB736" s="35"/>
      <c r="AC736" s="35"/>
      <c r="AD736" s="35"/>
      <c r="AE736" s="35"/>
      <c r="AF736" s="35"/>
      <c r="AG736" s="35"/>
      <c r="AH736" s="35"/>
      <c r="AI736" s="35"/>
      <c r="AJ736" s="35"/>
      <c r="AK736" s="35"/>
      <c r="AL736" s="35"/>
    </row>
    <row r="737" ht="32.25" customHeight="1">
      <c r="A737" s="40"/>
      <c r="B737" s="75" t="s">
        <v>2073</v>
      </c>
      <c r="C737" s="77" t="s">
        <v>3935</v>
      </c>
      <c r="D737" s="159"/>
      <c r="E737" s="22" t="s">
        <v>3939</v>
      </c>
      <c r="F737" s="23" t="s">
        <v>1862</v>
      </c>
      <c r="G737" s="23">
        <v>2024.0</v>
      </c>
      <c r="H737" s="22" t="s">
        <v>3940</v>
      </c>
      <c r="I737" s="24" t="s">
        <v>3941</v>
      </c>
      <c r="J737" s="22" t="s">
        <v>125</v>
      </c>
      <c r="K737" s="22"/>
      <c r="L737" s="188" t="s">
        <v>3942</v>
      </c>
      <c r="U737" s="38" t="s">
        <v>61</v>
      </c>
      <c r="V737" s="139"/>
      <c r="W737" s="49"/>
      <c r="X737" s="49"/>
      <c r="Y737" s="35"/>
      <c r="Z737" s="35"/>
      <c r="AA737" s="35"/>
      <c r="AB737" s="35"/>
      <c r="AC737" s="35"/>
      <c r="AD737" s="35"/>
      <c r="AE737" s="35"/>
      <c r="AF737" s="35"/>
      <c r="AG737" s="35"/>
      <c r="AH737" s="35"/>
      <c r="AI737" s="35"/>
      <c r="AJ737" s="35"/>
      <c r="AK737" s="35"/>
      <c r="AL737" s="35"/>
    </row>
    <row r="738" ht="32.25" customHeight="1">
      <c r="A738" s="40"/>
      <c r="B738" s="75" t="s">
        <v>2073</v>
      </c>
      <c r="C738" s="77" t="s">
        <v>3935</v>
      </c>
      <c r="D738" s="159"/>
      <c r="E738" s="22" t="s">
        <v>3943</v>
      </c>
      <c r="F738" s="23" t="s">
        <v>1862</v>
      </c>
      <c r="G738" s="23">
        <v>2023.0</v>
      </c>
      <c r="H738" s="22" t="s">
        <v>3944</v>
      </c>
      <c r="I738" s="24" t="s">
        <v>3945</v>
      </c>
      <c r="J738" s="22" t="s">
        <v>3946</v>
      </c>
      <c r="K738" s="22"/>
      <c r="L738" s="52"/>
      <c r="M738" s="52"/>
      <c r="N738" s="52"/>
      <c r="O738" s="52"/>
      <c r="P738" s="189"/>
      <c r="Q738" s="52"/>
      <c r="R738" s="52"/>
      <c r="S738" s="52" t="s">
        <v>3947</v>
      </c>
      <c r="T738" s="42" t="s">
        <v>3948</v>
      </c>
      <c r="U738" s="38" t="s">
        <v>61</v>
      </c>
      <c r="V738" s="139"/>
      <c r="W738" s="49"/>
      <c r="X738" s="49"/>
      <c r="Y738" s="35"/>
      <c r="Z738" s="35"/>
      <c r="AA738" s="35"/>
      <c r="AB738" s="35"/>
      <c r="AC738" s="35"/>
      <c r="AD738" s="35"/>
      <c r="AE738" s="35"/>
      <c r="AF738" s="35"/>
      <c r="AG738" s="35"/>
      <c r="AH738" s="35"/>
      <c r="AI738" s="35"/>
      <c r="AJ738" s="35"/>
      <c r="AK738" s="35"/>
      <c r="AL738" s="35"/>
    </row>
    <row r="739" ht="32.25" customHeight="1">
      <c r="A739" s="40"/>
      <c r="B739" s="75" t="s">
        <v>2073</v>
      </c>
      <c r="C739" s="77" t="s">
        <v>3935</v>
      </c>
      <c r="D739" s="159"/>
      <c r="E739" s="22" t="s">
        <v>3949</v>
      </c>
      <c r="F739" s="23" t="s">
        <v>332</v>
      </c>
      <c r="G739" s="23">
        <v>2023.0</v>
      </c>
      <c r="H739" s="22" t="s">
        <v>3950</v>
      </c>
      <c r="I739" s="24" t="s">
        <v>3951</v>
      </c>
      <c r="J739" s="22" t="s">
        <v>55</v>
      </c>
      <c r="K739" s="22"/>
      <c r="L739" s="52">
        <v>830.0</v>
      </c>
      <c r="M739" s="52">
        <v>100.0</v>
      </c>
      <c r="N739" s="52" t="s">
        <v>3952</v>
      </c>
      <c r="O739" s="52" t="s">
        <v>3953</v>
      </c>
      <c r="P739" s="189" t="s">
        <v>3954</v>
      </c>
      <c r="Q739" s="52" t="s">
        <v>3955</v>
      </c>
      <c r="R739" s="52" t="s">
        <v>58</v>
      </c>
      <c r="S739" s="52" t="s">
        <v>3295</v>
      </c>
      <c r="T739" s="28" t="s">
        <v>3956</v>
      </c>
      <c r="U739" s="38" t="s">
        <v>61</v>
      </c>
      <c r="V739" s="139"/>
      <c r="W739" s="49"/>
      <c r="X739" s="49"/>
      <c r="Y739" s="35"/>
      <c r="Z739" s="35"/>
      <c r="AA739" s="35"/>
      <c r="AB739" s="35"/>
      <c r="AC739" s="35"/>
      <c r="AD739" s="35"/>
      <c r="AE739" s="35"/>
      <c r="AF739" s="35"/>
      <c r="AG739" s="35"/>
      <c r="AH739" s="35"/>
      <c r="AI739" s="35"/>
      <c r="AJ739" s="35"/>
      <c r="AK739" s="35"/>
      <c r="AL739" s="35"/>
    </row>
    <row r="740" ht="32.25" customHeight="1">
      <c r="A740" s="40"/>
      <c r="B740" s="75" t="s">
        <v>2073</v>
      </c>
      <c r="C740" s="77" t="s">
        <v>3935</v>
      </c>
      <c r="D740" s="159"/>
      <c r="E740" s="22" t="s">
        <v>3957</v>
      </c>
      <c r="F740" s="23" t="s">
        <v>3958</v>
      </c>
      <c r="G740" s="23">
        <v>2023.0</v>
      </c>
      <c r="H740" s="22" t="s">
        <v>383</v>
      </c>
      <c r="I740" s="24" t="s">
        <v>3959</v>
      </c>
      <c r="J740" s="22" t="s">
        <v>44</v>
      </c>
      <c r="K740" s="22" t="s">
        <v>1827</v>
      </c>
      <c r="L740" s="52">
        <v>650.0</v>
      </c>
      <c r="M740" s="52"/>
      <c r="N740" s="200"/>
      <c r="O740" s="52" t="s">
        <v>3960</v>
      </c>
      <c r="P740" s="189"/>
      <c r="Q740" s="192"/>
      <c r="R740" s="52"/>
      <c r="S740" s="52"/>
      <c r="T740" s="28" t="s">
        <v>3961</v>
      </c>
      <c r="U740" s="38" t="s">
        <v>61</v>
      </c>
      <c r="V740" s="139"/>
      <c r="W740" s="49"/>
      <c r="X740" s="49"/>
      <c r="Y740" s="35"/>
      <c r="Z740" s="35"/>
      <c r="AA740" s="35"/>
      <c r="AB740" s="35"/>
      <c r="AC740" s="35"/>
      <c r="AD740" s="35"/>
      <c r="AE740" s="35"/>
      <c r="AF740" s="35"/>
      <c r="AG740" s="35"/>
      <c r="AH740" s="35"/>
      <c r="AI740" s="35"/>
      <c r="AJ740" s="35"/>
      <c r="AK740" s="35"/>
      <c r="AL740" s="35"/>
    </row>
    <row r="741" ht="32.25" customHeight="1">
      <c r="A741" s="40"/>
      <c r="B741" s="75" t="s">
        <v>2073</v>
      </c>
      <c r="C741" s="77" t="s">
        <v>3935</v>
      </c>
      <c r="D741" s="159"/>
      <c r="E741" s="22" t="s">
        <v>3962</v>
      </c>
      <c r="F741" s="23" t="s">
        <v>1862</v>
      </c>
      <c r="G741" s="23">
        <v>2023.0</v>
      </c>
      <c r="H741" s="22" t="s">
        <v>3963</v>
      </c>
      <c r="I741" s="24" t="s">
        <v>3964</v>
      </c>
      <c r="J741" s="22" t="s">
        <v>3965</v>
      </c>
      <c r="K741" s="22" t="s">
        <v>157</v>
      </c>
      <c r="L741" s="52" t="s">
        <v>2488</v>
      </c>
      <c r="M741" s="52"/>
      <c r="N741" s="200"/>
      <c r="O741" s="192"/>
      <c r="P741" s="189"/>
      <c r="Q741" s="192"/>
      <c r="R741" s="52">
        <v>1440.0</v>
      </c>
      <c r="S741" s="52" t="s">
        <v>3947</v>
      </c>
      <c r="T741" s="41" t="s">
        <v>3966</v>
      </c>
      <c r="U741" s="38" t="s">
        <v>61</v>
      </c>
      <c r="V741" s="139"/>
      <c r="W741" s="49"/>
      <c r="X741" s="49"/>
      <c r="Y741" s="35"/>
      <c r="Z741" s="35"/>
      <c r="AA741" s="35"/>
      <c r="AB741" s="35"/>
      <c r="AC741" s="35"/>
      <c r="AD741" s="35"/>
      <c r="AE741" s="35"/>
      <c r="AF741" s="35"/>
      <c r="AG741" s="35"/>
      <c r="AH741" s="35"/>
      <c r="AI741" s="35"/>
      <c r="AJ741" s="35"/>
      <c r="AK741" s="35"/>
      <c r="AL741" s="35"/>
    </row>
    <row r="742" ht="32.25" customHeight="1">
      <c r="A742" s="40"/>
      <c r="B742" s="75" t="s">
        <v>2073</v>
      </c>
      <c r="C742" s="77" t="s">
        <v>3935</v>
      </c>
      <c r="D742" s="159"/>
      <c r="E742" s="22" t="s">
        <v>3967</v>
      </c>
      <c r="F742" s="23" t="s">
        <v>3968</v>
      </c>
      <c r="G742" s="23">
        <v>2023.0</v>
      </c>
      <c r="H742" s="22" t="s">
        <v>2257</v>
      </c>
      <c r="I742" s="24" t="s">
        <v>3969</v>
      </c>
      <c r="J742" s="22" t="s">
        <v>125</v>
      </c>
      <c r="K742" s="22"/>
      <c r="L742" s="201" t="s">
        <v>3970</v>
      </c>
      <c r="U742" s="38" t="s">
        <v>61</v>
      </c>
      <c r="V742" s="139"/>
      <c r="W742" s="49"/>
      <c r="X742" s="49"/>
      <c r="Y742" s="35"/>
      <c r="Z742" s="35"/>
      <c r="AA742" s="35"/>
      <c r="AB742" s="35"/>
      <c r="AC742" s="35"/>
      <c r="AD742" s="35"/>
      <c r="AE742" s="35"/>
      <c r="AF742" s="35"/>
      <c r="AG742" s="35"/>
      <c r="AH742" s="35"/>
      <c r="AI742" s="35"/>
      <c r="AJ742" s="35"/>
      <c r="AK742" s="35"/>
      <c r="AL742" s="35"/>
    </row>
    <row r="743" ht="32.25" customHeight="1">
      <c r="A743" s="40"/>
      <c r="B743" s="75" t="s">
        <v>2073</v>
      </c>
      <c r="C743" s="77" t="s">
        <v>3935</v>
      </c>
      <c r="D743" s="159"/>
      <c r="E743" s="22" t="s">
        <v>3971</v>
      </c>
      <c r="F743" s="23" t="s">
        <v>2665</v>
      </c>
      <c r="G743" s="23">
        <v>2023.0</v>
      </c>
      <c r="H743" s="22" t="s">
        <v>3972</v>
      </c>
      <c r="I743" s="24" t="s">
        <v>3973</v>
      </c>
      <c r="J743" s="22" t="s">
        <v>3974</v>
      </c>
      <c r="K743" s="22" t="s">
        <v>2158</v>
      </c>
      <c r="L743" s="52">
        <v>670.0</v>
      </c>
      <c r="M743" s="52"/>
      <c r="N743" s="52" t="s">
        <v>3911</v>
      </c>
      <c r="O743" s="192"/>
      <c r="P743" s="189"/>
      <c r="Q743" s="192"/>
      <c r="R743" s="52">
        <v>300.0</v>
      </c>
      <c r="S743" s="52"/>
      <c r="T743" s="28" t="s">
        <v>3975</v>
      </c>
      <c r="U743" s="38" t="s">
        <v>61</v>
      </c>
      <c r="V743" s="136" t="s">
        <v>174</v>
      </c>
      <c r="W743" s="49"/>
      <c r="X743" s="49"/>
      <c r="Y743" s="35"/>
      <c r="Z743" s="35"/>
      <c r="AA743" s="35"/>
      <c r="AB743" s="35"/>
      <c r="AC743" s="35"/>
      <c r="AD743" s="35"/>
      <c r="AE743" s="35"/>
      <c r="AF743" s="35"/>
      <c r="AG743" s="35"/>
      <c r="AH743" s="35"/>
      <c r="AI743" s="35"/>
      <c r="AJ743" s="35"/>
      <c r="AK743" s="35"/>
      <c r="AL743" s="35"/>
    </row>
    <row r="744" ht="32.25" customHeight="1">
      <c r="A744" s="40"/>
      <c r="B744" s="157" t="s">
        <v>2073</v>
      </c>
      <c r="C744" s="158" t="s">
        <v>3935</v>
      </c>
      <c r="D744" s="159"/>
      <c r="E744" s="22" t="s">
        <v>3976</v>
      </c>
      <c r="F744" s="23" t="s">
        <v>323</v>
      </c>
      <c r="G744" s="23">
        <v>2022.0</v>
      </c>
      <c r="H744" s="22" t="s">
        <v>147</v>
      </c>
      <c r="I744" s="24" t="s">
        <v>3977</v>
      </c>
      <c r="J744" s="22" t="s">
        <v>125</v>
      </c>
      <c r="K744" s="22"/>
      <c r="L744" s="202"/>
      <c r="U744" s="38" t="s">
        <v>61</v>
      </c>
      <c r="V744" s="139"/>
      <c r="W744" s="49"/>
      <c r="X744" s="49"/>
      <c r="Y744" s="35"/>
      <c r="Z744" s="35"/>
      <c r="AA744" s="35"/>
      <c r="AB744" s="35"/>
      <c r="AC744" s="35"/>
      <c r="AD744" s="35"/>
      <c r="AE744" s="35"/>
      <c r="AF744" s="35"/>
      <c r="AG744" s="35"/>
      <c r="AH744" s="35"/>
      <c r="AI744" s="35"/>
      <c r="AJ744" s="35"/>
      <c r="AK744" s="35"/>
      <c r="AL744" s="35"/>
    </row>
    <row r="745" ht="32.25" customHeight="1">
      <c r="A745" s="40" t="s">
        <v>38</v>
      </c>
      <c r="B745" s="157" t="s">
        <v>2073</v>
      </c>
      <c r="C745" s="158" t="s">
        <v>3935</v>
      </c>
      <c r="D745" s="159"/>
      <c r="E745" s="22" t="s">
        <v>3962</v>
      </c>
      <c r="F745" s="23" t="s">
        <v>1862</v>
      </c>
      <c r="G745" s="23">
        <v>2022.0</v>
      </c>
      <c r="H745" s="22" t="s">
        <v>2122</v>
      </c>
      <c r="I745" s="24" t="s">
        <v>3978</v>
      </c>
      <c r="J745" s="22" t="s">
        <v>2141</v>
      </c>
      <c r="K745" s="22"/>
      <c r="L745" s="197"/>
      <c r="M745" s="197"/>
      <c r="N745" s="203"/>
      <c r="O745" s="204"/>
      <c r="P745" s="198"/>
      <c r="Q745" s="204"/>
      <c r="R745" s="197"/>
      <c r="S745" s="204"/>
      <c r="T745" s="185" t="s">
        <v>3979</v>
      </c>
      <c r="U745" s="38" t="s">
        <v>61</v>
      </c>
      <c r="V745" s="139"/>
      <c r="W745" s="49"/>
      <c r="X745" s="49"/>
      <c r="Y745" s="35"/>
      <c r="Z745" s="35"/>
      <c r="AA745" s="35"/>
      <c r="AB745" s="35"/>
      <c r="AC745" s="35"/>
      <c r="AD745" s="35"/>
      <c r="AE745" s="35"/>
      <c r="AF745" s="35"/>
      <c r="AG745" s="35"/>
      <c r="AH745" s="35"/>
      <c r="AI745" s="35"/>
      <c r="AJ745" s="35"/>
      <c r="AK745" s="35"/>
      <c r="AL745" s="35"/>
    </row>
    <row r="746" ht="32.25" customHeight="1">
      <c r="A746" s="40"/>
      <c r="B746" s="157" t="s">
        <v>2073</v>
      </c>
      <c r="C746" s="158" t="s">
        <v>3935</v>
      </c>
      <c r="D746" s="159"/>
      <c r="E746" s="22" t="s">
        <v>3980</v>
      </c>
      <c r="F746" s="23" t="s">
        <v>2698</v>
      </c>
      <c r="G746" s="23">
        <v>2021.0</v>
      </c>
      <c r="H746" s="22" t="s">
        <v>77</v>
      </c>
      <c r="I746" s="24" t="s">
        <v>3981</v>
      </c>
      <c r="J746" s="22" t="s">
        <v>3982</v>
      </c>
      <c r="K746" s="22"/>
      <c r="L746" s="52">
        <v>904.0</v>
      </c>
      <c r="M746" s="52"/>
      <c r="N746" s="200"/>
      <c r="O746" s="192"/>
      <c r="P746" s="189"/>
      <c r="Q746" s="192"/>
      <c r="R746" s="52"/>
      <c r="S746" s="192"/>
      <c r="T746" s="28" t="s">
        <v>3983</v>
      </c>
      <c r="U746" s="29" t="s">
        <v>61</v>
      </c>
      <c r="V746" s="139"/>
      <c r="W746" s="49"/>
      <c r="X746" s="49"/>
      <c r="Y746" s="35"/>
      <c r="Z746" s="35"/>
      <c r="AA746" s="35"/>
      <c r="AB746" s="35"/>
      <c r="AC746" s="35"/>
      <c r="AD746" s="35"/>
      <c r="AE746" s="35"/>
      <c r="AF746" s="35"/>
      <c r="AG746" s="35"/>
      <c r="AH746" s="35"/>
      <c r="AI746" s="35"/>
      <c r="AJ746" s="35"/>
      <c r="AK746" s="35"/>
      <c r="AL746" s="35"/>
    </row>
    <row r="747" ht="32.25" customHeight="1">
      <c r="A747" s="40"/>
      <c r="B747" s="157" t="s">
        <v>2073</v>
      </c>
      <c r="C747" s="158" t="s">
        <v>3935</v>
      </c>
      <c r="D747" s="159"/>
      <c r="E747" s="22" t="s">
        <v>3980</v>
      </c>
      <c r="F747" s="23" t="s">
        <v>2698</v>
      </c>
      <c r="G747" s="23">
        <v>2021.0</v>
      </c>
      <c r="H747" s="22" t="s">
        <v>3984</v>
      </c>
      <c r="I747" s="24" t="s">
        <v>3985</v>
      </c>
      <c r="J747" s="22" t="s">
        <v>3986</v>
      </c>
      <c r="K747" s="22"/>
      <c r="L747" s="52" t="s">
        <v>3987</v>
      </c>
      <c r="M747" s="52"/>
      <c r="N747" s="200"/>
      <c r="O747" s="192"/>
      <c r="P747" s="189"/>
      <c r="Q747" s="192"/>
      <c r="R747" s="52"/>
      <c r="S747" s="52" t="s">
        <v>3988</v>
      </c>
      <c r="T747" s="42" t="s">
        <v>3989</v>
      </c>
      <c r="U747" s="29" t="s">
        <v>61</v>
      </c>
      <c r="V747" s="136" t="s">
        <v>3990</v>
      </c>
      <c r="W747" s="49"/>
      <c r="X747" s="49"/>
      <c r="Y747" s="35"/>
      <c r="Z747" s="35"/>
      <c r="AA747" s="35"/>
      <c r="AB747" s="35"/>
      <c r="AC747" s="35"/>
      <c r="AD747" s="35"/>
      <c r="AE747" s="35"/>
      <c r="AF747" s="35"/>
      <c r="AG747" s="35"/>
      <c r="AH747" s="35"/>
      <c r="AI747" s="35"/>
      <c r="AJ747" s="35"/>
      <c r="AK747" s="35"/>
      <c r="AL747" s="35"/>
    </row>
    <row r="748" ht="32.25" customHeight="1">
      <c r="A748" s="40"/>
      <c r="B748" s="157" t="s">
        <v>2073</v>
      </c>
      <c r="C748" s="158" t="s">
        <v>3935</v>
      </c>
      <c r="D748" s="159"/>
      <c r="E748" s="22" t="s">
        <v>3991</v>
      </c>
      <c r="F748" s="23" t="s">
        <v>1862</v>
      </c>
      <c r="G748" s="23">
        <v>2021.0</v>
      </c>
      <c r="H748" s="22" t="s">
        <v>2238</v>
      </c>
      <c r="I748" s="24" t="s">
        <v>3992</v>
      </c>
      <c r="J748" s="22" t="s">
        <v>125</v>
      </c>
      <c r="K748" s="22" t="s">
        <v>2158</v>
      </c>
      <c r="L748" s="132" t="s">
        <v>3993</v>
      </c>
      <c r="U748" s="29" t="s">
        <v>61</v>
      </c>
      <c r="V748" s="139"/>
      <c r="W748" s="49"/>
      <c r="X748" s="49"/>
      <c r="Y748" s="35"/>
      <c r="Z748" s="35"/>
      <c r="AA748" s="35"/>
      <c r="AB748" s="35"/>
      <c r="AC748" s="35"/>
      <c r="AD748" s="35"/>
      <c r="AE748" s="35"/>
      <c r="AF748" s="35"/>
      <c r="AG748" s="35"/>
      <c r="AH748" s="35"/>
      <c r="AI748" s="35"/>
      <c r="AJ748" s="35"/>
      <c r="AK748" s="35"/>
      <c r="AL748" s="35"/>
    </row>
    <row r="749" ht="32.25" customHeight="1">
      <c r="A749" s="40"/>
      <c r="B749" s="157" t="s">
        <v>2073</v>
      </c>
      <c r="C749" s="158" t="s">
        <v>3935</v>
      </c>
      <c r="D749" s="159"/>
      <c r="E749" s="22" t="s">
        <v>3994</v>
      </c>
      <c r="F749" s="23" t="s">
        <v>647</v>
      </c>
      <c r="G749" s="23">
        <v>2021.0</v>
      </c>
      <c r="H749" s="22" t="s">
        <v>2238</v>
      </c>
      <c r="I749" s="24" t="s">
        <v>3995</v>
      </c>
      <c r="J749" s="22" t="s">
        <v>3996</v>
      </c>
      <c r="K749" s="22" t="s">
        <v>3997</v>
      </c>
      <c r="L749" s="36">
        <v>904.0</v>
      </c>
      <c r="M749" s="36">
        <v>60.0</v>
      </c>
      <c r="N749" s="36"/>
      <c r="O749" s="107"/>
      <c r="P749" s="37"/>
      <c r="Q749" s="107"/>
      <c r="R749" s="36" t="s">
        <v>3998</v>
      </c>
      <c r="S749" s="36"/>
      <c r="T749" s="41" t="s">
        <v>3999</v>
      </c>
      <c r="U749" s="29" t="s">
        <v>61</v>
      </c>
      <c r="V749" s="139"/>
      <c r="W749" s="49"/>
      <c r="X749" s="49"/>
      <c r="Y749" s="35"/>
      <c r="Z749" s="35"/>
      <c r="AA749" s="35"/>
      <c r="AB749" s="35"/>
      <c r="AC749" s="35"/>
      <c r="AD749" s="35"/>
      <c r="AE749" s="35"/>
      <c r="AF749" s="35"/>
      <c r="AG749" s="35"/>
      <c r="AH749" s="35"/>
      <c r="AI749" s="35"/>
      <c r="AJ749" s="35"/>
      <c r="AK749" s="35"/>
      <c r="AL749" s="35"/>
    </row>
    <row r="750" ht="32.25" customHeight="1">
      <c r="A750" s="40"/>
      <c r="B750" s="157" t="s">
        <v>2073</v>
      </c>
      <c r="C750" s="158" t="s">
        <v>3935</v>
      </c>
      <c r="D750" s="159"/>
      <c r="E750" s="22" t="s">
        <v>1648</v>
      </c>
      <c r="F750" s="23" t="s">
        <v>206</v>
      </c>
      <c r="G750" s="23">
        <v>2021.0</v>
      </c>
      <c r="H750" s="22" t="s">
        <v>3828</v>
      </c>
      <c r="I750" s="24" t="s">
        <v>4000</v>
      </c>
      <c r="J750" s="22" t="s">
        <v>4001</v>
      </c>
      <c r="K750" s="22" t="s">
        <v>4002</v>
      </c>
      <c r="L750" s="36">
        <v>940.0</v>
      </c>
      <c r="M750" s="36" t="s">
        <v>4003</v>
      </c>
      <c r="N750" s="36" t="s">
        <v>4004</v>
      </c>
      <c r="O750" s="36" t="s">
        <v>4005</v>
      </c>
      <c r="P750" s="37"/>
      <c r="Q750" s="36" t="s">
        <v>4006</v>
      </c>
      <c r="R750" s="36"/>
      <c r="S750" s="36" t="s">
        <v>4007</v>
      </c>
      <c r="T750" s="28" t="s">
        <v>4008</v>
      </c>
      <c r="U750" s="29" t="s">
        <v>61</v>
      </c>
      <c r="V750" s="139"/>
      <c r="W750" s="49"/>
      <c r="X750" s="49"/>
      <c r="Y750" s="35"/>
      <c r="Z750" s="35"/>
      <c r="AA750" s="35"/>
      <c r="AB750" s="35"/>
      <c r="AC750" s="35"/>
      <c r="AD750" s="35"/>
      <c r="AE750" s="35"/>
      <c r="AF750" s="35"/>
      <c r="AG750" s="35"/>
      <c r="AH750" s="35"/>
      <c r="AI750" s="35"/>
      <c r="AJ750" s="35"/>
      <c r="AK750" s="35"/>
      <c r="AL750" s="35"/>
    </row>
    <row r="751" ht="32.25" customHeight="1">
      <c r="A751" s="40"/>
      <c r="B751" s="157" t="s">
        <v>2073</v>
      </c>
      <c r="C751" s="158" t="s">
        <v>3935</v>
      </c>
      <c r="D751" s="159"/>
      <c r="E751" s="22" t="s">
        <v>4009</v>
      </c>
      <c r="F751" s="23" t="s">
        <v>4010</v>
      </c>
      <c r="G751" s="23">
        <v>2020.0</v>
      </c>
      <c r="H751" s="22" t="s">
        <v>584</v>
      </c>
      <c r="I751" s="24" t="s">
        <v>4011</v>
      </c>
      <c r="J751" s="22" t="s">
        <v>125</v>
      </c>
      <c r="K751" s="22"/>
      <c r="L751" s="43" t="s">
        <v>4012</v>
      </c>
      <c r="M751" s="44"/>
      <c r="N751" s="44"/>
      <c r="O751" s="44"/>
      <c r="P751" s="44"/>
      <c r="Q751" s="44"/>
      <c r="R751" s="44"/>
      <c r="S751" s="44"/>
      <c r="T751" s="45"/>
      <c r="U751" s="38" t="str">
        <f>HYPERLINK("https://www.ncbi.nlm.nih.gov/pubmed/32326425","PubMed")</f>
        <v>PubMed</v>
      </c>
      <c r="V751" s="139"/>
      <c r="W751" s="49"/>
      <c r="X751" s="49"/>
      <c r="Y751" s="35"/>
      <c r="Z751" s="35"/>
      <c r="AA751" s="35"/>
      <c r="AB751" s="35"/>
      <c r="AC751" s="35"/>
      <c r="AD751" s="35"/>
      <c r="AE751" s="35"/>
      <c r="AF751" s="35"/>
      <c r="AG751" s="35"/>
      <c r="AH751" s="35"/>
      <c r="AI751" s="35"/>
      <c r="AJ751" s="35"/>
      <c r="AK751" s="35"/>
      <c r="AL751" s="35"/>
    </row>
    <row r="752" ht="32.25" customHeight="1">
      <c r="A752" s="40"/>
      <c r="B752" s="157" t="s">
        <v>2073</v>
      </c>
      <c r="C752" s="158" t="s">
        <v>3935</v>
      </c>
      <c r="D752" s="159"/>
      <c r="E752" s="22" t="s">
        <v>4013</v>
      </c>
      <c r="F752" s="23" t="s">
        <v>4014</v>
      </c>
      <c r="G752" s="23">
        <v>2020.0</v>
      </c>
      <c r="H752" s="22" t="s">
        <v>2230</v>
      </c>
      <c r="I752" s="24" t="s">
        <v>4015</v>
      </c>
      <c r="J752" s="22" t="s">
        <v>125</v>
      </c>
      <c r="K752" s="22"/>
      <c r="L752" s="167" t="s">
        <v>4016</v>
      </c>
      <c r="M752" s="44"/>
      <c r="N752" s="44"/>
      <c r="O752" s="44"/>
      <c r="P752" s="44"/>
      <c r="Q752" s="44"/>
      <c r="R752" s="44"/>
      <c r="S752" s="44"/>
      <c r="T752" s="45"/>
      <c r="U752" s="38" t="str">
        <f>HYPERLINK("https://www.ncbi.nlm.nih.gov/pubmed/32308618","PubMed")</f>
        <v>PubMed</v>
      </c>
      <c r="V752" s="139"/>
      <c r="W752" s="49"/>
      <c r="X752" s="49"/>
      <c r="Y752" s="35"/>
      <c r="Z752" s="35"/>
      <c r="AA752" s="35"/>
      <c r="AB752" s="35"/>
      <c r="AC752" s="35"/>
      <c r="AD752" s="35"/>
      <c r="AE752" s="35"/>
      <c r="AF752" s="35"/>
      <c r="AG752" s="35"/>
      <c r="AH752" s="35"/>
      <c r="AI752" s="35"/>
      <c r="AJ752" s="35"/>
      <c r="AK752" s="35"/>
      <c r="AL752" s="35"/>
    </row>
    <row r="753" ht="32.25" customHeight="1">
      <c r="A753" s="40"/>
      <c r="B753" s="157" t="s">
        <v>2073</v>
      </c>
      <c r="C753" s="158" t="s">
        <v>3935</v>
      </c>
      <c r="D753" s="159"/>
      <c r="E753" s="22" t="s">
        <v>4017</v>
      </c>
      <c r="F753" s="23" t="s">
        <v>748</v>
      </c>
      <c r="G753" s="23">
        <v>2020.0</v>
      </c>
      <c r="H753" s="22" t="s">
        <v>4018</v>
      </c>
      <c r="I753" s="24" t="s">
        <v>4019</v>
      </c>
      <c r="J753" s="22" t="s">
        <v>31</v>
      </c>
      <c r="K753" s="22"/>
      <c r="L753" s="36"/>
      <c r="M753" s="36"/>
      <c r="N753" s="36"/>
      <c r="O753" s="107"/>
      <c r="P753" s="37"/>
      <c r="Q753" s="107"/>
      <c r="R753" s="36"/>
      <c r="S753" s="36"/>
      <c r="T753" s="28" t="s">
        <v>4020</v>
      </c>
      <c r="U753" s="38" t="str">
        <f>HYPERLINK("https://www.spiedigitallibrary.org/journals/Optical-Engineering/volume-59/issue-6/061620/Photobiomodulation-enhances-mitochondrial-respiration-in-an-in-vitro-rotenone-model/10.1117/1.OE.59.6.061620.short?SSO=1","SPIE")</f>
        <v>SPIE</v>
      </c>
      <c r="V753" s="139"/>
      <c r="W753" s="49"/>
      <c r="X753" s="49"/>
      <c r="Y753" s="35"/>
      <c r="Z753" s="35"/>
      <c r="AA753" s="35"/>
      <c r="AB753" s="35"/>
      <c r="AC753" s="35"/>
      <c r="AD753" s="35"/>
      <c r="AE753" s="35"/>
      <c r="AF753" s="35"/>
      <c r="AG753" s="35"/>
      <c r="AH753" s="35"/>
      <c r="AI753" s="35"/>
      <c r="AJ753" s="35"/>
      <c r="AK753" s="35"/>
      <c r="AL753" s="35"/>
    </row>
    <row r="754" ht="32.25" customHeight="1">
      <c r="A754" s="40"/>
      <c r="B754" s="157" t="s">
        <v>2073</v>
      </c>
      <c r="C754" s="158" t="s">
        <v>3935</v>
      </c>
      <c r="D754" s="159"/>
      <c r="E754" s="22" t="s">
        <v>2697</v>
      </c>
      <c r="F754" s="23" t="s">
        <v>1862</v>
      </c>
      <c r="G754" s="23">
        <v>2019.0</v>
      </c>
      <c r="H754" s="22" t="s">
        <v>77</v>
      </c>
      <c r="I754" s="24" t="s">
        <v>4021</v>
      </c>
      <c r="J754" s="22" t="s">
        <v>4022</v>
      </c>
      <c r="K754" s="22"/>
      <c r="L754" s="36" t="s">
        <v>4023</v>
      </c>
      <c r="M754" s="36"/>
      <c r="N754" s="36"/>
      <c r="O754" s="107"/>
      <c r="P754" s="37"/>
      <c r="Q754" s="107"/>
      <c r="R754" s="36"/>
      <c r="S754" s="36"/>
      <c r="T754" s="28" t="s">
        <v>4024</v>
      </c>
      <c r="U754" s="38" t="str">
        <f>HYPERLINK("https://www.ncbi.nlm.nih.gov/pubmed/31536464","PubMed")</f>
        <v>PubMed</v>
      </c>
      <c r="V754" s="139"/>
      <c r="W754" s="49"/>
      <c r="X754" s="49"/>
      <c r="Y754" s="35"/>
      <c r="Z754" s="35"/>
      <c r="AA754" s="35"/>
      <c r="AB754" s="35"/>
      <c r="AC754" s="35"/>
      <c r="AD754" s="35"/>
      <c r="AE754" s="35"/>
      <c r="AF754" s="35"/>
      <c r="AG754" s="35"/>
      <c r="AH754" s="35"/>
      <c r="AI754" s="35"/>
      <c r="AJ754" s="35"/>
      <c r="AK754" s="35"/>
      <c r="AL754" s="35"/>
    </row>
    <row r="755" ht="32.25" customHeight="1">
      <c r="A755" s="40"/>
      <c r="B755" s="157" t="s">
        <v>2073</v>
      </c>
      <c r="C755" s="158" t="s">
        <v>3935</v>
      </c>
      <c r="D755" s="159"/>
      <c r="E755" s="22" t="s">
        <v>4025</v>
      </c>
      <c r="F755" s="23" t="s">
        <v>1862</v>
      </c>
      <c r="G755" s="23">
        <v>2019.0</v>
      </c>
      <c r="H755" s="22" t="s">
        <v>584</v>
      </c>
      <c r="I755" s="24" t="s">
        <v>4026</v>
      </c>
      <c r="J755" s="22" t="s">
        <v>44</v>
      </c>
      <c r="K755" s="22"/>
      <c r="L755" s="36">
        <v>670.0</v>
      </c>
      <c r="M755" s="36"/>
      <c r="N755" s="36" t="s">
        <v>3911</v>
      </c>
      <c r="O755" s="107"/>
      <c r="P755" s="37"/>
      <c r="Q755" s="107"/>
      <c r="R755" s="36">
        <v>180.0</v>
      </c>
      <c r="S755" s="36">
        <v>7.0</v>
      </c>
      <c r="T755" s="28" t="s">
        <v>4027</v>
      </c>
      <c r="U755" s="38" t="str">
        <f>HYPERLINK("https://www.ncbi.nlm.nih.gov/pubmed/31590236","PubMed")</f>
        <v>PubMed</v>
      </c>
      <c r="V755" s="139"/>
      <c r="W755" s="49"/>
      <c r="X755" s="49"/>
      <c r="Y755" s="35"/>
      <c r="Z755" s="35"/>
      <c r="AA755" s="35"/>
      <c r="AB755" s="35"/>
      <c r="AC755" s="35"/>
      <c r="AD755" s="35"/>
      <c r="AE755" s="35"/>
      <c r="AF755" s="35"/>
      <c r="AG755" s="35"/>
      <c r="AH755" s="35"/>
      <c r="AI755" s="35"/>
      <c r="AJ755" s="35"/>
      <c r="AK755" s="35"/>
      <c r="AL755" s="35"/>
    </row>
    <row r="756" ht="32.25" customHeight="1">
      <c r="A756" s="40"/>
      <c r="B756" s="157" t="s">
        <v>2073</v>
      </c>
      <c r="C756" s="158" t="s">
        <v>3935</v>
      </c>
      <c r="D756" s="159"/>
      <c r="E756" s="22" t="s">
        <v>4028</v>
      </c>
      <c r="F756" s="23" t="s">
        <v>1862</v>
      </c>
      <c r="G756" s="23">
        <v>2019.0</v>
      </c>
      <c r="H756" s="22" t="s">
        <v>584</v>
      </c>
      <c r="I756" s="24" t="s">
        <v>4029</v>
      </c>
      <c r="J756" s="22" t="s">
        <v>55</v>
      </c>
      <c r="K756" s="22"/>
      <c r="L756" s="36" t="s">
        <v>4030</v>
      </c>
      <c r="M756" s="36"/>
      <c r="N756" s="129"/>
      <c r="O756" s="107"/>
      <c r="P756" s="37"/>
      <c r="Q756" s="107"/>
      <c r="R756" s="36"/>
      <c r="S756" s="107"/>
      <c r="T756" s="41" t="s">
        <v>4031</v>
      </c>
      <c r="U756" s="38" t="str">
        <f>HYPERLINK("https://www.ncbi.nlm.nih.gov/pubmed/31430990","PubMed")</f>
        <v>PubMed</v>
      </c>
      <c r="V756" s="139"/>
      <c r="W756" s="49"/>
      <c r="X756" s="49"/>
      <c r="Y756" s="35"/>
      <c r="Z756" s="35"/>
      <c r="AA756" s="35"/>
      <c r="AB756" s="35"/>
      <c r="AC756" s="35"/>
      <c r="AD756" s="35"/>
      <c r="AE756" s="35"/>
      <c r="AF756" s="35"/>
      <c r="AG756" s="35"/>
      <c r="AH756" s="35"/>
      <c r="AI756" s="35"/>
      <c r="AJ756" s="35"/>
      <c r="AK756" s="35"/>
      <c r="AL756" s="35"/>
    </row>
    <row r="757" ht="32.25" customHeight="1">
      <c r="A757" s="40"/>
      <c r="B757" s="157" t="s">
        <v>2073</v>
      </c>
      <c r="C757" s="158" t="s">
        <v>3935</v>
      </c>
      <c r="D757" s="159"/>
      <c r="E757" s="22" t="s">
        <v>4032</v>
      </c>
      <c r="F757" s="22" t="s">
        <v>4033</v>
      </c>
      <c r="G757" s="23">
        <v>2019.0</v>
      </c>
      <c r="H757" s="22" t="s">
        <v>2641</v>
      </c>
      <c r="I757" s="24" t="s">
        <v>4034</v>
      </c>
      <c r="J757" s="22" t="s">
        <v>125</v>
      </c>
      <c r="K757" s="22"/>
      <c r="L757" s="43" t="s">
        <v>4035</v>
      </c>
      <c r="M757" s="44"/>
      <c r="N757" s="44"/>
      <c r="O757" s="44"/>
      <c r="P757" s="44"/>
      <c r="Q757" s="44"/>
      <c r="R757" s="44"/>
      <c r="S757" s="44"/>
      <c r="T757" s="45"/>
      <c r="U757" s="38" t="str">
        <f>HYPERLINK("https://www.ncbi.nlm.nih.gov/pubmed/31226407","PubMed")</f>
        <v>PubMed</v>
      </c>
      <c r="V757" s="139"/>
      <c r="W757" s="49"/>
      <c r="X757" s="49"/>
      <c r="Y757" s="35"/>
      <c r="Z757" s="35"/>
      <c r="AA757" s="35"/>
      <c r="AB757" s="35"/>
      <c r="AC757" s="35"/>
      <c r="AD757" s="35"/>
      <c r="AE757" s="35"/>
      <c r="AF757" s="35"/>
      <c r="AG757" s="35"/>
      <c r="AH757" s="35"/>
      <c r="AI757" s="35"/>
      <c r="AJ757" s="35"/>
      <c r="AK757" s="35"/>
      <c r="AL757" s="35"/>
    </row>
    <row r="758" ht="32.25" customHeight="1">
      <c r="A758" s="40"/>
      <c r="B758" s="157" t="s">
        <v>2073</v>
      </c>
      <c r="C758" s="158" t="s">
        <v>3935</v>
      </c>
      <c r="D758" s="159"/>
      <c r="E758" s="22" t="s">
        <v>450</v>
      </c>
      <c r="F758" s="22" t="s">
        <v>4036</v>
      </c>
      <c r="G758" s="23">
        <v>2019.0</v>
      </c>
      <c r="H758" s="22" t="s">
        <v>2162</v>
      </c>
      <c r="I758" s="24" t="s">
        <v>4037</v>
      </c>
      <c r="J758" s="22" t="s">
        <v>4038</v>
      </c>
      <c r="K758" s="22" t="s">
        <v>157</v>
      </c>
      <c r="L758" s="36">
        <v>670.0</v>
      </c>
      <c r="M758" s="36"/>
      <c r="N758" s="36" t="s">
        <v>4039</v>
      </c>
      <c r="O758" s="107"/>
      <c r="P758" s="37" t="s">
        <v>70</v>
      </c>
      <c r="Q758" s="107"/>
      <c r="R758" s="36"/>
      <c r="S758" s="36" t="s">
        <v>3114</v>
      </c>
      <c r="T758" s="42" t="s">
        <v>4040</v>
      </c>
      <c r="U758" s="38" t="str">
        <f>HYPERLINK("https://www.ncbi.nlm.nih.gov/pubmed/30824206","PubMed")</f>
        <v>PubMed</v>
      </c>
      <c r="V758" s="136" t="s">
        <v>4041</v>
      </c>
      <c r="W758" s="49"/>
      <c r="X758" s="49"/>
      <c r="Y758" s="35"/>
      <c r="Z758" s="35"/>
      <c r="AA758" s="35"/>
      <c r="AB758" s="35"/>
      <c r="AC758" s="35"/>
      <c r="AD758" s="35"/>
      <c r="AE758" s="35"/>
      <c r="AF758" s="35"/>
      <c r="AG758" s="35"/>
      <c r="AH758" s="35"/>
      <c r="AI758" s="35"/>
      <c r="AJ758" s="35"/>
      <c r="AK758" s="35"/>
      <c r="AL758" s="35"/>
    </row>
    <row r="759" ht="32.25" customHeight="1">
      <c r="A759" s="40"/>
      <c r="B759" s="157" t="s">
        <v>2073</v>
      </c>
      <c r="C759" s="158" t="s">
        <v>3935</v>
      </c>
      <c r="D759" s="159"/>
      <c r="E759" s="22" t="s">
        <v>4042</v>
      </c>
      <c r="F759" s="22" t="s">
        <v>1862</v>
      </c>
      <c r="G759" s="23">
        <v>2019.0</v>
      </c>
      <c r="H759" s="22" t="s">
        <v>2612</v>
      </c>
      <c r="I759" s="24" t="s">
        <v>4043</v>
      </c>
      <c r="J759" s="22" t="s">
        <v>44</v>
      </c>
      <c r="K759" s="22" t="s">
        <v>4044</v>
      </c>
      <c r="L759" s="36">
        <v>670.0</v>
      </c>
      <c r="M759" s="36"/>
      <c r="N759" s="129"/>
      <c r="O759" s="107"/>
      <c r="P759" s="37" t="s">
        <v>254</v>
      </c>
      <c r="Q759" s="107"/>
      <c r="R759" s="36"/>
      <c r="S759" s="36" t="s">
        <v>4045</v>
      </c>
      <c r="T759" s="28" t="s">
        <v>4046</v>
      </c>
      <c r="U759" s="38" t="str">
        <f>HYPERLINK("https://www.ncbi.nlm.nih.gov/pubmed/30625333","PubMed")</f>
        <v>PubMed</v>
      </c>
      <c r="V759" s="139"/>
      <c r="W759" s="49"/>
      <c r="X759" s="49"/>
      <c r="Y759" s="35"/>
      <c r="Z759" s="35"/>
      <c r="AA759" s="35"/>
      <c r="AB759" s="35"/>
      <c r="AC759" s="35"/>
      <c r="AD759" s="35"/>
      <c r="AE759" s="35"/>
      <c r="AF759" s="35"/>
      <c r="AG759" s="35"/>
      <c r="AH759" s="35"/>
      <c r="AI759" s="35"/>
      <c r="AJ759" s="35"/>
      <c r="AK759" s="35"/>
      <c r="AL759" s="35"/>
    </row>
    <row r="760" ht="21.75" customHeight="1">
      <c r="A760" s="205"/>
      <c r="B760" s="157" t="s">
        <v>2073</v>
      </c>
      <c r="C760" s="158" t="s">
        <v>3935</v>
      </c>
      <c r="D760" s="159"/>
      <c r="E760" s="22" t="s">
        <v>2697</v>
      </c>
      <c r="F760" s="22" t="s">
        <v>1862</v>
      </c>
      <c r="G760" s="23">
        <v>2018.0</v>
      </c>
      <c r="H760" s="22" t="s">
        <v>2225</v>
      </c>
      <c r="I760" s="24" t="s">
        <v>4047</v>
      </c>
      <c r="J760" s="22" t="s">
        <v>125</v>
      </c>
      <c r="K760" s="23"/>
      <c r="L760" s="206" t="s">
        <v>4048</v>
      </c>
      <c r="M760" s="44"/>
      <c r="N760" s="44"/>
      <c r="O760" s="44"/>
      <c r="P760" s="44"/>
      <c r="Q760" s="44"/>
      <c r="R760" s="44"/>
      <c r="S760" s="44"/>
      <c r="T760" s="45"/>
      <c r="U760" s="38" t="str">
        <f>HYPERLINK("https://www.ncbi.nlm.nih.gov/pubmed/30136687","PubMed")</f>
        <v>PubMed</v>
      </c>
      <c r="V760" s="139"/>
      <c r="W760" s="49"/>
      <c r="X760" s="49"/>
      <c r="Y760" s="35"/>
      <c r="Z760" s="35"/>
      <c r="AA760" s="35"/>
      <c r="AB760" s="35"/>
      <c r="AC760" s="35"/>
      <c r="AD760" s="35"/>
      <c r="AE760" s="35"/>
      <c r="AF760" s="35"/>
      <c r="AG760" s="35"/>
      <c r="AH760" s="35"/>
      <c r="AI760" s="35"/>
      <c r="AJ760" s="35"/>
      <c r="AK760" s="35"/>
      <c r="AL760" s="35"/>
    </row>
    <row r="761" ht="21.75" customHeight="1">
      <c r="A761" s="205"/>
      <c r="B761" s="157" t="s">
        <v>2073</v>
      </c>
      <c r="C761" s="158" t="s">
        <v>3935</v>
      </c>
      <c r="D761" s="159"/>
      <c r="E761" s="22" t="s">
        <v>4049</v>
      </c>
      <c r="F761" s="22" t="s">
        <v>199</v>
      </c>
      <c r="G761" s="23">
        <v>2018.0</v>
      </c>
      <c r="H761" s="22" t="s">
        <v>2541</v>
      </c>
      <c r="I761" s="24" t="s">
        <v>4050</v>
      </c>
      <c r="J761" s="23" t="s">
        <v>44</v>
      </c>
      <c r="K761" s="23"/>
      <c r="L761" s="36">
        <v>670.0</v>
      </c>
      <c r="M761" s="36"/>
      <c r="N761" s="36"/>
      <c r="O761" s="36"/>
      <c r="P761" s="37"/>
      <c r="Q761" s="36"/>
      <c r="R761" s="36"/>
      <c r="S761" s="36"/>
      <c r="T761" s="28" t="s">
        <v>4051</v>
      </c>
      <c r="U761" s="38" t="str">
        <f>HYPERLINK("https://www.ncbi.nlm.nih.gov/pubmed/29571001","PubMed")</f>
        <v>PubMed</v>
      </c>
      <c r="V761" s="139"/>
      <c r="W761" s="49"/>
      <c r="X761" s="49"/>
      <c r="Y761" s="35"/>
      <c r="Z761" s="35"/>
      <c r="AA761" s="35"/>
      <c r="AB761" s="35"/>
      <c r="AC761" s="35"/>
      <c r="AD761" s="35"/>
      <c r="AE761" s="35"/>
      <c r="AF761" s="35"/>
      <c r="AG761" s="35"/>
      <c r="AH761" s="35"/>
      <c r="AI761" s="35"/>
      <c r="AJ761" s="35"/>
      <c r="AK761" s="35"/>
      <c r="AL761" s="35"/>
    </row>
    <row r="762" ht="21.75" customHeight="1">
      <c r="A762" s="205"/>
      <c r="B762" s="157" t="s">
        <v>2073</v>
      </c>
      <c r="C762" s="158" t="s">
        <v>3935</v>
      </c>
      <c r="D762" s="159"/>
      <c r="E762" s="22" t="s">
        <v>4049</v>
      </c>
      <c r="F762" s="22" t="s">
        <v>4052</v>
      </c>
      <c r="G762" s="23">
        <v>2018.0</v>
      </c>
      <c r="H762" s="22" t="s">
        <v>3626</v>
      </c>
      <c r="I762" s="24" t="s">
        <v>4053</v>
      </c>
      <c r="J762" s="23" t="s">
        <v>4054</v>
      </c>
      <c r="K762" s="23" t="s">
        <v>4055</v>
      </c>
      <c r="L762" s="36">
        <v>670.0</v>
      </c>
      <c r="M762" s="36"/>
      <c r="N762" s="36"/>
      <c r="O762" s="36"/>
      <c r="P762" s="37"/>
      <c r="Q762" s="36"/>
      <c r="R762" s="36"/>
      <c r="S762" s="36"/>
      <c r="T762" s="42" t="s">
        <v>4056</v>
      </c>
      <c r="U762" s="38" t="str">
        <f>HYPERLINK("https://www.ncbi.nlm.nih.gov/pubmed/29379995","PubMed")</f>
        <v>PubMed</v>
      </c>
      <c r="V762" s="139"/>
      <c r="W762" s="49"/>
      <c r="X762" s="49"/>
      <c r="Y762" s="35"/>
      <c r="Z762" s="35"/>
      <c r="AA762" s="35"/>
      <c r="AB762" s="35"/>
      <c r="AC762" s="35"/>
      <c r="AD762" s="35"/>
      <c r="AE762" s="35"/>
      <c r="AF762" s="35"/>
      <c r="AG762" s="35"/>
      <c r="AH762" s="35"/>
      <c r="AI762" s="35"/>
      <c r="AJ762" s="35"/>
      <c r="AK762" s="35"/>
      <c r="AL762" s="35"/>
    </row>
    <row r="763" ht="21.75" customHeight="1">
      <c r="A763" s="205"/>
      <c r="B763" s="157" t="s">
        <v>2073</v>
      </c>
      <c r="C763" s="158" t="s">
        <v>3935</v>
      </c>
      <c r="D763" s="159"/>
      <c r="E763" s="22" t="s">
        <v>4057</v>
      </c>
      <c r="F763" s="22" t="s">
        <v>65</v>
      </c>
      <c r="G763" s="23">
        <v>2017.0</v>
      </c>
      <c r="H763" s="22" t="s">
        <v>66</v>
      </c>
      <c r="I763" s="24" t="s">
        <v>4058</v>
      </c>
      <c r="J763" s="23" t="s">
        <v>31</v>
      </c>
      <c r="K763" s="23"/>
      <c r="L763" s="36">
        <v>633.0</v>
      </c>
      <c r="M763" s="36"/>
      <c r="N763" s="36"/>
      <c r="O763" s="36"/>
      <c r="P763" s="37" t="s">
        <v>4059</v>
      </c>
      <c r="Q763" s="36"/>
      <c r="R763" s="36"/>
      <c r="S763" s="36"/>
      <c r="T763" s="28" t="s">
        <v>4060</v>
      </c>
      <c r="U763" s="29" t="s">
        <v>61</v>
      </c>
      <c r="V763" s="139"/>
      <c r="W763" s="49"/>
      <c r="X763" s="49"/>
      <c r="Y763" s="35"/>
      <c r="Z763" s="35"/>
      <c r="AA763" s="35"/>
      <c r="AB763" s="35"/>
      <c r="AC763" s="35"/>
      <c r="AD763" s="35"/>
      <c r="AE763" s="35"/>
      <c r="AF763" s="35"/>
      <c r="AG763" s="35"/>
      <c r="AH763" s="35"/>
      <c r="AI763" s="35"/>
      <c r="AJ763" s="35"/>
      <c r="AK763" s="35"/>
      <c r="AL763" s="35"/>
    </row>
    <row r="764" ht="21.75" customHeight="1">
      <c r="A764" s="205" t="s">
        <v>2</v>
      </c>
      <c r="B764" s="157" t="s">
        <v>2073</v>
      </c>
      <c r="C764" s="158" t="s">
        <v>3935</v>
      </c>
      <c r="D764" s="159"/>
      <c r="E764" s="22" t="s">
        <v>1080</v>
      </c>
      <c r="F764" s="22" t="s">
        <v>1862</v>
      </c>
      <c r="G764" s="23">
        <v>2017.0</v>
      </c>
      <c r="H764" s="22" t="s">
        <v>4061</v>
      </c>
      <c r="I764" s="24" t="s">
        <v>4062</v>
      </c>
      <c r="J764" s="23" t="s">
        <v>44</v>
      </c>
      <c r="K764" s="23" t="s">
        <v>4063</v>
      </c>
      <c r="L764" s="36">
        <v>670.0</v>
      </c>
      <c r="M764" s="36"/>
      <c r="N764" s="36"/>
      <c r="O764" s="36"/>
      <c r="P764" s="37"/>
      <c r="Q764" s="36"/>
      <c r="R764" s="36"/>
      <c r="S764" s="36"/>
      <c r="T764" s="28" t="s">
        <v>4064</v>
      </c>
      <c r="U764" s="38" t="str">
        <f>HYPERLINK("https://www.ncbi.nlm.nih.gov/pubmed/30135947","PubMed")</f>
        <v>PubMed</v>
      </c>
      <c r="V764" s="139"/>
      <c r="W764" s="49"/>
      <c r="X764" s="49"/>
      <c r="Y764" s="35"/>
      <c r="Z764" s="35"/>
      <c r="AA764" s="35"/>
      <c r="AB764" s="35"/>
      <c r="AC764" s="35"/>
      <c r="AD764" s="35"/>
      <c r="AE764" s="35"/>
      <c r="AF764" s="35"/>
      <c r="AG764" s="35"/>
      <c r="AH764" s="35"/>
      <c r="AI764" s="35"/>
      <c r="AJ764" s="35"/>
      <c r="AK764" s="35"/>
      <c r="AL764" s="35"/>
    </row>
    <row r="765" ht="21.75" customHeight="1">
      <c r="A765" s="205"/>
      <c r="B765" s="157" t="s">
        <v>2073</v>
      </c>
      <c r="C765" s="158" t="s">
        <v>3935</v>
      </c>
      <c r="D765" s="159"/>
      <c r="E765" s="22" t="s">
        <v>4049</v>
      </c>
      <c r="F765" s="22" t="s">
        <v>4052</v>
      </c>
      <c r="G765" s="23">
        <v>2017.0</v>
      </c>
      <c r="H765" s="22" t="s">
        <v>3626</v>
      </c>
      <c r="I765" s="24" t="s">
        <v>4065</v>
      </c>
      <c r="J765" s="23" t="s">
        <v>4066</v>
      </c>
      <c r="K765" s="23" t="s">
        <v>4067</v>
      </c>
      <c r="L765" s="36">
        <v>670.0</v>
      </c>
      <c r="M765" s="36"/>
      <c r="N765" s="36"/>
      <c r="O765" s="36"/>
      <c r="P765" s="37"/>
      <c r="Q765" s="36"/>
      <c r="R765" s="36"/>
      <c r="S765" s="36"/>
      <c r="T765" s="28" t="s">
        <v>4068</v>
      </c>
      <c r="U765" s="38" t="str">
        <f>HYPERLINK("https://www.ncbi.nlm.nih.gov/pubmed/28299414","PubMed")</f>
        <v>PubMed</v>
      </c>
      <c r="V765" s="139"/>
      <c r="W765" s="49"/>
      <c r="X765" s="49"/>
      <c r="Y765" s="35"/>
      <c r="Z765" s="35"/>
      <c r="AA765" s="35"/>
      <c r="AB765" s="35"/>
      <c r="AC765" s="35"/>
      <c r="AD765" s="35"/>
      <c r="AE765" s="35"/>
      <c r="AF765" s="35"/>
      <c r="AG765" s="35"/>
      <c r="AH765" s="35"/>
      <c r="AI765" s="35"/>
      <c r="AJ765" s="35"/>
      <c r="AK765" s="35"/>
      <c r="AL765" s="35"/>
    </row>
    <row r="766" ht="21.75" customHeight="1">
      <c r="A766" s="205" t="s">
        <v>2</v>
      </c>
      <c r="B766" s="157" t="s">
        <v>2073</v>
      </c>
      <c r="C766" s="158" t="s">
        <v>3935</v>
      </c>
      <c r="D766" s="159"/>
      <c r="E766" s="22" t="s">
        <v>4069</v>
      </c>
      <c r="F766" s="22" t="s">
        <v>1862</v>
      </c>
      <c r="G766" s="23">
        <v>2017.0</v>
      </c>
      <c r="H766" s="22" t="s">
        <v>2225</v>
      </c>
      <c r="I766" s="24" t="s">
        <v>4070</v>
      </c>
      <c r="J766" s="23" t="s">
        <v>2882</v>
      </c>
      <c r="K766" s="23" t="s">
        <v>4071</v>
      </c>
      <c r="L766" s="43"/>
      <c r="M766" s="44"/>
      <c r="N766" s="44"/>
      <c r="O766" s="44"/>
      <c r="P766" s="44"/>
      <c r="Q766" s="44"/>
      <c r="R766" s="44"/>
      <c r="S766" s="44"/>
      <c r="T766" s="45"/>
      <c r="U766" s="38" t="str">
        <f>HYPERLINK("https://www.ncbi.nlm.nih.gov/pubmed/28553332","PubMed")</f>
        <v>PubMed</v>
      </c>
      <c r="V766" s="139"/>
      <c r="W766" s="49"/>
      <c r="X766" s="49"/>
      <c r="Y766" s="35"/>
      <c r="Z766" s="35"/>
      <c r="AA766" s="35"/>
      <c r="AB766" s="35"/>
      <c r="AC766" s="35"/>
      <c r="AD766" s="35"/>
      <c r="AE766" s="35"/>
      <c r="AF766" s="35"/>
      <c r="AG766" s="35"/>
      <c r="AH766" s="35"/>
      <c r="AI766" s="35"/>
      <c r="AJ766" s="35"/>
      <c r="AK766" s="35"/>
      <c r="AL766" s="35"/>
    </row>
    <row r="767" ht="21.75" customHeight="1">
      <c r="A767" s="205" t="s">
        <v>2</v>
      </c>
      <c r="B767" s="157" t="s">
        <v>2073</v>
      </c>
      <c r="C767" s="158" t="s">
        <v>3935</v>
      </c>
      <c r="D767" s="159"/>
      <c r="E767" s="22" t="s">
        <v>4072</v>
      </c>
      <c r="F767" s="22" t="s">
        <v>4073</v>
      </c>
      <c r="G767" s="23">
        <v>2016.0</v>
      </c>
      <c r="H767" s="22" t="s">
        <v>4074</v>
      </c>
      <c r="I767" s="24" t="s">
        <v>4075</v>
      </c>
      <c r="J767" s="23" t="s">
        <v>44</v>
      </c>
      <c r="K767" s="23" t="s">
        <v>4076</v>
      </c>
      <c r="L767" s="36" t="s">
        <v>4077</v>
      </c>
      <c r="M767" s="36"/>
      <c r="N767" s="36"/>
      <c r="O767" s="36"/>
      <c r="P767" s="37"/>
      <c r="Q767" s="36"/>
      <c r="R767" s="36"/>
      <c r="S767" s="36"/>
      <c r="T767" s="28" t="s">
        <v>4078</v>
      </c>
      <c r="U767" s="38" t="str">
        <f>HYPERLINK("https://www.ncbi.nlm.nih.gov/pubmed/27871905","PubMed")</f>
        <v>PubMed</v>
      </c>
      <c r="V767" s="139"/>
      <c r="W767" s="49"/>
      <c r="X767" s="49"/>
      <c r="Y767" s="35"/>
      <c r="Z767" s="35"/>
      <c r="AA767" s="35"/>
      <c r="AB767" s="35"/>
      <c r="AC767" s="35"/>
      <c r="AD767" s="35"/>
      <c r="AE767" s="35"/>
      <c r="AF767" s="35"/>
      <c r="AG767" s="35"/>
      <c r="AH767" s="35"/>
      <c r="AI767" s="35"/>
      <c r="AJ767" s="35"/>
      <c r="AK767" s="35"/>
      <c r="AL767" s="35"/>
    </row>
    <row r="768" ht="21.75" customHeight="1">
      <c r="A768" s="207" t="s">
        <v>4079</v>
      </c>
      <c r="B768" s="157" t="s">
        <v>2073</v>
      </c>
      <c r="C768" s="158" t="s">
        <v>3935</v>
      </c>
      <c r="D768" s="159"/>
      <c r="E768" s="22" t="s">
        <v>4072</v>
      </c>
      <c r="F768" s="22" t="s">
        <v>4073</v>
      </c>
      <c r="G768" s="23">
        <v>2016.0</v>
      </c>
      <c r="H768" s="22" t="s">
        <v>3626</v>
      </c>
      <c r="I768" s="24" t="s">
        <v>4080</v>
      </c>
      <c r="J768" s="23" t="s">
        <v>44</v>
      </c>
      <c r="K768" s="23" t="s">
        <v>4081</v>
      </c>
      <c r="L768" s="36">
        <v>670.0</v>
      </c>
      <c r="M768" s="36"/>
      <c r="N768" s="36" t="s">
        <v>4082</v>
      </c>
      <c r="O768" s="36"/>
      <c r="P768" s="37" t="s">
        <v>4083</v>
      </c>
      <c r="Q768" s="36"/>
      <c r="R768" s="36">
        <v>90.0</v>
      </c>
      <c r="S768" s="36" t="s">
        <v>4084</v>
      </c>
      <c r="T768" s="28" t="s">
        <v>4085</v>
      </c>
      <c r="U768" s="38" t="str">
        <f>HYPERLINK("https://www.ncbi.nlm.nih.gov/pubmed/26879772","PubMed")</f>
        <v>PubMed</v>
      </c>
      <c r="V768" s="139"/>
      <c r="W768" s="49"/>
      <c r="X768" s="49"/>
      <c r="Y768" s="35"/>
      <c r="Z768" s="35"/>
      <c r="AA768" s="35"/>
      <c r="AB768" s="35"/>
      <c r="AC768" s="35"/>
      <c r="AD768" s="35"/>
      <c r="AE768" s="35"/>
      <c r="AF768" s="35"/>
      <c r="AG768" s="35"/>
      <c r="AH768" s="35"/>
      <c r="AI768" s="35"/>
      <c r="AJ768" s="35"/>
      <c r="AK768" s="35"/>
      <c r="AL768" s="35"/>
    </row>
    <row r="769" ht="21.75" customHeight="1">
      <c r="A769" s="1"/>
      <c r="B769" s="157" t="s">
        <v>2073</v>
      </c>
      <c r="C769" s="158" t="s">
        <v>3935</v>
      </c>
      <c r="D769" s="159"/>
      <c r="E769" s="22" t="s">
        <v>4072</v>
      </c>
      <c r="F769" s="22" t="s">
        <v>4073</v>
      </c>
      <c r="G769" s="23">
        <v>2016.0</v>
      </c>
      <c r="H769" s="22" t="s">
        <v>4086</v>
      </c>
      <c r="I769" s="24" t="s">
        <v>4087</v>
      </c>
      <c r="J769" s="23" t="s">
        <v>44</v>
      </c>
      <c r="K769" s="23" t="s">
        <v>4088</v>
      </c>
      <c r="L769" s="36"/>
      <c r="M769" s="36"/>
      <c r="N769" s="36"/>
      <c r="O769" s="36"/>
      <c r="P769" s="37"/>
      <c r="Q769" s="36"/>
      <c r="R769" s="36"/>
      <c r="S769" s="36"/>
      <c r="T769" s="42" t="s">
        <v>4089</v>
      </c>
      <c r="U769" s="38" t="str">
        <f>HYPERLINK("https://www.ncbi.nlm.nih.gov/pubmed/26613166","PubMed")</f>
        <v>PubMed</v>
      </c>
      <c r="V769" s="139"/>
      <c r="W769" s="49"/>
      <c r="X769" s="49"/>
      <c r="Y769" s="35"/>
      <c r="Z769" s="35"/>
      <c r="AA769" s="35"/>
      <c r="AB769" s="35"/>
      <c r="AC769" s="35"/>
      <c r="AD769" s="35"/>
      <c r="AE769" s="35"/>
      <c r="AF769" s="35"/>
      <c r="AG769" s="35"/>
      <c r="AH769" s="35"/>
      <c r="AI769" s="35"/>
      <c r="AJ769" s="35"/>
      <c r="AK769" s="35"/>
      <c r="AL769" s="35"/>
    </row>
    <row r="770" ht="21.75" customHeight="1">
      <c r="A770" s="1"/>
      <c r="B770" s="157" t="s">
        <v>2073</v>
      </c>
      <c r="C770" s="158" t="s">
        <v>3935</v>
      </c>
      <c r="D770" s="159"/>
      <c r="E770" s="22" t="s">
        <v>4090</v>
      </c>
      <c r="F770" s="22" t="s">
        <v>4091</v>
      </c>
      <c r="G770" s="23">
        <v>2016.0</v>
      </c>
      <c r="H770" s="22" t="s">
        <v>4092</v>
      </c>
      <c r="I770" s="24" t="s">
        <v>4093</v>
      </c>
      <c r="J770" s="22" t="s">
        <v>31</v>
      </c>
      <c r="K770" s="23"/>
      <c r="L770" s="36">
        <v>808.0</v>
      </c>
      <c r="M770" s="36"/>
      <c r="N770" s="36"/>
      <c r="O770" s="36"/>
      <c r="P770" s="37"/>
      <c r="Q770" s="36"/>
      <c r="R770" s="36"/>
      <c r="S770" s="36"/>
      <c r="T770" s="28" t="s">
        <v>4094</v>
      </c>
      <c r="U770" s="29" t="s">
        <v>61</v>
      </c>
      <c r="V770" s="30"/>
      <c r="W770" s="49"/>
      <c r="X770" s="49"/>
      <c r="Y770" s="35"/>
      <c r="Z770" s="35"/>
      <c r="AA770" s="35"/>
      <c r="AB770" s="35"/>
      <c r="AC770" s="35"/>
      <c r="AD770" s="35"/>
      <c r="AE770" s="35"/>
      <c r="AF770" s="35"/>
      <c r="AG770" s="35"/>
      <c r="AH770" s="35"/>
      <c r="AI770" s="35"/>
      <c r="AJ770" s="35"/>
      <c r="AK770" s="35"/>
      <c r="AL770" s="35"/>
    </row>
    <row r="771" ht="21.75" customHeight="1">
      <c r="A771" s="1"/>
      <c r="B771" s="157" t="s">
        <v>2073</v>
      </c>
      <c r="C771" s="158" t="s">
        <v>3935</v>
      </c>
      <c r="D771" s="159"/>
      <c r="E771" s="22" t="s">
        <v>4095</v>
      </c>
      <c r="F771" s="22" t="s">
        <v>4073</v>
      </c>
      <c r="G771" s="23">
        <v>2016.0</v>
      </c>
      <c r="H771" s="22" t="s">
        <v>3106</v>
      </c>
      <c r="I771" s="24" t="s">
        <v>4096</v>
      </c>
      <c r="J771" s="22" t="s">
        <v>4054</v>
      </c>
      <c r="K771" s="23" t="s">
        <v>4097</v>
      </c>
      <c r="L771" s="36">
        <v>670.0</v>
      </c>
      <c r="M771" s="36"/>
      <c r="N771" s="36"/>
      <c r="O771" s="36"/>
      <c r="P771" s="37"/>
      <c r="Q771" s="36"/>
      <c r="R771" s="36"/>
      <c r="S771" s="36"/>
      <c r="T771" s="42" t="s">
        <v>4098</v>
      </c>
      <c r="U771" s="38" t="str">
        <f>HYPERLINK("http://www.ncbi.nlm.nih.gov/pubmed/27396907","PubMed")</f>
        <v>PubMed</v>
      </c>
      <c r="V771" s="30"/>
      <c r="W771" s="49"/>
      <c r="X771" s="49"/>
      <c r="Y771" s="35"/>
      <c r="Z771" s="35"/>
      <c r="AA771" s="35"/>
      <c r="AB771" s="35"/>
      <c r="AC771" s="35"/>
      <c r="AD771" s="35"/>
      <c r="AE771" s="35"/>
      <c r="AF771" s="35"/>
      <c r="AG771" s="35"/>
      <c r="AH771" s="35"/>
      <c r="AI771" s="35"/>
      <c r="AJ771" s="35"/>
      <c r="AK771" s="35"/>
      <c r="AL771" s="35"/>
    </row>
    <row r="772" ht="21.75" customHeight="1">
      <c r="A772" s="1"/>
      <c r="B772" s="157" t="s">
        <v>2073</v>
      </c>
      <c r="C772" s="158" t="s">
        <v>3935</v>
      </c>
      <c r="D772" s="159"/>
      <c r="E772" s="22" t="s">
        <v>3057</v>
      </c>
      <c r="F772" s="22"/>
      <c r="G772" s="23">
        <v>2016.0</v>
      </c>
      <c r="H772" s="22" t="s">
        <v>4099</v>
      </c>
      <c r="I772" s="24" t="s">
        <v>4100</v>
      </c>
      <c r="J772" s="22" t="s">
        <v>55</v>
      </c>
      <c r="K772" s="23" t="s">
        <v>4101</v>
      </c>
      <c r="L772" s="36" t="s">
        <v>4102</v>
      </c>
      <c r="M772" s="36" t="s">
        <v>4103</v>
      </c>
      <c r="N772" s="36"/>
      <c r="O772" s="36"/>
      <c r="P772" s="37" t="s">
        <v>4104</v>
      </c>
      <c r="Q772" s="36"/>
      <c r="R772" s="36" t="s">
        <v>4105</v>
      </c>
      <c r="S772" s="36" t="s">
        <v>925</v>
      </c>
      <c r="T772" s="42" t="s">
        <v>4106</v>
      </c>
      <c r="U772" s="38" t="str">
        <f>HYPERLINK("https://journals.ke-i.org/index.php/mra/login?source=%2Findex.php%2Fmra%2Farticle%2Fview%2F652%2F621&amp;loginMessage=payment.loginRequired.forArticle","KEI Journals")</f>
        <v>KEI Journals</v>
      </c>
      <c r="V772" s="30"/>
      <c r="W772" s="49"/>
      <c r="X772" s="49"/>
      <c r="Y772" s="35"/>
      <c r="Z772" s="35"/>
      <c r="AA772" s="35"/>
      <c r="AB772" s="35"/>
      <c r="AC772" s="35"/>
      <c r="AD772" s="35"/>
      <c r="AE772" s="35"/>
      <c r="AF772" s="35"/>
      <c r="AG772" s="35"/>
      <c r="AH772" s="35"/>
      <c r="AI772" s="35"/>
      <c r="AJ772" s="35"/>
      <c r="AK772" s="35"/>
      <c r="AL772" s="35"/>
    </row>
    <row r="773" ht="21.75" customHeight="1">
      <c r="A773" s="1"/>
      <c r="B773" s="157" t="s">
        <v>2073</v>
      </c>
      <c r="C773" s="158" t="s">
        <v>3935</v>
      </c>
      <c r="D773" s="159"/>
      <c r="E773" s="22" t="s">
        <v>4049</v>
      </c>
      <c r="F773" s="22" t="s">
        <v>4052</v>
      </c>
      <c r="G773" s="23">
        <v>2016.0</v>
      </c>
      <c r="H773" s="22" t="s">
        <v>4107</v>
      </c>
      <c r="I773" s="24" t="s">
        <v>4108</v>
      </c>
      <c r="J773" s="23" t="s">
        <v>44</v>
      </c>
      <c r="K773" s="23" t="s">
        <v>4076</v>
      </c>
      <c r="L773" s="36">
        <v>670.0</v>
      </c>
      <c r="M773" s="36"/>
      <c r="N773" s="36"/>
      <c r="O773" s="36"/>
      <c r="P773" s="37"/>
      <c r="Q773" s="36"/>
      <c r="R773" s="36"/>
      <c r="S773" s="36"/>
      <c r="T773" s="98" t="s">
        <v>4109</v>
      </c>
      <c r="U773" s="38" t="str">
        <f>HYPERLINK("https://www.ncbi.nlm.nih.gov/pubmed/25469453","PubMed")</f>
        <v>PubMed</v>
      </c>
      <c r="V773" s="139"/>
      <c r="W773" s="49"/>
      <c r="X773" s="49"/>
      <c r="Y773" s="35"/>
      <c r="Z773" s="35"/>
      <c r="AA773" s="35"/>
      <c r="AB773" s="35"/>
      <c r="AC773" s="35"/>
      <c r="AD773" s="35"/>
      <c r="AE773" s="35"/>
      <c r="AF773" s="35"/>
      <c r="AG773" s="35"/>
      <c r="AH773" s="35"/>
      <c r="AI773" s="35"/>
      <c r="AJ773" s="35"/>
      <c r="AK773" s="35"/>
      <c r="AL773" s="35"/>
    </row>
    <row r="774" ht="21.75" customHeight="1">
      <c r="A774" s="1"/>
      <c r="B774" s="157" t="s">
        <v>2073</v>
      </c>
      <c r="C774" s="158" t="s">
        <v>3935</v>
      </c>
      <c r="D774" s="159"/>
      <c r="E774" s="22" t="s">
        <v>4049</v>
      </c>
      <c r="F774" s="22" t="s">
        <v>4052</v>
      </c>
      <c r="G774" s="23">
        <v>2016.0</v>
      </c>
      <c r="H774" s="22" t="s">
        <v>3626</v>
      </c>
      <c r="I774" s="24" t="s">
        <v>4110</v>
      </c>
      <c r="J774" s="23" t="s">
        <v>4054</v>
      </c>
      <c r="K774" s="23" t="s">
        <v>4097</v>
      </c>
      <c r="L774" s="36">
        <v>670.0</v>
      </c>
      <c r="M774" s="36"/>
      <c r="N774" s="36"/>
      <c r="O774" s="36"/>
      <c r="P774" s="37"/>
      <c r="Q774" s="36"/>
      <c r="R774" s="36"/>
      <c r="S774" s="36"/>
      <c r="T774" s="28" t="s">
        <v>4111</v>
      </c>
      <c r="U774" s="38" t="str">
        <f>HYPERLINK("https://www.ncbi.nlm.nih.gov/pubmed/27377070","PubMed")</f>
        <v>PubMed</v>
      </c>
      <c r="V774" s="139"/>
      <c r="W774" s="49"/>
      <c r="X774" s="49"/>
      <c r="Y774" s="35"/>
      <c r="Z774" s="35"/>
      <c r="AA774" s="35"/>
      <c r="AB774" s="35"/>
      <c r="AC774" s="35"/>
      <c r="AD774" s="35"/>
      <c r="AE774" s="35"/>
      <c r="AF774" s="35"/>
      <c r="AG774" s="35"/>
      <c r="AH774" s="35"/>
      <c r="AI774" s="35"/>
      <c r="AJ774" s="35"/>
      <c r="AK774" s="35"/>
      <c r="AL774" s="35"/>
    </row>
    <row r="775" ht="32.25" customHeight="1">
      <c r="A775" s="1" t="s">
        <v>2</v>
      </c>
      <c r="B775" s="157" t="s">
        <v>2073</v>
      </c>
      <c r="C775" s="158" t="s">
        <v>3935</v>
      </c>
      <c r="D775" s="159"/>
      <c r="E775" s="22" t="s">
        <v>4112</v>
      </c>
      <c r="F775" s="22" t="s">
        <v>4073</v>
      </c>
      <c r="G775" s="23">
        <v>2016.0</v>
      </c>
      <c r="H775" s="22" t="s">
        <v>4113</v>
      </c>
      <c r="I775" s="24" t="s">
        <v>4114</v>
      </c>
      <c r="J775" s="23" t="s">
        <v>4054</v>
      </c>
      <c r="K775" s="23" t="s">
        <v>4097</v>
      </c>
      <c r="L775" s="36">
        <v>670.0</v>
      </c>
      <c r="M775" s="36">
        <v>10.0</v>
      </c>
      <c r="N775" s="36"/>
      <c r="O775" s="36">
        <v>5.0</v>
      </c>
      <c r="P775" s="37"/>
      <c r="Q775" s="36"/>
      <c r="R775" s="36"/>
      <c r="S775" s="36" t="s">
        <v>4115</v>
      </c>
      <c r="T775" s="28" t="s">
        <v>4116</v>
      </c>
      <c r="U775" s="38" t="str">
        <f>HYPERLINK("https://www.ncbi.nlm.nih.gov/pubmed/26456231","PubMed")</f>
        <v>PubMed</v>
      </c>
      <c r="V775" s="139"/>
      <c r="W775" s="49"/>
      <c r="X775" s="49"/>
      <c r="Y775" s="35"/>
      <c r="Z775" s="35"/>
      <c r="AA775" s="35"/>
      <c r="AB775" s="35"/>
      <c r="AC775" s="35"/>
      <c r="AD775" s="35"/>
      <c r="AE775" s="35"/>
      <c r="AF775" s="35"/>
      <c r="AG775" s="35"/>
      <c r="AH775" s="35"/>
      <c r="AI775" s="35"/>
      <c r="AJ775" s="35"/>
      <c r="AK775" s="35"/>
      <c r="AL775" s="35"/>
    </row>
    <row r="776" ht="21.75" customHeight="1">
      <c r="A776" s="1" t="s">
        <v>2</v>
      </c>
      <c r="B776" s="157" t="s">
        <v>2073</v>
      </c>
      <c r="C776" s="158" t="s">
        <v>3935</v>
      </c>
      <c r="D776" s="159"/>
      <c r="E776" s="22" t="s">
        <v>3991</v>
      </c>
      <c r="F776" s="22" t="s">
        <v>4052</v>
      </c>
      <c r="G776" s="23">
        <v>2016.0</v>
      </c>
      <c r="H776" s="22" t="s">
        <v>2122</v>
      </c>
      <c r="I776" s="24" t="s">
        <v>4117</v>
      </c>
      <c r="J776" s="22" t="s">
        <v>125</v>
      </c>
      <c r="K776" s="23" t="s">
        <v>4118</v>
      </c>
      <c r="L776" s="105" t="s">
        <v>4119</v>
      </c>
      <c r="M776" s="44"/>
      <c r="N776" s="44"/>
      <c r="O776" s="44"/>
      <c r="P776" s="44"/>
      <c r="Q776" s="44"/>
      <c r="R776" s="44"/>
      <c r="S776" s="44"/>
      <c r="T776" s="45"/>
      <c r="U776" s="38" t="str">
        <f>HYPERLINK("https://www.ncbi.nlm.nih.gov/pubmed/26793049","PubMed")</f>
        <v>PubMed</v>
      </c>
      <c r="V776" s="139"/>
      <c r="W776" s="49"/>
      <c r="X776" s="49"/>
      <c r="Y776" s="35"/>
      <c r="Z776" s="35"/>
      <c r="AA776" s="35"/>
      <c r="AB776" s="35"/>
      <c r="AC776" s="35"/>
      <c r="AD776" s="35"/>
      <c r="AE776" s="35"/>
      <c r="AF776" s="35"/>
      <c r="AG776" s="35"/>
      <c r="AH776" s="35"/>
      <c r="AI776" s="35"/>
      <c r="AJ776" s="35"/>
      <c r="AK776" s="35"/>
      <c r="AL776" s="35"/>
    </row>
    <row r="777" ht="38.25" customHeight="1">
      <c r="A777" s="1"/>
      <c r="B777" s="157" t="s">
        <v>2073</v>
      </c>
      <c r="C777" s="158" t="s">
        <v>3935</v>
      </c>
      <c r="D777" s="159"/>
      <c r="E777" s="22" t="s">
        <v>4072</v>
      </c>
      <c r="F777" s="22" t="s">
        <v>4073</v>
      </c>
      <c r="G777" s="23">
        <v>2015.0</v>
      </c>
      <c r="H777" s="22" t="s">
        <v>4074</v>
      </c>
      <c r="I777" s="24" t="s">
        <v>4120</v>
      </c>
      <c r="J777" s="23" t="s">
        <v>44</v>
      </c>
      <c r="K777" s="23" t="s">
        <v>4121</v>
      </c>
      <c r="L777" s="36">
        <v>810.0</v>
      </c>
      <c r="M777" s="36"/>
      <c r="N777" s="36"/>
      <c r="O777" s="36" t="s">
        <v>4122</v>
      </c>
      <c r="P777" s="37"/>
      <c r="Q777" s="36"/>
      <c r="R777" s="36"/>
      <c r="S777" s="36">
        <v>4.0</v>
      </c>
      <c r="T777" s="28" t="s">
        <v>4123</v>
      </c>
      <c r="U777" s="38" t="str">
        <f>HYPERLINK("https://www.ncbi.nlm.nih.gov/pubmed/25462595","PubMed")</f>
        <v>PubMed</v>
      </c>
      <c r="V777" s="139"/>
      <c r="W777" s="49"/>
      <c r="X777" s="49"/>
      <c r="Y777" s="35"/>
      <c r="Z777" s="35"/>
      <c r="AA777" s="35"/>
      <c r="AB777" s="35"/>
      <c r="AC777" s="35"/>
      <c r="AD777" s="35"/>
      <c r="AE777" s="35"/>
      <c r="AF777" s="35"/>
      <c r="AG777" s="35"/>
      <c r="AH777" s="35"/>
      <c r="AI777" s="35"/>
      <c r="AJ777" s="35"/>
      <c r="AK777" s="35"/>
      <c r="AL777" s="35"/>
    </row>
    <row r="778" ht="38.25" customHeight="1">
      <c r="A778" s="1"/>
      <c r="B778" s="157" t="s">
        <v>2073</v>
      </c>
      <c r="C778" s="158" t="s">
        <v>3935</v>
      </c>
      <c r="D778" s="159"/>
      <c r="E778" s="22" t="s">
        <v>4124</v>
      </c>
      <c r="F778" s="22" t="s">
        <v>4125</v>
      </c>
      <c r="G778" s="23">
        <v>2015.0</v>
      </c>
      <c r="H778" s="178" t="s">
        <v>627</v>
      </c>
      <c r="I778" s="24" t="s">
        <v>4126</v>
      </c>
      <c r="J778" s="23" t="s">
        <v>55</v>
      </c>
      <c r="K778" s="23" t="s">
        <v>4127</v>
      </c>
      <c r="L778" s="36">
        <v>808.0</v>
      </c>
      <c r="M778" s="36"/>
      <c r="N778" s="36" t="s">
        <v>4128</v>
      </c>
      <c r="O778" s="36"/>
      <c r="P778" s="37"/>
      <c r="Q778" s="36" t="s">
        <v>4129</v>
      </c>
      <c r="R778" s="36">
        <v>100.0</v>
      </c>
      <c r="S778" s="36">
        <v>28.0</v>
      </c>
      <c r="T778" s="28" t="s">
        <v>4130</v>
      </c>
      <c r="U778" s="38" t="str">
        <f>HYPERLINK("https://www.ncbi.nlm.nih.gov/pubmed/26484876","PubMed")</f>
        <v>PubMed</v>
      </c>
      <c r="V778" s="139"/>
      <c r="W778" s="49"/>
      <c r="X778" s="49"/>
      <c r="Y778" s="35"/>
      <c r="Z778" s="35"/>
      <c r="AA778" s="35"/>
      <c r="AB778" s="35"/>
      <c r="AC778" s="35"/>
      <c r="AD778" s="35"/>
      <c r="AE778" s="35"/>
      <c r="AF778" s="35"/>
      <c r="AG778" s="35"/>
      <c r="AH778" s="35"/>
      <c r="AI778" s="35"/>
      <c r="AJ778" s="35"/>
      <c r="AK778" s="35"/>
      <c r="AL778" s="35"/>
    </row>
    <row r="779" ht="38.25" customHeight="1">
      <c r="A779" s="1" t="s">
        <v>38</v>
      </c>
      <c r="B779" s="157" t="s">
        <v>2073</v>
      </c>
      <c r="C779" s="158" t="s">
        <v>3935</v>
      </c>
      <c r="D779" s="159"/>
      <c r="E779" s="22" t="s">
        <v>4095</v>
      </c>
      <c r="F779" s="22" t="s">
        <v>4073</v>
      </c>
      <c r="G779" s="23">
        <v>2014.0</v>
      </c>
      <c r="H779" s="22" t="s">
        <v>4086</v>
      </c>
      <c r="I779" s="24" t="s">
        <v>4131</v>
      </c>
      <c r="J779" s="23" t="s">
        <v>44</v>
      </c>
      <c r="K779" s="23" t="s">
        <v>4132</v>
      </c>
      <c r="L779" s="36">
        <v>670.0</v>
      </c>
      <c r="M779" s="36"/>
      <c r="N779" s="36"/>
      <c r="O779" s="36"/>
      <c r="P779" s="37"/>
      <c r="Q779" s="36"/>
      <c r="R779" s="36"/>
      <c r="S779" s="36"/>
      <c r="T779" s="28" t="s">
        <v>4133</v>
      </c>
      <c r="U779" s="38" t="str">
        <f>HYPERLINK("https://www.ncbi.nlm.nih.gov/pubmed/24160475","PubMed")</f>
        <v>PubMed</v>
      </c>
      <c r="V779" s="139"/>
      <c r="W779" s="49"/>
      <c r="X779" s="49"/>
      <c r="Y779" s="35"/>
      <c r="Z779" s="35"/>
      <c r="AA779" s="35"/>
      <c r="AB779" s="35"/>
      <c r="AC779" s="35"/>
      <c r="AD779" s="35"/>
      <c r="AE779" s="35"/>
      <c r="AF779" s="35"/>
      <c r="AG779" s="35"/>
      <c r="AH779" s="35"/>
      <c r="AI779" s="35"/>
      <c r="AJ779" s="35"/>
      <c r="AK779" s="35"/>
      <c r="AL779" s="35"/>
    </row>
    <row r="780" ht="38.25" customHeight="1">
      <c r="A780" s="1"/>
      <c r="B780" s="157" t="s">
        <v>2073</v>
      </c>
      <c r="C780" s="158" t="s">
        <v>3935</v>
      </c>
      <c r="D780" s="159"/>
      <c r="E780" s="22" t="s">
        <v>3991</v>
      </c>
      <c r="F780" s="22" t="s">
        <v>4134</v>
      </c>
      <c r="G780" s="23">
        <v>2014.0</v>
      </c>
      <c r="H780" s="22" t="s">
        <v>2612</v>
      </c>
      <c r="I780" s="24" t="s">
        <v>4135</v>
      </c>
      <c r="J780" s="23" t="s">
        <v>44</v>
      </c>
      <c r="K780" s="23" t="s">
        <v>4136</v>
      </c>
      <c r="L780" s="36">
        <v>670.0</v>
      </c>
      <c r="M780" s="106"/>
      <c r="N780" s="36" t="s">
        <v>1729</v>
      </c>
      <c r="O780" s="36"/>
      <c r="P780" s="37" t="s">
        <v>254</v>
      </c>
      <c r="Q780" s="36"/>
      <c r="R780" s="36">
        <v>90.0</v>
      </c>
      <c r="S780" s="36"/>
      <c r="T780" s="98" t="s">
        <v>4137</v>
      </c>
      <c r="U780" s="38" t="str">
        <f>HYPERLINK("https://www.ncbi.nlm.nih.gov/pubmed/24857852","PubMed")</f>
        <v>PubMed</v>
      </c>
      <c r="V780" s="139"/>
      <c r="W780" s="49"/>
      <c r="X780" s="49"/>
      <c r="Y780" s="35"/>
      <c r="Z780" s="35"/>
      <c r="AA780" s="35"/>
      <c r="AB780" s="35"/>
      <c r="AC780" s="35"/>
      <c r="AD780" s="35"/>
      <c r="AE780" s="35"/>
      <c r="AF780" s="35"/>
      <c r="AG780" s="35"/>
      <c r="AH780" s="35"/>
      <c r="AI780" s="35"/>
      <c r="AJ780" s="35"/>
      <c r="AK780" s="35"/>
      <c r="AL780" s="35"/>
    </row>
    <row r="781" ht="38.25" customHeight="1">
      <c r="A781" s="1"/>
      <c r="B781" s="157" t="s">
        <v>2073</v>
      </c>
      <c r="C781" s="158" t="s">
        <v>3935</v>
      </c>
      <c r="D781" s="159"/>
      <c r="E781" s="22" t="s">
        <v>3991</v>
      </c>
      <c r="F781" s="22" t="s">
        <v>4134</v>
      </c>
      <c r="G781" s="23">
        <v>2014.0</v>
      </c>
      <c r="H781" s="22" t="s">
        <v>4138</v>
      </c>
      <c r="I781" s="24" t="s">
        <v>4139</v>
      </c>
      <c r="J781" s="22" t="s">
        <v>125</v>
      </c>
      <c r="K781" s="23"/>
      <c r="L781" s="105" t="s">
        <v>4140</v>
      </c>
      <c r="M781" s="44"/>
      <c r="N781" s="44"/>
      <c r="O781" s="44"/>
      <c r="P781" s="44"/>
      <c r="Q781" s="44"/>
      <c r="R781" s="44"/>
      <c r="S781" s="44"/>
      <c r="T781" s="45"/>
      <c r="U781" s="38" t="str">
        <f>HYPERLINK("https://www.researchgate.net/profile/Daniel_Johnstone/publication/260267066_The_potential_of_light_therapy_in_Parkinson's_disease/links/00b495306878c3ffeb000000.pdf","ResearchGate")</f>
        <v>ResearchGate</v>
      </c>
      <c r="V781" s="139"/>
      <c r="W781" s="49"/>
      <c r="X781" s="49"/>
      <c r="Y781" s="35"/>
      <c r="Z781" s="35"/>
      <c r="AA781" s="35"/>
      <c r="AB781" s="35"/>
      <c r="AC781" s="35"/>
      <c r="AD781" s="35"/>
      <c r="AE781" s="35"/>
      <c r="AF781" s="35"/>
      <c r="AG781" s="35"/>
      <c r="AH781" s="35"/>
      <c r="AI781" s="35"/>
      <c r="AJ781" s="35"/>
      <c r="AK781" s="35"/>
      <c r="AL781" s="35"/>
    </row>
    <row r="782" ht="38.25" customHeight="1">
      <c r="A782" s="1"/>
      <c r="B782" s="157" t="s">
        <v>2073</v>
      </c>
      <c r="C782" s="158" t="s">
        <v>3935</v>
      </c>
      <c r="D782" s="159"/>
      <c r="E782" s="22" t="s">
        <v>4141</v>
      </c>
      <c r="F782" s="22" t="s">
        <v>4142</v>
      </c>
      <c r="G782" s="23">
        <v>2014.0</v>
      </c>
      <c r="H782" s="22" t="s">
        <v>658</v>
      </c>
      <c r="I782" s="24" t="s">
        <v>4143</v>
      </c>
      <c r="J782" s="23" t="s">
        <v>3289</v>
      </c>
      <c r="K782" s="23"/>
      <c r="L782" s="105" t="s">
        <v>4144</v>
      </c>
      <c r="M782" s="44"/>
      <c r="N782" s="44"/>
      <c r="O782" s="44"/>
      <c r="P782" s="44"/>
      <c r="Q782" s="44"/>
      <c r="R782" s="44"/>
      <c r="S782" s="44"/>
      <c r="T782" s="45"/>
      <c r="U782" s="38" t="str">
        <f>HYPERLINK("https://www.ncbi.nlm.nih.gov/pubmed/25093424","PubMed")</f>
        <v>PubMed</v>
      </c>
      <c r="V782" s="139"/>
      <c r="W782" s="49"/>
      <c r="X782" s="49"/>
      <c r="Y782" s="35"/>
      <c r="Z782" s="35"/>
      <c r="AA782" s="35"/>
      <c r="AB782" s="35"/>
      <c r="AC782" s="35"/>
      <c r="AD782" s="35"/>
      <c r="AE782" s="35"/>
      <c r="AF782" s="35"/>
      <c r="AG782" s="35"/>
      <c r="AH782" s="35"/>
      <c r="AI782" s="35"/>
      <c r="AJ782" s="35"/>
      <c r="AK782" s="35"/>
      <c r="AL782" s="35"/>
    </row>
    <row r="783" ht="38.25" customHeight="1">
      <c r="A783" s="1"/>
      <c r="B783" s="157" t="s">
        <v>2073</v>
      </c>
      <c r="C783" s="158" t="s">
        <v>3935</v>
      </c>
      <c r="D783" s="159"/>
      <c r="E783" s="22" t="s">
        <v>4095</v>
      </c>
      <c r="F783" s="22" t="s">
        <v>2665</v>
      </c>
      <c r="G783" s="23">
        <v>2013.0</v>
      </c>
      <c r="H783" s="22" t="s">
        <v>4145</v>
      </c>
      <c r="I783" s="24" t="s">
        <v>4146</v>
      </c>
      <c r="J783" s="23" t="s">
        <v>44</v>
      </c>
      <c r="K783" s="23"/>
      <c r="L783" s="36">
        <v>670.0</v>
      </c>
      <c r="M783" s="106"/>
      <c r="N783" s="36"/>
      <c r="O783" s="36"/>
      <c r="P783" s="37"/>
      <c r="Q783" s="36"/>
      <c r="R783" s="36"/>
      <c r="S783" s="36"/>
      <c r="T783" s="28" t="s">
        <v>4147</v>
      </c>
      <c r="U783" s="38" t="str">
        <f>HYPERLINK("https://www.ncbi.nlm.nih.gov/pubmed/23531041","PubMed")</f>
        <v>PubMed</v>
      </c>
      <c r="V783" s="139"/>
      <c r="W783" s="49"/>
      <c r="X783" s="49"/>
      <c r="Y783" s="35"/>
      <c r="Z783" s="35"/>
      <c r="AA783" s="35"/>
      <c r="AB783" s="35"/>
      <c r="AC783" s="35"/>
      <c r="AD783" s="35"/>
      <c r="AE783" s="35"/>
      <c r="AF783" s="35"/>
      <c r="AG783" s="35"/>
      <c r="AH783" s="35"/>
      <c r="AI783" s="35"/>
      <c r="AJ783" s="35"/>
      <c r="AK783" s="35"/>
      <c r="AL783" s="35"/>
    </row>
    <row r="784" ht="38.25" customHeight="1">
      <c r="A784" s="1"/>
      <c r="B784" s="157" t="s">
        <v>2073</v>
      </c>
      <c r="C784" s="158" t="s">
        <v>3935</v>
      </c>
      <c r="D784" s="159"/>
      <c r="E784" s="22" t="s">
        <v>4148</v>
      </c>
      <c r="F784" s="22" t="s">
        <v>4149</v>
      </c>
      <c r="G784" s="23">
        <v>2013.0</v>
      </c>
      <c r="H784" s="22" t="s">
        <v>627</v>
      </c>
      <c r="I784" s="24" t="s">
        <v>4150</v>
      </c>
      <c r="J784" s="23" t="s">
        <v>2823</v>
      </c>
      <c r="K784" s="23" t="s">
        <v>4151</v>
      </c>
      <c r="L784" s="36" t="s">
        <v>4152</v>
      </c>
      <c r="M784" s="106"/>
      <c r="N784" s="36" t="s">
        <v>4153</v>
      </c>
      <c r="O784" s="36"/>
      <c r="P784" s="37"/>
      <c r="Q784" s="36"/>
      <c r="R784" s="36" t="s">
        <v>4154</v>
      </c>
      <c r="S784" s="36"/>
      <c r="T784" s="28" t="s">
        <v>4155</v>
      </c>
      <c r="U784" s="38" t="str">
        <f>HYPERLINK("https://www.ncbi.nlm.nih.gov/pubmed/24244323","PubMed")</f>
        <v>PubMed</v>
      </c>
      <c r="V784" s="139"/>
      <c r="W784" s="49"/>
      <c r="X784" s="49"/>
      <c r="Y784" s="35"/>
      <c r="Z784" s="35"/>
      <c r="AA784" s="35"/>
      <c r="AB784" s="35"/>
      <c r="AC784" s="35"/>
      <c r="AD784" s="35"/>
      <c r="AE784" s="35"/>
      <c r="AF784" s="35"/>
      <c r="AG784" s="35"/>
      <c r="AH784" s="35"/>
      <c r="AI784" s="35"/>
      <c r="AJ784" s="35"/>
      <c r="AK784" s="35"/>
      <c r="AL784" s="35"/>
    </row>
    <row r="785" ht="38.25" customHeight="1">
      <c r="A785" s="1"/>
      <c r="B785" s="157" t="s">
        <v>2073</v>
      </c>
      <c r="C785" s="158" t="s">
        <v>3935</v>
      </c>
      <c r="D785" s="159"/>
      <c r="E785" s="22" t="s">
        <v>2557</v>
      </c>
      <c r="F785" s="22" t="s">
        <v>4134</v>
      </c>
      <c r="G785" s="23">
        <v>2013.0</v>
      </c>
      <c r="H785" s="22" t="s">
        <v>3106</v>
      </c>
      <c r="I785" s="24" t="s">
        <v>4156</v>
      </c>
      <c r="J785" s="23" t="s">
        <v>44</v>
      </c>
      <c r="K785" s="23" t="s">
        <v>4157</v>
      </c>
      <c r="L785" s="36">
        <v>670.0</v>
      </c>
      <c r="M785" s="36"/>
      <c r="N785" s="36"/>
      <c r="O785" s="36"/>
      <c r="P785" s="37" t="s">
        <v>254</v>
      </c>
      <c r="Q785" s="36"/>
      <c r="R785" s="36">
        <v>90.0</v>
      </c>
      <c r="S785" s="36">
        <v>20.0</v>
      </c>
      <c r="T785" s="28" t="s">
        <v>4158</v>
      </c>
      <c r="U785" s="38" t="str">
        <f>HYPERLINK("https://www.ncbi.nlm.nih.gov/pubmed/23998985","PubMed")</f>
        <v>PubMed</v>
      </c>
      <c r="V785" s="139"/>
      <c r="W785" s="49"/>
      <c r="X785" s="49"/>
      <c r="Y785" s="35"/>
      <c r="Z785" s="35"/>
      <c r="AA785" s="35"/>
      <c r="AB785" s="35"/>
      <c r="AC785" s="35"/>
      <c r="AD785" s="35"/>
      <c r="AE785" s="35"/>
      <c r="AF785" s="35"/>
      <c r="AG785" s="35"/>
      <c r="AH785" s="35"/>
      <c r="AI785" s="35"/>
      <c r="AJ785" s="35"/>
      <c r="AK785" s="35"/>
      <c r="AL785" s="35"/>
    </row>
    <row r="786" ht="38.25" customHeight="1">
      <c r="A786" s="1"/>
      <c r="B786" s="157" t="s">
        <v>2073</v>
      </c>
      <c r="C786" s="158" t="s">
        <v>3935</v>
      </c>
      <c r="D786" s="159"/>
      <c r="E786" s="22" t="s">
        <v>4159</v>
      </c>
      <c r="F786" s="22" t="s">
        <v>4134</v>
      </c>
      <c r="G786" s="23">
        <v>2012.0</v>
      </c>
      <c r="H786" s="22" t="s">
        <v>4160</v>
      </c>
      <c r="I786" s="24" t="s">
        <v>4161</v>
      </c>
      <c r="J786" s="23" t="s">
        <v>44</v>
      </c>
      <c r="K786" s="23" t="s">
        <v>4162</v>
      </c>
      <c r="L786" s="36">
        <v>670.0</v>
      </c>
      <c r="M786" s="36"/>
      <c r="N786" s="36"/>
      <c r="O786" s="36"/>
      <c r="P786" s="37" t="s">
        <v>4163</v>
      </c>
      <c r="Q786" s="36"/>
      <c r="R786" s="36">
        <v>90.0</v>
      </c>
      <c r="S786" s="36"/>
      <c r="T786" s="28" t="s">
        <v>4164</v>
      </c>
      <c r="U786" s="38" t="str">
        <f>HYPERLINK("https://www.ncbi.nlm.nih.gov/pubmed/22666627","PubMed")</f>
        <v>PubMed</v>
      </c>
      <c r="V786" s="139"/>
      <c r="W786" s="49"/>
      <c r="X786" s="49"/>
      <c r="Y786" s="35"/>
      <c r="Z786" s="35"/>
      <c r="AA786" s="35"/>
      <c r="AB786" s="35"/>
      <c r="AC786" s="35"/>
      <c r="AD786" s="35"/>
      <c r="AE786" s="35"/>
      <c r="AF786" s="35"/>
      <c r="AG786" s="35"/>
      <c r="AH786" s="35"/>
      <c r="AI786" s="35"/>
      <c r="AJ786" s="35"/>
      <c r="AK786" s="35"/>
      <c r="AL786" s="35"/>
    </row>
    <row r="787" ht="38.25" customHeight="1">
      <c r="A787" s="1"/>
      <c r="B787" s="157" t="s">
        <v>2073</v>
      </c>
      <c r="C787" s="158" t="s">
        <v>3935</v>
      </c>
      <c r="D787" s="159"/>
      <c r="E787" s="22" t="s">
        <v>2955</v>
      </c>
      <c r="F787" s="22" t="s">
        <v>1173</v>
      </c>
      <c r="G787" s="23">
        <v>2012.0</v>
      </c>
      <c r="H787" s="22" t="s">
        <v>4165</v>
      </c>
      <c r="I787" s="24" t="s">
        <v>4166</v>
      </c>
      <c r="J787" s="22" t="s">
        <v>125</v>
      </c>
      <c r="K787" s="23"/>
      <c r="L787" s="105" t="s">
        <v>4167</v>
      </c>
      <c r="M787" s="44"/>
      <c r="N787" s="44"/>
      <c r="O787" s="44"/>
      <c r="P787" s="44"/>
      <c r="Q787" s="44"/>
      <c r="R787" s="44"/>
      <c r="S787" s="44"/>
      <c r="T787" s="45"/>
      <c r="U787" s="38" t="str">
        <f>HYPERLINK("https://www.ncbi.nlm.nih.gov/pubmed/22201916","PubMed")</f>
        <v>PubMed</v>
      </c>
      <c r="V787" s="139"/>
      <c r="W787" s="49"/>
      <c r="X787" s="49"/>
      <c r="Y787" s="35"/>
      <c r="Z787" s="35"/>
      <c r="AA787" s="35"/>
      <c r="AB787" s="35"/>
      <c r="AC787" s="35"/>
      <c r="AD787" s="35"/>
      <c r="AE787" s="35"/>
      <c r="AF787" s="35"/>
      <c r="AG787" s="35"/>
      <c r="AH787" s="35"/>
      <c r="AI787" s="35"/>
      <c r="AJ787" s="35"/>
      <c r="AK787" s="35"/>
      <c r="AL787" s="35"/>
    </row>
    <row r="788" ht="38.25" customHeight="1">
      <c r="A788" s="1"/>
      <c r="B788" s="157" t="s">
        <v>2073</v>
      </c>
      <c r="C788" s="158" t="s">
        <v>3935</v>
      </c>
      <c r="D788" s="159"/>
      <c r="E788" s="22" t="s">
        <v>4168</v>
      </c>
      <c r="F788" s="22" t="s">
        <v>4134</v>
      </c>
      <c r="G788" s="23">
        <v>2012.0</v>
      </c>
      <c r="H788" s="22" t="s">
        <v>4169</v>
      </c>
      <c r="I788" s="24" t="s">
        <v>4170</v>
      </c>
      <c r="J788" s="23" t="s">
        <v>44</v>
      </c>
      <c r="K788" s="23" t="s">
        <v>4171</v>
      </c>
      <c r="L788" s="36">
        <v>670.0</v>
      </c>
      <c r="M788" s="36"/>
      <c r="N788" s="36"/>
      <c r="O788" s="36"/>
      <c r="P788" s="37" t="s">
        <v>4163</v>
      </c>
      <c r="Q788" s="36"/>
      <c r="R788" s="36">
        <v>90.0</v>
      </c>
      <c r="S788" s="36"/>
      <c r="T788" s="28" t="s">
        <v>4172</v>
      </c>
      <c r="U788" s="38" t="str">
        <f>HYPERLINK("https://www.ncbi.nlm.nih.gov/pubmed/22701184","PubMed")</f>
        <v>PubMed</v>
      </c>
      <c r="V788" s="139"/>
      <c r="W788" s="49"/>
      <c r="X788" s="49"/>
      <c r="Y788" s="35"/>
      <c r="Z788" s="35"/>
      <c r="AA788" s="35"/>
      <c r="AB788" s="35"/>
      <c r="AC788" s="35"/>
      <c r="AD788" s="35"/>
      <c r="AE788" s="35"/>
      <c r="AF788" s="35"/>
      <c r="AG788" s="35"/>
      <c r="AH788" s="35"/>
      <c r="AI788" s="35"/>
      <c r="AJ788" s="35"/>
      <c r="AK788" s="35"/>
      <c r="AL788" s="35"/>
    </row>
    <row r="789" ht="38.25" customHeight="1">
      <c r="A789" s="1"/>
      <c r="B789" s="157" t="s">
        <v>2073</v>
      </c>
      <c r="C789" s="158" t="s">
        <v>3935</v>
      </c>
      <c r="D789" s="159"/>
      <c r="E789" s="22" t="s">
        <v>4168</v>
      </c>
      <c r="F789" s="22" t="s">
        <v>4134</v>
      </c>
      <c r="G789" s="23">
        <v>2012.0</v>
      </c>
      <c r="H789" s="22" t="s">
        <v>4173</v>
      </c>
      <c r="I789" s="24" t="s">
        <v>4174</v>
      </c>
      <c r="J789" s="23" t="s">
        <v>44</v>
      </c>
      <c r="K789" s="23" t="s">
        <v>4121</v>
      </c>
      <c r="L789" s="36">
        <v>670.0</v>
      </c>
      <c r="M789" s="36"/>
      <c r="N789" s="36" t="s">
        <v>4175</v>
      </c>
      <c r="O789" s="36"/>
      <c r="P789" s="37" t="s">
        <v>4163</v>
      </c>
      <c r="Q789" s="36"/>
      <c r="R789" s="36">
        <v>90.0</v>
      </c>
      <c r="S789" s="36">
        <v>10.0</v>
      </c>
      <c r="T789" s="28" t="s">
        <v>4176</v>
      </c>
      <c r="U789" s="38" t="str">
        <f>HYPERLINK("https://www.ncbi.nlm.nih.gov/pubmed/22285756","PubMed")</f>
        <v>PubMed</v>
      </c>
      <c r="V789" s="139"/>
      <c r="W789" s="49"/>
      <c r="X789" s="49"/>
      <c r="Y789" s="35"/>
      <c r="Z789" s="35"/>
      <c r="AA789" s="35"/>
      <c r="AB789" s="35"/>
      <c r="AC789" s="35"/>
      <c r="AD789" s="35"/>
      <c r="AE789" s="35"/>
      <c r="AF789" s="35"/>
      <c r="AG789" s="35"/>
      <c r="AH789" s="35"/>
      <c r="AI789" s="35"/>
      <c r="AJ789" s="35"/>
      <c r="AK789" s="35"/>
      <c r="AL789" s="35"/>
    </row>
    <row r="790" ht="38.25" customHeight="1">
      <c r="A790" s="40" t="s">
        <v>2</v>
      </c>
      <c r="B790" s="157" t="s">
        <v>2073</v>
      </c>
      <c r="C790" s="158" t="s">
        <v>3935</v>
      </c>
      <c r="D790" s="159"/>
      <c r="E790" s="22" t="s">
        <v>4159</v>
      </c>
      <c r="F790" s="22" t="s">
        <v>4134</v>
      </c>
      <c r="G790" s="23">
        <v>2010.0</v>
      </c>
      <c r="H790" s="22" t="s">
        <v>4177</v>
      </c>
      <c r="I790" s="24" t="s">
        <v>4178</v>
      </c>
      <c r="J790" s="23" t="s">
        <v>44</v>
      </c>
      <c r="K790" s="23" t="s">
        <v>157</v>
      </c>
      <c r="L790" s="36">
        <v>670.0</v>
      </c>
      <c r="M790" s="106"/>
      <c r="N790" s="36" t="s">
        <v>4175</v>
      </c>
      <c r="O790" s="36"/>
      <c r="P790" s="37" t="s">
        <v>4163</v>
      </c>
      <c r="Q790" s="36"/>
      <c r="R790" s="36">
        <v>90.0</v>
      </c>
      <c r="S790" s="36">
        <v>4.0</v>
      </c>
      <c r="T790" s="28" t="s">
        <v>4179</v>
      </c>
      <c r="U790" s="38" t="str">
        <f>HYPERLINK("https://www.ncbi.nlm.nih.gov/pubmed/19882716","PubMed")</f>
        <v>PubMed</v>
      </c>
      <c r="V790" s="139"/>
      <c r="W790" s="49"/>
      <c r="X790" s="49"/>
      <c r="Y790" s="35"/>
      <c r="Z790" s="35"/>
      <c r="AA790" s="35"/>
      <c r="AB790" s="35"/>
      <c r="AC790" s="35"/>
      <c r="AD790" s="35"/>
      <c r="AE790" s="35"/>
      <c r="AF790" s="35"/>
      <c r="AG790" s="35"/>
      <c r="AH790" s="35"/>
      <c r="AI790" s="35"/>
      <c r="AJ790" s="35"/>
      <c r="AK790" s="35"/>
      <c r="AL790" s="35"/>
    </row>
    <row r="791" ht="28.5" customHeight="1">
      <c r="A791" s="1"/>
      <c r="B791" s="157" t="s">
        <v>2073</v>
      </c>
      <c r="C791" s="158" t="s">
        <v>3935</v>
      </c>
      <c r="D791" s="159"/>
      <c r="E791" s="22" t="s">
        <v>4180</v>
      </c>
      <c r="F791" s="22" t="s">
        <v>4181</v>
      </c>
      <c r="G791" s="23">
        <v>2009.0</v>
      </c>
      <c r="H791" s="22" t="s">
        <v>4182</v>
      </c>
      <c r="I791" s="24" t="s">
        <v>4183</v>
      </c>
      <c r="J791" s="23" t="s">
        <v>4184</v>
      </c>
      <c r="K791" s="23"/>
      <c r="L791" s="36">
        <v>810.0</v>
      </c>
      <c r="M791" s="36"/>
      <c r="N791" s="36" t="s">
        <v>1729</v>
      </c>
      <c r="O791" s="36"/>
      <c r="P791" s="37"/>
      <c r="Q791" s="36"/>
      <c r="R791" s="36">
        <v>40.0</v>
      </c>
      <c r="S791" s="36">
        <v>1.0</v>
      </c>
      <c r="T791" s="28" t="s">
        <v>4185</v>
      </c>
      <c r="U791" s="38" t="str">
        <f>HYPERLINK("https://www.ncbi.nlm.nih.gov/pubmed/19534794","PubMed")</f>
        <v>PubMed</v>
      </c>
      <c r="V791" s="139"/>
      <c r="W791" s="49"/>
      <c r="X791" s="49"/>
      <c r="Y791" s="35"/>
      <c r="Z791" s="35"/>
      <c r="AA791" s="35"/>
      <c r="AB791" s="35"/>
      <c r="AC791" s="35"/>
      <c r="AD791" s="35"/>
      <c r="AE791" s="35"/>
      <c r="AF791" s="35"/>
      <c r="AG791" s="35"/>
      <c r="AH791" s="35"/>
      <c r="AI791" s="35"/>
      <c r="AJ791" s="35"/>
      <c r="AK791" s="35"/>
      <c r="AL791" s="35"/>
    </row>
    <row r="792" ht="28.5" customHeight="1">
      <c r="A792" s="1"/>
      <c r="B792" s="157" t="s">
        <v>2073</v>
      </c>
      <c r="C792" s="158" t="s">
        <v>3935</v>
      </c>
      <c r="D792" s="159"/>
      <c r="E792" s="22" t="s">
        <v>4186</v>
      </c>
      <c r="F792" s="22" t="s">
        <v>2956</v>
      </c>
      <c r="G792" s="23">
        <v>2008.0</v>
      </c>
      <c r="H792" s="22" t="s">
        <v>3106</v>
      </c>
      <c r="I792" s="24" t="s">
        <v>4187</v>
      </c>
      <c r="J792" s="23" t="s">
        <v>4188</v>
      </c>
      <c r="K792" s="23" t="s">
        <v>4189</v>
      </c>
      <c r="L792" s="36">
        <v>670.0</v>
      </c>
      <c r="M792" s="36"/>
      <c r="N792" s="36" t="s">
        <v>1729</v>
      </c>
      <c r="O792" s="36"/>
      <c r="P792" s="37" t="s">
        <v>254</v>
      </c>
      <c r="Q792" s="36"/>
      <c r="R792" s="36">
        <v>80.0</v>
      </c>
      <c r="S792" s="36" t="s">
        <v>4190</v>
      </c>
      <c r="T792" s="28" t="s">
        <v>4191</v>
      </c>
      <c r="U792" s="38" t="str">
        <f>HYPERLINK("https://www.ncbi.nlm.nih.gov/pubmed/18848925","PubMed")</f>
        <v>PubMed</v>
      </c>
      <c r="V792" s="139"/>
      <c r="W792" s="49"/>
      <c r="X792" s="49"/>
      <c r="Y792" s="35"/>
      <c r="Z792" s="35"/>
      <c r="AA792" s="35"/>
      <c r="AB792" s="35"/>
      <c r="AC792" s="35"/>
      <c r="AD792" s="35"/>
      <c r="AE792" s="35"/>
      <c r="AF792" s="35"/>
      <c r="AG792" s="35"/>
      <c r="AH792" s="35"/>
      <c r="AI792" s="35"/>
      <c r="AJ792" s="35"/>
      <c r="AK792" s="35"/>
      <c r="AL792" s="35"/>
    </row>
    <row r="793" ht="28.5" customHeight="1">
      <c r="A793" s="1"/>
      <c r="B793" s="157" t="s">
        <v>2073</v>
      </c>
      <c r="C793" s="158" t="s">
        <v>3935</v>
      </c>
      <c r="D793" s="159"/>
      <c r="E793" s="22" t="s">
        <v>2593</v>
      </c>
      <c r="F793" s="22" t="s">
        <v>2956</v>
      </c>
      <c r="G793" s="23">
        <v>2008.0</v>
      </c>
      <c r="H793" s="22" t="s">
        <v>2612</v>
      </c>
      <c r="I793" s="24" t="s">
        <v>4192</v>
      </c>
      <c r="J793" s="23" t="s">
        <v>31</v>
      </c>
      <c r="K793" s="23" t="s">
        <v>4076</v>
      </c>
      <c r="L793" s="36">
        <v>670.0</v>
      </c>
      <c r="M793" s="36"/>
      <c r="N793" s="36" t="s">
        <v>1729</v>
      </c>
      <c r="O793" s="36"/>
      <c r="P793" s="37" t="s">
        <v>254</v>
      </c>
      <c r="Q793" s="36"/>
      <c r="R793" s="36">
        <v>80.0</v>
      </c>
      <c r="S793" s="36" t="s">
        <v>4193</v>
      </c>
      <c r="T793" s="28" t="s">
        <v>4194</v>
      </c>
      <c r="U793" s="38" t="str">
        <f>HYPERLINK("https://www.ncbi.nlm.nih.gov/pubmed/18440709","PubMed")</f>
        <v>PubMed</v>
      </c>
      <c r="V793" s="139"/>
      <c r="W793" s="49"/>
      <c r="X793" s="49"/>
      <c r="Y793" s="35"/>
      <c r="Z793" s="35"/>
      <c r="AA793" s="35"/>
      <c r="AB793" s="35"/>
      <c r="AC793" s="35"/>
      <c r="AD793" s="35"/>
      <c r="AE793" s="35"/>
      <c r="AF793" s="35"/>
      <c r="AG793" s="35"/>
      <c r="AH793" s="35"/>
      <c r="AI793" s="35"/>
      <c r="AJ793" s="35"/>
      <c r="AK793" s="35"/>
      <c r="AL793" s="35"/>
    </row>
    <row r="794" ht="38.25" customHeight="1">
      <c r="A794" s="1"/>
      <c r="B794" s="157" t="s">
        <v>2073</v>
      </c>
      <c r="C794" s="158" t="s">
        <v>3935</v>
      </c>
      <c r="D794" s="159"/>
      <c r="E794" s="22" t="s">
        <v>4195</v>
      </c>
      <c r="F794" s="22" t="s">
        <v>2346</v>
      </c>
      <c r="G794" s="23">
        <v>2003.0</v>
      </c>
      <c r="H794" s="22" t="s">
        <v>3065</v>
      </c>
      <c r="I794" s="24" t="s">
        <v>4196</v>
      </c>
      <c r="J794" s="23" t="s">
        <v>4197</v>
      </c>
      <c r="K794" s="23"/>
      <c r="L794" s="36">
        <v>632.0</v>
      </c>
      <c r="M794" s="36">
        <v>1.0</v>
      </c>
      <c r="N794" s="36"/>
      <c r="O794" s="36"/>
      <c r="P794" s="37"/>
      <c r="Q794" s="36"/>
      <c r="R794" s="36">
        <v>1200.0</v>
      </c>
      <c r="S794" s="36" t="s">
        <v>3125</v>
      </c>
      <c r="T794" s="42" t="s">
        <v>4198</v>
      </c>
      <c r="U794" s="29" t="s">
        <v>61</v>
      </c>
      <c r="V794" s="139"/>
      <c r="W794" s="49"/>
      <c r="X794" s="49"/>
      <c r="Y794" s="35"/>
      <c r="Z794" s="35"/>
      <c r="AA794" s="35"/>
      <c r="AB794" s="35"/>
      <c r="AC794" s="35"/>
      <c r="AD794" s="35"/>
      <c r="AE794" s="35"/>
      <c r="AF794" s="35"/>
      <c r="AG794" s="35"/>
      <c r="AH794" s="35"/>
      <c r="AI794" s="35"/>
      <c r="AJ794" s="35"/>
      <c r="AK794" s="35"/>
      <c r="AL794" s="35"/>
    </row>
    <row r="795" ht="38.25" customHeight="1">
      <c r="A795" s="1"/>
      <c r="B795" s="157" t="s">
        <v>2073</v>
      </c>
      <c r="C795" s="158" t="s">
        <v>4199</v>
      </c>
      <c r="D795" s="159"/>
      <c r="E795" s="22" t="s">
        <v>714</v>
      </c>
      <c r="F795" s="22" t="s">
        <v>2250</v>
      </c>
      <c r="G795" s="23">
        <v>2024.0</v>
      </c>
      <c r="H795" s="22" t="s">
        <v>4200</v>
      </c>
      <c r="I795" s="24" t="s">
        <v>4201</v>
      </c>
      <c r="J795" s="22" t="s">
        <v>649</v>
      </c>
      <c r="K795" s="23" t="s">
        <v>4202</v>
      </c>
      <c r="L795" s="173" t="s">
        <v>4203</v>
      </c>
      <c r="U795" s="38" t="s">
        <v>61</v>
      </c>
      <c r="V795" s="139"/>
      <c r="W795" s="49"/>
      <c r="X795" s="49"/>
      <c r="Y795" s="35"/>
      <c r="Z795" s="35"/>
      <c r="AA795" s="35"/>
      <c r="AB795" s="35"/>
      <c r="AC795" s="35"/>
      <c r="AD795" s="35"/>
      <c r="AE795" s="35"/>
      <c r="AF795" s="35"/>
      <c r="AG795" s="35"/>
      <c r="AH795" s="35"/>
      <c r="AI795" s="35"/>
      <c r="AJ795" s="35"/>
      <c r="AK795" s="35"/>
      <c r="AL795" s="35"/>
    </row>
    <row r="796" ht="28.5" customHeight="1">
      <c r="A796" s="1"/>
      <c r="B796" s="157" t="s">
        <v>2073</v>
      </c>
      <c r="C796" s="158" t="s">
        <v>4204</v>
      </c>
      <c r="D796" s="159"/>
      <c r="E796" s="22" t="s">
        <v>2316</v>
      </c>
      <c r="F796" s="22" t="s">
        <v>65</v>
      </c>
      <c r="G796" s="23">
        <v>2021.0</v>
      </c>
      <c r="H796" s="22" t="s">
        <v>2612</v>
      </c>
      <c r="I796" s="24" t="s">
        <v>4205</v>
      </c>
      <c r="J796" s="23" t="s">
        <v>44</v>
      </c>
      <c r="K796" s="23"/>
      <c r="L796" s="52">
        <v>810.0</v>
      </c>
      <c r="M796" s="52"/>
      <c r="N796" s="52" t="s">
        <v>3587</v>
      </c>
      <c r="O796" s="52"/>
      <c r="P796" s="189"/>
      <c r="Q796" s="52" t="s">
        <v>4206</v>
      </c>
      <c r="R796" s="52"/>
      <c r="S796" s="52"/>
      <c r="T796" s="28" t="s">
        <v>4207</v>
      </c>
      <c r="U796" s="29" t="s">
        <v>61</v>
      </c>
      <c r="V796" s="139"/>
      <c r="W796" s="49"/>
      <c r="X796" s="49"/>
      <c r="Y796" s="35"/>
      <c r="Z796" s="35"/>
      <c r="AA796" s="35"/>
      <c r="AB796" s="35"/>
      <c r="AC796" s="35"/>
      <c r="AD796" s="35"/>
      <c r="AE796" s="35"/>
      <c r="AF796" s="35"/>
      <c r="AG796" s="35"/>
      <c r="AH796" s="35"/>
      <c r="AI796" s="35"/>
      <c r="AJ796" s="35"/>
      <c r="AK796" s="35"/>
      <c r="AL796" s="35"/>
    </row>
    <row r="797" ht="28.5" customHeight="1">
      <c r="A797" s="1"/>
      <c r="B797" s="157" t="s">
        <v>2073</v>
      </c>
      <c r="C797" s="158" t="s">
        <v>4208</v>
      </c>
      <c r="D797" s="159"/>
      <c r="E797" s="22" t="s">
        <v>2316</v>
      </c>
      <c r="F797" s="22" t="s">
        <v>4209</v>
      </c>
      <c r="G797" s="23">
        <v>2024.0</v>
      </c>
      <c r="H797" s="22" t="s">
        <v>3028</v>
      </c>
      <c r="I797" s="24" t="s">
        <v>4210</v>
      </c>
      <c r="J797" s="23" t="s">
        <v>44</v>
      </c>
      <c r="K797" s="23"/>
      <c r="L797" s="52"/>
      <c r="M797" s="52"/>
      <c r="N797" s="52"/>
      <c r="O797" s="52"/>
      <c r="P797" s="189"/>
      <c r="Q797" s="52"/>
      <c r="R797" s="52"/>
      <c r="S797" s="52"/>
      <c r="T797" s="28" t="s">
        <v>4211</v>
      </c>
      <c r="U797" s="38" t="s">
        <v>61</v>
      </c>
      <c r="V797" s="136" t="s">
        <v>174</v>
      </c>
      <c r="W797" s="49"/>
      <c r="X797" s="49"/>
      <c r="Y797" s="35"/>
      <c r="Z797" s="35"/>
      <c r="AA797" s="35"/>
      <c r="AB797" s="35"/>
      <c r="AC797" s="35"/>
      <c r="AD797" s="35"/>
      <c r="AE797" s="35"/>
      <c r="AF797" s="35"/>
      <c r="AG797" s="35"/>
      <c r="AH797" s="35"/>
      <c r="AI797" s="35"/>
      <c r="AJ797" s="35"/>
      <c r="AK797" s="35"/>
      <c r="AL797" s="35"/>
    </row>
    <row r="798" ht="28.5" customHeight="1">
      <c r="A798" s="1"/>
      <c r="B798" s="157" t="s">
        <v>2073</v>
      </c>
      <c r="C798" s="158" t="s">
        <v>4208</v>
      </c>
      <c r="D798" s="159"/>
      <c r="E798" s="22" t="s">
        <v>4212</v>
      </c>
      <c r="F798" s="22" t="s">
        <v>65</v>
      </c>
      <c r="G798" s="23">
        <v>2023.0</v>
      </c>
      <c r="H798" s="22" t="s">
        <v>2122</v>
      </c>
      <c r="I798" s="24" t="s">
        <v>4213</v>
      </c>
      <c r="J798" s="23" t="s">
        <v>44</v>
      </c>
      <c r="K798" s="23"/>
      <c r="L798" s="52">
        <v>810.0</v>
      </c>
      <c r="M798" s="52"/>
      <c r="N798" s="52" t="s">
        <v>80</v>
      </c>
      <c r="O798" s="52"/>
      <c r="P798" s="189" t="s">
        <v>2886</v>
      </c>
      <c r="Q798" s="52"/>
      <c r="R798" s="52"/>
      <c r="S798" s="52" t="s">
        <v>4214</v>
      </c>
      <c r="T798" s="28" t="s">
        <v>4215</v>
      </c>
      <c r="U798" s="38" t="s">
        <v>61</v>
      </c>
      <c r="V798" s="139"/>
      <c r="W798" s="49"/>
      <c r="X798" s="49"/>
      <c r="Y798" s="35"/>
      <c r="Z798" s="35"/>
      <c r="AA798" s="35"/>
      <c r="AB798" s="35"/>
      <c r="AC798" s="35"/>
      <c r="AD798" s="35"/>
      <c r="AE798" s="35"/>
      <c r="AF798" s="35"/>
      <c r="AG798" s="35"/>
      <c r="AH798" s="35"/>
      <c r="AI798" s="35"/>
      <c r="AJ798" s="35"/>
      <c r="AK798" s="35"/>
      <c r="AL798" s="35"/>
    </row>
    <row r="799" ht="28.5" customHeight="1">
      <c r="A799" s="1"/>
      <c r="B799" s="157" t="s">
        <v>2073</v>
      </c>
      <c r="C799" s="158" t="s">
        <v>4216</v>
      </c>
      <c r="D799" s="159"/>
      <c r="E799" s="22" t="s">
        <v>3980</v>
      </c>
      <c r="F799" s="22" t="s">
        <v>1862</v>
      </c>
      <c r="G799" s="23">
        <v>2016.0</v>
      </c>
      <c r="H799" s="22" t="s">
        <v>4217</v>
      </c>
      <c r="I799" s="24" t="s">
        <v>4218</v>
      </c>
      <c r="J799" s="22" t="s">
        <v>125</v>
      </c>
      <c r="K799" s="23" t="s">
        <v>4219</v>
      </c>
      <c r="L799" s="173" t="s">
        <v>4220</v>
      </c>
      <c r="U799" s="38" t="str">
        <f>HYPERLINK("https://www.ncbi.nlm.nih.gov/pubmed/26848276","PubMed")</f>
        <v>PubMed</v>
      </c>
      <c r="V799" s="139"/>
      <c r="W799" s="49"/>
      <c r="X799" s="49"/>
      <c r="Y799" s="35"/>
      <c r="Z799" s="35"/>
      <c r="AA799" s="35"/>
      <c r="AB799" s="35"/>
      <c r="AC799" s="35"/>
      <c r="AD799" s="35"/>
      <c r="AE799" s="35"/>
      <c r="AF799" s="35"/>
      <c r="AG799" s="35"/>
      <c r="AH799" s="35"/>
      <c r="AI799" s="35"/>
      <c r="AJ799" s="35"/>
      <c r="AK799" s="35"/>
      <c r="AL799" s="35"/>
    </row>
    <row r="800" ht="28.5" customHeight="1">
      <c r="A800" s="1"/>
      <c r="B800" s="157" t="s">
        <v>2073</v>
      </c>
      <c r="C800" s="158" t="s">
        <v>4221</v>
      </c>
      <c r="D800" s="159"/>
      <c r="E800" s="22" t="s">
        <v>4222</v>
      </c>
      <c r="F800" s="22" t="s">
        <v>4223</v>
      </c>
      <c r="G800" s="23">
        <v>1995.0</v>
      </c>
      <c r="H800" s="22" t="s">
        <v>1253</v>
      </c>
      <c r="I800" s="24" t="s">
        <v>4224</v>
      </c>
      <c r="J800" s="23" t="s">
        <v>55</v>
      </c>
      <c r="K800" s="23"/>
      <c r="L800" s="52">
        <v>633.0</v>
      </c>
      <c r="M800" s="52">
        <v>5.0</v>
      </c>
      <c r="N800" s="52"/>
      <c r="O800" s="52"/>
      <c r="P800" s="189"/>
      <c r="Q800" s="52"/>
      <c r="R800" s="52">
        <v>300.0</v>
      </c>
      <c r="S800" s="52"/>
      <c r="T800" s="42" t="s">
        <v>4225</v>
      </c>
      <c r="U800" s="38" t="str">
        <f>HYPERLINK("https://www.ncbi.nlm.nih.gov/pubmed/7541265","PubMed")</f>
        <v>PubMed</v>
      </c>
      <c r="V800" s="139"/>
      <c r="W800" s="49"/>
      <c r="X800" s="49"/>
      <c r="Y800" s="35"/>
      <c r="Z800" s="35"/>
      <c r="AA800" s="35"/>
      <c r="AB800" s="35"/>
      <c r="AC800" s="35"/>
      <c r="AD800" s="35"/>
      <c r="AE800" s="35"/>
      <c r="AF800" s="35"/>
      <c r="AG800" s="35"/>
      <c r="AH800" s="35"/>
      <c r="AI800" s="35"/>
      <c r="AJ800" s="35"/>
      <c r="AK800" s="35"/>
      <c r="AL800" s="35"/>
    </row>
    <row r="801" ht="28.5" customHeight="1">
      <c r="A801" s="1"/>
      <c r="B801" s="157" t="s">
        <v>2073</v>
      </c>
      <c r="C801" s="158" t="s">
        <v>4221</v>
      </c>
      <c r="D801" s="159"/>
      <c r="E801" s="22" t="s">
        <v>4226</v>
      </c>
      <c r="F801" s="22" t="s">
        <v>4223</v>
      </c>
      <c r="G801" s="23">
        <v>1990.0</v>
      </c>
      <c r="H801" s="22" t="s">
        <v>4227</v>
      </c>
      <c r="I801" s="24" t="s">
        <v>4228</v>
      </c>
      <c r="J801" s="23" t="s">
        <v>55</v>
      </c>
      <c r="K801" s="23"/>
      <c r="L801" s="52"/>
      <c r="M801" s="52"/>
      <c r="N801" s="52"/>
      <c r="O801" s="52"/>
      <c r="P801" s="189"/>
      <c r="Q801" s="52"/>
      <c r="R801" s="52"/>
      <c r="S801" s="52"/>
      <c r="T801" s="42" t="s">
        <v>4229</v>
      </c>
      <c r="U801" s="38" t="str">
        <f>HYPERLINK("https://www.ncbi.nlm.nih.gov/pubmed/2230097","PubMed")</f>
        <v>PubMed</v>
      </c>
      <c r="V801" s="139"/>
      <c r="W801" s="49"/>
      <c r="X801" s="49"/>
      <c r="Y801" s="35"/>
      <c r="Z801" s="35"/>
      <c r="AA801" s="35"/>
      <c r="AB801" s="35"/>
      <c r="AC801" s="35"/>
      <c r="AD801" s="35"/>
      <c r="AE801" s="35"/>
      <c r="AF801" s="35"/>
      <c r="AG801" s="35"/>
      <c r="AH801" s="35"/>
      <c r="AI801" s="35"/>
      <c r="AJ801" s="35"/>
      <c r="AK801" s="35"/>
      <c r="AL801" s="35"/>
    </row>
    <row r="802" ht="35.25" customHeight="1">
      <c r="A802" s="1"/>
      <c r="B802" s="19" t="s">
        <v>2073</v>
      </c>
      <c r="C802" s="20" t="s">
        <v>4230</v>
      </c>
      <c r="D802" s="47"/>
      <c r="E802" s="22" t="s">
        <v>3187</v>
      </c>
      <c r="F802" s="23" t="s">
        <v>3188</v>
      </c>
      <c r="G802" s="23">
        <v>2020.0</v>
      </c>
      <c r="H802" s="22" t="s">
        <v>4231</v>
      </c>
      <c r="I802" s="24" t="s">
        <v>4232</v>
      </c>
      <c r="J802" s="22" t="s">
        <v>649</v>
      </c>
      <c r="K802" s="22"/>
      <c r="L802" s="132" t="s">
        <v>4233</v>
      </c>
      <c r="U802" s="29" t="s">
        <v>61</v>
      </c>
      <c r="V802" s="30"/>
      <c r="W802" s="49"/>
      <c r="X802" s="49"/>
      <c r="Y802" s="35"/>
      <c r="Z802" s="35"/>
      <c r="AA802" s="35"/>
      <c r="AB802" s="35"/>
      <c r="AC802" s="35"/>
      <c r="AD802" s="35"/>
      <c r="AE802" s="35"/>
      <c r="AF802" s="35"/>
      <c r="AG802" s="35"/>
      <c r="AH802" s="35"/>
      <c r="AI802" s="35"/>
      <c r="AJ802" s="35"/>
      <c r="AK802" s="35"/>
      <c r="AL802" s="35"/>
    </row>
    <row r="803" ht="35.25" customHeight="1">
      <c r="A803" s="1"/>
      <c r="B803" s="19" t="s">
        <v>2073</v>
      </c>
      <c r="C803" s="20" t="s">
        <v>4234</v>
      </c>
      <c r="D803" s="47"/>
      <c r="E803" s="22" t="s">
        <v>3159</v>
      </c>
      <c r="F803" s="23" t="s">
        <v>224</v>
      </c>
      <c r="G803" s="23">
        <v>2023.0</v>
      </c>
      <c r="H803" s="22" t="s">
        <v>3318</v>
      </c>
      <c r="I803" s="24" t="s">
        <v>4235</v>
      </c>
      <c r="J803" s="22" t="s">
        <v>55</v>
      </c>
      <c r="K803" s="22" t="s">
        <v>4236</v>
      </c>
      <c r="L803" s="52">
        <v>810.0</v>
      </c>
      <c r="M803" s="52">
        <v>2000.0</v>
      </c>
      <c r="N803" s="52" t="s">
        <v>1018</v>
      </c>
      <c r="O803" s="52" t="s">
        <v>58</v>
      </c>
      <c r="P803" s="189" t="s">
        <v>58</v>
      </c>
      <c r="Q803" s="52" t="s">
        <v>4237</v>
      </c>
      <c r="R803" s="52">
        <v>1800.0</v>
      </c>
      <c r="S803" s="52">
        <v>1.0</v>
      </c>
      <c r="T803" s="28" t="s">
        <v>4238</v>
      </c>
      <c r="U803" s="38" t="s">
        <v>61</v>
      </c>
      <c r="V803" s="30"/>
      <c r="W803" s="49"/>
      <c r="X803" s="49"/>
      <c r="Y803" s="35"/>
      <c r="Z803" s="35"/>
      <c r="AA803" s="35"/>
      <c r="AB803" s="35"/>
      <c r="AC803" s="35"/>
      <c r="AD803" s="35"/>
      <c r="AE803" s="35"/>
      <c r="AF803" s="35"/>
      <c r="AG803" s="35"/>
      <c r="AH803" s="35"/>
      <c r="AI803" s="35"/>
      <c r="AJ803" s="35"/>
      <c r="AK803" s="35"/>
      <c r="AL803" s="35"/>
    </row>
    <row r="804" ht="35.25" customHeight="1">
      <c r="A804" s="1"/>
      <c r="B804" s="19" t="s">
        <v>2073</v>
      </c>
      <c r="C804" s="20" t="s">
        <v>4234</v>
      </c>
      <c r="D804" s="47"/>
      <c r="E804" s="22" t="s">
        <v>467</v>
      </c>
      <c r="F804" s="23" t="s">
        <v>4239</v>
      </c>
      <c r="G804" s="23">
        <v>2021.0</v>
      </c>
      <c r="H804" s="22" t="s">
        <v>4240</v>
      </c>
      <c r="I804" s="24" t="s">
        <v>4241</v>
      </c>
      <c r="J804" s="22" t="s">
        <v>55</v>
      </c>
      <c r="K804" s="22"/>
      <c r="L804" s="208">
        <v>808.0</v>
      </c>
      <c r="M804" s="209">
        <v>240.0</v>
      </c>
      <c r="N804" s="209"/>
      <c r="O804" s="209"/>
      <c r="P804" s="209"/>
      <c r="Q804" s="208"/>
      <c r="R804" s="209"/>
      <c r="S804" s="209"/>
      <c r="T804" s="41" t="s">
        <v>4242</v>
      </c>
      <c r="U804" s="29" t="s">
        <v>61</v>
      </c>
      <c r="V804" s="30"/>
      <c r="W804" s="49"/>
      <c r="X804" s="49"/>
      <c r="Y804" s="35"/>
      <c r="Z804" s="35"/>
      <c r="AA804" s="35"/>
      <c r="AB804" s="35"/>
      <c r="AC804" s="35"/>
      <c r="AD804" s="35"/>
      <c r="AE804" s="35"/>
      <c r="AF804" s="35"/>
      <c r="AG804" s="35"/>
      <c r="AH804" s="35"/>
      <c r="AI804" s="35"/>
      <c r="AJ804" s="35"/>
      <c r="AK804" s="35"/>
      <c r="AL804" s="35"/>
    </row>
    <row r="805" ht="35.25" customHeight="1">
      <c r="A805" s="1"/>
      <c r="B805" s="19" t="s">
        <v>2073</v>
      </c>
      <c r="C805" s="20" t="s">
        <v>4234</v>
      </c>
      <c r="D805" s="47"/>
      <c r="E805" s="22" t="s">
        <v>1689</v>
      </c>
      <c r="F805" s="23" t="s">
        <v>3344</v>
      </c>
      <c r="G805" s="23">
        <v>2021.0</v>
      </c>
      <c r="H805" s="22" t="s">
        <v>4243</v>
      </c>
      <c r="I805" s="24" t="s">
        <v>4244</v>
      </c>
      <c r="J805" s="22" t="s">
        <v>55</v>
      </c>
      <c r="K805" s="22"/>
      <c r="L805" s="208">
        <v>808.0</v>
      </c>
      <c r="M805" s="209"/>
      <c r="N805" s="209" t="s">
        <v>4245</v>
      </c>
      <c r="O805" s="209"/>
      <c r="P805" s="209"/>
      <c r="Q805" s="208" t="s">
        <v>4246</v>
      </c>
      <c r="R805" s="209"/>
      <c r="S805" s="209"/>
      <c r="T805" s="28" t="s">
        <v>4247</v>
      </c>
      <c r="U805" s="29" t="s">
        <v>61</v>
      </c>
      <c r="V805" s="30"/>
      <c r="W805" s="49"/>
      <c r="X805" s="49"/>
      <c r="Y805" s="35"/>
      <c r="Z805" s="35"/>
      <c r="AA805" s="35"/>
      <c r="AB805" s="35"/>
      <c r="AC805" s="35"/>
      <c r="AD805" s="35"/>
      <c r="AE805" s="35"/>
      <c r="AF805" s="35"/>
      <c r="AG805" s="35"/>
      <c r="AH805" s="35"/>
      <c r="AI805" s="35"/>
      <c r="AJ805" s="35"/>
      <c r="AK805" s="35"/>
      <c r="AL805" s="35"/>
    </row>
    <row r="806" ht="35.25" customHeight="1">
      <c r="A806" s="1"/>
      <c r="B806" s="19" t="s">
        <v>2073</v>
      </c>
      <c r="C806" s="20" t="s">
        <v>4234</v>
      </c>
      <c r="D806" s="47"/>
      <c r="E806" s="22" t="s">
        <v>1689</v>
      </c>
      <c r="F806" s="23" t="s">
        <v>3344</v>
      </c>
      <c r="G806" s="23">
        <v>2021.0</v>
      </c>
      <c r="H806" s="22" t="s">
        <v>3318</v>
      </c>
      <c r="I806" s="24" t="s">
        <v>4248</v>
      </c>
      <c r="J806" s="22" t="s">
        <v>55</v>
      </c>
      <c r="K806" s="22"/>
      <c r="L806" s="208">
        <v>808.0</v>
      </c>
      <c r="M806" s="209"/>
      <c r="N806" s="209" t="s">
        <v>1018</v>
      </c>
      <c r="O806" s="208" t="s">
        <v>4249</v>
      </c>
      <c r="P806" s="209"/>
      <c r="Q806" s="208"/>
      <c r="R806" s="209"/>
      <c r="S806" s="209"/>
      <c r="T806" s="28" t="s">
        <v>4250</v>
      </c>
      <c r="U806" s="29" t="s">
        <v>61</v>
      </c>
      <c r="V806" s="30"/>
      <c r="W806" s="49"/>
      <c r="X806" s="49"/>
      <c r="Y806" s="35"/>
      <c r="Z806" s="35"/>
      <c r="AA806" s="35"/>
      <c r="AB806" s="35"/>
      <c r="AC806" s="35"/>
      <c r="AD806" s="35"/>
      <c r="AE806" s="35"/>
      <c r="AF806" s="35"/>
      <c r="AG806" s="35"/>
      <c r="AH806" s="35"/>
      <c r="AI806" s="35"/>
      <c r="AJ806" s="35"/>
      <c r="AK806" s="35"/>
      <c r="AL806" s="35"/>
    </row>
    <row r="807" ht="35.25" customHeight="1">
      <c r="A807" s="1"/>
      <c r="B807" s="19" t="s">
        <v>2073</v>
      </c>
      <c r="C807" s="20" t="s">
        <v>4251</v>
      </c>
      <c r="D807" s="47"/>
      <c r="E807" s="22" t="s">
        <v>4252</v>
      </c>
      <c r="F807" s="23" t="s">
        <v>4253</v>
      </c>
      <c r="G807" s="23">
        <v>2024.0</v>
      </c>
      <c r="H807" s="22" t="s">
        <v>77</v>
      </c>
      <c r="I807" s="24" t="s">
        <v>4254</v>
      </c>
      <c r="J807" s="22" t="s">
        <v>4255</v>
      </c>
      <c r="K807" s="22" t="s">
        <v>4256</v>
      </c>
      <c r="L807" s="208"/>
      <c r="M807" s="209"/>
      <c r="N807" s="209"/>
      <c r="O807" s="208"/>
      <c r="P807" s="209"/>
      <c r="Q807" s="208"/>
      <c r="R807" s="209"/>
      <c r="S807" s="209"/>
      <c r="T807" s="28" t="s">
        <v>4257</v>
      </c>
      <c r="U807" s="38" t="s">
        <v>61</v>
      </c>
      <c r="V807" s="30"/>
      <c r="W807" s="49"/>
      <c r="X807" s="49"/>
      <c r="Y807" s="35"/>
      <c r="Z807" s="35"/>
      <c r="AA807" s="35"/>
      <c r="AB807" s="35"/>
      <c r="AC807" s="35"/>
      <c r="AD807" s="35"/>
      <c r="AE807" s="35"/>
      <c r="AF807" s="35"/>
      <c r="AG807" s="35"/>
      <c r="AH807" s="35"/>
      <c r="AI807" s="35"/>
      <c r="AJ807" s="35"/>
      <c r="AK807" s="35"/>
      <c r="AL807" s="35"/>
    </row>
    <row r="808" ht="35.25" customHeight="1">
      <c r="A808" s="1"/>
      <c r="B808" s="19" t="s">
        <v>2073</v>
      </c>
      <c r="C808" s="20" t="s">
        <v>2036</v>
      </c>
      <c r="D808" s="47"/>
      <c r="E808" s="22" t="s">
        <v>4258</v>
      </c>
      <c r="F808" s="23"/>
      <c r="G808" s="23">
        <v>2024.0</v>
      </c>
      <c r="H808" s="22" t="s">
        <v>4259</v>
      </c>
      <c r="I808" s="24" t="s">
        <v>4260</v>
      </c>
      <c r="J808" s="22" t="s">
        <v>4261</v>
      </c>
      <c r="K808" s="22"/>
      <c r="L808" s="132" t="s">
        <v>4262</v>
      </c>
      <c r="U808" s="38" t="s">
        <v>61</v>
      </c>
      <c r="V808" s="30"/>
      <c r="W808" s="49"/>
      <c r="X808" s="49"/>
      <c r="Y808" s="35"/>
      <c r="Z808" s="35"/>
      <c r="AA808" s="35"/>
      <c r="AB808" s="35"/>
      <c r="AC808" s="35"/>
      <c r="AD808" s="35"/>
      <c r="AE808" s="35"/>
      <c r="AF808" s="35"/>
      <c r="AG808" s="35"/>
      <c r="AH808" s="35"/>
      <c r="AI808" s="35"/>
      <c r="AJ808" s="35"/>
      <c r="AK808" s="35"/>
      <c r="AL808" s="35"/>
    </row>
    <row r="809" ht="35.25" customHeight="1">
      <c r="A809" s="1"/>
      <c r="B809" s="19" t="s">
        <v>2073</v>
      </c>
      <c r="C809" s="20" t="s">
        <v>2036</v>
      </c>
      <c r="D809" s="47"/>
      <c r="E809" s="22" t="s">
        <v>952</v>
      </c>
      <c r="F809" s="23" t="s">
        <v>2407</v>
      </c>
      <c r="G809" s="23">
        <v>2024.0</v>
      </c>
      <c r="H809" s="22" t="s">
        <v>3950</v>
      </c>
      <c r="I809" s="24" t="s">
        <v>4263</v>
      </c>
      <c r="J809" s="22" t="s">
        <v>125</v>
      </c>
      <c r="K809" s="22"/>
      <c r="L809" s="132" t="s">
        <v>4264</v>
      </c>
      <c r="U809" s="38" t="s">
        <v>61</v>
      </c>
      <c r="V809" s="30"/>
      <c r="W809" s="49"/>
      <c r="X809" s="49"/>
      <c r="Y809" s="35"/>
      <c r="Z809" s="35"/>
      <c r="AA809" s="35"/>
      <c r="AB809" s="35"/>
      <c r="AC809" s="35"/>
      <c r="AD809" s="35"/>
      <c r="AE809" s="35"/>
      <c r="AF809" s="35"/>
      <c r="AG809" s="35"/>
      <c r="AH809" s="35"/>
      <c r="AI809" s="35"/>
      <c r="AJ809" s="35"/>
      <c r="AK809" s="35"/>
      <c r="AL809" s="35"/>
    </row>
    <row r="810" ht="35.25" customHeight="1">
      <c r="A810" s="1"/>
      <c r="B810" s="19" t="s">
        <v>2073</v>
      </c>
      <c r="C810" s="20" t="s">
        <v>2036</v>
      </c>
      <c r="D810" s="47"/>
      <c r="E810" s="22" t="s">
        <v>4265</v>
      </c>
      <c r="F810" s="23" t="s">
        <v>4266</v>
      </c>
      <c r="G810" s="23">
        <v>2024.0</v>
      </c>
      <c r="H810" s="22" t="s">
        <v>2392</v>
      </c>
      <c r="I810" s="24" t="s">
        <v>4267</v>
      </c>
      <c r="J810" s="22" t="s">
        <v>125</v>
      </c>
      <c r="K810" s="22"/>
      <c r="L810" s="132" t="s">
        <v>4268</v>
      </c>
      <c r="U810" s="38" t="s">
        <v>61</v>
      </c>
      <c r="V810" s="30"/>
      <c r="W810" s="49"/>
      <c r="X810" s="49"/>
      <c r="Y810" s="35"/>
      <c r="Z810" s="35"/>
      <c r="AA810" s="35"/>
      <c r="AB810" s="35"/>
      <c r="AC810" s="35"/>
      <c r="AD810" s="35"/>
      <c r="AE810" s="35"/>
      <c r="AF810" s="35"/>
      <c r="AG810" s="35"/>
      <c r="AH810" s="35"/>
      <c r="AI810" s="35"/>
      <c r="AJ810" s="35"/>
      <c r="AK810" s="35"/>
      <c r="AL810" s="35"/>
    </row>
    <row r="811" ht="35.25" customHeight="1">
      <c r="A811" s="1"/>
      <c r="B811" s="19" t="s">
        <v>2073</v>
      </c>
      <c r="C811" s="20" t="s">
        <v>2036</v>
      </c>
      <c r="D811" s="47"/>
      <c r="E811" s="22" t="s">
        <v>4269</v>
      </c>
      <c r="F811" s="23" t="s">
        <v>3188</v>
      </c>
      <c r="G811" s="23">
        <v>2024.0</v>
      </c>
      <c r="H811" s="22" t="s">
        <v>4270</v>
      </c>
      <c r="I811" s="24" t="s">
        <v>4271</v>
      </c>
      <c r="J811" s="22" t="s">
        <v>4272</v>
      </c>
      <c r="K811" s="22"/>
      <c r="L811" s="132" t="s">
        <v>4273</v>
      </c>
      <c r="U811" s="38" t="s">
        <v>61</v>
      </c>
      <c r="V811" s="30"/>
      <c r="W811" s="49"/>
      <c r="X811" s="49"/>
      <c r="Y811" s="35"/>
      <c r="Z811" s="35"/>
      <c r="AA811" s="35"/>
      <c r="AB811" s="35"/>
      <c r="AC811" s="35"/>
      <c r="AD811" s="35"/>
      <c r="AE811" s="35"/>
      <c r="AF811" s="35"/>
      <c r="AG811" s="35"/>
      <c r="AH811" s="35"/>
      <c r="AI811" s="35"/>
      <c r="AJ811" s="35"/>
      <c r="AK811" s="35"/>
      <c r="AL811" s="35"/>
    </row>
    <row r="812" ht="35.25" customHeight="1">
      <c r="A812" s="1"/>
      <c r="B812" s="19" t="s">
        <v>2073</v>
      </c>
      <c r="C812" s="20" t="s">
        <v>2036</v>
      </c>
      <c r="D812" s="47"/>
      <c r="E812" s="22" t="s">
        <v>2432</v>
      </c>
      <c r="F812" s="23" t="s">
        <v>65</v>
      </c>
      <c r="G812" s="23">
        <v>2024.0</v>
      </c>
      <c r="H812" s="22" t="s">
        <v>348</v>
      </c>
      <c r="I812" s="24" t="s">
        <v>4274</v>
      </c>
      <c r="J812" s="22" t="s">
        <v>3514</v>
      </c>
      <c r="K812" s="22"/>
      <c r="L812" s="132" t="s">
        <v>4275</v>
      </c>
      <c r="U812" s="38" t="s">
        <v>61</v>
      </c>
      <c r="V812" s="30"/>
      <c r="W812" s="49"/>
      <c r="X812" s="49"/>
      <c r="Y812" s="35"/>
      <c r="Z812" s="35"/>
      <c r="AA812" s="35"/>
      <c r="AB812" s="35"/>
      <c r="AC812" s="35"/>
      <c r="AD812" s="35"/>
      <c r="AE812" s="35"/>
      <c r="AF812" s="35"/>
      <c r="AG812" s="35"/>
      <c r="AH812" s="35"/>
      <c r="AI812" s="35"/>
      <c r="AJ812" s="35"/>
      <c r="AK812" s="35"/>
      <c r="AL812" s="35"/>
    </row>
    <row r="813" ht="35.25" customHeight="1">
      <c r="A813" s="1"/>
      <c r="B813" s="19" t="s">
        <v>2073</v>
      </c>
      <c r="C813" s="20" t="s">
        <v>2036</v>
      </c>
      <c r="D813" s="47"/>
      <c r="E813" s="22" t="s">
        <v>2783</v>
      </c>
      <c r="F813" s="23" t="s">
        <v>313</v>
      </c>
      <c r="G813" s="23">
        <v>2024.0</v>
      </c>
      <c r="H813" s="22" t="s">
        <v>3166</v>
      </c>
      <c r="I813" s="24" t="s">
        <v>4276</v>
      </c>
      <c r="J813" s="22" t="s">
        <v>125</v>
      </c>
      <c r="K813" s="22"/>
      <c r="L813" s="132" t="s">
        <v>4277</v>
      </c>
      <c r="U813" s="38" t="s">
        <v>61</v>
      </c>
      <c r="V813" s="30"/>
      <c r="W813" s="49"/>
      <c r="X813" s="49"/>
      <c r="Y813" s="35"/>
      <c r="Z813" s="35"/>
      <c r="AA813" s="35"/>
      <c r="AB813" s="35"/>
      <c r="AC813" s="35"/>
      <c r="AD813" s="35"/>
      <c r="AE813" s="35"/>
      <c r="AF813" s="35"/>
      <c r="AG813" s="35"/>
      <c r="AH813" s="35"/>
      <c r="AI813" s="35"/>
      <c r="AJ813" s="35"/>
      <c r="AK813" s="35"/>
      <c r="AL813" s="35"/>
    </row>
    <row r="814" ht="35.25" customHeight="1">
      <c r="A814" s="1"/>
      <c r="B814" s="19" t="s">
        <v>2073</v>
      </c>
      <c r="C814" s="20" t="s">
        <v>2036</v>
      </c>
      <c r="D814" s="47"/>
      <c r="E814" s="22" t="s">
        <v>4278</v>
      </c>
      <c r="F814" s="23" t="s">
        <v>2244</v>
      </c>
      <c r="G814" s="23">
        <v>2024.0</v>
      </c>
      <c r="H814" s="22" t="s">
        <v>2247</v>
      </c>
      <c r="I814" s="24" t="s">
        <v>4279</v>
      </c>
      <c r="J814" s="22" t="s">
        <v>125</v>
      </c>
      <c r="K814" s="22"/>
      <c r="L814" s="132" t="s">
        <v>4280</v>
      </c>
      <c r="U814" s="38" t="s">
        <v>61</v>
      </c>
      <c r="V814" s="30"/>
      <c r="W814" s="49"/>
      <c r="X814" s="49"/>
      <c r="Y814" s="35"/>
      <c r="Z814" s="35"/>
      <c r="AA814" s="35"/>
      <c r="AB814" s="35"/>
      <c r="AC814" s="35"/>
      <c r="AD814" s="35"/>
      <c r="AE814" s="35"/>
      <c r="AF814" s="35"/>
      <c r="AG814" s="35"/>
      <c r="AH814" s="35"/>
      <c r="AI814" s="35"/>
      <c r="AJ814" s="35"/>
      <c r="AK814" s="35"/>
      <c r="AL814" s="35"/>
    </row>
    <row r="815" ht="35.25" customHeight="1">
      <c r="A815" s="1"/>
      <c r="B815" s="19" t="s">
        <v>2073</v>
      </c>
      <c r="C815" s="20" t="s">
        <v>2036</v>
      </c>
      <c r="D815" s="47"/>
      <c r="E815" s="22" t="s">
        <v>4281</v>
      </c>
      <c r="F815" s="23" t="s">
        <v>4282</v>
      </c>
      <c r="G815" s="23">
        <v>2023.0</v>
      </c>
      <c r="H815" s="22" t="s">
        <v>4283</v>
      </c>
      <c r="I815" s="24" t="s">
        <v>4284</v>
      </c>
      <c r="J815" s="22" t="s">
        <v>125</v>
      </c>
      <c r="K815" s="22"/>
      <c r="L815" s="132" t="s">
        <v>4285</v>
      </c>
      <c r="U815" s="38" t="s">
        <v>61</v>
      </c>
      <c r="V815" s="30"/>
      <c r="W815" s="49"/>
      <c r="X815" s="49"/>
      <c r="Y815" s="35"/>
      <c r="Z815" s="35"/>
      <c r="AA815" s="35"/>
      <c r="AB815" s="35"/>
      <c r="AC815" s="35"/>
      <c r="AD815" s="35"/>
      <c r="AE815" s="35"/>
      <c r="AF815" s="35"/>
      <c r="AG815" s="35"/>
      <c r="AH815" s="35"/>
      <c r="AI815" s="35"/>
      <c r="AJ815" s="35"/>
      <c r="AK815" s="35"/>
      <c r="AL815" s="35"/>
    </row>
    <row r="816" ht="35.25" customHeight="1">
      <c r="A816" s="1"/>
      <c r="B816" s="19" t="s">
        <v>2073</v>
      </c>
      <c r="C816" s="20" t="s">
        <v>2036</v>
      </c>
      <c r="D816" s="47"/>
      <c r="E816" s="22" t="s">
        <v>4286</v>
      </c>
      <c r="F816" s="23" t="s">
        <v>224</v>
      </c>
      <c r="G816" s="23">
        <v>2023.0</v>
      </c>
      <c r="H816" s="22" t="s">
        <v>3106</v>
      </c>
      <c r="I816" s="24" t="s">
        <v>4287</v>
      </c>
      <c r="J816" s="22" t="s">
        <v>125</v>
      </c>
      <c r="K816" s="22"/>
      <c r="L816" s="132" t="s">
        <v>4288</v>
      </c>
      <c r="U816" s="38" t="s">
        <v>61</v>
      </c>
      <c r="V816" s="30"/>
      <c r="W816" s="49"/>
      <c r="X816" s="49"/>
      <c r="Y816" s="35"/>
      <c r="Z816" s="35"/>
      <c r="AA816" s="35"/>
      <c r="AB816" s="35"/>
      <c r="AC816" s="35"/>
      <c r="AD816" s="35"/>
      <c r="AE816" s="35"/>
      <c r="AF816" s="35"/>
      <c r="AG816" s="35"/>
      <c r="AH816" s="35"/>
      <c r="AI816" s="35"/>
      <c r="AJ816" s="35"/>
      <c r="AK816" s="35"/>
      <c r="AL816" s="35"/>
    </row>
    <row r="817" ht="35.25" customHeight="1">
      <c r="A817" s="1"/>
      <c r="B817" s="19" t="s">
        <v>2073</v>
      </c>
      <c r="C817" s="20" t="s">
        <v>2036</v>
      </c>
      <c r="D817" s="47"/>
      <c r="E817" s="22" t="s">
        <v>2482</v>
      </c>
      <c r="F817" s="23" t="s">
        <v>2702</v>
      </c>
      <c r="G817" s="23">
        <v>2024.0</v>
      </c>
      <c r="H817" s="22" t="s">
        <v>2225</v>
      </c>
      <c r="I817" s="24" t="s">
        <v>4289</v>
      </c>
      <c r="J817" s="22" t="s">
        <v>4290</v>
      </c>
      <c r="K817" s="22"/>
      <c r="L817" s="132" t="s">
        <v>4291</v>
      </c>
      <c r="U817" s="38" t="s">
        <v>61</v>
      </c>
      <c r="V817" s="30"/>
      <c r="W817" s="49"/>
      <c r="X817" s="49"/>
      <c r="Y817" s="35"/>
      <c r="Z817" s="35"/>
      <c r="AA817" s="35"/>
      <c r="AB817" s="35"/>
      <c r="AC817" s="35"/>
      <c r="AD817" s="35"/>
      <c r="AE817" s="35"/>
      <c r="AF817" s="35"/>
      <c r="AG817" s="35"/>
      <c r="AH817" s="35"/>
      <c r="AI817" s="35"/>
      <c r="AJ817" s="35"/>
      <c r="AK817" s="35"/>
      <c r="AL817" s="35"/>
    </row>
    <row r="818" ht="35.25" customHeight="1">
      <c r="A818" s="1"/>
      <c r="B818" s="19" t="s">
        <v>2073</v>
      </c>
      <c r="C818" s="20" t="s">
        <v>2036</v>
      </c>
      <c r="D818" s="47"/>
      <c r="E818" s="22" t="s">
        <v>4292</v>
      </c>
      <c r="F818" s="23" t="s">
        <v>206</v>
      </c>
      <c r="G818" s="23">
        <v>2023.0</v>
      </c>
      <c r="H818" s="22" t="s">
        <v>191</v>
      </c>
      <c r="I818" s="24" t="s">
        <v>4293</v>
      </c>
      <c r="J818" s="22" t="s">
        <v>125</v>
      </c>
      <c r="K818" s="22"/>
      <c r="L818" s="132" t="s">
        <v>4294</v>
      </c>
      <c r="U818" s="38" t="s">
        <v>61</v>
      </c>
      <c r="V818" s="30"/>
      <c r="W818" s="49"/>
      <c r="X818" s="49"/>
      <c r="Y818" s="35"/>
      <c r="Z818" s="35"/>
      <c r="AA818" s="35"/>
      <c r="AB818" s="35"/>
      <c r="AC818" s="35"/>
      <c r="AD818" s="35"/>
      <c r="AE818" s="35"/>
      <c r="AF818" s="35"/>
      <c r="AG818" s="35"/>
      <c r="AH818" s="35"/>
      <c r="AI818" s="35"/>
      <c r="AJ818" s="35"/>
      <c r="AK818" s="35"/>
      <c r="AL818" s="35"/>
    </row>
    <row r="819" ht="35.25" customHeight="1">
      <c r="A819" s="1"/>
      <c r="B819" s="19" t="s">
        <v>2073</v>
      </c>
      <c r="C819" s="20" t="s">
        <v>2036</v>
      </c>
      <c r="D819" s="47"/>
      <c r="E819" s="22" t="s">
        <v>4295</v>
      </c>
      <c r="F819" s="23" t="s">
        <v>4296</v>
      </c>
      <c r="G819" s="23">
        <v>2023.0</v>
      </c>
      <c r="H819" s="22" t="s">
        <v>42</v>
      </c>
      <c r="I819" s="24" t="s">
        <v>4297</v>
      </c>
      <c r="J819" s="22" t="s">
        <v>125</v>
      </c>
      <c r="K819" s="22"/>
      <c r="L819" s="132" t="s">
        <v>4298</v>
      </c>
      <c r="U819" s="38" t="s">
        <v>61</v>
      </c>
      <c r="V819" s="30"/>
      <c r="W819" s="49"/>
      <c r="X819" s="49"/>
      <c r="Y819" s="35"/>
      <c r="Z819" s="35"/>
      <c r="AA819" s="35"/>
      <c r="AB819" s="35"/>
      <c r="AC819" s="35"/>
      <c r="AD819" s="35"/>
      <c r="AE819" s="35"/>
      <c r="AF819" s="35"/>
      <c r="AG819" s="35"/>
      <c r="AH819" s="35"/>
      <c r="AI819" s="35"/>
      <c r="AJ819" s="35"/>
      <c r="AK819" s="35"/>
      <c r="AL819" s="35"/>
    </row>
    <row r="820" ht="35.25" customHeight="1">
      <c r="A820" s="1"/>
      <c r="B820" s="19" t="s">
        <v>2073</v>
      </c>
      <c r="C820" s="20" t="s">
        <v>2036</v>
      </c>
      <c r="D820" s="47"/>
      <c r="E820" s="22" t="s">
        <v>4299</v>
      </c>
      <c r="F820" s="23" t="s">
        <v>1482</v>
      </c>
      <c r="G820" s="23">
        <v>2023.0</v>
      </c>
      <c r="H820" s="22" t="s">
        <v>4300</v>
      </c>
      <c r="I820" s="24" t="s">
        <v>4301</v>
      </c>
      <c r="J820" s="22" t="s">
        <v>125</v>
      </c>
      <c r="K820" s="22"/>
      <c r="L820" s="132" t="s">
        <v>4302</v>
      </c>
      <c r="U820" s="38" t="s">
        <v>61</v>
      </c>
      <c r="V820" s="30"/>
      <c r="W820" s="49"/>
      <c r="X820" s="49"/>
      <c r="Y820" s="35"/>
      <c r="Z820" s="35"/>
      <c r="AA820" s="35"/>
      <c r="AB820" s="35"/>
      <c r="AC820" s="35"/>
      <c r="AD820" s="35"/>
      <c r="AE820" s="35"/>
      <c r="AF820" s="35"/>
      <c r="AG820" s="35"/>
      <c r="AH820" s="35"/>
      <c r="AI820" s="35"/>
      <c r="AJ820" s="35"/>
      <c r="AK820" s="35"/>
      <c r="AL820" s="35"/>
    </row>
    <row r="821" ht="35.25" customHeight="1">
      <c r="A821" s="1"/>
      <c r="B821" s="19" t="s">
        <v>2073</v>
      </c>
      <c r="C821" s="20" t="s">
        <v>2036</v>
      </c>
      <c r="D821" s="47"/>
      <c r="E821" s="22" t="s">
        <v>4303</v>
      </c>
      <c r="F821" s="23" t="s">
        <v>323</v>
      </c>
      <c r="G821" s="23">
        <v>2022.0</v>
      </c>
      <c r="H821" s="22" t="s">
        <v>91</v>
      </c>
      <c r="I821" s="24" t="s">
        <v>4304</v>
      </c>
      <c r="J821" s="22" t="s">
        <v>649</v>
      </c>
      <c r="K821" s="22"/>
      <c r="L821" s="132" t="s">
        <v>4305</v>
      </c>
      <c r="U821" s="38" t="s">
        <v>61</v>
      </c>
      <c r="V821" s="30"/>
      <c r="W821" s="49"/>
      <c r="X821" s="49"/>
      <c r="Y821" s="35"/>
      <c r="Z821" s="35"/>
      <c r="AA821" s="35"/>
      <c r="AB821" s="35"/>
      <c r="AC821" s="35"/>
      <c r="AD821" s="35"/>
      <c r="AE821" s="35"/>
      <c r="AF821" s="35"/>
      <c r="AG821" s="35"/>
      <c r="AH821" s="35"/>
      <c r="AI821" s="35"/>
      <c r="AJ821" s="35"/>
      <c r="AK821" s="35"/>
      <c r="AL821" s="35"/>
    </row>
    <row r="822" ht="35.25" customHeight="1">
      <c r="A822" s="1"/>
      <c r="B822" s="19" t="s">
        <v>2073</v>
      </c>
      <c r="C822" s="20" t="s">
        <v>2036</v>
      </c>
      <c r="D822" s="47"/>
      <c r="E822" s="22" t="s">
        <v>2413</v>
      </c>
      <c r="F822" s="23" t="s">
        <v>28</v>
      </c>
      <c r="G822" s="23">
        <v>2022.0</v>
      </c>
      <c r="H822" s="22" t="s">
        <v>4306</v>
      </c>
      <c r="I822" s="24" t="s">
        <v>4307</v>
      </c>
      <c r="J822" s="22" t="s">
        <v>125</v>
      </c>
      <c r="K822" s="22"/>
      <c r="L822" s="132" t="s">
        <v>4308</v>
      </c>
      <c r="U822" s="38" t="s">
        <v>61</v>
      </c>
      <c r="V822" s="30"/>
      <c r="W822" s="49"/>
      <c r="X822" s="49"/>
      <c r="Y822" s="35"/>
      <c r="Z822" s="35"/>
      <c r="AA822" s="35"/>
      <c r="AB822" s="35"/>
      <c r="AC822" s="35"/>
      <c r="AD822" s="35"/>
      <c r="AE822" s="35"/>
      <c r="AF822" s="35"/>
      <c r="AG822" s="35"/>
      <c r="AH822" s="35"/>
      <c r="AI822" s="35"/>
      <c r="AJ822" s="35"/>
      <c r="AK822" s="35"/>
      <c r="AL822" s="35"/>
    </row>
    <row r="823" ht="35.25" customHeight="1">
      <c r="A823" s="1"/>
      <c r="B823" s="19" t="s">
        <v>2073</v>
      </c>
      <c r="C823" s="20" t="s">
        <v>2036</v>
      </c>
      <c r="D823" s="47"/>
      <c r="E823" s="22" t="s">
        <v>4309</v>
      </c>
      <c r="F823" s="23" t="s">
        <v>1943</v>
      </c>
      <c r="G823" s="23">
        <v>2022.0</v>
      </c>
      <c r="H823" s="22" t="s">
        <v>4283</v>
      </c>
      <c r="I823" s="24" t="s">
        <v>4310</v>
      </c>
      <c r="J823" s="22" t="s">
        <v>125</v>
      </c>
      <c r="K823" s="22"/>
      <c r="L823" s="132" t="s">
        <v>4311</v>
      </c>
      <c r="U823" s="38" t="s">
        <v>61</v>
      </c>
      <c r="V823" s="30"/>
      <c r="W823" s="49"/>
      <c r="X823" s="49"/>
      <c r="Y823" s="35"/>
      <c r="Z823" s="35"/>
      <c r="AA823" s="35"/>
      <c r="AB823" s="35"/>
      <c r="AC823" s="35"/>
      <c r="AD823" s="35"/>
      <c r="AE823" s="35"/>
      <c r="AF823" s="35"/>
      <c r="AG823" s="35"/>
      <c r="AH823" s="35"/>
      <c r="AI823" s="35"/>
      <c r="AJ823" s="35"/>
      <c r="AK823" s="35"/>
      <c r="AL823" s="35"/>
    </row>
    <row r="824" ht="35.25" customHeight="1">
      <c r="A824" s="1"/>
      <c r="B824" s="19" t="s">
        <v>2073</v>
      </c>
      <c r="C824" s="20" t="s">
        <v>2036</v>
      </c>
      <c r="D824" s="47"/>
      <c r="E824" s="22" t="s">
        <v>4312</v>
      </c>
      <c r="F824" s="23" t="s">
        <v>2130</v>
      </c>
      <c r="G824" s="23">
        <v>2022.0</v>
      </c>
      <c r="H824" s="22" t="s">
        <v>4313</v>
      </c>
      <c r="I824" s="24" t="s">
        <v>4314</v>
      </c>
      <c r="J824" s="22" t="s">
        <v>125</v>
      </c>
      <c r="K824" s="22"/>
      <c r="L824" s="132" t="s">
        <v>4315</v>
      </c>
      <c r="U824" s="29" t="s">
        <v>61</v>
      </c>
      <c r="V824" s="30"/>
      <c r="W824" s="49"/>
      <c r="X824" s="49"/>
      <c r="Y824" s="35"/>
      <c r="Z824" s="35"/>
      <c r="AA824" s="35"/>
      <c r="AB824" s="35"/>
      <c r="AC824" s="35"/>
      <c r="AD824" s="35"/>
      <c r="AE824" s="35"/>
      <c r="AF824" s="35"/>
      <c r="AG824" s="35"/>
      <c r="AH824" s="35"/>
      <c r="AI824" s="35"/>
      <c r="AJ824" s="35"/>
      <c r="AK824" s="35"/>
      <c r="AL824" s="35"/>
    </row>
    <row r="825" ht="35.25" customHeight="1">
      <c r="A825" s="1"/>
      <c r="B825" s="19" t="s">
        <v>2073</v>
      </c>
      <c r="C825" s="20" t="s">
        <v>2036</v>
      </c>
      <c r="D825" s="47"/>
      <c r="E825" s="22" t="s">
        <v>2402</v>
      </c>
      <c r="F825" s="23" t="s">
        <v>4316</v>
      </c>
      <c r="G825" s="23">
        <v>2022.0</v>
      </c>
      <c r="H825" s="22" t="s">
        <v>348</v>
      </c>
      <c r="I825" s="24" t="s">
        <v>4317</v>
      </c>
      <c r="J825" s="22" t="s">
        <v>125</v>
      </c>
      <c r="K825" s="22"/>
      <c r="L825" s="132" t="s">
        <v>4318</v>
      </c>
      <c r="U825" s="29" t="s">
        <v>61</v>
      </c>
      <c r="V825" s="30"/>
      <c r="W825" s="49"/>
      <c r="X825" s="49"/>
      <c r="Y825" s="35"/>
      <c r="Z825" s="35"/>
      <c r="AA825" s="35"/>
      <c r="AB825" s="35"/>
      <c r="AC825" s="35"/>
      <c r="AD825" s="35"/>
      <c r="AE825" s="35"/>
      <c r="AF825" s="35"/>
      <c r="AG825" s="35"/>
      <c r="AH825" s="35"/>
      <c r="AI825" s="35"/>
      <c r="AJ825" s="35"/>
      <c r="AK825" s="35"/>
      <c r="AL825" s="35"/>
    </row>
    <row r="826" ht="35.25" customHeight="1">
      <c r="A826" s="1"/>
      <c r="B826" s="19" t="s">
        <v>2073</v>
      </c>
      <c r="C826" s="20" t="s">
        <v>2036</v>
      </c>
      <c r="D826" s="47"/>
      <c r="E826" s="22" t="s">
        <v>1671</v>
      </c>
      <c r="F826" s="23" t="s">
        <v>2130</v>
      </c>
      <c r="G826" s="23">
        <v>2021.0</v>
      </c>
      <c r="H826" s="22" t="s">
        <v>2247</v>
      </c>
      <c r="I826" s="24" t="s">
        <v>4319</v>
      </c>
      <c r="J826" s="22" t="s">
        <v>125</v>
      </c>
      <c r="K826" s="22"/>
      <c r="L826" s="132" t="s">
        <v>4320</v>
      </c>
      <c r="U826" s="29" t="s">
        <v>61</v>
      </c>
      <c r="V826" s="30"/>
      <c r="W826" s="49"/>
      <c r="X826" s="49"/>
      <c r="Y826" s="35"/>
      <c r="Z826" s="35"/>
      <c r="AA826" s="35"/>
      <c r="AB826" s="35"/>
      <c r="AC826" s="35"/>
      <c r="AD826" s="35"/>
      <c r="AE826" s="35"/>
      <c r="AF826" s="35"/>
      <c r="AG826" s="35"/>
      <c r="AH826" s="35"/>
      <c r="AI826" s="35"/>
      <c r="AJ826" s="35"/>
      <c r="AK826" s="35"/>
      <c r="AL826" s="35"/>
    </row>
    <row r="827" ht="35.25" customHeight="1">
      <c r="A827" s="1"/>
      <c r="B827" s="19" t="s">
        <v>2073</v>
      </c>
      <c r="C827" s="20" t="s">
        <v>2036</v>
      </c>
      <c r="D827" s="47"/>
      <c r="E827" s="22" t="s">
        <v>4303</v>
      </c>
      <c r="F827" s="23" t="s">
        <v>323</v>
      </c>
      <c r="G827" s="23">
        <v>2021.0</v>
      </c>
      <c r="H827" s="22" t="s">
        <v>207</v>
      </c>
      <c r="I827" s="24" t="s">
        <v>4321</v>
      </c>
      <c r="J827" s="22" t="s">
        <v>125</v>
      </c>
      <c r="K827" s="22"/>
      <c r="L827" s="196" t="s">
        <v>4322</v>
      </c>
      <c r="U827" s="29" t="s">
        <v>61</v>
      </c>
      <c r="V827" s="30"/>
      <c r="W827" s="49"/>
      <c r="X827" s="49"/>
      <c r="Y827" s="35"/>
      <c r="Z827" s="35"/>
      <c r="AA827" s="35"/>
      <c r="AB827" s="35"/>
      <c r="AC827" s="35"/>
      <c r="AD827" s="35"/>
      <c r="AE827" s="35"/>
      <c r="AF827" s="35"/>
      <c r="AG827" s="35"/>
      <c r="AH827" s="35"/>
      <c r="AI827" s="35"/>
      <c r="AJ827" s="35"/>
      <c r="AK827" s="35"/>
      <c r="AL827" s="35"/>
    </row>
    <row r="828" ht="35.25" customHeight="1">
      <c r="A828" s="1"/>
      <c r="B828" s="19" t="s">
        <v>2073</v>
      </c>
      <c r="C828" s="20" t="s">
        <v>2036</v>
      </c>
      <c r="D828" s="47"/>
      <c r="E828" s="22" t="s">
        <v>2338</v>
      </c>
      <c r="F828" s="23" t="s">
        <v>2196</v>
      </c>
      <c r="G828" s="23">
        <v>2021.0</v>
      </c>
      <c r="H828" s="22" t="s">
        <v>2225</v>
      </c>
      <c r="I828" s="24" t="s">
        <v>4323</v>
      </c>
      <c r="J828" s="22" t="s">
        <v>125</v>
      </c>
      <c r="K828" s="22"/>
      <c r="L828" s="132" t="s">
        <v>4324</v>
      </c>
      <c r="U828" s="29" t="s">
        <v>61</v>
      </c>
      <c r="V828" s="30"/>
      <c r="W828" s="49"/>
      <c r="X828" s="49"/>
      <c r="Y828" s="35"/>
      <c r="Z828" s="35"/>
      <c r="AA828" s="35"/>
      <c r="AB828" s="35"/>
      <c r="AC828" s="35"/>
      <c r="AD828" s="35"/>
      <c r="AE828" s="35"/>
      <c r="AF828" s="35"/>
      <c r="AG828" s="35"/>
      <c r="AH828" s="35"/>
      <c r="AI828" s="35"/>
      <c r="AJ828" s="35"/>
      <c r="AK828" s="35"/>
      <c r="AL828" s="35"/>
    </row>
    <row r="829" ht="35.25" customHeight="1">
      <c r="A829" s="1"/>
      <c r="B829" s="19" t="s">
        <v>2073</v>
      </c>
      <c r="C829" s="20" t="s">
        <v>2036</v>
      </c>
      <c r="D829" s="47"/>
      <c r="E829" s="22" t="s">
        <v>4325</v>
      </c>
      <c r="F829" s="23" t="s">
        <v>3681</v>
      </c>
      <c r="G829" s="23">
        <v>2021.0</v>
      </c>
      <c r="H829" s="22" t="s">
        <v>4326</v>
      </c>
      <c r="I829" s="24" t="s">
        <v>4327</v>
      </c>
      <c r="J829" s="22" t="s">
        <v>125</v>
      </c>
      <c r="K829" s="22"/>
      <c r="L829" s="196" t="s">
        <v>4328</v>
      </c>
      <c r="U829" s="29" t="s">
        <v>61</v>
      </c>
      <c r="V829" s="30"/>
      <c r="W829" s="49"/>
      <c r="X829" s="49"/>
      <c r="Y829" s="35"/>
      <c r="Z829" s="35"/>
      <c r="AA829" s="35"/>
      <c r="AB829" s="35"/>
      <c r="AC829" s="35"/>
      <c r="AD829" s="35"/>
      <c r="AE829" s="35"/>
      <c r="AF829" s="35"/>
      <c r="AG829" s="35"/>
      <c r="AH829" s="35"/>
      <c r="AI829" s="35"/>
      <c r="AJ829" s="35"/>
      <c r="AK829" s="35"/>
      <c r="AL829" s="35"/>
    </row>
    <row r="830" ht="35.25" customHeight="1">
      <c r="A830" s="1"/>
      <c r="B830" s="19" t="s">
        <v>2073</v>
      </c>
      <c r="C830" s="20" t="s">
        <v>2036</v>
      </c>
      <c r="D830" s="47"/>
      <c r="E830" s="22" t="s">
        <v>4329</v>
      </c>
      <c r="F830" s="23" t="s">
        <v>4330</v>
      </c>
      <c r="G830" s="23">
        <v>2020.0</v>
      </c>
      <c r="H830" s="22" t="s">
        <v>4331</v>
      </c>
      <c r="I830" s="24" t="s">
        <v>4332</v>
      </c>
      <c r="J830" s="22" t="s">
        <v>125</v>
      </c>
      <c r="K830" s="22"/>
      <c r="L830" s="132" t="s">
        <v>4333</v>
      </c>
      <c r="U830" s="29" t="s">
        <v>61</v>
      </c>
      <c r="V830" s="30"/>
      <c r="W830" s="49"/>
      <c r="X830" s="49"/>
      <c r="Y830" s="35"/>
      <c r="Z830" s="35"/>
      <c r="AA830" s="35"/>
      <c r="AB830" s="35"/>
      <c r="AC830" s="35"/>
      <c r="AD830" s="35"/>
      <c r="AE830" s="35"/>
      <c r="AF830" s="35"/>
      <c r="AG830" s="35"/>
      <c r="AH830" s="35"/>
      <c r="AI830" s="35"/>
      <c r="AJ830" s="35"/>
      <c r="AK830" s="35"/>
      <c r="AL830" s="35"/>
    </row>
    <row r="831" ht="35.25" customHeight="1">
      <c r="A831" s="1"/>
      <c r="B831" s="19" t="s">
        <v>2073</v>
      </c>
      <c r="C831" s="20" t="s">
        <v>2036</v>
      </c>
      <c r="D831" s="47"/>
      <c r="E831" s="22" t="s">
        <v>3098</v>
      </c>
      <c r="F831" s="23" t="s">
        <v>4334</v>
      </c>
      <c r="G831" s="23">
        <v>2020.0</v>
      </c>
      <c r="H831" s="22" t="s">
        <v>29</v>
      </c>
      <c r="I831" s="24" t="s">
        <v>4335</v>
      </c>
      <c r="J831" s="22" t="s">
        <v>125</v>
      </c>
      <c r="K831" s="22"/>
      <c r="L831" s="132" t="s">
        <v>4336</v>
      </c>
      <c r="U831" s="29" t="s">
        <v>37</v>
      </c>
      <c r="V831" s="30"/>
      <c r="W831" s="49"/>
      <c r="X831" s="49"/>
      <c r="Y831" s="35"/>
      <c r="Z831" s="35"/>
      <c r="AA831" s="35"/>
      <c r="AB831" s="35"/>
      <c r="AC831" s="35"/>
      <c r="AD831" s="35"/>
      <c r="AE831" s="35"/>
      <c r="AF831" s="35"/>
      <c r="AG831" s="35"/>
      <c r="AH831" s="35"/>
      <c r="AI831" s="35"/>
      <c r="AJ831" s="35"/>
      <c r="AK831" s="35"/>
      <c r="AL831" s="35"/>
    </row>
    <row r="832" ht="35.25" customHeight="1">
      <c r="A832" s="1"/>
      <c r="B832" s="19" t="s">
        <v>2073</v>
      </c>
      <c r="C832" s="20" t="s">
        <v>2036</v>
      </c>
      <c r="D832" s="47"/>
      <c r="E832" s="22" t="s">
        <v>4337</v>
      </c>
      <c r="F832" s="23" t="s">
        <v>2221</v>
      </c>
      <c r="G832" s="23">
        <v>2020.0</v>
      </c>
      <c r="H832" s="22" t="s">
        <v>3192</v>
      </c>
      <c r="I832" s="24" t="s">
        <v>4338</v>
      </c>
      <c r="J832" s="22" t="s">
        <v>125</v>
      </c>
      <c r="K832" s="22"/>
      <c r="L832" s="132" t="s">
        <v>4339</v>
      </c>
      <c r="U832" s="29" t="s">
        <v>61</v>
      </c>
      <c r="V832" s="30"/>
      <c r="W832" s="49"/>
      <c r="X832" s="49"/>
      <c r="Y832" s="35"/>
      <c r="Z832" s="35"/>
      <c r="AA832" s="35"/>
      <c r="AB832" s="35"/>
      <c r="AC832" s="35"/>
      <c r="AD832" s="35"/>
      <c r="AE832" s="35"/>
      <c r="AF832" s="35"/>
      <c r="AG832" s="35"/>
      <c r="AH832" s="35"/>
      <c r="AI832" s="35"/>
      <c r="AJ832" s="35"/>
      <c r="AK832" s="35"/>
      <c r="AL832" s="35"/>
    </row>
    <row r="833" ht="35.25" customHeight="1">
      <c r="A833" s="1"/>
      <c r="B833" s="19" t="s">
        <v>2073</v>
      </c>
      <c r="C833" s="20" t="s">
        <v>2036</v>
      </c>
      <c r="D833" s="47"/>
      <c r="E833" s="22" t="s">
        <v>4340</v>
      </c>
      <c r="F833" s="23" t="s">
        <v>1862</v>
      </c>
      <c r="G833" s="23">
        <v>2020.0</v>
      </c>
      <c r="H833" s="22" t="s">
        <v>2225</v>
      </c>
      <c r="I833" s="24" t="s">
        <v>4341</v>
      </c>
      <c r="J833" s="22" t="s">
        <v>2882</v>
      </c>
      <c r="K833" s="22"/>
      <c r="L833" s="132" t="s">
        <v>4342</v>
      </c>
      <c r="U833" s="29" t="s">
        <v>61</v>
      </c>
      <c r="V833" s="30"/>
      <c r="W833" s="49"/>
      <c r="X833" s="49"/>
      <c r="Y833" s="35"/>
      <c r="Z833" s="35"/>
      <c r="AA833" s="35"/>
      <c r="AB833" s="35"/>
      <c r="AC833" s="35"/>
      <c r="AD833" s="35"/>
      <c r="AE833" s="35"/>
      <c r="AF833" s="35"/>
      <c r="AG833" s="35"/>
      <c r="AH833" s="35"/>
      <c r="AI833" s="35"/>
      <c r="AJ833" s="35"/>
      <c r="AK833" s="35"/>
      <c r="AL833" s="35"/>
    </row>
    <row r="834" ht="35.25" customHeight="1">
      <c r="A834" s="1"/>
      <c r="B834" s="19" t="s">
        <v>2073</v>
      </c>
      <c r="C834" s="20" t="s">
        <v>2036</v>
      </c>
      <c r="D834" s="47"/>
      <c r="E834" s="22" t="s">
        <v>2338</v>
      </c>
      <c r="F834" s="23" t="s">
        <v>3344</v>
      </c>
      <c r="G834" s="23">
        <v>2020.0</v>
      </c>
      <c r="H834" s="22" t="s">
        <v>4343</v>
      </c>
      <c r="I834" s="24" t="s">
        <v>4344</v>
      </c>
      <c r="J834" s="22" t="s">
        <v>125</v>
      </c>
      <c r="K834" s="22"/>
      <c r="L834" s="132" t="s">
        <v>4345</v>
      </c>
      <c r="U834" s="29" t="s">
        <v>61</v>
      </c>
      <c r="V834" s="30"/>
      <c r="W834" s="49"/>
      <c r="X834" s="49"/>
      <c r="Y834" s="35"/>
      <c r="Z834" s="35"/>
      <c r="AA834" s="35"/>
      <c r="AB834" s="35"/>
      <c r="AC834" s="35"/>
      <c r="AD834" s="35"/>
      <c r="AE834" s="35"/>
      <c r="AF834" s="35"/>
      <c r="AG834" s="35"/>
      <c r="AH834" s="35"/>
      <c r="AI834" s="35"/>
      <c r="AJ834" s="35"/>
      <c r="AK834" s="35"/>
      <c r="AL834" s="35"/>
    </row>
    <row r="835" ht="35.25" customHeight="1">
      <c r="A835" s="1"/>
      <c r="B835" s="19" t="s">
        <v>2073</v>
      </c>
      <c r="C835" s="20" t="s">
        <v>2036</v>
      </c>
      <c r="D835" s="47"/>
      <c r="E835" s="22" t="s">
        <v>1689</v>
      </c>
      <c r="F835" s="23" t="s">
        <v>224</v>
      </c>
      <c r="G835" s="23">
        <v>2020.0</v>
      </c>
      <c r="H835" s="22" t="s">
        <v>2238</v>
      </c>
      <c r="I835" s="24" t="s">
        <v>4346</v>
      </c>
      <c r="J835" s="22" t="s">
        <v>125</v>
      </c>
      <c r="K835" s="22"/>
      <c r="L835" s="132" t="s">
        <v>4347</v>
      </c>
      <c r="U835" s="38" t="str">
        <f>HYPERLINK("https://www.ncbi.nlm.nih.gov/pubmed/32039856","PubMed")</f>
        <v>PubMed</v>
      </c>
      <c r="V835" s="30"/>
      <c r="W835" s="49"/>
      <c r="X835" s="49"/>
      <c r="Y835" s="35"/>
      <c r="Z835" s="35"/>
      <c r="AA835" s="35"/>
      <c r="AB835" s="35"/>
      <c r="AC835" s="35"/>
      <c r="AD835" s="35"/>
      <c r="AE835" s="35"/>
      <c r="AF835" s="35"/>
      <c r="AG835" s="35"/>
      <c r="AH835" s="35"/>
      <c r="AI835" s="35"/>
      <c r="AJ835" s="35"/>
      <c r="AK835" s="35"/>
      <c r="AL835" s="35"/>
    </row>
    <row r="836" ht="35.25" customHeight="1">
      <c r="A836" s="1"/>
      <c r="B836" s="19" t="s">
        <v>2073</v>
      </c>
      <c r="C836" s="20" t="s">
        <v>2036</v>
      </c>
      <c r="D836" s="47"/>
      <c r="E836" s="22" t="s">
        <v>2402</v>
      </c>
      <c r="F836" s="23" t="s">
        <v>1046</v>
      </c>
      <c r="G836" s="23">
        <v>2019.0</v>
      </c>
      <c r="H836" s="22" t="s">
        <v>3094</v>
      </c>
      <c r="I836" s="24" t="s">
        <v>4348</v>
      </c>
      <c r="J836" s="22" t="s">
        <v>125</v>
      </c>
      <c r="K836" s="22"/>
      <c r="L836" s="196" t="s">
        <v>4349</v>
      </c>
      <c r="U836" s="38" t="str">
        <f>HYPERLINK("https://www.ncbi.nlm.nih.gov/pubmed/31812948","PubMed")</f>
        <v>PubMed</v>
      </c>
      <c r="V836" s="30"/>
      <c r="W836" s="49"/>
      <c r="X836" s="49"/>
      <c r="Y836" s="35"/>
      <c r="Z836" s="35"/>
      <c r="AA836" s="35"/>
      <c r="AB836" s="35"/>
      <c r="AC836" s="35"/>
      <c r="AD836" s="35"/>
      <c r="AE836" s="35"/>
      <c r="AF836" s="35"/>
      <c r="AG836" s="35"/>
      <c r="AH836" s="35"/>
      <c r="AI836" s="35"/>
      <c r="AJ836" s="35"/>
      <c r="AK836" s="35"/>
      <c r="AL836" s="35"/>
    </row>
    <row r="837" ht="35.25" customHeight="1">
      <c r="A837" s="1"/>
      <c r="B837" s="19" t="s">
        <v>2073</v>
      </c>
      <c r="C837" s="20" t="s">
        <v>2036</v>
      </c>
      <c r="D837" s="47"/>
      <c r="E837" s="22" t="s">
        <v>4350</v>
      </c>
      <c r="F837" s="23" t="s">
        <v>1905</v>
      </c>
      <c r="G837" s="23">
        <v>2019.0</v>
      </c>
      <c r="H837" s="22" t="s">
        <v>4351</v>
      </c>
      <c r="I837" s="24" t="s">
        <v>4352</v>
      </c>
      <c r="J837" s="22" t="s">
        <v>125</v>
      </c>
      <c r="K837" s="22"/>
      <c r="L837" s="196" t="s">
        <v>4353</v>
      </c>
      <c r="U837" s="38" t="str">
        <f>HYPERLINK("https://www.ncbi.nlm.nih.gov/pubmed/31456895","PubMed")</f>
        <v>PubMed</v>
      </c>
      <c r="V837" s="30"/>
      <c r="W837" s="49"/>
      <c r="X837" s="49"/>
      <c r="Y837" s="35"/>
      <c r="Z837" s="35"/>
      <c r="AA837" s="35"/>
      <c r="AB837" s="35"/>
      <c r="AC837" s="35"/>
      <c r="AD837" s="35"/>
      <c r="AE837" s="35"/>
      <c r="AF837" s="35"/>
      <c r="AG837" s="35"/>
      <c r="AH837" s="35"/>
      <c r="AI837" s="35"/>
      <c r="AJ837" s="35"/>
      <c r="AK837" s="35"/>
      <c r="AL837" s="35"/>
    </row>
    <row r="838" ht="35.25" customHeight="1">
      <c r="A838" s="1" t="s">
        <v>2</v>
      </c>
      <c r="B838" s="19" t="s">
        <v>2073</v>
      </c>
      <c r="C838" s="20" t="s">
        <v>2036</v>
      </c>
      <c r="D838" s="47"/>
      <c r="E838" s="22" t="s">
        <v>2402</v>
      </c>
      <c r="F838" s="23" t="s">
        <v>1046</v>
      </c>
      <c r="G838" s="23">
        <v>2018.0</v>
      </c>
      <c r="H838" s="22" t="s">
        <v>2505</v>
      </c>
      <c r="I838" s="24" t="s">
        <v>4354</v>
      </c>
      <c r="J838" s="22" t="s">
        <v>125</v>
      </c>
      <c r="K838" s="22"/>
      <c r="L838" s="132" t="s">
        <v>4355</v>
      </c>
      <c r="U838" s="38" t="str">
        <f>HYPERLINK("https://www.ncbi.nlm.nih.gov/pubmed/29327206","PubMed")</f>
        <v>PubMed</v>
      </c>
      <c r="V838" s="30"/>
      <c r="W838" s="49"/>
      <c r="X838" s="49"/>
      <c r="Y838" s="35"/>
      <c r="Z838" s="35"/>
      <c r="AA838" s="35"/>
      <c r="AB838" s="35"/>
      <c r="AC838" s="35"/>
      <c r="AD838" s="35"/>
      <c r="AE838" s="35"/>
      <c r="AF838" s="35"/>
      <c r="AG838" s="35"/>
      <c r="AH838" s="35"/>
      <c r="AI838" s="35"/>
      <c r="AJ838" s="35"/>
      <c r="AK838" s="35"/>
      <c r="AL838" s="35"/>
    </row>
    <row r="839" ht="35.25" customHeight="1">
      <c r="A839" s="1"/>
      <c r="B839" s="19" t="s">
        <v>2073</v>
      </c>
      <c r="C839" s="20" t="s">
        <v>2036</v>
      </c>
      <c r="D839" s="47"/>
      <c r="E839" s="22" t="s">
        <v>4356</v>
      </c>
      <c r="F839" s="23" t="s">
        <v>4357</v>
      </c>
      <c r="G839" s="23">
        <v>2017.0</v>
      </c>
      <c r="H839" s="22" t="s">
        <v>4358</v>
      </c>
      <c r="I839" s="24" t="s">
        <v>4359</v>
      </c>
      <c r="J839" s="22" t="s">
        <v>125</v>
      </c>
      <c r="K839" s="22"/>
      <c r="L839" s="132" t="s">
        <v>4360</v>
      </c>
      <c r="U839" s="38" t="str">
        <f>HYPERLINK("https://www.ncbi.nlm.nih.gov/pubmed/28580093","PubMed")</f>
        <v>PubMed</v>
      </c>
      <c r="V839" s="30"/>
      <c r="W839" s="49"/>
      <c r="X839" s="49"/>
      <c r="Y839" s="35"/>
      <c r="Z839" s="35"/>
      <c r="AA839" s="35"/>
      <c r="AB839" s="35"/>
      <c r="AC839" s="35"/>
      <c r="AD839" s="35"/>
      <c r="AE839" s="35"/>
      <c r="AF839" s="35"/>
      <c r="AG839" s="35"/>
      <c r="AH839" s="35"/>
      <c r="AI839" s="35"/>
      <c r="AJ839" s="35"/>
      <c r="AK839" s="35"/>
      <c r="AL839" s="35"/>
    </row>
    <row r="840" ht="35.25" customHeight="1">
      <c r="A840" s="1"/>
      <c r="B840" s="19" t="s">
        <v>2073</v>
      </c>
      <c r="C840" s="20" t="s">
        <v>2036</v>
      </c>
      <c r="D840" s="47"/>
      <c r="E840" s="22" t="s">
        <v>2482</v>
      </c>
      <c r="F840" s="23" t="s">
        <v>2407</v>
      </c>
      <c r="G840" s="23">
        <v>2016.0</v>
      </c>
      <c r="H840" s="22" t="s">
        <v>4361</v>
      </c>
      <c r="I840" s="24" t="s">
        <v>4362</v>
      </c>
      <c r="J840" s="22" t="s">
        <v>4363</v>
      </c>
      <c r="K840" s="22"/>
      <c r="L840" s="132" t="s">
        <v>4364</v>
      </c>
      <c r="U840" s="38" t="str">
        <f>HYPERLINK("http://www.biochemist.org/bio/03806/0024/038060024.pdf","PDF")</f>
        <v>PDF</v>
      </c>
      <c r="V840" s="30"/>
      <c r="W840" s="49"/>
      <c r="X840" s="49"/>
      <c r="Y840" s="35"/>
      <c r="Z840" s="35"/>
      <c r="AA840" s="35"/>
      <c r="AB840" s="35"/>
      <c r="AC840" s="35"/>
      <c r="AD840" s="35"/>
      <c r="AE840" s="35"/>
      <c r="AF840" s="35"/>
      <c r="AG840" s="35"/>
      <c r="AH840" s="35"/>
      <c r="AI840" s="35"/>
      <c r="AJ840" s="35"/>
      <c r="AK840" s="35"/>
      <c r="AL840" s="35"/>
    </row>
    <row r="841" ht="35.25" customHeight="1">
      <c r="A841" s="1"/>
      <c r="B841" s="19" t="s">
        <v>2073</v>
      </c>
      <c r="C841" s="20" t="s">
        <v>2036</v>
      </c>
      <c r="D841" s="47"/>
      <c r="E841" s="22" t="s">
        <v>2482</v>
      </c>
      <c r="F841" s="23" t="s">
        <v>2407</v>
      </c>
      <c r="G841" s="23">
        <v>2016.0</v>
      </c>
      <c r="H841" s="22" t="s">
        <v>4365</v>
      </c>
      <c r="I841" s="24" t="s">
        <v>4366</v>
      </c>
      <c r="J841" s="22" t="s">
        <v>125</v>
      </c>
      <c r="K841" s="22"/>
      <c r="L841" s="171" t="s">
        <v>4367</v>
      </c>
      <c r="M841" s="44"/>
      <c r="N841" s="44"/>
      <c r="O841" s="44"/>
      <c r="P841" s="44"/>
      <c r="Q841" s="44"/>
      <c r="R841" s="44"/>
      <c r="S841" s="44"/>
      <c r="T841" s="45"/>
      <c r="U841" s="38" t="str">
        <f>HYPERLINK("https://www.ncbi.nlm.nih.gov/pubmed/27752476","PubMed")</f>
        <v>PubMed</v>
      </c>
      <c r="V841" s="30"/>
      <c r="W841" s="49"/>
      <c r="X841" s="49"/>
      <c r="Y841" s="35"/>
      <c r="Z841" s="35"/>
      <c r="AA841" s="35"/>
      <c r="AB841" s="35"/>
      <c r="AC841" s="35"/>
      <c r="AD841" s="35"/>
      <c r="AE841" s="35"/>
      <c r="AF841" s="35"/>
      <c r="AG841" s="35"/>
      <c r="AH841" s="35"/>
      <c r="AI841" s="35"/>
      <c r="AJ841" s="35"/>
      <c r="AK841" s="35"/>
      <c r="AL841" s="35"/>
    </row>
    <row r="842" ht="35.25" customHeight="1">
      <c r="A842" s="1"/>
      <c r="B842" s="19" t="s">
        <v>2073</v>
      </c>
      <c r="C842" s="20" t="s">
        <v>2036</v>
      </c>
      <c r="D842" s="47"/>
      <c r="E842" s="22" t="s">
        <v>4368</v>
      </c>
      <c r="F842" s="23" t="s">
        <v>2130</v>
      </c>
      <c r="G842" s="23">
        <v>2015.0</v>
      </c>
      <c r="H842" s="22" t="s">
        <v>2131</v>
      </c>
      <c r="I842" s="24" t="s">
        <v>4369</v>
      </c>
      <c r="J842" s="22" t="s">
        <v>4370</v>
      </c>
      <c r="K842" s="22"/>
      <c r="L842" s="171" t="s">
        <v>4371</v>
      </c>
      <c r="M842" s="44"/>
      <c r="N842" s="44"/>
      <c r="O842" s="44"/>
      <c r="P842" s="44"/>
      <c r="Q842" s="44"/>
      <c r="R842" s="44"/>
      <c r="S842" s="44"/>
      <c r="T842" s="45"/>
      <c r="U842" s="38" t="str">
        <f>HYPERLINK("https://www.ncbi.nlm.nih.gov/pubmed/26029050","PubMed")</f>
        <v>PubMed</v>
      </c>
      <c r="V842" s="30"/>
      <c r="W842" s="49"/>
      <c r="X842" s="49"/>
      <c r="Y842" s="35"/>
      <c r="Z842" s="35"/>
      <c r="AA842" s="35"/>
      <c r="AB842" s="35"/>
      <c r="AC842" s="35"/>
      <c r="AD842" s="35"/>
      <c r="AE842" s="35"/>
      <c r="AF842" s="35"/>
      <c r="AG842" s="35"/>
      <c r="AH842" s="35"/>
      <c r="AI842" s="35"/>
      <c r="AJ842" s="35"/>
      <c r="AK842" s="35"/>
      <c r="AL842" s="35"/>
    </row>
    <row r="843" ht="35.25" customHeight="1">
      <c r="A843" s="1"/>
      <c r="B843" s="19" t="s">
        <v>2073</v>
      </c>
      <c r="C843" s="20" t="s">
        <v>2036</v>
      </c>
      <c r="D843" s="47"/>
      <c r="E843" s="22" t="s">
        <v>2894</v>
      </c>
      <c r="F843" s="22" t="s">
        <v>2407</v>
      </c>
      <c r="G843" s="23">
        <v>2011.0</v>
      </c>
      <c r="H843" s="22" t="s">
        <v>658</v>
      </c>
      <c r="I843" s="24" t="s">
        <v>4372</v>
      </c>
      <c r="J843" s="22" t="s">
        <v>202</v>
      </c>
      <c r="K843" s="22"/>
      <c r="L843" s="171" t="s">
        <v>4373</v>
      </c>
      <c r="M843" s="44"/>
      <c r="N843" s="44"/>
      <c r="O843" s="44"/>
      <c r="P843" s="44"/>
      <c r="Q843" s="44"/>
      <c r="R843" s="44"/>
      <c r="S843" s="44"/>
      <c r="T843" s="45"/>
      <c r="U843" s="38" t="str">
        <f>HYPERLINK("https://www.ncbi.nlm.nih.gov/pubmed/21728786","PubMed")</f>
        <v>PubMed</v>
      </c>
      <c r="V843" s="30"/>
      <c r="W843" s="49"/>
      <c r="X843" s="49"/>
      <c r="Y843" s="35"/>
      <c r="Z843" s="35"/>
      <c r="AA843" s="35"/>
      <c r="AB843" s="35"/>
      <c r="AC843" s="35"/>
      <c r="AD843" s="35"/>
      <c r="AE843" s="35"/>
      <c r="AF843" s="35"/>
      <c r="AG843" s="35"/>
      <c r="AH843" s="35"/>
      <c r="AI843" s="35"/>
      <c r="AJ843" s="35"/>
      <c r="AK843" s="35"/>
      <c r="AL843" s="35"/>
    </row>
    <row r="844" ht="35.25" customHeight="1">
      <c r="A844" s="1"/>
      <c r="B844" s="157" t="s">
        <v>2073</v>
      </c>
      <c r="C844" s="158" t="s">
        <v>4374</v>
      </c>
      <c r="D844" s="159"/>
      <c r="E844" s="56" t="s">
        <v>4375</v>
      </c>
      <c r="F844" s="22" t="s">
        <v>4376</v>
      </c>
      <c r="G844" s="57">
        <v>2024.0</v>
      </c>
      <c r="H844" s="22" t="s">
        <v>4377</v>
      </c>
      <c r="I844" s="58" t="s">
        <v>4378</v>
      </c>
      <c r="J844" s="23" t="s">
        <v>44</v>
      </c>
      <c r="K844" s="22"/>
      <c r="L844" s="36" t="s">
        <v>4379</v>
      </c>
      <c r="M844" s="36"/>
      <c r="N844" s="36"/>
      <c r="O844" s="36"/>
      <c r="P844" s="37"/>
      <c r="Q844" s="36"/>
      <c r="R844" s="36"/>
      <c r="S844" s="36"/>
      <c r="T844" s="63" t="s">
        <v>4380</v>
      </c>
      <c r="U844" s="60" t="s">
        <v>61</v>
      </c>
      <c r="V844" s="50"/>
      <c r="W844" s="162"/>
      <c r="X844" s="156"/>
      <c r="Y844" s="35"/>
      <c r="Z844" s="35"/>
      <c r="AA844" s="35"/>
      <c r="AB844" s="35"/>
      <c r="AC844" s="35"/>
      <c r="AD844" s="35"/>
      <c r="AE844" s="35"/>
      <c r="AF844" s="35"/>
      <c r="AG844" s="35"/>
      <c r="AH844" s="35"/>
      <c r="AI844" s="35"/>
      <c r="AJ844" s="35"/>
      <c r="AK844" s="35"/>
      <c r="AL844" s="35"/>
    </row>
    <row r="845" ht="35.25" customHeight="1">
      <c r="A845" s="1" t="s">
        <v>38</v>
      </c>
      <c r="B845" s="157" t="s">
        <v>2073</v>
      </c>
      <c r="C845" s="158" t="s">
        <v>4381</v>
      </c>
      <c r="D845" s="159"/>
      <c r="E845" s="56" t="s">
        <v>2293</v>
      </c>
      <c r="F845" s="22" t="s">
        <v>323</v>
      </c>
      <c r="G845" s="57">
        <v>2022.0</v>
      </c>
      <c r="H845" s="22" t="s">
        <v>91</v>
      </c>
      <c r="I845" s="58" t="s">
        <v>4382</v>
      </c>
      <c r="J845" s="22" t="s">
        <v>4383</v>
      </c>
      <c r="K845" s="22" t="s">
        <v>2296</v>
      </c>
      <c r="L845" s="36" t="s">
        <v>465</v>
      </c>
      <c r="M845" s="36" t="s">
        <v>4384</v>
      </c>
      <c r="N845" s="36" t="s">
        <v>4385</v>
      </c>
      <c r="O845" s="36" t="s">
        <v>58</v>
      </c>
      <c r="P845" s="37" t="s">
        <v>4386</v>
      </c>
      <c r="Q845" s="36" t="s">
        <v>58</v>
      </c>
      <c r="R845" s="36">
        <v>900.0</v>
      </c>
      <c r="S845" s="36" t="s">
        <v>4387</v>
      </c>
      <c r="T845" s="71" t="s">
        <v>4388</v>
      </c>
      <c r="U845" s="64" t="s">
        <v>61</v>
      </c>
      <c r="V845" s="50"/>
      <c r="W845" s="162"/>
      <c r="X845" s="156"/>
      <c r="Y845" s="35"/>
      <c r="Z845" s="35"/>
      <c r="AA845" s="35"/>
      <c r="AB845" s="35"/>
      <c r="AC845" s="35"/>
      <c r="AD845" s="35"/>
      <c r="AE845" s="35"/>
      <c r="AF845" s="35"/>
      <c r="AG845" s="35"/>
      <c r="AH845" s="35"/>
      <c r="AI845" s="35"/>
      <c r="AJ845" s="35"/>
      <c r="AK845" s="35"/>
      <c r="AL845" s="35"/>
    </row>
    <row r="846" ht="35.25" customHeight="1">
      <c r="A846" s="18"/>
      <c r="B846" s="157" t="s">
        <v>2073</v>
      </c>
      <c r="C846" s="158" t="s">
        <v>4389</v>
      </c>
      <c r="D846" s="159"/>
      <c r="E846" s="56" t="s">
        <v>4390</v>
      </c>
      <c r="F846" s="22" t="s">
        <v>4391</v>
      </c>
      <c r="G846" s="57">
        <v>2023.0</v>
      </c>
      <c r="H846" s="22" t="s">
        <v>77</v>
      </c>
      <c r="I846" s="58" t="s">
        <v>4392</v>
      </c>
      <c r="J846" s="22" t="s">
        <v>4393</v>
      </c>
      <c r="K846" s="22" t="s">
        <v>157</v>
      </c>
      <c r="L846" s="36" t="s">
        <v>4394</v>
      </c>
      <c r="M846" s="36"/>
      <c r="N846" s="36"/>
      <c r="O846" s="36"/>
      <c r="P846" s="37"/>
      <c r="Q846" s="36"/>
      <c r="R846" s="36"/>
      <c r="S846" s="36"/>
      <c r="T846" s="63" t="s">
        <v>4395</v>
      </c>
      <c r="U846" s="60" t="s">
        <v>61</v>
      </c>
      <c r="V846" s="30"/>
      <c r="W846" s="162"/>
      <c r="X846" s="156"/>
      <c r="Y846" s="35"/>
      <c r="Z846" s="35"/>
      <c r="AA846" s="35"/>
      <c r="AB846" s="35"/>
      <c r="AC846" s="35"/>
      <c r="AD846" s="35"/>
      <c r="AE846" s="35"/>
      <c r="AF846" s="35"/>
      <c r="AG846" s="35"/>
      <c r="AH846" s="35"/>
      <c r="AI846" s="35"/>
      <c r="AJ846" s="35"/>
      <c r="AK846" s="35"/>
      <c r="AL846" s="35"/>
    </row>
    <row r="847" ht="35.25" customHeight="1">
      <c r="A847" s="18"/>
      <c r="B847" s="157" t="s">
        <v>2073</v>
      </c>
      <c r="C847" s="158" t="s">
        <v>4389</v>
      </c>
      <c r="D847" s="159"/>
      <c r="E847" s="56" t="s">
        <v>4396</v>
      </c>
      <c r="F847" s="22" t="s">
        <v>4397</v>
      </c>
      <c r="G847" s="57">
        <v>2022.0</v>
      </c>
      <c r="H847" s="22" t="s">
        <v>42</v>
      </c>
      <c r="I847" s="58" t="s">
        <v>4398</v>
      </c>
      <c r="J847" s="22" t="s">
        <v>4399</v>
      </c>
      <c r="K847" s="22" t="s">
        <v>4400</v>
      </c>
      <c r="L847" s="36" t="s">
        <v>4401</v>
      </c>
      <c r="M847" s="36"/>
      <c r="N847" s="36"/>
      <c r="O847" s="36">
        <v>648.0</v>
      </c>
      <c r="P847" s="37"/>
      <c r="Q847" s="36"/>
      <c r="R847" s="36"/>
      <c r="S847" s="36"/>
      <c r="T847" s="63" t="s">
        <v>4402</v>
      </c>
      <c r="U847" s="60" t="s">
        <v>61</v>
      </c>
      <c r="V847" s="30" t="s">
        <v>174</v>
      </c>
      <c r="W847" s="162"/>
      <c r="X847" s="156"/>
      <c r="Y847" s="35"/>
      <c r="Z847" s="35"/>
      <c r="AA847" s="35"/>
      <c r="AB847" s="35"/>
      <c r="AC847" s="35"/>
      <c r="AD847" s="35"/>
      <c r="AE847" s="35"/>
      <c r="AF847" s="35"/>
      <c r="AG847" s="35"/>
      <c r="AH847" s="35"/>
      <c r="AI847" s="35"/>
      <c r="AJ847" s="35"/>
      <c r="AK847" s="35"/>
      <c r="AL847" s="35"/>
    </row>
    <row r="848" ht="35.25" customHeight="1">
      <c r="A848" s="18"/>
      <c r="B848" s="157" t="s">
        <v>2073</v>
      </c>
      <c r="C848" s="158" t="s">
        <v>4389</v>
      </c>
      <c r="D848" s="159"/>
      <c r="E848" s="56" t="s">
        <v>4403</v>
      </c>
      <c r="F848" s="22" t="s">
        <v>1508</v>
      </c>
      <c r="G848" s="57">
        <v>2022.0</v>
      </c>
      <c r="H848" s="22" t="s">
        <v>77</v>
      </c>
      <c r="I848" s="58" t="s">
        <v>4404</v>
      </c>
      <c r="J848" s="22" t="s">
        <v>4405</v>
      </c>
      <c r="K848" s="22"/>
      <c r="L848" s="36">
        <v>633.0</v>
      </c>
      <c r="M848" s="36" t="s">
        <v>58</v>
      </c>
      <c r="N848" s="36" t="s">
        <v>4406</v>
      </c>
      <c r="O848" s="36" t="s">
        <v>58</v>
      </c>
      <c r="P848" s="37" t="s">
        <v>3872</v>
      </c>
      <c r="Q848" s="36" t="s">
        <v>58</v>
      </c>
      <c r="R848" s="36">
        <v>3600.0</v>
      </c>
      <c r="S848" s="36" t="s">
        <v>4407</v>
      </c>
      <c r="T848" s="63" t="s">
        <v>4408</v>
      </c>
      <c r="U848" s="60" t="s">
        <v>61</v>
      </c>
      <c r="V848" s="30" t="s">
        <v>4409</v>
      </c>
      <c r="W848" s="162"/>
      <c r="X848" s="156"/>
      <c r="Y848" s="35"/>
      <c r="Z848" s="35"/>
      <c r="AA848" s="35"/>
      <c r="AB848" s="35"/>
      <c r="AC848" s="35"/>
      <c r="AD848" s="35"/>
      <c r="AE848" s="35"/>
      <c r="AF848" s="35"/>
      <c r="AG848" s="35"/>
      <c r="AH848" s="35"/>
      <c r="AI848" s="35"/>
      <c r="AJ848" s="35"/>
      <c r="AK848" s="35"/>
      <c r="AL848" s="35"/>
    </row>
    <row r="849" ht="35.25" customHeight="1">
      <c r="A849" s="18"/>
      <c r="B849" s="157" t="s">
        <v>2073</v>
      </c>
      <c r="C849" s="158" t="s">
        <v>4389</v>
      </c>
      <c r="D849" s="159"/>
      <c r="E849" s="56" t="s">
        <v>4410</v>
      </c>
      <c r="F849" s="22" t="s">
        <v>4411</v>
      </c>
      <c r="G849" s="57">
        <v>2022.0</v>
      </c>
      <c r="H849" s="22" t="s">
        <v>4412</v>
      </c>
      <c r="I849" s="58" t="s">
        <v>4413</v>
      </c>
      <c r="J849" s="22" t="s">
        <v>125</v>
      </c>
      <c r="K849" s="22"/>
      <c r="L849" s="167" t="s">
        <v>4414</v>
      </c>
      <c r="M849" s="44"/>
      <c r="N849" s="44"/>
      <c r="O849" s="44"/>
      <c r="P849" s="44"/>
      <c r="Q849" s="44"/>
      <c r="R849" s="44"/>
      <c r="S849" s="44"/>
      <c r="T849" s="45"/>
      <c r="U849" s="60" t="s">
        <v>61</v>
      </c>
      <c r="V849" s="50"/>
      <c r="W849" s="162"/>
      <c r="X849" s="156"/>
      <c r="Y849" s="35"/>
      <c r="Z849" s="35"/>
      <c r="AA849" s="35"/>
      <c r="AB849" s="35"/>
      <c r="AC849" s="35"/>
      <c r="AD849" s="35"/>
      <c r="AE849" s="35"/>
      <c r="AF849" s="35"/>
      <c r="AG849" s="35"/>
      <c r="AH849" s="35"/>
      <c r="AI849" s="35"/>
      <c r="AJ849" s="35"/>
      <c r="AK849" s="35"/>
      <c r="AL849" s="35"/>
    </row>
    <row r="850" ht="35.25" customHeight="1">
      <c r="A850" s="18"/>
      <c r="B850" s="157" t="s">
        <v>2073</v>
      </c>
      <c r="C850" s="158" t="s">
        <v>4389</v>
      </c>
      <c r="D850" s="159"/>
      <c r="E850" s="56" t="s">
        <v>4415</v>
      </c>
      <c r="F850" s="22" t="s">
        <v>41</v>
      </c>
      <c r="G850" s="57">
        <v>2022.0</v>
      </c>
      <c r="H850" s="22" t="s">
        <v>3523</v>
      </c>
      <c r="I850" s="58" t="s">
        <v>4416</v>
      </c>
      <c r="J850" s="22" t="s">
        <v>4417</v>
      </c>
      <c r="K850" s="22"/>
      <c r="L850" s="36" t="s">
        <v>4418</v>
      </c>
      <c r="M850" s="36"/>
      <c r="N850" s="36"/>
      <c r="O850" s="36" t="s">
        <v>4419</v>
      </c>
      <c r="P850" s="37"/>
      <c r="Q850" s="36"/>
      <c r="R850" s="36"/>
      <c r="S850" s="36" t="s">
        <v>4420</v>
      </c>
      <c r="T850" s="71" t="s">
        <v>4421</v>
      </c>
      <c r="U850" s="64" t="s">
        <v>61</v>
      </c>
      <c r="V850" s="50"/>
      <c r="W850" s="162"/>
      <c r="X850" s="156"/>
      <c r="Y850" s="35"/>
      <c r="Z850" s="35"/>
      <c r="AA850" s="35"/>
      <c r="AB850" s="35"/>
      <c r="AC850" s="35"/>
      <c r="AD850" s="35"/>
      <c r="AE850" s="35"/>
      <c r="AF850" s="35"/>
      <c r="AG850" s="35"/>
      <c r="AH850" s="35"/>
      <c r="AI850" s="35"/>
      <c r="AJ850" s="35"/>
      <c r="AK850" s="35"/>
      <c r="AL850" s="35"/>
    </row>
    <row r="851" ht="35.25" customHeight="1">
      <c r="A851" s="18"/>
      <c r="B851" s="157" t="s">
        <v>2073</v>
      </c>
      <c r="C851" s="158" t="s">
        <v>4389</v>
      </c>
      <c r="D851" s="159"/>
      <c r="E851" s="56" t="s">
        <v>4422</v>
      </c>
      <c r="F851" s="22" t="s">
        <v>41</v>
      </c>
      <c r="G851" s="57">
        <v>2019.0</v>
      </c>
      <c r="H851" s="22" t="s">
        <v>91</v>
      </c>
      <c r="I851" s="58" t="s">
        <v>4423</v>
      </c>
      <c r="J851" s="22" t="s">
        <v>4424</v>
      </c>
      <c r="K851" s="22" t="s">
        <v>4425</v>
      </c>
      <c r="L851" s="36" t="s">
        <v>194</v>
      </c>
      <c r="M851" s="36"/>
      <c r="N851" s="36"/>
      <c r="O851" s="36" t="s">
        <v>4426</v>
      </c>
      <c r="P851" s="37"/>
      <c r="Q851" s="36"/>
      <c r="R851" s="36"/>
      <c r="S851" s="36" t="s">
        <v>4420</v>
      </c>
      <c r="T851" s="63" t="s">
        <v>4427</v>
      </c>
      <c r="U851" s="161" t="str">
        <f>HYPERLINK("https://www.ncbi.nlm.nih.gov/pubmed/31782023","PubMed")</f>
        <v>PubMed</v>
      </c>
      <c r="V851" s="50"/>
      <c r="W851" s="162"/>
      <c r="X851" s="156"/>
      <c r="Y851" s="35"/>
      <c r="Z851" s="35"/>
      <c r="AA851" s="35"/>
      <c r="AB851" s="35"/>
      <c r="AC851" s="35"/>
      <c r="AD851" s="35"/>
      <c r="AE851" s="35"/>
      <c r="AF851" s="35"/>
      <c r="AG851" s="35"/>
      <c r="AH851" s="35"/>
      <c r="AI851" s="35"/>
      <c r="AJ851" s="35"/>
      <c r="AK851" s="35"/>
      <c r="AL851" s="35"/>
    </row>
    <row r="852" ht="35.25" customHeight="1">
      <c r="A852" s="18" t="s">
        <v>2</v>
      </c>
      <c r="B852" s="157" t="s">
        <v>2073</v>
      </c>
      <c r="C852" s="158" t="s">
        <v>4389</v>
      </c>
      <c r="D852" s="159"/>
      <c r="E852" s="56" t="s">
        <v>2787</v>
      </c>
      <c r="F852" s="22" t="s">
        <v>2407</v>
      </c>
      <c r="G852" s="57">
        <v>2019.0</v>
      </c>
      <c r="H852" s="22" t="s">
        <v>77</v>
      </c>
      <c r="I852" s="58" t="s">
        <v>4428</v>
      </c>
      <c r="J852" s="22" t="s">
        <v>4429</v>
      </c>
      <c r="K852" s="22" t="s">
        <v>4430</v>
      </c>
      <c r="L852" s="36" t="s">
        <v>2932</v>
      </c>
      <c r="M852" s="36">
        <v>500.0</v>
      </c>
      <c r="N852" s="36" t="s">
        <v>4431</v>
      </c>
      <c r="O852" s="36"/>
      <c r="P852" s="37"/>
      <c r="Q852" s="36" t="s">
        <v>4432</v>
      </c>
      <c r="R852" s="36"/>
      <c r="S852" s="36" t="s">
        <v>4433</v>
      </c>
      <c r="T852" s="63" t="s">
        <v>4434</v>
      </c>
      <c r="U852" s="161" t="str">
        <f>HYPERLINK("https://www.ncbi.nlm.nih.gov/pubmed/31621498","PubMed")</f>
        <v>PubMed</v>
      </c>
      <c r="V852" s="50"/>
      <c r="W852" s="162"/>
      <c r="X852" s="156"/>
      <c r="Y852" s="35"/>
      <c r="Z852" s="35"/>
      <c r="AA852" s="35"/>
      <c r="AB852" s="35"/>
      <c r="AC852" s="35"/>
      <c r="AD852" s="35"/>
      <c r="AE852" s="35"/>
      <c r="AF852" s="35"/>
      <c r="AG852" s="35"/>
      <c r="AH852" s="35"/>
      <c r="AI852" s="35"/>
      <c r="AJ852" s="35"/>
      <c r="AK852" s="35"/>
      <c r="AL852" s="35"/>
    </row>
    <row r="853" ht="35.25" customHeight="1">
      <c r="A853" s="89"/>
      <c r="B853" s="157" t="s">
        <v>2073</v>
      </c>
      <c r="C853" s="158" t="s">
        <v>4389</v>
      </c>
      <c r="D853" s="159"/>
      <c r="E853" s="56" t="s">
        <v>4435</v>
      </c>
      <c r="F853" s="22" t="s">
        <v>4436</v>
      </c>
      <c r="G853" s="57">
        <v>2014.0</v>
      </c>
      <c r="H853" s="56" t="s">
        <v>4437</v>
      </c>
      <c r="I853" s="58" t="s">
        <v>4438</v>
      </c>
      <c r="J853" s="22" t="s">
        <v>2141</v>
      </c>
      <c r="K853" s="22"/>
      <c r="L853" s="210"/>
      <c r="M853" s="210"/>
      <c r="N853" s="210"/>
      <c r="O853" s="210"/>
      <c r="P853" s="211"/>
      <c r="Q853" s="210"/>
      <c r="R853" s="210"/>
      <c r="S853" s="210"/>
      <c r="T853" s="59"/>
      <c r="U853" s="161" t="str">
        <f>HYPERLINK("https://www.ncbi.nlm.nih.gov/pubmed/23013107","PubMed")</f>
        <v>PubMed</v>
      </c>
      <c r="V853" s="50"/>
      <c r="W853" s="162"/>
      <c r="X853" s="156"/>
      <c r="Y853" s="35"/>
      <c r="Z853" s="35"/>
      <c r="AA853" s="35"/>
      <c r="AB853" s="35"/>
      <c r="AC853" s="35"/>
      <c r="AD853" s="35"/>
      <c r="AE853" s="35"/>
      <c r="AF853" s="35"/>
      <c r="AG853" s="35"/>
      <c r="AH853" s="35"/>
      <c r="AI853" s="35"/>
      <c r="AJ853" s="35"/>
      <c r="AK853" s="35"/>
      <c r="AL853" s="35"/>
    </row>
    <row r="854" ht="35.25" customHeight="1">
      <c r="A854" s="89"/>
      <c r="B854" s="157" t="s">
        <v>2073</v>
      </c>
      <c r="C854" s="158" t="s">
        <v>4389</v>
      </c>
      <c r="D854" s="159"/>
      <c r="E854" s="56" t="s">
        <v>4439</v>
      </c>
      <c r="F854" s="22" t="s">
        <v>4440</v>
      </c>
      <c r="G854" s="57">
        <v>2014.0</v>
      </c>
      <c r="H854" s="56" t="s">
        <v>4441</v>
      </c>
      <c r="I854" s="58" t="s">
        <v>4442</v>
      </c>
      <c r="J854" s="22" t="s">
        <v>4443</v>
      </c>
      <c r="K854" s="22" t="s">
        <v>4444</v>
      </c>
      <c r="L854" s="36">
        <v>808.0</v>
      </c>
      <c r="M854" s="36"/>
      <c r="N854" s="36"/>
      <c r="O854" s="36"/>
      <c r="P854" s="37"/>
      <c r="Q854" s="36"/>
      <c r="R854" s="36" t="s">
        <v>4445</v>
      </c>
      <c r="S854" s="36">
        <v>1.0</v>
      </c>
      <c r="T854" s="71" t="s">
        <v>4446</v>
      </c>
      <c r="U854" s="161" t="str">
        <f>HYPERLINK("https://www.ncbi.nlm.nih.gov/pubmed/25293665","PubMed")</f>
        <v>PubMed</v>
      </c>
      <c r="V854" s="50"/>
      <c r="W854" s="162"/>
      <c r="X854" s="156"/>
      <c r="Y854" s="35"/>
      <c r="Z854" s="35"/>
      <c r="AA854" s="35"/>
      <c r="AB854" s="35"/>
      <c r="AC854" s="35"/>
      <c r="AD854" s="35"/>
      <c r="AE854" s="35"/>
      <c r="AF854" s="35"/>
      <c r="AG854" s="35"/>
      <c r="AH854" s="35"/>
      <c r="AI854" s="35"/>
      <c r="AJ854" s="35"/>
      <c r="AK854" s="35"/>
      <c r="AL854" s="35"/>
    </row>
    <row r="855" ht="35.25" customHeight="1">
      <c r="A855" s="51"/>
      <c r="B855" s="157" t="s">
        <v>2073</v>
      </c>
      <c r="C855" s="158" t="s">
        <v>4389</v>
      </c>
      <c r="D855" s="159"/>
      <c r="E855" s="56" t="s">
        <v>4447</v>
      </c>
      <c r="F855" s="22" t="s">
        <v>4448</v>
      </c>
      <c r="G855" s="57">
        <v>2013.0</v>
      </c>
      <c r="H855" s="56" t="s">
        <v>4441</v>
      </c>
      <c r="I855" s="58" t="s">
        <v>4449</v>
      </c>
      <c r="J855" s="22" t="s">
        <v>4450</v>
      </c>
      <c r="K855" s="22" t="s">
        <v>4451</v>
      </c>
      <c r="L855" s="36"/>
      <c r="M855" s="36"/>
      <c r="N855" s="36"/>
      <c r="O855" s="36"/>
      <c r="P855" s="37"/>
      <c r="Q855" s="36"/>
      <c r="R855" s="36"/>
      <c r="S855" s="36"/>
      <c r="T855" s="71" t="s">
        <v>4452</v>
      </c>
      <c r="U855" s="64" t="s">
        <v>61</v>
      </c>
      <c r="V855" s="30"/>
      <c r="W855" s="162"/>
      <c r="X855" s="156"/>
      <c r="Y855" s="35"/>
      <c r="Z855" s="35"/>
      <c r="AA855" s="35"/>
      <c r="AB855" s="35"/>
      <c r="AC855" s="35"/>
      <c r="AD855" s="35"/>
      <c r="AE855" s="35"/>
      <c r="AF855" s="35"/>
      <c r="AG855" s="35"/>
      <c r="AH855" s="35"/>
      <c r="AI855" s="35"/>
      <c r="AJ855" s="35"/>
      <c r="AK855" s="35"/>
      <c r="AL855" s="35"/>
    </row>
    <row r="856" ht="35.25" customHeight="1">
      <c r="A856" s="89"/>
      <c r="B856" s="157" t="s">
        <v>2073</v>
      </c>
      <c r="C856" s="158" t="s">
        <v>4389</v>
      </c>
      <c r="D856" s="159"/>
      <c r="E856" s="56" t="s">
        <v>4453</v>
      </c>
      <c r="F856" s="22" t="s">
        <v>4454</v>
      </c>
      <c r="G856" s="57">
        <v>2012.0</v>
      </c>
      <c r="H856" s="56" t="s">
        <v>4455</v>
      </c>
      <c r="I856" s="58" t="s">
        <v>4456</v>
      </c>
      <c r="J856" s="22" t="s">
        <v>4457</v>
      </c>
      <c r="K856" s="22" t="s">
        <v>157</v>
      </c>
      <c r="L856" s="36" t="s">
        <v>3031</v>
      </c>
      <c r="M856" s="36">
        <v>1400.0</v>
      </c>
      <c r="N856" s="36"/>
      <c r="O856" s="36"/>
      <c r="P856" s="37"/>
      <c r="Q856" s="36" t="s">
        <v>4458</v>
      </c>
      <c r="R856" s="36">
        <v>3600.0</v>
      </c>
      <c r="S856" s="36" t="s">
        <v>4459</v>
      </c>
      <c r="T856" s="63" t="s">
        <v>4460</v>
      </c>
      <c r="U856" s="161" t="str">
        <f>HYPERLINK("https://www.ncbi.nlm.nih.gov/pubmed/22967677","PubMed")</f>
        <v>PubMed</v>
      </c>
      <c r="V856" s="50"/>
      <c r="W856" s="162"/>
      <c r="X856" s="156"/>
      <c r="Y856" s="35"/>
      <c r="Z856" s="35"/>
      <c r="AA856" s="35"/>
      <c r="AB856" s="35"/>
      <c r="AC856" s="35"/>
      <c r="AD856" s="35"/>
      <c r="AE856" s="35"/>
      <c r="AF856" s="35"/>
      <c r="AG856" s="35"/>
      <c r="AH856" s="35"/>
      <c r="AI856" s="35"/>
      <c r="AJ856" s="35"/>
      <c r="AK856" s="35"/>
      <c r="AL856" s="35"/>
    </row>
    <row r="857" ht="30.0" customHeight="1">
      <c r="A857" s="89"/>
      <c r="B857" s="157" t="s">
        <v>2073</v>
      </c>
      <c r="C857" s="158" t="s">
        <v>4389</v>
      </c>
      <c r="D857" s="159"/>
      <c r="E857" s="56" t="s">
        <v>4435</v>
      </c>
      <c r="F857" s="22" t="s">
        <v>4436</v>
      </c>
      <c r="G857" s="57">
        <v>2009.0</v>
      </c>
      <c r="H857" s="56" t="s">
        <v>4441</v>
      </c>
      <c r="I857" s="58" t="s">
        <v>4461</v>
      </c>
      <c r="J857" s="22" t="s">
        <v>4462</v>
      </c>
      <c r="K857" s="22" t="s">
        <v>4463</v>
      </c>
      <c r="L857" s="36">
        <v>808.0</v>
      </c>
      <c r="M857" s="36"/>
      <c r="N857" s="36"/>
      <c r="O857" s="36"/>
      <c r="P857" s="37"/>
      <c r="Q857" s="36"/>
      <c r="R857" s="36" t="s">
        <v>4445</v>
      </c>
      <c r="S857" s="36">
        <v>1.0</v>
      </c>
      <c r="T857" s="74" t="s">
        <v>4464</v>
      </c>
      <c r="U857" s="161" t="str">
        <f>HYPERLINK("https://www.ncbi.nlm.nih.gov/pubmed/19233936","PubMed")</f>
        <v>PubMed</v>
      </c>
      <c r="V857" s="50"/>
      <c r="W857" s="162"/>
      <c r="X857" s="156"/>
      <c r="Y857" s="35"/>
      <c r="Z857" s="35"/>
      <c r="AA857" s="35"/>
      <c r="AB857" s="35"/>
      <c r="AC857" s="35"/>
      <c r="AD857" s="35"/>
      <c r="AE857" s="35"/>
      <c r="AF857" s="35"/>
      <c r="AG857" s="35"/>
      <c r="AH857" s="35"/>
      <c r="AI857" s="35"/>
      <c r="AJ857" s="35"/>
      <c r="AK857" s="35"/>
      <c r="AL857" s="35"/>
    </row>
    <row r="858" ht="37.5" customHeight="1">
      <c r="A858" s="89"/>
      <c r="B858" s="157" t="s">
        <v>2073</v>
      </c>
      <c r="C858" s="158" t="s">
        <v>4389</v>
      </c>
      <c r="D858" s="159"/>
      <c r="E858" s="56" t="s">
        <v>4465</v>
      </c>
      <c r="F858" s="22" t="s">
        <v>4466</v>
      </c>
      <c r="G858" s="57">
        <v>2007.0</v>
      </c>
      <c r="H858" s="56" t="s">
        <v>4441</v>
      </c>
      <c r="I858" s="58" t="s">
        <v>4467</v>
      </c>
      <c r="J858" s="22" t="s">
        <v>4468</v>
      </c>
      <c r="K858" s="22" t="s">
        <v>4469</v>
      </c>
      <c r="L858" s="36">
        <v>808.0</v>
      </c>
      <c r="M858" s="36"/>
      <c r="N858" s="36"/>
      <c r="O858" s="36"/>
      <c r="P858" s="37" t="s">
        <v>4470</v>
      </c>
      <c r="Q858" s="36"/>
      <c r="R858" s="36" t="s">
        <v>4445</v>
      </c>
      <c r="S858" s="36">
        <v>1.0</v>
      </c>
      <c r="T858" s="74" t="s">
        <v>4471</v>
      </c>
      <c r="U858" s="161" t="str">
        <f>HYPERLINK("https://www.ncbi.nlm.nih.gov/pubmed/17463313","PubMed")</f>
        <v>PubMed</v>
      </c>
      <c r="V858" s="50"/>
      <c r="W858" s="162"/>
      <c r="X858" s="156"/>
      <c r="Y858" s="35"/>
      <c r="Z858" s="35"/>
      <c r="AA858" s="35"/>
      <c r="AB858" s="35"/>
      <c r="AC858" s="35"/>
      <c r="AD858" s="35"/>
      <c r="AE858" s="35"/>
      <c r="AF858" s="35"/>
      <c r="AG858" s="35"/>
      <c r="AH858" s="35"/>
      <c r="AI858" s="35"/>
      <c r="AJ858" s="35"/>
      <c r="AK858" s="35"/>
      <c r="AL858" s="35"/>
    </row>
    <row r="859" ht="35.25" customHeight="1">
      <c r="A859" s="18"/>
      <c r="B859" s="157" t="s">
        <v>2073</v>
      </c>
      <c r="C859" s="158" t="s">
        <v>4472</v>
      </c>
      <c r="D859" s="159"/>
      <c r="E859" s="56" t="s">
        <v>4410</v>
      </c>
      <c r="F859" s="22" t="s">
        <v>2147</v>
      </c>
      <c r="G859" s="57">
        <v>2024.0</v>
      </c>
      <c r="H859" s="22" t="s">
        <v>4473</v>
      </c>
      <c r="I859" s="58" t="s">
        <v>4474</v>
      </c>
      <c r="J859" s="22" t="s">
        <v>378</v>
      </c>
      <c r="K859" s="22"/>
      <c r="L859" s="36">
        <v>808.0</v>
      </c>
      <c r="M859" s="36"/>
      <c r="N859" s="36" t="s">
        <v>2780</v>
      </c>
      <c r="O859" s="36"/>
      <c r="P859" s="37"/>
      <c r="Q859" s="36"/>
      <c r="R859" s="36">
        <v>120.0</v>
      </c>
      <c r="S859" s="36" t="s">
        <v>35</v>
      </c>
      <c r="T859" s="63" t="s">
        <v>4475</v>
      </c>
      <c r="U859" s="60" t="s">
        <v>61</v>
      </c>
      <c r="V859" s="30"/>
      <c r="W859" s="162"/>
      <c r="X859" s="156"/>
      <c r="Y859" s="35"/>
      <c r="Z859" s="35"/>
      <c r="AA859" s="35"/>
      <c r="AB859" s="35"/>
      <c r="AC859" s="35"/>
      <c r="AD859" s="35"/>
      <c r="AE859" s="35"/>
      <c r="AF859" s="35"/>
      <c r="AG859" s="35"/>
      <c r="AH859" s="35"/>
      <c r="AI859" s="35"/>
      <c r="AJ859" s="35"/>
      <c r="AK859" s="35"/>
      <c r="AL859" s="35"/>
    </row>
    <row r="860" ht="35.25" customHeight="1">
      <c r="A860" s="18"/>
      <c r="B860" s="157" t="s">
        <v>2073</v>
      </c>
      <c r="C860" s="158" t="s">
        <v>4472</v>
      </c>
      <c r="D860" s="159"/>
      <c r="E860" s="56" t="s">
        <v>4476</v>
      </c>
      <c r="F860" s="22" t="s">
        <v>2407</v>
      </c>
      <c r="G860" s="57">
        <v>2024.0</v>
      </c>
      <c r="H860" s="22" t="s">
        <v>4441</v>
      </c>
      <c r="I860" s="58" t="s">
        <v>4477</v>
      </c>
      <c r="J860" s="22" t="s">
        <v>44</v>
      </c>
      <c r="K860" s="22"/>
      <c r="L860" s="36">
        <v>1064.0</v>
      </c>
      <c r="M860" s="36"/>
      <c r="N860" s="36" t="s">
        <v>3911</v>
      </c>
      <c r="O860" s="36"/>
      <c r="P860" s="37"/>
      <c r="Q860" s="36"/>
      <c r="R860" s="36"/>
      <c r="S860" s="36"/>
      <c r="T860" s="63" t="s">
        <v>4478</v>
      </c>
      <c r="U860" s="60" t="s">
        <v>61</v>
      </c>
      <c r="V860" s="30" t="s">
        <v>174</v>
      </c>
      <c r="W860" s="162"/>
      <c r="X860" s="156"/>
      <c r="Y860" s="35"/>
      <c r="Z860" s="35"/>
      <c r="AA860" s="35"/>
      <c r="AB860" s="35"/>
      <c r="AC860" s="35"/>
      <c r="AD860" s="35"/>
      <c r="AE860" s="35"/>
      <c r="AF860" s="35"/>
      <c r="AG860" s="35"/>
      <c r="AH860" s="35"/>
      <c r="AI860" s="35"/>
      <c r="AJ860" s="35"/>
      <c r="AK860" s="35"/>
      <c r="AL860" s="35"/>
    </row>
    <row r="861" ht="35.25" customHeight="1">
      <c r="A861" s="18"/>
      <c r="B861" s="157" t="s">
        <v>2073</v>
      </c>
      <c r="C861" s="158" t="s">
        <v>4472</v>
      </c>
      <c r="D861" s="159"/>
      <c r="E861" s="56" t="s">
        <v>4410</v>
      </c>
      <c r="F861" s="22" t="s">
        <v>2147</v>
      </c>
      <c r="G861" s="57">
        <v>2024.0</v>
      </c>
      <c r="H861" s="22" t="s">
        <v>4479</v>
      </c>
      <c r="I861" s="58" t="s">
        <v>4480</v>
      </c>
      <c r="J861" s="22" t="s">
        <v>378</v>
      </c>
      <c r="K861" s="22"/>
      <c r="L861" s="36">
        <v>808.0</v>
      </c>
      <c r="M861" s="36">
        <v>350.0</v>
      </c>
      <c r="N861" s="36"/>
      <c r="O861" s="36"/>
      <c r="P861" s="37" t="s">
        <v>2693</v>
      </c>
      <c r="Q861" s="36"/>
      <c r="R861" s="36">
        <v>120.0</v>
      </c>
      <c r="S861" s="36" t="s">
        <v>35</v>
      </c>
      <c r="T861" s="63" t="s">
        <v>4481</v>
      </c>
      <c r="U861" s="60" t="s">
        <v>61</v>
      </c>
      <c r="V861" s="30"/>
      <c r="W861" s="162"/>
      <c r="X861" s="156"/>
      <c r="Y861" s="35"/>
      <c r="Z861" s="35"/>
      <c r="AA861" s="35"/>
      <c r="AB861" s="35"/>
      <c r="AC861" s="35"/>
      <c r="AD861" s="35"/>
      <c r="AE861" s="35"/>
      <c r="AF861" s="35"/>
      <c r="AG861" s="35"/>
      <c r="AH861" s="35"/>
      <c r="AI861" s="35"/>
      <c r="AJ861" s="35"/>
      <c r="AK861" s="35"/>
      <c r="AL861" s="35"/>
    </row>
    <row r="862" ht="35.25" customHeight="1">
      <c r="A862" s="18"/>
      <c r="B862" s="157" t="s">
        <v>2073</v>
      </c>
      <c r="C862" s="158" t="s">
        <v>4472</v>
      </c>
      <c r="D862" s="159"/>
      <c r="E862" s="56" t="s">
        <v>4410</v>
      </c>
      <c r="F862" s="22" t="s">
        <v>2147</v>
      </c>
      <c r="G862" s="57">
        <v>2023.0</v>
      </c>
      <c r="H862" s="22" t="s">
        <v>4482</v>
      </c>
      <c r="I862" s="58" t="s">
        <v>4483</v>
      </c>
      <c r="J862" s="22" t="s">
        <v>378</v>
      </c>
      <c r="K862" s="22"/>
      <c r="L862" s="36">
        <v>808.0</v>
      </c>
      <c r="M862" s="36"/>
      <c r="N862" s="36"/>
      <c r="O862" s="36"/>
      <c r="P862" s="37"/>
      <c r="Q862" s="36"/>
      <c r="R862" s="36">
        <v>120.0</v>
      </c>
      <c r="S862" s="36" t="s">
        <v>4484</v>
      </c>
      <c r="T862" s="63" t="s">
        <v>4485</v>
      </c>
      <c r="U862" s="60" t="s">
        <v>61</v>
      </c>
      <c r="V862" s="30" t="s">
        <v>174</v>
      </c>
      <c r="W862" s="162"/>
      <c r="X862" s="156"/>
      <c r="Y862" s="35"/>
      <c r="Z862" s="35"/>
      <c r="AA862" s="35"/>
      <c r="AB862" s="35"/>
      <c r="AC862" s="35"/>
      <c r="AD862" s="35"/>
      <c r="AE862" s="35"/>
      <c r="AF862" s="35"/>
      <c r="AG862" s="35"/>
      <c r="AH862" s="35"/>
      <c r="AI862" s="35"/>
      <c r="AJ862" s="35"/>
      <c r="AK862" s="35"/>
      <c r="AL862" s="35"/>
    </row>
    <row r="863" ht="35.25" customHeight="1">
      <c r="A863" s="18"/>
      <c r="B863" s="157" t="s">
        <v>2073</v>
      </c>
      <c r="C863" s="158" t="s">
        <v>4472</v>
      </c>
      <c r="D863" s="159"/>
      <c r="E863" s="56" t="s">
        <v>4486</v>
      </c>
      <c r="F863" s="22" t="s">
        <v>2821</v>
      </c>
      <c r="G863" s="57">
        <v>2022.0</v>
      </c>
      <c r="H863" s="22" t="s">
        <v>4487</v>
      </c>
      <c r="I863" s="58" t="s">
        <v>4488</v>
      </c>
      <c r="J863" s="22" t="s">
        <v>125</v>
      </c>
      <c r="K863" s="22"/>
      <c r="L863" s="43" t="s">
        <v>4489</v>
      </c>
      <c r="M863" s="44"/>
      <c r="N863" s="44"/>
      <c r="O863" s="44"/>
      <c r="P863" s="44"/>
      <c r="Q863" s="44"/>
      <c r="R863" s="44"/>
      <c r="S863" s="44"/>
      <c r="T863" s="45"/>
      <c r="U863" s="60" t="s">
        <v>61</v>
      </c>
      <c r="V863" s="30" t="s">
        <v>174</v>
      </c>
      <c r="W863" s="162"/>
      <c r="X863" s="156"/>
      <c r="Y863" s="35"/>
      <c r="Z863" s="35"/>
      <c r="AA863" s="35"/>
      <c r="AB863" s="35"/>
      <c r="AC863" s="35"/>
      <c r="AD863" s="35"/>
      <c r="AE863" s="35"/>
      <c r="AF863" s="35"/>
      <c r="AG863" s="35"/>
      <c r="AH863" s="35"/>
      <c r="AI863" s="35"/>
      <c r="AJ863" s="35"/>
      <c r="AK863" s="35"/>
      <c r="AL863" s="35"/>
    </row>
    <row r="864" ht="35.25" customHeight="1">
      <c r="A864" s="18"/>
      <c r="B864" s="157" t="s">
        <v>2073</v>
      </c>
      <c r="C864" s="158" t="s">
        <v>4472</v>
      </c>
      <c r="D864" s="159"/>
      <c r="E864" s="56" t="s">
        <v>4490</v>
      </c>
      <c r="F864" s="22" t="s">
        <v>4491</v>
      </c>
      <c r="G864" s="57">
        <v>2022.0</v>
      </c>
      <c r="H864" s="22" t="s">
        <v>4492</v>
      </c>
      <c r="I864" s="58" t="s">
        <v>4493</v>
      </c>
      <c r="J864" s="22" t="s">
        <v>378</v>
      </c>
      <c r="K864" s="22"/>
      <c r="L864" s="36">
        <v>660.0</v>
      </c>
      <c r="M864" s="36"/>
      <c r="N864" s="36" t="s">
        <v>1897</v>
      </c>
      <c r="O864" s="36"/>
      <c r="P864" s="37"/>
      <c r="Q864" s="36"/>
      <c r="R864" s="36">
        <v>600.0</v>
      </c>
      <c r="S864" s="36" t="s">
        <v>3295</v>
      </c>
      <c r="T864" s="63" t="s">
        <v>4494</v>
      </c>
      <c r="U864" s="64" t="s">
        <v>61</v>
      </c>
      <c r="V864" s="50"/>
      <c r="W864" s="162"/>
      <c r="X864" s="156"/>
      <c r="Y864" s="35"/>
      <c r="Z864" s="35"/>
      <c r="AA864" s="35"/>
      <c r="AB864" s="35"/>
      <c r="AC864" s="35"/>
      <c r="AD864" s="35"/>
      <c r="AE864" s="35"/>
      <c r="AF864" s="35"/>
      <c r="AG864" s="35"/>
      <c r="AH864" s="35"/>
      <c r="AI864" s="35"/>
      <c r="AJ864" s="35"/>
      <c r="AK864" s="35"/>
      <c r="AL864" s="35"/>
    </row>
    <row r="865" ht="35.25" customHeight="1">
      <c r="A865" s="18"/>
      <c r="B865" s="157" t="s">
        <v>2073</v>
      </c>
      <c r="C865" s="158" t="s">
        <v>4472</v>
      </c>
      <c r="D865" s="159"/>
      <c r="E865" s="56" t="s">
        <v>1080</v>
      </c>
      <c r="F865" s="22" t="s">
        <v>1649</v>
      </c>
      <c r="G865" s="57">
        <v>2022.0</v>
      </c>
      <c r="H865" s="22" t="s">
        <v>2197</v>
      </c>
      <c r="I865" s="58" t="s">
        <v>4495</v>
      </c>
      <c r="J865" s="22" t="s">
        <v>44</v>
      </c>
      <c r="K865" s="22" t="s">
        <v>4496</v>
      </c>
      <c r="L865" s="36" t="s">
        <v>4497</v>
      </c>
      <c r="M865" s="36"/>
      <c r="N865" s="36"/>
      <c r="O865" s="36"/>
      <c r="P865" s="37"/>
      <c r="Q865" s="36"/>
      <c r="R865" s="36"/>
      <c r="S865" s="36"/>
      <c r="T865" s="63" t="s">
        <v>4498</v>
      </c>
      <c r="U865" s="64" t="s">
        <v>61</v>
      </c>
      <c r="V865" s="50"/>
      <c r="W865" s="162"/>
      <c r="X865" s="156"/>
      <c r="Y865" s="35"/>
      <c r="Z865" s="35"/>
      <c r="AA865" s="35"/>
      <c r="AB865" s="35"/>
      <c r="AC865" s="35"/>
      <c r="AD865" s="35"/>
      <c r="AE865" s="35"/>
      <c r="AF865" s="35"/>
      <c r="AG865" s="35"/>
      <c r="AH865" s="35"/>
      <c r="AI865" s="35"/>
      <c r="AJ865" s="35"/>
      <c r="AK865" s="35"/>
      <c r="AL865" s="35"/>
    </row>
    <row r="866" ht="35.25" customHeight="1">
      <c r="A866" s="18"/>
      <c r="B866" s="157" t="s">
        <v>2073</v>
      </c>
      <c r="C866" s="158" t="s">
        <v>4472</v>
      </c>
      <c r="D866" s="159"/>
      <c r="E866" s="56" t="s">
        <v>3317</v>
      </c>
      <c r="F866" s="22" t="s">
        <v>2833</v>
      </c>
      <c r="G866" s="57">
        <v>2021.0</v>
      </c>
      <c r="H866" s="22" t="s">
        <v>2131</v>
      </c>
      <c r="I866" s="58" t="s">
        <v>4499</v>
      </c>
      <c r="J866" s="22" t="s">
        <v>55</v>
      </c>
      <c r="K866" s="22"/>
      <c r="L866" s="36">
        <v>808.0</v>
      </c>
      <c r="M866" s="36"/>
      <c r="N866" s="36" t="s">
        <v>211</v>
      </c>
      <c r="O866" s="36"/>
      <c r="P866" s="37" t="s">
        <v>102</v>
      </c>
      <c r="Q866" s="36"/>
      <c r="R866" s="36"/>
      <c r="S866" s="36"/>
      <c r="T866" s="63" t="s">
        <v>4500</v>
      </c>
      <c r="U866" s="64" t="s">
        <v>61</v>
      </c>
      <c r="V866" s="50"/>
      <c r="W866" s="162"/>
      <c r="X866" s="156"/>
      <c r="Y866" s="35"/>
      <c r="Z866" s="35"/>
      <c r="AA866" s="35"/>
      <c r="AB866" s="35"/>
      <c r="AC866" s="35"/>
      <c r="AD866" s="35"/>
      <c r="AE866" s="35"/>
      <c r="AF866" s="35"/>
      <c r="AG866" s="35"/>
      <c r="AH866" s="35"/>
      <c r="AI866" s="35"/>
      <c r="AJ866" s="35"/>
      <c r="AK866" s="35"/>
      <c r="AL866" s="35"/>
    </row>
    <row r="867" ht="35.25" customHeight="1">
      <c r="A867" s="18"/>
      <c r="B867" s="157" t="s">
        <v>2073</v>
      </c>
      <c r="C867" s="158" t="s">
        <v>4472</v>
      </c>
      <c r="D867" s="159"/>
      <c r="E867" s="56" t="s">
        <v>4501</v>
      </c>
      <c r="F867" s="22" t="s">
        <v>2705</v>
      </c>
      <c r="G867" s="57">
        <v>2021.0</v>
      </c>
      <c r="H867" s="22" t="s">
        <v>2505</v>
      </c>
      <c r="I867" s="58" t="s">
        <v>4502</v>
      </c>
      <c r="J867" s="22" t="s">
        <v>31</v>
      </c>
      <c r="K867" s="22"/>
      <c r="L867" s="36" t="s">
        <v>4503</v>
      </c>
      <c r="M867" s="36"/>
      <c r="N867" s="36"/>
      <c r="O867" s="36"/>
      <c r="P867" s="37" t="s">
        <v>4504</v>
      </c>
      <c r="Q867" s="36"/>
      <c r="R867" s="36"/>
      <c r="S867" s="36"/>
      <c r="T867" s="63" t="s">
        <v>4505</v>
      </c>
      <c r="U867" s="64" t="s">
        <v>61</v>
      </c>
      <c r="V867" s="50"/>
      <c r="W867" s="162"/>
      <c r="X867" s="156"/>
      <c r="Y867" s="35"/>
      <c r="Z867" s="35"/>
      <c r="AA867" s="35"/>
      <c r="AB867" s="35"/>
      <c r="AC867" s="35"/>
      <c r="AD867" s="35"/>
      <c r="AE867" s="35"/>
      <c r="AF867" s="35"/>
      <c r="AG867" s="35"/>
      <c r="AH867" s="35"/>
      <c r="AI867" s="35"/>
      <c r="AJ867" s="35"/>
      <c r="AK867" s="35"/>
      <c r="AL867" s="35"/>
    </row>
    <row r="868" ht="35.25" customHeight="1">
      <c r="A868" s="18"/>
      <c r="B868" s="157" t="s">
        <v>2073</v>
      </c>
      <c r="C868" s="158" t="s">
        <v>4472</v>
      </c>
      <c r="D868" s="159"/>
      <c r="E868" s="56" t="s">
        <v>3608</v>
      </c>
      <c r="F868" s="22" t="s">
        <v>41</v>
      </c>
      <c r="G868" s="57">
        <v>2021.0</v>
      </c>
      <c r="H868" s="22" t="s">
        <v>42</v>
      </c>
      <c r="I868" s="58" t="s">
        <v>4506</v>
      </c>
      <c r="J868" s="22" t="s">
        <v>55</v>
      </c>
      <c r="K868" s="22" t="s">
        <v>4507</v>
      </c>
      <c r="L868" s="36">
        <v>780.0</v>
      </c>
      <c r="M868" s="36" t="s">
        <v>4508</v>
      </c>
      <c r="N868" s="36" t="s">
        <v>4509</v>
      </c>
      <c r="O868" s="36"/>
      <c r="P868" s="37" t="s">
        <v>95</v>
      </c>
      <c r="Q868" s="36"/>
      <c r="R868" s="36">
        <v>120.0</v>
      </c>
      <c r="S868" s="36" t="s">
        <v>4510</v>
      </c>
      <c r="T868" s="63" t="s">
        <v>4511</v>
      </c>
      <c r="U868" s="64" t="s">
        <v>61</v>
      </c>
      <c r="V868" s="50"/>
      <c r="W868" s="162"/>
      <c r="X868" s="156"/>
      <c r="Y868" s="35"/>
      <c r="Z868" s="35"/>
      <c r="AA868" s="35"/>
      <c r="AB868" s="35"/>
      <c r="AC868" s="35"/>
      <c r="AD868" s="35"/>
      <c r="AE868" s="35"/>
      <c r="AF868" s="35"/>
      <c r="AG868" s="35"/>
      <c r="AH868" s="35"/>
      <c r="AI868" s="35"/>
      <c r="AJ868" s="35"/>
      <c r="AK868" s="35"/>
      <c r="AL868" s="35"/>
    </row>
    <row r="869" ht="35.25" customHeight="1">
      <c r="A869" s="18"/>
      <c r="B869" s="157" t="s">
        <v>2073</v>
      </c>
      <c r="C869" s="158" t="s">
        <v>4472</v>
      </c>
      <c r="D869" s="159"/>
      <c r="E869" s="56" t="s">
        <v>4512</v>
      </c>
      <c r="F869" s="22" t="s">
        <v>4513</v>
      </c>
      <c r="G869" s="57">
        <v>2020.0</v>
      </c>
      <c r="H869" s="22" t="s">
        <v>2225</v>
      </c>
      <c r="I869" s="58" t="s">
        <v>4514</v>
      </c>
      <c r="J869" s="22" t="s">
        <v>2882</v>
      </c>
      <c r="K869" s="22"/>
      <c r="L869" s="43" t="s">
        <v>4515</v>
      </c>
      <c r="M869" s="44"/>
      <c r="N869" s="44"/>
      <c r="O869" s="44"/>
      <c r="P869" s="44"/>
      <c r="Q869" s="44"/>
      <c r="R869" s="44"/>
      <c r="S869" s="44"/>
      <c r="T869" s="45"/>
      <c r="U869" s="161" t="str">
        <f>HYPERLINK("https://www.ncbi.nlm.nih.gov/pubmed/32209768","PubMed")</f>
        <v>PubMed</v>
      </c>
      <c r="V869" s="50"/>
      <c r="W869" s="162"/>
      <c r="X869" s="156"/>
      <c r="Y869" s="35"/>
      <c r="Z869" s="35"/>
      <c r="AA869" s="35"/>
      <c r="AB869" s="35"/>
      <c r="AC869" s="35"/>
      <c r="AD869" s="35"/>
      <c r="AE869" s="35"/>
      <c r="AF869" s="35"/>
      <c r="AG869" s="35"/>
      <c r="AH869" s="35"/>
      <c r="AI869" s="35"/>
      <c r="AJ869" s="35"/>
      <c r="AK869" s="35"/>
      <c r="AL869" s="35"/>
    </row>
    <row r="870" ht="35.25" customHeight="1">
      <c r="A870" s="18"/>
      <c r="B870" s="157" t="s">
        <v>2073</v>
      </c>
      <c r="C870" s="158" t="s">
        <v>4472</v>
      </c>
      <c r="D870" s="159"/>
      <c r="E870" s="56" t="s">
        <v>4516</v>
      </c>
      <c r="F870" s="22" t="s">
        <v>1046</v>
      </c>
      <c r="G870" s="57">
        <v>2019.0</v>
      </c>
      <c r="H870" s="22" t="s">
        <v>91</v>
      </c>
      <c r="I870" s="58" t="s">
        <v>4517</v>
      </c>
      <c r="J870" s="22" t="s">
        <v>44</v>
      </c>
      <c r="K870" s="22" t="s">
        <v>4518</v>
      </c>
      <c r="L870" s="36">
        <v>810.0</v>
      </c>
      <c r="M870" s="36"/>
      <c r="N870" s="36"/>
      <c r="O870" s="36"/>
      <c r="P870" s="37" t="s">
        <v>4519</v>
      </c>
      <c r="Q870" s="36"/>
      <c r="R870" s="36"/>
      <c r="S870" s="36"/>
      <c r="T870" s="63" t="s">
        <v>4520</v>
      </c>
      <c r="U870" s="161" t="str">
        <f>HYPERLINK("https://www.ncbi.nlm.nih.gov/pubmed/31372913","PubMed")</f>
        <v>PubMed</v>
      </c>
      <c r="V870" s="50"/>
      <c r="W870" s="162"/>
      <c r="X870" s="156"/>
      <c r="Y870" s="35"/>
      <c r="Z870" s="35"/>
      <c r="AA870" s="35"/>
      <c r="AB870" s="35"/>
      <c r="AC870" s="35"/>
      <c r="AD870" s="35"/>
      <c r="AE870" s="35"/>
      <c r="AF870" s="35"/>
      <c r="AG870" s="35"/>
      <c r="AH870" s="35"/>
      <c r="AI870" s="35"/>
      <c r="AJ870" s="35"/>
      <c r="AK870" s="35"/>
      <c r="AL870" s="35"/>
    </row>
    <row r="871" ht="35.25" customHeight="1">
      <c r="A871" s="18"/>
      <c r="B871" s="157" t="s">
        <v>2073</v>
      </c>
      <c r="C871" s="158" t="s">
        <v>4472</v>
      </c>
      <c r="D871" s="159"/>
      <c r="E871" s="56" t="s">
        <v>4521</v>
      </c>
      <c r="F871" s="22" t="s">
        <v>3188</v>
      </c>
      <c r="G871" s="57">
        <v>2019.0</v>
      </c>
      <c r="H871" s="22" t="s">
        <v>3106</v>
      </c>
      <c r="I871" s="58" t="s">
        <v>4522</v>
      </c>
      <c r="J871" s="22" t="s">
        <v>55</v>
      </c>
      <c r="K871" s="22" t="s">
        <v>4523</v>
      </c>
      <c r="L871" s="36">
        <v>1064.0</v>
      </c>
      <c r="M871" s="36">
        <v>30.0</v>
      </c>
      <c r="N871" s="36"/>
      <c r="O871" s="36"/>
      <c r="P871" s="37"/>
      <c r="Q871" s="36"/>
      <c r="R871" s="36"/>
      <c r="S871" s="36">
        <v>60.0</v>
      </c>
      <c r="T871" s="63" t="s">
        <v>4524</v>
      </c>
      <c r="U871" s="161" t="str">
        <f>HYPERLINK("https://www.ncbi.nlm.nih.gov/pubmed/31226326","PubMed")</f>
        <v>PubMed</v>
      </c>
      <c r="V871" s="50"/>
      <c r="W871" s="162"/>
      <c r="X871" s="156"/>
      <c r="Y871" s="35"/>
      <c r="Z871" s="35"/>
      <c r="AA871" s="35"/>
      <c r="AB871" s="35"/>
      <c r="AC871" s="35"/>
      <c r="AD871" s="35"/>
      <c r="AE871" s="35"/>
      <c r="AF871" s="35"/>
      <c r="AG871" s="35"/>
      <c r="AH871" s="35"/>
      <c r="AI871" s="35"/>
      <c r="AJ871" s="35"/>
      <c r="AK871" s="35"/>
      <c r="AL871" s="35"/>
    </row>
    <row r="872" ht="35.25" customHeight="1">
      <c r="A872" s="18"/>
      <c r="B872" s="157" t="s">
        <v>2073</v>
      </c>
      <c r="C872" s="158" t="s">
        <v>4472</v>
      </c>
      <c r="D872" s="159"/>
      <c r="E872" s="56" t="s">
        <v>4525</v>
      </c>
      <c r="F872" s="22" t="s">
        <v>4513</v>
      </c>
      <c r="G872" s="57">
        <v>2019.0</v>
      </c>
      <c r="H872" s="22" t="s">
        <v>2139</v>
      </c>
      <c r="I872" s="58" t="s">
        <v>4526</v>
      </c>
      <c r="J872" s="22" t="s">
        <v>55</v>
      </c>
      <c r="K872" s="22"/>
      <c r="L872" s="36">
        <v>830.0</v>
      </c>
      <c r="M872" s="36"/>
      <c r="N872" s="36"/>
      <c r="O872" s="36"/>
      <c r="P872" s="37" t="s">
        <v>4527</v>
      </c>
      <c r="Q872" s="36"/>
      <c r="R872" s="36"/>
      <c r="S872" s="36"/>
      <c r="T872" s="71" t="s">
        <v>4528</v>
      </c>
      <c r="U872" s="161" t="str">
        <f>HYPERLINK("https://www.ncbi.nlm.nih.gov/pubmed/31507516","PubMed")</f>
        <v>PubMed</v>
      </c>
      <c r="V872" s="50"/>
      <c r="W872" s="162"/>
      <c r="X872" s="156"/>
      <c r="Y872" s="35"/>
      <c r="Z872" s="35"/>
      <c r="AA872" s="35"/>
      <c r="AB872" s="35"/>
      <c r="AC872" s="35"/>
      <c r="AD872" s="35"/>
      <c r="AE872" s="35"/>
      <c r="AF872" s="35"/>
      <c r="AG872" s="35"/>
      <c r="AH872" s="35"/>
      <c r="AI872" s="35"/>
      <c r="AJ872" s="35"/>
      <c r="AK872" s="35"/>
      <c r="AL872" s="35"/>
    </row>
    <row r="873" ht="35.25" customHeight="1">
      <c r="A873" s="18"/>
      <c r="B873" s="157" t="s">
        <v>2073</v>
      </c>
      <c r="C873" s="158" t="s">
        <v>4472</v>
      </c>
      <c r="D873" s="159"/>
      <c r="E873" s="56" t="s">
        <v>4529</v>
      </c>
      <c r="F873" s="22" t="s">
        <v>2529</v>
      </c>
      <c r="G873" s="57">
        <v>2019.0</v>
      </c>
      <c r="H873" s="22" t="s">
        <v>91</v>
      </c>
      <c r="I873" s="58" t="s">
        <v>4530</v>
      </c>
      <c r="J873" s="22" t="s">
        <v>55</v>
      </c>
      <c r="K873" s="22" t="s">
        <v>157</v>
      </c>
      <c r="L873" s="36">
        <v>904.0</v>
      </c>
      <c r="M873" s="36">
        <v>110.0</v>
      </c>
      <c r="N873" s="36"/>
      <c r="O873" s="36"/>
      <c r="P873" s="37" t="s">
        <v>2532</v>
      </c>
      <c r="Q873" s="36"/>
      <c r="R873" s="36"/>
      <c r="S873" s="36"/>
      <c r="T873" s="63" t="s">
        <v>4531</v>
      </c>
      <c r="U873" s="161" t="str">
        <f>HYPERLINK("https://www.ncbi.nlm.nih.gov/pubmed/30826952","PubMed")</f>
        <v>PubMed</v>
      </c>
      <c r="V873" s="50"/>
      <c r="W873" s="162"/>
      <c r="X873" s="156"/>
      <c r="Y873" s="35"/>
      <c r="Z873" s="35"/>
      <c r="AA873" s="35"/>
      <c r="AB873" s="35"/>
      <c r="AC873" s="35"/>
      <c r="AD873" s="35"/>
      <c r="AE873" s="35"/>
      <c r="AF873" s="35"/>
      <c r="AG873" s="35"/>
      <c r="AH873" s="35"/>
      <c r="AI873" s="35"/>
      <c r="AJ873" s="35"/>
      <c r="AK873" s="35"/>
      <c r="AL873" s="35"/>
    </row>
    <row r="874" ht="35.25" customHeight="1">
      <c r="A874" s="18" t="s">
        <v>2</v>
      </c>
      <c r="B874" s="157" t="s">
        <v>2073</v>
      </c>
      <c r="C874" s="158" t="s">
        <v>4472</v>
      </c>
      <c r="D874" s="159"/>
      <c r="E874" s="56" t="s">
        <v>4532</v>
      </c>
      <c r="F874" s="22" t="s">
        <v>4533</v>
      </c>
      <c r="G874" s="57">
        <v>2019.0</v>
      </c>
      <c r="H874" s="22" t="s">
        <v>2919</v>
      </c>
      <c r="I874" s="58" t="s">
        <v>4534</v>
      </c>
      <c r="J874" s="22" t="s">
        <v>55</v>
      </c>
      <c r="K874" s="22" t="s">
        <v>157</v>
      </c>
      <c r="L874" s="36" t="s">
        <v>3696</v>
      </c>
      <c r="M874" s="36"/>
      <c r="N874" s="36" t="s">
        <v>1175</v>
      </c>
      <c r="O874" s="36"/>
      <c r="P874" s="37"/>
      <c r="Q874" s="36"/>
      <c r="R874" s="36" t="s">
        <v>4535</v>
      </c>
      <c r="S874" s="36"/>
      <c r="T874" s="63" t="s">
        <v>4536</v>
      </c>
      <c r="U874" s="161" t="str">
        <f>HYPERLINK("https://www.ncbi.nlm.nih.gov/pubmed/31112450","PubMed")</f>
        <v>PubMed</v>
      </c>
      <c r="V874" s="50"/>
      <c r="W874" s="162"/>
      <c r="X874" s="156"/>
      <c r="Y874" s="35"/>
      <c r="Z874" s="35"/>
      <c r="AA874" s="35"/>
      <c r="AB874" s="35"/>
      <c r="AC874" s="35"/>
      <c r="AD874" s="35"/>
      <c r="AE874" s="35"/>
      <c r="AF874" s="35"/>
      <c r="AG874" s="35"/>
      <c r="AH874" s="35"/>
      <c r="AI874" s="35"/>
      <c r="AJ874" s="35"/>
      <c r="AK874" s="35"/>
      <c r="AL874" s="35"/>
    </row>
    <row r="875" ht="35.25" customHeight="1">
      <c r="A875" s="18" t="s">
        <v>2</v>
      </c>
      <c r="B875" s="157" t="s">
        <v>2073</v>
      </c>
      <c r="C875" s="158" t="s">
        <v>4472</v>
      </c>
      <c r="D875" s="159"/>
      <c r="E875" s="22" t="s">
        <v>2402</v>
      </c>
      <c r="F875" s="22" t="s">
        <v>1046</v>
      </c>
      <c r="G875" s="57">
        <v>2019.0</v>
      </c>
      <c r="H875" s="56" t="s">
        <v>2131</v>
      </c>
      <c r="I875" s="58" t="s">
        <v>4537</v>
      </c>
      <c r="J875" s="22" t="s">
        <v>44</v>
      </c>
      <c r="K875" s="22" t="s">
        <v>4538</v>
      </c>
      <c r="L875" s="36">
        <v>810.0</v>
      </c>
      <c r="M875" s="36"/>
      <c r="N875" s="36"/>
      <c r="O875" s="36"/>
      <c r="P875" s="37"/>
      <c r="Q875" s="36"/>
      <c r="R875" s="36"/>
      <c r="S875" s="36"/>
      <c r="T875" s="63" t="s">
        <v>4539</v>
      </c>
      <c r="U875" s="161" t="str">
        <f>HYPERLINK("https://www.ncbi.nlm.nih.gov/pubmed/30983970","PubMed")</f>
        <v>PubMed</v>
      </c>
      <c r="V875" s="50"/>
      <c r="W875" s="162"/>
      <c r="X875" s="156"/>
      <c r="Y875" s="35"/>
      <c r="Z875" s="35"/>
      <c r="AA875" s="35"/>
      <c r="AB875" s="35"/>
      <c r="AC875" s="35"/>
      <c r="AD875" s="35"/>
      <c r="AE875" s="35"/>
      <c r="AF875" s="35"/>
      <c r="AG875" s="35"/>
      <c r="AH875" s="35"/>
      <c r="AI875" s="35"/>
      <c r="AJ875" s="35"/>
      <c r="AK875" s="35"/>
      <c r="AL875" s="35"/>
    </row>
    <row r="876" ht="35.25" customHeight="1">
      <c r="A876" s="1"/>
      <c r="B876" s="157" t="s">
        <v>2073</v>
      </c>
      <c r="C876" s="158" t="s">
        <v>4472</v>
      </c>
      <c r="D876" s="159"/>
      <c r="E876" s="22" t="s">
        <v>4540</v>
      </c>
      <c r="F876" s="22" t="s">
        <v>3344</v>
      </c>
      <c r="G876" s="57">
        <v>2018.0</v>
      </c>
      <c r="H876" s="56" t="s">
        <v>2563</v>
      </c>
      <c r="I876" s="58" t="s">
        <v>4541</v>
      </c>
      <c r="J876" s="22" t="s">
        <v>55</v>
      </c>
      <c r="K876" s="22" t="s">
        <v>4542</v>
      </c>
      <c r="L876" s="36">
        <v>808.0</v>
      </c>
      <c r="M876" s="36"/>
      <c r="N876" s="36"/>
      <c r="O876" s="36"/>
      <c r="P876" s="37"/>
      <c r="Q876" s="36"/>
      <c r="R876" s="36"/>
      <c r="S876" s="36">
        <v>7.0</v>
      </c>
      <c r="T876" s="63" t="s">
        <v>4543</v>
      </c>
      <c r="U876" s="161" t="str">
        <f>HYPERLINK("https://www.ncbi.nlm.nih.gov/pubmed/30032397","PubMed")</f>
        <v>PubMed</v>
      </c>
      <c r="V876" s="50"/>
      <c r="W876" s="162"/>
      <c r="X876" s="156"/>
      <c r="Y876" s="35"/>
      <c r="Z876" s="35"/>
      <c r="AA876" s="35"/>
      <c r="AB876" s="35"/>
      <c r="AC876" s="35"/>
      <c r="AD876" s="35"/>
      <c r="AE876" s="35"/>
      <c r="AF876" s="35"/>
      <c r="AG876" s="35"/>
      <c r="AH876" s="35"/>
      <c r="AI876" s="35"/>
      <c r="AJ876" s="35"/>
      <c r="AK876" s="35"/>
      <c r="AL876" s="35"/>
    </row>
    <row r="877" ht="35.25" customHeight="1">
      <c r="A877" s="1" t="s">
        <v>2</v>
      </c>
      <c r="B877" s="157" t="s">
        <v>2073</v>
      </c>
      <c r="C877" s="158" t="s">
        <v>4472</v>
      </c>
      <c r="D877" s="159"/>
      <c r="E877" s="22" t="s">
        <v>626</v>
      </c>
      <c r="F877" s="22" t="s">
        <v>4544</v>
      </c>
      <c r="G877" s="57">
        <v>2018.0</v>
      </c>
      <c r="H877" s="56" t="s">
        <v>2505</v>
      </c>
      <c r="I877" s="58" t="s">
        <v>4545</v>
      </c>
      <c r="J877" s="22" t="s">
        <v>55</v>
      </c>
      <c r="K877" s="22" t="s">
        <v>4546</v>
      </c>
      <c r="L877" s="36">
        <v>808.0</v>
      </c>
      <c r="M877" s="36"/>
      <c r="N877" s="36" t="s">
        <v>4547</v>
      </c>
      <c r="O877" s="36" t="s">
        <v>4548</v>
      </c>
      <c r="P877" s="37"/>
      <c r="Q877" s="36" t="s">
        <v>501</v>
      </c>
      <c r="R877" s="36"/>
      <c r="S877" s="36"/>
      <c r="T877" s="63" t="s">
        <v>4549</v>
      </c>
      <c r="U877" s="161" t="str">
        <f>HYPERLINK("https://www.ncbi.nlm.nih.gov/pubmed/29951942","PubMed")</f>
        <v>PubMed</v>
      </c>
      <c r="V877" s="50"/>
      <c r="W877" s="162"/>
      <c r="X877" s="156"/>
      <c r="Y877" s="35"/>
      <c r="Z877" s="35"/>
      <c r="AA877" s="35"/>
      <c r="AB877" s="35"/>
      <c r="AC877" s="35"/>
      <c r="AD877" s="35"/>
      <c r="AE877" s="35"/>
      <c r="AF877" s="35"/>
      <c r="AG877" s="35"/>
      <c r="AH877" s="35"/>
      <c r="AI877" s="35"/>
      <c r="AJ877" s="35"/>
      <c r="AK877" s="35"/>
      <c r="AL877" s="35"/>
    </row>
    <row r="878" ht="35.25" customHeight="1">
      <c r="A878" s="1" t="s">
        <v>2</v>
      </c>
      <c r="B878" s="157" t="s">
        <v>2073</v>
      </c>
      <c r="C878" s="158" t="s">
        <v>4472</v>
      </c>
      <c r="D878" s="159"/>
      <c r="E878" s="22" t="s">
        <v>4550</v>
      </c>
      <c r="F878" s="22" t="s">
        <v>3691</v>
      </c>
      <c r="G878" s="57">
        <v>2018.0</v>
      </c>
      <c r="H878" s="56" t="s">
        <v>2181</v>
      </c>
      <c r="I878" s="58" t="s">
        <v>4551</v>
      </c>
      <c r="J878" s="22" t="s">
        <v>378</v>
      </c>
      <c r="K878" s="22" t="s">
        <v>4552</v>
      </c>
      <c r="L878" s="36" t="s">
        <v>4553</v>
      </c>
      <c r="M878" s="36"/>
      <c r="N878" s="36"/>
      <c r="O878" s="36"/>
      <c r="P878" s="37"/>
      <c r="Q878" s="36"/>
      <c r="R878" s="36"/>
      <c r="S878" s="36"/>
      <c r="T878" s="63" t="s">
        <v>4554</v>
      </c>
      <c r="U878" s="161" t="str">
        <f>HYPERLINK("https://www.ncbi.nlm.nih.gov/pubmed/29472564","PubMed")</f>
        <v>PubMed</v>
      </c>
      <c r="V878" s="50"/>
      <c r="W878" s="162"/>
      <c r="X878" s="156"/>
      <c r="Y878" s="35"/>
      <c r="Z878" s="35"/>
      <c r="AA878" s="35"/>
      <c r="AB878" s="35"/>
      <c r="AC878" s="35"/>
      <c r="AD878" s="35"/>
      <c r="AE878" s="35"/>
      <c r="AF878" s="35"/>
      <c r="AG878" s="35"/>
      <c r="AH878" s="35"/>
      <c r="AI878" s="35"/>
      <c r="AJ878" s="35"/>
      <c r="AK878" s="35"/>
      <c r="AL878" s="35"/>
    </row>
    <row r="879" ht="35.25" customHeight="1">
      <c r="A879" s="40" t="s">
        <v>2</v>
      </c>
      <c r="B879" s="157" t="s">
        <v>2073</v>
      </c>
      <c r="C879" s="158" t="s">
        <v>4472</v>
      </c>
      <c r="D879" s="159"/>
      <c r="E879" s="22" t="s">
        <v>2338</v>
      </c>
      <c r="F879" s="22" t="s">
        <v>4555</v>
      </c>
      <c r="G879" s="57">
        <v>2018.0</v>
      </c>
      <c r="H879" s="56" t="s">
        <v>4556</v>
      </c>
      <c r="I879" s="58" t="s">
        <v>4557</v>
      </c>
      <c r="J879" s="22" t="s">
        <v>55</v>
      </c>
      <c r="K879" s="22"/>
      <c r="L879" s="36">
        <v>808.0</v>
      </c>
      <c r="M879" s="36"/>
      <c r="N879" s="36" t="s">
        <v>2780</v>
      </c>
      <c r="O879" s="36" t="s">
        <v>4558</v>
      </c>
      <c r="P879" s="37"/>
      <c r="Q879" s="36"/>
      <c r="R879" s="36">
        <v>120.0</v>
      </c>
      <c r="S879" s="36">
        <v>7.0</v>
      </c>
      <c r="T879" s="63" t="s">
        <v>4559</v>
      </c>
      <c r="U879" s="161" t="str">
        <f>HYPERLINK("https://www.ncbi.nlm.nih.gov/pubmed/29056360","PubMed")</f>
        <v>PubMed</v>
      </c>
      <c r="V879" s="50"/>
      <c r="W879" s="162"/>
      <c r="X879" s="156"/>
      <c r="Y879" s="35"/>
      <c r="Z879" s="35"/>
      <c r="AA879" s="35"/>
      <c r="AB879" s="35"/>
      <c r="AC879" s="35"/>
      <c r="AD879" s="35"/>
      <c r="AE879" s="35"/>
      <c r="AF879" s="35"/>
      <c r="AG879" s="35"/>
      <c r="AH879" s="35"/>
      <c r="AI879" s="35"/>
      <c r="AJ879" s="35"/>
      <c r="AK879" s="35"/>
      <c r="AL879" s="35"/>
    </row>
    <row r="880" ht="35.25" customHeight="1">
      <c r="A880" s="89"/>
      <c r="B880" s="157" t="s">
        <v>2073</v>
      </c>
      <c r="C880" s="158" t="s">
        <v>4472</v>
      </c>
      <c r="D880" s="159"/>
      <c r="E880" s="22" t="s">
        <v>493</v>
      </c>
      <c r="F880" s="22" t="s">
        <v>1649</v>
      </c>
      <c r="G880" s="57" t="s">
        <v>90</v>
      </c>
      <c r="H880" s="56" t="s">
        <v>42</v>
      </c>
      <c r="I880" s="58" t="s">
        <v>4560</v>
      </c>
      <c r="J880" s="22" t="s">
        <v>44</v>
      </c>
      <c r="K880" s="22" t="s">
        <v>157</v>
      </c>
      <c r="L880" s="36">
        <v>610.0</v>
      </c>
      <c r="M880" s="36"/>
      <c r="N880" s="36" t="s">
        <v>4561</v>
      </c>
      <c r="O880" s="36"/>
      <c r="P880" s="37"/>
      <c r="Q880" s="36"/>
      <c r="R880" s="36"/>
      <c r="S880" s="36"/>
      <c r="T880" s="63" t="s">
        <v>4562</v>
      </c>
      <c r="U880" s="161" t="str">
        <f>HYPERLINK("https://www.ncbi.nlm.nih.gov/pubmed/28464523","PubMed")</f>
        <v>PubMed</v>
      </c>
      <c r="V880" s="50"/>
      <c r="W880" s="162"/>
      <c r="X880" s="156"/>
      <c r="Y880" s="35"/>
      <c r="Z880" s="35"/>
      <c r="AA880" s="35"/>
      <c r="AB880" s="35"/>
      <c r="AC880" s="35"/>
      <c r="AD880" s="35"/>
      <c r="AE880" s="35"/>
      <c r="AF880" s="35"/>
      <c r="AG880" s="35"/>
      <c r="AH880" s="35"/>
      <c r="AI880" s="35"/>
      <c r="AJ880" s="35"/>
      <c r="AK880" s="35"/>
      <c r="AL880" s="35"/>
    </row>
    <row r="881" ht="35.25" customHeight="1">
      <c r="A881" s="89"/>
      <c r="B881" s="157" t="s">
        <v>2073</v>
      </c>
      <c r="C881" s="158" t="s">
        <v>4472</v>
      </c>
      <c r="D881" s="159"/>
      <c r="E881" s="22" t="s">
        <v>493</v>
      </c>
      <c r="F881" s="22" t="s">
        <v>1649</v>
      </c>
      <c r="G881" s="57">
        <v>2017.0</v>
      </c>
      <c r="H881" s="56" t="s">
        <v>546</v>
      </c>
      <c r="I881" s="58" t="s">
        <v>4563</v>
      </c>
      <c r="J881" s="22" t="s">
        <v>3853</v>
      </c>
      <c r="K881" s="22" t="s">
        <v>157</v>
      </c>
      <c r="L881" s="36">
        <v>610.0</v>
      </c>
      <c r="M881" s="36"/>
      <c r="N881" s="36" t="s">
        <v>4561</v>
      </c>
      <c r="O881" s="36"/>
      <c r="P881" s="37" t="s">
        <v>269</v>
      </c>
      <c r="Q881" s="36"/>
      <c r="R881" s="36">
        <v>1200.0</v>
      </c>
      <c r="S881" s="36">
        <v>4.0</v>
      </c>
      <c r="T881" s="63" t="s">
        <v>4564</v>
      </c>
      <c r="U881" s="161" t="str">
        <f>HYPERLINK("https://www.ncbi.nlm.nih.gov/pubmed/28347821","PubMed")</f>
        <v>PubMed</v>
      </c>
      <c r="V881" s="50"/>
      <c r="W881" s="162"/>
      <c r="X881" s="156"/>
      <c r="Y881" s="35"/>
      <c r="Z881" s="35"/>
      <c r="AA881" s="35"/>
      <c r="AB881" s="35"/>
      <c r="AC881" s="35"/>
      <c r="AD881" s="35"/>
      <c r="AE881" s="35"/>
      <c r="AF881" s="35"/>
      <c r="AG881" s="35"/>
      <c r="AH881" s="35"/>
      <c r="AI881" s="35"/>
      <c r="AJ881" s="35"/>
      <c r="AK881" s="35"/>
      <c r="AL881" s="35"/>
    </row>
    <row r="882" ht="35.25" customHeight="1">
      <c r="A882" s="89"/>
      <c r="B882" s="157" t="s">
        <v>2073</v>
      </c>
      <c r="C882" s="158" t="s">
        <v>4472</v>
      </c>
      <c r="D882" s="159"/>
      <c r="E882" s="22" t="s">
        <v>493</v>
      </c>
      <c r="F882" s="22" t="s">
        <v>1649</v>
      </c>
      <c r="G882" s="57">
        <v>2017.0</v>
      </c>
      <c r="H882" s="56" t="s">
        <v>42</v>
      </c>
      <c r="I882" s="58" t="s">
        <v>4565</v>
      </c>
      <c r="J882" s="22" t="s">
        <v>44</v>
      </c>
      <c r="K882" s="22" t="s">
        <v>4566</v>
      </c>
      <c r="L882" s="36">
        <v>610.0</v>
      </c>
      <c r="M882" s="36"/>
      <c r="N882" s="36" t="s">
        <v>4561</v>
      </c>
      <c r="O882" s="36"/>
      <c r="P882" s="37" t="s">
        <v>269</v>
      </c>
      <c r="Q882" s="36" t="s">
        <v>4567</v>
      </c>
      <c r="R882" s="36">
        <v>1200.0</v>
      </c>
      <c r="S882" s="36">
        <v>6.0</v>
      </c>
      <c r="T882" s="63" t="s">
        <v>4568</v>
      </c>
      <c r="U882" s="161" t="str">
        <f>HYPERLINK("https://www.ncbi.nlm.nih.gov/pubmed/28164443","PubMed")</f>
        <v>PubMed</v>
      </c>
      <c r="V882" s="50"/>
      <c r="W882" s="162"/>
      <c r="X882" s="156"/>
      <c r="Y882" s="35"/>
      <c r="Z882" s="35"/>
      <c r="AA882" s="35"/>
      <c r="AB882" s="35"/>
      <c r="AC882" s="35"/>
      <c r="AD882" s="35"/>
      <c r="AE882" s="35"/>
      <c r="AF882" s="35"/>
      <c r="AG882" s="35"/>
      <c r="AH882" s="35"/>
      <c r="AI882" s="35"/>
      <c r="AJ882" s="35"/>
      <c r="AK882" s="35"/>
      <c r="AL882" s="35"/>
    </row>
    <row r="883" ht="35.25" customHeight="1">
      <c r="A883" s="89"/>
      <c r="B883" s="157" t="s">
        <v>2073</v>
      </c>
      <c r="C883" s="158" t="s">
        <v>4472</v>
      </c>
      <c r="D883" s="159"/>
      <c r="E883" s="22" t="s">
        <v>4569</v>
      </c>
      <c r="F883" s="22" t="s">
        <v>4436</v>
      </c>
      <c r="G883" s="57">
        <v>2016.0</v>
      </c>
      <c r="H883" s="56" t="s">
        <v>2558</v>
      </c>
      <c r="I883" s="58" t="s">
        <v>4570</v>
      </c>
      <c r="J883" s="22" t="s">
        <v>253</v>
      </c>
      <c r="K883" s="22" t="s">
        <v>4571</v>
      </c>
      <c r="L883" s="36">
        <v>808.0</v>
      </c>
      <c r="M883" s="36" t="s">
        <v>4572</v>
      </c>
      <c r="N883" s="36"/>
      <c r="O883" s="36"/>
      <c r="P883" s="37"/>
      <c r="Q883" s="36"/>
      <c r="R883" s="36">
        <v>120.0</v>
      </c>
      <c r="S883" s="183">
        <v>44621.0</v>
      </c>
      <c r="T883" s="63" t="s">
        <v>4573</v>
      </c>
      <c r="U883" s="64" t="s">
        <v>61</v>
      </c>
      <c r="V883" s="50"/>
      <c r="W883" s="162"/>
      <c r="X883" s="156"/>
      <c r="Y883" s="35"/>
      <c r="Z883" s="35"/>
      <c r="AA883" s="35"/>
      <c r="AB883" s="35"/>
      <c r="AC883" s="35"/>
      <c r="AD883" s="35"/>
      <c r="AE883" s="35"/>
      <c r="AF883" s="35"/>
      <c r="AG883" s="35"/>
      <c r="AH883" s="35"/>
      <c r="AI883" s="35"/>
      <c r="AJ883" s="35"/>
      <c r="AK883" s="35"/>
      <c r="AL883" s="35"/>
    </row>
    <row r="884" ht="35.25" customHeight="1">
      <c r="A884" s="89"/>
      <c r="B884" s="157" t="s">
        <v>2073</v>
      </c>
      <c r="C884" s="158" t="s">
        <v>4472</v>
      </c>
      <c r="D884" s="159"/>
      <c r="E884" s="22" t="s">
        <v>493</v>
      </c>
      <c r="F884" s="22" t="s">
        <v>1649</v>
      </c>
      <c r="G884" s="57">
        <v>2016.0</v>
      </c>
      <c r="H884" s="56" t="s">
        <v>4574</v>
      </c>
      <c r="I884" s="58" t="s">
        <v>4575</v>
      </c>
      <c r="J884" s="22" t="s">
        <v>44</v>
      </c>
      <c r="K884" s="22"/>
      <c r="L884" s="36"/>
      <c r="M884" s="36"/>
      <c r="N884" s="36"/>
      <c r="O884" s="36"/>
      <c r="P884" s="37"/>
      <c r="Q884" s="36"/>
      <c r="R884" s="36"/>
      <c r="S884" s="36">
        <v>4.0</v>
      </c>
      <c r="T884" s="63" t="s">
        <v>4576</v>
      </c>
      <c r="U884" s="161" t="str">
        <f>HYPERLINK("https://www.ncbi.nlm.nih.gov/pubmed/26889965","PubMed")</f>
        <v>PubMed</v>
      </c>
      <c r="V884" s="50"/>
      <c r="W884" s="162"/>
      <c r="X884" s="156"/>
      <c r="Y884" s="35"/>
      <c r="Z884" s="35"/>
      <c r="AA884" s="35"/>
      <c r="AB884" s="35"/>
      <c r="AC884" s="35"/>
      <c r="AD884" s="35"/>
      <c r="AE884" s="35"/>
      <c r="AF884" s="35"/>
      <c r="AG884" s="35"/>
      <c r="AH884" s="35"/>
      <c r="AI884" s="35"/>
      <c r="AJ884" s="35"/>
      <c r="AK884" s="35"/>
      <c r="AL884" s="35"/>
    </row>
    <row r="885" ht="35.25" customHeight="1">
      <c r="A885" s="89"/>
      <c r="B885" s="157" t="s">
        <v>2073</v>
      </c>
      <c r="C885" s="158" t="s">
        <v>4472</v>
      </c>
      <c r="D885" s="159"/>
      <c r="E885" s="22" t="s">
        <v>4577</v>
      </c>
      <c r="F885" s="22" t="s">
        <v>2795</v>
      </c>
      <c r="G885" s="57">
        <v>2016.0</v>
      </c>
      <c r="H885" s="56" t="s">
        <v>4578</v>
      </c>
      <c r="I885" s="58" t="s">
        <v>4579</v>
      </c>
      <c r="J885" s="22" t="s">
        <v>125</v>
      </c>
      <c r="K885" s="22"/>
      <c r="L885" s="74" t="s">
        <v>4580</v>
      </c>
      <c r="U885" s="161" t="str">
        <f>HYPERLINK("https://www.ncbi.nlm.nih.gov/pubmed/26463915","PubMed")</f>
        <v>PubMed</v>
      </c>
      <c r="V885" s="50"/>
      <c r="W885" s="162"/>
      <c r="X885" s="156"/>
      <c r="Y885" s="35"/>
      <c r="Z885" s="35"/>
      <c r="AA885" s="35"/>
      <c r="AB885" s="35"/>
      <c r="AC885" s="35"/>
      <c r="AD885" s="35"/>
      <c r="AE885" s="35"/>
      <c r="AF885" s="35"/>
      <c r="AG885" s="35"/>
      <c r="AH885" s="35"/>
      <c r="AI885" s="35"/>
      <c r="AJ885" s="35"/>
      <c r="AK885" s="35"/>
      <c r="AL885" s="35"/>
    </row>
    <row r="886" ht="35.25" customHeight="1">
      <c r="A886" s="89"/>
      <c r="B886" s="157" t="s">
        <v>2073</v>
      </c>
      <c r="C886" s="158" t="s">
        <v>4472</v>
      </c>
      <c r="D886" s="159"/>
      <c r="E886" s="56" t="s">
        <v>4581</v>
      </c>
      <c r="F886" s="22" t="s">
        <v>4582</v>
      </c>
      <c r="G886" s="57">
        <v>2015.0</v>
      </c>
      <c r="H886" s="56" t="s">
        <v>2225</v>
      </c>
      <c r="I886" s="58" t="s">
        <v>4583</v>
      </c>
      <c r="J886" s="22" t="s">
        <v>125</v>
      </c>
      <c r="K886" s="22"/>
      <c r="L886" s="53" t="s">
        <v>4584</v>
      </c>
      <c r="U886" s="64" t="s">
        <v>61</v>
      </c>
      <c r="V886" s="50"/>
      <c r="W886" s="162"/>
      <c r="X886" s="156"/>
      <c r="Y886" s="35"/>
      <c r="Z886" s="35"/>
      <c r="AA886" s="35"/>
      <c r="AB886" s="35"/>
      <c r="AC886" s="35"/>
      <c r="AD886" s="35"/>
      <c r="AE886" s="35"/>
      <c r="AF886" s="35"/>
      <c r="AG886" s="35"/>
      <c r="AH886" s="35"/>
      <c r="AI886" s="35"/>
      <c r="AJ886" s="35"/>
      <c r="AK886" s="35"/>
      <c r="AL886" s="35"/>
    </row>
    <row r="887" ht="35.25" customHeight="1">
      <c r="A887" s="89"/>
      <c r="B887" s="157" t="s">
        <v>2073</v>
      </c>
      <c r="C887" s="158" t="s">
        <v>4472</v>
      </c>
      <c r="D887" s="159"/>
      <c r="E887" s="56" t="s">
        <v>1689</v>
      </c>
      <c r="F887" s="22" t="s">
        <v>4491</v>
      </c>
      <c r="G887" s="57">
        <v>2014.0</v>
      </c>
      <c r="H887" s="56" t="s">
        <v>2225</v>
      </c>
      <c r="I887" s="58" t="s">
        <v>4585</v>
      </c>
      <c r="J887" s="22" t="s">
        <v>378</v>
      </c>
      <c r="K887" s="22" t="s">
        <v>157</v>
      </c>
      <c r="L887" s="36">
        <v>660.0</v>
      </c>
      <c r="M887" s="36"/>
      <c r="N887" s="36" t="s">
        <v>4039</v>
      </c>
      <c r="O887" s="36"/>
      <c r="P887" s="37"/>
      <c r="Q887" s="36"/>
      <c r="R887" s="36"/>
      <c r="S887" s="36"/>
      <c r="T887" s="63" t="s">
        <v>4586</v>
      </c>
      <c r="U887" s="64" t="s">
        <v>61</v>
      </c>
      <c r="V887" s="50"/>
      <c r="W887" s="162"/>
      <c r="X887" s="156"/>
      <c r="Y887" s="35"/>
      <c r="Z887" s="35"/>
      <c r="AA887" s="35"/>
      <c r="AB887" s="35"/>
      <c r="AC887" s="35"/>
      <c r="AD887" s="35"/>
      <c r="AE887" s="35"/>
      <c r="AF887" s="35"/>
      <c r="AG887" s="35"/>
      <c r="AH887" s="35"/>
      <c r="AI887" s="35"/>
      <c r="AJ887" s="35"/>
      <c r="AK887" s="35"/>
      <c r="AL887" s="35"/>
    </row>
    <row r="888" ht="35.25" customHeight="1">
      <c r="A888" s="89"/>
      <c r="B888" s="157" t="s">
        <v>2073</v>
      </c>
      <c r="C888" s="158" t="s">
        <v>4472</v>
      </c>
      <c r="D888" s="159"/>
      <c r="E888" s="56" t="s">
        <v>4587</v>
      </c>
      <c r="F888" s="22" t="s">
        <v>4588</v>
      </c>
      <c r="G888" s="57">
        <v>2013.0</v>
      </c>
      <c r="H888" s="56" t="s">
        <v>91</v>
      </c>
      <c r="I888" s="58" t="s">
        <v>4589</v>
      </c>
      <c r="J888" s="22" t="s">
        <v>253</v>
      </c>
      <c r="K888" s="22" t="s">
        <v>4590</v>
      </c>
      <c r="L888" s="36"/>
      <c r="M888" s="36"/>
      <c r="N888" s="36"/>
      <c r="O888" s="36"/>
      <c r="P888" s="37"/>
      <c r="Q888" s="36"/>
      <c r="R888" s="36"/>
      <c r="S888" s="36"/>
      <c r="T888" s="63"/>
      <c r="U888" s="161" t="str">
        <f>HYPERLINK("https://www.ncbi.nlm.nih.gov/pubmed/22945539","PubMed")</f>
        <v>PubMed</v>
      </c>
      <c r="V888" s="50"/>
      <c r="W888" s="162"/>
      <c r="X888" s="156"/>
      <c r="Y888" s="35"/>
      <c r="Z888" s="35"/>
      <c r="AA888" s="35"/>
      <c r="AB888" s="35"/>
      <c r="AC888" s="35"/>
      <c r="AD888" s="35"/>
      <c r="AE888" s="35"/>
      <c r="AF888" s="35"/>
      <c r="AG888" s="35"/>
      <c r="AH888" s="35"/>
      <c r="AI888" s="35"/>
      <c r="AJ888" s="35"/>
      <c r="AK888" s="35"/>
      <c r="AL888" s="35"/>
    </row>
    <row r="889" ht="35.25" customHeight="1">
      <c r="A889" s="51" t="s">
        <v>181</v>
      </c>
      <c r="B889" s="157" t="s">
        <v>2073</v>
      </c>
      <c r="C889" s="158" t="s">
        <v>4472</v>
      </c>
      <c r="D889" s="159"/>
      <c r="E889" s="56" t="s">
        <v>2432</v>
      </c>
      <c r="F889" s="22" t="s">
        <v>1508</v>
      </c>
      <c r="G889" s="57">
        <v>2013.0</v>
      </c>
      <c r="H889" s="56" t="s">
        <v>300</v>
      </c>
      <c r="I889" s="58" t="s">
        <v>4591</v>
      </c>
      <c r="J889" s="22" t="s">
        <v>55</v>
      </c>
      <c r="K889" s="22" t="s">
        <v>4592</v>
      </c>
      <c r="L889" s="36">
        <v>660.0</v>
      </c>
      <c r="M889" s="36">
        <v>50.0</v>
      </c>
      <c r="N889" s="36"/>
      <c r="O889" s="36"/>
      <c r="P889" s="37"/>
      <c r="Q889" s="36"/>
      <c r="R889" s="36">
        <v>600.0</v>
      </c>
      <c r="S889" s="36">
        <v>1.0</v>
      </c>
      <c r="T889" s="63" t="s">
        <v>4593</v>
      </c>
      <c r="U889" s="161" t="str">
        <f>HYPERLINK("https://www.ncbi.nlm.nih.gov/pubmed/24363769","PubMed")</f>
        <v>PubMed</v>
      </c>
      <c r="V889" s="30" t="s">
        <v>4594</v>
      </c>
      <c r="W889" s="162"/>
      <c r="X889" s="156"/>
      <c r="Y889" s="35"/>
      <c r="Z889" s="35"/>
      <c r="AA889" s="35"/>
      <c r="AB889" s="35"/>
      <c r="AC889" s="35"/>
      <c r="AD889" s="35"/>
      <c r="AE889" s="35"/>
      <c r="AF889" s="35"/>
      <c r="AG889" s="35"/>
      <c r="AH889" s="35"/>
      <c r="AI889" s="35"/>
      <c r="AJ889" s="35"/>
      <c r="AK889" s="35"/>
      <c r="AL889" s="35"/>
    </row>
    <row r="890" ht="35.25" customHeight="1">
      <c r="A890" s="89"/>
      <c r="B890" s="157" t="s">
        <v>2073</v>
      </c>
      <c r="C890" s="158" t="s">
        <v>4472</v>
      </c>
      <c r="D890" s="159"/>
      <c r="E890" s="56" t="s">
        <v>4595</v>
      </c>
      <c r="F890" s="22" t="s">
        <v>299</v>
      </c>
      <c r="G890" s="57">
        <v>2012.0</v>
      </c>
      <c r="H890" s="56" t="s">
        <v>4596</v>
      </c>
      <c r="I890" s="58" t="s">
        <v>4597</v>
      </c>
      <c r="J890" s="22" t="s">
        <v>55</v>
      </c>
      <c r="K890" s="22" t="s">
        <v>4598</v>
      </c>
      <c r="L890" s="36" t="s">
        <v>4599</v>
      </c>
      <c r="M890" s="36" t="s">
        <v>4600</v>
      </c>
      <c r="N890" s="36" t="s">
        <v>4601</v>
      </c>
      <c r="O890" s="36"/>
      <c r="P890" s="37" t="s">
        <v>4602</v>
      </c>
      <c r="Q890" s="36" t="s">
        <v>4603</v>
      </c>
      <c r="R890" s="36">
        <v>43200.0</v>
      </c>
      <c r="S890" s="36"/>
      <c r="T890" s="63" t="s">
        <v>4604</v>
      </c>
      <c r="U890" s="161" t="str">
        <f>HYPERLINK("https://www.ncbi.nlm.nih.gov/pubmed/22472725","PubMed")</f>
        <v>PubMed</v>
      </c>
      <c r="V890" s="50"/>
      <c r="W890" s="162"/>
      <c r="X890" s="156"/>
      <c r="Y890" s="35"/>
      <c r="Z890" s="35"/>
      <c r="AA890" s="35"/>
      <c r="AB890" s="35"/>
      <c r="AC890" s="35"/>
      <c r="AD890" s="35"/>
      <c r="AE890" s="35"/>
      <c r="AF890" s="35"/>
      <c r="AG890" s="35"/>
      <c r="AH890" s="35"/>
      <c r="AI890" s="35"/>
      <c r="AJ890" s="35"/>
      <c r="AK890" s="35"/>
      <c r="AL890" s="35"/>
    </row>
    <row r="891" ht="32.25" customHeight="1">
      <c r="A891" s="40"/>
      <c r="B891" s="157" t="s">
        <v>2073</v>
      </c>
      <c r="C891" s="158" t="s">
        <v>4472</v>
      </c>
      <c r="D891" s="159"/>
      <c r="E891" s="22" t="s">
        <v>4605</v>
      </c>
      <c r="F891" s="23" t="s">
        <v>4606</v>
      </c>
      <c r="G891" s="23">
        <v>2010.0</v>
      </c>
      <c r="H891" s="22" t="s">
        <v>3106</v>
      </c>
      <c r="I891" s="24" t="s">
        <v>4607</v>
      </c>
      <c r="J891" s="22" t="s">
        <v>253</v>
      </c>
      <c r="K891" s="22" t="s">
        <v>4608</v>
      </c>
      <c r="L891" s="36">
        <v>808.0</v>
      </c>
      <c r="M891" s="107"/>
      <c r="N891" s="129"/>
      <c r="O891" s="107"/>
      <c r="P891" s="109"/>
      <c r="Q891" s="107"/>
      <c r="R891" s="36"/>
      <c r="S891" s="107"/>
      <c r="T891" s="28" t="s">
        <v>4609</v>
      </c>
      <c r="U891" s="38" t="str">
        <f>HYPERLINK("https://www.ncbi.nlm.nih.gov/pubmed/19837048","PubMed")</f>
        <v>PubMed</v>
      </c>
      <c r="V891" s="139"/>
      <c r="W891" s="49"/>
      <c r="X891" s="49"/>
      <c r="Y891" s="35"/>
      <c r="Z891" s="35"/>
      <c r="AA891" s="35"/>
      <c r="AB891" s="35"/>
      <c r="AC891" s="35"/>
      <c r="AD891" s="35"/>
      <c r="AE891" s="35"/>
      <c r="AF891" s="35"/>
      <c r="AG891" s="35"/>
      <c r="AH891" s="35"/>
      <c r="AI891" s="35"/>
      <c r="AJ891" s="35"/>
      <c r="AK891" s="35"/>
      <c r="AL891" s="35"/>
    </row>
    <row r="892" ht="27.0" customHeight="1">
      <c r="A892" s="89"/>
      <c r="B892" s="157" t="s">
        <v>2073</v>
      </c>
      <c r="C892" s="158" t="s">
        <v>4472</v>
      </c>
      <c r="D892" s="159"/>
      <c r="E892" s="56" t="s">
        <v>4610</v>
      </c>
      <c r="F892" s="22" t="s">
        <v>4611</v>
      </c>
      <c r="G892" s="57">
        <v>2010.0</v>
      </c>
      <c r="H892" s="56" t="s">
        <v>4612</v>
      </c>
      <c r="I892" s="58" t="s">
        <v>4613</v>
      </c>
      <c r="J892" s="22" t="s">
        <v>125</v>
      </c>
      <c r="K892" s="22"/>
      <c r="L892" s="148"/>
      <c r="M892" s="44"/>
      <c r="N892" s="44"/>
      <c r="O892" s="44"/>
      <c r="P892" s="44"/>
      <c r="Q892" s="44"/>
      <c r="R892" s="44"/>
      <c r="S892" s="44"/>
      <c r="T892" s="45"/>
      <c r="U892" s="212"/>
      <c r="V892" s="50"/>
      <c r="W892" s="162"/>
      <c r="X892" s="156"/>
      <c r="Y892" s="35"/>
      <c r="Z892" s="35"/>
      <c r="AA892" s="35"/>
      <c r="AB892" s="35"/>
      <c r="AC892" s="35"/>
      <c r="AD892" s="35"/>
      <c r="AE892" s="35"/>
      <c r="AF892" s="35"/>
      <c r="AG892" s="35"/>
      <c r="AH892" s="35"/>
      <c r="AI892" s="35"/>
      <c r="AJ892" s="35"/>
      <c r="AK892" s="35"/>
      <c r="AL892" s="35"/>
    </row>
    <row r="893" ht="37.5" customHeight="1">
      <c r="A893" s="89"/>
      <c r="B893" s="157" t="s">
        <v>2073</v>
      </c>
      <c r="C893" s="158" t="s">
        <v>4472</v>
      </c>
      <c r="D893" s="159"/>
      <c r="E893" s="56" t="s">
        <v>4614</v>
      </c>
      <c r="F893" s="22" t="s">
        <v>4436</v>
      </c>
      <c r="G893" s="57">
        <v>2008.0</v>
      </c>
      <c r="H893" s="56" t="s">
        <v>4441</v>
      </c>
      <c r="I893" s="58" t="s">
        <v>4615</v>
      </c>
      <c r="J893" s="22" t="s">
        <v>253</v>
      </c>
      <c r="K893" s="22"/>
      <c r="L893" s="36"/>
      <c r="M893" s="36"/>
      <c r="N893" s="36"/>
      <c r="O893" s="36"/>
      <c r="P893" s="37"/>
      <c r="Q893" s="36"/>
      <c r="R893" s="36"/>
      <c r="S893" s="36"/>
      <c r="T893" s="63" t="s">
        <v>4616</v>
      </c>
      <c r="U893" s="161" t="str">
        <f>HYPERLINK("https://www.ncbi.nlm.nih.gov/pubmed/18687999","PubMed")</f>
        <v>PubMed</v>
      </c>
      <c r="V893" s="50"/>
      <c r="W893" s="162"/>
      <c r="X893" s="156"/>
      <c r="Y893" s="35"/>
      <c r="Z893" s="35"/>
      <c r="AA893" s="35"/>
      <c r="AB893" s="35"/>
      <c r="AC893" s="35"/>
      <c r="AD893" s="35"/>
      <c r="AE893" s="35"/>
      <c r="AF893" s="35"/>
      <c r="AG893" s="35"/>
      <c r="AH893" s="35"/>
      <c r="AI893" s="35"/>
      <c r="AJ893" s="35"/>
      <c r="AK893" s="35"/>
      <c r="AL893" s="35"/>
    </row>
    <row r="894" ht="37.5" customHeight="1">
      <c r="A894" s="89"/>
      <c r="B894" s="157" t="s">
        <v>2073</v>
      </c>
      <c r="C894" s="158" t="s">
        <v>4472</v>
      </c>
      <c r="D894" s="159"/>
      <c r="E894" s="56" t="s">
        <v>4614</v>
      </c>
      <c r="F894" s="22" t="s">
        <v>4436</v>
      </c>
      <c r="G894" s="57">
        <v>2007.0</v>
      </c>
      <c r="H894" s="56" t="s">
        <v>2612</v>
      </c>
      <c r="I894" s="58" t="s">
        <v>4617</v>
      </c>
      <c r="J894" s="22" t="s">
        <v>253</v>
      </c>
      <c r="K894" s="22" t="s">
        <v>4618</v>
      </c>
      <c r="L894" s="36"/>
      <c r="M894" s="36"/>
      <c r="N894" s="36"/>
      <c r="O894" s="36"/>
      <c r="P894" s="37"/>
      <c r="Q894" s="36"/>
      <c r="R894" s="36"/>
      <c r="S894" s="36"/>
      <c r="T894" s="63"/>
      <c r="U894" s="161" t="str">
        <f>HYPERLINK("https://www.ncbi.nlm.nih.gov/pubmed/17693028","PubMed")</f>
        <v>PubMed</v>
      </c>
      <c r="V894" s="50"/>
      <c r="W894" s="162"/>
      <c r="X894" s="156"/>
      <c r="Y894" s="35"/>
      <c r="Z894" s="35"/>
      <c r="AA894" s="35"/>
      <c r="AB894" s="35"/>
      <c r="AC894" s="35"/>
      <c r="AD894" s="35"/>
      <c r="AE894" s="35"/>
      <c r="AF894" s="35"/>
      <c r="AG894" s="35"/>
      <c r="AH894" s="35"/>
      <c r="AI894" s="35"/>
      <c r="AJ894" s="35"/>
      <c r="AK894" s="35"/>
      <c r="AL894" s="35"/>
    </row>
    <row r="895" ht="37.5" customHeight="1">
      <c r="A895" s="89"/>
      <c r="B895" s="157" t="s">
        <v>2073</v>
      </c>
      <c r="C895" s="158" t="s">
        <v>4472</v>
      </c>
      <c r="D895" s="159"/>
      <c r="E895" s="56" t="s">
        <v>4465</v>
      </c>
      <c r="F895" s="22" t="s">
        <v>4466</v>
      </c>
      <c r="G895" s="57">
        <v>2007.0</v>
      </c>
      <c r="H895" s="56" t="s">
        <v>4619</v>
      </c>
      <c r="I895" s="58" t="s">
        <v>4620</v>
      </c>
      <c r="J895" s="22" t="s">
        <v>125</v>
      </c>
      <c r="K895" s="22"/>
      <c r="L895" s="43" t="s">
        <v>4621</v>
      </c>
      <c r="M895" s="44"/>
      <c r="N895" s="44"/>
      <c r="O895" s="44"/>
      <c r="P895" s="44"/>
      <c r="Q895" s="44"/>
      <c r="R895" s="44"/>
      <c r="S895" s="44"/>
      <c r="T895" s="45"/>
      <c r="U895" s="161" t="str">
        <f>HYPERLINK("https://www.ncbi.nlm.nih.gov/pubmed/17678491","PubMed")</f>
        <v>PubMed</v>
      </c>
      <c r="V895" s="50"/>
      <c r="W895" s="162"/>
      <c r="X895" s="156"/>
      <c r="Y895" s="35"/>
      <c r="Z895" s="35"/>
      <c r="AA895" s="35"/>
      <c r="AB895" s="35"/>
      <c r="AC895" s="35"/>
      <c r="AD895" s="35"/>
      <c r="AE895" s="35"/>
      <c r="AF895" s="35"/>
      <c r="AG895" s="35"/>
      <c r="AH895" s="35"/>
      <c r="AI895" s="35"/>
      <c r="AJ895" s="35"/>
      <c r="AK895" s="35"/>
      <c r="AL895" s="35"/>
    </row>
    <row r="896" ht="37.5" customHeight="1">
      <c r="A896" s="89"/>
      <c r="B896" s="157" t="s">
        <v>2073</v>
      </c>
      <c r="C896" s="158" t="s">
        <v>4472</v>
      </c>
      <c r="D896" s="159"/>
      <c r="E896" s="56" t="s">
        <v>4622</v>
      </c>
      <c r="F896" s="22" t="s">
        <v>4623</v>
      </c>
      <c r="G896" s="57">
        <v>2006.0</v>
      </c>
      <c r="H896" s="56" t="s">
        <v>4441</v>
      </c>
      <c r="I896" s="58" t="s">
        <v>4624</v>
      </c>
      <c r="J896" s="22" t="s">
        <v>55</v>
      </c>
      <c r="K896" s="22" t="s">
        <v>4625</v>
      </c>
      <c r="L896" s="36">
        <v>808.0</v>
      </c>
      <c r="M896" s="36"/>
      <c r="N896" s="36" t="s">
        <v>4626</v>
      </c>
      <c r="O896" s="36"/>
      <c r="P896" s="37" t="s">
        <v>1704</v>
      </c>
      <c r="Q896" s="36"/>
      <c r="R896" s="36" t="s">
        <v>4627</v>
      </c>
      <c r="S896" s="36"/>
      <c r="T896" s="63" t="s">
        <v>4628</v>
      </c>
      <c r="U896" s="161" t="str">
        <f>HYPERLINK("https://www.ncbi.nlm.nih.gov/pubmed/16946145","PubMed")</f>
        <v>PubMed</v>
      </c>
      <c r="V896" s="50"/>
      <c r="W896" s="162"/>
      <c r="X896" s="156"/>
      <c r="Y896" s="35"/>
      <c r="Z896" s="35"/>
      <c r="AA896" s="35"/>
      <c r="AB896" s="35"/>
      <c r="AC896" s="35"/>
      <c r="AD896" s="35"/>
      <c r="AE896" s="35"/>
      <c r="AF896" s="35"/>
      <c r="AG896" s="35"/>
      <c r="AH896" s="35"/>
      <c r="AI896" s="35"/>
      <c r="AJ896" s="35"/>
      <c r="AK896" s="35"/>
      <c r="AL896" s="35"/>
    </row>
    <row r="897" ht="37.5" customHeight="1">
      <c r="A897" s="89"/>
      <c r="B897" s="157" t="s">
        <v>2073</v>
      </c>
      <c r="C897" s="158" t="s">
        <v>4472</v>
      </c>
      <c r="D897" s="159"/>
      <c r="E897" s="56" t="s">
        <v>4629</v>
      </c>
      <c r="F897" s="22" t="s">
        <v>2608</v>
      </c>
      <c r="G897" s="57">
        <v>2006.0</v>
      </c>
      <c r="H897" s="56" t="s">
        <v>53</v>
      </c>
      <c r="I897" s="58" t="s">
        <v>4630</v>
      </c>
      <c r="J897" s="22" t="s">
        <v>55</v>
      </c>
      <c r="K897" s="22" t="s">
        <v>4625</v>
      </c>
      <c r="L897" s="36">
        <v>808.0</v>
      </c>
      <c r="M897" s="36"/>
      <c r="N897" s="36" t="s">
        <v>4626</v>
      </c>
      <c r="O897" s="36"/>
      <c r="P897" s="37" t="s">
        <v>1704</v>
      </c>
      <c r="Q897" s="36"/>
      <c r="R897" s="36" t="s">
        <v>4627</v>
      </c>
      <c r="S897" s="36"/>
      <c r="T897" s="63" t="s">
        <v>4631</v>
      </c>
      <c r="U897" s="161" t="str">
        <f>HYPERLINK("https://www.ncbi.nlm.nih.gov/pubmed/16444697","PubMed")</f>
        <v>PubMed</v>
      </c>
      <c r="V897" s="50"/>
      <c r="W897" s="162"/>
      <c r="X897" s="156"/>
      <c r="Y897" s="35"/>
      <c r="Z897" s="35"/>
      <c r="AA897" s="35"/>
      <c r="AB897" s="35"/>
      <c r="AC897" s="35"/>
      <c r="AD897" s="35"/>
      <c r="AE897" s="35"/>
      <c r="AF897" s="35"/>
      <c r="AG897" s="35"/>
      <c r="AH897" s="35"/>
      <c r="AI897" s="35"/>
      <c r="AJ897" s="35"/>
      <c r="AK897" s="35"/>
      <c r="AL897" s="35"/>
    </row>
    <row r="898" ht="38.25" customHeight="1">
      <c r="A898" s="89"/>
      <c r="B898" s="157" t="s">
        <v>2073</v>
      </c>
      <c r="C898" s="158" t="s">
        <v>4472</v>
      </c>
      <c r="D898" s="159"/>
      <c r="E898" s="56" t="s">
        <v>4632</v>
      </c>
      <c r="F898" s="96"/>
      <c r="G898" s="57">
        <v>2004.0</v>
      </c>
      <c r="H898" s="56" t="s">
        <v>4633</v>
      </c>
      <c r="I898" s="58" t="s">
        <v>4634</v>
      </c>
      <c r="J898" s="22" t="s">
        <v>125</v>
      </c>
      <c r="K898" s="22"/>
      <c r="L898" s="148"/>
      <c r="M898" s="44"/>
      <c r="N898" s="44"/>
      <c r="O898" s="44"/>
      <c r="P898" s="44"/>
      <c r="Q898" s="44"/>
      <c r="R898" s="44"/>
      <c r="S898" s="44"/>
      <c r="T898" s="45"/>
      <c r="U898" s="212" t="s">
        <v>61</v>
      </c>
      <c r="V898" s="50"/>
      <c r="W898" s="162"/>
      <c r="X898" s="156"/>
      <c r="Y898" s="35"/>
      <c r="Z898" s="35"/>
      <c r="AA898" s="35"/>
      <c r="AB898" s="35"/>
      <c r="AC898" s="35"/>
      <c r="AD898" s="35"/>
      <c r="AE898" s="35"/>
      <c r="AF898" s="35"/>
      <c r="AG898" s="35"/>
      <c r="AH898" s="35"/>
      <c r="AI898" s="35"/>
      <c r="AJ898" s="35"/>
      <c r="AK898" s="35"/>
      <c r="AL898" s="35"/>
    </row>
    <row r="899" ht="29.25" customHeight="1">
      <c r="A899" s="89"/>
      <c r="B899" s="157" t="s">
        <v>2073</v>
      </c>
      <c r="C899" s="158" t="s">
        <v>4472</v>
      </c>
      <c r="D899" s="159"/>
      <c r="E899" s="56" t="s">
        <v>4614</v>
      </c>
      <c r="F899" s="22" t="s">
        <v>4436</v>
      </c>
      <c r="G899" s="57">
        <v>2004.0</v>
      </c>
      <c r="H899" s="56" t="s">
        <v>4441</v>
      </c>
      <c r="I899" s="58" t="s">
        <v>4635</v>
      </c>
      <c r="J899" s="22" t="s">
        <v>253</v>
      </c>
      <c r="K899" s="22" t="s">
        <v>4590</v>
      </c>
      <c r="L899" s="36"/>
      <c r="M899" s="36"/>
      <c r="N899" s="36" t="s">
        <v>4636</v>
      </c>
      <c r="O899" s="36"/>
      <c r="P899" s="37"/>
      <c r="Q899" s="36"/>
      <c r="R899" s="36"/>
      <c r="S899" s="36"/>
      <c r="T899" s="63" t="s">
        <v>4637</v>
      </c>
      <c r="U899" s="161" t="str">
        <f>HYPERLINK("https://www.ncbi.nlm.nih.gov/pubmed/15155955","PubMed")</f>
        <v>PubMed</v>
      </c>
      <c r="V899" s="50"/>
      <c r="W899" s="162"/>
      <c r="X899" s="156"/>
      <c r="Y899" s="35"/>
      <c r="Z899" s="35"/>
      <c r="AA899" s="35"/>
      <c r="AB899" s="35"/>
      <c r="AC899" s="35"/>
      <c r="AD899" s="35"/>
      <c r="AE899" s="35"/>
      <c r="AF899" s="35"/>
      <c r="AG899" s="35"/>
      <c r="AH899" s="35"/>
      <c r="AI899" s="35"/>
      <c r="AJ899" s="35"/>
      <c r="AK899" s="35"/>
      <c r="AL899" s="35"/>
    </row>
    <row r="900" ht="23.25" customHeight="1">
      <c r="A900" s="89"/>
      <c r="B900" s="157" t="s">
        <v>2073</v>
      </c>
      <c r="C900" s="158" t="s">
        <v>4472</v>
      </c>
      <c r="D900" s="159"/>
      <c r="E900" s="56" t="s">
        <v>4638</v>
      </c>
      <c r="F900" s="22" t="s">
        <v>748</v>
      </c>
      <c r="G900" s="57">
        <v>2003.0</v>
      </c>
      <c r="H900" s="56" t="s">
        <v>4326</v>
      </c>
      <c r="I900" s="58" t="s">
        <v>4639</v>
      </c>
      <c r="J900" s="22"/>
      <c r="K900" s="22"/>
      <c r="L900" s="36"/>
      <c r="M900" s="36"/>
      <c r="N900" s="36"/>
      <c r="O900" s="36"/>
      <c r="P900" s="37"/>
      <c r="Q900" s="36"/>
      <c r="R900" s="36"/>
      <c r="S900" s="36"/>
      <c r="T900" s="74"/>
      <c r="U900" s="161" t="str">
        <f>HYPERLINK("https://www.ncbi.nlm.nih.gov/pubmed/12924186","PubMed")</f>
        <v>PubMed</v>
      </c>
      <c r="V900" s="50"/>
      <c r="W900" s="162"/>
      <c r="X900" s="156"/>
      <c r="Y900" s="35"/>
      <c r="Z900" s="35"/>
      <c r="AA900" s="35"/>
      <c r="AB900" s="35"/>
      <c r="AC900" s="35"/>
      <c r="AD900" s="35"/>
      <c r="AE900" s="35"/>
      <c r="AF900" s="35"/>
      <c r="AG900" s="35"/>
      <c r="AH900" s="35"/>
      <c r="AI900" s="35"/>
      <c r="AJ900" s="35"/>
      <c r="AK900" s="35"/>
      <c r="AL900" s="35"/>
    </row>
    <row r="901" ht="24.75" customHeight="1">
      <c r="A901" s="89"/>
      <c r="B901" s="157" t="s">
        <v>2073</v>
      </c>
      <c r="C901" s="158" t="s">
        <v>4472</v>
      </c>
      <c r="D901" s="159"/>
      <c r="E901" s="56" t="s">
        <v>4640</v>
      </c>
      <c r="F901" s="22" t="s">
        <v>1370</v>
      </c>
      <c r="G901" s="57">
        <v>2002.0</v>
      </c>
      <c r="H901" s="56" t="s">
        <v>53</v>
      </c>
      <c r="I901" s="58" t="s">
        <v>4641</v>
      </c>
      <c r="J901" s="22" t="s">
        <v>55</v>
      </c>
      <c r="K901" s="22"/>
      <c r="L901" s="36"/>
      <c r="M901" s="36"/>
      <c r="N901" s="36"/>
      <c r="O901" s="36"/>
      <c r="P901" s="37"/>
      <c r="Q901" s="36"/>
      <c r="R901" s="36" t="s">
        <v>4642</v>
      </c>
      <c r="S901" s="36">
        <v>1.0</v>
      </c>
      <c r="T901" s="63" t="s">
        <v>4643</v>
      </c>
      <c r="U901" s="161" t="str">
        <f>HYPERLINK("https://www.ncbi.nlm.nih.gov/pubmed/12355575","PubMed")</f>
        <v>PubMed</v>
      </c>
      <c r="V901" s="50"/>
      <c r="W901" s="162"/>
      <c r="X901" s="156"/>
      <c r="Y901" s="35"/>
      <c r="Z901" s="35"/>
      <c r="AA901" s="35"/>
      <c r="AB901" s="35"/>
      <c r="AC901" s="35"/>
      <c r="AD901" s="35"/>
      <c r="AE901" s="35"/>
      <c r="AF901" s="35"/>
      <c r="AG901" s="35"/>
      <c r="AH901" s="35"/>
      <c r="AI901" s="35"/>
      <c r="AJ901" s="35"/>
      <c r="AK901" s="35"/>
      <c r="AL901" s="35"/>
    </row>
    <row r="902" ht="24.0" customHeight="1">
      <c r="A902" s="89"/>
      <c r="B902" s="157" t="s">
        <v>2073</v>
      </c>
      <c r="C902" s="158" t="s">
        <v>4472</v>
      </c>
      <c r="D902" s="159"/>
      <c r="E902" s="56" t="s">
        <v>4644</v>
      </c>
      <c r="F902" s="22" t="s">
        <v>4645</v>
      </c>
      <c r="G902" s="57">
        <v>1996.0</v>
      </c>
      <c r="H902" s="56" t="s">
        <v>53</v>
      </c>
      <c r="I902" s="58" t="s">
        <v>4646</v>
      </c>
      <c r="J902" s="22" t="s">
        <v>31</v>
      </c>
      <c r="K902" s="22" t="s">
        <v>4647</v>
      </c>
      <c r="L902" s="36">
        <v>633.0</v>
      </c>
      <c r="M902" s="36">
        <v>6.0</v>
      </c>
      <c r="N902" s="36"/>
      <c r="O902" s="36"/>
      <c r="P902" s="37"/>
      <c r="Q902" s="36"/>
      <c r="R902" s="36"/>
      <c r="S902" s="36"/>
      <c r="T902" s="63" t="s">
        <v>4648</v>
      </c>
      <c r="U902" s="161" t="str">
        <f>HYPERLINK("https://www.ncbi.nlm.nih.gov/pubmed/8983008","PubMed")</f>
        <v>PubMed</v>
      </c>
      <c r="V902" s="50"/>
      <c r="W902" s="162"/>
      <c r="X902" s="156"/>
      <c r="Y902" s="35"/>
      <c r="Z902" s="35"/>
      <c r="AA902" s="35"/>
      <c r="AB902" s="35"/>
      <c r="AC902" s="35"/>
      <c r="AD902" s="35"/>
      <c r="AE902" s="35"/>
      <c r="AF902" s="35"/>
      <c r="AG902" s="35"/>
      <c r="AH902" s="35"/>
      <c r="AI902" s="35"/>
      <c r="AJ902" s="35"/>
      <c r="AK902" s="35"/>
      <c r="AL902" s="35"/>
    </row>
    <row r="903" ht="24.75" customHeight="1">
      <c r="A903" s="89"/>
      <c r="B903" s="157" t="s">
        <v>2073</v>
      </c>
      <c r="C903" s="158" t="s">
        <v>4649</v>
      </c>
      <c r="D903" s="159"/>
      <c r="E903" s="56" t="s">
        <v>4650</v>
      </c>
      <c r="F903" s="22" t="s">
        <v>4651</v>
      </c>
      <c r="G903" s="57">
        <v>2009.0</v>
      </c>
      <c r="H903" s="56" t="s">
        <v>4652</v>
      </c>
      <c r="I903" s="58" t="s">
        <v>4653</v>
      </c>
      <c r="J903" s="22" t="s">
        <v>4654</v>
      </c>
      <c r="K903" s="22" t="s">
        <v>4655</v>
      </c>
      <c r="L903" s="36">
        <v>830.0</v>
      </c>
      <c r="M903" s="36">
        <v>50.0</v>
      </c>
      <c r="N903" s="36"/>
      <c r="O903" s="36" t="s">
        <v>3194</v>
      </c>
      <c r="P903" s="37"/>
      <c r="Q903" s="36"/>
      <c r="R903" s="36"/>
      <c r="S903" s="36" t="s">
        <v>4656</v>
      </c>
      <c r="T903" s="63" t="s">
        <v>4657</v>
      </c>
      <c r="U903" s="161" t="str">
        <f>HYPERLINK("https://www.ncbi.nlm.nih.gov/pubmed/19284397","PubMed")</f>
        <v>PubMed</v>
      </c>
      <c r="V903" s="50"/>
      <c r="W903" s="162"/>
      <c r="X903" s="156"/>
      <c r="Y903" s="35"/>
      <c r="Z903" s="35"/>
      <c r="AA903" s="35"/>
      <c r="AB903" s="35"/>
      <c r="AC903" s="35"/>
      <c r="AD903" s="35"/>
      <c r="AE903" s="35"/>
      <c r="AF903" s="35"/>
      <c r="AG903" s="35"/>
      <c r="AH903" s="35"/>
      <c r="AI903" s="35"/>
      <c r="AJ903" s="35"/>
      <c r="AK903" s="35"/>
      <c r="AL903" s="35"/>
    </row>
    <row r="904" ht="24.75" customHeight="1">
      <c r="A904" s="89"/>
      <c r="B904" s="157" t="s">
        <v>2073</v>
      </c>
      <c r="C904" s="158" t="s">
        <v>4658</v>
      </c>
      <c r="D904" s="159"/>
      <c r="E904" s="56" t="s">
        <v>4516</v>
      </c>
      <c r="F904" s="22" t="s">
        <v>1046</v>
      </c>
      <c r="G904" s="57">
        <v>2019.0</v>
      </c>
      <c r="H904" s="56" t="s">
        <v>77</v>
      </c>
      <c r="I904" s="58" t="s">
        <v>4659</v>
      </c>
      <c r="J904" s="22" t="s">
        <v>125</v>
      </c>
      <c r="K904" s="22"/>
      <c r="L904" s="79" t="s">
        <v>4660</v>
      </c>
      <c r="U904" s="161" t="str">
        <f>HYPERLINK("https://www.ncbi.nlm.nih.gov/pubmed/31335302","PubMed")</f>
        <v>PubMed</v>
      </c>
      <c r="V904" s="50"/>
      <c r="W904" s="162"/>
      <c r="X904" s="156"/>
      <c r="Y904" s="35"/>
      <c r="Z904" s="35"/>
      <c r="AA904" s="35"/>
      <c r="AB904" s="35"/>
      <c r="AC904" s="35"/>
      <c r="AD904" s="35"/>
      <c r="AE904" s="35"/>
      <c r="AF904" s="35"/>
      <c r="AG904" s="35"/>
      <c r="AH904" s="35"/>
      <c r="AI904" s="35"/>
      <c r="AJ904" s="35"/>
      <c r="AK904" s="35"/>
      <c r="AL904" s="35"/>
    </row>
    <row r="905" ht="24.75" customHeight="1">
      <c r="A905" s="89"/>
      <c r="B905" s="157" t="s">
        <v>2073</v>
      </c>
      <c r="C905" s="158"/>
      <c r="D905" s="159"/>
      <c r="E905" s="56" t="s">
        <v>2338</v>
      </c>
      <c r="F905" s="22" t="s">
        <v>3301</v>
      </c>
      <c r="G905" s="57">
        <v>2017.0</v>
      </c>
      <c r="H905" s="56" t="s">
        <v>91</v>
      </c>
      <c r="I905" s="58" t="s">
        <v>4661</v>
      </c>
      <c r="J905" s="22" t="s">
        <v>31</v>
      </c>
      <c r="K905" s="22" t="s">
        <v>4662</v>
      </c>
      <c r="L905" s="36">
        <v>633.0</v>
      </c>
      <c r="M905" s="36">
        <v>10.0</v>
      </c>
      <c r="N905" s="36" t="s">
        <v>2309</v>
      </c>
      <c r="O905" s="36"/>
      <c r="P905" s="37"/>
      <c r="Q905" s="36"/>
      <c r="R905" s="36"/>
      <c r="S905" s="36"/>
      <c r="T905" s="63" t="s">
        <v>4663</v>
      </c>
      <c r="U905" s="161" t="str">
        <f>HYPERLINK("https://www.ncbi.nlm.nih.gov/pubmed/27864646","PubMed")</f>
        <v>PubMed</v>
      </c>
      <c r="V905" s="50"/>
      <c r="W905" s="162"/>
      <c r="X905" s="156"/>
      <c r="Y905" s="35"/>
      <c r="Z905" s="35"/>
      <c r="AA905" s="35"/>
      <c r="AB905" s="35"/>
      <c r="AC905" s="35"/>
      <c r="AD905" s="35"/>
      <c r="AE905" s="35"/>
      <c r="AF905" s="35"/>
      <c r="AG905" s="35"/>
      <c r="AH905" s="35"/>
      <c r="AI905" s="35"/>
      <c r="AJ905" s="35"/>
      <c r="AK905" s="35"/>
      <c r="AL905" s="35"/>
    </row>
    <row r="906" ht="23.25" customHeight="1">
      <c r="A906" s="180"/>
      <c r="B906" s="157" t="s">
        <v>2073</v>
      </c>
      <c r="C906" s="158"/>
      <c r="D906" s="159"/>
      <c r="E906" s="56" t="s">
        <v>4664</v>
      </c>
      <c r="F906" s="23" t="s">
        <v>2130</v>
      </c>
      <c r="G906" s="23">
        <v>2014.0</v>
      </c>
      <c r="H906" s="56" t="s">
        <v>4665</v>
      </c>
      <c r="I906" s="24" t="s">
        <v>4666</v>
      </c>
      <c r="J906" s="22" t="s">
        <v>125</v>
      </c>
      <c r="K906" s="22"/>
      <c r="L906" s="105" t="s">
        <v>4667</v>
      </c>
      <c r="M906" s="44"/>
      <c r="N906" s="44"/>
      <c r="O906" s="44"/>
      <c r="P906" s="44"/>
      <c r="Q906" s="44"/>
      <c r="R906" s="44"/>
      <c r="S906" s="44"/>
      <c r="T906" s="45"/>
      <c r="U906" s="38" t="str">
        <f>HYPERLINK("https://www.ncbi.nlm.nih.gov/pubmed/24316434","PubMed")</f>
        <v>PubMed</v>
      </c>
      <c r="V906" s="139"/>
      <c r="W906" s="49"/>
      <c r="X906" s="49"/>
      <c r="Y906" s="35"/>
      <c r="Z906" s="35"/>
      <c r="AA906" s="35"/>
      <c r="AB906" s="35"/>
      <c r="AC906" s="35"/>
      <c r="AD906" s="35"/>
      <c r="AE906" s="35"/>
      <c r="AF906" s="35"/>
      <c r="AG906" s="35"/>
      <c r="AH906" s="35"/>
      <c r="AI906" s="35"/>
      <c r="AJ906" s="35"/>
      <c r="AK906" s="35"/>
      <c r="AL906" s="35"/>
    </row>
    <row r="907" ht="23.25" customHeight="1">
      <c r="A907" s="180"/>
      <c r="B907" s="157" t="s">
        <v>2073</v>
      </c>
      <c r="C907" s="158"/>
      <c r="D907" s="159"/>
      <c r="E907" s="22" t="s">
        <v>4668</v>
      </c>
      <c r="F907" s="23" t="s">
        <v>3767</v>
      </c>
      <c r="G907" s="23">
        <v>2013.0</v>
      </c>
      <c r="H907" s="56" t="s">
        <v>53</v>
      </c>
      <c r="I907" s="24" t="s">
        <v>4669</v>
      </c>
      <c r="J907" s="22" t="s">
        <v>4670</v>
      </c>
      <c r="K907" s="22"/>
      <c r="L907" s="36">
        <v>905.0</v>
      </c>
      <c r="M907" s="36"/>
      <c r="N907" s="36" t="s">
        <v>1729</v>
      </c>
      <c r="O907" s="107"/>
      <c r="P907" s="37" t="s">
        <v>4671</v>
      </c>
      <c r="Q907" s="36" t="s">
        <v>501</v>
      </c>
      <c r="R907" s="36" t="s">
        <v>685</v>
      </c>
      <c r="S907" s="36">
        <v>1.0</v>
      </c>
      <c r="T907" s="28" t="s">
        <v>4672</v>
      </c>
      <c r="U907" s="38" t="str">
        <f>HYPERLINK("https://www.ncbi.nlm.nih.gov/pubmed/24136303","PubMed")</f>
        <v>PubMed</v>
      </c>
      <c r="V907" s="139"/>
      <c r="W907" s="49"/>
      <c r="X907" s="49"/>
      <c r="Y907" s="35"/>
      <c r="Z907" s="35"/>
      <c r="AA907" s="35"/>
      <c r="AB907" s="35"/>
      <c r="AC907" s="35"/>
      <c r="AD907" s="35"/>
      <c r="AE907" s="35"/>
      <c r="AF907" s="35"/>
      <c r="AG907" s="35"/>
      <c r="AH907" s="35"/>
      <c r="AI907" s="35"/>
      <c r="AJ907" s="35"/>
      <c r="AK907" s="35"/>
      <c r="AL907" s="35"/>
    </row>
    <row r="908" ht="23.25" customHeight="1">
      <c r="A908" s="180"/>
      <c r="B908" s="19" t="s">
        <v>4673</v>
      </c>
      <c r="C908" s="158" t="s">
        <v>4674</v>
      </c>
      <c r="D908" s="159"/>
      <c r="E908" s="22" t="s">
        <v>4675</v>
      </c>
      <c r="F908" s="23" t="s">
        <v>323</v>
      </c>
      <c r="G908" s="23">
        <v>2024.0</v>
      </c>
      <c r="H908" s="56" t="s">
        <v>4676</v>
      </c>
      <c r="I908" s="24" t="s">
        <v>4677</v>
      </c>
      <c r="J908" s="22" t="s">
        <v>4678</v>
      </c>
      <c r="K908" s="22"/>
      <c r="L908" s="36"/>
      <c r="M908" s="36"/>
      <c r="N908" s="36"/>
      <c r="O908" s="36"/>
      <c r="P908" s="37"/>
      <c r="Q908" s="36"/>
      <c r="R908" s="36"/>
      <c r="S908" s="36" t="s">
        <v>1514</v>
      </c>
      <c r="T908" s="42" t="s">
        <v>4679</v>
      </c>
      <c r="U908" s="38" t="s">
        <v>61</v>
      </c>
      <c r="V908" s="136" t="s">
        <v>174</v>
      </c>
      <c r="W908" s="49"/>
      <c r="X908" s="49"/>
      <c r="Y908" s="35"/>
      <c r="Z908" s="35"/>
      <c r="AA908" s="35"/>
      <c r="AB908" s="35"/>
      <c r="AC908" s="35"/>
      <c r="AD908" s="35"/>
      <c r="AE908" s="35"/>
      <c r="AF908" s="35"/>
      <c r="AG908" s="35"/>
      <c r="AH908" s="35"/>
      <c r="AI908" s="35"/>
      <c r="AJ908" s="35"/>
      <c r="AK908" s="35"/>
      <c r="AL908" s="35"/>
    </row>
    <row r="909" ht="23.25" customHeight="1">
      <c r="A909" s="180"/>
      <c r="B909" s="19" t="s">
        <v>4673</v>
      </c>
      <c r="C909" s="158" t="s">
        <v>4674</v>
      </c>
      <c r="D909" s="159"/>
      <c r="E909" s="22" t="s">
        <v>4680</v>
      </c>
      <c r="F909" s="23" t="s">
        <v>4681</v>
      </c>
      <c r="G909" s="23">
        <v>2024.0</v>
      </c>
      <c r="H909" s="56" t="s">
        <v>4682</v>
      </c>
      <c r="I909" s="24" t="s">
        <v>4683</v>
      </c>
      <c r="J909" s="22" t="s">
        <v>4684</v>
      </c>
      <c r="K909" s="22"/>
      <c r="L909" s="36">
        <v>830.0</v>
      </c>
      <c r="M909" s="36">
        <v>30.0</v>
      </c>
      <c r="N909" s="36"/>
      <c r="O909" s="36"/>
      <c r="P909" s="37" t="s">
        <v>4685</v>
      </c>
      <c r="Q909" s="36"/>
      <c r="R909" s="36" t="s">
        <v>4686</v>
      </c>
      <c r="S909" s="36" t="s">
        <v>4687</v>
      </c>
      <c r="T909" s="41" t="s">
        <v>4688</v>
      </c>
      <c r="U909" s="38" t="s">
        <v>61</v>
      </c>
      <c r="V909" s="136" t="s">
        <v>4689</v>
      </c>
      <c r="W909" s="49"/>
      <c r="X909" s="49"/>
      <c r="Y909" s="35"/>
      <c r="Z909" s="35"/>
      <c r="AA909" s="35"/>
      <c r="AB909" s="35"/>
      <c r="AC909" s="35"/>
      <c r="AD909" s="35"/>
      <c r="AE909" s="35"/>
      <c r="AF909" s="35"/>
      <c r="AG909" s="35"/>
      <c r="AH909" s="35"/>
      <c r="AI909" s="35"/>
      <c r="AJ909" s="35"/>
      <c r="AK909" s="35"/>
      <c r="AL909" s="35"/>
    </row>
    <row r="910" ht="23.25" customHeight="1">
      <c r="A910" s="180"/>
      <c r="B910" s="19" t="s">
        <v>4673</v>
      </c>
      <c r="C910" s="158" t="s">
        <v>4674</v>
      </c>
      <c r="D910" s="159"/>
      <c r="E910" s="22" t="s">
        <v>4690</v>
      </c>
      <c r="F910" s="23" t="s">
        <v>4691</v>
      </c>
      <c r="G910" s="23">
        <v>2023.0</v>
      </c>
      <c r="H910" s="56" t="s">
        <v>91</v>
      </c>
      <c r="I910" s="24" t="s">
        <v>4692</v>
      </c>
      <c r="J910" s="22" t="s">
        <v>4693</v>
      </c>
      <c r="K910" s="22"/>
      <c r="L910" s="36">
        <v>1064.0</v>
      </c>
      <c r="M910" s="36"/>
      <c r="N910" s="36"/>
      <c r="O910" s="36"/>
      <c r="P910" s="37" t="s">
        <v>4694</v>
      </c>
      <c r="Q910" s="36"/>
      <c r="R910" s="36"/>
      <c r="S910" s="36" t="s">
        <v>1514</v>
      </c>
      <c r="T910" s="42" t="s">
        <v>4695</v>
      </c>
      <c r="U910" s="38" t="s">
        <v>61</v>
      </c>
      <c r="V910" s="136"/>
      <c r="W910" s="49"/>
      <c r="X910" s="49"/>
      <c r="Y910" s="35"/>
      <c r="Z910" s="35"/>
      <c r="AA910" s="35"/>
      <c r="AB910" s="35"/>
      <c r="AC910" s="35"/>
      <c r="AD910" s="35"/>
      <c r="AE910" s="35"/>
      <c r="AF910" s="35"/>
      <c r="AG910" s="35"/>
      <c r="AH910" s="35"/>
      <c r="AI910" s="35"/>
      <c r="AJ910" s="35"/>
      <c r="AK910" s="35"/>
      <c r="AL910" s="35"/>
    </row>
    <row r="911" ht="23.25" customHeight="1">
      <c r="A911" s="180"/>
      <c r="B911" s="19" t="s">
        <v>4673</v>
      </c>
      <c r="C911" s="158" t="s">
        <v>4674</v>
      </c>
      <c r="D911" s="159"/>
      <c r="E911" s="22" t="s">
        <v>4696</v>
      </c>
      <c r="F911" s="23" t="s">
        <v>4697</v>
      </c>
      <c r="G911" s="23">
        <v>2023.0</v>
      </c>
      <c r="H911" s="56" t="s">
        <v>77</v>
      </c>
      <c r="I911" s="24" t="s">
        <v>4698</v>
      </c>
      <c r="J911" s="22" t="s">
        <v>4699</v>
      </c>
      <c r="K911" s="22" t="s">
        <v>4700</v>
      </c>
      <c r="L911" s="36">
        <v>808.0</v>
      </c>
      <c r="M911" s="36">
        <v>50.0</v>
      </c>
      <c r="N911" s="36"/>
      <c r="O911" s="36">
        <v>9.0</v>
      </c>
      <c r="P911" s="37"/>
      <c r="Q911" s="36"/>
      <c r="R911" s="36">
        <v>180.0</v>
      </c>
      <c r="S911" s="36" t="s">
        <v>4701</v>
      </c>
      <c r="T911" s="28" t="s">
        <v>4702</v>
      </c>
      <c r="U911" s="38" t="s">
        <v>61</v>
      </c>
      <c r="V911" s="136" t="s">
        <v>174</v>
      </c>
      <c r="W911" s="49"/>
      <c r="X911" s="49"/>
      <c r="Y911" s="35"/>
      <c r="Z911" s="35"/>
      <c r="AA911" s="35"/>
      <c r="AB911" s="35"/>
      <c r="AC911" s="35"/>
      <c r="AD911" s="35"/>
      <c r="AE911" s="35"/>
      <c r="AF911" s="35"/>
      <c r="AG911" s="35"/>
      <c r="AH911" s="35"/>
      <c r="AI911" s="35"/>
      <c r="AJ911" s="35"/>
      <c r="AK911" s="35"/>
      <c r="AL911" s="35"/>
    </row>
    <row r="912" ht="23.25" customHeight="1">
      <c r="A912" s="180"/>
      <c r="B912" s="19" t="s">
        <v>4673</v>
      </c>
      <c r="C912" s="158" t="s">
        <v>4674</v>
      </c>
      <c r="D912" s="159"/>
      <c r="E912" s="22" t="s">
        <v>4703</v>
      </c>
      <c r="F912" s="23" t="s">
        <v>4704</v>
      </c>
      <c r="G912" s="23">
        <v>2021.0</v>
      </c>
      <c r="H912" s="56" t="s">
        <v>4705</v>
      </c>
      <c r="I912" s="24" t="s">
        <v>4706</v>
      </c>
      <c r="J912" s="22" t="s">
        <v>4707</v>
      </c>
      <c r="K912" s="22"/>
      <c r="L912" s="36">
        <v>670.0</v>
      </c>
      <c r="M912" s="36"/>
      <c r="N912" s="36"/>
      <c r="O912" s="36">
        <v>4.0</v>
      </c>
      <c r="P912" s="37"/>
      <c r="Q912" s="36"/>
      <c r="R912" s="36">
        <v>120.0</v>
      </c>
      <c r="S912" s="36" t="s">
        <v>4708</v>
      </c>
      <c r="T912" s="42" t="s">
        <v>4709</v>
      </c>
      <c r="U912" s="38" t="s">
        <v>61</v>
      </c>
      <c r="V912" s="139"/>
      <c r="W912" s="49"/>
      <c r="X912" s="49"/>
      <c r="Y912" s="35"/>
      <c r="Z912" s="35"/>
      <c r="AA912" s="35"/>
      <c r="AB912" s="35"/>
      <c r="AC912" s="35"/>
      <c r="AD912" s="35"/>
      <c r="AE912" s="35"/>
      <c r="AF912" s="35"/>
      <c r="AG912" s="35"/>
      <c r="AH912" s="35"/>
      <c r="AI912" s="35"/>
      <c r="AJ912" s="35"/>
      <c r="AK912" s="35"/>
      <c r="AL912" s="35"/>
    </row>
    <row r="913" ht="23.25" customHeight="1">
      <c r="A913" s="180"/>
      <c r="B913" s="19" t="s">
        <v>4673</v>
      </c>
      <c r="C913" s="158" t="s">
        <v>4674</v>
      </c>
      <c r="D913" s="159"/>
      <c r="E913" s="22" t="s">
        <v>4710</v>
      </c>
      <c r="F913" s="23" t="s">
        <v>4711</v>
      </c>
      <c r="G913" s="23">
        <v>2022.0</v>
      </c>
      <c r="H913" s="56" t="s">
        <v>91</v>
      </c>
      <c r="I913" s="24" t="s">
        <v>4712</v>
      </c>
      <c r="J913" s="22" t="s">
        <v>4713</v>
      </c>
      <c r="K913" s="22" t="s">
        <v>4714</v>
      </c>
      <c r="L913" s="36">
        <v>830.0</v>
      </c>
      <c r="M913" s="36"/>
      <c r="N913" s="36"/>
      <c r="O913" s="107"/>
      <c r="P913" s="37" t="s">
        <v>82</v>
      </c>
      <c r="Q913" s="36"/>
      <c r="R913" s="36">
        <v>60.0</v>
      </c>
      <c r="S913" s="36" t="s">
        <v>4708</v>
      </c>
      <c r="T913" s="42" t="s">
        <v>4715</v>
      </c>
      <c r="U913" s="29" t="s">
        <v>61</v>
      </c>
      <c r="V913" s="139"/>
      <c r="W913" s="49"/>
      <c r="X913" s="49"/>
      <c r="Y913" s="35"/>
      <c r="Z913" s="35"/>
      <c r="AA913" s="35"/>
      <c r="AB913" s="35"/>
      <c r="AC913" s="35"/>
      <c r="AD913" s="35"/>
      <c r="AE913" s="35"/>
      <c r="AF913" s="35"/>
      <c r="AG913" s="35"/>
      <c r="AH913" s="35"/>
      <c r="AI913" s="35"/>
      <c r="AJ913" s="35"/>
      <c r="AK913" s="35"/>
      <c r="AL913" s="35"/>
    </row>
    <row r="914" ht="23.25" customHeight="1">
      <c r="A914" s="180"/>
      <c r="B914" s="19" t="s">
        <v>4673</v>
      </c>
      <c r="C914" s="158" t="s">
        <v>4674</v>
      </c>
      <c r="D914" s="159"/>
      <c r="E914" s="22" t="s">
        <v>4716</v>
      </c>
      <c r="F914" s="23" t="s">
        <v>4717</v>
      </c>
      <c r="G914" s="23">
        <v>2021.0</v>
      </c>
      <c r="H914" s="56" t="s">
        <v>4718</v>
      </c>
      <c r="I914" s="24" t="s">
        <v>4719</v>
      </c>
      <c r="J914" s="22" t="s">
        <v>4720</v>
      </c>
      <c r="K914" s="22" t="s">
        <v>4721</v>
      </c>
      <c r="L914" s="36">
        <v>830.0</v>
      </c>
      <c r="M914" s="36">
        <v>30.0</v>
      </c>
      <c r="N914" s="36"/>
      <c r="O914" s="107"/>
      <c r="P914" s="37" t="s">
        <v>671</v>
      </c>
      <c r="Q914" s="36"/>
      <c r="R914" s="36"/>
      <c r="S914" s="36" t="s">
        <v>4708</v>
      </c>
      <c r="T914" s="28" t="s">
        <v>4722</v>
      </c>
      <c r="U914" s="29" t="s">
        <v>61</v>
      </c>
      <c r="V914" s="139"/>
      <c r="W914" s="49"/>
      <c r="X914" s="49"/>
      <c r="Y914" s="35"/>
      <c r="Z914" s="35"/>
      <c r="AA914" s="35"/>
      <c r="AB914" s="35"/>
      <c r="AC914" s="35"/>
      <c r="AD914" s="35"/>
      <c r="AE914" s="35"/>
      <c r="AF914" s="35"/>
      <c r="AG914" s="35"/>
      <c r="AH914" s="35"/>
      <c r="AI914" s="35"/>
      <c r="AJ914" s="35"/>
      <c r="AK914" s="35"/>
      <c r="AL914" s="35"/>
    </row>
    <row r="915" ht="23.25" customHeight="1">
      <c r="A915" s="180"/>
      <c r="B915" s="19" t="s">
        <v>4673</v>
      </c>
      <c r="C915" s="158" t="s">
        <v>4674</v>
      </c>
      <c r="D915" s="159"/>
      <c r="E915" s="22" t="s">
        <v>4723</v>
      </c>
      <c r="F915" s="23" t="s">
        <v>4724</v>
      </c>
      <c r="G915" s="23">
        <v>2020.0</v>
      </c>
      <c r="H915" s="56" t="s">
        <v>292</v>
      </c>
      <c r="I915" s="24" t="s">
        <v>4725</v>
      </c>
      <c r="J915" s="22" t="s">
        <v>4726</v>
      </c>
      <c r="K915" s="22" t="s">
        <v>4727</v>
      </c>
      <c r="L915" s="36" t="s">
        <v>4728</v>
      </c>
      <c r="M915" s="36"/>
      <c r="N915" s="36"/>
      <c r="O915" s="107"/>
      <c r="P915" s="37" t="s">
        <v>287</v>
      </c>
      <c r="Q915" s="36"/>
      <c r="R915" s="36" t="s">
        <v>4729</v>
      </c>
      <c r="S915" s="36" t="s">
        <v>4730</v>
      </c>
      <c r="T915" s="42" t="s">
        <v>4731</v>
      </c>
      <c r="U915" s="29" t="s">
        <v>61</v>
      </c>
      <c r="V915" s="139"/>
      <c r="W915" s="49"/>
      <c r="X915" s="49"/>
      <c r="Y915" s="35"/>
      <c r="Z915" s="35"/>
      <c r="AA915" s="35"/>
      <c r="AB915" s="35"/>
      <c r="AC915" s="35"/>
      <c r="AD915" s="35"/>
      <c r="AE915" s="35"/>
      <c r="AF915" s="35"/>
      <c r="AG915" s="35"/>
      <c r="AH915" s="35"/>
      <c r="AI915" s="35"/>
      <c r="AJ915" s="35"/>
      <c r="AK915" s="35"/>
      <c r="AL915" s="35"/>
    </row>
    <row r="916" ht="23.25" customHeight="1">
      <c r="A916" s="180"/>
      <c r="B916" s="19" t="s">
        <v>4673</v>
      </c>
      <c r="C916" s="158" t="s">
        <v>4674</v>
      </c>
      <c r="D916" s="159"/>
      <c r="E916" s="22" t="s">
        <v>3109</v>
      </c>
      <c r="F916" s="23" t="s">
        <v>4732</v>
      </c>
      <c r="G916" s="23">
        <v>2020.0</v>
      </c>
      <c r="H916" s="56" t="s">
        <v>4733</v>
      </c>
      <c r="I916" s="24" t="s">
        <v>4734</v>
      </c>
      <c r="J916" s="22" t="s">
        <v>1078</v>
      </c>
      <c r="K916" s="22"/>
      <c r="L916" s="213" t="s">
        <v>4735</v>
      </c>
      <c r="M916" s="44"/>
      <c r="N916" s="44"/>
      <c r="O916" s="44"/>
      <c r="P916" s="44"/>
      <c r="Q916" s="44"/>
      <c r="R916" s="44"/>
      <c r="S916" s="44"/>
      <c r="T916" s="45"/>
      <c r="U916" s="38" t="str">
        <f>HYPERLINK("https://www.ncbi.nlm.nih.gov/pubmed/32026843","PubMed")</f>
        <v>PubMed</v>
      </c>
      <c r="V916" s="139"/>
      <c r="W916" s="49"/>
      <c r="X916" s="49"/>
      <c r="Y916" s="35"/>
      <c r="Z916" s="35"/>
      <c r="AA916" s="35"/>
      <c r="AB916" s="35"/>
      <c r="AC916" s="35"/>
      <c r="AD916" s="35"/>
      <c r="AE916" s="35"/>
      <c r="AF916" s="35"/>
      <c r="AG916" s="35"/>
      <c r="AH916" s="35"/>
      <c r="AI916" s="35"/>
      <c r="AJ916" s="35"/>
      <c r="AK916" s="35"/>
      <c r="AL916" s="35"/>
    </row>
    <row r="917" ht="23.25" customHeight="1">
      <c r="A917" s="180"/>
      <c r="B917" s="19" t="s">
        <v>4673</v>
      </c>
      <c r="C917" s="158" t="s">
        <v>4674</v>
      </c>
      <c r="D917" s="159"/>
      <c r="E917" s="22" t="s">
        <v>4736</v>
      </c>
      <c r="F917" s="23" t="s">
        <v>323</v>
      </c>
      <c r="G917" s="23">
        <v>2019.0</v>
      </c>
      <c r="H917" s="56" t="s">
        <v>147</v>
      </c>
      <c r="I917" s="24" t="s">
        <v>4737</v>
      </c>
      <c r="J917" s="22" t="s">
        <v>1078</v>
      </c>
      <c r="K917" s="22"/>
      <c r="L917" s="213" t="s">
        <v>4738</v>
      </c>
      <c r="M917" s="44"/>
      <c r="N917" s="44"/>
      <c r="O917" s="44"/>
      <c r="P917" s="44"/>
      <c r="Q917" s="44"/>
      <c r="R917" s="44"/>
      <c r="S917" s="44"/>
      <c r="T917" s="45"/>
      <c r="U917" s="38" t="str">
        <f>HYPERLINK("https://www.ncbi.nlm.nih.gov/pubmed/32021679","PubMed")</f>
        <v>PubMed</v>
      </c>
      <c r="V917" s="139"/>
      <c r="W917" s="49"/>
      <c r="X917" s="49"/>
      <c r="Y917" s="35"/>
      <c r="Z917" s="35"/>
      <c r="AA917" s="35"/>
      <c r="AB917" s="35"/>
      <c r="AC917" s="35"/>
      <c r="AD917" s="35"/>
      <c r="AE917" s="35"/>
      <c r="AF917" s="35"/>
      <c r="AG917" s="35"/>
      <c r="AH917" s="35"/>
      <c r="AI917" s="35"/>
      <c r="AJ917" s="35"/>
      <c r="AK917" s="35"/>
      <c r="AL917" s="35"/>
    </row>
    <row r="918" ht="23.25" customHeight="1">
      <c r="A918" s="180"/>
      <c r="B918" s="19" t="s">
        <v>4673</v>
      </c>
      <c r="C918" s="158" t="s">
        <v>4674</v>
      </c>
      <c r="D918" s="159"/>
      <c r="E918" s="22" t="s">
        <v>4739</v>
      </c>
      <c r="F918" s="23" t="s">
        <v>499</v>
      </c>
      <c r="G918" s="23">
        <v>2019.0</v>
      </c>
      <c r="H918" s="56" t="s">
        <v>4740</v>
      </c>
      <c r="I918" s="24" t="s">
        <v>4741</v>
      </c>
      <c r="J918" s="22" t="s">
        <v>4742</v>
      </c>
      <c r="K918" s="22" t="s">
        <v>4743</v>
      </c>
      <c r="L918" s="36" t="s">
        <v>4744</v>
      </c>
      <c r="M918" s="36"/>
      <c r="N918" s="36"/>
      <c r="O918" s="107"/>
      <c r="P918" s="37" t="s">
        <v>4745</v>
      </c>
      <c r="Q918" s="36"/>
      <c r="R918" s="36"/>
      <c r="S918" s="36" t="s">
        <v>4746</v>
      </c>
      <c r="T918" s="28" t="s">
        <v>4747</v>
      </c>
      <c r="U918" s="29" t="s">
        <v>61</v>
      </c>
      <c r="V918" s="139"/>
      <c r="W918" s="49"/>
      <c r="X918" s="49"/>
      <c r="Y918" s="35"/>
      <c r="Z918" s="35"/>
      <c r="AA918" s="35"/>
      <c r="AB918" s="35"/>
      <c r="AC918" s="35"/>
      <c r="AD918" s="35"/>
      <c r="AE918" s="35"/>
      <c r="AF918" s="35"/>
      <c r="AG918" s="35"/>
      <c r="AH918" s="35"/>
      <c r="AI918" s="35"/>
      <c r="AJ918" s="35"/>
      <c r="AK918" s="35"/>
      <c r="AL918" s="35"/>
    </row>
    <row r="919" ht="20.25" customHeight="1">
      <c r="A919" s="1"/>
      <c r="B919" s="19" t="s">
        <v>4673</v>
      </c>
      <c r="C919" s="158" t="s">
        <v>4674</v>
      </c>
      <c r="D919" s="159"/>
      <c r="E919" s="22" t="s">
        <v>2195</v>
      </c>
      <c r="F919" s="23" t="s">
        <v>206</v>
      </c>
      <c r="G919" s="23">
        <v>2019.0</v>
      </c>
      <c r="H919" s="22" t="s">
        <v>3828</v>
      </c>
      <c r="I919" s="24" t="s">
        <v>4748</v>
      </c>
      <c r="J919" s="22" t="s">
        <v>2141</v>
      </c>
      <c r="K919" s="22" t="s">
        <v>2686</v>
      </c>
      <c r="L919" s="168"/>
      <c r="M919" s="168"/>
      <c r="N919" s="168"/>
      <c r="O919" s="168"/>
      <c r="P919" s="169"/>
      <c r="Q919" s="168"/>
      <c r="R919" s="168"/>
      <c r="S919" s="168"/>
      <c r="T919" s="185"/>
      <c r="U919" s="38" t="str">
        <f>HYPERLINK("https://www.ncbi.nlm.nih.gov/pubmed/31348263","PubMed")</f>
        <v>PubMed</v>
      </c>
      <c r="V919" s="139"/>
      <c r="W919" s="49"/>
      <c r="X919" s="49"/>
      <c r="Y919" s="35"/>
      <c r="Z919" s="35"/>
      <c r="AA919" s="35"/>
      <c r="AB919" s="35"/>
      <c r="AC919" s="35"/>
      <c r="AD919" s="35"/>
      <c r="AE919" s="35"/>
      <c r="AF919" s="35"/>
      <c r="AG919" s="35"/>
      <c r="AH919" s="35"/>
      <c r="AI919" s="35"/>
      <c r="AJ919" s="35"/>
      <c r="AK919" s="35"/>
      <c r="AL919" s="35"/>
    </row>
    <row r="920" ht="20.25" customHeight="1">
      <c r="A920" s="1"/>
      <c r="B920" s="19" t="s">
        <v>4673</v>
      </c>
      <c r="C920" s="158" t="s">
        <v>4674</v>
      </c>
      <c r="D920" s="159"/>
      <c r="E920" s="22" t="s">
        <v>4749</v>
      </c>
      <c r="F920" s="23" t="s">
        <v>4750</v>
      </c>
      <c r="G920" s="23">
        <v>2019.0</v>
      </c>
      <c r="H920" s="22" t="s">
        <v>4751</v>
      </c>
      <c r="I920" s="24" t="s">
        <v>4752</v>
      </c>
      <c r="J920" s="22" t="s">
        <v>4753</v>
      </c>
      <c r="K920" s="22" t="s">
        <v>4754</v>
      </c>
      <c r="L920" s="36">
        <v>830.0</v>
      </c>
      <c r="M920" s="36">
        <v>100.0</v>
      </c>
      <c r="N920" s="36"/>
      <c r="O920" s="36"/>
      <c r="P920" s="37" t="s">
        <v>2395</v>
      </c>
      <c r="Q920" s="36" t="s">
        <v>4755</v>
      </c>
      <c r="R920" s="36">
        <v>600.0</v>
      </c>
      <c r="S920" s="36" t="s">
        <v>1514</v>
      </c>
      <c r="T920" s="28" t="s">
        <v>4756</v>
      </c>
      <c r="U920" s="38" t="str">
        <f>HYPERLINK("https://www.ncbi.nlm.nih.gov/pubmed/30967707","PubMed")</f>
        <v>PubMed</v>
      </c>
      <c r="V920" s="139"/>
      <c r="W920" s="49"/>
      <c r="X920" s="49"/>
      <c r="Y920" s="35"/>
      <c r="Z920" s="35"/>
      <c r="AA920" s="35"/>
      <c r="AB920" s="35"/>
      <c r="AC920" s="35"/>
      <c r="AD920" s="35"/>
      <c r="AE920" s="35"/>
      <c r="AF920" s="35"/>
      <c r="AG920" s="35"/>
      <c r="AH920" s="35"/>
      <c r="AI920" s="35"/>
      <c r="AJ920" s="35"/>
      <c r="AK920" s="35"/>
      <c r="AL920" s="35"/>
    </row>
    <row r="921" ht="20.25" customHeight="1">
      <c r="A921" s="1"/>
      <c r="B921" s="19" t="s">
        <v>4673</v>
      </c>
      <c r="C921" s="158" t="s">
        <v>4674</v>
      </c>
      <c r="D921" s="159"/>
      <c r="E921" s="22" t="s">
        <v>4757</v>
      </c>
      <c r="F921" s="23" t="s">
        <v>52</v>
      </c>
      <c r="G921" s="23">
        <v>2018.0</v>
      </c>
      <c r="H921" s="22" t="s">
        <v>4758</v>
      </c>
      <c r="I921" s="24" t="s">
        <v>4759</v>
      </c>
      <c r="J921" s="22" t="s">
        <v>4760</v>
      </c>
      <c r="K921" s="96"/>
      <c r="L921" s="36">
        <v>670.0</v>
      </c>
      <c r="M921" s="36">
        <v>100.0</v>
      </c>
      <c r="N921" s="36"/>
      <c r="O921" s="36">
        <v>4.0</v>
      </c>
      <c r="P921" s="37"/>
      <c r="Q921" s="36"/>
      <c r="R921" s="36"/>
      <c r="S921" s="36" t="s">
        <v>4708</v>
      </c>
      <c r="T921" s="28" t="s">
        <v>4761</v>
      </c>
      <c r="U921" s="38" t="str">
        <f>HYPERLINK("https://www.ncbi.nlm.nih.gov/pubmed/29892976","PubMed")</f>
        <v>PubMed</v>
      </c>
      <c r="V921" s="139"/>
      <c r="W921" s="49"/>
      <c r="X921" s="49"/>
      <c r="Y921" s="35"/>
      <c r="Z921" s="35"/>
      <c r="AA921" s="35"/>
      <c r="AB921" s="35"/>
      <c r="AC921" s="35"/>
      <c r="AD921" s="35"/>
      <c r="AE921" s="35"/>
      <c r="AF921" s="35"/>
      <c r="AG921" s="35"/>
      <c r="AH921" s="35"/>
      <c r="AI921" s="35"/>
      <c r="AJ921" s="35"/>
      <c r="AK921" s="35"/>
      <c r="AL921" s="35"/>
    </row>
    <row r="922" ht="20.25" customHeight="1">
      <c r="A922" s="1"/>
      <c r="B922" s="19" t="s">
        <v>4673</v>
      </c>
      <c r="C922" s="158" t="s">
        <v>4674</v>
      </c>
      <c r="D922" s="159"/>
      <c r="E922" s="22" t="s">
        <v>4762</v>
      </c>
      <c r="F922" s="23" t="s">
        <v>4763</v>
      </c>
      <c r="G922" s="23">
        <v>2018.0</v>
      </c>
      <c r="H922" s="22" t="s">
        <v>4764</v>
      </c>
      <c r="I922" s="24" t="s">
        <v>4765</v>
      </c>
      <c r="J922" s="22" t="s">
        <v>4766</v>
      </c>
      <c r="K922" s="96"/>
      <c r="L922" s="36">
        <v>685.0</v>
      </c>
      <c r="M922" s="36">
        <v>27.0</v>
      </c>
      <c r="N922" s="36"/>
      <c r="O922" s="36" t="s">
        <v>132</v>
      </c>
      <c r="P922" s="37" t="s">
        <v>900</v>
      </c>
      <c r="Q922" s="36"/>
      <c r="R922" s="36">
        <v>462.0</v>
      </c>
      <c r="S922" s="36" t="s">
        <v>4708</v>
      </c>
      <c r="T922" s="28" t="s">
        <v>4767</v>
      </c>
      <c r="U922" s="38" t="str">
        <f>HYPERLINK("https://www.ncbi.nlm.nih.gov/pubmed/29594333","PubMed")</f>
        <v>PubMed</v>
      </c>
      <c r="V922" s="139"/>
      <c r="W922" s="49"/>
      <c r="X922" s="49"/>
      <c r="Y922" s="35"/>
      <c r="Z922" s="35"/>
      <c r="AA922" s="35"/>
      <c r="AB922" s="35"/>
      <c r="AC922" s="35"/>
      <c r="AD922" s="35"/>
      <c r="AE922" s="35"/>
      <c r="AF922" s="35"/>
      <c r="AG922" s="35"/>
      <c r="AH922" s="35"/>
      <c r="AI922" s="35"/>
      <c r="AJ922" s="35"/>
      <c r="AK922" s="35"/>
      <c r="AL922" s="35"/>
    </row>
    <row r="923" ht="20.25" customHeight="1">
      <c r="A923" s="1"/>
      <c r="B923" s="19" t="s">
        <v>4673</v>
      </c>
      <c r="C923" s="158" t="s">
        <v>4674</v>
      </c>
      <c r="D923" s="159"/>
      <c r="E923" s="22" t="s">
        <v>4768</v>
      </c>
      <c r="F923" s="23" t="s">
        <v>4769</v>
      </c>
      <c r="G923" s="23">
        <v>2017.0</v>
      </c>
      <c r="H923" s="22" t="s">
        <v>292</v>
      </c>
      <c r="I923" s="24" t="s">
        <v>4770</v>
      </c>
      <c r="J923" s="22" t="s">
        <v>4771</v>
      </c>
      <c r="K923" s="22" t="s">
        <v>56</v>
      </c>
      <c r="L923" s="36" t="s">
        <v>4772</v>
      </c>
      <c r="M923" s="36"/>
      <c r="N923" s="36" t="s">
        <v>3587</v>
      </c>
      <c r="O923" s="129"/>
      <c r="P923" s="37" t="s">
        <v>4773</v>
      </c>
      <c r="Q923" s="36"/>
      <c r="R923" s="36">
        <v>360.0</v>
      </c>
      <c r="S923" s="36" t="s">
        <v>4774</v>
      </c>
      <c r="T923" s="28" t="s">
        <v>4775</v>
      </c>
      <c r="U923" s="38" t="str">
        <f>HYPERLINK("https://www.ncbi.nlm.nih.gov/pubmed/29434429","PubMed")</f>
        <v>PubMed</v>
      </c>
      <c r="V923" s="139"/>
      <c r="W923" s="49"/>
      <c r="X923" s="49"/>
      <c r="Y923" s="35"/>
      <c r="Z923" s="35"/>
      <c r="AA923" s="35"/>
      <c r="AB923" s="35"/>
      <c r="AC923" s="35"/>
      <c r="AD923" s="35"/>
      <c r="AE923" s="35"/>
      <c r="AF923" s="35"/>
      <c r="AG923" s="35"/>
      <c r="AH923" s="35"/>
      <c r="AI923" s="35"/>
      <c r="AJ923" s="35"/>
      <c r="AK923" s="35"/>
      <c r="AL923" s="35"/>
    </row>
    <row r="924" ht="20.25" customHeight="1">
      <c r="A924" s="1" t="s">
        <v>181</v>
      </c>
      <c r="B924" s="19" t="s">
        <v>4673</v>
      </c>
      <c r="C924" s="158" t="s">
        <v>4674</v>
      </c>
      <c r="D924" s="159"/>
      <c r="E924" s="22" t="s">
        <v>3919</v>
      </c>
      <c r="F924" s="23" t="s">
        <v>1943</v>
      </c>
      <c r="G924" s="23">
        <v>2017.0</v>
      </c>
      <c r="H924" s="22" t="s">
        <v>4365</v>
      </c>
      <c r="I924" s="24" t="s">
        <v>4776</v>
      </c>
      <c r="J924" s="22" t="s">
        <v>4777</v>
      </c>
      <c r="K924" s="22" t="s">
        <v>4778</v>
      </c>
      <c r="L924" s="36">
        <v>904.0</v>
      </c>
      <c r="M924" s="36">
        <v>20.0</v>
      </c>
      <c r="N924" s="36"/>
      <c r="O924" s="129">
        <v>42951.0</v>
      </c>
      <c r="P924" s="109"/>
      <c r="Q924" s="36" t="s">
        <v>4779</v>
      </c>
      <c r="R924" s="107"/>
      <c r="S924" s="36" t="s">
        <v>3280</v>
      </c>
      <c r="T924" s="28" t="s">
        <v>4780</v>
      </c>
      <c r="U924" s="38" t="str">
        <f>HYPERLINK("https://www.ncbi.nlm.nih.gov/pubmed/28856107","PubMed")</f>
        <v>PubMed</v>
      </c>
      <c r="V924" s="139"/>
      <c r="W924" s="49"/>
      <c r="X924" s="49"/>
      <c r="Y924" s="35"/>
      <c r="Z924" s="35"/>
      <c r="AA924" s="35"/>
      <c r="AB924" s="35"/>
      <c r="AC924" s="35"/>
      <c r="AD924" s="35"/>
      <c r="AE924" s="35"/>
      <c r="AF924" s="35"/>
      <c r="AG924" s="35"/>
      <c r="AH924" s="35"/>
      <c r="AI924" s="35"/>
      <c r="AJ924" s="35"/>
      <c r="AK924" s="35"/>
      <c r="AL924" s="35"/>
    </row>
    <row r="925" ht="20.25" customHeight="1">
      <c r="A925" s="180"/>
      <c r="B925" s="19" t="s">
        <v>4673</v>
      </c>
      <c r="C925" s="158" t="s">
        <v>4674</v>
      </c>
      <c r="D925" s="159"/>
      <c r="E925" s="22" t="s">
        <v>4781</v>
      </c>
      <c r="F925" s="23" t="s">
        <v>4782</v>
      </c>
      <c r="G925" s="23">
        <v>2017.0</v>
      </c>
      <c r="H925" s="22" t="s">
        <v>4783</v>
      </c>
      <c r="I925" s="24" t="s">
        <v>4784</v>
      </c>
      <c r="J925" s="22" t="s">
        <v>649</v>
      </c>
      <c r="K925" s="22"/>
      <c r="L925" s="105" t="s">
        <v>4785</v>
      </c>
      <c r="M925" s="44"/>
      <c r="N925" s="44"/>
      <c r="O925" s="44"/>
      <c r="P925" s="44"/>
      <c r="Q925" s="44"/>
      <c r="R925" s="44"/>
      <c r="S925" s="44"/>
      <c r="T925" s="45"/>
      <c r="U925" s="38" t="str">
        <f>HYPERLINK("https://www.ncbi.nlm.nih.gov/pubmed/28629992","PubMed")</f>
        <v>PubMed</v>
      </c>
      <c r="V925" s="139"/>
      <c r="W925" s="49"/>
      <c r="X925" s="49"/>
      <c r="Y925" s="35"/>
      <c r="Z925" s="35"/>
      <c r="AA925" s="35"/>
      <c r="AB925" s="35"/>
      <c r="AC925" s="35"/>
      <c r="AD925" s="35"/>
      <c r="AE925" s="35"/>
      <c r="AF925" s="35"/>
      <c r="AG925" s="35"/>
      <c r="AH925" s="35"/>
      <c r="AI925" s="35"/>
      <c r="AJ925" s="35"/>
      <c r="AK925" s="35"/>
      <c r="AL925" s="35"/>
    </row>
    <row r="926" ht="20.25" customHeight="1">
      <c r="A926" s="180"/>
      <c r="B926" s="19" t="s">
        <v>4673</v>
      </c>
      <c r="C926" s="158" t="s">
        <v>4674</v>
      </c>
      <c r="D926" s="159"/>
      <c r="E926" s="22" t="s">
        <v>4786</v>
      </c>
      <c r="F926" s="23" t="s">
        <v>1943</v>
      </c>
      <c r="G926" s="23">
        <v>2017.0</v>
      </c>
      <c r="H926" s="22" t="s">
        <v>91</v>
      </c>
      <c r="I926" s="24" t="s">
        <v>4787</v>
      </c>
      <c r="J926" s="22" t="s">
        <v>1078</v>
      </c>
      <c r="K926" s="22"/>
      <c r="L926" s="195" t="s">
        <v>4788</v>
      </c>
      <c r="M926" s="44"/>
      <c r="N926" s="44"/>
      <c r="O926" s="44"/>
      <c r="P926" s="44"/>
      <c r="Q926" s="44"/>
      <c r="R926" s="44"/>
      <c r="S926" s="44"/>
      <c r="T926" s="45"/>
      <c r="U926" s="38" t="str">
        <f>HYPERLINK("https://www.ncbi.nlm.nih.gov/pubmed/28580494","PubMed")</f>
        <v>PubMed</v>
      </c>
      <c r="V926" s="139"/>
      <c r="W926" s="49"/>
      <c r="X926" s="49"/>
      <c r="Y926" s="35"/>
      <c r="Z926" s="35"/>
      <c r="AA926" s="35"/>
      <c r="AB926" s="35"/>
      <c r="AC926" s="35"/>
      <c r="AD926" s="35"/>
      <c r="AE926" s="35"/>
      <c r="AF926" s="35"/>
      <c r="AG926" s="35"/>
      <c r="AH926" s="35"/>
      <c r="AI926" s="35"/>
      <c r="AJ926" s="35"/>
      <c r="AK926" s="35"/>
      <c r="AL926" s="35"/>
    </row>
    <row r="927" ht="20.25" customHeight="1">
      <c r="A927" s="180"/>
      <c r="B927" s="19" t="s">
        <v>4673</v>
      </c>
      <c r="C927" s="158" t="s">
        <v>4674</v>
      </c>
      <c r="D927" s="159"/>
      <c r="E927" s="22" t="s">
        <v>4789</v>
      </c>
      <c r="F927" s="23" t="s">
        <v>4790</v>
      </c>
      <c r="G927" s="23">
        <v>2017.0</v>
      </c>
      <c r="H927" s="22" t="s">
        <v>4791</v>
      </c>
      <c r="I927" s="24" t="s">
        <v>4792</v>
      </c>
      <c r="J927" s="22" t="s">
        <v>649</v>
      </c>
      <c r="K927" s="22"/>
      <c r="L927" s="195" t="s">
        <v>4793</v>
      </c>
      <c r="M927" s="44"/>
      <c r="N927" s="44"/>
      <c r="O927" s="44"/>
      <c r="P927" s="44"/>
      <c r="Q927" s="44"/>
      <c r="R927" s="44"/>
      <c r="S927" s="44"/>
      <c r="T927" s="45"/>
      <c r="U927" s="38" t="str">
        <f>HYPERLINK("https://www.ncbi.nlm.nih.gov/pubmed/28272964","PubMed")</f>
        <v>PubMed</v>
      </c>
      <c r="V927" s="139"/>
      <c r="W927" s="49"/>
      <c r="X927" s="49"/>
      <c r="Y927" s="35"/>
      <c r="Z927" s="35"/>
      <c r="AA927" s="35"/>
      <c r="AB927" s="35"/>
      <c r="AC927" s="35"/>
      <c r="AD927" s="35"/>
      <c r="AE927" s="35"/>
      <c r="AF927" s="35"/>
      <c r="AG927" s="35"/>
      <c r="AH927" s="35"/>
      <c r="AI927" s="35"/>
      <c r="AJ927" s="35"/>
      <c r="AK927" s="35"/>
      <c r="AL927" s="35"/>
    </row>
    <row r="928" ht="20.25" customHeight="1">
      <c r="A928" s="180"/>
      <c r="B928" s="19" t="s">
        <v>4673</v>
      </c>
      <c r="C928" s="158" t="s">
        <v>4674</v>
      </c>
      <c r="D928" s="159"/>
      <c r="E928" s="22" t="s">
        <v>1689</v>
      </c>
      <c r="F928" s="23" t="s">
        <v>2437</v>
      </c>
      <c r="G928" s="23">
        <v>2016.0</v>
      </c>
      <c r="H928" s="22" t="s">
        <v>3828</v>
      </c>
      <c r="I928" s="24" t="s">
        <v>4794</v>
      </c>
      <c r="J928" s="22" t="s">
        <v>1078</v>
      </c>
      <c r="K928" s="22"/>
      <c r="L928" s="105" t="s">
        <v>4795</v>
      </c>
      <c r="M928" s="44"/>
      <c r="N928" s="44"/>
      <c r="O928" s="44"/>
      <c r="P928" s="44"/>
      <c r="Q928" s="44"/>
      <c r="R928" s="44"/>
      <c r="S928" s="44"/>
      <c r="T928" s="45"/>
      <c r="U928" s="38" t="str">
        <f>HYPERLINK("https://www.ncbi.nlm.nih.gov/pubmed/27495063","PubMed")</f>
        <v>PubMed</v>
      </c>
      <c r="V928" s="139"/>
      <c r="W928" s="49"/>
      <c r="X928" s="49"/>
      <c r="Y928" s="35"/>
      <c r="Z928" s="35"/>
      <c r="AA928" s="35"/>
      <c r="AB928" s="35"/>
      <c r="AC928" s="35"/>
      <c r="AD928" s="35"/>
      <c r="AE928" s="35"/>
      <c r="AF928" s="35"/>
      <c r="AG928" s="35"/>
      <c r="AH928" s="35"/>
      <c r="AI928" s="35"/>
      <c r="AJ928" s="35"/>
      <c r="AK928" s="35"/>
      <c r="AL928" s="35"/>
    </row>
    <row r="929" ht="20.25" customHeight="1">
      <c r="A929" s="180"/>
      <c r="B929" s="19" t="s">
        <v>4673</v>
      </c>
      <c r="C929" s="158" t="s">
        <v>4674</v>
      </c>
      <c r="D929" s="159"/>
      <c r="E929" s="22" t="s">
        <v>114</v>
      </c>
      <c r="F929" s="23" t="s">
        <v>358</v>
      </c>
      <c r="G929" s="23">
        <v>2016.0</v>
      </c>
      <c r="H929" s="22" t="s">
        <v>4718</v>
      </c>
      <c r="I929" s="24" t="s">
        <v>4796</v>
      </c>
      <c r="J929" s="22" t="s">
        <v>4797</v>
      </c>
      <c r="K929" s="22"/>
      <c r="L929" s="36">
        <v>660.0</v>
      </c>
      <c r="M929" s="36">
        <v>30.0</v>
      </c>
      <c r="N929" s="36"/>
      <c r="O929" s="36" t="s">
        <v>4798</v>
      </c>
      <c r="P929" s="37" t="s">
        <v>95</v>
      </c>
      <c r="Q929" s="36" t="s">
        <v>4799</v>
      </c>
      <c r="R929" s="36" t="s">
        <v>4800</v>
      </c>
      <c r="S929" s="36" t="s">
        <v>2688</v>
      </c>
      <c r="T929" s="102" t="s">
        <v>4801</v>
      </c>
      <c r="U929" s="38" t="str">
        <f>HYPERLINK("https://www.ncbi.nlm.nih.gov/pubmed/26444330","PubMed")</f>
        <v>PubMed</v>
      </c>
      <c r="V929" s="136" t="s">
        <v>4802</v>
      </c>
      <c r="W929" s="49"/>
      <c r="X929" s="49"/>
      <c r="Y929" s="35"/>
      <c r="Z929" s="35"/>
      <c r="AA929" s="35"/>
      <c r="AB929" s="35"/>
      <c r="AC929" s="35"/>
      <c r="AD929" s="35"/>
      <c r="AE929" s="35"/>
      <c r="AF929" s="35"/>
      <c r="AG929" s="35"/>
      <c r="AH929" s="35"/>
      <c r="AI929" s="35"/>
      <c r="AJ929" s="35"/>
      <c r="AK929" s="35"/>
      <c r="AL929" s="35"/>
    </row>
    <row r="930" ht="20.25" customHeight="1">
      <c r="A930" s="1" t="s">
        <v>181</v>
      </c>
      <c r="B930" s="19" t="s">
        <v>4673</v>
      </c>
      <c r="C930" s="158" t="s">
        <v>4674</v>
      </c>
      <c r="D930" s="159"/>
      <c r="E930" s="22" t="s">
        <v>4803</v>
      </c>
      <c r="F930" s="23" t="s">
        <v>2705</v>
      </c>
      <c r="G930" s="23">
        <v>2015.0</v>
      </c>
      <c r="H930" s="22" t="s">
        <v>4804</v>
      </c>
      <c r="I930" s="24" t="s">
        <v>4805</v>
      </c>
      <c r="J930" s="22" t="s">
        <v>4806</v>
      </c>
      <c r="K930" s="22" t="s">
        <v>4807</v>
      </c>
      <c r="L930" s="36" t="s">
        <v>4808</v>
      </c>
      <c r="M930" s="36" t="s">
        <v>4809</v>
      </c>
      <c r="N930" s="36"/>
      <c r="O930" s="36"/>
      <c r="P930" s="37"/>
      <c r="Q930" s="36"/>
      <c r="R930" s="36">
        <v>600.0</v>
      </c>
      <c r="S930" s="36">
        <v>5.0</v>
      </c>
      <c r="T930" s="102" t="s">
        <v>4810</v>
      </c>
      <c r="U930" s="38" t="str">
        <f>HYPERLINK("https://www.ncbi.nlm.nih.gov/pubmed/25603750","PubMed")</f>
        <v>PubMed</v>
      </c>
      <c r="V930" s="139"/>
      <c r="W930" s="49"/>
      <c r="X930" s="49"/>
      <c r="Y930" s="35"/>
      <c r="Z930" s="35"/>
      <c r="AA930" s="35"/>
      <c r="AB930" s="35"/>
      <c r="AC930" s="35"/>
      <c r="AD930" s="35"/>
      <c r="AE930" s="35"/>
      <c r="AF930" s="35"/>
      <c r="AG930" s="35"/>
      <c r="AH930" s="35"/>
      <c r="AI930" s="35"/>
      <c r="AJ930" s="35"/>
      <c r="AK930" s="35"/>
      <c r="AL930" s="35"/>
    </row>
    <row r="931" ht="20.25" customHeight="1">
      <c r="A931" s="1" t="s">
        <v>181</v>
      </c>
      <c r="B931" s="19" t="s">
        <v>4673</v>
      </c>
      <c r="C931" s="158" t="s">
        <v>4674</v>
      </c>
      <c r="D931" s="159"/>
      <c r="E931" s="22" t="s">
        <v>4811</v>
      </c>
      <c r="F931" s="23" t="s">
        <v>4812</v>
      </c>
      <c r="G931" s="23">
        <v>2015.0</v>
      </c>
      <c r="H931" s="22" t="s">
        <v>857</v>
      </c>
      <c r="I931" s="24" t="s">
        <v>4813</v>
      </c>
      <c r="J931" s="22" t="s">
        <v>4814</v>
      </c>
      <c r="K931" s="22"/>
      <c r="L931" s="36">
        <v>830.0</v>
      </c>
      <c r="M931" s="36">
        <v>30.0</v>
      </c>
      <c r="N931" s="36"/>
      <c r="O931" s="36"/>
      <c r="P931" s="37"/>
      <c r="Q931" s="36"/>
      <c r="R931" s="36"/>
      <c r="S931" s="36" t="s">
        <v>1514</v>
      </c>
      <c r="T931" s="54" t="s">
        <v>4815</v>
      </c>
      <c r="U931" s="38" t="str">
        <f>HYPERLINK("https://www.ncbi.nlm.nih.gov/pubmed/27027075","PubMed")</f>
        <v>PubMed</v>
      </c>
      <c r="V931" s="136" t="s">
        <v>4816</v>
      </c>
      <c r="W931" s="49"/>
      <c r="X931" s="49"/>
      <c r="Y931" s="35"/>
      <c r="Z931" s="35"/>
      <c r="AA931" s="35"/>
      <c r="AB931" s="35"/>
      <c r="AC931" s="35"/>
      <c r="AD931" s="35"/>
      <c r="AE931" s="35"/>
      <c r="AF931" s="35"/>
      <c r="AG931" s="35"/>
      <c r="AH931" s="35"/>
      <c r="AI931" s="35"/>
      <c r="AJ931" s="35"/>
      <c r="AK931" s="35"/>
      <c r="AL931" s="35"/>
    </row>
    <row r="932" ht="20.25" customHeight="1">
      <c r="A932" s="180"/>
      <c r="B932" s="19" t="s">
        <v>4673</v>
      </c>
      <c r="C932" s="158" t="s">
        <v>4674</v>
      </c>
      <c r="D932" s="159"/>
      <c r="E932" s="22" t="s">
        <v>4817</v>
      </c>
      <c r="F932" s="23" t="s">
        <v>2214</v>
      </c>
      <c r="G932" s="23">
        <v>2014.0</v>
      </c>
      <c r="H932" s="22" t="s">
        <v>91</v>
      </c>
      <c r="I932" s="24" t="s">
        <v>4818</v>
      </c>
      <c r="J932" s="22" t="s">
        <v>4819</v>
      </c>
      <c r="K932" s="22"/>
      <c r="L932" s="36">
        <v>810.0</v>
      </c>
      <c r="M932" s="36">
        <v>50.0</v>
      </c>
      <c r="N932" s="36"/>
      <c r="O932" s="36">
        <v>18.0</v>
      </c>
      <c r="P932" s="37"/>
      <c r="Q932" s="36"/>
      <c r="R932" s="36"/>
      <c r="S932" s="36" t="s">
        <v>4820</v>
      </c>
      <c r="T932" s="54" t="s">
        <v>4821</v>
      </c>
      <c r="U932" s="38" t="str">
        <f>HYPERLINK("https://www.ncbi.nlm.nih.gov/pubmed/24477392","PubMed")</f>
        <v>PubMed</v>
      </c>
      <c r="V932" s="139"/>
      <c r="W932" s="49"/>
      <c r="X932" s="49"/>
      <c r="Y932" s="35"/>
      <c r="Z932" s="35"/>
      <c r="AA932" s="35"/>
      <c r="AB932" s="35"/>
      <c r="AC932" s="35"/>
      <c r="AD932" s="35"/>
      <c r="AE932" s="35"/>
      <c r="AF932" s="35"/>
      <c r="AG932" s="35"/>
      <c r="AH932" s="35"/>
      <c r="AI932" s="35"/>
      <c r="AJ932" s="35"/>
      <c r="AK932" s="35"/>
      <c r="AL932" s="35"/>
    </row>
    <row r="933" ht="20.25" customHeight="1">
      <c r="A933" s="180"/>
      <c r="B933" s="19" t="s">
        <v>4673</v>
      </c>
      <c r="C933" s="158" t="s">
        <v>4674</v>
      </c>
      <c r="D933" s="159"/>
      <c r="E933" s="22" t="s">
        <v>4822</v>
      </c>
      <c r="F933" s="23" t="s">
        <v>323</v>
      </c>
      <c r="G933" s="23">
        <v>2014.0</v>
      </c>
      <c r="H933" s="22" t="s">
        <v>147</v>
      </c>
      <c r="I933" s="24" t="s">
        <v>4823</v>
      </c>
      <c r="J933" s="22" t="s">
        <v>4824</v>
      </c>
      <c r="K933" s="22" t="s">
        <v>4825</v>
      </c>
      <c r="L933" s="36" t="s">
        <v>4772</v>
      </c>
      <c r="M933" s="36"/>
      <c r="N933" s="36" t="s">
        <v>3587</v>
      </c>
      <c r="O933" s="36"/>
      <c r="P933" s="37"/>
      <c r="Q933" s="36"/>
      <c r="R933" s="36">
        <v>480.0</v>
      </c>
      <c r="S933" s="36">
        <v>12.0</v>
      </c>
      <c r="T933" s="103" t="s">
        <v>4826</v>
      </c>
      <c r="U933" s="38" t="str">
        <f>HYPERLINK("https://www.ncbi.nlm.nih.gov/pubmed/25606338","PubMed")</f>
        <v>PubMed</v>
      </c>
      <c r="V933" s="139"/>
      <c r="W933" s="49"/>
      <c r="X933" s="49"/>
      <c r="Y933" s="35"/>
      <c r="Z933" s="35"/>
      <c r="AA933" s="35"/>
      <c r="AB933" s="35"/>
      <c r="AC933" s="35"/>
      <c r="AD933" s="35"/>
      <c r="AE933" s="35"/>
      <c r="AF933" s="35"/>
      <c r="AG933" s="35"/>
      <c r="AH933" s="35"/>
      <c r="AI933" s="35"/>
      <c r="AJ933" s="35"/>
      <c r="AK933" s="35"/>
      <c r="AL933" s="35"/>
    </row>
    <row r="934" ht="20.25" customHeight="1">
      <c r="A934" s="180"/>
      <c r="B934" s="19" t="s">
        <v>4673</v>
      </c>
      <c r="C934" s="158" t="s">
        <v>4674</v>
      </c>
      <c r="D934" s="159"/>
      <c r="E934" s="22" t="s">
        <v>4827</v>
      </c>
      <c r="F934" s="23" t="s">
        <v>3767</v>
      </c>
      <c r="G934" s="23">
        <v>2014.0</v>
      </c>
      <c r="H934" s="22" t="s">
        <v>658</v>
      </c>
      <c r="I934" s="24" t="s">
        <v>4828</v>
      </c>
      <c r="J934" s="22" t="s">
        <v>4829</v>
      </c>
      <c r="K934" s="22"/>
      <c r="L934" s="36">
        <v>780.0</v>
      </c>
      <c r="M934" s="36">
        <v>30.0</v>
      </c>
      <c r="N934" s="36" t="s">
        <v>4830</v>
      </c>
      <c r="O934" s="36" t="s">
        <v>4831</v>
      </c>
      <c r="P934" s="37" t="s">
        <v>4832</v>
      </c>
      <c r="Q934" s="36" t="s">
        <v>4833</v>
      </c>
      <c r="R934" s="36" t="s">
        <v>4834</v>
      </c>
      <c r="S934" s="36" t="s">
        <v>3898</v>
      </c>
      <c r="T934" s="54" t="s">
        <v>4835</v>
      </c>
      <c r="U934" s="38" t="str">
        <f>HYPERLINK("https://www.ncbi.nlm.nih.gov/pubmed/24905929","PubMed")</f>
        <v>PubMed</v>
      </c>
      <c r="V934" s="139"/>
      <c r="W934" s="49"/>
      <c r="X934" s="49"/>
      <c r="Y934" s="35"/>
      <c r="Z934" s="35"/>
      <c r="AA934" s="35"/>
      <c r="AB934" s="35"/>
      <c r="AC934" s="35"/>
      <c r="AD934" s="35"/>
      <c r="AE934" s="35"/>
      <c r="AF934" s="35"/>
      <c r="AG934" s="35"/>
      <c r="AH934" s="35"/>
      <c r="AI934" s="35"/>
      <c r="AJ934" s="35"/>
      <c r="AK934" s="35"/>
      <c r="AL934" s="35"/>
    </row>
    <row r="935" ht="20.25" customHeight="1">
      <c r="A935" s="180"/>
      <c r="B935" s="19" t="s">
        <v>4673</v>
      </c>
      <c r="C935" s="158" t="s">
        <v>4674</v>
      </c>
      <c r="D935" s="159"/>
      <c r="E935" s="22" t="s">
        <v>4836</v>
      </c>
      <c r="F935" s="23" t="s">
        <v>347</v>
      </c>
      <c r="G935" s="23">
        <v>2013.0</v>
      </c>
      <c r="H935" s="22" t="s">
        <v>4740</v>
      </c>
      <c r="I935" s="24" t="s">
        <v>4837</v>
      </c>
      <c r="J935" s="22" t="s">
        <v>4838</v>
      </c>
      <c r="K935" s="22" t="s">
        <v>4839</v>
      </c>
      <c r="L935" s="36" t="s">
        <v>4840</v>
      </c>
      <c r="M935" s="36"/>
      <c r="N935" s="36"/>
      <c r="O935" s="36"/>
      <c r="P935" s="37" t="s">
        <v>4841</v>
      </c>
      <c r="Q935" s="36" t="s">
        <v>675</v>
      </c>
      <c r="R935" s="36"/>
      <c r="S935" s="36" t="s">
        <v>4708</v>
      </c>
      <c r="T935" s="54" t="s">
        <v>4842</v>
      </c>
      <c r="U935" s="38" t="str">
        <f>HYPERLINK("https://www.ncbi.nlm.nih.gov/pubmed/22820819","PubMed")</f>
        <v>PubMed</v>
      </c>
      <c r="V935" s="139"/>
      <c r="W935" s="49"/>
      <c r="X935" s="49"/>
      <c r="Y935" s="35"/>
      <c r="Z935" s="35"/>
      <c r="AA935" s="35"/>
      <c r="AB935" s="35"/>
      <c r="AC935" s="35"/>
      <c r="AD935" s="35"/>
      <c r="AE935" s="35"/>
      <c r="AF935" s="35"/>
      <c r="AG935" s="35"/>
      <c r="AH935" s="35"/>
      <c r="AI935" s="35"/>
      <c r="AJ935" s="35"/>
      <c r="AK935" s="35"/>
      <c r="AL935" s="35"/>
    </row>
    <row r="936" ht="20.25" customHeight="1">
      <c r="A936" s="180"/>
      <c r="B936" s="19" t="s">
        <v>4673</v>
      </c>
      <c r="C936" s="158" t="s">
        <v>4674</v>
      </c>
      <c r="D936" s="159"/>
      <c r="E936" s="22" t="s">
        <v>4736</v>
      </c>
      <c r="F936" s="23" t="s">
        <v>323</v>
      </c>
      <c r="G936" s="23">
        <v>2013.0</v>
      </c>
      <c r="H936" s="22" t="s">
        <v>147</v>
      </c>
      <c r="I936" s="24" t="s">
        <v>4843</v>
      </c>
      <c r="J936" s="22" t="s">
        <v>4844</v>
      </c>
      <c r="K936" s="22"/>
      <c r="L936" s="36">
        <v>880.0</v>
      </c>
      <c r="M936" s="36">
        <v>50.0</v>
      </c>
      <c r="N936" s="36"/>
      <c r="O936" s="36"/>
      <c r="P936" s="37" t="s">
        <v>82</v>
      </c>
      <c r="Q936" s="36"/>
      <c r="R936" s="36"/>
      <c r="S936" s="36" t="s">
        <v>1514</v>
      </c>
      <c r="T936" s="103" t="s">
        <v>4845</v>
      </c>
      <c r="U936" s="38" t="str">
        <f>HYPERLINK("https://www.ncbi.nlm.nih.gov/pubmed/25606328","PubMed")</f>
        <v>PubMed</v>
      </c>
      <c r="V936" s="139"/>
      <c r="W936" s="49"/>
      <c r="X936" s="49"/>
      <c r="Y936" s="35"/>
      <c r="Z936" s="35"/>
      <c r="AA936" s="35"/>
      <c r="AB936" s="35"/>
      <c r="AC936" s="35"/>
      <c r="AD936" s="35"/>
      <c r="AE936" s="35"/>
      <c r="AF936" s="35"/>
      <c r="AG936" s="35"/>
      <c r="AH936" s="35"/>
      <c r="AI936" s="35"/>
      <c r="AJ936" s="35"/>
      <c r="AK936" s="35"/>
      <c r="AL936" s="35"/>
    </row>
    <row r="937" ht="20.25" customHeight="1">
      <c r="A937" s="180"/>
      <c r="B937" s="19" t="s">
        <v>4673</v>
      </c>
      <c r="C937" s="158" t="s">
        <v>4674</v>
      </c>
      <c r="D937" s="159"/>
      <c r="E937" s="22" t="s">
        <v>114</v>
      </c>
      <c r="F937" s="23" t="s">
        <v>358</v>
      </c>
      <c r="G937" s="23">
        <v>2012.0</v>
      </c>
      <c r="H937" s="22" t="s">
        <v>3012</v>
      </c>
      <c r="I937" s="24" t="s">
        <v>4846</v>
      </c>
      <c r="J937" s="22" t="s">
        <v>4847</v>
      </c>
      <c r="K937" s="22"/>
      <c r="L937" s="168"/>
      <c r="M937" s="168"/>
      <c r="N937" s="168"/>
      <c r="O937" s="168"/>
      <c r="P937" s="169"/>
      <c r="Q937" s="168"/>
      <c r="R937" s="168"/>
      <c r="S937" s="168"/>
      <c r="T937" s="214"/>
      <c r="U937" s="38" t="str">
        <f>HYPERLINK("https://www.ncbi.nlm.nih.gov/pubmed/23237204","PubMed")</f>
        <v>PubMed</v>
      </c>
      <c r="V937" s="139"/>
      <c r="W937" s="49"/>
      <c r="X937" s="49"/>
      <c r="Y937" s="35"/>
      <c r="Z937" s="35"/>
      <c r="AA937" s="35"/>
      <c r="AB937" s="35"/>
      <c r="AC937" s="35"/>
      <c r="AD937" s="35"/>
      <c r="AE937" s="35"/>
      <c r="AF937" s="35"/>
      <c r="AG937" s="35"/>
      <c r="AH937" s="35"/>
      <c r="AI937" s="35"/>
      <c r="AJ937" s="35"/>
      <c r="AK937" s="35"/>
      <c r="AL937" s="35"/>
    </row>
    <row r="938" ht="20.25" customHeight="1">
      <c r="A938" s="180"/>
      <c r="B938" s="19" t="s">
        <v>4673</v>
      </c>
      <c r="C938" s="158" t="s">
        <v>4674</v>
      </c>
      <c r="D938" s="159"/>
      <c r="E938" s="22" t="s">
        <v>4848</v>
      </c>
      <c r="F938" s="23" t="s">
        <v>4849</v>
      </c>
      <c r="G938" s="23">
        <v>2012.0</v>
      </c>
      <c r="H938" s="22" t="s">
        <v>4764</v>
      </c>
      <c r="I938" s="24" t="s">
        <v>4850</v>
      </c>
      <c r="J938" s="22" t="s">
        <v>4851</v>
      </c>
      <c r="K938" s="22"/>
      <c r="L938" s="36">
        <v>830.0</v>
      </c>
      <c r="M938" s="36">
        <v>50.0</v>
      </c>
      <c r="N938" s="36"/>
      <c r="O938" s="36" t="s">
        <v>4852</v>
      </c>
      <c r="P938" s="37"/>
      <c r="Q938" s="36"/>
      <c r="R938" s="36"/>
      <c r="S938" s="36">
        <v>15.0</v>
      </c>
      <c r="T938" s="103" t="s">
        <v>4853</v>
      </c>
      <c r="U938" s="38" t="str">
        <f>HYPERLINK("https://www.ncbi.nlm.nih.gov/pubmed/21120497","PubMed")</f>
        <v>PubMed</v>
      </c>
      <c r="V938" s="139"/>
      <c r="W938" s="49"/>
      <c r="X938" s="49"/>
      <c r="Y938" s="35"/>
      <c r="Z938" s="35"/>
      <c r="AA938" s="35"/>
      <c r="AB938" s="35"/>
      <c r="AC938" s="35"/>
      <c r="AD938" s="35"/>
      <c r="AE938" s="35"/>
      <c r="AF938" s="35"/>
      <c r="AG938" s="35"/>
      <c r="AH938" s="35"/>
      <c r="AI938" s="35"/>
      <c r="AJ938" s="35"/>
      <c r="AK938" s="35"/>
      <c r="AL938" s="35"/>
    </row>
    <row r="939" ht="20.25" customHeight="1">
      <c r="A939" s="180"/>
      <c r="B939" s="19" t="s">
        <v>4673</v>
      </c>
      <c r="C939" s="158" t="s">
        <v>4674</v>
      </c>
      <c r="D939" s="159"/>
      <c r="E939" s="22" t="s">
        <v>4854</v>
      </c>
      <c r="F939" s="23" t="s">
        <v>4855</v>
      </c>
      <c r="G939" s="23">
        <v>2011.0</v>
      </c>
      <c r="H939" s="22" t="s">
        <v>4856</v>
      </c>
      <c r="I939" s="24" t="s">
        <v>4857</v>
      </c>
      <c r="J939" s="22" t="s">
        <v>4858</v>
      </c>
      <c r="K939" s="22" t="s">
        <v>4859</v>
      </c>
      <c r="L939" s="36">
        <v>904.0</v>
      </c>
      <c r="M939" s="36">
        <v>150.0</v>
      </c>
      <c r="N939" s="36"/>
      <c r="O939" s="36">
        <v>50.0</v>
      </c>
      <c r="P939" s="37" t="s">
        <v>82</v>
      </c>
      <c r="Q939" s="36"/>
      <c r="R939" s="36">
        <v>333.0</v>
      </c>
      <c r="S939" s="36"/>
      <c r="T939" s="54" t="s">
        <v>4860</v>
      </c>
      <c r="U939" s="38" t="str">
        <f>HYPERLINK("https://www.ncbi.nlm.nih.gov/pubmed/22037175","PubMed")</f>
        <v>PubMed</v>
      </c>
      <c r="V939" s="139"/>
      <c r="W939" s="49"/>
      <c r="X939" s="49"/>
      <c r="Y939" s="35"/>
      <c r="Z939" s="35"/>
      <c r="AA939" s="35"/>
      <c r="AB939" s="35"/>
      <c r="AC939" s="35"/>
      <c r="AD939" s="35"/>
      <c r="AE939" s="35"/>
      <c r="AF939" s="35"/>
      <c r="AG939" s="35"/>
      <c r="AH939" s="35"/>
      <c r="AI939" s="35"/>
      <c r="AJ939" s="35"/>
      <c r="AK939" s="35"/>
      <c r="AL939" s="35"/>
    </row>
    <row r="940" ht="20.25" customHeight="1">
      <c r="A940" s="180"/>
      <c r="B940" s="19" t="s">
        <v>4673</v>
      </c>
      <c r="C940" s="158" t="s">
        <v>4674</v>
      </c>
      <c r="D940" s="159"/>
      <c r="E940" s="22" t="s">
        <v>4861</v>
      </c>
      <c r="F940" s="23" t="s">
        <v>605</v>
      </c>
      <c r="G940" s="23">
        <v>2009.0</v>
      </c>
      <c r="H940" s="22" t="s">
        <v>4862</v>
      </c>
      <c r="I940" s="24" t="s">
        <v>4863</v>
      </c>
      <c r="J940" s="22" t="s">
        <v>4864</v>
      </c>
      <c r="K940" s="22"/>
      <c r="L940" s="36">
        <v>830.0</v>
      </c>
      <c r="M940" s="36">
        <v>30.0</v>
      </c>
      <c r="N940" s="36"/>
      <c r="O940" s="129">
        <v>42377.0</v>
      </c>
      <c r="P940" s="37"/>
      <c r="Q940" s="36" t="s">
        <v>2891</v>
      </c>
      <c r="R940" s="36">
        <v>270.0</v>
      </c>
      <c r="S940" s="36">
        <v>10.0</v>
      </c>
      <c r="T940" s="54" t="s">
        <v>4865</v>
      </c>
      <c r="U940" s="38" t="str">
        <f>HYPERLINK("https://www.ncbi.nlm.nih.gov/pubmed/19544043","PubMed")</f>
        <v>PubMed</v>
      </c>
      <c r="V940" s="139"/>
      <c r="W940" s="49"/>
      <c r="X940" s="49"/>
      <c r="Y940" s="35"/>
      <c r="Z940" s="35"/>
      <c r="AA940" s="35"/>
      <c r="AB940" s="35"/>
      <c r="AC940" s="35"/>
      <c r="AD940" s="35"/>
      <c r="AE940" s="35"/>
      <c r="AF940" s="35"/>
      <c r="AG940" s="35"/>
      <c r="AH940" s="35"/>
      <c r="AI940" s="35"/>
      <c r="AJ940" s="35"/>
      <c r="AK940" s="35"/>
      <c r="AL940" s="35"/>
    </row>
    <row r="941" ht="20.25" customHeight="1">
      <c r="A941" s="180"/>
      <c r="B941" s="19" t="s">
        <v>4673</v>
      </c>
      <c r="C941" s="158" t="s">
        <v>4674</v>
      </c>
      <c r="D941" s="159"/>
      <c r="E941" s="22" t="s">
        <v>4866</v>
      </c>
      <c r="F941" s="23" t="s">
        <v>605</v>
      </c>
      <c r="G941" s="23">
        <v>2009.0</v>
      </c>
      <c r="H941" s="22" t="s">
        <v>658</v>
      </c>
      <c r="I941" s="24" t="s">
        <v>4867</v>
      </c>
      <c r="J941" s="22" t="s">
        <v>4868</v>
      </c>
      <c r="K941" s="22"/>
      <c r="L941" s="36">
        <v>904.0</v>
      </c>
      <c r="M941" s="129">
        <v>42462.0</v>
      </c>
      <c r="N941" s="36"/>
      <c r="O941" s="36" t="s">
        <v>4869</v>
      </c>
      <c r="P941" s="37" t="s">
        <v>2555</v>
      </c>
      <c r="Q941" s="36" t="s">
        <v>809</v>
      </c>
      <c r="R941" s="36">
        <v>90.0</v>
      </c>
      <c r="S941" s="36" t="s">
        <v>1514</v>
      </c>
      <c r="T941" s="54" t="s">
        <v>4870</v>
      </c>
      <c r="U941" s="38" t="str">
        <f>HYPERLINK("https://www.ncbi.nlm.nih.gov/pubmed/19196106","PubMed")</f>
        <v>PubMed</v>
      </c>
      <c r="V941" s="139"/>
      <c r="W941" s="49"/>
      <c r="X941" s="49"/>
      <c r="Y941" s="35"/>
      <c r="Z941" s="35"/>
      <c r="AA941" s="35"/>
      <c r="AB941" s="35"/>
      <c r="AC941" s="35"/>
      <c r="AD941" s="35"/>
      <c r="AE941" s="35"/>
      <c r="AF941" s="35"/>
      <c r="AG941" s="35"/>
      <c r="AH941" s="35"/>
      <c r="AI941" s="35"/>
      <c r="AJ941" s="35"/>
      <c r="AK941" s="35"/>
      <c r="AL941" s="35"/>
    </row>
    <row r="942" ht="20.25" customHeight="1">
      <c r="A942" s="180"/>
      <c r="B942" s="19" t="s">
        <v>4673</v>
      </c>
      <c r="C942" s="158" t="s">
        <v>4674</v>
      </c>
      <c r="D942" s="159"/>
      <c r="E942" s="22" t="s">
        <v>1507</v>
      </c>
      <c r="F942" s="23" t="s">
        <v>206</v>
      </c>
      <c r="G942" s="23">
        <v>2008.0</v>
      </c>
      <c r="H942" s="22" t="s">
        <v>658</v>
      </c>
      <c r="I942" s="24" t="s">
        <v>4871</v>
      </c>
      <c r="J942" s="22" t="s">
        <v>4872</v>
      </c>
      <c r="K942" s="22" t="s">
        <v>4873</v>
      </c>
      <c r="L942" s="36">
        <v>830.0</v>
      </c>
      <c r="M942" s="36">
        <v>60.0</v>
      </c>
      <c r="N942" s="36"/>
      <c r="O942" s="36"/>
      <c r="P942" s="37" t="s">
        <v>1512</v>
      </c>
      <c r="Q942" s="36"/>
      <c r="R942" s="36">
        <v>600.0</v>
      </c>
      <c r="S942" s="36">
        <v>10.0</v>
      </c>
      <c r="T942" s="54" t="s">
        <v>4874</v>
      </c>
      <c r="U942" s="38" t="str">
        <f>HYPERLINK("https://www.ncbi.nlm.nih.gov/pubmed/19025407","PubMed")</f>
        <v>PubMed</v>
      </c>
      <c r="V942" s="139"/>
      <c r="W942" s="49"/>
      <c r="X942" s="49"/>
      <c r="Y942" s="35"/>
      <c r="Z942" s="35"/>
      <c r="AA942" s="35"/>
      <c r="AB942" s="35"/>
      <c r="AC942" s="35"/>
      <c r="AD942" s="35"/>
      <c r="AE942" s="35"/>
      <c r="AF942" s="35"/>
      <c r="AG942" s="35"/>
      <c r="AH942" s="35"/>
      <c r="AI942" s="35"/>
      <c r="AJ942" s="35"/>
      <c r="AK942" s="35"/>
      <c r="AL942" s="35"/>
    </row>
    <row r="943" ht="20.25" customHeight="1">
      <c r="A943" s="180"/>
      <c r="B943" s="19" t="s">
        <v>4673</v>
      </c>
      <c r="C943" s="158" t="s">
        <v>4674</v>
      </c>
      <c r="D943" s="159"/>
      <c r="E943" s="22" t="s">
        <v>4875</v>
      </c>
      <c r="F943" s="23" t="s">
        <v>697</v>
      </c>
      <c r="G943" s="23">
        <v>2008.0</v>
      </c>
      <c r="H943" s="22" t="s">
        <v>4876</v>
      </c>
      <c r="I943" s="24" t="s">
        <v>4877</v>
      </c>
      <c r="J943" s="22" t="s">
        <v>4878</v>
      </c>
      <c r="K943" s="22"/>
      <c r="L943" s="36"/>
      <c r="M943" s="129"/>
      <c r="N943" s="36"/>
      <c r="O943" s="36"/>
      <c r="P943" s="37"/>
      <c r="Q943" s="36"/>
      <c r="R943" s="36"/>
      <c r="S943" s="36"/>
      <c r="T943" s="54" t="s">
        <v>4879</v>
      </c>
      <c r="U943" s="38" t="str">
        <f>HYPERLINK("https://www.ncbi.nlm.nih.gov/pubmed/18754533","PubMed")</f>
        <v>PubMed</v>
      </c>
      <c r="V943" s="139"/>
      <c r="W943" s="49"/>
      <c r="X943" s="49"/>
      <c r="Y943" s="35"/>
      <c r="Z943" s="35"/>
      <c r="AA943" s="35"/>
      <c r="AB943" s="35"/>
      <c r="AC943" s="35"/>
      <c r="AD943" s="35"/>
      <c r="AE943" s="35"/>
      <c r="AF943" s="35"/>
      <c r="AG943" s="35"/>
      <c r="AH943" s="35"/>
      <c r="AI943" s="35"/>
      <c r="AJ943" s="35"/>
      <c r="AK943" s="35"/>
      <c r="AL943" s="35"/>
    </row>
    <row r="944" ht="20.25" customHeight="1">
      <c r="A944" s="180"/>
      <c r="B944" s="19" t="s">
        <v>4673</v>
      </c>
      <c r="C944" s="158" t="s">
        <v>4674</v>
      </c>
      <c r="D944" s="159"/>
      <c r="E944" s="22" t="s">
        <v>4880</v>
      </c>
      <c r="F944" s="23" t="s">
        <v>4849</v>
      </c>
      <c r="G944" s="23">
        <v>2007.0</v>
      </c>
      <c r="H944" s="22" t="s">
        <v>4881</v>
      </c>
      <c r="I944" s="24" t="s">
        <v>4882</v>
      </c>
      <c r="J944" s="22" t="s">
        <v>4883</v>
      </c>
      <c r="K944" s="22"/>
      <c r="L944" s="36">
        <v>780.0</v>
      </c>
      <c r="M944" s="36">
        <v>50.0</v>
      </c>
      <c r="N944" s="36"/>
      <c r="O944" s="36" t="s">
        <v>4884</v>
      </c>
      <c r="P944" s="37"/>
      <c r="Q944" s="36"/>
      <c r="R944" s="36"/>
      <c r="S944" s="36" t="s">
        <v>1514</v>
      </c>
      <c r="T944" s="28" t="s">
        <v>4885</v>
      </c>
      <c r="U944" s="38" t="str">
        <f>HYPERLINK("https://www.ncbi.nlm.nih.gov/pubmed/17629805","PubMed")</f>
        <v>PubMed</v>
      </c>
      <c r="V944" s="139"/>
      <c r="W944" s="49"/>
      <c r="X944" s="49"/>
      <c r="Y944" s="35"/>
      <c r="Z944" s="35"/>
      <c r="AA944" s="35"/>
      <c r="AB944" s="35"/>
      <c r="AC944" s="35"/>
      <c r="AD944" s="35"/>
      <c r="AE944" s="35"/>
      <c r="AF944" s="35"/>
      <c r="AG944" s="35"/>
      <c r="AH944" s="35"/>
      <c r="AI944" s="35"/>
      <c r="AJ944" s="35"/>
      <c r="AK944" s="35"/>
      <c r="AL944" s="35"/>
    </row>
    <row r="945" ht="20.25" customHeight="1">
      <c r="A945" s="180"/>
      <c r="B945" s="19" t="s">
        <v>4673</v>
      </c>
      <c r="C945" s="158" t="s">
        <v>4674</v>
      </c>
      <c r="D945" s="159"/>
      <c r="E945" s="22" t="s">
        <v>4886</v>
      </c>
      <c r="F945" s="23" t="s">
        <v>4887</v>
      </c>
      <c r="G945" s="23">
        <v>2007.0</v>
      </c>
      <c r="H945" s="22" t="s">
        <v>658</v>
      </c>
      <c r="I945" s="24" t="s">
        <v>4888</v>
      </c>
      <c r="J945" s="22" t="s">
        <v>4889</v>
      </c>
      <c r="K945" s="22"/>
      <c r="L945" s="36">
        <v>830.0</v>
      </c>
      <c r="M945" s="36">
        <v>450.0</v>
      </c>
      <c r="N945" s="36" t="s">
        <v>4890</v>
      </c>
      <c r="O945" s="107"/>
      <c r="P945" s="37"/>
      <c r="Q945" s="36" t="s">
        <v>2923</v>
      </c>
      <c r="R945" s="36">
        <v>120.0</v>
      </c>
      <c r="S945" s="36" t="s">
        <v>1514</v>
      </c>
      <c r="T945" s="42" t="s">
        <v>4891</v>
      </c>
      <c r="U945" s="38" t="str">
        <f>HYPERLINK("https://www.ncbi.nlm.nih.gov/pubmed/17352635","PubMed")</f>
        <v>PubMed</v>
      </c>
      <c r="V945" s="139"/>
      <c r="W945" s="49"/>
      <c r="X945" s="49"/>
      <c r="Y945" s="35"/>
      <c r="Z945" s="35"/>
      <c r="AA945" s="35"/>
      <c r="AB945" s="35"/>
      <c r="AC945" s="35"/>
      <c r="AD945" s="35"/>
      <c r="AE945" s="35"/>
      <c r="AF945" s="35"/>
      <c r="AG945" s="35"/>
      <c r="AH945" s="35"/>
      <c r="AI945" s="35"/>
      <c r="AJ945" s="35"/>
      <c r="AK945" s="35"/>
      <c r="AL945" s="35"/>
    </row>
    <row r="946" ht="20.25" customHeight="1">
      <c r="A946" s="180"/>
      <c r="B946" s="19" t="s">
        <v>4673</v>
      </c>
      <c r="C946" s="158" t="s">
        <v>4674</v>
      </c>
      <c r="D946" s="159"/>
      <c r="E946" s="22" t="s">
        <v>4892</v>
      </c>
      <c r="F946" s="23" t="s">
        <v>1943</v>
      </c>
      <c r="G946" s="23">
        <v>2007.0</v>
      </c>
      <c r="H946" s="22" t="s">
        <v>91</v>
      </c>
      <c r="I946" s="24" t="s">
        <v>4893</v>
      </c>
      <c r="J946" s="22" t="s">
        <v>4894</v>
      </c>
      <c r="K946" s="22" t="s">
        <v>4895</v>
      </c>
      <c r="L946" s="36">
        <v>633.0</v>
      </c>
      <c r="M946" s="36">
        <v>12.0</v>
      </c>
      <c r="N946" s="36"/>
      <c r="O946" s="107"/>
      <c r="P946" s="37" t="s">
        <v>969</v>
      </c>
      <c r="Q946" s="36"/>
      <c r="R946" s="36"/>
      <c r="S946" s="36" t="s">
        <v>2688</v>
      </c>
      <c r="T946" s="28" t="s">
        <v>4896</v>
      </c>
      <c r="U946" s="38" t="str">
        <f>HYPERLINK("https://www.ncbi.nlm.nih.gov/pubmed/17334675","PubMed")</f>
        <v>PubMed</v>
      </c>
      <c r="V946" s="139"/>
      <c r="W946" s="49"/>
      <c r="X946" s="49"/>
      <c r="Y946" s="35"/>
      <c r="Z946" s="35"/>
      <c r="AA946" s="35"/>
      <c r="AB946" s="35"/>
      <c r="AC946" s="35"/>
      <c r="AD946" s="35"/>
      <c r="AE946" s="35"/>
      <c r="AF946" s="35"/>
      <c r="AG946" s="35"/>
      <c r="AH946" s="35"/>
      <c r="AI946" s="35"/>
      <c r="AJ946" s="35"/>
      <c r="AK946" s="35"/>
      <c r="AL946" s="35"/>
    </row>
    <row r="947" ht="20.25" customHeight="1">
      <c r="A947" s="180"/>
      <c r="B947" s="19" t="s">
        <v>4673</v>
      </c>
      <c r="C947" s="158" t="s">
        <v>4674</v>
      </c>
      <c r="D947" s="159"/>
      <c r="E947" s="22" t="s">
        <v>4897</v>
      </c>
      <c r="F947" s="23" t="s">
        <v>2966</v>
      </c>
      <c r="G947" s="23">
        <v>2006.0</v>
      </c>
      <c r="H947" s="178" t="s">
        <v>658</v>
      </c>
      <c r="I947" s="24" t="s">
        <v>4898</v>
      </c>
      <c r="J947" s="22" t="s">
        <v>125</v>
      </c>
      <c r="K947" s="22"/>
      <c r="L947" s="105" t="s">
        <v>4899</v>
      </c>
      <c r="M947" s="44"/>
      <c r="N947" s="44"/>
      <c r="O947" s="44"/>
      <c r="P947" s="44"/>
      <c r="Q947" s="44"/>
      <c r="R947" s="44"/>
      <c r="S947" s="44"/>
      <c r="T947" s="45"/>
      <c r="U947" s="38" t="str">
        <f>HYPERLINK("https://www.ncbi.nlm.nih.gov/pubmed/16706688","PubMed")</f>
        <v>PubMed</v>
      </c>
      <c r="V947" s="139"/>
      <c r="W947" s="49"/>
      <c r="X947" s="49"/>
      <c r="Y947" s="35"/>
      <c r="Z947" s="35"/>
      <c r="AA947" s="35"/>
      <c r="AB947" s="35"/>
      <c r="AC947" s="35"/>
      <c r="AD947" s="35"/>
      <c r="AE947" s="35"/>
      <c r="AF947" s="35"/>
      <c r="AG947" s="35"/>
      <c r="AH947" s="35"/>
      <c r="AI947" s="35"/>
      <c r="AJ947" s="35"/>
      <c r="AK947" s="35"/>
      <c r="AL947" s="35"/>
    </row>
    <row r="948" ht="20.25" customHeight="1">
      <c r="A948" s="18" t="s">
        <v>38</v>
      </c>
      <c r="B948" s="19" t="s">
        <v>4673</v>
      </c>
      <c r="C948" s="158" t="s">
        <v>4674</v>
      </c>
      <c r="D948" s="159"/>
      <c r="E948" s="22" t="s">
        <v>4900</v>
      </c>
      <c r="F948" s="23" t="s">
        <v>4901</v>
      </c>
      <c r="G948" s="23">
        <v>2005.0</v>
      </c>
      <c r="H948" s="22" t="s">
        <v>658</v>
      </c>
      <c r="I948" s="24" t="s">
        <v>4902</v>
      </c>
      <c r="J948" s="22" t="s">
        <v>4903</v>
      </c>
      <c r="K948" s="22" t="s">
        <v>56</v>
      </c>
      <c r="L948" s="36" t="s">
        <v>4772</v>
      </c>
      <c r="M948" s="36"/>
      <c r="N948" s="36" t="s">
        <v>3587</v>
      </c>
      <c r="O948" s="107"/>
      <c r="P948" s="37" t="s">
        <v>4904</v>
      </c>
      <c r="Q948" s="107"/>
      <c r="R948" s="36">
        <v>360.0</v>
      </c>
      <c r="S948" s="36" t="s">
        <v>4905</v>
      </c>
      <c r="T948" s="54" t="s">
        <v>4906</v>
      </c>
      <c r="U948" s="38" t="str">
        <f>HYPERLINK("https://www.ncbi.nlm.nih.gov/pubmed/15910192","PubMed")</f>
        <v>PubMed</v>
      </c>
      <c r="V948" s="139"/>
      <c r="W948" s="49"/>
      <c r="X948" s="49"/>
      <c r="Y948" s="35"/>
      <c r="Z948" s="35"/>
      <c r="AA948" s="35"/>
      <c r="AB948" s="35"/>
      <c r="AC948" s="35"/>
      <c r="AD948" s="35"/>
      <c r="AE948" s="35"/>
      <c r="AF948" s="35"/>
      <c r="AG948" s="35"/>
      <c r="AH948" s="35"/>
      <c r="AI948" s="35"/>
      <c r="AJ948" s="35"/>
      <c r="AK948" s="35"/>
      <c r="AL948" s="35"/>
    </row>
    <row r="949" ht="20.25" customHeight="1">
      <c r="A949" s="180"/>
      <c r="B949" s="19" t="s">
        <v>4673</v>
      </c>
      <c r="C949" s="158" t="s">
        <v>4674</v>
      </c>
      <c r="D949" s="159"/>
      <c r="E949" s="22" t="s">
        <v>4907</v>
      </c>
      <c r="F949" s="23" t="s">
        <v>4908</v>
      </c>
      <c r="G949" s="23">
        <v>2004.0</v>
      </c>
      <c r="H949" s="22" t="s">
        <v>4909</v>
      </c>
      <c r="I949" s="24" t="s">
        <v>4910</v>
      </c>
      <c r="J949" s="22" t="s">
        <v>4911</v>
      </c>
      <c r="K949" s="22"/>
      <c r="L949" s="36">
        <v>860.0</v>
      </c>
      <c r="M949" s="36">
        <v>60.0</v>
      </c>
      <c r="N949" s="107"/>
      <c r="O949" s="107"/>
      <c r="P949" s="37" t="s">
        <v>909</v>
      </c>
      <c r="Q949" s="36" t="s">
        <v>4912</v>
      </c>
      <c r="R949" s="36">
        <v>15.0</v>
      </c>
      <c r="S949" s="36" t="s">
        <v>4820</v>
      </c>
      <c r="T949" s="103" t="s">
        <v>4913</v>
      </c>
      <c r="U949" s="38" t="str">
        <f>HYPERLINK("https://www.ncbi.nlm.nih.gov/pubmed/15266633","PubMed")</f>
        <v>PubMed</v>
      </c>
      <c r="V949" s="139"/>
      <c r="W949" s="49"/>
      <c r="X949" s="49"/>
      <c r="Y949" s="35"/>
      <c r="Z949" s="35"/>
      <c r="AA949" s="35"/>
      <c r="AB949" s="35"/>
      <c r="AC949" s="35"/>
      <c r="AD949" s="35"/>
      <c r="AE949" s="35"/>
      <c r="AF949" s="35"/>
      <c r="AG949" s="35"/>
      <c r="AH949" s="35"/>
      <c r="AI949" s="35"/>
      <c r="AJ949" s="35"/>
      <c r="AK949" s="35"/>
      <c r="AL949" s="35"/>
    </row>
    <row r="950" ht="20.25" customHeight="1">
      <c r="A950" s="180"/>
      <c r="B950" s="19" t="s">
        <v>4673</v>
      </c>
      <c r="C950" s="158" t="s">
        <v>4674</v>
      </c>
      <c r="D950" s="159"/>
      <c r="E950" s="22" t="s">
        <v>4914</v>
      </c>
      <c r="F950" s="23" t="s">
        <v>4915</v>
      </c>
      <c r="G950" s="23">
        <v>2004.0</v>
      </c>
      <c r="H950" s="22" t="s">
        <v>4916</v>
      </c>
      <c r="I950" s="24" t="s">
        <v>4917</v>
      </c>
      <c r="J950" s="22" t="s">
        <v>4918</v>
      </c>
      <c r="K950" s="22" t="s">
        <v>4778</v>
      </c>
      <c r="L950" s="36">
        <v>830.0</v>
      </c>
      <c r="M950" s="36"/>
      <c r="N950" s="107"/>
      <c r="O950" s="36">
        <v>9.0</v>
      </c>
      <c r="P950" s="37"/>
      <c r="Q950" s="107"/>
      <c r="R950" s="107"/>
      <c r="S950" s="36" t="s">
        <v>4708</v>
      </c>
      <c r="T950" s="102" t="s">
        <v>4919</v>
      </c>
      <c r="U950" s="38" t="str">
        <f>HYPERLINK("https://www.ncbi.nlm.nih.gov/pubmed/15482245","PubMed")</f>
        <v>PubMed</v>
      </c>
      <c r="V950" s="139"/>
      <c r="W950" s="49"/>
      <c r="X950" s="49"/>
      <c r="Y950" s="35"/>
      <c r="Z950" s="35"/>
      <c r="AA950" s="35"/>
      <c r="AB950" s="35"/>
      <c r="AC950" s="35"/>
      <c r="AD950" s="35"/>
      <c r="AE950" s="35"/>
      <c r="AF950" s="35"/>
      <c r="AG950" s="35"/>
      <c r="AH950" s="35"/>
      <c r="AI950" s="35"/>
      <c r="AJ950" s="35"/>
      <c r="AK950" s="35"/>
      <c r="AL950" s="35"/>
    </row>
    <row r="951" ht="20.25" customHeight="1">
      <c r="A951" s="180"/>
      <c r="B951" s="19" t="s">
        <v>4673</v>
      </c>
      <c r="C951" s="158" t="s">
        <v>4674</v>
      </c>
      <c r="D951" s="159"/>
      <c r="E951" s="22" t="s">
        <v>2787</v>
      </c>
      <c r="F951" s="23" t="s">
        <v>2966</v>
      </c>
      <c r="G951" s="23">
        <v>2002.0</v>
      </c>
      <c r="H951" s="22" t="s">
        <v>4783</v>
      </c>
      <c r="I951" s="24" t="s">
        <v>4920</v>
      </c>
      <c r="J951" s="22" t="s">
        <v>4921</v>
      </c>
      <c r="K951" s="22"/>
      <c r="L951" s="36" t="s">
        <v>4922</v>
      </c>
      <c r="M951" s="36" t="s">
        <v>4923</v>
      </c>
      <c r="N951" s="107"/>
      <c r="O951" s="107"/>
      <c r="P951" s="37"/>
      <c r="Q951" s="107"/>
      <c r="R951" s="107"/>
      <c r="S951" s="36" t="s">
        <v>4924</v>
      </c>
      <c r="T951" s="54" t="s">
        <v>4925</v>
      </c>
      <c r="U951" s="38" t="str">
        <f>HYPERLINK("https://www.ncbi.nlm.nih.gov/pubmed/12098159","PubMed")</f>
        <v>PubMed</v>
      </c>
      <c r="V951" s="139"/>
      <c r="W951" s="49"/>
      <c r="X951" s="49"/>
      <c r="Y951" s="35"/>
      <c r="Z951" s="35"/>
      <c r="AA951" s="35"/>
      <c r="AB951" s="35"/>
      <c r="AC951" s="35"/>
      <c r="AD951" s="35"/>
      <c r="AE951" s="35"/>
      <c r="AF951" s="35"/>
      <c r="AG951" s="35"/>
      <c r="AH951" s="35"/>
      <c r="AI951" s="35"/>
      <c r="AJ951" s="35"/>
      <c r="AK951" s="35"/>
      <c r="AL951" s="35"/>
    </row>
    <row r="952" ht="20.25" customHeight="1">
      <c r="A952" s="180"/>
      <c r="B952" s="19" t="s">
        <v>4673</v>
      </c>
      <c r="C952" s="158" t="s">
        <v>4674</v>
      </c>
      <c r="D952" s="159"/>
      <c r="E952" s="22" t="s">
        <v>4926</v>
      </c>
      <c r="F952" s="23" t="s">
        <v>4927</v>
      </c>
      <c r="G952" s="23">
        <v>1999.0</v>
      </c>
      <c r="H952" s="22" t="s">
        <v>4928</v>
      </c>
      <c r="I952" s="24" t="s">
        <v>4929</v>
      </c>
      <c r="J952" s="22" t="s">
        <v>4930</v>
      </c>
      <c r="K952" s="22" t="s">
        <v>4931</v>
      </c>
      <c r="L952" s="36" t="s">
        <v>4932</v>
      </c>
      <c r="M952" s="36" t="s">
        <v>4933</v>
      </c>
      <c r="N952" s="107"/>
      <c r="O952" s="36" t="s">
        <v>4934</v>
      </c>
      <c r="P952" s="37"/>
      <c r="Q952" s="107"/>
      <c r="R952" s="107"/>
      <c r="S952" s="36" t="s">
        <v>4935</v>
      </c>
      <c r="T952" s="54" t="s">
        <v>4936</v>
      </c>
      <c r="U952" s="38" t="str">
        <f>HYPERLINK("https://www.ncbi.nlm.nih.gov/pubmed/10100028","PubMed")</f>
        <v>PubMed</v>
      </c>
      <c r="V952" s="139"/>
      <c r="W952" s="49"/>
      <c r="X952" s="49"/>
      <c r="Y952" s="35"/>
      <c r="Z952" s="35"/>
      <c r="AA952" s="35"/>
      <c r="AB952" s="35"/>
      <c r="AC952" s="35"/>
      <c r="AD952" s="35"/>
      <c r="AE952" s="35"/>
      <c r="AF952" s="35"/>
      <c r="AG952" s="35"/>
      <c r="AH952" s="35"/>
      <c r="AI952" s="35"/>
      <c r="AJ952" s="35"/>
      <c r="AK952" s="35"/>
      <c r="AL952" s="35"/>
    </row>
    <row r="953" ht="20.25" customHeight="1">
      <c r="A953" s="180"/>
      <c r="B953" s="19" t="s">
        <v>4673</v>
      </c>
      <c r="C953" s="158" t="s">
        <v>4674</v>
      </c>
      <c r="D953" s="159"/>
      <c r="E953" s="22" t="s">
        <v>4937</v>
      </c>
      <c r="F953" s="23" t="s">
        <v>2492</v>
      </c>
      <c r="G953" s="23">
        <v>1995.0</v>
      </c>
      <c r="H953" s="22" t="s">
        <v>4938</v>
      </c>
      <c r="I953" s="24" t="s">
        <v>4939</v>
      </c>
      <c r="J953" s="22" t="s">
        <v>31</v>
      </c>
      <c r="K953" s="22"/>
      <c r="L953" s="36" t="s">
        <v>1773</v>
      </c>
      <c r="M953" s="36">
        <v>100.0</v>
      </c>
      <c r="N953" s="107"/>
      <c r="O953" s="36"/>
      <c r="P953" s="37"/>
      <c r="Q953" s="107"/>
      <c r="R953" s="107"/>
      <c r="S953" s="107"/>
      <c r="T953" s="54" t="s">
        <v>4940</v>
      </c>
      <c r="U953" s="38" t="str">
        <f>HYPERLINK("https://www.ncbi.nlm.nih.gov/pubmed/7620690","PubMed")</f>
        <v>PubMed</v>
      </c>
      <c r="V953" s="139"/>
      <c r="W953" s="49"/>
      <c r="X953" s="49"/>
      <c r="Y953" s="35"/>
      <c r="Z953" s="35"/>
      <c r="AA953" s="35"/>
      <c r="AB953" s="35"/>
      <c r="AC953" s="35"/>
      <c r="AD953" s="35"/>
      <c r="AE953" s="35"/>
      <c r="AF953" s="35"/>
      <c r="AG953" s="35"/>
      <c r="AH953" s="35"/>
      <c r="AI953" s="35"/>
      <c r="AJ953" s="35"/>
      <c r="AK953" s="35"/>
      <c r="AL953" s="35"/>
    </row>
    <row r="954" ht="20.25" customHeight="1">
      <c r="A954" s="180"/>
      <c r="B954" s="19" t="s">
        <v>4673</v>
      </c>
      <c r="C954" s="158" t="s">
        <v>4941</v>
      </c>
      <c r="D954" s="159"/>
      <c r="E954" s="22" t="s">
        <v>4942</v>
      </c>
      <c r="F954" s="23" t="s">
        <v>4943</v>
      </c>
      <c r="G954" s="23">
        <v>2024.0</v>
      </c>
      <c r="H954" s="22" t="s">
        <v>91</v>
      </c>
      <c r="I954" s="24" t="s">
        <v>4944</v>
      </c>
      <c r="J954" s="22" t="s">
        <v>4945</v>
      </c>
      <c r="K954" s="22"/>
      <c r="L954" s="36" t="s">
        <v>4946</v>
      </c>
      <c r="M954" s="36"/>
      <c r="N954" s="36" t="s">
        <v>4947</v>
      </c>
      <c r="O954" s="36"/>
      <c r="P954" s="37" t="s">
        <v>4948</v>
      </c>
      <c r="Q954" s="107"/>
      <c r="R954" s="36">
        <v>1800.0</v>
      </c>
      <c r="S954" s="36" t="s">
        <v>4708</v>
      </c>
      <c r="T954" s="103" t="s">
        <v>4949</v>
      </c>
      <c r="U954" s="38" t="s">
        <v>61</v>
      </c>
      <c r="V954" s="136" t="s">
        <v>4950</v>
      </c>
      <c r="W954" s="49"/>
      <c r="X954" s="49"/>
      <c r="Y954" s="35"/>
      <c r="Z954" s="35"/>
      <c r="AA954" s="35"/>
      <c r="AB954" s="35"/>
      <c r="AC954" s="35"/>
      <c r="AD954" s="35"/>
      <c r="AE954" s="35"/>
      <c r="AF954" s="35"/>
      <c r="AG954" s="35"/>
      <c r="AH954" s="35"/>
      <c r="AI954" s="35"/>
      <c r="AJ954" s="35"/>
      <c r="AK954" s="35"/>
      <c r="AL954" s="35"/>
    </row>
    <row r="955" ht="20.25" customHeight="1">
      <c r="A955" s="180"/>
      <c r="B955" s="19" t="s">
        <v>4673</v>
      </c>
      <c r="C955" s="158" t="s">
        <v>4951</v>
      </c>
      <c r="D955" s="159"/>
      <c r="E955" s="22" t="s">
        <v>4952</v>
      </c>
      <c r="F955" s="23" t="s">
        <v>4953</v>
      </c>
      <c r="G955" s="23">
        <v>2014.0</v>
      </c>
      <c r="H955" s="22" t="s">
        <v>4954</v>
      </c>
      <c r="I955" s="24" t="s">
        <v>4955</v>
      </c>
      <c r="J955" s="22" t="s">
        <v>4956</v>
      </c>
      <c r="K955" s="22" t="s">
        <v>4957</v>
      </c>
      <c r="L955" s="36" t="s">
        <v>4958</v>
      </c>
      <c r="M955" s="36"/>
      <c r="N955" s="107"/>
      <c r="O955" s="36"/>
      <c r="P955" s="37"/>
      <c r="Q955" s="107"/>
      <c r="R955" s="36">
        <v>480.0</v>
      </c>
      <c r="S955" s="36" t="s">
        <v>4959</v>
      </c>
      <c r="T955" s="102" t="s">
        <v>4960</v>
      </c>
      <c r="U955" s="29" t="s">
        <v>4961</v>
      </c>
      <c r="V955" s="139"/>
      <c r="W955" s="49"/>
      <c r="X955" s="49"/>
      <c r="Y955" s="35"/>
      <c r="Z955" s="35"/>
      <c r="AA955" s="35"/>
      <c r="AB955" s="35"/>
      <c r="AC955" s="35"/>
      <c r="AD955" s="35"/>
      <c r="AE955" s="35"/>
      <c r="AF955" s="35"/>
      <c r="AG955" s="35"/>
      <c r="AH955" s="35"/>
      <c r="AI955" s="35"/>
      <c r="AJ955" s="35"/>
      <c r="AK955" s="35"/>
      <c r="AL955" s="35"/>
    </row>
    <row r="956" ht="20.25" customHeight="1">
      <c r="A956" s="180"/>
      <c r="B956" s="19" t="s">
        <v>2392</v>
      </c>
      <c r="C956" s="158" t="s">
        <v>4962</v>
      </c>
      <c r="D956" s="159"/>
      <c r="E956" s="22" t="s">
        <v>4017</v>
      </c>
      <c r="F956" s="23" t="s">
        <v>2346</v>
      </c>
      <c r="G956" s="23">
        <v>2022.0</v>
      </c>
      <c r="H956" s="22" t="s">
        <v>1025</v>
      </c>
      <c r="I956" s="24" t="s">
        <v>4963</v>
      </c>
      <c r="J956" s="22" t="s">
        <v>125</v>
      </c>
      <c r="K956" s="22"/>
      <c r="L956" s="105" t="s">
        <v>4964</v>
      </c>
      <c r="M956" s="44"/>
      <c r="N956" s="44"/>
      <c r="O956" s="44"/>
      <c r="P956" s="44"/>
      <c r="Q956" s="44"/>
      <c r="R956" s="44"/>
      <c r="S956" s="44"/>
      <c r="T956" s="45"/>
      <c r="U956" s="38" t="s">
        <v>61</v>
      </c>
      <c r="V956" s="139"/>
      <c r="W956" s="49"/>
      <c r="X956" s="49"/>
      <c r="Y956" s="35"/>
      <c r="Z956" s="35"/>
      <c r="AA956" s="35"/>
      <c r="AB956" s="35"/>
      <c r="AC956" s="35"/>
      <c r="AD956" s="35"/>
      <c r="AE956" s="35"/>
      <c r="AF956" s="35"/>
      <c r="AG956" s="35"/>
      <c r="AH956" s="35"/>
      <c r="AI956" s="35"/>
      <c r="AJ956" s="35"/>
      <c r="AK956" s="35"/>
      <c r="AL956" s="35"/>
    </row>
    <row r="957" ht="20.25" customHeight="1">
      <c r="A957" s="180"/>
      <c r="B957" s="19" t="s">
        <v>2392</v>
      </c>
      <c r="C957" s="158" t="s">
        <v>4965</v>
      </c>
      <c r="D957" s="159"/>
      <c r="E957" s="22" t="s">
        <v>4966</v>
      </c>
      <c r="F957" s="23" t="s">
        <v>1386</v>
      </c>
      <c r="G957" s="23">
        <v>2018.0</v>
      </c>
      <c r="H957" s="22" t="s">
        <v>2392</v>
      </c>
      <c r="I957" s="24" t="s">
        <v>4967</v>
      </c>
      <c r="J957" s="22" t="s">
        <v>31</v>
      </c>
      <c r="K957" s="22" t="s">
        <v>4968</v>
      </c>
      <c r="L957" s="36">
        <v>660.0</v>
      </c>
      <c r="M957" s="107"/>
      <c r="N957" s="107"/>
      <c r="O957" s="107"/>
      <c r="P957" s="37" t="s">
        <v>432</v>
      </c>
      <c r="Q957" s="107"/>
      <c r="R957" s="107"/>
      <c r="S957" s="107"/>
      <c r="T957" s="28" t="s">
        <v>4969</v>
      </c>
      <c r="U957" s="38" t="str">
        <f>HYPERLINK("https://www.ncbi.nlm.nih.gov/pubmed/29659538","PubMed")</f>
        <v>PubMed</v>
      </c>
      <c r="V957" s="139"/>
      <c r="W957" s="49"/>
      <c r="X957" s="49"/>
      <c r="Y957" s="35"/>
      <c r="Z957" s="35"/>
      <c r="AA957" s="35"/>
      <c r="AB957" s="35"/>
      <c r="AC957" s="35"/>
      <c r="AD957" s="35"/>
      <c r="AE957" s="35"/>
      <c r="AF957" s="35"/>
      <c r="AG957" s="35"/>
      <c r="AH957" s="35"/>
      <c r="AI957" s="35"/>
      <c r="AJ957" s="35"/>
      <c r="AK957" s="35"/>
      <c r="AL957" s="35"/>
    </row>
    <row r="958" ht="20.25" customHeight="1">
      <c r="A958" s="180"/>
      <c r="B958" s="19" t="s">
        <v>2392</v>
      </c>
      <c r="C958" s="158" t="s">
        <v>4970</v>
      </c>
      <c r="D958" s="159"/>
      <c r="E958" s="22" t="s">
        <v>4971</v>
      </c>
      <c r="F958" s="23" t="s">
        <v>2076</v>
      </c>
      <c r="G958" s="23">
        <v>2024.0</v>
      </c>
      <c r="H958" s="22" t="s">
        <v>91</v>
      </c>
      <c r="I958" s="24" t="s">
        <v>4972</v>
      </c>
      <c r="J958" s="22" t="s">
        <v>31</v>
      </c>
      <c r="K958" s="22"/>
      <c r="L958" s="36" t="s">
        <v>4973</v>
      </c>
      <c r="M958" s="107"/>
      <c r="N958" s="107"/>
      <c r="O958" s="107"/>
      <c r="P958" s="37"/>
      <c r="Q958" s="107"/>
      <c r="R958" s="107"/>
      <c r="S958" s="107"/>
      <c r="T958" s="28" t="s">
        <v>4974</v>
      </c>
      <c r="U958" s="38" t="s">
        <v>61</v>
      </c>
      <c r="V958" s="139"/>
      <c r="W958" s="49"/>
      <c r="X958" s="49"/>
      <c r="Y958" s="35"/>
      <c r="Z958" s="35"/>
      <c r="AA958" s="35"/>
      <c r="AB958" s="35"/>
      <c r="AC958" s="35"/>
      <c r="AD958" s="35"/>
      <c r="AE958" s="35"/>
      <c r="AF958" s="35"/>
      <c r="AG958" s="35"/>
      <c r="AH958" s="35"/>
      <c r="AI958" s="35"/>
      <c r="AJ958" s="35"/>
      <c r="AK958" s="35"/>
      <c r="AL958" s="35"/>
    </row>
    <row r="959" ht="20.25" customHeight="1">
      <c r="A959" s="180"/>
      <c r="B959" s="19" t="s">
        <v>2392</v>
      </c>
      <c r="C959" s="158" t="s">
        <v>4970</v>
      </c>
      <c r="D959" s="159"/>
      <c r="E959" s="22" t="s">
        <v>1621</v>
      </c>
      <c r="F959" s="23" t="s">
        <v>1622</v>
      </c>
      <c r="G959" s="23">
        <v>2024.0</v>
      </c>
      <c r="H959" s="22" t="s">
        <v>4975</v>
      </c>
      <c r="I959" s="24" t="s">
        <v>4976</v>
      </c>
      <c r="J959" s="22" t="s">
        <v>31</v>
      </c>
      <c r="K959" s="22" t="s">
        <v>157</v>
      </c>
      <c r="L959" s="36">
        <v>625.0</v>
      </c>
      <c r="M959" s="107"/>
      <c r="N959" s="107"/>
      <c r="O959" s="107"/>
      <c r="P959" s="37"/>
      <c r="Q959" s="107"/>
      <c r="R959" s="107"/>
      <c r="S959" s="107"/>
      <c r="T959" s="28" t="s">
        <v>4977</v>
      </c>
      <c r="U959" s="38" t="s">
        <v>61</v>
      </c>
      <c r="V959" s="139"/>
      <c r="W959" s="49"/>
      <c r="X959" s="49"/>
      <c r="Y959" s="35"/>
      <c r="Z959" s="35"/>
      <c r="AA959" s="35"/>
      <c r="AB959" s="35"/>
      <c r="AC959" s="35"/>
      <c r="AD959" s="35"/>
      <c r="AE959" s="35"/>
      <c r="AF959" s="35"/>
      <c r="AG959" s="35"/>
      <c r="AH959" s="35"/>
      <c r="AI959" s="35"/>
      <c r="AJ959" s="35"/>
      <c r="AK959" s="35"/>
      <c r="AL959" s="35"/>
    </row>
    <row r="960" ht="20.25" customHeight="1">
      <c r="A960" s="180"/>
      <c r="B960" s="19" t="s">
        <v>2392</v>
      </c>
      <c r="C960" s="158" t="s">
        <v>4970</v>
      </c>
      <c r="D960" s="159"/>
      <c r="E960" s="22" t="s">
        <v>4978</v>
      </c>
      <c r="F960" s="23" t="s">
        <v>4091</v>
      </c>
      <c r="G960" s="23">
        <v>2022.0</v>
      </c>
      <c r="H960" s="22" t="s">
        <v>207</v>
      </c>
      <c r="I960" s="24" t="s">
        <v>4979</v>
      </c>
      <c r="J960" s="22" t="s">
        <v>31</v>
      </c>
      <c r="K960" s="22"/>
      <c r="L960" s="36">
        <v>808.0</v>
      </c>
      <c r="M960" s="107"/>
      <c r="N960" s="107"/>
      <c r="O960" s="107"/>
      <c r="P960" s="37"/>
      <c r="Q960" s="107"/>
      <c r="R960" s="107"/>
      <c r="S960" s="107"/>
      <c r="T960" s="42" t="s">
        <v>4980</v>
      </c>
      <c r="U960" s="38" t="s">
        <v>61</v>
      </c>
      <c r="V960" s="139"/>
      <c r="W960" s="49"/>
      <c r="X960" s="49"/>
      <c r="Y960" s="35"/>
      <c r="Z960" s="35"/>
      <c r="AA960" s="35"/>
      <c r="AB960" s="35"/>
      <c r="AC960" s="35"/>
      <c r="AD960" s="35"/>
      <c r="AE960" s="35"/>
      <c r="AF960" s="35"/>
      <c r="AG960" s="35"/>
      <c r="AH960" s="35"/>
      <c r="AI960" s="35"/>
      <c r="AJ960" s="35"/>
      <c r="AK960" s="35"/>
      <c r="AL960" s="35"/>
    </row>
    <row r="961" ht="20.25" customHeight="1">
      <c r="A961" s="180"/>
      <c r="B961" s="19" t="s">
        <v>2392</v>
      </c>
      <c r="C961" s="158" t="s">
        <v>4970</v>
      </c>
      <c r="D961" s="159"/>
      <c r="E961" s="22" t="s">
        <v>4981</v>
      </c>
      <c r="F961" s="23" t="s">
        <v>4982</v>
      </c>
      <c r="G961" s="23">
        <v>2022.0</v>
      </c>
      <c r="H961" s="22" t="s">
        <v>627</v>
      </c>
      <c r="I961" s="24" t="s">
        <v>4983</v>
      </c>
      <c r="J961" s="22" t="s">
        <v>31</v>
      </c>
      <c r="K961" s="22" t="s">
        <v>4984</v>
      </c>
      <c r="L961" s="36"/>
      <c r="M961" s="107"/>
      <c r="N961" s="107"/>
      <c r="O961" s="107"/>
      <c r="P961" s="37"/>
      <c r="Q961" s="107"/>
      <c r="R961" s="107"/>
      <c r="S961" s="107"/>
      <c r="T961" s="28" t="s">
        <v>4985</v>
      </c>
      <c r="U961" s="29" t="s">
        <v>61</v>
      </c>
      <c r="V961" s="139"/>
      <c r="W961" s="49"/>
      <c r="X961" s="49"/>
      <c r="Y961" s="35"/>
      <c r="Z961" s="35"/>
      <c r="AA961" s="35"/>
      <c r="AB961" s="35"/>
      <c r="AC961" s="35"/>
      <c r="AD961" s="35"/>
      <c r="AE961" s="35"/>
      <c r="AF961" s="35"/>
      <c r="AG961" s="35"/>
      <c r="AH961" s="35"/>
      <c r="AI961" s="35"/>
      <c r="AJ961" s="35"/>
      <c r="AK961" s="35"/>
      <c r="AL961" s="35"/>
    </row>
    <row r="962" ht="20.25" customHeight="1">
      <c r="A962" s="180"/>
      <c r="B962" s="19" t="s">
        <v>2392</v>
      </c>
      <c r="C962" s="158" t="s">
        <v>4970</v>
      </c>
      <c r="D962" s="159"/>
      <c r="E962" s="22" t="s">
        <v>3827</v>
      </c>
      <c r="F962" s="23" t="s">
        <v>993</v>
      </c>
      <c r="G962" s="23">
        <v>2019.0</v>
      </c>
      <c r="H962" s="22" t="s">
        <v>91</v>
      </c>
      <c r="I962" s="24" t="s">
        <v>4986</v>
      </c>
      <c r="J962" s="22" t="s">
        <v>44</v>
      </c>
      <c r="K962" s="22"/>
      <c r="L962" s="36">
        <v>830.0</v>
      </c>
      <c r="M962" s="107"/>
      <c r="N962" s="107"/>
      <c r="O962" s="107"/>
      <c r="P962" s="37" t="s">
        <v>4987</v>
      </c>
      <c r="Q962" s="107"/>
      <c r="R962" s="107"/>
      <c r="S962" s="107"/>
      <c r="T962" s="42" t="s">
        <v>4988</v>
      </c>
      <c r="U962" s="38" t="str">
        <f>HYPERLINK("https://www.ncbi.nlm.nih.gov/pubmed/30721415","PubMed")</f>
        <v>PubMed</v>
      </c>
      <c r="V962" s="139"/>
      <c r="W962" s="49"/>
      <c r="X962" s="49"/>
      <c r="Y962" s="35"/>
      <c r="Z962" s="35"/>
      <c r="AA962" s="35"/>
      <c r="AB962" s="35"/>
      <c r="AC962" s="35"/>
      <c r="AD962" s="35"/>
      <c r="AE962" s="35"/>
      <c r="AF962" s="35"/>
      <c r="AG962" s="35"/>
      <c r="AH962" s="35"/>
      <c r="AI962" s="35"/>
      <c r="AJ962" s="35"/>
      <c r="AK962" s="35"/>
      <c r="AL962" s="35"/>
    </row>
    <row r="963" ht="20.25" customHeight="1">
      <c r="A963" s="180"/>
      <c r="B963" s="19" t="s">
        <v>2392</v>
      </c>
      <c r="C963" s="158" t="s">
        <v>4970</v>
      </c>
      <c r="D963" s="159"/>
      <c r="E963" s="22" t="s">
        <v>2275</v>
      </c>
      <c r="F963" s="23" t="s">
        <v>65</v>
      </c>
      <c r="G963" s="23">
        <v>2007.0</v>
      </c>
      <c r="H963" s="22" t="s">
        <v>1025</v>
      </c>
      <c r="I963" s="24" t="s">
        <v>4989</v>
      </c>
      <c r="J963" s="22" t="s">
        <v>31</v>
      </c>
      <c r="K963" s="22"/>
      <c r="L963" s="36">
        <v>633.0</v>
      </c>
      <c r="M963" s="107"/>
      <c r="N963" s="107"/>
      <c r="O963" s="107"/>
      <c r="P963" s="37" t="s">
        <v>4990</v>
      </c>
      <c r="Q963" s="107"/>
      <c r="R963" s="107"/>
      <c r="S963" s="107"/>
      <c r="T963" s="28" t="s">
        <v>4991</v>
      </c>
      <c r="U963" s="29" t="s">
        <v>61</v>
      </c>
      <c r="V963" s="139"/>
      <c r="W963" s="49"/>
      <c r="X963" s="49"/>
      <c r="Y963" s="35"/>
      <c r="Z963" s="35"/>
      <c r="AA963" s="35"/>
      <c r="AB963" s="35"/>
      <c r="AC963" s="35"/>
      <c r="AD963" s="35"/>
      <c r="AE963" s="35"/>
      <c r="AF963" s="35"/>
      <c r="AG963" s="35"/>
      <c r="AH963" s="35"/>
      <c r="AI963" s="35"/>
      <c r="AJ963" s="35"/>
      <c r="AK963" s="35"/>
      <c r="AL963" s="35"/>
    </row>
    <row r="964" ht="20.25" customHeight="1">
      <c r="A964" s="180"/>
      <c r="B964" s="19" t="s">
        <v>2392</v>
      </c>
      <c r="C964" s="158" t="s">
        <v>4992</v>
      </c>
      <c r="D964" s="159"/>
      <c r="E964" s="22" t="s">
        <v>4993</v>
      </c>
      <c r="F964" s="23" t="s">
        <v>3301</v>
      </c>
      <c r="G964" s="23">
        <v>2022.0</v>
      </c>
      <c r="H964" s="22" t="s">
        <v>3347</v>
      </c>
      <c r="I964" s="24" t="s">
        <v>4994</v>
      </c>
      <c r="J964" s="22" t="s">
        <v>31</v>
      </c>
      <c r="K964" s="22" t="s">
        <v>4995</v>
      </c>
      <c r="L964" s="36">
        <v>808.0</v>
      </c>
      <c r="M964" s="107"/>
      <c r="N964" s="107"/>
      <c r="O964" s="107"/>
      <c r="P964" s="37"/>
      <c r="Q964" s="107"/>
      <c r="R964" s="107"/>
      <c r="S964" s="107"/>
      <c r="T964" s="28" t="s">
        <v>4996</v>
      </c>
      <c r="U964" s="38" t="s">
        <v>61</v>
      </c>
      <c r="V964" s="139"/>
      <c r="W964" s="49"/>
      <c r="X964" s="49"/>
      <c r="Y964" s="35"/>
      <c r="Z964" s="35"/>
      <c r="AA964" s="35"/>
      <c r="AB964" s="35"/>
      <c r="AC964" s="35"/>
      <c r="AD964" s="35"/>
      <c r="AE964" s="35"/>
      <c r="AF964" s="35"/>
      <c r="AG964" s="35"/>
      <c r="AH964" s="35"/>
      <c r="AI964" s="35"/>
      <c r="AJ964" s="35"/>
      <c r="AK964" s="35"/>
      <c r="AL964" s="35"/>
    </row>
    <row r="965" ht="20.25" customHeight="1">
      <c r="A965" s="180"/>
      <c r="B965" s="19" t="s">
        <v>2392</v>
      </c>
      <c r="C965" s="158" t="s">
        <v>4997</v>
      </c>
      <c r="D965" s="159"/>
      <c r="E965" s="22" t="s">
        <v>4998</v>
      </c>
      <c r="F965" s="23" t="s">
        <v>4999</v>
      </c>
      <c r="G965" s="23">
        <v>2020.0</v>
      </c>
      <c r="H965" s="22" t="s">
        <v>42</v>
      </c>
      <c r="I965" s="24" t="s">
        <v>5000</v>
      </c>
      <c r="J965" s="22" t="s">
        <v>31</v>
      </c>
      <c r="K965" s="22" t="s">
        <v>157</v>
      </c>
      <c r="L965" s="36">
        <v>633.0</v>
      </c>
      <c r="M965" s="107"/>
      <c r="N965" s="107"/>
      <c r="O965" s="107"/>
      <c r="P965" s="37"/>
      <c r="Q965" s="107"/>
      <c r="R965" s="107"/>
      <c r="S965" s="107"/>
      <c r="T965" s="42" t="s">
        <v>5001</v>
      </c>
      <c r="U965" s="29" t="s">
        <v>61</v>
      </c>
      <c r="V965" s="139"/>
      <c r="W965" s="49"/>
      <c r="X965" s="49"/>
      <c r="Y965" s="35"/>
      <c r="Z965" s="35"/>
      <c r="AA965" s="35"/>
      <c r="AB965" s="35"/>
      <c r="AC965" s="35"/>
      <c r="AD965" s="35"/>
      <c r="AE965" s="35"/>
      <c r="AF965" s="35"/>
      <c r="AG965" s="35"/>
      <c r="AH965" s="35"/>
      <c r="AI965" s="35"/>
      <c r="AJ965" s="35"/>
      <c r="AK965" s="35"/>
      <c r="AL965" s="35"/>
    </row>
    <row r="966" ht="20.25" customHeight="1">
      <c r="A966" s="180"/>
      <c r="B966" s="19" t="s">
        <v>2392</v>
      </c>
      <c r="C966" s="158" t="s">
        <v>5002</v>
      </c>
      <c r="D966" s="159"/>
      <c r="E966" s="22" t="s">
        <v>5003</v>
      </c>
      <c r="F966" s="23" t="s">
        <v>2076</v>
      </c>
      <c r="G966" s="23">
        <v>2014.0</v>
      </c>
      <c r="H966" s="22" t="s">
        <v>91</v>
      </c>
      <c r="I966" s="24" t="s">
        <v>5004</v>
      </c>
      <c r="J966" s="22" t="s">
        <v>31</v>
      </c>
      <c r="K966" s="22" t="s">
        <v>5005</v>
      </c>
      <c r="L966" s="36" t="s">
        <v>4503</v>
      </c>
      <c r="M966" s="107"/>
      <c r="N966" s="36" t="s">
        <v>5006</v>
      </c>
      <c r="O966" s="36"/>
      <c r="P966" s="37"/>
      <c r="Q966" s="107"/>
      <c r="R966" s="107"/>
      <c r="S966" s="107"/>
      <c r="T966" s="28" t="s">
        <v>5007</v>
      </c>
      <c r="U966" s="38" t="str">
        <f>HYPERLINK("https://www.ncbi.nlm.nih.gov/pubmed/24718669","PubMed")</f>
        <v>PubMed</v>
      </c>
      <c r="V966" s="139"/>
      <c r="W966" s="49"/>
      <c r="X966" s="49"/>
      <c r="Y966" s="35"/>
      <c r="Z966" s="35"/>
      <c r="AA966" s="35"/>
      <c r="AB966" s="35"/>
      <c r="AC966" s="35"/>
      <c r="AD966" s="35"/>
      <c r="AE966" s="35"/>
      <c r="AF966" s="35"/>
      <c r="AG966" s="35"/>
      <c r="AH966" s="35"/>
      <c r="AI966" s="35"/>
      <c r="AJ966" s="35"/>
      <c r="AK966" s="35"/>
      <c r="AL966" s="35"/>
    </row>
    <row r="967" ht="20.25" customHeight="1">
      <c r="A967" s="180"/>
      <c r="B967" s="19" t="s">
        <v>2392</v>
      </c>
      <c r="C967" s="158" t="s">
        <v>5008</v>
      </c>
      <c r="D967" s="159"/>
      <c r="E967" s="22" t="s">
        <v>2187</v>
      </c>
      <c r="F967" s="23" t="s">
        <v>65</v>
      </c>
      <c r="G967" s="23">
        <v>2009.0</v>
      </c>
      <c r="H967" s="22" t="s">
        <v>5009</v>
      </c>
      <c r="I967" s="24" t="s">
        <v>5010</v>
      </c>
      <c r="J967" s="22" t="s">
        <v>31</v>
      </c>
      <c r="K967" s="22"/>
      <c r="L967" s="36">
        <v>633.0</v>
      </c>
      <c r="M967" s="107"/>
      <c r="N967" s="36" t="s">
        <v>1511</v>
      </c>
      <c r="O967" s="107"/>
      <c r="P967" s="37" t="s">
        <v>102</v>
      </c>
      <c r="Q967" s="107"/>
      <c r="R967" s="36">
        <v>50.0</v>
      </c>
      <c r="S967" s="107"/>
      <c r="T967" s="28" t="s">
        <v>5011</v>
      </c>
      <c r="U967" s="29" t="s">
        <v>61</v>
      </c>
      <c r="V967" s="139"/>
      <c r="W967" s="49"/>
      <c r="X967" s="49"/>
      <c r="Y967" s="35"/>
      <c r="Z967" s="35"/>
      <c r="AA967" s="35"/>
      <c r="AB967" s="35"/>
      <c r="AC967" s="35"/>
      <c r="AD967" s="35"/>
      <c r="AE967" s="35"/>
      <c r="AF967" s="35"/>
      <c r="AG967" s="35"/>
      <c r="AH967" s="35"/>
      <c r="AI967" s="35"/>
      <c r="AJ967" s="35"/>
      <c r="AK967" s="35"/>
      <c r="AL967" s="35"/>
    </row>
    <row r="968" ht="20.25" customHeight="1">
      <c r="A968" s="180"/>
      <c r="B968" s="19" t="s">
        <v>2392</v>
      </c>
      <c r="C968" s="158" t="s">
        <v>5012</v>
      </c>
      <c r="D968" s="159"/>
      <c r="E968" s="22" t="s">
        <v>5013</v>
      </c>
      <c r="F968" s="23" t="s">
        <v>4091</v>
      </c>
      <c r="G968" s="23">
        <v>2023.0</v>
      </c>
      <c r="H968" s="22" t="s">
        <v>2235</v>
      </c>
      <c r="I968" s="24" t="s">
        <v>5014</v>
      </c>
      <c r="J968" s="22" t="s">
        <v>31</v>
      </c>
      <c r="K968" s="22"/>
      <c r="L968" s="36" t="s">
        <v>5015</v>
      </c>
      <c r="M968" s="36"/>
      <c r="N968" s="107"/>
      <c r="O968" s="107"/>
      <c r="P968" s="37"/>
      <c r="Q968" s="107"/>
      <c r="R968" s="36"/>
      <c r="S968" s="36"/>
      <c r="T968" s="28" t="s">
        <v>5016</v>
      </c>
      <c r="U968" s="38" t="s">
        <v>61</v>
      </c>
      <c r="V968" s="139"/>
      <c r="W968" s="49"/>
      <c r="X968" s="49"/>
      <c r="Y968" s="35"/>
      <c r="Z968" s="35"/>
      <c r="AA968" s="35"/>
      <c r="AB968" s="35"/>
      <c r="AC968" s="35"/>
      <c r="AD968" s="35"/>
      <c r="AE968" s="35"/>
      <c r="AF968" s="35"/>
      <c r="AG968" s="35"/>
      <c r="AH968" s="35"/>
      <c r="AI968" s="35"/>
      <c r="AJ968" s="35"/>
      <c r="AK968" s="35"/>
      <c r="AL968" s="35"/>
    </row>
    <row r="969" ht="20.25" customHeight="1">
      <c r="A969" s="180"/>
      <c r="B969" s="19" t="s">
        <v>2392</v>
      </c>
      <c r="C969" s="158" t="s">
        <v>5012</v>
      </c>
      <c r="D969" s="159"/>
      <c r="E969" s="22" t="s">
        <v>5017</v>
      </c>
      <c r="F969" s="23" t="s">
        <v>510</v>
      </c>
      <c r="G969" s="23">
        <v>2009.0</v>
      </c>
      <c r="H969" s="22" t="s">
        <v>207</v>
      </c>
      <c r="I969" s="24" t="s">
        <v>5018</v>
      </c>
      <c r="J969" s="22" t="s">
        <v>31</v>
      </c>
      <c r="K969" s="22"/>
      <c r="L969" s="36">
        <v>685.0</v>
      </c>
      <c r="M969" s="36">
        <v>20.0</v>
      </c>
      <c r="N969" s="107"/>
      <c r="O969" s="107"/>
      <c r="P969" s="37" t="s">
        <v>70</v>
      </c>
      <c r="Q969" s="107"/>
      <c r="R969" s="36">
        <v>1440.0</v>
      </c>
      <c r="S969" s="36">
        <v>4.0</v>
      </c>
      <c r="T969" s="28" t="s">
        <v>5019</v>
      </c>
      <c r="U969" s="29" t="s">
        <v>61</v>
      </c>
      <c r="V969" s="139"/>
      <c r="W969" s="49"/>
      <c r="X969" s="49"/>
      <c r="Y969" s="35"/>
      <c r="Z969" s="35"/>
      <c r="AA969" s="35"/>
      <c r="AB969" s="35"/>
      <c r="AC969" s="35"/>
      <c r="AD969" s="35"/>
      <c r="AE969" s="35"/>
      <c r="AF969" s="35"/>
      <c r="AG969" s="35"/>
      <c r="AH969" s="35"/>
      <c r="AI969" s="35"/>
      <c r="AJ969" s="35"/>
      <c r="AK969" s="35"/>
      <c r="AL969" s="35"/>
    </row>
    <row r="970" ht="20.25" customHeight="1">
      <c r="A970" s="180"/>
      <c r="B970" s="19" t="s">
        <v>2392</v>
      </c>
      <c r="C970" s="158" t="s">
        <v>5012</v>
      </c>
      <c r="D970" s="159"/>
      <c r="E970" s="22" t="s">
        <v>856</v>
      </c>
      <c r="F970" s="23" t="s">
        <v>510</v>
      </c>
      <c r="G970" s="23">
        <v>2009.0</v>
      </c>
      <c r="H970" s="178" t="s">
        <v>658</v>
      </c>
      <c r="I970" s="24" t="s">
        <v>5020</v>
      </c>
      <c r="J970" s="22" t="s">
        <v>31</v>
      </c>
      <c r="K970" s="22" t="s">
        <v>5021</v>
      </c>
      <c r="L970" s="36">
        <v>904.0</v>
      </c>
      <c r="M970" s="107"/>
      <c r="N970" s="107"/>
      <c r="O970" s="107"/>
      <c r="P970" s="37" t="s">
        <v>5022</v>
      </c>
      <c r="Q970" s="107"/>
      <c r="R970" s="107"/>
      <c r="S970" s="107"/>
      <c r="T970" s="28" t="s">
        <v>5023</v>
      </c>
      <c r="U970" s="38" t="str">
        <f>HYPERLINK("https://www.ncbi.nlm.nih.gov/pubmed/19569956","PubMed")</f>
        <v>PubMed</v>
      </c>
      <c r="V970" s="139"/>
      <c r="W970" s="49"/>
      <c r="X970" s="49"/>
      <c r="Y970" s="35"/>
      <c r="Z970" s="35"/>
      <c r="AA970" s="35"/>
      <c r="AB970" s="35"/>
      <c r="AC970" s="35"/>
      <c r="AD970" s="35"/>
      <c r="AE970" s="35"/>
      <c r="AF970" s="35"/>
      <c r="AG970" s="35"/>
      <c r="AH970" s="35"/>
      <c r="AI970" s="35"/>
      <c r="AJ970" s="35"/>
      <c r="AK970" s="35"/>
      <c r="AL970" s="35"/>
    </row>
    <row r="971" ht="20.25" customHeight="1">
      <c r="A971" s="180"/>
      <c r="B971" s="19" t="s">
        <v>2392</v>
      </c>
      <c r="C971" s="158" t="s">
        <v>5012</v>
      </c>
      <c r="D971" s="159"/>
      <c r="E971" s="22" t="s">
        <v>5024</v>
      </c>
      <c r="F971" s="23" t="s">
        <v>5025</v>
      </c>
      <c r="G971" s="23">
        <v>1994.0</v>
      </c>
      <c r="H971" s="22" t="s">
        <v>207</v>
      </c>
      <c r="I971" s="24" t="s">
        <v>5026</v>
      </c>
      <c r="J971" s="22" t="s">
        <v>31</v>
      </c>
      <c r="K971" s="22" t="s">
        <v>5027</v>
      </c>
      <c r="L971" s="36">
        <v>633.0</v>
      </c>
      <c r="M971" s="107"/>
      <c r="N971" s="107"/>
      <c r="O971" s="107"/>
      <c r="P971" s="37"/>
      <c r="Q971" s="107"/>
      <c r="R971" s="107"/>
      <c r="S971" s="107"/>
      <c r="T971" s="28" t="s">
        <v>5028</v>
      </c>
      <c r="U971" s="38" t="str">
        <f>HYPERLINK("https://www.ncbi.nlm.nih.gov/pubmed/7853117","PubMed")</f>
        <v>PubMed</v>
      </c>
      <c r="V971" s="139"/>
      <c r="W971" s="49"/>
      <c r="X971" s="49"/>
      <c r="Y971" s="35"/>
      <c r="Z971" s="35"/>
      <c r="AA971" s="35"/>
      <c r="AB971" s="35"/>
      <c r="AC971" s="35"/>
      <c r="AD971" s="35"/>
      <c r="AE971" s="35"/>
      <c r="AF971" s="35"/>
      <c r="AG971" s="35"/>
      <c r="AH971" s="35"/>
      <c r="AI971" s="35"/>
      <c r="AJ971" s="35"/>
      <c r="AK971" s="35"/>
      <c r="AL971" s="35"/>
    </row>
    <row r="972">
      <c r="A972" s="1"/>
      <c r="B972" s="75" t="s">
        <v>2392</v>
      </c>
      <c r="C972" s="20" t="s">
        <v>5029</v>
      </c>
      <c r="D972" s="47"/>
      <c r="E972" s="22" t="s">
        <v>5030</v>
      </c>
      <c r="F972" s="22" t="s">
        <v>5031</v>
      </c>
      <c r="G972" s="23">
        <v>1992.0</v>
      </c>
      <c r="H972" s="22" t="s">
        <v>5032</v>
      </c>
      <c r="I972" s="24" t="s">
        <v>5033</v>
      </c>
      <c r="J972" s="22" t="s">
        <v>31</v>
      </c>
      <c r="K972" s="22"/>
      <c r="L972" s="36">
        <v>633.0</v>
      </c>
      <c r="M972" s="36"/>
      <c r="N972" s="36"/>
      <c r="O972" s="36"/>
      <c r="P972" s="37" t="s">
        <v>5034</v>
      </c>
      <c r="Q972" s="36"/>
      <c r="R972" s="36"/>
      <c r="S972" s="36"/>
      <c r="T972" s="42" t="s">
        <v>5035</v>
      </c>
      <c r="U972" s="215"/>
      <c r="V972" s="50"/>
      <c r="W972" s="49"/>
      <c r="X972" s="49"/>
      <c r="Y972" s="35"/>
      <c r="Z972" s="35"/>
      <c r="AA972" s="35"/>
      <c r="AB972" s="35"/>
      <c r="AC972" s="35"/>
      <c r="AD972" s="35"/>
      <c r="AE972" s="35"/>
      <c r="AF972" s="35"/>
      <c r="AG972" s="35"/>
      <c r="AH972" s="35"/>
      <c r="AI972" s="35"/>
      <c r="AJ972" s="35"/>
      <c r="AK972" s="35"/>
      <c r="AL972" s="35"/>
    </row>
    <row r="973" ht="20.25" customHeight="1">
      <c r="A973" s="180"/>
      <c r="B973" s="75" t="s">
        <v>2392</v>
      </c>
      <c r="C973" s="158" t="s">
        <v>5036</v>
      </c>
      <c r="D973" s="159"/>
      <c r="E973" s="22" t="s">
        <v>5037</v>
      </c>
      <c r="F973" s="23" t="s">
        <v>400</v>
      </c>
      <c r="G973" s="23">
        <v>2018.0</v>
      </c>
      <c r="H973" s="22" t="s">
        <v>207</v>
      </c>
      <c r="I973" s="24" t="s">
        <v>5038</v>
      </c>
      <c r="J973" s="22" t="s">
        <v>125</v>
      </c>
      <c r="K973" s="22"/>
      <c r="L973" s="28" t="s">
        <v>5039</v>
      </c>
      <c r="U973" s="38" t="str">
        <f>HYPERLINK("https://www.sciencedirect.com/science/article/pii/S1011134417313325","ScienceDirect")</f>
        <v>ScienceDirect</v>
      </c>
      <c r="V973" s="139"/>
      <c r="W973" s="49"/>
      <c r="X973" s="49"/>
      <c r="Y973" s="35"/>
      <c r="Z973" s="35"/>
      <c r="AA973" s="35"/>
      <c r="AB973" s="35"/>
      <c r="AC973" s="35"/>
      <c r="AD973" s="35"/>
      <c r="AE973" s="35"/>
      <c r="AF973" s="35"/>
      <c r="AG973" s="35"/>
      <c r="AH973" s="35"/>
      <c r="AI973" s="35"/>
      <c r="AJ973" s="35"/>
      <c r="AK973" s="35"/>
      <c r="AL973" s="35"/>
    </row>
    <row r="974" ht="20.25" customHeight="1">
      <c r="A974" s="180"/>
      <c r="B974" s="75" t="s">
        <v>2392</v>
      </c>
      <c r="C974" s="77" t="s">
        <v>5040</v>
      </c>
      <c r="D974" s="159"/>
      <c r="E974" s="22" t="s">
        <v>5041</v>
      </c>
      <c r="F974" s="23" t="s">
        <v>5042</v>
      </c>
      <c r="G974" s="23">
        <v>2023.0</v>
      </c>
      <c r="H974" s="22" t="s">
        <v>5043</v>
      </c>
      <c r="I974" s="24" t="s">
        <v>5044</v>
      </c>
      <c r="J974" s="22" t="s">
        <v>31</v>
      </c>
      <c r="K974" s="22" t="s">
        <v>5045</v>
      </c>
      <c r="L974" s="52" t="s">
        <v>5046</v>
      </c>
      <c r="M974" s="192"/>
      <c r="N974" s="52"/>
      <c r="O974" s="192"/>
      <c r="P974" s="189"/>
      <c r="Q974" s="192"/>
      <c r="R974" s="52"/>
      <c r="S974" s="192"/>
      <c r="T974" s="28" t="s">
        <v>5047</v>
      </c>
      <c r="U974" s="38" t="s">
        <v>61</v>
      </c>
      <c r="V974" s="139"/>
      <c r="W974" s="49"/>
      <c r="X974" s="49"/>
      <c r="Y974" s="35"/>
      <c r="Z974" s="35"/>
      <c r="AA974" s="35"/>
      <c r="AB974" s="35"/>
      <c r="AC974" s="35"/>
      <c r="AD974" s="35"/>
      <c r="AE974" s="35"/>
      <c r="AF974" s="35"/>
      <c r="AG974" s="35"/>
      <c r="AH974" s="35"/>
      <c r="AI974" s="35"/>
      <c r="AJ974" s="35"/>
      <c r="AK974" s="35"/>
      <c r="AL974" s="35"/>
    </row>
    <row r="975" ht="20.25" customHeight="1">
      <c r="A975" s="180"/>
      <c r="B975" s="75" t="s">
        <v>2392</v>
      </c>
      <c r="C975" s="77" t="s">
        <v>5040</v>
      </c>
      <c r="D975" s="159"/>
      <c r="E975" s="22" t="s">
        <v>5048</v>
      </c>
      <c r="F975" s="23" t="s">
        <v>230</v>
      </c>
      <c r="G975" s="23">
        <v>2023.0</v>
      </c>
      <c r="H975" s="22" t="s">
        <v>3347</v>
      </c>
      <c r="I975" s="24" t="s">
        <v>5049</v>
      </c>
      <c r="J975" s="22" t="s">
        <v>31</v>
      </c>
      <c r="K975" s="22" t="s">
        <v>294</v>
      </c>
      <c r="L975" s="52" t="s">
        <v>5050</v>
      </c>
      <c r="M975" s="192"/>
      <c r="N975" s="52" t="s">
        <v>5051</v>
      </c>
      <c r="O975" s="192"/>
      <c r="P975" s="189"/>
      <c r="Q975" s="192"/>
      <c r="R975" s="52"/>
      <c r="S975" s="192"/>
      <c r="T975" s="28" t="s">
        <v>5052</v>
      </c>
      <c r="U975" s="38" t="s">
        <v>61</v>
      </c>
      <c r="V975" s="139"/>
      <c r="W975" s="49"/>
      <c r="X975" s="49"/>
      <c r="Y975" s="35"/>
      <c r="Z975" s="35"/>
      <c r="AA975" s="35"/>
      <c r="AB975" s="35"/>
      <c r="AC975" s="35"/>
      <c r="AD975" s="35"/>
      <c r="AE975" s="35"/>
      <c r="AF975" s="35"/>
      <c r="AG975" s="35"/>
      <c r="AH975" s="35"/>
      <c r="AI975" s="35"/>
      <c r="AJ975" s="35"/>
      <c r="AK975" s="35"/>
      <c r="AL975" s="35"/>
    </row>
    <row r="976" ht="20.25" customHeight="1">
      <c r="A976" s="180"/>
      <c r="B976" s="75" t="s">
        <v>2392</v>
      </c>
      <c r="C976" s="77" t="s">
        <v>5040</v>
      </c>
      <c r="D976" s="159"/>
      <c r="E976" s="22" t="s">
        <v>5053</v>
      </c>
      <c r="F976" s="23"/>
      <c r="G976" s="23">
        <v>2023.0</v>
      </c>
      <c r="H976" s="22" t="s">
        <v>42</v>
      </c>
      <c r="I976" s="24" t="s">
        <v>5054</v>
      </c>
      <c r="J976" s="22" t="s">
        <v>31</v>
      </c>
      <c r="K976" s="22" t="s">
        <v>5055</v>
      </c>
      <c r="L976" s="52">
        <v>905.0</v>
      </c>
      <c r="M976" s="192"/>
      <c r="N976" s="52" t="s">
        <v>3054</v>
      </c>
      <c r="O976" s="192"/>
      <c r="P976" s="189" t="s">
        <v>5056</v>
      </c>
      <c r="Q976" s="192"/>
      <c r="R976" s="52"/>
      <c r="S976" s="192"/>
      <c r="T976" s="28" t="s">
        <v>5057</v>
      </c>
      <c r="U976" s="38" t="s">
        <v>61</v>
      </c>
      <c r="V976" s="139"/>
      <c r="W976" s="49"/>
      <c r="X976" s="49"/>
      <c r="Y976" s="35"/>
      <c r="Z976" s="35"/>
      <c r="AA976" s="35"/>
      <c r="AB976" s="35"/>
      <c r="AC976" s="35"/>
      <c r="AD976" s="35"/>
      <c r="AE976" s="35"/>
      <c r="AF976" s="35"/>
      <c r="AG976" s="35"/>
      <c r="AH976" s="35"/>
      <c r="AI976" s="35"/>
      <c r="AJ976" s="35"/>
      <c r="AK976" s="35"/>
      <c r="AL976" s="35"/>
    </row>
    <row r="977" ht="20.25" customHeight="1">
      <c r="A977" s="180"/>
      <c r="B977" s="75" t="s">
        <v>2392</v>
      </c>
      <c r="C977" s="77" t="s">
        <v>5040</v>
      </c>
      <c r="D977" s="159"/>
      <c r="E977" s="22" t="s">
        <v>5058</v>
      </c>
      <c r="F977" s="23" t="s">
        <v>5059</v>
      </c>
      <c r="G977" s="23">
        <v>2019.0</v>
      </c>
      <c r="H977" s="22" t="s">
        <v>5060</v>
      </c>
      <c r="I977" s="24" t="s">
        <v>5061</v>
      </c>
      <c r="J977" s="22" t="s">
        <v>31</v>
      </c>
      <c r="K977" s="22" t="s">
        <v>5062</v>
      </c>
      <c r="L977" s="52">
        <v>660.0</v>
      </c>
      <c r="M977" s="192"/>
      <c r="N977" s="52"/>
      <c r="O977" s="192"/>
      <c r="P977" s="189" t="s">
        <v>5063</v>
      </c>
      <c r="Q977" s="192"/>
      <c r="R977" s="52"/>
      <c r="S977" s="192"/>
      <c r="T977" s="28" t="s">
        <v>5064</v>
      </c>
      <c r="U977" s="38" t="str">
        <f>HYPERLINK("https://www.ncbi.nlm.nih.gov/pubmed/31303375","PubMed")</f>
        <v>PubMed</v>
      </c>
      <c r="V977" s="139"/>
      <c r="W977" s="49"/>
      <c r="X977" s="49"/>
      <c r="Y977" s="35"/>
      <c r="Z977" s="35"/>
      <c r="AA977" s="35"/>
      <c r="AB977" s="35"/>
      <c r="AC977" s="35"/>
      <c r="AD977" s="35"/>
      <c r="AE977" s="35"/>
      <c r="AF977" s="35"/>
      <c r="AG977" s="35"/>
      <c r="AH977" s="35"/>
      <c r="AI977" s="35"/>
      <c r="AJ977" s="35"/>
      <c r="AK977" s="35"/>
      <c r="AL977" s="35"/>
    </row>
    <row r="978" ht="20.25" customHeight="1">
      <c r="A978" s="180"/>
      <c r="B978" s="75" t="s">
        <v>2392</v>
      </c>
      <c r="C978" s="77" t="s">
        <v>5040</v>
      </c>
      <c r="D978" s="159"/>
      <c r="E978" s="22" t="s">
        <v>5065</v>
      </c>
      <c r="F978" s="23" t="s">
        <v>540</v>
      </c>
      <c r="G978" s="23">
        <v>2018.0</v>
      </c>
      <c r="H978" s="22" t="s">
        <v>91</v>
      </c>
      <c r="I978" s="24" t="s">
        <v>5066</v>
      </c>
      <c r="J978" s="22" t="s">
        <v>31</v>
      </c>
      <c r="K978" s="22" t="s">
        <v>5067</v>
      </c>
      <c r="L978" s="52">
        <v>808.0</v>
      </c>
      <c r="M978" s="192"/>
      <c r="N978" s="52" t="s">
        <v>5068</v>
      </c>
      <c r="O978" s="192"/>
      <c r="P978" s="189" t="s">
        <v>5069</v>
      </c>
      <c r="Q978" s="192"/>
      <c r="R978" s="52">
        <v>60.0</v>
      </c>
      <c r="S978" s="192"/>
      <c r="T978" s="28" t="s">
        <v>5070</v>
      </c>
      <c r="U978" s="38" t="str">
        <f>HYPERLINK("https://www.ncbi.nlm.nih.gov/pubmed/30145725","PubMed")</f>
        <v>PubMed</v>
      </c>
      <c r="V978" s="139"/>
      <c r="W978" s="49"/>
      <c r="X978" s="49"/>
      <c r="Y978" s="35"/>
      <c r="Z978" s="35"/>
      <c r="AA978" s="35"/>
      <c r="AB978" s="35"/>
      <c r="AC978" s="35"/>
      <c r="AD978" s="35"/>
      <c r="AE978" s="35"/>
      <c r="AF978" s="35"/>
      <c r="AG978" s="35"/>
      <c r="AH978" s="35"/>
      <c r="AI978" s="35"/>
      <c r="AJ978" s="35"/>
      <c r="AK978" s="35"/>
      <c r="AL978" s="35"/>
    </row>
    <row r="979" ht="20.25" customHeight="1">
      <c r="A979" s="180"/>
      <c r="B979" s="75" t="s">
        <v>2392</v>
      </c>
      <c r="C979" s="77" t="s">
        <v>5040</v>
      </c>
      <c r="D979" s="159"/>
      <c r="E979" s="22" t="s">
        <v>5071</v>
      </c>
      <c r="F979" s="23" t="s">
        <v>5072</v>
      </c>
      <c r="G979" s="23">
        <v>2018.0</v>
      </c>
      <c r="H979" s="22" t="s">
        <v>53</v>
      </c>
      <c r="I979" s="24" t="s">
        <v>5073</v>
      </c>
      <c r="J979" s="22" t="s">
        <v>31</v>
      </c>
      <c r="K979" s="22" t="s">
        <v>5074</v>
      </c>
      <c r="L979" s="52" t="s">
        <v>5075</v>
      </c>
      <c r="M979" s="192"/>
      <c r="N979" s="192"/>
      <c r="O979" s="192"/>
      <c r="P979" s="189"/>
      <c r="Q979" s="192"/>
      <c r="R979" s="192"/>
      <c r="S979" s="192"/>
      <c r="T979" s="28" t="s">
        <v>5076</v>
      </c>
      <c r="U979" s="38" t="str">
        <f>HYPERLINK("https://www.ncbi.nlm.nih.gov/pubmed/29665018","PubMed")</f>
        <v>PubMed</v>
      </c>
      <c r="V979" s="139"/>
      <c r="W979" s="49"/>
      <c r="X979" s="49"/>
      <c r="Y979" s="35"/>
      <c r="Z979" s="35"/>
      <c r="AA979" s="35"/>
      <c r="AB979" s="35"/>
      <c r="AC979" s="35"/>
      <c r="AD979" s="35"/>
      <c r="AE979" s="35"/>
      <c r="AF979" s="35"/>
      <c r="AG979" s="35"/>
      <c r="AH979" s="35"/>
      <c r="AI979" s="35"/>
      <c r="AJ979" s="35"/>
      <c r="AK979" s="35"/>
      <c r="AL979" s="35"/>
    </row>
    <row r="980" ht="20.25" customHeight="1">
      <c r="A980" s="180"/>
      <c r="B980" s="75" t="s">
        <v>2392</v>
      </c>
      <c r="C980" s="77" t="s">
        <v>5040</v>
      </c>
      <c r="D980" s="159"/>
      <c r="E980" s="22" t="s">
        <v>626</v>
      </c>
      <c r="F980" s="23" t="s">
        <v>4555</v>
      </c>
      <c r="G980" s="23">
        <v>2017.0</v>
      </c>
      <c r="H980" s="22" t="s">
        <v>2181</v>
      </c>
      <c r="I980" s="24" t="s">
        <v>5077</v>
      </c>
      <c r="J980" s="22" t="s">
        <v>31</v>
      </c>
      <c r="K980" s="22" t="s">
        <v>5078</v>
      </c>
      <c r="L980" s="36" t="s">
        <v>5079</v>
      </c>
      <c r="M980" s="107"/>
      <c r="N980" s="107"/>
      <c r="O980" s="107"/>
      <c r="P980" s="37"/>
      <c r="Q980" s="107"/>
      <c r="R980" s="107"/>
      <c r="S980" s="107"/>
      <c r="T980" s="28" t="s">
        <v>5080</v>
      </c>
      <c r="U980" s="38" t="str">
        <f>HYPERLINK("https://www.ncbi.nlm.nih.gov/pubmed/28798481","PubMed")</f>
        <v>PubMed</v>
      </c>
      <c r="V980" s="139"/>
      <c r="W980" s="49"/>
      <c r="X980" s="49"/>
      <c r="Y980" s="35"/>
      <c r="Z980" s="35"/>
      <c r="AA980" s="35"/>
      <c r="AB980" s="35"/>
      <c r="AC980" s="35"/>
      <c r="AD980" s="35"/>
      <c r="AE980" s="35"/>
      <c r="AF980" s="35"/>
      <c r="AG980" s="35"/>
      <c r="AH980" s="35"/>
      <c r="AI980" s="35"/>
      <c r="AJ980" s="35"/>
      <c r="AK980" s="35"/>
      <c r="AL980" s="35"/>
    </row>
    <row r="981" ht="20.25" customHeight="1">
      <c r="A981" s="180"/>
      <c r="B981" s="19" t="s">
        <v>2392</v>
      </c>
      <c r="C981" s="158" t="s">
        <v>5040</v>
      </c>
      <c r="D981" s="159"/>
      <c r="E981" s="22" t="s">
        <v>2955</v>
      </c>
      <c r="F981" s="23" t="s">
        <v>1173</v>
      </c>
      <c r="G981" s="23">
        <v>2016.0</v>
      </c>
      <c r="H981" s="22" t="s">
        <v>5081</v>
      </c>
      <c r="I981" s="24" t="s">
        <v>5082</v>
      </c>
      <c r="J981" s="22" t="s">
        <v>31</v>
      </c>
      <c r="K981" s="22" t="s">
        <v>5083</v>
      </c>
      <c r="L981" s="36" t="s">
        <v>5084</v>
      </c>
      <c r="M981" s="107"/>
      <c r="N981" s="107"/>
      <c r="O981" s="107"/>
      <c r="P981" s="37"/>
      <c r="Q981" s="107"/>
      <c r="R981" s="107"/>
      <c r="S981" s="107"/>
      <c r="T981" s="28" t="s">
        <v>5085</v>
      </c>
      <c r="U981" s="38" t="str">
        <f>HYPERLINK("https://www.ncbi.nlm.nih.gov/pubmed/27857496","PubMed")</f>
        <v>PubMed</v>
      </c>
      <c r="V981" s="139"/>
      <c r="W981" s="49"/>
      <c r="X981" s="49"/>
      <c r="Y981" s="35"/>
      <c r="Z981" s="35"/>
      <c r="AA981" s="35"/>
      <c r="AB981" s="35"/>
      <c r="AC981" s="35"/>
      <c r="AD981" s="35"/>
      <c r="AE981" s="35"/>
      <c r="AF981" s="35"/>
      <c r="AG981" s="35"/>
      <c r="AH981" s="35"/>
      <c r="AI981" s="35"/>
      <c r="AJ981" s="35"/>
      <c r="AK981" s="35"/>
      <c r="AL981" s="35"/>
    </row>
    <row r="982" ht="20.25" customHeight="1">
      <c r="A982" s="180"/>
      <c r="B982" s="19" t="s">
        <v>2392</v>
      </c>
      <c r="C982" s="158" t="s">
        <v>5040</v>
      </c>
      <c r="D982" s="159"/>
      <c r="E982" s="22" t="s">
        <v>5086</v>
      </c>
      <c r="F982" s="23" t="s">
        <v>1659</v>
      </c>
      <c r="G982" s="23">
        <v>2015.0</v>
      </c>
      <c r="H982" s="22" t="s">
        <v>91</v>
      </c>
      <c r="I982" s="24" t="s">
        <v>5087</v>
      </c>
      <c r="J982" s="22" t="s">
        <v>31</v>
      </c>
      <c r="K982" s="22" t="s">
        <v>5088</v>
      </c>
      <c r="L982" s="36">
        <v>915.0</v>
      </c>
      <c r="M982" s="107"/>
      <c r="N982" s="107"/>
      <c r="O982" s="107"/>
      <c r="P982" s="37"/>
      <c r="Q982" s="107"/>
      <c r="R982" s="107"/>
      <c r="S982" s="107"/>
      <c r="T982" s="28" t="s">
        <v>5089</v>
      </c>
      <c r="U982" s="38" t="str">
        <f>HYPERLINK("https://www.ncbi.nlm.nih.gov/pubmed/25351448","PubMed")</f>
        <v>PubMed</v>
      </c>
      <c r="V982" s="139"/>
      <c r="W982" s="49"/>
      <c r="X982" s="49"/>
      <c r="Y982" s="35"/>
      <c r="Z982" s="35"/>
      <c r="AA982" s="35"/>
      <c r="AB982" s="35"/>
      <c r="AC982" s="35"/>
      <c r="AD982" s="35"/>
      <c r="AE982" s="35"/>
      <c r="AF982" s="35"/>
      <c r="AG982" s="35"/>
      <c r="AH982" s="35"/>
      <c r="AI982" s="35"/>
      <c r="AJ982" s="35"/>
      <c r="AK982" s="35"/>
      <c r="AL982" s="35"/>
    </row>
    <row r="983" ht="20.25" customHeight="1">
      <c r="A983" s="180"/>
      <c r="B983" s="19" t="s">
        <v>2392</v>
      </c>
      <c r="C983" s="158" t="s">
        <v>5040</v>
      </c>
      <c r="D983" s="159"/>
      <c r="E983" s="22" t="s">
        <v>3457</v>
      </c>
      <c r="F983" s="23" t="s">
        <v>5090</v>
      </c>
      <c r="G983" s="23">
        <v>2015.0</v>
      </c>
      <c r="H983" s="22" t="s">
        <v>1485</v>
      </c>
      <c r="I983" s="24" t="s">
        <v>5091</v>
      </c>
      <c r="J983" s="22" t="s">
        <v>31</v>
      </c>
      <c r="K983" s="22" t="s">
        <v>5092</v>
      </c>
      <c r="L983" s="36" t="s">
        <v>5093</v>
      </c>
      <c r="M983" s="107"/>
      <c r="N983" s="107"/>
      <c r="O983" s="107"/>
      <c r="P983" s="37" t="s">
        <v>5094</v>
      </c>
      <c r="Q983" s="107"/>
      <c r="R983" s="107"/>
      <c r="S983" s="107"/>
      <c r="T983" s="28" t="s">
        <v>5095</v>
      </c>
      <c r="U983" s="38" t="str">
        <f>HYPERLINK("https://www.ncbi.nlm.nih.gov/pubmed/25462575","PubMed")</f>
        <v>PubMed</v>
      </c>
      <c r="V983" s="139"/>
      <c r="W983" s="49"/>
      <c r="X983" s="49"/>
      <c r="Y983" s="35"/>
      <c r="Z983" s="35"/>
      <c r="AA983" s="35"/>
      <c r="AB983" s="35"/>
      <c r="AC983" s="35"/>
      <c r="AD983" s="35"/>
      <c r="AE983" s="35"/>
      <c r="AF983" s="35"/>
      <c r="AG983" s="35"/>
      <c r="AH983" s="35"/>
      <c r="AI983" s="35"/>
      <c r="AJ983" s="35"/>
      <c r="AK983" s="35"/>
      <c r="AL983" s="35"/>
    </row>
    <row r="984">
      <c r="A984" s="1"/>
      <c r="B984" s="19" t="s">
        <v>2392</v>
      </c>
      <c r="C984" s="158" t="s">
        <v>5040</v>
      </c>
      <c r="D984" s="47"/>
      <c r="E984" s="22" t="s">
        <v>5096</v>
      </c>
      <c r="F984" s="22" t="s">
        <v>2407</v>
      </c>
      <c r="G984" s="23">
        <v>2011.0</v>
      </c>
      <c r="H984" s="22" t="s">
        <v>53</v>
      </c>
      <c r="I984" s="24" t="s">
        <v>5097</v>
      </c>
      <c r="J984" s="22" t="s">
        <v>31</v>
      </c>
      <c r="K984" s="22" t="s">
        <v>1240</v>
      </c>
      <c r="L984" s="36">
        <v>810.0</v>
      </c>
      <c r="M984" s="36"/>
      <c r="N984" s="36" t="s">
        <v>1018</v>
      </c>
      <c r="O984" s="36"/>
      <c r="P984" s="37" t="s">
        <v>5098</v>
      </c>
      <c r="Q984" s="36"/>
      <c r="R984" s="36"/>
      <c r="S984" s="36"/>
      <c r="T984" s="28" t="s">
        <v>5099</v>
      </c>
      <c r="U984" s="38" t="str">
        <f>HYPERLINK("https://www.ncbi.nlm.nih.gov/pubmed/21956634","PubMed")</f>
        <v>PubMed</v>
      </c>
      <c r="V984" s="30"/>
      <c r="W984" s="49"/>
      <c r="X984" s="49"/>
      <c r="Y984" s="35"/>
      <c r="Z984" s="35"/>
      <c r="AA984" s="35"/>
      <c r="AB984" s="35"/>
      <c r="AC984" s="35"/>
      <c r="AD984" s="35"/>
      <c r="AE984" s="35"/>
      <c r="AF984" s="35"/>
      <c r="AG984" s="35"/>
      <c r="AH984" s="35"/>
      <c r="AI984" s="35"/>
      <c r="AJ984" s="35"/>
      <c r="AK984" s="35"/>
      <c r="AL984" s="35"/>
    </row>
    <row r="985">
      <c r="A985" s="1"/>
      <c r="B985" s="19" t="s">
        <v>2392</v>
      </c>
      <c r="C985" s="20" t="s">
        <v>5040</v>
      </c>
      <c r="D985" s="47"/>
      <c r="E985" s="22" t="s">
        <v>5100</v>
      </c>
      <c r="F985" s="22" t="s">
        <v>3492</v>
      </c>
      <c r="G985" s="23">
        <v>2008.0</v>
      </c>
      <c r="H985" s="22" t="s">
        <v>658</v>
      </c>
      <c r="I985" s="24" t="s">
        <v>5101</v>
      </c>
      <c r="J985" s="22" t="s">
        <v>31</v>
      </c>
      <c r="K985" s="22" t="s">
        <v>5102</v>
      </c>
      <c r="L985" s="36">
        <v>904.0</v>
      </c>
      <c r="M985" s="36">
        <v>10.0</v>
      </c>
      <c r="N985" s="36"/>
      <c r="O985" s="36"/>
      <c r="P985" s="37"/>
      <c r="Q985" s="36"/>
      <c r="R985" s="36">
        <v>60.0</v>
      </c>
      <c r="S985" s="36"/>
      <c r="T985" s="28" t="s">
        <v>5103</v>
      </c>
      <c r="U985" s="38" t="str">
        <f>HYPERLINK("https://www.ncbi.nlm.nih.gov/pubmed/18922088","PubMed")</f>
        <v>PubMed</v>
      </c>
      <c r="V985" s="30"/>
      <c r="W985" s="49"/>
      <c r="X985" s="49"/>
      <c r="Y985" s="35"/>
      <c r="Z985" s="35"/>
      <c r="AA985" s="35"/>
      <c r="AB985" s="35"/>
      <c r="AC985" s="35"/>
      <c r="AD985" s="35"/>
      <c r="AE985" s="35"/>
      <c r="AF985" s="35"/>
      <c r="AG985" s="35"/>
      <c r="AH985" s="35"/>
      <c r="AI985" s="35"/>
      <c r="AJ985" s="35"/>
      <c r="AK985" s="35"/>
      <c r="AL985" s="35"/>
    </row>
    <row r="986">
      <c r="A986" s="1"/>
      <c r="B986" s="19" t="s">
        <v>2392</v>
      </c>
      <c r="C986" s="20" t="s">
        <v>5040</v>
      </c>
      <c r="D986" s="47"/>
      <c r="E986" s="22" t="s">
        <v>2551</v>
      </c>
      <c r="F986" s="22" t="s">
        <v>5104</v>
      </c>
      <c r="G986" s="23">
        <v>2007.0</v>
      </c>
      <c r="H986" s="22" t="s">
        <v>658</v>
      </c>
      <c r="I986" s="24" t="s">
        <v>5105</v>
      </c>
      <c r="J986" s="22" t="s">
        <v>31</v>
      </c>
      <c r="K986" s="22" t="s">
        <v>5106</v>
      </c>
      <c r="L986" s="36">
        <v>808.0</v>
      </c>
      <c r="M986" s="36">
        <v>600.0</v>
      </c>
      <c r="N986" s="36" t="s">
        <v>1729</v>
      </c>
      <c r="O986" s="36"/>
      <c r="P986" s="37" t="s">
        <v>1729</v>
      </c>
      <c r="Q986" s="36" t="s">
        <v>5107</v>
      </c>
      <c r="R986" s="36">
        <v>1.0</v>
      </c>
      <c r="S986" s="36">
        <v>1.0</v>
      </c>
      <c r="T986" s="28" t="s">
        <v>5108</v>
      </c>
      <c r="U986" s="38" t="str">
        <f>HYPERLINK("https://www.ncbi.nlm.nih.gov/pubmed/17603858","PubMed")</f>
        <v>PubMed</v>
      </c>
      <c r="V986" s="30"/>
      <c r="W986" s="49"/>
      <c r="X986" s="49"/>
      <c r="Y986" s="35"/>
      <c r="Z986" s="35"/>
      <c r="AA986" s="35"/>
      <c r="AB986" s="35"/>
      <c r="AC986" s="35"/>
      <c r="AD986" s="35"/>
      <c r="AE986" s="35"/>
      <c r="AF986" s="35"/>
      <c r="AG986" s="35"/>
      <c r="AH986" s="35"/>
      <c r="AI986" s="35"/>
      <c r="AJ986" s="35"/>
      <c r="AK986" s="35"/>
      <c r="AL986" s="35"/>
    </row>
    <row r="987">
      <c r="A987" s="1"/>
      <c r="B987" s="19" t="s">
        <v>2392</v>
      </c>
      <c r="C987" s="20" t="s">
        <v>5040</v>
      </c>
      <c r="D987" s="47"/>
      <c r="E987" s="22" t="s">
        <v>5109</v>
      </c>
      <c r="F987" s="22" t="s">
        <v>5110</v>
      </c>
      <c r="G987" s="23">
        <v>1995.0</v>
      </c>
      <c r="H987" s="22" t="s">
        <v>207</v>
      </c>
      <c r="I987" s="24" t="s">
        <v>5111</v>
      </c>
      <c r="J987" s="22" t="s">
        <v>31</v>
      </c>
      <c r="K987" s="22" t="s">
        <v>5112</v>
      </c>
      <c r="L987" s="36">
        <v>633.0</v>
      </c>
      <c r="M987" s="36"/>
      <c r="N987" s="36"/>
      <c r="O987" s="36"/>
      <c r="P987" s="37" t="s">
        <v>2554</v>
      </c>
      <c r="Q987" s="36"/>
      <c r="R987" s="36">
        <v>10.0</v>
      </c>
      <c r="S987" s="36"/>
      <c r="T987" s="28" t="s">
        <v>5113</v>
      </c>
      <c r="U987" s="38" t="str">
        <f>HYPERLINK("https://www.ncbi.nlm.nih.gov/pubmed/7769534","PubMed")</f>
        <v>PubMed</v>
      </c>
      <c r="V987" s="30"/>
      <c r="W987" s="49"/>
      <c r="X987" s="49"/>
      <c r="Y987" s="35"/>
      <c r="Z987" s="35"/>
      <c r="AA987" s="35"/>
      <c r="AB987" s="35"/>
      <c r="AC987" s="35"/>
      <c r="AD987" s="35"/>
      <c r="AE987" s="35"/>
      <c r="AF987" s="35"/>
      <c r="AG987" s="35"/>
      <c r="AH987" s="35"/>
      <c r="AI987" s="35"/>
      <c r="AJ987" s="35"/>
      <c r="AK987" s="35"/>
      <c r="AL987" s="35"/>
    </row>
    <row r="988">
      <c r="A988" s="1"/>
      <c r="B988" s="19" t="s">
        <v>2392</v>
      </c>
      <c r="C988" s="20" t="s">
        <v>5040</v>
      </c>
      <c r="D988" s="47"/>
      <c r="E988" s="22" t="s">
        <v>5109</v>
      </c>
      <c r="F988" s="22" t="s">
        <v>5110</v>
      </c>
      <c r="G988" s="23">
        <v>1993.0</v>
      </c>
      <c r="H988" s="22" t="s">
        <v>5114</v>
      </c>
      <c r="I988" s="24" t="s">
        <v>5115</v>
      </c>
      <c r="J988" s="22" t="s">
        <v>31</v>
      </c>
      <c r="K988" s="22" t="s">
        <v>5116</v>
      </c>
      <c r="L988" s="36">
        <v>633.0</v>
      </c>
      <c r="M988" s="36"/>
      <c r="N988" s="36"/>
      <c r="O988" s="36"/>
      <c r="P988" s="37" t="s">
        <v>2554</v>
      </c>
      <c r="Q988" s="36"/>
      <c r="R988" s="36">
        <v>10.0</v>
      </c>
      <c r="S988" s="36"/>
      <c r="T988" s="28" t="s">
        <v>5117</v>
      </c>
      <c r="U988" s="38" t="str">
        <f>HYPERLINK("https://www.ncbi.nlm.nih.gov/pubmed/8374142","PubMed")</f>
        <v>PubMed</v>
      </c>
      <c r="V988" s="30"/>
      <c r="W988" s="49"/>
      <c r="X988" s="49"/>
      <c r="Y988" s="35"/>
      <c r="Z988" s="35"/>
      <c r="AA988" s="35"/>
      <c r="AB988" s="35"/>
      <c r="AC988" s="35"/>
      <c r="AD988" s="35"/>
      <c r="AE988" s="35"/>
      <c r="AF988" s="35"/>
      <c r="AG988" s="35"/>
      <c r="AH988" s="35"/>
      <c r="AI988" s="35"/>
      <c r="AJ988" s="35"/>
      <c r="AK988" s="35"/>
      <c r="AL988" s="35"/>
    </row>
    <row r="989">
      <c r="A989" s="1"/>
      <c r="B989" s="19" t="s">
        <v>2392</v>
      </c>
      <c r="C989" s="20" t="s">
        <v>5040</v>
      </c>
      <c r="D989" s="47"/>
      <c r="E989" s="22" t="s">
        <v>5118</v>
      </c>
      <c r="F989" s="22" t="s">
        <v>5119</v>
      </c>
      <c r="G989" s="23">
        <v>1991.0</v>
      </c>
      <c r="H989" s="22" t="s">
        <v>292</v>
      </c>
      <c r="I989" s="24" t="s">
        <v>5120</v>
      </c>
      <c r="J989" s="22" t="s">
        <v>31</v>
      </c>
      <c r="K989" s="22" t="s">
        <v>5121</v>
      </c>
      <c r="L989" s="36">
        <v>633.0</v>
      </c>
      <c r="M989" s="36">
        <v>10.0</v>
      </c>
      <c r="N989" s="36"/>
      <c r="O989" s="36"/>
      <c r="P989" s="37"/>
      <c r="Q989" s="36"/>
      <c r="R989" s="36"/>
      <c r="S989" s="36"/>
      <c r="T989" s="28" t="s">
        <v>5122</v>
      </c>
      <c r="U989" s="38" t="str">
        <f>HYPERLINK("https://www.jstage.jst.go.jp/article/islsm/3/1/3_91-OR-04/_article/-char/en","J-STAGE")</f>
        <v>J-STAGE</v>
      </c>
      <c r="V989" s="30"/>
      <c r="W989" s="49"/>
      <c r="X989" s="49"/>
      <c r="Y989" s="35"/>
      <c r="Z989" s="35"/>
      <c r="AA989" s="35"/>
      <c r="AB989" s="35"/>
      <c r="AC989" s="35"/>
      <c r="AD989" s="35"/>
      <c r="AE989" s="35"/>
      <c r="AF989" s="35"/>
      <c r="AG989" s="35"/>
      <c r="AH989" s="35"/>
      <c r="AI989" s="35"/>
      <c r="AJ989" s="35"/>
      <c r="AK989" s="35"/>
      <c r="AL989" s="35"/>
    </row>
    <row r="990">
      <c r="A990" s="1"/>
      <c r="B990" s="19" t="s">
        <v>2392</v>
      </c>
      <c r="C990" s="20" t="s">
        <v>5123</v>
      </c>
      <c r="D990" s="47"/>
      <c r="E990" s="22" t="s">
        <v>109</v>
      </c>
      <c r="F990" s="22" t="s">
        <v>5124</v>
      </c>
      <c r="G990" s="23">
        <v>2020.0</v>
      </c>
      <c r="H990" s="22" t="s">
        <v>42</v>
      </c>
      <c r="I990" s="24" t="s">
        <v>5125</v>
      </c>
      <c r="J990" s="22" t="s">
        <v>31</v>
      </c>
      <c r="K990" s="22" t="s">
        <v>5126</v>
      </c>
      <c r="L990" s="36">
        <v>660.0</v>
      </c>
      <c r="M990" s="36"/>
      <c r="N990" s="36"/>
      <c r="O990" s="36"/>
      <c r="P990" s="37" t="s">
        <v>5127</v>
      </c>
      <c r="Q990" s="36"/>
      <c r="R990" s="129"/>
      <c r="S990" s="36"/>
      <c r="T990" s="28" t="s">
        <v>5128</v>
      </c>
      <c r="U990" s="29" t="s">
        <v>61</v>
      </c>
      <c r="V990" s="30"/>
      <c r="W990" s="49"/>
      <c r="X990" s="49"/>
      <c r="Y990" s="35"/>
      <c r="Z990" s="35"/>
      <c r="AA990" s="35"/>
      <c r="AB990" s="35"/>
      <c r="AC990" s="35"/>
      <c r="AD990" s="35"/>
      <c r="AE990" s="35"/>
      <c r="AF990" s="35"/>
      <c r="AG990" s="35"/>
      <c r="AH990" s="35"/>
      <c r="AI990" s="35"/>
      <c r="AJ990" s="35"/>
      <c r="AK990" s="35"/>
      <c r="AL990" s="35"/>
    </row>
    <row r="991">
      <c r="A991" s="1"/>
      <c r="B991" s="19" t="s">
        <v>2392</v>
      </c>
      <c r="C991" s="20" t="s">
        <v>5129</v>
      </c>
      <c r="D991" s="47"/>
      <c r="E991" s="22" t="s">
        <v>856</v>
      </c>
      <c r="F991" s="22" t="s">
        <v>1576</v>
      </c>
      <c r="G991" s="23">
        <v>2022.0</v>
      </c>
      <c r="H991" s="22" t="s">
        <v>5130</v>
      </c>
      <c r="I991" s="24" t="s">
        <v>5131</v>
      </c>
      <c r="J991" s="22" t="s">
        <v>31</v>
      </c>
      <c r="K991" s="22"/>
      <c r="L991" s="36">
        <v>660.0</v>
      </c>
      <c r="M991" s="36">
        <v>20.0</v>
      </c>
      <c r="N991" s="36" t="s">
        <v>5132</v>
      </c>
      <c r="O991" s="36"/>
      <c r="P991" s="37" t="s">
        <v>5133</v>
      </c>
      <c r="Q991" s="36"/>
      <c r="R991" s="129"/>
      <c r="S991" s="36"/>
      <c r="T991" s="28" t="s">
        <v>5134</v>
      </c>
      <c r="U991" s="29" t="s">
        <v>61</v>
      </c>
      <c r="V991" s="30"/>
      <c r="W991" s="49"/>
      <c r="X991" s="49"/>
      <c r="Y991" s="35"/>
      <c r="Z991" s="35"/>
      <c r="AA991" s="35"/>
      <c r="AB991" s="35"/>
      <c r="AC991" s="35"/>
      <c r="AD991" s="35"/>
      <c r="AE991" s="35"/>
      <c r="AF991" s="35"/>
      <c r="AG991" s="35"/>
      <c r="AH991" s="35"/>
      <c r="AI991" s="35"/>
      <c r="AJ991" s="35"/>
      <c r="AK991" s="35"/>
      <c r="AL991" s="35"/>
    </row>
    <row r="992">
      <c r="A992" s="1"/>
      <c r="B992" s="19" t="s">
        <v>2392</v>
      </c>
      <c r="C992" s="20" t="s">
        <v>5135</v>
      </c>
      <c r="D992" s="47"/>
      <c r="E992" s="22" t="s">
        <v>5136</v>
      </c>
      <c r="F992" s="22" t="s">
        <v>1930</v>
      </c>
      <c r="G992" s="23">
        <v>2022.0</v>
      </c>
      <c r="H992" s="22" t="s">
        <v>4975</v>
      </c>
      <c r="I992" s="24" t="s">
        <v>5137</v>
      </c>
      <c r="J992" s="22" t="s">
        <v>31</v>
      </c>
      <c r="K992" s="22"/>
      <c r="L992" s="36">
        <v>660.0</v>
      </c>
      <c r="M992" s="36"/>
      <c r="N992" s="36"/>
      <c r="O992" s="36"/>
      <c r="P992" s="37"/>
      <c r="Q992" s="36"/>
      <c r="R992" s="129"/>
      <c r="S992" s="36"/>
      <c r="T992" s="42" t="s">
        <v>5138</v>
      </c>
      <c r="U992" s="29" t="s">
        <v>61</v>
      </c>
      <c r="V992" s="30"/>
      <c r="W992" s="49"/>
      <c r="X992" s="49"/>
      <c r="Y992" s="35"/>
      <c r="Z992" s="35"/>
      <c r="AA992" s="35"/>
      <c r="AB992" s="35"/>
      <c r="AC992" s="35"/>
      <c r="AD992" s="35"/>
      <c r="AE992" s="35"/>
      <c r="AF992" s="35"/>
      <c r="AG992" s="35"/>
      <c r="AH992" s="35"/>
      <c r="AI992" s="35"/>
      <c r="AJ992" s="35"/>
      <c r="AK992" s="35"/>
      <c r="AL992" s="35"/>
    </row>
    <row r="993">
      <c r="A993" s="1"/>
      <c r="B993" s="19" t="s">
        <v>2392</v>
      </c>
      <c r="C993" s="20" t="s">
        <v>5139</v>
      </c>
      <c r="D993" s="47"/>
      <c r="E993" s="22" t="s">
        <v>5140</v>
      </c>
      <c r="F993" s="22" t="s">
        <v>2702</v>
      </c>
      <c r="G993" s="23">
        <v>2019.0</v>
      </c>
      <c r="H993" s="22" t="s">
        <v>91</v>
      </c>
      <c r="I993" s="24" t="s">
        <v>5141</v>
      </c>
      <c r="J993" s="22" t="s">
        <v>31</v>
      </c>
      <c r="K993" s="22"/>
      <c r="L993" s="36">
        <v>660.0</v>
      </c>
      <c r="M993" s="36"/>
      <c r="N993" s="36"/>
      <c r="O993" s="36"/>
      <c r="P993" s="37" t="s">
        <v>432</v>
      </c>
      <c r="Q993" s="36"/>
      <c r="R993" s="129"/>
      <c r="S993" s="36"/>
      <c r="T993" s="28" t="s">
        <v>5142</v>
      </c>
      <c r="U993" s="38" t="str">
        <f>HYPERLINK("https://www.ncbi.nlm.nih.gov/pubmed/31820475","PubMed")</f>
        <v>PubMed</v>
      </c>
      <c r="V993" s="30"/>
      <c r="W993" s="49"/>
      <c r="X993" s="49"/>
      <c r="Y993" s="35"/>
      <c r="Z993" s="35"/>
      <c r="AA993" s="35"/>
      <c r="AB993" s="35"/>
      <c r="AC993" s="35"/>
      <c r="AD993" s="35"/>
      <c r="AE993" s="35"/>
      <c r="AF993" s="35"/>
      <c r="AG993" s="35"/>
      <c r="AH993" s="35"/>
      <c r="AI993" s="35"/>
      <c r="AJ993" s="35"/>
      <c r="AK993" s="35"/>
      <c r="AL993" s="35"/>
    </row>
    <row r="994">
      <c r="A994" s="1"/>
      <c r="B994" s="19" t="s">
        <v>2392</v>
      </c>
      <c r="C994" s="20" t="s">
        <v>5143</v>
      </c>
      <c r="D994" s="47"/>
      <c r="E994" s="22" t="s">
        <v>5144</v>
      </c>
      <c r="F994" s="22" t="s">
        <v>41</v>
      </c>
      <c r="G994" s="23">
        <v>2024.0</v>
      </c>
      <c r="H994" s="22" t="s">
        <v>77</v>
      </c>
      <c r="I994" s="24" t="s">
        <v>5145</v>
      </c>
      <c r="J994" s="22" t="s">
        <v>31</v>
      </c>
      <c r="K994" s="22"/>
      <c r="L994" s="36"/>
      <c r="M994" s="36"/>
      <c r="N994" s="36"/>
      <c r="O994" s="36"/>
      <c r="P994" s="37"/>
      <c r="Q994" s="36"/>
      <c r="R994" s="36"/>
      <c r="S994" s="36"/>
      <c r="T994" s="28" t="s">
        <v>5146</v>
      </c>
      <c r="U994" s="38" t="s">
        <v>61</v>
      </c>
      <c r="V994" s="30"/>
      <c r="W994" s="49"/>
      <c r="X994" s="49"/>
      <c r="Y994" s="35"/>
      <c r="Z994" s="35"/>
      <c r="AA994" s="35"/>
      <c r="AB994" s="35"/>
      <c r="AC994" s="35"/>
      <c r="AD994" s="35"/>
      <c r="AE994" s="35"/>
      <c r="AF994" s="35"/>
      <c r="AG994" s="35"/>
      <c r="AH994" s="35"/>
      <c r="AI994" s="35"/>
      <c r="AJ994" s="35"/>
      <c r="AK994" s="35"/>
      <c r="AL994" s="35"/>
    </row>
    <row r="995">
      <c r="A995" s="1"/>
      <c r="B995" s="19" t="s">
        <v>2392</v>
      </c>
      <c r="C995" s="20" t="s">
        <v>5143</v>
      </c>
      <c r="D995" s="47"/>
      <c r="E995" s="22" t="s">
        <v>2316</v>
      </c>
      <c r="F995" s="22" t="s">
        <v>2196</v>
      </c>
      <c r="G995" s="23">
        <v>2023.0</v>
      </c>
      <c r="H995" s="22" t="s">
        <v>5147</v>
      </c>
      <c r="I995" s="24" t="s">
        <v>5148</v>
      </c>
      <c r="J995" s="22" t="s">
        <v>31</v>
      </c>
      <c r="K995" s="22"/>
      <c r="L995" s="36"/>
      <c r="M995" s="36"/>
      <c r="N995" s="36"/>
      <c r="O995" s="36"/>
      <c r="P995" s="37"/>
      <c r="Q995" s="36"/>
      <c r="R995" s="36"/>
      <c r="S995" s="36"/>
      <c r="T995" s="28" t="s">
        <v>5149</v>
      </c>
      <c r="U995" s="38" t="s">
        <v>61</v>
      </c>
      <c r="V995" s="30"/>
      <c r="W995" s="49"/>
      <c r="X995" s="49"/>
      <c r="Y995" s="35"/>
      <c r="Z995" s="35"/>
      <c r="AA995" s="35"/>
      <c r="AB995" s="35"/>
      <c r="AC995" s="35"/>
      <c r="AD995" s="35"/>
      <c r="AE995" s="35"/>
      <c r="AF995" s="35"/>
      <c r="AG995" s="35"/>
      <c r="AH995" s="35"/>
      <c r="AI995" s="35"/>
      <c r="AJ995" s="35"/>
      <c r="AK995" s="35"/>
      <c r="AL995" s="35"/>
    </row>
    <row r="996">
      <c r="A996" s="1"/>
      <c r="B996" s="19" t="s">
        <v>2392</v>
      </c>
      <c r="C996" s="20" t="s">
        <v>5143</v>
      </c>
      <c r="D996" s="47"/>
      <c r="E996" s="22" t="s">
        <v>5150</v>
      </c>
      <c r="F996" s="22" t="s">
        <v>1649</v>
      </c>
      <c r="G996" s="23">
        <v>2023.0</v>
      </c>
      <c r="H996" s="22" t="s">
        <v>5151</v>
      </c>
      <c r="I996" s="24" t="s">
        <v>5152</v>
      </c>
      <c r="J996" s="22" t="s">
        <v>31</v>
      </c>
      <c r="K996" s="22"/>
      <c r="L996" s="36" t="s">
        <v>5153</v>
      </c>
      <c r="M996" s="36"/>
      <c r="N996" s="36" t="s">
        <v>5154</v>
      </c>
      <c r="O996" s="36"/>
      <c r="P996" s="37"/>
      <c r="Q996" s="36"/>
      <c r="R996" s="36">
        <v>1200.0</v>
      </c>
      <c r="S996" s="36"/>
      <c r="T996" s="28" t="s">
        <v>5155</v>
      </c>
      <c r="U996" s="38" t="s">
        <v>61</v>
      </c>
      <c r="V996" s="30"/>
      <c r="W996" s="49"/>
      <c r="X996" s="49"/>
      <c r="Y996" s="35"/>
      <c r="Z996" s="35"/>
      <c r="AA996" s="35"/>
      <c r="AB996" s="35"/>
      <c r="AC996" s="35"/>
      <c r="AD996" s="35"/>
      <c r="AE996" s="35"/>
      <c r="AF996" s="35"/>
      <c r="AG996" s="35"/>
      <c r="AH996" s="35"/>
      <c r="AI996" s="35"/>
      <c r="AJ996" s="35"/>
      <c r="AK996" s="35"/>
      <c r="AL996" s="35"/>
    </row>
    <row r="997">
      <c r="A997" s="1"/>
      <c r="B997" s="19" t="s">
        <v>2392</v>
      </c>
      <c r="C997" s="20" t="s">
        <v>5143</v>
      </c>
      <c r="D997" s="47"/>
      <c r="E997" s="22" t="s">
        <v>5156</v>
      </c>
      <c r="F997" s="22" t="s">
        <v>5157</v>
      </c>
      <c r="G997" s="23">
        <v>2022.0</v>
      </c>
      <c r="H997" s="22" t="s">
        <v>207</v>
      </c>
      <c r="I997" s="24" t="s">
        <v>5158</v>
      </c>
      <c r="J997" s="22" t="s">
        <v>31</v>
      </c>
      <c r="K997" s="22" t="s">
        <v>5159</v>
      </c>
      <c r="L997" s="36"/>
      <c r="M997" s="36"/>
      <c r="N997" s="36"/>
      <c r="O997" s="36"/>
      <c r="P997" s="37"/>
      <c r="Q997" s="36"/>
      <c r="R997" s="129"/>
      <c r="S997" s="36"/>
      <c r="T997" s="28" t="s">
        <v>5160</v>
      </c>
      <c r="U997" s="38" t="s">
        <v>61</v>
      </c>
      <c r="V997" s="30"/>
      <c r="W997" s="49"/>
      <c r="X997" s="49"/>
      <c r="Y997" s="35"/>
      <c r="Z997" s="35"/>
      <c r="AA997" s="35"/>
      <c r="AB997" s="35"/>
      <c r="AC997" s="35"/>
      <c r="AD997" s="35"/>
      <c r="AE997" s="35"/>
      <c r="AF997" s="35"/>
      <c r="AG997" s="35"/>
      <c r="AH997" s="35"/>
      <c r="AI997" s="35"/>
      <c r="AJ997" s="35"/>
      <c r="AK997" s="35"/>
      <c r="AL997" s="35"/>
    </row>
    <row r="998">
      <c r="A998" s="18" t="s">
        <v>2</v>
      </c>
      <c r="B998" s="19" t="s">
        <v>2392</v>
      </c>
      <c r="C998" s="20" t="s">
        <v>5143</v>
      </c>
      <c r="D998" s="47"/>
      <c r="E998" s="22" t="s">
        <v>5156</v>
      </c>
      <c r="F998" s="22" t="s">
        <v>5157</v>
      </c>
      <c r="G998" s="23">
        <v>2021.0</v>
      </c>
      <c r="H998" s="22" t="s">
        <v>207</v>
      </c>
      <c r="I998" s="24" t="s">
        <v>5161</v>
      </c>
      <c r="J998" s="22" t="s">
        <v>5162</v>
      </c>
      <c r="K998" s="22" t="s">
        <v>5163</v>
      </c>
      <c r="L998" s="43" t="s">
        <v>5164</v>
      </c>
      <c r="M998" s="44"/>
      <c r="N998" s="44"/>
      <c r="O998" s="44"/>
      <c r="P998" s="44"/>
      <c r="Q998" s="44"/>
      <c r="R998" s="44"/>
      <c r="S998" s="44"/>
      <c r="T998" s="45"/>
      <c r="U998" s="29" t="s">
        <v>61</v>
      </c>
      <c r="V998" s="30"/>
      <c r="W998" s="49"/>
      <c r="X998" s="49"/>
      <c r="Y998" s="35"/>
      <c r="Z998" s="35"/>
      <c r="AA998" s="35"/>
      <c r="AB998" s="35"/>
      <c r="AC998" s="35"/>
      <c r="AD998" s="35"/>
      <c r="AE998" s="35"/>
      <c r="AF998" s="35"/>
      <c r="AG998" s="35"/>
      <c r="AH998" s="35"/>
      <c r="AI998" s="35"/>
      <c r="AJ998" s="35"/>
      <c r="AK998" s="35"/>
      <c r="AL998" s="35"/>
    </row>
    <row r="999">
      <c r="A999" s="1"/>
      <c r="B999" s="19" t="s">
        <v>2392</v>
      </c>
      <c r="C999" s="20" t="s">
        <v>5143</v>
      </c>
      <c r="D999" s="47"/>
      <c r="E999" s="22" t="s">
        <v>5165</v>
      </c>
      <c r="F999" s="22" t="s">
        <v>2705</v>
      </c>
      <c r="G999" s="23">
        <v>2021.0</v>
      </c>
      <c r="H999" s="22" t="s">
        <v>191</v>
      </c>
      <c r="I999" s="24" t="s">
        <v>5166</v>
      </c>
      <c r="J999" s="22" t="s">
        <v>31</v>
      </c>
      <c r="K999" s="22" t="s">
        <v>5167</v>
      </c>
      <c r="L999" s="36">
        <v>420.0</v>
      </c>
      <c r="M999" s="36"/>
      <c r="N999" s="36"/>
      <c r="O999" s="36"/>
      <c r="P999" s="37" t="s">
        <v>5168</v>
      </c>
      <c r="Q999" s="36"/>
      <c r="R999" s="129"/>
      <c r="S999" s="36"/>
      <c r="T999" s="42" t="s">
        <v>5169</v>
      </c>
      <c r="U999" s="29" t="s">
        <v>61</v>
      </c>
      <c r="V999" s="30"/>
      <c r="W999" s="49"/>
      <c r="X999" s="49"/>
      <c r="Y999" s="35"/>
      <c r="Z999" s="35"/>
      <c r="AA999" s="35"/>
      <c r="AB999" s="35"/>
      <c r="AC999" s="35"/>
      <c r="AD999" s="35"/>
      <c r="AE999" s="35"/>
      <c r="AF999" s="35"/>
      <c r="AG999" s="35"/>
      <c r="AH999" s="35"/>
      <c r="AI999" s="35"/>
      <c r="AJ999" s="35"/>
      <c r="AK999" s="35"/>
      <c r="AL999" s="35"/>
    </row>
    <row r="1000">
      <c r="A1000" s="1"/>
      <c r="B1000" s="19" t="s">
        <v>2392</v>
      </c>
      <c r="C1000" s="20" t="s">
        <v>5143</v>
      </c>
      <c r="D1000" s="47"/>
      <c r="E1000" s="22" t="s">
        <v>5170</v>
      </c>
      <c r="F1000" s="22" t="s">
        <v>1386</v>
      </c>
      <c r="G1000" s="23">
        <v>2021.0</v>
      </c>
      <c r="H1000" s="22" t="s">
        <v>3347</v>
      </c>
      <c r="I1000" s="24" t="s">
        <v>5171</v>
      </c>
      <c r="J1000" s="22" t="s">
        <v>31</v>
      </c>
      <c r="K1000" s="22"/>
      <c r="L1000" s="36">
        <v>660.0</v>
      </c>
      <c r="M1000" s="36"/>
      <c r="N1000" s="36"/>
      <c r="O1000" s="36"/>
      <c r="P1000" s="37" t="s">
        <v>432</v>
      </c>
      <c r="Q1000" s="36"/>
      <c r="R1000" s="129"/>
      <c r="S1000" s="36"/>
      <c r="T1000" s="42" t="s">
        <v>5172</v>
      </c>
      <c r="U1000" s="29" t="s">
        <v>61</v>
      </c>
      <c r="V1000" s="30"/>
      <c r="W1000" s="49"/>
      <c r="X1000" s="49"/>
      <c r="Y1000" s="35"/>
      <c r="Z1000" s="35"/>
      <c r="AA1000" s="35"/>
      <c r="AB1000" s="35"/>
      <c r="AC1000" s="35"/>
      <c r="AD1000" s="35"/>
      <c r="AE1000" s="35"/>
      <c r="AF1000" s="35"/>
      <c r="AG1000" s="35"/>
      <c r="AH1000" s="35"/>
      <c r="AI1000" s="35"/>
      <c r="AJ1000" s="35"/>
      <c r="AK1000" s="35"/>
      <c r="AL1000" s="35"/>
    </row>
    <row r="1001">
      <c r="A1001" s="1"/>
      <c r="B1001" s="19" t="s">
        <v>2392</v>
      </c>
      <c r="C1001" s="20" t="s">
        <v>5143</v>
      </c>
      <c r="D1001" s="47"/>
      <c r="E1001" s="22" t="s">
        <v>5173</v>
      </c>
      <c r="F1001" s="22" t="s">
        <v>1789</v>
      </c>
      <c r="G1001" s="23">
        <v>2019.0</v>
      </c>
      <c r="H1001" s="22" t="s">
        <v>2181</v>
      </c>
      <c r="I1001" s="24" t="s">
        <v>5174</v>
      </c>
      <c r="J1001" s="22" t="s">
        <v>31</v>
      </c>
      <c r="K1001" s="22"/>
      <c r="L1001" s="36">
        <v>940.0</v>
      </c>
      <c r="M1001" s="36">
        <v>500.0</v>
      </c>
      <c r="N1001" s="36"/>
      <c r="O1001" s="36"/>
      <c r="P1001" s="37" t="s">
        <v>254</v>
      </c>
      <c r="Q1001" s="36"/>
      <c r="R1001" s="129">
        <v>43536.0</v>
      </c>
      <c r="S1001" s="36"/>
      <c r="T1001" s="28" t="s">
        <v>5175</v>
      </c>
      <c r="U1001" s="38" t="str">
        <f>HYPERLINK("https://www.ncbi.nlm.nih.gov/pubmed/31427686","PubMed")</f>
        <v>PubMed</v>
      </c>
      <c r="V1001" s="30"/>
      <c r="W1001" s="49"/>
      <c r="X1001" s="49"/>
      <c r="Y1001" s="35"/>
      <c r="Z1001" s="35"/>
      <c r="AA1001" s="35"/>
      <c r="AB1001" s="35"/>
      <c r="AC1001" s="35"/>
      <c r="AD1001" s="35"/>
      <c r="AE1001" s="35"/>
      <c r="AF1001" s="35"/>
      <c r="AG1001" s="35"/>
      <c r="AH1001" s="35"/>
      <c r="AI1001" s="35"/>
      <c r="AJ1001" s="35"/>
      <c r="AK1001" s="35"/>
      <c r="AL1001" s="35"/>
    </row>
    <row r="1002">
      <c r="A1002" s="1"/>
      <c r="B1002" s="19" t="s">
        <v>2392</v>
      </c>
      <c r="C1002" s="20" t="s">
        <v>5143</v>
      </c>
      <c r="D1002" s="47"/>
      <c r="E1002" s="22" t="s">
        <v>5176</v>
      </c>
      <c r="F1002" s="22" t="s">
        <v>41</v>
      </c>
      <c r="G1002" s="23">
        <v>2019.0</v>
      </c>
      <c r="H1002" s="22" t="s">
        <v>91</v>
      </c>
      <c r="I1002" s="24" t="s">
        <v>5177</v>
      </c>
      <c r="J1002" s="22" t="s">
        <v>31</v>
      </c>
      <c r="K1002" s="22" t="s">
        <v>5178</v>
      </c>
      <c r="L1002" s="36" t="s">
        <v>5179</v>
      </c>
      <c r="M1002" s="36"/>
      <c r="N1002" s="36"/>
      <c r="O1002" s="36"/>
      <c r="P1002" s="37"/>
      <c r="Q1002" s="36"/>
      <c r="R1002" s="36"/>
      <c r="S1002" s="36"/>
      <c r="T1002" s="28" t="s">
        <v>5180</v>
      </c>
      <c r="U1002" s="38" t="str">
        <f>HYPERLINK("https://www.ncbi.nlm.nih.gov/pubmed/31410615","PubMed")</f>
        <v>PubMed</v>
      </c>
      <c r="V1002" s="30"/>
      <c r="W1002" s="49"/>
      <c r="X1002" s="49"/>
      <c r="Y1002" s="35"/>
      <c r="Z1002" s="35"/>
      <c r="AA1002" s="35"/>
      <c r="AB1002" s="35"/>
      <c r="AC1002" s="35"/>
      <c r="AD1002" s="35"/>
      <c r="AE1002" s="35"/>
      <c r="AF1002" s="35"/>
      <c r="AG1002" s="35"/>
      <c r="AH1002" s="35"/>
      <c r="AI1002" s="35"/>
      <c r="AJ1002" s="35"/>
      <c r="AK1002" s="35"/>
      <c r="AL1002" s="35"/>
    </row>
    <row r="1003">
      <c r="A1003" s="1"/>
      <c r="B1003" s="19" t="s">
        <v>2392</v>
      </c>
      <c r="C1003" s="20" t="s">
        <v>5143</v>
      </c>
      <c r="D1003" s="47"/>
      <c r="E1003" s="22" t="s">
        <v>5181</v>
      </c>
      <c r="F1003" s="22" t="s">
        <v>4711</v>
      </c>
      <c r="G1003" s="23">
        <v>2019.0</v>
      </c>
      <c r="H1003" s="22" t="s">
        <v>77</v>
      </c>
      <c r="I1003" s="24" t="s">
        <v>5182</v>
      </c>
      <c r="J1003" s="22" t="s">
        <v>31</v>
      </c>
      <c r="K1003" s="22" t="s">
        <v>5183</v>
      </c>
      <c r="L1003" s="36">
        <v>940.0</v>
      </c>
      <c r="M1003" s="36"/>
      <c r="N1003" s="36"/>
      <c r="O1003" s="36"/>
      <c r="P1003" s="37"/>
      <c r="Q1003" s="36"/>
      <c r="R1003" s="36"/>
      <c r="S1003" s="36"/>
      <c r="T1003" s="42" t="s">
        <v>5184</v>
      </c>
      <c r="U1003" s="38" t="str">
        <f>HYPERLINK("https://www.ncbi.nlm.nih.gov/pubmed/31390315","PubMed")</f>
        <v>PubMed</v>
      </c>
      <c r="V1003" s="30"/>
      <c r="W1003" s="49"/>
      <c r="X1003" s="49"/>
      <c r="Y1003" s="35"/>
      <c r="Z1003" s="35"/>
      <c r="AA1003" s="35"/>
      <c r="AB1003" s="35"/>
      <c r="AC1003" s="35"/>
      <c r="AD1003" s="35"/>
      <c r="AE1003" s="35"/>
      <c r="AF1003" s="35"/>
      <c r="AG1003" s="35"/>
      <c r="AH1003" s="35"/>
      <c r="AI1003" s="35"/>
      <c r="AJ1003" s="35"/>
      <c r="AK1003" s="35"/>
      <c r="AL1003" s="35"/>
    </row>
    <row r="1004">
      <c r="A1004" s="1"/>
      <c r="B1004" s="19" t="s">
        <v>2392</v>
      </c>
      <c r="C1004" s="20" t="s">
        <v>5143</v>
      </c>
      <c r="D1004" s="47"/>
      <c r="E1004" s="22" t="s">
        <v>5185</v>
      </c>
      <c r="F1004" s="22" t="s">
        <v>1203</v>
      </c>
      <c r="G1004" s="23">
        <v>2019.0</v>
      </c>
      <c r="H1004" s="22" t="s">
        <v>116</v>
      </c>
      <c r="I1004" s="24" t="s">
        <v>5186</v>
      </c>
      <c r="J1004" s="22" t="s">
        <v>31</v>
      </c>
      <c r="K1004" s="22" t="s">
        <v>5187</v>
      </c>
      <c r="L1004" s="36">
        <v>660.0</v>
      </c>
      <c r="M1004" s="36">
        <v>35.0</v>
      </c>
      <c r="N1004" s="36"/>
      <c r="O1004" s="36"/>
      <c r="P1004" s="37" t="s">
        <v>254</v>
      </c>
      <c r="Q1004" s="36"/>
      <c r="R1004" s="36">
        <v>14.0</v>
      </c>
      <c r="S1004" s="36"/>
      <c r="T1004" s="42" t="s">
        <v>5188</v>
      </c>
      <c r="U1004" s="38" t="str">
        <f>HYPERLINK("https://www.ncbi.nlm.nih.gov/pubmed/31343815","PubMed")</f>
        <v>PubMed</v>
      </c>
      <c r="V1004" s="30"/>
      <c r="W1004" s="49"/>
      <c r="X1004" s="49"/>
      <c r="Y1004" s="35"/>
      <c r="Z1004" s="35"/>
      <c r="AA1004" s="35"/>
      <c r="AB1004" s="35"/>
      <c r="AC1004" s="35"/>
      <c r="AD1004" s="35"/>
      <c r="AE1004" s="35"/>
      <c r="AF1004" s="35"/>
      <c r="AG1004" s="35"/>
      <c r="AH1004" s="35"/>
      <c r="AI1004" s="35"/>
      <c r="AJ1004" s="35"/>
      <c r="AK1004" s="35"/>
      <c r="AL1004" s="35"/>
    </row>
    <row r="1005">
      <c r="A1005" s="1"/>
      <c r="B1005" s="19" t="s">
        <v>2392</v>
      </c>
      <c r="C1005" s="20" t="s">
        <v>5143</v>
      </c>
      <c r="D1005" s="47"/>
      <c r="E1005" s="22" t="s">
        <v>5185</v>
      </c>
      <c r="F1005" s="22" t="s">
        <v>1203</v>
      </c>
      <c r="G1005" s="23">
        <v>2019.0</v>
      </c>
      <c r="H1005" s="22" t="s">
        <v>91</v>
      </c>
      <c r="I1005" s="24" t="s">
        <v>5189</v>
      </c>
      <c r="J1005" s="22" t="s">
        <v>31</v>
      </c>
      <c r="K1005" s="22"/>
      <c r="L1005" s="36">
        <v>660.0</v>
      </c>
      <c r="M1005" s="36"/>
      <c r="N1005" s="36"/>
      <c r="O1005" s="36"/>
      <c r="P1005" s="37" t="s">
        <v>5190</v>
      </c>
      <c r="Q1005" s="36"/>
      <c r="R1005" s="36"/>
      <c r="S1005" s="36"/>
      <c r="T1005" s="28" t="s">
        <v>5191</v>
      </c>
      <c r="U1005" s="38" t="str">
        <f>HYPERLINK("https://www.ncbi.nlm.nih.gov/pubmed/30712124","PubMed")</f>
        <v>PubMed</v>
      </c>
      <c r="V1005" s="30"/>
      <c r="W1005" s="49"/>
      <c r="X1005" s="49"/>
      <c r="Y1005" s="35"/>
      <c r="Z1005" s="35"/>
      <c r="AA1005" s="35"/>
      <c r="AB1005" s="35"/>
      <c r="AC1005" s="35"/>
      <c r="AD1005" s="35"/>
      <c r="AE1005" s="35"/>
      <c r="AF1005" s="35"/>
      <c r="AG1005" s="35"/>
      <c r="AH1005" s="35"/>
      <c r="AI1005" s="35"/>
      <c r="AJ1005" s="35"/>
      <c r="AK1005" s="35"/>
      <c r="AL1005" s="35"/>
    </row>
    <row r="1006">
      <c r="A1006" s="1"/>
      <c r="B1006" s="19" t="s">
        <v>2392</v>
      </c>
      <c r="C1006" s="20" t="s">
        <v>5143</v>
      </c>
      <c r="D1006" s="47"/>
      <c r="E1006" s="22" t="s">
        <v>4595</v>
      </c>
      <c r="F1006" s="22" t="s">
        <v>5192</v>
      </c>
      <c r="G1006" s="23">
        <v>2019.0</v>
      </c>
      <c r="H1006" s="22" t="s">
        <v>42</v>
      </c>
      <c r="I1006" s="24" t="s">
        <v>5193</v>
      </c>
      <c r="J1006" s="22" t="s">
        <v>31</v>
      </c>
      <c r="K1006" s="22" t="s">
        <v>157</v>
      </c>
      <c r="L1006" s="36">
        <v>660.0</v>
      </c>
      <c r="M1006" s="36">
        <v>50.0</v>
      </c>
      <c r="N1006" s="36" t="s">
        <v>3911</v>
      </c>
      <c r="O1006" s="36"/>
      <c r="P1006" s="37"/>
      <c r="Q1006" s="36"/>
      <c r="R1006" s="36" t="s">
        <v>5194</v>
      </c>
      <c r="S1006" s="36"/>
      <c r="T1006" s="28" t="s">
        <v>5195</v>
      </c>
      <c r="U1006" s="38" t="str">
        <f>HYPERLINK("https://www.ncbi.nlm.nih.gov/pubmed/31066512","PubMed")</f>
        <v>PubMed</v>
      </c>
      <c r="V1006" s="30"/>
      <c r="W1006" s="49"/>
      <c r="X1006" s="49"/>
      <c r="Y1006" s="35"/>
      <c r="Z1006" s="35"/>
      <c r="AA1006" s="35"/>
      <c r="AB1006" s="35"/>
      <c r="AC1006" s="35"/>
      <c r="AD1006" s="35"/>
      <c r="AE1006" s="35"/>
      <c r="AF1006" s="35"/>
      <c r="AG1006" s="35"/>
      <c r="AH1006" s="35"/>
      <c r="AI1006" s="35"/>
      <c r="AJ1006" s="35"/>
      <c r="AK1006" s="35"/>
      <c r="AL1006" s="35"/>
    </row>
    <row r="1007">
      <c r="A1007" s="1"/>
      <c r="B1007" s="19" t="s">
        <v>2392</v>
      </c>
      <c r="C1007" s="20" t="s">
        <v>5143</v>
      </c>
      <c r="D1007" s="47"/>
      <c r="E1007" s="22" t="s">
        <v>5196</v>
      </c>
      <c r="F1007" s="22" t="s">
        <v>5197</v>
      </c>
      <c r="G1007" s="23">
        <v>2018.0</v>
      </c>
      <c r="H1007" s="22" t="s">
        <v>91</v>
      </c>
      <c r="I1007" s="24" t="s">
        <v>5198</v>
      </c>
      <c r="J1007" s="22" t="s">
        <v>31</v>
      </c>
      <c r="K1007" s="22" t="s">
        <v>5199</v>
      </c>
      <c r="L1007" s="36">
        <v>800.0</v>
      </c>
      <c r="M1007" s="36"/>
      <c r="N1007" s="36" t="s">
        <v>3587</v>
      </c>
      <c r="O1007" s="36"/>
      <c r="P1007" s="37"/>
      <c r="Q1007" s="36"/>
      <c r="R1007" s="36">
        <v>360.0</v>
      </c>
      <c r="S1007" s="36">
        <v>6.0</v>
      </c>
      <c r="T1007" s="28" t="s">
        <v>5200</v>
      </c>
      <c r="U1007" s="38" t="str">
        <f>HYPERLINK("https://www.ncbi.nlm.nih.gov/pubmed/29192340","PubMed")</f>
        <v>PubMed</v>
      </c>
      <c r="V1007" s="30"/>
      <c r="W1007" s="49"/>
      <c r="X1007" s="49"/>
      <c r="Y1007" s="35"/>
      <c r="Z1007" s="35"/>
      <c r="AA1007" s="35"/>
      <c r="AB1007" s="35"/>
      <c r="AC1007" s="35"/>
      <c r="AD1007" s="35"/>
      <c r="AE1007" s="35"/>
      <c r="AF1007" s="35"/>
      <c r="AG1007" s="35"/>
      <c r="AH1007" s="35"/>
      <c r="AI1007" s="35"/>
      <c r="AJ1007" s="35"/>
      <c r="AK1007" s="35"/>
      <c r="AL1007" s="35"/>
    </row>
    <row r="1008">
      <c r="A1008" s="1"/>
      <c r="B1008" s="19" t="s">
        <v>2392</v>
      </c>
      <c r="C1008" s="20" t="s">
        <v>5143</v>
      </c>
      <c r="D1008" s="47"/>
      <c r="E1008" s="22" t="s">
        <v>5201</v>
      </c>
      <c r="F1008" s="22" t="s">
        <v>1386</v>
      </c>
      <c r="G1008" s="23">
        <v>2018.0</v>
      </c>
      <c r="H1008" s="22" t="s">
        <v>91</v>
      </c>
      <c r="I1008" s="24" t="s">
        <v>5202</v>
      </c>
      <c r="J1008" s="22" t="s">
        <v>31</v>
      </c>
      <c r="K1008" s="22"/>
      <c r="L1008" s="36">
        <v>660.0</v>
      </c>
      <c r="M1008" s="36"/>
      <c r="N1008" s="36" t="s">
        <v>5203</v>
      </c>
      <c r="O1008" s="36"/>
      <c r="P1008" s="37" t="s">
        <v>432</v>
      </c>
      <c r="Q1008" s="36" t="s">
        <v>5204</v>
      </c>
      <c r="R1008" s="36"/>
      <c r="S1008" s="36"/>
      <c r="T1008" s="28" t="s">
        <v>5205</v>
      </c>
      <c r="U1008" s="215"/>
      <c r="V1008" s="30"/>
      <c r="W1008" s="49"/>
      <c r="X1008" s="49"/>
      <c r="Y1008" s="35"/>
      <c r="Z1008" s="35"/>
      <c r="AA1008" s="35"/>
      <c r="AB1008" s="35"/>
      <c r="AC1008" s="35"/>
      <c r="AD1008" s="35"/>
      <c r="AE1008" s="35"/>
      <c r="AF1008" s="35"/>
      <c r="AG1008" s="35"/>
      <c r="AH1008" s="35"/>
      <c r="AI1008" s="35"/>
      <c r="AJ1008" s="35"/>
      <c r="AK1008" s="35"/>
      <c r="AL1008" s="35"/>
    </row>
    <row r="1009">
      <c r="A1009" s="1"/>
      <c r="B1009" s="19" t="s">
        <v>2392</v>
      </c>
      <c r="C1009" s="20" t="s">
        <v>5143</v>
      </c>
      <c r="D1009" s="47"/>
      <c r="E1009" s="22" t="s">
        <v>5206</v>
      </c>
      <c r="F1009" s="22" t="s">
        <v>5207</v>
      </c>
      <c r="G1009" s="23">
        <v>2015.0</v>
      </c>
      <c r="H1009" s="22" t="s">
        <v>91</v>
      </c>
      <c r="I1009" s="24" t="s">
        <v>5208</v>
      </c>
      <c r="J1009" s="22" t="s">
        <v>31</v>
      </c>
      <c r="K1009" s="22"/>
      <c r="L1009" s="36">
        <v>904.0</v>
      </c>
      <c r="M1009" s="36"/>
      <c r="N1009" s="36"/>
      <c r="O1009" s="36"/>
      <c r="P1009" s="37" t="s">
        <v>5209</v>
      </c>
      <c r="Q1009" s="36"/>
      <c r="R1009" s="36"/>
      <c r="S1009" s="36"/>
      <c r="T1009" s="28" t="s">
        <v>5210</v>
      </c>
      <c r="U1009" s="38" t="str">
        <f>HYPERLINK("https://www.ncbi.nlm.nih.gov/pubmed/25171833","PubMed")</f>
        <v>PubMed</v>
      </c>
      <c r="V1009" s="30"/>
      <c r="W1009" s="49"/>
      <c r="X1009" s="49"/>
      <c r="Y1009" s="35"/>
      <c r="Z1009" s="35"/>
      <c r="AA1009" s="35"/>
      <c r="AB1009" s="35"/>
      <c r="AC1009" s="35"/>
      <c r="AD1009" s="35"/>
      <c r="AE1009" s="35"/>
      <c r="AF1009" s="35"/>
      <c r="AG1009" s="35"/>
      <c r="AH1009" s="35"/>
      <c r="AI1009" s="35"/>
      <c r="AJ1009" s="35"/>
      <c r="AK1009" s="35"/>
      <c r="AL1009" s="35"/>
    </row>
    <row r="1010">
      <c r="A1010" s="1"/>
      <c r="B1010" s="19" t="s">
        <v>2392</v>
      </c>
      <c r="C1010" s="20" t="s">
        <v>5143</v>
      </c>
      <c r="D1010" s="47"/>
      <c r="E1010" s="22" t="s">
        <v>5201</v>
      </c>
      <c r="F1010" s="22" t="s">
        <v>1386</v>
      </c>
      <c r="G1010" s="23">
        <v>2012.0</v>
      </c>
      <c r="H1010" s="22" t="s">
        <v>5211</v>
      </c>
      <c r="I1010" s="24" t="s">
        <v>5212</v>
      </c>
      <c r="J1010" s="22" t="s">
        <v>31</v>
      </c>
      <c r="K1010" s="22"/>
      <c r="L1010" s="36">
        <v>660.0</v>
      </c>
      <c r="M1010" s="36"/>
      <c r="N1010" s="36"/>
      <c r="O1010" s="36"/>
      <c r="P1010" s="37" t="s">
        <v>432</v>
      </c>
      <c r="Q1010" s="36"/>
      <c r="R1010" s="36"/>
      <c r="S1010" s="36"/>
      <c r="T1010" s="28" t="s">
        <v>5213</v>
      </c>
      <c r="U1010" s="38" t="str">
        <f>HYPERLINK("https://www.ncbi.nlm.nih.gov/pubmed/23057714","PubMed")</f>
        <v>PubMed</v>
      </c>
      <c r="V1010" s="30"/>
      <c r="W1010" s="49"/>
      <c r="X1010" s="49"/>
      <c r="Y1010" s="35"/>
      <c r="Z1010" s="35"/>
      <c r="AA1010" s="35"/>
      <c r="AB1010" s="35"/>
      <c r="AC1010" s="35"/>
      <c r="AD1010" s="35"/>
      <c r="AE1010" s="35"/>
      <c r="AF1010" s="35"/>
      <c r="AG1010" s="35"/>
      <c r="AH1010" s="35"/>
      <c r="AI1010" s="35"/>
      <c r="AJ1010" s="35"/>
      <c r="AK1010" s="35"/>
      <c r="AL1010" s="35"/>
    </row>
    <row r="1011">
      <c r="A1011" s="1"/>
      <c r="B1011" s="19" t="s">
        <v>2392</v>
      </c>
      <c r="C1011" s="20" t="s">
        <v>5143</v>
      </c>
      <c r="D1011" s="47"/>
      <c r="E1011" s="22" t="s">
        <v>5214</v>
      </c>
      <c r="F1011" s="22" t="s">
        <v>2196</v>
      </c>
      <c r="G1011" s="23">
        <v>2011.0</v>
      </c>
      <c r="H1011" s="22" t="s">
        <v>5215</v>
      </c>
      <c r="I1011" s="24" t="s">
        <v>5216</v>
      </c>
      <c r="J1011" s="22" t="s">
        <v>31</v>
      </c>
      <c r="K1011" s="22" t="s">
        <v>294</v>
      </c>
      <c r="L1011" s="36" t="s">
        <v>5217</v>
      </c>
      <c r="M1011" s="36"/>
      <c r="N1011" s="36"/>
      <c r="O1011" s="36"/>
      <c r="P1011" s="37"/>
      <c r="Q1011" s="36"/>
      <c r="R1011" s="36"/>
      <c r="S1011" s="36"/>
      <c r="T1011" s="28" t="s">
        <v>5218</v>
      </c>
      <c r="U1011" s="38" t="str">
        <f>HYPERLINK("https://www.ncbi.nlm.nih.gov/pubmed/21457156","PubMed")</f>
        <v>PubMed</v>
      </c>
      <c r="V1011" s="30"/>
      <c r="W1011" s="49"/>
      <c r="X1011" s="49"/>
      <c r="Y1011" s="35"/>
      <c r="Z1011" s="35"/>
      <c r="AA1011" s="35"/>
      <c r="AB1011" s="35"/>
      <c r="AC1011" s="35"/>
      <c r="AD1011" s="35"/>
      <c r="AE1011" s="35"/>
      <c r="AF1011" s="35"/>
      <c r="AG1011" s="35"/>
      <c r="AH1011" s="35"/>
      <c r="AI1011" s="35"/>
      <c r="AJ1011" s="35"/>
      <c r="AK1011" s="35"/>
      <c r="AL1011" s="35"/>
    </row>
    <row r="1012">
      <c r="A1012" s="1"/>
      <c r="B1012" s="19" t="s">
        <v>2392</v>
      </c>
      <c r="C1012" s="20" t="s">
        <v>5143</v>
      </c>
      <c r="D1012" s="47"/>
      <c r="E1012" s="22" t="s">
        <v>223</v>
      </c>
      <c r="F1012" s="22" t="s">
        <v>5219</v>
      </c>
      <c r="G1012" s="23">
        <v>2007.0</v>
      </c>
      <c r="H1012" s="22" t="s">
        <v>658</v>
      </c>
      <c r="I1012" s="24" t="s">
        <v>5220</v>
      </c>
      <c r="J1012" s="22" t="s">
        <v>31</v>
      </c>
      <c r="K1012" s="22" t="s">
        <v>157</v>
      </c>
      <c r="L1012" s="36">
        <v>630.0</v>
      </c>
      <c r="M1012" s="36"/>
      <c r="N1012" s="36"/>
      <c r="O1012" s="36"/>
      <c r="P1012" s="37"/>
      <c r="Q1012" s="36"/>
      <c r="R1012" s="36"/>
      <c r="S1012" s="36"/>
      <c r="T1012" s="28" t="s">
        <v>5221</v>
      </c>
      <c r="U1012" s="38" t="str">
        <f>HYPERLINK("https://www.ncbi.nlm.nih.gov/pubmed/17603859","PubMed")</f>
        <v>PubMed</v>
      </c>
      <c r="V1012" s="30"/>
      <c r="W1012" s="49"/>
      <c r="X1012" s="49"/>
      <c r="Y1012" s="35"/>
      <c r="Z1012" s="35"/>
      <c r="AA1012" s="35"/>
      <c r="AB1012" s="35"/>
      <c r="AC1012" s="35"/>
      <c r="AD1012" s="35"/>
      <c r="AE1012" s="35"/>
      <c r="AF1012" s="35"/>
      <c r="AG1012" s="35"/>
      <c r="AH1012" s="35"/>
      <c r="AI1012" s="35"/>
      <c r="AJ1012" s="35"/>
      <c r="AK1012" s="35"/>
      <c r="AL1012" s="35"/>
    </row>
    <row r="1013">
      <c r="A1013" s="1"/>
      <c r="B1013" s="19" t="s">
        <v>2392</v>
      </c>
      <c r="C1013" s="20" t="s">
        <v>5143</v>
      </c>
      <c r="D1013" s="47"/>
      <c r="E1013" s="22" t="s">
        <v>5222</v>
      </c>
      <c r="F1013" s="22" t="s">
        <v>5223</v>
      </c>
      <c r="G1013" s="23">
        <v>1995.0</v>
      </c>
      <c r="H1013" s="22" t="s">
        <v>292</v>
      </c>
      <c r="I1013" s="24" t="s">
        <v>5224</v>
      </c>
      <c r="J1013" s="22" t="s">
        <v>31</v>
      </c>
      <c r="K1013" s="22" t="s">
        <v>1240</v>
      </c>
      <c r="L1013" s="36">
        <v>860.0</v>
      </c>
      <c r="M1013" s="36"/>
      <c r="N1013" s="36"/>
      <c r="O1013" s="36"/>
      <c r="P1013" s="37"/>
      <c r="Q1013" s="36"/>
      <c r="R1013" s="36"/>
      <c r="S1013" s="36"/>
      <c r="T1013" s="28" t="s">
        <v>5225</v>
      </c>
      <c r="U1013" s="38" t="str">
        <f>HYPERLINK("https://www.jstage.jst.go.jp/article/islsm/7/2/7_95-OR-07/_article/-char/en","J-STAGE")</f>
        <v>J-STAGE</v>
      </c>
      <c r="V1013" s="30"/>
      <c r="W1013" s="49"/>
      <c r="X1013" s="49"/>
      <c r="Y1013" s="35"/>
      <c r="Z1013" s="35"/>
      <c r="AA1013" s="35"/>
      <c r="AB1013" s="35"/>
      <c r="AC1013" s="35"/>
      <c r="AD1013" s="35"/>
      <c r="AE1013" s="35"/>
      <c r="AF1013" s="35"/>
      <c r="AG1013" s="35"/>
      <c r="AH1013" s="35"/>
      <c r="AI1013" s="35"/>
      <c r="AJ1013" s="35"/>
      <c r="AK1013" s="35"/>
      <c r="AL1013" s="35"/>
    </row>
    <row r="1014">
      <c r="A1014" s="1"/>
      <c r="B1014" s="19" t="s">
        <v>2392</v>
      </c>
      <c r="C1014" s="20" t="s">
        <v>5143</v>
      </c>
      <c r="D1014" s="47"/>
      <c r="E1014" s="22" t="s">
        <v>5226</v>
      </c>
      <c r="F1014" s="22" t="s">
        <v>5227</v>
      </c>
      <c r="G1014" s="23">
        <v>1994.0</v>
      </c>
      <c r="H1014" s="22" t="s">
        <v>4975</v>
      </c>
      <c r="I1014" s="24" t="s">
        <v>5228</v>
      </c>
      <c r="J1014" s="22" t="s">
        <v>31</v>
      </c>
      <c r="K1014" s="22" t="s">
        <v>5229</v>
      </c>
      <c r="L1014" s="36">
        <v>660.0</v>
      </c>
      <c r="M1014" s="36"/>
      <c r="N1014" s="36"/>
      <c r="O1014" s="36"/>
      <c r="P1014" s="37"/>
      <c r="Q1014" s="36"/>
      <c r="R1014" s="36"/>
      <c r="S1014" s="36"/>
      <c r="T1014" s="28" t="s">
        <v>5230</v>
      </c>
      <c r="U1014" s="38" t="str">
        <f>HYPERLINK("https://www.ncbi.nlm.nih.gov/pubmed/8165235","PubMed")</f>
        <v>PubMed</v>
      </c>
      <c r="V1014" s="30"/>
      <c r="W1014" s="49"/>
      <c r="X1014" s="49"/>
      <c r="Y1014" s="35"/>
      <c r="Z1014" s="35"/>
      <c r="AA1014" s="35"/>
      <c r="AB1014" s="35"/>
      <c r="AC1014" s="35"/>
      <c r="AD1014" s="35"/>
      <c r="AE1014" s="35"/>
      <c r="AF1014" s="35"/>
      <c r="AG1014" s="35"/>
      <c r="AH1014" s="35"/>
      <c r="AI1014" s="35"/>
      <c r="AJ1014" s="35"/>
      <c r="AK1014" s="35"/>
      <c r="AL1014" s="35"/>
    </row>
    <row r="1015">
      <c r="A1015" s="1"/>
      <c r="B1015" s="19" t="s">
        <v>2392</v>
      </c>
      <c r="C1015" s="20" t="s">
        <v>5143</v>
      </c>
      <c r="D1015" s="47"/>
      <c r="E1015" s="22" t="s">
        <v>5231</v>
      </c>
      <c r="F1015" s="22" t="s">
        <v>5232</v>
      </c>
      <c r="G1015" s="23">
        <v>1992.0</v>
      </c>
      <c r="H1015" s="22" t="s">
        <v>91</v>
      </c>
      <c r="I1015" s="24" t="s">
        <v>5233</v>
      </c>
      <c r="J1015" s="22" t="s">
        <v>31</v>
      </c>
      <c r="K1015" s="22"/>
      <c r="L1015" s="36" t="s">
        <v>5234</v>
      </c>
      <c r="M1015" s="36"/>
      <c r="N1015" s="36"/>
      <c r="O1015" s="36"/>
      <c r="P1015" s="37" t="s">
        <v>5235</v>
      </c>
      <c r="Q1015" s="36"/>
      <c r="R1015" s="36"/>
      <c r="S1015" s="36"/>
      <c r="T1015" s="41" t="s">
        <v>5236</v>
      </c>
      <c r="U1015" s="38" t="str">
        <f>HYPERLINK("https://link.springer.com/article/10.1007/BF02594053","Springer")</f>
        <v>Springer</v>
      </c>
      <c r="V1015" s="30"/>
      <c r="W1015" s="49"/>
      <c r="X1015" s="49"/>
      <c r="Y1015" s="35"/>
      <c r="Z1015" s="35"/>
      <c r="AA1015" s="35"/>
      <c r="AB1015" s="35"/>
      <c r="AC1015" s="35"/>
      <c r="AD1015" s="35"/>
      <c r="AE1015" s="35"/>
      <c r="AF1015" s="35"/>
      <c r="AG1015" s="35"/>
      <c r="AH1015" s="35"/>
      <c r="AI1015" s="35"/>
      <c r="AJ1015" s="35"/>
      <c r="AK1015" s="35"/>
      <c r="AL1015" s="35"/>
    </row>
    <row r="1016">
      <c r="A1016" s="1"/>
      <c r="B1016" s="19" t="s">
        <v>2392</v>
      </c>
      <c r="C1016" s="20" t="s">
        <v>5143</v>
      </c>
      <c r="D1016" s="47"/>
      <c r="E1016" s="22" t="s">
        <v>5237</v>
      </c>
      <c r="F1016" s="22" t="s">
        <v>5238</v>
      </c>
      <c r="G1016" s="23">
        <v>1990.0</v>
      </c>
      <c r="H1016" s="22" t="s">
        <v>5239</v>
      </c>
      <c r="I1016" s="24" t="s">
        <v>5240</v>
      </c>
      <c r="J1016" s="22" t="s">
        <v>31</v>
      </c>
      <c r="K1016" s="22"/>
      <c r="L1016" s="36">
        <v>633.0</v>
      </c>
      <c r="M1016" s="36"/>
      <c r="N1016" s="36"/>
      <c r="O1016" s="36"/>
      <c r="P1016" s="37"/>
      <c r="Q1016" s="36"/>
      <c r="R1016" s="36"/>
      <c r="S1016" s="36"/>
      <c r="T1016" s="28" t="s">
        <v>5241</v>
      </c>
      <c r="U1016" s="38" t="str">
        <f>HYPERLINK("https://www.ncbi.nlm.nih.gov/pubmed/2372040","PubMed")</f>
        <v>PubMed</v>
      </c>
      <c r="V1016" s="30"/>
      <c r="W1016" s="49"/>
      <c r="X1016" s="49"/>
      <c r="Y1016" s="35"/>
      <c r="Z1016" s="35"/>
      <c r="AA1016" s="35"/>
      <c r="AB1016" s="35"/>
      <c r="AC1016" s="35"/>
      <c r="AD1016" s="35"/>
      <c r="AE1016" s="35"/>
      <c r="AF1016" s="35"/>
      <c r="AG1016" s="35"/>
      <c r="AH1016" s="35"/>
      <c r="AI1016" s="35"/>
      <c r="AJ1016" s="35"/>
      <c r="AK1016" s="35"/>
      <c r="AL1016" s="35"/>
    </row>
    <row r="1017">
      <c r="A1017" s="1"/>
      <c r="B1017" s="19" t="s">
        <v>2392</v>
      </c>
      <c r="C1017" s="20" t="s">
        <v>5143</v>
      </c>
      <c r="D1017" s="47"/>
      <c r="E1017" s="22" t="s">
        <v>5242</v>
      </c>
      <c r="F1017" s="22"/>
      <c r="G1017" s="23">
        <v>1984.0</v>
      </c>
      <c r="H1017" s="22" t="s">
        <v>53</v>
      </c>
      <c r="I1017" s="24" t="s">
        <v>5243</v>
      </c>
      <c r="J1017" s="22" t="s">
        <v>31</v>
      </c>
      <c r="K1017" s="22"/>
      <c r="L1017" s="36">
        <v>1064.0</v>
      </c>
      <c r="M1017" s="36"/>
      <c r="N1017" s="36"/>
      <c r="O1017" s="36"/>
      <c r="P1017" s="37"/>
      <c r="Q1017" s="36"/>
      <c r="R1017" s="36"/>
      <c r="S1017" s="36"/>
      <c r="T1017" s="28" t="s">
        <v>5244</v>
      </c>
      <c r="U1017" s="38" t="str">
        <f>HYPERLINK("https://www.ncbi.nlm.nih.gov/pubmed/6727527","PubMed")</f>
        <v>PubMed</v>
      </c>
      <c r="V1017" s="30"/>
      <c r="W1017" s="49"/>
      <c r="X1017" s="49"/>
      <c r="Y1017" s="35"/>
      <c r="Z1017" s="35"/>
      <c r="AA1017" s="35"/>
      <c r="AB1017" s="35"/>
      <c r="AC1017" s="35"/>
      <c r="AD1017" s="35"/>
      <c r="AE1017" s="35"/>
      <c r="AF1017" s="35"/>
      <c r="AG1017" s="35"/>
      <c r="AH1017" s="35"/>
      <c r="AI1017" s="35"/>
      <c r="AJ1017" s="35"/>
      <c r="AK1017" s="35"/>
      <c r="AL1017" s="35"/>
    </row>
    <row r="1018">
      <c r="A1018" s="1"/>
      <c r="B1018" s="19" t="s">
        <v>2392</v>
      </c>
      <c r="C1018" s="20" t="s">
        <v>5143</v>
      </c>
      <c r="D1018" s="47"/>
      <c r="E1018" s="22" t="s">
        <v>5245</v>
      </c>
      <c r="F1018" s="22" t="s">
        <v>347</v>
      </c>
      <c r="G1018" s="23">
        <v>1984.0</v>
      </c>
      <c r="H1018" s="22" t="s">
        <v>5246</v>
      </c>
      <c r="I1018" s="24" t="s">
        <v>5247</v>
      </c>
      <c r="J1018" s="22" t="s">
        <v>5248</v>
      </c>
      <c r="K1018" s="22"/>
      <c r="L1018" s="36">
        <v>633.0</v>
      </c>
      <c r="M1018" s="36">
        <v>25.0</v>
      </c>
      <c r="N1018" s="36"/>
      <c r="O1018" s="36"/>
      <c r="P1018" s="37" t="s">
        <v>269</v>
      </c>
      <c r="Q1018" s="36" t="s">
        <v>675</v>
      </c>
      <c r="R1018" s="36"/>
      <c r="S1018" s="36"/>
      <c r="T1018" s="28" t="s">
        <v>5249</v>
      </c>
      <c r="U1018" s="38" t="str">
        <f>HYPERLINK("https://www.ncbi.nlm.nih.gov/pubmed/6724069","PubMed")</f>
        <v>PubMed</v>
      </c>
      <c r="V1018" s="30"/>
      <c r="W1018" s="49"/>
      <c r="X1018" s="49"/>
      <c r="Y1018" s="35"/>
      <c r="Z1018" s="35"/>
      <c r="AA1018" s="35"/>
      <c r="AB1018" s="35"/>
      <c r="AC1018" s="35"/>
      <c r="AD1018" s="35"/>
      <c r="AE1018" s="35"/>
      <c r="AF1018" s="35"/>
      <c r="AG1018" s="35"/>
      <c r="AH1018" s="35"/>
      <c r="AI1018" s="35"/>
      <c r="AJ1018" s="35"/>
      <c r="AK1018" s="35"/>
      <c r="AL1018" s="35"/>
    </row>
    <row r="1019">
      <c r="A1019" s="1"/>
      <c r="B1019" s="19" t="s">
        <v>2392</v>
      </c>
      <c r="C1019" s="20" t="s">
        <v>5250</v>
      </c>
      <c r="D1019" s="47"/>
      <c r="E1019" s="22" t="s">
        <v>493</v>
      </c>
      <c r="F1019" s="22" t="s">
        <v>1081</v>
      </c>
      <c r="G1019" s="23" t="s">
        <v>76</v>
      </c>
      <c r="H1019" s="22" t="s">
        <v>53</v>
      </c>
      <c r="I1019" s="24" t="s">
        <v>5251</v>
      </c>
      <c r="J1019" s="22" t="s">
        <v>31</v>
      </c>
      <c r="K1019" s="22" t="s">
        <v>5252</v>
      </c>
      <c r="L1019" s="36">
        <v>635.0</v>
      </c>
      <c r="M1019" s="36"/>
      <c r="N1019" s="36"/>
      <c r="O1019" s="36"/>
      <c r="P1019" s="37" t="s">
        <v>5253</v>
      </c>
      <c r="Q1019" s="36"/>
      <c r="R1019" s="36"/>
      <c r="S1019" s="36"/>
      <c r="T1019" s="42" t="s">
        <v>5254</v>
      </c>
      <c r="U1019" s="38" t="str">
        <f>HYPERLINK("https://www.ncbi.nlm.nih.gov/pubmed/31287175","PubMed")</f>
        <v>PubMed</v>
      </c>
      <c r="V1019" s="30"/>
      <c r="W1019" s="49"/>
      <c r="X1019" s="49"/>
      <c r="Y1019" s="35"/>
      <c r="Z1019" s="35"/>
      <c r="AA1019" s="35"/>
      <c r="AB1019" s="35"/>
      <c r="AC1019" s="35"/>
      <c r="AD1019" s="35"/>
      <c r="AE1019" s="35"/>
      <c r="AF1019" s="35"/>
      <c r="AG1019" s="35"/>
      <c r="AH1019" s="35"/>
      <c r="AI1019" s="35"/>
      <c r="AJ1019" s="35"/>
      <c r="AK1019" s="35"/>
      <c r="AL1019" s="35"/>
    </row>
    <row r="1020">
      <c r="A1020" s="1"/>
      <c r="B1020" s="19" t="s">
        <v>2392</v>
      </c>
      <c r="C1020" s="20" t="s">
        <v>5250</v>
      </c>
      <c r="D1020" s="47"/>
      <c r="E1020" s="22" t="s">
        <v>5255</v>
      </c>
      <c r="F1020" s="22" t="s">
        <v>494</v>
      </c>
      <c r="G1020" s="23">
        <v>2017.0</v>
      </c>
      <c r="H1020" s="22" t="s">
        <v>1627</v>
      </c>
      <c r="I1020" s="24" t="s">
        <v>5256</v>
      </c>
      <c r="J1020" s="22" t="s">
        <v>31</v>
      </c>
      <c r="K1020" s="22"/>
      <c r="L1020" s="36">
        <v>660.0</v>
      </c>
      <c r="M1020" s="36"/>
      <c r="N1020" s="36"/>
      <c r="O1020" s="36"/>
      <c r="P1020" s="37"/>
      <c r="Q1020" s="36"/>
      <c r="R1020" s="36"/>
      <c r="S1020" s="36"/>
      <c r="T1020" s="28" t="s">
        <v>5257</v>
      </c>
      <c r="U1020" s="29" t="s">
        <v>61</v>
      </c>
      <c r="V1020" s="30"/>
      <c r="W1020" s="49"/>
      <c r="X1020" s="49"/>
      <c r="Y1020" s="35"/>
      <c r="Z1020" s="35"/>
      <c r="AA1020" s="35"/>
      <c r="AB1020" s="35"/>
      <c r="AC1020" s="35"/>
      <c r="AD1020" s="35"/>
      <c r="AE1020" s="35"/>
      <c r="AF1020" s="35"/>
      <c r="AG1020" s="35"/>
      <c r="AH1020" s="35"/>
      <c r="AI1020" s="35"/>
      <c r="AJ1020" s="35"/>
      <c r="AK1020" s="35"/>
      <c r="AL1020" s="35"/>
    </row>
    <row r="1021">
      <c r="A1021" s="1"/>
      <c r="B1021" s="19" t="s">
        <v>2392</v>
      </c>
      <c r="C1021" s="20" t="s">
        <v>5250</v>
      </c>
      <c r="D1021" s="47"/>
      <c r="E1021" s="22" t="s">
        <v>5258</v>
      </c>
      <c r="F1021" s="22" t="s">
        <v>2705</v>
      </c>
      <c r="G1021" s="23">
        <v>2016.0</v>
      </c>
      <c r="H1021" s="22" t="s">
        <v>53</v>
      </c>
      <c r="I1021" s="24" t="s">
        <v>5259</v>
      </c>
      <c r="J1021" s="22" t="s">
        <v>31</v>
      </c>
      <c r="K1021" s="22" t="s">
        <v>5260</v>
      </c>
      <c r="L1021" s="36">
        <v>635.0</v>
      </c>
      <c r="M1021" s="36"/>
      <c r="N1021" s="36"/>
      <c r="O1021" s="36"/>
      <c r="P1021" s="37"/>
      <c r="Q1021" s="36"/>
      <c r="R1021" s="36"/>
      <c r="S1021" s="36"/>
      <c r="T1021" s="28" t="s">
        <v>5261</v>
      </c>
      <c r="U1021" s="38" t="str">
        <f>HYPERLINK("https://www.ncbi.nlm.nih.gov/pubmed/26660509","PubMed")</f>
        <v>PubMed</v>
      </c>
      <c r="V1021" s="30"/>
      <c r="W1021" s="49"/>
      <c r="X1021" s="49"/>
      <c r="Y1021" s="35"/>
      <c r="Z1021" s="35"/>
      <c r="AA1021" s="35"/>
      <c r="AB1021" s="35"/>
      <c r="AC1021" s="35"/>
      <c r="AD1021" s="35"/>
      <c r="AE1021" s="35"/>
      <c r="AF1021" s="35"/>
      <c r="AG1021" s="35"/>
      <c r="AH1021" s="35"/>
      <c r="AI1021" s="35"/>
      <c r="AJ1021" s="35"/>
      <c r="AK1021" s="35"/>
      <c r="AL1021" s="35"/>
    </row>
    <row r="1022">
      <c r="A1022" s="1"/>
      <c r="B1022" s="19" t="s">
        <v>2392</v>
      </c>
      <c r="C1022" s="20" t="s">
        <v>5262</v>
      </c>
      <c r="D1022" s="47"/>
      <c r="E1022" s="22" t="s">
        <v>5263</v>
      </c>
      <c r="F1022" s="22" t="s">
        <v>41</v>
      </c>
      <c r="G1022" s="23">
        <v>2009.0</v>
      </c>
      <c r="H1022" s="56" t="s">
        <v>91</v>
      </c>
      <c r="I1022" s="24" t="s">
        <v>5264</v>
      </c>
      <c r="J1022" s="22" t="s">
        <v>31</v>
      </c>
      <c r="K1022" s="22" t="s">
        <v>294</v>
      </c>
      <c r="L1022" s="36" t="s">
        <v>1750</v>
      </c>
      <c r="M1022" s="36">
        <v>40.0</v>
      </c>
      <c r="N1022" s="36"/>
      <c r="O1022" s="36"/>
      <c r="P1022" s="37" t="s">
        <v>5265</v>
      </c>
      <c r="Q1022" s="36" t="s">
        <v>5266</v>
      </c>
      <c r="R1022" s="36"/>
      <c r="S1022" s="36"/>
      <c r="T1022" s="28" t="s">
        <v>5267</v>
      </c>
      <c r="U1022" s="38" t="str">
        <f>HYPERLINK("https://www.ncbi.nlm.nih.gov/pubmed/18600291","PubMed")</f>
        <v>PubMed</v>
      </c>
      <c r="V1022" s="30"/>
      <c r="W1022" s="49"/>
      <c r="X1022" s="49"/>
      <c r="Y1022" s="35"/>
      <c r="Z1022" s="35"/>
      <c r="AA1022" s="35"/>
      <c r="AB1022" s="35"/>
      <c r="AC1022" s="35"/>
      <c r="AD1022" s="35"/>
      <c r="AE1022" s="35"/>
      <c r="AF1022" s="35"/>
      <c r="AG1022" s="35"/>
      <c r="AH1022" s="35"/>
      <c r="AI1022" s="35"/>
      <c r="AJ1022" s="35"/>
      <c r="AK1022" s="35"/>
      <c r="AL1022" s="35"/>
    </row>
    <row r="1023">
      <c r="A1023" s="89"/>
      <c r="B1023" s="19" t="s">
        <v>2392</v>
      </c>
      <c r="C1023" s="20" t="s">
        <v>5268</v>
      </c>
      <c r="D1023" s="47"/>
      <c r="E1023" s="56" t="s">
        <v>5269</v>
      </c>
      <c r="F1023" s="57" t="s">
        <v>5270</v>
      </c>
      <c r="G1023" s="57">
        <v>2002.0</v>
      </c>
      <c r="H1023" s="56" t="s">
        <v>5032</v>
      </c>
      <c r="I1023" s="58" t="s">
        <v>5271</v>
      </c>
      <c r="J1023" s="22" t="s">
        <v>31</v>
      </c>
      <c r="K1023" s="22" t="s">
        <v>5272</v>
      </c>
      <c r="L1023" s="36" t="s">
        <v>5273</v>
      </c>
      <c r="M1023" s="36"/>
      <c r="N1023" s="36"/>
      <c r="O1023" s="36"/>
      <c r="P1023" s="37"/>
      <c r="Q1023" s="36"/>
      <c r="R1023" s="36"/>
      <c r="S1023" s="36"/>
      <c r="T1023" s="63" t="s">
        <v>5274</v>
      </c>
      <c r="U1023" s="161" t="str">
        <f>HYPERLINK("https://www.ncbi.nlm.nih.gov/pubmed/12485435","PubMed")</f>
        <v>PubMed</v>
      </c>
      <c r="V1023" s="50"/>
      <c r="W1023" s="49"/>
      <c r="X1023" s="49"/>
      <c r="Y1023" s="35"/>
      <c r="Z1023" s="35"/>
      <c r="AA1023" s="35"/>
      <c r="AB1023" s="35"/>
      <c r="AC1023" s="35"/>
      <c r="AD1023" s="35"/>
      <c r="AE1023" s="35"/>
      <c r="AF1023" s="35"/>
      <c r="AG1023" s="35"/>
      <c r="AH1023" s="35"/>
      <c r="AI1023" s="35"/>
      <c r="AJ1023" s="35"/>
      <c r="AK1023" s="35"/>
      <c r="AL1023" s="35"/>
    </row>
    <row r="1024">
      <c r="A1024" s="89"/>
      <c r="B1024" s="19" t="s">
        <v>2392</v>
      </c>
      <c r="C1024" s="20" t="s">
        <v>5275</v>
      </c>
      <c r="D1024" s="47"/>
      <c r="E1024" s="56" t="s">
        <v>5201</v>
      </c>
      <c r="F1024" s="57" t="s">
        <v>1386</v>
      </c>
      <c r="G1024" s="57">
        <v>2017.0</v>
      </c>
      <c r="H1024" s="56" t="s">
        <v>42</v>
      </c>
      <c r="I1024" s="58" t="s">
        <v>5276</v>
      </c>
      <c r="J1024" s="22" t="s">
        <v>31</v>
      </c>
      <c r="K1024" s="22" t="s">
        <v>294</v>
      </c>
      <c r="L1024" s="36" t="s">
        <v>943</v>
      </c>
      <c r="M1024" s="36" t="s">
        <v>5277</v>
      </c>
      <c r="N1024" s="36"/>
      <c r="O1024" s="36"/>
      <c r="P1024" s="37" t="s">
        <v>5278</v>
      </c>
      <c r="Q1024" s="36"/>
      <c r="R1024" s="36" t="s">
        <v>5279</v>
      </c>
      <c r="S1024" s="36"/>
      <c r="T1024" s="63" t="s">
        <v>5280</v>
      </c>
      <c r="U1024" s="161" t="str">
        <f>HYPERLINK("https://www.ncbi.nlm.nih.gov/pubmed/29024528","PubMed")</f>
        <v>PubMed</v>
      </c>
      <c r="V1024" s="50"/>
      <c r="W1024" s="49"/>
      <c r="X1024" s="49"/>
      <c r="Y1024" s="35"/>
      <c r="Z1024" s="35"/>
      <c r="AA1024" s="35"/>
      <c r="AB1024" s="35"/>
      <c r="AC1024" s="35"/>
      <c r="AD1024" s="35"/>
      <c r="AE1024" s="35"/>
      <c r="AF1024" s="35"/>
      <c r="AG1024" s="35"/>
      <c r="AH1024" s="35"/>
      <c r="AI1024" s="35"/>
      <c r="AJ1024" s="35"/>
      <c r="AK1024" s="35"/>
      <c r="AL1024" s="35"/>
    </row>
    <row r="1025">
      <c r="A1025" s="89"/>
      <c r="B1025" s="19" t="s">
        <v>2392</v>
      </c>
      <c r="C1025" s="20" t="s">
        <v>5281</v>
      </c>
      <c r="D1025" s="47"/>
      <c r="E1025" s="56" t="s">
        <v>5282</v>
      </c>
      <c r="F1025" s="57" t="s">
        <v>4908</v>
      </c>
      <c r="G1025" s="57">
        <v>2022.0</v>
      </c>
      <c r="H1025" s="56" t="s">
        <v>5283</v>
      </c>
      <c r="I1025" s="58" t="s">
        <v>5284</v>
      </c>
      <c r="J1025" s="22" t="s">
        <v>31</v>
      </c>
      <c r="K1025" s="22" t="s">
        <v>5285</v>
      </c>
      <c r="L1025" s="36">
        <v>810.0</v>
      </c>
      <c r="M1025" s="36"/>
      <c r="N1025" s="36" t="s">
        <v>1018</v>
      </c>
      <c r="O1025" s="36"/>
      <c r="P1025" s="37"/>
      <c r="Q1025" s="36"/>
      <c r="R1025" s="36"/>
      <c r="S1025" s="36"/>
      <c r="T1025" s="63" t="s">
        <v>5286</v>
      </c>
      <c r="U1025" s="64" t="s">
        <v>61</v>
      </c>
      <c r="V1025" s="50"/>
      <c r="W1025" s="49"/>
      <c r="X1025" s="49"/>
      <c r="Y1025" s="35"/>
      <c r="Z1025" s="35"/>
      <c r="AA1025" s="35"/>
      <c r="AB1025" s="35"/>
      <c r="AC1025" s="35"/>
      <c r="AD1025" s="35"/>
      <c r="AE1025" s="35"/>
      <c r="AF1025" s="35"/>
      <c r="AG1025" s="35"/>
      <c r="AH1025" s="35"/>
      <c r="AI1025" s="35"/>
      <c r="AJ1025" s="35"/>
      <c r="AK1025" s="35"/>
      <c r="AL1025" s="35"/>
    </row>
    <row r="1026">
      <c r="A1026" s="89"/>
      <c r="B1026" s="19" t="s">
        <v>2392</v>
      </c>
      <c r="C1026" s="20" t="s">
        <v>5287</v>
      </c>
      <c r="D1026" s="47"/>
      <c r="E1026" s="56" t="s">
        <v>5288</v>
      </c>
      <c r="F1026" s="57" t="s">
        <v>5289</v>
      </c>
      <c r="G1026" s="57">
        <v>2021.0</v>
      </c>
      <c r="H1026" s="56" t="s">
        <v>91</v>
      </c>
      <c r="I1026" s="58" t="s">
        <v>5290</v>
      </c>
      <c r="J1026" s="22" t="s">
        <v>31</v>
      </c>
      <c r="K1026" s="22"/>
      <c r="L1026" s="36">
        <v>980.0</v>
      </c>
      <c r="M1026" s="36"/>
      <c r="N1026" s="36"/>
      <c r="O1026" s="36"/>
      <c r="P1026" s="37" t="s">
        <v>5291</v>
      </c>
      <c r="Q1026" s="36"/>
      <c r="R1026" s="36"/>
      <c r="S1026" s="36"/>
      <c r="T1026" s="63" t="s">
        <v>5292</v>
      </c>
      <c r="U1026" s="64" t="s">
        <v>61</v>
      </c>
      <c r="V1026" s="50"/>
      <c r="W1026" s="49"/>
      <c r="X1026" s="49"/>
      <c r="Y1026" s="35"/>
      <c r="Z1026" s="35"/>
      <c r="AA1026" s="35"/>
      <c r="AB1026" s="35"/>
      <c r="AC1026" s="35"/>
      <c r="AD1026" s="35"/>
      <c r="AE1026" s="35"/>
      <c r="AF1026" s="35"/>
      <c r="AG1026" s="35"/>
      <c r="AH1026" s="35"/>
      <c r="AI1026" s="35"/>
      <c r="AJ1026" s="35"/>
      <c r="AK1026" s="35"/>
      <c r="AL1026" s="35"/>
    </row>
    <row r="1027">
      <c r="A1027" s="89"/>
      <c r="B1027" s="19" t="s">
        <v>2392</v>
      </c>
      <c r="C1027" s="20" t="s">
        <v>5293</v>
      </c>
      <c r="D1027" s="47"/>
      <c r="E1027" s="56" t="s">
        <v>5294</v>
      </c>
      <c r="F1027" s="57" t="s">
        <v>993</v>
      </c>
      <c r="G1027" s="57">
        <v>2024.0</v>
      </c>
      <c r="H1027" s="56" t="s">
        <v>4975</v>
      </c>
      <c r="I1027" s="58" t="s">
        <v>5295</v>
      </c>
      <c r="J1027" s="22" t="s">
        <v>125</v>
      </c>
      <c r="K1027" s="22"/>
      <c r="L1027" s="105" t="s">
        <v>5296</v>
      </c>
      <c r="M1027" s="44"/>
      <c r="N1027" s="44"/>
      <c r="O1027" s="44"/>
      <c r="P1027" s="44"/>
      <c r="Q1027" s="44"/>
      <c r="R1027" s="44"/>
      <c r="S1027" s="44"/>
      <c r="T1027" s="45"/>
      <c r="U1027" s="60" t="s">
        <v>61</v>
      </c>
      <c r="V1027" s="50"/>
      <c r="W1027" s="49"/>
      <c r="X1027" s="49"/>
      <c r="Y1027" s="35"/>
      <c r="Z1027" s="35"/>
      <c r="AA1027" s="35"/>
      <c r="AB1027" s="35"/>
      <c r="AC1027" s="35"/>
      <c r="AD1027" s="35"/>
      <c r="AE1027" s="35"/>
      <c r="AF1027" s="35"/>
      <c r="AG1027" s="35"/>
      <c r="AH1027" s="35"/>
      <c r="AI1027" s="35"/>
      <c r="AJ1027" s="35"/>
      <c r="AK1027" s="35"/>
      <c r="AL1027" s="35"/>
    </row>
    <row r="1028">
      <c r="A1028" s="89"/>
      <c r="B1028" s="19" t="s">
        <v>2392</v>
      </c>
      <c r="C1028" s="20" t="s">
        <v>5293</v>
      </c>
      <c r="D1028" s="47"/>
      <c r="E1028" s="56" t="s">
        <v>5065</v>
      </c>
      <c r="F1028" s="57" t="s">
        <v>540</v>
      </c>
      <c r="G1028" s="57">
        <v>2024.0</v>
      </c>
      <c r="H1028" s="56" t="s">
        <v>2181</v>
      </c>
      <c r="I1028" s="58" t="s">
        <v>5297</v>
      </c>
      <c r="J1028" s="22" t="s">
        <v>31</v>
      </c>
      <c r="K1028" s="22"/>
      <c r="L1028" s="36">
        <v>810.0</v>
      </c>
      <c r="M1028" s="36"/>
      <c r="N1028" s="36"/>
      <c r="O1028" s="36"/>
      <c r="P1028" s="37"/>
      <c r="Q1028" s="36"/>
      <c r="R1028" s="36"/>
      <c r="S1028" s="36"/>
      <c r="T1028" s="63" t="s">
        <v>5298</v>
      </c>
      <c r="U1028" s="60" t="s">
        <v>61</v>
      </c>
      <c r="V1028" s="50"/>
      <c r="W1028" s="49"/>
      <c r="X1028" s="49"/>
      <c r="Y1028" s="35"/>
      <c r="Z1028" s="35"/>
      <c r="AA1028" s="35"/>
      <c r="AB1028" s="35"/>
      <c r="AC1028" s="35"/>
      <c r="AD1028" s="35"/>
      <c r="AE1028" s="35"/>
      <c r="AF1028" s="35"/>
      <c r="AG1028" s="35"/>
      <c r="AH1028" s="35"/>
      <c r="AI1028" s="35"/>
      <c r="AJ1028" s="35"/>
      <c r="AK1028" s="35"/>
      <c r="AL1028" s="35"/>
    </row>
    <row r="1029">
      <c r="A1029" s="89"/>
      <c r="B1029" s="19" t="s">
        <v>2392</v>
      </c>
      <c r="C1029" s="20" t="s">
        <v>5293</v>
      </c>
      <c r="D1029" s="47"/>
      <c r="E1029" s="56" t="s">
        <v>4299</v>
      </c>
      <c r="F1029" s="57" t="s">
        <v>206</v>
      </c>
      <c r="G1029" s="57">
        <v>2022.0</v>
      </c>
      <c r="H1029" s="56" t="s">
        <v>2392</v>
      </c>
      <c r="I1029" s="58" t="s">
        <v>5299</v>
      </c>
      <c r="J1029" s="22" t="s">
        <v>31</v>
      </c>
      <c r="K1029" s="22"/>
      <c r="L1029" s="36">
        <v>830.0</v>
      </c>
      <c r="M1029" s="36"/>
      <c r="N1029" s="36"/>
      <c r="O1029" s="36"/>
      <c r="P1029" s="37" t="s">
        <v>5300</v>
      </c>
      <c r="Q1029" s="36"/>
      <c r="R1029" s="36"/>
      <c r="S1029" s="36"/>
      <c r="T1029" s="74" t="s">
        <v>5301</v>
      </c>
      <c r="U1029" s="64" t="s">
        <v>61</v>
      </c>
      <c r="V1029" s="50"/>
      <c r="W1029" s="49"/>
      <c r="X1029" s="49"/>
      <c r="Y1029" s="35"/>
      <c r="Z1029" s="35"/>
      <c r="AA1029" s="35"/>
      <c r="AB1029" s="35"/>
      <c r="AC1029" s="35"/>
      <c r="AD1029" s="35"/>
      <c r="AE1029" s="35"/>
      <c r="AF1029" s="35"/>
      <c r="AG1029" s="35"/>
      <c r="AH1029" s="35"/>
      <c r="AI1029" s="35"/>
      <c r="AJ1029" s="35"/>
      <c r="AK1029" s="35"/>
      <c r="AL1029" s="35"/>
    </row>
    <row r="1030">
      <c r="A1030" s="89"/>
      <c r="B1030" s="19" t="s">
        <v>2392</v>
      </c>
      <c r="C1030" s="20" t="s">
        <v>5293</v>
      </c>
      <c r="D1030" s="47"/>
      <c r="E1030" s="56" t="s">
        <v>5302</v>
      </c>
      <c r="F1030" s="57" t="s">
        <v>5303</v>
      </c>
      <c r="G1030" s="57">
        <v>2020.0</v>
      </c>
      <c r="H1030" s="56" t="s">
        <v>3950</v>
      </c>
      <c r="I1030" s="58" t="s">
        <v>5304</v>
      </c>
      <c r="J1030" s="22" t="s">
        <v>31</v>
      </c>
      <c r="K1030" s="22"/>
      <c r="L1030" s="36">
        <v>637.0</v>
      </c>
      <c r="M1030" s="36"/>
      <c r="N1030" s="36" t="s">
        <v>5305</v>
      </c>
      <c r="O1030" s="36"/>
      <c r="P1030" s="37" t="s">
        <v>461</v>
      </c>
      <c r="Q1030" s="36"/>
      <c r="R1030" s="36">
        <v>1800.0</v>
      </c>
      <c r="S1030" s="36"/>
      <c r="T1030" s="63" t="s">
        <v>5306</v>
      </c>
      <c r="U1030" s="64" t="s">
        <v>61</v>
      </c>
      <c r="V1030" s="50"/>
      <c r="W1030" s="49"/>
      <c r="X1030" s="49"/>
      <c r="Y1030" s="35"/>
      <c r="Z1030" s="35"/>
      <c r="AA1030" s="35"/>
      <c r="AB1030" s="35"/>
      <c r="AC1030" s="35"/>
      <c r="AD1030" s="35"/>
      <c r="AE1030" s="35"/>
      <c r="AF1030" s="35"/>
      <c r="AG1030" s="35"/>
      <c r="AH1030" s="35"/>
      <c r="AI1030" s="35"/>
      <c r="AJ1030" s="35"/>
      <c r="AK1030" s="35"/>
      <c r="AL1030" s="35"/>
    </row>
    <row r="1031">
      <c r="A1031" s="89"/>
      <c r="B1031" s="19" t="s">
        <v>2392</v>
      </c>
      <c r="C1031" s="20" t="s">
        <v>5293</v>
      </c>
      <c r="D1031" s="47"/>
      <c r="E1031" s="56" t="s">
        <v>3869</v>
      </c>
      <c r="F1031" s="57" t="s">
        <v>494</v>
      </c>
      <c r="G1031" s="57">
        <v>2012.0</v>
      </c>
      <c r="H1031" s="56" t="s">
        <v>5307</v>
      </c>
      <c r="I1031" s="58" t="s">
        <v>5308</v>
      </c>
      <c r="J1031" s="22" t="s">
        <v>31</v>
      </c>
      <c r="K1031" s="22" t="s">
        <v>5309</v>
      </c>
      <c r="L1031" s="36">
        <v>633.0</v>
      </c>
      <c r="M1031" s="36"/>
      <c r="N1031" s="36"/>
      <c r="O1031" s="36"/>
      <c r="P1031" s="37"/>
      <c r="Q1031" s="36"/>
      <c r="R1031" s="36"/>
      <c r="S1031" s="36"/>
      <c r="T1031" s="63" t="s">
        <v>5310</v>
      </c>
      <c r="U1031" s="161" t="str">
        <f>HYPERLINK("https://www.ncbi.nlm.nih.gov/pubmed/22038170","PubMed")</f>
        <v>PubMed</v>
      </c>
      <c r="V1031" s="50"/>
      <c r="W1031" s="49"/>
      <c r="X1031" s="49"/>
      <c r="Y1031" s="35"/>
      <c r="Z1031" s="35"/>
      <c r="AA1031" s="35"/>
      <c r="AB1031" s="35"/>
      <c r="AC1031" s="35"/>
      <c r="AD1031" s="35"/>
      <c r="AE1031" s="35"/>
      <c r="AF1031" s="35"/>
      <c r="AG1031" s="35"/>
      <c r="AH1031" s="35"/>
      <c r="AI1031" s="35"/>
      <c r="AJ1031" s="35"/>
      <c r="AK1031" s="35"/>
      <c r="AL1031" s="35"/>
    </row>
    <row r="1032">
      <c r="A1032" s="89"/>
      <c r="B1032" s="19" t="s">
        <v>2392</v>
      </c>
      <c r="C1032" s="20" t="s">
        <v>5293</v>
      </c>
      <c r="D1032" s="47"/>
      <c r="E1032" s="56" t="s">
        <v>5311</v>
      </c>
      <c r="F1032" s="57" t="s">
        <v>5312</v>
      </c>
      <c r="G1032" s="57">
        <v>2004.0</v>
      </c>
      <c r="H1032" s="56" t="s">
        <v>53</v>
      </c>
      <c r="I1032" s="58" t="s">
        <v>5313</v>
      </c>
      <c r="J1032" s="22" t="s">
        <v>31</v>
      </c>
      <c r="K1032" s="22"/>
      <c r="L1032" s="36">
        <v>780.0</v>
      </c>
      <c r="M1032" s="36"/>
      <c r="N1032" s="36"/>
      <c r="O1032" s="36"/>
      <c r="P1032" s="37"/>
      <c r="Q1032" s="36"/>
      <c r="R1032" s="36"/>
      <c r="S1032" s="36"/>
      <c r="T1032" s="74" t="s">
        <v>5314</v>
      </c>
      <c r="U1032" s="161" t="str">
        <f>HYPERLINK("https://www.ncbi.nlm.nih.gov/pubmed/15611960","PubMed")</f>
        <v>PubMed</v>
      </c>
      <c r="V1032" s="50"/>
      <c r="W1032" s="49"/>
      <c r="X1032" s="49"/>
      <c r="Y1032" s="35"/>
      <c r="Z1032" s="35"/>
      <c r="AA1032" s="35"/>
      <c r="AB1032" s="35"/>
      <c r="AC1032" s="35"/>
      <c r="AD1032" s="35"/>
      <c r="AE1032" s="35"/>
      <c r="AF1032" s="35"/>
      <c r="AG1032" s="35"/>
      <c r="AH1032" s="35"/>
      <c r="AI1032" s="35"/>
      <c r="AJ1032" s="35"/>
      <c r="AK1032" s="35"/>
      <c r="AL1032" s="35"/>
    </row>
    <row r="1033">
      <c r="A1033" s="89"/>
      <c r="B1033" s="19" t="s">
        <v>2392</v>
      </c>
      <c r="C1033" s="20" t="s">
        <v>5315</v>
      </c>
      <c r="D1033" s="47"/>
      <c r="E1033" s="56" t="s">
        <v>5316</v>
      </c>
      <c r="F1033" s="57" t="s">
        <v>2962</v>
      </c>
      <c r="G1033" s="57">
        <v>2023.0</v>
      </c>
      <c r="H1033" s="56" t="s">
        <v>5317</v>
      </c>
      <c r="I1033" s="58" t="s">
        <v>5318</v>
      </c>
      <c r="J1033" s="22" t="s">
        <v>125</v>
      </c>
      <c r="K1033" s="22"/>
      <c r="L1033" s="79" t="s">
        <v>5319</v>
      </c>
      <c r="U1033" s="60" t="s">
        <v>61</v>
      </c>
      <c r="V1033" s="50"/>
      <c r="W1033" s="49"/>
      <c r="X1033" s="49"/>
      <c r="Y1033" s="35"/>
      <c r="Z1033" s="35"/>
      <c r="AA1033" s="35"/>
      <c r="AB1033" s="35"/>
      <c r="AC1033" s="35"/>
      <c r="AD1033" s="35"/>
      <c r="AE1033" s="35"/>
      <c r="AF1033" s="35"/>
      <c r="AG1033" s="35"/>
      <c r="AH1033" s="35"/>
      <c r="AI1033" s="35"/>
      <c r="AJ1033" s="35"/>
      <c r="AK1033" s="35"/>
      <c r="AL1033" s="35"/>
    </row>
    <row r="1034">
      <c r="A1034" s="89"/>
      <c r="B1034" s="19" t="s">
        <v>2392</v>
      </c>
      <c r="C1034" s="20" t="s">
        <v>5315</v>
      </c>
      <c r="D1034" s="47"/>
      <c r="E1034" s="56" t="s">
        <v>4476</v>
      </c>
      <c r="F1034" s="57" t="s">
        <v>2962</v>
      </c>
      <c r="G1034" s="57">
        <v>2022.0</v>
      </c>
      <c r="H1034" s="56" t="s">
        <v>5320</v>
      </c>
      <c r="I1034" s="58" t="s">
        <v>5321</v>
      </c>
      <c r="J1034" s="22" t="s">
        <v>31</v>
      </c>
      <c r="K1034" s="22" t="s">
        <v>1630</v>
      </c>
      <c r="L1034" s="52" t="s">
        <v>5322</v>
      </c>
      <c r="M1034" s="52"/>
      <c r="N1034" s="52" t="s">
        <v>5323</v>
      </c>
      <c r="O1034" s="189"/>
      <c r="Q1034" s="52"/>
      <c r="R1034" s="52"/>
      <c r="S1034" s="52"/>
      <c r="T1034" s="63" t="s">
        <v>5324</v>
      </c>
      <c r="U1034" s="60" t="s">
        <v>61</v>
      </c>
      <c r="V1034" s="50"/>
      <c r="W1034" s="49"/>
      <c r="X1034" s="49"/>
      <c r="Y1034" s="35"/>
      <c r="Z1034" s="35"/>
      <c r="AA1034" s="35"/>
      <c r="AB1034" s="35"/>
      <c r="AC1034" s="35"/>
      <c r="AD1034" s="35"/>
      <c r="AE1034" s="35"/>
      <c r="AF1034" s="35"/>
      <c r="AG1034" s="35"/>
      <c r="AH1034" s="35"/>
      <c r="AI1034" s="35"/>
      <c r="AJ1034" s="35"/>
      <c r="AK1034" s="35"/>
      <c r="AL1034" s="35"/>
    </row>
    <row r="1035">
      <c r="A1035" s="89"/>
      <c r="B1035" s="19" t="s">
        <v>2392</v>
      </c>
      <c r="C1035" s="20" t="s">
        <v>5315</v>
      </c>
      <c r="D1035" s="47"/>
      <c r="E1035" s="56" t="s">
        <v>5325</v>
      </c>
      <c r="F1035" s="57" t="s">
        <v>5326</v>
      </c>
      <c r="G1035" s="57">
        <v>2021.0</v>
      </c>
      <c r="H1035" s="56" t="s">
        <v>5317</v>
      </c>
      <c r="I1035" s="58" t="s">
        <v>5327</v>
      </c>
      <c r="J1035" s="22" t="s">
        <v>125</v>
      </c>
      <c r="K1035" s="22"/>
      <c r="L1035" s="79" t="s">
        <v>5328</v>
      </c>
      <c r="U1035" s="64" t="s">
        <v>61</v>
      </c>
      <c r="V1035" s="50"/>
      <c r="W1035" s="49"/>
      <c r="X1035" s="49"/>
      <c r="Y1035" s="35"/>
      <c r="Z1035" s="35"/>
      <c r="AA1035" s="35"/>
      <c r="AB1035" s="35"/>
      <c r="AC1035" s="35"/>
      <c r="AD1035" s="35"/>
      <c r="AE1035" s="35"/>
      <c r="AF1035" s="35"/>
      <c r="AG1035" s="35"/>
      <c r="AH1035" s="35"/>
      <c r="AI1035" s="35"/>
      <c r="AJ1035" s="35"/>
      <c r="AK1035" s="35"/>
      <c r="AL1035" s="35"/>
    </row>
    <row r="1036">
      <c r="A1036" s="89"/>
      <c r="B1036" s="19" t="s">
        <v>2392</v>
      </c>
      <c r="C1036" s="20" t="s">
        <v>5315</v>
      </c>
      <c r="D1036" s="47"/>
      <c r="E1036" s="56" t="s">
        <v>5329</v>
      </c>
      <c r="F1036" s="57" t="s">
        <v>5330</v>
      </c>
      <c r="G1036" s="57">
        <v>2020.0</v>
      </c>
      <c r="H1036" s="56" t="s">
        <v>1025</v>
      </c>
      <c r="I1036" s="58" t="s">
        <v>5331</v>
      </c>
      <c r="J1036" s="22" t="s">
        <v>31</v>
      </c>
      <c r="K1036" s="22" t="s">
        <v>294</v>
      </c>
      <c r="L1036" s="36" t="s">
        <v>5332</v>
      </c>
      <c r="M1036" s="36"/>
      <c r="N1036" s="36"/>
      <c r="O1036" s="36"/>
      <c r="P1036" s="37"/>
      <c r="Q1036" s="36"/>
      <c r="R1036" s="36"/>
      <c r="S1036" s="36"/>
      <c r="T1036" s="63" t="s">
        <v>5333</v>
      </c>
      <c r="U1036" s="64" t="s">
        <v>61</v>
      </c>
      <c r="V1036" s="50"/>
      <c r="W1036" s="49"/>
      <c r="X1036" s="49"/>
      <c r="Y1036" s="35"/>
      <c r="Z1036" s="35"/>
      <c r="AA1036" s="35"/>
      <c r="AB1036" s="35"/>
      <c r="AC1036" s="35"/>
      <c r="AD1036" s="35"/>
      <c r="AE1036" s="35"/>
      <c r="AF1036" s="35"/>
      <c r="AG1036" s="35"/>
      <c r="AH1036" s="35"/>
      <c r="AI1036" s="35"/>
      <c r="AJ1036" s="35"/>
      <c r="AK1036" s="35"/>
      <c r="AL1036" s="35"/>
    </row>
    <row r="1037">
      <c r="A1037" s="89"/>
      <c r="B1037" s="19" t="s">
        <v>2392</v>
      </c>
      <c r="C1037" s="20" t="s">
        <v>5315</v>
      </c>
      <c r="D1037" s="47"/>
      <c r="E1037" s="56" t="s">
        <v>5334</v>
      </c>
      <c r="F1037" s="57" t="s">
        <v>5270</v>
      </c>
      <c r="G1037" s="57">
        <v>2019.0</v>
      </c>
      <c r="H1037" s="56" t="s">
        <v>2594</v>
      </c>
      <c r="I1037" s="58" t="s">
        <v>5335</v>
      </c>
      <c r="J1037" s="22" t="s">
        <v>5336</v>
      </c>
      <c r="K1037" s="22" t="s">
        <v>1725</v>
      </c>
      <c r="L1037" s="52">
        <v>453.0</v>
      </c>
      <c r="M1037" s="52"/>
      <c r="N1037" s="52" t="s">
        <v>3587</v>
      </c>
      <c r="O1037" s="52"/>
      <c r="P1037" s="189" t="s">
        <v>5337</v>
      </c>
      <c r="Q1037" s="52"/>
      <c r="R1037" s="52">
        <v>1800.0</v>
      </c>
      <c r="S1037" s="52"/>
      <c r="T1037" s="63" t="s">
        <v>5338</v>
      </c>
      <c r="U1037" s="64" t="s">
        <v>61</v>
      </c>
      <c r="V1037" s="50"/>
      <c r="W1037" s="49"/>
      <c r="X1037" s="49"/>
      <c r="Y1037" s="35"/>
      <c r="Z1037" s="35"/>
      <c r="AA1037" s="35"/>
      <c r="AB1037" s="35"/>
      <c r="AC1037" s="35"/>
      <c r="AD1037" s="35"/>
      <c r="AE1037" s="35"/>
      <c r="AF1037" s="35"/>
      <c r="AG1037" s="35"/>
      <c r="AH1037" s="35"/>
      <c r="AI1037" s="35"/>
      <c r="AJ1037" s="35"/>
      <c r="AK1037" s="35"/>
      <c r="AL1037" s="35"/>
    </row>
    <row r="1038">
      <c r="A1038" s="89"/>
      <c r="B1038" s="19" t="s">
        <v>2392</v>
      </c>
      <c r="C1038" s="20" t="s">
        <v>5315</v>
      </c>
      <c r="D1038" s="47"/>
      <c r="E1038" s="56" t="s">
        <v>5339</v>
      </c>
      <c r="F1038" s="57" t="s">
        <v>5340</v>
      </c>
      <c r="G1038" s="57">
        <v>2018.0</v>
      </c>
      <c r="H1038" s="56" t="s">
        <v>5341</v>
      </c>
      <c r="I1038" s="58" t="s">
        <v>5342</v>
      </c>
      <c r="J1038" s="22" t="s">
        <v>55</v>
      </c>
      <c r="K1038" s="22"/>
      <c r="L1038" s="36">
        <v>660.0</v>
      </c>
      <c r="M1038" s="36"/>
      <c r="N1038" s="36"/>
      <c r="O1038" s="36"/>
      <c r="P1038" s="37"/>
      <c r="Q1038" s="36"/>
      <c r="R1038" s="36">
        <v>300.0</v>
      </c>
      <c r="S1038" s="36"/>
      <c r="T1038" s="63" t="s">
        <v>5343</v>
      </c>
      <c r="U1038" s="161" t="str">
        <f>HYPERLINK("https://www.ncbi.nlm.nih.gov/pubmed/30423533","PubMed")</f>
        <v>PubMed</v>
      </c>
      <c r="V1038" s="50"/>
      <c r="W1038" s="49"/>
      <c r="X1038" s="49"/>
      <c r="Y1038" s="35"/>
      <c r="Z1038" s="35"/>
      <c r="AA1038" s="35"/>
      <c r="AB1038" s="35"/>
      <c r="AC1038" s="35"/>
      <c r="AD1038" s="35"/>
      <c r="AE1038" s="35"/>
      <c r="AF1038" s="35"/>
      <c r="AG1038" s="35"/>
      <c r="AH1038" s="35"/>
      <c r="AI1038" s="35"/>
      <c r="AJ1038" s="35"/>
      <c r="AK1038" s="35"/>
      <c r="AL1038" s="35"/>
    </row>
    <row r="1039">
      <c r="A1039" s="89"/>
      <c r="B1039" s="19" t="s">
        <v>2392</v>
      </c>
      <c r="C1039" s="20" t="s">
        <v>5315</v>
      </c>
      <c r="D1039" s="47"/>
      <c r="E1039" s="56" t="s">
        <v>5344</v>
      </c>
      <c r="F1039" s="57" t="s">
        <v>1173</v>
      </c>
      <c r="G1039" s="57">
        <v>2018.0</v>
      </c>
      <c r="H1039" s="56" t="s">
        <v>5341</v>
      </c>
      <c r="I1039" s="58" t="s">
        <v>5345</v>
      </c>
      <c r="J1039" s="22" t="s">
        <v>31</v>
      </c>
      <c r="K1039" s="22" t="s">
        <v>157</v>
      </c>
      <c r="L1039" s="36">
        <v>670.0</v>
      </c>
      <c r="M1039" s="36"/>
      <c r="N1039" s="36"/>
      <c r="O1039" s="36"/>
      <c r="P1039" s="37"/>
      <c r="Q1039" s="36"/>
      <c r="R1039" s="36"/>
      <c r="S1039" s="36"/>
      <c r="T1039" s="63" t="s">
        <v>5346</v>
      </c>
      <c r="U1039" s="161" t="str">
        <f>HYPERLINK("https://www.ncbi.nlm.nih.gov/pubmed/30261342","PubMed")</f>
        <v>PubMed</v>
      </c>
      <c r="V1039" s="50"/>
      <c r="W1039" s="49"/>
      <c r="X1039" s="49"/>
      <c r="Y1039" s="35"/>
      <c r="Z1039" s="35"/>
      <c r="AA1039" s="35"/>
      <c r="AB1039" s="35"/>
      <c r="AC1039" s="35"/>
      <c r="AD1039" s="35"/>
      <c r="AE1039" s="35"/>
      <c r="AF1039" s="35"/>
      <c r="AG1039" s="35"/>
      <c r="AH1039" s="35"/>
      <c r="AI1039" s="35"/>
      <c r="AJ1039" s="35"/>
      <c r="AK1039" s="35"/>
      <c r="AL1039" s="35"/>
    </row>
    <row r="1040">
      <c r="A1040" s="89"/>
      <c r="B1040" s="19" t="s">
        <v>2392</v>
      </c>
      <c r="C1040" s="20" t="s">
        <v>5315</v>
      </c>
      <c r="D1040" s="47"/>
      <c r="E1040" s="56" t="s">
        <v>5347</v>
      </c>
      <c r="F1040" s="57" t="s">
        <v>2346</v>
      </c>
      <c r="G1040" s="57">
        <v>2018.0</v>
      </c>
      <c r="H1040" s="56" t="s">
        <v>5348</v>
      </c>
      <c r="I1040" s="58" t="s">
        <v>5349</v>
      </c>
      <c r="J1040" s="22" t="s">
        <v>125</v>
      </c>
      <c r="K1040" s="22"/>
      <c r="L1040" s="167" t="s">
        <v>5350</v>
      </c>
      <c r="M1040" s="44"/>
      <c r="N1040" s="44"/>
      <c r="O1040" s="44"/>
      <c r="P1040" s="44"/>
      <c r="Q1040" s="44"/>
      <c r="R1040" s="44"/>
      <c r="S1040" s="44"/>
      <c r="T1040" s="45"/>
      <c r="U1040" s="161" t="str">
        <f>HYPERLINK("https://www.ncbi.nlm.nih.gov/pubmed/29740581","PubMed")</f>
        <v>PubMed</v>
      </c>
      <c r="V1040" s="50"/>
      <c r="W1040" s="49"/>
      <c r="X1040" s="49"/>
      <c r="Y1040" s="35"/>
      <c r="Z1040" s="35"/>
      <c r="AA1040" s="35"/>
      <c r="AB1040" s="35"/>
      <c r="AC1040" s="35"/>
      <c r="AD1040" s="35"/>
      <c r="AE1040" s="35"/>
      <c r="AF1040" s="35"/>
      <c r="AG1040" s="35"/>
      <c r="AH1040" s="35"/>
      <c r="AI1040" s="35"/>
      <c r="AJ1040" s="35"/>
      <c r="AK1040" s="35"/>
      <c r="AL1040" s="35"/>
    </row>
    <row r="1041">
      <c r="A1041" s="89"/>
      <c r="B1041" s="19" t="s">
        <v>2392</v>
      </c>
      <c r="C1041" s="20" t="s">
        <v>5315</v>
      </c>
      <c r="D1041" s="47"/>
      <c r="E1041" s="56" t="s">
        <v>5351</v>
      </c>
      <c r="F1041" s="57" t="s">
        <v>5289</v>
      </c>
      <c r="G1041" s="57">
        <v>2018.0</v>
      </c>
      <c r="H1041" s="56" t="s">
        <v>91</v>
      </c>
      <c r="I1041" s="58" t="s">
        <v>5352</v>
      </c>
      <c r="J1041" s="22" t="s">
        <v>31</v>
      </c>
      <c r="K1041" s="22" t="s">
        <v>5353</v>
      </c>
      <c r="L1041" s="36">
        <v>980.0</v>
      </c>
      <c r="M1041" s="36"/>
      <c r="N1041" s="36"/>
      <c r="O1041" s="36"/>
      <c r="P1041" s="37"/>
      <c r="Q1041" s="36"/>
      <c r="R1041" s="36"/>
      <c r="S1041" s="36"/>
      <c r="T1041" s="63" t="s">
        <v>5354</v>
      </c>
      <c r="U1041" s="161" t="str">
        <f>HYPERLINK("https://www.ncbi.nlm.nih.gov/pubmed/29349512","PubMed")</f>
        <v>PubMed</v>
      </c>
      <c r="V1041" s="50"/>
      <c r="W1041" s="49"/>
      <c r="X1041" s="49"/>
      <c r="Y1041" s="35"/>
      <c r="Z1041" s="35"/>
      <c r="AA1041" s="35"/>
      <c r="AB1041" s="35"/>
      <c r="AC1041" s="35"/>
      <c r="AD1041" s="35"/>
      <c r="AE1041" s="35"/>
      <c r="AF1041" s="35"/>
      <c r="AG1041" s="35"/>
      <c r="AH1041" s="35"/>
      <c r="AI1041" s="35"/>
      <c r="AJ1041" s="35"/>
      <c r="AK1041" s="35"/>
      <c r="AL1041" s="35"/>
    </row>
    <row r="1042">
      <c r="A1042" s="89"/>
      <c r="B1042" s="19" t="s">
        <v>2392</v>
      </c>
      <c r="C1042" s="20" t="s">
        <v>5315</v>
      </c>
      <c r="D1042" s="47"/>
      <c r="E1042" s="56" t="s">
        <v>88</v>
      </c>
      <c r="F1042" s="57" t="s">
        <v>1154</v>
      </c>
      <c r="G1042" s="57">
        <v>2016.0</v>
      </c>
      <c r="H1042" s="56" t="s">
        <v>91</v>
      </c>
      <c r="I1042" s="58" t="s">
        <v>5355</v>
      </c>
      <c r="J1042" s="22" t="s">
        <v>31</v>
      </c>
      <c r="K1042" s="22" t="s">
        <v>5356</v>
      </c>
      <c r="L1042" s="36" t="s">
        <v>5357</v>
      </c>
      <c r="M1042" s="36" t="s">
        <v>5358</v>
      </c>
      <c r="N1042" s="36"/>
      <c r="O1042" s="36"/>
      <c r="P1042" s="37"/>
      <c r="Q1042" s="36"/>
      <c r="R1042" s="36" t="s">
        <v>5359</v>
      </c>
      <c r="S1042" s="36"/>
      <c r="T1042" s="63" t="s">
        <v>5360</v>
      </c>
      <c r="U1042" s="161" t="str">
        <f>HYPERLINK("https://www.ncbi.nlm.nih.gov/pubmed/27638147","PubMed")</f>
        <v>PubMed</v>
      </c>
      <c r="V1042" s="50"/>
      <c r="W1042" s="49"/>
      <c r="X1042" s="49"/>
      <c r="Y1042" s="35"/>
      <c r="Z1042" s="35"/>
      <c r="AA1042" s="35"/>
      <c r="AB1042" s="35"/>
      <c r="AC1042" s="35"/>
      <c r="AD1042" s="35"/>
      <c r="AE1042" s="35"/>
      <c r="AF1042" s="35"/>
      <c r="AG1042" s="35"/>
      <c r="AH1042" s="35"/>
      <c r="AI1042" s="35"/>
      <c r="AJ1042" s="35"/>
      <c r="AK1042" s="35"/>
      <c r="AL1042" s="35"/>
    </row>
    <row r="1043">
      <c r="A1043" s="1"/>
      <c r="B1043" s="19" t="s">
        <v>2392</v>
      </c>
      <c r="C1043" s="20" t="s">
        <v>5315</v>
      </c>
      <c r="D1043" s="47"/>
      <c r="E1043" s="22" t="s">
        <v>4966</v>
      </c>
      <c r="F1043" s="22" t="s">
        <v>1386</v>
      </c>
      <c r="G1043" s="23">
        <v>2010.0</v>
      </c>
      <c r="H1043" s="22" t="s">
        <v>53</v>
      </c>
      <c r="I1043" s="24" t="s">
        <v>5361</v>
      </c>
      <c r="J1043" s="22" t="s">
        <v>31</v>
      </c>
      <c r="K1043" s="22" t="s">
        <v>5362</v>
      </c>
      <c r="L1043" s="36">
        <v>830.0</v>
      </c>
      <c r="M1043" s="36"/>
      <c r="N1043" s="36"/>
      <c r="O1043" s="36"/>
      <c r="P1043" s="37" t="s">
        <v>432</v>
      </c>
      <c r="Q1043" s="36"/>
      <c r="R1043" s="36"/>
      <c r="S1043" s="36"/>
      <c r="T1043" s="28" t="s">
        <v>5363</v>
      </c>
      <c r="U1043" s="38" t="str">
        <f>HYPERLINK("https://www.ncbi.nlm.nih.gov/pubmed/20662026","PubMed")</f>
        <v>PubMed</v>
      </c>
      <c r="V1043" s="30"/>
      <c r="W1043" s="49"/>
      <c r="X1043" s="49"/>
      <c r="Y1043" s="35"/>
      <c r="Z1043" s="35"/>
      <c r="AA1043" s="35"/>
      <c r="AB1043" s="35"/>
      <c r="AC1043" s="35"/>
      <c r="AD1043" s="35"/>
      <c r="AE1043" s="35"/>
      <c r="AF1043" s="35"/>
      <c r="AG1043" s="35"/>
      <c r="AH1043" s="35"/>
      <c r="AI1043" s="35"/>
      <c r="AJ1043" s="35"/>
      <c r="AK1043" s="35"/>
      <c r="AL1043" s="35"/>
    </row>
    <row r="1044">
      <c r="A1044" s="1"/>
      <c r="B1044" s="19" t="s">
        <v>2392</v>
      </c>
      <c r="C1044" s="20" t="s">
        <v>5315</v>
      </c>
      <c r="D1044" s="47"/>
      <c r="E1044" s="22" t="s">
        <v>5364</v>
      </c>
      <c r="F1044" s="22" t="s">
        <v>1426</v>
      </c>
      <c r="G1044" s="23">
        <v>2010.0</v>
      </c>
      <c r="H1044" s="22" t="s">
        <v>53</v>
      </c>
      <c r="I1044" s="24" t="s">
        <v>5365</v>
      </c>
      <c r="J1044" s="22" t="s">
        <v>31</v>
      </c>
      <c r="K1044" s="22" t="s">
        <v>5366</v>
      </c>
      <c r="L1044" s="36" t="s">
        <v>5367</v>
      </c>
      <c r="M1044" s="36"/>
      <c r="N1044" s="36" t="s">
        <v>5368</v>
      </c>
      <c r="O1044" s="36"/>
      <c r="P1044" s="37"/>
      <c r="Q1044" s="36"/>
      <c r="R1044" s="36">
        <v>300.0</v>
      </c>
      <c r="S1044" s="36"/>
      <c r="T1044" s="28" t="s">
        <v>5369</v>
      </c>
      <c r="U1044" s="38" t="str">
        <f>HYPERLINK("https://www.ncbi.nlm.nih.gov/pubmed/19790248","PubMed")</f>
        <v>PubMed</v>
      </c>
      <c r="V1044" s="30"/>
      <c r="W1044" s="49"/>
      <c r="X1044" s="49"/>
      <c r="Y1044" s="35"/>
      <c r="Z1044" s="35"/>
      <c r="AA1044" s="35"/>
      <c r="AB1044" s="35"/>
      <c r="AC1044" s="35"/>
      <c r="AD1044" s="35"/>
      <c r="AE1044" s="35"/>
      <c r="AF1044" s="35"/>
      <c r="AG1044" s="35"/>
      <c r="AH1044" s="35"/>
      <c r="AI1044" s="35"/>
      <c r="AJ1044" s="35"/>
      <c r="AK1044" s="35"/>
      <c r="AL1044" s="35"/>
    </row>
    <row r="1045">
      <c r="A1045" s="1"/>
      <c r="B1045" s="19" t="s">
        <v>2392</v>
      </c>
      <c r="C1045" s="20" t="s">
        <v>5315</v>
      </c>
      <c r="D1045" s="47"/>
      <c r="E1045" s="22" t="s">
        <v>5370</v>
      </c>
      <c r="F1045" s="22" t="s">
        <v>5371</v>
      </c>
      <c r="G1045" s="23">
        <v>2009.0</v>
      </c>
      <c r="H1045" s="22" t="s">
        <v>5032</v>
      </c>
      <c r="I1045" s="24" t="s">
        <v>5372</v>
      </c>
      <c r="J1045" s="22" t="s">
        <v>31</v>
      </c>
      <c r="K1045" s="22"/>
      <c r="L1045" s="216" t="s">
        <v>5373</v>
      </c>
      <c r="M1045" s="44"/>
      <c r="N1045" s="44"/>
      <c r="O1045" s="44"/>
      <c r="P1045" s="44"/>
      <c r="Q1045" s="44"/>
      <c r="R1045" s="44"/>
      <c r="S1045" s="44"/>
      <c r="T1045" s="45"/>
      <c r="U1045" s="38" t="s">
        <v>61</v>
      </c>
      <c r="V1045" s="30"/>
      <c r="W1045" s="49"/>
      <c r="X1045" s="49"/>
      <c r="Y1045" s="35"/>
      <c r="Z1045" s="35"/>
      <c r="AA1045" s="35"/>
      <c r="AB1045" s="35"/>
      <c r="AC1045" s="35"/>
      <c r="AD1045" s="35"/>
      <c r="AE1045" s="35"/>
      <c r="AF1045" s="35"/>
      <c r="AG1045" s="35"/>
      <c r="AH1045" s="35"/>
      <c r="AI1045" s="35"/>
      <c r="AJ1045" s="35"/>
      <c r="AK1045" s="35"/>
      <c r="AL1045" s="35"/>
    </row>
    <row r="1046">
      <c r="A1046" s="1"/>
      <c r="B1046" s="19" t="s">
        <v>2392</v>
      </c>
      <c r="C1046" s="20" t="s">
        <v>5315</v>
      </c>
      <c r="D1046" s="47"/>
      <c r="E1046" s="22" t="s">
        <v>5374</v>
      </c>
      <c r="F1046" s="22" t="s">
        <v>1603</v>
      </c>
      <c r="G1046" s="23">
        <v>2008.0</v>
      </c>
      <c r="H1046" s="56" t="s">
        <v>231</v>
      </c>
      <c r="I1046" s="24" t="s">
        <v>5375</v>
      </c>
      <c r="J1046" s="22" t="s">
        <v>31</v>
      </c>
      <c r="K1046" s="22" t="s">
        <v>1725</v>
      </c>
      <c r="L1046" s="36" t="s">
        <v>5376</v>
      </c>
      <c r="M1046" s="36"/>
      <c r="N1046" s="36"/>
      <c r="O1046" s="36"/>
      <c r="P1046" s="37"/>
      <c r="Q1046" s="36"/>
      <c r="R1046" s="36"/>
      <c r="S1046" s="36"/>
      <c r="T1046" s="28" t="s">
        <v>5377</v>
      </c>
      <c r="U1046" s="38" t="str">
        <f>HYPERLINK("https://www.ncbi.nlm.nih.gov/pubmed/18230326","PubMed")</f>
        <v>PubMed</v>
      </c>
      <c r="V1046" s="30"/>
      <c r="W1046" s="49"/>
      <c r="X1046" s="49"/>
      <c r="Y1046" s="35"/>
      <c r="Z1046" s="35"/>
      <c r="AA1046" s="35"/>
      <c r="AB1046" s="35"/>
      <c r="AC1046" s="35"/>
      <c r="AD1046" s="35"/>
      <c r="AE1046" s="35"/>
      <c r="AF1046" s="35"/>
      <c r="AG1046" s="35"/>
      <c r="AH1046" s="35"/>
      <c r="AI1046" s="35"/>
      <c r="AJ1046" s="35"/>
      <c r="AK1046" s="35"/>
      <c r="AL1046" s="35"/>
    </row>
    <row r="1047">
      <c r="A1047" s="1"/>
      <c r="B1047" s="19" t="s">
        <v>2392</v>
      </c>
      <c r="C1047" s="20" t="s">
        <v>5315</v>
      </c>
      <c r="D1047" s="47"/>
      <c r="E1047" s="22" t="s">
        <v>5378</v>
      </c>
      <c r="F1047" s="22" t="s">
        <v>5379</v>
      </c>
      <c r="G1047" s="23">
        <v>2007.0</v>
      </c>
      <c r="H1047" s="56" t="s">
        <v>91</v>
      </c>
      <c r="I1047" s="24" t="s">
        <v>5380</v>
      </c>
      <c r="J1047" s="22" t="s">
        <v>31</v>
      </c>
      <c r="K1047" s="22"/>
      <c r="L1047" s="36">
        <v>634.0</v>
      </c>
      <c r="M1047" s="36"/>
      <c r="N1047" s="36"/>
      <c r="O1047" s="36"/>
      <c r="P1047" s="37"/>
      <c r="Q1047" s="36"/>
      <c r="R1047" s="36"/>
      <c r="S1047" s="36"/>
      <c r="T1047" s="28" t="s">
        <v>5381</v>
      </c>
      <c r="U1047" s="38" t="str">
        <f>HYPERLINK("https://www.ncbi.nlm.nih.gov/pubmed/17120165","PubMed")</f>
        <v>PubMed</v>
      </c>
      <c r="V1047" s="30"/>
      <c r="W1047" s="49"/>
      <c r="X1047" s="49"/>
      <c r="Y1047" s="35"/>
      <c r="Z1047" s="35"/>
      <c r="AA1047" s="35"/>
      <c r="AB1047" s="35"/>
      <c r="AC1047" s="35"/>
      <c r="AD1047" s="35"/>
      <c r="AE1047" s="35"/>
      <c r="AF1047" s="35"/>
      <c r="AG1047" s="35"/>
      <c r="AH1047" s="35"/>
      <c r="AI1047" s="35"/>
      <c r="AJ1047" s="35"/>
      <c r="AK1047" s="35"/>
      <c r="AL1047" s="35"/>
    </row>
    <row r="1048">
      <c r="A1048" s="1"/>
      <c r="B1048" s="19" t="s">
        <v>2392</v>
      </c>
      <c r="C1048" s="20" t="s">
        <v>5315</v>
      </c>
      <c r="D1048" s="47"/>
      <c r="E1048" s="22" t="s">
        <v>5109</v>
      </c>
      <c r="F1048" s="22" t="s">
        <v>5110</v>
      </c>
      <c r="G1048" s="23">
        <v>2005.0</v>
      </c>
      <c r="H1048" s="56" t="s">
        <v>53</v>
      </c>
      <c r="I1048" s="24" t="s">
        <v>5382</v>
      </c>
      <c r="J1048" s="22" t="s">
        <v>31</v>
      </c>
      <c r="K1048" s="22"/>
      <c r="L1048" s="36"/>
      <c r="M1048" s="36"/>
      <c r="N1048" s="36"/>
      <c r="O1048" s="36"/>
      <c r="P1048" s="37"/>
      <c r="Q1048" s="36"/>
      <c r="R1048" s="36"/>
      <c r="S1048" s="36"/>
      <c r="T1048" s="28" t="s">
        <v>5383</v>
      </c>
      <c r="U1048" s="38" t="str">
        <f>HYPERLINK("https://www.ncbi.nlm.nih.gov/pubmed/15739174","PubMed")</f>
        <v>PubMed</v>
      </c>
      <c r="V1048" s="30"/>
      <c r="W1048" s="49"/>
      <c r="X1048" s="49"/>
      <c r="Y1048" s="35"/>
      <c r="Z1048" s="35"/>
      <c r="AA1048" s="35"/>
      <c r="AB1048" s="35"/>
      <c r="AC1048" s="35"/>
      <c r="AD1048" s="35"/>
      <c r="AE1048" s="35"/>
      <c r="AF1048" s="35"/>
      <c r="AG1048" s="35"/>
      <c r="AH1048" s="35"/>
      <c r="AI1048" s="35"/>
      <c r="AJ1048" s="35"/>
      <c r="AK1048" s="35"/>
      <c r="AL1048" s="35"/>
    </row>
    <row r="1049">
      <c r="A1049" s="1"/>
      <c r="B1049" s="19" t="s">
        <v>2392</v>
      </c>
      <c r="C1049" s="20" t="s">
        <v>5315</v>
      </c>
      <c r="D1049" s="47"/>
      <c r="E1049" s="22" t="s">
        <v>5384</v>
      </c>
      <c r="F1049" s="22" t="s">
        <v>2445</v>
      </c>
      <c r="G1049" s="23">
        <v>2005.0</v>
      </c>
      <c r="H1049" s="56" t="s">
        <v>4975</v>
      </c>
      <c r="I1049" s="24" t="s">
        <v>5385</v>
      </c>
      <c r="J1049" s="22" t="s">
        <v>44</v>
      </c>
      <c r="K1049" s="22" t="s">
        <v>294</v>
      </c>
      <c r="L1049" s="36" t="s">
        <v>5386</v>
      </c>
      <c r="M1049" s="36"/>
      <c r="N1049" s="36" t="s">
        <v>1018</v>
      </c>
      <c r="O1049" s="36"/>
      <c r="P1049" s="37" t="s">
        <v>432</v>
      </c>
      <c r="Q1049" s="36"/>
      <c r="R1049" s="36">
        <v>200.0</v>
      </c>
      <c r="S1049" s="36"/>
      <c r="T1049" s="42" t="s">
        <v>5387</v>
      </c>
      <c r="U1049" s="38" t="str">
        <f>HYPERLINK("https://www.ncbi.nlm.nih.gov/pubmed/16076245","PubMed")</f>
        <v>PubMed</v>
      </c>
      <c r="V1049" s="30"/>
      <c r="W1049" s="49"/>
      <c r="X1049" s="49"/>
      <c r="Y1049" s="35"/>
      <c r="Z1049" s="35"/>
      <c r="AA1049" s="35"/>
      <c r="AB1049" s="35"/>
      <c r="AC1049" s="35"/>
      <c r="AD1049" s="35"/>
      <c r="AE1049" s="35"/>
      <c r="AF1049" s="35"/>
      <c r="AG1049" s="35"/>
      <c r="AH1049" s="35"/>
      <c r="AI1049" s="35"/>
      <c r="AJ1049" s="35"/>
      <c r="AK1049" s="35"/>
      <c r="AL1049" s="35"/>
    </row>
    <row r="1050" ht="24.75" customHeight="1">
      <c r="A1050" s="89"/>
      <c r="B1050" s="19" t="s">
        <v>2392</v>
      </c>
      <c r="C1050" s="20" t="s">
        <v>5388</v>
      </c>
      <c r="D1050" s="47"/>
      <c r="E1050" s="56" t="s">
        <v>5389</v>
      </c>
      <c r="F1050" s="57" t="s">
        <v>5390</v>
      </c>
      <c r="G1050" s="57">
        <v>2005.0</v>
      </c>
      <c r="H1050" s="22" t="s">
        <v>53</v>
      </c>
      <c r="I1050" s="58" t="s">
        <v>5391</v>
      </c>
      <c r="J1050" s="22" t="s">
        <v>31</v>
      </c>
      <c r="K1050" s="22"/>
      <c r="L1050" s="36">
        <v>810.0</v>
      </c>
      <c r="M1050" s="36">
        <v>150.0</v>
      </c>
      <c r="N1050" s="36"/>
      <c r="O1050" s="36"/>
      <c r="P1050" s="37" t="s">
        <v>5392</v>
      </c>
      <c r="Q1050" s="36"/>
      <c r="R1050" s="36"/>
      <c r="S1050" s="36"/>
      <c r="T1050" s="54" t="s">
        <v>5393</v>
      </c>
      <c r="U1050" s="38" t="str">
        <f>HYPERLINK("https://www.ncbi.nlm.nih.gov/pubmed/16037971","PubMed")</f>
        <v>PubMed</v>
      </c>
      <c r="V1050" s="50"/>
      <c r="W1050" s="49"/>
      <c r="X1050" s="49"/>
      <c r="Y1050" s="35"/>
      <c r="Z1050" s="35"/>
      <c r="AA1050" s="35"/>
      <c r="AB1050" s="35"/>
      <c r="AC1050" s="35"/>
      <c r="AD1050" s="35"/>
      <c r="AE1050" s="35"/>
      <c r="AF1050" s="35"/>
      <c r="AG1050" s="35"/>
      <c r="AH1050" s="35"/>
      <c r="AI1050" s="35"/>
      <c r="AJ1050" s="35"/>
      <c r="AK1050" s="35"/>
      <c r="AL1050" s="35"/>
    </row>
    <row r="1051" ht="24.75" customHeight="1">
      <c r="A1051" s="89"/>
      <c r="B1051" s="75" t="s">
        <v>2392</v>
      </c>
      <c r="C1051" s="77" t="s">
        <v>5394</v>
      </c>
      <c r="D1051" s="47"/>
      <c r="E1051" s="56" t="s">
        <v>2668</v>
      </c>
      <c r="F1051" s="57" t="s">
        <v>1905</v>
      </c>
      <c r="G1051" s="57">
        <v>2021.0</v>
      </c>
      <c r="H1051" s="22" t="s">
        <v>2392</v>
      </c>
      <c r="I1051" s="58" t="s">
        <v>5395</v>
      </c>
      <c r="J1051" s="22" t="s">
        <v>31</v>
      </c>
      <c r="K1051" s="22" t="s">
        <v>5396</v>
      </c>
      <c r="L1051" s="52">
        <v>660.0</v>
      </c>
      <c r="M1051" s="52"/>
      <c r="N1051" s="52"/>
      <c r="O1051" s="52"/>
      <c r="P1051" s="189"/>
      <c r="Q1051" s="52"/>
      <c r="R1051" s="52"/>
      <c r="S1051" s="52"/>
      <c r="T1051" s="54" t="s">
        <v>5397</v>
      </c>
      <c r="U1051" s="29" t="s">
        <v>61</v>
      </c>
      <c r="V1051" s="50"/>
      <c r="W1051" s="49"/>
      <c r="X1051" s="49"/>
      <c r="Y1051" s="35"/>
      <c r="Z1051" s="35"/>
      <c r="AA1051" s="35"/>
      <c r="AB1051" s="35"/>
      <c r="AC1051" s="35"/>
      <c r="AD1051" s="35"/>
      <c r="AE1051" s="35"/>
      <c r="AF1051" s="35"/>
      <c r="AG1051" s="35"/>
      <c r="AH1051" s="35"/>
      <c r="AI1051" s="35"/>
      <c r="AJ1051" s="35"/>
      <c r="AK1051" s="35"/>
      <c r="AL1051" s="35"/>
    </row>
    <row r="1052" ht="24.75" customHeight="1">
      <c r="A1052" s="89"/>
      <c r="B1052" s="19" t="s">
        <v>2392</v>
      </c>
      <c r="C1052" s="20" t="s">
        <v>5394</v>
      </c>
      <c r="D1052" s="47"/>
      <c r="E1052" s="56" t="s">
        <v>5398</v>
      </c>
      <c r="F1052" s="57" t="s">
        <v>1617</v>
      </c>
      <c r="G1052" s="57">
        <v>2021.0</v>
      </c>
      <c r="H1052" s="22" t="s">
        <v>147</v>
      </c>
      <c r="I1052" s="58" t="s">
        <v>5399</v>
      </c>
      <c r="J1052" s="22" t="s">
        <v>31</v>
      </c>
      <c r="K1052" s="22" t="s">
        <v>5400</v>
      </c>
      <c r="L1052" s="52">
        <v>810.0</v>
      </c>
      <c r="M1052" s="52"/>
      <c r="N1052" s="52"/>
      <c r="O1052" s="52"/>
      <c r="P1052" s="189" t="s">
        <v>5401</v>
      </c>
      <c r="Q1052" s="52"/>
      <c r="R1052" s="52"/>
      <c r="S1052" s="52"/>
      <c r="T1052" s="54" t="s">
        <v>5402</v>
      </c>
      <c r="U1052" s="29" t="s">
        <v>61</v>
      </c>
      <c r="V1052" s="50"/>
      <c r="W1052" s="49"/>
      <c r="X1052" s="49"/>
      <c r="Y1052" s="35"/>
      <c r="Z1052" s="35"/>
      <c r="AA1052" s="35"/>
      <c r="AB1052" s="35"/>
      <c r="AC1052" s="35"/>
      <c r="AD1052" s="35"/>
      <c r="AE1052" s="35"/>
      <c r="AF1052" s="35"/>
      <c r="AG1052" s="35"/>
      <c r="AH1052" s="35"/>
      <c r="AI1052" s="35"/>
      <c r="AJ1052" s="35"/>
      <c r="AK1052" s="35"/>
      <c r="AL1052" s="35"/>
    </row>
    <row r="1053" ht="24.75" customHeight="1">
      <c r="A1053" s="89"/>
      <c r="B1053" s="19" t="s">
        <v>2392</v>
      </c>
      <c r="C1053" s="20" t="s">
        <v>5394</v>
      </c>
      <c r="D1053" s="47"/>
      <c r="E1053" s="56" t="s">
        <v>5403</v>
      </c>
      <c r="F1053" s="57" t="s">
        <v>5404</v>
      </c>
      <c r="G1053" s="57">
        <v>2021.0</v>
      </c>
      <c r="H1053" s="22" t="s">
        <v>3940</v>
      </c>
      <c r="I1053" s="58" t="s">
        <v>5405</v>
      </c>
      <c r="J1053" s="22" t="s">
        <v>31</v>
      </c>
      <c r="K1053" s="22" t="s">
        <v>5406</v>
      </c>
      <c r="L1053" s="52" t="s">
        <v>5407</v>
      </c>
      <c r="M1053" s="52"/>
      <c r="N1053" s="52"/>
      <c r="O1053" s="52"/>
      <c r="P1053" s="189"/>
      <c r="Q1053" s="52"/>
      <c r="R1053" s="52"/>
      <c r="S1053" s="52"/>
      <c r="T1053" s="102" t="s">
        <v>5408</v>
      </c>
      <c r="U1053" s="29" t="s">
        <v>61</v>
      </c>
      <c r="V1053" s="50"/>
      <c r="W1053" s="49"/>
      <c r="X1053" s="49"/>
      <c r="Y1053" s="35"/>
      <c r="Z1053" s="35"/>
      <c r="AA1053" s="35"/>
      <c r="AB1053" s="35"/>
      <c r="AC1053" s="35"/>
      <c r="AD1053" s="35"/>
      <c r="AE1053" s="35"/>
      <c r="AF1053" s="35"/>
      <c r="AG1053" s="35"/>
      <c r="AH1053" s="35"/>
      <c r="AI1053" s="35"/>
      <c r="AJ1053" s="35"/>
      <c r="AK1053" s="35"/>
      <c r="AL1053" s="35"/>
    </row>
    <row r="1054" ht="24.75" customHeight="1">
      <c r="A1054" s="89"/>
      <c r="B1054" s="19" t="s">
        <v>2392</v>
      </c>
      <c r="C1054" s="20" t="s">
        <v>5394</v>
      </c>
      <c r="D1054" s="47"/>
      <c r="E1054" s="56" t="s">
        <v>5409</v>
      </c>
      <c r="F1054" s="57" t="s">
        <v>274</v>
      </c>
      <c r="G1054" s="57">
        <v>2020.0</v>
      </c>
      <c r="H1054" s="22" t="s">
        <v>77</v>
      </c>
      <c r="I1054" s="58" t="s">
        <v>5410</v>
      </c>
      <c r="J1054" s="22" t="s">
        <v>31</v>
      </c>
      <c r="K1054" s="22" t="s">
        <v>1240</v>
      </c>
      <c r="L1054" s="52">
        <v>660.0</v>
      </c>
      <c r="M1054" s="52">
        <v>40.0</v>
      </c>
      <c r="N1054" s="52"/>
      <c r="O1054" s="52"/>
      <c r="P1054" s="189"/>
      <c r="Q1054" s="52"/>
      <c r="R1054" s="52"/>
      <c r="S1054" s="52"/>
      <c r="T1054" s="54" t="s">
        <v>5411</v>
      </c>
      <c r="U1054" s="38" t="str">
        <f>HYPERLINK("https://www.ncbi.nlm.nih.gov/pubmed/32208063","PubMed")</f>
        <v>PubMed</v>
      </c>
      <c r="V1054" s="50"/>
      <c r="W1054" s="49"/>
      <c r="X1054" s="49"/>
      <c r="Y1054" s="35"/>
      <c r="Z1054" s="35"/>
      <c r="AA1054" s="35"/>
      <c r="AB1054" s="35"/>
      <c r="AC1054" s="35"/>
      <c r="AD1054" s="35"/>
      <c r="AE1054" s="35"/>
      <c r="AF1054" s="35"/>
      <c r="AG1054" s="35"/>
      <c r="AH1054" s="35"/>
      <c r="AI1054" s="35"/>
      <c r="AJ1054" s="35"/>
      <c r="AK1054" s="35"/>
      <c r="AL1054" s="35"/>
    </row>
    <row r="1055" ht="24.75" customHeight="1">
      <c r="A1055" s="89"/>
      <c r="B1055" s="19" t="s">
        <v>2392</v>
      </c>
      <c r="C1055" s="20" t="s">
        <v>5394</v>
      </c>
      <c r="D1055" s="47"/>
      <c r="E1055" s="56" t="s">
        <v>1689</v>
      </c>
      <c r="F1055" s="57" t="s">
        <v>2196</v>
      </c>
      <c r="G1055" s="57">
        <v>2020.0</v>
      </c>
      <c r="H1055" s="22" t="s">
        <v>3292</v>
      </c>
      <c r="I1055" s="58" t="s">
        <v>5412</v>
      </c>
      <c r="J1055" s="22" t="s">
        <v>31</v>
      </c>
      <c r="K1055" s="22" t="s">
        <v>5413</v>
      </c>
      <c r="L1055" s="52" t="s">
        <v>5414</v>
      </c>
      <c r="M1055" s="52"/>
      <c r="N1055" s="52"/>
      <c r="O1055" s="52"/>
      <c r="P1055" s="189"/>
      <c r="Q1055" s="52"/>
      <c r="R1055" s="52"/>
      <c r="S1055" s="52"/>
      <c r="T1055" s="54" t="s">
        <v>5415</v>
      </c>
      <c r="U1055" s="38" t="str">
        <f>HYPERLINK("https://www.ncbi.nlm.nih.gov/pubmed/32187726","PubMed")</f>
        <v>PubMed</v>
      </c>
      <c r="V1055" s="50"/>
      <c r="W1055" s="49"/>
      <c r="X1055" s="49"/>
      <c r="Y1055" s="35"/>
      <c r="Z1055" s="35"/>
      <c r="AA1055" s="35"/>
      <c r="AB1055" s="35"/>
      <c r="AC1055" s="35"/>
      <c r="AD1055" s="35"/>
      <c r="AE1055" s="35"/>
      <c r="AF1055" s="35"/>
      <c r="AG1055" s="35"/>
      <c r="AH1055" s="35"/>
      <c r="AI1055" s="35"/>
      <c r="AJ1055" s="35"/>
      <c r="AK1055" s="35"/>
      <c r="AL1055" s="35"/>
    </row>
    <row r="1056" ht="24.75" customHeight="1">
      <c r="A1056" s="89"/>
      <c r="B1056" s="19" t="s">
        <v>2392</v>
      </c>
      <c r="C1056" s="20" t="s">
        <v>5394</v>
      </c>
      <c r="D1056" s="47"/>
      <c r="E1056" s="56" t="s">
        <v>2583</v>
      </c>
      <c r="F1056" s="57" t="s">
        <v>5416</v>
      </c>
      <c r="G1056" s="57">
        <v>2020.0</v>
      </c>
      <c r="H1056" s="22" t="s">
        <v>91</v>
      </c>
      <c r="I1056" s="58" t="s">
        <v>5417</v>
      </c>
      <c r="J1056" s="22" t="s">
        <v>31</v>
      </c>
      <c r="K1056" s="22" t="s">
        <v>157</v>
      </c>
      <c r="L1056" s="52">
        <v>630.0</v>
      </c>
      <c r="M1056" s="52"/>
      <c r="N1056" s="52"/>
      <c r="O1056" s="52"/>
      <c r="P1056" s="189" t="s">
        <v>5418</v>
      </c>
      <c r="Q1056" s="52"/>
      <c r="R1056" s="52"/>
      <c r="S1056" s="52"/>
      <c r="T1056" s="102" t="s">
        <v>5419</v>
      </c>
      <c r="U1056" s="38" t="str">
        <f>HYPERLINK("https://www.ncbi.nlm.nih.gov/pubmed/32162133","PubMed")</f>
        <v>PubMed</v>
      </c>
      <c r="V1056" s="50"/>
      <c r="W1056" s="49"/>
      <c r="X1056" s="49"/>
      <c r="Y1056" s="35"/>
      <c r="Z1056" s="35"/>
      <c r="AA1056" s="35"/>
      <c r="AB1056" s="35"/>
      <c r="AC1056" s="35"/>
      <c r="AD1056" s="35"/>
      <c r="AE1056" s="35"/>
      <c r="AF1056" s="35"/>
      <c r="AG1056" s="35"/>
      <c r="AH1056" s="35"/>
      <c r="AI1056" s="35"/>
      <c r="AJ1056" s="35"/>
      <c r="AK1056" s="35"/>
      <c r="AL1056" s="35"/>
    </row>
    <row r="1057" ht="24.75" customHeight="1">
      <c r="A1057" s="89"/>
      <c r="B1057" s="19" t="s">
        <v>2392</v>
      </c>
      <c r="C1057" s="20" t="s">
        <v>5394</v>
      </c>
      <c r="D1057" s="47"/>
      <c r="E1057" s="56" t="s">
        <v>1080</v>
      </c>
      <c r="F1057" s="57" t="s">
        <v>4448</v>
      </c>
      <c r="G1057" s="57">
        <v>2020.0</v>
      </c>
      <c r="H1057" s="22" t="s">
        <v>5420</v>
      </c>
      <c r="I1057" s="58" t="s">
        <v>5421</v>
      </c>
      <c r="J1057" s="22" t="s">
        <v>31</v>
      </c>
      <c r="K1057" s="22" t="s">
        <v>1413</v>
      </c>
      <c r="L1057" s="52" t="s">
        <v>5422</v>
      </c>
      <c r="M1057" s="52"/>
      <c r="N1057" s="52"/>
      <c r="O1057" s="52"/>
      <c r="P1057" s="189"/>
      <c r="Q1057" s="52"/>
      <c r="R1057" s="52"/>
      <c r="S1057" s="52"/>
      <c r="T1057" s="54" t="s">
        <v>5423</v>
      </c>
      <c r="U1057" s="38" t="str">
        <f>HYPERLINK("https://onlinelibrary.wiley.com/doi/abs/10.1002/adbi.201900227","Wiley")</f>
        <v>Wiley</v>
      </c>
      <c r="V1057" s="50"/>
      <c r="W1057" s="49"/>
      <c r="X1057" s="49"/>
      <c r="Y1057" s="35"/>
      <c r="Z1057" s="35"/>
      <c r="AA1057" s="35"/>
      <c r="AB1057" s="35"/>
      <c r="AC1057" s="35"/>
      <c r="AD1057" s="35"/>
      <c r="AE1057" s="35"/>
      <c r="AF1057" s="35"/>
      <c r="AG1057" s="35"/>
      <c r="AH1057" s="35"/>
      <c r="AI1057" s="35"/>
      <c r="AJ1057" s="35"/>
      <c r="AK1057" s="35"/>
      <c r="AL1057" s="35"/>
    </row>
    <row r="1058" ht="24.75" customHeight="1">
      <c r="A1058" s="89"/>
      <c r="B1058" s="19" t="s">
        <v>2392</v>
      </c>
      <c r="C1058" s="20" t="s">
        <v>5394</v>
      </c>
      <c r="D1058" s="217"/>
      <c r="E1058" s="218" t="s">
        <v>5424</v>
      </c>
      <c r="F1058" s="219" t="s">
        <v>5425</v>
      </c>
      <c r="G1058" s="219">
        <v>2019.0</v>
      </c>
      <c r="H1058" s="178" t="s">
        <v>91</v>
      </c>
      <c r="I1058" s="220" t="s">
        <v>5426</v>
      </c>
      <c r="J1058" s="22" t="s">
        <v>125</v>
      </c>
      <c r="K1058" s="178"/>
      <c r="L1058" s="53" t="s">
        <v>5427</v>
      </c>
      <c r="U1058" s="221" t="str">
        <f>HYPERLINK("https://www.ncbi.nlm.nih.gov/pubmed/31154598","PubMed")</f>
        <v>PubMed</v>
      </c>
      <c r="V1058" s="50"/>
      <c r="W1058" s="49"/>
      <c r="X1058" s="49"/>
      <c r="Y1058" s="35"/>
      <c r="Z1058" s="35"/>
      <c r="AA1058" s="35"/>
      <c r="AB1058" s="35"/>
      <c r="AC1058" s="35"/>
      <c r="AD1058" s="35"/>
      <c r="AE1058" s="35"/>
      <c r="AF1058" s="35"/>
      <c r="AG1058" s="35"/>
      <c r="AH1058" s="35"/>
      <c r="AI1058" s="35"/>
      <c r="AJ1058" s="35"/>
      <c r="AK1058" s="35"/>
      <c r="AL1058" s="35"/>
    </row>
    <row r="1059" ht="24.75" customHeight="1">
      <c r="A1059" s="18"/>
      <c r="B1059" s="19" t="s">
        <v>2392</v>
      </c>
      <c r="C1059" s="20" t="s">
        <v>5394</v>
      </c>
      <c r="D1059" s="47"/>
      <c r="E1059" s="56" t="s">
        <v>5428</v>
      </c>
      <c r="F1059" s="57" t="s">
        <v>5429</v>
      </c>
      <c r="G1059" s="57">
        <v>2017.0</v>
      </c>
      <c r="H1059" s="22" t="s">
        <v>5430</v>
      </c>
      <c r="I1059" s="58" t="s">
        <v>5431</v>
      </c>
      <c r="J1059" s="22" t="s">
        <v>125</v>
      </c>
      <c r="K1059" s="22"/>
      <c r="L1059" s="173" t="s">
        <v>5432</v>
      </c>
      <c r="U1059" s="38" t="str">
        <f>HYPERLINK("https://www.ncbi.nlm.nih.gov/pubmed/29044355","PubMed")</f>
        <v>PubMed</v>
      </c>
      <c r="V1059" s="50"/>
      <c r="W1059" s="49"/>
      <c r="X1059" s="49"/>
      <c r="Y1059" s="35"/>
      <c r="Z1059" s="35"/>
      <c r="AA1059" s="35"/>
      <c r="AB1059" s="35"/>
      <c r="AC1059" s="35"/>
      <c r="AD1059" s="35"/>
      <c r="AE1059" s="35"/>
      <c r="AF1059" s="35"/>
      <c r="AG1059" s="35"/>
      <c r="AH1059" s="35"/>
      <c r="AI1059" s="35"/>
      <c r="AJ1059" s="35"/>
      <c r="AK1059" s="35"/>
      <c r="AL1059" s="35"/>
    </row>
    <row r="1060" ht="24.75" customHeight="1">
      <c r="A1060" s="18"/>
      <c r="B1060" s="19" t="s">
        <v>2392</v>
      </c>
      <c r="C1060" s="20" t="s">
        <v>5394</v>
      </c>
      <c r="D1060" s="47"/>
      <c r="E1060" s="56" t="s">
        <v>5433</v>
      </c>
      <c r="F1060" s="57" t="s">
        <v>5434</v>
      </c>
      <c r="G1060" s="57">
        <v>2018.0</v>
      </c>
      <c r="H1060" s="22" t="s">
        <v>147</v>
      </c>
      <c r="I1060" s="58" t="s">
        <v>5435</v>
      </c>
      <c r="J1060" s="22" t="s">
        <v>31</v>
      </c>
      <c r="K1060" s="22" t="s">
        <v>5436</v>
      </c>
      <c r="L1060" s="52">
        <v>633.0</v>
      </c>
      <c r="M1060" s="52"/>
      <c r="N1060" s="52" t="s">
        <v>2554</v>
      </c>
      <c r="O1060" s="52"/>
      <c r="P1060" s="189"/>
      <c r="Q1060" s="52"/>
      <c r="R1060" s="52"/>
      <c r="S1060" s="52"/>
      <c r="T1060" s="54" t="s">
        <v>5437</v>
      </c>
      <c r="U1060" s="38" t="str">
        <f>HYPERLINK("https://www.ncbi.nlm.nih.gov/pubmed/31119019","PubMed")</f>
        <v>PubMed</v>
      </c>
      <c r="V1060" s="50"/>
      <c r="W1060" s="49"/>
      <c r="X1060" s="49"/>
      <c r="Y1060" s="35"/>
      <c r="Z1060" s="35"/>
      <c r="AA1060" s="35"/>
      <c r="AB1060" s="35"/>
      <c r="AC1060" s="35"/>
      <c r="AD1060" s="35"/>
      <c r="AE1060" s="35"/>
      <c r="AF1060" s="35"/>
      <c r="AG1060" s="35"/>
      <c r="AH1060" s="35"/>
      <c r="AI1060" s="35"/>
      <c r="AJ1060" s="35"/>
      <c r="AK1060" s="35"/>
      <c r="AL1060" s="35"/>
    </row>
    <row r="1061" ht="24.75" customHeight="1">
      <c r="A1061" s="18" t="s">
        <v>2</v>
      </c>
      <c r="B1061" s="19" t="s">
        <v>2392</v>
      </c>
      <c r="C1061" s="20" t="s">
        <v>5394</v>
      </c>
      <c r="D1061" s="47"/>
      <c r="E1061" s="56" t="s">
        <v>5438</v>
      </c>
      <c r="F1061" s="57" t="s">
        <v>1603</v>
      </c>
      <c r="G1061" s="57">
        <v>2017.0</v>
      </c>
      <c r="H1061" s="22" t="s">
        <v>2181</v>
      </c>
      <c r="I1061" s="58" t="s">
        <v>5439</v>
      </c>
      <c r="J1061" s="22" t="s">
        <v>31</v>
      </c>
      <c r="K1061" s="22" t="s">
        <v>5440</v>
      </c>
      <c r="L1061" s="36" t="s">
        <v>5441</v>
      </c>
      <c r="M1061" s="36"/>
      <c r="N1061" s="36" t="s">
        <v>3587</v>
      </c>
      <c r="O1061" s="36"/>
      <c r="P1061" s="37" t="s">
        <v>822</v>
      </c>
      <c r="Q1061" s="36"/>
      <c r="R1061" s="36"/>
      <c r="S1061" s="36" t="s">
        <v>5442</v>
      </c>
      <c r="T1061" s="54" t="s">
        <v>5443</v>
      </c>
      <c r="U1061" s="38" t="str">
        <f>HYPERLINK("https://www.ncbi.nlm.nih.gov/pubmed/28878330","PubMed")</f>
        <v>PubMed</v>
      </c>
      <c r="V1061" s="50"/>
      <c r="W1061" s="49"/>
      <c r="X1061" s="49"/>
      <c r="Y1061" s="35"/>
      <c r="Z1061" s="35"/>
      <c r="AA1061" s="35"/>
      <c r="AB1061" s="35"/>
      <c r="AC1061" s="35"/>
      <c r="AD1061" s="35"/>
      <c r="AE1061" s="35"/>
      <c r="AF1061" s="35"/>
      <c r="AG1061" s="35"/>
      <c r="AH1061" s="35"/>
      <c r="AI1061" s="35"/>
      <c r="AJ1061" s="35"/>
      <c r="AK1061" s="35"/>
      <c r="AL1061" s="35"/>
    </row>
    <row r="1062" ht="24.75" customHeight="1">
      <c r="A1062" s="18"/>
      <c r="B1062" s="19" t="s">
        <v>2392</v>
      </c>
      <c r="C1062" s="20" t="s">
        <v>5394</v>
      </c>
      <c r="D1062" s="47"/>
      <c r="E1062" s="56" t="s">
        <v>5444</v>
      </c>
      <c r="F1062" s="57" t="s">
        <v>323</v>
      </c>
      <c r="G1062" s="57">
        <v>2017.0</v>
      </c>
      <c r="H1062" s="56" t="s">
        <v>147</v>
      </c>
      <c r="I1062" s="58" t="s">
        <v>5445</v>
      </c>
      <c r="J1062" s="22" t="s">
        <v>31</v>
      </c>
      <c r="K1062" s="22" t="s">
        <v>5446</v>
      </c>
      <c r="L1062" s="36">
        <v>660.0</v>
      </c>
      <c r="M1062" s="36">
        <v>35.0</v>
      </c>
      <c r="N1062" s="36"/>
      <c r="O1062" s="36"/>
      <c r="P1062" s="37" t="s">
        <v>5447</v>
      </c>
      <c r="Q1062" s="36"/>
      <c r="R1062" s="36"/>
      <c r="S1062" s="36"/>
      <c r="T1062" s="102" t="s">
        <v>5448</v>
      </c>
      <c r="U1062" s="38" t="str">
        <f>HYPERLINK("https://www.ncbi.nlm.nih.gov/pubmed/29071035","PubMed")</f>
        <v>PubMed</v>
      </c>
      <c r="V1062" s="50"/>
      <c r="W1062" s="49"/>
      <c r="X1062" s="49"/>
      <c r="Y1062" s="35"/>
      <c r="Z1062" s="35"/>
      <c r="AA1062" s="35"/>
      <c r="AB1062" s="35"/>
      <c r="AC1062" s="35"/>
      <c r="AD1062" s="35"/>
      <c r="AE1062" s="35"/>
      <c r="AF1062" s="35"/>
      <c r="AG1062" s="35"/>
      <c r="AH1062" s="35"/>
      <c r="AI1062" s="35"/>
      <c r="AJ1062" s="35"/>
      <c r="AK1062" s="35"/>
      <c r="AL1062" s="35"/>
    </row>
    <row r="1063" ht="24.75" customHeight="1">
      <c r="A1063" s="18"/>
      <c r="B1063" s="19" t="s">
        <v>2392</v>
      </c>
      <c r="C1063" s="20" t="s">
        <v>5394</v>
      </c>
      <c r="D1063" s="47"/>
      <c r="E1063" s="56" t="s">
        <v>5449</v>
      </c>
      <c r="F1063" s="57" t="s">
        <v>720</v>
      </c>
      <c r="G1063" s="57" t="s">
        <v>90</v>
      </c>
      <c r="H1063" s="56" t="s">
        <v>91</v>
      </c>
      <c r="I1063" s="58" t="s">
        <v>5450</v>
      </c>
      <c r="J1063" s="22" t="s">
        <v>31</v>
      </c>
      <c r="K1063" s="22"/>
      <c r="L1063" s="36">
        <v>660.0</v>
      </c>
      <c r="M1063" s="36"/>
      <c r="N1063" s="36"/>
      <c r="O1063" s="36"/>
      <c r="P1063" s="37" t="s">
        <v>5451</v>
      </c>
      <c r="Q1063" s="36"/>
      <c r="R1063" s="36"/>
      <c r="S1063" s="36"/>
      <c r="T1063" s="54" t="s">
        <v>5452</v>
      </c>
      <c r="U1063" s="38" t="str">
        <f>HYPERLINK("https://www.ncbi.nlm.nih.gov/pubmed/29027031","PubMed")</f>
        <v>PubMed</v>
      </c>
      <c r="V1063" s="50"/>
      <c r="W1063" s="49"/>
      <c r="X1063" s="49"/>
      <c r="Y1063" s="35"/>
      <c r="Z1063" s="35"/>
      <c r="AA1063" s="35"/>
      <c r="AB1063" s="35"/>
      <c r="AC1063" s="35"/>
      <c r="AD1063" s="35"/>
      <c r="AE1063" s="35"/>
      <c r="AF1063" s="35"/>
      <c r="AG1063" s="35"/>
      <c r="AH1063" s="35"/>
      <c r="AI1063" s="35"/>
      <c r="AJ1063" s="35"/>
      <c r="AK1063" s="35"/>
      <c r="AL1063" s="35"/>
    </row>
    <row r="1064" ht="24.75" customHeight="1">
      <c r="A1064" s="18"/>
      <c r="B1064" s="19" t="s">
        <v>2392</v>
      </c>
      <c r="C1064" s="20" t="s">
        <v>5394</v>
      </c>
      <c r="D1064" s="47"/>
      <c r="E1064" s="56" t="s">
        <v>5453</v>
      </c>
      <c r="F1064" s="57" t="s">
        <v>41</v>
      </c>
      <c r="G1064" s="57" t="s">
        <v>90</v>
      </c>
      <c r="H1064" s="56" t="s">
        <v>658</v>
      </c>
      <c r="I1064" s="58" t="s">
        <v>5454</v>
      </c>
      <c r="J1064" s="22" t="s">
        <v>31</v>
      </c>
      <c r="K1064" s="22" t="s">
        <v>5455</v>
      </c>
      <c r="L1064" s="36">
        <v>630.0</v>
      </c>
      <c r="M1064" s="36">
        <v>75.0</v>
      </c>
      <c r="N1064" s="36" t="s">
        <v>5456</v>
      </c>
      <c r="O1064" s="36"/>
      <c r="P1064" s="37" t="s">
        <v>5457</v>
      </c>
      <c r="Q1064" s="36"/>
      <c r="R1064" s="36"/>
      <c r="S1064" s="36"/>
      <c r="T1064" s="102" t="s">
        <v>5458</v>
      </c>
      <c r="U1064" s="38" t="str">
        <f>HYPERLINK("https://www.ncbi.nlm.nih.gov/pubmed/28937927","PubMed")</f>
        <v>PubMed</v>
      </c>
      <c r="V1064" s="50"/>
      <c r="W1064" s="49"/>
      <c r="X1064" s="49"/>
      <c r="Y1064" s="35"/>
      <c r="Z1064" s="35"/>
      <c r="AA1064" s="35"/>
      <c r="AB1064" s="35"/>
      <c r="AC1064" s="35"/>
      <c r="AD1064" s="35"/>
      <c r="AE1064" s="35"/>
      <c r="AF1064" s="35"/>
      <c r="AG1064" s="35"/>
      <c r="AH1064" s="35"/>
      <c r="AI1064" s="35"/>
      <c r="AJ1064" s="35"/>
      <c r="AK1064" s="35"/>
      <c r="AL1064" s="35"/>
    </row>
    <row r="1065" ht="24.75" customHeight="1">
      <c r="A1065" s="18" t="s">
        <v>2</v>
      </c>
      <c r="B1065" s="19" t="s">
        <v>2392</v>
      </c>
      <c r="C1065" s="20" t="s">
        <v>5394</v>
      </c>
      <c r="D1065" s="47"/>
      <c r="E1065" s="56" t="s">
        <v>5459</v>
      </c>
      <c r="F1065" s="57" t="s">
        <v>308</v>
      </c>
      <c r="G1065" s="57" t="s">
        <v>90</v>
      </c>
      <c r="H1065" s="56" t="s">
        <v>4975</v>
      </c>
      <c r="I1065" s="58" t="s">
        <v>5460</v>
      </c>
      <c r="J1065" s="22" t="s">
        <v>1776</v>
      </c>
      <c r="K1065" s="22" t="s">
        <v>5461</v>
      </c>
      <c r="L1065" s="36">
        <v>780.0</v>
      </c>
      <c r="M1065" s="36">
        <v>25.0</v>
      </c>
      <c r="N1065" s="36"/>
      <c r="O1065" s="36"/>
      <c r="P1065" s="37" t="s">
        <v>1341</v>
      </c>
      <c r="Q1065" s="36"/>
      <c r="R1065" s="36"/>
      <c r="S1065" s="36"/>
      <c r="T1065" s="54" t="s">
        <v>5462</v>
      </c>
      <c r="U1065" s="38" t="str">
        <f>HYPERLINK("https://www.ncbi.nlm.nih.gov/pubmed/28940556","PubMed")</f>
        <v>PubMed</v>
      </c>
      <c r="V1065" s="50"/>
      <c r="W1065" s="49"/>
      <c r="X1065" s="49"/>
      <c r="Y1065" s="35"/>
      <c r="Z1065" s="35"/>
      <c r="AA1065" s="35"/>
      <c r="AB1065" s="35"/>
      <c r="AC1065" s="35"/>
      <c r="AD1065" s="35"/>
      <c r="AE1065" s="35"/>
      <c r="AF1065" s="35"/>
      <c r="AG1065" s="35"/>
      <c r="AH1065" s="35"/>
      <c r="AI1065" s="35"/>
      <c r="AJ1065" s="35"/>
      <c r="AK1065" s="35"/>
      <c r="AL1065" s="35"/>
    </row>
    <row r="1066" ht="24.75" customHeight="1">
      <c r="A1066" s="89"/>
      <c r="B1066" s="19" t="s">
        <v>2392</v>
      </c>
      <c r="C1066" s="20" t="s">
        <v>5394</v>
      </c>
      <c r="D1066" s="47"/>
      <c r="E1066" s="56" t="s">
        <v>850</v>
      </c>
      <c r="F1066" s="57" t="s">
        <v>41</v>
      </c>
      <c r="G1066" s="57" t="s">
        <v>90</v>
      </c>
      <c r="H1066" s="56" t="s">
        <v>91</v>
      </c>
      <c r="I1066" s="58" t="s">
        <v>5463</v>
      </c>
      <c r="J1066" s="22" t="s">
        <v>31</v>
      </c>
      <c r="K1066" s="22" t="s">
        <v>5464</v>
      </c>
      <c r="L1066" s="36">
        <v>660.0</v>
      </c>
      <c r="M1066" s="36"/>
      <c r="N1066" s="36"/>
      <c r="O1066" s="36"/>
      <c r="P1066" s="37"/>
      <c r="Q1066" s="36"/>
      <c r="R1066" s="36"/>
      <c r="S1066" s="36"/>
      <c r="T1066" s="103" t="s">
        <v>5465</v>
      </c>
      <c r="U1066" s="38" t="str">
        <f>HYPERLINK("https://www.ncbi.nlm.nih.gov/pubmed/28801810","PubMed")</f>
        <v>PubMed</v>
      </c>
      <c r="V1066" s="50"/>
      <c r="W1066" s="49"/>
      <c r="X1066" s="49"/>
      <c r="Y1066" s="35"/>
      <c r="Z1066" s="35"/>
      <c r="AA1066" s="35"/>
      <c r="AB1066" s="35"/>
      <c r="AC1066" s="35"/>
      <c r="AD1066" s="35"/>
      <c r="AE1066" s="35"/>
      <c r="AF1066" s="35"/>
      <c r="AG1066" s="35"/>
      <c r="AH1066" s="35"/>
      <c r="AI1066" s="35"/>
      <c r="AJ1066" s="35"/>
      <c r="AK1066" s="35"/>
      <c r="AL1066" s="35"/>
    </row>
    <row r="1067" ht="24.75" customHeight="1">
      <c r="A1067" s="89"/>
      <c r="B1067" s="19" t="s">
        <v>2392</v>
      </c>
      <c r="C1067" s="20" t="s">
        <v>5394</v>
      </c>
      <c r="D1067" s="47"/>
      <c r="E1067" s="56" t="s">
        <v>5459</v>
      </c>
      <c r="F1067" s="57" t="s">
        <v>308</v>
      </c>
      <c r="G1067" s="57" t="s">
        <v>90</v>
      </c>
      <c r="H1067" s="56" t="s">
        <v>91</v>
      </c>
      <c r="I1067" s="58" t="s">
        <v>5466</v>
      </c>
      <c r="J1067" s="22" t="s">
        <v>31</v>
      </c>
      <c r="K1067" s="22" t="s">
        <v>5467</v>
      </c>
      <c r="L1067" s="36">
        <v>780.0</v>
      </c>
      <c r="M1067" s="36">
        <v>25.0</v>
      </c>
      <c r="N1067" s="36"/>
      <c r="O1067" s="36"/>
      <c r="P1067" s="37" t="s">
        <v>1786</v>
      </c>
      <c r="Q1067" s="36"/>
      <c r="R1067" s="36"/>
      <c r="S1067" s="36"/>
      <c r="T1067" s="103" t="s">
        <v>5468</v>
      </c>
      <c r="U1067" s="38" t="str">
        <f>HYPERLINK("https://www.ncbi.nlm.nih.gov/pubmed/28285410","PubMed")</f>
        <v>PubMed</v>
      </c>
      <c r="V1067" s="50"/>
      <c r="W1067" s="49"/>
      <c r="X1067" s="49"/>
      <c r="Y1067" s="35"/>
      <c r="Z1067" s="35"/>
      <c r="AA1067" s="35"/>
      <c r="AB1067" s="35"/>
      <c r="AC1067" s="35"/>
      <c r="AD1067" s="35"/>
      <c r="AE1067" s="35"/>
      <c r="AF1067" s="35"/>
      <c r="AG1067" s="35"/>
      <c r="AH1067" s="35"/>
      <c r="AI1067" s="35"/>
      <c r="AJ1067" s="35"/>
      <c r="AK1067" s="35"/>
      <c r="AL1067" s="35"/>
    </row>
    <row r="1068" ht="24.75" customHeight="1">
      <c r="A1068" s="89"/>
      <c r="B1068" s="19" t="s">
        <v>2392</v>
      </c>
      <c r="C1068" s="20" t="s">
        <v>5394</v>
      </c>
      <c r="D1068" s="47"/>
      <c r="E1068" s="56" t="s">
        <v>5469</v>
      </c>
      <c r="F1068" s="57" t="s">
        <v>1370</v>
      </c>
      <c r="G1068" s="57">
        <v>2016.0</v>
      </c>
      <c r="H1068" s="56" t="s">
        <v>91</v>
      </c>
      <c r="I1068" s="58" t="s">
        <v>5470</v>
      </c>
      <c r="J1068" s="22" t="s">
        <v>649</v>
      </c>
      <c r="K1068" s="22" t="s">
        <v>5471</v>
      </c>
      <c r="L1068" s="105" t="s">
        <v>5472</v>
      </c>
      <c r="M1068" s="44"/>
      <c r="N1068" s="44"/>
      <c r="O1068" s="44"/>
      <c r="P1068" s="44"/>
      <c r="Q1068" s="44"/>
      <c r="R1068" s="44"/>
      <c r="S1068" s="44"/>
      <c r="T1068" s="45"/>
      <c r="U1068" s="38" t="str">
        <f>HYPERLINK("https://www.ncbi.nlm.nih.gov/pubmed/27422104","PubMed")</f>
        <v>PubMed</v>
      </c>
      <c r="V1068" s="50"/>
      <c r="W1068" s="49"/>
      <c r="X1068" s="49"/>
      <c r="Y1068" s="35"/>
      <c r="Z1068" s="35"/>
      <c r="AA1068" s="35"/>
      <c r="AB1068" s="35"/>
      <c r="AC1068" s="35"/>
      <c r="AD1068" s="35"/>
      <c r="AE1068" s="35"/>
      <c r="AF1068" s="35"/>
      <c r="AG1068" s="35"/>
      <c r="AH1068" s="35"/>
      <c r="AI1068" s="35"/>
      <c r="AJ1068" s="35"/>
      <c r="AK1068" s="35"/>
      <c r="AL1068" s="35"/>
    </row>
    <row r="1069" ht="31.5" customHeight="1">
      <c r="A1069" s="89"/>
      <c r="B1069" s="19" t="s">
        <v>2392</v>
      </c>
      <c r="C1069" s="20" t="s">
        <v>5394</v>
      </c>
      <c r="D1069" s="47"/>
      <c r="E1069" s="56" t="s">
        <v>835</v>
      </c>
      <c r="F1069" s="57" t="s">
        <v>720</v>
      </c>
      <c r="G1069" s="57">
        <v>2015.0</v>
      </c>
      <c r="H1069" s="56" t="s">
        <v>91</v>
      </c>
      <c r="I1069" s="58" t="s">
        <v>5473</v>
      </c>
      <c r="J1069" s="22" t="s">
        <v>31</v>
      </c>
      <c r="K1069" s="22" t="s">
        <v>1112</v>
      </c>
      <c r="L1069" s="36">
        <v>660.0</v>
      </c>
      <c r="M1069" s="36">
        <v>30.0</v>
      </c>
      <c r="N1069" s="36"/>
      <c r="O1069" s="36"/>
      <c r="P1069" s="37" t="s">
        <v>5451</v>
      </c>
      <c r="Q1069" s="36"/>
      <c r="R1069" s="36"/>
      <c r="S1069" s="36"/>
      <c r="T1069" s="137" t="s">
        <v>5474</v>
      </c>
      <c r="U1069" s="38" t="str">
        <f>HYPERLINK("https://www.ncbi.nlm.nih.gov/pubmed/24013624","PubMed")</f>
        <v>PubMed</v>
      </c>
      <c r="V1069" s="50"/>
      <c r="W1069" s="49"/>
      <c r="X1069" s="49"/>
      <c r="Y1069" s="35"/>
      <c r="Z1069" s="35"/>
      <c r="AA1069" s="35"/>
      <c r="AB1069" s="35"/>
      <c r="AC1069" s="35"/>
      <c r="AD1069" s="35"/>
      <c r="AE1069" s="35"/>
      <c r="AF1069" s="35"/>
      <c r="AG1069" s="35"/>
      <c r="AH1069" s="35"/>
      <c r="AI1069" s="35"/>
      <c r="AJ1069" s="35"/>
      <c r="AK1069" s="35"/>
      <c r="AL1069" s="35"/>
    </row>
    <row r="1070" ht="31.5" customHeight="1">
      <c r="A1070" s="89"/>
      <c r="B1070" s="19" t="s">
        <v>2392</v>
      </c>
      <c r="C1070" s="20" t="s">
        <v>5394</v>
      </c>
      <c r="D1070" s="47"/>
      <c r="E1070" s="56" t="s">
        <v>5475</v>
      </c>
      <c r="F1070" s="57" t="s">
        <v>224</v>
      </c>
      <c r="G1070" s="57">
        <v>2015.0</v>
      </c>
      <c r="H1070" s="56" t="s">
        <v>627</v>
      </c>
      <c r="I1070" s="58" t="s">
        <v>5476</v>
      </c>
      <c r="J1070" s="22" t="s">
        <v>31</v>
      </c>
      <c r="K1070" s="22" t="s">
        <v>5477</v>
      </c>
      <c r="L1070" s="36" t="s">
        <v>5478</v>
      </c>
      <c r="M1070" s="36"/>
      <c r="N1070" s="36"/>
      <c r="O1070" s="36"/>
      <c r="P1070" s="37"/>
      <c r="Q1070" s="36"/>
      <c r="R1070" s="36"/>
      <c r="S1070" s="36"/>
      <c r="T1070" s="137" t="s">
        <v>5479</v>
      </c>
      <c r="U1070" s="38" t="str">
        <f>HYPERLINK("https://www.ncbi.nlm.nih.gov/pubmed/26382065","PubMed")</f>
        <v>PubMed</v>
      </c>
      <c r="V1070" s="50"/>
      <c r="W1070" s="49"/>
      <c r="X1070" s="49"/>
      <c r="Y1070" s="35"/>
      <c r="Z1070" s="35"/>
      <c r="AA1070" s="35"/>
      <c r="AB1070" s="35"/>
      <c r="AC1070" s="35"/>
      <c r="AD1070" s="35"/>
      <c r="AE1070" s="35"/>
      <c r="AF1070" s="35"/>
      <c r="AG1070" s="35"/>
      <c r="AH1070" s="35"/>
      <c r="AI1070" s="35"/>
      <c r="AJ1070" s="35"/>
      <c r="AK1070" s="35"/>
      <c r="AL1070" s="35"/>
    </row>
    <row r="1071" ht="31.5" customHeight="1">
      <c r="A1071" s="89"/>
      <c r="B1071" s="19" t="s">
        <v>2392</v>
      </c>
      <c r="C1071" s="20" t="s">
        <v>5394</v>
      </c>
      <c r="D1071" s="47"/>
      <c r="E1071" s="56" t="s">
        <v>850</v>
      </c>
      <c r="F1071" s="57" t="s">
        <v>510</v>
      </c>
      <c r="G1071" s="57">
        <v>2014.0</v>
      </c>
      <c r="H1071" s="56" t="s">
        <v>5480</v>
      </c>
      <c r="I1071" s="58" t="s">
        <v>5481</v>
      </c>
      <c r="J1071" s="22" t="s">
        <v>31</v>
      </c>
      <c r="K1071" s="22" t="s">
        <v>294</v>
      </c>
      <c r="L1071" s="36" t="s">
        <v>1206</v>
      </c>
      <c r="M1071" s="36"/>
      <c r="N1071" s="36"/>
      <c r="O1071" s="36"/>
      <c r="P1071" s="37" t="s">
        <v>5482</v>
      </c>
      <c r="Q1071" s="36"/>
      <c r="R1071" s="36"/>
      <c r="S1071" s="36"/>
      <c r="T1071" s="222" t="s">
        <v>5483</v>
      </c>
      <c r="U1071" s="38" t="str">
        <f>HYPERLINK("https://www.ncbi.nlm.nih.gov/pubmed/25092826","PubMed")</f>
        <v>PubMed</v>
      </c>
      <c r="V1071" s="50"/>
      <c r="W1071" s="49"/>
      <c r="X1071" s="49"/>
      <c r="Y1071" s="35"/>
      <c r="Z1071" s="35"/>
      <c r="AA1071" s="35"/>
      <c r="AB1071" s="35"/>
      <c r="AC1071" s="35"/>
      <c r="AD1071" s="35"/>
      <c r="AE1071" s="35"/>
      <c r="AF1071" s="35"/>
      <c r="AG1071" s="35"/>
      <c r="AH1071" s="35"/>
      <c r="AI1071" s="35"/>
      <c r="AJ1071" s="35"/>
      <c r="AK1071" s="35"/>
      <c r="AL1071" s="35"/>
    </row>
    <row r="1072" ht="31.5" customHeight="1">
      <c r="A1072" s="89"/>
      <c r="B1072" s="19" t="s">
        <v>2392</v>
      </c>
      <c r="C1072" s="20" t="s">
        <v>5394</v>
      </c>
      <c r="D1072" s="47"/>
      <c r="E1072" s="56" t="s">
        <v>4490</v>
      </c>
      <c r="F1072" s="57" t="s">
        <v>65</v>
      </c>
      <c r="G1072" s="57">
        <v>2014.0</v>
      </c>
      <c r="H1072" s="56" t="s">
        <v>658</v>
      </c>
      <c r="I1072" s="58" t="s">
        <v>5484</v>
      </c>
      <c r="J1072" s="22" t="s">
        <v>31</v>
      </c>
      <c r="K1072" s="22" t="s">
        <v>5485</v>
      </c>
      <c r="L1072" s="36">
        <v>633.0</v>
      </c>
      <c r="M1072" s="36"/>
      <c r="N1072" s="36"/>
      <c r="O1072" s="36"/>
      <c r="P1072" s="37" t="s">
        <v>269</v>
      </c>
      <c r="Q1072" s="36"/>
      <c r="R1072" s="36"/>
      <c r="S1072" s="36"/>
      <c r="T1072" s="137" t="s">
        <v>5486</v>
      </c>
      <c r="U1072" s="38" t="str">
        <f>HYPERLINK("https://www.ncbi.nlm.nih.gov/pubmed/24661127","PubMed")</f>
        <v>PubMed</v>
      </c>
      <c r="V1072" s="50"/>
      <c r="W1072" s="49"/>
      <c r="X1072" s="49"/>
      <c r="Y1072" s="35"/>
      <c r="Z1072" s="35"/>
      <c r="AA1072" s="35"/>
      <c r="AB1072" s="35"/>
      <c r="AC1072" s="35"/>
      <c r="AD1072" s="35"/>
      <c r="AE1072" s="35"/>
      <c r="AF1072" s="35"/>
      <c r="AG1072" s="35"/>
      <c r="AH1072" s="35"/>
      <c r="AI1072" s="35"/>
      <c r="AJ1072" s="35"/>
      <c r="AK1072" s="35"/>
      <c r="AL1072" s="35"/>
    </row>
    <row r="1073" ht="31.5" customHeight="1">
      <c r="A1073" s="89"/>
      <c r="B1073" s="19" t="s">
        <v>2392</v>
      </c>
      <c r="C1073" s="20" t="s">
        <v>5394</v>
      </c>
      <c r="D1073" s="47"/>
      <c r="E1073" s="56" t="s">
        <v>5487</v>
      </c>
      <c r="F1073" s="57" t="s">
        <v>5488</v>
      </c>
      <c r="G1073" s="57">
        <v>2013.0</v>
      </c>
      <c r="H1073" s="56" t="s">
        <v>5489</v>
      </c>
      <c r="I1073" s="58" t="s">
        <v>5490</v>
      </c>
      <c r="J1073" s="22" t="s">
        <v>31</v>
      </c>
      <c r="K1073" s="22" t="s">
        <v>5491</v>
      </c>
      <c r="L1073" s="36">
        <v>830.0</v>
      </c>
      <c r="M1073" s="36"/>
      <c r="N1073" s="36"/>
      <c r="O1073" s="36"/>
      <c r="P1073" s="37" t="s">
        <v>5492</v>
      </c>
      <c r="Q1073" s="36"/>
      <c r="R1073" s="36"/>
      <c r="S1073" s="36"/>
      <c r="T1073" s="137" t="s">
        <v>5493</v>
      </c>
      <c r="U1073" s="38" t="str">
        <f>HYPERLINK("https://www.ncbi.nlm.nih.gov/pubmed/23279196","PubMed")</f>
        <v>PubMed</v>
      </c>
      <c r="V1073" s="50"/>
      <c r="W1073" s="49"/>
      <c r="X1073" s="49"/>
      <c r="Y1073" s="35"/>
      <c r="Z1073" s="35"/>
      <c r="AA1073" s="35"/>
      <c r="AB1073" s="35"/>
      <c r="AC1073" s="35"/>
      <c r="AD1073" s="35"/>
      <c r="AE1073" s="35"/>
      <c r="AF1073" s="35"/>
      <c r="AG1073" s="35"/>
      <c r="AH1073" s="35"/>
      <c r="AI1073" s="35"/>
      <c r="AJ1073" s="35"/>
      <c r="AK1073" s="35"/>
      <c r="AL1073" s="35"/>
    </row>
    <row r="1074" ht="31.5" customHeight="1">
      <c r="A1074" s="89"/>
      <c r="B1074" s="19" t="s">
        <v>2392</v>
      </c>
      <c r="C1074" s="20" t="s">
        <v>5394</v>
      </c>
      <c r="D1074" s="47"/>
      <c r="E1074" s="56" t="s">
        <v>5487</v>
      </c>
      <c r="F1074" s="57" t="s">
        <v>5488</v>
      </c>
      <c r="G1074" s="57">
        <v>2013.0</v>
      </c>
      <c r="H1074" s="56" t="s">
        <v>5489</v>
      </c>
      <c r="I1074" s="58" t="s">
        <v>5494</v>
      </c>
      <c r="J1074" s="22" t="s">
        <v>31</v>
      </c>
      <c r="K1074" s="22" t="s">
        <v>5491</v>
      </c>
      <c r="L1074" s="36">
        <v>633.0</v>
      </c>
      <c r="M1074" s="36"/>
      <c r="N1074" s="36"/>
      <c r="O1074" s="36"/>
      <c r="P1074" s="37" t="s">
        <v>5495</v>
      </c>
      <c r="Q1074" s="36"/>
      <c r="R1074" s="36"/>
      <c r="S1074" s="36"/>
      <c r="T1074" s="137" t="s">
        <v>5496</v>
      </c>
      <c r="U1074" s="38" t="str">
        <f>HYPERLINK("https://www.ncbi.nlm.nih.gov/pubmed/23590233","PubMed")</f>
        <v>PubMed</v>
      </c>
      <c r="V1074" s="50"/>
      <c r="W1074" s="49"/>
      <c r="X1074" s="49"/>
      <c r="Y1074" s="35"/>
      <c r="Z1074" s="35"/>
      <c r="AA1074" s="35"/>
      <c r="AB1074" s="35"/>
      <c r="AC1074" s="35"/>
      <c r="AD1074" s="35"/>
      <c r="AE1074" s="35"/>
      <c r="AF1074" s="35"/>
      <c r="AG1074" s="35"/>
      <c r="AH1074" s="35"/>
      <c r="AI1074" s="35"/>
      <c r="AJ1074" s="35"/>
      <c r="AK1074" s="35"/>
      <c r="AL1074" s="35"/>
    </row>
    <row r="1075" ht="31.5" customHeight="1">
      <c r="A1075" s="89"/>
      <c r="B1075" s="75" t="s">
        <v>2392</v>
      </c>
      <c r="C1075" s="77" t="s">
        <v>5394</v>
      </c>
      <c r="D1075" s="47"/>
      <c r="E1075" s="56" t="s">
        <v>2338</v>
      </c>
      <c r="F1075" s="57" t="s">
        <v>5497</v>
      </c>
      <c r="G1075" s="57">
        <v>2012.0</v>
      </c>
      <c r="H1075" s="56" t="s">
        <v>1000</v>
      </c>
      <c r="I1075" s="58" t="s">
        <v>5498</v>
      </c>
      <c r="J1075" s="22" t="s">
        <v>31</v>
      </c>
      <c r="K1075" s="22" t="s">
        <v>294</v>
      </c>
      <c r="L1075" s="36" t="s">
        <v>5499</v>
      </c>
      <c r="M1075" s="36"/>
      <c r="N1075" s="36"/>
      <c r="O1075" s="36"/>
      <c r="P1075" s="37"/>
      <c r="Q1075" s="36"/>
      <c r="R1075" s="36"/>
      <c r="S1075" s="36"/>
      <c r="T1075" s="222" t="s">
        <v>5500</v>
      </c>
      <c r="U1075" s="38" t="str">
        <f>HYPERLINK("https://www.hindawi.com/journals/ijp/2012/290796/","Hindawi")</f>
        <v>Hindawi</v>
      </c>
      <c r="V1075" s="50"/>
      <c r="W1075" s="49"/>
      <c r="X1075" s="49"/>
      <c r="Y1075" s="35"/>
      <c r="Z1075" s="35"/>
      <c r="AA1075" s="35"/>
      <c r="AB1075" s="35"/>
      <c r="AC1075" s="35"/>
      <c r="AD1075" s="35"/>
      <c r="AE1075" s="35"/>
      <c r="AF1075" s="35"/>
      <c r="AG1075" s="35"/>
      <c r="AH1075" s="35"/>
      <c r="AI1075" s="35"/>
      <c r="AJ1075" s="35"/>
      <c r="AK1075" s="35"/>
      <c r="AL1075" s="35"/>
    </row>
    <row r="1076" ht="31.5" customHeight="1">
      <c r="A1076" s="89"/>
      <c r="B1076" s="75" t="s">
        <v>2392</v>
      </c>
      <c r="C1076" s="77" t="s">
        <v>5394</v>
      </c>
      <c r="D1076" s="47"/>
      <c r="E1076" s="56" t="s">
        <v>1904</v>
      </c>
      <c r="F1076" s="57" t="s">
        <v>1622</v>
      </c>
      <c r="G1076" s="57">
        <v>2012.0</v>
      </c>
      <c r="H1076" s="56" t="s">
        <v>658</v>
      </c>
      <c r="I1076" s="58" t="s">
        <v>5501</v>
      </c>
      <c r="J1076" s="22" t="s">
        <v>31</v>
      </c>
      <c r="K1076" s="22" t="s">
        <v>5502</v>
      </c>
      <c r="L1076" s="36" t="s">
        <v>5503</v>
      </c>
      <c r="M1076" s="36"/>
      <c r="N1076" s="36" t="s">
        <v>5504</v>
      </c>
      <c r="O1076" s="36"/>
      <c r="P1076" s="37" t="s">
        <v>5505</v>
      </c>
      <c r="Q1076" s="36"/>
      <c r="R1076" s="36" t="s">
        <v>2631</v>
      </c>
      <c r="S1076" s="36"/>
      <c r="T1076" s="137" t="s">
        <v>5506</v>
      </c>
      <c r="U1076" s="38" t="str">
        <f>HYPERLINK("https://www.ncbi.nlm.nih.gov/pubmed/22775489","PubMed")</f>
        <v>PubMed</v>
      </c>
      <c r="V1076" s="50"/>
      <c r="W1076" s="49"/>
      <c r="X1076" s="49"/>
      <c r="Y1076" s="35"/>
      <c r="Z1076" s="35"/>
      <c r="AA1076" s="35"/>
      <c r="AB1076" s="35"/>
      <c r="AC1076" s="35"/>
      <c r="AD1076" s="35"/>
      <c r="AE1076" s="35"/>
      <c r="AF1076" s="35"/>
      <c r="AG1076" s="35"/>
      <c r="AH1076" s="35"/>
      <c r="AI1076" s="35"/>
      <c r="AJ1076" s="35"/>
      <c r="AK1076" s="35"/>
      <c r="AL1076" s="35"/>
    </row>
    <row r="1077" ht="31.5" customHeight="1">
      <c r="A1077" s="89"/>
      <c r="B1077" s="75" t="s">
        <v>2392</v>
      </c>
      <c r="C1077" s="77" t="s">
        <v>5394</v>
      </c>
      <c r="D1077" s="47"/>
      <c r="E1077" s="56" t="s">
        <v>5507</v>
      </c>
      <c r="F1077" s="57" t="s">
        <v>1943</v>
      </c>
      <c r="G1077" s="57">
        <v>2012.0</v>
      </c>
      <c r="H1077" s="56" t="s">
        <v>5508</v>
      </c>
      <c r="I1077" s="58" t="s">
        <v>5509</v>
      </c>
      <c r="J1077" s="22" t="s">
        <v>31</v>
      </c>
      <c r="K1077" s="22" t="s">
        <v>5510</v>
      </c>
      <c r="L1077" s="36">
        <v>633.0</v>
      </c>
      <c r="M1077" s="36"/>
      <c r="N1077" s="36"/>
      <c r="O1077" s="36"/>
      <c r="P1077" s="37" t="s">
        <v>5511</v>
      </c>
      <c r="Q1077" s="36"/>
      <c r="R1077" s="36"/>
      <c r="S1077" s="36"/>
      <c r="T1077" s="137" t="s">
        <v>5512</v>
      </c>
      <c r="U1077" s="38" t="str">
        <f>HYPERLINK("https://journals.lww.com/ejhistology/Fulltext/2012/12000/Stimulatory_effect_of_helium_neon_laser.13.aspx","LWW")</f>
        <v>LWW</v>
      </c>
      <c r="V1077" s="50"/>
      <c r="W1077" s="49"/>
      <c r="X1077" s="49"/>
      <c r="Y1077" s="35"/>
      <c r="Z1077" s="35"/>
      <c r="AA1077" s="35"/>
      <c r="AB1077" s="35"/>
      <c r="AC1077" s="35"/>
      <c r="AD1077" s="35"/>
      <c r="AE1077" s="35"/>
      <c r="AF1077" s="35"/>
      <c r="AG1077" s="35"/>
      <c r="AH1077" s="35"/>
      <c r="AI1077" s="35"/>
      <c r="AJ1077" s="35"/>
      <c r="AK1077" s="35"/>
      <c r="AL1077" s="35"/>
    </row>
    <row r="1078" ht="31.5" customHeight="1">
      <c r="A1078" s="89"/>
      <c r="B1078" s="75" t="s">
        <v>2392</v>
      </c>
      <c r="C1078" s="77" t="s">
        <v>5394</v>
      </c>
      <c r="D1078" s="47"/>
      <c r="E1078" s="56" t="s">
        <v>5513</v>
      </c>
      <c r="F1078" s="57" t="s">
        <v>5514</v>
      </c>
      <c r="G1078" s="57">
        <v>2012.0</v>
      </c>
      <c r="H1078" s="56" t="s">
        <v>91</v>
      </c>
      <c r="I1078" s="58" t="s">
        <v>5515</v>
      </c>
      <c r="J1078" s="22" t="s">
        <v>125</v>
      </c>
      <c r="K1078" s="22"/>
      <c r="L1078" s="105" t="s">
        <v>5516</v>
      </c>
      <c r="M1078" s="44"/>
      <c r="N1078" s="44"/>
      <c r="O1078" s="44"/>
      <c r="P1078" s="44"/>
      <c r="Q1078" s="44"/>
      <c r="R1078" s="44"/>
      <c r="S1078" s="44"/>
      <c r="T1078" s="45"/>
      <c r="U1078" s="38" t="str">
        <f>HYPERLINK("https://www.ncbi.nlm.nih.gov/pubmed/21274733","PubMed")</f>
        <v>PubMed</v>
      </c>
      <c r="V1078" s="50"/>
      <c r="W1078" s="49"/>
      <c r="X1078" s="49"/>
      <c r="Y1078" s="35"/>
      <c r="Z1078" s="35"/>
      <c r="AA1078" s="35"/>
      <c r="AB1078" s="35"/>
      <c r="AC1078" s="35"/>
      <c r="AD1078" s="35"/>
      <c r="AE1078" s="35"/>
      <c r="AF1078" s="35"/>
      <c r="AG1078" s="35"/>
      <c r="AH1078" s="35"/>
      <c r="AI1078" s="35"/>
      <c r="AJ1078" s="35"/>
      <c r="AK1078" s="35"/>
      <c r="AL1078" s="35"/>
    </row>
    <row r="1079" ht="31.5" customHeight="1">
      <c r="A1079" s="89"/>
      <c r="B1079" s="19" t="s">
        <v>2392</v>
      </c>
      <c r="C1079" s="20" t="s">
        <v>5394</v>
      </c>
      <c r="D1079" s="47"/>
      <c r="E1079" s="56" t="s">
        <v>5517</v>
      </c>
      <c r="F1079" s="57" t="s">
        <v>1398</v>
      </c>
      <c r="G1079" s="57">
        <v>2011.0</v>
      </c>
      <c r="H1079" s="56" t="s">
        <v>5518</v>
      </c>
      <c r="I1079" s="58" t="s">
        <v>5519</v>
      </c>
      <c r="J1079" s="22" t="s">
        <v>31</v>
      </c>
      <c r="K1079" s="22" t="s">
        <v>5520</v>
      </c>
      <c r="L1079" s="36"/>
      <c r="M1079" s="36"/>
      <c r="N1079" s="36"/>
      <c r="O1079" s="36"/>
      <c r="P1079" s="37" t="s">
        <v>5521</v>
      </c>
      <c r="Q1079" s="36"/>
      <c r="R1079" s="36"/>
      <c r="S1079" s="36"/>
      <c r="T1079" s="222" t="s">
        <v>5522</v>
      </c>
      <c r="U1079" s="38" t="str">
        <f>HYPERLINK("https://www.ncbi.nlm.nih.gov/pubmed/21701122","PubMed")</f>
        <v>PubMed</v>
      </c>
      <c r="V1079" s="50"/>
      <c r="W1079" s="49"/>
      <c r="X1079" s="49"/>
      <c r="Y1079" s="35"/>
      <c r="Z1079" s="35"/>
      <c r="AA1079" s="35"/>
      <c r="AB1079" s="35"/>
      <c r="AC1079" s="35"/>
      <c r="AD1079" s="35"/>
      <c r="AE1079" s="35"/>
      <c r="AF1079" s="35"/>
      <c r="AG1079" s="35"/>
      <c r="AH1079" s="35"/>
      <c r="AI1079" s="35"/>
      <c r="AJ1079" s="35"/>
      <c r="AK1079" s="35"/>
      <c r="AL1079" s="35"/>
    </row>
    <row r="1080" ht="31.5" customHeight="1">
      <c r="A1080" s="89"/>
      <c r="B1080" s="19" t="s">
        <v>2392</v>
      </c>
      <c r="C1080" s="20" t="s">
        <v>5394</v>
      </c>
      <c r="D1080" s="47"/>
      <c r="E1080" s="56" t="s">
        <v>5523</v>
      </c>
      <c r="F1080" s="57" t="s">
        <v>400</v>
      </c>
      <c r="G1080" s="57">
        <v>2001.0</v>
      </c>
      <c r="H1080" s="56" t="s">
        <v>53</v>
      </c>
      <c r="I1080" s="58" t="s">
        <v>5524</v>
      </c>
      <c r="J1080" s="22" t="s">
        <v>31</v>
      </c>
      <c r="K1080" s="22" t="s">
        <v>5525</v>
      </c>
      <c r="L1080" s="36" t="s">
        <v>5526</v>
      </c>
      <c r="M1080" s="36"/>
      <c r="N1080" s="36"/>
      <c r="O1080" s="36"/>
      <c r="P1080" s="37" t="s">
        <v>5527</v>
      </c>
      <c r="Q1080" s="36"/>
      <c r="R1080" s="36"/>
      <c r="S1080" s="36"/>
      <c r="T1080" s="137" t="s">
        <v>5528</v>
      </c>
      <c r="U1080" s="215"/>
      <c r="V1080" s="50"/>
      <c r="W1080" s="49"/>
      <c r="X1080" s="49"/>
      <c r="Y1080" s="35"/>
      <c r="Z1080" s="35"/>
      <c r="AA1080" s="35"/>
      <c r="AB1080" s="35"/>
      <c r="AC1080" s="35"/>
      <c r="AD1080" s="35"/>
      <c r="AE1080" s="35"/>
      <c r="AF1080" s="35"/>
      <c r="AG1080" s="35"/>
      <c r="AH1080" s="35"/>
      <c r="AI1080" s="35"/>
      <c r="AJ1080" s="35"/>
      <c r="AK1080" s="35"/>
      <c r="AL1080" s="35"/>
    </row>
    <row r="1081" ht="31.5" customHeight="1">
      <c r="A1081" s="89"/>
      <c r="B1081" s="19" t="s">
        <v>2392</v>
      </c>
      <c r="C1081" s="20" t="s">
        <v>5394</v>
      </c>
      <c r="D1081" s="47"/>
      <c r="E1081" s="56" t="s">
        <v>5529</v>
      </c>
      <c r="F1081" s="57" t="s">
        <v>4582</v>
      </c>
      <c r="G1081" s="57">
        <v>2010.0</v>
      </c>
      <c r="H1081" s="56" t="s">
        <v>658</v>
      </c>
      <c r="I1081" s="58" t="s">
        <v>5530</v>
      </c>
      <c r="J1081" s="22" t="s">
        <v>649</v>
      </c>
      <c r="K1081" s="22"/>
      <c r="L1081" s="105" t="s">
        <v>5531</v>
      </c>
      <c r="M1081" s="44"/>
      <c r="N1081" s="44"/>
      <c r="O1081" s="44"/>
      <c r="P1081" s="44"/>
      <c r="Q1081" s="44"/>
      <c r="R1081" s="44"/>
      <c r="S1081" s="44"/>
      <c r="T1081" s="45"/>
      <c r="U1081" s="38" t="str">
        <f>HYPERLINK("https://www.ncbi.nlm.nih.gov/pubmed/20666617","PubMed")</f>
        <v>PubMed</v>
      </c>
      <c r="V1081" s="50"/>
      <c r="W1081" s="49"/>
      <c r="X1081" s="49"/>
      <c r="Y1081" s="35"/>
      <c r="Z1081" s="35"/>
      <c r="AA1081" s="35"/>
      <c r="AB1081" s="35"/>
      <c r="AC1081" s="35"/>
      <c r="AD1081" s="35"/>
      <c r="AE1081" s="35"/>
      <c r="AF1081" s="35"/>
      <c r="AG1081" s="35"/>
      <c r="AH1081" s="35"/>
      <c r="AI1081" s="35"/>
      <c r="AJ1081" s="35"/>
      <c r="AK1081" s="35"/>
      <c r="AL1081" s="35"/>
    </row>
    <row r="1082" ht="31.5" customHeight="1">
      <c r="A1082" s="89"/>
      <c r="B1082" s="19" t="s">
        <v>2392</v>
      </c>
      <c r="C1082" s="20" t="s">
        <v>5394</v>
      </c>
      <c r="D1082" s="47"/>
      <c r="E1082" s="56" t="s">
        <v>5532</v>
      </c>
      <c r="F1082" s="57" t="s">
        <v>183</v>
      </c>
      <c r="G1082" s="57">
        <v>2010.0</v>
      </c>
      <c r="H1082" s="56" t="s">
        <v>658</v>
      </c>
      <c r="I1082" s="58" t="s">
        <v>5533</v>
      </c>
      <c r="J1082" s="22" t="s">
        <v>31</v>
      </c>
      <c r="K1082" s="22" t="s">
        <v>5534</v>
      </c>
      <c r="L1082" s="36" t="s">
        <v>5535</v>
      </c>
      <c r="M1082" s="36" t="s">
        <v>5536</v>
      </c>
      <c r="N1082" s="129"/>
      <c r="O1082" s="36"/>
      <c r="P1082" s="37" t="s">
        <v>5537</v>
      </c>
      <c r="Q1082" s="36"/>
      <c r="R1082" s="36"/>
      <c r="S1082" s="36" t="s">
        <v>5538</v>
      </c>
      <c r="T1082" s="54" t="s">
        <v>5539</v>
      </c>
      <c r="U1082" s="38" t="str">
        <f>HYPERLINK("https://www.ncbi.nlm.nih.gov/pubmed/20001321","PubMed")</f>
        <v>PubMed</v>
      </c>
      <c r="V1082" s="50"/>
      <c r="W1082" s="49"/>
      <c r="X1082" s="49"/>
      <c r="Y1082" s="35"/>
      <c r="Z1082" s="35"/>
      <c r="AA1082" s="35"/>
      <c r="AB1082" s="35"/>
      <c r="AC1082" s="35"/>
      <c r="AD1082" s="35"/>
      <c r="AE1082" s="35"/>
      <c r="AF1082" s="35"/>
      <c r="AG1082" s="35"/>
      <c r="AH1082" s="35"/>
      <c r="AI1082" s="35"/>
      <c r="AJ1082" s="35"/>
      <c r="AK1082" s="35"/>
      <c r="AL1082" s="35"/>
    </row>
    <row r="1083" ht="31.5" customHeight="1">
      <c r="A1083" s="89"/>
      <c r="B1083" s="19" t="s">
        <v>2392</v>
      </c>
      <c r="C1083" s="20" t="s">
        <v>5394</v>
      </c>
      <c r="D1083" s="47"/>
      <c r="E1083" s="56" t="s">
        <v>5540</v>
      </c>
      <c r="F1083" s="57" t="s">
        <v>41</v>
      </c>
      <c r="G1083" s="57">
        <v>2010.0</v>
      </c>
      <c r="H1083" s="56" t="s">
        <v>658</v>
      </c>
      <c r="I1083" s="58" t="s">
        <v>5541</v>
      </c>
      <c r="J1083" s="22" t="s">
        <v>31</v>
      </c>
      <c r="K1083" s="22" t="s">
        <v>5542</v>
      </c>
      <c r="L1083" s="36">
        <v>660.0</v>
      </c>
      <c r="M1083" s="36">
        <v>50.0</v>
      </c>
      <c r="N1083" s="129">
        <v>42857.0</v>
      </c>
      <c r="O1083" s="36" t="s">
        <v>5543</v>
      </c>
      <c r="P1083" s="37" t="s">
        <v>5544</v>
      </c>
      <c r="Q1083" s="36" t="s">
        <v>5545</v>
      </c>
      <c r="R1083" s="36" t="s">
        <v>5546</v>
      </c>
      <c r="S1083" s="36">
        <v>3.0</v>
      </c>
      <c r="T1083" s="102" t="s">
        <v>5547</v>
      </c>
      <c r="U1083" s="38" t="str">
        <f>HYPERLINK("https://www.ncbi.nlm.nih.gov/pubmed/19764894","PubMed")</f>
        <v>PubMed</v>
      </c>
      <c r="V1083" s="50"/>
      <c r="W1083" s="49"/>
      <c r="X1083" s="49"/>
      <c r="Y1083" s="35"/>
      <c r="Z1083" s="35"/>
      <c r="AA1083" s="35"/>
      <c r="AB1083" s="35"/>
      <c r="AC1083" s="35"/>
      <c r="AD1083" s="35"/>
      <c r="AE1083" s="35"/>
      <c r="AF1083" s="35"/>
      <c r="AG1083" s="35"/>
      <c r="AH1083" s="35"/>
      <c r="AI1083" s="35"/>
      <c r="AJ1083" s="35"/>
      <c r="AK1083" s="35"/>
      <c r="AL1083" s="35"/>
    </row>
    <row r="1084" ht="31.5" customHeight="1">
      <c r="A1084" s="89"/>
      <c r="B1084" s="19" t="s">
        <v>2392</v>
      </c>
      <c r="C1084" s="20" t="s">
        <v>5394</v>
      </c>
      <c r="D1084" s="47"/>
      <c r="E1084" s="56" t="s">
        <v>2032</v>
      </c>
      <c r="F1084" s="57" t="s">
        <v>41</v>
      </c>
      <c r="G1084" s="57">
        <v>2010.0</v>
      </c>
      <c r="H1084" s="56" t="s">
        <v>658</v>
      </c>
      <c r="I1084" s="58" t="s">
        <v>5548</v>
      </c>
      <c r="J1084" s="22" t="s">
        <v>31</v>
      </c>
      <c r="K1084" s="22" t="s">
        <v>1240</v>
      </c>
      <c r="L1084" s="36">
        <v>904.0</v>
      </c>
      <c r="M1084" s="36"/>
      <c r="N1084" s="36"/>
      <c r="O1084" s="36"/>
      <c r="P1084" s="37" t="s">
        <v>5549</v>
      </c>
      <c r="Q1084" s="36"/>
      <c r="R1084" s="36"/>
      <c r="S1084" s="36"/>
      <c r="T1084" s="54" t="s">
        <v>5550</v>
      </c>
      <c r="U1084" s="38" t="str">
        <f>HYPERLINK("https://www.ncbi.nlm.nih.gov/pubmed/20232997","PubMed")</f>
        <v>PubMed</v>
      </c>
      <c r="V1084" s="50"/>
      <c r="W1084" s="49"/>
      <c r="X1084" s="49"/>
      <c r="Y1084" s="35"/>
      <c r="Z1084" s="35"/>
      <c r="AA1084" s="35"/>
      <c r="AB1084" s="35"/>
      <c r="AC1084" s="35"/>
      <c r="AD1084" s="35"/>
      <c r="AE1084" s="35"/>
      <c r="AF1084" s="35"/>
      <c r="AG1084" s="35"/>
      <c r="AH1084" s="35"/>
      <c r="AI1084" s="35"/>
      <c r="AJ1084" s="35"/>
      <c r="AK1084" s="35"/>
      <c r="AL1084" s="35"/>
    </row>
    <row r="1085" ht="31.5" customHeight="1">
      <c r="A1085" s="89"/>
      <c r="B1085" s="19" t="s">
        <v>2392</v>
      </c>
      <c r="C1085" s="20" t="s">
        <v>5394</v>
      </c>
      <c r="D1085" s="47"/>
      <c r="E1085" s="56" t="s">
        <v>5551</v>
      </c>
      <c r="F1085" s="57" t="s">
        <v>5552</v>
      </c>
      <c r="G1085" s="57">
        <v>2009.0</v>
      </c>
      <c r="H1085" s="56" t="s">
        <v>53</v>
      </c>
      <c r="I1085" s="58" t="s">
        <v>5553</v>
      </c>
      <c r="J1085" s="22" t="s">
        <v>31</v>
      </c>
      <c r="K1085" s="22" t="s">
        <v>5554</v>
      </c>
      <c r="L1085" s="36">
        <v>660.0</v>
      </c>
      <c r="M1085" s="36"/>
      <c r="N1085" s="36" t="s">
        <v>1439</v>
      </c>
      <c r="O1085" s="36"/>
      <c r="P1085" s="37" t="s">
        <v>1878</v>
      </c>
      <c r="Q1085" s="36"/>
      <c r="R1085" s="36">
        <v>120.0</v>
      </c>
      <c r="S1085" s="36"/>
      <c r="T1085" s="54" t="s">
        <v>5555</v>
      </c>
      <c r="U1085" s="38" t="str">
        <f>HYPERLINK("https://www.ncbi.nlm.nih.gov/pubmed/19291756","PubMed")</f>
        <v>PubMed</v>
      </c>
      <c r="V1085" s="50"/>
      <c r="W1085" s="49"/>
      <c r="X1085" s="49"/>
      <c r="Y1085" s="35"/>
      <c r="Z1085" s="35"/>
      <c r="AA1085" s="35"/>
      <c r="AB1085" s="35"/>
      <c r="AC1085" s="35"/>
      <c r="AD1085" s="35"/>
      <c r="AE1085" s="35"/>
      <c r="AF1085" s="35"/>
      <c r="AG1085" s="35"/>
      <c r="AH1085" s="35"/>
      <c r="AI1085" s="35"/>
      <c r="AJ1085" s="35"/>
      <c r="AK1085" s="35"/>
      <c r="AL1085" s="35"/>
    </row>
    <row r="1086" ht="31.5" customHeight="1">
      <c r="A1086" s="89"/>
      <c r="B1086" s="19" t="s">
        <v>2392</v>
      </c>
      <c r="C1086" s="20" t="s">
        <v>5394</v>
      </c>
      <c r="D1086" s="47"/>
      <c r="E1086" s="56" t="s">
        <v>5556</v>
      </c>
      <c r="F1086" s="57" t="s">
        <v>5227</v>
      </c>
      <c r="G1086" s="57">
        <v>2009.0</v>
      </c>
      <c r="H1086" s="56" t="s">
        <v>53</v>
      </c>
      <c r="I1086" s="58" t="s">
        <v>5557</v>
      </c>
      <c r="J1086" s="22" t="s">
        <v>31</v>
      </c>
      <c r="K1086" s="22" t="s">
        <v>5558</v>
      </c>
      <c r="L1086" s="36">
        <v>670.0</v>
      </c>
      <c r="M1086" s="36"/>
      <c r="N1086" s="36"/>
      <c r="O1086" s="36"/>
      <c r="P1086" s="37" t="s">
        <v>5559</v>
      </c>
      <c r="Q1086" s="36"/>
      <c r="R1086" s="36"/>
      <c r="S1086" s="36"/>
      <c r="T1086" s="54" t="s">
        <v>5560</v>
      </c>
      <c r="U1086" s="38" t="str">
        <f>HYPERLINK("https://www.ncbi.nlm.nih.gov/pubmed/19291749","PubMed")</f>
        <v>PubMed</v>
      </c>
      <c r="V1086" s="50"/>
      <c r="W1086" s="49"/>
      <c r="X1086" s="49"/>
      <c r="Y1086" s="35"/>
      <c r="Z1086" s="35"/>
      <c r="AA1086" s="35"/>
      <c r="AB1086" s="35"/>
      <c r="AC1086" s="35"/>
      <c r="AD1086" s="35"/>
      <c r="AE1086" s="35"/>
      <c r="AF1086" s="35"/>
      <c r="AG1086" s="35"/>
      <c r="AH1086" s="35"/>
      <c r="AI1086" s="35"/>
      <c r="AJ1086" s="35"/>
      <c r="AK1086" s="35"/>
      <c r="AL1086" s="35"/>
    </row>
    <row r="1087" ht="31.5" customHeight="1">
      <c r="A1087" s="89"/>
      <c r="B1087" s="19" t="s">
        <v>2392</v>
      </c>
      <c r="C1087" s="20" t="s">
        <v>5394</v>
      </c>
      <c r="D1087" s="47"/>
      <c r="E1087" s="56" t="s">
        <v>5561</v>
      </c>
      <c r="F1087" s="113" t="s">
        <v>41</v>
      </c>
      <c r="G1087" s="57">
        <v>2007.0</v>
      </c>
      <c r="H1087" s="56" t="s">
        <v>53</v>
      </c>
      <c r="I1087" s="58" t="s">
        <v>5562</v>
      </c>
      <c r="J1087" s="22" t="s">
        <v>31</v>
      </c>
      <c r="K1087" s="22" t="s">
        <v>5563</v>
      </c>
      <c r="L1087" s="36" t="s">
        <v>1804</v>
      </c>
      <c r="M1087" s="36" t="s">
        <v>5564</v>
      </c>
      <c r="N1087" s="36"/>
      <c r="O1087" s="36"/>
      <c r="P1087" s="37"/>
      <c r="Q1087" s="36"/>
      <c r="R1087" s="36"/>
      <c r="S1087" s="36"/>
      <c r="T1087" s="54" t="s">
        <v>5565</v>
      </c>
      <c r="U1087" s="38" t="str">
        <f>HYPERLINK("https://www.ncbi.nlm.nih.gov/pubmed/17457843","PubMed")</f>
        <v>PubMed</v>
      </c>
      <c r="V1087" s="50"/>
      <c r="W1087" s="49"/>
      <c r="X1087" s="49"/>
      <c r="Y1087" s="35"/>
      <c r="Z1087" s="35"/>
      <c r="AA1087" s="35"/>
      <c r="AB1087" s="35"/>
      <c r="AC1087" s="35"/>
      <c r="AD1087" s="35"/>
      <c r="AE1087" s="35"/>
      <c r="AF1087" s="35"/>
      <c r="AG1087" s="35"/>
      <c r="AH1087" s="35"/>
      <c r="AI1087" s="35"/>
      <c r="AJ1087" s="35"/>
      <c r="AK1087" s="35"/>
      <c r="AL1087" s="35"/>
    </row>
    <row r="1088" ht="31.5" customHeight="1">
      <c r="A1088" s="89"/>
      <c r="B1088" s="19" t="s">
        <v>2392</v>
      </c>
      <c r="C1088" s="20" t="s">
        <v>5394</v>
      </c>
      <c r="D1088" s="47"/>
      <c r="E1088" s="218" t="s">
        <v>5566</v>
      </c>
      <c r="F1088" s="115" t="s">
        <v>5567</v>
      </c>
      <c r="G1088" s="219">
        <v>2007.0</v>
      </c>
      <c r="H1088" s="218" t="s">
        <v>207</v>
      </c>
      <c r="I1088" s="220" t="s">
        <v>5568</v>
      </c>
      <c r="J1088" s="22" t="s">
        <v>31</v>
      </c>
      <c r="K1088" s="22" t="s">
        <v>5569</v>
      </c>
      <c r="L1088" s="36">
        <v>633.0</v>
      </c>
      <c r="M1088" s="36"/>
      <c r="N1088" s="36"/>
      <c r="O1088" s="36"/>
      <c r="P1088" s="37" t="s">
        <v>5570</v>
      </c>
      <c r="Q1088" s="36"/>
      <c r="R1088" s="36"/>
      <c r="S1088" s="36"/>
      <c r="T1088" s="54" t="s">
        <v>5571</v>
      </c>
      <c r="U1088" s="38" t="str">
        <f>HYPERLINK("https://www.ncbi.nlm.nih.gov/pubmed/17224276","PubMed")</f>
        <v>PubMed</v>
      </c>
      <c r="V1088" s="50"/>
      <c r="W1088" s="49"/>
      <c r="X1088" s="49"/>
      <c r="Y1088" s="35"/>
      <c r="Z1088" s="35"/>
      <c r="AA1088" s="35"/>
      <c r="AB1088" s="35"/>
      <c r="AC1088" s="35"/>
      <c r="AD1088" s="35"/>
      <c r="AE1088" s="35"/>
      <c r="AF1088" s="35"/>
      <c r="AG1088" s="35"/>
      <c r="AH1088" s="35"/>
      <c r="AI1088" s="35"/>
      <c r="AJ1088" s="35"/>
      <c r="AK1088" s="35"/>
      <c r="AL1088" s="35"/>
    </row>
    <row r="1089" ht="31.5" customHeight="1">
      <c r="A1089" s="89"/>
      <c r="B1089" s="19" t="s">
        <v>2392</v>
      </c>
      <c r="C1089" s="20" t="s">
        <v>5394</v>
      </c>
      <c r="D1089" s="47"/>
      <c r="E1089" s="56" t="s">
        <v>5572</v>
      </c>
      <c r="F1089" s="57" t="s">
        <v>41</v>
      </c>
      <c r="G1089" s="57">
        <v>2006.0</v>
      </c>
      <c r="H1089" s="56" t="s">
        <v>91</v>
      </c>
      <c r="I1089" s="58" t="s">
        <v>5573</v>
      </c>
      <c r="J1089" s="22" t="s">
        <v>31</v>
      </c>
      <c r="K1089" s="22" t="s">
        <v>5574</v>
      </c>
      <c r="L1089" s="36">
        <v>660.0</v>
      </c>
      <c r="M1089" s="36" t="s">
        <v>5575</v>
      </c>
      <c r="N1089" s="36" t="s">
        <v>5576</v>
      </c>
      <c r="O1089" s="36"/>
      <c r="P1089" s="37" t="s">
        <v>269</v>
      </c>
      <c r="Q1089" s="36"/>
      <c r="R1089" s="36"/>
      <c r="S1089" s="36">
        <v>2.0</v>
      </c>
      <c r="T1089" s="54" t="s">
        <v>5577</v>
      </c>
      <c r="U1089" s="38" t="str">
        <f>HYPERLINK("https://www.ncbi.nlm.nih.gov/pubmed/16699912","PubMed")</f>
        <v>PubMed</v>
      </c>
      <c r="V1089" s="50"/>
      <c r="W1089" s="49"/>
      <c r="X1089" s="49"/>
      <c r="Y1089" s="35"/>
      <c r="Z1089" s="35"/>
      <c r="AA1089" s="35"/>
      <c r="AB1089" s="35"/>
      <c r="AC1089" s="35"/>
      <c r="AD1089" s="35"/>
      <c r="AE1089" s="35"/>
      <c r="AF1089" s="35"/>
      <c r="AG1089" s="35"/>
      <c r="AH1089" s="35"/>
      <c r="AI1089" s="35"/>
      <c r="AJ1089" s="35"/>
      <c r="AK1089" s="35"/>
      <c r="AL1089" s="35"/>
    </row>
    <row r="1090" ht="31.5" customHeight="1">
      <c r="A1090" s="89"/>
      <c r="B1090" s="75" t="s">
        <v>2392</v>
      </c>
      <c r="C1090" s="77" t="s">
        <v>5394</v>
      </c>
      <c r="D1090" s="47"/>
      <c r="E1090" s="56" t="s">
        <v>5578</v>
      </c>
      <c r="F1090" s="57" t="s">
        <v>5579</v>
      </c>
      <c r="G1090" s="57">
        <v>2005.0</v>
      </c>
      <c r="H1090" s="56" t="s">
        <v>53</v>
      </c>
      <c r="I1090" s="58" t="s">
        <v>5580</v>
      </c>
      <c r="J1090" s="22" t="s">
        <v>31</v>
      </c>
      <c r="K1090" s="22" t="s">
        <v>5581</v>
      </c>
      <c r="L1090" s="36" t="s">
        <v>5582</v>
      </c>
      <c r="M1090" s="36"/>
      <c r="N1090" s="36"/>
      <c r="O1090" s="36"/>
      <c r="P1090" s="37"/>
      <c r="Q1090" s="36"/>
      <c r="R1090" s="36"/>
      <c r="S1090" s="36"/>
      <c r="T1090" s="102" t="s">
        <v>5583</v>
      </c>
      <c r="U1090" s="38" t="str">
        <f>HYPERLINK("https://www.ncbi.nlm.nih.gov/pubmed/15662631","PubMed")</f>
        <v>PubMed</v>
      </c>
      <c r="V1090" s="50"/>
      <c r="W1090" s="49"/>
      <c r="X1090" s="49"/>
      <c r="Y1090" s="35"/>
      <c r="Z1090" s="35"/>
      <c r="AA1090" s="35"/>
      <c r="AB1090" s="35"/>
      <c r="AC1090" s="35"/>
      <c r="AD1090" s="35"/>
      <c r="AE1090" s="35"/>
      <c r="AF1090" s="35"/>
      <c r="AG1090" s="35"/>
      <c r="AH1090" s="35"/>
      <c r="AI1090" s="35"/>
      <c r="AJ1090" s="35"/>
      <c r="AK1090" s="35"/>
      <c r="AL1090" s="35"/>
    </row>
    <row r="1091" ht="31.5" customHeight="1">
      <c r="A1091" s="89"/>
      <c r="B1091" s="19" t="s">
        <v>2392</v>
      </c>
      <c r="C1091" s="20" t="s">
        <v>5394</v>
      </c>
      <c r="D1091" s="47"/>
      <c r="E1091" s="56" t="s">
        <v>5556</v>
      </c>
      <c r="F1091" s="57" t="s">
        <v>5227</v>
      </c>
      <c r="G1091" s="57">
        <v>2005.0</v>
      </c>
      <c r="H1091" s="56" t="s">
        <v>53</v>
      </c>
      <c r="I1091" s="58" t="s">
        <v>5584</v>
      </c>
      <c r="J1091" s="22" t="s">
        <v>31</v>
      </c>
      <c r="K1091" s="22" t="s">
        <v>5585</v>
      </c>
      <c r="L1091" s="36">
        <v>670.0</v>
      </c>
      <c r="M1091" s="36"/>
      <c r="N1091" s="36"/>
      <c r="O1091" s="36"/>
      <c r="P1091" s="37"/>
      <c r="Q1091" s="36"/>
      <c r="R1091" s="36"/>
      <c r="S1091" s="36"/>
      <c r="T1091" s="54" t="s">
        <v>5586</v>
      </c>
      <c r="U1091" s="38" t="str">
        <f>HYPERLINK("https://www.ncbi.nlm.nih.gov/pubmed/15880587","PubMed")</f>
        <v>PubMed</v>
      </c>
      <c r="V1091" s="50"/>
      <c r="W1091" s="49"/>
      <c r="X1091" s="49"/>
      <c r="Y1091" s="35"/>
      <c r="Z1091" s="35"/>
      <c r="AA1091" s="35"/>
      <c r="AB1091" s="35"/>
      <c r="AC1091" s="35"/>
      <c r="AD1091" s="35"/>
      <c r="AE1091" s="35"/>
      <c r="AF1091" s="35"/>
      <c r="AG1091" s="35"/>
      <c r="AH1091" s="35"/>
      <c r="AI1091" s="35"/>
      <c r="AJ1091" s="35"/>
      <c r="AK1091" s="35"/>
      <c r="AL1091" s="35"/>
    </row>
    <row r="1092" ht="31.5" customHeight="1">
      <c r="A1092" s="89"/>
      <c r="B1092" s="19" t="s">
        <v>2392</v>
      </c>
      <c r="C1092" s="20" t="s">
        <v>5394</v>
      </c>
      <c r="D1092" s="47"/>
      <c r="E1092" s="56" t="s">
        <v>1385</v>
      </c>
      <c r="F1092" s="57" t="s">
        <v>1386</v>
      </c>
      <c r="G1092" s="57">
        <v>2005.0</v>
      </c>
      <c r="H1092" s="56" t="s">
        <v>658</v>
      </c>
      <c r="I1092" s="58" t="s">
        <v>5587</v>
      </c>
      <c r="J1092" s="22" t="s">
        <v>31</v>
      </c>
      <c r="K1092" s="22" t="s">
        <v>5588</v>
      </c>
      <c r="L1092" s="36">
        <v>633.0</v>
      </c>
      <c r="M1092" s="36"/>
      <c r="N1092" s="36"/>
      <c r="O1092" s="36"/>
      <c r="P1092" s="37" t="s">
        <v>5589</v>
      </c>
      <c r="Q1092" s="36"/>
      <c r="R1092" s="36"/>
      <c r="S1092" s="36"/>
      <c r="T1092" s="102" t="s">
        <v>5590</v>
      </c>
      <c r="U1092" s="38" t="str">
        <f>HYPERLINK("https://www.ncbi.nlm.nih.gov/pubmed/15954811","PubMed")</f>
        <v>PubMed</v>
      </c>
      <c r="V1092" s="50"/>
      <c r="W1092" s="49"/>
      <c r="X1092" s="49"/>
      <c r="Y1092" s="35"/>
      <c r="Z1092" s="35"/>
      <c r="AA1092" s="35"/>
      <c r="AB1092" s="35"/>
      <c r="AC1092" s="35"/>
      <c r="AD1092" s="35"/>
      <c r="AE1092" s="35"/>
      <c r="AF1092" s="35"/>
      <c r="AG1092" s="35"/>
      <c r="AH1092" s="35"/>
      <c r="AI1092" s="35"/>
      <c r="AJ1092" s="35"/>
      <c r="AK1092" s="35"/>
      <c r="AL1092" s="35"/>
    </row>
    <row r="1093" ht="31.5" customHeight="1">
      <c r="A1093" s="89"/>
      <c r="B1093" s="19" t="s">
        <v>2392</v>
      </c>
      <c r="C1093" s="20" t="s">
        <v>5394</v>
      </c>
      <c r="D1093" s="47"/>
      <c r="E1093" s="56" t="s">
        <v>5591</v>
      </c>
      <c r="F1093" s="57" t="s">
        <v>5592</v>
      </c>
      <c r="G1093" s="57">
        <v>2004.0</v>
      </c>
      <c r="H1093" s="56" t="s">
        <v>658</v>
      </c>
      <c r="I1093" s="58" t="s">
        <v>5593</v>
      </c>
      <c r="J1093" s="22" t="s">
        <v>31</v>
      </c>
      <c r="K1093" s="22" t="s">
        <v>5594</v>
      </c>
      <c r="L1093" s="36" t="s">
        <v>4503</v>
      </c>
      <c r="M1093" s="36"/>
      <c r="N1093" s="36"/>
      <c r="O1093" s="36"/>
      <c r="P1093" s="37" t="s">
        <v>5595</v>
      </c>
      <c r="Q1093" s="36"/>
      <c r="R1093" s="36"/>
      <c r="S1093" s="36"/>
      <c r="T1093" s="102" t="s">
        <v>5596</v>
      </c>
      <c r="U1093" s="38" t="str">
        <f>HYPERLINK("https://www.ncbi.nlm.nih.gov/pubmed/15684755","PubMed")</f>
        <v>PubMed</v>
      </c>
      <c r="V1093" s="50"/>
      <c r="W1093" s="49"/>
      <c r="X1093" s="49"/>
      <c r="Y1093" s="35"/>
      <c r="Z1093" s="35"/>
      <c r="AA1093" s="35"/>
      <c r="AB1093" s="35"/>
      <c r="AC1093" s="35"/>
      <c r="AD1093" s="35"/>
      <c r="AE1093" s="35"/>
      <c r="AF1093" s="35"/>
      <c r="AG1093" s="35"/>
      <c r="AH1093" s="35"/>
      <c r="AI1093" s="35"/>
      <c r="AJ1093" s="35"/>
      <c r="AK1093" s="35"/>
      <c r="AL1093" s="35"/>
    </row>
    <row r="1094" ht="31.5" customHeight="1">
      <c r="A1094" s="89"/>
      <c r="B1094" s="19" t="s">
        <v>2392</v>
      </c>
      <c r="C1094" s="20" t="s">
        <v>5394</v>
      </c>
      <c r="D1094" s="47"/>
      <c r="E1094" s="56" t="s">
        <v>5597</v>
      </c>
      <c r="F1094" s="57" t="s">
        <v>283</v>
      </c>
      <c r="G1094" s="57">
        <v>2003.0</v>
      </c>
      <c r="H1094" s="56" t="s">
        <v>91</v>
      </c>
      <c r="I1094" s="58" t="s">
        <v>5598</v>
      </c>
      <c r="J1094" s="22" t="s">
        <v>31</v>
      </c>
      <c r="K1094" s="22" t="s">
        <v>5599</v>
      </c>
      <c r="L1094" s="36" t="s">
        <v>5600</v>
      </c>
      <c r="M1094" s="36"/>
      <c r="N1094" s="36"/>
      <c r="O1094" s="36"/>
      <c r="P1094" s="37"/>
      <c r="Q1094" s="36"/>
      <c r="R1094" s="36"/>
      <c r="S1094" s="36"/>
      <c r="T1094" s="54" t="s">
        <v>5601</v>
      </c>
      <c r="U1094" s="38" t="str">
        <f>HYPERLINK("https://www.ncbi.nlm.nih.gov/pubmed/12928819","PubMed")</f>
        <v>PubMed</v>
      </c>
      <c r="V1094" s="50"/>
      <c r="W1094" s="49"/>
      <c r="X1094" s="49"/>
      <c r="Y1094" s="35"/>
      <c r="Z1094" s="35"/>
      <c r="AA1094" s="35"/>
      <c r="AB1094" s="35"/>
      <c r="AC1094" s="35"/>
      <c r="AD1094" s="35"/>
      <c r="AE1094" s="35"/>
      <c r="AF1094" s="35"/>
      <c r="AG1094" s="35"/>
      <c r="AH1094" s="35"/>
      <c r="AI1094" s="35"/>
      <c r="AJ1094" s="35"/>
      <c r="AK1094" s="35"/>
      <c r="AL1094" s="35"/>
    </row>
    <row r="1095" ht="31.5" customHeight="1">
      <c r="A1095" s="89"/>
      <c r="B1095" s="19" t="s">
        <v>2392</v>
      </c>
      <c r="C1095" s="20" t="s">
        <v>5394</v>
      </c>
      <c r="D1095" s="47"/>
      <c r="E1095" s="56" t="s">
        <v>1101</v>
      </c>
      <c r="F1095" s="57" t="s">
        <v>41</v>
      </c>
      <c r="G1095" s="57">
        <v>2002.0</v>
      </c>
      <c r="H1095" s="56" t="s">
        <v>53</v>
      </c>
      <c r="I1095" s="58" t="s">
        <v>5602</v>
      </c>
      <c r="J1095" s="22" t="s">
        <v>31</v>
      </c>
      <c r="K1095" s="22" t="s">
        <v>5603</v>
      </c>
      <c r="L1095" s="36">
        <v>904.0</v>
      </c>
      <c r="M1095" s="36">
        <v>120.0</v>
      </c>
      <c r="N1095" s="36"/>
      <c r="O1095" s="36"/>
      <c r="P1095" s="37" t="s">
        <v>5604</v>
      </c>
      <c r="Q1095" s="36"/>
      <c r="R1095" s="36"/>
      <c r="S1095" s="36"/>
      <c r="T1095" s="54" t="s">
        <v>5605</v>
      </c>
      <c r="U1095" s="38" t="str">
        <f>HYPERLINK("https://www.ncbi.nlm.nih.gov/pubmed/12355572","PubMed")</f>
        <v>PubMed</v>
      </c>
      <c r="V1095" s="50"/>
      <c r="W1095" s="49"/>
      <c r="X1095" s="49"/>
      <c r="Y1095" s="35"/>
      <c r="Z1095" s="35"/>
      <c r="AA1095" s="35"/>
      <c r="AB1095" s="35"/>
      <c r="AC1095" s="35"/>
      <c r="AD1095" s="35"/>
      <c r="AE1095" s="35"/>
      <c r="AF1095" s="35"/>
      <c r="AG1095" s="35"/>
      <c r="AH1095" s="35"/>
      <c r="AI1095" s="35"/>
      <c r="AJ1095" s="35"/>
      <c r="AK1095" s="35"/>
      <c r="AL1095" s="35"/>
    </row>
    <row r="1096" ht="31.5" customHeight="1">
      <c r="A1096" s="89"/>
      <c r="B1096" s="19" t="s">
        <v>2392</v>
      </c>
      <c r="C1096" s="20" t="s">
        <v>5394</v>
      </c>
      <c r="D1096" s="47"/>
      <c r="E1096" s="56" t="s">
        <v>5606</v>
      </c>
      <c r="F1096" s="57" t="s">
        <v>5514</v>
      </c>
      <c r="G1096" s="57">
        <v>2001.0</v>
      </c>
      <c r="H1096" s="56" t="s">
        <v>91</v>
      </c>
      <c r="I1096" s="58" t="s">
        <v>5607</v>
      </c>
      <c r="J1096" s="22" t="s">
        <v>31</v>
      </c>
      <c r="K1096" s="22" t="s">
        <v>5608</v>
      </c>
      <c r="L1096" s="36">
        <v>633.0</v>
      </c>
      <c r="M1096" s="36"/>
      <c r="N1096" s="36" t="s">
        <v>5609</v>
      </c>
      <c r="O1096" s="36"/>
      <c r="P1096" s="37" t="s">
        <v>5610</v>
      </c>
      <c r="Q1096" s="36"/>
      <c r="R1096" s="36"/>
      <c r="S1096" s="36">
        <v>3.0</v>
      </c>
      <c r="T1096" s="54" t="s">
        <v>5611</v>
      </c>
      <c r="U1096" s="38" t="str">
        <f>HYPERLINK("https://www.ncbi.nlm.nih.gov/pubmed/11702632","PubMed")</f>
        <v>PubMed</v>
      </c>
      <c r="V1096" s="50"/>
      <c r="W1096" s="49"/>
      <c r="X1096" s="49"/>
      <c r="Y1096" s="35"/>
      <c r="Z1096" s="35"/>
      <c r="AA1096" s="35"/>
      <c r="AB1096" s="35"/>
      <c r="AC1096" s="35"/>
      <c r="AD1096" s="35"/>
      <c r="AE1096" s="35"/>
      <c r="AF1096" s="35"/>
      <c r="AG1096" s="35"/>
      <c r="AH1096" s="35"/>
      <c r="AI1096" s="35"/>
      <c r="AJ1096" s="35"/>
      <c r="AK1096" s="35"/>
      <c r="AL1096" s="35"/>
    </row>
    <row r="1097" ht="31.5" customHeight="1">
      <c r="A1097" s="89"/>
      <c r="B1097" s="19" t="s">
        <v>2392</v>
      </c>
      <c r="C1097" s="20" t="s">
        <v>5394</v>
      </c>
      <c r="D1097" s="47"/>
      <c r="E1097" s="56" t="s">
        <v>5606</v>
      </c>
      <c r="F1097" s="57" t="s">
        <v>5514</v>
      </c>
      <c r="G1097" s="57">
        <v>2000.0</v>
      </c>
      <c r="H1097" s="56" t="s">
        <v>1289</v>
      </c>
      <c r="I1097" s="58" t="s">
        <v>5612</v>
      </c>
      <c r="J1097" s="22" t="s">
        <v>31</v>
      </c>
      <c r="K1097" s="22" t="s">
        <v>5613</v>
      </c>
      <c r="L1097" s="36">
        <v>633.0</v>
      </c>
      <c r="M1097" s="36"/>
      <c r="N1097" s="36" t="s">
        <v>5609</v>
      </c>
      <c r="O1097" s="36"/>
      <c r="P1097" s="37" t="s">
        <v>5610</v>
      </c>
      <c r="Q1097" s="36"/>
      <c r="R1097" s="36"/>
      <c r="S1097" s="36">
        <v>3.0</v>
      </c>
      <c r="T1097" s="54" t="s">
        <v>5614</v>
      </c>
      <c r="U1097" s="38" t="str">
        <f>HYPERLINK("https://www.ncbi.nlm.nih.gov/pubmed/11799979","PubMed")</f>
        <v>PubMed</v>
      </c>
      <c r="V1097" s="50"/>
      <c r="W1097" s="49"/>
      <c r="X1097" s="49"/>
      <c r="Y1097" s="35"/>
      <c r="Z1097" s="35"/>
      <c r="AA1097" s="35"/>
      <c r="AB1097" s="35"/>
      <c r="AC1097" s="35"/>
      <c r="AD1097" s="35"/>
      <c r="AE1097" s="35"/>
      <c r="AF1097" s="35"/>
      <c r="AG1097" s="35"/>
      <c r="AH1097" s="35"/>
      <c r="AI1097" s="35"/>
      <c r="AJ1097" s="35"/>
      <c r="AK1097" s="35"/>
      <c r="AL1097" s="35"/>
    </row>
    <row r="1098" ht="31.5" customHeight="1">
      <c r="A1098" s="89"/>
      <c r="B1098" s="19" t="s">
        <v>2392</v>
      </c>
      <c r="C1098" s="20" t="s">
        <v>5394</v>
      </c>
      <c r="D1098" s="47"/>
      <c r="E1098" s="56" t="s">
        <v>5615</v>
      </c>
      <c r="F1098" s="57" t="s">
        <v>5616</v>
      </c>
      <c r="G1098" s="57">
        <v>1998.0</v>
      </c>
      <c r="H1098" s="56" t="s">
        <v>53</v>
      </c>
      <c r="I1098" s="58" t="s">
        <v>5617</v>
      </c>
      <c r="J1098" s="22" t="s">
        <v>31</v>
      </c>
      <c r="K1098" s="22" t="s">
        <v>1827</v>
      </c>
      <c r="L1098" s="36">
        <v>780.0</v>
      </c>
      <c r="M1098" s="36"/>
      <c r="N1098" s="36"/>
      <c r="O1098" s="36"/>
      <c r="P1098" s="37"/>
      <c r="Q1098" s="36"/>
      <c r="R1098" s="36"/>
      <c r="S1098" s="36"/>
      <c r="T1098" s="54" t="s">
        <v>5618</v>
      </c>
      <c r="U1098" s="38" t="str">
        <f>HYPERLINK("https://www.ncbi.nlm.nih.gov/pubmed/9603282","PubMed")</f>
        <v>PubMed</v>
      </c>
      <c r="V1098" s="50"/>
      <c r="W1098" s="49"/>
      <c r="X1098" s="49"/>
      <c r="Y1098" s="35"/>
      <c r="Z1098" s="35"/>
      <c r="AA1098" s="35"/>
      <c r="AB1098" s="35"/>
      <c r="AC1098" s="35"/>
      <c r="AD1098" s="35"/>
      <c r="AE1098" s="35"/>
      <c r="AF1098" s="35"/>
      <c r="AG1098" s="35"/>
      <c r="AH1098" s="35"/>
      <c r="AI1098" s="35"/>
      <c r="AJ1098" s="35"/>
      <c r="AK1098" s="35"/>
      <c r="AL1098" s="35"/>
    </row>
    <row r="1099" ht="31.5" customHeight="1">
      <c r="A1099" s="89"/>
      <c r="B1099" s="19" t="s">
        <v>2392</v>
      </c>
      <c r="C1099" s="20" t="s">
        <v>5394</v>
      </c>
      <c r="D1099" s="47"/>
      <c r="E1099" s="56" t="s">
        <v>5619</v>
      </c>
      <c r="F1099" s="57" t="s">
        <v>2492</v>
      </c>
      <c r="G1099" s="57">
        <v>1997.0</v>
      </c>
      <c r="H1099" s="56" t="s">
        <v>53</v>
      </c>
      <c r="I1099" s="58" t="s">
        <v>5620</v>
      </c>
      <c r="J1099" s="22" t="s">
        <v>31</v>
      </c>
      <c r="K1099" s="22"/>
      <c r="L1099" s="36">
        <v>830.0</v>
      </c>
      <c r="M1099" s="36" t="s">
        <v>5621</v>
      </c>
      <c r="N1099" s="36"/>
      <c r="O1099" s="36"/>
      <c r="P1099" s="37" t="s">
        <v>5622</v>
      </c>
      <c r="Q1099" s="36"/>
      <c r="R1099" s="36" t="s">
        <v>5623</v>
      </c>
      <c r="S1099" s="36"/>
      <c r="T1099" s="103" t="s">
        <v>5624</v>
      </c>
      <c r="U1099" s="38" t="str">
        <f>HYPERLINK("https://www.ncbi.nlm.nih.gov/pubmed/9142682","PubMed")</f>
        <v>PubMed</v>
      </c>
      <c r="V1099" s="50"/>
      <c r="W1099" s="49"/>
      <c r="X1099" s="49"/>
      <c r="Y1099" s="35"/>
      <c r="Z1099" s="35"/>
      <c r="AA1099" s="35"/>
      <c r="AB1099" s="35"/>
      <c r="AC1099" s="35"/>
      <c r="AD1099" s="35"/>
      <c r="AE1099" s="35"/>
      <c r="AF1099" s="35"/>
      <c r="AG1099" s="35"/>
      <c r="AH1099" s="35"/>
      <c r="AI1099" s="35"/>
      <c r="AJ1099" s="35"/>
      <c r="AK1099" s="35"/>
      <c r="AL1099" s="35"/>
    </row>
    <row r="1100" ht="31.5" customHeight="1">
      <c r="A1100" s="89"/>
      <c r="B1100" s="19" t="s">
        <v>2392</v>
      </c>
      <c r="C1100" s="20" t="s">
        <v>5394</v>
      </c>
      <c r="D1100" s="47"/>
      <c r="E1100" s="56" t="s">
        <v>5625</v>
      </c>
      <c r="F1100" s="57" t="s">
        <v>3767</v>
      </c>
      <c r="G1100" s="57">
        <v>1995.0</v>
      </c>
      <c r="H1100" s="56" t="s">
        <v>3766</v>
      </c>
      <c r="I1100" s="58" t="s">
        <v>5626</v>
      </c>
      <c r="J1100" s="22" t="s">
        <v>31</v>
      </c>
      <c r="K1100" s="22"/>
      <c r="L1100" s="36">
        <v>633.0</v>
      </c>
      <c r="M1100" s="36"/>
      <c r="N1100" s="36"/>
      <c r="O1100" s="36"/>
      <c r="P1100" s="37" t="s">
        <v>5627</v>
      </c>
      <c r="Q1100" s="36"/>
      <c r="R1100" s="36"/>
      <c r="S1100" s="36"/>
      <c r="T1100" s="54" t="s">
        <v>5628</v>
      </c>
      <c r="U1100" s="38" t="str">
        <f>HYPERLINK("https://www.ncbi.nlm.nih.gov/pubmed/8644477","PubMed")</f>
        <v>PubMed</v>
      </c>
      <c r="V1100" s="50"/>
      <c r="W1100" s="49"/>
      <c r="X1100" s="49"/>
      <c r="Y1100" s="35"/>
      <c r="Z1100" s="35"/>
      <c r="AA1100" s="35"/>
      <c r="AB1100" s="35"/>
      <c r="AC1100" s="35"/>
      <c r="AD1100" s="35"/>
      <c r="AE1100" s="35"/>
      <c r="AF1100" s="35"/>
      <c r="AG1100" s="35"/>
      <c r="AH1100" s="35"/>
      <c r="AI1100" s="35"/>
      <c r="AJ1100" s="35"/>
      <c r="AK1100" s="35"/>
      <c r="AL1100" s="35"/>
    </row>
    <row r="1101" ht="31.5" customHeight="1">
      <c r="A1101" s="89"/>
      <c r="B1101" s="19" t="s">
        <v>2392</v>
      </c>
      <c r="C1101" s="20" t="s">
        <v>5394</v>
      </c>
      <c r="D1101" s="47"/>
      <c r="E1101" s="56" t="s">
        <v>5629</v>
      </c>
      <c r="F1101" s="57" t="s">
        <v>5630</v>
      </c>
      <c r="G1101" s="57">
        <v>1994.0</v>
      </c>
      <c r="H1101" s="56" t="s">
        <v>53</v>
      </c>
      <c r="I1101" s="58" t="s">
        <v>5631</v>
      </c>
      <c r="J1101" s="22" t="s">
        <v>31</v>
      </c>
      <c r="K1101" s="22"/>
      <c r="L1101" s="36">
        <v>812.0</v>
      </c>
      <c r="M1101" s="36"/>
      <c r="N1101" s="36" t="s">
        <v>5632</v>
      </c>
      <c r="O1101" s="36"/>
      <c r="P1101" s="37"/>
      <c r="Q1101" s="36"/>
      <c r="R1101" s="36" t="s">
        <v>5633</v>
      </c>
      <c r="S1101" s="36"/>
      <c r="T1101" s="54" t="s">
        <v>5634</v>
      </c>
      <c r="U1101" s="29" t="s">
        <v>61</v>
      </c>
      <c r="V1101" s="50"/>
      <c r="W1101" s="49"/>
      <c r="X1101" s="49"/>
      <c r="Y1101" s="35"/>
      <c r="Z1101" s="35"/>
      <c r="AA1101" s="35"/>
      <c r="AB1101" s="35"/>
      <c r="AC1101" s="35"/>
      <c r="AD1101" s="35"/>
      <c r="AE1101" s="35"/>
      <c r="AF1101" s="35"/>
      <c r="AG1101" s="35"/>
      <c r="AH1101" s="35"/>
      <c r="AI1101" s="35"/>
      <c r="AJ1101" s="35"/>
      <c r="AK1101" s="35"/>
      <c r="AL1101" s="35"/>
    </row>
    <row r="1102" ht="31.5" customHeight="1">
      <c r="A1102" s="89"/>
      <c r="B1102" s="19" t="s">
        <v>2392</v>
      </c>
      <c r="C1102" s="20" t="s">
        <v>5394</v>
      </c>
      <c r="D1102" s="47"/>
      <c r="E1102" s="56" t="s">
        <v>5226</v>
      </c>
      <c r="F1102" s="57" t="s">
        <v>5227</v>
      </c>
      <c r="G1102" s="57">
        <v>1994.0</v>
      </c>
      <c r="H1102" s="56" t="s">
        <v>4975</v>
      </c>
      <c r="I1102" s="58" t="s">
        <v>5228</v>
      </c>
      <c r="J1102" s="22" t="s">
        <v>31</v>
      </c>
      <c r="K1102" s="22" t="s">
        <v>1240</v>
      </c>
      <c r="L1102" s="36">
        <v>660.0</v>
      </c>
      <c r="M1102" s="36"/>
      <c r="N1102" s="36"/>
      <c r="O1102" s="36"/>
      <c r="P1102" s="37" t="s">
        <v>5635</v>
      </c>
      <c r="Q1102" s="36"/>
      <c r="R1102" s="36"/>
      <c r="S1102" s="36"/>
      <c r="T1102" s="102" t="s">
        <v>5636</v>
      </c>
      <c r="U1102" s="29" t="s">
        <v>61</v>
      </c>
      <c r="V1102" s="50"/>
      <c r="W1102" s="49"/>
      <c r="X1102" s="49"/>
      <c r="Y1102" s="35"/>
      <c r="Z1102" s="35"/>
      <c r="AA1102" s="35"/>
      <c r="AB1102" s="35"/>
      <c r="AC1102" s="35"/>
      <c r="AD1102" s="35"/>
      <c r="AE1102" s="35"/>
      <c r="AF1102" s="35"/>
      <c r="AG1102" s="35"/>
      <c r="AH1102" s="35"/>
      <c r="AI1102" s="35"/>
      <c r="AJ1102" s="35"/>
      <c r="AK1102" s="35"/>
      <c r="AL1102" s="35"/>
    </row>
    <row r="1103" ht="31.5" customHeight="1">
      <c r="A1103" s="89"/>
      <c r="B1103" s="19" t="s">
        <v>2392</v>
      </c>
      <c r="C1103" s="20" t="s">
        <v>5394</v>
      </c>
      <c r="D1103" s="47"/>
      <c r="E1103" s="56" t="s">
        <v>5637</v>
      </c>
      <c r="F1103" s="57" t="s">
        <v>5223</v>
      </c>
      <c r="G1103" s="57">
        <v>1993.0</v>
      </c>
      <c r="H1103" s="56" t="s">
        <v>292</v>
      </c>
      <c r="I1103" s="58" t="s">
        <v>5638</v>
      </c>
      <c r="J1103" s="22" t="s">
        <v>31</v>
      </c>
      <c r="K1103" s="22" t="s">
        <v>5639</v>
      </c>
      <c r="L1103" s="36" t="s">
        <v>5640</v>
      </c>
      <c r="M1103" s="36"/>
      <c r="N1103" s="36"/>
      <c r="O1103" s="36"/>
      <c r="P1103" s="37"/>
      <c r="Q1103" s="36"/>
      <c r="R1103" s="36"/>
      <c r="S1103" s="36"/>
      <c r="T1103" s="54" t="s">
        <v>5641</v>
      </c>
      <c r="U1103" s="38" t="str">
        <f>HYPERLINK("https://www.jstage.jst.go.jp/article/islsm/5/2/5_93-OR-07/_article","J-STAGE")</f>
        <v>J-STAGE</v>
      </c>
      <c r="V1103" s="50"/>
      <c r="W1103" s="49"/>
      <c r="X1103" s="49"/>
      <c r="Y1103" s="35"/>
      <c r="Z1103" s="35"/>
      <c r="AA1103" s="35"/>
      <c r="AB1103" s="35"/>
      <c r="AC1103" s="35"/>
      <c r="AD1103" s="35"/>
      <c r="AE1103" s="35"/>
      <c r="AF1103" s="35"/>
      <c r="AG1103" s="35"/>
      <c r="AH1103" s="35"/>
      <c r="AI1103" s="35"/>
      <c r="AJ1103" s="35"/>
      <c r="AK1103" s="35"/>
      <c r="AL1103" s="35"/>
    </row>
    <row r="1104" ht="31.5" customHeight="1">
      <c r="A1104" s="89"/>
      <c r="B1104" s="19" t="s">
        <v>2392</v>
      </c>
      <c r="C1104" s="20" t="s">
        <v>5394</v>
      </c>
      <c r="D1104" s="47"/>
      <c r="E1104" s="56" t="s">
        <v>5642</v>
      </c>
      <c r="F1104" s="57" t="s">
        <v>4782</v>
      </c>
      <c r="G1104" s="57">
        <v>1992.0</v>
      </c>
      <c r="H1104" s="56" t="s">
        <v>53</v>
      </c>
      <c r="I1104" s="58" t="s">
        <v>5643</v>
      </c>
      <c r="J1104" s="22" t="s">
        <v>31</v>
      </c>
      <c r="K1104" s="22" t="s">
        <v>5644</v>
      </c>
      <c r="L1104" s="36">
        <v>633.0</v>
      </c>
      <c r="M1104" s="36" t="s">
        <v>5645</v>
      </c>
      <c r="N1104" s="36"/>
      <c r="O1104" s="36"/>
      <c r="P1104" s="37"/>
      <c r="Q1104" s="36"/>
      <c r="R1104" s="36" t="s">
        <v>5646</v>
      </c>
      <c r="S1104" s="36"/>
      <c r="T1104" s="102" t="s">
        <v>5647</v>
      </c>
      <c r="U1104" s="38" t="str">
        <f>HYPERLINK("https://www.ncbi.nlm.nih.gov/pubmed/1406006","PubMed")</f>
        <v>PubMed</v>
      </c>
      <c r="V1104" s="50"/>
      <c r="W1104" s="49"/>
      <c r="X1104" s="49"/>
      <c r="Y1104" s="35"/>
      <c r="Z1104" s="35"/>
      <c r="AA1104" s="35"/>
      <c r="AB1104" s="35"/>
      <c r="AC1104" s="35"/>
      <c r="AD1104" s="35"/>
      <c r="AE1104" s="35"/>
      <c r="AF1104" s="35"/>
      <c r="AG1104" s="35"/>
      <c r="AH1104" s="35"/>
      <c r="AI1104" s="35"/>
      <c r="AJ1104" s="35"/>
      <c r="AK1104" s="35"/>
      <c r="AL1104" s="35"/>
    </row>
    <row r="1105" ht="31.5" customHeight="1">
      <c r="A1105" s="89"/>
      <c r="B1105" s="19" t="s">
        <v>2392</v>
      </c>
      <c r="C1105" s="20" t="s">
        <v>5394</v>
      </c>
      <c r="D1105" s="47"/>
      <c r="E1105" s="56" t="s">
        <v>5648</v>
      </c>
      <c r="F1105" s="57" t="s">
        <v>5649</v>
      </c>
      <c r="G1105" s="57">
        <v>1988.0</v>
      </c>
      <c r="H1105" s="56" t="s">
        <v>53</v>
      </c>
      <c r="I1105" s="58" t="s">
        <v>5650</v>
      </c>
      <c r="J1105" s="22" t="s">
        <v>31</v>
      </c>
      <c r="K1105" s="22" t="s">
        <v>5651</v>
      </c>
      <c r="L1105" s="36">
        <v>633.0</v>
      </c>
      <c r="M1105" s="36" t="s">
        <v>1704</v>
      </c>
      <c r="N1105" s="36"/>
      <c r="O1105" s="36"/>
      <c r="P1105" s="37"/>
      <c r="Q1105" s="36"/>
      <c r="R1105" s="36">
        <v>60.0</v>
      </c>
      <c r="S1105" s="36"/>
      <c r="T1105" s="41" t="s">
        <v>5652</v>
      </c>
      <c r="U1105" s="38" t="str">
        <f>HYPERLINK("https://www.ncbi.nlm.nih.gov/pubmed/3367677","PubMed")</f>
        <v>PubMed</v>
      </c>
      <c r="V1105" s="50"/>
      <c r="W1105" s="49"/>
      <c r="X1105" s="49"/>
      <c r="Y1105" s="35"/>
      <c r="Z1105" s="35"/>
      <c r="AA1105" s="35"/>
      <c r="AB1105" s="35"/>
      <c r="AC1105" s="35"/>
      <c r="AD1105" s="35"/>
      <c r="AE1105" s="35"/>
      <c r="AF1105" s="35"/>
      <c r="AG1105" s="35"/>
      <c r="AH1105" s="35"/>
      <c r="AI1105" s="35"/>
      <c r="AJ1105" s="35"/>
      <c r="AK1105" s="35"/>
      <c r="AL1105" s="35"/>
    </row>
    <row r="1106" ht="31.5" customHeight="1">
      <c r="A1106" s="89"/>
      <c r="B1106" s="19" t="s">
        <v>2392</v>
      </c>
      <c r="C1106" s="20" t="s">
        <v>5653</v>
      </c>
      <c r="D1106" s="47"/>
      <c r="E1106" s="56" t="s">
        <v>5654</v>
      </c>
      <c r="F1106" s="57" t="s">
        <v>5655</v>
      </c>
      <c r="G1106" s="57">
        <v>2022.0</v>
      </c>
      <c r="H1106" s="56" t="s">
        <v>4975</v>
      </c>
      <c r="I1106" s="58" t="s">
        <v>5656</v>
      </c>
      <c r="J1106" s="22" t="s">
        <v>31</v>
      </c>
      <c r="K1106" s="22" t="s">
        <v>294</v>
      </c>
      <c r="L1106" s="36" t="s">
        <v>5657</v>
      </c>
      <c r="M1106" s="36"/>
      <c r="N1106" s="36" t="s">
        <v>5658</v>
      </c>
      <c r="O1106" s="36"/>
      <c r="P1106" s="37"/>
      <c r="Q1106" s="36"/>
      <c r="R1106" s="36" t="s">
        <v>5659</v>
      </c>
      <c r="S1106" s="36">
        <v>1.0</v>
      </c>
      <c r="T1106" s="42" t="s">
        <v>5660</v>
      </c>
      <c r="U1106" s="29" t="s">
        <v>61</v>
      </c>
      <c r="V1106" s="50"/>
      <c r="W1106" s="49"/>
      <c r="X1106" s="49"/>
      <c r="Y1106" s="35"/>
      <c r="Z1106" s="35"/>
      <c r="AA1106" s="35"/>
      <c r="AB1106" s="35"/>
      <c r="AC1106" s="35"/>
      <c r="AD1106" s="35"/>
      <c r="AE1106" s="35"/>
      <c r="AF1106" s="35"/>
      <c r="AG1106" s="35"/>
      <c r="AH1106" s="35"/>
      <c r="AI1106" s="35"/>
      <c r="AJ1106" s="35"/>
      <c r="AK1106" s="35"/>
      <c r="AL1106" s="35"/>
    </row>
    <row r="1107" ht="31.5" customHeight="1">
      <c r="A1107" s="89"/>
      <c r="B1107" s="19" t="s">
        <v>2392</v>
      </c>
      <c r="C1107" s="20" t="s">
        <v>5653</v>
      </c>
      <c r="D1107" s="47"/>
      <c r="E1107" s="56" t="s">
        <v>5661</v>
      </c>
      <c r="F1107" s="57" t="s">
        <v>41</v>
      </c>
      <c r="G1107" s="57">
        <v>2021.0</v>
      </c>
      <c r="H1107" s="56" t="s">
        <v>91</v>
      </c>
      <c r="I1107" s="58" t="s">
        <v>5662</v>
      </c>
      <c r="J1107" s="22" t="s">
        <v>31</v>
      </c>
      <c r="K1107" s="22" t="s">
        <v>5663</v>
      </c>
      <c r="L1107" s="36">
        <v>660.0</v>
      </c>
      <c r="M1107" s="36"/>
      <c r="N1107" s="36" t="s">
        <v>5323</v>
      </c>
      <c r="O1107" s="36"/>
      <c r="P1107" s="37" t="s">
        <v>432</v>
      </c>
      <c r="Q1107" s="36"/>
      <c r="R1107" s="36">
        <v>500.0</v>
      </c>
      <c r="S1107" s="36"/>
      <c r="T1107" s="28" t="s">
        <v>5664</v>
      </c>
      <c r="U1107" s="29" t="s">
        <v>61</v>
      </c>
      <c r="V1107" s="50"/>
      <c r="W1107" s="49"/>
      <c r="X1107" s="49"/>
      <c r="Y1107" s="35"/>
      <c r="Z1107" s="35"/>
      <c r="AA1107" s="35"/>
      <c r="AB1107" s="35"/>
      <c r="AC1107" s="35"/>
      <c r="AD1107" s="35"/>
      <c r="AE1107" s="35"/>
      <c r="AF1107" s="35"/>
      <c r="AG1107" s="35"/>
      <c r="AH1107" s="35"/>
      <c r="AI1107" s="35"/>
      <c r="AJ1107" s="35"/>
      <c r="AK1107" s="35"/>
      <c r="AL1107" s="35"/>
    </row>
    <row r="1108" ht="31.5" customHeight="1">
      <c r="A1108" s="89"/>
      <c r="B1108" s="19" t="s">
        <v>2392</v>
      </c>
      <c r="C1108" s="20" t="s">
        <v>5653</v>
      </c>
      <c r="D1108" s="47"/>
      <c r="E1108" s="56" t="s">
        <v>5665</v>
      </c>
      <c r="F1108" s="57" t="s">
        <v>41</v>
      </c>
      <c r="G1108" s="57">
        <v>2021.0</v>
      </c>
      <c r="H1108" s="56" t="s">
        <v>77</v>
      </c>
      <c r="I1108" s="58" t="s">
        <v>5666</v>
      </c>
      <c r="J1108" s="22" t="s">
        <v>31</v>
      </c>
      <c r="K1108" s="22"/>
      <c r="L1108" s="36">
        <v>780.0</v>
      </c>
      <c r="M1108" s="36" t="s">
        <v>5667</v>
      </c>
      <c r="N1108" s="36"/>
      <c r="O1108" s="36"/>
      <c r="P1108" s="37" t="s">
        <v>5521</v>
      </c>
      <c r="Q1108" s="36"/>
      <c r="R1108" s="36"/>
      <c r="S1108" s="36"/>
      <c r="T1108" s="42" t="s">
        <v>5668</v>
      </c>
      <c r="U1108" s="29" t="s">
        <v>61</v>
      </c>
      <c r="V1108" s="50"/>
      <c r="W1108" s="49"/>
      <c r="X1108" s="49"/>
      <c r="Y1108" s="35"/>
      <c r="Z1108" s="35"/>
      <c r="AA1108" s="35"/>
      <c r="AB1108" s="35"/>
      <c r="AC1108" s="35"/>
      <c r="AD1108" s="35"/>
      <c r="AE1108" s="35"/>
      <c r="AF1108" s="35"/>
      <c r="AG1108" s="35"/>
      <c r="AH1108" s="35"/>
      <c r="AI1108" s="35"/>
      <c r="AJ1108" s="35"/>
      <c r="AK1108" s="35"/>
      <c r="AL1108" s="35"/>
    </row>
    <row r="1109" ht="31.5" customHeight="1">
      <c r="A1109" s="18"/>
      <c r="B1109" s="19" t="s">
        <v>2392</v>
      </c>
      <c r="C1109" s="20" t="s">
        <v>5653</v>
      </c>
      <c r="D1109" s="47"/>
      <c r="E1109" s="56" t="s">
        <v>5669</v>
      </c>
      <c r="F1109" s="57" t="s">
        <v>993</v>
      </c>
      <c r="G1109" s="57">
        <v>2021.0</v>
      </c>
      <c r="H1109" s="56" t="s">
        <v>91</v>
      </c>
      <c r="I1109" s="58" t="s">
        <v>5670</v>
      </c>
      <c r="J1109" s="22" t="s">
        <v>125</v>
      </c>
      <c r="K1109" s="22"/>
      <c r="L1109" s="105" t="s">
        <v>5671</v>
      </c>
      <c r="M1109" s="44"/>
      <c r="N1109" s="44"/>
      <c r="O1109" s="44"/>
      <c r="P1109" s="44"/>
      <c r="Q1109" s="44"/>
      <c r="R1109" s="44"/>
      <c r="S1109" s="44"/>
      <c r="T1109" s="45"/>
      <c r="U1109" s="29" t="s">
        <v>61</v>
      </c>
      <c r="V1109" s="50"/>
      <c r="W1109" s="49"/>
      <c r="X1109" s="49"/>
      <c r="Y1109" s="35"/>
      <c r="Z1109" s="35"/>
      <c r="AA1109" s="35"/>
      <c r="AB1109" s="35"/>
      <c r="AC1109" s="35"/>
      <c r="AD1109" s="35"/>
      <c r="AE1109" s="35"/>
      <c r="AF1109" s="35"/>
      <c r="AG1109" s="35"/>
      <c r="AH1109" s="35"/>
      <c r="AI1109" s="35"/>
      <c r="AJ1109" s="35"/>
      <c r="AK1109" s="35"/>
      <c r="AL1109" s="35"/>
    </row>
    <row r="1110" ht="31.5" customHeight="1">
      <c r="A1110" s="18"/>
      <c r="B1110" s="19" t="s">
        <v>2392</v>
      </c>
      <c r="C1110" s="20" t="s">
        <v>5653</v>
      </c>
      <c r="D1110" s="47"/>
      <c r="E1110" s="56" t="s">
        <v>3300</v>
      </c>
      <c r="F1110" s="57" t="s">
        <v>3301</v>
      </c>
      <c r="G1110" s="57">
        <v>2021.0</v>
      </c>
      <c r="H1110" s="56" t="s">
        <v>2563</v>
      </c>
      <c r="I1110" s="58" t="s">
        <v>5672</v>
      </c>
      <c r="J1110" s="22" t="s">
        <v>31</v>
      </c>
      <c r="K1110" s="22" t="s">
        <v>5673</v>
      </c>
      <c r="L1110" s="36">
        <v>810.0</v>
      </c>
      <c r="M1110" s="36"/>
      <c r="N1110" s="36" t="s">
        <v>5674</v>
      </c>
      <c r="O1110" s="36"/>
      <c r="P1110" s="37"/>
      <c r="Q1110" s="36" t="s">
        <v>5675</v>
      </c>
      <c r="R1110" s="36">
        <v>440.0</v>
      </c>
      <c r="S1110" s="36"/>
      <c r="T1110" s="28" t="s">
        <v>5676</v>
      </c>
      <c r="U1110" s="29" t="s">
        <v>61</v>
      </c>
      <c r="V1110" s="50"/>
      <c r="W1110" s="49"/>
      <c r="X1110" s="49"/>
      <c r="Y1110" s="35"/>
      <c r="Z1110" s="35"/>
      <c r="AA1110" s="35"/>
      <c r="AB1110" s="35"/>
      <c r="AC1110" s="35"/>
      <c r="AD1110" s="35"/>
      <c r="AE1110" s="35"/>
      <c r="AF1110" s="35"/>
      <c r="AG1110" s="35"/>
      <c r="AH1110" s="35"/>
      <c r="AI1110" s="35"/>
      <c r="AJ1110" s="35"/>
      <c r="AK1110" s="35"/>
      <c r="AL1110" s="35"/>
    </row>
    <row r="1111" ht="31.5" customHeight="1">
      <c r="A1111" s="18"/>
      <c r="B1111" s="19" t="s">
        <v>2392</v>
      </c>
      <c r="C1111" s="20" t="s">
        <v>5653</v>
      </c>
      <c r="D1111" s="47"/>
      <c r="E1111" s="56" t="s">
        <v>5677</v>
      </c>
      <c r="F1111" s="57" t="s">
        <v>323</v>
      </c>
      <c r="G1111" s="57">
        <v>2020.0</v>
      </c>
      <c r="H1111" s="56" t="s">
        <v>147</v>
      </c>
      <c r="I1111" s="58" t="s">
        <v>5678</v>
      </c>
      <c r="J1111" s="22" t="s">
        <v>31</v>
      </c>
      <c r="K1111" s="22" t="s">
        <v>5679</v>
      </c>
      <c r="L1111" s="36">
        <v>635.0</v>
      </c>
      <c r="M1111" s="36"/>
      <c r="N1111" s="36"/>
      <c r="O1111" s="36"/>
      <c r="P1111" s="37"/>
      <c r="Q1111" s="36"/>
      <c r="R1111" s="36"/>
      <c r="S1111" s="36"/>
      <c r="T1111" s="28" t="s">
        <v>5680</v>
      </c>
      <c r="U1111" s="29" t="s">
        <v>61</v>
      </c>
      <c r="V1111" s="50"/>
      <c r="W1111" s="49"/>
      <c r="X1111" s="49"/>
      <c r="Y1111" s="35"/>
      <c r="Z1111" s="35"/>
      <c r="AA1111" s="35"/>
      <c r="AB1111" s="35"/>
      <c r="AC1111" s="35"/>
      <c r="AD1111" s="35"/>
      <c r="AE1111" s="35"/>
      <c r="AF1111" s="35"/>
      <c r="AG1111" s="35"/>
      <c r="AH1111" s="35"/>
      <c r="AI1111" s="35"/>
      <c r="AJ1111" s="35"/>
      <c r="AK1111" s="35"/>
      <c r="AL1111" s="35"/>
    </row>
    <row r="1112" ht="31.5" customHeight="1">
      <c r="A1112" s="18"/>
      <c r="B1112" s="19" t="s">
        <v>2392</v>
      </c>
      <c r="C1112" s="20" t="s">
        <v>5653</v>
      </c>
      <c r="D1112" s="47"/>
      <c r="E1112" s="56" t="s">
        <v>5681</v>
      </c>
      <c r="F1112" s="57" t="s">
        <v>1603</v>
      </c>
      <c r="G1112" s="57">
        <v>2020.0</v>
      </c>
      <c r="H1112" s="56" t="s">
        <v>207</v>
      </c>
      <c r="I1112" s="58" t="s">
        <v>5682</v>
      </c>
      <c r="J1112" s="22" t="s">
        <v>31</v>
      </c>
      <c r="K1112" s="22" t="s">
        <v>157</v>
      </c>
      <c r="L1112" s="36">
        <v>635.0</v>
      </c>
      <c r="M1112" s="36"/>
      <c r="N1112" s="36" t="s">
        <v>3587</v>
      </c>
      <c r="O1112" s="36"/>
      <c r="P1112" s="37"/>
      <c r="Q1112" s="36"/>
      <c r="R1112" s="36"/>
      <c r="S1112" s="36"/>
      <c r="T1112" s="28" t="s">
        <v>5683</v>
      </c>
      <c r="U1112" s="29" t="s">
        <v>61</v>
      </c>
      <c r="V1112" s="50"/>
      <c r="W1112" s="49"/>
      <c r="X1112" s="49"/>
      <c r="Y1112" s="35"/>
      <c r="Z1112" s="35"/>
      <c r="AA1112" s="35"/>
      <c r="AB1112" s="35"/>
      <c r="AC1112" s="35"/>
      <c r="AD1112" s="35"/>
      <c r="AE1112" s="35"/>
      <c r="AF1112" s="35"/>
      <c r="AG1112" s="35"/>
      <c r="AH1112" s="35"/>
      <c r="AI1112" s="35"/>
      <c r="AJ1112" s="35"/>
      <c r="AK1112" s="35"/>
      <c r="AL1112" s="35"/>
    </row>
    <row r="1113" ht="31.5" customHeight="1">
      <c r="A1113" s="18"/>
      <c r="B1113" s="19" t="s">
        <v>2392</v>
      </c>
      <c r="C1113" s="20" t="s">
        <v>5653</v>
      </c>
      <c r="D1113" s="47"/>
      <c r="E1113" s="56" t="s">
        <v>88</v>
      </c>
      <c r="F1113" s="57" t="s">
        <v>400</v>
      </c>
      <c r="G1113" s="57">
        <v>2020.0</v>
      </c>
      <c r="H1113" s="56" t="s">
        <v>5684</v>
      </c>
      <c r="I1113" s="58" t="s">
        <v>5685</v>
      </c>
      <c r="J1113" s="22" t="s">
        <v>31</v>
      </c>
      <c r="K1113" s="22" t="s">
        <v>5686</v>
      </c>
      <c r="L1113" s="36"/>
      <c r="M1113" s="36"/>
      <c r="N1113" s="36"/>
      <c r="O1113" s="36"/>
      <c r="P1113" s="37"/>
      <c r="Q1113" s="36"/>
      <c r="R1113" s="36"/>
      <c r="S1113" s="36"/>
      <c r="T1113" s="28" t="s">
        <v>5687</v>
      </c>
      <c r="U1113" s="29" t="s">
        <v>61</v>
      </c>
      <c r="V1113" s="50"/>
      <c r="W1113" s="49"/>
      <c r="X1113" s="49"/>
      <c r="Y1113" s="35"/>
      <c r="Z1113" s="35"/>
      <c r="AA1113" s="35"/>
      <c r="AB1113" s="35"/>
      <c r="AC1113" s="35"/>
      <c r="AD1113" s="35"/>
      <c r="AE1113" s="35"/>
      <c r="AF1113" s="35"/>
      <c r="AG1113" s="35"/>
      <c r="AH1113" s="35"/>
      <c r="AI1113" s="35"/>
      <c r="AJ1113" s="35"/>
      <c r="AK1113" s="35"/>
      <c r="AL1113" s="35"/>
    </row>
    <row r="1114" ht="31.5" customHeight="1">
      <c r="A1114" s="18"/>
      <c r="B1114" s="19" t="s">
        <v>2392</v>
      </c>
      <c r="C1114" s="20" t="s">
        <v>5653</v>
      </c>
      <c r="D1114" s="47"/>
      <c r="E1114" s="56" t="s">
        <v>4017</v>
      </c>
      <c r="F1114" s="57" t="s">
        <v>2346</v>
      </c>
      <c r="G1114" s="57">
        <v>2020.0</v>
      </c>
      <c r="H1114" s="56" t="s">
        <v>1025</v>
      </c>
      <c r="I1114" s="58" t="s">
        <v>5688</v>
      </c>
      <c r="J1114" s="22" t="s">
        <v>31</v>
      </c>
      <c r="K1114" s="22" t="s">
        <v>294</v>
      </c>
      <c r="L1114" s="36" t="s">
        <v>5689</v>
      </c>
      <c r="M1114" s="36"/>
      <c r="N1114" s="36"/>
      <c r="O1114" s="36"/>
      <c r="P1114" s="37"/>
      <c r="Q1114" s="36"/>
      <c r="R1114" s="36"/>
      <c r="S1114" s="36"/>
      <c r="T1114" s="28" t="s">
        <v>5690</v>
      </c>
      <c r="U1114" s="38" t="str">
        <f>HYPERLINK("https://www.ncbi.nlm.nih.gov/pubmed/32351077","PubMed")</f>
        <v>PubMed</v>
      </c>
      <c r="V1114" s="50"/>
      <c r="W1114" s="49"/>
      <c r="X1114" s="49"/>
      <c r="Y1114" s="35"/>
      <c r="Z1114" s="35"/>
      <c r="AA1114" s="35"/>
      <c r="AB1114" s="35"/>
      <c r="AC1114" s="35"/>
      <c r="AD1114" s="35"/>
      <c r="AE1114" s="35"/>
      <c r="AF1114" s="35"/>
      <c r="AG1114" s="35"/>
      <c r="AH1114" s="35"/>
      <c r="AI1114" s="35"/>
      <c r="AJ1114" s="35"/>
      <c r="AK1114" s="35"/>
      <c r="AL1114" s="35"/>
    </row>
    <row r="1115" ht="31.5" customHeight="1">
      <c r="A1115" s="18"/>
      <c r="B1115" s="19" t="s">
        <v>2392</v>
      </c>
      <c r="C1115" s="20" t="s">
        <v>5653</v>
      </c>
      <c r="D1115" s="47"/>
      <c r="E1115" s="56" t="s">
        <v>5691</v>
      </c>
      <c r="F1115" s="57" t="s">
        <v>41</v>
      </c>
      <c r="G1115" s="57">
        <v>2020.0</v>
      </c>
      <c r="H1115" s="56" t="s">
        <v>91</v>
      </c>
      <c r="I1115" s="58" t="s">
        <v>5692</v>
      </c>
      <c r="J1115" s="22" t="s">
        <v>31</v>
      </c>
      <c r="K1115" s="22" t="s">
        <v>5693</v>
      </c>
      <c r="L1115" s="36" t="s">
        <v>1804</v>
      </c>
      <c r="M1115" s="36"/>
      <c r="N1115" s="36"/>
      <c r="O1115" s="36"/>
      <c r="P1115" s="37"/>
      <c r="Q1115" s="36"/>
      <c r="R1115" s="36"/>
      <c r="S1115" s="36"/>
      <c r="T1115" s="42" t="s">
        <v>5694</v>
      </c>
      <c r="U1115" s="38" t="str">
        <f>HYPERLINK("https://www.ncbi.nlm.nih.gov/pubmed/32304000","PubMed")</f>
        <v>PubMed</v>
      </c>
      <c r="V1115" s="50"/>
      <c r="W1115" s="49"/>
      <c r="X1115" s="49"/>
      <c r="Y1115" s="35"/>
      <c r="Z1115" s="35"/>
      <c r="AA1115" s="35"/>
      <c r="AB1115" s="35"/>
      <c r="AC1115" s="35"/>
      <c r="AD1115" s="35"/>
      <c r="AE1115" s="35"/>
      <c r="AF1115" s="35"/>
      <c r="AG1115" s="35"/>
      <c r="AH1115" s="35"/>
      <c r="AI1115" s="35"/>
      <c r="AJ1115" s="35"/>
      <c r="AK1115" s="35"/>
      <c r="AL1115" s="35"/>
    </row>
    <row r="1116" ht="31.5" customHeight="1">
      <c r="A1116" s="18"/>
      <c r="B1116" s="19" t="s">
        <v>2392</v>
      </c>
      <c r="C1116" s="20" t="s">
        <v>5653</v>
      </c>
      <c r="D1116" s="47"/>
      <c r="E1116" s="56" t="s">
        <v>5695</v>
      </c>
      <c r="F1116" s="57" t="s">
        <v>5696</v>
      </c>
      <c r="G1116" s="57">
        <v>2020.0</v>
      </c>
      <c r="H1116" s="56" t="s">
        <v>3963</v>
      </c>
      <c r="I1116" s="58" t="s">
        <v>5697</v>
      </c>
      <c r="J1116" s="22" t="s">
        <v>31</v>
      </c>
      <c r="K1116" s="22" t="s">
        <v>5698</v>
      </c>
      <c r="L1116" s="36" t="s">
        <v>1446</v>
      </c>
      <c r="M1116" s="36"/>
      <c r="N1116" s="36"/>
      <c r="O1116" s="36"/>
      <c r="P1116" s="37"/>
      <c r="Q1116" s="36"/>
      <c r="R1116" s="36"/>
      <c r="S1116" s="36"/>
      <c r="T1116" s="28" t="s">
        <v>5699</v>
      </c>
      <c r="U1116" s="38" t="str">
        <f>HYPERLINK("https://www.ncbi.nlm.nih.gov/pubmed/32085605","PubMed")</f>
        <v>PubMed</v>
      </c>
      <c r="V1116" s="50"/>
      <c r="W1116" s="49"/>
      <c r="X1116" s="49"/>
      <c r="Y1116" s="35"/>
      <c r="Z1116" s="35"/>
      <c r="AA1116" s="35"/>
      <c r="AB1116" s="35"/>
      <c r="AC1116" s="35"/>
      <c r="AD1116" s="35"/>
      <c r="AE1116" s="35"/>
      <c r="AF1116" s="35"/>
      <c r="AG1116" s="35"/>
      <c r="AH1116" s="35"/>
      <c r="AI1116" s="35"/>
      <c r="AJ1116" s="35"/>
      <c r="AK1116" s="35"/>
      <c r="AL1116" s="35"/>
    </row>
    <row r="1117" ht="31.5" customHeight="1">
      <c r="A1117" s="18" t="s">
        <v>181</v>
      </c>
      <c r="B1117" s="19" t="s">
        <v>2392</v>
      </c>
      <c r="C1117" s="20" t="s">
        <v>5653</v>
      </c>
      <c r="D1117" s="47"/>
      <c r="E1117" s="56" t="s">
        <v>5700</v>
      </c>
      <c r="F1117" s="57" t="s">
        <v>323</v>
      </c>
      <c r="G1117" s="57">
        <v>2019.0</v>
      </c>
      <c r="H1117" s="56" t="s">
        <v>147</v>
      </c>
      <c r="I1117" s="58" t="s">
        <v>5701</v>
      </c>
      <c r="J1117" s="22" t="s">
        <v>31</v>
      </c>
      <c r="K1117" s="22" t="s">
        <v>5702</v>
      </c>
      <c r="L1117" s="36">
        <v>633.0</v>
      </c>
      <c r="M1117" s="36" t="s">
        <v>5703</v>
      </c>
      <c r="N1117" s="36"/>
      <c r="O1117" s="36"/>
      <c r="P1117" s="37" t="s">
        <v>325</v>
      </c>
      <c r="Q1117" s="36" t="s">
        <v>675</v>
      </c>
      <c r="R1117" s="36">
        <v>378.0</v>
      </c>
      <c r="S1117" s="36"/>
      <c r="T1117" s="28" t="s">
        <v>5704</v>
      </c>
      <c r="U1117" s="38" t="str">
        <f>HYPERLINK("https://www.ncbi.nlm.nih.gov/pubmed/31749940","PubMed")</f>
        <v>PubMed</v>
      </c>
      <c r="V1117" s="50"/>
      <c r="W1117" s="49"/>
      <c r="X1117" s="49"/>
      <c r="Y1117" s="35"/>
      <c r="Z1117" s="35"/>
      <c r="AA1117" s="35"/>
      <c r="AB1117" s="35"/>
      <c r="AC1117" s="35"/>
      <c r="AD1117" s="35"/>
      <c r="AE1117" s="35"/>
      <c r="AF1117" s="35"/>
      <c r="AG1117" s="35"/>
      <c r="AH1117" s="35"/>
      <c r="AI1117" s="35"/>
      <c r="AJ1117" s="35"/>
      <c r="AK1117" s="35"/>
      <c r="AL1117" s="35"/>
    </row>
    <row r="1118" ht="31.5" customHeight="1">
      <c r="A1118" s="89"/>
      <c r="B1118" s="19" t="s">
        <v>2392</v>
      </c>
      <c r="C1118" s="20" t="s">
        <v>5653</v>
      </c>
      <c r="D1118" s="47"/>
      <c r="E1118" s="56" t="s">
        <v>1708</v>
      </c>
      <c r="F1118" s="57" t="s">
        <v>4266</v>
      </c>
      <c r="G1118" s="57">
        <v>2019.0</v>
      </c>
      <c r="H1118" s="56" t="s">
        <v>2181</v>
      </c>
      <c r="I1118" s="58" t="s">
        <v>5705</v>
      </c>
      <c r="J1118" s="22" t="s">
        <v>31</v>
      </c>
      <c r="K1118" s="22" t="s">
        <v>5706</v>
      </c>
      <c r="L1118" s="36">
        <v>660.0</v>
      </c>
      <c r="M1118" s="36"/>
      <c r="N1118" s="36"/>
      <c r="O1118" s="36"/>
      <c r="P1118" s="37"/>
      <c r="Q1118" s="36"/>
      <c r="R1118" s="36"/>
      <c r="S1118" s="36"/>
      <c r="T1118" s="28" t="s">
        <v>5707</v>
      </c>
      <c r="U1118" s="38" t="str">
        <f>HYPERLINK("https://www.ncbi.nlm.nih.gov/pubmed/31300736","PubMed")</f>
        <v>PubMed</v>
      </c>
      <c r="V1118" s="50"/>
      <c r="W1118" s="49"/>
      <c r="X1118" s="49"/>
      <c r="Y1118" s="35"/>
      <c r="Z1118" s="35"/>
      <c r="AA1118" s="35"/>
      <c r="AB1118" s="35"/>
      <c r="AC1118" s="35"/>
      <c r="AD1118" s="35"/>
      <c r="AE1118" s="35"/>
      <c r="AF1118" s="35"/>
      <c r="AG1118" s="35"/>
      <c r="AH1118" s="35"/>
      <c r="AI1118" s="35"/>
      <c r="AJ1118" s="35"/>
      <c r="AK1118" s="35"/>
      <c r="AL1118" s="35"/>
    </row>
    <row r="1119" ht="31.5" customHeight="1">
      <c r="A1119" s="89"/>
      <c r="B1119" s="19" t="s">
        <v>2392</v>
      </c>
      <c r="C1119" s="20" t="s">
        <v>5653</v>
      </c>
      <c r="D1119" s="47"/>
      <c r="E1119" s="56" t="s">
        <v>5708</v>
      </c>
      <c r="F1119" s="57" t="s">
        <v>41</v>
      </c>
      <c r="G1119" s="57" t="s">
        <v>76</v>
      </c>
      <c r="H1119" s="56" t="s">
        <v>91</v>
      </c>
      <c r="I1119" s="58" t="s">
        <v>5709</v>
      </c>
      <c r="J1119" s="22" t="s">
        <v>31</v>
      </c>
      <c r="K1119" s="22" t="s">
        <v>5710</v>
      </c>
      <c r="L1119" s="36">
        <v>660.0</v>
      </c>
      <c r="M1119" s="36">
        <v>30.0</v>
      </c>
      <c r="N1119" s="36"/>
      <c r="O1119" s="36"/>
      <c r="P1119" s="37" t="s">
        <v>5711</v>
      </c>
      <c r="Q1119" s="36"/>
      <c r="R1119" s="36">
        <v>15.0</v>
      </c>
      <c r="S1119" s="36"/>
      <c r="T1119" s="28" t="s">
        <v>5712</v>
      </c>
      <c r="U1119" s="38" t="str">
        <f>HYPERLINK("https://www.ncbi.nlm.nih.gov/pubmed/31222481","PubMed")</f>
        <v>PubMed</v>
      </c>
      <c r="V1119" s="50"/>
      <c r="W1119" s="49"/>
      <c r="X1119" s="49"/>
      <c r="Y1119" s="35"/>
      <c r="Z1119" s="35"/>
      <c r="AA1119" s="35"/>
      <c r="AB1119" s="35"/>
      <c r="AC1119" s="35"/>
      <c r="AD1119" s="35"/>
      <c r="AE1119" s="35"/>
      <c r="AF1119" s="35"/>
      <c r="AG1119" s="35"/>
      <c r="AH1119" s="35"/>
      <c r="AI1119" s="35"/>
      <c r="AJ1119" s="35"/>
      <c r="AK1119" s="35"/>
      <c r="AL1119" s="35"/>
    </row>
    <row r="1120" ht="31.5" customHeight="1">
      <c r="A1120" s="89"/>
      <c r="B1120" s="19" t="s">
        <v>2392</v>
      </c>
      <c r="C1120" s="20" t="s">
        <v>5653</v>
      </c>
      <c r="D1120" s="47"/>
      <c r="E1120" s="56" t="s">
        <v>5713</v>
      </c>
      <c r="F1120" s="57" t="s">
        <v>41</v>
      </c>
      <c r="G1120" s="57">
        <v>2019.0</v>
      </c>
      <c r="H1120" s="56" t="s">
        <v>207</v>
      </c>
      <c r="I1120" s="58" t="s">
        <v>5714</v>
      </c>
      <c r="J1120" s="22" t="s">
        <v>31</v>
      </c>
      <c r="K1120" s="22" t="s">
        <v>5715</v>
      </c>
      <c r="L1120" s="36">
        <v>660.0</v>
      </c>
      <c r="M1120" s="36">
        <v>30.0</v>
      </c>
      <c r="N1120" s="36"/>
      <c r="O1120" s="36" t="s">
        <v>5716</v>
      </c>
      <c r="P1120" s="37"/>
      <c r="Q1120" s="36" t="s">
        <v>280</v>
      </c>
      <c r="R1120" s="36"/>
      <c r="S1120" s="36"/>
      <c r="T1120" s="42" t="s">
        <v>5717</v>
      </c>
      <c r="U1120" s="38" t="str">
        <f>HYPERLINK("https://www.ncbi.nlm.nih.gov/pubmed/31129505","PubMed")</f>
        <v>PubMed</v>
      </c>
      <c r="V1120" s="50"/>
      <c r="W1120" s="49"/>
      <c r="X1120" s="49"/>
      <c r="Y1120" s="35"/>
      <c r="Z1120" s="35"/>
      <c r="AA1120" s="35"/>
      <c r="AB1120" s="35"/>
      <c r="AC1120" s="35"/>
      <c r="AD1120" s="35"/>
      <c r="AE1120" s="35"/>
      <c r="AF1120" s="35"/>
      <c r="AG1120" s="35"/>
      <c r="AH1120" s="35"/>
      <c r="AI1120" s="35"/>
      <c r="AJ1120" s="35"/>
      <c r="AK1120" s="35"/>
      <c r="AL1120" s="35"/>
    </row>
    <row r="1121" ht="31.5" customHeight="1">
      <c r="A1121" s="89"/>
      <c r="B1121" s="19" t="s">
        <v>2392</v>
      </c>
      <c r="C1121" s="20" t="s">
        <v>5653</v>
      </c>
      <c r="D1121" s="47"/>
      <c r="E1121" s="56" t="s">
        <v>5718</v>
      </c>
      <c r="F1121" s="57" t="s">
        <v>1905</v>
      </c>
      <c r="G1121" s="57">
        <v>2019.0</v>
      </c>
      <c r="H1121" s="56" t="s">
        <v>4145</v>
      </c>
      <c r="I1121" s="58" t="s">
        <v>5719</v>
      </c>
      <c r="J1121" s="22" t="s">
        <v>31</v>
      </c>
      <c r="K1121" s="22" t="s">
        <v>5720</v>
      </c>
      <c r="L1121" s="36">
        <v>660.0</v>
      </c>
      <c r="M1121" s="36"/>
      <c r="N1121" s="36"/>
      <c r="O1121" s="36"/>
      <c r="P1121" s="37" t="s">
        <v>5721</v>
      </c>
      <c r="Q1121" s="36"/>
      <c r="R1121" s="36"/>
      <c r="S1121" s="36"/>
      <c r="T1121" s="28" t="s">
        <v>5722</v>
      </c>
      <c r="U1121" s="38" t="str">
        <f>HYPERLINK("https://www.ncbi.nlm.nih.gov/pubmed/31027504","PubMed")</f>
        <v>PubMed</v>
      </c>
      <c r="V1121" s="50"/>
      <c r="W1121" s="49"/>
      <c r="X1121" s="49"/>
      <c r="Y1121" s="35"/>
      <c r="Z1121" s="35"/>
      <c r="AA1121" s="35"/>
      <c r="AB1121" s="35"/>
      <c r="AC1121" s="35"/>
      <c r="AD1121" s="35"/>
      <c r="AE1121" s="35"/>
      <c r="AF1121" s="35"/>
      <c r="AG1121" s="35"/>
      <c r="AH1121" s="35"/>
      <c r="AI1121" s="35"/>
      <c r="AJ1121" s="35"/>
      <c r="AK1121" s="35"/>
      <c r="AL1121" s="35"/>
    </row>
    <row r="1122" ht="31.5" customHeight="1">
      <c r="A1122" s="89"/>
      <c r="B1122" s="19" t="s">
        <v>2392</v>
      </c>
      <c r="C1122" s="20" t="s">
        <v>5653</v>
      </c>
      <c r="D1122" s="47"/>
      <c r="E1122" s="56" t="s">
        <v>5723</v>
      </c>
      <c r="F1122" s="57" t="s">
        <v>5724</v>
      </c>
      <c r="G1122" s="57">
        <v>2018.0</v>
      </c>
      <c r="H1122" s="56" t="s">
        <v>5725</v>
      </c>
      <c r="I1122" s="58" t="s">
        <v>5726</v>
      </c>
      <c r="J1122" s="22" t="s">
        <v>31</v>
      </c>
      <c r="K1122" s="22" t="s">
        <v>5727</v>
      </c>
      <c r="L1122" s="36" t="s">
        <v>5728</v>
      </c>
      <c r="M1122" s="36"/>
      <c r="N1122" s="36"/>
      <c r="O1122" s="36"/>
      <c r="P1122" s="37"/>
      <c r="Q1122" s="36"/>
      <c r="R1122" s="36"/>
      <c r="S1122" s="36"/>
      <c r="T1122" s="28" t="s">
        <v>5729</v>
      </c>
      <c r="U1122" s="38" t="str">
        <f>HYPERLINK("https://www.ncbi.nlm.nih.gov/pubmed/29423013","PubMed")</f>
        <v>PubMed</v>
      </c>
      <c r="V1122" s="50"/>
      <c r="W1122" s="49"/>
      <c r="X1122" s="49"/>
      <c r="Y1122" s="35"/>
      <c r="Z1122" s="35"/>
      <c r="AA1122" s="35"/>
      <c r="AB1122" s="35"/>
      <c r="AC1122" s="35"/>
      <c r="AD1122" s="35"/>
      <c r="AE1122" s="35"/>
      <c r="AF1122" s="35"/>
      <c r="AG1122" s="35"/>
      <c r="AH1122" s="35"/>
      <c r="AI1122" s="35"/>
      <c r="AJ1122" s="35"/>
      <c r="AK1122" s="35"/>
      <c r="AL1122" s="35"/>
    </row>
    <row r="1123" ht="31.5" customHeight="1">
      <c r="A1123" s="89"/>
      <c r="B1123" s="19" t="s">
        <v>2392</v>
      </c>
      <c r="C1123" s="20" t="s">
        <v>5653</v>
      </c>
      <c r="D1123" s="47"/>
      <c r="E1123" s="56" t="s">
        <v>5730</v>
      </c>
      <c r="F1123" s="57" t="s">
        <v>308</v>
      </c>
      <c r="G1123" s="57">
        <v>2017.0</v>
      </c>
      <c r="H1123" s="56" t="s">
        <v>4975</v>
      </c>
      <c r="I1123" s="58" t="s">
        <v>5731</v>
      </c>
      <c r="J1123" s="22" t="s">
        <v>31</v>
      </c>
      <c r="K1123" s="22" t="s">
        <v>5732</v>
      </c>
      <c r="L1123" s="36">
        <v>780.0</v>
      </c>
      <c r="M1123" s="36">
        <v>25.0</v>
      </c>
      <c r="N1123" s="36"/>
      <c r="O1123" s="36"/>
      <c r="P1123" s="37" t="s">
        <v>969</v>
      </c>
      <c r="Q1123" s="36"/>
      <c r="R1123" s="36"/>
      <c r="S1123" s="36"/>
      <c r="T1123" s="28" t="s">
        <v>5733</v>
      </c>
      <c r="U1123" s="38" t="str">
        <f>HYPERLINK("https://www.ncbi.nlm.nih.gov/pubmed/29265380","PubMed")</f>
        <v>PubMed</v>
      </c>
      <c r="V1123" s="50"/>
      <c r="W1123" s="49"/>
      <c r="X1123" s="49"/>
      <c r="Y1123" s="35"/>
      <c r="Z1123" s="35"/>
      <c r="AA1123" s="35"/>
      <c r="AB1123" s="35"/>
      <c r="AC1123" s="35"/>
      <c r="AD1123" s="35"/>
      <c r="AE1123" s="35"/>
      <c r="AF1123" s="35"/>
      <c r="AG1123" s="35"/>
      <c r="AH1123" s="35"/>
      <c r="AI1123" s="35"/>
      <c r="AJ1123" s="35"/>
      <c r="AK1123" s="35"/>
      <c r="AL1123" s="35"/>
    </row>
    <row r="1124" ht="31.5" customHeight="1">
      <c r="A1124" s="89"/>
      <c r="B1124" s="19" t="s">
        <v>2392</v>
      </c>
      <c r="C1124" s="20" t="s">
        <v>5653</v>
      </c>
      <c r="D1124" s="47"/>
      <c r="E1124" s="56" t="s">
        <v>5734</v>
      </c>
      <c r="F1124" s="57" t="s">
        <v>323</v>
      </c>
      <c r="G1124" s="57">
        <v>2016.0</v>
      </c>
      <c r="H1124" s="56" t="s">
        <v>91</v>
      </c>
      <c r="I1124" s="58" t="s">
        <v>5735</v>
      </c>
      <c r="J1124" s="22" t="s">
        <v>31</v>
      </c>
      <c r="K1124" s="22" t="s">
        <v>5736</v>
      </c>
      <c r="L1124" s="36">
        <v>633.0</v>
      </c>
      <c r="M1124" s="36"/>
      <c r="N1124" s="36" t="s">
        <v>5737</v>
      </c>
      <c r="O1124" s="36"/>
      <c r="P1124" s="37" t="s">
        <v>1730</v>
      </c>
      <c r="Q1124" s="36"/>
      <c r="R1124" s="36"/>
      <c r="S1124" s="36"/>
      <c r="T1124" s="28" t="s">
        <v>5738</v>
      </c>
      <c r="U1124" s="38" t="str">
        <f>HYPERLINK("https://www.ncbi.nlm.nih.gov/pubmed/26984346","PubMed")</f>
        <v>PubMed</v>
      </c>
      <c r="V1124" s="50"/>
      <c r="W1124" s="49"/>
      <c r="X1124" s="49"/>
      <c r="Y1124" s="35"/>
      <c r="Z1124" s="35"/>
      <c r="AA1124" s="35"/>
      <c r="AB1124" s="35"/>
      <c r="AC1124" s="35"/>
      <c r="AD1124" s="35"/>
      <c r="AE1124" s="35"/>
      <c r="AF1124" s="35"/>
      <c r="AG1124" s="35"/>
      <c r="AH1124" s="35"/>
      <c r="AI1124" s="35"/>
      <c r="AJ1124" s="35"/>
      <c r="AK1124" s="35"/>
      <c r="AL1124" s="35"/>
    </row>
    <row r="1125" ht="31.5" customHeight="1">
      <c r="A1125" s="89"/>
      <c r="B1125" s="19" t="s">
        <v>2392</v>
      </c>
      <c r="C1125" s="20" t="s">
        <v>5653</v>
      </c>
      <c r="D1125" s="47"/>
      <c r="E1125" s="56" t="s">
        <v>5739</v>
      </c>
      <c r="F1125" s="57" t="s">
        <v>5740</v>
      </c>
      <c r="G1125" s="57">
        <v>2016.0</v>
      </c>
      <c r="H1125" s="56" t="s">
        <v>4975</v>
      </c>
      <c r="I1125" s="58" t="s">
        <v>5741</v>
      </c>
      <c r="J1125" s="22" t="s">
        <v>31</v>
      </c>
      <c r="K1125" s="22" t="s">
        <v>5742</v>
      </c>
      <c r="L1125" s="36" t="s">
        <v>5743</v>
      </c>
      <c r="M1125" s="36"/>
      <c r="N1125" s="36"/>
      <c r="O1125" s="36"/>
      <c r="P1125" s="37"/>
      <c r="Q1125" s="36"/>
      <c r="R1125" s="36"/>
      <c r="S1125" s="36"/>
      <c r="T1125" s="28" t="s">
        <v>5744</v>
      </c>
      <c r="U1125" s="38" t="str">
        <f>HYPERLINK("https://www.ncbi.nlm.nih.gov/pubmed/26876482","PubMed")</f>
        <v>PubMed</v>
      </c>
      <c r="V1125" s="50"/>
      <c r="W1125" s="49"/>
      <c r="X1125" s="49"/>
      <c r="Y1125" s="35"/>
      <c r="Z1125" s="35"/>
      <c r="AA1125" s="35"/>
      <c r="AB1125" s="35"/>
      <c r="AC1125" s="35"/>
      <c r="AD1125" s="35"/>
      <c r="AE1125" s="35"/>
      <c r="AF1125" s="35"/>
      <c r="AG1125" s="35"/>
      <c r="AH1125" s="35"/>
      <c r="AI1125" s="35"/>
      <c r="AJ1125" s="35"/>
      <c r="AK1125" s="35"/>
      <c r="AL1125" s="35"/>
    </row>
    <row r="1126" ht="31.5" customHeight="1">
      <c r="A1126" s="89"/>
      <c r="B1126" s="75" t="s">
        <v>2392</v>
      </c>
      <c r="C1126" s="77" t="s">
        <v>5653</v>
      </c>
      <c r="D1126" s="47"/>
      <c r="E1126" s="56" t="s">
        <v>5226</v>
      </c>
      <c r="F1126" s="57" t="s">
        <v>2962</v>
      </c>
      <c r="G1126" s="57">
        <v>2015.0</v>
      </c>
      <c r="H1126" s="56" t="s">
        <v>5745</v>
      </c>
      <c r="I1126" s="58" t="s">
        <v>5746</v>
      </c>
      <c r="J1126" s="22" t="s">
        <v>31</v>
      </c>
      <c r="K1126" s="22" t="s">
        <v>5747</v>
      </c>
      <c r="L1126" s="36"/>
      <c r="M1126" s="36"/>
      <c r="N1126" s="36"/>
      <c r="O1126" s="36"/>
      <c r="P1126" s="37"/>
      <c r="Q1126" s="36"/>
      <c r="R1126" s="36"/>
      <c r="S1126" s="36"/>
      <c r="T1126" s="28" t="s">
        <v>5748</v>
      </c>
      <c r="U1126" s="38" t="str">
        <f>HYPERLINK("https://www.ncbi.nlm.nih.gov/pubmed/25796222","PubMed")</f>
        <v>PubMed</v>
      </c>
      <c r="V1126" s="50"/>
      <c r="W1126" s="49"/>
      <c r="X1126" s="49"/>
      <c r="Y1126" s="35"/>
      <c r="Z1126" s="35"/>
      <c r="AA1126" s="35"/>
      <c r="AB1126" s="35"/>
      <c r="AC1126" s="35"/>
      <c r="AD1126" s="35"/>
      <c r="AE1126" s="35"/>
      <c r="AF1126" s="35"/>
      <c r="AG1126" s="35"/>
      <c r="AH1126" s="35"/>
      <c r="AI1126" s="35"/>
      <c r="AJ1126" s="35"/>
      <c r="AK1126" s="35"/>
      <c r="AL1126" s="35"/>
    </row>
    <row r="1127" ht="31.5" customHeight="1">
      <c r="A1127" s="89"/>
      <c r="B1127" s="75" t="s">
        <v>2392</v>
      </c>
      <c r="C1127" s="77" t="s">
        <v>5653</v>
      </c>
      <c r="D1127" s="47"/>
      <c r="E1127" s="56" t="s">
        <v>5226</v>
      </c>
      <c r="F1127" s="57" t="s">
        <v>2962</v>
      </c>
      <c r="G1127" s="57">
        <v>2015.0</v>
      </c>
      <c r="H1127" s="56" t="s">
        <v>5745</v>
      </c>
      <c r="I1127" s="58" t="s">
        <v>5749</v>
      </c>
      <c r="J1127" s="22" t="s">
        <v>31</v>
      </c>
      <c r="K1127" s="22"/>
      <c r="L1127" s="36">
        <v>810.0</v>
      </c>
      <c r="M1127" s="36"/>
      <c r="N1127" s="36" t="s">
        <v>1018</v>
      </c>
      <c r="O1127" s="36"/>
      <c r="P1127" s="37"/>
      <c r="Q1127" s="36"/>
      <c r="R1127" s="36">
        <v>120.0</v>
      </c>
      <c r="S1127" s="36"/>
      <c r="T1127" s="28" t="s">
        <v>5750</v>
      </c>
      <c r="U1127" s="38" t="str">
        <f>HYPERLINK("https://www.ncbi.nlm.nih.gov/pubmed/24599760","PubMed")</f>
        <v>PubMed</v>
      </c>
      <c r="V1127" s="50"/>
      <c r="W1127" s="49"/>
      <c r="X1127" s="49"/>
      <c r="Y1127" s="35"/>
      <c r="Z1127" s="35"/>
      <c r="AA1127" s="35"/>
      <c r="AB1127" s="35"/>
      <c r="AC1127" s="35"/>
      <c r="AD1127" s="35"/>
      <c r="AE1127" s="35"/>
      <c r="AF1127" s="35"/>
      <c r="AG1127" s="35"/>
      <c r="AH1127" s="35"/>
      <c r="AI1127" s="35"/>
      <c r="AJ1127" s="35"/>
      <c r="AK1127" s="35"/>
      <c r="AL1127" s="35"/>
    </row>
    <row r="1128" ht="31.5" customHeight="1">
      <c r="A1128" s="89"/>
      <c r="B1128" s="19" t="s">
        <v>2392</v>
      </c>
      <c r="C1128" s="20" t="s">
        <v>5653</v>
      </c>
      <c r="D1128" s="47"/>
      <c r="E1128" s="56" t="s">
        <v>5751</v>
      </c>
      <c r="F1128" s="57" t="s">
        <v>5752</v>
      </c>
      <c r="G1128" s="57">
        <v>2015.0</v>
      </c>
      <c r="H1128" s="56" t="s">
        <v>1025</v>
      </c>
      <c r="I1128" s="58" t="s">
        <v>5753</v>
      </c>
      <c r="J1128" s="22" t="s">
        <v>31</v>
      </c>
      <c r="K1128" s="22" t="s">
        <v>5754</v>
      </c>
      <c r="L1128" s="36" t="s">
        <v>5755</v>
      </c>
      <c r="M1128" s="36"/>
      <c r="N1128" s="36"/>
      <c r="O1128" s="36"/>
      <c r="P1128" s="37"/>
      <c r="Q1128" s="36"/>
      <c r="R1128" s="36">
        <v>1800.0</v>
      </c>
      <c r="S1128" s="36"/>
      <c r="T1128" s="28" t="s">
        <v>5756</v>
      </c>
      <c r="U1128" s="38" t="str">
        <f>HYPERLINK("https://www.ncbi.nlm.nih.gov/pubmed/25562608","PubMed")</f>
        <v>PubMed</v>
      </c>
      <c r="V1128" s="50"/>
      <c r="W1128" s="49"/>
      <c r="X1128" s="49"/>
      <c r="Y1128" s="35"/>
      <c r="Z1128" s="35"/>
      <c r="AA1128" s="35"/>
      <c r="AB1128" s="35"/>
      <c r="AC1128" s="35"/>
      <c r="AD1128" s="35"/>
      <c r="AE1128" s="35"/>
      <c r="AF1128" s="35"/>
      <c r="AG1128" s="35"/>
      <c r="AH1128" s="35"/>
      <c r="AI1128" s="35"/>
      <c r="AJ1128" s="35"/>
      <c r="AK1128" s="35"/>
      <c r="AL1128" s="35"/>
    </row>
    <row r="1129" ht="31.5" customHeight="1">
      <c r="A1129" s="89"/>
      <c r="B1129" s="19" t="s">
        <v>2392</v>
      </c>
      <c r="C1129" s="20" t="s">
        <v>5653</v>
      </c>
      <c r="D1129" s="47"/>
      <c r="E1129" s="56" t="s">
        <v>2195</v>
      </c>
      <c r="F1129" s="57" t="s">
        <v>2196</v>
      </c>
      <c r="G1129" s="57">
        <v>2014.0</v>
      </c>
      <c r="H1129" s="56" t="s">
        <v>1000</v>
      </c>
      <c r="I1129" s="58" t="s">
        <v>5757</v>
      </c>
      <c r="J1129" s="22" t="s">
        <v>31</v>
      </c>
      <c r="K1129" s="22" t="s">
        <v>5758</v>
      </c>
      <c r="L1129" s="36">
        <v>808.0</v>
      </c>
      <c r="M1129" s="36"/>
      <c r="N1129" s="36" t="s">
        <v>1018</v>
      </c>
      <c r="O1129" s="36"/>
      <c r="P1129" s="37"/>
      <c r="Q1129" s="36"/>
      <c r="R1129" s="36">
        <v>80.0</v>
      </c>
      <c r="S1129" s="36">
        <v>3.0</v>
      </c>
      <c r="T1129" s="28" t="s">
        <v>5759</v>
      </c>
      <c r="U1129" s="38" t="str">
        <f>HYPERLINK("https://www.hindawi.com/journals/ijp/2014/585934/","Hindawi")</f>
        <v>Hindawi</v>
      </c>
      <c r="V1129" s="50"/>
      <c r="W1129" s="49"/>
      <c r="X1129" s="49"/>
      <c r="Y1129" s="35"/>
      <c r="Z1129" s="35"/>
      <c r="AA1129" s="35"/>
      <c r="AB1129" s="35"/>
      <c r="AC1129" s="35"/>
      <c r="AD1129" s="35"/>
      <c r="AE1129" s="35"/>
      <c r="AF1129" s="35"/>
      <c r="AG1129" s="35"/>
      <c r="AH1129" s="35"/>
      <c r="AI1129" s="35"/>
      <c r="AJ1129" s="35"/>
      <c r="AK1129" s="35"/>
      <c r="AL1129" s="35"/>
    </row>
    <row r="1130" ht="31.5" customHeight="1">
      <c r="A1130" s="89"/>
      <c r="B1130" s="19" t="s">
        <v>2392</v>
      </c>
      <c r="C1130" s="20" t="s">
        <v>5653</v>
      </c>
      <c r="D1130" s="47"/>
      <c r="E1130" s="56" t="s">
        <v>1689</v>
      </c>
      <c r="F1130" s="57" t="s">
        <v>2196</v>
      </c>
      <c r="G1130" s="57">
        <v>2014.0</v>
      </c>
      <c r="H1130" s="56" t="s">
        <v>1000</v>
      </c>
      <c r="I1130" s="58" t="s">
        <v>5760</v>
      </c>
      <c r="J1130" s="22" t="s">
        <v>31</v>
      </c>
      <c r="K1130" s="22" t="s">
        <v>5761</v>
      </c>
      <c r="L1130" s="36">
        <v>670.0</v>
      </c>
      <c r="M1130" s="36"/>
      <c r="N1130" s="36"/>
      <c r="O1130" s="36"/>
      <c r="P1130" s="37"/>
      <c r="Q1130" s="36"/>
      <c r="R1130" s="36"/>
      <c r="S1130" s="36"/>
      <c r="T1130" s="28" t="s">
        <v>5762</v>
      </c>
      <c r="U1130" s="38" t="str">
        <f>HYPERLINK("https://www.hindawi.com/journals/ijp/2014/971491/","Hindawi")</f>
        <v>Hindawi</v>
      </c>
      <c r="V1130" s="50"/>
      <c r="W1130" s="49"/>
      <c r="X1130" s="49"/>
      <c r="Y1130" s="35"/>
      <c r="Z1130" s="35"/>
      <c r="AA1130" s="35"/>
      <c r="AB1130" s="35"/>
      <c r="AC1130" s="35"/>
      <c r="AD1130" s="35"/>
      <c r="AE1130" s="35"/>
      <c r="AF1130" s="35"/>
      <c r="AG1130" s="35"/>
      <c r="AH1130" s="35"/>
      <c r="AI1130" s="35"/>
      <c r="AJ1130" s="35"/>
      <c r="AK1130" s="35"/>
      <c r="AL1130" s="35"/>
    </row>
    <row r="1131" ht="31.5" customHeight="1">
      <c r="A1131" s="89"/>
      <c r="B1131" s="19" t="s">
        <v>2392</v>
      </c>
      <c r="C1131" s="20" t="s">
        <v>5653</v>
      </c>
      <c r="D1131" s="47"/>
      <c r="E1131" s="56" t="s">
        <v>5763</v>
      </c>
      <c r="F1131" s="57" t="s">
        <v>5752</v>
      </c>
      <c r="G1131" s="57">
        <v>2014.0</v>
      </c>
      <c r="H1131" s="56" t="s">
        <v>1025</v>
      </c>
      <c r="I1131" s="58" t="s">
        <v>5764</v>
      </c>
      <c r="J1131" s="22" t="s">
        <v>31</v>
      </c>
      <c r="K1131" s="22" t="s">
        <v>5765</v>
      </c>
      <c r="L1131" s="36" t="s">
        <v>5766</v>
      </c>
      <c r="M1131" s="36"/>
      <c r="N1131" s="36"/>
      <c r="O1131" s="36"/>
      <c r="P1131" s="37"/>
      <c r="Q1131" s="36"/>
      <c r="R1131" s="36"/>
      <c r="S1131" s="36"/>
      <c r="T1131" s="28" t="s">
        <v>5767</v>
      </c>
      <c r="U1131" s="38" t="str">
        <f>HYPERLINK("https://www.ncbi.nlm.nih.gov/pubmed/24638250","PubMed")</f>
        <v>PubMed</v>
      </c>
      <c r="V1131" s="50"/>
      <c r="W1131" s="49"/>
      <c r="X1131" s="49"/>
      <c r="Y1131" s="35"/>
      <c r="Z1131" s="35"/>
      <c r="AA1131" s="35"/>
      <c r="AB1131" s="35"/>
      <c r="AC1131" s="35"/>
      <c r="AD1131" s="35"/>
      <c r="AE1131" s="35"/>
      <c r="AF1131" s="35"/>
      <c r="AG1131" s="35"/>
      <c r="AH1131" s="35"/>
      <c r="AI1131" s="35"/>
      <c r="AJ1131" s="35"/>
      <c r="AK1131" s="35"/>
      <c r="AL1131" s="35"/>
    </row>
    <row r="1132" ht="31.5" customHeight="1">
      <c r="A1132" s="89"/>
      <c r="B1132" s="19" t="s">
        <v>2392</v>
      </c>
      <c r="C1132" s="20" t="s">
        <v>5653</v>
      </c>
      <c r="D1132" s="47"/>
      <c r="E1132" s="56" t="s">
        <v>223</v>
      </c>
      <c r="F1132" s="57" t="s">
        <v>2407</v>
      </c>
      <c r="G1132" s="57">
        <v>2013.0</v>
      </c>
      <c r="H1132" s="56" t="s">
        <v>42</v>
      </c>
      <c r="I1132" s="58" t="s">
        <v>5768</v>
      </c>
      <c r="J1132" s="22" t="s">
        <v>31</v>
      </c>
      <c r="K1132" s="22" t="s">
        <v>5769</v>
      </c>
      <c r="L1132" s="36">
        <v>810.0</v>
      </c>
      <c r="M1132" s="36"/>
      <c r="N1132" s="36" t="s">
        <v>821</v>
      </c>
      <c r="O1132" s="36"/>
      <c r="P1132" s="37" t="s">
        <v>969</v>
      </c>
      <c r="Q1132" s="36"/>
      <c r="R1132" s="36"/>
      <c r="S1132" s="36"/>
      <c r="T1132" s="28" t="s">
        <v>5770</v>
      </c>
      <c r="U1132" s="38" t="str">
        <f>HYPERLINK("https://www.ncbi.nlm.nih.gov/pubmed/23281261","PubMed")</f>
        <v>PubMed</v>
      </c>
      <c r="V1132" s="50"/>
      <c r="W1132" s="49"/>
      <c r="X1132" s="49"/>
      <c r="Y1132" s="35"/>
      <c r="Z1132" s="35"/>
      <c r="AA1132" s="35"/>
      <c r="AB1132" s="35"/>
      <c r="AC1132" s="35"/>
      <c r="AD1132" s="35"/>
      <c r="AE1132" s="35"/>
      <c r="AF1132" s="35"/>
      <c r="AG1132" s="35"/>
      <c r="AH1132" s="35"/>
      <c r="AI1132" s="35"/>
      <c r="AJ1132" s="35"/>
      <c r="AK1132" s="35"/>
      <c r="AL1132" s="35"/>
    </row>
    <row r="1133" ht="31.5" customHeight="1">
      <c r="A1133" s="89"/>
      <c r="B1133" s="19" t="s">
        <v>2392</v>
      </c>
      <c r="C1133" s="20" t="s">
        <v>5653</v>
      </c>
      <c r="D1133" s="47"/>
      <c r="E1133" s="56" t="s">
        <v>5771</v>
      </c>
      <c r="F1133" s="57" t="s">
        <v>1386</v>
      </c>
      <c r="G1133" s="57">
        <v>2011.0</v>
      </c>
      <c r="H1133" s="56" t="s">
        <v>658</v>
      </c>
      <c r="I1133" s="58" t="s">
        <v>5772</v>
      </c>
      <c r="J1133" s="22" t="s">
        <v>31</v>
      </c>
      <c r="K1133" s="22" t="s">
        <v>5773</v>
      </c>
      <c r="L1133" s="36">
        <v>636.0</v>
      </c>
      <c r="M1133" s="36">
        <v>95.0</v>
      </c>
      <c r="N1133" s="36" t="s">
        <v>5774</v>
      </c>
      <c r="O1133" s="36"/>
      <c r="P1133" s="37" t="s">
        <v>432</v>
      </c>
      <c r="Q1133" s="36" t="s">
        <v>5775</v>
      </c>
      <c r="R1133" s="36">
        <v>476.0</v>
      </c>
      <c r="S1133" s="36"/>
      <c r="T1133" s="28" t="s">
        <v>5776</v>
      </c>
      <c r="U1133" s="38" t="str">
        <f>HYPERLINK("https://www.ncbi.nlm.nih.gov/pubmed/21332376","PubMed")</f>
        <v>PubMed</v>
      </c>
      <c r="V1133" s="50"/>
      <c r="W1133" s="49"/>
      <c r="X1133" s="49"/>
      <c r="Y1133" s="35"/>
      <c r="Z1133" s="35"/>
      <c r="AA1133" s="35"/>
      <c r="AB1133" s="35"/>
      <c r="AC1133" s="35"/>
      <c r="AD1133" s="35"/>
      <c r="AE1133" s="35"/>
      <c r="AF1133" s="35"/>
      <c r="AG1133" s="35"/>
      <c r="AH1133" s="35"/>
      <c r="AI1133" s="35"/>
      <c r="AJ1133" s="35"/>
      <c r="AK1133" s="35"/>
      <c r="AL1133" s="35"/>
    </row>
    <row r="1134">
      <c r="A1134" s="89"/>
      <c r="B1134" s="19" t="s">
        <v>2392</v>
      </c>
      <c r="C1134" s="20" t="s">
        <v>5653</v>
      </c>
      <c r="D1134" s="47"/>
      <c r="E1134" s="56" t="s">
        <v>5777</v>
      </c>
      <c r="F1134" s="57" t="s">
        <v>1173</v>
      </c>
      <c r="G1134" s="57">
        <v>2011.0</v>
      </c>
      <c r="H1134" s="56" t="s">
        <v>658</v>
      </c>
      <c r="I1134" s="58" t="s">
        <v>5778</v>
      </c>
      <c r="J1134" s="22" t="s">
        <v>31</v>
      </c>
      <c r="K1134" s="22" t="s">
        <v>5779</v>
      </c>
      <c r="L1134" s="36">
        <v>670.0</v>
      </c>
      <c r="M1134" s="36"/>
      <c r="N1134" s="36" t="s">
        <v>1729</v>
      </c>
      <c r="O1134" s="36"/>
      <c r="P1134" s="37" t="s">
        <v>5780</v>
      </c>
      <c r="Q1134" s="36"/>
      <c r="R1134" s="36">
        <v>256.0</v>
      </c>
      <c r="S1134" s="36">
        <v>1.0</v>
      </c>
      <c r="T1134" s="63" t="s">
        <v>5781</v>
      </c>
      <c r="U1134" s="161" t="str">
        <f>HYPERLINK("https://www.ncbi.nlm.nih.gov/pubmed/21182449","PubMed")</f>
        <v>PubMed</v>
      </c>
      <c r="V1134" s="50"/>
      <c r="W1134" s="49"/>
      <c r="X1134" s="49"/>
      <c r="Y1134" s="35"/>
      <c r="Z1134" s="35"/>
      <c r="AA1134" s="35"/>
      <c r="AB1134" s="35"/>
      <c r="AC1134" s="35"/>
      <c r="AD1134" s="35"/>
      <c r="AE1134" s="35"/>
      <c r="AF1134" s="35"/>
      <c r="AG1134" s="35"/>
      <c r="AH1134" s="35"/>
      <c r="AI1134" s="35"/>
      <c r="AJ1134" s="35"/>
      <c r="AK1134" s="35"/>
      <c r="AL1134" s="35"/>
    </row>
    <row r="1135">
      <c r="A1135" s="89"/>
      <c r="B1135" s="19" t="s">
        <v>2392</v>
      </c>
      <c r="C1135" s="20" t="s">
        <v>5653</v>
      </c>
      <c r="D1135" s="47"/>
      <c r="E1135" s="56" t="s">
        <v>5782</v>
      </c>
      <c r="F1135" s="57" t="s">
        <v>5783</v>
      </c>
      <c r="G1135" s="57">
        <v>2011.0</v>
      </c>
      <c r="H1135" s="56" t="s">
        <v>1025</v>
      </c>
      <c r="I1135" s="58" t="s">
        <v>5784</v>
      </c>
      <c r="J1135" s="22" t="s">
        <v>31</v>
      </c>
      <c r="K1135" s="22" t="s">
        <v>948</v>
      </c>
      <c r="L1135" s="36" t="s">
        <v>5785</v>
      </c>
      <c r="M1135" s="36"/>
      <c r="N1135" s="36"/>
      <c r="O1135" s="36"/>
      <c r="P1135" s="37"/>
      <c r="Q1135" s="36"/>
      <c r="R1135" s="36"/>
      <c r="S1135" s="36"/>
      <c r="T1135" s="74" t="s">
        <v>5786</v>
      </c>
      <c r="U1135" s="161" t="str">
        <f>HYPERLINK("https://www.ncbi.nlm.nih.gov/pubmed/21806261","PubMed")</f>
        <v>PubMed</v>
      </c>
      <c r="V1135" s="50"/>
      <c r="W1135" s="49"/>
      <c r="X1135" s="49"/>
      <c r="Y1135" s="35"/>
      <c r="Z1135" s="35"/>
      <c r="AA1135" s="35"/>
      <c r="AB1135" s="35"/>
      <c r="AC1135" s="35"/>
      <c r="AD1135" s="35"/>
      <c r="AE1135" s="35"/>
      <c r="AF1135" s="35"/>
      <c r="AG1135" s="35"/>
      <c r="AH1135" s="35"/>
      <c r="AI1135" s="35"/>
      <c r="AJ1135" s="35"/>
      <c r="AK1135" s="35"/>
      <c r="AL1135" s="35"/>
    </row>
    <row r="1136">
      <c r="A1136" s="89"/>
      <c r="B1136" s="19" t="s">
        <v>2392</v>
      </c>
      <c r="C1136" s="20" t="s">
        <v>5653</v>
      </c>
      <c r="D1136" s="47"/>
      <c r="E1136" s="56" t="s">
        <v>2316</v>
      </c>
      <c r="F1136" s="57" t="s">
        <v>65</v>
      </c>
      <c r="G1136" s="57">
        <v>2010.0</v>
      </c>
      <c r="H1136" s="56" t="s">
        <v>5009</v>
      </c>
      <c r="I1136" s="58" t="s">
        <v>5787</v>
      </c>
      <c r="J1136" s="22" t="s">
        <v>31</v>
      </c>
      <c r="K1136" s="22" t="s">
        <v>5788</v>
      </c>
      <c r="L1136" s="36">
        <v>633.0</v>
      </c>
      <c r="M1136" s="36">
        <v>10.0</v>
      </c>
      <c r="N1136" s="36" t="s">
        <v>5789</v>
      </c>
      <c r="O1136" s="36"/>
      <c r="P1136" s="37" t="s">
        <v>325</v>
      </c>
      <c r="Q1136" s="36"/>
      <c r="R1136" s="36"/>
      <c r="S1136" s="36"/>
      <c r="T1136" s="63" t="s">
        <v>5790</v>
      </c>
      <c r="U1136" s="161" t="str">
        <f>HYPERLINK("https://www.ncbi.nlm.nih.gov/pubmed/20333643","PubMed")</f>
        <v>PubMed</v>
      </c>
      <c r="V1136" s="50"/>
      <c r="W1136" s="49"/>
      <c r="X1136" s="49"/>
      <c r="Y1136" s="35"/>
      <c r="Z1136" s="35"/>
      <c r="AA1136" s="35"/>
      <c r="AB1136" s="35"/>
      <c r="AC1136" s="35"/>
      <c r="AD1136" s="35"/>
      <c r="AE1136" s="35"/>
      <c r="AF1136" s="35"/>
      <c r="AG1136" s="35"/>
      <c r="AH1136" s="35"/>
      <c r="AI1136" s="35"/>
      <c r="AJ1136" s="35"/>
      <c r="AK1136" s="35"/>
      <c r="AL1136" s="35"/>
    </row>
    <row r="1137">
      <c r="A1137" s="89"/>
      <c r="B1137" s="19" t="s">
        <v>2392</v>
      </c>
      <c r="C1137" s="20" t="s">
        <v>5653</v>
      </c>
      <c r="D1137" s="47"/>
      <c r="E1137" s="56" t="s">
        <v>5791</v>
      </c>
      <c r="F1137" s="57" t="s">
        <v>1386</v>
      </c>
      <c r="G1137" s="57">
        <v>2010.0</v>
      </c>
      <c r="H1137" s="56" t="s">
        <v>5211</v>
      </c>
      <c r="I1137" s="58" t="s">
        <v>5792</v>
      </c>
      <c r="J1137" s="22" t="s">
        <v>31</v>
      </c>
      <c r="K1137" s="22" t="s">
        <v>5793</v>
      </c>
      <c r="L1137" s="36" t="s">
        <v>1389</v>
      </c>
      <c r="M1137" s="36"/>
      <c r="N1137" s="36"/>
      <c r="O1137" s="36"/>
      <c r="P1137" s="37" t="s">
        <v>432</v>
      </c>
      <c r="Q1137" s="36"/>
      <c r="R1137" s="36"/>
      <c r="S1137" s="36"/>
      <c r="T1137" s="63" t="s">
        <v>5794</v>
      </c>
      <c r="U1137" s="161" t="str">
        <f>HYPERLINK("https://www.ncbi.nlm.nih.gov/pubmed/21128844","PubMed")</f>
        <v>PubMed</v>
      </c>
      <c r="V1137" s="50"/>
      <c r="W1137" s="49"/>
      <c r="X1137" s="49"/>
      <c r="Y1137" s="35"/>
      <c r="Z1137" s="35"/>
      <c r="AA1137" s="35"/>
      <c r="AB1137" s="35"/>
      <c r="AC1137" s="35"/>
      <c r="AD1137" s="35"/>
      <c r="AE1137" s="35"/>
      <c r="AF1137" s="35"/>
      <c r="AG1137" s="35"/>
      <c r="AH1137" s="35"/>
      <c r="AI1137" s="35"/>
      <c r="AJ1137" s="35"/>
      <c r="AK1137" s="35"/>
      <c r="AL1137" s="35"/>
    </row>
    <row r="1138">
      <c r="A1138" s="89"/>
      <c r="B1138" s="19" t="s">
        <v>2392</v>
      </c>
      <c r="C1138" s="20" t="s">
        <v>5653</v>
      </c>
      <c r="D1138" s="47"/>
      <c r="E1138" s="56" t="s">
        <v>5795</v>
      </c>
      <c r="F1138" s="57" t="s">
        <v>41</v>
      </c>
      <c r="G1138" s="57">
        <v>2010.0</v>
      </c>
      <c r="H1138" s="56" t="s">
        <v>756</v>
      </c>
      <c r="I1138" s="58" t="s">
        <v>5796</v>
      </c>
      <c r="J1138" s="22" t="s">
        <v>31</v>
      </c>
      <c r="K1138" s="22" t="s">
        <v>5797</v>
      </c>
      <c r="L1138" s="36" t="s">
        <v>1750</v>
      </c>
      <c r="M1138" s="36">
        <v>40.0</v>
      </c>
      <c r="N1138" s="36"/>
      <c r="O1138" s="36"/>
      <c r="P1138" s="37" t="s">
        <v>5798</v>
      </c>
      <c r="Q1138" s="36" t="s">
        <v>830</v>
      </c>
      <c r="R1138" s="36"/>
      <c r="S1138" s="36"/>
      <c r="T1138" s="63" t="s">
        <v>5799</v>
      </c>
      <c r="U1138" s="161" t="str">
        <f>HYPERLINK("https://www.ncbi.nlm.nih.gov/pubmed/21180969","PubMed")</f>
        <v>PubMed</v>
      </c>
      <c r="V1138" s="50"/>
      <c r="W1138" s="49"/>
      <c r="X1138" s="49"/>
      <c r="Y1138" s="35"/>
      <c r="Z1138" s="35"/>
      <c r="AA1138" s="35"/>
      <c r="AB1138" s="35"/>
      <c r="AC1138" s="35"/>
      <c r="AD1138" s="35"/>
      <c r="AE1138" s="35"/>
      <c r="AF1138" s="35"/>
      <c r="AG1138" s="35"/>
      <c r="AH1138" s="35"/>
      <c r="AI1138" s="35"/>
      <c r="AJ1138" s="35"/>
      <c r="AK1138" s="35"/>
      <c r="AL1138" s="35"/>
    </row>
    <row r="1139">
      <c r="A1139" s="89"/>
      <c r="B1139" s="19" t="s">
        <v>2392</v>
      </c>
      <c r="C1139" s="20" t="s">
        <v>5653</v>
      </c>
      <c r="D1139" s="47"/>
      <c r="E1139" s="56" t="s">
        <v>5800</v>
      </c>
      <c r="F1139" s="57" t="s">
        <v>5801</v>
      </c>
      <c r="G1139" s="57">
        <v>2009.0</v>
      </c>
      <c r="H1139" s="56" t="s">
        <v>3292</v>
      </c>
      <c r="I1139" s="58" t="s">
        <v>5802</v>
      </c>
      <c r="J1139" s="22" t="s">
        <v>31</v>
      </c>
      <c r="K1139" s="22" t="s">
        <v>5803</v>
      </c>
      <c r="L1139" s="36">
        <v>980.0</v>
      </c>
      <c r="M1139" s="36"/>
      <c r="N1139" s="36"/>
      <c r="O1139" s="36"/>
      <c r="P1139" s="37" t="s">
        <v>5804</v>
      </c>
      <c r="Q1139" s="36"/>
      <c r="R1139" s="36"/>
      <c r="S1139" s="36"/>
      <c r="T1139" s="74" t="s">
        <v>5805</v>
      </c>
      <c r="U1139" s="161" t="str">
        <f>HYPERLINK("https://www.ncbi.nlm.nih.gov/pubmed/19292782","PubMed")</f>
        <v>PubMed</v>
      </c>
      <c r="V1139" s="50"/>
      <c r="W1139" s="49"/>
      <c r="X1139" s="49"/>
      <c r="Y1139" s="35"/>
      <c r="Z1139" s="35"/>
      <c r="AA1139" s="35"/>
      <c r="AB1139" s="35"/>
      <c r="AC1139" s="35"/>
      <c r="AD1139" s="35"/>
      <c r="AE1139" s="35"/>
      <c r="AF1139" s="35"/>
      <c r="AG1139" s="35"/>
      <c r="AH1139" s="35"/>
      <c r="AI1139" s="35"/>
      <c r="AJ1139" s="35"/>
      <c r="AK1139" s="35"/>
      <c r="AL1139" s="35"/>
    </row>
    <row r="1140">
      <c r="A1140" s="89"/>
      <c r="B1140" s="19" t="s">
        <v>2392</v>
      </c>
      <c r="C1140" s="20" t="s">
        <v>5653</v>
      </c>
      <c r="D1140" s="47"/>
      <c r="E1140" s="56" t="s">
        <v>5806</v>
      </c>
      <c r="F1140" s="57" t="s">
        <v>1386</v>
      </c>
      <c r="G1140" s="57">
        <v>2009.0</v>
      </c>
      <c r="H1140" s="56" t="s">
        <v>4975</v>
      </c>
      <c r="I1140" s="58" t="s">
        <v>5807</v>
      </c>
      <c r="J1140" s="22" t="s">
        <v>31</v>
      </c>
      <c r="K1140" s="22" t="s">
        <v>5588</v>
      </c>
      <c r="L1140" s="36">
        <v>633.0</v>
      </c>
      <c r="M1140" s="36"/>
      <c r="N1140" s="36" t="s">
        <v>3132</v>
      </c>
      <c r="O1140" s="36"/>
      <c r="P1140" s="37" t="s">
        <v>5808</v>
      </c>
      <c r="Q1140" s="36" t="s">
        <v>5809</v>
      </c>
      <c r="R1140" s="36" t="s">
        <v>5810</v>
      </c>
      <c r="S1140" s="36">
        <v>2.0</v>
      </c>
      <c r="T1140" s="63" t="s">
        <v>5811</v>
      </c>
      <c r="U1140" s="161" t="str">
        <f>HYPERLINK("https://www.ncbi.nlm.nih.gov/pubmed/19222797","PubMed")</f>
        <v>PubMed</v>
      </c>
      <c r="V1140" s="50"/>
      <c r="W1140" s="49"/>
      <c r="X1140" s="49"/>
      <c r="Y1140" s="35"/>
      <c r="Z1140" s="35"/>
      <c r="AA1140" s="35"/>
      <c r="AB1140" s="35"/>
      <c r="AC1140" s="35"/>
      <c r="AD1140" s="35"/>
      <c r="AE1140" s="35"/>
      <c r="AF1140" s="35"/>
      <c r="AG1140" s="35"/>
      <c r="AH1140" s="35"/>
      <c r="AI1140" s="35"/>
      <c r="AJ1140" s="35"/>
      <c r="AK1140" s="35"/>
      <c r="AL1140" s="35"/>
    </row>
    <row r="1141">
      <c r="A1141" s="18" t="s">
        <v>2</v>
      </c>
      <c r="B1141" s="19" t="s">
        <v>2392</v>
      </c>
      <c r="C1141" s="20" t="s">
        <v>5653</v>
      </c>
      <c r="D1141" s="47"/>
      <c r="E1141" s="56" t="s">
        <v>5812</v>
      </c>
      <c r="F1141" s="57" t="s">
        <v>1386</v>
      </c>
      <c r="G1141" s="57">
        <v>2008.0</v>
      </c>
      <c r="H1141" s="56" t="s">
        <v>3292</v>
      </c>
      <c r="I1141" s="58" t="s">
        <v>5813</v>
      </c>
      <c r="J1141" s="22" t="s">
        <v>31</v>
      </c>
      <c r="K1141" s="22" t="s">
        <v>5814</v>
      </c>
      <c r="L1141" s="36" t="s">
        <v>1389</v>
      </c>
      <c r="M1141" s="36" t="s">
        <v>5815</v>
      </c>
      <c r="N1141" s="36" t="s">
        <v>5816</v>
      </c>
      <c r="O1141" s="36"/>
      <c r="P1141" s="37" t="s">
        <v>5817</v>
      </c>
      <c r="Q1141" s="36" t="s">
        <v>5818</v>
      </c>
      <c r="R1141" s="36"/>
      <c r="S1141" s="128"/>
      <c r="T1141" s="63" t="s">
        <v>5819</v>
      </c>
      <c r="U1141" s="161" t="str">
        <f>HYPERLINK("https://www.ncbi.nlm.nih.gov/pubmed/18717961","PubMed")</f>
        <v>PubMed</v>
      </c>
      <c r="V1141" s="50"/>
      <c r="W1141" s="49"/>
      <c r="X1141" s="49"/>
      <c r="Y1141" s="35"/>
      <c r="Z1141" s="35"/>
      <c r="AA1141" s="35"/>
      <c r="AB1141" s="35"/>
      <c r="AC1141" s="35"/>
      <c r="AD1141" s="35"/>
      <c r="AE1141" s="35"/>
      <c r="AF1141" s="35"/>
      <c r="AG1141" s="35"/>
      <c r="AH1141" s="35"/>
      <c r="AI1141" s="35"/>
      <c r="AJ1141" s="35"/>
      <c r="AK1141" s="35"/>
      <c r="AL1141" s="35"/>
    </row>
    <row r="1142">
      <c r="A1142" s="89"/>
      <c r="B1142" s="19" t="s">
        <v>2392</v>
      </c>
      <c r="C1142" s="20" t="s">
        <v>5653</v>
      </c>
      <c r="D1142" s="47"/>
      <c r="E1142" s="56" t="s">
        <v>5791</v>
      </c>
      <c r="F1142" s="57" t="s">
        <v>1386</v>
      </c>
      <c r="G1142" s="57">
        <v>2007.0</v>
      </c>
      <c r="H1142" s="56" t="s">
        <v>658</v>
      </c>
      <c r="I1142" s="58" t="s">
        <v>5820</v>
      </c>
      <c r="J1142" s="22" t="s">
        <v>31</v>
      </c>
      <c r="K1142" s="22" t="s">
        <v>5821</v>
      </c>
      <c r="L1142" s="36">
        <v>633.0</v>
      </c>
      <c r="M1142" s="36"/>
      <c r="N1142" s="36"/>
      <c r="O1142" s="36"/>
      <c r="P1142" s="37" t="s">
        <v>432</v>
      </c>
      <c r="Q1142" s="36"/>
      <c r="R1142" s="36"/>
      <c r="S1142" s="128">
        <v>42767.0</v>
      </c>
      <c r="T1142" s="74" t="s">
        <v>5822</v>
      </c>
      <c r="U1142" s="161" t="str">
        <f>HYPERLINK("https://www.ncbi.nlm.nih.gov/pubmed/18158748","PubMed")</f>
        <v>PubMed</v>
      </c>
      <c r="V1142" s="50"/>
      <c r="W1142" s="49"/>
      <c r="X1142" s="49"/>
      <c r="Y1142" s="35"/>
      <c r="Z1142" s="35"/>
      <c r="AA1142" s="35"/>
      <c r="AB1142" s="35"/>
      <c r="AC1142" s="35"/>
      <c r="AD1142" s="35"/>
      <c r="AE1142" s="35"/>
      <c r="AF1142" s="35"/>
      <c r="AG1142" s="35"/>
      <c r="AH1142" s="35"/>
      <c r="AI1142" s="35"/>
      <c r="AJ1142" s="35"/>
      <c r="AK1142" s="35"/>
      <c r="AL1142" s="35"/>
    </row>
    <row r="1143">
      <c r="A1143" s="89"/>
      <c r="B1143" s="19" t="s">
        <v>2392</v>
      </c>
      <c r="C1143" s="20" t="s">
        <v>5653</v>
      </c>
      <c r="D1143" s="47"/>
      <c r="E1143" s="56" t="s">
        <v>5791</v>
      </c>
      <c r="F1143" s="57" t="s">
        <v>1386</v>
      </c>
      <c r="G1143" s="57">
        <v>2007.0</v>
      </c>
      <c r="H1143" s="56" t="s">
        <v>658</v>
      </c>
      <c r="I1143" s="58" t="s">
        <v>5823</v>
      </c>
      <c r="J1143" s="22" t="s">
        <v>31</v>
      </c>
      <c r="K1143" s="22" t="s">
        <v>1240</v>
      </c>
      <c r="L1143" s="36">
        <v>633.0</v>
      </c>
      <c r="M1143" s="36"/>
      <c r="N1143" s="36"/>
      <c r="O1143" s="36"/>
      <c r="P1143" s="37" t="s">
        <v>5808</v>
      </c>
      <c r="Q1143" s="36"/>
      <c r="R1143" s="36"/>
      <c r="S1143" s="128"/>
      <c r="T1143" s="74" t="s">
        <v>5824</v>
      </c>
      <c r="U1143" s="161" t="str">
        <f>HYPERLINK("https://www.ncbi.nlm.nih.gov/pubmed/17508841","PubMed")</f>
        <v>PubMed</v>
      </c>
      <c r="V1143" s="50"/>
      <c r="W1143" s="49"/>
      <c r="X1143" s="49"/>
      <c r="Y1143" s="35"/>
      <c r="Z1143" s="35"/>
      <c r="AA1143" s="35"/>
      <c r="AB1143" s="35"/>
      <c r="AC1143" s="35"/>
      <c r="AD1143" s="35"/>
      <c r="AE1143" s="35"/>
      <c r="AF1143" s="35"/>
      <c r="AG1143" s="35"/>
      <c r="AH1143" s="35"/>
      <c r="AI1143" s="35"/>
      <c r="AJ1143" s="35"/>
      <c r="AK1143" s="35"/>
      <c r="AL1143" s="35"/>
    </row>
    <row r="1144">
      <c r="A1144" s="89"/>
      <c r="B1144" s="19" t="s">
        <v>2392</v>
      </c>
      <c r="C1144" s="20" t="s">
        <v>5653</v>
      </c>
      <c r="D1144" s="47"/>
      <c r="E1144" s="56" t="s">
        <v>5791</v>
      </c>
      <c r="F1144" s="57" t="s">
        <v>1386</v>
      </c>
      <c r="G1144" s="57">
        <v>2007.0</v>
      </c>
      <c r="H1144" s="56" t="s">
        <v>5211</v>
      </c>
      <c r="I1144" s="58" t="s">
        <v>5825</v>
      </c>
      <c r="J1144" s="22" t="s">
        <v>31</v>
      </c>
      <c r="K1144" s="22" t="s">
        <v>1240</v>
      </c>
      <c r="L1144" s="36">
        <v>633.0</v>
      </c>
      <c r="M1144" s="36">
        <v>23.0</v>
      </c>
      <c r="N1144" s="36"/>
      <c r="O1144" s="36"/>
      <c r="P1144" s="37" t="s">
        <v>5808</v>
      </c>
      <c r="Q1144" s="36"/>
      <c r="R1144" s="36"/>
      <c r="S1144" s="36"/>
      <c r="T1144" s="74" t="s">
        <v>5826</v>
      </c>
      <c r="U1144" s="161" t="str">
        <f>HYPERLINK("https://www.ncbi.nlm.nih.gov/pubmed/17931053","PubMed")</f>
        <v>PubMed</v>
      </c>
      <c r="V1144" s="50"/>
      <c r="W1144" s="49"/>
      <c r="X1144" s="49"/>
      <c r="Y1144" s="35"/>
      <c r="Z1144" s="35"/>
      <c r="AA1144" s="35"/>
      <c r="AB1144" s="35"/>
      <c r="AC1144" s="35"/>
      <c r="AD1144" s="35"/>
      <c r="AE1144" s="35"/>
      <c r="AF1144" s="35"/>
      <c r="AG1144" s="35"/>
      <c r="AH1144" s="35"/>
      <c r="AI1144" s="35"/>
      <c r="AJ1144" s="35"/>
      <c r="AK1144" s="35"/>
      <c r="AL1144" s="35"/>
    </row>
    <row r="1145">
      <c r="A1145" s="89"/>
      <c r="B1145" s="19" t="s">
        <v>2392</v>
      </c>
      <c r="C1145" s="20" t="s">
        <v>5653</v>
      </c>
      <c r="D1145" s="47"/>
      <c r="E1145" s="56" t="s">
        <v>1385</v>
      </c>
      <c r="F1145" s="57" t="s">
        <v>1386</v>
      </c>
      <c r="G1145" s="57">
        <v>2006.0</v>
      </c>
      <c r="H1145" s="56" t="s">
        <v>53</v>
      </c>
      <c r="I1145" s="58" t="s">
        <v>5827</v>
      </c>
      <c r="J1145" s="22" t="s">
        <v>31</v>
      </c>
      <c r="K1145" s="22" t="s">
        <v>5828</v>
      </c>
      <c r="L1145" s="36">
        <v>633.0</v>
      </c>
      <c r="M1145" s="36"/>
      <c r="N1145" s="36"/>
      <c r="O1145" s="36"/>
      <c r="P1145" s="37" t="s">
        <v>5829</v>
      </c>
      <c r="Q1145" s="36"/>
      <c r="R1145" s="36"/>
      <c r="S1145" s="36"/>
      <c r="T1145" s="63" t="s">
        <v>5830</v>
      </c>
      <c r="U1145" s="161" t="str">
        <f>HYPERLINK("https://www.ncbi.nlm.nih.gov/pubmed/16444694","PubMed")</f>
        <v>PubMed</v>
      </c>
      <c r="V1145" s="50"/>
      <c r="W1145" s="49"/>
      <c r="X1145" s="49"/>
      <c r="Y1145" s="35"/>
      <c r="Z1145" s="35"/>
      <c r="AA1145" s="35"/>
      <c r="AB1145" s="35"/>
      <c r="AC1145" s="35"/>
      <c r="AD1145" s="35"/>
      <c r="AE1145" s="35"/>
      <c r="AF1145" s="35"/>
      <c r="AG1145" s="35"/>
      <c r="AH1145" s="35"/>
      <c r="AI1145" s="35"/>
      <c r="AJ1145" s="35"/>
      <c r="AK1145" s="35"/>
      <c r="AL1145" s="35"/>
    </row>
    <row r="1146">
      <c r="A1146" s="89"/>
      <c r="B1146" s="19" t="s">
        <v>2392</v>
      </c>
      <c r="C1146" s="20" t="s">
        <v>5653</v>
      </c>
      <c r="D1146" s="47"/>
      <c r="E1146" s="56" t="s">
        <v>2593</v>
      </c>
      <c r="F1146" s="57" t="s">
        <v>2956</v>
      </c>
      <c r="G1146" s="57">
        <v>2006.0</v>
      </c>
      <c r="H1146" s="56" t="s">
        <v>2612</v>
      </c>
      <c r="I1146" s="58" t="s">
        <v>5831</v>
      </c>
      <c r="J1146" s="22" t="s">
        <v>31</v>
      </c>
      <c r="K1146" s="22" t="s">
        <v>4189</v>
      </c>
      <c r="L1146" s="36"/>
      <c r="M1146" s="36"/>
      <c r="N1146" s="36"/>
      <c r="O1146" s="36"/>
      <c r="P1146" s="37"/>
      <c r="Q1146" s="36"/>
      <c r="R1146" s="36"/>
      <c r="S1146" s="36"/>
      <c r="T1146" s="28" t="s">
        <v>5832</v>
      </c>
      <c r="U1146" s="38" t="str">
        <f>HYPERLINK("https://www.ncbi.nlm.nih.gov/pubmed/16464535","PubMed")</f>
        <v>PubMed</v>
      </c>
      <c r="V1146" s="50"/>
      <c r="W1146" s="49"/>
      <c r="X1146" s="49"/>
      <c r="Y1146" s="35"/>
      <c r="Z1146" s="35"/>
      <c r="AA1146" s="35"/>
      <c r="AB1146" s="35"/>
      <c r="AC1146" s="35"/>
      <c r="AD1146" s="35"/>
      <c r="AE1146" s="35"/>
      <c r="AF1146" s="35"/>
      <c r="AG1146" s="35"/>
      <c r="AH1146" s="35"/>
      <c r="AI1146" s="35"/>
      <c r="AJ1146" s="35"/>
      <c r="AK1146" s="35"/>
      <c r="AL1146" s="35"/>
    </row>
    <row r="1147">
      <c r="A1147" s="89"/>
      <c r="B1147" s="19" t="s">
        <v>2392</v>
      </c>
      <c r="C1147" s="20" t="s">
        <v>5653</v>
      </c>
      <c r="D1147" s="47"/>
      <c r="E1147" s="56" t="s">
        <v>1385</v>
      </c>
      <c r="F1147" s="57" t="s">
        <v>1386</v>
      </c>
      <c r="G1147" s="57">
        <v>2006.0</v>
      </c>
      <c r="H1147" s="56" t="s">
        <v>658</v>
      </c>
      <c r="I1147" s="58" t="s">
        <v>5833</v>
      </c>
      <c r="J1147" s="22" t="s">
        <v>31</v>
      </c>
      <c r="K1147" s="22" t="s">
        <v>1240</v>
      </c>
      <c r="L1147" s="36">
        <v>633.0</v>
      </c>
      <c r="M1147" s="36"/>
      <c r="N1147" s="36"/>
      <c r="O1147" s="36"/>
      <c r="P1147" s="37"/>
      <c r="Q1147" s="36"/>
      <c r="R1147" s="36"/>
      <c r="S1147" s="36"/>
      <c r="T1147" s="42" t="s">
        <v>5834</v>
      </c>
      <c r="U1147" s="38" t="str">
        <f>HYPERLINK("https://www.ncbi.nlm.nih.gov/pubmed/17199470","PubMed")</f>
        <v>PubMed</v>
      </c>
      <c r="V1147" s="50"/>
      <c r="W1147" s="49"/>
      <c r="X1147" s="49"/>
      <c r="Y1147" s="35"/>
      <c r="Z1147" s="35"/>
      <c r="AA1147" s="35"/>
      <c r="AB1147" s="35"/>
      <c r="AC1147" s="35"/>
      <c r="AD1147" s="35"/>
      <c r="AE1147" s="35"/>
      <c r="AF1147" s="35"/>
      <c r="AG1147" s="35"/>
      <c r="AH1147" s="35"/>
      <c r="AI1147" s="35"/>
      <c r="AJ1147" s="35"/>
      <c r="AK1147" s="35"/>
      <c r="AL1147" s="35"/>
    </row>
    <row r="1148">
      <c r="A1148" s="89"/>
      <c r="B1148" s="19" t="s">
        <v>2392</v>
      </c>
      <c r="C1148" s="20" t="s">
        <v>5653</v>
      </c>
      <c r="D1148" s="47"/>
      <c r="E1148" s="56" t="s">
        <v>5835</v>
      </c>
      <c r="F1148" s="22" t="s">
        <v>2956</v>
      </c>
      <c r="G1148" s="57">
        <v>2005.0</v>
      </c>
      <c r="H1148" s="56" t="s">
        <v>5836</v>
      </c>
      <c r="I1148" s="58" t="s">
        <v>5837</v>
      </c>
      <c r="J1148" s="22" t="s">
        <v>31</v>
      </c>
      <c r="K1148" s="22" t="s">
        <v>5838</v>
      </c>
      <c r="L1148" s="36"/>
      <c r="M1148" s="36"/>
      <c r="N1148" s="36"/>
      <c r="O1148" s="36"/>
      <c r="P1148" s="37"/>
      <c r="Q1148" s="36"/>
      <c r="R1148" s="36"/>
      <c r="S1148" s="36"/>
      <c r="T1148" s="63" t="s">
        <v>5839</v>
      </c>
      <c r="U1148" s="212" t="s">
        <v>61</v>
      </c>
      <c r="V1148" s="50"/>
      <c r="W1148" s="49"/>
      <c r="X1148" s="49"/>
      <c r="Y1148" s="35"/>
      <c r="Z1148" s="35"/>
      <c r="AA1148" s="35"/>
      <c r="AB1148" s="35"/>
      <c r="AC1148" s="35"/>
      <c r="AD1148" s="35"/>
      <c r="AE1148" s="35"/>
      <c r="AF1148" s="35"/>
      <c r="AG1148" s="35"/>
      <c r="AH1148" s="35"/>
      <c r="AI1148" s="35"/>
      <c r="AJ1148" s="35"/>
      <c r="AK1148" s="35"/>
      <c r="AL1148" s="35"/>
    </row>
    <row r="1149">
      <c r="A1149" s="89"/>
      <c r="B1149" s="19" t="s">
        <v>2392</v>
      </c>
      <c r="C1149" s="20" t="s">
        <v>5653</v>
      </c>
      <c r="D1149" s="47"/>
      <c r="E1149" s="56" t="s">
        <v>5835</v>
      </c>
      <c r="F1149" s="57" t="s">
        <v>2956</v>
      </c>
      <c r="G1149" s="57">
        <v>2001.0</v>
      </c>
      <c r="H1149" s="56" t="s">
        <v>5840</v>
      </c>
      <c r="I1149" s="58" t="s">
        <v>5841</v>
      </c>
      <c r="J1149" s="22" t="s">
        <v>31</v>
      </c>
      <c r="K1149" s="22" t="s">
        <v>4189</v>
      </c>
      <c r="L1149" s="36"/>
      <c r="M1149" s="36"/>
      <c r="N1149" s="36"/>
      <c r="O1149" s="36"/>
      <c r="P1149" s="37"/>
      <c r="Q1149" s="36"/>
      <c r="R1149" s="36"/>
      <c r="S1149" s="36"/>
      <c r="T1149" s="63" t="s">
        <v>5842</v>
      </c>
      <c r="U1149" s="212" t="s">
        <v>61</v>
      </c>
      <c r="V1149" s="50"/>
      <c r="W1149" s="49"/>
      <c r="X1149" s="49"/>
      <c r="Y1149" s="35"/>
      <c r="Z1149" s="35"/>
      <c r="AA1149" s="35"/>
      <c r="AB1149" s="35"/>
      <c r="AC1149" s="35"/>
      <c r="AD1149" s="35"/>
      <c r="AE1149" s="35"/>
      <c r="AF1149" s="35"/>
      <c r="AG1149" s="35"/>
      <c r="AH1149" s="35"/>
      <c r="AI1149" s="35"/>
      <c r="AJ1149" s="35"/>
      <c r="AK1149" s="35"/>
      <c r="AL1149" s="35"/>
    </row>
    <row r="1150">
      <c r="A1150" s="89"/>
      <c r="B1150" s="19" t="s">
        <v>2392</v>
      </c>
      <c r="C1150" s="20" t="s">
        <v>5653</v>
      </c>
      <c r="D1150" s="47"/>
      <c r="E1150" s="56" t="s">
        <v>5843</v>
      </c>
      <c r="F1150" s="57" t="s">
        <v>2076</v>
      </c>
      <c r="G1150" s="57">
        <v>1998.0</v>
      </c>
      <c r="H1150" s="56" t="s">
        <v>5844</v>
      </c>
      <c r="I1150" s="58" t="s">
        <v>5845</v>
      </c>
      <c r="J1150" s="22" t="s">
        <v>31</v>
      </c>
      <c r="K1150" s="22" t="s">
        <v>5846</v>
      </c>
      <c r="L1150" s="36">
        <v>670.0</v>
      </c>
      <c r="M1150" s="36"/>
      <c r="N1150" s="36" t="s">
        <v>3587</v>
      </c>
      <c r="O1150" s="36"/>
      <c r="P1150" s="37" t="s">
        <v>5847</v>
      </c>
      <c r="Q1150" s="36"/>
      <c r="R1150" s="36"/>
      <c r="S1150" s="36"/>
      <c r="T1150" s="63" t="s">
        <v>5848</v>
      </c>
      <c r="U1150" s="64" t="s">
        <v>61</v>
      </c>
      <c r="V1150" s="50"/>
      <c r="W1150" s="49"/>
      <c r="X1150" s="49"/>
      <c r="Y1150" s="35"/>
      <c r="Z1150" s="35"/>
      <c r="AA1150" s="35"/>
      <c r="AB1150" s="35"/>
      <c r="AC1150" s="35"/>
      <c r="AD1150" s="35"/>
      <c r="AE1150" s="35"/>
      <c r="AF1150" s="35"/>
      <c r="AG1150" s="35"/>
      <c r="AH1150" s="35"/>
      <c r="AI1150" s="35"/>
      <c r="AJ1150" s="35"/>
      <c r="AK1150" s="35"/>
      <c r="AL1150" s="35"/>
    </row>
    <row r="1151">
      <c r="A1151" s="1"/>
      <c r="B1151" s="19" t="s">
        <v>2392</v>
      </c>
      <c r="C1151" s="20" t="s">
        <v>5849</v>
      </c>
      <c r="D1151" s="47"/>
      <c r="E1151" s="56" t="s">
        <v>1935</v>
      </c>
      <c r="F1151" s="57" t="s">
        <v>5850</v>
      </c>
      <c r="G1151" s="57">
        <v>2024.0</v>
      </c>
      <c r="H1151" s="56" t="s">
        <v>5851</v>
      </c>
      <c r="I1151" s="58" t="s">
        <v>5852</v>
      </c>
      <c r="J1151" s="22" t="s">
        <v>125</v>
      </c>
      <c r="K1151" s="22" t="s">
        <v>5853</v>
      </c>
      <c r="L1151" s="79" t="s">
        <v>5854</v>
      </c>
      <c r="U1151" s="60" t="s">
        <v>61</v>
      </c>
      <c r="V1151" s="50"/>
      <c r="W1151" s="49"/>
      <c r="X1151" s="49"/>
      <c r="Y1151" s="35"/>
      <c r="Z1151" s="35"/>
      <c r="AA1151" s="35"/>
      <c r="AB1151" s="35"/>
      <c r="AC1151" s="35"/>
      <c r="AD1151" s="35"/>
      <c r="AE1151" s="35"/>
      <c r="AF1151" s="35"/>
      <c r="AG1151" s="35"/>
      <c r="AH1151" s="35"/>
      <c r="AI1151" s="35"/>
      <c r="AJ1151" s="35"/>
      <c r="AK1151" s="35"/>
      <c r="AL1151" s="35"/>
    </row>
    <row r="1152">
      <c r="A1152" s="1"/>
      <c r="B1152" s="19" t="s">
        <v>2392</v>
      </c>
      <c r="C1152" s="20" t="s">
        <v>5849</v>
      </c>
      <c r="D1152" s="47"/>
      <c r="E1152" s="56" t="s">
        <v>5855</v>
      </c>
      <c r="F1152" s="57" t="s">
        <v>1386</v>
      </c>
      <c r="G1152" s="57">
        <v>2020.0</v>
      </c>
      <c r="H1152" s="56" t="s">
        <v>5856</v>
      </c>
      <c r="I1152" s="58" t="s">
        <v>5857</v>
      </c>
      <c r="J1152" s="22" t="s">
        <v>31</v>
      </c>
      <c r="K1152" s="22"/>
      <c r="L1152" s="36" t="s">
        <v>5858</v>
      </c>
      <c r="M1152" s="36"/>
      <c r="N1152" s="36"/>
      <c r="O1152" s="36"/>
      <c r="P1152" s="37" t="s">
        <v>5859</v>
      </c>
      <c r="Q1152" s="36"/>
      <c r="R1152" s="36"/>
      <c r="S1152" s="36"/>
      <c r="T1152" s="63" t="s">
        <v>5860</v>
      </c>
      <c r="U1152" s="64" t="s">
        <v>61</v>
      </c>
      <c r="V1152" s="50"/>
      <c r="W1152" s="49"/>
      <c r="X1152" s="49"/>
      <c r="Y1152" s="35"/>
      <c r="Z1152" s="35"/>
      <c r="AA1152" s="35"/>
      <c r="AB1152" s="35"/>
      <c r="AC1152" s="35"/>
      <c r="AD1152" s="35"/>
      <c r="AE1152" s="35"/>
      <c r="AF1152" s="35"/>
      <c r="AG1152" s="35"/>
      <c r="AH1152" s="35"/>
      <c r="AI1152" s="35"/>
      <c r="AJ1152" s="35"/>
      <c r="AK1152" s="35"/>
      <c r="AL1152" s="35"/>
    </row>
    <row r="1153">
      <c r="A1153" s="1"/>
      <c r="B1153" s="19" t="s">
        <v>2392</v>
      </c>
      <c r="C1153" s="20" t="s">
        <v>5849</v>
      </c>
      <c r="D1153" s="47"/>
      <c r="E1153" s="56" t="s">
        <v>5861</v>
      </c>
      <c r="F1153" s="57" t="s">
        <v>2702</v>
      </c>
      <c r="G1153" s="57">
        <v>2018.0</v>
      </c>
      <c r="H1153" s="56" t="s">
        <v>207</v>
      </c>
      <c r="I1153" s="58" t="s">
        <v>5862</v>
      </c>
      <c r="J1153" s="22" t="s">
        <v>31</v>
      </c>
      <c r="K1153" s="22" t="s">
        <v>5814</v>
      </c>
      <c r="L1153" s="36" t="s">
        <v>5863</v>
      </c>
      <c r="M1153" s="36"/>
      <c r="N1153" s="36" t="s">
        <v>5864</v>
      </c>
      <c r="O1153" s="36"/>
      <c r="P1153" s="37" t="s">
        <v>5865</v>
      </c>
      <c r="Q1153" s="36"/>
      <c r="R1153" s="36"/>
      <c r="S1153" s="36"/>
      <c r="T1153" s="63" t="s">
        <v>5866</v>
      </c>
      <c r="U1153" s="161" t="str">
        <f>HYPERLINK("https://www.sciencedirect.com/science/article/pii/S101113441830650X","ScienceDirect")</f>
        <v>ScienceDirect</v>
      </c>
      <c r="V1153" s="50"/>
      <c r="W1153" s="49"/>
      <c r="X1153" s="49"/>
      <c r="Y1153" s="35"/>
      <c r="Z1153" s="35"/>
      <c r="AA1153" s="35"/>
      <c r="AB1153" s="35"/>
      <c r="AC1153" s="35"/>
      <c r="AD1153" s="35"/>
      <c r="AE1153" s="35"/>
      <c r="AF1153" s="35"/>
      <c r="AG1153" s="35"/>
      <c r="AH1153" s="35"/>
      <c r="AI1153" s="35"/>
      <c r="AJ1153" s="35"/>
      <c r="AK1153" s="35"/>
      <c r="AL1153" s="35"/>
    </row>
    <row r="1154">
      <c r="A1154" s="1"/>
      <c r="B1154" s="19" t="s">
        <v>2392</v>
      </c>
      <c r="C1154" s="20" t="s">
        <v>5849</v>
      </c>
      <c r="D1154" s="47"/>
      <c r="E1154" s="56" t="s">
        <v>5867</v>
      </c>
      <c r="F1154" s="57" t="s">
        <v>366</v>
      </c>
      <c r="G1154" s="57">
        <v>2013.0</v>
      </c>
      <c r="H1154" s="56" t="s">
        <v>658</v>
      </c>
      <c r="I1154" s="58" t="s">
        <v>5868</v>
      </c>
      <c r="J1154" s="22" t="s">
        <v>31</v>
      </c>
      <c r="K1154" s="22" t="s">
        <v>771</v>
      </c>
      <c r="L1154" s="36" t="s">
        <v>5869</v>
      </c>
      <c r="M1154" s="36"/>
      <c r="N1154" s="36" t="s">
        <v>414</v>
      </c>
      <c r="O1154" s="36"/>
      <c r="P1154" s="37"/>
      <c r="Q1154" s="36"/>
      <c r="R1154" s="36" t="s">
        <v>5870</v>
      </c>
      <c r="S1154" s="36"/>
      <c r="T1154" s="63" t="s">
        <v>5871</v>
      </c>
      <c r="U1154" s="60" t="s">
        <v>61</v>
      </c>
      <c r="V1154" s="30" t="s">
        <v>5872</v>
      </c>
      <c r="W1154" s="49"/>
      <c r="X1154" s="49"/>
      <c r="Y1154" s="35"/>
      <c r="Z1154" s="35"/>
      <c r="AA1154" s="35"/>
      <c r="AB1154" s="35"/>
      <c r="AC1154" s="35"/>
      <c r="AD1154" s="35"/>
      <c r="AE1154" s="35"/>
      <c r="AF1154" s="35"/>
      <c r="AG1154" s="35"/>
      <c r="AH1154" s="35"/>
      <c r="AI1154" s="35"/>
      <c r="AJ1154" s="35"/>
      <c r="AK1154" s="35"/>
      <c r="AL1154" s="35"/>
    </row>
    <row r="1155">
      <c r="A1155" s="1" t="s">
        <v>2</v>
      </c>
      <c r="B1155" s="19" t="s">
        <v>2392</v>
      </c>
      <c r="C1155" s="20" t="s">
        <v>5849</v>
      </c>
      <c r="D1155" s="47"/>
      <c r="E1155" s="56" t="s">
        <v>2195</v>
      </c>
      <c r="F1155" s="57" t="s">
        <v>2407</v>
      </c>
      <c r="G1155" s="57">
        <v>2011.0</v>
      </c>
      <c r="H1155" s="56" t="s">
        <v>627</v>
      </c>
      <c r="I1155" s="58" t="s">
        <v>5873</v>
      </c>
      <c r="J1155" s="22" t="s">
        <v>31</v>
      </c>
      <c r="K1155" s="22" t="s">
        <v>5874</v>
      </c>
      <c r="L1155" s="36">
        <v>810.0</v>
      </c>
      <c r="M1155" s="36"/>
      <c r="N1155" s="36"/>
      <c r="O1155" s="36"/>
      <c r="P1155" s="37" t="s">
        <v>5875</v>
      </c>
      <c r="Q1155" s="36"/>
      <c r="R1155" s="36"/>
      <c r="S1155" s="36"/>
      <c r="T1155" s="63" t="s">
        <v>5876</v>
      </c>
      <c r="U1155" s="161" t="str">
        <f>HYPERLINK("https://www.ncbi.nlm.nih.gov/pubmed/21814580","PubMed")</f>
        <v>PubMed</v>
      </c>
      <c r="V1155" s="50"/>
      <c r="W1155" s="49"/>
      <c r="X1155" s="49"/>
      <c r="Y1155" s="35"/>
      <c r="Z1155" s="35"/>
      <c r="AA1155" s="35"/>
      <c r="AB1155" s="35"/>
      <c r="AC1155" s="35"/>
      <c r="AD1155" s="35"/>
      <c r="AE1155" s="35"/>
      <c r="AF1155" s="35"/>
      <c r="AG1155" s="35"/>
      <c r="AH1155" s="35"/>
      <c r="AI1155" s="35"/>
      <c r="AJ1155" s="35"/>
      <c r="AK1155" s="35"/>
      <c r="AL1155" s="35"/>
    </row>
    <row r="1156">
      <c r="A1156" s="89"/>
      <c r="B1156" s="19" t="s">
        <v>2392</v>
      </c>
      <c r="C1156" s="20" t="s">
        <v>5877</v>
      </c>
      <c r="D1156" s="47"/>
      <c r="E1156" s="56" t="s">
        <v>5878</v>
      </c>
      <c r="F1156" s="57" t="s">
        <v>2196</v>
      </c>
      <c r="G1156" s="57">
        <v>2018.0</v>
      </c>
      <c r="H1156" s="56" t="s">
        <v>91</v>
      </c>
      <c r="I1156" s="58" t="s">
        <v>5879</v>
      </c>
      <c r="J1156" s="22" t="s">
        <v>31</v>
      </c>
      <c r="K1156" s="22" t="s">
        <v>5880</v>
      </c>
      <c r="L1156" s="36">
        <v>635.0</v>
      </c>
      <c r="M1156" s="36"/>
      <c r="N1156" s="36"/>
      <c r="O1156" s="36"/>
      <c r="P1156" s="37" t="s">
        <v>5881</v>
      </c>
      <c r="Q1156" s="36"/>
      <c r="R1156" s="36"/>
      <c r="S1156" s="36"/>
      <c r="T1156" s="63" t="s">
        <v>5882</v>
      </c>
      <c r="U1156" s="161" t="s">
        <v>61</v>
      </c>
      <c r="V1156" s="50"/>
      <c r="W1156" s="49"/>
      <c r="X1156" s="49"/>
      <c r="Y1156" s="35"/>
      <c r="Z1156" s="35"/>
      <c r="AA1156" s="35"/>
      <c r="AB1156" s="35"/>
      <c r="AC1156" s="35"/>
      <c r="AD1156" s="35"/>
      <c r="AE1156" s="35"/>
      <c r="AF1156" s="35"/>
      <c r="AG1156" s="35"/>
      <c r="AH1156" s="35"/>
      <c r="AI1156" s="35"/>
      <c r="AJ1156" s="35"/>
      <c r="AK1156" s="35"/>
      <c r="AL1156" s="35"/>
    </row>
    <row r="1157">
      <c r="A1157" s="89"/>
      <c r="B1157" s="19" t="s">
        <v>2392</v>
      </c>
      <c r="C1157" s="20" t="s">
        <v>5877</v>
      </c>
      <c r="D1157" s="47"/>
      <c r="E1157" s="56" t="s">
        <v>5883</v>
      </c>
      <c r="F1157" s="57" t="s">
        <v>5884</v>
      </c>
      <c r="G1157" s="57">
        <v>2018.0</v>
      </c>
      <c r="H1157" s="56" t="s">
        <v>3292</v>
      </c>
      <c r="I1157" s="58" t="s">
        <v>5885</v>
      </c>
      <c r="J1157" s="22" t="s">
        <v>31</v>
      </c>
      <c r="K1157" s="22" t="s">
        <v>5886</v>
      </c>
      <c r="L1157" s="36"/>
      <c r="M1157" s="36"/>
      <c r="N1157" s="36"/>
      <c r="O1157" s="36"/>
      <c r="P1157" s="37"/>
      <c r="Q1157" s="36"/>
      <c r="R1157" s="36"/>
      <c r="S1157" s="36"/>
      <c r="T1157" s="63" t="s">
        <v>5887</v>
      </c>
      <c r="U1157" s="161" t="str">
        <f>HYPERLINK("https://www.ncbi.nlm.nih.gov/pubmed/29698551","PubMed")</f>
        <v>PubMed</v>
      </c>
      <c r="V1157" s="50"/>
      <c r="W1157" s="49"/>
      <c r="X1157" s="49"/>
      <c r="Y1157" s="35"/>
      <c r="Z1157" s="35"/>
      <c r="AA1157" s="35"/>
      <c r="AB1157" s="35"/>
      <c r="AC1157" s="35"/>
      <c r="AD1157" s="35"/>
      <c r="AE1157" s="35"/>
      <c r="AF1157" s="35"/>
      <c r="AG1157" s="35"/>
      <c r="AH1157" s="35"/>
      <c r="AI1157" s="35"/>
      <c r="AJ1157" s="35"/>
      <c r="AK1157" s="35"/>
      <c r="AL1157" s="35"/>
    </row>
    <row r="1158">
      <c r="A1158" s="89"/>
      <c r="B1158" s="19" t="s">
        <v>2392</v>
      </c>
      <c r="C1158" s="20" t="s">
        <v>5877</v>
      </c>
      <c r="D1158" s="47"/>
      <c r="E1158" s="56" t="s">
        <v>5888</v>
      </c>
      <c r="F1158" s="57" t="s">
        <v>5889</v>
      </c>
      <c r="G1158" s="57">
        <v>2016.0</v>
      </c>
      <c r="H1158" s="56" t="s">
        <v>5890</v>
      </c>
      <c r="I1158" s="58" t="s">
        <v>5891</v>
      </c>
      <c r="J1158" s="22" t="s">
        <v>31</v>
      </c>
      <c r="K1158" s="22" t="s">
        <v>1240</v>
      </c>
      <c r="L1158" s="36">
        <v>650.0</v>
      </c>
      <c r="M1158" s="36" t="s">
        <v>5892</v>
      </c>
      <c r="N1158" s="36"/>
      <c r="O1158" s="36"/>
      <c r="P1158" s="37" t="s">
        <v>5893</v>
      </c>
      <c r="Q1158" s="36" t="s">
        <v>5894</v>
      </c>
      <c r="R1158" s="36" t="s">
        <v>5895</v>
      </c>
      <c r="S1158" s="36"/>
      <c r="T1158" s="63" t="s">
        <v>5896</v>
      </c>
      <c r="U1158" s="161" t="str">
        <f>HYPERLINK("https://www.ncbi.nlm.nih.gov/pubmed/27056043","PubMed")</f>
        <v>PubMed</v>
      </c>
      <c r="V1158" s="50"/>
      <c r="W1158" s="49"/>
      <c r="X1158" s="49"/>
      <c r="Y1158" s="35"/>
      <c r="Z1158" s="35"/>
      <c r="AA1158" s="35"/>
      <c r="AB1158" s="35"/>
      <c r="AC1158" s="35"/>
      <c r="AD1158" s="35"/>
      <c r="AE1158" s="35"/>
      <c r="AF1158" s="35"/>
      <c r="AG1158" s="35"/>
      <c r="AH1158" s="35"/>
      <c r="AI1158" s="35"/>
      <c r="AJ1158" s="35"/>
      <c r="AK1158" s="35"/>
      <c r="AL1158" s="35"/>
    </row>
    <row r="1159">
      <c r="A1159" s="89"/>
      <c r="B1159" s="75" t="s">
        <v>2392</v>
      </c>
      <c r="C1159" s="77" t="s">
        <v>5877</v>
      </c>
      <c r="D1159" s="47"/>
      <c r="E1159" s="56" t="s">
        <v>1080</v>
      </c>
      <c r="F1159" s="57" t="s">
        <v>1622</v>
      </c>
      <c r="G1159" s="57">
        <v>2015.0</v>
      </c>
      <c r="H1159" s="56" t="s">
        <v>1000</v>
      </c>
      <c r="I1159" s="58" t="s">
        <v>5897</v>
      </c>
      <c r="J1159" s="22" t="s">
        <v>31</v>
      </c>
      <c r="K1159" s="22" t="s">
        <v>2216</v>
      </c>
      <c r="L1159" s="36">
        <v>660.0</v>
      </c>
      <c r="M1159" s="36"/>
      <c r="N1159" s="36" t="s">
        <v>5898</v>
      </c>
      <c r="O1159" s="36"/>
      <c r="P1159" s="37"/>
      <c r="Q1159" s="36"/>
      <c r="R1159" s="36" t="s">
        <v>5899</v>
      </c>
      <c r="S1159" s="36"/>
      <c r="T1159" s="63" t="s">
        <v>5900</v>
      </c>
      <c r="U1159" s="161" t="str">
        <f>HYPERLINK("https://www.hindawi.com/journals/ijp/2015/916838/","Hindawi")</f>
        <v>Hindawi</v>
      </c>
      <c r="V1159" s="50"/>
      <c r="W1159" s="49"/>
      <c r="X1159" s="49"/>
      <c r="Y1159" s="35"/>
      <c r="Z1159" s="35"/>
      <c r="AA1159" s="35"/>
      <c r="AB1159" s="35"/>
      <c r="AC1159" s="35"/>
      <c r="AD1159" s="35"/>
      <c r="AE1159" s="35"/>
      <c r="AF1159" s="35"/>
      <c r="AG1159" s="35"/>
      <c r="AH1159" s="35"/>
      <c r="AI1159" s="35"/>
      <c r="AJ1159" s="35"/>
      <c r="AK1159" s="35"/>
      <c r="AL1159" s="35"/>
    </row>
    <row r="1160">
      <c r="A1160" s="89"/>
      <c r="B1160" s="19" t="s">
        <v>2392</v>
      </c>
      <c r="C1160" s="20" t="s">
        <v>5877</v>
      </c>
      <c r="D1160" s="47"/>
      <c r="E1160" s="56" t="s">
        <v>5901</v>
      </c>
      <c r="F1160" s="57" t="s">
        <v>797</v>
      </c>
      <c r="G1160" s="57">
        <v>2014.0</v>
      </c>
      <c r="H1160" s="56" t="s">
        <v>1025</v>
      </c>
      <c r="I1160" s="58" t="s">
        <v>5902</v>
      </c>
      <c r="J1160" s="22" t="s">
        <v>31</v>
      </c>
      <c r="K1160" s="22"/>
      <c r="L1160" s="36">
        <v>660.0</v>
      </c>
      <c r="M1160" s="36">
        <v>40.0</v>
      </c>
      <c r="N1160" s="36"/>
      <c r="O1160" s="36" t="s">
        <v>5903</v>
      </c>
      <c r="P1160" s="37" t="s">
        <v>5127</v>
      </c>
      <c r="Q1160" s="36" t="s">
        <v>830</v>
      </c>
      <c r="R1160" s="36" t="s">
        <v>5127</v>
      </c>
      <c r="S1160" s="36" t="s">
        <v>5904</v>
      </c>
      <c r="T1160" s="63" t="s">
        <v>5905</v>
      </c>
      <c r="U1160" s="161" t="str">
        <f>HYPERLINK("https://www.ncbi.nlm.nih.gov/pubmed/24531144","PubMed")</f>
        <v>PubMed</v>
      </c>
      <c r="V1160" s="50"/>
      <c r="W1160" s="49"/>
      <c r="X1160" s="49"/>
      <c r="Y1160" s="35"/>
      <c r="Z1160" s="35"/>
      <c r="AA1160" s="35"/>
      <c r="AB1160" s="35"/>
      <c r="AC1160" s="35"/>
      <c r="AD1160" s="35"/>
      <c r="AE1160" s="35"/>
      <c r="AF1160" s="35"/>
      <c r="AG1160" s="35"/>
      <c r="AH1160" s="35"/>
      <c r="AI1160" s="35"/>
      <c r="AJ1160" s="35"/>
      <c r="AK1160" s="35"/>
      <c r="AL1160" s="35"/>
    </row>
    <row r="1161">
      <c r="A1161" s="89"/>
      <c r="B1161" s="19" t="s">
        <v>2392</v>
      </c>
      <c r="C1161" s="20" t="s">
        <v>5906</v>
      </c>
      <c r="D1161" s="47"/>
      <c r="E1161" s="56" t="s">
        <v>5907</v>
      </c>
      <c r="F1161" s="57" t="s">
        <v>1386</v>
      </c>
      <c r="G1161" s="57">
        <v>2023.0</v>
      </c>
      <c r="H1161" s="56" t="s">
        <v>42</v>
      </c>
      <c r="I1161" s="58" t="s">
        <v>5908</v>
      </c>
      <c r="J1161" s="22" t="s">
        <v>31</v>
      </c>
      <c r="K1161" s="22" t="s">
        <v>5909</v>
      </c>
      <c r="L1161" s="36">
        <v>830.0</v>
      </c>
      <c r="M1161" s="36"/>
      <c r="N1161" s="36" t="s">
        <v>5910</v>
      </c>
      <c r="O1161" s="36"/>
      <c r="P1161" s="37" t="s">
        <v>432</v>
      </c>
      <c r="Q1161" s="36"/>
      <c r="R1161" s="36"/>
      <c r="S1161" s="36"/>
      <c r="T1161" s="63" t="s">
        <v>5911</v>
      </c>
      <c r="U1161" s="60" t="s">
        <v>61</v>
      </c>
      <c r="V1161" s="50"/>
      <c r="W1161" s="49"/>
      <c r="X1161" s="49"/>
      <c r="Y1161" s="35"/>
      <c r="Z1161" s="35"/>
      <c r="AA1161" s="35"/>
      <c r="AB1161" s="35"/>
      <c r="AC1161" s="35"/>
      <c r="AD1161" s="35"/>
      <c r="AE1161" s="35"/>
      <c r="AF1161" s="35"/>
      <c r="AG1161" s="35"/>
      <c r="AH1161" s="35"/>
      <c r="AI1161" s="35"/>
      <c r="AJ1161" s="35"/>
      <c r="AK1161" s="35"/>
      <c r="AL1161" s="35"/>
    </row>
    <row r="1162">
      <c r="A1162" s="89"/>
      <c r="B1162" s="19" t="s">
        <v>2392</v>
      </c>
      <c r="C1162" s="20" t="s">
        <v>5906</v>
      </c>
      <c r="D1162" s="47"/>
      <c r="E1162" s="56" t="s">
        <v>5912</v>
      </c>
      <c r="F1162" s="57" t="s">
        <v>5913</v>
      </c>
      <c r="G1162" s="57">
        <v>2023.0</v>
      </c>
      <c r="H1162" s="56" t="s">
        <v>3292</v>
      </c>
      <c r="I1162" s="58" t="s">
        <v>5914</v>
      </c>
      <c r="J1162" s="22" t="s">
        <v>31</v>
      </c>
      <c r="K1162" s="22"/>
      <c r="L1162" s="36"/>
      <c r="M1162" s="36"/>
      <c r="N1162" s="36"/>
      <c r="O1162" s="36"/>
      <c r="P1162" s="37"/>
      <c r="Q1162" s="36"/>
      <c r="R1162" s="36"/>
      <c r="S1162" s="36"/>
      <c r="T1162" s="63" t="s">
        <v>5915</v>
      </c>
      <c r="U1162" s="60" t="s">
        <v>61</v>
      </c>
      <c r="V1162" s="50"/>
      <c r="W1162" s="49"/>
      <c r="X1162" s="49"/>
      <c r="Y1162" s="35"/>
      <c r="Z1162" s="35"/>
      <c r="AA1162" s="35"/>
      <c r="AB1162" s="35"/>
      <c r="AC1162" s="35"/>
      <c r="AD1162" s="35"/>
      <c r="AE1162" s="35"/>
      <c r="AF1162" s="35"/>
      <c r="AG1162" s="35"/>
      <c r="AH1162" s="35"/>
      <c r="AI1162" s="35"/>
      <c r="AJ1162" s="35"/>
      <c r="AK1162" s="35"/>
      <c r="AL1162" s="35"/>
    </row>
    <row r="1163">
      <c r="A1163" s="1"/>
      <c r="B1163" s="19" t="s">
        <v>2392</v>
      </c>
      <c r="C1163" s="20" t="s">
        <v>5906</v>
      </c>
      <c r="D1163" s="47"/>
      <c r="E1163" s="22" t="s">
        <v>5916</v>
      </c>
      <c r="F1163" s="22" t="s">
        <v>5917</v>
      </c>
      <c r="G1163" s="23">
        <v>2023.0</v>
      </c>
      <c r="H1163" s="22" t="s">
        <v>5918</v>
      </c>
      <c r="I1163" s="24" t="s">
        <v>5919</v>
      </c>
      <c r="J1163" s="22" t="s">
        <v>31</v>
      </c>
      <c r="K1163" s="22" t="s">
        <v>5920</v>
      </c>
      <c r="L1163" s="36"/>
      <c r="M1163" s="36"/>
      <c r="N1163" s="36"/>
      <c r="O1163" s="36"/>
      <c r="P1163" s="37"/>
      <c r="Q1163" s="36"/>
      <c r="R1163" s="36"/>
      <c r="S1163" s="36"/>
      <c r="T1163" s="41" t="s">
        <v>5921</v>
      </c>
      <c r="U1163" s="38" t="s">
        <v>61</v>
      </c>
      <c r="V1163" s="30"/>
      <c r="W1163" s="49"/>
      <c r="X1163" s="49"/>
      <c r="Y1163" s="35"/>
      <c r="Z1163" s="35"/>
      <c r="AA1163" s="35"/>
      <c r="AB1163" s="35"/>
      <c r="AC1163" s="35"/>
      <c r="AD1163" s="35"/>
      <c r="AE1163" s="35"/>
      <c r="AF1163" s="35"/>
      <c r="AG1163" s="35"/>
      <c r="AH1163" s="35"/>
      <c r="AI1163" s="35"/>
      <c r="AJ1163" s="35"/>
      <c r="AK1163" s="35"/>
      <c r="AL1163" s="35"/>
    </row>
    <row r="1164">
      <c r="A1164" s="1"/>
      <c r="B1164" s="19" t="s">
        <v>2392</v>
      </c>
      <c r="C1164" s="20" t="s">
        <v>5906</v>
      </c>
      <c r="D1164" s="47"/>
      <c r="E1164" s="22" t="s">
        <v>5922</v>
      </c>
      <c r="F1164" s="22" t="s">
        <v>1617</v>
      </c>
      <c r="G1164" s="23">
        <v>2023.0</v>
      </c>
      <c r="H1164" s="22" t="s">
        <v>5923</v>
      </c>
      <c r="I1164" s="24" t="s">
        <v>5924</v>
      </c>
      <c r="J1164" s="22" t="s">
        <v>31</v>
      </c>
      <c r="K1164" s="22" t="s">
        <v>1112</v>
      </c>
      <c r="L1164" s="36">
        <v>661.0</v>
      </c>
      <c r="M1164" s="36"/>
      <c r="N1164" s="36" t="s">
        <v>5925</v>
      </c>
      <c r="O1164" s="36"/>
      <c r="P1164" s="37"/>
      <c r="Q1164" s="36"/>
      <c r="R1164" s="36" t="s">
        <v>5926</v>
      </c>
      <c r="S1164" s="36"/>
      <c r="T1164" s="28" t="s">
        <v>5927</v>
      </c>
      <c r="U1164" s="38" t="s">
        <v>61</v>
      </c>
      <c r="V1164" s="30"/>
      <c r="W1164" s="49"/>
      <c r="X1164" s="49"/>
      <c r="Y1164" s="35"/>
      <c r="Z1164" s="35"/>
      <c r="AA1164" s="35"/>
      <c r="AB1164" s="35"/>
      <c r="AC1164" s="35"/>
      <c r="AD1164" s="35"/>
      <c r="AE1164" s="35"/>
      <c r="AF1164" s="35"/>
      <c r="AG1164" s="35"/>
      <c r="AH1164" s="35"/>
      <c r="AI1164" s="35"/>
      <c r="AJ1164" s="35"/>
      <c r="AK1164" s="35"/>
      <c r="AL1164" s="35"/>
    </row>
    <row r="1165">
      <c r="A1165" s="1"/>
      <c r="B1165" s="19" t="s">
        <v>2392</v>
      </c>
      <c r="C1165" s="20" t="s">
        <v>5906</v>
      </c>
      <c r="D1165" s="47"/>
      <c r="E1165" s="22" t="s">
        <v>5928</v>
      </c>
      <c r="F1165" s="22" t="s">
        <v>1386</v>
      </c>
      <c r="G1165" s="23">
        <v>2023.0</v>
      </c>
      <c r="H1165" s="22" t="s">
        <v>2392</v>
      </c>
      <c r="I1165" s="24" t="s">
        <v>5929</v>
      </c>
      <c r="J1165" s="22" t="s">
        <v>31</v>
      </c>
      <c r="K1165" s="22"/>
      <c r="L1165" s="36">
        <v>660.0</v>
      </c>
      <c r="M1165" s="36"/>
      <c r="N1165" s="36"/>
      <c r="O1165" s="36"/>
      <c r="P1165" s="37" t="s">
        <v>432</v>
      </c>
      <c r="Q1165" s="36"/>
      <c r="R1165" s="36"/>
      <c r="S1165" s="36"/>
      <c r="T1165" s="28" t="s">
        <v>5930</v>
      </c>
      <c r="U1165" s="38" t="s">
        <v>61</v>
      </c>
      <c r="V1165" s="30"/>
      <c r="W1165" s="49"/>
      <c r="X1165" s="49"/>
      <c r="Y1165" s="35"/>
      <c r="Z1165" s="35"/>
      <c r="AA1165" s="35"/>
      <c r="AB1165" s="35"/>
      <c r="AC1165" s="35"/>
      <c r="AD1165" s="35"/>
      <c r="AE1165" s="35"/>
      <c r="AF1165" s="35"/>
      <c r="AG1165" s="35"/>
      <c r="AH1165" s="35"/>
      <c r="AI1165" s="35"/>
      <c r="AJ1165" s="35"/>
      <c r="AK1165" s="35"/>
      <c r="AL1165" s="35"/>
    </row>
    <row r="1166">
      <c r="A1166" s="1"/>
      <c r="B1166" s="19" t="s">
        <v>2392</v>
      </c>
      <c r="C1166" s="20" t="s">
        <v>5906</v>
      </c>
      <c r="D1166" s="47"/>
      <c r="E1166" s="22" t="s">
        <v>5931</v>
      </c>
      <c r="F1166" s="22" t="s">
        <v>1617</v>
      </c>
      <c r="G1166" s="23">
        <v>2022.0</v>
      </c>
      <c r="H1166" s="22" t="s">
        <v>91</v>
      </c>
      <c r="I1166" s="24" t="s">
        <v>5932</v>
      </c>
      <c r="J1166" s="22" t="s">
        <v>31</v>
      </c>
      <c r="K1166" s="22"/>
      <c r="L1166" s="36">
        <v>661.0</v>
      </c>
      <c r="M1166" s="36"/>
      <c r="N1166" s="36"/>
      <c r="O1166" s="36"/>
      <c r="P1166" s="37"/>
      <c r="Q1166" s="36"/>
      <c r="R1166" s="36" t="s">
        <v>5933</v>
      </c>
      <c r="S1166" s="36"/>
      <c r="T1166" s="28" t="s">
        <v>5934</v>
      </c>
      <c r="U1166" s="38" t="s">
        <v>61</v>
      </c>
      <c r="V1166" s="30"/>
      <c r="W1166" s="49"/>
      <c r="X1166" s="49"/>
      <c r="Y1166" s="35"/>
      <c r="Z1166" s="35"/>
      <c r="AA1166" s="35"/>
      <c r="AB1166" s="35"/>
      <c r="AC1166" s="35"/>
      <c r="AD1166" s="35"/>
      <c r="AE1166" s="35"/>
      <c r="AF1166" s="35"/>
      <c r="AG1166" s="35"/>
      <c r="AH1166" s="35"/>
      <c r="AI1166" s="35"/>
      <c r="AJ1166" s="35"/>
      <c r="AK1166" s="35"/>
      <c r="AL1166" s="35"/>
    </row>
    <row r="1167">
      <c r="A1167" s="1"/>
      <c r="B1167" s="19" t="s">
        <v>2392</v>
      </c>
      <c r="C1167" s="20" t="s">
        <v>5906</v>
      </c>
      <c r="D1167" s="47"/>
      <c r="E1167" s="22" t="s">
        <v>5935</v>
      </c>
      <c r="F1167" s="22" t="s">
        <v>5157</v>
      </c>
      <c r="G1167" s="23">
        <v>2022.0</v>
      </c>
      <c r="H1167" s="22" t="s">
        <v>2181</v>
      </c>
      <c r="I1167" s="24" t="s">
        <v>5936</v>
      </c>
      <c r="J1167" s="22" t="s">
        <v>31</v>
      </c>
      <c r="K1167" s="22" t="s">
        <v>5937</v>
      </c>
      <c r="L1167" s="36" t="s">
        <v>5938</v>
      </c>
      <c r="M1167" s="36"/>
      <c r="N1167" s="36"/>
      <c r="O1167" s="36"/>
      <c r="P1167" s="37" t="s">
        <v>5939</v>
      </c>
      <c r="Q1167" s="36"/>
      <c r="R1167" s="36">
        <v>600.0</v>
      </c>
      <c r="S1167" s="36"/>
      <c r="T1167" s="28" t="s">
        <v>5940</v>
      </c>
      <c r="U1167" s="38" t="s">
        <v>61</v>
      </c>
      <c r="V1167" s="30"/>
      <c r="W1167" s="49"/>
      <c r="X1167" s="49"/>
      <c r="Y1167" s="35"/>
      <c r="Z1167" s="35"/>
      <c r="AA1167" s="35"/>
      <c r="AB1167" s="35"/>
      <c r="AC1167" s="35"/>
      <c r="AD1167" s="35"/>
      <c r="AE1167" s="35"/>
      <c r="AF1167" s="35"/>
      <c r="AG1167" s="35"/>
      <c r="AH1167" s="35"/>
      <c r="AI1167" s="35"/>
      <c r="AJ1167" s="35"/>
      <c r="AK1167" s="35"/>
      <c r="AL1167" s="35"/>
    </row>
    <row r="1168">
      <c r="A1168" s="1"/>
      <c r="B1168" s="19" t="s">
        <v>2392</v>
      </c>
      <c r="C1168" s="20" t="s">
        <v>5906</v>
      </c>
      <c r="D1168" s="47"/>
      <c r="E1168" s="22" t="s">
        <v>5941</v>
      </c>
      <c r="F1168" s="22" t="s">
        <v>1386</v>
      </c>
      <c r="G1168" s="23">
        <v>2022.0</v>
      </c>
      <c r="H1168" s="22" t="s">
        <v>5942</v>
      </c>
      <c r="I1168" s="24" t="s">
        <v>5943</v>
      </c>
      <c r="J1168" s="22" t="s">
        <v>31</v>
      </c>
      <c r="K1168" s="22"/>
      <c r="L1168" s="36">
        <v>830.0</v>
      </c>
      <c r="M1168" s="36"/>
      <c r="N1168" s="36"/>
      <c r="O1168" s="36"/>
      <c r="P1168" s="37" t="s">
        <v>432</v>
      </c>
      <c r="Q1168" s="36"/>
      <c r="R1168" s="129"/>
      <c r="S1168" s="36"/>
      <c r="T1168" s="28" t="s">
        <v>5944</v>
      </c>
      <c r="U1168" s="38" t="s">
        <v>61</v>
      </c>
      <c r="V1168" s="30"/>
      <c r="W1168" s="49"/>
      <c r="X1168" s="49"/>
      <c r="Y1168" s="35"/>
      <c r="Z1168" s="35"/>
      <c r="AA1168" s="35"/>
      <c r="AB1168" s="35"/>
      <c r="AC1168" s="35"/>
      <c r="AD1168" s="35"/>
      <c r="AE1168" s="35"/>
      <c r="AF1168" s="35"/>
      <c r="AG1168" s="35"/>
      <c r="AH1168" s="35"/>
      <c r="AI1168" s="35"/>
      <c r="AJ1168" s="35"/>
      <c r="AK1168" s="35"/>
      <c r="AL1168" s="35"/>
    </row>
    <row r="1169">
      <c r="A1169" s="40"/>
      <c r="B1169" s="19" t="s">
        <v>2392</v>
      </c>
      <c r="C1169" s="20" t="s">
        <v>5945</v>
      </c>
      <c r="D1169" s="47"/>
      <c r="E1169" s="56" t="s">
        <v>5946</v>
      </c>
      <c r="F1169" s="57" t="s">
        <v>5947</v>
      </c>
      <c r="G1169" s="57">
        <v>2022.0</v>
      </c>
      <c r="H1169" s="56" t="s">
        <v>207</v>
      </c>
      <c r="I1169" s="58" t="s">
        <v>5948</v>
      </c>
      <c r="J1169" s="22" t="s">
        <v>31</v>
      </c>
      <c r="K1169" s="22"/>
      <c r="L1169" s="36">
        <v>904.0</v>
      </c>
      <c r="M1169" s="36"/>
      <c r="N1169" s="36"/>
      <c r="O1169" s="36"/>
      <c r="P1169" s="37"/>
      <c r="Q1169" s="36"/>
      <c r="R1169" s="36"/>
      <c r="S1169" s="36"/>
      <c r="T1169" s="63" t="s">
        <v>5949</v>
      </c>
      <c r="U1169" s="64" t="s">
        <v>61</v>
      </c>
      <c r="V1169" s="30" t="s">
        <v>5950</v>
      </c>
      <c r="W1169" s="49"/>
      <c r="X1169" s="49"/>
      <c r="Y1169" s="35"/>
      <c r="Z1169" s="35"/>
      <c r="AA1169" s="35"/>
      <c r="AB1169" s="35"/>
      <c r="AC1169" s="35"/>
      <c r="AD1169" s="35"/>
      <c r="AE1169" s="35"/>
      <c r="AF1169" s="35"/>
      <c r="AG1169" s="35"/>
      <c r="AH1169" s="35"/>
      <c r="AI1169" s="35"/>
      <c r="AJ1169" s="35"/>
      <c r="AK1169" s="35"/>
      <c r="AL1169" s="35"/>
    </row>
    <row r="1170">
      <c r="A1170" s="40"/>
      <c r="B1170" s="19" t="s">
        <v>2392</v>
      </c>
      <c r="C1170" s="20" t="s">
        <v>5906</v>
      </c>
      <c r="D1170" s="47"/>
      <c r="E1170" s="56" t="s">
        <v>5916</v>
      </c>
      <c r="F1170" s="57" t="s">
        <v>5917</v>
      </c>
      <c r="G1170" s="57">
        <v>2022.0</v>
      </c>
      <c r="H1170" s="56" t="s">
        <v>91</v>
      </c>
      <c r="I1170" s="58" t="s">
        <v>5951</v>
      </c>
      <c r="J1170" s="22" t="s">
        <v>31</v>
      </c>
      <c r="K1170" s="22" t="s">
        <v>1725</v>
      </c>
      <c r="L1170" s="36" t="s">
        <v>5952</v>
      </c>
      <c r="M1170" s="36"/>
      <c r="N1170" s="36"/>
      <c r="O1170" s="36"/>
      <c r="P1170" s="37" t="s">
        <v>5953</v>
      </c>
      <c r="Q1170" s="36"/>
      <c r="R1170" s="36" t="s">
        <v>5954</v>
      </c>
      <c r="S1170" s="36"/>
      <c r="T1170" s="71" t="s">
        <v>5955</v>
      </c>
      <c r="U1170" s="64" t="s">
        <v>61</v>
      </c>
      <c r="V1170" s="50"/>
      <c r="W1170" s="49"/>
      <c r="X1170" s="49"/>
      <c r="Y1170" s="35"/>
      <c r="Z1170" s="35"/>
      <c r="AA1170" s="35"/>
      <c r="AB1170" s="35"/>
      <c r="AC1170" s="35"/>
      <c r="AD1170" s="35"/>
      <c r="AE1170" s="35"/>
      <c r="AF1170" s="35"/>
      <c r="AG1170" s="35"/>
      <c r="AH1170" s="35"/>
      <c r="AI1170" s="35"/>
      <c r="AJ1170" s="35"/>
      <c r="AK1170" s="35"/>
      <c r="AL1170" s="35"/>
    </row>
    <row r="1171">
      <c r="A1171" s="40"/>
      <c r="B1171" s="19" t="s">
        <v>2392</v>
      </c>
      <c r="C1171" s="20" t="s">
        <v>5906</v>
      </c>
      <c r="D1171" s="47"/>
      <c r="E1171" s="56" t="s">
        <v>5916</v>
      </c>
      <c r="F1171" s="57" t="s">
        <v>5917</v>
      </c>
      <c r="G1171" s="57">
        <v>2021.0</v>
      </c>
      <c r="H1171" s="56" t="s">
        <v>5956</v>
      </c>
      <c r="I1171" s="58" t="s">
        <v>5957</v>
      </c>
      <c r="J1171" s="22" t="s">
        <v>31</v>
      </c>
      <c r="K1171" s="22" t="s">
        <v>5958</v>
      </c>
      <c r="L1171" s="36" t="s">
        <v>5959</v>
      </c>
      <c r="M1171" s="36"/>
      <c r="N1171" s="36" t="s">
        <v>5960</v>
      </c>
      <c r="O1171" s="36"/>
      <c r="P1171" s="37" t="s">
        <v>5953</v>
      </c>
      <c r="Q1171" s="36"/>
      <c r="R1171" s="36">
        <v>60.0</v>
      </c>
      <c r="S1171" s="36"/>
      <c r="T1171" s="71" t="s">
        <v>5961</v>
      </c>
      <c r="U1171" s="64" t="s">
        <v>61</v>
      </c>
      <c r="V1171" s="50"/>
      <c r="W1171" s="49"/>
      <c r="X1171" s="49"/>
      <c r="Y1171" s="35"/>
      <c r="Z1171" s="35"/>
      <c r="AA1171" s="35"/>
      <c r="AB1171" s="35"/>
      <c r="AC1171" s="35"/>
      <c r="AD1171" s="35"/>
      <c r="AE1171" s="35"/>
      <c r="AF1171" s="35"/>
      <c r="AG1171" s="35"/>
      <c r="AH1171" s="35"/>
      <c r="AI1171" s="35"/>
      <c r="AJ1171" s="35"/>
      <c r="AK1171" s="35"/>
      <c r="AL1171" s="35"/>
    </row>
    <row r="1172">
      <c r="A1172" s="40"/>
      <c r="B1172" s="19" t="s">
        <v>2392</v>
      </c>
      <c r="C1172" s="20" t="s">
        <v>5906</v>
      </c>
      <c r="D1172" s="47"/>
      <c r="E1172" s="56" t="s">
        <v>5962</v>
      </c>
      <c r="F1172" s="57" t="s">
        <v>323</v>
      </c>
      <c r="G1172" s="57">
        <v>2021.0</v>
      </c>
      <c r="H1172" s="56" t="s">
        <v>627</v>
      </c>
      <c r="I1172" s="58" t="s">
        <v>5963</v>
      </c>
      <c r="J1172" s="22" t="s">
        <v>31</v>
      </c>
      <c r="K1172" s="22" t="s">
        <v>1827</v>
      </c>
      <c r="L1172" s="36">
        <v>450.0</v>
      </c>
      <c r="M1172" s="36"/>
      <c r="N1172" s="36"/>
      <c r="O1172" s="36"/>
      <c r="P1172" s="37"/>
      <c r="Q1172" s="36"/>
      <c r="R1172" s="36"/>
      <c r="S1172" s="36"/>
      <c r="T1172" s="63" t="s">
        <v>5964</v>
      </c>
      <c r="U1172" s="64" t="s">
        <v>61</v>
      </c>
      <c r="V1172" s="50"/>
      <c r="W1172" s="49"/>
      <c r="X1172" s="49"/>
      <c r="Y1172" s="35"/>
      <c r="Z1172" s="35"/>
      <c r="AA1172" s="35"/>
      <c r="AB1172" s="35"/>
      <c r="AC1172" s="35"/>
      <c r="AD1172" s="35"/>
      <c r="AE1172" s="35"/>
      <c r="AF1172" s="35"/>
      <c r="AG1172" s="35"/>
      <c r="AH1172" s="35"/>
      <c r="AI1172" s="35"/>
      <c r="AJ1172" s="35"/>
      <c r="AK1172" s="35"/>
      <c r="AL1172" s="35"/>
    </row>
    <row r="1173">
      <c r="A1173" s="40"/>
      <c r="B1173" s="19" t="s">
        <v>2392</v>
      </c>
      <c r="C1173" s="20" t="s">
        <v>5906</v>
      </c>
      <c r="D1173" s="47"/>
      <c r="E1173" s="56" t="s">
        <v>5912</v>
      </c>
      <c r="F1173" s="57" t="s">
        <v>5913</v>
      </c>
      <c r="G1173" s="57">
        <v>2021.0</v>
      </c>
      <c r="H1173" s="56" t="s">
        <v>191</v>
      </c>
      <c r="I1173" s="58" t="s">
        <v>5965</v>
      </c>
      <c r="J1173" s="22" t="s">
        <v>31</v>
      </c>
      <c r="K1173" s="22" t="s">
        <v>56</v>
      </c>
      <c r="L1173" s="36" t="s">
        <v>5966</v>
      </c>
      <c r="M1173" s="36"/>
      <c r="N1173" s="36"/>
      <c r="O1173" s="36"/>
      <c r="P1173" s="37"/>
      <c r="Q1173" s="36"/>
      <c r="R1173" s="36"/>
      <c r="S1173" s="36"/>
      <c r="T1173" s="63" t="s">
        <v>5967</v>
      </c>
      <c r="U1173" s="64" t="s">
        <v>61</v>
      </c>
      <c r="V1173" s="50"/>
      <c r="W1173" s="49"/>
      <c r="X1173" s="49"/>
      <c r="Y1173" s="35"/>
      <c r="Z1173" s="35"/>
      <c r="AA1173" s="35"/>
      <c r="AB1173" s="35"/>
      <c r="AC1173" s="35"/>
      <c r="AD1173" s="35"/>
      <c r="AE1173" s="35"/>
      <c r="AF1173" s="35"/>
      <c r="AG1173" s="35"/>
      <c r="AH1173" s="35"/>
      <c r="AI1173" s="35"/>
      <c r="AJ1173" s="35"/>
      <c r="AK1173" s="35"/>
      <c r="AL1173" s="35"/>
    </row>
    <row r="1174">
      <c r="A1174" s="40"/>
      <c r="B1174" s="19" t="s">
        <v>2392</v>
      </c>
      <c r="C1174" s="20" t="s">
        <v>5906</v>
      </c>
      <c r="D1174" s="47"/>
      <c r="E1174" s="56" t="s">
        <v>5855</v>
      </c>
      <c r="F1174" s="57" t="s">
        <v>1386</v>
      </c>
      <c r="G1174" s="57">
        <v>2021.0</v>
      </c>
      <c r="H1174" s="56" t="s">
        <v>3347</v>
      </c>
      <c r="I1174" s="58" t="s">
        <v>5968</v>
      </c>
      <c r="J1174" s="22" t="s">
        <v>31</v>
      </c>
      <c r="K1174" s="22" t="s">
        <v>5969</v>
      </c>
      <c r="L1174" s="36" t="s">
        <v>943</v>
      </c>
      <c r="M1174" s="36"/>
      <c r="N1174" s="36" t="s">
        <v>5970</v>
      </c>
      <c r="O1174" s="36"/>
      <c r="P1174" s="37" t="s">
        <v>5278</v>
      </c>
      <c r="Q1174" s="36"/>
      <c r="R1174" s="36"/>
      <c r="S1174" s="36"/>
      <c r="T1174" s="63" t="s">
        <v>5971</v>
      </c>
      <c r="U1174" s="64" t="s">
        <v>61</v>
      </c>
      <c r="V1174" s="50"/>
      <c r="W1174" s="49"/>
      <c r="X1174" s="49"/>
      <c r="Y1174" s="35"/>
      <c r="Z1174" s="35"/>
      <c r="AA1174" s="35"/>
      <c r="AB1174" s="35"/>
      <c r="AC1174" s="35"/>
      <c r="AD1174" s="35"/>
      <c r="AE1174" s="35"/>
      <c r="AF1174" s="35"/>
      <c r="AG1174" s="35"/>
      <c r="AH1174" s="35"/>
      <c r="AI1174" s="35"/>
      <c r="AJ1174" s="35"/>
      <c r="AK1174" s="35"/>
      <c r="AL1174" s="35"/>
    </row>
    <row r="1175">
      <c r="A1175" s="40"/>
      <c r="B1175" s="19" t="s">
        <v>2392</v>
      </c>
      <c r="C1175" s="20" t="s">
        <v>5906</v>
      </c>
      <c r="D1175" s="47"/>
      <c r="E1175" s="56" t="s">
        <v>5972</v>
      </c>
      <c r="F1175" s="57" t="s">
        <v>5973</v>
      </c>
      <c r="G1175" s="57">
        <v>2020.0</v>
      </c>
      <c r="H1175" s="56" t="s">
        <v>3292</v>
      </c>
      <c r="I1175" s="58" t="s">
        <v>5974</v>
      </c>
      <c r="J1175" s="22" t="s">
        <v>31</v>
      </c>
      <c r="K1175" s="22" t="s">
        <v>1112</v>
      </c>
      <c r="L1175" s="36" t="s">
        <v>5975</v>
      </c>
      <c r="M1175" s="36"/>
      <c r="N1175" s="36"/>
      <c r="O1175" s="36"/>
      <c r="P1175" s="37" t="s">
        <v>5976</v>
      </c>
      <c r="Q1175" s="36"/>
      <c r="R1175" s="36"/>
      <c r="S1175" s="36"/>
      <c r="T1175" s="63" t="s">
        <v>5977</v>
      </c>
      <c r="U1175" s="64" t="s">
        <v>61</v>
      </c>
      <c r="V1175" s="50"/>
      <c r="W1175" s="49"/>
      <c r="X1175" s="49"/>
      <c r="Y1175" s="35"/>
      <c r="Z1175" s="35"/>
      <c r="AA1175" s="35"/>
      <c r="AB1175" s="35"/>
      <c r="AC1175" s="35"/>
      <c r="AD1175" s="35"/>
      <c r="AE1175" s="35"/>
      <c r="AF1175" s="35"/>
      <c r="AG1175" s="35"/>
      <c r="AH1175" s="35"/>
      <c r="AI1175" s="35"/>
      <c r="AJ1175" s="35"/>
      <c r="AK1175" s="35"/>
      <c r="AL1175" s="35"/>
    </row>
    <row r="1176">
      <c r="A1176" s="40"/>
      <c r="B1176" s="19" t="s">
        <v>2392</v>
      </c>
      <c r="C1176" s="20" t="s">
        <v>5906</v>
      </c>
      <c r="D1176" s="47"/>
      <c r="E1176" s="56" t="s">
        <v>5978</v>
      </c>
      <c r="F1176" s="57" t="s">
        <v>966</v>
      </c>
      <c r="G1176" s="57">
        <v>2020.0</v>
      </c>
      <c r="H1176" s="56" t="s">
        <v>383</v>
      </c>
      <c r="I1176" s="58" t="s">
        <v>5979</v>
      </c>
      <c r="J1176" s="22" t="s">
        <v>31</v>
      </c>
      <c r="K1176" s="22" t="s">
        <v>157</v>
      </c>
      <c r="L1176" s="36">
        <v>635.0</v>
      </c>
      <c r="M1176" s="36"/>
      <c r="N1176" s="36"/>
      <c r="O1176" s="36"/>
      <c r="P1176" s="37"/>
      <c r="Q1176" s="36"/>
      <c r="R1176" s="36"/>
      <c r="S1176" s="36"/>
      <c r="T1176" s="71" t="s">
        <v>5980</v>
      </c>
      <c r="U1176" s="64" t="s">
        <v>61</v>
      </c>
      <c r="V1176" s="50"/>
      <c r="W1176" s="49"/>
      <c r="X1176" s="49"/>
      <c r="Y1176" s="35"/>
      <c r="Z1176" s="35"/>
      <c r="AA1176" s="35"/>
      <c r="AB1176" s="35"/>
      <c r="AC1176" s="35"/>
      <c r="AD1176" s="35"/>
      <c r="AE1176" s="35"/>
      <c r="AF1176" s="35"/>
      <c r="AG1176" s="35"/>
      <c r="AH1176" s="35"/>
      <c r="AI1176" s="35"/>
      <c r="AJ1176" s="35"/>
      <c r="AK1176" s="35"/>
      <c r="AL1176" s="35"/>
    </row>
    <row r="1177">
      <c r="A1177" s="40"/>
      <c r="B1177" s="19" t="s">
        <v>2392</v>
      </c>
      <c r="C1177" s="20" t="s">
        <v>5906</v>
      </c>
      <c r="D1177" s="47"/>
      <c r="E1177" s="56" t="s">
        <v>5981</v>
      </c>
      <c r="F1177" s="57" t="s">
        <v>2702</v>
      </c>
      <c r="G1177" s="57">
        <v>2020.0</v>
      </c>
      <c r="H1177" s="56" t="s">
        <v>91</v>
      </c>
      <c r="I1177" s="58" t="s">
        <v>5982</v>
      </c>
      <c r="J1177" s="22" t="s">
        <v>31</v>
      </c>
      <c r="K1177" s="22"/>
      <c r="L1177" s="36">
        <v>660.0</v>
      </c>
      <c r="M1177" s="36"/>
      <c r="N1177" s="36"/>
      <c r="O1177" s="36"/>
      <c r="P1177" s="37" t="s">
        <v>432</v>
      </c>
      <c r="Q1177" s="36"/>
      <c r="R1177" s="36"/>
      <c r="S1177" s="36"/>
      <c r="T1177" s="63" t="s">
        <v>5983</v>
      </c>
      <c r="U1177" s="64" t="s">
        <v>61</v>
      </c>
      <c r="V1177" s="50"/>
      <c r="W1177" s="49"/>
      <c r="X1177" s="49"/>
      <c r="Y1177" s="35"/>
      <c r="Z1177" s="35"/>
      <c r="AA1177" s="35"/>
      <c r="AB1177" s="35"/>
      <c r="AC1177" s="35"/>
      <c r="AD1177" s="35"/>
      <c r="AE1177" s="35"/>
      <c r="AF1177" s="35"/>
      <c r="AG1177" s="35"/>
      <c r="AH1177" s="35"/>
      <c r="AI1177" s="35"/>
      <c r="AJ1177" s="35"/>
      <c r="AK1177" s="35"/>
      <c r="AL1177" s="35"/>
    </row>
    <row r="1178">
      <c r="A1178" s="40"/>
      <c r="B1178" s="19" t="s">
        <v>2392</v>
      </c>
      <c r="C1178" s="20" t="s">
        <v>5906</v>
      </c>
      <c r="D1178" s="47"/>
      <c r="E1178" s="56" t="s">
        <v>5981</v>
      </c>
      <c r="F1178" s="57" t="s">
        <v>2702</v>
      </c>
      <c r="G1178" s="57">
        <v>2020.0</v>
      </c>
      <c r="H1178" s="56" t="s">
        <v>207</v>
      </c>
      <c r="I1178" s="58" t="s">
        <v>5984</v>
      </c>
      <c r="J1178" s="22" t="s">
        <v>31</v>
      </c>
      <c r="K1178" s="22"/>
      <c r="L1178" s="36">
        <v>660.0</v>
      </c>
      <c r="M1178" s="36">
        <v>100.0</v>
      </c>
      <c r="N1178" s="36" t="s">
        <v>5774</v>
      </c>
      <c r="O1178" s="36"/>
      <c r="P1178" s="37" t="s">
        <v>432</v>
      </c>
      <c r="Q1178" s="36" t="s">
        <v>5204</v>
      </c>
      <c r="R1178" s="36">
        <v>454.0</v>
      </c>
      <c r="S1178" s="36"/>
      <c r="T1178" s="63" t="s">
        <v>5985</v>
      </c>
      <c r="U1178" s="161" t="str">
        <f>HYPERLINK("https://www.ncbi.nlm.nih.gov/pubmed/31981991","PubMed")</f>
        <v>PubMed</v>
      </c>
      <c r="V1178" s="50"/>
      <c r="W1178" s="49"/>
      <c r="X1178" s="49"/>
      <c r="Y1178" s="35"/>
      <c r="Z1178" s="35"/>
      <c r="AA1178" s="35"/>
      <c r="AB1178" s="35"/>
      <c r="AC1178" s="35"/>
      <c r="AD1178" s="35"/>
      <c r="AE1178" s="35"/>
      <c r="AF1178" s="35"/>
      <c r="AG1178" s="35"/>
      <c r="AH1178" s="35"/>
      <c r="AI1178" s="35"/>
      <c r="AJ1178" s="35"/>
      <c r="AK1178" s="35"/>
      <c r="AL1178" s="35"/>
    </row>
    <row r="1179">
      <c r="A1179" s="40"/>
      <c r="B1179" s="19" t="s">
        <v>2392</v>
      </c>
      <c r="C1179" s="20" t="s">
        <v>5906</v>
      </c>
      <c r="D1179" s="47"/>
      <c r="E1179" s="56" t="s">
        <v>5986</v>
      </c>
      <c r="F1179" s="57" t="s">
        <v>5987</v>
      </c>
      <c r="G1179" s="57">
        <v>2018.0</v>
      </c>
      <c r="H1179" s="56" t="s">
        <v>42</v>
      </c>
      <c r="I1179" s="58" t="s">
        <v>5988</v>
      </c>
      <c r="J1179" s="22" t="s">
        <v>31</v>
      </c>
      <c r="K1179" s="22" t="s">
        <v>5989</v>
      </c>
      <c r="L1179" s="36">
        <v>970.0</v>
      </c>
      <c r="M1179" s="36"/>
      <c r="N1179" s="36"/>
      <c r="O1179" s="36"/>
      <c r="P1179" s="37"/>
      <c r="Q1179" s="36"/>
      <c r="R1179" s="36"/>
      <c r="S1179" s="36"/>
      <c r="T1179" s="63" t="s">
        <v>5990</v>
      </c>
      <c r="U1179" s="161" t="str">
        <f>HYPERLINK("https://www.ncbi.nlm.nih.gov/pubmed/29968387","PubMed")</f>
        <v>PubMed</v>
      </c>
      <c r="V1179" s="50"/>
      <c r="W1179" s="49"/>
      <c r="X1179" s="49"/>
      <c r="Y1179" s="35"/>
      <c r="Z1179" s="35"/>
      <c r="AA1179" s="35"/>
      <c r="AB1179" s="35"/>
      <c r="AC1179" s="35"/>
      <c r="AD1179" s="35"/>
      <c r="AE1179" s="35"/>
      <c r="AF1179" s="35"/>
      <c r="AG1179" s="35"/>
      <c r="AH1179" s="35"/>
      <c r="AI1179" s="35"/>
      <c r="AJ1179" s="35"/>
      <c r="AK1179" s="35"/>
      <c r="AL1179" s="35"/>
    </row>
    <row r="1180">
      <c r="A1180" s="40" t="s">
        <v>2</v>
      </c>
      <c r="B1180" s="19" t="s">
        <v>2392</v>
      </c>
      <c r="C1180" s="20" t="s">
        <v>5906</v>
      </c>
      <c r="D1180" s="47"/>
      <c r="E1180" s="56" t="s">
        <v>5981</v>
      </c>
      <c r="F1180" s="57" t="s">
        <v>1386</v>
      </c>
      <c r="G1180" s="57">
        <v>2018.0</v>
      </c>
      <c r="H1180" s="56" t="s">
        <v>207</v>
      </c>
      <c r="I1180" s="58" t="s">
        <v>5991</v>
      </c>
      <c r="J1180" s="22" t="s">
        <v>31</v>
      </c>
      <c r="K1180" s="22"/>
      <c r="L1180" s="36">
        <v>660.0</v>
      </c>
      <c r="M1180" s="36"/>
      <c r="N1180" s="36"/>
      <c r="O1180" s="36"/>
      <c r="P1180" s="37" t="s">
        <v>432</v>
      </c>
      <c r="Q1180" s="36"/>
      <c r="R1180" s="36"/>
      <c r="S1180" s="36"/>
      <c r="T1180" s="63" t="s">
        <v>5992</v>
      </c>
      <c r="U1180" s="161" t="str">
        <f>HYPERLINK("https://www.ncbi.nlm.nih.gov/pubmed/29353701","PubMed")</f>
        <v>PubMed</v>
      </c>
      <c r="V1180" s="50"/>
      <c r="W1180" s="49"/>
      <c r="X1180" s="49"/>
      <c r="Y1180" s="35"/>
      <c r="Z1180" s="35"/>
      <c r="AA1180" s="35"/>
      <c r="AB1180" s="35"/>
      <c r="AC1180" s="35"/>
      <c r="AD1180" s="35"/>
      <c r="AE1180" s="35"/>
      <c r="AF1180" s="35"/>
      <c r="AG1180" s="35"/>
      <c r="AH1180" s="35"/>
      <c r="AI1180" s="35"/>
      <c r="AJ1180" s="35"/>
      <c r="AK1180" s="35"/>
      <c r="AL1180" s="35"/>
    </row>
    <row r="1181">
      <c r="A1181" s="89"/>
      <c r="B1181" s="19" t="s">
        <v>2392</v>
      </c>
      <c r="C1181" s="20" t="s">
        <v>5906</v>
      </c>
      <c r="D1181" s="47"/>
      <c r="E1181" s="56" t="s">
        <v>5993</v>
      </c>
      <c r="F1181" s="57" t="s">
        <v>5994</v>
      </c>
      <c r="G1181" s="57">
        <v>2016.0</v>
      </c>
      <c r="H1181" s="56" t="s">
        <v>207</v>
      </c>
      <c r="I1181" s="58" t="s">
        <v>5995</v>
      </c>
      <c r="J1181" s="22" t="s">
        <v>31</v>
      </c>
      <c r="K1181" s="22" t="s">
        <v>1725</v>
      </c>
      <c r="L1181" s="36">
        <v>470.0</v>
      </c>
      <c r="M1181" s="36"/>
      <c r="N1181" s="36"/>
      <c r="O1181" s="36"/>
      <c r="P1181" s="37" t="s">
        <v>5996</v>
      </c>
      <c r="Q1181" s="36"/>
      <c r="R1181" s="36"/>
      <c r="S1181" s="36"/>
      <c r="T1181" s="74" t="s">
        <v>5997</v>
      </c>
      <c r="U1181" s="60" t="s">
        <v>61</v>
      </c>
      <c r="V1181" s="50"/>
      <c r="W1181" s="49"/>
      <c r="X1181" s="49"/>
      <c r="Y1181" s="35"/>
      <c r="Z1181" s="35"/>
      <c r="AA1181" s="35"/>
      <c r="AB1181" s="35"/>
      <c r="AC1181" s="35"/>
      <c r="AD1181" s="35"/>
      <c r="AE1181" s="35"/>
      <c r="AF1181" s="35"/>
      <c r="AG1181" s="35"/>
      <c r="AH1181" s="35"/>
      <c r="AI1181" s="35"/>
      <c r="AJ1181" s="35"/>
      <c r="AK1181" s="35"/>
      <c r="AL1181" s="35"/>
    </row>
    <row r="1182">
      <c r="A1182" s="89"/>
      <c r="B1182" s="19" t="s">
        <v>2392</v>
      </c>
      <c r="C1182" s="20" t="s">
        <v>5906</v>
      </c>
      <c r="D1182" s="47"/>
      <c r="E1182" s="56" t="s">
        <v>5998</v>
      </c>
      <c r="F1182" s="57" t="s">
        <v>1603</v>
      </c>
      <c r="G1182" s="57">
        <v>2015.0</v>
      </c>
      <c r="H1182" s="56" t="s">
        <v>5489</v>
      </c>
      <c r="I1182" s="58" t="s">
        <v>5999</v>
      </c>
      <c r="J1182" s="22" t="s">
        <v>31</v>
      </c>
      <c r="K1182" s="22" t="s">
        <v>6000</v>
      </c>
      <c r="L1182" s="36" t="s">
        <v>6001</v>
      </c>
      <c r="M1182" s="36"/>
      <c r="N1182" s="36"/>
      <c r="O1182" s="36"/>
      <c r="P1182" s="37"/>
      <c r="Q1182" s="36"/>
      <c r="R1182" s="36">
        <v>600.0</v>
      </c>
      <c r="S1182" s="36">
        <v>5.0</v>
      </c>
      <c r="T1182" s="63" t="s">
        <v>6002</v>
      </c>
      <c r="U1182" s="161" t="str">
        <f>HYPERLINK("https://www.ncbi.nlm.nih.gov/pubmed/25654197","PubMed")</f>
        <v>PubMed</v>
      </c>
      <c r="V1182" s="50"/>
      <c r="W1182" s="49"/>
      <c r="X1182" s="49"/>
      <c r="Y1182" s="35"/>
      <c r="Z1182" s="35"/>
      <c r="AA1182" s="35"/>
      <c r="AB1182" s="35"/>
      <c r="AC1182" s="35"/>
      <c r="AD1182" s="35"/>
      <c r="AE1182" s="35"/>
      <c r="AF1182" s="35"/>
      <c r="AG1182" s="35"/>
      <c r="AH1182" s="35"/>
      <c r="AI1182" s="35"/>
      <c r="AJ1182" s="35"/>
      <c r="AK1182" s="35"/>
      <c r="AL1182" s="35"/>
    </row>
    <row r="1183">
      <c r="A1183" s="89"/>
      <c r="B1183" s="19" t="s">
        <v>2392</v>
      </c>
      <c r="C1183" s="20" t="s">
        <v>5906</v>
      </c>
      <c r="D1183" s="47"/>
      <c r="E1183" s="56" t="s">
        <v>6003</v>
      </c>
      <c r="F1183" s="57" t="s">
        <v>6004</v>
      </c>
      <c r="G1183" s="57">
        <v>2012.0</v>
      </c>
      <c r="H1183" s="56" t="s">
        <v>6005</v>
      </c>
      <c r="I1183" s="58" t="s">
        <v>6006</v>
      </c>
      <c r="J1183" s="22" t="s">
        <v>31</v>
      </c>
      <c r="K1183" s="22" t="s">
        <v>6007</v>
      </c>
      <c r="L1183" s="36" t="s">
        <v>6008</v>
      </c>
      <c r="M1183" s="36"/>
      <c r="N1183" s="36"/>
      <c r="O1183" s="36"/>
      <c r="P1183" s="37"/>
      <c r="Q1183" s="36"/>
      <c r="R1183" s="36"/>
      <c r="S1183" s="36"/>
      <c r="T1183" s="71" t="s">
        <v>6009</v>
      </c>
      <c r="U1183" s="161" t="s">
        <v>6010</v>
      </c>
      <c r="V1183" s="50"/>
      <c r="W1183" s="49"/>
      <c r="X1183" s="49"/>
      <c r="Y1183" s="35"/>
      <c r="Z1183" s="35"/>
      <c r="AA1183" s="35"/>
      <c r="AB1183" s="35"/>
      <c r="AC1183" s="35"/>
      <c r="AD1183" s="35"/>
      <c r="AE1183" s="35"/>
      <c r="AF1183" s="35"/>
      <c r="AG1183" s="35"/>
      <c r="AH1183" s="35"/>
      <c r="AI1183" s="35"/>
      <c r="AJ1183" s="35"/>
      <c r="AK1183" s="35"/>
      <c r="AL1183" s="35"/>
    </row>
    <row r="1184">
      <c r="A1184" s="89"/>
      <c r="B1184" s="19" t="s">
        <v>2392</v>
      </c>
      <c r="C1184" s="20" t="s">
        <v>6011</v>
      </c>
      <c r="D1184" s="47"/>
      <c r="E1184" s="56" t="s">
        <v>6012</v>
      </c>
      <c r="F1184" s="57" t="s">
        <v>6013</v>
      </c>
      <c r="G1184" s="57">
        <v>2020.0</v>
      </c>
      <c r="H1184" s="56" t="s">
        <v>77</v>
      </c>
      <c r="I1184" s="58" t="s">
        <v>6014</v>
      </c>
      <c r="J1184" s="22" t="s">
        <v>31</v>
      </c>
      <c r="K1184" s="22"/>
      <c r="L1184" s="36">
        <v>590.0</v>
      </c>
      <c r="M1184" s="36"/>
      <c r="N1184" s="36"/>
      <c r="O1184" s="36"/>
      <c r="P1184" s="37" t="s">
        <v>480</v>
      </c>
      <c r="Q1184" s="36"/>
      <c r="R1184" s="36">
        <v>1200.0</v>
      </c>
      <c r="S1184" s="36"/>
      <c r="T1184" s="63" t="s">
        <v>6015</v>
      </c>
      <c r="U1184" s="64" t="s">
        <v>61</v>
      </c>
      <c r="V1184" s="50"/>
      <c r="W1184" s="49"/>
      <c r="X1184" s="49"/>
      <c r="Y1184" s="35"/>
      <c r="Z1184" s="35"/>
      <c r="AA1184" s="35"/>
      <c r="AB1184" s="35"/>
      <c r="AC1184" s="35"/>
      <c r="AD1184" s="35"/>
      <c r="AE1184" s="35"/>
      <c r="AF1184" s="35"/>
      <c r="AG1184" s="35"/>
      <c r="AH1184" s="35"/>
      <c r="AI1184" s="35"/>
      <c r="AJ1184" s="35"/>
      <c r="AK1184" s="35"/>
      <c r="AL1184" s="35"/>
    </row>
    <row r="1185">
      <c r="A1185" s="89"/>
      <c r="B1185" s="19" t="s">
        <v>2392</v>
      </c>
      <c r="C1185" s="20" t="s">
        <v>6016</v>
      </c>
      <c r="D1185" s="47"/>
      <c r="E1185" s="56" t="s">
        <v>6017</v>
      </c>
      <c r="F1185" s="57" t="s">
        <v>6018</v>
      </c>
      <c r="G1185" s="57">
        <v>2024.0</v>
      </c>
      <c r="H1185" s="56" t="s">
        <v>5043</v>
      </c>
      <c r="I1185" s="58" t="s">
        <v>6019</v>
      </c>
      <c r="J1185" s="22" t="s">
        <v>6020</v>
      </c>
      <c r="K1185" s="22" t="s">
        <v>157</v>
      </c>
      <c r="L1185" s="52">
        <v>670.0</v>
      </c>
      <c r="M1185" s="52"/>
      <c r="N1185" s="52"/>
      <c r="O1185" s="52"/>
      <c r="P1185" s="189"/>
      <c r="Q1185" s="52"/>
      <c r="R1185" s="52"/>
      <c r="S1185" s="52"/>
      <c r="T1185" s="63"/>
      <c r="U1185" s="60" t="s">
        <v>61</v>
      </c>
      <c r="V1185" s="30"/>
      <c r="W1185" s="49"/>
      <c r="X1185" s="49"/>
      <c r="Y1185" s="35"/>
      <c r="Z1185" s="35"/>
      <c r="AA1185" s="35"/>
      <c r="AB1185" s="35"/>
      <c r="AC1185" s="35"/>
      <c r="AD1185" s="35"/>
      <c r="AE1185" s="35"/>
      <c r="AF1185" s="35"/>
      <c r="AG1185" s="35"/>
      <c r="AH1185" s="35"/>
      <c r="AI1185" s="35"/>
      <c r="AJ1185" s="35"/>
      <c r="AK1185" s="35"/>
      <c r="AL1185" s="35"/>
    </row>
    <row r="1186">
      <c r="A1186" s="89"/>
      <c r="B1186" s="19" t="s">
        <v>2392</v>
      </c>
      <c r="C1186" s="20" t="s">
        <v>6016</v>
      </c>
      <c r="D1186" s="47"/>
      <c r="E1186" s="56" t="s">
        <v>493</v>
      </c>
      <c r="F1186" s="57" t="s">
        <v>1905</v>
      </c>
      <c r="G1186" s="57">
        <v>2023.0</v>
      </c>
      <c r="H1186" s="56" t="s">
        <v>42</v>
      </c>
      <c r="I1186" s="58" t="s">
        <v>6021</v>
      </c>
      <c r="J1186" s="22" t="s">
        <v>6022</v>
      </c>
      <c r="K1186" s="22"/>
      <c r="L1186" s="52">
        <v>630.0</v>
      </c>
      <c r="M1186" s="52"/>
      <c r="N1186" s="52"/>
      <c r="O1186" s="52"/>
      <c r="P1186" s="189" t="s">
        <v>480</v>
      </c>
      <c r="Q1186" s="52"/>
      <c r="R1186" s="52"/>
      <c r="S1186" s="52"/>
      <c r="T1186" s="63" t="s">
        <v>6023</v>
      </c>
      <c r="U1186" s="60" t="s">
        <v>61</v>
      </c>
      <c r="V1186" s="30" t="s">
        <v>174</v>
      </c>
      <c r="W1186" s="49"/>
      <c r="X1186" s="49"/>
      <c r="Y1186" s="35"/>
      <c r="Z1186" s="35"/>
      <c r="AA1186" s="35"/>
      <c r="AB1186" s="35"/>
      <c r="AC1186" s="35"/>
      <c r="AD1186" s="35"/>
      <c r="AE1186" s="35"/>
      <c r="AF1186" s="35"/>
      <c r="AG1186" s="35"/>
      <c r="AH1186" s="35"/>
      <c r="AI1186" s="35"/>
      <c r="AJ1186" s="35"/>
      <c r="AK1186" s="35"/>
      <c r="AL1186" s="35"/>
    </row>
    <row r="1187">
      <c r="A1187" s="89"/>
      <c r="B1187" s="19" t="s">
        <v>2392</v>
      </c>
      <c r="C1187" s="20" t="s">
        <v>6016</v>
      </c>
      <c r="D1187" s="47"/>
      <c r="E1187" s="56" t="s">
        <v>5928</v>
      </c>
      <c r="F1187" s="57" t="s">
        <v>1386</v>
      </c>
      <c r="G1187" s="57">
        <v>2022.0</v>
      </c>
      <c r="H1187" s="56" t="s">
        <v>6024</v>
      </c>
      <c r="I1187" s="58" t="s">
        <v>6025</v>
      </c>
      <c r="J1187" s="22" t="s">
        <v>125</v>
      </c>
      <c r="K1187" s="22"/>
      <c r="L1187" s="79" t="s">
        <v>6026</v>
      </c>
      <c r="U1187" s="60" t="s">
        <v>61</v>
      </c>
      <c r="V1187" s="50"/>
      <c r="W1187" s="49"/>
      <c r="X1187" s="49"/>
      <c r="Y1187" s="35"/>
      <c r="Z1187" s="35"/>
      <c r="AA1187" s="35"/>
      <c r="AB1187" s="35"/>
      <c r="AC1187" s="35"/>
      <c r="AD1187" s="35"/>
      <c r="AE1187" s="35"/>
      <c r="AF1187" s="35"/>
      <c r="AG1187" s="35"/>
      <c r="AH1187" s="35"/>
      <c r="AI1187" s="35"/>
      <c r="AJ1187" s="35"/>
      <c r="AK1187" s="35"/>
      <c r="AL1187" s="35"/>
    </row>
    <row r="1188">
      <c r="A1188" s="89"/>
      <c r="B1188" s="19" t="s">
        <v>2392</v>
      </c>
      <c r="C1188" s="20" t="s">
        <v>6016</v>
      </c>
      <c r="D1188" s="47"/>
      <c r="E1188" s="56" t="s">
        <v>6027</v>
      </c>
      <c r="F1188" s="57" t="s">
        <v>6028</v>
      </c>
      <c r="G1188" s="57">
        <v>2020.0</v>
      </c>
      <c r="H1188" s="56" t="s">
        <v>91</v>
      </c>
      <c r="I1188" s="58" t="s">
        <v>6029</v>
      </c>
      <c r="J1188" s="22" t="s">
        <v>31</v>
      </c>
      <c r="K1188" s="22" t="s">
        <v>6030</v>
      </c>
      <c r="L1188" s="36">
        <v>627.0</v>
      </c>
      <c r="M1188" s="36"/>
      <c r="N1188" s="36"/>
      <c r="O1188" s="36"/>
      <c r="P1188" s="37" t="s">
        <v>254</v>
      </c>
      <c r="Q1188" s="36"/>
      <c r="R1188" s="36"/>
      <c r="S1188" s="36"/>
      <c r="T1188" s="63" t="s">
        <v>6031</v>
      </c>
      <c r="U1188" s="161" t="str">
        <f>HYPERLINK("https://www.ncbi.nlm.nih.gov/pubmed/20162318","PubMed")</f>
        <v>PubMed</v>
      </c>
      <c r="V1188" s="50"/>
      <c r="W1188" s="49"/>
      <c r="X1188" s="49"/>
      <c r="Y1188" s="35"/>
      <c r="Z1188" s="35"/>
      <c r="AA1188" s="35"/>
      <c r="AB1188" s="35"/>
      <c r="AC1188" s="35"/>
      <c r="AD1188" s="35"/>
      <c r="AE1188" s="35"/>
      <c r="AF1188" s="35"/>
      <c r="AG1188" s="35"/>
      <c r="AH1188" s="35"/>
      <c r="AI1188" s="35"/>
      <c r="AJ1188" s="35"/>
      <c r="AK1188" s="35"/>
      <c r="AL1188" s="35"/>
    </row>
    <row r="1189">
      <c r="A1189" s="89"/>
      <c r="B1189" s="19" t="s">
        <v>2392</v>
      </c>
      <c r="C1189" s="20" t="s">
        <v>6016</v>
      </c>
      <c r="D1189" s="47"/>
      <c r="E1189" s="56" t="s">
        <v>6032</v>
      </c>
      <c r="F1189" s="57" t="s">
        <v>6033</v>
      </c>
      <c r="G1189" s="57" t="s">
        <v>90</v>
      </c>
      <c r="H1189" s="56" t="s">
        <v>6034</v>
      </c>
      <c r="I1189" s="58" t="s">
        <v>6035</v>
      </c>
      <c r="J1189" s="22" t="s">
        <v>6036</v>
      </c>
      <c r="K1189" s="22" t="s">
        <v>6037</v>
      </c>
      <c r="L1189" s="36">
        <v>905.0</v>
      </c>
      <c r="M1189" s="36"/>
      <c r="N1189" s="36"/>
      <c r="O1189" s="36"/>
      <c r="P1189" s="37"/>
      <c r="Q1189" s="36"/>
      <c r="R1189" s="36"/>
      <c r="S1189" s="36" t="s">
        <v>6038</v>
      </c>
      <c r="T1189" s="63" t="s">
        <v>6039</v>
      </c>
      <c r="U1189" s="161" t="str">
        <f>HYPERLINK("http://www.sciencedirect.com/science/article/pii/S2405580816303065","ScienceDirect")</f>
        <v>ScienceDirect</v>
      </c>
      <c r="V1189" s="50"/>
      <c r="W1189" s="49"/>
      <c r="X1189" s="49"/>
      <c r="Y1189" s="35"/>
      <c r="Z1189" s="35"/>
      <c r="AA1189" s="35"/>
      <c r="AB1189" s="35"/>
      <c r="AC1189" s="35"/>
      <c r="AD1189" s="35"/>
      <c r="AE1189" s="35"/>
      <c r="AF1189" s="35"/>
      <c r="AG1189" s="35"/>
      <c r="AH1189" s="35"/>
      <c r="AI1189" s="35"/>
      <c r="AJ1189" s="35"/>
      <c r="AK1189" s="35"/>
      <c r="AL1189" s="35"/>
    </row>
    <row r="1190">
      <c r="A1190" s="89"/>
      <c r="B1190" s="19" t="s">
        <v>2392</v>
      </c>
      <c r="C1190" s="20" t="s">
        <v>6016</v>
      </c>
      <c r="D1190" s="47"/>
      <c r="E1190" s="56" t="s">
        <v>4410</v>
      </c>
      <c r="F1190" s="57" t="s">
        <v>65</v>
      </c>
      <c r="G1190" s="57">
        <v>2015.0</v>
      </c>
      <c r="H1190" s="56" t="s">
        <v>6040</v>
      </c>
      <c r="I1190" s="58" t="s">
        <v>6041</v>
      </c>
      <c r="J1190" s="22" t="s">
        <v>31</v>
      </c>
      <c r="K1190" s="22" t="s">
        <v>6042</v>
      </c>
      <c r="L1190" s="36">
        <v>633.0</v>
      </c>
      <c r="M1190" s="36"/>
      <c r="N1190" s="36"/>
      <c r="O1190" s="36"/>
      <c r="P1190" s="37"/>
      <c r="Q1190" s="36"/>
      <c r="R1190" s="36"/>
      <c r="S1190" s="36"/>
      <c r="T1190" s="63" t="s">
        <v>6043</v>
      </c>
      <c r="U1190" s="64" t="s">
        <v>61</v>
      </c>
      <c r="V1190" s="50"/>
      <c r="W1190" s="49"/>
      <c r="X1190" s="49"/>
      <c r="Y1190" s="35"/>
      <c r="Z1190" s="35"/>
      <c r="AA1190" s="35"/>
      <c r="AB1190" s="35"/>
      <c r="AC1190" s="35"/>
      <c r="AD1190" s="35"/>
      <c r="AE1190" s="35"/>
      <c r="AF1190" s="35"/>
      <c r="AG1190" s="35"/>
      <c r="AH1190" s="35"/>
      <c r="AI1190" s="35"/>
      <c r="AJ1190" s="35"/>
      <c r="AK1190" s="35"/>
      <c r="AL1190" s="35"/>
    </row>
    <row r="1191">
      <c r="A1191" s="89"/>
      <c r="B1191" s="19" t="s">
        <v>2392</v>
      </c>
      <c r="C1191" s="20" t="s">
        <v>6016</v>
      </c>
      <c r="D1191" s="47"/>
      <c r="E1191" s="56" t="s">
        <v>6044</v>
      </c>
      <c r="F1191" s="57" t="s">
        <v>65</v>
      </c>
      <c r="G1191" s="57">
        <v>2015.0</v>
      </c>
      <c r="H1191" s="56" t="s">
        <v>66</v>
      </c>
      <c r="I1191" s="58" t="s">
        <v>6045</v>
      </c>
      <c r="J1191" s="22" t="s">
        <v>31</v>
      </c>
      <c r="K1191" s="22"/>
      <c r="L1191" s="36">
        <v>633.0</v>
      </c>
      <c r="M1191" s="36"/>
      <c r="N1191" s="36"/>
      <c r="O1191" s="36"/>
      <c r="P1191" s="37"/>
      <c r="Q1191" s="36"/>
      <c r="R1191" s="36"/>
      <c r="S1191" s="36"/>
      <c r="T1191" s="63" t="s">
        <v>6046</v>
      </c>
      <c r="U1191" s="64" t="s">
        <v>61</v>
      </c>
      <c r="V1191" s="50"/>
      <c r="W1191" s="49"/>
      <c r="X1191" s="49"/>
      <c r="Y1191" s="35"/>
      <c r="Z1191" s="35"/>
      <c r="AA1191" s="35"/>
      <c r="AB1191" s="35"/>
      <c r="AC1191" s="35"/>
      <c r="AD1191" s="35"/>
      <c r="AE1191" s="35"/>
      <c r="AF1191" s="35"/>
      <c r="AG1191" s="35"/>
      <c r="AH1191" s="35"/>
      <c r="AI1191" s="35"/>
      <c r="AJ1191" s="35"/>
      <c r="AK1191" s="35"/>
      <c r="AL1191" s="35"/>
    </row>
    <row r="1192">
      <c r="A1192" s="89"/>
      <c r="B1192" s="19" t="s">
        <v>2392</v>
      </c>
      <c r="C1192" s="20" t="s">
        <v>6016</v>
      </c>
      <c r="D1192" s="47"/>
      <c r="E1192" s="56" t="s">
        <v>4410</v>
      </c>
      <c r="F1192" s="57" t="s">
        <v>65</v>
      </c>
      <c r="G1192" s="57">
        <v>2012.0</v>
      </c>
      <c r="H1192" s="56" t="s">
        <v>66</v>
      </c>
      <c r="I1192" s="58" t="s">
        <v>6047</v>
      </c>
      <c r="J1192" s="22" t="s">
        <v>31</v>
      </c>
      <c r="K1192" s="22"/>
      <c r="L1192" s="36">
        <v>633.0</v>
      </c>
      <c r="M1192" s="36"/>
      <c r="N1192" s="36"/>
      <c r="O1192" s="36"/>
      <c r="P1192" s="37"/>
      <c r="Q1192" s="36"/>
      <c r="R1192" s="36"/>
      <c r="S1192" s="36"/>
      <c r="T1192" s="63" t="s">
        <v>6048</v>
      </c>
      <c r="U1192" s="64" t="s">
        <v>61</v>
      </c>
      <c r="V1192" s="50"/>
      <c r="W1192" s="49"/>
      <c r="X1192" s="49"/>
      <c r="Y1192" s="35"/>
      <c r="Z1192" s="35"/>
      <c r="AA1192" s="35"/>
      <c r="AB1192" s="35"/>
      <c r="AC1192" s="35"/>
      <c r="AD1192" s="35"/>
      <c r="AE1192" s="35"/>
      <c r="AF1192" s="35"/>
      <c r="AG1192" s="35"/>
      <c r="AH1192" s="35"/>
      <c r="AI1192" s="35"/>
      <c r="AJ1192" s="35"/>
      <c r="AK1192" s="35"/>
      <c r="AL1192" s="35"/>
    </row>
    <row r="1193">
      <c r="A1193" s="89"/>
      <c r="B1193" s="19" t="s">
        <v>2392</v>
      </c>
      <c r="C1193" s="20" t="s">
        <v>6016</v>
      </c>
      <c r="D1193" s="47"/>
      <c r="E1193" s="56" t="s">
        <v>223</v>
      </c>
      <c r="F1193" s="57" t="s">
        <v>65</v>
      </c>
      <c r="G1193" s="57">
        <v>2011.0</v>
      </c>
      <c r="H1193" s="56" t="s">
        <v>5009</v>
      </c>
      <c r="I1193" s="58" t="s">
        <v>6049</v>
      </c>
      <c r="J1193" s="22" t="s">
        <v>31</v>
      </c>
      <c r="K1193" s="22"/>
      <c r="L1193" s="36">
        <v>633.0</v>
      </c>
      <c r="M1193" s="36"/>
      <c r="N1193" s="36" t="s">
        <v>1175</v>
      </c>
      <c r="O1193" s="36"/>
      <c r="P1193" s="37"/>
      <c r="Q1193" s="36" t="s">
        <v>6050</v>
      </c>
      <c r="R1193" s="36" t="s">
        <v>6051</v>
      </c>
      <c r="S1193" s="36"/>
      <c r="T1193" s="63" t="s">
        <v>6052</v>
      </c>
      <c r="U1193" s="161" t="str">
        <f>HYPERLINK("https://www.ncbi.nlm.nih.gov/pubmed/20683916","PubMed")</f>
        <v>PubMed</v>
      </c>
      <c r="V1193" s="50"/>
      <c r="W1193" s="49"/>
      <c r="X1193" s="49"/>
      <c r="Y1193" s="35"/>
      <c r="Z1193" s="35"/>
      <c r="AA1193" s="35"/>
      <c r="AB1193" s="35"/>
      <c r="AC1193" s="35"/>
      <c r="AD1193" s="35"/>
      <c r="AE1193" s="35"/>
      <c r="AF1193" s="35"/>
      <c r="AG1193" s="35"/>
      <c r="AH1193" s="35"/>
      <c r="AI1193" s="35"/>
      <c r="AJ1193" s="35"/>
      <c r="AK1193" s="35"/>
      <c r="AL1193" s="35"/>
    </row>
    <row r="1194">
      <c r="A1194" s="89"/>
      <c r="B1194" s="19" t="s">
        <v>2392</v>
      </c>
      <c r="C1194" s="20" t="s">
        <v>6016</v>
      </c>
      <c r="D1194" s="47"/>
      <c r="E1194" s="56" t="s">
        <v>6053</v>
      </c>
      <c r="F1194" s="57" t="s">
        <v>65</v>
      </c>
      <c r="G1194" s="57">
        <v>2010.0</v>
      </c>
      <c r="H1194" s="56" t="s">
        <v>6054</v>
      </c>
      <c r="I1194" s="58" t="s">
        <v>6055</v>
      </c>
      <c r="J1194" s="22" t="s">
        <v>31</v>
      </c>
      <c r="K1194" s="22"/>
      <c r="L1194" s="36">
        <v>633.0</v>
      </c>
      <c r="M1194" s="36"/>
      <c r="N1194" s="36"/>
      <c r="O1194" s="36"/>
      <c r="P1194" s="37" t="s">
        <v>4990</v>
      </c>
      <c r="Q1194" s="36"/>
      <c r="R1194" s="36">
        <v>100.0</v>
      </c>
      <c r="S1194" s="36"/>
      <c r="T1194" s="63" t="s">
        <v>6056</v>
      </c>
      <c r="U1194" s="161" t="str">
        <f>HYPERLINK("https://www.ncbi.nlm.nih.gov/pubmed/20977672","PubMed")</f>
        <v>PubMed</v>
      </c>
      <c r="V1194" s="50"/>
      <c r="W1194" s="49"/>
      <c r="X1194" s="49"/>
      <c r="Y1194" s="35"/>
      <c r="Z1194" s="35"/>
      <c r="AA1194" s="35"/>
      <c r="AB1194" s="35"/>
      <c r="AC1194" s="35"/>
      <c r="AD1194" s="35"/>
      <c r="AE1194" s="35"/>
      <c r="AF1194" s="35"/>
      <c r="AG1194" s="35"/>
      <c r="AH1194" s="35"/>
      <c r="AI1194" s="35"/>
      <c r="AJ1194" s="35"/>
      <c r="AK1194" s="35"/>
      <c r="AL1194" s="35"/>
    </row>
    <row r="1195">
      <c r="A1195" s="89"/>
      <c r="B1195" s="19" t="s">
        <v>2392</v>
      </c>
      <c r="C1195" s="20" t="s">
        <v>6016</v>
      </c>
      <c r="D1195" s="47"/>
      <c r="E1195" s="56" t="s">
        <v>2316</v>
      </c>
      <c r="F1195" s="57" t="s">
        <v>65</v>
      </c>
      <c r="G1195" s="57">
        <v>2009.0</v>
      </c>
      <c r="H1195" s="56" t="s">
        <v>5009</v>
      </c>
      <c r="I1195" s="58" t="s">
        <v>6057</v>
      </c>
      <c r="J1195" s="22" t="s">
        <v>31</v>
      </c>
      <c r="K1195" s="22"/>
      <c r="L1195" s="52">
        <v>633.0</v>
      </c>
      <c r="M1195" s="52"/>
      <c r="N1195" s="52"/>
      <c r="O1195" s="52"/>
      <c r="P1195" s="189"/>
      <c r="Q1195" s="52"/>
      <c r="R1195" s="52"/>
      <c r="S1195" s="52"/>
      <c r="T1195" s="63" t="s">
        <v>6058</v>
      </c>
      <c r="U1195" s="64" t="s">
        <v>61</v>
      </c>
      <c r="V1195" s="50"/>
      <c r="W1195" s="49"/>
      <c r="X1195" s="49"/>
      <c r="Y1195" s="35"/>
      <c r="Z1195" s="35"/>
      <c r="AA1195" s="35"/>
      <c r="AB1195" s="35"/>
      <c r="AC1195" s="35"/>
      <c r="AD1195" s="35"/>
      <c r="AE1195" s="35"/>
      <c r="AF1195" s="35"/>
      <c r="AG1195" s="35"/>
      <c r="AH1195" s="35"/>
      <c r="AI1195" s="35"/>
      <c r="AJ1195" s="35"/>
      <c r="AK1195" s="35"/>
      <c r="AL1195" s="35"/>
    </row>
    <row r="1196">
      <c r="A1196" s="89"/>
      <c r="B1196" s="19" t="s">
        <v>2392</v>
      </c>
      <c r="C1196" s="20" t="s">
        <v>6016</v>
      </c>
      <c r="D1196" s="47"/>
      <c r="E1196" s="56" t="s">
        <v>6059</v>
      </c>
      <c r="F1196" s="57" t="s">
        <v>65</v>
      </c>
      <c r="G1196" s="57">
        <v>2009.0</v>
      </c>
      <c r="H1196" s="56" t="s">
        <v>6060</v>
      </c>
      <c r="I1196" s="58" t="s">
        <v>6061</v>
      </c>
      <c r="J1196" s="22" t="s">
        <v>125</v>
      </c>
      <c r="K1196" s="22"/>
      <c r="L1196" s="79" t="s">
        <v>6062</v>
      </c>
      <c r="U1196" s="161" t="str">
        <f>HYPERLINK("https://www.ncbi.nlm.nih.gov/pubmed/19272168","PubMed")</f>
        <v>PubMed</v>
      </c>
      <c r="V1196" s="50"/>
      <c r="W1196" s="49"/>
      <c r="X1196" s="49"/>
      <c r="Y1196" s="35"/>
      <c r="Z1196" s="35"/>
      <c r="AA1196" s="35"/>
      <c r="AB1196" s="35"/>
      <c r="AC1196" s="35"/>
      <c r="AD1196" s="35"/>
      <c r="AE1196" s="35"/>
      <c r="AF1196" s="35"/>
      <c r="AG1196" s="35"/>
      <c r="AH1196" s="35"/>
      <c r="AI1196" s="35"/>
      <c r="AJ1196" s="35"/>
      <c r="AK1196" s="35"/>
      <c r="AL1196" s="35"/>
    </row>
    <row r="1197">
      <c r="A1197" s="89"/>
      <c r="B1197" s="19" t="s">
        <v>2392</v>
      </c>
      <c r="C1197" s="20" t="s">
        <v>6016</v>
      </c>
      <c r="D1197" s="47"/>
      <c r="E1197" s="56" t="s">
        <v>2275</v>
      </c>
      <c r="F1197" s="57" t="s">
        <v>65</v>
      </c>
      <c r="G1197" s="57">
        <v>2009.0</v>
      </c>
      <c r="H1197" s="56" t="s">
        <v>5009</v>
      </c>
      <c r="I1197" s="58" t="s">
        <v>6063</v>
      </c>
      <c r="J1197" s="22" t="s">
        <v>31</v>
      </c>
      <c r="K1197" s="22" t="s">
        <v>6064</v>
      </c>
      <c r="L1197" s="52">
        <v>633.0</v>
      </c>
      <c r="M1197" s="52"/>
      <c r="N1197" s="52"/>
      <c r="O1197" s="52"/>
      <c r="P1197" s="189" t="s">
        <v>279</v>
      </c>
      <c r="Q1197" s="52"/>
      <c r="R1197" s="52"/>
      <c r="S1197" s="52"/>
      <c r="T1197" s="63" t="s">
        <v>6065</v>
      </c>
      <c r="U1197" s="161" t="str">
        <f>HYPERLINK("https://www.ncbi.nlm.nih.gov/pubmed/19006121","PubMed")</f>
        <v>PubMed</v>
      </c>
      <c r="V1197" s="50"/>
      <c r="W1197" s="49"/>
      <c r="X1197" s="49"/>
      <c r="Y1197" s="35"/>
      <c r="Z1197" s="35"/>
      <c r="AA1197" s="35"/>
      <c r="AB1197" s="35"/>
      <c r="AC1197" s="35"/>
      <c r="AD1197" s="35"/>
      <c r="AE1197" s="35"/>
      <c r="AF1197" s="35"/>
      <c r="AG1197" s="35"/>
      <c r="AH1197" s="35"/>
      <c r="AI1197" s="35"/>
      <c r="AJ1197" s="35"/>
      <c r="AK1197" s="35"/>
      <c r="AL1197" s="35"/>
    </row>
    <row r="1198">
      <c r="A1198" s="89"/>
      <c r="B1198" s="19" t="s">
        <v>2392</v>
      </c>
      <c r="C1198" s="20" t="s">
        <v>6016</v>
      </c>
      <c r="D1198" s="47"/>
      <c r="E1198" s="56" t="s">
        <v>2316</v>
      </c>
      <c r="F1198" s="57" t="s">
        <v>65</v>
      </c>
      <c r="G1198" s="57">
        <v>2008.0</v>
      </c>
      <c r="H1198" s="56" t="s">
        <v>5009</v>
      </c>
      <c r="I1198" s="58" t="s">
        <v>6066</v>
      </c>
      <c r="J1198" s="22" t="s">
        <v>31</v>
      </c>
      <c r="K1198" s="22" t="s">
        <v>1240</v>
      </c>
      <c r="L1198" s="52"/>
      <c r="M1198" s="52"/>
      <c r="N1198" s="52"/>
      <c r="O1198" s="52"/>
      <c r="P1198" s="189"/>
      <c r="Q1198" s="52"/>
      <c r="R1198" s="52"/>
      <c r="S1198" s="52"/>
      <c r="T1198" s="63" t="s">
        <v>6067</v>
      </c>
      <c r="U1198" s="161" t="str">
        <f>HYPERLINK("https://www.ncbi.nlm.nih.gov/pubmed/18615581","PubMed")</f>
        <v>PubMed</v>
      </c>
      <c r="V1198" s="50"/>
      <c r="W1198" s="49"/>
      <c r="X1198" s="49"/>
      <c r="Y1198" s="35"/>
      <c r="Z1198" s="35"/>
      <c r="AA1198" s="35"/>
      <c r="AB1198" s="35"/>
      <c r="AC1198" s="35"/>
      <c r="AD1198" s="35"/>
      <c r="AE1198" s="35"/>
      <c r="AF1198" s="35"/>
      <c r="AG1198" s="35"/>
      <c r="AH1198" s="35"/>
      <c r="AI1198" s="35"/>
      <c r="AJ1198" s="35"/>
      <c r="AK1198" s="35"/>
      <c r="AL1198" s="35"/>
    </row>
    <row r="1199">
      <c r="A1199" s="89"/>
      <c r="B1199" s="19" t="s">
        <v>2392</v>
      </c>
      <c r="C1199" s="20"/>
      <c r="D1199" s="47"/>
      <c r="E1199" s="56" t="s">
        <v>6068</v>
      </c>
      <c r="F1199" s="57" t="s">
        <v>183</v>
      </c>
      <c r="G1199" s="57">
        <v>2014.0</v>
      </c>
      <c r="H1199" s="56" t="s">
        <v>91</v>
      </c>
      <c r="I1199" s="58" t="s">
        <v>6069</v>
      </c>
      <c r="J1199" s="22" t="s">
        <v>31</v>
      </c>
      <c r="K1199" s="22" t="s">
        <v>6070</v>
      </c>
      <c r="L1199" s="52" t="s">
        <v>6071</v>
      </c>
      <c r="M1199" s="52"/>
      <c r="N1199" s="52"/>
      <c r="O1199" s="52"/>
      <c r="P1199" s="189"/>
      <c r="Q1199" s="52"/>
      <c r="R1199" s="52"/>
      <c r="S1199" s="52"/>
      <c r="T1199" s="74" t="s">
        <v>6072</v>
      </c>
      <c r="U1199" s="161" t="str">
        <f>HYPERLINK("https://www.ncbi.nlm.nih.gov/pubmed/24554451","PubMed")</f>
        <v>PubMed</v>
      </c>
      <c r="V1199" s="50"/>
      <c r="W1199" s="49"/>
      <c r="X1199" s="49"/>
      <c r="Y1199" s="35"/>
      <c r="Z1199" s="35"/>
      <c r="AA1199" s="35"/>
      <c r="AB1199" s="35"/>
      <c r="AC1199" s="35"/>
      <c r="AD1199" s="35"/>
      <c r="AE1199" s="35"/>
      <c r="AF1199" s="35"/>
      <c r="AG1199" s="35"/>
      <c r="AH1199" s="35"/>
      <c r="AI1199" s="35"/>
      <c r="AJ1199" s="35"/>
      <c r="AK1199" s="35"/>
      <c r="AL1199" s="35"/>
    </row>
    <row r="1200">
      <c r="A1200" s="89"/>
      <c r="B1200" s="19" t="s">
        <v>2392</v>
      </c>
      <c r="C1200" s="20"/>
      <c r="D1200" s="47"/>
      <c r="E1200" s="56" t="s">
        <v>6073</v>
      </c>
      <c r="F1200" s="57" t="s">
        <v>6074</v>
      </c>
      <c r="G1200" s="57">
        <v>2014.0</v>
      </c>
      <c r="H1200" s="56" t="s">
        <v>91</v>
      </c>
      <c r="I1200" s="58" t="s">
        <v>6075</v>
      </c>
      <c r="J1200" s="22" t="s">
        <v>31</v>
      </c>
      <c r="K1200" s="22" t="s">
        <v>5467</v>
      </c>
      <c r="L1200" s="52">
        <v>805.0</v>
      </c>
      <c r="M1200" s="52"/>
      <c r="N1200" s="52"/>
      <c r="O1200" s="52"/>
      <c r="P1200" s="189"/>
      <c r="Q1200" s="52"/>
      <c r="R1200" s="52"/>
      <c r="S1200" s="52"/>
      <c r="T1200" s="63" t="s">
        <v>6076</v>
      </c>
      <c r="U1200" s="161" t="str">
        <f>HYPERLINK("https://www.ncbi.nlm.nih.gov/pubmed/24197516","PubMed")</f>
        <v>PubMed</v>
      </c>
      <c r="V1200" s="50"/>
      <c r="W1200" s="49"/>
      <c r="X1200" s="49"/>
      <c r="Y1200" s="35"/>
      <c r="Z1200" s="35"/>
      <c r="AA1200" s="35"/>
      <c r="AB1200" s="35"/>
      <c r="AC1200" s="35"/>
      <c r="AD1200" s="35"/>
      <c r="AE1200" s="35"/>
      <c r="AF1200" s="35"/>
      <c r="AG1200" s="35"/>
      <c r="AH1200" s="35"/>
      <c r="AI1200" s="35"/>
      <c r="AJ1200" s="35"/>
      <c r="AK1200" s="35"/>
      <c r="AL1200" s="35"/>
    </row>
    <row r="1201">
      <c r="A1201" s="89"/>
      <c r="B1201" s="19" t="s">
        <v>2392</v>
      </c>
      <c r="C1201" s="20"/>
      <c r="D1201" s="47"/>
      <c r="E1201" s="56" t="s">
        <v>6077</v>
      </c>
      <c r="F1201" s="57" t="s">
        <v>2705</v>
      </c>
      <c r="G1201" s="57">
        <v>2010.0</v>
      </c>
      <c r="H1201" s="56" t="s">
        <v>53</v>
      </c>
      <c r="I1201" s="58" t="s">
        <v>6078</v>
      </c>
      <c r="J1201" s="22" t="s">
        <v>31</v>
      </c>
      <c r="K1201" s="22" t="s">
        <v>6079</v>
      </c>
      <c r="L1201" s="36">
        <v>1064.0</v>
      </c>
      <c r="M1201" s="36"/>
      <c r="N1201" s="36"/>
      <c r="O1201" s="36"/>
      <c r="P1201" s="37" t="s">
        <v>671</v>
      </c>
      <c r="Q1201" s="36"/>
      <c r="R1201" s="36"/>
      <c r="S1201" s="36"/>
      <c r="T1201" s="63" t="s">
        <v>6080</v>
      </c>
      <c r="U1201" s="161" t="str">
        <f>HYPERLINK("https://www.ncbi.nlm.nih.gov/pubmed/20662029","PubMed")</f>
        <v>PubMed</v>
      </c>
      <c r="V1201" s="50"/>
      <c r="W1201" s="49"/>
      <c r="X1201" s="49"/>
      <c r="Y1201" s="35"/>
      <c r="Z1201" s="35"/>
      <c r="AA1201" s="35"/>
      <c r="AB1201" s="35"/>
      <c r="AC1201" s="35"/>
      <c r="AD1201" s="35"/>
      <c r="AE1201" s="35"/>
      <c r="AF1201" s="35"/>
      <c r="AG1201" s="35"/>
      <c r="AH1201" s="35"/>
      <c r="AI1201" s="35"/>
      <c r="AJ1201" s="35"/>
      <c r="AK1201" s="35"/>
      <c r="AL1201" s="35"/>
    </row>
    <row r="1202">
      <c r="A1202" s="89"/>
      <c r="B1202" s="19" t="s">
        <v>2392</v>
      </c>
      <c r="C1202" s="20"/>
      <c r="D1202" s="47"/>
      <c r="E1202" s="56" t="s">
        <v>6081</v>
      </c>
      <c r="F1202" s="57" t="s">
        <v>6082</v>
      </c>
      <c r="G1202" s="57">
        <v>2013.0</v>
      </c>
      <c r="H1202" s="56" t="s">
        <v>658</v>
      </c>
      <c r="I1202" s="58" t="s">
        <v>6083</v>
      </c>
      <c r="J1202" s="22" t="s">
        <v>31</v>
      </c>
      <c r="K1202" s="22"/>
      <c r="L1202" s="36">
        <v>785.0</v>
      </c>
      <c r="M1202" s="36">
        <v>70.0</v>
      </c>
      <c r="N1202" s="36" t="s">
        <v>58</v>
      </c>
      <c r="O1202" s="36" t="s">
        <v>58</v>
      </c>
      <c r="P1202" s="37" t="s">
        <v>6084</v>
      </c>
      <c r="Q1202" s="36" t="s">
        <v>58</v>
      </c>
      <c r="R1202" s="36"/>
      <c r="S1202" s="36"/>
      <c r="T1202" s="63" t="s">
        <v>6085</v>
      </c>
      <c r="U1202" s="161" t="str">
        <f>HYPERLINK("https://www.ncbi.nlm.nih.gov/pubmed/24102164","PubMed")</f>
        <v>PubMed</v>
      </c>
      <c r="V1202" s="30" t="s">
        <v>6086</v>
      </c>
      <c r="W1202" s="49"/>
      <c r="X1202" s="49"/>
      <c r="Y1202" s="35"/>
      <c r="Z1202" s="35"/>
      <c r="AA1202" s="35"/>
      <c r="AB1202" s="35"/>
      <c r="AC1202" s="35"/>
      <c r="AD1202" s="35"/>
      <c r="AE1202" s="35"/>
      <c r="AF1202" s="35"/>
      <c r="AG1202" s="35"/>
      <c r="AH1202" s="35"/>
      <c r="AI1202" s="35"/>
      <c r="AJ1202" s="35"/>
      <c r="AK1202" s="35"/>
      <c r="AL1202" s="35"/>
    </row>
    <row r="1203">
      <c r="A1203" s="89"/>
      <c r="B1203" s="19" t="s">
        <v>2392</v>
      </c>
      <c r="C1203" s="20"/>
      <c r="D1203" s="47"/>
      <c r="E1203" s="56" t="s">
        <v>6087</v>
      </c>
      <c r="F1203" s="57" t="s">
        <v>510</v>
      </c>
      <c r="G1203" s="57">
        <v>2008.0</v>
      </c>
      <c r="H1203" s="56" t="s">
        <v>658</v>
      </c>
      <c r="I1203" s="58" t="s">
        <v>6088</v>
      </c>
      <c r="J1203" s="22" t="s">
        <v>31</v>
      </c>
      <c r="K1203" s="22" t="s">
        <v>6089</v>
      </c>
      <c r="L1203" s="36">
        <v>904.0</v>
      </c>
      <c r="M1203" s="36"/>
      <c r="N1203" s="36"/>
      <c r="O1203" s="36"/>
      <c r="P1203" s="37"/>
      <c r="Q1203" s="36"/>
      <c r="R1203" s="36"/>
      <c r="S1203" s="36"/>
      <c r="T1203" s="63"/>
      <c r="U1203" s="161" t="str">
        <f>HYPERLINK("https://www.ncbi.nlm.nih.gov/pubmed/18248154","PubMed")</f>
        <v>PubMed</v>
      </c>
      <c r="V1203" s="50"/>
      <c r="W1203" s="49"/>
      <c r="X1203" s="49"/>
      <c r="Y1203" s="35"/>
      <c r="Z1203" s="35"/>
      <c r="AA1203" s="35"/>
      <c r="AB1203" s="35"/>
      <c r="AC1203" s="35"/>
      <c r="AD1203" s="35"/>
      <c r="AE1203" s="35"/>
      <c r="AF1203" s="35"/>
      <c r="AG1203" s="35"/>
      <c r="AH1203" s="35"/>
      <c r="AI1203" s="35"/>
      <c r="AJ1203" s="35"/>
      <c r="AK1203" s="35"/>
      <c r="AL1203" s="35"/>
    </row>
    <row r="1204">
      <c r="A1204" s="89"/>
      <c r="B1204" s="157" t="s">
        <v>3034</v>
      </c>
      <c r="C1204" s="158" t="s">
        <v>6090</v>
      </c>
      <c r="D1204" s="159"/>
      <c r="E1204" s="56" t="s">
        <v>5311</v>
      </c>
      <c r="F1204" s="57" t="s">
        <v>5312</v>
      </c>
      <c r="G1204" s="57">
        <v>2022.0</v>
      </c>
      <c r="H1204" s="22" t="s">
        <v>77</v>
      </c>
      <c r="I1204" s="58" t="s">
        <v>6091</v>
      </c>
      <c r="J1204" s="22" t="s">
        <v>202</v>
      </c>
      <c r="K1204" s="22"/>
      <c r="L1204" s="223" t="s">
        <v>6092</v>
      </c>
      <c r="U1204" s="60" t="s">
        <v>61</v>
      </c>
      <c r="V1204" s="50"/>
      <c r="W1204" s="162"/>
      <c r="X1204" s="156"/>
      <c r="Y1204" s="35"/>
      <c r="Z1204" s="35"/>
      <c r="AA1204" s="35"/>
      <c r="AB1204" s="35"/>
      <c r="AC1204" s="35"/>
      <c r="AD1204" s="35"/>
      <c r="AE1204" s="35"/>
      <c r="AF1204" s="35"/>
      <c r="AG1204" s="35"/>
      <c r="AH1204" s="35"/>
      <c r="AI1204" s="35"/>
      <c r="AJ1204" s="35"/>
      <c r="AK1204" s="35"/>
      <c r="AL1204" s="35"/>
    </row>
    <row r="1205">
      <c r="A1205" s="89"/>
      <c r="B1205" s="157" t="s">
        <v>3034</v>
      </c>
      <c r="C1205" s="158" t="s">
        <v>6090</v>
      </c>
      <c r="D1205" s="159"/>
      <c r="E1205" s="56" t="s">
        <v>5311</v>
      </c>
      <c r="F1205" s="57" t="s">
        <v>5312</v>
      </c>
      <c r="G1205" s="57">
        <v>2014.0</v>
      </c>
      <c r="H1205" s="22" t="s">
        <v>53</v>
      </c>
      <c r="I1205" s="58" t="s">
        <v>6093</v>
      </c>
      <c r="J1205" s="22" t="s">
        <v>44</v>
      </c>
      <c r="K1205" s="22" t="s">
        <v>6094</v>
      </c>
      <c r="L1205" s="36">
        <v>780.0</v>
      </c>
      <c r="M1205" s="36"/>
      <c r="N1205" s="36"/>
      <c r="O1205" s="36"/>
      <c r="P1205" s="37" t="s">
        <v>6095</v>
      </c>
      <c r="Q1205" s="37"/>
      <c r="R1205" s="36">
        <v>540.0</v>
      </c>
      <c r="S1205" s="36"/>
      <c r="T1205" s="160" t="s">
        <v>6096</v>
      </c>
      <c r="U1205" s="161" t="str">
        <f>HYPERLINK("https://www.ncbi.nlm.nih.gov/pubmed/25409657","PubMed")</f>
        <v>PubMed</v>
      </c>
      <c r="V1205" s="50"/>
      <c r="W1205" s="162"/>
      <c r="X1205" s="156"/>
      <c r="Y1205" s="35"/>
      <c r="Z1205" s="35"/>
      <c r="AA1205" s="35"/>
      <c r="AB1205" s="35"/>
      <c r="AC1205" s="35"/>
      <c r="AD1205" s="35"/>
      <c r="AE1205" s="35"/>
      <c r="AF1205" s="35"/>
      <c r="AG1205" s="35"/>
      <c r="AH1205" s="35"/>
      <c r="AI1205" s="35"/>
      <c r="AJ1205" s="35"/>
      <c r="AK1205" s="35"/>
      <c r="AL1205" s="35"/>
    </row>
    <row r="1206">
      <c r="A1206" s="89"/>
      <c r="B1206" s="157" t="s">
        <v>3034</v>
      </c>
      <c r="C1206" s="158" t="s">
        <v>6090</v>
      </c>
      <c r="D1206" s="159"/>
      <c r="E1206" s="56" t="s">
        <v>5311</v>
      </c>
      <c r="F1206" s="57" t="s">
        <v>5312</v>
      </c>
      <c r="G1206" s="57">
        <v>2012.0</v>
      </c>
      <c r="H1206" s="22" t="s">
        <v>53</v>
      </c>
      <c r="I1206" s="58" t="s">
        <v>6097</v>
      </c>
      <c r="J1206" s="22" t="s">
        <v>44</v>
      </c>
      <c r="K1206" s="22" t="s">
        <v>6094</v>
      </c>
      <c r="L1206" s="36">
        <v>780.0</v>
      </c>
      <c r="M1206" s="36"/>
      <c r="N1206" s="36"/>
      <c r="O1206" s="36"/>
      <c r="P1206" s="37" t="s">
        <v>269</v>
      </c>
      <c r="Q1206" s="37"/>
      <c r="R1206" s="36">
        <v>540.0</v>
      </c>
      <c r="S1206" s="36"/>
      <c r="T1206" s="160" t="s">
        <v>6098</v>
      </c>
      <c r="U1206" s="161" t="str">
        <f>HYPERLINK("https://www.ncbi.nlm.nih.gov/pubmed/22911625","PubMed")</f>
        <v>PubMed</v>
      </c>
      <c r="V1206" s="50"/>
      <c r="W1206" s="162"/>
      <c r="X1206" s="156"/>
      <c r="Y1206" s="35"/>
      <c r="Z1206" s="35"/>
      <c r="AA1206" s="35"/>
      <c r="AB1206" s="35"/>
      <c r="AC1206" s="35"/>
      <c r="AD1206" s="35"/>
      <c r="AE1206" s="35"/>
      <c r="AF1206" s="35"/>
      <c r="AG1206" s="35"/>
      <c r="AH1206" s="35"/>
      <c r="AI1206" s="35"/>
      <c r="AJ1206" s="35"/>
      <c r="AK1206" s="35"/>
      <c r="AL1206" s="35"/>
    </row>
    <row r="1207">
      <c r="A1207" s="89"/>
      <c r="B1207" s="157" t="s">
        <v>3034</v>
      </c>
      <c r="C1207" s="158" t="s">
        <v>6090</v>
      </c>
      <c r="D1207" s="159"/>
      <c r="E1207" s="56" t="s">
        <v>5311</v>
      </c>
      <c r="F1207" s="57" t="s">
        <v>5312</v>
      </c>
      <c r="G1207" s="57">
        <v>2009.0</v>
      </c>
      <c r="H1207" s="22" t="s">
        <v>6099</v>
      </c>
      <c r="I1207" s="58" t="s">
        <v>6100</v>
      </c>
      <c r="J1207" s="22" t="s">
        <v>44</v>
      </c>
      <c r="K1207" s="22" t="s">
        <v>6094</v>
      </c>
      <c r="L1207" s="36">
        <v>780.0</v>
      </c>
      <c r="M1207" s="36"/>
      <c r="N1207" s="36" t="s">
        <v>6101</v>
      </c>
      <c r="O1207" s="36"/>
      <c r="P1207" s="37" t="s">
        <v>269</v>
      </c>
      <c r="Q1207" s="37"/>
      <c r="R1207" s="36">
        <v>540.0</v>
      </c>
      <c r="S1207" s="36"/>
      <c r="T1207" s="160" t="s">
        <v>6102</v>
      </c>
      <c r="U1207" s="161" t="str">
        <f>HYPERLINK("https://www.ncbi.nlm.nih.gov/pubmed/19443426","PubMed")</f>
        <v>PubMed</v>
      </c>
      <c r="V1207" s="50"/>
      <c r="W1207" s="162"/>
      <c r="X1207" s="156"/>
      <c r="Y1207" s="35"/>
      <c r="Z1207" s="35"/>
      <c r="AA1207" s="35"/>
      <c r="AB1207" s="35"/>
      <c r="AC1207" s="35"/>
      <c r="AD1207" s="35"/>
      <c r="AE1207" s="35"/>
      <c r="AF1207" s="35"/>
      <c r="AG1207" s="35"/>
      <c r="AH1207" s="35"/>
      <c r="AI1207" s="35"/>
      <c r="AJ1207" s="35"/>
      <c r="AK1207" s="35"/>
      <c r="AL1207" s="35"/>
    </row>
    <row r="1208">
      <c r="A1208" s="40" t="s">
        <v>2</v>
      </c>
      <c r="B1208" s="157" t="s">
        <v>3034</v>
      </c>
      <c r="C1208" s="158" t="s">
        <v>6103</v>
      </c>
      <c r="D1208" s="159"/>
      <c r="E1208" s="56" t="s">
        <v>6104</v>
      </c>
      <c r="F1208" s="57" t="s">
        <v>2161</v>
      </c>
      <c r="G1208" s="57">
        <v>2023.0</v>
      </c>
      <c r="H1208" s="22" t="s">
        <v>53</v>
      </c>
      <c r="I1208" s="58" t="s">
        <v>6105</v>
      </c>
      <c r="J1208" s="22" t="s">
        <v>44</v>
      </c>
      <c r="K1208" s="22" t="s">
        <v>6106</v>
      </c>
      <c r="L1208" s="36">
        <v>850.0</v>
      </c>
      <c r="M1208" s="36" t="s">
        <v>58</v>
      </c>
      <c r="N1208" s="36" t="s">
        <v>1018</v>
      </c>
      <c r="O1208" s="36" t="s">
        <v>58</v>
      </c>
      <c r="P1208" s="37" t="s">
        <v>969</v>
      </c>
      <c r="Q1208" s="36" t="s">
        <v>6107</v>
      </c>
      <c r="R1208" s="36">
        <v>120.0</v>
      </c>
      <c r="S1208" s="36" t="s">
        <v>6108</v>
      </c>
      <c r="T1208" s="160" t="s">
        <v>6109</v>
      </c>
      <c r="U1208" s="60" t="s">
        <v>61</v>
      </c>
      <c r="V1208" s="30" t="s">
        <v>6110</v>
      </c>
      <c r="W1208" s="162"/>
      <c r="X1208" s="156"/>
      <c r="Y1208" s="35"/>
      <c r="Z1208" s="35"/>
      <c r="AA1208" s="35"/>
      <c r="AB1208" s="35"/>
      <c r="AC1208" s="35"/>
      <c r="AD1208" s="35"/>
      <c r="AE1208" s="35"/>
      <c r="AF1208" s="35"/>
      <c r="AG1208" s="35"/>
      <c r="AH1208" s="35"/>
      <c r="AI1208" s="35"/>
      <c r="AJ1208" s="35"/>
      <c r="AK1208" s="35"/>
      <c r="AL1208" s="35"/>
    </row>
    <row r="1209">
      <c r="A1209" s="89"/>
      <c r="B1209" s="75" t="s">
        <v>3034</v>
      </c>
      <c r="C1209" s="77" t="s">
        <v>6111</v>
      </c>
      <c r="D1209" s="159"/>
      <c r="E1209" s="56" t="s">
        <v>2316</v>
      </c>
      <c r="F1209" s="57" t="s">
        <v>2196</v>
      </c>
      <c r="G1209" s="57">
        <v>2022.0</v>
      </c>
      <c r="H1209" s="22" t="s">
        <v>207</v>
      </c>
      <c r="I1209" s="58" t="s">
        <v>6112</v>
      </c>
      <c r="J1209" s="22" t="s">
        <v>1629</v>
      </c>
      <c r="K1209" s="22" t="s">
        <v>6113</v>
      </c>
      <c r="L1209" s="36">
        <v>633.0</v>
      </c>
      <c r="M1209" s="36"/>
      <c r="N1209" s="36"/>
      <c r="O1209" s="36"/>
      <c r="P1209" s="37"/>
      <c r="Q1209" s="37"/>
      <c r="R1209" s="36"/>
      <c r="S1209" s="36"/>
      <c r="T1209" s="160" t="s">
        <v>6114</v>
      </c>
      <c r="U1209" s="60" t="s">
        <v>61</v>
      </c>
      <c r="V1209" s="30"/>
      <c r="W1209" s="162"/>
      <c r="X1209" s="156"/>
      <c r="Y1209" s="35"/>
      <c r="Z1209" s="35"/>
      <c r="AA1209" s="35"/>
      <c r="AB1209" s="35"/>
      <c r="AC1209" s="35"/>
      <c r="AD1209" s="35"/>
      <c r="AE1209" s="35"/>
      <c r="AF1209" s="35"/>
      <c r="AG1209" s="35"/>
      <c r="AH1209" s="35"/>
      <c r="AI1209" s="35"/>
      <c r="AJ1209" s="35"/>
      <c r="AK1209" s="35"/>
      <c r="AL1209" s="35"/>
    </row>
    <row r="1210">
      <c r="A1210" s="89"/>
      <c r="B1210" s="75" t="s">
        <v>3034</v>
      </c>
      <c r="C1210" s="77" t="s">
        <v>6111</v>
      </c>
      <c r="D1210" s="159"/>
      <c r="E1210" s="56" t="s">
        <v>2323</v>
      </c>
      <c r="F1210" s="57" t="s">
        <v>2175</v>
      </c>
      <c r="G1210" s="57">
        <v>2022.0</v>
      </c>
      <c r="H1210" s="22" t="s">
        <v>207</v>
      </c>
      <c r="I1210" s="58" t="s">
        <v>6115</v>
      </c>
      <c r="J1210" s="22" t="s">
        <v>31</v>
      </c>
      <c r="K1210" s="22" t="s">
        <v>294</v>
      </c>
      <c r="L1210" s="36" t="s">
        <v>6116</v>
      </c>
      <c r="M1210" s="36"/>
      <c r="N1210" s="36"/>
      <c r="O1210" s="36"/>
      <c r="P1210" s="37"/>
      <c r="Q1210" s="37"/>
      <c r="R1210" s="36"/>
      <c r="S1210" s="36"/>
      <c r="T1210" s="160" t="s">
        <v>6117</v>
      </c>
      <c r="U1210" s="60" t="s">
        <v>61</v>
      </c>
      <c r="V1210" s="224"/>
      <c r="W1210" s="162"/>
      <c r="X1210" s="156"/>
      <c r="Y1210" s="35"/>
      <c r="Z1210" s="35"/>
      <c r="AA1210" s="35"/>
      <c r="AB1210" s="35"/>
      <c r="AC1210" s="35"/>
      <c r="AD1210" s="35"/>
      <c r="AE1210" s="35"/>
      <c r="AF1210" s="35"/>
      <c r="AG1210" s="35"/>
      <c r="AH1210" s="35"/>
      <c r="AI1210" s="35"/>
      <c r="AJ1210" s="35"/>
      <c r="AK1210" s="35"/>
      <c r="AL1210" s="35"/>
    </row>
    <row r="1211">
      <c r="A1211" s="89"/>
      <c r="B1211" s="75" t="s">
        <v>3034</v>
      </c>
      <c r="C1211" s="77" t="s">
        <v>6111</v>
      </c>
      <c r="D1211" s="159"/>
      <c r="E1211" s="56" t="s">
        <v>1080</v>
      </c>
      <c r="F1211" s="57" t="s">
        <v>6118</v>
      </c>
      <c r="G1211" s="57">
        <v>2021.0</v>
      </c>
      <c r="H1211" s="22" t="s">
        <v>6119</v>
      </c>
      <c r="I1211" s="58" t="s">
        <v>6120</v>
      </c>
      <c r="J1211" s="22" t="s">
        <v>31</v>
      </c>
      <c r="K1211" s="22" t="s">
        <v>1725</v>
      </c>
      <c r="L1211" s="36" t="s">
        <v>6121</v>
      </c>
      <c r="M1211" s="36"/>
      <c r="N1211" s="36"/>
      <c r="O1211" s="36"/>
      <c r="P1211" s="37"/>
      <c r="Q1211" s="37"/>
      <c r="R1211" s="36"/>
      <c r="S1211" s="36"/>
      <c r="T1211" s="160" t="s">
        <v>6122</v>
      </c>
      <c r="U1211" s="64" t="s">
        <v>61</v>
      </c>
      <c r="V1211" s="224"/>
      <c r="W1211" s="162"/>
      <c r="X1211" s="156"/>
      <c r="Y1211" s="35"/>
      <c r="Z1211" s="35"/>
      <c r="AA1211" s="35"/>
      <c r="AB1211" s="35"/>
      <c r="AC1211" s="35"/>
      <c r="AD1211" s="35"/>
      <c r="AE1211" s="35"/>
      <c r="AF1211" s="35"/>
      <c r="AG1211" s="35"/>
      <c r="AH1211" s="35"/>
      <c r="AI1211" s="35"/>
      <c r="AJ1211" s="35"/>
      <c r="AK1211" s="35"/>
      <c r="AL1211" s="35"/>
    </row>
    <row r="1212">
      <c r="A1212" s="89"/>
      <c r="B1212" s="75" t="s">
        <v>3034</v>
      </c>
      <c r="C1212" s="77" t="s">
        <v>6111</v>
      </c>
      <c r="D1212" s="159"/>
      <c r="E1212" s="56" t="s">
        <v>1080</v>
      </c>
      <c r="F1212" s="57" t="s">
        <v>6118</v>
      </c>
      <c r="G1212" s="57">
        <v>2021.0</v>
      </c>
      <c r="H1212" s="22" t="s">
        <v>6123</v>
      </c>
      <c r="I1212" s="58" t="s">
        <v>6124</v>
      </c>
      <c r="J1212" s="22" t="s">
        <v>6020</v>
      </c>
      <c r="K1212" s="22" t="s">
        <v>6125</v>
      </c>
      <c r="L1212" s="36"/>
      <c r="M1212" s="36"/>
      <c r="N1212" s="36"/>
      <c r="O1212" s="36"/>
      <c r="P1212" s="37"/>
      <c r="Q1212" s="37"/>
      <c r="R1212" s="36"/>
      <c r="S1212" s="36"/>
      <c r="T1212" s="160" t="s">
        <v>6126</v>
      </c>
      <c r="U1212" s="64" t="s">
        <v>61</v>
      </c>
      <c r="V1212" s="224"/>
      <c r="W1212" s="162"/>
      <c r="X1212" s="156"/>
      <c r="Y1212" s="35"/>
      <c r="Z1212" s="35"/>
      <c r="AA1212" s="35"/>
      <c r="AB1212" s="35"/>
      <c r="AC1212" s="35"/>
      <c r="AD1212" s="35"/>
      <c r="AE1212" s="35"/>
      <c r="AF1212" s="35"/>
      <c r="AG1212" s="35"/>
      <c r="AH1212" s="35"/>
      <c r="AI1212" s="35"/>
      <c r="AJ1212" s="35"/>
      <c r="AK1212" s="35"/>
      <c r="AL1212" s="35"/>
    </row>
    <row r="1213">
      <c r="A1213" s="89"/>
      <c r="B1213" s="75" t="s">
        <v>3034</v>
      </c>
      <c r="C1213" s="77" t="s">
        <v>6111</v>
      </c>
      <c r="D1213" s="159"/>
      <c r="E1213" s="56" t="s">
        <v>223</v>
      </c>
      <c r="F1213" s="57" t="s">
        <v>1508</v>
      </c>
      <c r="G1213" s="57">
        <v>2021.0</v>
      </c>
      <c r="H1213" s="22" t="s">
        <v>77</v>
      </c>
      <c r="I1213" s="58" t="s">
        <v>6127</v>
      </c>
      <c r="J1213" s="22" t="s">
        <v>44</v>
      </c>
      <c r="K1213" s="22" t="s">
        <v>3782</v>
      </c>
      <c r="L1213" s="36">
        <v>660.0</v>
      </c>
      <c r="M1213" s="36"/>
      <c r="N1213" s="36"/>
      <c r="O1213" s="36"/>
      <c r="P1213" s="37" t="s">
        <v>6128</v>
      </c>
      <c r="Q1213" s="37"/>
      <c r="R1213" s="36">
        <v>600.0</v>
      </c>
      <c r="S1213" s="36">
        <v>5.0</v>
      </c>
      <c r="T1213" s="160" t="s">
        <v>6129</v>
      </c>
      <c r="U1213" s="64" t="s">
        <v>61</v>
      </c>
      <c r="V1213" s="224"/>
      <c r="W1213" s="162"/>
      <c r="X1213" s="156"/>
      <c r="Y1213" s="35"/>
      <c r="Z1213" s="35"/>
      <c r="AA1213" s="35"/>
      <c r="AB1213" s="35"/>
      <c r="AC1213" s="35"/>
      <c r="AD1213" s="35"/>
      <c r="AE1213" s="35"/>
      <c r="AF1213" s="35"/>
      <c r="AG1213" s="35"/>
      <c r="AH1213" s="35"/>
      <c r="AI1213" s="35"/>
      <c r="AJ1213" s="35"/>
      <c r="AK1213" s="35"/>
      <c r="AL1213" s="35"/>
    </row>
    <row r="1214">
      <c r="A1214" s="89"/>
      <c r="B1214" s="75" t="s">
        <v>3034</v>
      </c>
      <c r="C1214" s="77" t="s">
        <v>6111</v>
      </c>
      <c r="D1214" s="159"/>
      <c r="E1214" s="56" t="s">
        <v>6130</v>
      </c>
      <c r="F1214" s="57" t="s">
        <v>3047</v>
      </c>
      <c r="G1214" s="57">
        <v>2018.0</v>
      </c>
      <c r="H1214" s="22" t="s">
        <v>2181</v>
      </c>
      <c r="I1214" s="58" t="s">
        <v>6131</v>
      </c>
      <c r="J1214" s="22" t="s">
        <v>31</v>
      </c>
      <c r="K1214" s="22" t="s">
        <v>6132</v>
      </c>
      <c r="L1214" s="36">
        <v>635.0</v>
      </c>
      <c r="M1214" s="36">
        <v>140.0</v>
      </c>
      <c r="N1214" s="36" t="s">
        <v>6133</v>
      </c>
      <c r="O1214" s="36" t="s">
        <v>6134</v>
      </c>
      <c r="P1214" s="37" t="s">
        <v>6135</v>
      </c>
      <c r="Q1214" s="37" t="s">
        <v>6136</v>
      </c>
      <c r="R1214" s="36" t="s">
        <v>6137</v>
      </c>
      <c r="S1214" s="36">
        <v>1.0</v>
      </c>
      <c r="T1214" s="160" t="s">
        <v>6138</v>
      </c>
      <c r="U1214" s="161" t="str">
        <f>HYPERLINK("https://www.ncbi.nlm.nih.gov/pubmed/30459437","PubMed")</f>
        <v>PubMed</v>
      </c>
      <c r="V1214" s="224" t="s">
        <v>6139</v>
      </c>
      <c r="W1214" s="162"/>
      <c r="X1214" s="156"/>
      <c r="Y1214" s="35"/>
      <c r="Z1214" s="35"/>
      <c r="AA1214" s="35"/>
      <c r="AB1214" s="35"/>
      <c r="AC1214" s="35"/>
      <c r="AD1214" s="35"/>
      <c r="AE1214" s="35"/>
      <c r="AF1214" s="35"/>
      <c r="AG1214" s="35"/>
      <c r="AH1214" s="35"/>
      <c r="AI1214" s="35"/>
      <c r="AJ1214" s="35"/>
      <c r="AK1214" s="35"/>
      <c r="AL1214" s="35"/>
    </row>
    <row r="1215">
      <c r="A1215" s="89"/>
      <c r="B1215" s="75" t="s">
        <v>3034</v>
      </c>
      <c r="C1215" s="77" t="s">
        <v>6111</v>
      </c>
      <c r="D1215" s="159"/>
      <c r="E1215" s="56" t="s">
        <v>6140</v>
      </c>
      <c r="F1215" s="57" t="s">
        <v>1905</v>
      </c>
      <c r="G1215" s="57">
        <v>2017.0</v>
      </c>
      <c r="H1215" s="22" t="s">
        <v>6141</v>
      </c>
      <c r="I1215" s="58" t="s">
        <v>6142</v>
      </c>
      <c r="J1215" s="22" t="s">
        <v>6143</v>
      </c>
      <c r="K1215" s="22" t="s">
        <v>6144</v>
      </c>
      <c r="L1215" s="36">
        <v>660.0</v>
      </c>
      <c r="M1215" s="36"/>
      <c r="N1215" s="36" t="s">
        <v>5323</v>
      </c>
      <c r="O1215" s="36"/>
      <c r="P1215" s="37"/>
      <c r="Q1215" s="37"/>
      <c r="R1215" s="36">
        <v>600.0</v>
      </c>
      <c r="S1215" s="36">
        <v>3.0</v>
      </c>
      <c r="T1215" s="160" t="s">
        <v>6145</v>
      </c>
      <c r="U1215" s="161" t="str">
        <f>HYPERLINK("https://www.ncbi.nlm.nih.gov/pubmed/28739168","PubMed")</f>
        <v>PubMed</v>
      </c>
      <c r="V1215" s="50"/>
      <c r="W1215" s="162"/>
      <c r="X1215" s="156"/>
      <c r="Y1215" s="35"/>
      <c r="Z1215" s="35"/>
      <c r="AA1215" s="35"/>
      <c r="AB1215" s="35"/>
      <c r="AC1215" s="35"/>
      <c r="AD1215" s="35"/>
      <c r="AE1215" s="35"/>
      <c r="AF1215" s="35"/>
      <c r="AG1215" s="35"/>
      <c r="AH1215" s="35"/>
      <c r="AI1215" s="35"/>
      <c r="AJ1215" s="35"/>
      <c r="AK1215" s="35"/>
      <c r="AL1215" s="35"/>
    </row>
    <row r="1216">
      <c r="A1216" s="89"/>
      <c r="B1216" s="157" t="s">
        <v>3034</v>
      </c>
      <c r="C1216" s="158" t="s">
        <v>6111</v>
      </c>
      <c r="D1216" s="159"/>
      <c r="E1216" s="56" t="s">
        <v>6146</v>
      </c>
      <c r="F1216" s="57" t="s">
        <v>1173</v>
      </c>
      <c r="G1216" s="57">
        <v>2013.0</v>
      </c>
      <c r="H1216" s="22" t="s">
        <v>4975</v>
      </c>
      <c r="I1216" s="58" t="s">
        <v>6147</v>
      </c>
      <c r="J1216" s="22" t="s">
        <v>44</v>
      </c>
      <c r="K1216" s="22" t="s">
        <v>157</v>
      </c>
      <c r="L1216" s="36">
        <v>670.0</v>
      </c>
      <c r="M1216" s="36">
        <v>50.0</v>
      </c>
      <c r="N1216" s="36"/>
      <c r="O1216" s="36"/>
      <c r="P1216" s="37" t="s">
        <v>480</v>
      </c>
      <c r="Q1216" s="37"/>
      <c r="R1216" s="36">
        <v>600.0</v>
      </c>
      <c r="S1216" s="36">
        <v>14.0</v>
      </c>
      <c r="T1216" s="160" t="s">
        <v>6148</v>
      </c>
      <c r="U1216" s="161" t="str">
        <f>HYPERLINK("https://www.ncbi.nlm.nih.gov/pubmed/23231468","PubMed")</f>
        <v>PubMed</v>
      </c>
      <c r="V1216" s="50"/>
      <c r="W1216" s="162"/>
      <c r="X1216" s="156"/>
      <c r="Y1216" s="35"/>
      <c r="Z1216" s="35"/>
      <c r="AA1216" s="35"/>
      <c r="AB1216" s="35"/>
      <c r="AC1216" s="35"/>
      <c r="AD1216" s="35"/>
      <c r="AE1216" s="35"/>
      <c r="AF1216" s="35"/>
      <c r="AG1216" s="35"/>
      <c r="AH1216" s="35"/>
      <c r="AI1216" s="35"/>
      <c r="AJ1216" s="35"/>
      <c r="AK1216" s="35"/>
      <c r="AL1216" s="35"/>
    </row>
    <row r="1217">
      <c r="A1217" s="111"/>
      <c r="B1217" s="157" t="s">
        <v>3034</v>
      </c>
      <c r="C1217" s="158" t="s">
        <v>6111</v>
      </c>
      <c r="D1217" s="112"/>
      <c r="E1217" s="115" t="s">
        <v>5374</v>
      </c>
      <c r="F1217" s="115" t="s">
        <v>1603</v>
      </c>
      <c r="G1217" s="115">
        <v>2014.0</v>
      </c>
      <c r="H1217" s="115" t="s">
        <v>53</v>
      </c>
      <c r="I1217" s="120" t="s">
        <v>6149</v>
      </c>
      <c r="J1217" s="113" t="s">
        <v>55</v>
      </c>
      <c r="K1217" s="225" t="s">
        <v>6000</v>
      </c>
      <c r="L1217" s="226" t="s">
        <v>6150</v>
      </c>
      <c r="M1217" s="226"/>
      <c r="N1217" s="226" t="s">
        <v>6151</v>
      </c>
      <c r="O1217" s="226"/>
      <c r="P1217" s="119"/>
      <c r="Q1217" s="227"/>
      <c r="R1217" s="226"/>
      <c r="S1217" s="226"/>
      <c r="T1217" s="122" t="s">
        <v>6152</v>
      </c>
      <c r="U1217" s="123" t="str">
        <f>HYPERLINK("https://www.ncbi.nlm.nih.gov/pubmed/25363448","PubMed")</f>
        <v>PubMed</v>
      </c>
      <c r="V1217" s="228"/>
      <c r="W1217" s="229"/>
      <c r="X1217" s="228"/>
      <c r="Y1217" s="228"/>
      <c r="Z1217" s="228"/>
      <c r="AA1217" s="228"/>
      <c r="AB1217" s="228"/>
      <c r="AC1217" s="228"/>
      <c r="AD1217" s="228"/>
      <c r="AE1217" s="228"/>
      <c r="AF1217" s="228"/>
      <c r="AG1217" s="228"/>
      <c r="AH1217" s="228"/>
      <c r="AI1217" s="228"/>
      <c r="AJ1217" s="228"/>
      <c r="AK1217" s="228"/>
      <c r="AL1217" s="228"/>
    </row>
    <row r="1218">
      <c r="A1218" s="89"/>
      <c r="B1218" s="157" t="s">
        <v>3034</v>
      </c>
      <c r="C1218" s="158" t="s">
        <v>6111</v>
      </c>
      <c r="D1218" s="159"/>
      <c r="E1218" s="56" t="s">
        <v>6153</v>
      </c>
      <c r="F1218" s="57" t="s">
        <v>2956</v>
      </c>
      <c r="G1218" s="57">
        <v>2013.0</v>
      </c>
      <c r="H1218" s="22" t="s">
        <v>6154</v>
      </c>
      <c r="I1218" s="58" t="s">
        <v>6155</v>
      </c>
      <c r="J1218" s="22" t="s">
        <v>6156</v>
      </c>
      <c r="K1218" s="22" t="s">
        <v>6157</v>
      </c>
      <c r="L1218" s="36">
        <v>670.0</v>
      </c>
      <c r="M1218" s="36"/>
      <c r="N1218" s="36"/>
      <c r="O1218" s="36"/>
      <c r="P1218" s="37"/>
      <c r="Q1218" s="36"/>
      <c r="R1218" s="36"/>
      <c r="S1218" s="36"/>
      <c r="T1218" s="160" t="s">
        <v>6158</v>
      </c>
      <c r="U1218" s="161" t="str">
        <f>HYPERLINK("https://www.ncbi.nlm.nih.gov/pubmed/23702287","PubMed")</f>
        <v>PubMed</v>
      </c>
      <c r="V1218" s="50"/>
      <c r="W1218" s="162"/>
      <c r="X1218" s="156"/>
      <c r="Y1218" s="35"/>
      <c r="Z1218" s="35"/>
      <c r="AA1218" s="35"/>
      <c r="AB1218" s="35"/>
      <c r="AC1218" s="35"/>
      <c r="AD1218" s="35"/>
      <c r="AE1218" s="35"/>
      <c r="AF1218" s="35"/>
      <c r="AG1218" s="35"/>
      <c r="AH1218" s="35"/>
      <c r="AI1218" s="35"/>
      <c r="AJ1218" s="35"/>
      <c r="AK1218" s="35"/>
      <c r="AL1218" s="35"/>
    </row>
    <row r="1219">
      <c r="A1219" s="89"/>
      <c r="B1219" s="157" t="s">
        <v>3034</v>
      </c>
      <c r="C1219" s="158" t="s">
        <v>6111</v>
      </c>
      <c r="D1219" s="159"/>
      <c r="E1219" s="56" t="s">
        <v>5532</v>
      </c>
      <c r="F1219" s="57" t="s">
        <v>183</v>
      </c>
      <c r="G1219" s="57">
        <v>2013.0</v>
      </c>
      <c r="H1219" s="22" t="s">
        <v>91</v>
      </c>
      <c r="I1219" s="58" t="s">
        <v>6159</v>
      </c>
      <c r="J1219" s="22" t="s">
        <v>55</v>
      </c>
      <c r="K1219" s="22" t="s">
        <v>6160</v>
      </c>
      <c r="L1219" s="36" t="s">
        <v>6161</v>
      </c>
      <c r="M1219" s="36" t="s">
        <v>6162</v>
      </c>
      <c r="N1219" s="36" t="s">
        <v>6163</v>
      </c>
      <c r="O1219" s="36" t="s">
        <v>6164</v>
      </c>
      <c r="P1219" s="37" t="s">
        <v>6165</v>
      </c>
      <c r="Q1219" s="37" t="s">
        <v>6166</v>
      </c>
      <c r="R1219" s="36" t="s">
        <v>6167</v>
      </c>
      <c r="S1219" s="36" t="s">
        <v>6168</v>
      </c>
      <c r="T1219" s="160" t="s">
        <v>6169</v>
      </c>
      <c r="U1219" s="161" t="str">
        <f>HYPERLINK("https://www.ncbi.nlm.nih.gov/pubmed/22923269","PubMed")</f>
        <v>PubMed</v>
      </c>
      <c r="V1219" s="50"/>
      <c r="W1219" s="162"/>
      <c r="X1219" s="156"/>
      <c r="Y1219" s="35"/>
      <c r="Z1219" s="35"/>
      <c r="AA1219" s="35"/>
      <c r="AB1219" s="35"/>
      <c r="AC1219" s="35"/>
      <c r="AD1219" s="35"/>
      <c r="AE1219" s="35"/>
      <c r="AF1219" s="35"/>
      <c r="AG1219" s="35"/>
      <c r="AH1219" s="35"/>
      <c r="AI1219" s="35"/>
      <c r="AJ1219" s="35"/>
      <c r="AK1219" s="35"/>
      <c r="AL1219" s="35"/>
    </row>
    <row r="1220">
      <c r="A1220" s="89"/>
      <c r="B1220" s="157" t="s">
        <v>3034</v>
      </c>
      <c r="C1220" s="158" t="s">
        <v>6111</v>
      </c>
      <c r="D1220" s="159"/>
      <c r="E1220" s="56" t="s">
        <v>1904</v>
      </c>
      <c r="F1220" s="57" t="s">
        <v>1622</v>
      </c>
      <c r="G1220" s="57">
        <v>2011.0</v>
      </c>
      <c r="H1220" s="22" t="s">
        <v>53</v>
      </c>
      <c r="I1220" s="58" t="s">
        <v>6170</v>
      </c>
      <c r="J1220" s="22" t="s">
        <v>31</v>
      </c>
      <c r="K1220" s="22" t="s">
        <v>6171</v>
      </c>
      <c r="L1220" s="36">
        <v>635.0</v>
      </c>
      <c r="M1220" s="36"/>
      <c r="N1220" s="36" t="s">
        <v>1897</v>
      </c>
      <c r="O1220" s="36"/>
      <c r="P1220" s="37"/>
      <c r="Q1220" s="37"/>
      <c r="R1220" s="36">
        <v>3600.0</v>
      </c>
      <c r="S1220" s="36"/>
      <c r="T1220" s="160" t="s">
        <v>6172</v>
      </c>
      <c r="U1220" s="161" t="str">
        <f>HYPERLINK("https://www.ncbi.nlm.nih.gov/pubmed/21500230","PubMed")</f>
        <v>PubMed</v>
      </c>
      <c r="V1220" s="50"/>
      <c r="W1220" s="162"/>
      <c r="X1220" s="156"/>
      <c r="Y1220" s="35"/>
      <c r="Z1220" s="35"/>
      <c r="AA1220" s="35"/>
      <c r="AB1220" s="35"/>
      <c r="AC1220" s="35"/>
      <c r="AD1220" s="35"/>
      <c r="AE1220" s="35"/>
      <c r="AF1220" s="35"/>
      <c r="AG1220" s="35"/>
      <c r="AH1220" s="35"/>
      <c r="AI1220" s="35"/>
      <c r="AJ1220" s="35"/>
      <c r="AK1220" s="35"/>
      <c r="AL1220" s="35"/>
    </row>
    <row r="1221">
      <c r="A1221" s="89"/>
      <c r="B1221" s="157" t="s">
        <v>3034</v>
      </c>
      <c r="C1221" s="158" t="s">
        <v>6111</v>
      </c>
      <c r="D1221" s="159"/>
      <c r="E1221" s="56" t="s">
        <v>6173</v>
      </c>
      <c r="F1221" s="57" t="s">
        <v>1310</v>
      </c>
      <c r="G1221" s="57">
        <v>2002.0</v>
      </c>
      <c r="H1221" s="22" t="s">
        <v>2516</v>
      </c>
      <c r="I1221" s="58" t="s">
        <v>6174</v>
      </c>
      <c r="J1221" s="22" t="s">
        <v>55</v>
      </c>
      <c r="K1221" s="22" t="s">
        <v>6175</v>
      </c>
      <c r="L1221" s="36">
        <v>804.0</v>
      </c>
      <c r="M1221" s="36">
        <v>38.0</v>
      </c>
      <c r="N1221" s="36"/>
      <c r="O1221" s="36"/>
      <c r="P1221" s="37"/>
      <c r="Q1221" s="37"/>
      <c r="R1221" s="36"/>
      <c r="S1221" s="36"/>
      <c r="T1221" s="160" t="s">
        <v>6176</v>
      </c>
      <c r="U1221" s="161" t="str">
        <f>HYPERLINK("https://www.ncbi.nlm.nih.gov/pubmed/12470506","PubMed")</f>
        <v>PubMed</v>
      </c>
      <c r="V1221" s="50"/>
      <c r="W1221" s="162"/>
      <c r="X1221" s="156"/>
      <c r="Y1221" s="35"/>
      <c r="Z1221" s="35"/>
      <c r="AA1221" s="35"/>
      <c r="AB1221" s="35"/>
      <c r="AC1221" s="35"/>
      <c r="AD1221" s="35"/>
      <c r="AE1221" s="35"/>
      <c r="AF1221" s="35"/>
      <c r="AG1221" s="35"/>
      <c r="AH1221" s="35"/>
      <c r="AI1221" s="35"/>
      <c r="AJ1221" s="35"/>
      <c r="AK1221" s="35"/>
      <c r="AL1221" s="35"/>
    </row>
    <row r="1222">
      <c r="A1222" s="89"/>
      <c r="B1222" s="75" t="s">
        <v>3034</v>
      </c>
      <c r="C1222" s="77" t="s">
        <v>6177</v>
      </c>
      <c r="D1222" s="159"/>
      <c r="E1222" s="56" t="s">
        <v>6178</v>
      </c>
      <c r="F1222" s="57" t="s">
        <v>5404</v>
      </c>
      <c r="G1222" s="57">
        <v>2017.0</v>
      </c>
      <c r="H1222" s="22" t="s">
        <v>6179</v>
      </c>
      <c r="I1222" s="58" t="s">
        <v>6180</v>
      </c>
      <c r="J1222" s="22" t="s">
        <v>6181</v>
      </c>
      <c r="L1222" s="36">
        <v>808.0</v>
      </c>
      <c r="M1222" s="36"/>
      <c r="N1222" s="36"/>
      <c r="O1222" s="36"/>
      <c r="P1222" s="37" t="s">
        <v>2395</v>
      </c>
      <c r="Q1222" s="36"/>
      <c r="R1222" s="36"/>
      <c r="S1222" s="36" t="s">
        <v>6182</v>
      </c>
      <c r="T1222" s="160" t="s">
        <v>6183</v>
      </c>
      <c r="U1222" s="161" t="str">
        <f>HYPERLINK("https://www.ncbi.nlm.nih.gov/pubmed/28691417","PubMed")</f>
        <v>PubMed</v>
      </c>
      <c r="V1222" s="50"/>
      <c r="W1222" s="162"/>
      <c r="X1222" s="156"/>
      <c r="Y1222" s="35"/>
      <c r="Z1222" s="35"/>
      <c r="AA1222" s="35"/>
      <c r="AB1222" s="35"/>
      <c r="AC1222" s="35"/>
      <c r="AD1222" s="35"/>
      <c r="AE1222" s="35"/>
      <c r="AF1222" s="35"/>
      <c r="AG1222" s="35"/>
      <c r="AH1222" s="35"/>
      <c r="AI1222" s="35"/>
      <c r="AJ1222" s="35"/>
      <c r="AK1222" s="35"/>
      <c r="AL1222" s="35"/>
    </row>
    <row r="1223">
      <c r="A1223" s="89"/>
      <c r="B1223" s="157" t="s">
        <v>3034</v>
      </c>
      <c r="C1223" s="158" t="s">
        <v>6177</v>
      </c>
      <c r="D1223" s="159"/>
      <c r="E1223" s="56" t="s">
        <v>6178</v>
      </c>
      <c r="F1223" s="57" t="s">
        <v>5404</v>
      </c>
      <c r="G1223" s="57">
        <v>2014.0</v>
      </c>
      <c r="H1223" s="22" t="s">
        <v>658</v>
      </c>
      <c r="I1223" s="58" t="s">
        <v>6184</v>
      </c>
      <c r="J1223" s="22" t="s">
        <v>6185</v>
      </c>
      <c r="K1223" s="22"/>
      <c r="L1223" s="36">
        <v>808.0</v>
      </c>
      <c r="M1223" s="36"/>
      <c r="N1223" s="36" t="s">
        <v>892</v>
      </c>
      <c r="O1223" s="36"/>
      <c r="P1223" s="37" t="s">
        <v>2395</v>
      </c>
      <c r="Q1223" s="36" t="s">
        <v>6186</v>
      </c>
      <c r="R1223" s="36"/>
      <c r="S1223" s="36" t="s">
        <v>6182</v>
      </c>
      <c r="T1223" s="160" t="s">
        <v>6187</v>
      </c>
      <c r="U1223" s="161" t="str">
        <f>HYPERLINK("https://www.ncbi.nlm.nih.gov/pubmed/25302462","PubMed")</f>
        <v>PubMed</v>
      </c>
      <c r="V1223" s="50"/>
      <c r="W1223" s="162"/>
      <c r="X1223" s="156"/>
      <c r="Y1223" s="35"/>
      <c r="Z1223" s="35"/>
      <c r="AA1223" s="35"/>
      <c r="AB1223" s="35"/>
      <c r="AC1223" s="35"/>
      <c r="AD1223" s="35"/>
      <c r="AE1223" s="35"/>
      <c r="AF1223" s="35"/>
      <c r="AG1223" s="35"/>
      <c r="AH1223" s="35"/>
      <c r="AI1223" s="35"/>
      <c r="AJ1223" s="35"/>
      <c r="AK1223" s="35"/>
      <c r="AL1223" s="35"/>
    </row>
    <row r="1224">
      <c r="A1224" s="89"/>
      <c r="B1224" s="157" t="s">
        <v>3034</v>
      </c>
      <c r="C1224" s="158" t="s">
        <v>6177</v>
      </c>
      <c r="D1224" s="159"/>
      <c r="E1224" s="56" t="s">
        <v>6178</v>
      </c>
      <c r="F1224" s="57" t="s">
        <v>5404</v>
      </c>
      <c r="G1224" s="57">
        <v>2013.0</v>
      </c>
      <c r="H1224" s="22" t="s">
        <v>91</v>
      </c>
      <c r="I1224" s="58" t="s">
        <v>6188</v>
      </c>
      <c r="J1224" s="22" t="s">
        <v>6189</v>
      </c>
      <c r="K1224" s="22"/>
      <c r="L1224" s="36">
        <v>808.0</v>
      </c>
      <c r="M1224" s="36"/>
      <c r="N1224" s="36"/>
      <c r="O1224" s="36"/>
      <c r="P1224" s="37"/>
      <c r="Q1224" s="36"/>
      <c r="R1224" s="36"/>
      <c r="S1224" s="36" t="s">
        <v>6182</v>
      </c>
      <c r="T1224" s="160" t="s">
        <v>6190</v>
      </c>
      <c r="U1224" s="161" t="str">
        <f>HYPERLINK("https://www.ncbi.nlm.nih.gov/pubmed/22733406","PubMed")</f>
        <v>PubMed</v>
      </c>
      <c r="V1224" s="50"/>
      <c r="W1224" s="162"/>
      <c r="X1224" s="156"/>
      <c r="Y1224" s="35"/>
      <c r="Z1224" s="35"/>
      <c r="AA1224" s="35"/>
      <c r="AB1224" s="35"/>
      <c r="AC1224" s="35"/>
      <c r="AD1224" s="35"/>
      <c r="AE1224" s="35"/>
      <c r="AF1224" s="35"/>
      <c r="AG1224" s="35"/>
      <c r="AH1224" s="35"/>
      <c r="AI1224" s="35"/>
      <c r="AJ1224" s="35"/>
      <c r="AK1224" s="35"/>
      <c r="AL1224" s="35"/>
    </row>
    <row r="1225">
      <c r="A1225" s="89"/>
      <c r="B1225" s="157" t="s">
        <v>3034</v>
      </c>
      <c r="C1225" s="158" t="s">
        <v>6177</v>
      </c>
      <c r="D1225" s="159"/>
      <c r="E1225" s="56" t="s">
        <v>6178</v>
      </c>
      <c r="F1225" s="57" t="s">
        <v>5404</v>
      </c>
      <c r="G1225" s="57">
        <v>2010.0</v>
      </c>
      <c r="H1225" s="22" t="s">
        <v>6191</v>
      </c>
      <c r="I1225" s="58" t="s">
        <v>6192</v>
      </c>
      <c r="J1225" s="22" t="s">
        <v>6193</v>
      </c>
      <c r="K1225" s="22" t="s">
        <v>6194</v>
      </c>
      <c r="L1225" s="36">
        <v>808.0</v>
      </c>
      <c r="M1225" s="36"/>
      <c r="N1225" s="36"/>
      <c r="O1225" s="36"/>
      <c r="P1225" s="37"/>
      <c r="Q1225" s="36"/>
      <c r="R1225" s="36"/>
      <c r="S1225" s="36"/>
      <c r="T1225" s="160" t="s">
        <v>6195</v>
      </c>
      <c r="U1225" s="161" t="str">
        <f>HYPERLINK("https://www.ncbi.nlm.nih.gov/pubmed/20920649","PubMed")</f>
        <v>PubMed</v>
      </c>
      <c r="V1225" s="50"/>
      <c r="W1225" s="162"/>
      <c r="X1225" s="156"/>
      <c r="Y1225" s="35"/>
      <c r="Z1225" s="35"/>
      <c r="AA1225" s="35"/>
      <c r="AB1225" s="35"/>
      <c r="AC1225" s="35"/>
      <c r="AD1225" s="35"/>
      <c r="AE1225" s="35"/>
      <c r="AF1225" s="35"/>
      <c r="AG1225" s="35"/>
      <c r="AH1225" s="35"/>
      <c r="AI1225" s="35"/>
      <c r="AJ1225" s="35"/>
      <c r="AK1225" s="35"/>
      <c r="AL1225" s="35"/>
    </row>
    <row r="1226">
      <c r="A1226" s="89"/>
      <c r="B1226" s="157" t="s">
        <v>3034</v>
      </c>
      <c r="C1226" s="158" t="s">
        <v>6177</v>
      </c>
      <c r="D1226" s="159"/>
      <c r="E1226" s="56" t="s">
        <v>6178</v>
      </c>
      <c r="F1226" s="57" t="s">
        <v>5404</v>
      </c>
      <c r="G1226" s="57">
        <v>2005.0</v>
      </c>
      <c r="H1226" s="22" t="s">
        <v>658</v>
      </c>
      <c r="I1226" s="58" t="s">
        <v>6196</v>
      </c>
      <c r="J1226" s="22" t="s">
        <v>6197</v>
      </c>
      <c r="K1226" s="22"/>
      <c r="L1226" s="36">
        <v>808.0</v>
      </c>
      <c r="M1226" s="36">
        <v>100.0</v>
      </c>
      <c r="N1226" s="36"/>
      <c r="O1226" s="36"/>
      <c r="P1226" s="37" t="s">
        <v>2395</v>
      </c>
      <c r="Q1226" s="36"/>
      <c r="R1226" s="36"/>
      <c r="S1226" s="36"/>
      <c r="T1226" s="160" t="s">
        <v>6198</v>
      </c>
      <c r="U1226" s="161" t="str">
        <f>HYPERLINK("https://www.ncbi.nlm.nih.gov/pubmed/16356143","PubMed")</f>
        <v>PubMed</v>
      </c>
      <c r="V1226" s="50"/>
      <c r="W1226" s="162"/>
      <c r="X1226" s="156"/>
      <c r="Y1226" s="35"/>
      <c r="Z1226" s="35"/>
      <c r="AA1226" s="35"/>
      <c r="AB1226" s="35"/>
      <c r="AC1226" s="35"/>
      <c r="AD1226" s="35"/>
      <c r="AE1226" s="35"/>
      <c r="AF1226" s="35"/>
      <c r="AG1226" s="35"/>
      <c r="AH1226" s="35"/>
      <c r="AI1226" s="35"/>
      <c r="AJ1226" s="35"/>
      <c r="AK1226" s="35"/>
      <c r="AL1226" s="35"/>
    </row>
    <row r="1227">
      <c r="A1227" s="89"/>
      <c r="B1227" s="157" t="s">
        <v>3034</v>
      </c>
      <c r="C1227" s="158" t="s">
        <v>6177</v>
      </c>
      <c r="D1227" s="159"/>
      <c r="E1227" s="56" t="s">
        <v>6178</v>
      </c>
      <c r="F1227" s="57" t="s">
        <v>5404</v>
      </c>
      <c r="G1227" s="57">
        <v>2003.0</v>
      </c>
      <c r="H1227" s="22" t="s">
        <v>1682</v>
      </c>
      <c r="I1227" s="58" t="s">
        <v>6199</v>
      </c>
      <c r="J1227" s="22" t="s">
        <v>6200</v>
      </c>
      <c r="K1227" s="22"/>
      <c r="L1227" s="36">
        <v>808.0</v>
      </c>
      <c r="M1227" s="36"/>
      <c r="N1227" s="36"/>
      <c r="O1227" s="36"/>
      <c r="P1227" s="37"/>
      <c r="Q1227" s="36"/>
      <c r="R1227" s="36"/>
      <c r="S1227" s="36"/>
      <c r="T1227" s="160" t="s">
        <v>6201</v>
      </c>
      <c r="U1227" s="64" t="s">
        <v>61</v>
      </c>
      <c r="V1227" s="50"/>
      <c r="W1227" s="162"/>
      <c r="X1227" s="156"/>
      <c r="Y1227" s="35"/>
      <c r="Z1227" s="35"/>
      <c r="AA1227" s="35"/>
      <c r="AB1227" s="35"/>
      <c r="AC1227" s="35"/>
      <c r="AD1227" s="35"/>
      <c r="AE1227" s="35"/>
      <c r="AF1227" s="35"/>
      <c r="AG1227" s="35"/>
      <c r="AH1227" s="35"/>
      <c r="AI1227" s="35"/>
      <c r="AJ1227" s="35"/>
      <c r="AK1227" s="35"/>
      <c r="AL1227" s="35"/>
    </row>
    <row r="1228">
      <c r="A1228" s="89"/>
      <c r="B1228" s="157" t="s">
        <v>3034</v>
      </c>
      <c r="C1228" s="158" t="s">
        <v>6177</v>
      </c>
      <c r="D1228" s="159"/>
      <c r="E1228" s="56" t="s">
        <v>6202</v>
      </c>
      <c r="F1228" s="57" t="s">
        <v>2052</v>
      </c>
      <c r="G1228" s="57">
        <v>2001.0</v>
      </c>
      <c r="H1228" s="22" t="s">
        <v>3034</v>
      </c>
      <c r="I1228" s="58" t="s">
        <v>6203</v>
      </c>
      <c r="J1228" s="22" t="s">
        <v>253</v>
      </c>
      <c r="K1228" s="22"/>
      <c r="L1228" s="36">
        <v>1064.0</v>
      </c>
      <c r="M1228" s="36"/>
      <c r="N1228" s="36"/>
      <c r="O1228" s="36" t="s">
        <v>6204</v>
      </c>
      <c r="P1228" s="37"/>
      <c r="Q1228" s="36"/>
      <c r="R1228" s="36"/>
      <c r="S1228" s="36"/>
      <c r="T1228" s="160" t="s">
        <v>6205</v>
      </c>
      <c r="U1228" s="161" t="str">
        <f>HYPERLINK("https://www.ncbi.nlm.nih.gov/pubmed/11591625","PubMed")</f>
        <v>PubMed</v>
      </c>
      <c r="V1228" s="50"/>
      <c r="W1228" s="162"/>
      <c r="X1228" s="156"/>
      <c r="Y1228" s="35"/>
      <c r="Z1228" s="35"/>
      <c r="AA1228" s="35"/>
      <c r="AB1228" s="35"/>
      <c r="AC1228" s="35"/>
      <c r="AD1228" s="35"/>
      <c r="AE1228" s="35"/>
      <c r="AF1228" s="35"/>
      <c r="AG1228" s="35"/>
      <c r="AH1228" s="35"/>
      <c r="AI1228" s="35"/>
      <c r="AJ1228" s="35"/>
      <c r="AK1228" s="35"/>
      <c r="AL1228" s="35"/>
    </row>
    <row r="1229">
      <c r="A1229" s="18" t="s">
        <v>181</v>
      </c>
      <c r="B1229" s="157" t="s">
        <v>3034</v>
      </c>
      <c r="C1229" s="158" t="s">
        <v>6177</v>
      </c>
      <c r="D1229" s="159"/>
      <c r="E1229" s="56" t="s">
        <v>6206</v>
      </c>
      <c r="F1229" s="57" t="s">
        <v>6207</v>
      </c>
      <c r="G1229" s="57">
        <v>2001.0</v>
      </c>
      <c r="H1229" s="22" t="s">
        <v>53</v>
      </c>
      <c r="I1229" s="58" t="s">
        <v>6208</v>
      </c>
      <c r="J1229" s="22" t="s">
        <v>6209</v>
      </c>
      <c r="K1229" s="22"/>
      <c r="L1229" s="36">
        <v>650.0</v>
      </c>
      <c r="M1229" s="36">
        <v>10.0</v>
      </c>
      <c r="N1229" s="36"/>
      <c r="O1229" s="129">
        <v>43313.0</v>
      </c>
      <c r="P1229" s="37" t="s">
        <v>5068</v>
      </c>
      <c r="Q1229" s="36" t="s">
        <v>6210</v>
      </c>
      <c r="R1229" s="36">
        <v>180.0</v>
      </c>
      <c r="S1229" s="36">
        <v>1.0</v>
      </c>
      <c r="T1229" s="160" t="s">
        <v>6211</v>
      </c>
      <c r="U1229" s="161" t="str">
        <f>HYPERLINK("https://www.ncbi.nlm.nih.gov/pubmed/11295754","PubMed")</f>
        <v>PubMed</v>
      </c>
      <c r="V1229" s="50"/>
      <c r="W1229" s="162"/>
      <c r="X1229" s="156"/>
      <c r="Y1229" s="35"/>
      <c r="Z1229" s="35"/>
      <c r="AA1229" s="35"/>
      <c r="AB1229" s="35"/>
      <c r="AC1229" s="35"/>
      <c r="AD1229" s="35"/>
      <c r="AE1229" s="35"/>
      <c r="AF1229" s="35"/>
      <c r="AG1229" s="35"/>
      <c r="AH1229" s="35"/>
      <c r="AI1229" s="35"/>
      <c r="AJ1229" s="35"/>
      <c r="AK1229" s="35"/>
      <c r="AL1229" s="35"/>
    </row>
    <row r="1230">
      <c r="A1230" s="89"/>
      <c r="B1230" s="157" t="s">
        <v>3034</v>
      </c>
      <c r="C1230" s="158" t="s">
        <v>6177</v>
      </c>
      <c r="D1230" s="159"/>
      <c r="E1230" s="56" t="s">
        <v>6206</v>
      </c>
      <c r="F1230" s="57" t="s">
        <v>6207</v>
      </c>
      <c r="G1230" s="57">
        <v>2001.0</v>
      </c>
      <c r="H1230" s="22" t="s">
        <v>1289</v>
      </c>
      <c r="I1230" s="58" t="s">
        <v>6212</v>
      </c>
      <c r="J1230" s="22" t="s">
        <v>3694</v>
      </c>
      <c r="K1230" s="22" t="s">
        <v>1240</v>
      </c>
      <c r="L1230" s="36">
        <v>650.0</v>
      </c>
      <c r="M1230" s="36" t="s">
        <v>6213</v>
      </c>
      <c r="N1230" s="36"/>
      <c r="O1230" s="36"/>
      <c r="P1230" s="37"/>
      <c r="Q1230" s="36"/>
      <c r="R1230" s="36" t="s">
        <v>6214</v>
      </c>
      <c r="S1230" s="36" t="s">
        <v>6215</v>
      </c>
      <c r="T1230" s="160" t="s">
        <v>6216</v>
      </c>
      <c r="U1230" s="161" t="str">
        <f>HYPERLINK("https://www.ncbi.nlm.nih.gov/pubmed/11710621","PubMed")</f>
        <v>PubMed</v>
      </c>
      <c r="V1230" s="50"/>
      <c r="W1230" s="162"/>
      <c r="X1230" s="156"/>
      <c r="Y1230" s="35"/>
      <c r="Z1230" s="35"/>
      <c r="AA1230" s="35"/>
      <c r="AB1230" s="35"/>
      <c r="AC1230" s="35"/>
      <c r="AD1230" s="35"/>
      <c r="AE1230" s="35"/>
      <c r="AF1230" s="35"/>
      <c r="AG1230" s="35"/>
      <c r="AH1230" s="35"/>
      <c r="AI1230" s="35"/>
      <c r="AJ1230" s="35"/>
      <c r="AK1230" s="35"/>
      <c r="AL1230" s="35"/>
    </row>
    <row r="1231">
      <c r="A1231" s="39" t="s">
        <v>2</v>
      </c>
      <c r="B1231" s="157" t="s">
        <v>3034</v>
      </c>
      <c r="C1231" s="158" t="s">
        <v>6177</v>
      </c>
      <c r="D1231" s="159"/>
      <c r="E1231" s="56" t="s">
        <v>6206</v>
      </c>
      <c r="F1231" s="57" t="s">
        <v>6207</v>
      </c>
      <c r="G1231" s="57">
        <v>2000.0</v>
      </c>
      <c r="H1231" s="22" t="s">
        <v>6191</v>
      </c>
      <c r="I1231" s="58" t="s">
        <v>6217</v>
      </c>
      <c r="J1231" s="22" t="s">
        <v>6218</v>
      </c>
      <c r="K1231" s="22"/>
      <c r="L1231" s="36">
        <v>650.0</v>
      </c>
      <c r="M1231" s="36">
        <v>10.0</v>
      </c>
      <c r="N1231" s="36"/>
      <c r="O1231" s="129">
        <v>43313.0</v>
      </c>
      <c r="P1231" s="37" t="s">
        <v>5068</v>
      </c>
      <c r="Q1231" s="36" t="s">
        <v>6210</v>
      </c>
      <c r="R1231" s="36">
        <v>180.0</v>
      </c>
      <c r="S1231" s="36">
        <v>1.0</v>
      </c>
      <c r="T1231" s="160" t="s">
        <v>6219</v>
      </c>
      <c r="U1231" s="161" t="str">
        <f>HYPERLINK("https://www.ncbi.nlm.nih.gov/pubmed/11053701","PubMed")</f>
        <v>PubMed</v>
      </c>
      <c r="V1231" s="50"/>
      <c r="W1231" s="162"/>
      <c r="X1231" s="156"/>
      <c r="Y1231" s="35"/>
      <c r="Z1231" s="35"/>
      <c r="AA1231" s="35"/>
      <c r="AB1231" s="35"/>
      <c r="AC1231" s="35"/>
      <c r="AD1231" s="35"/>
      <c r="AE1231" s="35"/>
      <c r="AF1231" s="35"/>
      <c r="AG1231" s="35"/>
      <c r="AH1231" s="35"/>
      <c r="AI1231" s="35"/>
      <c r="AJ1231" s="35"/>
      <c r="AK1231" s="35"/>
      <c r="AL1231" s="35"/>
    </row>
    <row r="1232">
      <c r="A1232" s="89"/>
      <c r="B1232" s="157" t="s">
        <v>3034</v>
      </c>
      <c r="C1232" s="158" t="s">
        <v>6177</v>
      </c>
      <c r="D1232" s="159"/>
      <c r="E1232" s="56" t="s">
        <v>6206</v>
      </c>
      <c r="F1232" s="57" t="s">
        <v>6207</v>
      </c>
      <c r="G1232" s="57">
        <v>2000.0</v>
      </c>
      <c r="H1232" s="22" t="s">
        <v>6220</v>
      </c>
      <c r="I1232" s="58" t="s">
        <v>6221</v>
      </c>
      <c r="J1232" s="22" t="s">
        <v>6222</v>
      </c>
      <c r="K1232" s="22"/>
      <c r="L1232" s="36">
        <v>650.0</v>
      </c>
      <c r="M1232" s="36">
        <v>30.0</v>
      </c>
      <c r="N1232" s="36"/>
      <c r="O1232" s="36"/>
      <c r="P1232" s="37"/>
      <c r="Q1232" s="36"/>
      <c r="R1232" s="36">
        <v>60.0</v>
      </c>
      <c r="S1232" s="36">
        <v>1.0</v>
      </c>
      <c r="T1232" s="160" t="s">
        <v>6223</v>
      </c>
      <c r="U1232" s="161" t="str">
        <f>HYPERLINK("https://www.ncbi.nlm.nih.gov/pubmed/10751781","PubMed")</f>
        <v>PubMed</v>
      </c>
      <c r="V1232" s="50"/>
      <c r="W1232" s="162"/>
      <c r="X1232" s="156"/>
      <c r="Y1232" s="35"/>
      <c r="Z1232" s="35"/>
      <c r="AA1232" s="35"/>
      <c r="AB1232" s="35"/>
      <c r="AC1232" s="35"/>
      <c r="AD1232" s="35"/>
      <c r="AE1232" s="35"/>
      <c r="AF1232" s="35"/>
      <c r="AG1232" s="35"/>
      <c r="AH1232" s="35"/>
      <c r="AI1232" s="35"/>
      <c r="AJ1232" s="35"/>
      <c r="AK1232" s="35"/>
      <c r="AL1232" s="35"/>
    </row>
    <row r="1233">
      <c r="A1233" s="89"/>
      <c r="B1233" s="157" t="s">
        <v>3034</v>
      </c>
      <c r="C1233" s="158" t="s">
        <v>6177</v>
      </c>
      <c r="D1233" s="159"/>
      <c r="E1233" s="56" t="s">
        <v>6202</v>
      </c>
      <c r="F1233" s="57" t="s">
        <v>1173</v>
      </c>
      <c r="G1233" s="57">
        <v>1998.0</v>
      </c>
      <c r="H1233" s="22" t="s">
        <v>6224</v>
      </c>
      <c r="I1233" s="58" t="s">
        <v>6225</v>
      </c>
      <c r="J1233" s="22" t="s">
        <v>253</v>
      </c>
      <c r="K1233" s="22"/>
      <c r="L1233" s="36">
        <v>632.0</v>
      </c>
      <c r="M1233" s="36">
        <v>10.0</v>
      </c>
      <c r="N1233" s="36"/>
      <c r="O1233" s="36"/>
      <c r="P1233" s="37"/>
      <c r="Q1233" s="36"/>
      <c r="R1233" s="36">
        <v>180.0</v>
      </c>
      <c r="S1233" s="36"/>
      <c r="T1233" s="160" t="s">
        <v>6226</v>
      </c>
      <c r="U1233" s="161" t="str">
        <f>HYPERLINK("https://www.ncbi.nlm.nih.gov/pubmed/9562022","PubMed")</f>
        <v>PubMed</v>
      </c>
      <c r="V1233" s="50"/>
      <c r="W1233" s="162"/>
      <c r="X1233" s="156"/>
      <c r="Y1233" s="35"/>
      <c r="Z1233" s="35"/>
      <c r="AA1233" s="35"/>
      <c r="AB1233" s="35"/>
      <c r="AC1233" s="35"/>
      <c r="AD1233" s="35"/>
      <c r="AE1233" s="35"/>
      <c r="AF1233" s="35"/>
      <c r="AG1233" s="35"/>
      <c r="AH1233" s="35"/>
      <c r="AI1233" s="35"/>
      <c r="AJ1233" s="35"/>
      <c r="AK1233" s="35"/>
      <c r="AL1233" s="35"/>
    </row>
    <row r="1234">
      <c r="A1234" s="89"/>
      <c r="B1234" s="157" t="s">
        <v>3034</v>
      </c>
      <c r="C1234" s="158" t="s">
        <v>6177</v>
      </c>
      <c r="D1234" s="159"/>
      <c r="E1234" s="56" t="s">
        <v>6206</v>
      </c>
      <c r="F1234" s="57" t="s">
        <v>6207</v>
      </c>
      <c r="G1234" s="57">
        <v>1998.0</v>
      </c>
      <c r="H1234" s="22" t="s">
        <v>6227</v>
      </c>
      <c r="I1234" s="58" t="s">
        <v>6228</v>
      </c>
      <c r="J1234" s="22" t="s">
        <v>3694</v>
      </c>
      <c r="K1234" s="22" t="s">
        <v>6229</v>
      </c>
      <c r="L1234" s="36"/>
      <c r="M1234" s="36" t="s">
        <v>6230</v>
      </c>
      <c r="N1234" s="36"/>
      <c r="O1234" s="36"/>
      <c r="P1234" s="37"/>
      <c r="Q1234" s="36"/>
      <c r="R1234" s="36"/>
      <c r="S1234" s="36"/>
      <c r="T1234" s="160" t="s">
        <v>6231</v>
      </c>
      <c r="U1234" s="161" t="str">
        <f>HYPERLINK("https://www.ncbi.nlm.nih.gov/pubmed/10762798","PubMed")</f>
        <v>PubMed</v>
      </c>
      <c r="V1234" s="50"/>
      <c r="W1234" s="162"/>
      <c r="X1234" s="156"/>
      <c r="Y1234" s="35"/>
      <c r="Z1234" s="35"/>
      <c r="AA1234" s="35"/>
      <c r="AB1234" s="35"/>
      <c r="AC1234" s="35"/>
      <c r="AD1234" s="35"/>
      <c r="AE1234" s="35"/>
      <c r="AF1234" s="35"/>
      <c r="AG1234" s="35"/>
      <c r="AH1234" s="35"/>
      <c r="AI1234" s="35"/>
      <c r="AJ1234" s="35"/>
      <c r="AK1234" s="35"/>
      <c r="AL1234" s="35"/>
    </row>
    <row r="1235">
      <c r="A1235" s="89"/>
      <c r="B1235" s="157" t="s">
        <v>3034</v>
      </c>
      <c r="C1235" s="158" t="s">
        <v>6177</v>
      </c>
      <c r="D1235" s="159"/>
      <c r="E1235" s="56" t="s">
        <v>6232</v>
      </c>
      <c r="F1235" s="57" t="s">
        <v>6233</v>
      </c>
      <c r="G1235" s="57">
        <v>1998.0</v>
      </c>
      <c r="H1235" s="22" t="s">
        <v>6227</v>
      </c>
      <c r="I1235" s="58" t="s">
        <v>6234</v>
      </c>
      <c r="J1235" s="22" t="s">
        <v>6235</v>
      </c>
      <c r="K1235" s="22"/>
      <c r="L1235" s="36">
        <v>650.0</v>
      </c>
      <c r="M1235" s="36" t="s">
        <v>132</v>
      </c>
      <c r="N1235" s="36"/>
      <c r="O1235" s="36"/>
      <c r="P1235" s="37"/>
      <c r="Q1235" s="36"/>
      <c r="R1235" s="36"/>
      <c r="S1235" s="36">
        <v>1.0</v>
      </c>
      <c r="T1235" s="160" t="s">
        <v>6236</v>
      </c>
      <c r="U1235" s="161" t="str">
        <f>HYPERLINK("https://www.ncbi.nlm.nih.gov/pubmed/10762838","PubMed")</f>
        <v>PubMed</v>
      </c>
      <c r="V1235" s="50"/>
      <c r="W1235" s="162"/>
      <c r="X1235" s="156"/>
      <c r="Y1235" s="35"/>
      <c r="Z1235" s="35"/>
      <c r="AA1235" s="35"/>
      <c r="AB1235" s="35"/>
      <c r="AC1235" s="35"/>
      <c r="AD1235" s="35"/>
      <c r="AE1235" s="35"/>
      <c r="AF1235" s="35"/>
      <c r="AG1235" s="35"/>
      <c r="AH1235" s="35"/>
      <c r="AI1235" s="35"/>
      <c r="AJ1235" s="35"/>
      <c r="AK1235" s="35"/>
      <c r="AL1235" s="35"/>
    </row>
    <row r="1236">
      <c r="A1236" s="89"/>
      <c r="B1236" s="157" t="s">
        <v>3034</v>
      </c>
      <c r="C1236" s="158" t="s">
        <v>6177</v>
      </c>
      <c r="D1236" s="159"/>
      <c r="E1236" s="56" t="s">
        <v>6237</v>
      </c>
      <c r="F1236" s="57" t="s">
        <v>6238</v>
      </c>
      <c r="G1236" s="57">
        <v>1993.0</v>
      </c>
      <c r="H1236" s="22" t="s">
        <v>53</v>
      </c>
      <c r="I1236" s="58" t="s">
        <v>6239</v>
      </c>
      <c r="J1236" s="22" t="s">
        <v>31</v>
      </c>
      <c r="K1236" s="22"/>
      <c r="L1236" s="36" t="s">
        <v>6240</v>
      </c>
      <c r="M1236" s="36"/>
      <c r="N1236" s="36"/>
      <c r="O1236" s="36"/>
      <c r="P1236" s="37" t="s">
        <v>6241</v>
      </c>
      <c r="Q1236" s="36"/>
      <c r="R1236" s="36"/>
      <c r="S1236" s="36"/>
      <c r="T1236" s="160" t="s">
        <v>6242</v>
      </c>
      <c r="U1236" s="161" t="str">
        <f>HYPERLINK("https://www.ncbi.nlm.nih.gov/pubmed/8426525","PubMed")</f>
        <v>PubMed</v>
      </c>
      <c r="V1236" s="50"/>
      <c r="W1236" s="162"/>
      <c r="X1236" s="156"/>
      <c r="Y1236" s="35"/>
      <c r="Z1236" s="35"/>
      <c r="AA1236" s="35"/>
      <c r="AB1236" s="35"/>
      <c r="AC1236" s="35"/>
      <c r="AD1236" s="35"/>
      <c r="AE1236" s="35"/>
      <c r="AF1236" s="35"/>
      <c r="AG1236" s="35"/>
      <c r="AH1236" s="35"/>
      <c r="AI1236" s="35"/>
      <c r="AJ1236" s="35"/>
      <c r="AK1236" s="35"/>
      <c r="AL1236" s="35"/>
    </row>
    <row r="1237">
      <c r="A1237" s="89"/>
      <c r="B1237" s="157" t="s">
        <v>3034</v>
      </c>
      <c r="C1237" s="158" t="s">
        <v>6243</v>
      </c>
      <c r="D1237" s="159"/>
      <c r="E1237" s="56" t="s">
        <v>6244</v>
      </c>
      <c r="F1237" s="57" t="s">
        <v>6245</v>
      </c>
      <c r="G1237" s="57">
        <v>2022.0</v>
      </c>
      <c r="H1237" s="22" t="s">
        <v>3065</v>
      </c>
      <c r="I1237" s="58" t="s">
        <v>6246</v>
      </c>
      <c r="J1237" s="22" t="s">
        <v>55</v>
      </c>
      <c r="K1237" s="22"/>
      <c r="L1237" s="36">
        <v>633.0</v>
      </c>
      <c r="M1237" s="36"/>
      <c r="N1237" s="36"/>
      <c r="O1237" s="36"/>
      <c r="P1237" s="37"/>
      <c r="Q1237" s="36"/>
      <c r="R1237" s="36"/>
      <c r="S1237" s="36"/>
      <c r="T1237" s="160" t="s">
        <v>6247</v>
      </c>
      <c r="U1237" s="64" t="s">
        <v>61</v>
      </c>
      <c r="V1237" s="50"/>
      <c r="W1237" s="162"/>
      <c r="X1237" s="156"/>
      <c r="Y1237" s="35"/>
      <c r="Z1237" s="35"/>
      <c r="AA1237" s="35"/>
      <c r="AB1237" s="35"/>
      <c r="AC1237" s="35"/>
      <c r="AD1237" s="35"/>
      <c r="AE1237" s="35"/>
      <c r="AF1237" s="35"/>
      <c r="AG1237" s="35"/>
      <c r="AH1237" s="35"/>
      <c r="AI1237" s="35"/>
      <c r="AJ1237" s="35"/>
      <c r="AK1237" s="35"/>
      <c r="AL1237" s="35"/>
    </row>
    <row r="1238">
      <c r="A1238" s="89"/>
      <c r="B1238" s="157" t="s">
        <v>3034</v>
      </c>
      <c r="C1238" s="158" t="s">
        <v>6243</v>
      </c>
      <c r="D1238" s="159"/>
      <c r="E1238" s="56" t="s">
        <v>6248</v>
      </c>
      <c r="F1238" s="57" t="s">
        <v>6249</v>
      </c>
      <c r="G1238" s="57">
        <v>2017.0</v>
      </c>
      <c r="H1238" s="22" t="s">
        <v>4856</v>
      </c>
      <c r="I1238" s="58" t="s">
        <v>6250</v>
      </c>
      <c r="J1238" s="22" t="s">
        <v>6251</v>
      </c>
      <c r="K1238" s="22"/>
      <c r="L1238" s="36">
        <v>810.0</v>
      </c>
      <c r="M1238" s="36" t="s">
        <v>6252</v>
      </c>
      <c r="N1238" s="36"/>
      <c r="O1238" s="36" t="s">
        <v>6253</v>
      </c>
      <c r="P1238" s="37"/>
      <c r="Q1238" s="36"/>
      <c r="R1238" s="36"/>
      <c r="S1238" s="36"/>
      <c r="T1238" s="160" t="s">
        <v>6254</v>
      </c>
      <c r="U1238" s="161" t="str">
        <f>HYPERLINK("https://www.ncbi.nlm.nih.gov/pubmed/28822265","PubMed")</f>
        <v>PubMed</v>
      </c>
      <c r="V1238" s="50"/>
      <c r="W1238" s="162"/>
      <c r="X1238" s="156"/>
      <c r="Y1238" s="35"/>
      <c r="Z1238" s="35"/>
      <c r="AA1238" s="35"/>
      <c r="AB1238" s="35"/>
      <c r="AC1238" s="35"/>
      <c r="AD1238" s="35"/>
      <c r="AE1238" s="35"/>
      <c r="AF1238" s="35"/>
      <c r="AG1238" s="35"/>
      <c r="AH1238" s="35"/>
      <c r="AI1238" s="35"/>
      <c r="AJ1238" s="35"/>
      <c r="AK1238" s="35"/>
      <c r="AL1238" s="35"/>
    </row>
    <row r="1239">
      <c r="A1239" s="51" t="s">
        <v>38</v>
      </c>
      <c r="B1239" s="157" t="s">
        <v>3034</v>
      </c>
      <c r="C1239" s="158" t="s">
        <v>6255</v>
      </c>
      <c r="D1239" s="159"/>
      <c r="E1239" s="56" t="s">
        <v>4396</v>
      </c>
      <c r="F1239" s="22" t="s">
        <v>4397</v>
      </c>
      <c r="G1239" s="57">
        <v>2021.0</v>
      </c>
      <c r="H1239" s="22" t="s">
        <v>42</v>
      </c>
      <c r="I1239" s="58" t="s">
        <v>6256</v>
      </c>
      <c r="J1239" s="22" t="s">
        <v>55</v>
      </c>
      <c r="K1239" s="22"/>
      <c r="L1239" s="36" t="s">
        <v>6257</v>
      </c>
      <c r="M1239" s="36"/>
      <c r="N1239" s="36" t="s">
        <v>6258</v>
      </c>
      <c r="O1239" s="36" t="s">
        <v>6259</v>
      </c>
      <c r="P1239" s="37" t="s">
        <v>6260</v>
      </c>
      <c r="Q1239" s="36" t="s">
        <v>6261</v>
      </c>
      <c r="R1239" s="36" t="s">
        <v>6262</v>
      </c>
      <c r="S1239" s="36"/>
      <c r="T1239" s="160" t="s">
        <v>6263</v>
      </c>
      <c r="U1239" s="64" t="s">
        <v>61</v>
      </c>
      <c r="V1239" s="50"/>
      <c r="W1239" s="162"/>
      <c r="X1239" s="156"/>
      <c r="Y1239" s="35"/>
      <c r="Z1239" s="35"/>
      <c r="AA1239" s="35"/>
      <c r="AB1239" s="35"/>
      <c r="AC1239" s="35"/>
      <c r="AD1239" s="35"/>
      <c r="AE1239" s="35"/>
      <c r="AF1239" s="35"/>
      <c r="AG1239" s="35"/>
      <c r="AH1239" s="35"/>
      <c r="AI1239" s="35"/>
      <c r="AJ1239" s="35"/>
      <c r="AK1239" s="35"/>
      <c r="AL1239" s="35"/>
    </row>
    <row r="1240">
      <c r="A1240" s="89"/>
      <c r="B1240" s="157" t="s">
        <v>3034</v>
      </c>
      <c r="C1240" s="158" t="s">
        <v>6255</v>
      </c>
      <c r="D1240" s="159"/>
      <c r="E1240" s="56" t="s">
        <v>6264</v>
      </c>
      <c r="F1240" s="22" t="s">
        <v>65</v>
      </c>
      <c r="G1240" s="57">
        <v>2021.0</v>
      </c>
      <c r="H1240" s="22" t="s">
        <v>6265</v>
      </c>
      <c r="I1240" s="58" t="s">
        <v>6266</v>
      </c>
      <c r="J1240" s="22" t="s">
        <v>44</v>
      </c>
      <c r="K1240" s="22"/>
      <c r="L1240" s="36">
        <v>635.0</v>
      </c>
      <c r="M1240" s="36"/>
      <c r="N1240" s="36" t="s">
        <v>6267</v>
      </c>
      <c r="O1240" s="36"/>
      <c r="P1240" s="37"/>
      <c r="Q1240" s="36"/>
      <c r="R1240" s="36">
        <v>600.0</v>
      </c>
      <c r="S1240" s="36">
        <v>70.0</v>
      </c>
      <c r="T1240" s="160" t="s">
        <v>6268</v>
      </c>
      <c r="U1240" s="64" t="s">
        <v>61</v>
      </c>
      <c r="V1240" s="50"/>
      <c r="W1240" s="162"/>
      <c r="X1240" s="156"/>
      <c r="Y1240" s="35"/>
      <c r="Z1240" s="35"/>
      <c r="AA1240" s="35"/>
      <c r="AB1240" s="35"/>
      <c r="AC1240" s="35"/>
      <c r="AD1240" s="35"/>
      <c r="AE1240" s="35"/>
      <c r="AF1240" s="35"/>
      <c r="AG1240" s="35"/>
      <c r="AH1240" s="35"/>
      <c r="AI1240" s="35"/>
      <c r="AJ1240" s="35"/>
      <c r="AK1240" s="35"/>
      <c r="AL1240" s="35"/>
    </row>
    <row r="1241">
      <c r="A1241" s="89"/>
      <c r="B1241" s="157" t="s">
        <v>3034</v>
      </c>
      <c r="C1241" s="158" t="s">
        <v>6255</v>
      </c>
      <c r="D1241" s="159"/>
      <c r="E1241" s="56" t="s">
        <v>6140</v>
      </c>
      <c r="F1241" s="22" t="s">
        <v>6269</v>
      </c>
      <c r="G1241" s="57">
        <v>2012.0</v>
      </c>
      <c r="H1241" s="22" t="s">
        <v>6270</v>
      </c>
      <c r="I1241" s="58" t="s">
        <v>6271</v>
      </c>
      <c r="J1241" s="22" t="s">
        <v>253</v>
      </c>
      <c r="K1241" s="22" t="s">
        <v>6272</v>
      </c>
      <c r="L1241" s="36" t="s">
        <v>6273</v>
      </c>
      <c r="M1241" s="36">
        <v>60000.0</v>
      </c>
      <c r="N1241" s="36"/>
      <c r="O1241" s="36"/>
      <c r="P1241" s="37"/>
      <c r="Q1241" s="36"/>
      <c r="R1241" s="36" t="s">
        <v>6274</v>
      </c>
      <c r="S1241" s="36"/>
      <c r="T1241" s="160" t="s">
        <v>6275</v>
      </c>
      <c r="U1241" s="161" t="str">
        <f>HYPERLINK("https://www.ncbi.nlm.nih.gov/pubmed/22474473","PubMed")</f>
        <v>PubMed</v>
      </c>
      <c r="V1241" s="50"/>
      <c r="W1241" s="162"/>
      <c r="X1241" s="156"/>
      <c r="Y1241" s="35"/>
      <c r="Z1241" s="35"/>
      <c r="AA1241" s="35"/>
      <c r="AB1241" s="35"/>
      <c r="AC1241" s="35"/>
      <c r="AD1241" s="35"/>
      <c r="AE1241" s="35"/>
      <c r="AF1241" s="35"/>
      <c r="AG1241" s="35"/>
      <c r="AH1241" s="35"/>
      <c r="AI1241" s="35"/>
      <c r="AJ1241" s="35"/>
      <c r="AK1241" s="35"/>
      <c r="AL1241" s="35"/>
    </row>
    <row r="1242">
      <c r="A1242" s="89"/>
      <c r="B1242" s="157" t="s">
        <v>3034</v>
      </c>
      <c r="C1242" s="158" t="s">
        <v>6276</v>
      </c>
      <c r="D1242" s="159"/>
      <c r="E1242" s="56" t="s">
        <v>6277</v>
      </c>
      <c r="F1242" s="22" t="s">
        <v>6278</v>
      </c>
      <c r="G1242" s="57">
        <v>2017.0</v>
      </c>
      <c r="H1242" s="22" t="s">
        <v>207</v>
      </c>
      <c r="I1242" s="58" t="s">
        <v>6279</v>
      </c>
      <c r="J1242" s="22" t="s">
        <v>6280</v>
      </c>
      <c r="K1242" s="22" t="s">
        <v>6281</v>
      </c>
      <c r="L1242" s="36">
        <v>633.0</v>
      </c>
      <c r="M1242" s="36"/>
      <c r="N1242" s="36"/>
      <c r="O1242" s="36"/>
      <c r="P1242" s="37"/>
      <c r="Q1242" s="36"/>
      <c r="R1242" s="36"/>
      <c r="S1242" s="36"/>
      <c r="T1242" s="160" t="s">
        <v>6282</v>
      </c>
      <c r="U1242" s="64" t="s">
        <v>61</v>
      </c>
      <c r="V1242" s="30"/>
      <c r="W1242" s="162"/>
      <c r="X1242" s="156"/>
      <c r="Y1242" s="35"/>
      <c r="Z1242" s="35"/>
      <c r="AA1242" s="35"/>
      <c r="AB1242" s="35"/>
      <c r="AC1242" s="35"/>
      <c r="AD1242" s="35"/>
      <c r="AE1242" s="35"/>
      <c r="AF1242" s="35"/>
      <c r="AG1242" s="35"/>
      <c r="AH1242" s="35"/>
      <c r="AI1242" s="35"/>
      <c r="AJ1242" s="35"/>
      <c r="AK1242" s="35"/>
      <c r="AL1242" s="35"/>
    </row>
    <row r="1243">
      <c r="A1243" s="89"/>
      <c r="B1243" s="157" t="s">
        <v>3034</v>
      </c>
      <c r="C1243" s="158" t="s">
        <v>6283</v>
      </c>
      <c r="D1243" s="159"/>
      <c r="E1243" s="56" t="s">
        <v>6284</v>
      </c>
      <c r="F1243" s="22" t="s">
        <v>1808</v>
      </c>
      <c r="G1243" s="57">
        <v>2024.0</v>
      </c>
      <c r="H1243" s="22" t="s">
        <v>77</v>
      </c>
      <c r="I1243" s="58" t="s">
        <v>6285</v>
      </c>
      <c r="J1243" s="22" t="s">
        <v>31</v>
      </c>
      <c r="K1243" s="22"/>
      <c r="L1243" s="36" t="s">
        <v>6286</v>
      </c>
      <c r="M1243" s="36"/>
      <c r="N1243" s="36"/>
      <c r="O1243" s="36"/>
      <c r="P1243" s="37"/>
      <c r="Q1243" s="36"/>
      <c r="R1243" s="36"/>
      <c r="S1243" s="36"/>
      <c r="T1243" s="163" t="s">
        <v>6287</v>
      </c>
      <c r="U1243" s="60" t="s">
        <v>61</v>
      </c>
      <c r="V1243" s="30"/>
      <c r="W1243" s="162"/>
      <c r="X1243" s="156"/>
      <c r="Y1243" s="35"/>
      <c r="Z1243" s="35"/>
      <c r="AA1243" s="35"/>
      <c r="AB1243" s="35"/>
      <c r="AC1243" s="35"/>
      <c r="AD1243" s="35"/>
      <c r="AE1243" s="35"/>
      <c r="AF1243" s="35"/>
      <c r="AG1243" s="35"/>
      <c r="AH1243" s="35"/>
      <c r="AI1243" s="35"/>
      <c r="AJ1243" s="35"/>
      <c r="AK1243" s="35"/>
      <c r="AL1243" s="35"/>
    </row>
    <row r="1244">
      <c r="A1244" s="89"/>
      <c r="B1244" s="157" t="s">
        <v>3034</v>
      </c>
      <c r="C1244" s="158" t="s">
        <v>6283</v>
      </c>
      <c r="D1244" s="159"/>
      <c r="E1244" s="56" t="s">
        <v>6288</v>
      </c>
      <c r="F1244" s="22" t="s">
        <v>6289</v>
      </c>
      <c r="G1244" s="57">
        <v>2023.0</v>
      </c>
      <c r="H1244" s="22" t="s">
        <v>91</v>
      </c>
      <c r="I1244" s="58" t="s">
        <v>6290</v>
      </c>
      <c r="J1244" s="22" t="s">
        <v>31</v>
      </c>
      <c r="K1244" s="22"/>
      <c r="L1244" s="36">
        <v>532.0</v>
      </c>
      <c r="M1244" s="36"/>
      <c r="N1244" s="36"/>
      <c r="O1244" s="36"/>
      <c r="P1244" s="37"/>
      <c r="Q1244" s="36"/>
      <c r="R1244" s="36"/>
      <c r="S1244" s="36"/>
      <c r="T1244" s="163" t="s">
        <v>6291</v>
      </c>
      <c r="U1244" s="60" t="s">
        <v>61</v>
      </c>
      <c r="V1244" s="30"/>
      <c r="W1244" s="162"/>
      <c r="X1244" s="156"/>
      <c r="Y1244" s="35"/>
      <c r="Z1244" s="35"/>
      <c r="AA1244" s="35"/>
      <c r="AB1244" s="35"/>
      <c r="AC1244" s="35"/>
      <c r="AD1244" s="35"/>
      <c r="AE1244" s="35"/>
      <c r="AF1244" s="35"/>
      <c r="AG1244" s="35"/>
      <c r="AH1244" s="35"/>
      <c r="AI1244" s="35"/>
      <c r="AJ1244" s="35"/>
      <c r="AK1244" s="35"/>
      <c r="AL1244" s="35"/>
    </row>
    <row r="1245">
      <c r="A1245" s="89"/>
      <c r="B1245" s="157" t="s">
        <v>3034</v>
      </c>
      <c r="C1245" s="158" t="s">
        <v>6283</v>
      </c>
      <c r="D1245" s="159"/>
      <c r="E1245" s="56" t="s">
        <v>6292</v>
      </c>
      <c r="F1245" s="22" t="s">
        <v>323</v>
      </c>
      <c r="G1245" s="57">
        <v>2020.0</v>
      </c>
      <c r="H1245" s="22" t="s">
        <v>147</v>
      </c>
      <c r="I1245" s="58" t="s">
        <v>6293</v>
      </c>
      <c r="J1245" s="22" t="s">
        <v>55</v>
      </c>
      <c r="K1245" s="22"/>
      <c r="L1245" s="36">
        <v>830.0</v>
      </c>
      <c r="M1245" s="36"/>
      <c r="N1245" s="36" t="s">
        <v>573</v>
      </c>
      <c r="O1245" s="36"/>
      <c r="P1245" s="37"/>
      <c r="Q1245" s="36"/>
      <c r="R1245" s="36"/>
      <c r="S1245" s="36"/>
      <c r="T1245" s="160" t="s">
        <v>6294</v>
      </c>
      <c r="U1245" s="64" t="s">
        <v>61</v>
      </c>
      <c r="V1245" s="30"/>
      <c r="W1245" s="162"/>
      <c r="X1245" s="156"/>
      <c r="Y1245" s="35"/>
      <c r="Z1245" s="35"/>
      <c r="AA1245" s="35"/>
      <c r="AB1245" s="35"/>
      <c r="AC1245" s="35"/>
      <c r="AD1245" s="35"/>
      <c r="AE1245" s="35"/>
      <c r="AF1245" s="35"/>
      <c r="AG1245" s="35"/>
      <c r="AH1245" s="35"/>
      <c r="AI1245" s="35"/>
      <c r="AJ1245" s="35"/>
      <c r="AK1245" s="35"/>
      <c r="AL1245" s="35"/>
    </row>
    <row r="1246">
      <c r="A1246" s="89"/>
      <c r="B1246" s="157" t="s">
        <v>3034</v>
      </c>
      <c r="C1246" s="158" t="s">
        <v>6283</v>
      </c>
      <c r="D1246" s="159"/>
      <c r="E1246" s="56" t="s">
        <v>6295</v>
      </c>
      <c r="F1246" s="22" t="s">
        <v>6296</v>
      </c>
      <c r="G1246" s="57">
        <v>2019.0</v>
      </c>
      <c r="H1246" s="22" t="s">
        <v>6297</v>
      </c>
      <c r="I1246" s="58" t="s">
        <v>6298</v>
      </c>
      <c r="J1246" s="22" t="s">
        <v>55</v>
      </c>
      <c r="K1246" s="22"/>
      <c r="L1246" s="36">
        <v>830.0</v>
      </c>
      <c r="M1246" s="36"/>
      <c r="N1246" s="36" t="s">
        <v>573</v>
      </c>
      <c r="O1246" s="36"/>
      <c r="P1246" s="37" t="s">
        <v>6299</v>
      </c>
      <c r="Q1246" s="36"/>
      <c r="R1246" s="36">
        <v>134.0</v>
      </c>
      <c r="S1246" s="36"/>
      <c r="T1246" s="160" t="s">
        <v>6300</v>
      </c>
      <c r="U1246" s="161" t="str">
        <f>HYPERLINK("https://www.ncbi.nlm.nih.gov/pubmed/32118470","PubMed")</f>
        <v>PubMed</v>
      </c>
      <c r="V1246" s="30"/>
      <c r="W1246" s="162"/>
      <c r="X1246" s="156"/>
      <c r="Y1246" s="35"/>
      <c r="Z1246" s="35"/>
      <c r="AA1246" s="35"/>
      <c r="AB1246" s="35"/>
      <c r="AC1246" s="35"/>
      <c r="AD1246" s="35"/>
      <c r="AE1246" s="35"/>
      <c r="AF1246" s="35"/>
      <c r="AG1246" s="35"/>
      <c r="AH1246" s="35"/>
      <c r="AI1246" s="35"/>
      <c r="AJ1246" s="35"/>
      <c r="AK1246" s="35"/>
      <c r="AL1246" s="35"/>
    </row>
    <row r="1247">
      <c r="A1247" s="89"/>
      <c r="B1247" s="157" t="s">
        <v>3034</v>
      </c>
      <c r="C1247" s="158" t="s">
        <v>6283</v>
      </c>
      <c r="D1247" s="159"/>
      <c r="E1247" s="56" t="s">
        <v>6301</v>
      </c>
      <c r="F1247" s="22" t="s">
        <v>2028</v>
      </c>
      <c r="G1247" s="57">
        <v>2019.0</v>
      </c>
      <c r="H1247" s="22" t="s">
        <v>77</v>
      </c>
      <c r="I1247" s="58" t="s">
        <v>6302</v>
      </c>
      <c r="J1247" s="22" t="s">
        <v>6303</v>
      </c>
      <c r="K1247" s="22"/>
      <c r="L1247" s="36" t="s">
        <v>6304</v>
      </c>
      <c r="M1247" s="36"/>
      <c r="N1247" s="36"/>
      <c r="O1247" s="36"/>
      <c r="P1247" s="37"/>
      <c r="Q1247" s="36"/>
      <c r="R1247" s="36"/>
      <c r="S1247" s="36"/>
      <c r="T1247" s="160" t="s">
        <v>6305</v>
      </c>
      <c r="U1247" s="161" t="str">
        <f>HYPERLINK("https://www.ncbi.nlm.nih.gov/pubmed/31188088","PubMed")</f>
        <v>PubMed</v>
      </c>
      <c r="V1247" s="30"/>
      <c r="W1247" s="162"/>
      <c r="X1247" s="156"/>
      <c r="Y1247" s="35"/>
      <c r="Z1247" s="35"/>
      <c r="AA1247" s="35"/>
      <c r="AB1247" s="35"/>
      <c r="AC1247" s="35"/>
      <c r="AD1247" s="35"/>
      <c r="AE1247" s="35"/>
      <c r="AF1247" s="35"/>
      <c r="AG1247" s="35"/>
      <c r="AH1247" s="35"/>
      <c r="AI1247" s="35"/>
      <c r="AJ1247" s="35"/>
      <c r="AK1247" s="35"/>
      <c r="AL1247" s="35"/>
    </row>
    <row r="1248">
      <c r="A1248" s="89"/>
      <c r="B1248" s="157" t="s">
        <v>3034</v>
      </c>
      <c r="C1248" s="158" t="s">
        <v>6283</v>
      </c>
      <c r="D1248" s="159"/>
      <c r="E1248" s="56" t="s">
        <v>626</v>
      </c>
      <c r="F1248" s="22" t="s">
        <v>2437</v>
      </c>
      <c r="G1248" s="57">
        <v>2018.0</v>
      </c>
      <c r="H1248" s="22" t="s">
        <v>6306</v>
      </c>
      <c r="I1248" s="58" t="s">
        <v>6307</v>
      </c>
      <c r="J1248" s="22" t="s">
        <v>6303</v>
      </c>
      <c r="K1248" s="22" t="s">
        <v>1725</v>
      </c>
      <c r="L1248" s="36">
        <v>405.0</v>
      </c>
      <c r="M1248" s="36"/>
      <c r="N1248" s="36"/>
      <c r="O1248" s="36"/>
      <c r="P1248" s="37" t="s">
        <v>2848</v>
      </c>
      <c r="Q1248" s="36"/>
      <c r="R1248" s="36"/>
      <c r="S1248" s="36" t="s">
        <v>6308</v>
      </c>
      <c r="T1248" s="160" t="s">
        <v>6309</v>
      </c>
      <c r="U1248" s="60" t="s">
        <v>61</v>
      </c>
      <c r="V1248" s="30"/>
      <c r="W1248" s="162"/>
      <c r="X1248" s="156"/>
      <c r="Y1248" s="35"/>
      <c r="Z1248" s="35"/>
      <c r="AA1248" s="35"/>
      <c r="AB1248" s="35"/>
      <c r="AC1248" s="35"/>
      <c r="AD1248" s="35"/>
      <c r="AE1248" s="35"/>
      <c r="AF1248" s="35"/>
      <c r="AG1248" s="35"/>
      <c r="AH1248" s="35"/>
      <c r="AI1248" s="35"/>
      <c r="AJ1248" s="35"/>
      <c r="AK1248" s="35"/>
      <c r="AL1248" s="35"/>
    </row>
    <row r="1249">
      <c r="A1249" s="89"/>
      <c r="B1249" s="157" t="s">
        <v>3034</v>
      </c>
      <c r="C1249" s="158" t="s">
        <v>6283</v>
      </c>
      <c r="D1249" s="159"/>
      <c r="E1249" s="56" t="s">
        <v>6310</v>
      </c>
      <c r="F1249" s="22" t="s">
        <v>5404</v>
      </c>
      <c r="G1249" s="57">
        <v>2018.0</v>
      </c>
      <c r="H1249" s="22" t="s">
        <v>452</v>
      </c>
      <c r="I1249" s="58" t="s">
        <v>6311</v>
      </c>
      <c r="J1249" s="22" t="s">
        <v>3694</v>
      </c>
      <c r="K1249" s="22" t="s">
        <v>56</v>
      </c>
      <c r="L1249" s="36" t="s">
        <v>6312</v>
      </c>
      <c r="M1249" s="36"/>
      <c r="N1249" s="36"/>
      <c r="O1249" s="36"/>
      <c r="P1249" s="37"/>
      <c r="Q1249" s="36"/>
      <c r="R1249" s="36"/>
      <c r="S1249" s="36"/>
      <c r="T1249" s="160" t="s">
        <v>6313</v>
      </c>
      <c r="U1249" s="161" t="str">
        <f>HYPERLINK("https://www.ncbi.nlm.nih.gov/pubmed/29904353","PubMed")</f>
        <v>PubMed</v>
      </c>
      <c r="V1249" s="30"/>
      <c r="W1249" s="162"/>
      <c r="X1249" s="156"/>
      <c r="Y1249" s="35"/>
      <c r="Z1249" s="35"/>
      <c r="AA1249" s="35"/>
      <c r="AB1249" s="35"/>
      <c r="AC1249" s="35"/>
      <c r="AD1249" s="35"/>
      <c r="AE1249" s="35"/>
      <c r="AF1249" s="35"/>
      <c r="AG1249" s="35"/>
      <c r="AH1249" s="35"/>
      <c r="AI1249" s="35"/>
      <c r="AJ1249" s="35"/>
      <c r="AK1249" s="35"/>
      <c r="AL1249" s="35"/>
    </row>
    <row r="1250">
      <c r="A1250" s="89"/>
      <c r="B1250" s="157" t="s">
        <v>3034</v>
      </c>
      <c r="C1250" s="158" t="s">
        <v>6283</v>
      </c>
      <c r="D1250" s="159"/>
      <c r="E1250" s="56" t="s">
        <v>626</v>
      </c>
      <c r="F1250" s="22" t="s">
        <v>2437</v>
      </c>
      <c r="G1250" s="57">
        <v>2016.0</v>
      </c>
      <c r="H1250" s="22" t="s">
        <v>5725</v>
      </c>
      <c r="I1250" s="58" t="s">
        <v>6314</v>
      </c>
      <c r="J1250" s="22" t="s">
        <v>6315</v>
      </c>
      <c r="K1250" s="22" t="s">
        <v>6316</v>
      </c>
      <c r="L1250" s="36">
        <v>650.0</v>
      </c>
      <c r="M1250" s="36">
        <v>100.0</v>
      </c>
      <c r="N1250" s="36"/>
      <c r="O1250" s="36"/>
      <c r="P1250" s="37"/>
      <c r="Q1250" s="36"/>
      <c r="R1250" s="36"/>
      <c r="S1250" s="36"/>
      <c r="T1250" s="160" t="s">
        <v>6317</v>
      </c>
      <c r="U1250" s="64" t="s">
        <v>61</v>
      </c>
      <c r="V1250" s="30"/>
      <c r="W1250" s="162"/>
      <c r="X1250" s="156"/>
      <c r="Y1250" s="35"/>
      <c r="Z1250" s="35"/>
      <c r="AA1250" s="35"/>
      <c r="AB1250" s="35"/>
      <c r="AC1250" s="35"/>
      <c r="AD1250" s="35"/>
      <c r="AE1250" s="35"/>
      <c r="AF1250" s="35"/>
      <c r="AG1250" s="35"/>
      <c r="AH1250" s="35"/>
      <c r="AI1250" s="35"/>
      <c r="AJ1250" s="35"/>
      <c r="AK1250" s="35"/>
      <c r="AL1250" s="35"/>
    </row>
    <row r="1251">
      <c r="A1251" s="89"/>
      <c r="B1251" s="157" t="s">
        <v>3034</v>
      </c>
      <c r="C1251" s="158" t="s">
        <v>6283</v>
      </c>
      <c r="D1251" s="159"/>
      <c r="E1251" s="56" t="s">
        <v>6318</v>
      </c>
      <c r="F1251" s="22" t="s">
        <v>6319</v>
      </c>
      <c r="G1251" s="57">
        <v>2007.0</v>
      </c>
      <c r="H1251" s="22" t="s">
        <v>6320</v>
      </c>
      <c r="I1251" s="58" t="s">
        <v>6321</v>
      </c>
      <c r="J1251" s="22" t="s">
        <v>6322</v>
      </c>
      <c r="K1251" s="22"/>
      <c r="L1251" s="36">
        <v>633.0</v>
      </c>
      <c r="M1251" s="36"/>
      <c r="N1251" s="36"/>
      <c r="O1251" s="36"/>
      <c r="P1251" s="37" t="s">
        <v>1468</v>
      </c>
      <c r="Q1251" s="36"/>
      <c r="R1251" s="36"/>
      <c r="S1251" s="36"/>
      <c r="T1251" s="163" t="s">
        <v>6323</v>
      </c>
      <c r="U1251" s="64" t="s">
        <v>61</v>
      </c>
      <c r="V1251" s="30"/>
      <c r="W1251" s="162"/>
      <c r="X1251" s="156"/>
      <c r="Y1251" s="35"/>
      <c r="Z1251" s="35"/>
      <c r="AA1251" s="35"/>
      <c r="AB1251" s="35"/>
      <c r="AC1251" s="35"/>
      <c r="AD1251" s="35"/>
      <c r="AE1251" s="35"/>
      <c r="AF1251" s="35"/>
      <c r="AG1251" s="35"/>
      <c r="AH1251" s="35"/>
      <c r="AI1251" s="35"/>
      <c r="AJ1251" s="35"/>
      <c r="AK1251" s="35"/>
      <c r="AL1251" s="35"/>
    </row>
    <row r="1252">
      <c r="A1252" s="89"/>
      <c r="B1252" s="157" t="s">
        <v>3034</v>
      </c>
      <c r="C1252" s="158" t="s">
        <v>6283</v>
      </c>
      <c r="D1252" s="159"/>
      <c r="E1252" s="56" t="s">
        <v>6324</v>
      </c>
      <c r="F1252" s="22" t="s">
        <v>2196</v>
      </c>
      <c r="G1252" s="57">
        <v>2004.0</v>
      </c>
      <c r="H1252" s="22" t="s">
        <v>658</v>
      </c>
      <c r="I1252" s="58" t="s">
        <v>6325</v>
      </c>
      <c r="J1252" s="22" t="s">
        <v>31</v>
      </c>
      <c r="K1252" s="22"/>
      <c r="L1252" s="36">
        <v>633.0</v>
      </c>
      <c r="M1252" s="36">
        <v>30.0</v>
      </c>
      <c r="N1252" s="36" t="s">
        <v>6326</v>
      </c>
      <c r="O1252" s="36"/>
      <c r="P1252" s="37" t="s">
        <v>6327</v>
      </c>
      <c r="Q1252" s="36"/>
      <c r="R1252" s="36">
        <v>3600.0</v>
      </c>
      <c r="S1252" s="36"/>
      <c r="T1252" s="160" t="s">
        <v>6328</v>
      </c>
      <c r="U1252" s="161" t="str">
        <f>HYPERLINK("https://www.ncbi.nlm.nih.gov/pubmed/15684746","PubMed")</f>
        <v>PubMed</v>
      </c>
      <c r="V1252" s="30"/>
      <c r="W1252" s="162"/>
      <c r="X1252" s="156"/>
      <c r="Y1252" s="35"/>
      <c r="Z1252" s="35"/>
      <c r="AA1252" s="35"/>
      <c r="AB1252" s="35"/>
      <c r="AC1252" s="35"/>
      <c r="AD1252" s="35"/>
      <c r="AE1252" s="35"/>
      <c r="AF1252" s="35"/>
      <c r="AG1252" s="35"/>
      <c r="AH1252" s="35"/>
      <c r="AI1252" s="35"/>
      <c r="AJ1252" s="35"/>
      <c r="AK1252" s="35"/>
      <c r="AL1252" s="35"/>
    </row>
    <row r="1253">
      <c r="A1253" s="89"/>
      <c r="B1253" s="75" t="s">
        <v>3034</v>
      </c>
      <c r="C1253" s="77" t="s">
        <v>6283</v>
      </c>
      <c r="D1253" s="159"/>
      <c r="E1253" s="56" t="s">
        <v>6329</v>
      </c>
      <c r="F1253" s="22" t="s">
        <v>6330</v>
      </c>
      <c r="G1253" s="57">
        <v>2001.0</v>
      </c>
      <c r="H1253" s="22" t="s">
        <v>1289</v>
      </c>
      <c r="I1253" s="58" t="s">
        <v>6331</v>
      </c>
      <c r="J1253" s="22" t="s">
        <v>31</v>
      </c>
      <c r="K1253" s="22" t="s">
        <v>6332</v>
      </c>
      <c r="L1253" s="36">
        <v>633.0</v>
      </c>
      <c r="M1253" s="36">
        <v>6.0</v>
      </c>
      <c r="N1253" s="36"/>
      <c r="O1253" s="36"/>
      <c r="P1253" s="37"/>
      <c r="Q1253" s="36"/>
      <c r="R1253" s="36"/>
      <c r="S1253" s="36"/>
      <c r="T1253" s="160" t="s">
        <v>6333</v>
      </c>
      <c r="U1253" s="161" t="str">
        <f>HYPERLINK("https://www.ncbi.nlm.nih.gov/pubmed/11443795/","PubMed")</f>
        <v>PubMed</v>
      </c>
      <c r="V1253" s="30"/>
      <c r="W1253" s="162"/>
      <c r="X1253" s="156"/>
      <c r="Y1253" s="35"/>
      <c r="Z1253" s="35"/>
      <c r="AA1253" s="35"/>
      <c r="AB1253" s="35"/>
      <c r="AC1253" s="35"/>
      <c r="AD1253" s="35"/>
      <c r="AE1253" s="35"/>
      <c r="AF1253" s="35"/>
      <c r="AG1253" s="35"/>
      <c r="AH1253" s="35"/>
      <c r="AI1253" s="35"/>
      <c r="AJ1253" s="35"/>
      <c r="AK1253" s="35"/>
      <c r="AL1253" s="35"/>
    </row>
    <row r="1254">
      <c r="A1254" s="89"/>
      <c r="B1254" s="157" t="s">
        <v>3034</v>
      </c>
      <c r="C1254" s="158" t="s">
        <v>6283</v>
      </c>
      <c r="D1254" s="159"/>
      <c r="E1254" s="56" t="s">
        <v>6329</v>
      </c>
      <c r="F1254" s="22" t="s">
        <v>6330</v>
      </c>
      <c r="G1254" s="57">
        <v>2000.0</v>
      </c>
      <c r="H1254" s="22" t="s">
        <v>1289</v>
      </c>
      <c r="I1254" s="58" t="s">
        <v>6334</v>
      </c>
      <c r="J1254" s="22" t="s">
        <v>6335</v>
      </c>
      <c r="K1254" s="22"/>
      <c r="L1254" s="36">
        <v>633.0</v>
      </c>
      <c r="M1254" s="36">
        <v>1.0</v>
      </c>
      <c r="N1254" s="36" t="s">
        <v>1069</v>
      </c>
      <c r="O1254" s="36"/>
      <c r="P1254" s="37"/>
      <c r="Q1254" s="36"/>
      <c r="R1254" s="36"/>
      <c r="S1254" s="36"/>
      <c r="T1254" s="160" t="s">
        <v>6336</v>
      </c>
      <c r="U1254" s="161" t="str">
        <f>HYPERLINK("https://www.ncbi.nlm.nih.gov/pubmed/11573510","PubMed")</f>
        <v>PubMed</v>
      </c>
      <c r="V1254" s="30"/>
      <c r="W1254" s="162"/>
      <c r="X1254" s="156"/>
      <c r="Y1254" s="35"/>
      <c r="Z1254" s="35"/>
      <c r="AA1254" s="35"/>
      <c r="AB1254" s="35"/>
      <c r="AC1254" s="35"/>
      <c r="AD1254" s="35"/>
      <c r="AE1254" s="35"/>
      <c r="AF1254" s="35"/>
      <c r="AG1254" s="35"/>
      <c r="AH1254" s="35"/>
      <c r="AI1254" s="35"/>
      <c r="AJ1254" s="35"/>
      <c r="AK1254" s="35"/>
      <c r="AL1254" s="35"/>
    </row>
    <row r="1255">
      <c r="A1255" s="89"/>
      <c r="B1255" s="157" t="s">
        <v>3034</v>
      </c>
      <c r="C1255" s="158" t="s">
        <v>6337</v>
      </c>
      <c r="D1255" s="159"/>
      <c r="E1255" s="56" t="s">
        <v>6338</v>
      </c>
      <c r="F1255" s="22" t="s">
        <v>6339</v>
      </c>
      <c r="G1255" s="57">
        <v>2013.0</v>
      </c>
      <c r="H1255" s="22" t="s">
        <v>292</v>
      </c>
      <c r="I1255" s="58" t="s">
        <v>6340</v>
      </c>
      <c r="J1255" s="22" t="s">
        <v>6341</v>
      </c>
      <c r="K1255" s="22" t="s">
        <v>6342</v>
      </c>
      <c r="L1255" s="36">
        <v>660.0</v>
      </c>
      <c r="M1255" s="36">
        <v>350.0</v>
      </c>
      <c r="N1255" s="36"/>
      <c r="O1255" s="36"/>
      <c r="P1255" s="37" t="s">
        <v>6343</v>
      </c>
      <c r="Q1255" s="36" t="s">
        <v>6344</v>
      </c>
      <c r="R1255" s="36">
        <v>900.0</v>
      </c>
      <c r="S1255" s="36">
        <v>1.0</v>
      </c>
      <c r="T1255" s="187" t="s">
        <v>6345</v>
      </c>
      <c r="U1255" s="161" t="str">
        <f>HYPERLINK("https://www.ncbi.nlm.nih.gov/pubmed/24155546","PubMed")</f>
        <v>PubMed</v>
      </c>
      <c r="V1255" s="30" t="s">
        <v>6346</v>
      </c>
      <c r="W1255" s="162"/>
      <c r="X1255" s="156"/>
      <c r="Y1255" s="35"/>
      <c r="Z1255" s="35"/>
      <c r="AA1255" s="35"/>
      <c r="AB1255" s="35"/>
      <c r="AC1255" s="35"/>
      <c r="AD1255" s="35"/>
      <c r="AE1255" s="35"/>
      <c r="AF1255" s="35"/>
      <c r="AG1255" s="35"/>
      <c r="AH1255" s="35"/>
      <c r="AI1255" s="35"/>
      <c r="AJ1255" s="35"/>
      <c r="AK1255" s="35"/>
      <c r="AL1255" s="35"/>
    </row>
    <row r="1256">
      <c r="A1256" s="89"/>
      <c r="B1256" s="157" t="s">
        <v>3034</v>
      </c>
      <c r="C1256" s="158" t="s">
        <v>6347</v>
      </c>
      <c r="D1256" s="159"/>
      <c r="E1256" s="56" t="s">
        <v>6348</v>
      </c>
      <c r="F1256" s="22" t="s">
        <v>6349</v>
      </c>
      <c r="G1256" s="57">
        <v>2012.0</v>
      </c>
      <c r="H1256" s="22" t="s">
        <v>6350</v>
      </c>
      <c r="I1256" s="58" t="s">
        <v>6351</v>
      </c>
      <c r="J1256" s="22" t="s">
        <v>6352</v>
      </c>
      <c r="K1256" s="22"/>
      <c r="L1256" s="36" t="s">
        <v>58</v>
      </c>
      <c r="M1256" s="36" t="s">
        <v>6353</v>
      </c>
      <c r="N1256" s="36" t="s">
        <v>58</v>
      </c>
      <c r="O1256" s="36" t="s">
        <v>58</v>
      </c>
      <c r="P1256" s="37" t="s">
        <v>58</v>
      </c>
      <c r="Q1256" s="36" t="s">
        <v>58</v>
      </c>
      <c r="R1256" s="36" t="s">
        <v>58</v>
      </c>
      <c r="S1256" s="36" t="s">
        <v>6354</v>
      </c>
      <c r="T1256" s="187" t="s">
        <v>6355</v>
      </c>
      <c r="U1256" s="161" t="str">
        <f>HYPERLINK("https://www.ncbi.nlm.nih.gov/pubmed/22488283","PubMed")</f>
        <v>PubMed</v>
      </c>
      <c r="V1256" s="30"/>
      <c r="W1256" s="162"/>
      <c r="X1256" s="156"/>
      <c r="Y1256" s="35"/>
      <c r="Z1256" s="35"/>
      <c r="AA1256" s="35"/>
      <c r="AB1256" s="35"/>
      <c r="AC1256" s="35"/>
      <c r="AD1256" s="35"/>
      <c r="AE1256" s="35"/>
      <c r="AF1256" s="35"/>
      <c r="AG1256" s="35"/>
      <c r="AH1256" s="35"/>
      <c r="AI1256" s="35"/>
      <c r="AJ1256" s="35"/>
      <c r="AK1256" s="35"/>
      <c r="AL1256" s="35"/>
    </row>
    <row r="1257">
      <c r="A1257" s="89"/>
      <c r="B1257" s="157" t="s">
        <v>3034</v>
      </c>
      <c r="C1257" s="158" t="s">
        <v>6356</v>
      </c>
      <c r="D1257" s="159"/>
      <c r="E1257" s="56" t="s">
        <v>5517</v>
      </c>
      <c r="F1257" s="22" t="s">
        <v>1398</v>
      </c>
      <c r="G1257" s="57">
        <v>2005.0</v>
      </c>
      <c r="H1257" s="22" t="s">
        <v>292</v>
      </c>
      <c r="I1257" s="58" t="s">
        <v>6357</v>
      </c>
      <c r="J1257" s="22" t="s">
        <v>6358</v>
      </c>
      <c r="K1257" s="22"/>
      <c r="L1257" s="36">
        <v>830.0</v>
      </c>
      <c r="M1257" s="36">
        <v>60.0</v>
      </c>
      <c r="N1257" s="36"/>
      <c r="O1257" s="36"/>
      <c r="P1257" s="37" t="s">
        <v>6359</v>
      </c>
      <c r="Q1257" s="36"/>
      <c r="R1257" s="36"/>
      <c r="S1257" s="36">
        <v>1.0</v>
      </c>
      <c r="T1257" s="160" t="s">
        <v>6360</v>
      </c>
      <c r="U1257" s="161" t="str">
        <f>HYPERLINK("https://www.jstage.jst.go.jp/article/islsm/14/2/14_2_83/_article/-char/en","J-STAGE")</f>
        <v>J-STAGE</v>
      </c>
      <c r="V1257" s="30"/>
      <c r="W1257" s="162"/>
      <c r="X1257" s="156"/>
      <c r="Y1257" s="35"/>
      <c r="Z1257" s="35"/>
      <c r="AA1257" s="35"/>
      <c r="AB1257" s="35"/>
      <c r="AC1257" s="35"/>
      <c r="AD1257" s="35"/>
      <c r="AE1257" s="35"/>
      <c r="AF1257" s="35"/>
      <c r="AG1257" s="35"/>
      <c r="AH1257" s="35"/>
      <c r="AI1257" s="35"/>
      <c r="AJ1257" s="35"/>
      <c r="AK1257" s="35"/>
      <c r="AL1257" s="35"/>
    </row>
    <row r="1258">
      <c r="A1258" s="89"/>
      <c r="B1258" s="75" t="s">
        <v>3034</v>
      </c>
      <c r="C1258" s="158" t="s">
        <v>6361</v>
      </c>
      <c r="D1258" s="159"/>
      <c r="E1258" s="56" t="s">
        <v>6362</v>
      </c>
      <c r="F1258" s="22" t="s">
        <v>6363</v>
      </c>
      <c r="G1258" s="57">
        <v>2019.0</v>
      </c>
      <c r="H1258" s="22" t="s">
        <v>147</v>
      </c>
      <c r="I1258" s="58" t="s">
        <v>6364</v>
      </c>
      <c r="J1258" s="22" t="s">
        <v>6365</v>
      </c>
      <c r="K1258" s="22" t="s">
        <v>157</v>
      </c>
      <c r="L1258" s="36">
        <v>633.0</v>
      </c>
      <c r="M1258" s="36"/>
      <c r="N1258" s="36"/>
      <c r="O1258" s="36"/>
      <c r="P1258" s="37"/>
      <c r="Q1258" s="36"/>
      <c r="R1258" s="36"/>
      <c r="S1258" s="36"/>
      <c r="T1258" s="160" t="s">
        <v>6366</v>
      </c>
      <c r="U1258" s="161" t="str">
        <f>HYPERLINK("https://www.ncbi.nlm.nih.gov/pubmed/31749955","PubMed")</f>
        <v>PubMed</v>
      </c>
      <c r="V1258" s="50"/>
      <c r="W1258" s="162"/>
      <c r="X1258" s="156"/>
      <c r="Y1258" s="35"/>
      <c r="Z1258" s="35"/>
      <c r="AA1258" s="35"/>
      <c r="AB1258" s="35"/>
      <c r="AC1258" s="35"/>
      <c r="AD1258" s="35"/>
      <c r="AE1258" s="35"/>
      <c r="AF1258" s="35"/>
      <c r="AG1258" s="35"/>
      <c r="AH1258" s="35"/>
      <c r="AI1258" s="35"/>
      <c r="AJ1258" s="35"/>
      <c r="AK1258" s="35"/>
      <c r="AL1258" s="35"/>
    </row>
    <row r="1259">
      <c r="A1259" s="89"/>
      <c r="B1259" s="75" t="s">
        <v>3034</v>
      </c>
      <c r="C1259" s="76" t="s">
        <v>6367</v>
      </c>
      <c r="D1259" s="159"/>
      <c r="E1259" s="56" t="s">
        <v>714</v>
      </c>
      <c r="F1259" s="22" t="s">
        <v>41</v>
      </c>
      <c r="G1259" s="57">
        <v>2021.0</v>
      </c>
      <c r="H1259" s="22" t="s">
        <v>77</v>
      </c>
      <c r="I1259" s="58" t="s">
        <v>6368</v>
      </c>
      <c r="J1259" s="22" t="s">
        <v>3289</v>
      </c>
      <c r="K1259" s="22"/>
      <c r="L1259" s="43"/>
      <c r="M1259" s="44"/>
      <c r="N1259" s="44"/>
      <c r="O1259" s="44"/>
      <c r="P1259" s="44"/>
      <c r="Q1259" s="44"/>
      <c r="R1259" s="44"/>
      <c r="S1259" s="44"/>
      <c r="T1259" s="45"/>
      <c r="U1259" s="64" t="s">
        <v>61</v>
      </c>
      <c r="V1259" s="30" t="s">
        <v>6369</v>
      </c>
      <c r="W1259" s="162"/>
      <c r="X1259" s="156"/>
      <c r="Y1259" s="35"/>
      <c r="Z1259" s="35"/>
      <c r="AA1259" s="35"/>
      <c r="AB1259" s="35"/>
      <c r="AC1259" s="35"/>
      <c r="AD1259" s="35"/>
      <c r="AE1259" s="35"/>
      <c r="AF1259" s="35"/>
      <c r="AG1259" s="35"/>
      <c r="AH1259" s="35"/>
      <c r="AI1259" s="35"/>
      <c r="AJ1259" s="35"/>
      <c r="AK1259" s="35"/>
      <c r="AL1259" s="35"/>
    </row>
    <row r="1260">
      <c r="A1260" s="89"/>
      <c r="B1260" s="75" t="s">
        <v>3034</v>
      </c>
      <c r="C1260" s="77" t="s">
        <v>6370</v>
      </c>
      <c r="D1260" s="159"/>
      <c r="E1260" s="56" t="s">
        <v>6371</v>
      </c>
      <c r="F1260" s="22" t="s">
        <v>540</v>
      </c>
      <c r="G1260" s="57">
        <v>2021.0</v>
      </c>
      <c r="H1260" s="22" t="s">
        <v>191</v>
      </c>
      <c r="I1260" s="58" t="s">
        <v>6372</v>
      </c>
      <c r="J1260" s="22" t="s">
        <v>125</v>
      </c>
      <c r="K1260" s="22"/>
      <c r="L1260" s="43" t="s">
        <v>6373</v>
      </c>
      <c r="M1260" s="44"/>
      <c r="N1260" s="44"/>
      <c r="O1260" s="44"/>
      <c r="P1260" s="44"/>
      <c r="Q1260" s="44"/>
      <c r="R1260" s="44"/>
      <c r="S1260" s="44"/>
      <c r="T1260" s="45"/>
      <c r="U1260" s="64" t="s">
        <v>61</v>
      </c>
      <c r="V1260" s="50"/>
      <c r="W1260" s="162"/>
      <c r="X1260" s="156"/>
      <c r="Y1260" s="35"/>
      <c r="Z1260" s="35"/>
      <c r="AA1260" s="35"/>
      <c r="AB1260" s="35"/>
      <c r="AC1260" s="35"/>
      <c r="AD1260" s="35"/>
      <c r="AE1260" s="35"/>
      <c r="AF1260" s="35"/>
      <c r="AG1260" s="35"/>
      <c r="AH1260" s="35"/>
      <c r="AI1260" s="35"/>
      <c r="AJ1260" s="35"/>
      <c r="AK1260" s="35"/>
      <c r="AL1260" s="35"/>
    </row>
    <row r="1261">
      <c r="A1261" s="89"/>
      <c r="B1261" s="75" t="s">
        <v>3034</v>
      </c>
      <c r="C1261" s="77" t="s">
        <v>6370</v>
      </c>
      <c r="D1261" s="159"/>
      <c r="E1261" s="56" t="s">
        <v>6374</v>
      </c>
      <c r="F1261" s="22" t="s">
        <v>797</v>
      </c>
      <c r="G1261" s="57">
        <v>2023.0</v>
      </c>
      <c r="H1261" s="22" t="s">
        <v>91</v>
      </c>
      <c r="I1261" s="58" t="s">
        <v>6375</v>
      </c>
      <c r="J1261" s="22" t="s">
        <v>6376</v>
      </c>
      <c r="K1261" s="22"/>
      <c r="L1261" s="36">
        <v>810.0</v>
      </c>
      <c r="M1261" s="36">
        <v>1000.0</v>
      </c>
      <c r="N1261" s="36"/>
      <c r="O1261" s="36"/>
      <c r="P1261" s="37"/>
      <c r="Q1261" s="36" t="s">
        <v>6377</v>
      </c>
      <c r="R1261" s="36"/>
      <c r="S1261" s="36">
        <v>1.0</v>
      </c>
      <c r="T1261" s="187" t="s">
        <v>6378</v>
      </c>
      <c r="U1261" s="60" t="s">
        <v>61</v>
      </c>
      <c r="V1261" s="50"/>
      <c r="W1261" s="162"/>
      <c r="X1261" s="156"/>
      <c r="Y1261" s="35"/>
      <c r="Z1261" s="35"/>
      <c r="AA1261" s="35"/>
      <c r="AB1261" s="35"/>
      <c r="AC1261" s="35"/>
      <c r="AD1261" s="35"/>
      <c r="AE1261" s="35"/>
      <c r="AF1261" s="35"/>
      <c r="AG1261" s="35"/>
      <c r="AH1261" s="35"/>
      <c r="AI1261" s="35"/>
      <c r="AJ1261" s="35"/>
      <c r="AK1261" s="35"/>
      <c r="AL1261" s="35"/>
    </row>
    <row r="1262">
      <c r="A1262" s="89"/>
      <c r="B1262" s="75" t="s">
        <v>3034</v>
      </c>
      <c r="C1262" s="77" t="s">
        <v>6370</v>
      </c>
      <c r="D1262" s="159"/>
      <c r="E1262" s="56" t="s">
        <v>5311</v>
      </c>
      <c r="F1262" s="22" t="s">
        <v>5312</v>
      </c>
      <c r="G1262" s="57">
        <v>2020.0</v>
      </c>
      <c r="H1262" s="22" t="s">
        <v>42</v>
      </c>
      <c r="I1262" s="58" t="s">
        <v>6379</v>
      </c>
      <c r="J1262" s="22" t="s">
        <v>31</v>
      </c>
      <c r="K1262" s="22"/>
      <c r="L1262" s="36">
        <v>780.0</v>
      </c>
      <c r="M1262" s="36"/>
      <c r="N1262" s="36" t="s">
        <v>6380</v>
      </c>
      <c r="O1262" s="36"/>
      <c r="P1262" s="37"/>
      <c r="Q1262" s="36"/>
      <c r="R1262" s="36"/>
      <c r="S1262" s="36"/>
      <c r="T1262" s="160" t="s">
        <v>6381</v>
      </c>
      <c r="U1262" s="64" t="s">
        <v>61</v>
      </c>
      <c r="V1262" s="50"/>
      <c r="W1262" s="162"/>
      <c r="X1262" s="156"/>
      <c r="Y1262" s="35"/>
      <c r="Z1262" s="35"/>
      <c r="AA1262" s="35"/>
      <c r="AB1262" s="35"/>
      <c r="AC1262" s="35"/>
      <c r="AD1262" s="35"/>
      <c r="AE1262" s="35"/>
      <c r="AF1262" s="35"/>
      <c r="AG1262" s="35"/>
      <c r="AH1262" s="35"/>
      <c r="AI1262" s="35"/>
      <c r="AJ1262" s="35"/>
      <c r="AK1262" s="35"/>
      <c r="AL1262" s="35"/>
    </row>
    <row r="1263">
      <c r="A1263" s="89"/>
      <c r="B1263" s="75" t="s">
        <v>3034</v>
      </c>
      <c r="C1263" s="77" t="s">
        <v>6370</v>
      </c>
      <c r="D1263" s="159"/>
      <c r="E1263" s="56" t="s">
        <v>1689</v>
      </c>
      <c r="F1263" s="22" t="s">
        <v>6382</v>
      </c>
      <c r="G1263" s="57">
        <v>2019.0</v>
      </c>
      <c r="H1263" s="22" t="s">
        <v>6383</v>
      </c>
      <c r="I1263" s="58" t="s">
        <v>6384</v>
      </c>
      <c r="J1263" s="22" t="s">
        <v>31</v>
      </c>
      <c r="K1263" s="22"/>
      <c r="L1263" s="36">
        <v>650.0</v>
      </c>
      <c r="M1263" s="36"/>
      <c r="N1263" s="129"/>
      <c r="O1263" s="36"/>
      <c r="P1263" s="37" t="s">
        <v>6385</v>
      </c>
      <c r="Q1263" s="36"/>
      <c r="R1263" s="36"/>
      <c r="S1263" s="36"/>
      <c r="T1263" s="160" t="s">
        <v>6386</v>
      </c>
      <c r="U1263" s="161" t="str">
        <f>HYPERLINK("https://www.ncbi.nlm.nih.gov/pubmed/31734375","PubMed")</f>
        <v>PubMed</v>
      </c>
      <c r="V1263" s="50"/>
      <c r="W1263" s="162"/>
      <c r="X1263" s="156"/>
      <c r="Y1263" s="35"/>
      <c r="Z1263" s="35"/>
      <c r="AA1263" s="35"/>
      <c r="AB1263" s="35"/>
      <c r="AC1263" s="35"/>
      <c r="AD1263" s="35"/>
      <c r="AE1263" s="35"/>
      <c r="AF1263" s="35"/>
      <c r="AG1263" s="35"/>
      <c r="AH1263" s="35"/>
      <c r="AI1263" s="35"/>
      <c r="AJ1263" s="35"/>
      <c r="AK1263" s="35"/>
      <c r="AL1263" s="35"/>
    </row>
    <row r="1264">
      <c r="A1264" s="89"/>
      <c r="B1264" s="75" t="s">
        <v>3034</v>
      </c>
      <c r="C1264" s="77" t="s">
        <v>6370</v>
      </c>
      <c r="D1264" s="159"/>
      <c r="E1264" s="56" t="s">
        <v>6387</v>
      </c>
      <c r="F1264" s="22" t="s">
        <v>1622</v>
      </c>
      <c r="G1264" s="57">
        <v>2018.0</v>
      </c>
      <c r="H1264" s="22" t="s">
        <v>6388</v>
      </c>
      <c r="I1264" s="58" t="s">
        <v>6389</v>
      </c>
      <c r="J1264" s="22" t="s">
        <v>31</v>
      </c>
      <c r="K1264" s="22" t="s">
        <v>6390</v>
      </c>
      <c r="L1264" s="36" t="s">
        <v>6391</v>
      </c>
      <c r="M1264" s="36"/>
      <c r="N1264" s="129"/>
      <c r="O1264" s="36"/>
      <c r="P1264" s="37" t="s">
        <v>6392</v>
      </c>
      <c r="Q1264" s="36"/>
      <c r="R1264" s="36"/>
      <c r="S1264" s="36">
        <v>1.0</v>
      </c>
      <c r="T1264" s="160" t="s">
        <v>6393</v>
      </c>
      <c r="U1264" s="161" t="str">
        <f>HYPERLINK("https://www.ncbi.nlm.nih.gov/pubmed/30046164","PubMed")</f>
        <v>PubMed</v>
      </c>
      <c r="V1264" s="50"/>
      <c r="W1264" s="162"/>
      <c r="X1264" s="156"/>
      <c r="Y1264" s="35"/>
      <c r="Z1264" s="35"/>
      <c r="AA1264" s="35"/>
      <c r="AB1264" s="35"/>
      <c r="AC1264" s="35"/>
      <c r="AD1264" s="35"/>
      <c r="AE1264" s="35"/>
      <c r="AF1264" s="35"/>
      <c r="AG1264" s="35"/>
      <c r="AH1264" s="35"/>
      <c r="AI1264" s="35"/>
      <c r="AJ1264" s="35"/>
      <c r="AK1264" s="35"/>
      <c r="AL1264" s="35"/>
    </row>
    <row r="1265">
      <c r="A1265" s="89"/>
      <c r="B1265" s="157" t="s">
        <v>3034</v>
      </c>
      <c r="C1265" s="158" t="s">
        <v>6370</v>
      </c>
      <c r="D1265" s="159"/>
      <c r="E1265" s="56" t="s">
        <v>6394</v>
      </c>
      <c r="F1265" s="22" t="s">
        <v>1046</v>
      </c>
      <c r="G1265" s="57">
        <v>2018.0</v>
      </c>
      <c r="H1265" s="22" t="s">
        <v>91</v>
      </c>
      <c r="I1265" s="58" t="s">
        <v>6395</v>
      </c>
      <c r="J1265" s="22" t="s">
        <v>31</v>
      </c>
      <c r="K1265" s="22" t="s">
        <v>6396</v>
      </c>
      <c r="L1265" s="36">
        <v>675.0</v>
      </c>
      <c r="M1265" s="36"/>
      <c r="N1265" s="129"/>
      <c r="O1265" s="36"/>
      <c r="P1265" s="37" t="s">
        <v>6397</v>
      </c>
      <c r="Q1265" s="36"/>
      <c r="R1265" s="36"/>
      <c r="S1265" s="36"/>
      <c r="T1265" s="163" t="s">
        <v>6398</v>
      </c>
      <c r="U1265" s="161" t="str">
        <f>HYPERLINK("https://www.ncbi.nlm.nih.gov/pubmed/29603107","PubMed")</f>
        <v>PubMed</v>
      </c>
      <c r="V1265" s="50"/>
      <c r="W1265" s="162"/>
      <c r="X1265" s="156"/>
      <c r="Y1265" s="35"/>
      <c r="Z1265" s="35"/>
      <c r="AA1265" s="35"/>
      <c r="AB1265" s="35"/>
      <c r="AC1265" s="35"/>
      <c r="AD1265" s="35"/>
      <c r="AE1265" s="35"/>
      <c r="AF1265" s="35"/>
      <c r="AG1265" s="35"/>
      <c r="AH1265" s="35"/>
      <c r="AI1265" s="35"/>
      <c r="AJ1265" s="35"/>
      <c r="AK1265" s="35"/>
      <c r="AL1265" s="35"/>
    </row>
    <row r="1266">
      <c r="A1266" s="89"/>
      <c r="B1266" s="157" t="s">
        <v>3034</v>
      </c>
      <c r="C1266" s="158" t="s">
        <v>6370</v>
      </c>
      <c r="D1266" s="159"/>
      <c r="E1266" s="56" t="s">
        <v>6399</v>
      </c>
      <c r="F1266" s="22" t="s">
        <v>5404</v>
      </c>
      <c r="G1266" s="57">
        <v>2016.0</v>
      </c>
      <c r="H1266" s="22" t="s">
        <v>91</v>
      </c>
      <c r="I1266" s="58" t="s">
        <v>6400</v>
      </c>
      <c r="J1266" s="22" t="s">
        <v>6401</v>
      </c>
      <c r="K1266" s="22"/>
      <c r="L1266" s="36">
        <v>808.0</v>
      </c>
      <c r="M1266" s="36">
        <v>50.0</v>
      </c>
      <c r="N1266" s="129">
        <v>42522.0</v>
      </c>
      <c r="O1266" s="36">
        <v>20.0</v>
      </c>
      <c r="P1266" s="37"/>
      <c r="Q1266" s="36" t="s">
        <v>6402</v>
      </c>
      <c r="R1266" s="36"/>
      <c r="S1266" s="36" t="s">
        <v>6403</v>
      </c>
      <c r="T1266" s="163" t="s">
        <v>6404</v>
      </c>
      <c r="U1266" s="161" t="str">
        <f>HYPERLINK("https://www.ncbi.nlm.nih.gov/pubmed/27299570","PubMed")</f>
        <v>PubMed</v>
      </c>
      <c r="V1266" s="50"/>
      <c r="W1266" s="162"/>
      <c r="X1266" s="156"/>
      <c r="Y1266" s="35"/>
      <c r="Z1266" s="35"/>
      <c r="AA1266" s="35"/>
      <c r="AB1266" s="35"/>
      <c r="AC1266" s="35"/>
      <c r="AD1266" s="35"/>
      <c r="AE1266" s="35"/>
      <c r="AF1266" s="35"/>
      <c r="AG1266" s="35"/>
      <c r="AH1266" s="35"/>
      <c r="AI1266" s="35"/>
      <c r="AJ1266" s="35"/>
      <c r="AK1266" s="35"/>
      <c r="AL1266" s="35"/>
    </row>
    <row r="1267">
      <c r="A1267" s="89"/>
      <c r="B1267" s="157" t="s">
        <v>3034</v>
      </c>
      <c r="C1267" s="158" t="s">
        <v>6370</v>
      </c>
      <c r="D1267" s="159"/>
      <c r="E1267" s="56" t="s">
        <v>6405</v>
      </c>
      <c r="F1267" s="22" t="s">
        <v>6406</v>
      </c>
      <c r="G1267" s="57">
        <v>2015.0</v>
      </c>
      <c r="H1267" s="22" t="s">
        <v>91</v>
      </c>
      <c r="I1267" s="58" t="s">
        <v>6407</v>
      </c>
      <c r="J1267" s="22" t="s">
        <v>31</v>
      </c>
      <c r="K1267" s="22"/>
      <c r="L1267" s="36">
        <v>635.0</v>
      </c>
      <c r="M1267" s="36"/>
      <c r="N1267" s="36" t="s">
        <v>6408</v>
      </c>
      <c r="O1267" s="36"/>
      <c r="P1267" s="37" t="s">
        <v>6409</v>
      </c>
      <c r="Q1267" s="36"/>
      <c r="R1267" s="36"/>
      <c r="S1267" s="36"/>
      <c r="T1267" s="160" t="s">
        <v>6410</v>
      </c>
      <c r="U1267" s="161" t="str">
        <f>HYPERLINK("https://www.ncbi.nlm.nih.gov/pubmed/25231826","PubMed")</f>
        <v>PubMed</v>
      </c>
      <c r="V1267" s="50"/>
      <c r="W1267" s="162"/>
      <c r="X1267" s="156"/>
      <c r="Y1267" s="35"/>
      <c r="Z1267" s="35"/>
      <c r="AA1267" s="35"/>
      <c r="AB1267" s="35"/>
      <c r="AC1267" s="35"/>
      <c r="AD1267" s="35"/>
      <c r="AE1267" s="35"/>
      <c r="AF1267" s="35"/>
      <c r="AG1267" s="35"/>
      <c r="AH1267" s="35"/>
      <c r="AI1267" s="35"/>
      <c r="AJ1267" s="35"/>
      <c r="AK1267" s="35"/>
      <c r="AL1267" s="35"/>
    </row>
    <row r="1268">
      <c r="A1268" s="89"/>
      <c r="B1268" s="157" t="s">
        <v>3034</v>
      </c>
      <c r="C1268" s="158" t="s">
        <v>6370</v>
      </c>
      <c r="D1268" s="159"/>
      <c r="E1268" s="56" t="s">
        <v>6411</v>
      </c>
      <c r="F1268" s="22" t="s">
        <v>3864</v>
      </c>
      <c r="G1268" s="57">
        <v>2013.0</v>
      </c>
      <c r="H1268" s="22" t="s">
        <v>6320</v>
      </c>
      <c r="I1268" s="58" t="s">
        <v>6412</v>
      </c>
      <c r="J1268" s="22" t="s">
        <v>31</v>
      </c>
      <c r="K1268" s="22" t="s">
        <v>294</v>
      </c>
      <c r="L1268" s="36" t="s">
        <v>6413</v>
      </c>
      <c r="M1268" s="36"/>
      <c r="N1268" s="36" t="s">
        <v>6414</v>
      </c>
      <c r="O1268" s="36"/>
      <c r="P1268" s="37" t="s">
        <v>6415</v>
      </c>
      <c r="Q1268" s="36"/>
      <c r="R1268" s="36"/>
      <c r="S1268" s="36"/>
      <c r="T1268" s="160" t="s">
        <v>6416</v>
      </c>
      <c r="U1268" s="161" t="str">
        <f>HYPERLINK("https://www.ncbi.nlm.nih.gov/pubmed/23959736","PubMed")</f>
        <v>PubMed</v>
      </c>
      <c r="V1268" s="50"/>
      <c r="W1268" s="162"/>
      <c r="X1268" s="156"/>
      <c r="Y1268" s="35"/>
      <c r="Z1268" s="35"/>
      <c r="AA1268" s="35"/>
      <c r="AB1268" s="35"/>
      <c r="AC1268" s="35"/>
      <c r="AD1268" s="35"/>
      <c r="AE1268" s="35"/>
      <c r="AF1268" s="35"/>
      <c r="AG1268" s="35"/>
      <c r="AH1268" s="35"/>
      <c r="AI1268" s="35"/>
      <c r="AJ1268" s="35"/>
      <c r="AK1268" s="35"/>
      <c r="AL1268" s="35"/>
    </row>
    <row r="1269">
      <c r="A1269" s="89"/>
      <c r="B1269" s="157" t="s">
        <v>3034</v>
      </c>
      <c r="C1269" s="158" t="s">
        <v>6370</v>
      </c>
      <c r="D1269" s="159"/>
      <c r="E1269" s="56" t="s">
        <v>6417</v>
      </c>
      <c r="F1269" s="22" t="s">
        <v>5404</v>
      </c>
      <c r="G1269" s="57">
        <v>2013.0</v>
      </c>
      <c r="H1269" s="22" t="s">
        <v>372</v>
      </c>
      <c r="I1269" s="58" t="s">
        <v>6418</v>
      </c>
      <c r="J1269" s="22" t="s">
        <v>31</v>
      </c>
      <c r="K1269" s="22" t="s">
        <v>1112</v>
      </c>
      <c r="L1269" s="36">
        <v>808.0</v>
      </c>
      <c r="M1269" s="36">
        <v>50.0</v>
      </c>
      <c r="N1269" s="36"/>
      <c r="O1269" s="36"/>
      <c r="P1269" s="37" t="s">
        <v>6419</v>
      </c>
      <c r="Q1269" s="36"/>
      <c r="R1269" s="36" t="s">
        <v>6420</v>
      </c>
      <c r="S1269" s="36"/>
      <c r="T1269" s="160" t="s">
        <v>6421</v>
      </c>
      <c r="U1269" s="161" t="str">
        <f>HYPERLINK("https://www.ncbi.nlm.nih.gov/pubmed/23606686","PubMed")</f>
        <v>PubMed</v>
      </c>
      <c r="V1269" s="50"/>
      <c r="W1269" s="162"/>
      <c r="X1269" s="156"/>
      <c r="Y1269" s="35"/>
      <c r="Z1269" s="35"/>
      <c r="AA1269" s="35"/>
      <c r="AB1269" s="35"/>
      <c r="AC1269" s="35"/>
      <c r="AD1269" s="35"/>
      <c r="AE1269" s="35"/>
      <c r="AF1269" s="35"/>
      <c r="AG1269" s="35"/>
      <c r="AH1269" s="35"/>
      <c r="AI1269" s="35"/>
      <c r="AJ1269" s="35"/>
      <c r="AK1269" s="35"/>
      <c r="AL1269" s="35"/>
    </row>
    <row r="1270">
      <c r="A1270" s="89"/>
      <c r="B1270" s="157" t="s">
        <v>3034</v>
      </c>
      <c r="C1270" s="158" t="s">
        <v>6370</v>
      </c>
      <c r="D1270" s="159"/>
      <c r="E1270" s="56" t="s">
        <v>2195</v>
      </c>
      <c r="F1270" s="22" t="s">
        <v>1508</v>
      </c>
      <c r="G1270" s="57">
        <v>2008.0</v>
      </c>
      <c r="H1270" s="22" t="s">
        <v>53</v>
      </c>
      <c r="I1270" s="58" t="s">
        <v>6422</v>
      </c>
      <c r="J1270" s="22" t="s">
        <v>31</v>
      </c>
      <c r="K1270" s="22" t="s">
        <v>1827</v>
      </c>
      <c r="L1270" s="36">
        <v>633.0</v>
      </c>
      <c r="M1270" s="36">
        <v>5.0</v>
      </c>
      <c r="N1270" s="129"/>
      <c r="O1270" s="36"/>
      <c r="P1270" s="37" t="s">
        <v>6423</v>
      </c>
      <c r="Q1270" s="36"/>
      <c r="R1270" s="36"/>
      <c r="S1270" s="36"/>
      <c r="T1270" s="160" t="s">
        <v>6424</v>
      </c>
      <c r="U1270" s="161" t="str">
        <f>HYPERLINK("https://www.ncbi.nlm.nih.gov/pubmed/18220263","PubMed")</f>
        <v>PubMed</v>
      </c>
      <c r="V1270" s="50"/>
      <c r="W1270" s="162"/>
      <c r="X1270" s="156"/>
      <c r="Y1270" s="35"/>
      <c r="Z1270" s="35"/>
      <c r="AA1270" s="35"/>
      <c r="AB1270" s="35"/>
      <c r="AC1270" s="35"/>
      <c r="AD1270" s="35"/>
      <c r="AE1270" s="35"/>
      <c r="AF1270" s="35"/>
      <c r="AG1270" s="35"/>
      <c r="AH1270" s="35"/>
      <c r="AI1270" s="35"/>
      <c r="AJ1270" s="35"/>
      <c r="AK1270" s="35"/>
      <c r="AL1270" s="35"/>
    </row>
    <row r="1271">
      <c r="A1271" s="89"/>
      <c r="B1271" s="157" t="s">
        <v>3034</v>
      </c>
      <c r="C1271" s="158" t="s">
        <v>6370</v>
      </c>
      <c r="D1271" s="159"/>
      <c r="E1271" s="56" t="s">
        <v>6425</v>
      </c>
      <c r="F1271" s="22" t="s">
        <v>1603</v>
      </c>
      <c r="G1271" s="57">
        <v>2003.0</v>
      </c>
      <c r="H1271" s="22" t="s">
        <v>6426</v>
      </c>
      <c r="I1271" s="58" t="s">
        <v>6427</v>
      </c>
      <c r="J1271" s="22" t="s">
        <v>31</v>
      </c>
      <c r="K1271" s="22" t="s">
        <v>6428</v>
      </c>
      <c r="L1271" s="36">
        <v>670.0</v>
      </c>
      <c r="M1271" s="36"/>
      <c r="N1271" s="36" t="s">
        <v>6429</v>
      </c>
      <c r="O1271" s="36"/>
      <c r="P1271" s="37" t="s">
        <v>6430</v>
      </c>
      <c r="Q1271" s="36"/>
      <c r="R1271" s="36"/>
      <c r="S1271" s="36"/>
      <c r="T1271" s="160" t="s">
        <v>6431</v>
      </c>
      <c r="U1271" s="161" t="str">
        <f>HYPERLINK("https://www.ncbi.nlm.nih.gov/pubmed/12588388","PubMed")</f>
        <v>PubMed</v>
      </c>
      <c r="V1271" s="50"/>
      <c r="W1271" s="162"/>
      <c r="X1271" s="156"/>
      <c r="Y1271" s="35"/>
      <c r="Z1271" s="35"/>
      <c r="AA1271" s="35"/>
      <c r="AB1271" s="35"/>
      <c r="AC1271" s="35"/>
      <c r="AD1271" s="35"/>
      <c r="AE1271" s="35"/>
      <c r="AF1271" s="35"/>
      <c r="AG1271" s="35"/>
      <c r="AH1271" s="35"/>
      <c r="AI1271" s="35"/>
      <c r="AJ1271" s="35"/>
      <c r="AK1271" s="35"/>
      <c r="AL1271" s="35"/>
    </row>
    <row r="1272">
      <c r="A1272" s="89"/>
      <c r="B1272" s="157" t="s">
        <v>3034</v>
      </c>
      <c r="C1272" s="158" t="s">
        <v>6370</v>
      </c>
      <c r="D1272" s="159"/>
      <c r="E1272" s="56" t="s">
        <v>6202</v>
      </c>
      <c r="F1272" s="22" t="s">
        <v>2052</v>
      </c>
      <c r="G1272" s="57">
        <v>2001.0</v>
      </c>
      <c r="H1272" s="22" t="s">
        <v>53</v>
      </c>
      <c r="I1272" s="58" t="s">
        <v>6432</v>
      </c>
      <c r="J1272" s="22" t="s">
        <v>31</v>
      </c>
      <c r="K1272" s="22" t="s">
        <v>1827</v>
      </c>
      <c r="L1272" s="36">
        <v>633.0</v>
      </c>
      <c r="M1272" s="36"/>
      <c r="N1272" s="129"/>
      <c r="O1272" s="36"/>
      <c r="P1272" s="37" t="s">
        <v>6433</v>
      </c>
      <c r="Q1272" s="36"/>
      <c r="R1272" s="36"/>
      <c r="S1272" s="36"/>
      <c r="T1272" s="160" t="s">
        <v>6434</v>
      </c>
      <c r="U1272" s="161" t="str">
        <f>HYPERLINK("https://www.ncbi.nlm.nih.gov/pubmed/11344517","PubMed")</f>
        <v>PubMed</v>
      </c>
      <c r="V1272" s="50"/>
      <c r="W1272" s="162"/>
      <c r="X1272" s="156"/>
      <c r="Y1272" s="35"/>
      <c r="Z1272" s="35"/>
      <c r="AA1272" s="35"/>
      <c r="AB1272" s="35"/>
      <c r="AC1272" s="35"/>
      <c r="AD1272" s="35"/>
      <c r="AE1272" s="35"/>
      <c r="AF1272" s="35"/>
      <c r="AG1272" s="35"/>
      <c r="AH1272" s="35"/>
      <c r="AI1272" s="35"/>
      <c r="AJ1272" s="35"/>
      <c r="AK1272" s="35"/>
      <c r="AL1272" s="35"/>
    </row>
    <row r="1273">
      <c r="A1273" s="89"/>
      <c r="B1273" s="157" t="s">
        <v>3034</v>
      </c>
      <c r="C1273" s="158" t="s">
        <v>6370</v>
      </c>
      <c r="D1273" s="159"/>
      <c r="E1273" s="56" t="s">
        <v>6435</v>
      </c>
      <c r="F1273" s="22" t="s">
        <v>5223</v>
      </c>
      <c r="G1273" s="57">
        <v>1992.0</v>
      </c>
      <c r="H1273" s="22" t="s">
        <v>6436</v>
      </c>
      <c r="I1273" s="58" t="s">
        <v>6437</v>
      </c>
      <c r="J1273" s="22" t="s">
        <v>31</v>
      </c>
      <c r="K1273" s="22" t="s">
        <v>6438</v>
      </c>
      <c r="L1273" s="36" t="s">
        <v>6439</v>
      </c>
      <c r="M1273" s="36"/>
      <c r="N1273" s="129"/>
      <c r="O1273" s="36"/>
      <c r="P1273" s="37" t="s">
        <v>6440</v>
      </c>
      <c r="Q1273" s="36"/>
      <c r="R1273" s="36"/>
      <c r="S1273" s="36"/>
      <c r="T1273" s="187" t="s">
        <v>6441</v>
      </c>
      <c r="U1273" s="161" t="str">
        <f>HYPERLINK("https://link.springer.com/chapter/10.1007/978-3-0348-7001-6_68","Springer")</f>
        <v>Springer</v>
      </c>
      <c r="V1273" s="50"/>
      <c r="W1273" s="162"/>
      <c r="X1273" s="156"/>
      <c r="Y1273" s="35"/>
      <c r="Z1273" s="35"/>
      <c r="AA1273" s="35"/>
      <c r="AB1273" s="35"/>
      <c r="AC1273" s="35"/>
      <c r="AD1273" s="35"/>
      <c r="AE1273" s="35"/>
      <c r="AF1273" s="35"/>
      <c r="AG1273" s="35"/>
      <c r="AH1273" s="35"/>
      <c r="AI1273" s="35"/>
      <c r="AJ1273" s="35"/>
      <c r="AK1273" s="35"/>
      <c r="AL1273" s="35"/>
    </row>
    <row r="1274">
      <c r="A1274" s="89"/>
      <c r="B1274" s="157" t="s">
        <v>3034</v>
      </c>
      <c r="C1274" s="158" t="s">
        <v>6442</v>
      </c>
      <c r="D1274" s="159"/>
      <c r="E1274" s="56" t="s">
        <v>6443</v>
      </c>
      <c r="F1274" s="22" t="s">
        <v>41</v>
      </c>
      <c r="G1274" s="57">
        <v>2019.0</v>
      </c>
      <c r="H1274" s="22" t="s">
        <v>91</v>
      </c>
      <c r="I1274" s="58" t="s">
        <v>6444</v>
      </c>
      <c r="J1274" s="22" t="s">
        <v>6445</v>
      </c>
      <c r="K1274" s="22"/>
      <c r="L1274" s="36">
        <v>850.0</v>
      </c>
      <c r="M1274" s="36">
        <v>50.0</v>
      </c>
      <c r="N1274" s="36"/>
      <c r="O1274" s="36">
        <v>2.0</v>
      </c>
      <c r="P1274" s="37"/>
      <c r="Q1274" s="36"/>
      <c r="R1274" s="36"/>
      <c r="S1274" s="36">
        <v>1.0</v>
      </c>
      <c r="T1274" s="163" t="s">
        <v>6446</v>
      </c>
      <c r="U1274" s="161" t="str">
        <f>HYPERLINK("https://www.ncbi.nlm.nih.gov/pubmed/31420794","PubMed")</f>
        <v>PubMed</v>
      </c>
      <c r="V1274" s="50"/>
      <c r="W1274" s="162"/>
      <c r="X1274" s="156"/>
      <c r="Y1274" s="35"/>
      <c r="Z1274" s="35"/>
      <c r="AA1274" s="35"/>
      <c r="AB1274" s="35"/>
      <c r="AC1274" s="35"/>
      <c r="AD1274" s="35"/>
      <c r="AE1274" s="35"/>
      <c r="AF1274" s="35"/>
      <c r="AG1274" s="35"/>
      <c r="AH1274" s="35"/>
      <c r="AI1274" s="35"/>
      <c r="AJ1274" s="35"/>
      <c r="AK1274" s="35"/>
      <c r="AL1274" s="35"/>
    </row>
    <row r="1275">
      <c r="A1275" s="89"/>
      <c r="B1275" s="157" t="s">
        <v>3034</v>
      </c>
      <c r="C1275" s="158" t="s">
        <v>6447</v>
      </c>
      <c r="D1275" s="159"/>
      <c r="E1275" s="56" t="s">
        <v>6292</v>
      </c>
      <c r="F1275" s="22" t="s">
        <v>323</v>
      </c>
      <c r="G1275" s="57">
        <v>2021.0</v>
      </c>
      <c r="H1275" s="22" t="s">
        <v>147</v>
      </c>
      <c r="I1275" s="58" t="s">
        <v>6448</v>
      </c>
      <c r="J1275" s="22" t="s">
        <v>55</v>
      </c>
      <c r="K1275" s="22"/>
      <c r="L1275" s="36">
        <v>830.0</v>
      </c>
      <c r="M1275" s="36"/>
      <c r="N1275" s="36" t="s">
        <v>573</v>
      </c>
      <c r="O1275" s="36"/>
      <c r="P1275" s="37" t="s">
        <v>6299</v>
      </c>
      <c r="Q1275" s="36" t="s">
        <v>6449</v>
      </c>
      <c r="R1275" s="36">
        <v>134.0</v>
      </c>
      <c r="S1275" s="36" t="s">
        <v>2396</v>
      </c>
      <c r="T1275" s="160" t="s">
        <v>6450</v>
      </c>
      <c r="U1275" s="64" t="s">
        <v>61</v>
      </c>
      <c r="V1275" s="50"/>
      <c r="W1275" s="162"/>
      <c r="X1275" s="156"/>
      <c r="Y1275" s="35"/>
      <c r="Z1275" s="35"/>
      <c r="AA1275" s="35"/>
      <c r="AB1275" s="35"/>
      <c r="AC1275" s="35"/>
      <c r="AD1275" s="35"/>
      <c r="AE1275" s="35"/>
      <c r="AF1275" s="35"/>
      <c r="AG1275" s="35"/>
      <c r="AH1275" s="35"/>
      <c r="AI1275" s="35"/>
      <c r="AJ1275" s="35"/>
      <c r="AK1275" s="35"/>
      <c r="AL1275" s="35"/>
    </row>
    <row r="1276">
      <c r="A1276" s="89"/>
      <c r="B1276" s="157" t="s">
        <v>3034</v>
      </c>
      <c r="C1276" s="158" t="s">
        <v>6451</v>
      </c>
      <c r="D1276" s="159"/>
      <c r="E1276" s="56" t="s">
        <v>6140</v>
      </c>
      <c r="F1276" s="22" t="s">
        <v>1905</v>
      </c>
      <c r="G1276" s="57">
        <v>2015.0</v>
      </c>
      <c r="H1276" s="22" t="s">
        <v>91</v>
      </c>
      <c r="I1276" s="58" t="s">
        <v>6452</v>
      </c>
      <c r="J1276" s="22" t="s">
        <v>44</v>
      </c>
      <c r="K1276" s="22" t="s">
        <v>6453</v>
      </c>
      <c r="L1276" s="36">
        <v>660.0</v>
      </c>
      <c r="M1276" s="36"/>
      <c r="N1276" s="36" t="s">
        <v>3911</v>
      </c>
      <c r="O1276" s="36"/>
      <c r="P1276" s="37" t="s">
        <v>480</v>
      </c>
      <c r="Q1276" s="36"/>
      <c r="R1276" s="36"/>
      <c r="S1276" s="36"/>
      <c r="T1276" s="160" t="s">
        <v>6454</v>
      </c>
      <c r="U1276" s="161" t="str">
        <f>HYPERLINK("https://www.ncbi.nlm.nih.gov/pubmed/25567209","PubMed")</f>
        <v>PubMed</v>
      </c>
      <c r="V1276" s="50"/>
      <c r="W1276" s="162"/>
      <c r="X1276" s="156"/>
      <c r="Y1276" s="35"/>
      <c r="Z1276" s="35"/>
      <c r="AA1276" s="35"/>
      <c r="AB1276" s="35"/>
      <c r="AC1276" s="35"/>
      <c r="AD1276" s="35"/>
      <c r="AE1276" s="35"/>
      <c r="AF1276" s="35"/>
      <c r="AG1276" s="35"/>
      <c r="AH1276" s="35"/>
      <c r="AI1276" s="35"/>
      <c r="AJ1276" s="35"/>
      <c r="AK1276" s="35"/>
      <c r="AL1276" s="35"/>
    </row>
    <row r="1277">
      <c r="A1277" s="89"/>
      <c r="B1277" s="157" t="s">
        <v>3034</v>
      </c>
      <c r="C1277" s="158" t="s">
        <v>6455</v>
      </c>
      <c r="D1277" s="159"/>
      <c r="E1277" s="56" t="s">
        <v>1801</v>
      </c>
      <c r="F1277" s="22" t="s">
        <v>358</v>
      </c>
      <c r="G1277" s="57">
        <v>2024.0</v>
      </c>
      <c r="H1277" s="22" t="s">
        <v>77</v>
      </c>
      <c r="I1277" s="58" t="s">
        <v>6456</v>
      </c>
      <c r="J1277" s="22" t="s">
        <v>6457</v>
      </c>
      <c r="K1277" s="22" t="s">
        <v>6458</v>
      </c>
      <c r="L1277" s="36"/>
      <c r="M1277" s="36"/>
      <c r="N1277" s="129"/>
      <c r="O1277" s="36"/>
      <c r="P1277" s="37"/>
      <c r="Q1277" s="36"/>
      <c r="R1277" s="36"/>
      <c r="S1277" s="36"/>
      <c r="T1277" s="163" t="s">
        <v>6459</v>
      </c>
      <c r="U1277" s="60" t="s">
        <v>61</v>
      </c>
      <c r="V1277" s="50"/>
      <c r="W1277" s="162"/>
      <c r="X1277" s="156"/>
      <c r="Y1277" s="35"/>
      <c r="Z1277" s="35"/>
      <c r="AA1277" s="35"/>
      <c r="AB1277" s="35"/>
      <c r="AC1277" s="35"/>
      <c r="AD1277" s="35"/>
      <c r="AE1277" s="35"/>
      <c r="AF1277" s="35"/>
      <c r="AG1277" s="35"/>
      <c r="AH1277" s="35"/>
      <c r="AI1277" s="35"/>
      <c r="AJ1277" s="35"/>
      <c r="AK1277" s="35"/>
      <c r="AL1277" s="35"/>
    </row>
    <row r="1278">
      <c r="A1278" s="89"/>
      <c r="B1278" s="157" t="s">
        <v>3034</v>
      </c>
      <c r="C1278" s="158" t="s">
        <v>6455</v>
      </c>
      <c r="D1278" s="159"/>
      <c r="E1278" s="56" t="s">
        <v>6460</v>
      </c>
      <c r="F1278" s="22" t="s">
        <v>274</v>
      </c>
      <c r="G1278" s="57">
        <v>2024.0</v>
      </c>
      <c r="H1278" s="22" t="s">
        <v>91</v>
      </c>
      <c r="I1278" s="58" t="s">
        <v>6461</v>
      </c>
      <c r="J1278" s="22" t="s">
        <v>55</v>
      </c>
      <c r="K1278" s="22"/>
      <c r="L1278" s="36">
        <v>660.0</v>
      </c>
      <c r="M1278" s="36"/>
      <c r="N1278" s="129"/>
      <c r="O1278" s="36"/>
      <c r="P1278" s="37"/>
      <c r="Q1278" s="36"/>
      <c r="R1278" s="36"/>
      <c r="S1278" s="36" t="s">
        <v>6462</v>
      </c>
      <c r="T1278" s="160" t="s">
        <v>6463</v>
      </c>
      <c r="U1278" s="60" t="s">
        <v>61</v>
      </c>
      <c r="V1278" s="50"/>
      <c r="W1278" s="162"/>
      <c r="X1278" s="156"/>
      <c r="Y1278" s="35"/>
      <c r="Z1278" s="35"/>
      <c r="AA1278" s="35"/>
      <c r="AB1278" s="35"/>
      <c r="AC1278" s="35"/>
      <c r="AD1278" s="35"/>
      <c r="AE1278" s="35"/>
      <c r="AF1278" s="35"/>
      <c r="AG1278" s="35"/>
      <c r="AH1278" s="35"/>
      <c r="AI1278" s="35"/>
      <c r="AJ1278" s="35"/>
      <c r="AK1278" s="35"/>
      <c r="AL1278" s="35"/>
    </row>
    <row r="1279">
      <c r="A1279" s="89"/>
      <c r="B1279" s="157" t="s">
        <v>3034</v>
      </c>
      <c r="C1279" s="158" t="s">
        <v>6455</v>
      </c>
      <c r="D1279" s="159"/>
      <c r="E1279" s="56" t="s">
        <v>6464</v>
      </c>
      <c r="F1279" s="22" t="s">
        <v>720</v>
      </c>
      <c r="G1279" s="57">
        <v>2023.0</v>
      </c>
      <c r="H1279" s="22" t="s">
        <v>91</v>
      </c>
      <c r="I1279" s="58" t="s">
        <v>6465</v>
      </c>
      <c r="J1279" s="22" t="s">
        <v>55</v>
      </c>
      <c r="K1279" s="22"/>
      <c r="L1279" s="36">
        <v>660.0</v>
      </c>
      <c r="M1279" s="36">
        <v>100.0</v>
      </c>
      <c r="N1279" s="129">
        <v>45019.0</v>
      </c>
      <c r="O1279" s="36" t="s">
        <v>6466</v>
      </c>
      <c r="P1279" s="37" t="s">
        <v>6467</v>
      </c>
      <c r="Q1279" s="36" t="s">
        <v>6468</v>
      </c>
      <c r="R1279" s="36" t="s">
        <v>6469</v>
      </c>
      <c r="S1279" s="36" t="s">
        <v>2099</v>
      </c>
      <c r="T1279" s="160" t="s">
        <v>6470</v>
      </c>
      <c r="U1279" s="60" t="s">
        <v>61</v>
      </c>
      <c r="V1279" s="50"/>
      <c r="W1279" s="162"/>
      <c r="X1279" s="156"/>
      <c r="Y1279" s="35"/>
      <c r="Z1279" s="35"/>
      <c r="AA1279" s="35"/>
      <c r="AB1279" s="35"/>
      <c r="AC1279" s="35"/>
      <c r="AD1279" s="35"/>
      <c r="AE1279" s="35"/>
      <c r="AF1279" s="35"/>
      <c r="AG1279" s="35"/>
      <c r="AH1279" s="35"/>
      <c r="AI1279" s="35"/>
      <c r="AJ1279" s="35"/>
      <c r="AK1279" s="35"/>
      <c r="AL1279" s="35"/>
    </row>
    <row r="1280">
      <c r="A1280" s="89"/>
      <c r="B1280" s="157" t="s">
        <v>3034</v>
      </c>
      <c r="C1280" s="158" t="s">
        <v>6455</v>
      </c>
      <c r="D1280" s="159"/>
      <c r="E1280" s="56" t="s">
        <v>6471</v>
      </c>
      <c r="F1280" s="22" t="s">
        <v>274</v>
      </c>
      <c r="G1280" s="57">
        <v>2019.0</v>
      </c>
      <c r="H1280" s="22" t="s">
        <v>91</v>
      </c>
      <c r="I1280" s="58" t="s">
        <v>6472</v>
      </c>
      <c r="J1280" s="22" t="s">
        <v>55</v>
      </c>
      <c r="K1280" s="22" t="s">
        <v>1827</v>
      </c>
      <c r="L1280" s="36">
        <v>660.0</v>
      </c>
      <c r="M1280" s="36"/>
      <c r="N1280" s="36"/>
      <c r="O1280" s="36" t="s">
        <v>6473</v>
      </c>
      <c r="P1280" s="37"/>
      <c r="Q1280" s="36"/>
      <c r="R1280" s="36"/>
      <c r="T1280" s="160" t="s">
        <v>6474</v>
      </c>
      <c r="U1280" s="161" t="str">
        <f>HYPERLINK("https://www.ncbi.nlm.nih.gov/pubmed/31664552","PubMed")</f>
        <v>PubMed</v>
      </c>
      <c r="V1280" s="50"/>
      <c r="W1280" s="162"/>
      <c r="X1280" s="156"/>
      <c r="Y1280" s="35"/>
      <c r="Z1280" s="35"/>
      <c r="AA1280" s="35"/>
      <c r="AB1280" s="35"/>
      <c r="AC1280" s="35"/>
      <c r="AD1280" s="35"/>
      <c r="AE1280" s="35"/>
      <c r="AF1280" s="35"/>
      <c r="AG1280" s="35"/>
      <c r="AH1280" s="35"/>
      <c r="AI1280" s="35"/>
      <c r="AJ1280" s="35"/>
      <c r="AK1280" s="35"/>
      <c r="AL1280" s="35"/>
    </row>
    <row r="1281">
      <c r="A1281" s="89"/>
      <c r="B1281" s="157" t="s">
        <v>3034</v>
      </c>
      <c r="C1281" s="158" t="s">
        <v>6455</v>
      </c>
      <c r="D1281" s="159"/>
      <c r="E1281" s="56" t="s">
        <v>6475</v>
      </c>
      <c r="F1281" s="22" t="s">
        <v>274</v>
      </c>
      <c r="G1281" s="57">
        <v>2019.0</v>
      </c>
      <c r="H1281" s="22" t="s">
        <v>91</v>
      </c>
      <c r="I1281" s="58" t="s">
        <v>6476</v>
      </c>
      <c r="J1281" s="22" t="s">
        <v>55</v>
      </c>
      <c r="K1281" s="230" t="s">
        <v>172</v>
      </c>
      <c r="L1281" s="36">
        <v>660.0</v>
      </c>
      <c r="M1281" s="36">
        <v>100.0</v>
      </c>
      <c r="N1281" s="36" t="s">
        <v>6477</v>
      </c>
      <c r="O1281" s="36"/>
      <c r="P1281" s="37" t="s">
        <v>6478</v>
      </c>
      <c r="Q1281" s="36" t="s">
        <v>6479</v>
      </c>
      <c r="R1281" s="36" t="s">
        <v>6480</v>
      </c>
      <c r="T1281" s="160" t="s">
        <v>6481</v>
      </c>
      <c r="U1281" s="161" t="str">
        <f>HYPERLINK("https://www.ncbi.nlm.nih.gov/pubmed/31396793","PubMed")</f>
        <v>PubMed</v>
      </c>
      <c r="V1281" s="50"/>
      <c r="W1281" s="162"/>
      <c r="X1281" s="156"/>
      <c r="Y1281" s="35"/>
      <c r="Z1281" s="35"/>
      <c r="AA1281" s="35"/>
      <c r="AB1281" s="35"/>
      <c r="AC1281" s="35"/>
      <c r="AD1281" s="35"/>
      <c r="AE1281" s="35"/>
      <c r="AF1281" s="35"/>
      <c r="AG1281" s="35"/>
      <c r="AH1281" s="35"/>
      <c r="AI1281" s="35"/>
      <c r="AJ1281" s="35"/>
      <c r="AK1281" s="35"/>
      <c r="AL1281" s="35"/>
    </row>
    <row r="1282">
      <c r="A1282" s="89"/>
      <c r="B1282" s="157" t="s">
        <v>3034</v>
      </c>
      <c r="C1282" s="158" t="s">
        <v>6455</v>
      </c>
      <c r="D1282" s="159"/>
      <c r="E1282" s="56" t="s">
        <v>6482</v>
      </c>
      <c r="F1282" s="22" t="s">
        <v>41</v>
      </c>
      <c r="G1282" s="57">
        <v>2019.0</v>
      </c>
      <c r="H1282" s="22" t="s">
        <v>3828</v>
      </c>
      <c r="I1282" s="58" t="s">
        <v>6483</v>
      </c>
      <c r="J1282" s="22" t="s">
        <v>2141</v>
      </c>
      <c r="K1282" s="22"/>
      <c r="L1282" s="168"/>
      <c r="M1282" s="168"/>
      <c r="N1282" s="168"/>
      <c r="O1282" s="168"/>
      <c r="P1282" s="169"/>
      <c r="Q1282" s="168"/>
      <c r="R1282" s="168"/>
      <c r="S1282" s="168"/>
      <c r="T1282" s="170" t="s">
        <v>6484</v>
      </c>
      <c r="U1282" s="161" t="str">
        <f>HYPERLINK("https://www.ncbi.nlm.nih.gov/pubmed/30946378","PubMed")</f>
        <v>PubMed</v>
      </c>
      <c r="V1282" s="50"/>
      <c r="W1282" s="162"/>
      <c r="X1282" s="156"/>
      <c r="Y1282" s="35"/>
      <c r="Z1282" s="35"/>
      <c r="AA1282" s="35"/>
      <c r="AB1282" s="35"/>
      <c r="AC1282" s="35"/>
      <c r="AD1282" s="35"/>
      <c r="AE1282" s="35"/>
      <c r="AF1282" s="35"/>
      <c r="AG1282" s="35"/>
      <c r="AH1282" s="35"/>
      <c r="AI1282" s="35"/>
      <c r="AJ1282" s="35"/>
      <c r="AK1282" s="35"/>
      <c r="AL1282" s="35"/>
    </row>
    <row r="1283">
      <c r="A1283" s="89"/>
      <c r="B1283" s="157" t="s">
        <v>3034</v>
      </c>
      <c r="C1283" s="158" t="s">
        <v>6455</v>
      </c>
      <c r="D1283" s="159"/>
      <c r="E1283" s="56" t="s">
        <v>6485</v>
      </c>
      <c r="F1283" s="22" t="s">
        <v>6486</v>
      </c>
      <c r="G1283" s="57">
        <v>2018.0</v>
      </c>
      <c r="H1283" s="22" t="s">
        <v>6487</v>
      </c>
      <c r="I1283" s="58" t="s">
        <v>6488</v>
      </c>
      <c r="J1283" s="22" t="s">
        <v>6489</v>
      </c>
      <c r="K1283" s="22" t="s">
        <v>6490</v>
      </c>
      <c r="L1283" s="36">
        <v>450.0</v>
      </c>
      <c r="M1283" s="36"/>
      <c r="N1283" s="36" t="s">
        <v>1692</v>
      </c>
      <c r="O1283" s="36"/>
      <c r="P1283" s="37" t="s">
        <v>6491</v>
      </c>
      <c r="Q1283" s="36"/>
      <c r="R1283" s="36">
        <v>1800.0</v>
      </c>
      <c r="S1283" s="36">
        <v>2.0</v>
      </c>
      <c r="T1283" s="160" t="s">
        <v>6492</v>
      </c>
      <c r="U1283" s="64" t="s">
        <v>61</v>
      </c>
      <c r="V1283" s="224"/>
      <c r="W1283" s="162"/>
      <c r="X1283" s="156"/>
      <c r="Y1283" s="35"/>
      <c r="Z1283" s="35"/>
      <c r="AA1283" s="35"/>
      <c r="AB1283" s="35"/>
      <c r="AC1283" s="35"/>
      <c r="AD1283" s="35"/>
      <c r="AE1283" s="35"/>
      <c r="AF1283" s="35"/>
      <c r="AG1283" s="35"/>
      <c r="AH1283" s="35"/>
      <c r="AI1283" s="35"/>
      <c r="AJ1283" s="35"/>
      <c r="AK1283" s="35"/>
      <c r="AL1283" s="35"/>
    </row>
    <row r="1284">
      <c r="A1284" s="89"/>
      <c r="B1284" s="157" t="s">
        <v>3034</v>
      </c>
      <c r="C1284" s="158" t="s">
        <v>6455</v>
      </c>
      <c r="D1284" s="159"/>
      <c r="E1284" s="56" t="s">
        <v>6493</v>
      </c>
      <c r="F1284" s="22" t="s">
        <v>6494</v>
      </c>
      <c r="G1284" s="57">
        <v>2018.0</v>
      </c>
      <c r="H1284" s="22" t="s">
        <v>6495</v>
      </c>
      <c r="I1284" s="58" t="s">
        <v>6496</v>
      </c>
      <c r="J1284" s="22" t="s">
        <v>6497</v>
      </c>
      <c r="K1284" s="22" t="s">
        <v>6498</v>
      </c>
      <c r="L1284" s="36">
        <v>635.0</v>
      </c>
      <c r="M1284" s="36"/>
      <c r="N1284" s="36"/>
      <c r="O1284" s="36"/>
      <c r="P1284" s="37"/>
      <c r="Q1284" s="36"/>
      <c r="R1284" s="36"/>
      <c r="S1284" s="36"/>
      <c r="T1284" s="231" t="s">
        <v>6499</v>
      </c>
      <c r="U1284" s="161" t="str">
        <f>HYPERLINK("https://www.ncbi.nlm.nih.gov/pubmed/30448802","PubMed")</f>
        <v>PubMed</v>
      </c>
      <c r="V1284" s="224" t="s">
        <v>6500</v>
      </c>
      <c r="W1284" s="162"/>
      <c r="X1284" s="156"/>
      <c r="Y1284" s="35"/>
      <c r="Z1284" s="35"/>
      <c r="AA1284" s="35"/>
      <c r="AB1284" s="35"/>
      <c r="AC1284" s="35"/>
      <c r="AD1284" s="35"/>
      <c r="AE1284" s="35"/>
      <c r="AF1284" s="35"/>
      <c r="AG1284" s="35"/>
      <c r="AH1284" s="35"/>
      <c r="AI1284" s="35"/>
      <c r="AJ1284" s="35"/>
      <c r="AK1284" s="35"/>
      <c r="AL1284" s="35"/>
    </row>
    <row r="1285">
      <c r="A1285" s="89"/>
      <c r="B1285" s="157" t="s">
        <v>3034</v>
      </c>
      <c r="C1285" s="158" t="s">
        <v>6455</v>
      </c>
      <c r="D1285" s="159"/>
      <c r="E1285" s="56" t="s">
        <v>6460</v>
      </c>
      <c r="F1285" s="22" t="s">
        <v>274</v>
      </c>
      <c r="G1285" s="57">
        <v>2017.0</v>
      </c>
      <c r="H1285" s="22" t="s">
        <v>4283</v>
      </c>
      <c r="I1285" s="58" t="s">
        <v>6501</v>
      </c>
      <c r="J1285" s="22" t="s">
        <v>548</v>
      </c>
      <c r="K1285" s="22"/>
      <c r="L1285" s="36">
        <v>660.0</v>
      </c>
      <c r="M1285" s="36">
        <v>100.0</v>
      </c>
      <c r="N1285" s="36" t="s">
        <v>6502</v>
      </c>
      <c r="O1285" s="36" t="s">
        <v>6503</v>
      </c>
      <c r="P1285" s="37"/>
      <c r="Q1285" s="36" t="s">
        <v>6504</v>
      </c>
      <c r="R1285" s="36">
        <v>336.0</v>
      </c>
      <c r="S1285" s="36">
        <v>1.0</v>
      </c>
      <c r="T1285" s="160" t="s">
        <v>6505</v>
      </c>
      <c r="U1285" s="161" t="str">
        <f>HYPERLINK("https://www.ncbi.nlm.nih.gov/pubmed/28414077","PubMed")</f>
        <v>PubMed</v>
      </c>
      <c r="V1285" s="50"/>
      <c r="W1285" s="162"/>
      <c r="X1285" s="156"/>
      <c r="Y1285" s="35"/>
      <c r="Z1285" s="35"/>
      <c r="AA1285" s="35"/>
      <c r="AB1285" s="35"/>
      <c r="AC1285" s="35"/>
      <c r="AD1285" s="35"/>
      <c r="AE1285" s="35"/>
      <c r="AF1285" s="35"/>
      <c r="AG1285" s="35"/>
      <c r="AH1285" s="35"/>
      <c r="AI1285" s="35"/>
      <c r="AJ1285" s="35"/>
      <c r="AK1285" s="35"/>
      <c r="AL1285" s="35"/>
    </row>
    <row r="1286">
      <c r="A1286" s="18" t="s">
        <v>38</v>
      </c>
      <c r="B1286" s="157" t="s">
        <v>3034</v>
      </c>
      <c r="C1286" s="158" t="s">
        <v>6455</v>
      </c>
      <c r="D1286" s="159"/>
      <c r="E1286" s="56" t="s">
        <v>6506</v>
      </c>
      <c r="F1286" s="22" t="s">
        <v>41</v>
      </c>
      <c r="G1286" s="57">
        <v>2014.0</v>
      </c>
      <c r="H1286" s="22" t="s">
        <v>6507</v>
      </c>
      <c r="I1286" s="58" t="s">
        <v>6508</v>
      </c>
      <c r="J1286" s="22" t="s">
        <v>55</v>
      </c>
      <c r="K1286" s="22"/>
      <c r="L1286" s="36">
        <v>780.0</v>
      </c>
      <c r="M1286" s="36">
        <v>40.0</v>
      </c>
      <c r="N1286" s="36">
        <v>1.0</v>
      </c>
      <c r="O1286" s="36"/>
      <c r="P1286" s="37" t="s">
        <v>480</v>
      </c>
      <c r="Q1286" s="36" t="s">
        <v>830</v>
      </c>
      <c r="R1286" s="36">
        <v>90.0</v>
      </c>
      <c r="S1286" s="36">
        <v>21.0</v>
      </c>
      <c r="T1286" s="160" t="s">
        <v>6509</v>
      </c>
      <c r="U1286" s="161" t="str">
        <f>HYPERLINK("https://www.ncbi.nlm.nih.gov/pubmed/25211315","PubMed")</f>
        <v>PubMed</v>
      </c>
      <c r="V1286" s="50"/>
      <c r="W1286" s="162"/>
      <c r="X1286" s="156"/>
      <c r="Y1286" s="35"/>
      <c r="Z1286" s="35"/>
      <c r="AA1286" s="35"/>
      <c r="AB1286" s="35"/>
      <c r="AC1286" s="35"/>
      <c r="AD1286" s="35"/>
      <c r="AE1286" s="35"/>
      <c r="AF1286" s="35"/>
      <c r="AG1286" s="35"/>
      <c r="AH1286" s="35"/>
      <c r="AI1286" s="35"/>
      <c r="AJ1286" s="35"/>
      <c r="AK1286" s="35"/>
      <c r="AL1286" s="35"/>
    </row>
    <row r="1287">
      <c r="A1287" s="18"/>
      <c r="B1287" s="157" t="s">
        <v>3034</v>
      </c>
      <c r="C1287" s="158" t="s">
        <v>6455</v>
      </c>
      <c r="D1287" s="159"/>
      <c r="E1287" s="56" t="s">
        <v>6510</v>
      </c>
      <c r="F1287" s="22" t="s">
        <v>5042</v>
      </c>
      <c r="G1287" s="57">
        <v>1990.0</v>
      </c>
      <c r="H1287" s="22" t="s">
        <v>292</v>
      </c>
      <c r="I1287" s="58" t="s">
        <v>6511</v>
      </c>
      <c r="J1287" s="22" t="s">
        <v>6512</v>
      </c>
      <c r="K1287" s="22"/>
      <c r="L1287" s="36">
        <v>830.0</v>
      </c>
      <c r="M1287" s="36">
        <v>60.0</v>
      </c>
      <c r="N1287" s="36"/>
      <c r="O1287" s="36"/>
      <c r="P1287" s="37"/>
      <c r="Q1287" s="36"/>
      <c r="R1287" s="36">
        <v>120.0</v>
      </c>
      <c r="S1287" s="183">
        <v>44899.0</v>
      </c>
      <c r="T1287" s="160" t="s">
        <v>6513</v>
      </c>
      <c r="U1287" s="161" t="str">
        <f>HYPERLINK("https://www.jstage.jst.go.jp/article/islsm/2/2/2_90-OR-02/_article/-char/en","J-STAGE")</f>
        <v>J-STAGE</v>
      </c>
      <c r="V1287" s="30" t="s">
        <v>6514</v>
      </c>
      <c r="W1287" s="162"/>
      <c r="X1287" s="156"/>
      <c r="Y1287" s="35"/>
      <c r="Z1287" s="35"/>
      <c r="AA1287" s="35"/>
      <c r="AB1287" s="35"/>
      <c r="AC1287" s="35"/>
      <c r="AD1287" s="35"/>
      <c r="AE1287" s="35"/>
      <c r="AF1287" s="35"/>
      <c r="AG1287" s="35"/>
      <c r="AH1287" s="35"/>
      <c r="AI1287" s="35"/>
      <c r="AJ1287" s="35"/>
      <c r="AK1287" s="35"/>
      <c r="AL1287" s="35"/>
    </row>
    <row r="1288">
      <c r="A1288" s="89"/>
      <c r="B1288" s="157" t="s">
        <v>3034</v>
      </c>
      <c r="C1288" s="158" t="s">
        <v>6515</v>
      </c>
      <c r="D1288" s="159"/>
      <c r="E1288" s="56" t="s">
        <v>6516</v>
      </c>
      <c r="F1288" s="22" t="s">
        <v>291</v>
      </c>
      <c r="G1288" s="57">
        <v>2023.0</v>
      </c>
      <c r="H1288" s="22" t="s">
        <v>452</v>
      </c>
      <c r="I1288" s="58" t="s">
        <v>6517</v>
      </c>
      <c r="J1288" s="22" t="s">
        <v>6518</v>
      </c>
      <c r="K1288" s="22"/>
      <c r="L1288" s="168"/>
      <c r="M1288" s="168"/>
      <c r="N1288" s="168"/>
      <c r="O1288" s="168"/>
      <c r="P1288" s="169"/>
      <c r="Q1288" s="168"/>
      <c r="R1288" s="168"/>
      <c r="S1288" s="168"/>
      <c r="T1288" s="170" t="s">
        <v>6519</v>
      </c>
      <c r="U1288" s="60" t="s">
        <v>61</v>
      </c>
      <c r="V1288" s="30"/>
      <c r="W1288" s="162"/>
      <c r="X1288" s="156"/>
      <c r="Y1288" s="35"/>
      <c r="Z1288" s="35"/>
      <c r="AA1288" s="35"/>
      <c r="AB1288" s="35"/>
      <c r="AC1288" s="35"/>
      <c r="AD1288" s="35"/>
      <c r="AE1288" s="35"/>
      <c r="AF1288" s="35"/>
      <c r="AG1288" s="35"/>
      <c r="AH1288" s="35"/>
      <c r="AI1288" s="35"/>
      <c r="AJ1288" s="35"/>
      <c r="AK1288" s="35"/>
      <c r="AL1288" s="35"/>
    </row>
    <row r="1289">
      <c r="A1289" s="89"/>
      <c r="B1289" s="157" t="s">
        <v>3034</v>
      </c>
      <c r="C1289" s="158" t="s">
        <v>6515</v>
      </c>
      <c r="D1289" s="159"/>
      <c r="E1289" s="56" t="s">
        <v>6520</v>
      </c>
      <c r="F1289" s="22" t="s">
        <v>6521</v>
      </c>
      <c r="G1289" s="57">
        <v>2021.0</v>
      </c>
      <c r="H1289" s="22" t="s">
        <v>91</v>
      </c>
      <c r="I1289" s="58" t="s">
        <v>6522</v>
      </c>
      <c r="J1289" s="22" t="s">
        <v>6523</v>
      </c>
      <c r="K1289" s="22"/>
      <c r="L1289" s="36">
        <v>635.0</v>
      </c>
      <c r="M1289" s="36">
        <v>15.0</v>
      </c>
      <c r="N1289" s="36"/>
      <c r="O1289" s="36"/>
      <c r="P1289" s="37" t="s">
        <v>2395</v>
      </c>
      <c r="Q1289" s="36"/>
      <c r="R1289" s="36">
        <v>900.0</v>
      </c>
      <c r="S1289" s="36">
        <v>1.0</v>
      </c>
      <c r="T1289" s="187" t="s">
        <v>6524</v>
      </c>
      <c r="U1289" s="64" t="s">
        <v>61</v>
      </c>
      <c r="V1289" s="30"/>
      <c r="W1289" s="162"/>
      <c r="X1289" s="156"/>
      <c r="Y1289" s="35"/>
      <c r="Z1289" s="35"/>
      <c r="AA1289" s="35"/>
      <c r="AB1289" s="35"/>
      <c r="AC1289" s="35"/>
      <c r="AD1289" s="35"/>
      <c r="AE1289" s="35"/>
      <c r="AF1289" s="35"/>
      <c r="AG1289" s="35"/>
      <c r="AH1289" s="35"/>
      <c r="AI1289" s="35"/>
      <c r="AJ1289" s="35"/>
      <c r="AK1289" s="35"/>
      <c r="AL1289" s="35"/>
    </row>
    <row r="1290">
      <c r="A1290" s="18" t="s">
        <v>2</v>
      </c>
      <c r="B1290" s="157" t="s">
        <v>3034</v>
      </c>
      <c r="C1290" s="158" t="s">
        <v>6515</v>
      </c>
      <c r="D1290" s="159"/>
      <c r="E1290" s="56" t="s">
        <v>6525</v>
      </c>
      <c r="F1290" s="22" t="s">
        <v>993</v>
      </c>
      <c r="G1290" s="57">
        <v>2021.0</v>
      </c>
      <c r="H1290" s="22" t="s">
        <v>91</v>
      </c>
      <c r="I1290" s="58" t="s">
        <v>6526</v>
      </c>
      <c r="J1290" s="22" t="s">
        <v>6527</v>
      </c>
      <c r="K1290" s="22" t="s">
        <v>6528</v>
      </c>
      <c r="L1290" s="36" t="s">
        <v>3031</v>
      </c>
      <c r="M1290" s="36" t="s">
        <v>6529</v>
      </c>
      <c r="N1290" s="36" t="s">
        <v>6530</v>
      </c>
      <c r="O1290" s="36">
        <v>108.0</v>
      </c>
      <c r="P1290" s="37" t="s">
        <v>6531</v>
      </c>
      <c r="Q1290" s="36" t="s">
        <v>6532</v>
      </c>
      <c r="R1290" s="36">
        <v>600.0</v>
      </c>
      <c r="S1290" s="36">
        <v>1.0</v>
      </c>
      <c r="T1290" s="160" t="s">
        <v>6533</v>
      </c>
      <c r="U1290" s="64" t="s">
        <v>61</v>
      </c>
      <c r="V1290" s="50"/>
      <c r="W1290" s="162"/>
      <c r="X1290" s="156"/>
      <c r="Y1290" s="35"/>
      <c r="Z1290" s="35"/>
      <c r="AA1290" s="35"/>
      <c r="AB1290" s="35"/>
      <c r="AC1290" s="35"/>
      <c r="AD1290" s="35"/>
      <c r="AE1290" s="35"/>
      <c r="AF1290" s="35"/>
      <c r="AG1290" s="35"/>
      <c r="AH1290" s="35"/>
      <c r="AI1290" s="35"/>
      <c r="AJ1290" s="35"/>
      <c r="AK1290" s="35"/>
      <c r="AL1290" s="35"/>
    </row>
    <row r="1291">
      <c r="A1291" s="18" t="s">
        <v>2</v>
      </c>
      <c r="B1291" s="157" t="s">
        <v>3034</v>
      </c>
      <c r="C1291" s="158" t="s">
        <v>6515</v>
      </c>
      <c r="D1291" s="159"/>
      <c r="E1291" s="56" t="s">
        <v>5311</v>
      </c>
      <c r="F1291" s="22" t="s">
        <v>5312</v>
      </c>
      <c r="G1291" s="57">
        <v>2020.0</v>
      </c>
      <c r="H1291" s="22" t="s">
        <v>53</v>
      </c>
      <c r="I1291" s="58" t="s">
        <v>6534</v>
      </c>
      <c r="J1291" s="22" t="s">
        <v>6535</v>
      </c>
      <c r="K1291" s="22" t="s">
        <v>6536</v>
      </c>
      <c r="L1291" s="36" t="s">
        <v>6537</v>
      </c>
      <c r="M1291" s="36"/>
      <c r="N1291" s="36" t="s">
        <v>6538</v>
      </c>
      <c r="O1291" s="36"/>
      <c r="P1291" s="37"/>
      <c r="Q1291" s="36"/>
      <c r="R1291" s="36">
        <v>300.0</v>
      </c>
      <c r="S1291" s="36"/>
      <c r="T1291" s="160" t="s">
        <v>6539</v>
      </c>
      <c r="U1291" s="161" t="str">
        <f>HYPERLINK("https://www.ncbi.nlm.nih.gov/pubmed/32064652","PubMed")</f>
        <v>PubMed</v>
      </c>
      <c r="V1291" s="50"/>
      <c r="W1291" s="162"/>
      <c r="X1291" s="156"/>
      <c r="Y1291" s="35"/>
      <c r="Z1291" s="35"/>
      <c r="AA1291" s="35"/>
      <c r="AB1291" s="35"/>
      <c r="AC1291" s="35"/>
      <c r="AD1291" s="35"/>
      <c r="AE1291" s="35"/>
      <c r="AF1291" s="35"/>
      <c r="AG1291" s="35"/>
      <c r="AH1291" s="35"/>
      <c r="AI1291" s="35"/>
      <c r="AJ1291" s="35"/>
      <c r="AK1291" s="35"/>
      <c r="AL1291" s="35"/>
    </row>
    <row r="1292">
      <c r="A1292" s="89"/>
      <c r="B1292" s="157" t="s">
        <v>3034</v>
      </c>
      <c r="C1292" s="158" t="s">
        <v>6515</v>
      </c>
      <c r="D1292" s="159"/>
      <c r="E1292" s="56" t="s">
        <v>2432</v>
      </c>
      <c r="F1292" s="22" t="s">
        <v>2196</v>
      </c>
      <c r="G1292" s="57">
        <v>2019.0</v>
      </c>
      <c r="H1292" s="22" t="s">
        <v>77</v>
      </c>
      <c r="I1292" s="58" t="s">
        <v>6540</v>
      </c>
      <c r="J1292" s="22" t="s">
        <v>6541</v>
      </c>
      <c r="K1292" s="22" t="s">
        <v>6542</v>
      </c>
      <c r="L1292" s="36">
        <v>10600.0</v>
      </c>
      <c r="M1292" s="36"/>
      <c r="N1292" s="36"/>
      <c r="O1292" s="36"/>
      <c r="P1292" s="37" t="s">
        <v>6543</v>
      </c>
      <c r="Q1292" s="36"/>
      <c r="R1292" s="36"/>
      <c r="S1292" s="36">
        <v>1.0</v>
      </c>
      <c r="T1292" s="160" t="s">
        <v>6544</v>
      </c>
      <c r="U1292" s="64" t="s">
        <v>61</v>
      </c>
      <c r="V1292" s="50"/>
      <c r="W1292" s="162"/>
      <c r="X1292" s="156"/>
      <c r="Y1292" s="35"/>
      <c r="Z1292" s="35"/>
      <c r="AA1292" s="35"/>
      <c r="AB1292" s="35"/>
      <c r="AC1292" s="35"/>
      <c r="AD1292" s="35"/>
      <c r="AE1292" s="35"/>
      <c r="AF1292" s="35"/>
      <c r="AG1292" s="35"/>
      <c r="AH1292" s="35"/>
      <c r="AI1292" s="35"/>
      <c r="AJ1292" s="35"/>
      <c r="AK1292" s="35"/>
      <c r="AL1292" s="35"/>
    </row>
    <row r="1293">
      <c r="A1293" s="89"/>
      <c r="B1293" s="157" t="s">
        <v>3034</v>
      </c>
      <c r="C1293" s="158" t="s">
        <v>6515</v>
      </c>
      <c r="D1293" s="159"/>
      <c r="E1293" s="56" t="s">
        <v>6545</v>
      </c>
      <c r="F1293" s="22" t="s">
        <v>6546</v>
      </c>
      <c r="G1293" s="57" t="s">
        <v>90</v>
      </c>
      <c r="H1293" s="22" t="s">
        <v>91</v>
      </c>
      <c r="I1293" s="58" t="s">
        <v>6547</v>
      </c>
      <c r="J1293" s="22" t="s">
        <v>6548</v>
      </c>
      <c r="K1293" s="22" t="s">
        <v>6549</v>
      </c>
      <c r="L1293" s="36" t="s">
        <v>6550</v>
      </c>
      <c r="M1293" s="36"/>
      <c r="N1293" s="36"/>
      <c r="O1293" s="36"/>
      <c r="P1293" s="37" t="s">
        <v>6551</v>
      </c>
      <c r="Q1293" s="36"/>
      <c r="R1293" s="36"/>
      <c r="S1293" s="36" t="s">
        <v>6552</v>
      </c>
      <c r="T1293" s="160" t="s">
        <v>6553</v>
      </c>
      <c r="U1293" s="161" t="str">
        <f>HYPERLINK("https://www.ncbi.nlm.nih.gov/pubmed/28342007","PubMed")</f>
        <v>PubMed</v>
      </c>
      <c r="V1293" s="50"/>
      <c r="W1293" s="162"/>
      <c r="X1293" s="156"/>
      <c r="Y1293" s="35"/>
      <c r="Z1293" s="35"/>
      <c r="AA1293" s="35"/>
      <c r="AB1293" s="35"/>
      <c r="AC1293" s="35"/>
      <c r="AD1293" s="35"/>
      <c r="AE1293" s="35"/>
      <c r="AF1293" s="35"/>
      <c r="AG1293" s="35"/>
      <c r="AH1293" s="35"/>
      <c r="AI1293" s="35"/>
      <c r="AJ1293" s="35"/>
      <c r="AK1293" s="35"/>
      <c r="AL1293" s="35"/>
    </row>
    <row r="1294">
      <c r="A1294" s="89"/>
      <c r="B1294" s="157" t="s">
        <v>3034</v>
      </c>
      <c r="C1294" s="158" t="s">
        <v>6515</v>
      </c>
      <c r="D1294" s="159"/>
      <c r="E1294" s="56" t="s">
        <v>6554</v>
      </c>
      <c r="F1294" s="22" t="s">
        <v>1370</v>
      </c>
      <c r="G1294" s="57">
        <v>2012.0</v>
      </c>
      <c r="H1294" s="22" t="s">
        <v>658</v>
      </c>
      <c r="I1294" s="58" t="s">
        <v>6555</v>
      </c>
      <c r="J1294" s="22" t="s">
        <v>3218</v>
      </c>
      <c r="K1294" s="22" t="s">
        <v>6556</v>
      </c>
      <c r="L1294" s="36">
        <v>890.0</v>
      </c>
      <c r="M1294" s="36" t="s">
        <v>6557</v>
      </c>
      <c r="N1294" s="36" t="s">
        <v>4039</v>
      </c>
      <c r="O1294" s="36"/>
      <c r="P1294" s="37" t="s">
        <v>6558</v>
      </c>
      <c r="Q1294" s="36" t="s">
        <v>6559</v>
      </c>
      <c r="R1294" s="36">
        <v>1800.0</v>
      </c>
      <c r="S1294" s="36">
        <v>1.0</v>
      </c>
      <c r="T1294" s="160" t="s">
        <v>6560</v>
      </c>
      <c r="U1294" s="161" t="str">
        <f>HYPERLINK("https://www.ncbi.nlm.nih.gov/pubmed/22220935","PubMed")</f>
        <v>PubMed</v>
      </c>
      <c r="V1294" s="50"/>
      <c r="W1294" s="162"/>
      <c r="X1294" s="156"/>
      <c r="Y1294" s="35"/>
      <c r="Z1294" s="35"/>
      <c r="AA1294" s="35"/>
      <c r="AB1294" s="35"/>
      <c r="AC1294" s="35"/>
      <c r="AD1294" s="35"/>
      <c r="AE1294" s="35"/>
      <c r="AF1294" s="35"/>
      <c r="AG1294" s="35"/>
      <c r="AH1294" s="35"/>
      <c r="AI1294" s="35"/>
      <c r="AJ1294" s="35"/>
      <c r="AK1294" s="35"/>
      <c r="AL1294" s="35"/>
    </row>
    <row r="1295">
      <c r="A1295" s="89"/>
      <c r="B1295" s="157" t="s">
        <v>3034</v>
      </c>
      <c r="C1295" s="158" t="s">
        <v>6515</v>
      </c>
      <c r="D1295" s="159"/>
      <c r="E1295" s="56" t="s">
        <v>6561</v>
      </c>
      <c r="F1295" s="22" t="s">
        <v>1808</v>
      </c>
      <c r="G1295" s="57">
        <v>2005.0</v>
      </c>
      <c r="H1295" s="22" t="s">
        <v>658</v>
      </c>
      <c r="I1295" s="58" t="s">
        <v>6562</v>
      </c>
      <c r="J1295" s="22" t="s">
        <v>253</v>
      </c>
      <c r="K1295" s="22"/>
      <c r="L1295" s="36">
        <v>904.0</v>
      </c>
      <c r="M1295" s="36">
        <v>10.0</v>
      </c>
      <c r="N1295" s="36"/>
      <c r="O1295" s="36"/>
      <c r="P1295" s="37"/>
      <c r="Q1295" s="36"/>
      <c r="R1295" s="36">
        <v>600.0</v>
      </c>
      <c r="S1295" s="36">
        <v>4.0</v>
      </c>
      <c r="T1295" s="160" t="s">
        <v>6563</v>
      </c>
      <c r="U1295" s="161" t="str">
        <f>HYPERLINK("https://www.ncbi.nlm.nih.gov/pubmed/15954817","PubMed")</f>
        <v>PubMed</v>
      </c>
      <c r="V1295" s="50"/>
      <c r="W1295" s="162"/>
      <c r="X1295" s="156"/>
      <c r="Y1295" s="35"/>
      <c r="Z1295" s="35"/>
      <c r="AA1295" s="35"/>
      <c r="AB1295" s="35"/>
      <c r="AC1295" s="35"/>
      <c r="AD1295" s="35"/>
      <c r="AE1295" s="35"/>
      <c r="AF1295" s="35"/>
      <c r="AG1295" s="35"/>
      <c r="AH1295" s="35"/>
      <c r="AI1295" s="35"/>
      <c r="AJ1295" s="35"/>
      <c r="AK1295" s="35"/>
      <c r="AL1295" s="35"/>
    </row>
    <row r="1296">
      <c r="A1296" s="89"/>
      <c r="B1296" s="157" t="s">
        <v>3034</v>
      </c>
      <c r="C1296" s="158" t="s">
        <v>6515</v>
      </c>
      <c r="D1296" s="159"/>
      <c r="E1296" s="56" t="s">
        <v>6564</v>
      </c>
      <c r="F1296" s="22" t="s">
        <v>41</v>
      </c>
      <c r="G1296" s="57">
        <v>2004.0</v>
      </c>
      <c r="H1296" s="22" t="s">
        <v>53</v>
      </c>
      <c r="I1296" s="58" t="s">
        <v>6565</v>
      </c>
      <c r="J1296" s="22" t="s">
        <v>55</v>
      </c>
      <c r="K1296" s="22"/>
      <c r="L1296" s="36">
        <v>633.0</v>
      </c>
      <c r="M1296" s="36"/>
      <c r="N1296" s="36" t="s">
        <v>4004</v>
      </c>
      <c r="O1296" s="36"/>
      <c r="P1296" s="37" t="s">
        <v>2555</v>
      </c>
      <c r="Q1296" s="36"/>
      <c r="R1296" s="36"/>
      <c r="S1296" s="36"/>
      <c r="T1296" s="187" t="s">
        <v>6566</v>
      </c>
      <c r="U1296" s="161" t="str">
        <f>HYPERLINK("https://www.ncbi.nlm.nih.gov/pubmed/15630679","PubMed")</f>
        <v>PubMed</v>
      </c>
      <c r="V1296" s="50"/>
      <c r="W1296" s="162"/>
      <c r="X1296" s="156"/>
      <c r="Y1296" s="35"/>
      <c r="Z1296" s="35"/>
      <c r="AA1296" s="35"/>
      <c r="AB1296" s="35"/>
      <c r="AC1296" s="35"/>
      <c r="AD1296" s="35"/>
      <c r="AE1296" s="35"/>
      <c r="AF1296" s="35"/>
      <c r="AG1296" s="35"/>
      <c r="AH1296" s="35"/>
      <c r="AI1296" s="35"/>
      <c r="AJ1296" s="35"/>
      <c r="AK1296" s="35"/>
      <c r="AL1296" s="35"/>
    </row>
    <row r="1297">
      <c r="A1297" s="89"/>
      <c r="B1297" s="157" t="s">
        <v>3034</v>
      </c>
      <c r="C1297" s="158" t="s">
        <v>6515</v>
      </c>
      <c r="D1297" s="159"/>
      <c r="E1297" s="56" t="s">
        <v>6425</v>
      </c>
      <c r="F1297" s="22" t="s">
        <v>1603</v>
      </c>
      <c r="G1297" s="57">
        <v>2002.0</v>
      </c>
      <c r="H1297" s="22" t="s">
        <v>6383</v>
      </c>
      <c r="I1297" s="58" t="s">
        <v>6567</v>
      </c>
      <c r="J1297" s="22" t="s">
        <v>6568</v>
      </c>
      <c r="K1297" s="22" t="s">
        <v>2158</v>
      </c>
      <c r="L1297" s="36">
        <v>633.0</v>
      </c>
      <c r="M1297" s="36"/>
      <c r="N1297" s="36"/>
      <c r="O1297" s="36"/>
      <c r="P1297" s="37" t="s">
        <v>480</v>
      </c>
      <c r="Q1297" s="36"/>
      <c r="R1297" s="36">
        <v>3000.0</v>
      </c>
      <c r="S1297" s="36">
        <v>1.0</v>
      </c>
      <c r="T1297" s="160" t="s">
        <v>6569</v>
      </c>
      <c r="U1297" s="161" t="str">
        <f>HYPERLINK("https://www.ncbi.nlm.nih.gov/pubmed/12204648","PubMed")</f>
        <v>PubMed</v>
      </c>
      <c r="V1297" s="50"/>
      <c r="W1297" s="162"/>
      <c r="X1297" s="156"/>
      <c r="Y1297" s="35"/>
      <c r="Z1297" s="35"/>
      <c r="AA1297" s="35"/>
      <c r="AB1297" s="35"/>
      <c r="AC1297" s="35"/>
      <c r="AD1297" s="35"/>
      <c r="AE1297" s="35"/>
      <c r="AF1297" s="35"/>
      <c r="AG1297" s="35"/>
      <c r="AH1297" s="35"/>
      <c r="AI1297" s="35"/>
      <c r="AJ1297" s="35"/>
      <c r="AK1297" s="35"/>
      <c r="AL1297" s="35"/>
    </row>
    <row r="1298">
      <c r="A1298" s="89"/>
      <c r="B1298" s="157" t="s">
        <v>3034</v>
      </c>
      <c r="C1298" s="158" t="s">
        <v>6515</v>
      </c>
      <c r="D1298" s="159"/>
      <c r="E1298" s="56" t="s">
        <v>6570</v>
      </c>
      <c r="F1298" s="22" t="s">
        <v>6571</v>
      </c>
      <c r="G1298" s="57">
        <v>2000.0</v>
      </c>
      <c r="H1298" s="22" t="s">
        <v>207</v>
      </c>
      <c r="I1298" s="58" t="s">
        <v>6572</v>
      </c>
      <c r="J1298" s="22" t="s">
        <v>6573</v>
      </c>
      <c r="K1298" s="22"/>
      <c r="L1298" s="36">
        <v>780.0</v>
      </c>
      <c r="M1298" s="36"/>
      <c r="N1298" s="36" t="s">
        <v>414</v>
      </c>
      <c r="O1298" s="36"/>
      <c r="P1298" s="37" t="s">
        <v>432</v>
      </c>
      <c r="Q1298" s="36" t="s">
        <v>6574</v>
      </c>
      <c r="R1298" s="36"/>
      <c r="S1298" s="36">
        <v>1.0</v>
      </c>
      <c r="T1298" s="160" t="s">
        <v>6575</v>
      </c>
      <c r="U1298" s="161" t="str">
        <f>HYPERLINK("https://www.ncbi.nlm.nih.gov/pubmed/10739143","PubMed")</f>
        <v>PubMed</v>
      </c>
      <c r="V1298" s="50"/>
      <c r="W1298" s="162"/>
      <c r="X1298" s="156"/>
      <c r="Y1298" s="35"/>
      <c r="Z1298" s="35"/>
      <c r="AA1298" s="35"/>
      <c r="AB1298" s="35"/>
      <c r="AC1298" s="35"/>
      <c r="AD1298" s="35"/>
      <c r="AE1298" s="35"/>
      <c r="AF1298" s="35"/>
      <c r="AG1298" s="35"/>
      <c r="AH1298" s="35"/>
      <c r="AI1298" s="35"/>
      <c r="AJ1298" s="35"/>
      <c r="AK1298" s="35"/>
      <c r="AL1298" s="35"/>
    </row>
    <row r="1299">
      <c r="A1299" s="89"/>
      <c r="B1299" s="157" t="s">
        <v>3034</v>
      </c>
      <c r="C1299" s="158" t="s">
        <v>6515</v>
      </c>
      <c r="D1299" s="159"/>
      <c r="E1299" s="56" t="s">
        <v>6576</v>
      </c>
      <c r="F1299" s="22" t="s">
        <v>5552</v>
      </c>
      <c r="G1299" s="57">
        <v>2000.0</v>
      </c>
      <c r="H1299" s="22" t="s">
        <v>53</v>
      </c>
      <c r="I1299" s="58" t="s">
        <v>6577</v>
      </c>
      <c r="J1299" s="22" t="s">
        <v>55</v>
      </c>
      <c r="K1299" s="22" t="s">
        <v>6578</v>
      </c>
      <c r="L1299" s="36">
        <v>830.0</v>
      </c>
      <c r="M1299" s="36"/>
      <c r="N1299" s="36"/>
      <c r="O1299" s="36"/>
      <c r="P1299" s="37"/>
      <c r="Q1299" s="36"/>
      <c r="R1299" s="36"/>
      <c r="S1299" s="36"/>
      <c r="T1299" s="160" t="s">
        <v>6579</v>
      </c>
      <c r="U1299" s="161" t="str">
        <f>HYPERLINK("https://www.ncbi.nlm.nih.gov/pubmed/11126437","PubMed")</f>
        <v>PubMed</v>
      </c>
      <c r="V1299" s="50"/>
      <c r="W1299" s="162"/>
      <c r="X1299" s="156"/>
      <c r="Y1299" s="35"/>
      <c r="Z1299" s="35"/>
      <c r="AA1299" s="35"/>
      <c r="AB1299" s="35"/>
      <c r="AC1299" s="35"/>
      <c r="AD1299" s="35"/>
      <c r="AE1299" s="35"/>
      <c r="AF1299" s="35"/>
      <c r="AG1299" s="35"/>
      <c r="AH1299" s="35"/>
      <c r="AI1299" s="35"/>
      <c r="AJ1299" s="35"/>
      <c r="AK1299" s="35"/>
      <c r="AL1299" s="35"/>
    </row>
    <row r="1300">
      <c r="A1300" s="89"/>
      <c r="B1300" s="157" t="s">
        <v>3034</v>
      </c>
      <c r="C1300" s="158" t="s">
        <v>6515</v>
      </c>
      <c r="D1300" s="159"/>
      <c r="E1300" s="56" t="s">
        <v>6580</v>
      </c>
      <c r="F1300" s="22" t="s">
        <v>6581</v>
      </c>
      <c r="G1300" s="57">
        <v>1990.0</v>
      </c>
      <c r="H1300" s="22" t="s">
        <v>292</v>
      </c>
      <c r="I1300" s="58" t="s">
        <v>6582</v>
      </c>
      <c r="J1300" s="22" t="s">
        <v>6583</v>
      </c>
      <c r="K1300" s="22" t="s">
        <v>6584</v>
      </c>
      <c r="L1300" s="36" t="s">
        <v>6585</v>
      </c>
      <c r="M1300" s="36"/>
      <c r="N1300" s="36"/>
      <c r="O1300" s="36"/>
      <c r="P1300" s="37"/>
      <c r="Q1300" s="36"/>
      <c r="R1300" s="36">
        <v>256.0</v>
      </c>
      <c r="S1300" s="36"/>
      <c r="T1300" s="160" t="s">
        <v>6586</v>
      </c>
      <c r="U1300" s="161" t="str">
        <f>HYPERLINK("https://www.jstage.jst.go.jp/article/islsm/2/2/2_90-OR-04/_article/-char/en","J-STAGE")</f>
        <v>J-STAGE</v>
      </c>
      <c r="V1300" s="50"/>
      <c r="W1300" s="162"/>
      <c r="X1300" s="156"/>
      <c r="Y1300" s="35"/>
      <c r="Z1300" s="35"/>
      <c r="AA1300" s="35"/>
      <c r="AB1300" s="35"/>
      <c r="AC1300" s="35"/>
      <c r="AD1300" s="35"/>
      <c r="AE1300" s="35"/>
      <c r="AF1300" s="35"/>
      <c r="AG1300" s="35"/>
      <c r="AH1300" s="35"/>
      <c r="AI1300" s="35"/>
      <c r="AJ1300" s="35"/>
      <c r="AK1300" s="35"/>
      <c r="AL1300" s="35"/>
    </row>
    <row r="1301">
      <c r="A1301" s="149" t="s">
        <v>181</v>
      </c>
      <c r="B1301" s="157" t="s">
        <v>3034</v>
      </c>
      <c r="C1301" s="158" t="s">
        <v>6587</v>
      </c>
      <c r="D1301" s="159"/>
      <c r="E1301" s="56" t="s">
        <v>216</v>
      </c>
      <c r="F1301" s="22" t="s">
        <v>65</v>
      </c>
      <c r="G1301" s="57">
        <v>2012.0</v>
      </c>
      <c r="H1301" s="22" t="s">
        <v>1000</v>
      </c>
      <c r="I1301" s="58" t="s">
        <v>6588</v>
      </c>
      <c r="J1301" s="22" t="s">
        <v>6589</v>
      </c>
      <c r="L1301" s="36">
        <v>650.0</v>
      </c>
      <c r="M1301" s="36"/>
      <c r="N1301" s="36" t="s">
        <v>6590</v>
      </c>
      <c r="O1301" s="36"/>
      <c r="P1301" s="37"/>
      <c r="Q1301" s="36"/>
      <c r="R1301" s="36">
        <v>1800.0</v>
      </c>
      <c r="S1301" s="36" t="s">
        <v>6591</v>
      </c>
      <c r="T1301" s="160" t="s">
        <v>6592</v>
      </c>
      <c r="U1301" s="161" t="str">
        <f>HYPERLINK("https://www.hindawi.com/journals/ijp/2012/489713/","Hindawi")</f>
        <v>Hindawi</v>
      </c>
      <c r="V1301" s="50"/>
      <c r="W1301" s="162"/>
      <c r="X1301" s="156"/>
      <c r="Y1301" s="35"/>
      <c r="Z1301" s="35"/>
      <c r="AA1301" s="35"/>
      <c r="AB1301" s="35"/>
      <c r="AC1301" s="35"/>
      <c r="AD1301" s="35"/>
      <c r="AE1301" s="35"/>
      <c r="AF1301" s="35"/>
      <c r="AG1301" s="35"/>
      <c r="AH1301" s="35"/>
      <c r="AI1301" s="35"/>
      <c r="AJ1301" s="35"/>
      <c r="AK1301" s="35"/>
      <c r="AL1301" s="35"/>
    </row>
    <row r="1302">
      <c r="A1302" s="39"/>
      <c r="B1302" s="157" t="s">
        <v>3034</v>
      </c>
      <c r="C1302" s="158" t="s">
        <v>5315</v>
      </c>
      <c r="D1302" s="159"/>
      <c r="E1302" s="56" t="s">
        <v>6593</v>
      </c>
      <c r="F1302" s="22" t="s">
        <v>6594</v>
      </c>
      <c r="G1302" s="57">
        <v>2018.0</v>
      </c>
      <c r="H1302" s="22" t="s">
        <v>91</v>
      </c>
      <c r="I1302" s="58" t="s">
        <v>6595</v>
      </c>
      <c r="J1302" s="22" t="s">
        <v>125</v>
      </c>
      <c r="K1302" s="22"/>
      <c r="L1302" s="43" t="s">
        <v>6596</v>
      </c>
      <c r="M1302" s="44"/>
      <c r="N1302" s="44"/>
      <c r="O1302" s="44"/>
      <c r="P1302" s="44"/>
      <c r="Q1302" s="44"/>
      <c r="R1302" s="44"/>
      <c r="S1302" s="44"/>
      <c r="T1302" s="45"/>
      <c r="U1302" s="161" t="str">
        <f>HYPERLINK("https://www.ncbi.nlm.nih.gov/pubmed/30377855","PubMed")</f>
        <v>PubMed</v>
      </c>
      <c r="V1302" s="50"/>
      <c r="W1302" s="162"/>
      <c r="X1302" s="156"/>
      <c r="Y1302" s="35"/>
      <c r="Z1302" s="35"/>
      <c r="AA1302" s="35"/>
      <c r="AB1302" s="35"/>
      <c r="AC1302" s="35"/>
      <c r="AD1302" s="35"/>
      <c r="AE1302" s="35"/>
      <c r="AF1302" s="35"/>
      <c r="AG1302" s="35"/>
      <c r="AH1302" s="35"/>
      <c r="AI1302" s="35"/>
      <c r="AJ1302" s="35"/>
      <c r="AK1302" s="35"/>
      <c r="AL1302" s="35"/>
    </row>
    <row r="1303">
      <c r="A1303" s="39" t="s">
        <v>2</v>
      </c>
      <c r="B1303" s="157" t="s">
        <v>3034</v>
      </c>
      <c r="C1303" s="158" t="s">
        <v>5315</v>
      </c>
      <c r="D1303" s="159"/>
      <c r="E1303" s="56" t="s">
        <v>5344</v>
      </c>
      <c r="F1303" s="22" t="s">
        <v>1173</v>
      </c>
      <c r="G1303" s="57">
        <v>2018.0</v>
      </c>
      <c r="H1303" s="22" t="s">
        <v>231</v>
      </c>
      <c r="I1303" s="58" t="s">
        <v>6597</v>
      </c>
      <c r="J1303" s="22" t="s">
        <v>6598</v>
      </c>
      <c r="K1303" s="22" t="s">
        <v>1684</v>
      </c>
      <c r="L1303" s="36" t="s">
        <v>6599</v>
      </c>
      <c r="M1303" s="36"/>
      <c r="N1303" s="36"/>
      <c r="O1303" s="36"/>
      <c r="P1303" s="37"/>
      <c r="Q1303" s="36"/>
      <c r="R1303" s="36"/>
      <c r="S1303" s="36"/>
      <c r="T1303" s="160" t="s">
        <v>6600</v>
      </c>
      <c r="U1303" s="161" t="str">
        <f>HYPERLINK("https://www.ncbi.nlm.nih.gov/pubmed/29752896","PubMed")</f>
        <v>PubMed</v>
      </c>
      <c r="V1303" s="50"/>
      <c r="W1303" s="162"/>
      <c r="X1303" s="156"/>
      <c r="Y1303" s="35"/>
      <c r="Z1303" s="35"/>
      <c r="AA1303" s="35"/>
      <c r="AB1303" s="35"/>
      <c r="AC1303" s="35"/>
      <c r="AD1303" s="35"/>
      <c r="AE1303" s="35"/>
      <c r="AF1303" s="35"/>
      <c r="AG1303" s="35"/>
      <c r="AH1303" s="35"/>
      <c r="AI1303" s="35"/>
      <c r="AJ1303" s="35"/>
      <c r="AK1303" s="35"/>
      <c r="AL1303" s="35"/>
    </row>
    <row r="1304">
      <c r="A1304" s="39" t="s">
        <v>2</v>
      </c>
      <c r="B1304" s="157" t="s">
        <v>3034</v>
      </c>
      <c r="C1304" s="158" t="s">
        <v>5315</v>
      </c>
      <c r="D1304" s="159"/>
      <c r="E1304" s="56" t="s">
        <v>5344</v>
      </c>
      <c r="F1304" s="22" t="s">
        <v>1173</v>
      </c>
      <c r="G1304" s="57" t="s">
        <v>90</v>
      </c>
      <c r="H1304" s="22" t="s">
        <v>2594</v>
      </c>
      <c r="I1304" s="58" t="s">
        <v>6601</v>
      </c>
      <c r="J1304" s="22" t="s">
        <v>44</v>
      </c>
      <c r="K1304" s="22" t="s">
        <v>6602</v>
      </c>
      <c r="L1304" s="36">
        <v>670.0</v>
      </c>
      <c r="M1304" s="36"/>
      <c r="N1304" s="36" t="s">
        <v>5323</v>
      </c>
      <c r="O1304" s="36"/>
      <c r="P1304" s="37"/>
      <c r="Q1304" s="36"/>
      <c r="R1304" s="36"/>
      <c r="S1304" s="36"/>
      <c r="T1304" s="160" t="s">
        <v>6603</v>
      </c>
      <c r="U1304" s="161" t="str">
        <f>HYPERLINK("https://www.ncbi.nlm.nih.gov/pubmed/28935419","PubMed")</f>
        <v>PubMed</v>
      </c>
      <c r="V1304" s="50"/>
      <c r="W1304" s="162"/>
      <c r="X1304" s="156"/>
      <c r="Y1304" s="35"/>
      <c r="Z1304" s="35"/>
      <c r="AA1304" s="35"/>
      <c r="AB1304" s="35"/>
      <c r="AC1304" s="35"/>
      <c r="AD1304" s="35"/>
      <c r="AE1304" s="35"/>
      <c r="AF1304" s="35"/>
      <c r="AG1304" s="35"/>
      <c r="AH1304" s="35"/>
      <c r="AI1304" s="35"/>
      <c r="AJ1304" s="35"/>
      <c r="AK1304" s="35"/>
      <c r="AL1304" s="35"/>
    </row>
    <row r="1305">
      <c r="A1305" s="89"/>
      <c r="B1305" s="157" t="s">
        <v>3034</v>
      </c>
      <c r="C1305" s="158" t="s">
        <v>5315</v>
      </c>
      <c r="D1305" s="159"/>
      <c r="E1305" s="56" t="s">
        <v>6604</v>
      </c>
      <c r="F1305" s="22" t="s">
        <v>6605</v>
      </c>
      <c r="G1305" s="57">
        <v>2013.0</v>
      </c>
      <c r="H1305" s="22" t="s">
        <v>6606</v>
      </c>
      <c r="I1305" s="58" t="s">
        <v>6607</v>
      </c>
      <c r="J1305" s="22" t="s">
        <v>6608</v>
      </c>
      <c r="K1305" s="22" t="s">
        <v>6609</v>
      </c>
      <c r="L1305" s="36">
        <v>890.0</v>
      </c>
      <c r="M1305" s="36">
        <v>636.0</v>
      </c>
      <c r="N1305" s="36"/>
      <c r="O1305" s="36"/>
      <c r="P1305" s="37"/>
      <c r="Q1305" s="36" t="s">
        <v>6610</v>
      </c>
      <c r="R1305" s="36">
        <v>1800.0</v>
      </c>
      <c r="S1305" s="36">
        <v>1.0</v>
      </c>
      <c r="T1305" s="160" t="s">
        <v>6611</v>
      </c>
      <c r="U1305" s="161" t="str">
        <f>HYPERLINK("https://www.ncbi.nlm.nih.gov/pubmed/23334615","PubMed")</f>
        <v>PubMed</v>
      </c>
      <c r="V1305" s="50"/>
      <c r="W1305" s="162"/>
      <c r="X1305" s="156"/>
      <c r="Y1305" s="35"/>
      <c r="Z1305" s="35"/>
      <c r="AA1305" s="35"/>
      <c r="AB1305" s="35"/>
      <c r="AC1305" s="35"/>
      <c r="AD1305" s="35"/>
      <c r="AE1305" s="35"/>
      <c r="AF1305" s="35"/>
      <c r="AG1305" s="35"/>
      <c r="AH1305" s="35"/>
      <c r="AI1305" s="35"/>
      <c r="AJ1305" s="35"/>
      <c r="AK1305" s="35"/>
      <c r="AL1305" s="35"/>
    </row>
    <row r="1306">
      <c r="A1306" s="89"/>
      <c r="B1306" s="157" t="s">
        <v>3034</v>
      </c>
      <c r="C1306" s="158" t="s">
        <v>5315</v>
      </c>
      <c r="D1306" s="159"/>
      <c r="E1306" s="56" t="s">
        <v>6612</v>
      </c>
      <c r="F1306" s="22" t="s">
        <v>3064</v>
      </c>
      <c r="G1306" s="57">
        <v>2008.0</v>
      </c>
      <c r="H1306" s="22" t="s">
        <v>658</v>
      </c>
      <c r="I1306" s="58" t="s">
        <v>6613</v>
      </c>
      <c r="J1306" s="22" t="s">
        <v>6614</v>
      </c>
      <c r="K1306" s="22" t="s">
        <v>6615</v>
      </c>
      <c r="L1306" s="36" t="s">
        <v>6616</v>
      </c>
      <c r="M1306" s="36"/>
      <c r="N1306" s="36" t="s">
        <v>1439</v>
      </c>
      <c r="O1306" s="36"/>
      <c r="P1306" s="37" t="s">
        <v>2848</v>
      </c>
      <c r="Q1306" s="36" t="s">
        <v>6617</v>
      </c>
      <c r="R1306" s="36">
        <v>300.0</v>
      </c>
      <c r="S1306" s="36">
        <v>1.0</v>
      </c>
      <c r="T1306" s="160" t="s">
        <v>6618</v>
      </c>
      <c r="U1306" s="161" t="str">
        <f>HYPERLINK("https://www.ncbi.nlm.nih.gov/pubmed/18922087","PubMed")</f>
        <v>PubMed</v>
      </c>
      <c r="V1306" s="50"/>
      <c r="W1306" s="162"/>
      <c r="X1306" s="156"/>
      <c r="Y1306" s="35"/>
      <c r="Z1306" s="35"/>
      <c r="AA1306" s="35"/>
      <c r="AB1306" s="35"/>
      <c r="AC1306" s="35"/>
      <c r="AD1306" s="35"/>
      <c r="AE1306" s="35"/>
      <c r="AF1306" s="35"/>
      <c r="AG1306" s="35"/>
      <c r="AH1306" s="35"/>
      <c r="AI1306" s="35"/>
      <c r="AJ1306" s="35"/>
      <c r="AK1306" s="35"/>
      <c r="AL1306" s="35"/>
    </row>
    <row r="1307">
      <c r="A1307" s="89"/>
      <c r="B1307" s="19" t="s">
        <v>3034</v>
      </c>
      <c r="C1307" s="158" t="s">
        <v>6619</v>
      </c>
      <c r="D1307" s="159"/>
      <c r="E1307" s="56" t="s">
        <v>6620</v>
      </c>
      <c r="F1307" s="22" t="s">
        <v>993</v>
      </c>
      <c r="G1307" s="57">
        <v>2012.0</v>
      </c>
      <c r="H1307" s="22" t="s">
        <v>91</v>
      </c>
      <c r="I1307" s="58" t="s">
        <v>6621</v>
      </c>
      <c r="J1307" s="22" t="s">
        <v>31</v>
      </c>
      <c r="K1307" s="22"/>
      <c r="L1307" s="36">
        <v>830.0</v>
      </c>
      <c r="M1307" s="36">
        <v>10.0</v>
      </c>
      <c r="N1307" s="36" t="s">
        <v>6622</v>
      </c>
      <c r="O1307" s="36" t="s">
        <v>6623</v>
      </c>
      <c r="P1307" s="37" t="s">
        <v>6624</v>
      </c>
      <c r="Q1307" s="36" t="s">
        <v>6625</v>
      </c>
      <c r="R1307" s="36" t="s">
        <v>6626</v>
      </c>
      <c r="S1307" s="36"/>
      <c r="T1307" s="187" t="s">
        <v>6627</v>
      </c>
      <c r="U1307" s="161" t="str">
        <f>HYPERLINK("https://www.ncbi.nlm.nih.gov/pubmed/21701880","PubMed")</f>
        <v>PubMed</v>
      </c>
      <c r="V1307" s="50"/>
      <c r="W1307" s="162"/>
      <c r="X1307" s="156"/>
      <c r="Y1307" s="35"/>
      <c r="Z1307" s="35"/>
      <c r="AA1307" s="35"/>
      <c r="AB1307" s="35"/>
      <c r="AC1307" s="35"/>
      <c r="AD1307" s="35"/>
      <c r="AE1307" s="35"/>
      <c r="AF1307" s="35"/>
      <c r="AG1307" s="35"/>
      <c r="AH1307" s="35"/>
      <c r="AI1307" s="35"/>
      <c r="AJ1307" s="35"/>
      <c r="AK1307" s="35"/>
      <c r="AL1307" s="35"/>
    </row>
    <row r="1308">
      <c r="A1308" s="40"/>
      <c r="B1308" s="19" t="s">
        <v>3034</v>
      </c>
      <c r="C1308" s="158" t="s">
        <v>6628</v>
      </c>
      <c r="D1308" s="159"/>
      <c r="E1308" s="56" t="s">
        <v>6629</v>
      </c>
      <c r="F1308" s="22" t="s">
        <v>6630</v>
      </c>
      <c r="G1308" s="57">
        <v>2024.0</v>
      </c>
      <c r="H1308" s="22" t="s">
        <v>6631</v>
      </c>
      <c r="I1308" s="58" t="s">
        <v>6632</v>
      </c>
      <c r="J1308" s="22" t="s">
        <v>31</v>
      </c>
      <c r="K1308" s="22" t="s">
        <v>157</v>
      </c>
      <c r="L1308" s="36">
        <v>830.0</v>
      </c>
      <c r="M1308" s="36"/>
      <c r="N1308" s="36"/>
      <c r="O1308" s="36"/>
      <c r="P1308" s="37"/>
      <c r="Q1308" s="36"/>
      <c r="R1308" s="36"/>
      <c r="S1308" s="36"/>
      <c r="T1308" s="163" t="s">
        <v>6633</v>
      </c>
      <c r="U1308" s="60" t="s">
        <v>61</v>
      </c>
      <c r="V1308" s="50"/>
      <c r="W1308" s="162"/>
      <c r="X1308" s="156"/>
      <c r="Y1308" s="35"/>
      <c r="Z1308" s="35"/>
      <c r="AA1308" s="35"/>
      <c r="AB1308" s="35"/>
      <c r="AC1308" s="35"/>
      <c r="AD1308" s="35"/>
      <c r="AE1308" s="35"/>
      <c r="AF1308" s="35"/>
      <c r="AG1308" s="35"/>
      <c r="AH1308" s="35"/>
      <c r="AI1308" s="35"/>
      <c r="AJ1308" s="35"/>
      <c r="AK1308" s="35"/>
      <c r="AL1308" s="35"/>
    </row>
    <row r="1309">
      <c r="A1309" s="40"/>
      <c r="B1309" s="19" t="s">
        <v>3034</v>
      </c>
      <c r="C1309" s="158" t="s">
        <v>6628</v>
      </c>
      <c r="D1309" s="159"/>
      <c r="E1309" s="56" t="s">
        <v>6310</v>
      </c>
      <c r="F1309" s="22" t="s">
        <v>6634</v>
      </c>
      <c r="G1309" s="57">
        <v>2022.0</v>
      </c>
      <c r="H1309" s="22" t="s">
        <v>2181</v>
      </c>
      <c r="I1309" s="58" t="s">
        <v>6635</v>
      </c>
      <c r="J1309" s="22" t="s">
        <v>6636</v>
      </c>
      <c r="K1309" s="22" t="s">
        <v>56</v>
      </c>
      <c r="L1309" s="36" t="s">
        <v>6637</v>
      </c>
      <c r="M1309" s="36"/>
      <c r="N1309" s="36"/>
      <c r="O1309" s="36"/>
      <c r="P1309" s="37"/>
      <c r="Q1309" s="36"/>
      <c r="R1309" s="36"/>
      <c r="S1309" s="36"/>
      <c r="T1309" s="160" t="s">
        <v>6638</v>
      </c>
      <c r="U1309" s="64" t="s">
        <v>61</v>
      </c>
      <c r="V1309" s="50"/>
      <c r="W1309" s="162"/>
      <c r="X1309" s="156"/>
      <c r="Y1309" s="35"/>
      <c r="Z1309" s="35"/>
      <c r="AA1309" s="35"/>
      <c r="AB1309" s="35"/>
      <c r="AC1309" s="35"/>
      <c r="AD1309" s="35"/>
      <c r="AE1309" s="35"/>
      <c r="AF1309" s="35"/>
      <c r="AG1309" s="35"/>
      <c r="AH1309" s="35"/>
      <c r="AI1309" s="35"/>
      <c r="AJ1309" s="35"/>
      <c r="AK1309" s="35"/>
      <c r="AL1309" s="35"/>
    </row>
    <row r="1310">
      <c r="A1310" s="40"/>
      <c r="B1310" s="19" t="s">
        <v>3034</v>
      </c>
      <c r="C1310" s="158" t="s">
        <v>6628</v>
      </c>
      <c r="D1310" s="159"/>
      <c r="E1310" s="56" t="s">
        <v>5339</v>
      </c>
      <c r="F1310" s="22" t="s">
        <v>5340</v>
      </c>
      <c r="G1310" s="57">
        <v>2021.0</v>
      </c>
      <c r="H1310" s="22" t="s">
        <v>5317</v>
      </c>
      <c r="I1310" s="58" t="s">
        <v>6639</v>
      </c>
      <c r="J1310" s="22" t="s">
        <v>6303</v>
      </c>
      <c r="K1310" s="22" t="s">
        <v>157</v>
      </c>
      <c r="L1310" s="36">
        <v>660.0</v>
      </c>
      <c r="M1310" s="36"/>
      <c r="N1310" s="36"/>
      <c r="O1310" s="36"/>
      <c r="P1310" s="37"/>
      <c r="Q1310" s="36"/>
      <c r="R1310" s="36"/>
      <c r="S1310" s="36"/>
      <c r="T1310" s="160" t="s">
        <v>6640</v>
      </c>
      <c r="U1310" s="64" t="s">
        <v>61</v>
      </c>
      <c r="V1310" s="50"/>
      <c r="W1310" s="162"/>
      <c r="X1310" s="156"/>
      <c r="Y1310" s="35"/>
      <c r="Z1310" s="35"/>
      <c r="AA1310" s="35"/>
      <c r="AB1310" s="35"/>
      <c r="AC1310" s="35"/>
      <c r="AD1310" s="35"/>
      <c r="AE1310" s="35"/>
      <c r="AF1310" s="35"/>
      <c r="AG1310" s="35"/>
      <c r="AH1310" s="35"/>
      <c r="AI1310" s="35"/>
      <c r="AJ1310" s="35"/>
      <c r="AK1310" s="35"/>
      <c r="AL1310" s="35"/>
    </row>
    <row r="1311">
      <c r="A1311" s="40"/>
      <c r="B1311" s="19" t="s">
        <v>3034</v>
      </c>
      <c r="C1311" s="158" t="s">
        <v>6628</v>
      </c>
      <c r="D1311" s="159"/>
      <c r="E1311" s="56" t="s">
        <v>6641</v>
      </c>
      <c r="F1311" s="22" t="s">
        <v>52</v>
      </c>
      <c r="G1311" s="57">
        <v>2019.0</v>
      </c>
      <c r="H1311" s="22" t="s">
        <v>6642</v>
      </c>
      <c r="I1311" s="58" t="s">
        <v>6643</v>
      </c>
      <c r="J1311" s="22" t="s">
        <v>6644</v>
      </c>
      <c r="K1311" s="22" t="s">
        <v>6645</v>
      </c>
      <c r="L1311" s="36" t="s">
        <v>57</v>
      </c>
      <c r="M1311" s="36"/>
      <c r="N1311" s="36" t="s">
        <v>6646</v>
      </c>
      <c r="O1311" s="36"/>
      <c r="P1311" s="37"/>
      <c r="Q1311" s="36"/>
      <c r="R1311" s="36" t="s">
        <v>4642</v>
      </c>
      <c r="S1311" s="36"/>
      <c r="T1311" s="160" t="s">
        <v>6647</v>
      </c>
      <c r="U1311" s="161" t="s">
        <v>61</v>
      </c>
      <c r="V1311" s="50"/>
      <c r="W1311" s="162"/>
      <c r="X1311" s="156"/>
      <c r="Y1311" s="35"/>
      <c r="Z1311" s="35"/>
      <c r="AA1311" s="35"/>
      <c r="AB1311" s="35"/>
      <c r="AC1311" s="35"/>
      <c r="AD1311" s="35"/>
      <c r="AE1311" s="35"/>
      <c r="AF1311" s="35"/>
      <c r="AG1311" s="35"/>
      <c r="AH1311" s="35"/>
      <c r="AI1311" s="35"/>
      <c r="AJ1311" s="35"/>
      <c r="AK1311" s="35"/>
      <c r="AL1311" s="35"/>
    </row>
    <row r="1312">
      <c r="A1312" s="40" t="s">
        <v>2</v>
      </c>
      <c r="B1312" s="19" t="s">
        <v>3034</v>
      </c>
      <c r="C1312" s="158" t="s">
        <v>6628</v>
      </c>
      <c r="D1312" s="159"/>
      <c r="E1312" s="56" t="s">
        <v>2316</v>
      </c>
      <c r="F1312" s="22" t="s">
        <v>2407</v>
      </c>
      <c r="G1312" s="57">
        <v>2018.0</v>
      </c>
      <c r="H1312" s="22" t="s">
        <v>42</v>
      </c>
      <c r="I1312" s="58" t="s">
        <v>6648</v>
      </c>
      <c r="J1312" s="22" t="s">
        <v>6644</v>
      </c>
      <c r="K1312" s="22" t="s">
        <v>5761</v>
      </c>
      <c r="L1312" s="36">
        <v>830.0</v>
      </c>
      <c r="M1312" s="36"/>
      <c r="N1312" s="36"/>
      <c r="O1312" s="36"/>
      <c r="P1312" s="37"/>
      <c r="Q1312" s="36"/>
      <c r="R1312" s="36"/>
      <c r="S1312" s="36"/>
      <c r="T1312" s="160" t="s">
        <v>6649</v>
      </c>
      <c r="U1312" s="161" t="str">
        <f>HYPERLINK("https://www.ncbi.nlm.nih.gov/pubmed/30561165","PubMed")</f>
        <v>PubMed</v>
      </c>
      <c r="V1312" s="50"/>
      <c r="W1312" s="162"/>
      <c r="X1312" s="156"/>
      <c r="Y1312" s="35"/>
      <c r="Z1312" s="35"/>
      <c r="AA1312" s="35"/>
      <c r="AB1312" s="35"/>
      <c r="AC1312" s="35"/>
      <c r="AD1312" s="35"/>
      <c r="AE1312" s="35"/>
      <c r="AF1312" s="35"/>
      <c r="AG1312" s="35"/>
      <c r="AH1312" s="35"/>
      <c r="AI1312" s="35"/>
      <c r="AJ1312" s="35"/>
      <c r="AK1312" s="35"/>
      <c r="AL1312" s="35"/>
    </row>
    <row r="1313">
      <c r="A1313" s="89"/>
      <c r="B1313" s="19" t="s">
        <v>3034</v>
      </c>
      <c r="C1313" s="158" t="s">
        <v>6628</v>
      </c>
      <c r="D1313" s="159"/>
      <c r="E1313" s="56" t="s">
        <v>6650</v>
      </c>
      <c r="F1313" s="22" t="s">
        <v>1808</v>
      </c>
      <c r="G1313" s="57">
        <v>2018.0</v>
      </c>
      <c r="H1313" s="22" t="s">
        <v>91</v>
      </c>
      <c r="I1313" s="58" t="s">
        <v>6651</v>
      </c>
      <c r="J1313" s="22" t="s">
        <v>31</v>
      </c>
      <c r="K1313" s="22"/>
      <c r="L1313" s="36">
        <v>532.0</v>
      </c>
      <c r="M1313" s="36">
        <v>100.0</v>
      </c>
      <c r="N1313" s="36"/>
      <c r="O1313" s="36"/>
      <c r="P1313" s="37" t="s">
        <v>6652</v>
      </c>
      <c r="Q1313" s="36" t="s">
        <v>6653</v>
      </c>
      <c r="R1313" s="36" t="s">
        <v>6654</v>
      </c>
      <c r="S1313" s="36"/>
      <c r="T1313" s="163" t="s">
        <v>6655</v>
      </c>
      <c r="U1313" s="161" t="str">
        <f>HYPERLINK("https://www.ncbi.nlm.nih.gov/pubmed/29736759","PubMed")</f>
        <v>PubMed</v>
      </c>
      <c r="V1313" s="50"/>
      <c r="W1313" s="162"/>
      <c r="X1313" s="156"/>
      <c r="Y1313" s="35"/>
      <c r="Z1313" s="35"/>
      <c r="AA1313" s="35"/>
      <c r="AB1313" s="35"/>
      <c r="AC1313" s="35"/>
      <c r="AD1313" s="35"/>
      <c r="AE1313" s="35"/>
      <c r="AF1313" s="35"/>
      <c r="AG1313" s="35"/>
      <c r="AH1313" s="35"/>
      <c r="AI1313" s="35"/>
      <c r="AJ1313" s="35"/>
      <c r="AK1313" s="35"/>
      <c r="AL1313" s="35"/>
    </row>
    <row r="1314">
      <c r="A1314" s="89"/>
      <c r="B1314" s="19" t="s">
        <v>3034</v>
      </c>
      <c r="C1314" s="158" t="s">
        <v>6628</v>
      </c>
      <c r="D1314" s="159"/>
      <c r="E1314" s="56" t="s">
        <v>6656</v>
      </c>
      <c r="F1314" s="22" t="s">
        <v>5404</v>
      </c>
      <c r="G1314" s="57">
        <v>2017.0</v>
      </c>
      <c r="H1314" s="22" t="s">
        <v>3347</v>
      </c>
      <c r="I1314" s="58" t="s">
        <v>6657</v>
      </c>
      <c r="J1314" s="22" t="s">
        <v>31</v>
      </c>
      <c r="K1314" s="22"/>
      <c r="L1314" s="36">
        <v>662.0</v>
      </c>
      <c r="M1314" s="36"/>
      <c r="N1314" s="36"/>
      <c r="O1314" s="36"/>
      <c r="P1314" s="37"/>
      <c r="Q1314" s="36"/>
      <c r="R1314" s="36"/>
      <c r="S1314" s="36"/>
      <c r="T1314" s="160" t="s">
        <v>6658</v>
      </c>
      <c r="U1314" s="161" t="str">
        <f>HYPERLINK("https://www.ncbi.nlm.nih.gov/pubmed/29379584","PubMed")</f>
        <v>PubMed</v>
      </c>
      <c r="V1314" s="50"/>
      <c r="W1314" s="162"/>
      <c r="X1314" s="156"/>
      <c r="Y1314" s="35"/>
      <c r="Z1314" s="35"/>
      <c r="AA1314" s="35"/>
      <c r="AB1314" s="35"/>
      <c r="AC1314" s="35"/>
      <c r="AD1314" s="35"/>
      <c r="AE1314" s="35"/>
      <c r="AF1314" s="35"/>
      <c r="AG1314" s="35"/>
      <c r="AH1314" s="35"/>
      <c r="AI1314" s="35"/>
      <c r="AJ1314" s="35"/>
      <c r="AK1314" s="35"/>
      <c r="AL1314" s="35"/>
    </row>
    <row r="1315">
      <c r="A1315" s="89"/>
      <c r="B1315" s="19" t="s">
        <v>3034</v>
      </c>
      <c r="C1315" s="158" t="s">
        <v>6659</v>
      </c>
      <c r="D1315" s="159"/>
      <c r="E1315" s="56" t="s">
        <v>6660</v>
      </c>
      <c r="F1315" s="22" t="s">
        <v>4855</v>
      </c>
      <c r="G1315" s="57">
        <v>2015.0</v>
      </c>
      <c r="H1315" s="22" t="s">
        <v>4862</v>
      </c>
      <c r="I1315" s="58" t="s">
        <v>6661</v>
      </c>
      <c r="J1315" s="22" t="s">
        <v>6662</v>
      </c>
      <c r="K1315" s="22"/>
      <c r="L1315" s="36" t="s">
        <v>4503</v>
      </c>
      <c r="M1315" s="36">
        <v>3300.0</v>
      </c>
      <c r="N1315" s="36"/>
      <c r="O1315" s="36" t="s">
        <v>6663</v>
      </c>
      <c r="P1315" s="37" t="s">
        <v>5711</v>
      </c>
      <c r="Q1315" s="36"/>
      <c r="R1315" s="36">
        <v>150.0</v>
      </c>
      <c r="S1315" s="36" t="s">
        <v>4708</v>
      </c>
      <c r="T1315" s="163" t="s">
        <v>6664</v>
      </c>
      <c r="U1315" s="161" t="str">
        <f>HYPERLINK("https://www.ncbi.nlm.nih.gov/pubmed/24820143","PubMed")</f>
        <v>PubMed</v>
      </c>
      <c r="V1315" s="50"/>
      <c r="W1315" s="162"/>
      <c r="X1315" s="156"/>
      <c r="Y1315" s="35"/>
      <c r="Z1315" s="35"/>
      <c r="AA1315" s="35"/>
      <c r="AB1315" s="35"/>
      <c r="AC1315" s="35"/>
      <c r="AD1315" s="35"/>
      <c r="AE1315" s="35"/>
      <c r="AF1315" s="35"/>
      <c r="AG1315" s="35"/>
      <c r="AH1315" s="35"/>
      <c r="AI1315" s="35"/>
      <c r="AJ1315" s="35"/>
      <c r="AK1315" s="35"/>
      <c r="AL1315" s="35"/>
    </row>
    <row r="1316">
      <c r="A1316" s="89"/>
      <c r="B1316" s="19" t="s">
        <v>3034</v>
      </c>
      <c r="C1316" s="158" t="s">
        <v>6659</v>
      </c>
      <c r="D1316" s="159"/>
      <c r="E1316" s="56" t="s">
        <v>6665</v>
      </c>
      <c r="F1316" s="22" t="s">
        <v>1603</v>
      </c>
      <c r="G1316" s="57">
        <v>2004.0</v>
      </c>
      <c r="H1316" s="22" t="s">
        <v>6666</v>
      </c>
      <c r="I1316" s="58" t="s">
        <v>6667</v>
      </c>
      <c r="J1316" s="22" t="s">
        <v>6668</v>
      </c>
      <c r="K1316" s="22"/>
      <c r="L1316" s="36">
        <v>670.0</v>
      </c>
      <c r="M1316" s="36">
        <v>400.0</v>
      </c>
      <c r="N1316" s="36" t="s">
        <v>6669</v>
      </c>
      <c r="O1316" s="36"/>
      <c r="P1316" s="37"/>
      <c r="Q1316" s="36"/>
      <c r="R1316" s="36">
        <v>1000.0</v>
      </c>
      <c r="S1316" s="36" t="s">
        <v>6670</v>
      </c>
      <c r="T1316" s="160" t="s">
        <v>6671</v>
      </c>
      <c r="U1316" s="161" t="str">
        <f>HYPERLINK("https://www.ncbi.nlm.nih.gov/pubmed/15061044","PubMed")</f>
        <v>PubMed</v>
      </c>
      <c r="V1316" s="50"/>
      <c r="W1316" s="162"/>
      <c r="X1316" s="156"/>
      <c r="Y1316" s="35"/>
      <c r="Z1316" s="35"/>
      <c r="AA1316" s="35"/>
      <c r="AB1316" s="35"/>
      <c r="AC1316" s="35"/>
      <c r="AD1316" s="35"/>
      <c r="AE1316" s="35"/>
      <c r="AF1316" s="35"/>
      <c r="AG1316" s="35"/>
      <c r="AH1316" s="35"/>
      <c r="AI1316" s="35"/>
      <c r="AJ1316" s="35"/>
      <c r="AK1316" s="35"/>
      <c r="AL1316" s="35"/>
    </row>
    <row r="1317">
      <c r="A1317" s="89"/>
      <c r="B1317" s="19" t="s">
        <v>3034</v>
      </c>
      <c r="C1317" s="158" t="s">
        <v>6659</v>
      </c>
      <c r="D1317" s="159"/>
      <c r="E1317" s="56" t="s">
        <v>6672</v>
      </c>
      <c r="F1317" s="22" t="s">
        <v>1603</v>
      </c>
      <c r="G1317" s="57">
        <v>2004.0</v>
      </c>
      <c r="H1317" s="22" t="s">
        <v>6673</v>
      </c>
      <c r="I1317" s="58" t="s">
        <v>6674</v>
      </c>
      <c r="J1317" s="22" t="s">
        <v>6675</v>
      </c>
      <c r="K1317" s="22" t="s">
        <v>6676</v>
      </c>
      <c r="L1317" s="36" t="s">
        <v>6677</v>
      </c>
      <c r="M1317" s="36" t="s">
        <v>6678</v>
      </c>
      <c r="N1317" s="36"/>
      <c r="O1317" s="36"/>
      <c r="P1317" s="37" t="s">
        <v>6679</v>
      </c>
      <c r="Q1317" s="36"/>
      <c r="R1317" s="36"/>
      <c r="S1317" s="36" t="s">
        <v>6680</v>
      </c>
      <c r="T1317" s="163" t="s">
        <v>6681</v>
      </c>
      <c r="U1317" s="161" t="str">
        <f>HYPERLINK("https://www.ncbi.nlm.nih.gov/pubmed/15570642","PubMed")</f>
        <v>PubMed</v>
      </c>
      <c r="V1317" s="50"/>
      <c r="W1317" s="162"/>
      <c r="X1317" s="156"/>
      <c r="Y1317" s="35"/>
      <c r="Z1317" s="35"/>
      <c r="AA1317" s="35"/>
      <c r="AB1317" s="35"/>
      <c r="AC1317" s="35"/>
      <c r="AD1317" s="35"/>
      <c r="AE1317" s="35"/>
      <c r="AF1317" s="35"/>
      <c r="AG1317" s="35"/>
      <c r="AH1317" s="35"/>
      <c r="AI1317" s="35"/>
      <c r="AJ1317" s="35"/>
      <c r="AK1317" s="35"/>
      <c r="AL1317" s="35"/>
    </row>
    <row r="1318">
      <c r="A1318" s="89"/>
      <c r="B1318" s="19" t="s">
        <v>3034</v>
      </c>
      <c r="C1318" s="158" t="s">
        <v>6659</v>
      </c>
      <c r="D1318" s="159"/>
      <c r="E1318" s="56" t="s">
        <v>6672</v>
      </c>
      <c r="F1318" s="22" t="s">
        <v>1603</v>
      </c>
      <c r="G1318" s="57">
        <v>2002.0</v>
      </c>
      <c r="H1318" s="22" t="s">
        <v>6666</v>
      </c>
      <c r="I1318" s="58" t="s">
        <v>6682</v>
      </c>
      <c r="J1318" s="22" t="s">
        <v>6683</v>
      </c>
      <c r="K1318" s="22"/>
      <c r="L1318" s="36" t="s">
        <v>6684</v>
      </c>
      <c r="M1318" s="36" t="s">
        <v>6685</v>
      </c>
      <c r="N1318" s="36"/>
      <c r="O1318" s="36"/>
      <c r="P1318" s="37" t="s">
        <v>6679</v>
      </c>
      <c r="Q1318" s="36"/>
      <c r="R1318" s="36"/>
      <c r="S1318" s="36" t="s">
        <v>6680</v>
      </c>
      <c r="T1318" s="163" t="s">
        <v>6686</v>
      </c>
      <c r="U1318" s="161" t="str">
        <f>HYPERLINK("https://www.ncbi.nlm.nih.gov/pubmed/12099151","PubMed")</f>
        <v>PubMed</v>
      </c>
      <c r="V1318" s="50"/>
      <c r="W1318" s="162"/>
      <c r="X1318" s="156"/>
      <c r="Y1318" s="35"/>
      <c r="Z1318" s="35"/>
      <c r="AA1318" s="35"/>
      <c r="AB1318" s="35"/>
      <c r="AC1318" s="35"/>
      <c r="AD1318" s="35"/>
      <c r="AE1318" s="35"/>
      <c r="AF1318" s="35"/>
      <c r="AG1318" s="35"/>
      <c r="AH1318" s="35"/>
      <c r="AI1318" s="35"/>
      <c r="AJ1318" s="35"/>
      <c r="AK1318" s="35"/>
      <c r="AL1318" s="35"/>
    </row>
    <row r="1319">
      <c r="A1319" s="89"/>
      <c r="B1319" s="19" t="s">
        <v>3034</v>
      </c>
      <c r="C1319" s="158" t="s">
        <v>6659</v>
      </c>
      <c r="D1319" s="159"/>
      <c r="E1319" s="56" t="s">
        <v>6665</v>
      </c>
      <c r="F1319" s="22" t="s">
        <v>1603</v>
      </c>
      <c r="G1319" s="57">
        <v>2001.0</v>
      </c>
      <c r="H1319" s="22" t="s">
        <v>6666</v>
      </c>
      <c r="I1319" s="58" t="s">
        <v>6687</v>
      </c>
      <c r="J1319" s="22" t="s">
        <v>6688</v>
      </c>
      <c r="K1319" s="22"/>
      <c r="L1319" s="36">
        <v>670.0</v>
      </c>
      <c r="M1319" s="36">
        <v>250.0</v>
      </c>
      <c r="N1319" s="36" t="s">
        <v>6689</v>
      </c>
      <c r="O1319" s="36"/>
      <c r="P1319" s="37"/>
      <c r="Q1319" s="36"/>
      <c r="R1319" s="36">
        <v>1000.0</v>
      </c>
      <c r="S1319" s="36" t="s">
        <v>6690</v>
      </c>
      <c r="T1319" s="160" t="s">
        <v>6691</v>
      </c>
      <c r="U1319" s="161" t="str">
        <f>HYPERLINK("https://www.ncbi.nlm.nih.gov/pubmed/11771213","PubMed")</f>
        <v>PubMed</v>
      </c>
      <c r="V1319" s="50"/>
      <c r="W1319" s="162"/>
      <c r="X1319" s="156"/>
      <c r="Y1319" s="35"/>
      <c r="Z1319" s="35"/>
      <c r="AA1319" s="35"/>
      <c r="AB1319" s="35"/>
      <c r="AC1319" s="35"/>
      <c r="AD1319" s="35"/>
      <c r="AE1319" s="35"/>
      <c r="AF1319" s="35"/>
      <c r="AG1319" s="35"/>
      <c r="AH1319" s="35"/>
      <c r="AI1319" s="35"/>
      <c r="AJ1319" s="35"/>
      <c r="AK1319" s="35"/>
      <c r="AL1319" s="35"/>
    </row>
    <row r="1320">
      <c r="A1320" s="1"/>
      <c r="B1320" s="19" t="s">
        <v>3034</v>
      </c>
      <c r="C1320" s="20" t="s">
        <v>6692</v>
      </c>
      <c r="D1320" s="47"/>
      <c r="E1320" s="22" t="s">
        <v>6310</v>
      </c>
      <c r="F1320" s="22" t="s">
        <v>5404</v>
      </c>
      <c r="G1320" s="23">
        <v>2024.0</v>
      </c>
      <c r="H1320" s="22" t="s">
        <v>207</v>
      </c>
      <c r="I1320" s="24" t="s">
        <v>6693</v>
      </c>
      <c r="J1320" s="22" t="s">
        <v>31</v>
      </c>
      <c r="K1320" s="22"/>
      <c r="L1320" s="208" t="s">
        <v>6694</v>
      </c>
      <c r="M1320" s="209"/>
      <c r="N1320" s="209"/>
      <c r="O1320" s="209"/>
      <c r="P1320" s="209"/>
      <c r="Q1320" s="209"/>
      <c r="R1320" s="209"/>
      <c r="S1320" s="209"/>
      <c r="T1320" s="28" t="s">
        <v>6695</v>
      </c>
      <c r="U1320" s="38" t="s">
        <v>61</v>
      </c>
      <c r="V1320" s="30"/>
      <c r="W1320" s="49"/>
      <c r="X1320" s="49"/>
      <c r="Y1320" s="35"/>
      <c r="Z1320" s="35"/>
      <c r="AA1320" s="35"/>
      <c r="AB1320" s="35"/>
      <c r="AC1320" s="35"/>
      <c r="AD1320" s="35"/>
      <c r="AE1320" s="35"/>
      <c r="AF1320" s="35"/>
      <c r="AG1320" s="35"/>
      <c r="AH1320" s="35"/>
      <c r="AI1320" s="35"/>
      <c r="AJ1320" s="35"/>
      <c r="AK1320" s="35"/>
      <c r="AL1320" s="35"/>
    </row>
    <row r="1321">
      <c r="A1321" s="1"/>
      <c r="B1321" s="19" t="s">
        <v>3034</v>
      </c>
      <c r="C1321" s="20" t="s">
        <v>6692</v>
      </c>
      <c r="D1321" s="47"/>
      <c r="E1321" s="22" t="s">
        <v>1921</v>
      </c>
      <c r="F1321" s="22" t="s">
        <v>6696</v>
      </c>
      <c r="G1321" s="23">
        <v>2022.0</v>
      </c>
      <c r="H1321" s="22" t="s">
        <v>207</v>
      </c>
      <c r="I1321" s="24" t="s">
        <v>6697</v>
      </c>
      <c r="J1321" s="22" t="s">
        <v>31</v>
      </c>
      <c r="K1321" s="22" t="s">
        <v>6698</v>
      </c>
      <c r="L1321" s="208" t="s">
        <v>6699</v>
      </c>
      <c r="M1321" s="209"/>
      <c r="N1321" s="209"/>
      <c r="O1321" s="209"/>
      <c r="P1321" s="209"/>
      <c r="Q1321" s="209"/>
      <c r="R1321" s="209"/>
      <c r="S1321" s="209"/>
      <c r="T1321" s="28" t="s">
        <v>6700</v>
      </c>
      <c r="U1321" s="29" t="s">
        <v>61</v>
      </c>
      <c r="V1321" s="30"/>
      <c r="W1321" s="49"/>
      <c r="X1321" s="49"/>
      <c r="Y1321" s="35"/>
      <c r="Z1321" s="35"/>
      <c r="AA1321" s="35"/>
      <c r="AB1321" s="35"/>
      <c r="AC1321" s="35"/>
      <c r="AD1321" s="35"/>
      <c r="AE1321" s="35"/>
      <c r="AF1321" s="35"/>
      <c r="AG1321" s="35"/>
      <c r="AH1321" s="35"/>
      <c r="AI1321" s="35"/>
      <c r="AJ1321" s="35"/>
      <c r="AK1321" s="35"/>
      <c r="AL1321" s="35"/>
    </row>
    <row r="1322">
      <c r="A1322" s="1"/>
      <c r="B1322" s="19" t="s">
        <v>3034</v>
      </c>
      <c r="C1322" s="20" t="s">
        <v>6692</v>
      </c>
      <c r="D1322" s="47"/>
      <c r="E1322" s="22" t="s">
        <v>3980</v>
      </c>
      <c r="F1322" s="22" t="s">
        <v>2266</v>
      </c>
      <c r="G1322" s="23">
        <v>2021.0</v>
      </c>
      <c r="H1322" s="22" t="s">
        <v>77</v>
      </c>
      <c r="I1322" s="24" t="s">
        <v>6701</v>
      </c>
      <c r="J1322" s="22" t="s">
        <v>125</v>
      </c>
      <c r="K1322" s="22"/>
      <c r="L1322" s="132" t="s">
        <v>6702</v>
      </c>
      <c r="U1322" s="29" t="s">
        <v>61</v>
      </c>
      <c r="V1322" s="30"/>
      <c r="W1322" s="49"/>
      <c r="X1322" s="49"/>
      <c r="Y1322" s="35"/>
      <c r="Z1322" s="35"/>
      <c r="AA1322" s="35"/>
      <c r="AB1322" s="35"/>
      <c r="AC1322" s="35"/>
      <c r="AD1322" s="35"/>
      <c r="AE1322" s="35"/>
      <c r="AF1322" s="35"/>
      <c r="AG1322" s="35"/>
      <c r="AH1322" s="35"/>
      <c r="AI1322" s="35"/>
      <c r="AJ1322" s="35"/>
      <c r="AK1322" s="35"/>
      <c r="AL1322" s="35"/>
    </row>
    <row r="1323">
      <c r="A1323" s="1"/>
      <c r="B1323" s="19" t="s">
        <v>3034</v>
      </c>
      <c r="C1323" s="20" t="s">
        <v>6692</v>
      </c>
      <c r="D1323" s="47"/>
      <c r="E1323" s="22" t="s">
        <v>6703</v>
      </c>
      <c r="F1323" s="22" t="s">
        <v>1808</v>
      </c>
      <c r="G1323" s="23">
        <v>2021.0</v>
      </c>
      <c r="H1323" s="22" t="s">
        <v>6704</v>
      </c>
      <c r="I1323" s="24" t="s">
        <v>6705</v>
      </c>
      <c r="J1323" s="22" t="s">
        <v>6706</v>
      </c>
      <c r="K1323" s="22" t="s">
        <v>6698</v>
      </c>
      <c r="L1323" s="36" t="s">
        <v>6707</v>
      </c>
      <c r="M1323" s="129"/>
      <c r="N1323" s="36"/>
      <c r="O1323" s="36"/>
      <c r="P1323" s="37"/>
      <c r="Q1323" s="36"/>
      <c r="R1323" s="36"/>
      <c r="S1323" s="36"/>
      <c r="T1323" s="28" t="s">
        <v>6708</v>
      </c>
      <c r="U1323" s="29" t="s">
        <v>6709</v>
      </c>
      <c r="V1323" s="30"/>
      <c r="W1323" s="49"/>
      <c r="X1323" s="49"/>
      <c r="Y1323" s="35"/>
      <c r="Z1323" s="35"/>
      <c r="AA1323" s="35"/>
      <c r="AB1323" s="35"/>
      <c r="AC1323" s="35"/>
      <c r="AD1323" s="35"/>
      <c r="AE1323" s="35"/>
      <c r="AF1323" s="35"/>
      <c r="AG1323" s="35"/>
      <c r="AH1323" s="35"/>
      <c r="AI1323" s="35"/>
      <c r="AJ1323" s="35"/>
      <c r="AK1323" s="35"/>
      <c r="AL1323" s="35"/>
    </row>
    <row r="1324">
      <c r="A1324" s="1"/>
      <c r="B1324" s="19" t="s">
        <v>3034</v>
      </c>
      <c r="C1324" s="20" t="s">
        <v>6692</v>
      </c>
      <c r="D1324" s="47"/>
      <c r="E1324" s="22" t="s">
        <v>6710</v>
      </c>
      <c r="F1324" s="22" t="s">
        <v>3681</v>
      </c>
      <c r="G1324" s="23">
        <v>2019.0</v>
      </c>
      <c r="H1324" s="22" t="s">
        <v>91</v>
      </c>
      <c r="I1324" s="24" t="s">
        <v>6711</v>
      </c>
      <c r="J1324" s="22" t="s">
        <v>55</v>
      </c>
      <c r="K1324" s="22"/>
      <c r="L1324" s="36">
        <v>890.0</v>
      </c>
      <c r="M1324" s="129"/>
      <c r="N1324" s="36" t="s">
        <v>6712</v>
      </c>
      <c r="O1324" s="36"/>
      <c r="P1324" s="37"/>
      <c r="Q1324" s="36"/>
      <c r="R1324" s="36">
        <v>600.0</v>
      </c>
      <c r="S1324" s="36"/>
      <c r="T1324" s="28" t="s">
        <v>6713</v>
      </c>
      <c r="U1324" s="38" t="str">
        <f>HYPERLINK("https://www.ncbi.nlm.nih.gov/pubmed/30834462","PubMed")</f>
        <v>PubMed</v>
      </c>
      <c r="V1324" s="30"/>
      <c r="W1324" s="49"/>
      <c r="X1324" s="49"/>
      <c r="Y1324" s="35"/>
      <c r="Z1324" s="35"/>
      <c r="AA1324" s="35"/>
      <c r="AB1324" s="35"/>
      <c r="AC1324" s="35"/>
      <c r="AD1324" s="35"/>
      <c r="AE1324" s="35"/>
      <c r="AF1324" s="35"/>
      <c r="AG1324" s="35"/>
      <c r="AH1324" s="35"/>
      <c r="AI1324" s="35"/>
      <c r="AJ1324" s="35"/>
      <c r="AK1324" s="35"/>
      <c r="AL1324" s="35"/>
    </row>
    <row r="1325">
      <c r="A1325" s="1"/>
      <c r="B1325" s="19" t="s">
        <v>3034</v>
      </c>
      <c r="C1325" s="20" t="s">
        <v>6692</v>
      </c>
      <c r="D1325" s="47"/>
      <c r="E1325" s="22" t="s">
        <v>1921</v>
      </c>
      <c r="F1325" s="22" t="s">
        <v>6696</v>
      </c>
      <c r="G1325" s="23">
        <v>2019.0</v>
      </c>
      <c r="H1325" s="22" t="s">
        <v>6714</v>
      </c>
      <c r="I1325" s="24" t="s">
        <v>6715</v>
      </c>
      <c r="J1325" s="22" t="s">
        <v>31</v>
      </c>
      <c r="K1325" s="22" t="s">
        <v>6716</v>
      </c>
      <c r="L1325" s="36">
        <v>633.0</v>
      </c>
      <c r="M1325" s="129"/>
      <c r="N1325" s="36"/>
      <c r="O1325" s="36"/>
      <c r="P1325" s="37"/>
      <c r="Q1325" s="36"/>
      <c r="R1325" s="36"/>
      <c r="S1325" s="36"/>
      <c r="T1325" s="41" t="s">
        <v>6717</v>
      </c>
      <c r="U1325" s="38" t="str">
        <f>HYPERLINK("https://www.ncbi.nlm.nih.gov/pubmed/31817490","PubMed")</f>
        <v>PubMed</v>
      </c>
      <c r="V1325" s="30"/>
      <c r="W1325" s="49"/>
      <c r="X1325" s="49"/>
      <c r="Y1325" s="35"/>
      <c r="Z1325" s="35"/>
      <c r="AA1325" s="35"/>
      <c r="AB1325" s="35"/>
      <c r="AC1325" s="35"/>
      <c r="AD1325" s="35"/>
      <c r="AE1325" s="35"/>
      <c r="AF1325" s="35"/>
      <c r="AG1325" s="35"/>
      <c r="AH1325" s="35"/>
      <c r="AI1325" s="35"/>
      <c r="AJ1325" s="35"/>
      <c r="AK1325" s="35"/>
      <c r="AL1325" s="35"/>
    </row>
    <row r="1326">
      <c r="A1326" s="1"/>
      <c r="B1326" s="19" t="s">
        <v>3034</v>
      </c>
      <c r="C1326" s="20" t="s">
        <v>6692</v>
      </c>
      <c r="D1326" s="47"/>
      <c r="E1326" s="22" t="s">
        <v>6718</v>
      </c>
      <c r="F1326" s="22" t="s">
        <v>6719</v>
      </c>
      <c r="G1326" s="23">
        <v>2017.0</v>
      </c>
      <c r="H1326" s="22" t="s">
        <v>91</v>
      </c>
      <c r="I1326" s="24" t="s">
        <v>6720</v>
      </c>
      <c r="J1326" s="22" t="s">
        <v>31</v>
      </c>
      <c r="K1326" s="22" t="s">
        <v>1725</v>
      </c>
      <c r="L1326" s="36">
        <v>405.0</v>
      </c>
      <c r="M1326" s="129"/>
      <c r="N1326" s="36"/>
      <c r="O1326" s="36"/>
      <c r="P1326" s="37" t="s">
        <v>6491</v>
      </c>
      <c r="Q1326" s="36"/>
      <c r="R1326" s="36"/>
      <c r="S1326" s="36"/>
      <c r="T1326" s="28" t="s">
        <v>6721</v>
      </c>
      <c r="U1326" s="29" t="s">
        <v>61</v>
      </c>
      <c r="V1326" s="30"/>
      <c r="W1326" s="49"/>
      <c r="X1326" s="49"/>
      <c r="Y1326" s="35"/>
      <c r="Z1326" s="35"/>
      <c r="AA1326" s="35"/>
      <c r="AB1326" s="35"/>
      <c r="AC1326" s="35"/>
      <c r="AD1326" s="35"/>
      <c r="AE1326" s="35"/>
      <c r="AF1326" s="35"/>
      <c r="AG1326" s="35"/>
      <c r="AH1326" s="35"/>
      <c r="AI1326" s="35"/>
      <c r="AJ1326" s="35"/>
      <c r="AK1326" s="35"/>
      <c r="AL1326" s="35"/>
    </row>
    <row r="1327">
      <c r="A1327" s="1"/>
      <c r="B1327" s="19" t="s">
        <v>3034</v>
      </c>
      <c r="C1327" s="20" t="s">
        <v>6692</v>
      </c>
      <c r="D1327" s="47"/>
      <c r="E1327" s="22" t="s">
        <v>2228</v>
      </c>
      <c r="F1327" s="22" t="s">
        <v>65</v>
      </c>
      <c r="G1327" s="23">
        <v>2015.0</v>
      </c>
      <c r="H1327" s="22" t="s">
        <v>91</v>
      </c>
      <c r="I1327" s="24" t="s">
        <v>6722</v>
      </c>
      <c r="J1327" s="22" t="s">
        <v>31</v>
      </c>
      <c r="K1327" s="22"/>
      <c r="L1327" s="36">
        <v>633.0</v>
      </c>
      <c r="M1327" s="129">
        <v>42464.0</v>
      </c>
      <c r="N1327" s="36"/>
      <c r="O1327" s="36"/>
      <c r="P1327" s="37"/>
      <c r="Q1327" s="36"/>
      <c r="R1327" s="36"/>
      <c r="S1327" s="36"/>
      <c r="T1327" s="42" t="s">
        <v>6723</v>
      </c>
      <c r="U1327" s="38" t="str">
        <f>HYPERLINK("https://www.ncbi.nlm.nih.gov/pubmed/26407713","PubMed")</f>
        <v>PubMed</v>
      </c>
      <c r="V1327" s="30"/>
      <c r="W1327" s="49"/>
      <c r="X1327" s="49"/>
      <c r="Y1327" s="35"/>
      <c r="Z1327" s="35"/>
      <c r="AA1327" s="35"/>
      <c r="AB1327" s="35"/>
      <c r="AC1327" s="35"/>
      <c r="AD1327" s="35"/>
      <c r="AE1327" s="35"/>
      <c r="AF1327" s="35"/>
      <c r="AG1327" s="35"/>
      <c r="AH1327" s="35"/>
      <c r="AI1327" s="35"/>
      <c r="AJ1327" s="35"/>
      <c r="AK1327" s="35"/>
      <c r="AL1327" s="35"/>
    </row>
    <row r="1328">
      <c r="A1328" s="1"/>
      <c r="B1328" s="19" t="s">
        <v>3034</v>
      </c>
      <c r="C1328" s="20" t="s">
        <v>6692</v>
      </c>
      <c r="D1328" s="47"/>
      <c r="E1328" s="22" t="s">
        <v>6310</v>
      </c>
      <c r="F1328" s="22" t="s">
        <v>6634</v>
      </c>
      <c r="G1328" s="23">
        <v>2015.0</v>
      </c>
      <c r="H1328" s="22" t="s">
        <v>3950</v>
      </c>
      <c r="I1328" s="24" t="s">
        <v>6724</v>
      </c>
      <c r="J1328" s="22" t="s">
        <v>31</v>
      </c>
      <c r="K1328" s="22" t="s">
        <v>56</v>
      </c>
      <c r="L1328" s="36" t="s">
        <v>6725</v>
      </c>
      <c r="M1328" s="36"/>
      <c r="N1328" s="36" t="s">
        <v>6726</v>
      </c>
      <c r="O1328" s="36"/>
      <c r="P1328" s="37"/>
      <c r="Q1328" s="36"/>
      <c r="R1328" s="36" t="s">
        <v>6727</v>
      </c>
      <c r="S1328" s="36"/>
      <c r="T1328" s="28" t="s">
        <v>6728</v>
      </c>
      <c r="U1328" s="38" t="str">
        <f>HYPERLINK("https://www.ncbi.nlm.nih.gov/pubmed/26329012","PubMed")</f>
        <v>PubMed</v>
      </c>
      <c r="V1328" s="30"/>
      <c r="W1328" s="49"/>
      <c r="X1328" s="49"/>
      <c r="Y1328" s="35"/>
      <c r="Z1328" s="35"/>
      <c r="AA1328" s="35"/>
      <c r="AB1328" s="35"/>
      <c r="AC1328" s="35"/>
      <c r="AD1328" s="35"/>
      <c r="AE1328" s="35"/>
      <c r="AF1328" s="35"/>
      <c r="AG1328" s="35"/>
      <c r="AH1328" s="35"/>
      <c r="AI1328" s="35"/>
      <c r="AJ1328" s="35"/>
      <c r="AK1328" s="35"/>
      <c r="AL1328" s="35"/>
    </row>
    <row r="1329">
      <c r="A1329" s="1"/>
      <c r="B1329" s="19" t="s">
        <v>3034</v>
      </c>
      <c r="C1329" s="20" t="s">
        <v>6692</v>
      </c>
      <c r="D1329" s="47"/>
      <c r="E1329" s="22" t="s">
        <v>6729</v>
      </c>
      <c r="F1329" s="22" t="s">
        <v>2076</v>
      </c>
      <c r="G1329" s="23">
        <v>2014.0</v>
      </c>
      <c r="H1329" s="22" t="s">
        <v>6730</v>
      </c>
      <c r="I1329" s="24" t="s">
        <v>6731</v>
      </c>
      <c r="J1329" s="22" t="s">
        <v>31</v>
      </c>
      <c r="K1329" s="22" t="s">
        <v>1827</v>
      </c>
      <c r="L1329" s="36" t="s">
        <v>4503</v>
      </c>
      <c r="M1329" s="36"/>
      <c r="N1329" s="36"/>
      <c r="O1329" s="36"/>
      <c r="P1329" s="37" t="s">
        <v>6732</v>
      </c>
      <c r="Q1329" s="36"/>
      <c r="R1329" s="36"/>
      <c r="S1329" s="36"/>
      <c r="T1329" s="28" t="s">
        <v>6733</v>
      </c>
      <c r="U1329" s="29" t="s">
        <v>61</v>
      </c>
      <c r="V1329" s="30"/>
      <c r="W1329" s="49"/>
      <c r="X1329" s="49"/>
      <c r="Y1329" s="35"/>
      <c r="Z1329" s="35"/>
      <c r="AA1329" s="35"/>
      <c r="AB1329" s="35"/>
      <c r="AC1329" s="35"/>
      <c r="AD1329" s="35"/>
      <c r="AE1329" s="35"/>
      <c r="AF1329" s="35"/>
      <c r="AG1329" s="35"/>
      <c r="AH1329" s="35"/>
      <c r="AI1329" s="35"/>
      <c r="AJ1329" s="35"/>
      <c r="AK1329" s="35"/>
      <c r="AL1329" s="35"/>
    </row>
    <row r="1330">
      <c r="A1330" s="1"/>
      <c r="B1330" s="19" t="s">
        <v>3034</v>
      </c>
      <c r="C1330" s="20" t="s">
        <v>6692</v>
      </c>
      <c r="D1330" s="47"/>
      <c r="E1330" s="22" t="s">
        <v>2228</v>
      </c>
      <c r="F1330" s="22" t="s">
        <v>65</v>
      </c>
      <c r="G1330" s="23">
        <v>2012.0</v>
      </c>
      <c r="H1330" s="22" t="s">
        <v>1000</v>
      </c>
      <c r="I1330" s="24" t="s">
        <v>6734</v>
      </c>
      <c r="J1330" s="22" t="s">
        <v>31</v>
      </c>
      <c r="K1330" s="22"/>
      <c r="L1330" s="36">
        <v>633.0</v>
      </c>
      <c r="M1330" s="36"/>
      <c r="N1330" s="36"/>
      <c r="O1330" s="36"/>
      <c r="P1330" s="37"/>
      <c r="Q1330" s="36"/>
      <c r="R1330" s="36"/>
      <c r="S1330" s="36"/>
      <c r="T1330" s="42" t="s">
        <v>6735</v>
      </c>
      <c r="U1330" s="29" t="s">
        <v>6736</v>
      </c>
      <c r="V1330" s="30"/>
      <c r="W1330" s="49"/>
      <c r="X1330" s="49"/>
      <c r="Y1330" s="35"/>
      <c r="Z1330" s="35"/>
      <c r="AA1330" s="35"/>
      <c r="AB1330" s="35"/>
      <c r="AC1330" s="35"/>
      <c r="AD1330" s="35"/>
      <c r="AE1330" s="35"/>
      <c r="AF1330" s="35"/>
      <c r="AG1330" s="35"/>
      <c r="AH1330" s="35"/>
      <c r="AI1330" s="35"/>
      <c r="AJ1330" s="35"/>
      <c r="AK1330" s="35"/>
      <c r="AL1330" s="35"/>
    </row>
    <row r="1331">
      <c r="A1331" s="1"/>
      <c r="B1331" s="19" t="s">
        <v>3034</v>
      </c>
      <c r="C1331" s="20" t="s">
        <v>6692</v>
      </c>
      <c r="D1331" s="47"/>
      <c r="E1331" s="22" t="s">
        <v>6737</v>
      </c>
      <c r="F1331" s="22" t="s">
        <v>3064</v>
      </c>
      <c r="G1331" s="23">
        <v>2008.0</v>
      </c>
      <c r="H1331" s="22" t="s">
        <v>3065</v>
      </c>
      <c r="I1331" s="24" t="s">
        <v>6738</v>
      </c>
      <c r="J1331" s="22" t="s">
        <v>1773</v>
      </c>
      <c r="K1331" s="22"/>
      <c r="L1331" s="36">
        <v>633.0</v>
      </c>
      <c r="M1331" s="36"/>
      <c r="N1331" s="36"/>
      <c r="O1331" s="36"/>
      <c r="P1331" s="37"/>
      <c r="Q1331" s="36"/>
      <c r="R1331" s="36"/>
      <c r="S1331" s="36"/>
      <c r="T1331" s="42" t="s">
        <v>6739</v>
      </c>
      <c r="U1331" s="38" t="str">
        <f>HYPERLINK("https://www.ncbi.nlm.nih.gov/pubmed/19023990","PubMed")</f>
        <v>PubMed</v>
      </c>
      <c r="V1331" s="30"/>
      <c r="W1331" s="49"/>
      <c r="X1331" s="49"/>
      <c r="Y1331" s="35"/>
      <c r="Z1331" s="35"/>
      <c r="AA1331" s="35"/>
      <c r="AB1331" s="35"/>
      <c r="AC1331" s="35"/>
      <c r="AD1331" s="35"/>
      <c r="AE1331" s="35"/>
      <c r="AF1331" s="35"/>
      <c r="AG1331" s="35"/>
      <c r="AH1331" s="35"/>
      <c r="AI1331" s="35"/>
      <c r="AJ1331" s="35"/>
      <c r="AK1331" s="35"/>
      <c r="AL1331" s="35"/>
    </row>
    <row r="1332">
      <c r="A1332" s="1"/>
      <c r="B1332" s="19" t="s">
        <v>3034</v>
      </c>
      <c r="C1332" s="20" t="s">
        <v>6692</v>
      </c>
      <c r="D1332" s="47"/>
      <c r="E1332" s="22" t="s">
        <v>6740</v>
      </c>
      <c r="F1332" s="22" t="s">
        <v>65</v>
      </c>
      <c r="G1332" s="23">
        <v>2007.0</v>
      </c>
      <c r="H1332" s="22" t="s">
        <v>6741</v>
      </c>
      <c r="I1332" s="24" t="s">
        <v>6742</v>
      </c>
      <c r="J1332" s="22" t="s">
        <v>31</v>
      </c>
      <c r="K1332" s="22" t="s">
        <v>6743</v>
      </c>
      <c r="L1332" s="36">
        <v>633.0</v>
      </c>
      <c r="M1332" s="36"/>
      <c r="N1332" s="36"/>
      <c r="O1332" s="36"/>
      <c r="P1332" s="37"/>
      <c r="Q1332" s="36"/>
      <c r="R1332" s="36"/>
      <c r="S1332" s="36"/>
      <c r="T1332" s="28" t="s">
        <v>6744</v>
      </c>
      <c r="U1332" s="38" t="str">
        <f>HYPERLINK("https://www.ncbi.nlm.nih.gov/pubmed/17622467/","PubMed")</f>
        <v>PubMed</v>
      </c>
      <c r="V1332" s="30"/>
      <c r="W1332" s="49"/>
      <c r="X1332" s="49"/>
      <c r="Y1332" s="35"/>
      <c r="Z1332" s="35"/>
      <c r="AA1332" s="35"/>
      <c r="AB1332" s="35"/>
      <c r="AC1332" s="35"/>
      <c r="AD1332" s="35"/>
      <c r="AE1332" s="35"/>
      <c r="AF1332" s="35"/>
      <c r="AG1332" s="35"/>
      <c r="AH1332" s="35"/>
      <c r="AI1332" s="35"/>
      <c r="AJ1332" s="35"/>
      <c r="AK1332" s="35"/>
      <c r="AL1332" s="35"/>
    </row>
    <row r="1333">
      <c r="A1333" s="1"/>
      <c r="B1333" s="19" t="s">
        <v>3034</v>
      </c>
      <c r="C1333" s="20" t="s">
        <v>6692</v>
      </c>
      <c r="D1333" s="47"/>
      <c r="E1333" s="22" t="s">
        <v>6745</v>
      </c>
      <c r="F1333" s="22" t="s">
        <v>5404</v>
      </c>
      <c r="G1333" s="23">
        <v>2005.0</v>
      </c>
      <c r="H1333" s="22" t="s">
        <v>6746</v>
      </c>
      <c r="I1333" s="24" t="s">
        <v>6747</v>
      </c>
      <c r="J1333" s="22" t="s">
        <v>31</v>
      </c>
      <c r="K1333" s="22" t="s">
        <v>56</v>
      </c>
      <c r="L1333" s="36" t="s">
        <v>6748</v>
      </c>
      <c r="M1333" s="36"/>
      <c r="N1333" s="36" t="s">
        <v>6749</v>
      </c>
      <c r="O1333" s="36"/>
      <c r="P1333" s="37"/>
      <c r="Q1333" s="36"/>
      <c r="R1333" s="36"/>
      <c r="S1333" s="36"/>
      <c r="T1333" s="28" t="s">
        <v>6750</v>
      </c>
      <c r="U1333" s="38" t="str">
        <f>HYPERLINK("https://www.ncbi.nlm.nih.gov/pubmed/15919217","PubMed")</f>
        <v>PubMed</v>
      </c>
      <c r="V1333" s="30"/>
      <c r="W1333" s="49"/>
      <c r="X1333" s="49"/>
      <c r="Y1333" s="35"/>
      <c r="Z1333" s="35"/>
      <c r="AA1333" s="35"/>
      <c r="AB1333" s="35"/>
      <c r="AC1333" s="35"/>
      <c r="AD1333" s="35"/>
      <c r="AE1333" s="35"/>
      <c r="AF1333" s="35"/>
      <c r="AG1333" s="35"/>
      <c r="AH1333" s="35"/>
      <c r="AI1333" s="35"/>
      <c r="AJ1333" s="35"/>
      <c r="AK1333" s="35"/>
      <c r="AL1333" s="35"/>
    </row>
    <row r="1334">
      <c r="A1334" s="1"/>
      <c r="B1334" s="19" t="s">
        <v>3034</v>
      </c>
      <c r="C1334" s="20" t="s">
        <v>6692</v>
      </c>
      <c r="D1334" s="47"/>
      <c r="E1334" s="22" t="s">
        <v>5003</v>
      </c>
      <c r="F1334" s="22" t="s">
        <v>3864</v>
      </c>
      <c r="G1334" s="23">
        <v>2004.0</v>
      </c>
      <c r="H1334" s="22" t="s">
        <v>1289</v>
      </c>
      <c r="I1334" s="24" t="s">
        <v>6751</v>
      </c>
      <c r="J1334" s="22" t="s">
        <v>6752</v>
      </c>
      <c r="K1334" s="22"/>
      <c r="L1334" s="36">
        <v>810.0</v>
      </c>
      <c r="M1334" s="36"/>
      <c r="N1334" s="36"/>
      <c r="O1334" s="36"/>
      <c r="P1334" s="37"/>
      <c r="Q1334" s="36"/>
      <c r="R1334" s="36"/>
      <c r="S1334" s="36"/>
      <c r="T1334" s="28" t="s">
        <v>6753</v>
      </c>
      <c r="U1334" s="38" t="str">
        <f>HYPERLINK("http://www.ncbi.nlm.nih.gov/pubmed/15165385","PubMed")</f>
        <v>PubMed</v>
      </c>
      <c r="V1334" s="30"/>
      <c r="W1334" s="49"/>
      <c r="X1334" s="49"/>
      <c r="Y1334" s="35"/>
      <c r="Z1334" s="35"/>
      <c r="AA1334" s="35"/>
      <c r="AB1334" s="35"/>
      <c r="AC1334" s="35"/>
      <c r="AD1334" s="35"/>
      <c r="AE1334" s="35"/>
      <c r="AF1334" s="35"/>
      <c r="AG1334" s="35"/>
      <c r="AH1334" s="35"/>
      <c r="AI1334" s="35"/>
      <c r="AJ1334" s="35"/>
      <c r="AK1334" s="35"/>
      <c r="AL1334" s="35"/>
    </row>
    <row r="1335">
      <c r="A1335" s="1"/>
      <c r="B1335" s="19" t="s">
        <v>3034</v>
      </c>
      <c r="C1335" s="20" t="s">
        <v>6692</v>
      </c>
      <c r="D1335" s="47"/>
      <c r="E1335" s="22" t="s">
        <v>5003</v>
      </c>
      <c r="F1335" s="22" t="s">
        <v>2076</v>
      </c>
      <c r="G1335" s="23">
        <v>2003.0</v>
      </c>
      <c r="H1335" s="22" t="s">
        <v>1289</v>
      </c>
      <c r="I1335" s="24" t="s">
        <v>6754</v>
      </c>
      <c r="J1335" s="22" t="s">
        <v>31</v>
      </c>
      <c r="K1335" s="22"/>
      <c r="L1335" s="36">
        <v>810.0</v>
      </c>
      <c r="M1335" s="36"/>
      <c r="N1335" s="36"/>
      <c r="O1335" s="36"/>
      <c r="P1335" s="37"/>
      <c r="Q1335" s="36"/>
      <c r="R1335" s="36"/>
      <c r="S1335" s="36"/>
      <c r="T1335" s="42" t="s">
        <v>6755</v>
      </c>
      <c r="U1335" s="38" t="str">
        <f>HYPERLINK("https://www.ncbi.nlm.nih.gov/pubmed/14709219","PubMed")</f>
        <v>PubMed</v>
      </c>
      <c r="V1335" s="30"/>
      <c r="W1335" s="49"/>
      <c r="X1335" s="49"/>
      <c r="Y1335" s="35"/>
      <c r="Z1335" s="35"/>
      <c r="AA1335" s="35"/>
      <c r="AB1335" s="35"/>
      <c r="AC1335" s="35"/>
      <c r="AD1335" s="35"/>
      <c r="AE1335" s="35"/>
      <c r="AF1335" s="35"/>
      <c r="AG1335" s="35"/>
      <c r="AH1335" s="35"/>
      <c r="AI1335" s="35"/>
      <c r="AJ1335" s="35"/>
      <c r="AK1335" s="35"/>
      <c r="AL1335" s="35"/>
    </row>
    <row r="1336">
      <c r="A1336" s="1"/>
      <c r="B1336" s="19" t="s">
        <v>3034</v>
      </c>
      <c r="C1336" s="20" t="s">
        <v>6692</v>
      </c>
      <c r="D1336" s="47"/>
      <c r="E1336" s="22" t="s">
        <v>6756</v>
      </c>
      <c r="F1336" s="22" t="s">
        <v>6757</v>
      </c>
      <c r="G1336" s="23">
        <v>2001.0</v>
      </c>
      <c r="H1336" s="22" t="s">
        <v>6758</v>
      </c>
      <c r="I1336" s="24" t="s">
        <v>6759</v>
      </c>
      <c r="J1336" s="22" t="s">
        <v>31</v>
      </c>
      <c r="K1336" s="22" t="s">
        <v>294</v>
      </c>
      <c r="L1336" s="36" t="s">
        <v>6760</v>
      </c>
      <c r="M1336" s="36"/>
      <c r="N1336" s="36"/>
      <c r="O1336" s="36"/>
      <c r="P1336" s="37"/>
      <c r="Q1336" s="36" t="s">
        <v>6761</v>
      </c>
      <c r="R1336" s="36" t="s">
        <v>6762</v>
      </c>
      <c r="S1336" s="36"/>
      <c r="T1336" s="41" t="s">
        <v>6763</v>
      </c>
      <c r="U1336" s="38" t="str">
        <f>HYPERLINK("https://www.ncbi.nlm.nih.gov/pubmed/11847417","PubMed")</f>
        <v>PubMed</v>
      </c>
      <c r="V1336" s="30"/>
      <c r="W1336" s="49"/>
      <c r="X1336" s="49"/>
      <c r="Y1336" s="35"/>
      <c r="Z1336" s="35"/>
      <c r="AA1336" s="35"/>
      <c r="AB1336" s="35"/>
      <c r="AC1336" s="35"/>
      <c r="AD1336" s="35"/>
      <c r="AE1336" s="35"/>
      <c r="AF1336" s="35"/>
      <c r="AG1336" s="35"/>
      <c r="AH1336" s="35"/>
      <c r="AI1336" s="35"/>
      <c r="AJ1336" s="35"/>
      <c r="AK1336" s="35"/>
      <c r="AL1336" s="35"/>
    </row>
    <row r="1337">
      <c r="A1337" s="1"/>
      <c r="B1337" s="75" t="s">
        <v>3034</v>
      </c>
      <c r="C1337" s="20" t="s">
        <v>6692</v>
      </c>
      <c r="D1337" s="47"/>
      <c r="E1337" s="22" t="s">
        <v>6764</v>
      </c>
      <c r="F1337" s="22" t="s">
        <v>1714</v>
      </c>
      <c r="G1337" s="23">
        <v>2000.0</v>
      </c>
      <c r="H1337" s="22" t="s">
        <v>6765</v>
      </c>
      <c r="I1337" s="24" t="s">
        <v>6766</v>
      </c>
      <c r="J1337" s="22" t="s">
        <v>31</v>
      </c>
      <c r="K1337" s="22"/>
      <c r="L1337" s="36">
        <v>633.0</v>
      </c>
      <c r="M1337" s="129"/>
      <c r="N1337" s="36"/>
      <c r="O1337" s="36"/>
      <c r="P1337" s="37"/>
      <c r="Q1337" s="36"/>
      <c r="R1337" s="36"/>
      <c r="S1337" s="36"/>
      <c r="T1337" s="28" t="s">
        <v>6767</v>
      </c>
      <c r="U1337" s="38" t="str">
        <f>HYPERLINK("https://www.ncbi.nlm.nih.gov/pubmed/11119074","PubMed")</f>
        <v>PubMed</v>
      </c>
      <c r="V1337" s="30"/>
      <c r="W1337" s="49"/>
      <c r="X1337" s="49"/>
      <c r="Y1337" s="35"/>
      <c r="Z1337" s="35"/>
      <c r="AA1337" s="35"/>
      <c r="AB1337" s="35"/>
      <c r="AC1337" s="35"/>
      <c r="AD1337" s="35"/>
      <c r="AE1337" s="35"/>
      <c r="AF1337" s="35"/>
      <c r="AG1337" s="35"/>
      <c r="AH1337" s="35"/>
      <c r="AI1337" s="35"/>
      <c r="AJ1337" s="35"/>
      <c r="AK1337" s="35"/>
      <c r="AL1337" s="35"/>
    </row>
    <row r="1338">
      <c r="A1338" s="1"/>
      <c r="B1338" s="19" t="s">
        <v>3034</v>
      </c>
      <c r="C1338" s="20" t="s">
        <v>6692</v>
      </c>
      <c r="D1338" s="47"/>
      <c r="E1338" s="22" t="s">
        <v>2361</v>
      </c>
      <c r="F1338" s="22" t="s">
        <v>217</v>
      </c>
      <c r="G1338" s="23">
        <v>1997.0</v>
      </c>
      <c r="H1338" s="22" t="s">
        <v>6768</v>
      </c>
      <c r="I1338" s="24" t="s">
        <v>6769</v>
      </c>
      <c r="J1338" s="22" t="s">
        <v>209</v>
      </c>
      <c r="K1338" s="22"/>
      <c r="L1338" s="36" t="s">
        <v>1773</v>
      </c>
      <c r="M1338" s="129"/>
      <c r="N1338" s="36"/>
      <c r="O1338" s="36"/>
      <c r="P1338" s="37"/>
      <c r="Q1338" s="36"/>
      <c r="R1338" s="36"/>
      <c r="S1338" s="36"/>
      <c r="T1338" s="28" t="s">
        <v>6770</v>
      </c>
      <c r="U1338" s="38" t="str">
        <f>HYPERLINK("http://en.cnki.com.cn/Article_en/CJFDTOTAL-YYJG199702011.htm","CNKI")</f>
        <v>CNKI</v>
      </c>
      <c r="V1338" s="30"/>
      <c r="W1338" s="49"/>
      <c r="X1338" s="49"/>
      <c r="Y1338" s="35"/>
      <c r="Z1338" s="35"/>
      <c r="AA1338" s="35"/>
      <c r="AB1338" s="35"/>
      <c r="AC1338" s="35"/>
      <c r="AD1338" s="35"/>
      <c r="AE1338" s="35"/>
      <c r="AF1338" s="35"/>
      <c r="AG1338" s="35"/>
      <c r="AH1338" s="35"/>
      <c r="AI1338" s="35"/>
      <c r="AJ1338" s="35"/>
      <c r="AK1338" s="35"/>
      <c r="AL1338" s="35"/>
    </row>
    <row r="1339">
      <c r="A1339" s="1"/>
      <c r="B1339" s="19" t="s">
        <v>3034</v>
      </c>
      <c r="C1339" s="20" t="s">
        <v>6692</v>
      </c>
      <c r="D1339" s="47"/>
      <c r="E1339" s="22" t="s">
        <v>6764</v>
      </c>
      <c r="F1339" s="22" t="s">
        <v>1714</v>
      </c>
      <c r="G1339" s="23">
        <v>1996.0</v>
      </c>
      <c r="H1339" s="22" t="s">
        <v>6771</v>
      </c>
      <c r="I1339" s="24" t="s">
        <v>6772</v>
      </c>
      <c r="J1339" s="22" t="s">
        <v>6773</v>
      </c>
      <c r="K1339" s="22"/>
      <c r="L1339" s="36">
        <v>633.0</v>
      </c>
      <c r="M1339" s="129">
        <v>43228.0</v>
      </c>
      <c r="N1339" s="36"/>
      <c r="O1339" s="36"/>
      <c r="P1339" s="37"/>
      <c r="Q1339" s="36"/>
      <c r="R1339" s="36"/>
      <c r="S1339" s="36"/>
      <c r="T1339" s="28" t="s">
        <v>6774</v>
      </c>
      <c r="U1339" s="38" t="str">
        <f>HYPERLINK("https://www.ncbi.nlm.nih.gov/pubmed/8984101","PubMed")</f>
        <v>PubMed</v>
      </c>
      <c r="V1339" s="30"/>
      <c r="W1339" s="49"/>
      <c r="X1339" s="49"/>
      <c r="Y1339" s="35"/>
      <c r="Z1339" s="35"/>
      <c r="AA1339" s="35"/>
      <c r="AB1339" s="35"/>
      <c r="AC1339" s="35"/>
      <c r="AD1339" s="35"/>
      <c r="AE1339" s="35"/>
      <c r="AF1339" s="35"/>
      <c r="AG1339" s="35"/>
      <c r="AH1339" s="35"/>
      <c r="AI1339" s="35"/>
      <c r="AJ1339" s="35"/>
      <c r="AK1339" s="35"/>
      <c r="AL1339" s="35"/>
    </row>
    <row r="1340">
      <c r="A1340" s="1"/>
      <c r="B1340" s="19" t="s">
        <v>3034</v>
      </c>
      <c r="C1340" s="20" t="s">
        <v>6775</v>
      </c>
      <c r="D1340" s="47"/>
      <c r="E1340" s="22" t="s">
        <v>6776</v>
      </c>
      <c r="F1340" s="22" t="s">
        <v>6777</v>
      </c>
      <c r="G1340" s="23">
        <v>2021.0</v>
      </c>
      <c r="H1340" s="22" t="s">
        <v>6778</v>
      </c>
      <c r="I1340" s="24" t="s">
        <v>6779</v>
      </c>
      <c r="J1340" s="22" t="s">
        <v>6780</v>
      </c>
      <c r="K1340" s="22" t="s">
        <v>6781</v>
      </c>
      <c r="L1340" s="36">
        <v>660.0</v>
      </c>
      <c r="M1340" s="36">
        <v>10.0</v>
      </c>
      <c r="N1340" s="36"/>
      <c r="O1340" s="36"/>
      <c r="P1340" s="37"/>
      <c r="Q1340" s="36"/>
      <c r="R1340" s="36">
        <v>480.0</v>
      </c>
      <c r="S1340" s="36" t="s">
        <v>3125</v>
      </c>
      <c r="T1340" s="28" t="s">
        <v>6782</v>
      </c>
      <c r="U1340" s="29" t="s">
        <v>61</v>
      </c>
      <c r="V1340" s="30"/>
      <c r="W1340" s="49"/>
      <c r="X1340" s="49"/>
      <c r="Y1340" s="35"/>
      <c r="Z1340" s="35"/>
      <c r="AA1340" s="35"/>
      <c r="AB1340" s="35"/>
      <c r="AC1340" s="35"/>
      <c r="AD1340" s="35"/>
      <c r="AE1340" s="35"/>
      <c r="AF1340" s="35"/>
      <c r="AG1340" s="35"/>
      <c r="AH1340" s="35"/>
      <c r="AI1340" s="35"/>
      <c r="AJ1340" s="35"/>
      <c r="AK1340" s="35"/>
      <c r="AL1340" s="35"/>
    </row>
    <row r="1341">
      <c r="A1341" s="1"/>
      <c r="B1341" s="19" t="s">
        <v>3034</v>
      </c>
      <c r="C1341" s="20" t="s">
        <v>6783</v>
      </c>
      <c r="D1341" s="47"/>
      <c r="E1341" s="22" t="s">
        <v>6784</v>
      </c>
      <c r="F1341" s="22" t="s">
        <v>6785</v>
      </c>
      <c r="G1341" s="23">
        <v>2000.0</v>
      </c>
      <c r="H1341" s="22" t="s">
        <v>6786</v>
      </c>
      <c r="I1341" s="24" t="s">
        <v>6787</v>
      </c>
      <c r="J1341" s="22" t="s">
        <v>55</v>
      </c>
      <c r="K1341" s="22" t="s">
        <v>6698</v>
      </c>
      <c r="L1341" s="36" t="s">
        <v>1773</v>
      </c>
      <c r="M1341" s="36"/>
      <c r="N1341" s="36"/>
      <c r="O1341" s="36"/>
      <c r="P1341" s="37"/>
      <c r="Q1341" s="36"/>
      <c r="R1341" s="36"/>
      <c r="S1341" s="36"/>
      <c r="T1341" s="28" t="s">
        <v>6788</v>
      </c>
      <c r="U1341" s="38" t="str">
        <f>HYPERLINK("https://www.ncbi.nlm.nih.gov/pubmed/10993777","PubMed")</f>
        <v>PubMed</v>
      </c>
      <c r="V1341" s="30"/>
      <c r="W1341" s="49"/>
      <c r="X1341" s="49"/>
      <c r="Y1341" s="35"/>
      <c r="Z1341" s="35"/>
      <c r="AA1341" s="35"/>
      <c r="AB1341" s="35"/>
      <c r="AC1341" s="35"/>
      <c r="AD1341" s="35"/>
      <c r="AE1341" s="35"/>
      <c r="AF1341" s="35"/>
      <c r="AG1341" s="35"/>
      <c r="AH1341" s="35"/>
      <c r="AI1341" s="35"/>
      <c r="AJ1341" s="35"/>
      <c r="AK1341" s="35"/>
      <c r="AL1341" s="35"/>
    </row>
    <row r="1342">
      <c r="A1342" s="1"/>
      <c r="B1342" s="19" t="s">
        <v>3034</v>
      </c>
      <c r="C1342" s="20" t="s">
        <v>6783</v>
      </c>
      <c r="D1342" s="47"/>
      <c r="E1342" s="22" t="s">
        <v>6789</v>
      </c>
      <c r="F1342" s="22" t="s">
        <v>6319</v>
      </c>
      <c r="G1342" s="23">
        <v>2016.0</v>
      </c>
      <c r="H1342" s="22" t="s">
        <v>6790</v>
      </c>
      <c r="I1342" s="24" t="s">
        <v>6791</v>
      </c>
      <c r="J1342" s="22" t="s">
        <v>6792</v>
      </c>
      <c r="K1342" s="22" t="s">
        <v>6793</v>
      </c>
      <c r="L1342" s="36">
        <v>680.0</v>
      </c>
      <c r="M1342" s="36">
        <v>60.0</v>
      </c>
      <c r="N1342" s="36"/>
      <c r="O1342" s="36"/>
      <c r="P1342" s="37" t="s">
        <v>4163</v>
      </c>
      <c r="Q1342" s="36"/>
      <c r="R1342" s="36"/>
      <c r="S1342" s="36">
        <v>1.0</v>
      </c>
      <c r="T1342" s="28" t="s">
        <v>6794</v>
      </c>
      <c r="U1342" s="38" t="str">
        <f>HYPERLINK("https://www.ncbi.nlm.nih.gov/pubmed/27416624","PubMed")</f>
        <v>PubMed</v>
      </c>
      <c r="V1342" s="30"/>
      <c r="W1342" s="49"/>
      <c r="X1342" s="49"/>
      <c r="Y1342" s="35"/>
      <c r="Z1342" s="35"/>
      <c r="AA1342" s="35"/>
      <c r="AB1342" s="35"/>
      <c r="AC1342" s="35"/>
      <c r="AD1342" s="35"/>
      <c r="AE1342" s="35"/>
      <c r="AF1342" s="35"/>
      <c r="AG1342" s="35"/>
      <c r="AH1342" s="35"/>
      <c r="AI1342" s="35"/>
      <c r="AJ1342" s="35"/>
      <c r="AK1342" s="35"/>
      <c r="AL1342" s="35"/>
    </row>
    <row r="1343">
      <c r="A1343" s="1"/>
      <c r="B1343" s="19" t="s">
        <v>3034</v>
      </c>
      <c r="C1343" s="20" t="s">
        <v>6783</v>
      </c>
      <c r="D1343" s="47"/>
      <c r="E1343" s="22" t="s">
        <v>6795</v>
      </c>
      <c r="F1343" s="22" t="s">
        <v>1943</v>
      </c>
      <c r="G1343" s="23">
        <v>2011.0</v>
      </c>
      <c r="H1343" s="22" t="s">
        <v>91</v>
      </c>
      <c r="I1343" s="24" t="s">
        <v>6796</v>
      </c>
      <c r="J1343" s="22" t="s">
        <v>6797</v>
      </c>
      <c r="K1343" s="22"/>
      <c r="L1343" s="36" t="s">
        <v>6798</v>
      </c>
      <c r="M1343" s="36"/>
      <c r="N1343" s="36"/>
      <c r="O1343" s="36"/>
      <c r="P1343" s="37" t="s">
        <v>95</v>
      </c>
      <c r="Q1343" s="36"/>
      <c r="R1343" s="36">
        <v>1200.0</v>
      </c>
      <c r="S1343" s="36" t="s">
        <v>4905</v>
      </c>
      <c r="T1343" s="28" t="s">
        <v>6799</v>
      </c>
      <c r="U1343" s="38" t="str">
        <f>HYPERLINK("https://www.ncbi.nlm.nih.gov/pubmed/21455785","PubMed")</f>
        <v>PubMed</v>
      </c>
      <c r="V1343" s="30"/>
      <c r="W1343" s="49"/>
      <c r="X1343" s="49"/>
      <c r="Y1343" s="35"/>
      <c r="Z1343" s="35"/>
      <c r="AA1343" s="35"/>
      <c r="AB1343" s="35"/>
      <c r="AC1343" s="35"/>
      <c r="AD1343" s="35"/>
      <c r="AE1343" s="35"/>
      <c r="AF1343" s="35"/>
      <c r="AG1343" s="35"/>
      <c r="AH1343" s="35"/>
      <c r="AI1343" s="35"/>
      <c r="AJ1343" s="35"/>
      <c r="AK1343" s="35"/>
      <c r="AL1343" s="35"/>
    </row>
    <row r="1344">
      <c r="A1344" s="1"/>
      <c r="B1344" s="19" t="s">
        <v>3034</v>
      </c>
      <c r="C1344" s="20" t="s">
        <v>6800</v>
      </c>
      <c r="D1344" s="47"/>
      <c r="E1344" s="22" t="s">
        <v>1491</v>
      </c>
      <c r="F1344" s="22" t="s">
        <v>299</v>
      </c>
      <c r="G1344" s="23">
        <v>2017.0</v>
      </c>
      <c r="H1344" s="22" t="s">
        <v>91</v>
      </c>
      <c r="I1344" s="24" t="s">
        <v>6801</v>
      </c>
      <c r="J1344" s="22" t="s">
        <v>31</v>
      </c>
      <c r="K1344" s="22" t="s">
        <v>6802</v>
      </c>
      <c r="L1344" s="36">
        <v>532.0</v>
      </c>
      <c r="M1344" s="36"/>
      <c r="N1344" s="36"/>
      <c r="O1344" s="36"/>
      <c r="P1344" s="37"/>
      <c r="Q1344" s="36"/>
      <c r="R1344" s="36"/>
      <c r="S1344" s="36"/>
      <c r="T1344" s="42" t="s">
        <v>6803</v>
      </c>
      <c r="U1344" s="38" t="str">
        <f>HYPERLINK("https://www.ncbi.nlm.nih.gov/pubmed/28983687","PubMed")</f>
        <v>PubMed</v>
      </c>
      <c r="V1344" s="30"/>
      <c r="W1344" s="49"/>
      <c r="X1344" s="49"/>
      <c r="Y1344" s="35"/>
      <c r="Z1344" s="35"/>
      <c r="AA1344" s="35"/>
      <c r="AB1344" s="35"/>
      <c r="AC1344" s="35"/>
      <c r="AD1344" s="35"/>
      <c r="AE1344" s="35"/>
      <c r="AF1344" s="35"/>
      <c r="AG1344" s="35"/>
      <c r="AH1344" s="35"/>
      <c r="AI1344" s="35"/>
      <c r="AJ1344" s="35"/>
      <c r="AK1344" s="35"/>
      <c r="AL1344" s="35"/>
    </row>
    <row r="1345">
      <c r="A1345" s="1"/>
      <c r="B1345" s="19" t="s">
        <v>3034</v>
      </c>
      <c r="C1345" s="20" t="s">
        <v>6800</v>
      </c>
      <c r="D1345" s="47"/>
      <c r="E1345" s="22" t="s">
        <v>1689</v>
      </c>
      <c r="F1345" s="22" t="s">
        <v>224</v>
      </c>
      <c r="G1345" s="23">
        <v>2011.0</v>
      </c>
      <c r="H1345" s="22" t="s">
        <v>967</v>
      </c>
      <c r="I1345" s="24" t="s">
        <v>6804</v>
      </c>
      <c r="J1345" s="22" t="s">
        <v>31</v>
      </c>
      <c r="K1345" s="22" t="s">
        <v>6802</v>
      </c>
      <c r="L1345" s="36">
        <v>532.0</v>
      </c>
      <c r="M1345" s="36"/>
      <c r="N1345" s="36"/>
      <c r="O1345" s="36"/>
      <c r="P1345" s="37"/>
      <c r="Q1345" s="36"/>
      <c r="R1345" s="36"/>
      <c r="S1345" s="36"/>
      <c r="T1345" s="28" t="s">
        <v>6805</v>
      </c>
      <c r="U1345" s="38" t="str">
        <f>HYPERLINK("http://link.springer.com/article/10.1134/S1054660X11190212","Springer")</f>
        <v>Springer</v>
      </c>
      <c r="V1345" s="30"/>
      <c r="W1345" s="49"/>
      <c r="X1345" s="49"/>
      <c r="Y1345" s="35"/>
      <c r="Z1345" s="35"/>
      <c r="AA1345" s="35"/>
      <c r="AB1345" s="35"/>
      <c r="AC1345" s="35"/>
      <c r="AD1345" s="35"/>
      <c r="AE1345" s="35"/>
      <c r="AF1345" s="35"/>
      <c r="AG1345" s="35"/>
      <c r="AH1345" s="35"/>
      <c r="AI1345" s="35"/>
      <c r="AJ1345" s="35"/>
      <c r="AK1345" s="35"/>
      <c r="AL1345" s="35"/>
    </row>
    <row r="1346">
      <c r="A1346" s="1"/>
      <c r="B1346" s="19" t="s">
        <v>3034</v>
      </c>
      <c r="C1346" s="20" t="s">
        <v>6800</v>
      </c>
      <c r="D1346" s="47"/>
      <c r="E1346" s="22" t="s">
        <v>5311</v>
      </c>
      <c r="F1346" s="22" t="s">
        <v>5312</v>
      </c>
      <c r="G1346" s="23">
        <v>2006.0</v>
      </c>
      <c r="H1346" s="22" t="s">
        <v>53</v>
      </c>
      <c r="I1346" s="24" t="s">
        <v>6806</v>
      </c>
      <c r="J1346" s="22" t="s">
        <v>31</v>
      </c>
      <c r="K1346" s="22"/>
      <c r="L1346" s="36">
        <v>780.0</v>
      </c>
      <c r="M1346" s="36"/>
      <c r="N1346" s="36"/>
      <c r="O1346" s="36"/>
      <c r="P1346" s="37" t="s">
        <v>1819</v>
      </c>
      <c r="Q1346" s="36"/>
      <c r="R1346" s="36"/>
      <c r="S1346" s="36"/>
      <c r="T1346" s="28" t="s">
        <v>6807</v>
      </c>
      <c r="U1346" s="38" t="str">
        <f>HYPERLINK("https://www.ncbi.nlm.nih.gov/pubmed/16894584","PubMed")</f>
        <v>PubMed</v>
      </c>
      <c r="V1346" s="30"/>
      <c r="W1346" s="49"/>
      <c r="X1346" s="49"/>
      <c r="Y1346" s="35"/>
      <c r="Z1346" s="35"/>
      <c r="AA1346" s="35"/>
      <c r="AB1346" s="35"/>
      <c r="AC1346" s="35"/>
      <c r="AD1346" s="35"/>
      <c r="AE1346" s="35"/>
      <c r="AF1346" s="35"/>
      <c r="AG1346" s="35"/>
      <c r="AH1346" s="35"/>
      <c r="AI1346" s="35"/>
      <c r="AJ1346" s="35"/>
      <c r="AK1346" s="35"/>
      <c r="AL1346" s="35"/>
    </row>
    <row r="1347">
      <c r="A1347" s="1"/>
      <c r="B1347" s="19" t="s">
        <v>3034</v>
      </c>
      <c r="C1347" s="20" t="s">
        <v>6800</v>
      </c>
      <c r="D1347" s="47"/>
      <c r="E1347" s="22" t="s">
        <v>6202</v>
      </c>
      <c r="F1347" s="22" t="s">
        <v>2052</v>
      </c>
      <c r="G1347" s="23">
        <v>2000.0</v>
      </c>
      <c r="H1347" s="22" t="s">
        <v>1289</v>
      </c>
      <c r="I1347" s="24" t="s">
        <v>6808</v>
      </c>
      <c r="J1347" s="22" t="s">
        <v>31</v>
      </c>
      <c r="K1347" s="22" t="s">
        <v>1827</v>
      </c>
      <c r="L1347" s="36">
        <v>633.0</v>
      </c>
      <c r="M1347" s="36"/>
      <c r="N1347" s="36"/>
      <c r="O1347" s="36"/>
      <c r="P1347" s="37" t="s">
        <v>6809</v>
      </c>
      <c r="Q1347" s="36"/>
      <c r="R1347" s="36"/>
      <c r="S1347" s="36"/>
      <c r="T1347" s="28" t="s">
        <v>6810</v>
      </c>
      <c r="U1347" s="38" t="str">
        <f>HYPERLINK("https://www.ncbi.nlm.nih.gov/pubmed/11572222","PubMed")</f>
        <v>PubMed</v>
      </c>
      <c r="V1347" s="30"/>
      <c r="W1347" s="49"/>
      <c r="X1347" s="49"/>
      <c r="Y1347" s="35"/>
      <c r="Z1347" s="35"/>
      <c r="AA1347" s="35"/>
      <c r="AB1347" s="35"/>
      <c r="AC1347" s="35"/>
      <c r="AD1347" s="35"/>
      <c r="AE1347" s="35"/>
      <c r="AF1347" s="35"/>
      <c r="AG1347" s="35"/>
      <c r="AH1347" s="35"/>
      <c r="AI1347" s="35"/>
      <c r="AJ1347" s="35"/>
      <c r="AK1347" s="35"/>
      <c r="AL1347" s="35"/>
    </row>
    <row r="1348">
      <c r="A1348" s="1"/>
      <c r="B1348" s="19" t="s">
        <v>3034</v>
      </c>
      <c r="C1348" s="20" t="s">
        <v>6811</v>
      </c>
      <c r="D1348" s="21"/>
      <c r="E1348" s="22" t="s">
        <v>2551</v>
      </c>
      <c r="F1348" s="22" t="s">
        <v>5312</v>
      </c>
      <c r="G1348" s="23">
        <v>2022.0</v>
      </c>
      <c r="H1348" s="22" t="s">
        <v>77</v>
      </c>
      <c r="I1348" s="24" t="s">
        <v>6812</v>
      </c>
      <c r="J1348" s="22" t="s">
        <v>6813</v>
      </c>
      <c r="K1348" s="22" t="s">
        <v>2158</v>
      </c>
      <c r="L1348" s="36">
        <v>808.0</v>
      </c>
      <c r="M1348" s="36"/>
      <c r="N1348" s="36"/>
      <c r="O1348" s="36"/>
      <c r="P1348" s="37"/>
      <c r="Q1348" s="36"/>
      <c r="R1348" s="36"/>
      <c r="S1348" s="36"/>
      <c r="T1348" s="28" t="s">
        <v>6814</v>
      </c>
      <c r="U1348" s="29" t="s">
        <v>61</v>
      </c>
      <c r="V1348" s="30"/>
      <c r="W1348" s="31"/>
      <c r="X1348" s="31"/>
      <c r="Y1348" s="31"/>
      <c r="Z1348" s="32"/>
      <c r="AA1348" s="31"/>
      <c r="AB1348" s="31"/>
      <c r="AC1348" s="9"/>
      <c r="AD1348" s="31"/>
      <c r="AE1348" s="31"/>
      <c r="AF1348" s="33"/>
      <c r="AG1348" s="34"/>
      <c r="AH1348" s="31"/>
      <c r="AI1348" s="35"/>
      <c r="AJ1348" s="35"/>
      <c r="AK1348" s="35"/>
      <c r="AL1348" s="35"/>
    </row>
    <row r="1349">
      <c r="A1349" s="1"/>
      <c r="B1349" s="19" t="s">
        <v>3034</v>
      </c>
      <c r="C1349" s="20" t="s">
        <v>6815</v>
      </c>
      <c r="D1349" s="21"/>
      <c r="E1349" s="22" t="s">
        <v>626</v>
      </c>
      <c r="F1349" s="22" t="s">
        <v>2407</v>
      </c>
      <c r="G1349" s="23">
        <v>2024.0</v>
      </c>
      <c r="H1349" s="22" t="s">
        <v>6816</v>
      </c>
      <c r="I1349" s="24" t="s">
        <v>6817</v>
      </c>
      <c r="J1349" s="22" t="s">
        <v>6818</v>
      </c>
      <c r="K1349" s="22"/>
      <c r="L1349" s="36">
        <v>980.0</v>
      </c>
      <c r="M1349" s="36"/>
      <c r="N1349" s="36" t="s">
        <v>1975</v>
      </c>
      <c r="O1349" s="36"/>
      <c r="P1349" s="37" t="s">
        <v>1069</v>
      </c>
      <c r="Q1349" s="36"/>
      <c r="R1349" s="36">
        <v>30.0</v>
      </c>
      <c r="S1349" s="36"/>
      <c r="T1349" s="28" t="s">
        <v>6819</v>
      </c>
      <c r="U1349" s="38" t="s">
        <v>6820</v>
      </c>
      <c r="V1349" s="30" t="s">
        <v>6821</v>
      </c>
      <c r="W1349" s="31"/>
      <c r="X1349" s="31"/>
      <c r="Y1349" s="31"/>
      <c r="Z1349" s="32"/>
      <c r="AA1349" s="31"/>
      <c r="AB1349" s="31"/>
      <c r="AC1349" s="9"/>
      <c r="AD1349" s="31"/>
      <c r="AE1349" s="31"/>
      <c r="AF1349" s="33"/>
      <c r="AG1349" s="34"/>
      <c r="AH1349" s="31"/>
      <c r="AI1349" s="35"/>
      <c r="AJ1349" s="35"/>
      <c r="AK1349" s="35"/>
      <c r="AL1349" s="35"/>
    </row>
    <row r="1350">
      <c r="A1350" s="1"/>
      <c r="B1350" s="19" t="s">
        <v>3034</v>
      </c>
      <c r="C1350" s="20" t="s">
        <v>6815</v>
      </c>
      <c r="D1350" s="21"/>
      <c r="E1350" s="22" t="s">
        <v>626</v>
      </c>
      <c r="F1350" s="22" t="s">
        <v>65</v>
      </c>
      <c r="G1350" s="23">
        <v>2021.0</v>
      </c>
      <c r="H1350" s="22" t="s">
        <v>6822</v>
      </c>
      <c r="I1350" s="24" t="s">
        <v>6823</v>
      </c>
      <c r="J1350" s="22" t="s">
        <v>44</v>
      </c>
      <c r="K1350" s="22"/>
      <c r="L1350" s="36">
        <v>635.0</v>
      </c>
      <c r="M1350" s="36"/>
      <c r="N1350" s="36" t="s">
        <v>6824</v>
      </c>
      <c r="O1350" s="36"/>
      <c r="P1350" s="37" t="s">
        <v>6825</v>
      </c>
      <c r="Q1350" s="36"/>
      <c r="R1350" s="36"/>
      <c r="S1350" s="36"/>
      <c r="T1350" s="28" t="s">
        <v>6826</v>
      </c>
      <c r="U1350" s="29" t="s">
        <v>61</v>
      </c>
      <c r="V1350" s="30"/>
      <c r="W1350" s="31"/>
      <c r="X1350" s="31"/>
      <c r="Y1350" s="31"/>
      <c r="Z1350" s="32"/>
      <c r="AA1350" s="31"/>
      <c r="AB1350" s="31"/>
      <c r="AC1350" s="9"/>
      <c r="AD1350" s="31"/>
      <c r="AE1350" s="31"/>
      <c r="AF1350" s="33"/>
      <c r="AG1350" s="34"/>
      <c r="AH1350" s="31"/>
      <c r="AI1350" s="35"/>
      <c r="AJ1350" s="35"/>
      <c r="AK1350" s="35"/>
      <c r="AL1350" s="35"/>
    </row>
    <row r="1351">
      <c r="A1351" s="1"/>
      <c r="B1351" s="19" t="s">
        <v>3034</v>
      </c>
      <c r="C1351" s="20" t="s">
        <v>6827</v>
      </c>
      <c r="D1351" s="21"/>
      <c r="E1351" s="22" t="s">
        <v>3256</v>
      </c>
      <c r="F1351" s="22" t="s">
        <v>6828</v>
      </c>
      <c r="G1351" s="23">
        <v>2015.0</v>
      </c>
      <c r="H1351" s="22" t="s">
        <v>1958</v>
      </c>
      <c r="I1351" s="24" t="s">
        <v>6829</v>
      </c>
      <c r="J1351" s="22" t="s">
        <v>6830</v>
      </c>
      <c r="K1351" s="22" t="s">
        <v>56</v>
      </c>
      <c r="L1351" s="36" t="s">
        <v>3447</v>
      </c>
      <c r="M1351" s="36"/>
      <c r="N1351" s="36"/>
      <c r="O1351" s="36"/>
      <c r="P1351" s="37"/>
      <c r="Q1351" s="36"/>
      <c r="R1351" s="36"/>
      <c r="S1351" s="36"/>
      <c r="T1351" s="28" t="s">
        <v>6831</v>
      </c>
      <c r="U1351" s="29" t="s">
        <v>61</v>
      </c>
      <c r="V1351" s="30"/>
      <c r="W1351" s="31"/>
      <c r="X1351" s="31"/>
      <c r="Y1351" s="31"/>
      <c r="Z1351" s="32"/>
      <c r="AA1351" s="31"/>
      <c r="AB1351" s="31"/>
      <c r="AC1351" s="9"/>
      <c r="AD1351" s="31"/>
      <c r="AE1351" s="31"/>
      <c r="AF1351" s="33"/>
      <c r="AG1351" s="34"/>
      <c r="AH1351" s="31"/>
      <c r="AI1351" s="35"/>
      <c r="AJ1351" s="35"/>
      <c r="AK1351" s="35"/>
      <c r="AL1351" s="35"/>
    </row>
    <row r="1352">
      <c r="A1352" s="1" t="s">
        <v>2</v>
      </c>
      <c r="B1352" s="19" t="s">
        <v>3034</v>
      </c>
      <c r="C1352" s="20" t="s">
        <v>6815</v>
      </c>
      <c r="D1352" s="21"/>
      <c r="E1352" s="22" t="s">
        <v>2316</v>
      </c>
      <c r="F1352" s="22" t="s">
        <v>2407</v>
      </c>
      <c r="G1352" s="23">
        <v>2016.0</v>
      </c>
      <c r="H1352" s="22" t="s">
        <v>6832</v>
      </c>
      <c r="I1352" s="24" t="s">
        <v>6833</v>
      </c>
      <c r="J1352" s="22" t="s">
        <v>6834</v>
      </c>
      <c r="K1352" s="22" t="s">
        <v>1240</v>
      </c>
      <c r="L1352" s="36">
        <v>810.0</v>
      </c>
      <c r="M1352" s="36" t="s">
        <v>414</v>
      </c>
      <c r="N1352" s="36"/>
      <c r="O1352" s="36"/>
      <c r="P1352" s="37" t="s">
        <v>480</v>
      </c>
      <c r="Q1352" s="36" t="s">
        <v>6835</v>
      </c>
      <c r="R1352" s="36">
        <v>300.0</v>
      </c>
      <c r="S1352" s="36" t="s">
        <v>6836</v>
      </c>
      <c r="T1352" s="28" t="s">
        <v>6837</v>
      </c>
      <c r="U1352" s="38" t="str">
        <f>HYPERLINK("http://www.ncbi.nlm.nih.gov/pubmed/27464749","PubMed")</f>
        <v>PubMed</v>
      </c>
      <c r="V1352" s="30"/>
      <c r="W1352" s="31"/>
      <c r="X1352" s="31"/>
      <c r="Y1352" s="31"/>
      <c r="Z1352" s="32"/>
      <c r="AA1352" s="31"/>
      <c r="AB1352" s="31"/>
      <c r="AC1352" s="9"/>
      <c r="AD1352" s="31"/>
      <c r="AE1352" s="31"/>
      <c r="AF1352" s="33"/>
      <c r="AG1352" s="34"/>
      <c r="AH1352" s="31"/>
      <c r="AI1352" s="35"/>
      <c r="AJ1352" s="35"/>
      <c r="AK1352" s="35"/>
      <c r="AL1352" s="35"/>
    </row>
    <row r="1353">
      <c r="A1353" s="1"/>
      <c r="B1353" s="19" t="s">
        <v>3034</v>
      </c>
      <c r="C1353" s="20" t="s">
        <v>6815</v>
      </c>
      <c r="D1353" s="21"/>
      <c r="E1353" s="22" t="s">
        <v>2338</v>
      </c>
      <c r="F1353" s="22" t="s">
        <v>2407</v>
      </c>
      <c r="G1353" s="23">
        <v>2016.0</v>
      </c>
      <c r="H1353" s="22" t="s">
        <v>2181</v>
      </c>
      <c r="I1353" s="24" t="s">
        <v>6838</v>
      </c>
      <c r="J1353" s="22" t="s">
        <v>209</v>
      </c>
      <c r="K1353" s="22" t="s">
        <v>2628</v>
      </c>
      <c r="L1353" s="36">
        <v>830.0</v>
      </c>
      <c r="M1353" s="36"/>
      <c r="N1353" s="36" t="s">
        <v>821</v>
      </c>
      <c r="O1353" s="36"/>
      <c r="P1353" s="37" t="s">
        <v>2659</v>
      </c>
      <c r="Q1353" s="36"/>
      <c r="R1353" s="36">
        <v>1800.0</v>
      </c>
      <c r="S1353" s="36">
        <v>1.0</v>
      </c>
      <c r="T1353" s="28" t="s">
        <v>6839</v>
      </c>
      <c r="U1353" s="38" t="str">
        <f>HYPERLINK("https://www.ncbi.nlm.nih.gov/pubmed/27901126","PubMed")</f>
        <v>PubMed</v>
      </c>
      <c r="V1353" s="30"/>
      <c r="W1353" s="31"/>
      <c r="X1353" s="31"/>
      <c r="Y1353" s="31"/>
      <c r="Z1353" s="32"/>
      <c r="AA1353" s="31"/>
      <c r="AB1353" s="31"/>
      <c r="AC1353" s="9"/>
      <c r="AD1353" s="31"/>
      <c r="AE1353" s="31"/>
      <c r="AF1353" s="33"/>
      <c r="AG1353" s="34"/>
      <c r="AH1353" s="31"/>
      <c r="AI1353" s="35"/>
      <c r="AJ1353" s="35"/>
      <c r="AK1353" s="35"/>
      <c r="AL1353" s="35"/>
    </row>
    <row r="1354">
      <c r="A1354" s="89"/>
      <c r="B1354" s="157" t="s">
        <v>3034</v>
      </c>
      <c r="C1354" s="158" t="s">
        <v>6840</v>
      </c>
      <c r="D1354" s="159"/>
      <c r="E1354" s="56" t="s">
        <v>6841</v>
      </c>
      <c r="F1354" s="22" t="s">
        <v>6842</v>
      </c>
      <c r="G1354" s="57">
        <v>1992.0</v>
      </c>
      <c r="H1354" s="56" t="s">
        <v>3034</v>
      </c>
      <c r="I1354" s="58" t="s">
        <v>6843</v>
      </c>
      <c r="J1354" s="22" t="s">
        <v>6844</v>
      </c>
      <c r="K1354" s="22" t="s">
        <v>294</v>
      </c>
      <c r="L1354" s="36" t="s">
        <v>6845</v>
      </c>
      <c r="M1354" s="36"/>
      <c r="N1354" s="36"/>
      <c r="O1354" s="36"/>
      <c r="P1354" s="37"/>
      <c r="Q1354" s="36"/>
      <c r="R1354" s="36"/>
      <c r="S1354" s="36"/>
      <c r="T1354" s="160" t="s">
        <v>6846</v>
      </c>
      <c r="U1354" s="212" t="s">
        <v>61</v>
      </c>
      <c r="V1354" s="50"/>
      <c r="W1354" s="162"/>
      <c r="X1354" s="156"/>
      <c r="Y1354" s="35"/>
      <c r="Z1354" s="35"/>
      <c r="AA1354" s="35"/>
      <c r="AB1354" s="35"/>
      <c r="AC1354" s="35"/>
      <c r="AD1354" s="35"/>
      <c r="AE1354" s="35"/>
      <c r="AF1354" s="35"/>
      <c r="AG1354" s="35"/>
      <c r="AH1354" s="35"/>
      <c r="AI1354" s="35"/>
      <c r="AJ1354" s="35"/>
      <c r="AK1354" s="35"/>
      <c r="AL1354" s="35"/>
    </row>
    <row r="1355">
      <c r="A1355" s="89"/>
      <c r="B1355" s="157" t="s">
        <v>3034</v>
      </c>
      <c r="C1355" s="77" t="s">
        <v>6847</v>
      </c>
      <c r="D1355" s="159"/>
      <c r="E1355" s="56" t="s">
        <v>5344</v>
      </c>
      <c r="F1355" s="22" t="s">
        <v>1173</v>
      </c>
      <c r="G1355" s="57">
        <v>2024.0</v>
      </c>
      <c r="H1355" s="56" t="s">
        <v>4473</v>
      </c>
      <c r="I1355" s="58" t="s">
        <v>6848</v>
      </c>
      <c r="J1355" s="22" t="s">
        <v>31</v>
      </c>
      <c r="K1355" s="22"/>
      <c r="L1355" s="36">
        <v>670.0</v>
      </c>
      <c r="M1355" s="36"/>
      <c r="N1355" s="36"/>
      <c r="O1355" s="36"/>
      <c r="P1355" s="37"/>
      <c r="Q1355" s="36"/>
      <c r="R1355" s="36"/>
      <c r="S1355" s="36"/>
      <c r="T1355" s="160" t="s">
        <v>6849</v>
      </c>
      <c r="U1355" s="60" t="s">
        <v>61</v>
      </c>
      <c r="V1355" s="50"/>
      <c r="W1355" s="162"/>
      <c r="X1355" s="156"/>
      <c r="Y1355" s="35"/>
      <c r="Z1355" s="35"/>
      <c r="AA1355" s="35"/>
      <c r="AB1355" s="35"/>
      <c r="AC1355" s="35"/>
      <c r="AD1355" s="35"/>
      <c r="AE1355" s="35"/>
      <c r="AF1355" s="35"/>
      <c r="AG1355" s="35"/>
      <c r="AH1355" s="35"/>
      <c r="AI1355" s="35"/>
      <c r="AJ1355" s="35"/>
      <c r="AK1355" s="35"/>
      <c r="AL1355" s="35"/>
    </row>
    <row r="1356">
      <c r="A1356" s="89"/>
      <c r="B1356" s="75" t="s">
        <v>3034</v>
      </c>
      <c r="C1356" s="77" t="s">
        <v>6847</v>
      </c>
      <c r="D1356" s="159"/>
      <c r="E1356" s="56" t="s">
        <v>6850</v>
      </c>
      <c r="F1356" s="22" t="s">
        <v>1173</v>
      </c>
      <c r="G1356" s="57">
        <v>2024.0</v>
      </c>
      <c r="H1356" s="56" t="s">
        <v>3950</v>
      </c>
      <c r="I1356" s="58" t="s">
        <v>6851</v>
      </c>
      <c r="J1356" s="22" t="s">
        <v>6852</v>
      </c>
      <c r="K1356" s="22" t="s">
        <v>157</v>
      </c>
      <c r="L1356" s="36">
        <v>670.0</v>
      </c>
      <c r="M1356" s="36"/>
      <c r="N1356" s="36"/>
      <c r="O1356" s="36"/>
      <c r="P1356" s="37"/>
      <c r="Q1356" s="36"/>
      <c r="R1356" s="36"/>
      <c r="S1356" s="36"/>
      <c r="T1356" s="160" t="s">
        <v>6853</v>
      </c>
      <c r="U1356" s="60" t="s">
        <v>61</v>
      </c>
      <c r="V1356" s="50"/>
      <c r="W1356" s="162"/>
      <c r="X1356" s="156"/>
      <c r="Y1356" s="35"/>
      <c r="Z1356" s="35"/>
      <c r="AA1356" s="35"/>
      <c r="AB1356" s="35"/>
      <c r="AC1356" s="35"/>
      <c r="AD1356" s="35"/>
      <c r="AE1356" s="35"/>
      <c r="AF1356" s="35"/>
      <c r="AG1356" s="35"/>
      <c r="AH1356" s="35"/>
      <c r="AI1356" s="35"/>
      <c r="AJ1356" s="35"/>
      <c r="AK1356" s="35"/>
      <c r="AL1356" s="35"/>
    </row>
    <row r="1357">
      <c r="A1357" s="89"/>
      <c r="B1357" s="75" t="s">
        <v>3034</v>
      </c>
      <c r="C1357" s="77" t="s">
        <v>6847</v>
      </c>
      <c r="D1357" s="159"/>
      <c r="E1357" s="56" t="s">
        <v>5344</v>
      </c>
      <c r="F1357" s="22" t="s">
        <v>1173</v>
      </c>
      <c r="G1357" s="57">
        <v>2022.0</v>
      </c>
      <c r="H1357" s="56" t="s">
        <v>452</v>
      </c>
      <c r="I1357" s="58" t="s">
        <v>6854</v>
      </c>
      <c r="J1357" s="22" t="s">
        <v>44</v>
      </c>
      <c r="K1357" s="22" t="s">
        <v>1785</v>
      </c>
      <c r="L1357" s="36">
        <v>670.0</v>
      </c>
      <c r="M1357" s="36"/>
      <c r="N1357" s="36" t="s">
        <v>6855</v>
      </c>
      <c r="O1357" s="36"/>
      <c r="P1357" s="37"/>
      <c r="Q1357" s="36" t="s">
        <v>6856</v>
      </c>
      <c r="R1357" s="36" t="s">
        <v>6857</v>
      </c>
      <c r="S1357" s="36"/>
      <c r="T1357" s="160" t="s">
        <v>6858</v>
      </c>
      <c r="U1357" s="64" t="s">
        <v>61</v>
      </c>
      <c r="V1357" s="50"/>
      <c r="W1357" s="162"/>
      <c r="X1357" s="156"/>
      <c r="Y1357" s="35"/>
      <c r="Z1357" s="35"/>
      <c r="AA1357" s="35"/>
      <c r="AB1357" s="35"/>
      <c r="AC1357" s="35"/>
      <c r="AD1357" s="35"/>
      <c r="AE1357" s="35"/>
      <c r="AF1357" s="35"/>
      <c r="AG1357" s="35"/>
      <c r="AH1357" s="35"/>
      <c r="AI1357" s="35"/>
      <c r="AJ1357" s="35"/>
      <c r="AK1357" s="35"/>
      <c r="AL1357" s="35"/>
    </row>
    <row r="1358">
      <c r="A1358" s="89"/>
      <c r="B1358" s="75" t="s">
        <v>3034</v>
      </c>
      <c r="C1358" s="77" t="s">
        <v>6847</v>
      </c>
      <c r="D1358" s="159"/>
      <c r="E1358" s="56" t="s">
        <v>6475</v>
      </c>
      <c r="F1358" s="22" t="s">
        <v>274</v>
      </c>
      <c r="G1358" s="57">
        <v>2022.0</v>
      </c>
      <c r="H1358" s="56" t="s">
        <v>91</v>
      </c>
      <c r="I1358" s="58" t="s">
        <v>6859</v>
      </c>
      <c r="J1358" s="22" t="s">
        <v>6860</v>
      </c>
      <c r="K1358" s="22"/>
      <c r="L1358" s="36">
        <v>660.0</v>
      </c>
      <c r="M1358" s="36"/>
      <c r="N1358" s="36"/>
      <c r="O1358" s="36"/>
      <c r="P1358" s="37"/>
      <c r="Q1358" s="36"/>
      <c r="R1358" s="36"/>
      <c r="S1358" s="36"/>
      <c r="T1358" s="160" t="s">
        <v>6861</v>
      </c>
      <c r="U1358" s="64" t="s">
        <v>61</v>
      </c>
      <c r="V1358" s="50"/>
      <c r="W1358" s="162"/>
      <c r="X1358" s="156"/>
      <c r="Y1358" s="35"/>
      <c r="Z1358" s="35"/>
      <c r="AA1358" s="35"/>
      <c r="AB1358" s="35"/>
      <c r="AC1358" s="35"/>
      <c r="AD1358" s="35"/>
      <c r="AE1358" s="35"/>
      <c r="AF1358" s="35"/>
      <c r="AG1358" s="35"/>
      <c r="AH1358" s="35"/>
      <c r="AI1358" s="35"/>
      <c r="AJ1358" s="35"/>
      <c r="AK1358" s="35"/>
      <c r="AL1358" s="35"/>
    </row>
    <row r="1359">
      <c r="A1359" s="89"/>
      <c r="B1359" s="75" t="s">
        <v>3034</v>
      </c>
      <c r="C1359" s="77" t="s">
        <v>6847</v>
      </c>
      <c r="D1359" s="159"/>
      <c r="E1359" s="56" t="s">
        <v>6862</v>
      </c>
      <c r="F1359" s="22" t="s">
        <v>1173</v>
      </c>
      <c r="G1359" s="57">
        <v>2021.0</v>
      </c>
      <c r="H1359" s="56" t="s">
        <v>627</v>
      </c>
      <c r="I1359" s="58" t="s">
        <v>6863</v>
      </c>
      <c r="J1359" s="22" t="s">
        <v>31</v>
      </c>
      <c r="K1359" s="22" t="s">
        <v>157</v>
      </c>
      <c r="L1359" s="36">
        <v>670.0</v>
      </c>
      <c r="M1359" s="36"/>
      <c r="N1359" s="36"/>
      <c r="O1359" s="36"/>
      <c r="P1359" s="37"/>
      <c r="Q1359" s="36"/>
      <c r="R1359" s="36"/>
      <c r="S1359" s="36"/>
      <c r="T1359" s="160" t="s">
        <v>6864</v>
      </c>
      <c r="U1359" s="60" t="s">
        <v>61</v>
      </c>
      <c r="V1359" s="50"/>
      <c r="W1359" s="162"/>
      <c r="X1359" s="156"/>
      <c r="Y1359" s="35"/>
      <c r="Z1359" s="35"/>
      <c r="AA1359" s="35"/>
      <c r="AB1359" s="35"/>
      <c r="AC1359" s="35"/>
      <c r="AD1359" s="35"/>
      <c r="AE1359" s="35"/>
      <c r="AF1359" s="35"/>
      <c r="AG1359" s="35"/>
      <c r="AH1359" s="35"/>
      <c r="AI1359" s="35"/>
      <c r="AJ1359" s="35"/>
      <c r="AK1359" s="35"/>
      <c r="AL1359" s="35"/>
    </row>
    <row r="1360">
      <c r="A1360" s="89"/>
      <c r="B1360" s="75" t="s">
        <v>3034</v>
      </c>
      <c r="C1360" s="77" t="s">
        <v>6847</v>
      </c>
      <c r="D1360" s="159"/>
      <c r="E1360" s="56" t="s">
        <v>6865</v>
      </c>
      <c r="F1360" s="22" t="s">
        <v>274</v>
      </c>
      <c r="G1360" s="57">
        <v>2021.0</v>
      </c>
      <c r="H1360" s="56" t="s">
        <v>91</v>
      </c>
      <c r="I1360" s="58" t="s">
        <v>6866</v>
      </c>
      <c r="J1360" s="22" t="s">
        <v>6867</v>
      </c>
      <c r="K1360" s="22"/>
      <c r="L1360" s="36">
        <v>660.0</v>
      </c>
      <c r="M1360" s="36"/>
      <c r="N1360" s="36"/>
      <c r="O1360" s="36"/>
      <c r="P1360" s="37"/>
      <c r="Q1360" s="36"/>
      <c r="R1360" s="36"/>
      <c r="S1360" s="36"/>
      <c r="T1360" s="160" t="s">
        <v>6868</v>
      </c>
      <c r="U1360" s="64" t="s">
        <v>61</v>
      </c>
      <c r="V1360" s="50"/>
      <c r="W1360" s="162"/>
      <c r="X1360" s="156"/>
      <c r="Y1360" s="35"/>
      <c r="Z1360" s="35"/>
      <c r="AA1360" s="35"/>
      <c r="AB1360" s="35"/>
      <c r="AC1360" s="35"/>
      <c r="AD1360" s="35"/>
      <c r="AE1360" s="35"/>
      <c r="AF1360" s="35"/>
      <c r="AG1360" s="35"/>
      <c r="AH1360" s="35"/>
      <c r="AI1360" s="35"/>
      <c r="AJ1360" s="35"/>
      <c r="AK1360" s="35"/>
      <c r="AL1360" s="35"/>
    </row>
    <row r="1361">
      <c r="A1361" s="89"/>
      <c r="B1361" s="75" t="s">
        <v>3034</v>
      </c>
      <c r="C1361" s="77" t="s">
        <v>6847</v>
      </c>
      <c r="D1361" s="159"/>
      <c r="E1361" s="56" t="s">
        <v>6850</v>
      </c>
      <c r="F1361" s="22" t="s">
        <v>6869</v>
      </c>
      <c r="G1361" s="57">
        <v>2021.0</v>
      </c>
      <c r="H1361" s="56" t="s">
        <v>207</v>
      </c>
      <c r="I1361" s="58" t="s">
        <v>6870</v>
      </c>
      <c r="J1361" s="22" t="s">
        <v>6871</v>
      </c>
      <c r="K1361" s="22" t="s">
        <v>6872</v>
      </c>
      <c r="L1361" s="36">
        <v>670.0</v>
      </c>
      <c r="M1361" s="36"/>
      <c r="N1361" s="36"/>
      <c r="O1361" s="36"/>
      <c r="P1361" s="37"/>
      <c r="Q1361" s="36"/>
      <c r="R1361" s="36"/>
      <c r="S1361" s="36"/>
      <c r="T1361" s="160" t="s">
        <v>6873</v>
      </c>
      <c r="U1361" s="64" t="s">
        <v>61</v>
      </c>
      <c r="V1361" s="50"/>
      <c r="W1361" s="162"/>
      <c r="X1361" s="156"/>
      <c r="Y1361" s="35"/>
      <c r="Z1361" s="35"/>
      <c r="AA1361" s="35"/>
      <c r="AB1361" s="35"/>
      <c r="AC1361" s="35"/>
      <c r="AD1361" s="35"/>
      <c r="AE1361" s="35"/>
      <c r="AF1361" s="35"/>
      <c r="AG1361" s="35"/>
      <c r="AH1361" s="35"/>
      <c r="AI1361" s="35"/>
      <c r="AJ1361" s="35"/>
      <c r="AK1361" s="35"/>
      <c r="AL1361" s="35"/>
    </row>
    <row r="1362">
      <c r="A1362" s="89"/>
      <c r="B1362" s="75" t="s">
        <v>3034</v>
      </c>
      <c r="C1362" s="77" t="s">
        <v>6847</v>
      </c>
      <c r="D1362" s="159"/>
      <c r="E1362" s="56" t="s">
        <v>6865</v>
      </c>
      <c r="F1362" s="22" t="s">
        <v>274</v>
      </c>
      <c r="G1362" s="57">
        <v>2021.0</v>
      </c>
      <c r="H1362" s="56" t="s">
        <v>91</v>
      </c>
      <c r="I1362" s="58" t="s">
        <v>6874</v>
      </c>
      <c r="J1362" s="22" t="s">
        <v>6867</v>
      </c>
      <c r="K1362" s="22" t="s">
        <v>6875</v>
      </c>
      <c r="L1362" s="36">
        <v>405.0</v>
      </c>
      <c r="M1362" s="36"/>
      <c r="N1362" s="36" t="s">
        <v>6876</v>
      </c>
      <c r="O1362" s="36"/>
      <c r="P1362" s="37" t="s">
        <v>6877</v>
      </c>
      <c r="Q1362" s="36"/>
      <c r="R1362" s="36"/>
      <c r="S1362" s="36"/>
      <c r="T1362" s="160" t="s">
        <v>6878</v>
      </c>
      <c r="U1362" s="64" t="s">
        <v>61</v>
      </c>
      <c r="V1362" s="50"/>
      <c r="W1362" s="162"/>
      <c r="X1362" s="156"/>
      <c r="Y1362" s="35"/>
      <c r="Z1362" s="35"/>
      <c r="AA1362" s="35"/>
      <c r="AB1362" s="35"/>
      <c r="AC1362" s="35"/>
      <c r="AD1362" s="35"/>
      <c r="AE1362" s="35"/>
      <c r="AF1362" s="35"/>
      <c r="AG1362" s="35"/>
      <c r="AH1362" s="35"/>
      <c r="AI1362" s="35"/>
      <c r="AJ1362" s="35"/>
      <c r="AK1362" s="35"/>
      <c r="AL1362" s="35"/>
    </row>
    <row r="1363">
      <c r="A1363" s="89"/>
      <c r="B1363" s="75" t="s">
        <v>3034</v>
      </c>
      <c r="C1363" s="77" t="s">
        <v>6847</v>
      </c>
      <c r="D1363" s="159"/>
      <c r="E1363" s="56" t="s">
        <v>6879</v>
      </c>
      <c r="F1363" s="22" t="s">
        <v>6245</v>
      </c>
      <c r="G1363" s="57">
        <v>2008.0</v>
      </c>
      <c r="H1363" s="56" t="s">
        <v>3065</v>
      </c>
      <c r="I1363" s="58" t="s">
        <v>6880</v>
      </c>
      <c r="J1363" s="22" t="s">
        <v>55</v>
      </c>
      <c r="K1363" s="22"/>
      <c r="L1363" s="36">
        <v>633.0</v>
      </c>
      <c r="M1363" s="36">
        <v>2.0</v>
      </c>
      <c r="N1363" s="36"/>
      <c r="O1363" s="36"/>
      <c r="P1363" s="37"/>
      <c r="Q1363" s="36"/>
      <c r="R1363" s="36"/>
      <c r="S1363" s="36"/>
      <c r="T1363" s="160" t="s">
        <v>6881</v>
      </c>
      <c r="U1363" s="64" t="s">
        <v>61</v>
      </c>
      <c r="V1363" s="50"/>
      <c r="W1363" s="162"/>
      <c r="X1363" s="156"/>
      <c r="Y1363" s="35"/>
      <c r="Z1363" s="35"/>
      <c r="AA1363" s="35"/>
      <c r="AB1363" s="35"/>
      <c r="AC1363" s="35"/>
      <c r="AD1363" s="35"/>
      <c r="AE1363" s="35"/>
      <c r="AF1363" s="35"/>
      <c r="AG1363" s="35"/>
      <c r="AH1363" s="35"/>
      <c r="AI1363" s="35"/>
      <c r="AJ1363" s="35"/>
      <c r="AK1363" s="35"/>
      <c r="AL1363" s="35"/>
    </row>
    <row r="1364">
      <c r="A1364" s="89"/>
      <c r="B1364" s="157" t="s">
        <v>3034</v>
      </c>
      <c r="C1364" s="158" t="s">
        <v>6847</v>
      </c>
      <c r="D1364" s="159"/>
      <c r="E1364" s="56" t="s">
        <v>6882</v>
      </c>
      <c r="F1364" s="22" t="s">
        <v>2052</v>
      </c>
      <c r="G1364" s="57">
        <v>2000.0</v>
      </c>
      <c r="H1364" s="56" t="s">
        <v>4975</v>
      </c>
      <c r="I1364" s="58" t="s">
        <v>6883</v>
      </c>
      <c r="J1364" s="22" t="s">
        <v>253</v>
      </c>
      <c r="K1364" s="22" t="s">
        <v>6884</v>
      </c>
      <c r="L1364" s="36">
        <v>630.0</v>
      </c>
      <c r="M1364" s="36"/>
      <c r="N1364" s="36"/>
      <c r="O1364" s="36"/>
      <c r="P1364" s="37"/>
      <c r="Q1364" s="36"/>
      <c r="R1364" s="36"/>
      <c r="S1364" s="36"/>
      <c r="T1364" s="160" t="s">
        <v>6885</v>
      </c>
      <c r="U1364" s="161" t="str">
        <f>HYPERLINK("https://www.ncbi.nlm.nih.gov/pubmed/11045733","PubMed")</f>
        <v>PubMed</v>
      </c>
      <c r="V1364" s="50"/>
      <c r="W1364" s="162"/>
      <c r="X1364" s="156"/>
      <c r="Y1364" s="35"/>
      <c r="Z1364" s="35"/>
      <c r="AA1364" s="35"/>
      <c r="AB1364" s="35"/>
      <c r="AC1364" s="35"/>
      <c r="AD1364" s="35"/>
      <c r="AE1364" s="35"/>
      <c r="AF1364" s="35"/>
      <c r="AG1364" s="35"/>
      <c r="AH1364" s="35"/>
      <c r="AI1364" s="35"/>
      <c r="AJ1364" s="35"/>
      <c r="AK1364" s="35"/>
      <c r="AL1364" s="35"/>
    </row>
    <row r="1365">
      <c r="A1365" s="89"/>
      <c r="B1365" s="157" t="s">
        <v>6886</v>
      </c>
      <c r="C1365" s="158"/>
      <c r="D1365" s="159"/>
      <c r="E1365" s="56" t="s">
        <v>6887</v>
      </c>
      <c r="F1365" s="22" t="s">
        <v>6888</v>
      </c>
      <c r="G1365" s="57">
        <v>2009.0</v>
      </c>
      <c r="H1365" s="56" t="s">
        <v>1025</v>
      </c>
      <c r="I1365" s="58" t="s">
        <v>6889</v>
      </c>
      <c r="J1365" s="22" t="s">
        <v>31</v>
      </c>
      <c r="K1365" s="22" t="s">
        <v>6890</v>
      </c>
      <c r="L1365" s="36">
        <v>633.0</v>
      </c>
      <c r="M1365" s="36">
        <v>5.0</v>
      </c>
      <c r="N1365" s="36"/>
      <c r="O1365" s="36"/>
      <c r="P1365" s="37" t="s">
        <v>4548</v>
      </c>
      <c r="Q1365" s="36"/>
      <c r="R1365" s="36"/>
      <c r="S1365" s="36"/>
      <c r="T1365" s="102" t="s">
        <v>6891</v>
      </c>
      <c r="U1365" s="161" t="str">
        <f>HYPERLINK("https://www.ncbi.nlm.nih.gov/pubmed/19566296","PubMed")</f>
        <v>PubMed</v>
      </c>
      <c r="V1365" s="50"/>
      <c r="W1365" s="162"/>
      <c r="X1365" s="156"/>
      <c r="Y1365" s="35"/>
      <c r="Z1365" s="35"/>
      <c r="AA1365" s="35"/>
      <c r="AB1365" s="35"/>
      <c r="AC1365" s="35"/>
      <c r="AD1365" s="35"/>
      <c r="AE1365" s="35"/>
      <c r="AF1365" s="35"/>
      <c r="AG1365" s="35"/>
      <c r="AH1365" s="35"/>
      <c r="AI1365" s="35"/>
      <c r="AJ1365" s="35"/>
      <c r="AK1365" s="35"/>
      <c r="AL1365" s="35"/>
    </row>
    <row r="1366">
      <c r="A1366" s="89"/>
      <c r="B1366" s="157" t="s">
        <v>6886</v>
      </c>
      <c r="C1366" s="158"/>
      <c r="D1366" s="159"/>
      <c r="E1366" s="56" t="s">
        <v>6892</v>
      </c>
      <c r="F1366" s="22" t="s">
        <v>647</v>
      </c>
      <c r="G1366" s="57">
        <v>1996.0</v>
      </c>
      <c r="H1366" s="56" t="s">
        <v>6893</v>
      </c>
      <c r="I1366" s="58" t="s">
        <v>6894</v>
      </c>
      <c r="J1366" s="22" t="s">
        <v>31</v>
      </c>
      <c r="K1366" s="22" t="s">
        <v>6895</v>
      </c>
      <c r="L1366" s="36">
        <v>904.0</v>
      </c>
      <c r="M1366" s="36"/>
      <c r="N1366" s="36"/>
      <c r="O1366" s="36"/>
      <c r="P1366" s="37" t="s">
        <v>6896</v>
      </c>
      <c r="Q1366" s="36" t="s">
        <v>6897</v>
      </c>
      <c r="R1366" s="36"/>
      <c r="S1366" s="36"/>
      <c r="T1366" s="54" t="s">
        <v>6898</v>
      </c>
      <c r="U1366" s="161" t="str">
        <f>HYPERLINK("https://www.ncbi.nlm.nih.gov/pubmed/8768644","PubMed")</f>
        <v>PubMed</v>
      </c>
      <c r="V1366" s="50"/>
      <c r="W1366" s="162"/>
      <c r="X1366" s="156"/>
      <c r="Y1366" s="35"/>
      <c r="Z1366" s="35"/>
      <c r="AA1366" s="35"/>
      <c r="AB1366" s="35"/>
      <c r="AC1366" s="35"/>
      <c r="AD1366" s="35"/>
      <c r="AE1366" s="35"/>
      <c r="AF1366" s="35"/>
      <c r="AG1366" s="35"/>
      <c r="AH1366" s="35"/>
      <c r="AI1366" s="35"/>
      <c r="AJ1366" s="35"/>
      <c r="AK1366" s="35"/>
      <c r="AL1366" s="35"/>
    </row>
    <row r="1367">
      <c r="A1367" s="89"/>
      <c r="B1367" s="157" t="s">
        <v>6899</v>
      </c>
      <c r="C1367" s="158" t="s">
        <v>6900</v>
      </c>
      <c r="D1367" s="159"/>
      <c r="E1367" s="56" t="s">
        <v>6901</v>
      </c>
      <c r="F1367" s="22" t="s">
        <v>323</v>
      </c>
      <c r="G1367" s="57">
        <v>2023.0</v>
      </c>
      <c r="H1367" s="56" t="s">
        <v>6902</v>
      </c>
      <c r="I1367" s="58" t="s">
        <v>6903</v>
      </c>
      <c r="J1367" s="22" t="s">
        <v>125</v>
      </c>
      <c r="K1367" s="22"/>
      <c r="L1367" s="167" t="s">
        <v>6904</v>
      </c>
      <c r="M1367" s="44"/>
      <c r="N1367" s="44"/>
      <c r="O1367" s="44"/>
      <c r="P1367" s="44"/>
      <c r="Q1367" s="44"/>
      <c r="R1367" s="44"/>
      <c r="S1367" s="44"/>
      <c r="T1367" s="45"/>
      <c r="U1367" s="60" t="s">
        <v>61</v>
      </c>
      <c r="V1367" s="50"/>
      <c r="W1367" s="162"/>
      <c r="X1367" s="156"/>
      <c r="Y1367" s="35"/>
      <c r="Z1367" s="35"/>
      <c r="AA1367" s="35"/>
      <c r="AB1367" s="35"/>
      <c r="AC1367" s="35"/>
      <c r="AD1367" s="35"/>
      <c r="AE1367" s="35"/>
      <c r="AF1367" s="35"/>
      <c r="AG1367" s="35"/>
      <c r="AH1367" s="35"/>
      <c r="AI1367" s="35"/>
      <c r="AJ1367" s="35"/>
      <c r="AK1367" s="35"/>
      <c r="AL1367" s="35"/>
    </row>
    <row r="1368">
      <c r="A1368" s="89"/>
      <c r="B1368" s="157" t="s">
        <v>6899</v>
      </c>
      <c r="C1368" s="158" t="s">
        <v>6900</v>
      </c>
      <c r="D1368" s="159"/>
      <c r="E1368" s="56" t="s">
        <v>1535</v>
      </c>
      <c r="F1368" s="22" t="s">
        <v>299</v>
      </c>
      <c r="G1368" s="57">
        <v>2021.0</v>
      </c>
      <c r="H1368" s="56" t="s">
        <v>91</v>
      </c>
      <c r="I1368" s="58" t="s">
        <v>6905</v>
      </c>
      <c r="J1368" s="22" t="s">
        <v>6906</v>
      </c>
      <c r="K1368" s="22"/>
      <c r="L1368" s="36" t="s">
        <v>6907</v>
      </c>
      <c r="M1368" s="36"/>
      <c r="N1368" s="36" t="s">
        <v>6908</v>
      </c>
      <c r="O1368" s="36"/>
      <c r="P1368" s="37"/>
      <c r="Q1368" s="36"/>
      <c r="R1368" s="36" t="s">
        <v>3375</v>
      </c>
      <c r="S1368" s="36">
        <v>1.0</v>
      </c>
      <c r="T1368" s="54" t="s">
        <v>6909</v>
      </c>
      <c r="U1368" s="64" t="s">
        <v>61</v>
      </c>
      <c r="V1368" s="50"/>
      <c r="W1368" s="162"/>
      <c r="X1368" s="156"/>
      <c r="Y1368" s="35"/>
      <c r="Z1368" s="35"/>
      <c r="AA1368" s="35"/>
      <c r="AB1368" s="35"/>
      <c r="AC1368" s="35"/>
      <c r="AD1368" s="35"/>
      <c r="AE1368" s="35"/>
      <c r="AF1368" s="35"/>
      <c r="AG1368" s="35"/>
      <c r="AH1368" s="35"/>
      <c r="AI1368" s="35"/>
      <c r="AJ1368" s="35"/>
      <c r="AK1368" s="35"/>
      <c r="AL1368" s="35"/>
    </row>
    <row r="1369">
      <c r="A1369" s="40"/>
      <c r="B1369" s="157" t="s">
        <v>6899</v>
      </c>
      <c r="C1369" s="158" t="s">
        <v>6900</v>
      </c>
      <c r="D1369" s="159"/>
      <c r="E1369" s="56" t="s">
        <v>6910</v>
      </c>
      <c r="F1369" s="22" t="s">
        <v>41</v>
      </c>
      <c r="G1369" s="57">
        <v>2020.0</v>
      </c>
      <c r="H1369" s="56" t="s">
        <v>6911</v>
      </c>
      <c r="I1369" s="58" t="s">
        <v>6912</v>
      </c>
      <c r="J1369" s="22" t="s">
        <v>2141</v>
      </c>
      <c r="K1369" s="22"/>
      <c r="L1369" s="168" t="s">
        <v>943</v>
      </c>
      <c r="M1369" s="168"/>
      <c r="N1369" s="168"/>
      <c r="O1369" s="168"/>
      <c r="P1369" s="169"/>
      <c r="Q1369" s="168"/>
      <c r="R1369" s="168"/>
      <c r="S1369" s="168"/>
      <c r="T1369" s="214"/>
      <c r="U1369" s="64" t="s">
        <v>61</v>
      </c>
      <c r="V1369" s="50"/>
      <c r="W1369" s="162"/>
      <c r="X1369" s="156"/>
      <c r="Y1369" s="35"/>
      <c r="Z1369" s="35"/>
      <c r="AA1369" s="35"/>
      <c r="AB1369" s="35"/>
      <c r="AC1369" s="35"/>
      <c r="AD1369" s="35"/>
      <c r="AE1369" s="35"/>
      <c r="AF1369" s="35"/>
      <c r="AG1369" s="35"/>
      <c r="AH1369" s="35"/>
      <c r="AI1369" s="35"/>
      <c r="AJ1369" s="35"/>
      <c r="AK1369" s="35"/>
      <c r="AL1369" s="35"/>
    </row>
    <row r="1370">
      <c r="A1370" s="40"/>
      <c r="B1370" s="157" t="s">
        <v>6899</v>
      </c>
      <c r="C1370" s="158" t="s">
        <v>6900</v>
      </c>
      <c r="D1370" s="159"/>
      <c r="E1370" s="56" t="s">
        <v>6913</v>
      </c>
      <c r="F1370" s="22" t="s">
        <v>332</v>
      </c>
      <c r="G1370" s="57">
        <v>2020.0</v>
      </c>
      <c r="H1370" s="56" t="s">
        <v>53</v>
      </c>
      <c r="I1370" s="58" t="s">
        <v>6914</v>
      </c>
      <c r="J1370" s="22" t="s">
        <v>6915</v>
      </c>
      <c r="K1370" s="22" t="s">
        <v>6916</v>
      </c>
      <c r="L1370" s="36">
        <v>635.0</v>
      </c>
      <c r="M1370" s="36">
        <v>85.0</v>
      </c>
      <c r="N1370" s="36"/>
      <c r="O1370" s="36">
        <v>102.0</v>
      </c>
      <c r="P1370" s="37" t="s">
        <v>6917</v>
      </c>
      <c r="Q1370" s="36"/>
      <c r="R1370" s="36"/>
      <c r="S1370" s="36" t="s">
        <v>4905</v>
      </c>
      <c r="T1370" s="54" t="s">
        <v>6918</v>
      </c>
      <c r="U1370" s="161" t="str">
        <f>HYPERLINK("https://www.ncbi.nlm.nih.gov/pubmed/32141112","PubMed")</f>
        <v>PubMed</v>
      </c>
      <c r="V1370" s="50"/>
      <c r="W1370" s="162"/>
      <c r="X1370" s="156"/>
      <c r="Y1370" s="35"/>
      <c r="Z1370" s="35"/>
      <c r="AA1370" s="35"/>
      <c r="AB1370" s="35"/>
      <c r="AC1370" s="35"/>
      <c r="AD1370" s="35"/>
      <c r="AE1370" s="35"/>
      <c r="AF1370" s="35"/>
      <c r="AG1370" s="35"/>
      <c r="AH1370" s="35"/>
      <c r="AI1370" s="35"/>
      <c r="AJ1370" s="35"/>
      <c r="AK1370" s="35"/>
      <c r="AL1370" s="35"/>
    </row>
    <row r="1371">
      <c r="A1371" s="40"/>
      <c r="B1371" s="157" t="s">
        <v>6899</v>
      </c>
      <c r="C1371" s="158" t="s">
        <v>6900</v>
      </c>
      <c r="D1371" s="159"/>
      <c r="E1371" s="56" t="s">
        <v>6919</v>
      </c>
      <c r="F1371" s="22" t="s">
        <v>6920</v>
      </c>
      <c r="G1371" s="57" t="s">
        <v>76</v>
      </c>
      <c r="H1371" s="56" t="s">
        <v>91</v>
      </c>
      <c r="I1371" s="58" t="s">
        <v>6921</v>
      </c>
      <c r="J1371" s="22" t="s">
        <v>6922</v>
      </c>
      <c r="K1371" s="22" t="s">
        <v>6923</v>
      </c>
      <c r="L1371" s="36">
        <v>532.0</v>
      </c>
      <c r="M1371" s="36"/>
      <c r="N1371" s="36"/>
      <c r="O1371" s="36"/>
      <c r="P1371" s="37"/>
      <c r="Q1371" s="36" t="s">
        <v>6924</v>
      </c>
      <c r="R1371" s="36">
        <v>3600.0</v>
      </c>
      <c r="S1371" s="36" t="s">
        <v>6925</v>
      </c>
      <c r="T1371" s="102" t="s">
        <v>6926</v>
      </c>
      <c r="U1371" s="161" t="str">
        <f>HYPERLINK("https://www.ncbi.nlm.nih.gov/pubmed/31473867","PubMed")</f>
        <v>PubMed</v>
      </c>
      <c r="V1371" s="50"/>
      <c r="W1371" s="162"/>
      <c r="X1371" s="156"/>
      <c r="Y1371" s="35"/>
      <c r="Z1371" s="35"/>
      <c r="AA1371" s="35"/>
      <c r="AB1371" s="35"/>
      <c r="AC1371" s="35"/>
      <c r="AD1371" s="35"/>
      <c r="AE1371" s="35"/>
      <c r="AF1371" s="35"/>
      <c r="AG1371" s="35"/>
      <c r="AH1371" s="35"/>
      <c r="AI1371" s="35"/>
      <c r="AJ1371" s="35"/>
      <c r="AK1371" s="35"/>
      <c r="AL1371" s="35"/>
    </row>
    <row r="1372">
      <c r="A1372" s="40" t="s">
        <v>2</v>
      </c>
      <c r="B1372" s="157" t="s">
        <v>6899</v>
      </c>
      <c r="C1372" s="158" t="s">
        <v>6900</v>
      </c>
      <c r="D1372" s="159"/>
      <c r="E1372" s="56" t="s">
        <v>6927</v>
      </c>
      <c r="F1372" s="22" t="s">
        <v>2161</v>
      </c>
      <c r="G1372" s="57">
        <v>2017.0</v>
      </c>
      <c r="H1372" s="56" t="s">
        <v>658</v>
      </c>
      <c r="I1372" s="58" t="s">
        <v>6928</v>
      </c>
      <c r="J1372" s="22" t="s">
        <v>6929</v>
      </c>
      <c r="K1372" s="22" t="s">
        <v>6802</v>
      </c>
      <c r="L1372" s="36">
        <v>532.0</v>
      </c>
      <c r="M1372" s="36">
        <v>170.0</v>
      </c>
      <c r="N1372" s="36"/>
      <c r="O1372" s="36"/>
      <c r="P1372" s="37" t="s">
        <v>1069</v>
      </c>
      <c r="Q1372" s="36"/>
      <c r="R1372" s="36"/>
      <c r="S1372" s="36" t="s">
        <v>4905</v>
      </c>
      <c r="T1372" s="54" t="s">
        <v>6930</v>
      </c>
      <c r="U1372" s="161" t="str">
        <f>HYPERLINK("https://www.ncbi.nlm.nih.gov/pubmed/27935737","PubMed")</f>
        <v>PubMed</v>
      </c>
      <c r="V1372" s="50"/>
      <c r="W1372" s="162"/>
      <c r="X1372" s="156"/>
      <c r="Y1372" s="35"/>
      <c r="Z1372" s="35"/>
      <c r="AA1372" s="35"/>
      <c r="AB1372" s="35"/>
      <c r="AC1372" s="35"/>
      <c r="AD1372" s="35"/>
      <c r="AE1372" s="35"/>
      <c r="AF1372" s="35"/>
      <c r="AG1372" s="35"/>
      <c r="AH1372" s="35"/>
      <c r="AI1372" s="35"/>
      <c r="AJ1372" s="35"/>
      <c r="AK1372" s="35"/>
      <c r="AL1372" s="35"/>
    </row>
    <row r="1373">
      <c r="A1373" s="89"/>
      <c r="B1373" s="157" t="s">
        <v>6899</v>
      </c>
      <c r="C1373" s="158" t="s">
        <v>6900</v>
      </c>
      <c r="D1373" s="159"/>
      <c r="E1373" s="56" t="s">
        <v>4303</v>
      </c>
      <c r="F1373" s="22" t="s">
        <v>323</v>
      </c>
      <c r="G1373" s="57">
        <v>2017.0</v>
      </c>
      <c r="H1373" s="56" t="s">
        <v>147</v>
      </c>
      <c r="I1373" s="58" t="s">
        <v>6931</v>
      </c>
      <c r="J1373" s="22" t="s">
        <v>6932</v>
      </c>
      <c r="K1373" s="22" t="s">
        <v>6933</v>
      </c>
      <c r="L1373" s="36" t="s">
        <v>6934</v>
      </c>
      <c r="M1373" s="36"/>
      <c r="N1373" s="36"/>
      <c r="O1373" s="36"/>
      <c r="P1373" s="37"/>
      <c r="Q1373" s="36"/>
      <c r="R1373" s="36"/>
      <c r="S1373" s="36" t="s">
        <v>2688</v>
      </c>
      <c r="T1373" s="54" t="s">
        <v>6935</v>
      </c>
      <c r="U1373" s="161" t="str">
        <f>HYPERLINK("https://www.ncbi.nlm.nih.gov/pubmed/29071031","PubMed")</f>
        <v>PubMed</v>
      </c>
      <c r="V1373" s="50"/>
      <c r="W1373" s="162"/>
      <c r="X1373" s="156"/>
      <c r="Y1373" s="35"/>
      <c r="Z1373" s="35"/>
      <c r="AA1373" s="35"/>
      <c r="AB1373" s="35"/>
      <c r="AC1373" s="35"/>
      <c r="AD1373" s="35"/>
      <c r="AE1373" s="35"/>
      <c r="AF1373" s="35"/>
      <c r="AG1373" s="35"/>
      <c r="AH1373" s="35"/>
      <c r="AI1373" s="35"/>
      <c r="AJ1373" s="35"/>
      <c r="AK1373" s="35"/>
      <c r="AL1373" s="35"/>
    </row>
    <row r="1374">
      <c r="A1374" s="89"/>
      <c r="B1374" s="157" t="s">
        <v>6899</v>
      </c>
      <c r="C1374" s="158" t="s">
        <v>6900</v>
      </c>
      <c r="D1374" s="159"/>
      <c r="E1374" s="56" t="s">
        <v>6936</v>
      </c>
      <c r="F1374" s="22" t="s">
        <v>6406</v>
      </c>
      <c r="G1374" s="57">
        <v>2017.0</v>
      </c>
      <c r="H1374" s="56" t="s">
        <v>91</v>
      </c>
      <c r="I1374" s="58" t="s">
        <v>6937</v>
      </c>
      <c r="J1374" s="22" t="s">
        <v>6938</v>
      </c>
      <c r="K1374" s="22" t="s">
        <v>6939</v>
      </c>
      <c r="L1374" s="36">
        <v>650.0</v>
      </c>
      <c r="M1374" s="36" t="s">
        <v>6940</v>
      </c>
      <c r="N1374" s="36"/>
      <c r="O1374" s="36"/>
      <c r="P1374" s="37" t="s">
        <v>704</v>
      </c>
      <c r="Q1374" s="36" t="s">
        <v>6941</v>
      </c>
      <c r="R1374" s="36"/>
      <c r="S1374" s="36" t="s">
        <v>6942</v>
      </c>
      <c r="T1374" s="103" t="s">
        <v>6943</v>
      </c>
      <c r="U1374" s="161" t="str">
        <f>HYPERLINK("https://www.ncbi.nlm.nih.gov/pubmed/27384041","PubMed")</f>
        <v>PubMed</v>
      </c>
      <c r="V1374" s="50"/>
      <c r="W1374" s="162"/>
      <c r="X1374" s="156"/>
      <c r="Y1374" s="35"/>
      <c r="Z1374" s="35"/>
      <c r="AA1374" s="35"/>
      <c r="AB1374" s="35"/>
      <c r="AC1374" s="35"/>
      <c r="AD1374" s="35"/>
      <c r="AE1374" s="35"/>
      <c r="AF1374" s="35"/>
      <c r="AG1374" s="35"/>
      <c r="AH1374" s="35"/>
      <c r="AI1374" s="35"/>
      <c r="AJ1374" s="35"/>
      <c r="AK1374" s="35"/>
      <c r="AL1374" s="35"/>
    </row>
    <row r="1375">
      <c r="A1375" s="89"/>
      <c r="B1375" s="157" t="s">
        <v>6899</v>
      </c>
      <c r="C1375" s="158" t="s">
        <v>6900</v>
      </c>
      <c r="D1375" s="159"/>
      <c r="E1375" s="56" t="s">
        <v>6901</v>
      </c>
      <c r="F1375" s="22" t="s">
        <v>323</v>
      </c>
      <c r="G1375" s="57">
        <v>2016.0</v>
      </c>
      <c r="H1375" s="56" t="s">
        <v>6944</v>
      </c>
      <c r="I1375" s="58" t="s">
        <v>6945</v>
      </c>
      <c r="J1375" s="22" t="s">
        <v>649</v>
      </c>
      <c r="K1375" s="22"/>
      <c r="L1375" s="105" t="s">
        <v>6946</v>
      </c>
      <c r="M1375" s="44"/>
      <c r="N1375" s="44"/>
      <c r="O1375" s="44"/>
      <c r="P1375" s="44"/>
      <c r="Q1375" s="44"/>
      <c r="R1375" s="44"/>
      <c r="S1375" s="44"/>
      <c r="T1375" s="45"/>
      <c r="U1375" s="161" t="str">
        <f>HYPERLINK("https://www.ncbi.nlm.nih.gov/pubmed/28123436","PubMed")</f>
        <v>PubMed</v>
      </c>
      <c r="V1375" s="50"/>
      <c r="W1375" s="162"/>
      <c r="X1375" s="156"/>
      <c r="Y1375" s="35"/>
      <c r="Z1375" s="35"/>
      <c r="AA1375" s="35"/>
      <c r="AB1375" s="35"/>
      <c r="AC1375" s="35"/>
      <c r="AD1375" s="35"/>
      <c r="AE1375" s="35"/>
      <c r="AF1375" s="35"/>
      <c r="AG1375" s="35"/>
      <c r="AH1375" s="35"/>
      <c r="AI1375" s="35"/>
      <c r="AJ1375" s="35"/>
      <c r="AK1375" s="35"/>
      <c r="AL1375" s="35"/>
    </row>
    <row r="1376">
      <c r="A1376" s="89"/>
      <c r="B1376" s="157" t="s">
        <v>6899</v>
      </c>
      <c r="C1376" s="158" t="s">
        <v>6900</v>
      </c>
      <c r="D1376" s="159"/>
      <c r="E1376" s="56" t="s">
        <v>6947</v>
      </c>
      <c r="F1376" s="22" t="s">
        <v>2161</v>
      </c>
      <c r="G1376" s="57">
        <v>2016.0</v>
      </c>
      <c r="H1376" s="56" t="s">
        <v>6948</v>
      </c>
      <c r="I1376" s="58" t="s">
        <v>6949</v>
      </c>
      <c r="J1376" s="22" t="s">
        <v>6950</v>
      </c>
      <c r="K1376" s="22"/>
      <c r="L1376" s="36">
        <v>635.0</v>
      </c>
      <c r="M1376" s="36">
        <v>102.0</v>
      </c>
      <c r="N1376" s="36"/>
      <c r="O1376" s="36"/>
      <c r="P1376" s="37"/>
      <c r="Q1376" s="36"/>
      <c r="R1376" s="36"/>
      <c r="S1376" s="36" t="s">
        <v>6951</v>
      </c>
      <c r="T1376" s="137" t="s">
        <v>6952</v>
      </c>
      <c r="U1376" s="64" t="s">
        <v>61</v>
      </c>
      <c r="V1376" s="50"/>
      <c r="W1376" s="162"/>
      <c r="X1376" s="156"/>
      <c r="Y1376" s="35"/>
      <c r="Z1376" s="35"/>
      <c r="AA1376" s="35"/>
      <c r="AB1376" s="35"/>
      <c r="AC1376" s="35"/>
      <c r="AD1376" s="35"/>
      <c r="AE1376" s="35"/>
      <c r="AF1376" s="35"/>
      <c r="AG1376" s="35"/>
      <c r="AH1376" s="35"/>
      <c r="AI1376" s="35"/>
      <c r="AJ1376" s="35"/>
      <c r="AK1376" s="35"/>
      <c r="AL1376" s="35"/>
    </row>
    <row r="1377">
      <c r="A1377" s="89"/>
      <c r="B1377" s="157" t="s">
        <v>6899</v>
      </c>
      <c r="C1377" s="158" t="s">
        <v>6900</v>
      </c>
      <c r="D1377" s="159"/>
      <c r="E1377" s="56" t="s">
        <v>216</v>
      </c>
      <c r="F1377" s="22" t="s">
        <v>65</v>
      </c>
      <c r="G1377" s="57">
        <v>2014.0</v>
      </c>
      <c r="H1377" s="56" t="s">
        <v>1000</v>
      </c>
      <c r="I1377" s="58" t="s">
        <v>6953</v>
      </c>
      <c r="J1377" s="22" t="s">
        <v>6954</v>
      </c>
      <c r="K1377" s="22"/>
      <c r="L1377" s="36">
        <v>810.0</v>
      </c>
      <c r="M1377" s="36" t="s">
        <v>6955</v>
      </c>
      <c r="N1377" s="36" t="s">
        <v>6956</v>
      </c>
      <c r="O1377" s="36"/>
      <c r="P1377" s="37" t="s">
        <v>6957</v>
      </c>
      <c r="Q1377" s="36" t="s">
        <v>6958</v>
      </c>
      <c r="R1377" s="36" t="s">
        <v>6959</v>
      </c>
      <c r="S1377" s="36" t="s">
        <v>6960</v>
      </c>
      <c r="T1377" s="137" t="s">
        <v>6961</v>
      </c>
      <c r="U1377" s="161" t="str">
        <f>HYPERLINK("https://www.hindawi.com/journals/ijp/2012/730351/","Hindawi")</f>
        <v>Hindawi</v>
      </c>
      <c r="V1377" s="50"/>
      <c r="W1377" s="162"/>
      <c r="X1377" s="156"/>
      <c r="Y1377" s="35"/>
      <c r="Z1377" s="35"/>
      <c r="AA1377" s="35"/>
      <c r="AB1377" s="35"/>
      <c r="AC1377" s="35"/>
      <c r="AD1377" s="35"/>
      <c r="AE1377" s="35"/>
      <c r="AF1377" s="35"/>
      <c r="AG1377" s="35"/>
      <c r="AH1377" s="35"/>
      <c r="AI1377" s="35"/>
      <c r="AJ1377" s="35"/>
      <c r="AK1377" s="35"/>
      <c r="AL1377" s="35"/>
    </row>
    <row r="1378">
      <c r="A1378" s="89"/>
      <c r="B1378" s="157" t="s">
        <v>6899</v>
      </c>
      <c r="C1378" s="158" t="s">
        <v>6900</v>
      </c>
      <c r="D1378" s="159"/>
      <c r="E1378" s="56" t="s">
        <v>6962</v>
      </c>
      <c r="F1378" s="22" t="s">
        <v>6963</v>
      </c>
      <c r="G1378" s="57">
        <v>2013.0</v>
      </c>
      <c r="H1378" s="56" t="s">
        <v>6964</v>
      </c>
      <c r="I1378" s="58" t="s">
        <v>6965</v>
      </c>
      <c r="J1378" s="22" t="s">
        <v>125</v>
      </c>
      <c r="K1378" s="22"/>
      <c r="L1378" s="43" t="s">
        <v>6966</v>
      </c>
      <c r="M1378" s="44"/>
      <c r="N1378" s="44"/>
      <c r="O1378" s="44"/>
      <c r="P1378" s="44"/>
      <c r="Q1378" s="44"/>
      <c r="R1378" s="44"/>
      <c r="S1378" s="44"/>
      <c r="T1378" s="45"/>
      <c r="U1378" s="161" t="str">
        <f>HYPERLINK("https://www.ncbi.nlm.nih.gov/pubmed/24049928","PubMed")</f>
        <v>PubMed</v>
      </c>
      <c r="V1378" s="50"/>
      <c r="W1378" s="162"/>
      <c r="X1378" s="156"/>
      <c r="Y1378" s="35"/>
      <c r="Z1378" s="35"/>
      <c r="AA1378" s="35"/>
      <c r="AB1378" s="35"/>
      <c r="AC1378" s="35"/>
      <c r="AD1378" s="35"/>
      <c r="AE1378" s="35"/>
      <c r="AF1378" s="35"/>
      <c r="AG1378" s="35"/>
      <c r="AH1378" s="35"/>
      <c r="AI1378" s="35"/>
      <c r="AJ1378" s="35"/>
      <c r="AK1378" s="35"/>
      <c r="AL1378" s="35"/>
    </row>
    <row r="1379">
      <c r="A1379" s="89"/>
      <c r="B1379" s="157" t="s">
        <v>6899</v>
      </c>
      <c r="C1379" s="158" t="s">
        <v>6900</v>
      </c>
      <c r="D1379" s="159"/>
      <c r="E1379" s="56" t="s">
        <v>6967</v>
      </c>
      <c r="F1379" s="22" t="s">
        <v>5390</v>
      </c>
      <c r="G1379" s="57">
        <v>2013.0</v>
      </c>
      <c r="H1379" s="56" t="s">
        <v>53</v>
      </c>
      <c r="I1379" s="58" t="s">
        <v>6968</v>
      </c>
      <c r="J1379" s="22" t="s">
        <v>6969</v>
      </c>
      <c r="K1379" s="22"/>
      <c r="L1379" s="36">
        <v>635.0</v>
      </c>
      <c r="M1379" s="36"/>
      <c r="N1379" s="36"/>
      <c r="O1379" s="36"/>
      <c r="P1379" s="37"/>
      <c r="Q1379" s="36"/>
      <c r="R1379" s="36" t="s">
        <v>6970</v>
      </c>
      <c r="S1379" s="36" t="s">
        <v>434</v>
      </c>
      <c r="T1379" s="160" t="s">
        <v>6971</v>
      </c>
      <c r="U1379" s="161" t="str">
        <f>HYPERLINK("https://www.ncbi.nlm.nih.gov/pubmed/23355338","PubMed")</f>
        <v>PubMed</v>
      </c>
      <c r="V1379" s="50"/>
      <c r="W1379" s="162"/>
      <c r="X1379" s="156"/>
      <c r="Y1379" s="35"/>
      <c r="Z1379" s="35"/>
      <c r="AA1379" s="35"/>
      <c r="AB1379" s="35"/>
      <c r="AC1379" s="35"/>
      <c r="AD1379" s="35"/>
      <c r="AE1379" s="35"/>
      <c r="AF1379" s="35"/>
      <c r="AG1379" s="35"/>
      <c r="AH1379" s="35"/>
      <c r="AI1379" s="35"/>
      <c r="AJ1379" s="35"/>
      <c r="AK1379" s="35"/>
      <c r="AL1379" s="35"/>
    </row>
    <row r="1380">
      <c r="A1380" s="89"/>
      <c r="B1380" s="157" t="s">
        <v>6899</v>
      </c>
      <c r="C1380" s="158" t="s">
        <v>6900</v>
      </c>
      <c r="D1380" s="159"/>
      <c r="E1380" s="56" t="s">
        <v>6972</v>
      </c>
      <c r="F1380" s="22" t="s">
        <v>6973</v>
      </c>
      <c r="G1380" s="57">
        <v>2013.0</v>
      </c>
      <c r="H1380" s="56" t="s">
        <v>6974</v>
      </c>
      <c r="I1380" s="58" t="s">
        <v>6975</v>
      </c>
      <c r="J1380" s="22" t="s">
        <v>6976</v>
      </c>
      <c r="K1380" s="22" t="s">
        <v>6977</v>
      </c>
      <c r="L1380" s="36">
        <v>635.0</v>
      </c>
      <c r="M1380" s="36" t="s">
        <v>6978</v>
      </c>
      <c r="N1380" s="36" t="s">
        <v>58</v>
      </c>
      <c r="O1380" s="36" t="s">
        <v>6979</v>
      </c>
      <c r="P1380" s="37" t="s">
        <v>6979</v>
      </c>
      <c r="Q1380" s="36" t="s">
        <v>6979</v>
      </c>
      <c r="R1380" s="36" t="s">
        <v>6980</v>
      </c>
      <c r="S1380" s="36" t="s">
        <v>6981</v>
      </c>
      <c r="T1380" s="187" t="s">
        <v>6982</v>
      </c>
      <c r="U1380" s="161" t="str">
        <f>HYPERLINK("https://www.ncbi.nlm.nih.gov/pubmed/23888254","PubMed")</f>
        <v>PubMed</v>
      </c>
      <c r="V1380" s="50"/>
      <c r="W1380" s="162"/>
      <c r="X1380" s="156"/>
      <c r="Y1380" s="35"/>
      <c r="Z1380" s="35"/>
      <c r="AA1380" s="35"/>
      <c r="AB1380" s="35"/>
      <c r="AC1380" s="35"/>
      <c r="AD1380" s="35"/>
      <c r="AE1380" s="35"/>
      <c r="AF1380" s="35"/>
      <c r="AG1380" s="35"/>
      <c r="AH1380" s="35"/>
      <c r="AI1380" s="35"/>
      <c r="AJ1380" s="35"/>
      <c r="AK1380" s="35"/>
      <c r="AL1380" s="35"/>
    </row>
    <row r="1381">
      <c r="A1381" s="89"/>
      <c r="B1381" s="157" t="s">
        <v>6899</v>
      </c>
      <c r="C1381" s="158" t="s">
        <v>6900</v>
      </c>
      <c r="D1381" s="159"/>
      <c r="E1381" s="56" t="s">
        <v>6962</v>
      </c>
      <c r="F1381" s="22" t="s">
        <v>2161</v>
      </c>
      <c r="G1381" s="57">
        <v>2012.0</v>
      </c>
      <c r="H1381" s="56" t="s">
        <v>6948</v>
      </c>
      <c r="I1381" s="58" t="s">
        <v>6983</v>
      </c>
      <c r="J1381" s="22" t="s">
        <v>6984</v>
      </c>
      <c r="K1381" s="22"/>
      <c r="L1381" s="36">
        <v>635.0</v>
      </c>
      <c r="M1381" s="36" t="s">
        <v>6985</v>
      </c>
      <c r="N1381" s="36"/>
      <c r="O1381" s="36"/>
      <c r="P1381" s="37" t="s">
        <v>6986</v>
      </c>
      <c r="Q1381" s="36"/>
      <c r="R1381" s="36">
        <v>1200.0</v>
      </c>
      <c r="S1381" s="36" t="s">
        <v>2302</v>
      </c>
      <c r="T1381" s="160" t="s">
        <v>6987</v>
      </c>
      <c r="U1381" s="161" t="str">
        <f>HYPERLINK("https://www.ncbi.nlm.nih.gov/pubmed/22468172","PubMed")</f>
        <v>PubMed</v>
      </c>
      <c r="V1381" s="50"/>
      <c r="W1381" s="162"/>
      <c r="X1381" s="156"/>
      <c r="Y1381" s="35"/>
      <c r="Z1381" s="35"/>
      <c r="AA1381" s="35"/>
      <c r="AB1381" s="35"/>
      <c r="AC1381" s="35"/>
      <c r="AD1381" s="35"/>
      <c r="AE1381" s="35"/>
      <c r="AF1381" s="35"/>
      <c r="AG1381" s="35"/>
      <c r="AH1381" s="35"/>
      <c r="AI1381" s="35"/>
      <c r="AJ1381" s="35"/>
      <c r="AK1381" s="35"/>
      <c r="AL1381" s="35"/>
    </row>
    <row r="1382">
      <c r="A1382" s="89"/>
      <c r="B1382" s="157" t="s">
        <v>6899</v>
      </c>
      <c r="C1382" s="158" t="s">
        <v>6900</v>
      </c>
      <c r="D1382" s="159"/>
      <c r="E1382" s="56" t="s">
        <v>6988</v>
      </c>
      <c r="F1382" s="22" t="s">
        <v>6989</v>
      </c>
      <c r="G1382" s="57">
        <v>2011.0</v>
      </c>
      <c r="H1382" s="56" t="s">
        <v>53</v>
      </c>
      <c r="I1382" s="58" t="s">
        <v>6990</v>
      </c>
      <c r="J1382" s="22" t="s">
        <v>6991</v>
      </c>
      <c r="K1382" s="22" t="s">
        <v>6992</v>
      </c>
      <c r="L1382" s="36"/>
      <c r="M1382" s="36"/>
      <c r="N1382" s="36"/>
      <c r="O1382" s="36"/>
      <c r="P1382" s="37"/>
      <c r="Q1382" s="36"/>
      <c r="R1382" s="36"/>
      <c r="S1382" s="36" t="s">
        <v>2302</v>
      </c>
      <c r="T1382" s="187" t="s">
        <v>6993</v>
      </c>
      <c r="U1382" s="161" t="str">
        <f>HYPERLINK("https://www.ncbi.nlm.nih.gov/pubmed/21384392","PubMed")</f>
        <v>PubMed</v>
      </c>
      <c r="V1382" s="50"/>
      <c r="W1382" s="162"/>
      <c r="X1382" s="156"/>
      <c r="Y1382" s="35"/>
      <c r="Z1382" s="35"/>
      <c r="AA1382" s="35"/>
      <c r="AB1382" s="35"/>
      <c r="AC1382" s="35"/>
      <c r="AD1382" s="35"/>
      <c r="AE1382" s="35"/>
      <c r="AF1382" s="35"/>
      <c r="AG1382" s="35"/>
      <c r="AH1382" s="35"/>
      <c r="AI1382" s="35"/>
      <c r="AJ1382" s="35"/>
      <c r="AK1382" s="35"/>
      <c r="AL1382" s="35"/>
    </row>
    <row r="1383">
      <c r="A1383" s="89"/>
      <c r="B1383" s="157" t="s">
        <v>6899</v>
      </c>
      <c r="C1383" s="158" t="s">
        <v>6900</v>
      </c>
      <c r="D1383" s="159"/>
      <c r="E1383" s="56" t="s">
        <v>6994</v>
      </c>
      <c r="F1383" s="22" t="s">
        <v>6995</v>
      </c>
      <c r="G1383" s="57">
        <v>2011.0</v>
      </c>
      <c r="H1383" s="56" t="s">
        <v>169</v>
      </c>
      <c r="I1383" s="58" t="s">
        <v>6996</v>
      </c>
      <c r="J1383" s="22" t="s">
        <v>6997</v>
      </c>
      <c r="K1383" s="22" t="s">
        <v>6998</v>
      </c>
      <c r="L1383" s="36" t="s">
        <v>6999</v>
      </c>
      <c r="M1383" s="36"/>
      <c r="N1383" s="36"/>
      <c r="O1383" s="36"/>
      <c r="P1383" s="37"/>
      <c r="Q1383" s="36"/>
      <c r="R1383" s="36"/>
      <c r="S1383" s="36" t="s">
        <v>2099</v>
      </c>
      <c r="T1383" s="160" t="s">
        <v>7000</v>
      </c>
      <c r="U1383" s="161" t="str">
        <f>HYPERLINK("https://www.ncbi.nlm.nih.gov/pubmed/21275531","PubMed")</f>
        <v>PubMed</v>
      </c>
      <c r="V1383" s="50"/>
      <c r="W1383" s="162"/>
      <c r="X1383" s="156"/>
      <c r="Y1383" s="35"/>
      <c r="Z1383" s="35"/>
      <c r="AA1383" s="35"/>
      <c r="AB1383" s="35"/>
      <c r="AC1383" s="35"/>
      <c r="AD1383" s="35"/>
      <c r="AE1383" s="35"/>
      <c r="AF1383" s="35"/>
      <c r="AG1383" s="35"/>
      <c r="AH1383" s="35"/>
      <c r="AI1383" s="35"/>
      <c r="AJ1383" s="35"/>
      <c r="AK1383" s="35"/>
      <c r="AL1383" s="35"/>
    </row>
    <row r="1384">
      <c r="A1384" s="89"/>
      <c r="B1384" s="157" t="s">
        <v>6899</v>
      </c>
      <c r="C1384" s="158" t="s">
        <v>6900</v>
      </c>
      <c r="D1384" s="159"/>
      <c r="E1384" s="56" t="s">
        <v>7001</v>
      </c>
      <c r="F1384" s="22" t="s">
        <v>7002</v>
      </c>
      <c r="G1384" s="57">
        <v>2011.0</v>
      </c>
      <c r="H1384" s="56" t="s">
        <v>7003</v>
      </c>
      <c r="I1384" s="58" t="s">
        <v>7004</v>
      </c>
      <c r="J1384" s="22" t="s">
        <v>7005</v>
      </c>
      <c r="K1384" s="22" t="s">
        <v>7006</v>
      </c>
      <c r="L1384" s="36" t="s">
        <v>302</v>
      </c>
      <c r="M1384" s="36"/>
      <c r="N1384" s="36"/>
      <c r="O1384" s="36"/>
      <c r="P1384" s="37"/>
      <c r="Q1384" s="36"/>
      <c r="R1384" s="36"/>
      <c r="S1384" s="36" t="s">
        <v>2099</v>
      </c>
      <c r="T1384" s="160" t="s">
        <v>7007</v>
      </c>
      <c r="U1384" s="161" t="str">
        <f>HYPERLINK("https://www.ncbi.nlm.nih.gov/pubmed/20393809","PubMed")</f>
        <v>PubMed</v>
      </c>
      <c r="V1384" s="50"/>
      <c r="W1384" s="162"/>
      <c r="X1384" s="156"/>
      <c r="Y1384" s="35"/>
      <c r="Z1384" s="35"/>
      <c r="AA1384" s="35"/>
      <c r="AB1384" s="35"/>
      <c r="AC1384" s="35"/>
      <c r="AD1384" s="35"/>
      <c r="AE1384" s="35"/>
      <c r="AF1384" s="35"/>
      <c r="AG1384" s="35"/>
      <c r="AH1384" s="35"/>
      <c r="AI1384" s="35"/>
      <c r="AJ1384" s="35"/>
      <c r="AK1384" s="35"/>
      <c r="AL1384" s="35"/>
    </row>
    <row r="1385">
      <c r="A1385" s="89"/>
      <c r="B1385" s="157" t="s">
        <v>6899</v>
      </c>
      <c r="C1385" s="158" t="s">
        <v>6900</v>
      </c>
      <c r="D1385" s="159"/>
      <c r="E1385" s="56" t="s">
        <v>7008</v>
      </c>
      <c r="F1385" s="22" t="s">
        <v>7009</v>
      </c>
      <c r="G1385" s="57">
        <v>2008.0</v>
      </c>
      <c r="H1385" s="56" t="s">
        <v>169</v>
      </c>
      <c r="I1385" s="58" t="s">
        <v>7010</v>
      </c>
      <c r="J1385" s="22" t="s">
        <v>7011</v>
      </c>
      <c r="K1385" s="22"/>
      <c r="L1385" s="36" t="s">
        <v>7012</v>
      </c>
      <c r="M1385" s="36"/>
      <c r="N1385" s="36"/>
      <c r="O1385" s="36"/>
      <c r="P1385" s="37"/>
      <c r="Q1385" s="36"/>
      <c r="R1385" s="36"/>
      <c r="S1385" s="36" t="s">
        <v>7013</v>
      </c>
      <c r="T1385" s="160" t="s">
        <v>7014</v>
      </c>
      <c r="U1385" s="161" t="str">
        <f>HYPERLINK("https://www.ncbi.nlm.nih.gov/pubmed/19093288","PubMed")</f>
        <v>PubMed</v>
      </c>
      <c r="V1385" s="50"/>
      <c r="W1385" s="162"/>
      <c r="X1385" s="156"/>
      <c r="Y1385" s="35"/>
      <c r="Z1385" s="35"/>
      <c r="AA1385" s="35"/>
      <c r="AB1385" s="35"/>
      <c r="AC1385" s="35"/>
      <c r="AD1385" s="35"/>
      <c r="AE1385" s="35"/>
      <c r="AF1385" s="35"/>
      <c r="AG1385" s="35"/>
      <c r="AH1385" s="35"/>
      <c r="AI1385" s="35"/>
      <c r="AJ1385" s="35"/>
      <c r="AK1385" s="35"/>
      <c r="AL1385" s="35"/>
    </row>
    <row r="1386">
      <c r="A1386" s="89"/>
      <c r="B1386" s="157" t="s">
        <v>6899</v>
      </c>
      <c r="C1386" s="158" t="s">
        <v>7015</v>
      </c>
      <c r="D1386" s="159"/>
      <c r="E1386" s="56" t="s">
        <v>7016</v>
      </c>
      <c r="F1386" s="22" t="s">
        <v>7017</v>
      </c>
      <c r="G1386" s="57">
        <v>2009.0</v>
      </c>
      <c r="H1386" s="56" t="s">
        <v>6005</v>
      </c>
      <c r="I1386" s="58" t="s">
        <v>7018</v>
      </c>
      <c r="J1386" s="22" t="s">
        <v>7019</v>
      </c>
      <c r="K1386" s="22" t="s">
        <v>7020</v>
      </c>
      <c r="L1386" s="36" t="s">
        <v>7021</v>
      </c>
      <c r="M1386" s="36" t="s">
        <v>462</v>
      </c>
      <c r="N1386" s="36" t="s">
        <v>58</v>
      </c>
      <c r="O1386" s="36" t="s">
        <v>58</v>
      </c>
      <c r="P1386" s="37" t="s">
        <v>58</v>
      </c>
      <c r="Q1386" s="36" t="s">
        <v>58</v>
      </c>
      <c r="R1386" s="36">
        <v>480.0</v>
      </c>
      <c r="S1386" s="36" t="s">
        <v>7022</v>
      </c>
      <c r="T1386" s="160" t="s">
        <v>7023</v>
      </c>
      <c r="U1386" s="161" t="str">
        <f>HYPERLINK("http://journals.sagepub.com/doi/abs/10.1177/074880680902600303?journalCode=acsa","SAGE")</f>
        <v>SAGE</v>
      </c>
      <c r="V1386" s="50"/>
      <c r="W1386" s="162"/>
      <c r="X1386" s="156"/>
      <c r="Y1386" s="35"/>
      <c r="Z1386" s="35"/>
      <c r="AA1386" s="35"/>
      <c r="AB1386" s="35"/>
      <c r="AC1386" s="35"/>
      <c r="AD1386" s="35"/>
      <c r="AE1386" s="35"/>
      <c r="AF1386" s="35"/>
      <c r="AG1386" s="35"/>
      <c r="AH1386" s="35"/>
      <c r="AI1386" s="35"/>
      <c r="AJ1386" s="35"/>
      <c r="AK1386" s="35"/>
      <c r="AL1386" s="35"/>
    </row>
    <row r="1387">
      <c r="A1387" s="89"/>
      <c r="B1387" s="157" t="s">
        <v>6899</v>
      </c>
      <c r="C1387" s="158" t="s">
        <v>7024</v>
      </c>
      <c r="D1387" s="159"/>
      <c r="E1387" s="56" t="s">
        <v>7025</v>
      </c>
      <c r="F1387" s="22" t="s">
        <v>4953</v>
      </c>
      <c r="G1387" s="57">
        <v>2023.0</v>
      </c>
      <c r="H1387" s="56" t="s">
        <v>169</v>
      </c>
      <c r="I1387" s="58" t="s">
        <v>7026</v>
      </c>
      <c r="J1387" s="22" t="s">
        <v>7027</v>
      </c>
      <c r="K1387" s="22"/>
      <c r="L1387" s="36" t="s">
        <v>7021</v>
      </c>
      <c r="M1387" s="232"/>
      <c r="N1387" s="232"/>
      <c r="O1387" s="232"/>
      <c r="P1387" s="233"/>
      <c r="Q1387" s="232"/>
      <c r="R1387" s="232"/>
      <c r="S1387" s="232" t="s">
        <v>7028</v>
      </c>
      <c r="T1387" s="187" t="s">
        <v>7029</v>
      </c>
      <c r="U1387" s="60" t="s">
        <v>61</v>
      </c>
      <c r="V1387" s="50"/>
      <c r="W1387" s="162"/>
      <c r="X1387" s="156"/>
      <c r="Y1387" s="35"/>
      <c r="Z1387" s="35"/>
      <c r="AA1387" s="35"/>
      <c r="AB1387" s="35"/>
      <c r="AC1387" s="35"/>
      <c r="AD1387" s="35"/>
      <c r="AE1387" s="35"/>
      <c r="AF1387" s="35"/>
      <c r="AG1387" s="35"/>
      <c r="AH1387" s="35"/>
      <c r="AI1387" s="35"/>
      <c r="AJ1387" s="35"/>
      <c r="AK1387" s="35"/>
      <c r="AL1387" s="35"/>
    </row>
    <row r="1388">
      <c r="A1388" s="89"/>
      <c r="B1388" s="157" t="s">
        <v>6899</v>
      </c>
      <c r="C1388" s="158" t="s">
        <v>7024</v>
      </c>
      <c r="D1388" s="159"/>
      <c r="E1388" s="56" t="s">
        <v>7016</v>
      </c>
      <c r="F1388" s="22" t="s">
        <v>7017</v>
      </c>
      <c r="G1388" s="57">
        <v>2013.0</v>
      </c>
      <c r="H1388" s="56" t="s">
        <v>53</v>
      </c>
      <c r="I1388" s="58" t="s">
        <v>7030</v>
      </c>
      <c r="J1388" s="22" t="s">
        <v>7031</v>
      </c>
      <c r="K1388" s="22" t="s">
        <v>6802</v>
      </c>
      <c r="L1388" s="232">
        <v>532.0</v>
      </c>
      <c r="M1388" s="232">
        <v>102.0</v>
      </c>
      <c r="N1388" s="232"/>
      <c r="O1388" s="232"/>
      <c r="P1388" s="233"/>
      <c r="Q1388" s="232" t="s">
        <v>6924</v>
      </c>
      <c r="R1388" s="232">
        <v>1800.0</v>
      </c>
      <c r="S1388" s="232" t="s">
        <v>2302</v>
      </c>
      <c r="T1388" s="160" t="s">
        <v>7032</v>
      </c>
      <c r="U1388" s="161" t="str">
        <f>HYPERLINK("https://www.ncbi.nlm.nih.gov/pubmed/23508376","PubMed")</f>
        <v>PubMed</v>
      </c>
      <c r="V1388" s="50"/>
      <c r="W1388" s="162"/>
      <c r="X1388" s="156"/>
      <c r="Y1388" s="35"/>
      <c r="Z1388" s="35"/>
      <c r="AA1388" s="35"/>
      <c r="AB1388" s="35"/>
      <c r="AC1388" s="35"/>
      <c r="AD1388" s="35"/>
      <c r="AE1388" s="35"/>
      <c r="AF1388" s="35"/>
      <c r="AG1388" s="35"/>
      <c r="AH1388" s="35"/>
      <c r="AI1388" s="35"/>
      <c r="AJ1388" s="35"/>
      <c r="AK1388" s="35"/>
      <c r="AL1388" s="35"/>
    </row>
    <row r="1389">
      <c r="A1389" s="1"/>
      <c r="B1389" s="19" t="s">
        <v>7033</v>
      </c>
      <c r="C1389" s="20" t="s">
        <v>7034</v>
      </c>
      <c r="D1389" s="47"/>
      <c r="E1389" s="22" t="s">
        <v>835</v>
      </c>
      <c r="F1389" s="22" t="s">
        <v>797</v>
      </c>
      <c r="G1389" s="23">
        <v>2009.0</v>
      </c>
      <c r="H1389" s="22" t="s">
        <v>7035</v>
      </c>
      <c r="I1389" s="24" t="s">
        <v>7036</v>
      </c>
      <c r="J1389" s="22" t="s">
        <v>55</v>
      </c>
      <c r="K1389" s="22"/>
      <c r="L1389" s="234">
        <v>685.0</v>
      </c>
      <c r="M1389" s="234"/>
      <c r="N1389" s="234"/>
      <c r="O1389" s="234"/>
      <c r="P1389" s="235" t="s">
        <v>254</v>
      </c>
      <c r="Q1389" s="234"/>
      <c r="R1389" s="234"/>
      <c r="S1389" s="234"/>
      <c r="T1389" s="28" t="s">
        <v>7037</v>
      </c>
      <c r="U1389" s="38" t="str">
        <f>HYPERLINK("https://www.ncbi.nlm.nih.gov/pubmed/19593638","PubMed")</f>
        <v>PubMed</v>
      </c>
      <c r="V1389" s="30"/>
      <c r="W1389" s="49"/>
      <c r="X1389" s="49"/>
      <c r="Y1389" s="35"/>
      <c r="Z1389" s="35"/>
      <c r="AA1389" s="35"/>
      <c r="AB1389" s="35"/>
      <c r="AC1389" s="35"/>
      <c r="AD1389" s="35"/>
      <c r="AE1389" s="35"/>
      <c r="AF1389" s="35"/>
      <c r="AG1389" s="35"/>
      <c r="AH1389" s="35"/>
      <c r="AI1389" s="35"/>
      <c r="AJ1389" s="35"/>
      <c r="AK1389" s="35"/>
      <c r="AL1389" s="35"/>
    </row>
    <row r="1390">
      <c r="A1390" s="1"/>
      <c r="B1390" s="19" t="s">
        <v>7033</v>
      </c>
      <c r="C1390" s="20" t="s">
        <v>7038</v>
      </c>
      <c r="D1390" s="47"/>
      <c r="E1390" s="22" t="s">
        <v>7039</v>
      </c>
      <c r="F1390" s="22" t="s">
        <v>7040</v>
      </c>
      <c r="G1390" s="23">
        <v>2019.0</v>
      </c>
      <c r="H1390" s="22" t="s">
        <v>7041</v>
      </c>
      <c r="I1390" s="24" t="s">
        <v>7042</v>
      </c>
      <c r="J1390" s="22" t="s">
        <v>7043</v>
      </c>
      <c r="K1390" s="22" t="s">
        <v>7044</v>
      </c>
      <c r="L1390" s="36" t="s">
        <v>7045</v>
      </c>
      <c r="M1390" s="36"/>
      <c r="N1390" s="36"/>
      <c r="O1390" s="36"/>
      <c r="P1390" s="37"/>
      <c r="Q1390" s="36"/>
      <c r="R1390" s="36"/>
      <c r="S1390" s="36" t="s">
        <v>2688</v>
      </c>
      <c r="T1390" s="28" t="s">
        <v>7046</v>
      </c>
      <c r="U1390" s="29" t="s">
        <v>61</v>
      </c>
      <c r="V1390" s="30"/>
      <c r="W1390" s="49"/>
      <c r="X1390" s="49"/>
      <c r="Y1390" s="35"/>
      <c r="Z1390" s="35"/>
      <c r="AA1390" s="35"/>
      <c r="AB1390" s="35"/>
      <c r="AC1390" s="35"/>
      <c r="AD1390" s="35"/>
      <c r="AE1390" s="35"/>
      <c r="AF1390" s="35"/>
      <c r="AG1390" s="35"/>
      <c r="AH1390" s="35"/>
      <c r="AI1390" s="35"/>
      <c r="AJ1390" s="35"/>
      <c r="AK1390" s="35"/>
      <c r="AL1390" s="35"/>
    </row>
    <row r="1391">
      <c r="A1391" s="1"/>
      <c r="B1391" s="19" t="s">
        <v>7033</v>
      </c>
      <c r="C1391" s="20" t="s">
        <v>7047</v>
      </c>
      <c r="D1391" s="47"/>
      <c r="E1391" s="22" t="s">
        <v>7048</v>
      </c>
      <c r="F1391" s="22" t="s">
        <v>7049</v>
      </c>
      <c r="G1391" s="23">
        <v>2024.0</v>
      </c>
      <c r="H1391" s="22" t="s">
        <v>7050</v>
      </c>
      <c r="I1391" s="24" t="s">
        <v>7051</v>
      </c>
      <c r="J1391" s="22" t="s">
        <v>7052</v>
      </c>
      <c r="K1391" s="22" t="s">
        <v>7053</v>
      </c>
      <c r="L1391" s="25">
        <v>808.0</v>
      </c>
      <c r="M1391" s="25"/>
      <c r="N1391" s="25"/>
      <c r="O1391" s="25"/>
      <c r="P1391" s="27"/>
      <c r="Q1391" s="25"/>
      <c r="R1391" s="25"/>
      <c r="S1391" s="25" t="s">
        <v>2099</v>
      </c>
      <c r="T1391" s="28" t="s">
        <v>7054</v>
      </c>
      <c r="U1391" s="38" t="s">
        <v>61</v>
      </c>
      <c r="V1391" s="30"/>
      <c r="W1391" s="49"/>
      <c r="X1391" s="49"/>
      <c r="Y1391" s="35"/>
      <c r="Z1391" s="35"/>
      <c r="AA1391" s="35"/>
      <c r="AB1391" s="35"/>
      <c r="AC1391" s="35"/>
      <c r="AD1391" s="35"/>
      <c r="AE1391" s="35"/>
      <c r="AF1391" s="35"/>
      <c r="AG1391" s="35"/>
      <c r="AH1391" s="35"/>
      <c r="AI1391" s="35"/>
      <c r="AJ1391" s="35"/>
      <c r="AK1391" s="35"/>
      <c r="AL1391" s="35"/>
    </row>
    <row r="1392">
      <c r="A1392" s="1"/>
      <c r="B1392" s="19" t="s">
        <v>7033</v>
      </c>
      <c r="C1392" s="20" t="s">
        <v>7047</v>
      </c>
      <c r="D1392" s="47"/>
      <c r="E1392" s="22" t="s">
        <v>7055</v>
      </c>
      <c r="F1392" s="22" t="s">
        <v>1905</v>
      </c>
      <c r="G1392" s="23">
        <v>2023.0</v>
      </c>
      <c r="H1392" s="22" t="s">
        <v>7056</v>
      </c>
      <c r="I1392" s="24" t="s">
        <v>7057</v>
      </c>
      <c r="J1392" s="22" t="s">
        <v>7058</v>
      </c>
      <c r="K1392" s="22"/>
      <c r="L1392" s="25" t="s">
        <v>7059</v>
      </c>
      <c r="M1392" s="25"/>
      <c r="N1392" s="25" t="s">
        <v>7060</v>
      </c>
      <c r="O1392" s="25"/>
      <c r="P1392" s="27"/>
      <c r="Q1392" s="25"/>
      <c r="R1392" s="25"/>
      <c r="S1392" s="25"/>
      <c r="T1392" s="28" t="s">
        <v>7061</v>
      </c>
      <c r="U1392" s="38" t="s">
        <v>6736</v>
      </c>
      <c r="V1392" s="30"/>
      <c r="W1392" s="49"/>
      <c r="X1392" s="49"/>
      <c r="Y1392" s="35"/>
      <c r="Z1392" s="35"/>
      <c r="AA1392" s="35"/>
      <c r="AB1392" s="35"/>
      <c r="AC1392" s="35"/>
      <c r="AD1392" s="35"/>
      <c r="AE1392" s="35"/>
      <c r="AF1392" s="35"/>
      <c r="AG1392" s="35"/>
      <c r="AH1392" s="35"/>
      <c r="AI1392" s="35"/>
      <c r="AJ1392" s="35"/>
      <c r="AK1392" s="35"/>
      <c r="AL1392" s="35"/>
    </row>
    <row r="1393">
      <c r="A1393" s="1"/>
      <c r="B1393" s="19" t="s">
        <v>7033</v>
      </c>
      <c r="C1393" s="20" t="s">
        <v>7047</v>
      </c>
      <c r="D1393" s="47"/>
      <c r="E1393" s="22" t="s">
        <v>1689</v>
      </c>
      <c r="F1393" s="22" t="s">
        <v>7062</v>
      </c>
      <c r="G1393" s="23">
        <v>2022.0</v>
      </c>
      <c r="H1393" s="22" t="s">
        <v>91</v>
      </c>
      <c r="I1393" s="24" t="s">
        <v>7063</v>
      </c>
      <c r="J1393" s="22" t="s">
        <v>7064</v>
      </c>
      <c r="K1393" s="22" t="s">
        <v>7065</v>
      </c>
      <c r="L1393" s="36" t="s">
        <v>7066</v>
      </c>
      <c r="M1393" s="36"/>
      <c r="N1393" s="36"/>
      <c r="O1393" s="36"/>
      <c r="P1393" s="37"/>
      <c r="Q1393" s="36"/>
      <c r="R1393" s="36"/>
      <c r="S1393" s="36">
        <v>4.0</v>
      </c>
      <c r="T1393" s="28" t="s">
        <v>7067</v>
      </c>
      <c r="U1393" s="29" t="s">
        <v>61</v>
      </c>
      <c r="V1393" s="30"/>
      <c r="W1393" s="49"/>
      <c r="X1393" s="49"/>
      <c r="Y1393" s="35"/>
      <c r="Z1393" s="35"/>
      <c r="AA1393" s="35"/>
      <c r="AB1393" s="35"/>
      <c r="AC1393" s="35"/>
      <c r="AD1393" s="35"/>
      <c r="AE1393" s="35"/>
      <c r="AF1393" s="35"/>
      <c r="AG1393" s="35"/>
      <c r="AH1393" s="35"/>
      <c r="AI1393" s="35"/>
      <c r="AJ1393" s="35"/>
      <c r="AK1393" s="35"/>
      <c r="AL1393" s="35"/>
    </row>
    <row r="1394">
      <c r="A1394" s="1"/>
      <c r="B1394" s="19" t="s">
        <v>7033</v>
      </c>
      <c r="C1394" s="20" t="s">
        <v>7047</v>
      </c>
      <c r="D1394" s="47"/>
      <c r="E1394" s="22" t="s">
        <v>1689</v>
      </c>
      <c r="F1394" s="22" t="s">
        <v>2196</v>
      </c>
      <c r="G1394" s="23">
        <v>2022.0</v>
      </c>
      <c r="H1394" s="22" t="s">
        <v>3292</v>
      </c>
      <c r="I1394" s="24" t="s">
        <v>7068</v>
      </c>
      <c r="J1394" s="22" t="s">
        <v>7069</v>
      </c>
      <c r="K1394" s="22" t="s">
        <v>7070</v>
      </c>
      <c r="L1394" s="36" t="s">
        <v>7071</v>
      </c>
      <c r="M1394" s="36"/>
      <c r="N1394" s="36"/>
      <c r="O1394" s="36"/>
      <c r="P1394" s="37"/>
      <c r="Q1394" s="36"/>
      <c r="R1394" s="36"/>
      <c r="S1394" s="36"/>
      <c r="T1394" s="28" t="s">
        <v>7072</v>
      </c>
      <c r="U1394" s="29" t="s">
        <v>61</v>
      </c>
      <c r="V1394" s="30" t="s">
        <v>174</v>
      </c>
      <c r="W1394" s="49"/>
      <c r="X1394" s="49"/>
      <c r="Y1394" s="35"/>
      <c r="Z1394" s="35"/>
      <c r="AA1394" s="35"/>
      <c r="AB1394" s="35"/>
      <c r="AC1394" s="35"/>
      <c r="AD1394" s="35"/>
      <c r="AE1394" s="35"/>
      <c r="AF1394" s="35"/>
      <c r="AG1394" s="35"/>
      <c r="AH1394" s="35"/>
      <c r="AI1394" s="35"/>
      <c r="AJ1394" s="35"/>
      <c r="AK1394" s="35"/>
      <c r="AL1394" s="35"/>
    </row>
    <row r="1395">
      <c r="A1395" s="1"/>
      <c r="B1395" s="19" t="s">
        <v>7033</v>
      </c>
      <c r="C1395" s="20" t="s">
        <v>7047</v>
      </c>
      <c r="D1395" s="47"/>
      <c r="E1395" s="22" t="s">
        <v>2275</v>
      </c>
      <c r="F1395" s="22" t="s">
        <v>6382</v>
      </c>
      <c r="G1395" s="23">
        <v>2021.0</v>
      </c>
      <c r="H1395" s="22" t="s">
        <v>116</v>
      </c>
      <c r="I1395" s="24" t="s">
        <v>7073</v>
      </c>
      <c r="J1395" s="22" t="s">
        <v>1078</v>
      </c>
      <c r="K1395" s="22"/>
      <c r="L1395" s="167" t="s">
        <v>7074</v>
      </c>
      <c r="M1395" s="44"/>
      <c r="N1395" s="44"/>
      <c r="O1395" s="44"/>
      <c r="P1395" s="44"/>
      <c r="Q1395" s="44"/>
      <c r="R1395" s="44"/>
      <c r="S1395" s="44"/>
      <c r="T1395" s="45"/>
      <c r="U1395" s="29" t="s">
        <v>61</v>
      </c>
      <c r="V1395" s="30"/>
      <c r="W1395" s="49"/>
      <c r="X1395" s="49"/>
      <c r="Y1395" s="35"/>
      <c r="Z1395" s="35"/>
      <c r="AA1395" s="35"/>
      <c r="AB1395" s="35"/>
      <c r="AC1395" s="35"/>
      <c r="AD1395" s="35"/>
      <c r="AE1395" s="35"/>
      <c r="AF1395" s="35"/>
      <c r="AG1395" s="35"/>
      <c r="AH1395" s="35"/>
      <c r="AI1395" s="35"/>
      <c r="AJ1395" s="35"/>
      <c r="AK1395" s="35"/>
      <c r="AL1395" s="35"/>
    </row>
    <row r="1396">
      <c r="A1396" s="1"/>
      <c r="B1396" s="19" t="s">
        <v>7033</v>
      </c>
      <c r="C1396" s="20" t="s">
        <v>7047</v>
      </c>
      <c r="D1396" s="47"/>
      <c r="E1396" s="22" t="s">
        <v>7075</v>
      </c>
      <c r="F1396" s="22" t="s">
        <v>7076</v>
      </c>
      <c r="G1396" s="23">
        <v>2021.0</v>
      </c>
      <c r="H1396" s="22" t="s">
        <v>7041</v>
      </c>
      <c r="I1396" s="24" t="s">
        <v>7077</v>
      </c>
      <c r="J1396" s="22" t="s">
        <v>7078</v>
      </c>
      <c r="K1396" s="22" t="s">
        <v>7079</v>
      </c>
      <c r="L1396" s="36"/>
      <c r="M1396" s="36"/>
      <c r="N1396" s="36"/>
      <c r="O1396" s="36"/>
      <c r="P1396" s="37"/>
      <c r="Q1396" s="36"/>
      <c r="R1396" s="36"/>
      <c r="S1396" s="36" t="s">
        <v>7080</v>
      </c>
      <c r="T1396" s="28" t="s">
        <v>7081</v>
      </c>
      <c r="U1396" s="29" t="s">
        <v>61</v>
      </c>
      <c r="V1396" s="30"/>
      <c r="W1396" s="49"/>
      <c r="X1396" s="49"/>
      <c r="Y1396" s="35"/>
      <c r="Z1396" s="35"/>
      <c r="AA1396" s="35"/>
      <c r="AB1396" s="35"/>
      <c r="AC1396" s="35"/>
      <c r="AD1396" s="35"/>
      <c r="AE1396" s="35"/>
      <c r="AF1396" s="35"/>
      <c r="AG1396" s="35"/>
      <c r="AH1396" s="35"/>
      <c r="AI1396" s="35"/>
      <c r="AJ1396" s="35"/>
      <c r="AK1396" s="35"/>
      <c r="AL1396" s="35"/>
    </row>
    <row r="1397">
      <c r="A1397" s="1"/>
      <c r="B1397" s="19" t="s">
        <v>7033</v>
      </c>
      <c r="C1397" s="20" t="s">
        <v>7047</v>
      </c>
      <c r="D1397" s="47"/>
      <c r="E1397" s="22" t="s">
        <v>7082</v>
      </c>
      <c r="F1397" s="22" t="s">
        <v>2076</v>
      </c>
      <c r="G1397" s="23">
        <v>2021.0</v>
      </c>
      <c r="H1397" s="22" t="s">
        <v>7083</v>
      </c>
      <c r="I1397" s="24" t="s">
        <v>7084</v>
      </c>
      <c r="J1397" s="22" t="s">
        <v>7085</v>
      </c>
      <c r="K1397" s="22"/>
      <c r="L1397" s="36">
        <v>785.0</v>
      </c>
      <c r="M1397" s="36">
        <v>360.0</v>
      </c>
      <c r="N1397" s="36" t="s">
        <v>7086</v>
      </c>
      <c r="O1397" s="36"/>
      <c r="P1397" s="37"/>
      <c r="Q1397" s="36"/>
      <c r="R1397" s="36"/>
      <c r="S1397" s="36" t="s">
        <v>7087</v>
      </c>
      <c r="T1397" s="28" t="s">
        <v>7088</v>
      </c>
      <c r="U1397" s="29" t="s">
        <v>61</v>
      </c>
      <c r="V1397" s="30"/>
      <c r="W1397" s="49"/>
      <c r="X1397" s="49"/>
      <c r="Y1397" s="35"/>
      <c r="Z1397" s="35"/>
      <c r="AA1397" s="35"/>
      <c r="AB1397" s="35"/>
      <c r="AC1397" s="35"/>
      <c r="AD1397" s="35"/>
      <c r="AE1397" s="35"/>
      <c r="AF1397" s="35"/>
      <c r="AG1397" s="35"/>
      <c r="AH1397" s="35"/>
      <c r="AI1397" s="35"/>
      <c r="AJ1397" s="35"/>
      <c r="AK1397" s="35"/>
      <c r="AL1397" s="35"/>
    </row>
    <row r="1398">
      <c r="A1398" s="1"/>
      <c r="B1398" s="19" t="s">
        <v>7033</v>
      </c>
      <c r="C1398" s="20" t="s">
        <v>7047</v>
      </c>
      <c r="D1398" s="47"/>
      <c r="E1398" s="22" t="s">
        <v>7089</v>
      </c>
      <c r="F1398" s="22" t="s">
        <v>41</v>
      </c>
      <c r="G1398" s="23">
        <v>2021.0</v>
      </c>
      <c r="H1398" s="22" t="s">
        <v>2271</v>
      </c>
      <c r="I1398" s="24" t="s">
        <v>7090</v>
      </c>
      <c r="J1398" s="22" t="s">
        <v>649</v>
      </c>
      <c r="K1398" s="22" t="s">
        <v>1725</v>
      </c>
      <c r="L1398" s="43" t="s">
        <v>7091</v>
      </c>
      <c r="M1398" s="44"/>
      <c r="N1398" s="44"/>
      <c r="O1398" s="44"/>
      <c r="P1398" s="44"/>
      <c r="Q1398" s="44"/>
      <c r="R1398" s="44"/>
      <c r="S1398" s="44"/>
      <c r="T1398" s="45"/>
      <c r="U1398" s="29" t="s">
        <v>61</v>
      </c>
      <c r="V1398" s="30"/>
      <c r="W1398" s="49"/>
      <c r="X1398" s="49"/>
      <c r="Y1398" s="35"/>
      <c r="Z1398" s="35"/>
      <c r="AA1398" s="35"/>
      <c r="AB1398" s="35"/>
      <c r="AC1398" s="35"/>
      <c r="AD1398" s="35"/>
      <c r="AE1398" s="35"/>
      <c r="AF1398" s="35"/>
      <c r="AG1398" s="35"/>
      <c r="AH1398" s="35"/>
      <c r="AI1398" s="35"/>
      <c r="AJ1398" s="35"/>
      <c r="AK1398" s="35"/>
      <c r="AL1398" s="35"/>
    </row>
    <row r="1399">
      <c r="A1399" s="1"/>
      <c r="B1399" s="19" t="s">
        <v>7033</v>
      </c>
      <c r="C1399" s="20" t="s">
        <v>7047</v>
      </c>
      <c r="D1399" s="47"/>
      <c r="E1399" s="22" t="s">
        <v>7092</v>
      </c>
      <c r="F1399" s="22" t="s">
        <v>323</v>
      </c>
      <c r="G1399" s="23">
        <v>2021.0</v>
      </c>
      <c r="H1399" s="22" t="s">
        <v>7093</v>
      </c>
      <c r="I1399" s="24" t="s">
        <v>7094</v>
      </c>
      <c r="J1399" s="22" t="s">
        <v>7095</v>
      </c>
      <c r="K1399" s="22" t="s">
        <v>7096</v>
      </c>
      <c r="L1399" s="36" t="s">
        <v>7097</v>
      </c>
      <c r="M1399" s="36"/>
      <c r="N1399" s="36"/>
      <c r="O1399" s="36"/>
      <c r="P1399" s="37" t="s">
        <v>7098</v>
      </c>
      <c r="Q1399" s="36"/>
      <c r="R1399" s="36"/>
      <c r="S1399" s="36" t="s">
        <v>7099</v>
      </c>
      <c r="T1399" s="28" t="s">
        <v>7100</v>
      </c>
      <c r="U1399" s="29" t="s">
        <v>61</v>
      </c>
      <c r="V1399" s="30"/>
      <c r="W1399" s="49"/>
      <c r="X1399" s="49"/>
      <c r="Y1399" s="35"/>
      <c r="Z1399" s="35"/>
      <c r="AA1399" s="35"/>
      <c r="AB1399" s="35"/>
      <c r="AC1399" s="35"/>
      <c r="AD1399" s="35"/>
      <c r="AE1399" s="35"/>
      <c r="AF1399" s="35"/>
      <c r="AG1399" s="35"/>
      <c r="AH1399" s="35"/>
      <c r="AI1399" s="35"/>
      <c r="AJ1399" s="35"/>
      <c r="AK1399" s="35"/>
      <c r="AL1399" s="35"/>
    </row>
    <row r="1400">
      <c r="A1400" s="1"/>
      <c r="B1400" s="19" t="s">
        <v>7033</v>
      </c>
      <c r="C1400" s="20" t="s">
        <v>7047</v>
      </c>
      <c r="D1400" s="47"/>
      <c r="E1400" s="22" t="s">
        <v>7101</v>
      </c>
      <c r="F1400" s="22" t="s">
        <v>332</v>
      </c>
      <c r="G1400" s="23">
        <v>2021.0</v>
      </c>
      <c r="H1400" s="22" t="s">
        <v>77</v>
      </c>
      <c r="I1400" s="24" t="s">
        <v>7102</v>
      </c>
      <c r="J1400" s="22" t="s">
        <v>7103</v>
      </c>
      <c r="K1400" s="22" t="s">
        <v>7104</v>
      </c>
      <c r="L1400" s="36" t="s">
        <v>7105</v>
      </c>
      <c r="M1400" s="36"/>
      <c r="N1400" s="36"/>
      <c r="O1400" s="36"/>
      <c r="P1400" s="37"/>
      <c r="Q1400" s="36"/>
      <c r="R1400" s="36"/>
      <c r="S1400" s="36" t="s">
        <v>6552</v>
      </c>
      <c r="T1400" s="28" t="s">
        <v>7106</v>
      </c>
      <c r="U1400" s="29" t="s">
        <v>61</v>
      </c>
      <c r="V1400" s="30"/>
      <c r="W1400" s="49"/>
      <c r="X1400" s="49"/>
      <c r="Y1400" s="35"/>
      <c r="Z1400" s="35"/>
      <c r="AA1400" s="35"/>
      <c r="AB1400" s="35"/>
      <c r="AC1400" s="35"/>
      <c r="AD1400" s="35"/>
      <c r="AE1400" s="35"/>
      <c r="AF1400" s="35"/>
      <c r="AG1400" s="35"/>
      <c r="AH1400" s="35"/>
      <c r="AI1400" s="35"/>
      <c r="AJ1400" s="35"/>
      <c r="AK1400" s="35"/>
      <c r="AL1400" s="35"/>
    </row>
    <row r="1401">
      <c r="A1401" s="1"/>
      <c r="B1401" s="19" t="s">
        <v>7033</v>
      </c>
      <c r="C1401" s="20" t="s">
        <v>7047</v>
      </c>
      <c r="D1401" s="47"/>
      <c r="E1401" s="22" t="s">
        <v>7107</v>
      </c>
      <c r="F1401" s="22" t="s">
        <v>2214</v>
      </c>
      <c r="G1401" s="23">
        <v>2021.0</v>
      </c>
      <c r="H1401" s="22" t="s">
        <v>53</v>
      </c>
      <c r="I1401" s="24" t="s">
        <v>7108</v>
      </c>
      <c r="J1401" s="22" t="s">
        <v>7109</v>
      </c>
      <c r="K1401" s="22" t="s">
        <v>7110</v>
      </c>
      <c r="L1401" s="36" t="s">
        <v>7111</v>
      </c>
      <c r="M1401" s="36"/>
      <c r="N1401" s="36"/>
      <c r="O1401" s="36"/>
      <c r="P1401" s="37"/>
      <c r="Q1401" s="36"/>
      <c r="R1401" s="36"/>
      <c r="S1401" s="36" t="s">
        <v>7112</v>
      </c>
      <c r="T1401" s="28" t="s">
        <v>7113</v>
      </c>
      <c r="U1401" s="29" t="s">
        <v>61</v>
      </c>
      <c r="V1401" s="30"/>
      <c r="W1401" s="49"/>
      <c r="X1401" s="49"/>
      <c r="Y1401" s="35"/>
      <c r="Z1401" s="35"/>
      <c r="AA1401" s="35"/>
      <c r="AB1401" s="35"/>
      <c r="AC1401" s="35"/>
      <c r="AD1401" s="35"/>
      <c r="AE1401" s="35"/>
      <c r="AF1401" s="35"/>
      <c r="AG1401" s="35"/>
      <c r="AH1401" s="35"/>
      <c r="AI1401" s="35"/>
      <c r="AJ1401" s="35"/>
      <c r="AK1401" s="35"/>
      <c r="AL1401" s="35"/>
    </row>
    <row r="1402">
      <c r="A1402" s="1"/>
      <c r="B1402" s="19" t="s">
        <v>7033</v>
      </c>
      <c r="C1402" s="20" t="s">
        <v>7047</v>
      </c>
      <c r="D1402" s="47"/>
      <c r="E1402" s="22" t="s">
        <v>7114</v>
      </c>
      <c r="F1402" s="22" t="s">
        <v>7115</v>
      </c>
      <c r="G1402" s="23">
        <v>2019.0</v>
      </c>
      <c r="H1402" s="22" t="s">
        <v>6948</v>
      </c>
      <c r="I1402" s="24" t="s">
        <v>7116</v>
      </c>
      <c r="J1402" s="22" t="s">
        <v>7117</v>
      </c>
      <c r="K1402" s="22" t="s">
        <v>56</v>
      </c>
      <c r="L1402" s="36" t="s">
        <v>7118</v>
      </c>
      <c r="M1402" s="36"/>
      <c r="N1402" s="36"/>
      <c r="O1402" s="36"/>
      <c r="P1402" s="37"/>
      <c r="Q1402" s="36"/>
      <c r="R1402" s="36"/>
      <c r="S1402" s="36" t="s">
        <v>2688</v>
      </c>
      <c r="T1402" s="28" t="s">
        <v>7119</v>
      </c>
      <c r="U1402" s="38" t="str">
        <f>HYPERLINK("https://www.ncbi.nlm.nih.gov/pubmed/31320979","PubMed")</f>
        <v>PubMed</v>
      </c>
      <c r="V1402" s="30"/>
      <c r="W1402" s="49"/>
      <c r="X1402" s="49"/>
      <c r="Y1402" s="35"/>
      <c r="Z1402" s="35"/>
      <c r="AA1402" s="35"/>
      <c r="AB1402" s="35"/>
      <c r="AC1402" s="35"/>
      <c r="AD1402" s="35"/>
      <c r="AE1402" s="35"/>
      <c r="AF1402" s="35"/>
      <c r="AG1402" s="35"/>
      <c r="AH1402" s="35"/>
      <c r="AI1402" s="35"/>
      <c r="AJ1402" s="35"/>
      <c r="AK1402" s="35"/>
      <c r="AL1402" s="35"/>
    </row>
    <row r="1403">
      <c r="A1403" s="1"/>
      <c r="B1403" s="19" t="s">
        <v>7033</v>
      </c>
      <c r="C1403" s="20" t="s">
        <v>7047</v>
      </c>
      <c r="D1403" s="47"/>
      <c r="E1403" s="22" t="s">
        <v>7120</v>
      </c>
      <c r="F1403" s="22" t="s">
        <v>7121</v>
      </c>
      <c r="G1403" s="23">
        <v>2018.0</v>
      </c>
      <c r="H1403" s="22" t="s">
        <v>7122</v>
      </c>
      <c r="I1403" s="24" t="s">
        <v>7123</v>
      </c>
      <c r="J1403" s="22" t="s">
        <v>7124</v>
      </c>
      <c r="K1403" s="22" t="s">
        <v>7044</v>
      </c>
      <c r="L1403" s="36" t="s">
        <v>7125</v>
      </c>
      <c r="M1403" s="36"/>
      <c r="N1403" s="36"/>
      <c r="O1403" s="36"/>
      <c r="P1403" s="37"/>
      <c r="Q1403" s="36"/>
      <c r="R1403" s="36"/>
      <c r="S1403" s="36" t="s">
        <v>2688</v>
      </c>
      <c r="T1403" s="28" t="s">
        <v>7126</v>
      </c>
      <c r="U1403" s="29" t="s">
        <v>61</v>
      </c>
      <c r="V1403" s="30"/>
      <c r="W1403" s="49"/>
      <c r="X1403" s="49"/>
      <c r="Y1403" s="35"/>
      <c r="Z1403" s="35"/>
      <c r="AA1403" s="35"/>
      <c r="AB1403" s="35"/>
      <c r="AC1403" s="35"/>
      <c r="AD1403" s="35"/>
      <c r="AE1403" s="35"/>
      <c r="AF1403" s="35"/>
      <c r="AG1403" s="35"/>
      <c r="AH1403" s="35"/>
      <c r="AI1403" s="35"/>
      <c r="AJ1403" s="35"/>
      <c r="AK1403" s="35"/>
      <c r="AL1403" s="35"/>
    </row>
    <row r="1404">
      <c r="A1404" s="1"/>
      <c r="B1404" s="19" t="s">
        <v>7033</v>
      </c>
      <c r="C1404" s="20" t="s">
        <v>7047</v>
      </c>
      <c r="D1404" s="47"/>
      <c r="E1404" s="22" t="s">
        <v>7127</v>
      </c>
      <c r="F1404" s="22" t="s">
        <v>41</v>
      </c>
      <c r="G1404" s="23">
        <v>2017.0</v>
      </c>
      <c r="H1404" s="22" t="s">
        <v>169</v>
      </c>
      <c r="I1404" s="24" t="s">
        <v>7128</v>
      </c>
      <c r="J1404" s="22" t="s">
        <v>7129</v>
      </c>
      <c r="K1404" s="22" t="s">
        <v>7130</v>
      </c>
      <c r="L1404" s="36" t="s">
        <v>7131</v>
      </c>
      <c r="M1404" s="36"/>
      <c r="N1404" s="36"/>
      <c r="O1404" s="36"/>
      <c r="P1404" s="37"/>
      <c r="Q1404" s="36"/>
      <c r="R1404" s="36"/>
      <c r="S1404" s="36" t="s">
        <v>7132</v>
      </c>
      <c r="T1404" s="28" t="s">
        <v>7133</v>
      </c>
      <c r="U1404" s="38" t="str">
        <f>HYPERLINK("https://www.ncbi.nlm.nih.gov/pubmed/27762647","PubMed")</f>
        <v>PubMed</v>
      </c>
      <c r="V1404" s="30"/>
      <c r="W1404" s="49"/>
      <c r="X1404" s="49"/>
      <c r="Y1404" s="35"/>
      <c r="Z1404" s="35"/>
      <c r="AA1404" s="35"/>
      <c r="AB1404" s="35"/>
      <c r="AC1404" s="35"/>
      <c r="AD1404" s="35"/>
      <c r="AE1404" s="35"/>
      <c r="AF1404" s="35"/>
      <c r="AG1404" s="35"/>
      <c r="AH1404" s="35"/>
      <c r="AI1404" s="35"/>
      <c r="AJ1404" s="35"/>
      <c r="AK1404" s="35"/>
      <c r="AL1404" s="35"/>
    </row>
    <row r="1405">
      <c r="A1405" s="1"/>
      <c r="B1405" s="19" t="s">
        <v>7033</v>
      </c>
      <c r="C1405" s="20" t="s">
        <v>7047</v>
      </c>
      <c r="D1405" s="47"/>
      <c r="E1405" s="22" t="s">
        <v>1689</v>
      </c>
      <c r="F1405" s="22" t="s">
        <v>7134</v>
      </c>
      <c r="G1405" s="23">
        <v>2017.0</v>
      </c>
      <c r="H1405" s="22" t="s">
        <v>53</v>
      </c>
      <c r="I1405" s="24" t="s">
        <v>7135</v>
      </c>
      <c r="J1405" s="22" t="s">
        <v>31</v>
      </c>
      <c r="K1405" s="22" t="s">
        <v>157</v>
      </c>
      <c r="L1405" s="36">
        <v>637.0</v>
      </c>
      <c r="M1405" s="36"/>
      <c r="N1405" s="36"/>
      <c r="O1405" s="36"/>
      <c r="P1405" s="37"/>
      <c r="Q1405" s="36"/>
      <c r="R1405" s="36"/>
      <c r="S1405" s="36"/>
      <c r="T1405" s="28" t="s">
        <v>7136</v>
      </c>
      <c r="U1405" s="38" t="str">
        <f>HYPERLINK("https://www.ncbi.nlm.nih.gov/pubmed/29095531","PubMed")</f>
        <v>PubMed</v>
      </c>
      <c r="V1405" s="30"/>
      <c r="W1405" s="49"/>
      <c r="X1405" s="49"/>
      <c r="Y1405" s="35"/>
      <c r="Z1405" s="35"/>
      <c r="AA1405" s="35"/>
      <c r="AB1405" s="35"/>
      <c r="AC1405" s="35"/>
      <c r="AD1405" s="35"/>
      <c r="AE1405" s="35"/>
      <c r="AF1405" s="35"/>
      <c r="AG1405" s="35"/>
      <c r="AH1405" s="35"/>
      <c r="AI1405" s="35"/>
      <c r="AJ1405" s="35"/>
      <c r="AK1405" s="35"/>
      <c r="AL1405" s="35"/>
    </row>
    <row r="1406">
      <c r="A1406" s="1"/>
      <c r="B1406" s="19" t="s">
        <v>7033</v>
      </c>
      <c r="C1406" s="20" t="s">
        <v>7047</v>
      </c>
      <c r="D1406" s="47"/>
      <c r="E1406" s="22" t="s">
        <v>6962</v>
      </c>
      <c r="F1406" s="22" t="s">
        <v>6963</v>
      </c>
      <c r="G1406" s="23">
        <v>2016.0</v>
      </c>
      <c r="H1406" s="22" t="s">
        <v>6948</v>
      </c>
      <c r="I1406" s="24" t="s">
        <v>7137</v>
      </c>
      <c r="J1406" s="22" t="s">
        <v>7138</v>
      </c>
      <c r="K1406" s="22" t="s">
        <v>7139</v>
      </c>
      <c r="L1406" s="36" t="s">
        <v>7140</v>
      </c>
      <c r="M1406" s="36"/>
      <c r="N1406" s="36"/>
      <c r="O1406" s="36"/>
      <c r="P1406" s="37"/>
      <c r="Q1406" s="36"/>
      <c r="R1406" s="36"/>
      <c r="S1406" s="36"/>
      <c r="T1406" s="28" t="s">
        <v>7141</v>
      </c>
      <c r="U1406" s="29" t="s">
        <v>61</v>
      </c>
      <c r="V1406" s="30" t="s">
        <v>7142</v>
      </c>
      <c r="W1406" s="49"/>
      <c r="X1406" s="49"/>
      <c r="Y1406" s="35"/>
      <c r="Z1406" s="35"/>
      <c r="AA1406" s="35"/>
      <c r="AB1406" s="35"/>
      <c r="AC1406" s="35"/>
      <c r="AD1406" s="35"/>
      <c r="AE1406" s="35"/>
      <c r="AF1406" s="35"/>
      <c r="AG1406" s="35"/>
      <c r="AH1406" s="35"/>
      <c r="AI1406" s="35"/>
      <c r="AJ1406" s="35"/>
      <c r="AK1406" s="35"/>
      <c r="AL1406" s="35"/>
    </row>
    <row r="1407">
      <c r="A1407" s="1"/>
      <c r="B1407" s="19" t="s">
        <v>7033</v>
      </c>
      <c r="C1407" s="20" t="s">
        <v>7047</v>
      </c>
      <c r="D1407" s="47"/>
      <c r="E1407" s="22" t="s">
        <v>7143</v>
      </c>
      <c r="F1407" s="22" t="s">
        <v>7144</v>
      </c>
      <c r="G1407" s="23">
        <v>2016.0</v>
      </c>
      <c r="H1407" s="22" t="s">
        <v>7122</v>
      </c>
      <c r="I1407" s="24" t="s">
        <v>7145</v>
      </c>
      <c r="J1407" s="22" t="s">
        <v>7146</v>
      </c>
      <c r="K1407" s="22" t="s">
        <v>7044</v>
      </c>
      <c r="L1407" s="36" t="s">
        <v>7147</v>
      </c>
      <c r="M1407" s="36"/>
      <c r="N1407" s="36"/>
      <c r="O1407" s="36"/>
      <c r="P1407" s="37"/>
      <c r="Q1407" s="36"/>
      <c r="R1407" s="36"/>
      <c r="S1407" s="36" t="s">
        <v>2688</v>
      </c>
      <c r="T1407" s="28" t="s">
        <v>7148</v>
      </c>
      <c r="U1407" s="29" t="s">
        <v>61</v>
      </c>
      <c r="V1407" s="30"/>
      <c r="W1407" s="49"/>
      <c r="X1407" s="49"/>
      <c r="Y1407" s="35"/>
      <c r="Z1407" s="35"/>
      <c r="AA1407" s="35"/>
      <c r="AB1407" s="35"/>
      <c r="AC1407" s="35"/>
      <c r="AD1407" s="35"/>
      <c r="AE1407" s="35"/>
      <c r="AF1407" s="35"/>
      <c r="AG1407" s="35"/>
      <c r="AH1407" s="35"/>
      <c r="AI1407" s="35"/>
      <c r="AJ1407" s="35"/>
      <c r="AK1407" s="35"/>
      <c r="AL1407" s="35"/>
    </row>
    <row r="1408">
      <c r="A1408" s="1"/>
      <c r="B1408" s="19" t="s">
        <v>7033</v>
      </c>
      <c r="C1408" s="20" t="s">
        <v>7047</v>
      </c>
      <c r="D1408" s="47"/>
      <c r="E1408" s="22" t="s">
        <v>493</v>
      </c>
      <c r="F1408" s="22" t="s">
        <v>4266</v>
      </c>
      <c r="G1408" s="23">
        <v>2016.0</v>
      </c>
      <c r="H1408" s="22" t="s">
        <v>7149</v>
      </c>
      <c r="I1408" s="24" t="s">
        <v>7150</v>
      </c>
      <c r="J1408" s="22" t="s">
        <v>44</v>
      </c>
      <c r="K1408" s="22" t="s">
        <v>294</v>
      </c>
      <c r="L1408" s="36" t="s">
        <v>7151</v>
      </c>
      <c r="M1408" s="36"/>
      <c r="N1408" s="36"/>
      <c r="O1408" s="36"/>
      <c r="P1408" s="37"/>
      <c r="Q1408" s="36"/>
      <c r="R1408" s="36"/>
      <c r="S1408" s="36"/>
      <c r="T1408" s="28" t="s">
        <v>7152</v>
      </c>
      <c r="U1408" s="38" t="str">
        <f>HYPERLINK("https://www.ncbi.nlm.nih.gov/pubmed/27081265","PubMed")</f>
        <v>PubMed</v>
      </c>
      <c r="V1408" s="30"/>
      <c r="W1408" s="49"/>
      <c r="X1408" s="49"/>
      <c r="Y1408" s="35"/>
      <c r="Z1408" s="35"/>
      <c r="AA1408" s="35"/>
      <c r="AB1408" s="35"/>
      <c r="AC1408" s="35"/>
      <c r="AD1408" s="35"/>
      <c r="AE1408" s="35"/>
      <c r="AF1408" s="35"/>
      <c r="AG1408" s="35"/>
      <c r="AH1408" s="35"/>
      <c r="AI1408" s="35"/>
      <c r="AJ1408" s="35"/>
      <c r="AK1408" s="35"/>
      <c r="AL1408" s="35"/>
    </row>
    <row r="1409">
      <c r="A1409" s="1"/>
      <c r="B1409" s="19" t="s">
        <v>7033</v>
      </c>
      <c r="C1409" s="20" t="s">
        <v>7047</v>
      </c>
      <c r="D1409" s="47"/>
      <c r="E1409" s="22" t="s">
        <v>7153</v>
      </c>
      <c r="F1409" s="22" t="s">
        <v>5223</v>
      </c>
      <c r="G1409" s="23">
        <v>2015.0</v>
      </c>
      <c r="H1409" s="22" t="s">
        <v>169</v>
      </c>
      <c r="I1409" s="24" t="s">
        <v>7154</v>
      </c>
      <c r="J1409" s="22" t="s">
        <v>2036</v>
      </c>
      <c r="K1409" s="22"/>
      <c r="L1409" s="236"/>
      <c r="M1409" s="44"/>
      <c r="N1409" s="44"/>
      <c r="O1409" s="44"/>
      <c r="P1409" s="44"/>
      <c r="Q1409" s="44"/>
      <c r="R1409" s="44"/>
      <c r="S1409" s="44"/>
      <c r="T1409" s="45"/>
      <c r="U1409" s="38" t="str">
        <f>HYPERLINK("https://www.ncbi.nlm.nih.gov/pubmed/25415371","PubMed")</f>
        <v>PubMed</v>
      </c>
      <c r="V1409" s="30"/>
      <c r="W1409" s="49"/>
      <c r="X1409" s="49"/>
      <c r="Y1409" s="35"/>
      <c r="Z1409" s="35"/>
      <c r="AA1409" s="35"/>
      <c r="AB1409" s="35"/>
      <c r="AC1409" s="35"/>
      <c r="AD1409" s="35"/>
      <c r="AE1409" s="35"/>
      <c r="AF1409" s="35"/>
      <c r="AG1409" s="35"/>
      <c r="AH1409" s="35"/>
      <c r="AI1409" s="35"/>
      <c r="AJ1409" s="35"/>
      <c r="AK1409" s="35"/>
      <c r="AL1409" s="35"/>
    </row>
    <row r="1410">
      <c r="A1410" s="1"/>
      <c r="B1410" s="19" t="s">
        <v>7033</v>
      </c>
      <c r="C1410" s="20" t="s">
        <v>7047</v>
      </c>
      <c r="D1410" s="47"/>
      <c r="E1410" s="22" t="s">
        <v>7155</v>
      </c>
      <c r="F1410" s="22" t="s">
        <v>7156</v>
      </c>
      <c r="G1410" s="23">
        <v>2015.0</v>
      </c>
      <c r="H1410" s="22" t="s">
        <v>7157</v>
      </c>
      <c r="I1410" s="24" t="s">
        <v>7158</v>
      </c>
      <c r="J1410" s="22" t="s">
        <v>31</v>
      </c>
      <c r="K1410" s="22" t="s">
        <v>7159</v>
      </c>
      <c r="L1410" s="94" t="s">
        <v>7160</v>
      </c>
      <c r="M1410" s="94"/>
      <c r="N1410" s="94"/>
      <c r="O1410" s="94"/>
      <c r="P1410" s="94"/>
      <c r="Q1410" s="94"/>
      <c r="R1410" s="94"/>
      <c r="S1410" s="94"/>
      <c r="T1410" s="54" t="s">
        <v>7161</v>
      </c>
      <c r="U1410" s="38" t="str">
        <f>HYPERLINK("https://www.ncbi.nlm.nih.gov/pubmed/25690162","PubMed")</f>
        <v>PubMed</v>
      </c>
      <c r="V1410" s="30"/>
      <c r="W1410" s="49"/>
      <c r="X1410" s="49"/>
      <c r="Y1410" s="35"/>
      <c r="Z1410" s="35"/>
      <c r="AA1410" s="35"/>
      <c r="AB1410" s="35"/>
      <c r="AC1410" s="35"/>
      <c r="AD1410" s="35"/>
      <c r="AE1410" s="35"/>
      <c r="AF1410" s="35"/>
      <c r="AG1410" s="35"/>
      <c r="AH1410" s="35"/>
      <c r="AI1410" s="35"/>
      <c r="AJ1410" s="35"/>
      <c r="AK1410" s="35"/>
      <c r="AL1410" s="35"/>
    </row>
    <row r="1411">
      <c r="A1411" s="1"/>
      <c r="B1411" s="19" t="s">
        <v>7033</v>
      </c>
      <c r="C1411" s="20" t="s">
        <v>7047</v>
      </c>
      <c r="D1411" s="47"/>
      <c r="E1411" s="22" t="s">
        <v>493</v>
      </c>
      <c r="F1411" s="22" t="s">
        <v>299</v>
      </c>
      <c r="G1411" s="23">
        <v>2014.0</v>
      </c>
      <c r="H1411" s="22" t="s">
        <v>7149</v>
      </c>
      <c r="I1411" s="24" t="s">
        <v>7162</v>
      </c>
      <c r="J1411" s="22" t="s">
        <v>31</v>
      </c>
      <c r="K1411" s="22" t="s">
        <v>7163</v>
      </c>
      <c r="L1411" s="36" t="s">
        <v>7164</v>
      </c>
      <c r="M1411" s="36"/>
      <c r="N1411" s="36"/>
      <c r="O1411" s="36"/>
      <c r="P1411" s="37" t="s">
        <v>7165</v>
      </c>
      <c r="Q1411" s="36"/>
      <c r="R1411" s="36"/>
      <c r="S1411" s="36"/>
      <c r="T1411" s="28" t="s">
        <v>7166</v>
      </c>
      <c r="U1411" s="29" t="s">
        <v>61</v>
      </c>
      <c r="V1411" s="30"/>
      <c r="W1411" s="49"/>
      <c r="X1411" s="49"/>
      <c r="Y1411" s="35"/>
      <c r="Z1411" s="35"/>
      <c r="AA1411" s="35"/>
      <c r="AB1411" s="35"/>
      <c r="AC1411" s="35"/>
      <c r="AD1411" s="35"/>
      <c r="AE1411" s="35"/>
      <c r="AF1411" s="35"/>
      <c r="AG1411" s="35"/>
      <c r="AH1411" s="35"/>
      <c r="AI1411" s="35"/>
      <c r="AJ1411" s="35"/>
      <c r="AK1411" s="35"/>
      <c r="AL1411" s="35"/>
    </row>
    <row r="1412">
      <c r="A1412" s="1"/>
      <c r="B1412" s="19" t="s">
        <v>7033</v>
      </c>
      <c r="C1412" s="20" t="s">
        <v>7047</v>
      </c>
      <c r="D1412" s="47"/>
      <c r="E1412" s="22" t="s">
        <v>6994</v>
      </c>
      <c r="F1412" s="22" t="s">
        <v>6995</v>
      </c>
      <c r="G1412" s="23">
        <v>2014.0</v>
      </c>
      <c r="H1412" s="22" t="s">
        <v>169</v>
      </c>
      <c r="I1412" s="24" t="s">
        <v>7167</v>
      </c>
      <c r="J1412" s="22" t="s">
        <v>7168</v>
      </c>
      <c r="K1412" s="22"/>
      <c r="L1412" s="36" t="s">
        <v>7169</v>
      </c>
      <c r="M1412" s="36"/>
      <c r="N1412" s="36"/>
      <c r="O1412" s="36"/>
      <c r="P1412" s="37"/>
      <c r="Q1412" s="36"/>
      <c r="R1412" s="36"/>
      <c r="S1412" s="36" t="s">
        <v>2099</v>
      </c>
      <c r="T1412" s="28" t="s">
        <v>7170</v>
      </c>
      <c r="U1412" s="38" t="s">
        <v>61</v>
      </c>
      <c r="V1412" s="30"/>
      <c r="W1412" s="49"/>
      <c r="X1412" s="49"/>
      <c r="Y1412" s="35"/>
      <c r="Z1412" s="35"/>
      <c r="AA1412" s="35"/>
      <c r="AB1412" s="35"/>
      <c r="AC1412" s="35"/>
      <c r="AD1412" s="35"/>
      <c r="AE1412" s="35"/>
      <c r="AF1412" s="35"/>
      <c r="AG1412" s="35"/>
      <c r="AH1412" s="35"/>
      <c r="AI1412" s="35"/>
      <c r="AJ1412" s="35"/>
      <c r="AK1412" s="35"/>
      <c r="AL1412" s="35"/>
    </row>
    <row r="1413">
      <c r="A1413" s="1"/>
      <c r="B1413" s="19" t="s">
        <v>7033</v>
      </c>
      <c r="C1413" s="20" t="s">
        <v>7047</v>
      </c>
      <c r="D1413" s="47"/>
      <c r="E1413" s="22" t="s">
        <v>216</v>
      </c>
      <c r="F1413" s="22" t="s">
        <v>224</v>
      </c>
      <c r="G1413" s="23">
        <v>2014.0</v>
      </c>
      <c r="H1413" s="22" t="s">
        <v>3292</v>
      </c>
      <c r="I1413" s="24" t="s">
        <v>7171</v>
      </c>
      <c r="J1413" s="22" t="s">
        <v>7172</v>
      </c>
      <c r="K1413" s="22" t="s">
        <v>7173</v>
      </c>
      <c r="L1413" s="36" t="s">
        <v>7174</v>
      </c>
      <c r="M1413" s="36"/>
      <c r="N1413" s="36"/>
      <c r="O1413" s="36"/>
      <c r="P1413" s="37"/>
      <c r="Q1413" s="36"/>
      <c r="R1413" s="36"/>
      <c r="S1413" s="36" t="s">
        <v>7175</v>
      </c>
      <c r="T1413" s="28" t="s">
        <v>7176</v>
      </c>
      <c r="U1413" s="38" t="str">
        <f>HYPERLINK("https://www.ncbi.nlm.nih.gov/pubmed/24313686","PubMed")</f>
        <v>PubMed</v>
      </c>
      <c r="V1413" s="30"/>
      <c r="W1413" s="49"/>
      <c r="X1413" s="49"/>
      <c r="Y1413" s="35"/>
      <c r="Z1413" s="35"/>
      <c r="AA1413" s="35"/>
      <c r="AB1413" s="35"/>
      <c r="AC1413" s="35"/>
      <c r="AD1413" s="35"/>
      <c r="AE1413" s="35"/>
      <c r="AF1413" s="35"/>
      <c r="AG1413" s="35"/>
      <c r="AH1413" s="35"/>
      <c r="AI1413" s="35"/>
      <c r="AJ1413" s="35"/>
      <c r="AK1413" s="35"/>
      <c r="AL1413" s="35"/>
    </row>
    <row r="1414">
      <c r="A1414" s="1"/>
      <c r="B1414" s="19" t="s">
        <v>7033</v>
      </c>
      <c r="C1414" s="20" t="s">
        <v>7047</v>
      </c>
      <c r="D1414" s="47"/>
      <c r="E1414" s="22" t="s">
        <v>992</v>
      </c>
      <c r="F1414" s="22" t="s">
        <v>7177</v>
      </c>
      <c r="G1414" s="23">
        <v>2013.0</v>
      </c>
      <c r="H1414" s="22" t="s">
        <v>7178</v>
      </c>
      <c r="I1414" s="24" t="s">
        <v>7179</v>
      </c>
      <c r="J1414" s="22" t="s">
        <v>7180</v>
      </c>
      <c r="K1414" s="22" t="s">
        <v>7181</v>
      </c>
      <c r="L1414" s="36">
        <v>635.0</v>
      </c>
      <c r="M1414" s="36"/>
      <c r="N1414" s="36" t="s">
        <v>2692</v>
      </c>
      <c r="O1414" s="36"/>
      <c r="P1414" s="37" t="s">
        <v>846</v>
      </c>
      <c r="Q1414" s="36"/>
      <c r="R1414" s="36">
        <v>540.0</v>
      </c>
      <c r="S1414" s="36" t="s">
        <v>7182</v>
      </c>
      <c r="T1414" s="42" t="s">
        <v>7183</v>
      </c>
      <c r="U1414" s="29" t="s">
        <v>61</v>
      </c>
      <c r="V1414" s="30"/>
      <c r="W1414" s="49"/>
      <c r="X1414" s="49"/>
      <c r="Y1414" s="35"/>
      <c r="Z1414" s="35"/>
      <c r="AA1414" s="35"/>
      <c r="AB1414" s="35"/>
      <c r="AC1414" s="35"/>
      <c r="AD1414" s="35"/>
      <c r="AE1414" s="35"/>
      <c r="AF1414" s="35"/>
      <c r="AG1414" s="35"/>
      <c r="AH1414" s="35"/>
      <c r="AI1414" s="35"/>
      <c r="AJ1414" s="35"/>
      <c r="AK1414" s="35"/>
      <c r="AL1414" s="35"/>
    </row>
    <row r="1415">
      <c r="A1415" s="40" t="s">
        <v>2</v>
      </c>
      <c r="B1415" s="19" t="s">
        <v>7033</v>
      </c>
      <c r="C1415" s="20" t="s">
        <v>7047</v>
      </c>
      <c r="D1415" s="47"/>
      <c r="E1415" s="22" t="s">
        <v>7184</v>
      </c>
      <c r="F1415" s="22" t="s">
        <v>299</v>
      </c>
      <c r="G1415" s="23">
        <v>2013.0</v>
      </c>
      <c r="H1415" s="22" t="s">
        <v>6426</v>
      </c>
      <c r="I1415" s="24" t="s">
        <v>7185</v>
      </c>
      <c r="J1415" s="22" t="s">
        <v>7186</v>
      </c>
      <c r="K1415" s="22" t="s">
        <v>7187</v>
      </c>
      <c r="L1415" s="36" t="s">
        <v>7188</v>
      </c>
      <c r="M1415" s="36"/>
      <c r="N1415" s="36" t="s">
        <v>7189</v>
      </c>
      <c r="O1415" s="36"/>
      <c r="P1415" s="37" t="s">
        <v>7190</v>
      </c>
      <c r="Q1415" s="36"/>
      <c r="R1415" s="36" t="s">
        <v>7191</v>
      </c>
      <c r="S1415" s="36" t="s">
        <v>2489</v>
      </c>
      <c r="T1415" s="28" t="s">
        <v>7192</v>
      </c>
      <c r="U1415" s="38" t="str">
        <f>HYPERLINK("https://www.ncbi.nlm.nih.gov/pubmed/23278295","PubMed")</f>
        <v>PubMed</v>
      </c>
      <c r="V1415" s="30"/>
      <c r="W1415" s="49"/>
      <c r="X1415" s="49"/>
      <c r="Y1415" s="35"/>
      <c r="Z1415" s="35"/>
      <c r="AA1415" s="35"/>
      <c r="AB1415" s="35"/>
      <c r="AC1415" s="35"/>
      <c r="AD1415" s="35"/>
      <c r="AE1415" s="35"/>
      <c r="AF1415" s="35"/>
      <c r="AG1415" s="35"/>
      <c r="AH1415" s="35"/>
      <c r="AI1415" s="35"/>
      <c r="AJ1415" s="35"/>
      <c r="AK1415" s="35"/>
      <c r="AL1415" s="35"/>
    </row>
    <row r="1416">
      <c r="A1416" s="1"/>
      <c r="B1416" s="19" t="s">
        <v>7033</v>
      </c>
      <c r="C1416" s="20" t="s">
        <v>7047</v>
      </c>
      <c r="D1416" s="47"/>
      <c r="E1416" s="22" t="s">
        <v>7193</v>
      </c>
      <c r="F1416" s="22" t="s">
        <v>323</v>
      </c>
      <c r="G1416" s="23">
        <v>2012.0</v>
      </c>
      <c r="H1416" s="22" t="s">
        <v>7194</v>
      </c>
      <c r="I1416" s="24" t="s">
        <v>7195</v>
      </c>
      <c r="J1416" s="22" t="s">
        <v>7196</v>
      </c>
      <c r="K1416" s="22" t="s">
        <v>7197</v>
      </c>
      <c r="L1416" s="36" t="s">
        <v>7198</v>
      </c>
      <c r="M1416" s="36" t="s">
        <v>132</v>
      </c>
      <c r="N1416" s="36"/>
      <c r="O1416" s="36"/>
      <c r="P1416" s="37" t="s">
        <v>7199</v>
      </c>
      <c r="Q1416" s="36"/>
      <c r="R1416" s="36"/>
      <c r="S1416" s="36" t="s">
        <v>2688</v>
      </c>
      <c r="T1416" s="28" t="s">
        <v>7200</v>
      </c>
      <c r="U1416" s="38" t="str">
        <f>HYPERLINK("https://www.ncbi.nlm.nih.gov/pubmed/22615511","PubMed")</f>
        <v>PubMed</v>
      </c>
      <c r="V1416" s="30"/>
      <c r="W1416" s="49"/>
      <c r="X1416" s="49"/>
      <c r="Y1416" s="35"/>
      <c r="Z1416" s="35"/>
      <c r="AA1416" s="35"/>
      <c r="AB1416" s="35"/>
      <c r="AC1416" s="35"/>
      <c r="AD1416" s="35"/>
      <c r="AE1416" s="35"/>
      <c r="AF1416" s="35"/>
      <c r="AG1416" s="35"/>
      <c r="AH1416" s="35"/>
      <c r="AI1416" s="35"/>
      <c r="AJ1416" s="35"/>
      <c r="AK1416" s="35"/>
      <c r="AL1416" s="35"/>
    </row>
    <row r="1417">
      <c r="A1417" s="1"/>
      <c r="B1417" s="19" t="s">
        <v>7033</v>
      </c>
      <c r="C1417" s="20" t="s">
        <v>7047</v>
      </c>
      <c r="D1417" s="47"/>
      <c r="E1417" s="22" t="s">
        <v>7201</v>
      </c>
      <c r="F1417" s="22" t="s">
        <v>7202</v>
      </c>
      <c r="G1417" s="23">
        <v>2011.0</v>
      </c>
      <c r="H1417" s="22" t="s">
        <v>6426</v>
      </c>
      <c r="I1417" s="24" t="s">
        <v>7203</v>
      </c>
      <c r="J1417" s="22" t="s">
        <v>7204</v>
      </c>
      <c r="K1417" s="22" t="s">
        <v>7205</v>
      </c>
      <c r="L1417" s="36">
        <v>1450.0</v>
      </c>
      <c r="M1417" s="36"/>
      <c r="N1417" s="36"/>
      <c r="O1417" s="36"/>
      <c r="P1417" s="37" t="s">
        <v>7206</v>
      </c>
      <c r="Q1417" s="36"/>
      <c r="R1417" s="36"/>
      <c r="S1417" s="36" t="s">
        <v>7207</v>
      </c>
      <c r="T1417" s="41" t="s">
        <v>7208</v>
      </c>
      <c r="U1417" s="38" t="str">
        <f>HYPERLINK("https://www.ncbi.nlm.nih.gov/pubmed/21910712","PubMed")</f>
        <v>PubMed</v>
      </c>
      <c r="V1417" s="30"/>
      <c r="W1417" s="49"/>
      <c r="X1417" s="49"/>
      <c r="Y1417" s="35"/>
      <c r="Z1417" s="35"/>
      <c r="AA1417" s="35"/>
      <c r="AB1417" s="35"/>
      <c r="AC1417" s="35"/>
      <c r="AD1417" s="35"/>
      <c r="AE1417" s="35"/>
      <c r="AF1417" s="35"/>
      <c r="AG1417" s="35"/>
      <c r="AH1417" s="35"/>
      <c r="AI1417" s="35"/>
      <c r="AJ1417" s="35"/>
      <c r="AK1417" s="35"/>
      <c r="AL1417" s="35"/>
    </row>
    <row r="1418">
      <c r="A1418" s="1"/>
      <c r="B1418" s="19" t="s">
        <v>7033</v>
      </c>
      <c r="C1418" s="20" t="s">
        <v>7047</v>
      </c>
      <c r="D1418" s="47"/>
      <c r="E1418" s="22" t="s">
        <v>7209</v>
      </c>
      <c r="F1418" s="22" t="s">
        <v>1891</v>
      </c>
      <c r="G1418" s="23">
        <v>2011.0</v>
      </c>
      <c r="H1418" s="22" t="s">
        <v>7210</v>
      </c>
      <c r="I1418" s="24" t="s">
        <v>7211</v>
      </c>
      <c r="J1418" s="22" t="s">
        <v>7212</v>
      </c>
      <c r="K1418" s="22" t="s">
        <v>7213</v>
      </c>
      <c r="L1418" s="36" t="s">
        <v>7214</v>
      </c>
      <c r="M1418" s="36"/>
      <c r="N1418" s="36"/>
      <c r="O1418" s="36"/>
      <c r="P1418" s="37"/>
      <c r="Q1418" s="36"/>
      <c r="R1418" s="36">
        <v>900.0</v>
      </c>
      <c r="S1418" s="36" t="s">
        <v>7215</v>
      </c>
      <c r="T1418" s="42" t="s">
        <v>7216</v>
      </c>
      <c r="U1418" s="29" t="s">
        <v>7217</v>
      </c>
      <c r="V1418" s="30"/>
      <c r="W1418" s="49"/>
      <c r="X1418" s="49"/>
      <c r="Y1418" s="35"/>
      <c r="Z1418" s="35"/>
      <c r="AA1418" s="35"/>
      <c r="AB1418" s="35"/>
      <c r="AC1418" s="35"/>
      <c r="AD1418" s="35"/>
      <c r="AE1418" s="35"/>
      <c r="AF1418" s="35"/>
      <c r="AG1418" s="35"/>
      <c r="AH1418" s="35"/>
      <c r="AI1418" s="35"/>
      <c r="AJ1418" s="35"/>
      <c r="AK1418" s="35"/>
      <c r="AL1418" s="35"/>
    </row>
    <row r="1419">
      <c r="A1419" s="1"/>
      <c r="B1419" s="19" t="s">
        <v>7033</v>
      </c>
      <c r="C1419" s="20" t="s">
        <v>7047</v>
      </c>
      <c r="D1419" s="47"/>
      <c r="E1419" s="22" t="s">
        <v>493</v>
      </c>
      <c r="F1419" s="22" t="s">
        <v>299</v>
      </c>
      <c r="G1419" s="23">
        <v>2010.0</v>
      </c>
      <c r="H1419" s="22" t="s">
        <v>7218</v>
      </c>
      <c r="I1419" s="24" t="s">
        <v>7219</v>
      </c>
      <c r="J1419" s="22" t="s">
        <v>7220</v>
      </c>
      <c r="K1419" s="22"/>
      <c r="L1419" s="36">
        <v>650.0</v>
      </c>
      <c r="M1419" s="36"/>
      <c r="N1419" s="36" t="s">
        <v>7221</v>
      </c>
      <c r="O1419" s="36"/>
      <c r="P1419" s="37"/>
      <c r="Q1419" s="36"/>
      <c r="R1419" s="36">
        <v>960.0</v>
      </c>
      <c r="S1419" s="36" t="s">
        <v>7222</v>
      </c>
      <c r="T1419" s="28" t="s">
        <v>7223</v>
      </c>
      <c r="U1419" s="29" t="s">
        <v>7224</v>
      </c>
      <c r="V1419" s="30"/>
      <c r="W1419" s="49"/>
      <c r="X1419" s="49"/>
      <c r="Y1419" s="35"/>
      <c r="Z1419" s="35"/>
      <c r="AA1419" s="35"/>
      <c r="AB1419" s="35"/>
      <c r="AC1419" s="35"/>
      <c r="AD1419" s="35"/>
      <c r="AE1419" s="35"/>
      <c r="AF1419" s="35"/>
      <c r="AG1419" s="35"/>
      <c r="AH1419" s="35"/>
      <c r="AI1419" s="35"/>
      <c r="AJ1419" s="35"/>
      <c r="AK1419" s="35"/>
      <c r="AL1419" s="35"/>
    </row>
    <row r="1420">
      <c r="A1420" s="1"/>
      <c r="B1420" s="19" t="s">
        <v>7033</v>
      </c>
      <c r="C1420" s="20" t="s">
        <v>7047</v>
      </c>
      <c r="D1420" s="47"/>
      <c r="E1420" s="22" t="s">
        <v>7225</v>
      </c>
      <c r="F1420" s="22" t="s">
        <v>5326</v>
      </c>
      <c r="G1420" s="23">
        <v>2010.0</v>
      </c>
      <c r="H1420" s="22" t="s">
        <v>53</v>
      </c>
      <c r="I1420" s="24" t="s">
        <v>7226</v>
      </c>
      <c r="J1420" s="22" t="s">
        <v>7227</v>
      </c>
      <c r="K1420" s="22" t="s">
        <v>7228</v>
      </c>
      <c r="L1420" s="36">
        <v>970.0</v>
      </c>
      <c r="M1420" s="36"/>
      <c r="N1420" s="36" t="s">
        <v>7086</v>
      </c>
      <c r="O1420" s="36"/>
      <c r="P1420" s="37" t="s">
        <v>6491</v>
      </c>
      <c r="Q1420" s="36"/>
      <c r="R1420" s="36"/>
      <c r="S1420" s="36">
        <v>1.0</v>
      </c>
      <c r="T1420" s="28" t="s">
        <v>7229</v>
      </c>
      <c r="U1420" s="29" t="s">
        <v>61</v>
      </c>
      <c r="V1420" s="30"/>
      <c r="W1420" s="49"/>
      <c r="X1420" s="49"/>
      <c r="Y1420" s="35"/>
      <c r="Z1420" s="35"/>
      <c r="AA1420" s="35"/>
      <c r="AB1420" s="35"/>
      <c r="AC1420" s="35"/>
      <c r="AD1420" s="35"/>
      <c r="AE1420" s="35"/>
      <c r="AF1420" s="35"/>
      <c r="AG1420" s="35"/>
      <c r="AH1420" s="35"/>
      <c r="AI1420" s="35"/>
      <c r="AJ1420" s="35"/>
      <c r="AK1420" s="35"/>
      <c r="AL1420" s="35"/>
    </row>
    <row r="1421">
      <c r="A1421" s="1"/>
      <c r="B1421" s="19" t="s">
        <v>7033</v>
      </c>
      <c r="C1421" s="20" t="s">
        <v>7047</v>
      </c>
      <c r="D1421" s="47"/>
      <c r="E1421" s="22" t="s">
        <v>7230</v>
      </c>
      <c r="F1421" s="22" t="s">
        <v>6074</v>
      </c>
      <c r="G1421" s="23">
        <v>2009.0</v>
      </c>
      <c r="H1421" s="22" t="s">
        <v>3292</v>
      </c>
      <c r="I1421" s="24" t="s">
        <v>7231</v>
      </c>
      <c r="J1421" s="22" t="s">
        <v>7232</v>
      </c>
      <c r="K1421" s="22"/>
      <c r="L1421" s="36">
        <v>1450.0</v>
      </c>
      <c r="M1421" s="36"/>
      <c r="N1421" s="36"/>
      <c r="O1421" s="36"/>
      <c r="P1421" s="37" t="s">
        <v>7233</v>
      </c>
      <c r="Q1421" s="36"/>
      <c r="R1421" s="36"/>
      <c r="S1421" s="36" t="s">
        <v>7234</v>
      </c>
      <c r="T1421" s="28" t="s">
        <v>7235</v>
      </c>
      <c r="U1421" s="38" t="str">
        <f>HYPERLINK("https://www.ncbi.nlm.nih.gov/pubmed/19152509","PubMed")</f>
        <v>PubMed</v>
      </c>
      <c r="V1421" s="30"/>
      <c r="W1421" s="49"/>
      <c r="X1421" s="49"/>
      <c r="Y1421" s="35"/>
      <c r="Z1421" s="35"/>
      <c r="AA1421" s="35"/>
      <c r="AB1421" s="35"/>
      <c r="AC1421" s="35"/>
      <c r="AD1421" s="35"/>
      <c r="AE1421" s="35"/>
      <c r="AF1421" s="35"/>
      <c r="AG1421" s="35"/>
      <c r="AH1421" s="35"/>
      <c r="AI1421" s="35"/>
      <c r="AJ1421" s="35"/>
      <c r="AK1421" s="35"/>
      <c r="AL1421" s="35"/>
    </row>
    <row r="1422">
      <c r="A1422" s="1"/>
      <c r="B1422" s="19" t="s">
        <v>7033</v>
      </c>
      <c r="C1422" s="20" t="s">
        <v>7047</v>
      </c>
      <c r="D1422" s="47"/>
      <c r="E1422" s="22" t="s">
        <v>7236</v>
      </c>
      <c r="F1422" s="22" t="s">
        <v>2052</v>
      </c>
      <c r="G1422" s="23">
        <v>2009.0</v>
      </c>
      <c r="H1422" s="22" t="s">
        <v>169</v>
      </c>
      <c r="I1422" s="24" t="s">
        <v>7237</v>
      </c>
      <c r="J1422" s="22" t="s">
        <v>7238</v>
      </c>
      <c r="K1422" s="22" t="s">
        <v>7239</v>
      </c>
      <c r="L1422" s="36" t="s">
        <v>7240</v>
      </c>
      <c r="M1422" s="36"/>
      <c r="N1422" s="36" t="s">
        <v>7241</v>
      </c>
      <c r="O1422" s="36"/>
      <c r="P1422" s="37" t="s">
        <v>7242</v>
      </c>
      <c r="Q1422" s="36"/>
      <c r="R1422" s="36">
        <v>1200.0</v>
      </c>
      <c r="S1422" s="36" t="s">
        <v>2099</v>
      </c>
      <c r="T1422" s="42" t="s">
        <v>7243</v>
      </c>
      <c r="U1422" s="38" t="str">
        <f>HYPERLINK("https://www.ncbi.nlm.nih.gov/pubmed/19391058","PubMed")</f>
        <v>PubMed</v>
      </c>
      <c r="V1422" s="30"/>
      <c r="W1422" s="49"/>
      <c r="X1422" s="49"/>
      <c r="Y1422" s="35"/>
      <c r="Z1422" s="35"/>
      <c r="AA1422" s="35"/>
      <c r="AB1422" s="35"/>
      <c r="AC1422" s="35"/>
      <c r="AD1422" s="35"/>
      <c r="AE1422" s="35"/>
      <c r="AF1422" s="35"/>
      <c r="AG1422" s="35"/>
      <c r="AH1422" s="35"/>
      <c r="AI1422" s="35"/>
      <c r="AJ1422" s="35"/>
      <c r="AK1422" s="35"/>
      <c r="AL1422" s="35"/>
    </row>
    <row r="1423">
      <c r="A1423" s="1"/>
      <c r="B1423" s="19" t="s">
        <v>7033</v>
      </c>
      <c r="C1423" s="20" t="s">
        <v>7047</v>
      </c>
      <c r="D1423" s="47"/>
      <c r="E1423" s="22" t="s">
        <v>7244</v>
      </c>
      <c r="F1423" s="22" t="s">
        <v>7245</v>
      </c>
      <c r="G1423" s="23">
        <v>2009.0</v>
      </c>
      <c r="H1423" s="22" t="s">
        <v>7246</v>
      </c>
      <c r="I1423" s="24" t="s">
        <v>7247</v>
      </c>
      <c r="J1423" s="22" t="s">
        <v>7248</v>
      </c>
      <c r="K1423" s="22" t="s">
        <v>7181</v>
      </c>
      <c r="L1423" s="36">
        <v>635.0</v>
      </c>
      <c r="M1423" s="36"/>
      <c r="N1423" s="36" t="s">
        <v>7249</v>
      </c>
      <c r="O1423" s="36"/>
      <c r="P1423" s="37" t="s">
        <v>5401</v>
      </c>
      <c r="Q1423" s="36"/>
      <c r="R1423" s="36"/>
      <c r="S1423" s="36">
        <v>1.0</v>
      </c>
      <c r="T1423" s="42" t="s">
        <v>7250</v>
      </c>
      <c r="U1423" s="38" t="str">
        <f>HYPERLINK("https://www.ncbi.nlm.nih.gov/pubmed/19688149","PubMed")</f>
        <v>PubMed</v>
      </c>
      <c r="V1423" s="30" t="s">
        <v>7251</v>
      </c>
      <c r="W1423" s="49"/>
      <c r="X1423" s="49"/>
      <c r="Y1423" s="35"/>
      <c r="Z1423" s="35"/>
      <c r="AA1423" s="35"/>
      <c r="AB1423" s="35"/>
      <c r="AC1423" s="35"/>
      <c r="AD1423" s="35"/>
      <c r="AE1423" s="35"/>
      <c r="AF1423" s="35"/>
      <c r="AG1423" s="35"/>
      <c r="AH1423" s="35"/>
      <c r="AI1423" s="35"/>
      <c r="AJ1423" s="35"/>
      <c r="AK1423" s="35"/>
      <c r="AL1423" s="35"/>
    </row>
    <row r="1424">
      <c r="A1424" s="1"/>
      <c r="B1424" s="19" t="s">
        <v>7033</v>
      </c>
      <c r="C1424" s="20" t="s">
        <v>7047</v>
      </c>
      <c r="D1424" s="47"/>
      <c r="E1424" s="22" t="s">
        <v>2697</v>
      </c>
      <c r="F1424" s="22" t="s">
        <v>5223</v>
      </c>
      <c r="G1424" s="23">
        <v>2009.0</v>
      </c>
      <c r="H1424" s="22" t="s">
        <v>6426</v>
      </c>
      <c r="I1424" s="24" t="s">
        <v>7252</v>
      </c>
      <c r="J1424" s="22" t="s">
        <v>649</v>
      </c>
      <c r="K1424" s="22"/>
      <c r="L1424" s="171" t="s">
        <v>7253</v>
      </c>
      <c r="M1424" s="44"/>
      <c r="N1424" s="44"/>
      <c r="O1424" s="44"/>
      <c r="P1424" s="44"/>
      <c r="Q1424" s="44"/>
      <c r="R1424" s="44"/>
      <c r="S1424" s="44"/>
      <c r="T1424" s="45"/>
      <c r="U1424" s="38" t="str">
        <f>HYPERLINK("https://www.ncbi.nlm.nih.gov/pubmed/19239470","PubMed")</f>
        <v>PubMed</v>
      </c>
      <c r="V1424" s="30"/>
      <c r="W1424" s="49"/>
      <c r="X1424" s="49"/>
      <c r="Y1424" s="35"/>
      <c r="Z1424" s="35"/>
      <c r="AA1424" s="35"/>
      <c r="AB1424" s="35"/>
      <c r="AC1424" s="35"/>
      <c r="AD1424" s="35"/>
      <c r="AE1424" s="35"/>
      <c r="AF1424" s="35"/>
      <c r="AG1424" s="35"/>
      <c r="AH1424" s="35"/>
      <c r="AI1424" s="35"/>
      <c r="AJ1424" s="35"/>
      <c r="AK1424" s="35"/>
      <c r="AL1424" s="35"/>
    </row>
    <row r="1425">
      <c r="A1425" s="1"/>
      <c r="B1425" s="19" t="s">
        <v>7033</v>
      </c>
      <c r="C1425" s="20" t="s">
        <v>7047</v>
      </c>
      <c r="D1425" s="47"/>
      <c r="E1425" s="22" t="s">
        <v>7254</v>
      </c>
      <c r="F1425" s="22" t="s">
        <v>7255</v>
      </c>
      <c r="G1425" s="23">
        <v>2008.0</v>
      </c>
      <c r="H1425" s="22" t="s">
        <v>3292</v>
      </c>
      <c r="I1425" s="24" t="s">
        <v>7256</v>
      </c>
      <c r="J1425" s="22" t="s">
        <v>7257</v>
      </c>
      <c r="K1425" s="22" t="s">
        <v>56</v>
      </c>
      <c r="L1425" s="36" t="s">
        <v>7258</v>
      </c>
      <c r="M1425" s="36"/>
      <c r="N1425" s="36"/>
      <c r="O1425" s="36"/>
      <c r="P1425" s="37" t="s">
        <v>287</v>
      </c>
      <c r="Q1425" s="36"/>
      <c r="R1425" s="36"/>
      <c r="S1425" s="36" t="s">
        <v>2099</v>
      </c>
      <c r="T1425" s="28" t="s">
        <v>7259</v>
      </c>
      <c r="U1425" s="38" t="str">
        <f>HYPERLINK("https://www.ncbi.nlm.nih.gov/pubmed/18811865","PubMed")</f>
        <v>PubMed</v>
      </c>
      <c r="V1425" s="30"/>
      <c r="W1425" s="49"/>
      <c r="X1425" s="49"/>
      <c r="Y1425" s="35"/>
      <c r="Z1425" s="35"/>
      <c r="AA1425" s="35"/>
      <c r="AB1425" s="35"/>
      <c r="AC1425" s="35"/>
      <c r="AD1425" s="35"/>
      <c r="AE1425" s="35"/>
      <c r="AF1425" s="35"/>
      <c r="AG1425" s="35"/>
      <c r="AH1425" s="35"/>
      <c r="AI1425" s="35"/>
      <c r="AJ1425" s="35"/>
      <c r="AK1425" s="35"/>
      <c r="AL1425" s="35"/>
    </row>
    <row r="1426">
      <c r="A1426" s="1"/>
      <c r="B1426" s="19" t="s">
        <v>7033</v>
      </c>
      <c r="C1426" s="20" t="s">
        <v>7047</v>
      </c>
      <c r="D1426" s="47"/>
      <c r="E1426" s="22" t="s">
        <v>7260</v>
      </c>
      <c r="F1426" s="22" t="s">
        <v>7261</v>
      </c>
      <c r="G1426" s="23">
        <v>2008.0</v>
      </c>
      <c r="H1426" s="22" t="s">
        <v>116</v>
      </c>
      <c r="I1426" s="24" t="s">
        <v>7262</v>
      </c>
      <c r="J1426" s="22" t="s">
        <v>7263</v>
      </c>
      <c r="K1426" s="22"/>
      <c r="L1426" s="36">
        <v>420.0</v>
      </c>
      <c r="M1426" s="36"/>
      <c r="N1426" s="36" t="s">
        <v>7264</v>
      </c>
      <c r="O1426" s="36"/>
      <c r="P1426" s="37"/>
      <c r="Q1426" s="36"/>
      <c r="R1426" s="36">
        <v>840.0</v>
      </c>
      <c r="S1426" s="36" t="s">
        <v>2099</v>
      </c>
      <c r="T1426" s="28" t="s">
        <v>7265</v>
      </c>
      <c r="U1426" s="29" t="s">
        <v>61</v>
      </c>
      <c r="V1426" s="30"/>
      <c r="W1426" s="49"/>
      <c r="X1426" s="49"/>
      <c r="Y1426" s="35"/>
      <c r="Z1426" s="35"/>
      <c r="AA1426" s="35"/>
      <c r="AB1426" s="35"/>
      <c r="AC1426" s="35"/>
      <c r="AD1426" s="35"/>
      <c r="AE1426" s="35"/>
      <c r="AF1426" s="35"/>
      <c r="AG1426" s="35"/>
      <c r="AH1426" s="35"/>
      <c r="AI1426" s="35"/>
      <c r="AJ1426" s="35"/>
      <c r="AK1426" s="35"/>
      <c r="AL1426" s="35"/>
    </row>
    <row r="1427">
      <c r="A1427" s="1"/>
      <c r="B1427" s="19" t="s">
        <v>7033</v>
      </c>
      <c r="C1427" s="20" t="s">
        <v>7047</v>
      </c>
      <c r="D1427" s="47"/>
      <c r="E1427" s="22" t="s">
        <v>7266</v>
      </c>
      <c r="F1427" s="22" t="s">
        <v>2052</v>
      </c>
      <c r="G1427" s="23">
        <v>2008.0</v>
      </c>
      <c r="H1427" s="22" t="s">
        <v>7267</v>
      </c>
      <c r="I1427" s="24" t="s">
        <v>7268</v>
      </c>
      <c r="J1427" s="22" t="s">
        <v>7269</v>
      </c>
      <c r="K1427" s="22" t="s">
        <v>7110</v>
      </c>
      <c r="L1427" s="36" t="s">
        <v>7270</v>
      </c>
      <c r="M1427" s="36"/>
      <c r="N1427" s="36"/>
      <c r="O1427" s="36"/>
      <c r="P1427" s="37"/>
      <c r="Q1427" s="36"/>
      <c r="R1427" s="36"/>
      <c r="S1427" s="36" t="s">
        <v>7271</v>
      </c>
      <c r="T1427" s="28" t="s">
        <v>7272</v>
      </c>
      <c r="U1427" s="38" t="str">
        <f>HYPERLINK("https://www.ncbi.nlm.nih.gov/pubmed/18459515","PubMed")</f>
        <v>PubMed</v>
      </c>
      <c r="V1427" s="30"/>
      <c r="W1427" s="49"/>
      <c r="X1427" s="49"/>
      <c r="Y1427" s="35"/>
      <c r="Z1427" s="35"/>
      <c r="AA1427" s="35"/>
      <c r="AB1427" s="35"/>
      <c r="AC1427" s="35"/>
      <c r="AD1427" s="35"/>
      <c r="AE1427" s="35"/>
      <c r="AF1427" s="35"/>
      <c r="AG1427" s="35"/>
      <c r="AH1427" s="35"/>
      <c r="AI1427" s="35"/>
      <c r="AJ1427" s="35"/>
      <c r="AK1427" s="35"/>
      <c r="AL1427" s="35"/>
    </row>
    <row r="1428">
      <c r="A1428" s="18"/>
      <c r="B1428" s="19" t="s">
        <v>7033</v>
      </c>
      <c r="C1428" s="20" t="s">
        <v>7047</v>
      </c>
      <c r="D1428" s="47"/>
      <c r="E1428" s="22" t="s">
        <v>7273</v>
      </c>
      <c r="F1428" s="22" t="s">
        <v>3691</v>
      </c>
      <c r="G1428" s="23">
        <v>2007.0</v>
      </c>
      <c r="H1428" s="22" t="s">
        <v>7274</v>
      </c>
      <c r="I1428" s="24" t="s">
        <v>7275</v>
      </c>
      <c r="J1428" s="22" t="s">
        <v>7276</v>
      </c>
      <c r="K1428" s="22"/>
      <c r="L1428" s="36">
        <v>1320.0</v>
      </c>
      <c r="M1428" s="36"/>
      <c r="N1428" s="36"/>
      <c r="O1428" s="36"/>
      <c r="P1428" s="37"/>
      <c r="Q1428" s="36"/>
      <c r="R1428" s="36"/>
      <c r="S1428" s="36" t="s">
        <v>7277</v>
      </c>
      <c r="T1428" s="28" t="s">
        <v>7278</v>
      </c>
      <c r="U1428" s="38" t="str">
        <f>HYPERLINK("https://www.ncbi.nlm.nih.gov/pubmed/17239987","PubMed")</f>
        <v>PubMed</v>
      </c>
      <c r="V1428" s="30"/>
      <c r="W1428" s="49"/>
      <c r="X1428" s="49"/>
      <c r="Y1428" s="35"/>
      <c r="Z1428" s="35"/>
      <c r="AA1428" s="35"/>
      <c r="AB1428" s="35"/>
      <c r="AC1428" s="35"/>
      <c r="AD1428" s="35"/>
      <c r="AE1428" s="35"/>
      <c r="AF1428" s="35"/>
      <c r="AG1428" s="35"/>
      <c r="AH1428" s="35"/>
      <c r="AI1428" s="35"/>
      <c r="AJ1428" s="35"/>
      <c r="AK1428" s="35"/>
      <c r="AL1428" s="35"/>
    </row>
    <row r="1429">
      <c r="A1429" s="18" t="s">
        <v>181</v>
      </c>
      <c r="B1429" s="19" t="s">
        <v>7033</v>
      </c>
      <c r="C1429" s="20" t="s">
        <v>7047</v>
      </c>
      <c r="D1429" s="47"/>
      <c r="E1429" s="22" t="s">
        <v>7279</v>
      </c>
      <c r="F1429" s="22" t="s">
        <v>299</v>
      </c>
      <c r="G1429" s="23">
        <v>2007.0</v>
      </c>
      <c r="H1429" s="22" t="s">
        <v>5489</v>
      </c>
      <c r="I1429" s="24" t="s">
        <v>7280</v>
      </c>
      <c r="J1429" s="22" t="s">
        <v>7281</v>
      </c>
      <c r="K1429" s="22" t="s">
        <v>157</v>
      </c>
      <c r="L1429" s="36" t="s">
        <v>7282</v>
      </c>
      <c r="M1429" s="36">
        <v>6.0</v>
      </c>
      <c r="N1429" s="36"/>
      <c r="O1429" s="36" t="s">
        <v>7283</v>
      </c>
      <c r="P1429" s="37" t="s">
        <v>7284</v>
      </c>
      <c r="Q1429" s="36"/>
      <c r="R1429" s="36">
        <v>900.0</v>
      </c>
      <c r="S1429" s="36" t="s">
        <v>7285</v>
      </c>
      <c r="T1429" s="28" t="s">
        <v>7286</v>
      </c>
      <c r="U1429" s="38" t="str">
        <f>HYPERLINK("https://www.ncbi.nlm.nih.gov/pubmed/17903156","PubMed")</f>
        <v>PubMed</v>
      </c>
      <c r="V1429" s="30" t="s">
        <v>7287</v>
      </c>
      <c r="W1429" s="49"/>
      <c r="X1429" s="49"/>
      <c r="Y1429" s="35"/>
      <c r="Z1429" s="35"/>
      <c r="AA1429" s="35"/>
      <c r="AB1429" s="35"/>
      <c r="AC1429" s="35"/>
      <c r="AD1429" s="35"/>
      <c r="AE1429" s="35"/>
      <c r="AF1429" s="35"/>
      <c r="AG1429" s="35"/>
      <c r="AH1429" s="35"/>
      <c r="AI1429" s="35"/>
      <c r="AJ1429" s="35"/>
      <c r="AK1429" s="35"/>
      <c r="AL1429" s="35"/>
    </row>
    <row r="1430">
      <c r="A1430" s="1"/>
      <c r="B1430" s="19" t="s">
        <v>7033</v>
      </c>
      <c r="C1430" s="20" t="s">
        <v>7047</v>
      </c>
      <c r="D1430" s="47"/>
      <c r="E1430" s="22" t="s">
        <v>493</v>
      </c>
      <c r="F1430" s="22" t="s">
        <v>299</v>
      </c>
      <c r="G1430" s="23">
        <v>2007.0</v>
      </c>
      <c r="H1430" s="22" t="s">
        <v>53</v>
      </c>
      <c r="I1430" s="24" t="s">
        <v>7288</v>
      </c>
      <c r="J1430" s="22" t="s">
        <v>7289</v>
      </c>
      <c r="K1430" s="22" t="s">
        <v>7110</v>
      </c>
      <c r="L1430" s="36" t="s">
        <v>7290</v>
      </c>
      <c r="M1430" s="36"/>
      <c r="N1430" s="36" t="s">
        <v>7291</v>
      </c>
      <c r="O1430" s="36"/>
      <c r="P1430" s="37" t="s">
        <v>7292</v>
      </c>
      <c r="Q1430" s="36"/>
      <c r="R1430" s="36">
        <v>1200.0</v>
      </c>
      <c r="S1430" s="36" t="s">
        <v>7293</v>
      </c>
      <c r="T1430" s="28" t="s">
        <v>7294</v>
      </c>
      <c r="U1430" s="38" t="str">
        <f>HYPERLINK("https://www.ncbi.nlm.nih.gov/pubmed/17111415","PubMed")</f>
        <v>PubMed</v>
      </c>
      <c r="V1430" s="30"/>
      <c r="W1430" s="49"/>
      <c r="X1430" s="49"/>
      <c r="Y1430" s="35"/>
      <c r="Z1430" s="35"/>
      <c r="AA1430" s="35"/>
      <c r="AB1430" s="35"/>
      <c r="AC1430" s="35"/>
      <c r="AD1430" s="35"/>
      <c r="AE1430" s="35"/>
      <c r="AF1430" s="35"/>
      <c r="AG1430" s="35"/>
      <c r="AH1430" s="35"/>
      <c r="AI1430" s="35"/>
      <c r="AJ1430" s="35"/>
      <c r="AK1430" s="35"/>
      <c r="AL1430" s="35"/>
    </row>
    <row r="1431">
      <c r="A1431" s="1"/>
      <c r="B1431" s="19" t="s">
        <v>7033</v>
      </c>
      <c r="C1431" s="20" t="s">
        <v>7047</v>
      </c>
      <c r="D1431" s="47"/>
      <c r="E1431" s="22" t="s">
        <v>7295</v>
      </c>
      <c r="F1431" s="22" t="s">
        <v>2052</v>
      </c>
      <c r="G1431" s="23">
        <v>2006.0</v>
      </c>
      <c r="H1431" s="22" t="s">
        <v>169</v>
      </c>
      <c r="I1431" s="24" t="s">
        <v>7296</v>
      </c>
      <c r="J1431" s="22" t="s">
        <v>7297</v>
      </c>
      <c r="K1431" s="22" t="s">
        <v>7110</v>
      </c>
      <c r="L1431" s="36" t="s">
        <v>7290</v>
      </c>
      <c r="M1431" s="36"/>
      <c r="N1431" s="36"/>
      <c r="O1431" s="36"/>
      <c r="P1431" s="37"/>
      <c r="Q1431" s="36"/>
      <c r="R1431" s="36"/>
      <c r="S1431" s="36" t="s">
        <v>7298</v>
      </c>
      <c r="T1431" s="28" t="s">
        <v>7299</v>
      </c>
      <c r="U1431" s="38" t="str">
        <f>HYPERLINK("https://www.ncbi.nlm.nih.gov/pubmed/16766484","PubMed")</f>
        <v>PubMed</v>
      </c>
      <c r="V1431" s="30"/>
      <c r="W1431" s="49"/>
      <c r="X1431" s="49"/>
      <c r="Y1431" s="35"/>
      <c r="Z1431" s="35"/>
      <c r="AA1431" s="35"/>
      <c r="AB1431" s="35"/>
      <c r="AC1431" s="35"/>
      <c r="AD1431" s="35"/>
      <c r="AE1431" s="35"/>
      <c r="AF1431" s="35"/>
      <c r="AG1431" s="35"/>
      <c r="AH1431" s="35"/>
      <c r="AI1431" s="35"/>
      <c r="AJ1431" s="35"/>
      <c r="AK1431" s="35"/>
      <c r="AL1431" s="35"/>
    </row>
    <row r="1432">
      <c r="A1432" s="1"/>
      <c r="B1432" s="19" t="s">
        <v>7033</v>
      </c>
      <c r="C1432" s="20" t="s">
        <v>7047</v>
      </c>
      <c r="D1432" s="47"/>
      <c r="E1432" s="22" t="s">
        <v>7300</v>
      </c>
      <c r="F1432" s="22" t="s">
        <v>2795</v>
      </c>
      <c r="G1432" s="23">
        <v>2005.0</v>
      </c>
      <c r="H1432" s="22" t="s">
        <v>169</v>
      </c>
      <c r="I1432" s="24" t="s">
        <v>7301</v>
      </c>
      <c r="J1432" s="22" t="s">
        <v>7302</v>
      </c>
      <c r="K1432" s="22" t="s">
        <v>2803</v>
      </c>
      <c r="L1432" s="36">
        <v>415.0</v>
      </c>
      <c r="M1432" s="36"/>
      <c r="N1432" s="36"/>
      <c r="O1432" s="36"/>
      <c r="P1432" s="37" t="s">
        <v>7303</v>
      </c>
      <c r="Q1432" s="36"/>
      <c r="R1432" s="36">
        <v>1200.0</v>
      </c>
      <c r="S1432" s="36" t="s">
        <v>7304</v>
      </c>
      <c r="T1432" s="28" t="s">
        <v>7305</v>
      </c>
      <c r="U1432" s="29" t="s">
        <v>61</v>
      </c>
      <c r="V1432" s="30"/>
      <c r="W1432" s="49"/>
      <c r="X1432" s="49"/>
      <c r="Y1432" s="35"/>
      <c r="Z1432" s="35"/>
      <c r="AA1432" s="35"/>
      <c r="AB1432" s="35"/>
      <c r="AC1432" s="35"/>
      <c r="AD1432" s="35"/>
      <c r="AE1432" s="35"/>
      <c r="AF1432" s="35"/>
      <c r="AG1432" s="35"/>
      <c r="AH1432" s="35"/>
      <c r="AI1432" s="35"/>
      <c r="AJ1432" s="35"/>
      <c r="AK1432" s="35"/>
      <c r="AL1432" s="35"/>
    </row>
    <row r="1433">
      <c r="A1433" s="1"/>
      <c r="B1433" s="19" t="s">
        <v>7033</v>
      </c>
      <c r="C1433" s="20" t="s">
        <v>7047</v>
      </c>
      <c r="D1433" s="47"/>
      <c r="E1433" s="22" t="s">
        <v>7306</v>
      </c>
      <c r="F1433" s="22" t="s">
        <v>7307</v>
      </c>
      <c r="G1433" s="23">
        <v>2005.0</v>
      </c>
      <c r="H1433" s="22" t="s">
        <v>7308</v>
      </c>
      <c r="I1433" s="24" t="s">
        <v>7309</v>
      </c>
      <c r="J1433" s="22" t="s">
        <v>7310</v>
      </c>
      <c r="K1433" s="22" t="s">
        <v>1725</v>
      </c>
      <c r="L1433" s="36" t="s">
        <v>7311</v>
      </c>
      <c r="M1433" s="36"/>
      <c r="N1433" s="36" t="s">
        <v>3587</v>
      </c>
      <c r="O1433" s="36"/>
      <c r="P1433" s="37" t="s">
        <v>7303</v>
      </c>
      <c r="Q1433" s="36"/>
      <c r="R1433" s="36"/>
      <c r="S1433" s="36" t="s">
        <v>2099</v>
      </c>
      <c r="T1433" s="28" t="s">
        <v>7312</v>
      </c>
      <c r="U1433" s="29" t="s">
        <v>61</v>
      </c>
      <c r="V1433" s="30"/>
      <c r="W1433" s="49"/>
      <c r="X1433" s="49"/>
      <c r="Y1433" s="35"/>
      <c r="Z1433" s="35"/>
      <c r="AA1433" s="35"/>
      <c r="AB1433" s="35"/>
      <c r="AC1433" s="35"/>
      <c r="AD1433" s="35"/>
      <c r="AE1433" s="35"/>
      <c r="AF1433" s="35"/>
      <c r="AG1433" s="35"/>
      <c r="AH1433" s="35"/>
      <c r="AI1433" s="35"/>
      <c r="AJ1433" s="35"/>
      <c r="AK1433" s="35"/>
      <c r="AL1433" s="35"/>
    </row>
    <row r="1434">
      <c r="A1434" s="1"/>
      <c r="B1434" s="19" t="s">
        <v>7033</v>
      </c>
      <c r="C1434" s="77" t="s">
        <v>7047</v>
      </c>
      <c r="D1434" s="47"/>
      <c r="E1434" s="22" t="s">
        <v>7313</v>
      </c>
      <c r="F1434" s="22" t="s">
        <v>5223</v>
      </c>
      <c r="G1434" s="23">
        <v>2004.0</v>
      </c>
      <c r="H1434" s="22" t="s">
        <v>7314</v>
      </c>
      <c r="I1434" s="24" t="s">
        <v>7315</v>
      </c>
      <c r="J1434" s="22" t="s">
        <v>125</v>
      </c>
      <c r="K1434" s="22"/>
      <c r="L1434" s="43" t="s">
        <v>7316</v>
      </c>
      <c r="M1434" s="44"/>
      <c r="N1434" s="44"/>
      <c r="O1434" s="44"/>
      <c r="P1434" s="44"/>
      <c r="Q1434" s="44"/>
      <c r="R1434" s="44"/>
      <c r="S1434" s="44"/>
      <c r="T1434" s="45"/>
      <c r="U1434" s="29" t="s">
        <v>61</v>
      </c>
      <c r="V1434" s="30"/>
      <c r="W1434" s="49"/>
      <c r="X1434" s="49"/>
      <c r="Y1434" s="35"/>
      <c r="Z1434" s="35"/>
      <c r="AA1434" s="35"/>
      <c r="AB1434" s="35"/>
      <c r="AC1434" s="35"/>
      <c r="AD1434" s="35"/>
      <c r="AE1434" s="35"/>
      <c r="AF1434" s="35"/>
      <c r="AG1434" s="35"/>
      <c r="AH1434" s="35"/>
      <c r="AI1434" s="35"/>
      <c r="AJ1434" s="35"/>
      <c r="AK1434" s="35"/>
      <c r="AL1434" s="35"/>
    </row>
    <row r="1435">
      <c r="A1435" s="1"/>
      <c r="B1435" s="19" t="s">
        <v>7033</v>
      </c>
      <c r="C1435" s="20" t="s">
        <v>7047</v>
      </c>
      <c r="D1435" s="47"/>
      <c r="E1435" s="22" t="s">
        <v>7317</v>
      </c>
      <c r="F1435" s="22" t="s">
        <v>7318</v>
      </c>
      <c r="G1435" s="23">
        <v>2004.0</v>
      </c>
      <c r="H1435" s="22" t="s">
        <v>6426</v>
      </c>
      <c r="I1435" s="24" t="s">
        <v>7319</v>
      </c>
      <c r="J1435" s="22" t="s">
        <v>7320</v>
      </c>
      <c r="K1435" s="22"/>
      <c r="L1435" s="36">
        <v>635.0</v>
      </c>
      <c r="M1435" s="36"/>
      <c r="N1435" s="36" t="s">
        <v>1018</v>
      </c>
      <c r="O1435" s="36"/>
      <c r="P1435" s="37" t="s">
        <v>5401</v>
      </c>
      <c r="Q1435" s="36"/>
      <c r="R1435" s="36"/>
      <c r="S1435" s="36" t="s">
        <v>7321</v>
      </c>
      <c r="T1435" s="41" t="s">
        <v>7322</v>
      </c>
      <c r="U1435" s="29" t="s">
        <v>61</v>
      </c>
      <c r="V1435" s="30"/>
      <c r="W1435" s="49"/>
      <c r="X1435" s="49"/>
      <c r="Y1435" s="35"/>
      <c r="Z1435" s="35"/>
      <c r="AA1435" s="35"/>
      <c r="AB1435" s="35"/>
      <c r="AC1435" s="35"/>
      <c r="AD1435" s="35"/>
      <c r="AE1435" s="35"/>
      <c r="AF1435" s="35"/>
      <c r="AG1435" s="35"/>
      <c r="AH1435" s="35"/>
      <c r="AI1435" s="35"/>
      <c r="AJ1435" s="35"/>
      <c r="AK1435" s="35"/>
      <c r="AL1435" s="35"/>
    </row>
    <row r="1436">
      <c r="A1436" s="1"/>
      <c r="B1436" s="19" t="s">
        <v>7033</v>
      </c>
      <c r="C1436" s="20" t="s">
        <v>7047</v>
      </c>
      <c r="D1436" s="47"/>
      <c r="E1436" s="22" t="s">
        <v>7323</v>
      </c>
      <c r="F1436" s="22" t="s">
        <v>494</v>
      </c>
      <c r="G1436" s="23">
        <v>2004.0</v>
      </c>
      <c r="H1436" s="22" t="s">
        <v>3292</v>
      </c>
      <c r="I1436" s="24" t="s">
        <v>7324</v>
      </c>
      <c r="J1436" s="22" t="s">
        <v>7325</v>
      </c>
      <c r="K1436" s="22" t="s">
        <v>1725</v>
      </c>
      <c r="L1436" s="36">
        <v>420.0</v>
      </c>
      <c r="M1436" s="36"/>
      <c r="N1436" s="36"/>
      <c r="O1436" s="36"/>
      <c r="P1436" s="37" t="s">
        <v>2746</v>
      </c>
      <c r="Q1436" s="36"/>
      <c r="R1436" s="36"/>
      <c r="S1436" s="36" t="s">
        <v>7326</v>
      </c>
      <c r="T1436" s="41" t="s">
        <v>7327</v>
      </c>
      <c r="U1436" s="29" t="s">
        <v>61</v>
      </c>
      <c r="V1436" s="30"/>
      <c r="W1436" s="49"/>
      <c r="X1436" s="49"/>
      <c r="Y1436" s="35"/>
      <c r="Z1436" s="35"/>
      <c r="AA1436" s="35"/>
      <c r="AB1436" s="35"/>
      <c r="AC1436" s="35"/>
      <c r="AD1436" s="35"/>
      <c r="AE1436" s="35"/>
      <c r="AF1436" s="35"/>
      <c r="AG1436" s="35"/>
      <c r="AH1436" s="35"/>
      <c r="AI1436" s="35"/>
      <c r="AJ1436" s="35"/>
      <c r="AK1436" s="35"/>
      <c r="AL1436" s="35"/>
    </row>
    <row r="1437">
      <c r="A1437" s="40"/>
      <c r="B1437" s="19" t="s">
        <v>7033</v>
      </c>
      <c r="C1437" s="20" t="s">
        <v>7047</v>
      </c>
      <c r="D1437" s="47"/>
      <c r="E1437" s="22" t="s">
        <v>7328</v>
      </c>
      <c r="F1437" s="22" t="s">
        <v>6785</v>
      </c>
      <c r="G1437" s="23">
        <v>2002.0</v>
      </c>
      <c r="H1437" s="22" t="s">
        <v>7329</v>
      </c>
      <c r="I1437" s="24" t="s">
        <v>7330</v>
      </c>
      <c r="J1437" s="22" t="s">
        <v>7331</v>
      </c>
      <c r="K1437" s="22" t="s">
        <v>56</v>
      </c>
      <c r="L1437" s="36" t="s">
        <v>7332</v>
      </c>
      <c r="M1437" s="36"/>
      <c r="N1437" s="36" t="s">
        <v>6646</v>
      </c>
      <c r="O1437" s="36"/>
      <c r="P1437" s="37"/>
      <c r="Q1437" s="36"/>
      <c r="R1437" s="36"/>
      <c r="S1437" s="36" t="s">
        <v>7333</v>
      </c>
      <c r="T1437" s="28" t="s">
        <v>7334</v>
      </c>
      <c r="U1437" s="29" t="s">
        <v>61</v>
      </c>
      <c r="V1437" s="30" t="s">
        <v>7335</v>
      </c>
      <c r="W1437" s="49"/>
      <c r="X1437" s="49"/>
      <c r="Y1437" s="35"/>
      <c r="Z1437" s="35"/>
      <c r="AA1437" s="35"/>
      <c r="AB1437" s="35"/>
      <c r="AC1437" s="35"/>
      <c r="AD1437" s="35"/>
      <c r="AE1437" s="35"/>
      <c r="AF1437" s="35"/>
      <c r="AG1437" s="35"/>
      <c r="AH1437" s="35"/>
      <c r="AI1437" s="35"/>
      <c r="AJ1437" s="35"/>
      <c r="AK1437" s="35"/>
      <c r="AL1437" s="35"/>
    </row>
    <row r="1438">
      <c r="A1438" s="40" t="s">
        <v>2</v>
      </c>
      <c r="B1438" s="19" t="s">
        <v>7033</v>
      </c>
      <c r="C1438" s="20" t="s">
        <v>7047</v>
      </c>
      <c r="D1438" s="47"/>
      <c r="E1438" s="22" t="s">
        <v>7336</v>
      </c>
      <c r="F1438" s="22" t="s">
        <v>5223</v>
      </c>
      <c r="G1438" s="23">
        <v>2000.0</v>
      </c>
      <c r="H1438" s="22" t="s">
        <v>6426</v>
      </c>
      <c r="I1438" s="24" t="s">
        <v>7337</v>
      </c>
      <c r="J1438" s="22" t="s">
        <v>7338</v>
      </c>
      <c r="K1438" s="22" t="s">
        <v>7339</v>
      </c>
      <c r="L1438" s="36" t="s">
        <v>7340</v>
      </c>
      <c r="M1438" s="36" t="s">
        <v>7341</v>
      </c>
      <c r="N1438" s="36"/>
      <c r="O1438" s="36"/>
      <c r="P1438" s="37"/>
      <c r="Q1438" s="36"/>
      <c r="R1438" s="36">
        <v>900.0</v>
      </c>
      <c r="S1438" s="36" t="s">
        <v>7342</v>
      </c>
      <c r="T1438" s="28" t="s">
        <v>7343</v>
      </c>
      <c r="U1438" s="38" t="str">
        <f>HYPERLINK("https://www.ncbi.nlm.nih.gov/pubmed/10809858","PubMed")</f>
        <v>PubMed</v>
      </c>
      <c r="V1438" s="30"/>
      <c r="W1438" s="49"/>
      <c r="X1438" s="49"/>
      <c r="Y1438" s="35"/>
      <c r="Z1438" s="35"/>
      <c r="AA1438" s="35"/>
      <c r="AB1438" s="35"/>
      <c r="AC1438" s="35"/>
      <c r="AD1438" s="35"/>
      <c r="AE1438" s="35"/>
      <c r="AF1438" s="35"/>
      <c r="AG1438" s="35"/>
      <c r="AH1438" s="35"/>
      <c r="AI1438" s="35"/>
      <c r="AJ1438" s="35"/>
      <c r="AK1438" s="35"/>
      <c r="AL1438" s="35"/>
    </row>
    <row r="1439">
      <c r="A1439" s="1"/>
      <c r="B1439" s="19" t="s">
        <v>7033</v>
      </c>
      <c r="C1439" s="20" t="s">
        <v>7344</v>
      </c>
      <c r="D1439" s="47"/>
      <c r="E1439" s="22" t="s">
        <v>7345</v>
      </c>
      <c r="F1439" s="22" t="s">
        <v>2698</v>
      </c>
      <c r="G1439" s="23">
        <v>2019.0</v>
      </c>
      <c r="H1439" s="22" t="s">
        <v>3292</v>
      </c>
      <c r="I1439" s="24" t="s">
        <v>7346</v>
      </c>
      <c r="J1439" s="22" t="s">
        <v>7347</v>
      </c>
      <c r="K1439" s="22"/>
      <c r="L1439" s="36" t="s">
        <v>7348</v>
      </c>
      <c r="M1439" s="36"/>
      <c r="N1439" s="36"/>
      <c r="O1439" s="36"/>
      <c r="P1439" s="37"/>
      <c r="Q1439" s="36"/>
      <c r="R1439" s="36"/>
      <c r="S1439" s="36"/>
      <c r="T1439" s="28" t="s">
        <v>7349</v>
      </c>
      <c r="U1439" s="29" t="s">
        <v>61</v>
      </c>
      <c r="V1439" s="30" t="s">
        <v>7350</v>
      </c>
      <c r="W1439" s="49"/>
      <c r="X1439" s="49"/>
      <c r="Y1439" s="35"/>
      <c r="Z1439" s="35"/>
      <c r="AA1439" s="35"/>
      <c r="AB1439" s="35"/>
      <c r="AC1439" s="35"/>
      <c r="AD1439" s="35"/>
      <c r="AE1439" s="35"/>
      <c r="AF1439" s="35"/>
      <c r="AG1439" s="35"/>
      <c r="AH1439" s="35"/>
      <c r="AI1439" s="35"/>
      <c r="AJ1439" s="35"/>
      <c r="AK1439" s="35"/>
      <c r="AL1439" s="35"/>
    </row>
    <row r="1440">
      <c r="A1440" s="1"/>
      <c r="B1440" s="19" t="s">
        <v>7033</v>
      </c>
      <c r="C1440" s="20" t="s">
        <v>7351</v>
      </c>
      <c r="D1440" s="47"/>
      <c r="E1440" s="22" t="s">
        <v>4595</v>
      </c>
      <c r="F1440" s="22" t="s">
        <v>299</v>
      </c>
      <c r="G1440" s="23">
        <v>2011.0</v>
      </c>
      <c r="H1440" s="22" t="s">
        <v>7352</v>
      </c>
      <c r="I1440" s="24" t="s">
        <v>7353</v>
      </c>
      <c r="J1440" s="22" t="s">
        <v>7354</v>
      </c>
      <c r="K1440" s="22" t="s">
        <v>56</v>
      </c>
      <c r="L1440" s="36"/>
      <c r="M1440" s="36"/>
      <c r="N1440" s="36"/>
      <c r="O1440" s="36"/>
      <c r="P1440" s="37"/>
      <c r="Q1440" s="36"/>
      <c r="R1440" s="36"/>
      <c r="S1440" s="36"/>
      <c r="T1440" s="42" t="s">
        <v>7355</v>
      </c>
      <c r="U1440" s="38" t="str">
        <f>HYPERLINK("https://www.ncbi.nlm.nih.gov/pubmed/21394319","PubMed")</f>
        <v>PubMed</v>
      </c>
      <c r="V1440" s="30"/>
      <c r="W1440" s="49"/>
      <c r="X1440" s="49"/>
      <c r="Y1440" s="35"/>
      <c r="Z1440" s="35"/>
      <c r="AA1440" s="35"/>
      <c r="AB1440" s="35"/>
      <c r="AC1440" s="35"/>
      <c r="AD1440" s="35"/>
      <c r="AE1440" s="35"/>
      <c r="AF1440" s="35"/>
      <c r="AG1440" s="35"/>
      <c r="AH1440" s="35"/>
      <c r="AI1440" s="35"/>
      <c r="AJ1440" s="35"/>
      <c r="AK1440" s="35"/>
      <c r="AL1440" s="35"/>
    </row>
    <row r="1441">
      <c r="A1441" s="1"/>
      <c r="B1441" s="19" t="s">
        <v>7033</v>
      </c>
      <c r="C1441" s="20" t="s">
        <v>7356</v>
      </c>
      <c r="D1441" s="47"/>
      <c r="E1441" s="22" t="s">
        <v>7357</v>
      </c>
      <c r="F1441" s="22" t="s">
        <v>7358</v>
      </c>
      <c r="G1441" s="23">
        <v>2023.0</v>
      </c>
      <c r="H1441" s="22" t="s">
        <v>7359</v>
      </c>
      <c r="I1441" s="24" t="s">
        <v>7360</v>
      </c>
      <c r="J1441" s="22" t="s">
        <v>7361</v>
      </c>
      <c r="K1441" s="22" t="s">
        <v>1725</v>
      </c>
      <c r="L1441" s="36" t="s">
        <v>7362</v>
      </c>
      <c r="M1441" s="36"/>
      <c r="N1441" s="36" t="s">
        <v>7363</v>
      </c>
      <c r="O1441" s="36"/>
      <c r="P1441" s="37" t="s">
        <v>7364</v>
      </c>
      <c r="Q1441" s="36"/>
      <c r="R1441" s="36"/>
      <c r="S1441" s="36" t="s">
        <v>7365</v>
      </c>
      <c r="T1441" s="41" t="s">
        <v>7366</v>
      </c>
      <c r="U1441" s="38" t="s">
        <v>61</v>
      </c>
      <c r="V1441" s="50"/>
      <c r="W1441" s="49"/>
      <c r="X1441" s="49"/>
      <c r="Y1441" s="35"/>
      <c r="Z1441" s="35"/>
      <c r="AA1441" s="35"/>
      <c r="AB1441" s="35"/>
      <c r="AC1441" s="35"/>
      <c r="AD1441" s="35"/>
      <c r="AE1441" s="35"/>
      <c r="AF1441" s="35"/>
      <c r="AG1441" s="35"/>
      <c r="AH1441" s="35"/>
      <c r="AI1441" s="35"/>
      <c r="AJ1441" s="35"/>
      <c r="AK1441" s="35"/>
      <c r="AL1441" s="35"/>
    </row>
    <row r="1442">
      <c r="A1442" s="1"/>
      <c r="B1442" s="19" t="s">
        <v>7033</v>
      </c>
      <c r="C1442" s="20" t="s">
        <v>7356</v>
      </c>
      <c r="D1442" s="47"/>
      <c r="E1442" s="22" t="s">
        <v>1080</v>
      </c>
      <c r="F1442" s="22" t="s">
        <v>299</v>
      </c>
      <c r="G1442" s="23">
        <v>2021.0</v>
      </c>
      <c r="H1442" s="22" t="s">
        <v>7367</v>
      </c>
      <c r="I1442" s="24" t="s">
        <v>7368</v>
      </c>
      <c r="J1442" s="22" t="s">
        <v>44</v>
      </c>
      <c r="K1442" s="22"/>
      <c r="L1442" s="36">
        <v>650.0</v>
      </c>
      <c r="M1442" s="36">
        <v>50.0</v>
      </c>
      <c r="N1442" s="36"/>
      <c r="O1442" s="36"/>
      <c r="P1442" s="37" t="s">
        <v>7369</v>
      </c>
      <c r="Q1442" s="36"/>
      <c r="R1442" s="36"/>
      <c r="S1442" s="36" t="s">
        <v>7370</v>
      </c>
      <c r="T1442" s="28" t="s">
        <v>7371</v>
      </c>
      <c r="U1442" s="29" t="s">
        <v>61</v>
      </c>
      <c r="V1442" s="50"/>
      <c r="W1442" s="49"/>
      <c r="X1442" s="49"/>
      <c r="Y1442" s="35"/>
      <c r="Z1442" s="35"/>
      <c r="AA1442" s="35"/>
      <c r="AB1442" s="35"/>
      <c r="AC1442" s="35"/>
      <c r="AD1442" s="35"/>
      <c r="AE1442" s="35"/>
      <c r="AF1442" s="35"/>
      <c r="AG1442" s="35"/>
      <c r="AH1442" s="35"/>
      <c r="AI1442" s="35"/>
      <c r="AJ1442" s="35"/>
      <c r="AK1442" s="35"/>
      <c r="AL1442" s="35"/>
    </row>
    <row r="1443">
      <c r="A1443" s="1"/>
      <c r="B1443" s="19" t="s">
        <v>7033</v>
      </c>
      <c r="C1443" s="20" t="s">
        <v>7356</v>
      </c>
      <c r="D1443" s="47"/>
      <c r="E1443" s="22" t="s">
        <v>7372</v>
      </c>
      <c r="F1443" s="22" t="s">
        <v>6828</v>
      </c>
      <c r="G1443" s="23">
        <v>2017.0</v>
      </c>
      <c r="H1443" s="22" t="s">
        <v>7373</v>
      </c>
      <c r="I1443" s="24" t="s">
        <v>7374</v>
      </c>
      <c r="J1443" s="22" t="s">
        <v>44</v>
      </c>
      <c r="K1443" s="22" t="s">
        <v>7375</v>
      </c>
      <c r="L1443" s="36">
        <v>630.0</v>
      </c>
      <c r="M1443" s="36"/>
      <c r="N1443" s="36"/>
      <c r="O1443" s="36"/>
      <c r="P1443" s="37" t="s">
        <v>432</v>
      </c>
      <c r="Q1443" s="36"/>
      <c r="R1443" s="36"/>
      <c r="S1443" s="36">
        <v>10.0</v>
      </c>
      <c r="T1443" s="28" t="s">
        <v>7376</v>
      </c>
      <c r="U1443" s="38" t="str">
        <f>HYPERLINK("https://www.e-sciencecentral.org/articles/SC000026271","E-ScienceCentral")</f>
        <v>E-ScienceCentral</v>
      </c>
      <c r="V1443" s="50"/>
      <c r="W1443" s="49"/>
      <c r="X1443" s="49"/>
      <c r="Y1443" s="35"/>
      <c r="Z1443" s="35"/>
      <c r="AA1443" s="35"/>
      <c r="AB1443" s="35"/>
      <c r="AC1443" s="35"/>
      <c r="AD1443" s="35"/>
      <c r="AE1443" s="35"/>
      <c r="AF1443" s="35"/>
      <c r="AG1443" s="35"/>
      <c r="AH1443" s="35"/>
      <c r="AI1443" s="35"/>
      <c r="AJ1443" s="35"/>
      <c r="AK1443" s="35"/>
      <c r="AL1443" s="35"/>
    </row>
    <row r="1444">
      <c r="A1444" s="1"/>
      <c r="B1444" s="19" t="s">
        <v>7033</v>
      </c>
      <c r="C1444" s="20" t="s">
        <v>7356</v>
      </c>
      <c r="D1444" s="47"/>
      <c r="E1444" s="22" t="s">
        <v>2498</v>
      </c>
      <c r="F1444" s="22" t="s">
        <v>299</v>
      </c>
      <c r="G1444" s="23">
        <v>2017.0</v>
      </c>
      <c r="H1444" s="22" t="s">
        <v>7149</v>
      </c>
      <c r="I1444" s="24" t="s">
        <v>7377</v>
      </c>
      <c r="J1444" s="22" t="s">
        <v>44</v>
      </c>
      <c r="K1444" s="22" t="s">
        <v>7378</v>
      </c>
      <c r="L1444" s="36" t="s">
        <v>7379</v>
      </c>
      <c r="M1444" s="36"/>
      <c r="N1444" s="36"/>
      <c r="O1444" s="36"/>
      <c r="P1444" s="37"/>
      <c r="Q1444" s="36"/>
      <c r="R1444" s="36"/>
      <c r="S1444" s="36"/>
      <c r="T1444" s="28" t="s">
        <v>7380</v>
      </c>
      <c r="U1444" s="38" t="str">
        <f>HYPERLINK("https://www.ncbi.nlm.nih.gov/pubmed/29200774/","PubMed")</f>
        <v>PubMed</v>
      </c>
      <c r="V1444" s="50"/>
      <c r="W1444" s="49"/>
      <c r="X1444" s="49"/>
      <c r="Y1444" s="35"/>
      <c r="Z1444" s="35"/>
      <c r="AA1444" s="35"/>
      <c r="AB1444" s="35"/>
      <c r="AC1444" s="35"/>
      <c r="AD1444" s="35"/>
      <c r="AE1444" s="35"/>
      <c r="AF1444" s="35"/>
      <c r="AG1444" s="35"/>
      <c r="AH1444" s="35"/>
      <c r="AI1444" s="35"/>
      <c r="AJ1444" s="35"/>
      <c r="AK1444" s="35"/>
      <c r="AL1444" s="35"/>
    </row>
    <row r="1445">
      <c r="A1445" s="1"/>
      <c r="B1445" s="19" t="s">
        <v>7033</v>
      </c>
      <c r="C1445" s="20" t="s">
        <v>7356</v>
      </c>
      <c r="D1445" s="47"/>
      <c r="E1445" s="22" t="s">
        <v>1080</v>
      </c>
      <c r="F1445" s="22" t="s">
        <v>7381</v>
      </c>
      <c r="G1445" s="23">
        <v>2016.0</v>
      </c>
      <c r="H1445" s="22" t="s">
        <v>3292</v>
      </c>
      <c r="I1445" s="24" t="s">
        <v>7382</v>
      </c>
      <c r="J1445" s="22" t="s">
        <v>44</v>
      </c>
      <c r="K1445" s="22" t="s">
        <v>7383</v>
      </c>
      <c r="L1445" s="36">
        <v>850.0</v>
      </c>
      <c r="M1445" s="36"/>
      <c r="N1445" s="36"/>
      <c r="O1445" s="36"/>
      <c r="P1445" s="37" t="s">
        <v>7384</v>
      </c>
      <c r="Q1445" s="36"/>
      <c r="R1445" s="36"/>
      <c r="S1445" s="36"/>
      <c r="T1445" s="28" t="s">
        <v>7385</v>
      </c>
      <c r="U1445" s="38" t="str">
        <f>HYPERLINK("https://www.ncbi.nlm.nih.gov/pubmed/26479265","PubMed")</f>
        <v>PubMed</v>
      </c>
      <c r="V1445" s="50"/>
      <c r="W1445" s="49"/>
      <c r="X1445" s="49"/>
      <c r="Y1445" s="35"/>
      <c r="Z1445" s="35"/>
      <c r="AA1445" s="35"/>
      <c r="AB1445" s="35"/>
      <c r="AC1445" s="35"/>
      <c r="AD1445" s="35"/>
      <c r="AE1445" s="35"/>
      <c r="AF1445" s="35"/>
      <c r="AG1445" s="35"/>
      <c r="AH1445" s="35"/>
      <c r="AI1445" s="35"/>
      <c r="AJ1445" s="35"/>
      <c r="AK1445" s="35"/>
      <c r="AL1445" s="35"/>
    </row>
    <row r="1446">
      <c r="A1446" s="1"/>
      <c r="B1446" s="19" t="s">
        <v>7033</v>
      </c>
      <c r="C1446" s="20" t="s">
        <v>7356</v>
      </c>
      <c r="D1446" s="47"/>
      <c r="E1446" s="22" t="s">
        <v>7386</v>
      </c>
      <c r="F1446" s="22" t="s">
        <v>7387</v>
      </c>
      <c r="G1446" s="23">
        <v>2014.0</v>
      </c>
      <c r="H1446" s="22" t="s">
        <v>7388</v>
      </c>
      <c r="I1446" s="24" t="s">
        <v>7389</v>
      </c>
      <c r="J1446" s="22" t="s">
        <v>2049</v>
      </c>
      <c r="K1446" s="22" t="s">
        <v>7390</v>
      </c>
      <c r="L1446" s="36"/>
      <c r="M1446" s="36"/>
      <c r="N1446" s="36"/>
      <c r="O1446" s="36"/>
      <c r="P1446" s="37" t="s">
        <v>254</v>
      </c>
      <c r="Q1446" s="36"/>
      <c r="R1446" s="36"/>
      <c r="S1446" s="36">
        <v>10.0</v>
      </c>
      <c r="T1446" s="42" t="s">
        <v>7391</v>
      </c>
      <c r="U1446" s="38" t="str">
        <f>HYPERLINK("https://www.ncbi.nlm.nih.gov/pubmed/24909192","PubMed")</f>
        <v>PubMed</v>
      </c>
      <c r="V1446" s="50"/>
      <c r="W1446" s="49"/>
      <c r="X1446" s="49"/>
      <c r="Y1446" s="35"/>
      <c r="Z1446" s="35"/>
      <c r="AA1446" s="35"/>
      <c r="AB1446" s="35"/>
      <c r="AC1446" s="35"/>
      <c r="AD1446" s="35"/>
      <c r="AE1446" s="35"/>
      <c r="AF1446" s="35"/>
      <c r="AG1446" s="35"/>
      <c r="AH1446" s="35"/>
      <c r="AI1446" s="35"/>
      <c r="AJ1446" s="35"/>
      <c r="AK1446" s="35"/>
      <c r="AL1446" s="35"/>
    </row>
    <row r="1447">
      <c r="A1447" s="1"/>
      <c r="B1447" s="19" t="s">
        <v>7033</v>
      </c>
      <c r="C1447" s="20" t="s">
        <v>7356</v>
      </c>
      <c r="D1447" s="47"/>
      <c r="E1447" s="22" t="s">
        <v>1080</v>
      </c>
      <c r="F1447" s="22" t="s">
        <v>7381</v>
      </c>
      <c r="G1447" s="23">
        <v>2013.0</v>
      </c>
      <c r="H1447" s="22" t="s">
        <v>7329</v>
      </c>
      <c r="I1447" s="24" t="s">
        <v>7392</v>
      </c>
      <c r="J1447" s="22" t="s">
        <v>44</v>
      </c>
      <c r="K1447" s="22" t="s">
        <v>7393</v>
      </c>
      <c r="L1447" s="36">
        <v>850.0</v>
      </c>
      <c r="M1447" s="36"/>
      <c r="N1447" s="36"/>
      <c r="O1447" s="36"/>
      <c r="P1447" s="37"/>
      <c r="Q1447" s="36"/>
      <c r="R1447" s="36"/>
      <c r="S1447" s="36"/>
      <c r="T1447" s="28" t="s">
        <v>7394</v>
      </c>
      <c r="U1447" s="38" t="str">
        <f>HYPERLINK("https://www.ncbi.nlm.nih.gov/pubmed/23810774","PubMed")</f>
        <v>PubMed</v>
      </c>
      <c r="V1447" s="50"/>
      <c r="W1447" s="49"/>
      <c r="X1447" s="49"/>
      <c r="Y1447" s="35"/>
      <c r="Z1447" s="35"/>
      <c r="AA1447" s="35"/>
      <c r="AB1447" s="35"/>
      <c r="AC1447" s="35"/>
      <c r="AD1447" s="35"/>
      <c r="AE1447" s="35"/>
      <c r="AF1447" s="35"/>
      <c r="AG1447" s="35"/>
      <c r="AH1447" s="35"/>
      <c r="AI1447" s="35"/>
      <c r="AJ1447" s="35"/>
      <c r="AK1447" s="35"/>
      <c r="AL1447" s="35"/>
    </row>
    <row r="1448">
      <c r="A1448" s="1"/>
      <c r="B1448" s="19" t="s">
        <v>7033</v>
      </c>
      <c r="C1448" s="20" t="s">
        <v>7356</v>
      </c>
      <c r="D1448" s="47"/>
      <c r="E1448" s="22" t="s">
        <v>2195</v>
      </c>
      <c r="F1448" s="22" t="s">
        <v>206</v>
      </c>
      <c r="G1448" s="23">
        <v>2009.0</v>
      </c>
      <c r="H1448" s="22" t="s">
        <v>5032</v>
      </c>
      <c r="I1448" s="24" t="s">
        <v>7395</v>
      </c>
      <c r="J1448" s="22" t="s">
        <v>44</v>
      </c>
      <c r="K1448" s="22" t="s">
        <v>157</v>
      </c>
      <c r="L1448" s="36">
        <v>633.0</v>
      </c>
      <c r="M1448" s="36">
        <v>4.0</v>
      </c>
      <c r="N1448" s="36"/>
      <c r="O1448" s="36"/>
      <c r="P1448" s="37"/>
      <c r="Q1448" s="36"/>
      <c r="R1448" s="36">
        <v>1200.0</v>
      </c>
      <c r="S1448" s="36" t="s">
        <v>7396</v>
      </c>
      <c r="T1448" s="28" t="s">
        <v>7397</v>
      </c>
      <c r="U1448" s="38" t="str">
        <f>HYPERLINK("https://www.ncbi.nlm.nih.gov/pubmed/19242517","PubMed")</f>
        <v>PubMed</v>
      </c>
      <c r="V1448" s="50"/>
      <c r="W1448" s="49"/>
      <c r="X1448" s="49"/>
      <c r="Y1448" s="35"/>
      <c r="Z1448" s="35"/>
      <c r="AA1448" s="35"/>
      <c r="AB1448" s="35"/>
      <c r="AC1448" s="35"/>
      <c r="AD1448" s="35"/>
      <c r="AE1448" s="35"/>
      <c r="AF1448" s="35"/>
      <c r="AG1448" s="35"/>
      <c r="AH1448" s="35"/>
      <c r="AI1448" s="35"/>
      <c r="AJ1448" s="35"/>
      <c r="AK1448" s="35"/>
      <c r="AL1448" s="35"/>
    </row>
    <row r="1449">
      <c r="A1449" s="1"/>
      <c r="B1449" s="19" t="s">
        <v>7033</v>
      </c>
      <c r="C1449" s="20" t="s">
        <v>7356</v>
      </c>
      <c r="D1449" s="47"/>
      <c r="E1449" s="22" t="s">
        <v>7398</v>
      </c>
      <c r="F1449" s="22" t="s">
        <v>7399</v>
      </c>
      <c r="G1449" s="23">
        <v>1993.0</v>
      </c>
      <c r="H1449" s="22" t="s">
        <v>292</v>
      </c>
      <c r="I1449" s="24" t="s">
        <v>7400</v>
      </c>
      <c r="J1449" s="22" t="s">
        <v>7401</v>
      </c>
      <c r="K1449" s="22"/>
      <c r="L1449" s="36">
        <v>830.0</v>
      </c>
      <c r="M1449" s="36">
        <v>60.0</v>
      </c>
      <c r="N1449" s="36"/>
      <c r="O1449" s="36"/>
      <c r="P1449" s="37"/>
      <c r="Q1449" s="36" t="s">
        <v>7402</v>
      </c>
      <c r="R1449" s="36" t="s">
        <v>2709</v>
      </c>
      <c r="S1449" s="36" t="s">
        <v>7403</v>
      </c>
      <c r="T1449" s="28" t="s">
        <v>7404</v>
      </c>
      <c r="U1449" s="38" t="str">
        <f>HYPERLINK("https://www.jstage.jst.go.jp/article/islsm/5/2/5_93-OR-08/_article/-char/en","J-STAGE")</f>
        <v>J-STAGE</v>
      </c>
      <c r="V1449" s="50"/>
      <c r="W1449" s="49"/>
      <c r="X1449" s="49"/>
      <c r="Y1449" s="35"/>
      <c r="Z1449" s="35"/>
      <c r="AA1449" s="35"/>
      <c r="AB1449" s="35"/>
      <c r="AC1449" s="35"/>
      <c r="AD1449" s="35"/>
      <c r="AE1449" s="35"/>
      <c r="AF1449" s="35"/>
      <c r="AG1449" s="35"/>
      <c r="AH1449" s="35"/>
      <c r="AI1449" s="35"/>
      <c r="AJ1449" s="35"/>
      <c r="AK1449" s="35"/>
      <c r="AL1449" s="35"/>
    </row>
    <row r="1450">
      <c r="A1450" s="1"/>
      <c r="B1450" s="19" t="s">
        <v>7033</v>
      </c>
      <c r="C1450" s="20" t="s">
        <v>7405</v>
      </c>
      <c r="D1450" s="47"/>
      <c r="E1450" s="22" t="s">
        <v>1648</v>
      </c>
      <c r="F1450" s="22" t="s">
        <v>299</v>
      </c>
      <c r="G1450" s="23">
        <v>2019.0</v>
      </c>
      <c r="H1450" s="22" t="s">
        <v>7149</v>
      </c>
      <c r="I1450" s="24" t="s">
        <v>7406</v>
      </c>
      <c r="J1450" s="22" t="s">
        <v>7407</v>
      </c>
      <c r="K1450" s="22" t="s">
        <v>157</v>
      </c>
      <c r="L1450" s="36" t="s">
        <v>7408</v>
      </c>
      <c r="M1450" s="36"/>
      <c r="N1450" s="36"/>
      <c r="O1450" s="36"/>
      <c r="P1450" s="37"/>
      <c r="Q1450" s="36"/>
      <c r="R1450" s="36">
        <v>1200.0</v>
      </c>
      <c r="S1450" s="36" t="s">
        <v>7409</v>
      </c>
      <c r="T1450" s="42" t="s">
        <v>7410</v>
      </c>
      <c r="U1450" s="29" t="s">
        <v>61</v>
      </c>
      <c r="V1450" s="50"/>
      <c r="W1450" s="49"/>
      <c r="X1450" s="49"/>
      <c r="Y1450" s="35"/>
      <c r="Z1450" s="35"/>
      <c r="AA1450" s="35"/>
      <c r="AB1450" s="35"/>
      <c r="AC1450" s="35"/>
      <c r="AD1450" s="35"/>
      <c r="AE1450" s="35"/>
      <c r="AF1450" s="35"/>
      <c r="AG1450" s="35"/>
      <c r="AH1450" s="35"/>
      <c r="AI1450" s="35"/>
      <c r="AJ1450" s="35"/>
      <c r="AK1450" s="35"/>
      <c r="AL1450" s="35"/>
    </row>
    <row r="1451">
      <c r="A1451" s="40"/>
      <c r="B1451" s="19" t="s">
        <v>7033</v>
      </c>
      <c r="C1451" s="20" t="s">
        <v>7411</v>
      </c>
      <c r="D1451" s="47"/>
      <c r="E1451" s="22" t="s">
        <v>7412</v>
      </c>
      <c r="F1451" s="22" t="s">
        <v>7413</v>
      </c>
      <c r="G1451" s="23">
        <v>2016.0</v>
      </c>
      <c r="H1451" s="22" t="s">
        <v>42</v>
      </c>
      <c r="I1451" s="24" t="s">
        <v>7414</v>
      </c>
      <c r="J1451" s="22" t="s">
        <v>31</v>
      </c>
      <c r="K1451" s="22" t="s">
        <v>7415</v>
      </c>
      <c r="L1451" s="36">
        <v>633.0</v>
      </c>
      <c r="M1451" s="36"/>
      <c r="N1451" s="36" t="s">
        <v>7416</v>
      </c>
      <c r="O1451" s="36"/>
      <c r="P1451" s="37"/>
      <c r="Q1451" s="36"/>
      <c r="R1451" s="36"/>
      <c r="S1451" s="36"/>
      <c r="T1451" s="28" t="s">
        <v>7417</v>
      </c>
      <c r="U1451" s="215"/>
      <c r="V1451" s="50"/>
      <c r="W1451" s="49"/>
      <c r="X1451" s="49"/>
      <c r="Y1451" s="35"/>
      <c r="Z1451" s="35"/>
      <c r="AA1451" s="35"/>
      <c r="AB1451" s="35"/>
      <c r="AC1451" s="35"/>
      <c r="AD1451" s="35"/>
      <c r="AE1451" s="35"/>
      <c r="AF1451" s="35"/>
      <c r="AG1451" s="35"/>
      <c r="AH1451" s="35"/>
      <c r="AI1451" s="35"/>
      <c r="AJ1451" s="35"/>
      <c r="AK1451" s="35"/>
      <c r="AL1451" s="35"/>
    </row>
    <row r="1452">
      <c r="A1452" s="40"/>
      <c r="B1452" s="19" t="s">
        <v>7033</v>
      </c>
      <c r="C1452" s="20" t="s">
        <v>7411</v>
      </c>
      <c r="D1452" s="47"/>
      <c r="E1452" s="22" t="s">
        <v>7418</v>
      </c>
      <c r="F1452" s="22" t="s">
        <v>7419</v>
      </c>
      <c r="G1452" s="23">
        <v>2016.0</v>
      </c>
      <c r="H1452" s="22" t="s">
        <v>7420</v>
      </c>
      <c r="I1452" s="24" t="s">
        <v>7421</v>
      </c>
      <c r="J1452" s="22" t="s">
        <v>31</v>
      </c>
      <c r="K1452" s="22" t="s">
        <v>56</v>
      </c>
      <c r="L1452" s="36" t="s">
        <v>7422</v>
      </c>
      <c r="M1452" s="36"/>
      <c r="N1452" s="36"/>
      <c r="O1452" s="36"/>
      <c r="P1452" s="37"/>
      <c r="Q1452" s="36"/>
      <c r="R1452" s="36"/>
      <c r="S1452" s="36"/>
      <c r="T1452" s="28" t="s">
        <v>7423</v>
      </c>
      <c r="U1452" s="38" t="str">
        <f>HYPERLINK("https://www.ncbi.nlm.nih.gov/pubmed/26844814","PubMed")</f>
        <v>PubMed</v>
      </c>
      <c r="V1452" s="50"/>
      <c r="W1452" s="130" t="str">
        <f>HYPERLINK("https://www.ncbi.nlm.nih.gov/pubmed/27315042","Comment")</f>
        <v>Comment</v>
      </c>
      <c r="X1452" s="49"/>
      <c r="Y1452" s="35"/>
      <c r="Z1452" s="35"/>
      <c r="AA1452" s="35"/>
      <c r="AB1452" s="35"/>
      <c r="AC1452" s="35"/>
      <c r="AD1452" s="35"/>
      <c r="AE1452" s="35"/>
      <c r="AF1452" s="35"/>
      <c r="AG1452" s="35"/>
      <c r="AH1452" s="35"/>
      <c r="AI1452" s="35"/>
      <c r="AJ1452" s="35"/>
      <c r="AK1452" s="35"/>
      <c r="AL1452" s="35"/>
    </row>
    <row r="1453">
      <c r="A1453" s="40"/>
      <c r="B1453" s="19" t="s">
        <v>7033</v>
      </c>
      <c r="C1453" s="20" t="s">
        <v>7411</v>
      </c>
      <c r="D1453" s="47"/>
      <c r="E1453" s="22" t="s">
        <v>7424</v>
      </c>
      <c r="F1453" s="22" t="s">
        <v>7425</v>
      </c>
      <c r="G1453" s="23">
        <v>2015.0</v>
      </c>
      <c r="H1453" s="22" t="s">
        <v>5043</v>
      </c>
      <c r="I1453" s="24" t="s">
        <v>7426</v>
      </c>
      <c r="J1453" s="22" t="s">
        <v>31</v>
      </c>
      <c r="K1453" s="22" t="s">
        <v>7427</v>
      </c>
      <c r="L1453" s="36" t="s">
        <v>7428</v>
      </c>
      <c r="M1453" s="36"/>
      <c r="N1453" s="36"/>
      <c r="O1453" s="36"/>
      <c r="P1453" s="37"/>
      <c r="Q1453" s="36"/>
      <c r="R1453" s="36"/>
      <c r="S1453" s="36"/>
      <c r="T1453" s="28" t="s">
        <v>7429</v>
      </c>
      <c r="U1453" s="38" t="str">
        <f>HYPERLINK("https://www.ncbi.nlm.nih.gov/pubmed/25597504","PubMed")</f>
        <v>PubMed</v>
      </c>
      <c r="V1453" s="50"/>
      <c r="W1453" s="49"/>
      <c r="X1453" s="49"/>
      <c r="Y1453" s="35"/>
      <c r="Z1453" s="35"/>
      <c r="AA1453" s="35"/>
      <c r="AB1453" s="35"/>
      <c r="AC1453" s="35"/>
      <c r="AD1453" s="35"/>
      <c r="AE1453" s="35"/>
      <c r="AF1453" s="35"/>
      <c r="AG1453" s="35"/>
      <c r="AH1453" s="35"/>
      <c r="AI1453" s="35"/>
      <c r="AJ1453" s="35"/>
      <c r="AK1453" s="35"/>
      <c r="AL1453" s="35"/>
    </row>
    <row r="1454">
      <c r="A1454" s="40"/>
      <c r="B1454" s="19" t="s">
        <v>7033</v>
      </c>
      <c r="C1454" s="20" t="s">
        <v>7411</v>
      </c>
      <c r="D1454" s="47"/>
      <c r="E1454" s="22" t="s">
        <v>2243</v>
      </c>
      <c r="F1454" s="22" t="s">
        <v>7381</v>
      </c>
      <c r="G1454" s="23">
        <v>2012.0</v>
      </c>
      <c r="H1454" s="22" t="s">
        <v>5489</v>
      </c>
      <c r="I1454" s="24" t="s">
        <v>7430</v>
      </c>
      <c r="J1454" s="22" t="s">
        <v>31</v>
      </c>
      <c r="K1454" s="22" t="s">
        <v>7431</v>
      </c>
      <c r="L1454" s="36" t="s">
        <v>7432</v>
      </c>
      <c r="M1454" s="36"/>
      <c r="N1454" s="36"/>
      <c r="O1454" s="36"/>
      <c r="P1454" s="37" t="s">
        <v>7433</v>
      </c>
      <c r="Q1454" s="36"/>
      <c r="R1454" s="36"/>
      <c r="S1454" s="36"/>
      <c r="T1454" s="28" t="s">
        <v>7434</v>
      </c>
      <c r="U1454" s="38" t="str">
        <f>HYPERLINK("https://www.ncbi.nlm.nih.gov/pubmed/22804869","PubMed")</f>
        <v>PubMed</v>
      </c>
      <c r="V1454" s="50"/>
      <c r="W1454" s="49"/>
      <c r="X1454" s="49"/>
      <c r="Y1454" s="35"/>
      <c r="Z1454" s="35"/>
      <c r="AA1454" s="35"/>
      <c r="AB1454" s="35"/>
      <c r="AC1454" s="35"/>
      <c r="AD1454" s="35"/>
      <c r="AE1454" s="35"/>
      <c r="AF1454" s="35"/>
      <c r="AG1454" s="35"/>
      <c r="AH1454" s="35"/>
      <c r="AI1454" s="35"/>
      <c r="AJ1454" s="35"/>
      <c r="AK1454" s="35"/>
      <c r="AL1454" s="35"/>
    </row>
    <row r="1455">
      <c r="A1455" s="40"/>
      <c r="B1455" s="19" t="s">
        <v>7033</v>
      </c>
      <c r="C1455" s="20" t="s">
        <v>7411</v>
      </c>
      <c r="D1455" s="47"/>
      <c r="E1455" s="22" t="s">
        <v>7435</v>
      </c>
      <c r="F1455" s="22" t="s">
        <v>2152</v>
      </c>
      <c r="G1455" s="23">
        <v>1998.0</v>
      </c>
      <c r="H1455" s="22" t="s">
        <v>5032</v>
      </c>
      <c r="I1455" s="24" t="s">
        <v>7436</v>
      </c>
      <c r="J1455" s="22" t="s">
        <v>31</v>
      </c>
      <c r="K1455" s="22" t="s">
        <v>7437</v>
      </c>
      <c r="L1455" s="36"/>
      <c r="M1455" s="36"/>
      <c r="N1455" s="36"/>
      <c r="O1455" s="36"/>
      <c r="P1455" s="37"/>
      <c r="Q1455" s="36"/>
      <c r="R1455" s="36"/>
      <c r="S1455" s="36"/>
      <c r="T1455" s="28" t="s">
        <v>7438</v>
      </c>
      <c r="U1455" s="38" t="str">
        <f>HYPERLINK("https://www.ncbi.nlm.nih.gov/pubmed/9764844","PubMed")</f>
        <v>PubMed</v>
      </c>
      <c r="V1455" s="50"/>
      <c r="W1455" s="49"/>
      <c r="X1455" s="49"/>
      <c r="Y1455" s="35"/>
      <c r="Z1455" s="35"/>
      <c r="AA1455" s="35"/>
      <c r="AB1455" s="35"/>
      <c r="AC1455" s="35"/>
      <c r="AD1455" s="35"/>
      <c r="AE1455" s="35"/>
      <c r="AF1455" s="35"/>
      <c r="AG1455" s="35"/>
      <c r="AH1455" s="35"/>
      <c r="AI1455" s="35"/>
      <c r="AJ1455" s="35"/>
      <c r="AK1455" s="35"/>
      <c r="AL1455" s="35"/>
    </row>
    <row r="1456">
      <c r="A1456" s="146"/>
      <c r="B1456" s="19" t="s">
        <v>7033</v>
      </c>
      <c r="C1456" s="20" t="s">
        <v>7439</v>
      </c>
      <c r="D1456" s="47"/>
      <c r="E1456" s="22" t="s">
        <v>7440</v>
      </c>
      <c r="F1456" s="22" t="s">
        <v>7441</v>
      </c>
      <c r="G1456" s="23">
        <v>1995.0</v>
      </c>
      <c r="H1456" s="22" t="s">
        <v>7442</v>
      </c>
      <c r="I1456" s="24" t="s">
        <v>7443</v>
      </c>
      <c r="J1456" s="22" t="s">
        <v>44</v>
      </c>
      <c r="K1456" s="22" t="s">
        <v>7444</v>
      </c>
      <c r="L1456" s="36">
        <v>633.0</v>
      </c>
      <c r="M1456" s="36"/>
      <c r="N1456" s="36"/>
      <c r="O1456" s="36"/>
      <c r="P1456" s="37" t="s">
        <v>7445</v>
      </c>
      <c r="Q1456" s="36"/>
      <c r="R1456" s="36"/>
      <c r="S1456" s="36"/>
      <c r="T1456" s="54" t="s">
        <v>7446</v>
      </c>
      <c r="U1456" s="38" t="str">
        <f>HYPERLINK("https://www.ncbi.nlm.nih.gov/pubmed/8667602","PubMed")</f>
        <v>PubMed</v>
      </c>
      <c r="V1456" s="50"/>
      <c r="W1456" s="49"/>
      <c r="X1456" s="49"/>
      <c r="Y1456" s="35"/>
      <c r="Z1456" s="35"/>
      <c r="AA1456" s="35"/>
      <c r="AB1456" s="35"/>
      <c r="AC1456" s="35"/>
      <c r="AD1456" s="35"/>
      <c r="AE1456" s="35"/>
      <c r="AF1456" s="35"/>
      <c r="AG1456" s="35"/>
      <c r="AH1456" s="35"/>
      <c r="AI1456" s="35"/>
      <c r="AJ1456" s="35"/>
      <c r="AK1456" s="35"/>
      <c r="AL1456" s="35"/>
    </row>
    <row r="1457">
      <c r="A1457" s="146"/>
      <c r="B1457" s="19" t="s">
        <v>7033</v>
      </c>
      <c r="C1457" s="20" t="s">
        <v>7447</v>
      </c>
      <c r="D1457" s="47"/>
      <c r="E1457" s="22" t="s">
        <v>7448</v>
      </c>
      <c r="F1457" s="22" t="s">
        <v>7449</v>
      </c>
      <c r="G1457" s="23">
        <v>2019.0</v>
      </c>
      <c r="H1457" s="22" t="s">
        <v>177</v>
      </c>
      <c r="I1457" s="24" t="s">
        <v>7450</v>
      </c>
      <c r="J1457" s="22" t="s">
        <v>31</v>
      </c>
      <c r="K1457" s="22"/>
      <c r="L1457" s="36">
        <v>660.0</v>
      </c>
      <c r="M1457" s="36"/>
      <c r="N1457" s="36" t="s">
        <v>7451</v>
      </c>
      <c r="O1457" s="36"/>
      <c r="P1457" s="37"/>
      <c r="Q1457" s="36"/>
      <c r="R1457" s="36"/>
      <c r="S1457" s="36"/>
      <c r="T1457" s="54" t="s">
        <v>7452</v>
      </c>
      <c r="U1457" s="38" t="str">
        <f>HYPERLINK("https://www.ncbi.nlm.nih.gov/pubmed/30858901","PubMed")</f>
        <v>PubMed</v>
      </c>
      <c r="V1457" s="50"/>
      <c r="W1457" s="49"/>
      <c r="X1457" s="49"/>
      <c r="Y1457" s="35"/>
      <c r="Z1457" s="35"/>
      <c r="AA1457" s="35"/>
      <c r="AB1457" s="35"/>
      <c r="AC1457" s="35"/>
      <c r="AD1457" s="35"/>
      <c r="AE1457" s="35"/>
      <c r="AF1457" s="35"/>
      <c r="AG1457" s="35"/>
      <c r="AH1457" s="35"/>
      <c r="AI1457" s="35"/>
      <c r="AJ1457" s="35"/>
      <c r="AK1457" s="35"/>
      <c r="AL1457" s="35"/>
    </row>
    <row r="1458">
      <c r="A1458" s="1"/>
      <c r="B1458" s="19" t="s">
        <v>7033</v>
      </c>
      <c r="C1458" s="20" t="s">
        <v>7453</v>
      </c>
      <c r="D1458" s="47"/>
      <c r="E1458" s="22" t="s">
        <v>7454</v>
      </c>
      <c r="F1458" s="22" t="s">
        <v>3301</v>
      </c>
      <c r="G1458" s="23">
        <v>2014.0</v>
      </c>
      <c r="H1458" s="22" t="s">
        <v>7178</v>
      </c>
      <c r="I1458" s="24" t="s">
        <v>7455</v>
      </c>
      <c r="J1458" s="22" t="s">
        <v>7456</v>
      </c>
      <c r="K1458" s="22" t="s">
        <v>7457</v>
      </c>
      <c r="L1458" s="36">
        <v>633.0</v>
      </c>
      <c r="M1458" s="36"/>
      <c r="N1458" s="36"/>
      <c r="O1458" s="36"/>
      <c r="P1458" s="37"/>
      <c r="Q1458" s="36"/>
      <c r="R1458" s="36">
        <v>1200.0</v>
      </c>
      <c r="S1458" s="36" t="s">
        <v>7458</v>
      </c>
      <c r="T1458" s="28" t="s">
        <v>7459</v>
      </c>
      <c r="U1458" s="38" t="str">
        <f>HYPERLINK("http://www.ijdvl.com/article.asp?issn=0378-6323;year=2014;volume=80;issue=2;spage=194;epage=194;aulast=Luan","IJDVL")</f>
        <v>IJDVL</v>
      </c>
      <c r="V1458" s="50"/>
      <c r="W1458" s="49"/>
      <c r="X1458" s="49"/>
      <c r="Y1458" s="35"/>
      <c r="Z1458" s="35"/>
      <c r="AA1458" s="35"/>
      <c r="AB1458" s="35"/>
      <c r="AC1458" s="35"/>
      <c r="AD1458" s="35"/>
      <c r="AE1458" s="35"/>
      <c r="AF1458" s="35"/>
      <c r="AG1458" s="35"/>
      <c r="AH1458" s="35"/>
      <c r="AI1458" s="35"/>
      <c r="AJ1458" s="35"/>
      <c r="AK1458" s="35"/>
      <c r="AL1458" s="35"/>
    </row>
    <row r="1459">
      <c r="A1459" s="1"/>
      <c r="B1459" s="19" t="s">
        <v>7033</v>
      </c>
      <c r="C1459" s="20" t="s">
        <v>7460</v>
      </c>
      <c r="D1459" s="47"/>
      <c r="E1459" s="22" t="s">
        <v>7461</v>
      </c>
      <c r="F1459" s="22" t="s">
        <v>6888</v>
      </c>
      <c r="G1459" s="23">
        <v>2018.0</v>
      </c>
      <c r="H1459" s="22" t="s">
        <v>4975</v>
      </c>
      <c r="I1459" s="24" t="s">
        <v>7462</v>
      </c>
      <c r="J1459" s="22" t="s">
        <v>31</v>
      </c>
      <c r="K1459" s="22" t="s">
        <v>7463</v>
      </c>
      <c r="L1459" s="36" t="s">
        <v>7464</v>
      </c>
      <c r="M1459" s="36"/>
      <c r="N1459" s="36"/>
      <c r="O1459" s="36"/>
      <c r="P1459" s="37" t="s">
        <v>7465</v>
      </c>
      <c r="Q1459" s="36"/>
      <c r="R1459" s="36"/>
      <c r="S1459" s="36"/>
      <c r="T1459" s="28" t="s">
        <v>7466</v>
      </c>
      <c r="U1459" s="38" t="str">
        <f>HYPERLINK("https://www.ncbi.nlm.nih.gov/pubmed/28763105","PubMed")</f>
        <v>PubMed</v>
      </c>
      <c r="V1459" s="50"/>
      <c r="W1459" s="49"/>
      <c r="X1459" s="49"/>
      <c r="Y1459" s="35"/>
      <c r="Z1459" s="35"/>
      <c r="AA1459" s="35"/>
      <c r="AB1459" s="35"/>
      <c r="AC1459" s="35"/>
      <c r="AD1459" s="35"/>
      <c r="AE1459" s="35"/>
      <c r="AF1459" s="35"/>
      <c r="AG1459" s="35"/>
      <c r="AH1459" s="35"/>
      <c r="AI1459" s="35"/>
      <c r="AJ1459" s="35"/>
      <c r="AK1459" s="35"/>
      <c r="AL1459" s="35"/>
    </row>
    <row r="1460">
      <c r="A1460" s="1"/>
      <c r="B1460" s="19" t="s">
        <v>7033</v>
      </c>
      <c r="C1460" s="20" t="s">
        <v>7460</v>
      </c>
      <c r="D1460" s="47"/>
      <c r="E1460" s="22" t="s">
        <v>7467</v>
      </c>
      <c r="F1460" s="22" t="s">
        <v>1398</v>
      </c>
      <c r="G1460" s="23">
        <v>2006.0</v>
      </c>
      <c r="H1460" s="22" t="s">
        <v>7468</v>
      </c>
      <c r="I1460" s="24" t="s">
        <v>7469</v>
      </c>
      <c r="J1460" s="22" t="s">
        <v>7470</v>
      </c>
      <c r="K1460" s="22" t="s">
        <v>157</v>
      </c>
      <c r="L1460" s="36">
        <v>630.0</v>
      </c>
      <c r="M1460" s="36"/>
      <c r="N1460" s="36" t="s">
        <v>7471</v>
      </c>
      <c r="O1460" s="36"/>
      <c r="P1460" s="37" t="s">
        <v>7472</v>
      </c>
      <c r="Q1460" s="36"/>
      <c r="R1460" s="36">
        <v>900.0</v>
      </c>
      <c r="S1460" s="36" t="s">
        <v>2799</v>
      </c>
      <c r="T1460" s="28" t="s">
        <v>7473</v>
      </c>
      <c r="U1460" s="38" t="str">
        <f>HYPERLINK("https://www.ncbi.nlm.nih.gov/pubmed/16641531","PubMed")</f>
        <v>PubMed</v>
      </c>
      <c r="V1460" s="50"/>
      <c r="W1460" s="49"/>
      <c r="X1460" s="49"/>
      <c r="Y1460" s="35"/>
      <c r="Z1460" s="35"/>
      <c r="AA1460" s="35"/>
      <c r="AB1460" s="35"/>
      <c r="AC1460" s="35"/>
      <c r="AD1460" s="35"/>
      <c r="AE1460" s="35"/>
      <c r="AF1460" s="35"/>
      <c r="AG1460" s="35"/>
      <c r="AH1460" s="35"/>
      <c r="AI1460" s="35"/>
      <c r="AJ1460" s="35"/>
      <c r="AK1460" s="35"/>
      <c r="AL1460" s="35"/>
    </row>
    <row r="1461">
      <c r="A1461" s="1"/>
      <c r="B1461" s="19" t="s">
        <v>7033</v>
      </c>
      <c r="C1461" s="20" t="s">
        <v>7460</v>
      </c>
      <c r="D1461" s="47"/>
      <c r="E1461" s="22" t="s">
        <v>7474</v>
      </c>
      <c r="F1461" s="22" t="s">
        <v>7475</v>
      </c>
      <c r="G1461" s="23">
        <v>1996.0</v>
      </c>
      <c r="H1461" s="22" t="s">
        <v>3292</v>
      </c>
      <c r="I1461" s="24" t="s">
        <v>7476</v>
      </c>
      <c r="J1461" s="22" t="s">
        <v>44</v>
      </c>
      <c r="K1461" s="22" t="s">
        <v>56</v>
      </c>
      <c r="L1461" s="36" t="s">
        <v>7477</v>
      </c>
      <c r="M1461" s="36"/>
      <c r="N1461" s="36"/>
      <c r="O1461" s="36"/>
      <c r="P1461" s="37"/>
      <c r="Q1461" s="36"/>
      <c r="R1461" s="36"/>
      <c r="S1461" s="36"/>
      <c r="T1461" s="28" t="s">
        <v>7478</v>
      </c>
      <c r="U1461" s="38" t="str">
        <f>HYPERLINK("https://www.ncbi.nlm.nih.gov/pubmed/9181607","PubMed")</f>
        <v>PubMed</v>
      </c>
      <c r="V1461" s="50"/>
      <c r="W1461" s="49"/>
      <c r="X1461" s="49"/>
      <c r="Y1461" s="35"/>
      <c r="Z1461" s="35"/>
      <c r="AA1461" s="35"/>
      <c r="AB1461" s="35"/>
      <c r="AC1461" s="35"/>
      <c r="AD1461" s="35"/>
      <c r="AE1461" s="35"/>
      <c r="AF1461" s="35"/>
      <c r="AG1461" s="35"/>
      <c r="AH1461" s="35"/>
      <c r="AI1461" s="35"/>
      <c r="AJ1461" s="35"/>
      <c r="AK1461" s="35"/>
      <c r="AL1461" s="35"/>
    </row>
    <row r="1462">
      <c r="A1462" s="1"/>
      <c r="B1462" s="19" t="s">
        <v>7033</v>
      </c>
      <c r="C1462" s="20" t="s">
        <v>7479</v>
      </c>
      <c r="D1462" s="47"/>
      <c r="E1462" s="22" t="s">
        <v>7480</v>
      </c>
      <c r="F1462" s="22" t="s">
        <v>7481</v>
      </c>
      <c r="G1462" s="23">
        <v>2024.0</v>
      </c>
      <c r="H1462" s="22" t="s">
        <v>7482</v>
      </c>
      <c r="I1462" s="24" t="s">
        <v>7483</v>
      </c>
      <c r="J1462" s="22" t="s">
        <v>7484</v>
      </c>
      <c r="K1462" s="22"/>
      <c r="L1462" s="36"/>
      <c r="M1462" s="36"/>
      <c r="N1462" s="36"/>
      <c r="O1462" s="36">
        <v>196.0</v>
      </c>
      <c r="P1462" s="37" t="s">
        <v>432</v>
      </c>
      <c r="Q1462" s="36"/>
      <c r="R1462" s="36"/>
      <c r="S1462" s="36"/>
      <c r="T1462" s="41" t="s">
        <v>7485</v>
      </c>
      <c r="U1462" s="38" t="s">
        <v>61</v>
      </c>
      <c r="V1462" s="50"/>
      <c r="W1462" s="49"/>
      <c r="X1462" s="49"/>
      <c r="Y1462" s="35"/>
      <c r="Z1462" s="35"/>
      <c r="AA1462" s="35"/>
      <c r="AB1462" s="35"/>
      <c r="AC1462" s="35"/>
      <c r="AD1462" s="35"/>
      <c r="AE1462" s="35"/>
      <c r="AF1462" s="35"/>
      <c r="AG1462" s="35"/>
      <c r="AH1462" s="35"/>
      <c r="AI1462" s="35"/>
      <c r="AJ1462" s="35"/>
      <c r="AK1462" s="35"/>
      <c r="AL1462" s="35"/>
    </row>
    <row r="1463">
      <c r="A1463" s="1" t="s">
        <v>2</v>
      </c>
      <c r="B1463" s="19" t="s">
        <v>7033</v>
      </c>
      <c r="C1463" s="20" t="s">
        <v>7479</v>
      </c>
      <c r="D1463" s="47"/>
      <c r="E1463" s="22" t="s">
        <v>7486</v>
      </c>
      <c r="F1463" s="22" t="s">
        <v>2407</v>
      </c>
      <c r="G1463" s="23">
        <v>2014.0</v>
      </c>
      <c r="H1463" s="22" t="s">
        <v>91</v>
      </c>
      <c r="I1463" s="24" t="s">
        <v>7487</v>
      </c>
      <c r="J1463" s="22" t="s">
        <v>44</v>
      </c>
      <c r="K1463" s="22" t="s">
        <v>294</v>
      </c>
      <c r="L1463" s="36" t="s">
        <v>7488</v>
      </c>
      <c r="M1463" s="36" t="s">
        <v>7489</v>
      </c>
      <c r="N1463" s="36" t="s">
        <v>7490</v>
      </c>
      <c r="O1463" s="36" t="s">
        <v>7491</v>
      </c>
      <c r="P1463" s="37" t="s">
        <v>7492</v>
      </c>
      <c r="Q1463" s="36" t="s">
        <v>7493</v>
      </c>
      <c r="R1463" s="36" t="s">
        <v>7494</v>
      </c>
      <c r="S1463" s="36" t="s">
        <v>7495</v>
      </c>
      <c r="T1463" s="28" t="s">
        <v>7496</v>
      </c>
      <c r="U1463" s="38" t="str">
        <f>HYPERLINK("https://www.ncbi.nlm.nih.gov/pubmed/23619627","PubMed")</f>
        <v>PubMed</v>
      </c>
      <c r="V1463" s="50"/>
      <c r="W1463" s="49"/>
      <c r="X1463" s="49"/>
      <c r="Y1463" s="35"/>
      <c r="Z1463" s="35"/>
      <c r="AA1463" s="35"/>
      <c r="AB1463" s="35"/>
      <c r="AC1463" s="35"/>
      <c r="AD1463" s="35"/>
      <c r="AE1463" s="35"/>
      <c r="AF1463" s="35"/>
      <c r="AG1463" s="35"/>
      <c r="AH1463" s="35"/>
      <c r="AI1463" s="35"/>
      <c r="AJ1463" s="35"/>
      <c r="AK1463" s="35"/>
      <c r="AL1463" s="35"/>
    </row>
    <row r="1464">
      <c r="A1464" s="1"/>
      <c r="B1464" s="19" t="s">
        <v>7033</v>
      </c>
      <c r="C1464" s="20" t="s">
        <v>7497</v>
      </c>
      <c r="D1464" s="47"/>
      <c r="E1464" s="22" t="s">
        <v>2995</v>
      </c>
      <c r="F1464" s="22" t="s">
        <v>1943</v>
      </c>
      <c r="G1464" s="23">
        <v>2020.0</v>
      </c>
      <c r="H1464" s="22" t="s">
        <v>147</v>
      </c>
      <c r="I1464" s="24" t="s">
        <v>7498</v>
      </c>
      <c r="J1464" s="22" t="s">
        <v>7499</v>
      </c>
      <c r="K1464" s="22"/>
      <c r="L1464" s="52">
        <v>632.0</v>
      </c>
      <c r="M1464" s="52"/>
      <c r="N1464" s="52" t="s">
        <v>821</v>
      </c>
      <c r="O1464" s="52"/>
      <c r="P1464" s="189" t="s">
        <v>7500</v>
      </c>
      <c r="Q1464" s="52"/>
      <c r="R1464" s="52" t="s">
        <v>7501</v>
      </c>
      <c r="S1464" s="52" t="s">
        <v>4905</v>
      </c>
      <c r="T1464" s="28" t="s">
        <v>7502</v>
      </c>
      <c r="U1464" s="29" t="s">
        <v>61</v>
      </c>
      <c r="V1464" s="50"/>
      <c r="W1464" s="49"/>
      <c r="X1464" s="49"/>
      <c r="Y1464" s="35"/>
      <c r="Z1464" s="35"/>
      <c r="AA1464" s="35"/>
      <c r="AB1464" s="35"/>
      <c r="AC1464" s="35"/>
      <c r="AD1464" s="35"/>
      <c r="AE1464" s="35"/>
      <c r="AF1464" s="35"/>
      <c r="AG1464" s="35"/>
      <c r="AH1464" s="35"/>
      <c r="AI1464" s="35"/>
      <c r="AJ1464" s="35"/>
      <c r="AK1464" s="35"/>
      <c r="AL1464" s="35"/>
    </row>
    <row r="1465">
      <c r="A1465" s="1"/>
      <c r="B1465" s="19" t="s">
        <v>7033</v>
      </c>
      <c r="C1465" s="20" t="s">
        <v>7497</v>
      </c>
      <c r="D1465" s="47"/>
      <c r="E1465" s="22" t="s">
        <v>7503</v>
      </c>
      <c r="F1465" s="22" t="s">
        <v>3511</v>
      </c>
      <c r="G1465" s="23">
        <v>2017.0</v>
      </c>
      <c r="H1465" s="22" t="s">
        <v>169</v>
      </c>
      <c r="I1465" s="24" t="s">
        <v>7504</v>
      </c>
      <c r="J1465" s="22" t="s">
        <v>7505</v>
      </c>
      <c r="K1465" s="22"/>
      <c r="L1465" s="52">
        <v>830.0</v>
      </c>
      <c r="M1465" s="52"/>
      <c r="N1465" s="52"/>
      <c r="O1465" s="52"/>
      <c r="P1465" s="189"/>
      <c r="Q1465" s="52"/>
      <c r="R1465" s="52" t="s">
        <v>7506</v>
      </c>
      <c r="S1465" s="52" t="s">
        <v>7507</v>
      </c>
      <c r="T1465" s="28" t="s">
        <v>7508</v>
      </c>
      <c r="U1465" s="38" t="str">
        <f>HYPERLINK("https://www.ncbi.nlm.nih.gov/pubmed/28494177","PubMed")</f>
        <v>PubMed</v>
      </c>
      <c r="V1465" s="50"/>
      <c r="W1465" s="49"/>
      <c r="X1465" s="49"/>
      <c r="Y1465" s="35"/>
      <c r="Z1465" s="35"/>
      <c r="AA1465" s="35"/>
      <c r="AB1465" s="35"/>
      <c r="AC1465" s="35"/>
      <c r="AD1465" s="35"/>
      <c r="AE1465" s="35"/>
      <c r="AF1465" s="35"/>
      <c r="AG1465" s="35"/>
      <c r="AH1465" s="35"/>
      <c r="AI1465" s="35"/>
      <c r="AJ1465" s="35"/>
      <c r="AK1465" s="35"/>
      <c r="AL1465" s="35"/>
    </row>
    <row r="1466">
      <c r="A1466" s="1"/>
      <c r="B1466" s="19" t="s">
        <v>7033</v>
      </c>
      <c r="C1466" s="20" t="s">
        <v>7509</v>
      </c>
      <c r="D1466" s="47"/>
      <c r="E1466" s="22" t="s">
        <v>7510</v>
      </c>
      <c r="F1466" s="22" t="s">
        <v>3492</v>
      </c>
      <c r="G1466" s="23">
        <v>2016.0</v>
      </c>
      <c r="H1466" s="22" t="s">
        <v>7511</v>
      </c>
      <c r="I1466" s="24" t="s">
        <v>7512</v>
      </c>
      <c r="J1466" s="22" t="s">
        <v>31</v>
      </c>
      <c r="K1466" s="22"/>
      <c r="L1466" s="52"/>
      <c r="M1466" s="52"/>
      <c r="N1466" s="52"/>
      <c r="O1466" s="52"/>
      <c r="P1466" s="189" t="s">
        <v>1529</v>
      </c>
      <c r="Q1466" s="52"/>
      <c r="R1466" s="52"/>
      <c r="S1466" s="52"/>
      <c r="T1466" s="28" t="s">
        <v>7513</v>
      </c>
      <c r="U1466" s="38" t="str">
        <f>HYPERLINK("https://www.ncbi.nlm.nih.gov/pubmed/27469555","PubMed")</f>
        <v>PubMed</v>
      </c>
      <c r="V1466" s="50"/>
      <c r="W1466" s="49"/>
      <c r="X1466" s="49"/>
      <c r="Y1466" s="35"/>
      <c r="Z1466" s="35"/>
      <c r="AA1466" s="35"/>
      <c r="AB1466" s="35"/>
      <c r="AC1466" s="35"/>
      <c r="AD1466" s="35"/>
      <c r="AE1466" s="35"/>
      <c r="AF1466" s="35"/>
      <c r="AG1466" s="35"/>
      <c r="AH1466" s="35"/>
      <c r="AI1466" s="35"/>
      <c r="AJ1466" s="35"/>
      <c r="AK1466" s="35"/>
      <c r="AL1466" s="35"/>
    </row>
    <row r="1467">
      <c r="A1467" s="1"/>
      <c r="B1467" s="19" t="s">
        <v>7033</v>
      </c>
      <c r="C1467" s="20" t="s">
        <v>7514</v>
      </c>
      <c r="D1467" s="47"/>
      <c r="E1467" s="22" t="s">
        <v>7515</v>
      </c>
      <c r="F1467" s="22" t="s">
        <v>5238</v>
      </c>
      <c r="G1467" s="23">
        <v>2023.0</v>
      </c>
      <c r="H1467" s="22" t="s">
        <v>6948</v>
      </c>
      <c r="I1467" s="24" t="s">
        <v>7516</v>
      </c>
      <c r="J1467" s="22" t="s">
        <v>7517</v>
      </c>
      <c r="K1467" s="22" t="s">
        <v>7518</v>
      </c>
      <c r="L1467" s="52" t="s">
        <v>7519</v>
      </c>
      <c r="M1467" s="52"/>
      <c r="N1467" s="52"/>
      <c r="O1467" s="52"/>
      <c r="P1467" s="189"/>
      <c r="Q1467" s="52"/>
      <c r="R1467" s="52"/>
      <c r="S1467" s="52" t="s">
        <v>7520</v>
      </c>
      <c r="T1467" s="28" t="s">
        <v>7521</v>
      </c>
      <c r="U1467" s="38" t="s">
        <v>61</v>
      </c>
      <c r="V1467" s="30"/>
      <c r="W1467" s="49"/>
      <c r="X1467" s="49"/>
      <c r="Y1467" s="35"/>
      <c r="Z1467" s="35"/>
      <c r="AA1467" s="35"/>
      <c r="AB1467" s="35"/>
      <c r="AC1467" s="35"/>
      <c r="AD1467" s="35"/>
      <c r="AE1467" s="35"/>
      <c r="AF1467" s="35"/>
      <c r="AG1467" s="35"/>
      <c r="AH1467" s="35"/>
      <c r="AI1467" s="35"/>
      <c r="AJ1467" s="35"/>
      <c r="AK1467" s="35"/>
      <c r="AL1467" s="35"/>
    </row>
    <row r="1468">
      <c r="A1468" s="1"/>
      <c r="B1468" s="19" t="s">
        <v>7033</v>
      </c>
      <c r="C1468" s="20" t="s">
        <v>7522</v>
      </c>
      <c r="D1468" s="47"/>
      <c r="E1468" s="22" t="s">
        <v>7523</v>
      </c>
      <c r="F1468" s="22" t="s">
        <v>4606</v>
      </c>
      <c r="G1468" s="23">
        <v>2008.0</v>
      </c>
      <c r="H1468" s="22" t="s">
        <v>116</v>
      </c>
      <c r="I1468" s="24" t="s">
        <v>7524</v>
      </c>
      <c r="J1468" s="22" t="s">
        <v>7525</v>
      </c>
      <c r="K1468" s="22"/>
      <c r="L1468" s="52">
        <v>590.0</v>
      </c>
      <c r="M1468" s="52"/>
      <c r="N1468" s="52"/>
      <c r="O1468" s="52"/>
      <c r="P1468" s="189"/>
      <c r="Q1468" s="52"/>
      <c r="R1468" s="52">
        <v>35.0</v>
      </c>
      <c r="S1468" s="52" t="s">
        <v>7526</v>
      </c>
      <c r="T1468" s="28" t="s">
        <v>7527</v>
      </c>
      <c r="U1468" s="38" t="str">
        <f>HYPERLINK("https://www.ncbi.nlm.nih.gov/pubmed/18254808","PubMed")</f>
        <v>PubMed</v>
      </c>
      <c r="V1468" s="30" t="s">
        <v>7528</v>
      </c>
      <c r="W1468" s="49"/>
      <c r="X1468" s="49"/>
      <c r="Y1468" s="35"/>
      <c r="Z1468" s="35"/>
      <c r="AA1468" s="35"/>
      <c r="AB1468" s="35"/>
      <c r="AC1468" s="35"/>
      <c r="AD1468" s="35"/>
      <c r="AE1468" s="35"/>
      <c r="AF1468" s="35"/>
      <c r="AG1468" s="35"/>
      <c r="AH1468" s="35"/>
      <c r="AI1468" s="35"/>
      <c r="AJ1468" s="35"/>
      <c r="AK1468" s="35"/>
      <c r="AL1468" s="35"/>
    </row>
    <row r="1469">
      <c r="A1469" s="1"/>
      <c r="B1469" s="19" t="s">
        <v>7033</v>
      </c>
      <c r="C1469" s="20" t="s">
        <v>7529</v>
      </c>
      <c r="D1469" s="47"/>
      <c r="E1469" s="22" t="s">
        <v>7530</v>
      </c>
      <c r="F1469" s="22" t="s">
        <v>7531</v>
      </c>
      <c r="G1469" s="23">
        <v>2017.0</v>
      </c>
      <c r="H1469" s="22" t="s">
        <v>53</v>
      </c>
      <c r="I1469" s="24" t="s">
        <v>7532</v>
      </c>
      <c r="J1469" s="22" t="s">
        <v>7533</v>
      </c>
      <c r="K1469" s="22"/>
      <c r="L1469" s="52" t="s">
        <v>7534</v>
      </c>
      <c r="M1469" s="52"/>
      <c r="N1469" s="52" t="s">
        <v>7535</v>
      </c>
      <c r="O1469" s="52"/>
      <c r="P1469" s="189" t="s">
        <v>7536</v>
      </c>
      <c r="Q1469" s="52"/>
      <c r="R1469" s="52"/>
      <c r="S1469" s="52" t="s">
        <v>7537</v>
      </c>
      <c r="T1469" s="42" t="s">
        <v>7538</v>
      </c>
      <c r="U1469" s="38" t="str">
        <f>HYPERLINK("https://www.ncbi.nlm.nih.gov/pubmed/28548228","PubMed")</f>
        <v>PubMed</v>
      </c>
      <c r="V1469" s="50"/>
      <c r="W1469" s="49"/>
      <c r="X1469" s="49"/>
      <c r="Y1469" s="35"/>
      <c r="Z1469" s="35"/>
      <c r="AA1469" s="35"/>
      <c r="AB1469" s="35"/>
      <c r="AC1469" s="35"/>
      <c r="AD1469" s="35"/>
      <c r="AE1469" s="35"/>
      <c r="AF1469" s="35"/>
      <c r="AG1469" s="35"/>
      <c r="AH1469" s="35"/>
      <c r="AI1469" s="35"/>
      <c r="AJ1469" s="35"/>
      <c r="AK1469" s="35"/>
      <c r="AL1469" s="35"/>
    </row>
    <row r="1470">
      <c r="A1470" s="1"/>
      <c r="B1470" s="19" t="s">
        <v>7033</v>
      </c>
      <c r="C1470" s="20" t="s">
        <v>7539</v>
      </c>
      <c r="D1470" s="47"/>
      <c r="E1470" s="22" t="s">
        <v>7540</v>
      </c>
      <c r="F1470" s="22"/>
      <c r="G1470" s="23">
        <v>2024.0</v>
      </c>
      <c r="H1470" s="22" t="s">
        <v>7541</v>
      </c>
      <c r="I1470" s="24" t="s">
        <v>7542</v>
      </c>
      <c r="J1470" s="22" t="s">
        <v>2273</v>
      </c>
      <c r="K1470" s="22"/>
      <c r="L1470" s="52">
        <v>660.0</v>
      </c>
      <c r="M1470" s="52">
        <v>100.0</v>
      </c>
      <c r="N1470" s="52"/>
      <c r="O1470" s="52" t="s">
        <v>7543</v>
      </c>
      <c r="P1470" s="189"/>
      <c r="Q1470" s="52"/>
      <c r="R1470" s="52"/>
      <c r="S1470" s="52"/>
      <c r="T1470" s="28" t="s">
        <v>7544</v>
      </c>
      <c r="U1470" s="38" t="s">
        <v>61</v>
      </c>
      <c r="V1470" s="224"/>
      <c r="W1470" s="49"/>
      <c r="X1470" s="49"/>
      <c r="Y1470" s="35"/>
      <c r="Z1470" s="35"/>
      <c r="AA1470" s="35"/>
      <c r="AB1470" s="35"/>
      <c r="AC1470" s="35"/>
      <c r="AD1470" s="35"/>
      <c r="AE1470" s="35"/>
      <c r="AF1470" s="35"/>
      <c r="AG1470" s="35"/>
      <c r="AH1470" s="35"/>
      <c r="AI1470" s="35"/>
      <c r="AJ1470" s="35"/>
      <c r="AK1470" s="35"/>
      <c r="AL1470" s="35"/>
    </row>
    <row r="1471">
      <c r="A1471" s="1"/>
      <c r="B1471" s="19" t="s">
        <v>7033</v>
      </c>
      <c r="C1471" s="20" t="s">
        <v>7539</v>
      </c>
      <c r="D1471" s="47"/>
      <c r="E1471" s="22" t="s">
        <v>7545</v>
      </c>
      <c r="F1471" s="22" t="s">
        <v>41</v>
      </c>
      <c r="G1471" s="23">
        <v>2022.0</v>
      </c>
      <c r="H1471" s="22" t="s">
        <v>1485</v>
      </c>
      <c r="I1471" s="24" t="s">
        <v>7546</v>
      </c>
      <c r="J1471" s="22" t="s">
        <v>7547</v>
      </c>
      <c r="K1471" s="22" t="s">
        <v>7548</v>
      </c>
      <c r="L1471" s="52"/>
      <c r="M1471" s="52"/>
      <c r="N1471" s="52"/>
      <c r="O1471" s="52"/>
      <c r="P1471" s="189"/>
      <c r="Q1471" s="52"/>
      <c r="R1471" s="52"/>
      <c r="S1471" s="52" t="s">
        <v>7549</v>
      </c>
      <c r="T1471" s="28" t="s">
        <v>7550</v>
      </c>
      <c r="U1471" s="38" t="s">
        <v>61</v>
      </c>
      <c r="V1471" s="224"/>
      <c r="W1471" s="49"/>
      <c r="X1471" s="49"/>
      <c r="Y1471" s="35"/>
      <c r="Z1471" s="35"/>
      <c r="AA1471" s="35"/>
      <c r="AB1471" s="35"/>
      <c r="AC1471" s="35"/>
      <c r="AD1471" s="35"/>
      <c r="AE1471" s="35"/>
      <c r="AF1471" s="35"/>
      <c r="AG1471" s="35"/>
      <c r="AH1471" s="35"/>
      <c r="AI1471" s="35"/>
      <c r="AJ1471" s="35"/>
      <c r="AK1471" s="35"/>
      <c r="AL1471" s="35"/>
    </row>
    <row r="1472">
      <c r="A1472" s="1"/>
      <c r="B1472" s="19" t="s">
        <v>7033</v>
      </c>
      <c r="C1472" s="20" t="s">
        <v>7551</v>
      </c>
      <c r="D1472" s="47"/>
      <c r="E1472" s="22" t="s">
        <v>7552</v>
      </c>
      <c r="F1472" s="22" t="s">
        <v>7553</v>
      </c>
      <c r="G1472" s="23">
        <v>2024.0</v>
      </c>
      <c r="H1472" s="22" t="s">
        <v>2375</v>
      </c>
      <c r="I1472" s="24" t="s">
        <v>7554</v>
      </c>
      <c r="J1472" s="22" t="s">
        <v>2273</v>
      </c>
      <c r="K1472" s="22"/>
      <c r="L1472" s="52" t="s">
        <v>6257</v>
      </c>
      <c r="M1472" s="52">
        <v>100.0</v>
      </c>
      <c r="N1472" s="52"/>
      <c r="O1472" s="52" t="s">
        <v>7555</v>
      </c>
      <c r="P1472" s="189"/>
      <c r="Q1472" s="52"/>
      <c r="R1472" s="52"/>
      <c r="S1472" s="52"/>
      <c r="T1472" s="28" t="s">
        <v>7556</v>
      </c>
      <c r="U1472" s="38" t="s">
        <v>61</v>
      </c>
      <c r="V1472" s="224"/>
      <c r="W1472" s="49"/>
      <c r="X1472" s="49"/>
      <c r="Y1472" s="35"/>
      <c r="Z1472" s="35"/>
      <c r="AA1472" s="35"/>
      <c r="AB1472" s="35"/>
      <c r="AC1472" s="35"/>
      <c r="AD1472" s="35"/>
      <c r="AE1472" s="35"/>
      <c r="AF1472" s="35"/>
      <c r="AG1472" s="35"/>
      <c r="AH1472" s="35"/>
      <c r="AI1472" s="35"/>
      <c r="AJ1472" s="35"/>
      <c r="AK1472" s="35"/>
      <c r="AL1472" s="35"/>
    </row>
    <row r="1473">
      <c r="A1473" s="1"/>
      <c r="B1473" s="19" t="s">
        <v>7033</v>
      </c>
      <c r="C1473" s="20" t="s">
        <v>7551</v>
      </c>
      <c r="D1473" s="47"/>
      <c r="E1473" s="22" t="s">
        <v>7557</v>
      </c>
      <c r="F1473" s="22" t="s">
        <v>358</v>
      </c>
      <c r="G1473" s="23">
        <v>2023.0</v>
      </c>
      <c r="H1473" s="22" t="s">
        <v>91</v>
      </c>
      <c r="I1473" s="24" t="s">
        <v>7558</v>
      </c>
      <c r="J1473" s="22" t="s">
        <v>649</v>
      </c>
      <c r="K1473" s="22"/>
      <c r="L1473" s="28" t="s">
        <v>7559</v>
      </c>
      <c r="U1473" s="38" t="s">
        <v>61</v>
      </c>
      <c r="V1473" s="224"/>
      <c r="W1473" s="49"/>
      <c r="X1473" s="49"/>
      <c r="Y1473" s="35"/>
      <c r="Z1473" s="35"/>
      <c r="AA1473" s="35"/>
      <c r="AB1473" s="35"/>
      <c r="AC1473" s="35"/>
      <c r="AD1473" s="35"/>
      <c r="AE1473" s="35"/>
      <c r="AF1473" s="35"/>
      <c r="AG1473" s="35"/>
      <c r="AH1473" s="35"/>
      <c r="AI1473" s="35"/>
      <c r="AJ1473" s="35"/>
      <c r="AK1473" s="35"/>
      <c r="AL1473" s="35"/>
    </row>
    <row r="1474">
      <c r="A1474" s="1"/>
      <c r="B1474" s="19" t="s">
        <v>7033</v>
      </c>
      <c r="C1474" s="20" t="s">
        <v>7560</v>
      </c>
      <c r="D1474" s="47"/>
      <c r="E1474" s="22" t="s">
        <v>7561</v>
      </c>
      <c r="F1474" s="22" t="s">
        <v>3885</v>
      </c>
      <c r="G1474" s="23">
        <v>2023.0</v>
      </c>
      <c r="H1474" s="22" t="s">
        <v>77</v>
      </c>
      <c r="I1474" s="24" t="s">
        <v>7562</v>
      </c>
      <c r="J1474" s="22" t="s">
        <v>7563</v>
      </c>
      <c r="K1474" s="22" t="s">
        <v>7564</v>
      </c>
      <c r="L1474" s="52" t="s">
        <v>7565</v>
      </c>
      <c r="M1474" s="52"/>
      <c r="N1474" s="52"/>
      <c r="O1474" s="52"/>
      <c r="P1474" s="189"/>
      <c r="Q1474" s="52"/>
      <c r="R1474" s="52"/>
      <c r="S1474" s="52"/>
      <c r="T1474" s="28" t="s">
        <v>7566</v>
      </c>
      <c r="U1474" s="38" t="s">
        <v>61</v>
      </c>
      <c r="V1474" s="224"/>
      <c r="W1474" s="49"/>
      <c r="X1474" s="49"/>
      <c r="Y1474" s="35"/>
      <c r="Z1474" s="35"/>
      <c r="AA1474" s="35"/>
      <c r="AB1474" s="35"/>
      <c r="AC1474" s="35"/>
      <c r="AD1474" s="35"/>
      <c r="AE1474" s="35"/>
      <c r="AF1474" s="35"/>
      <c r="AG1474" s="35"/>
      <c r="AH1474" s="35"/>
      <c r="AI1474" s="35"/>
      <c r="AJ1474" s="35"/>
      <c r="AK1474" s="35"/>
      <c r="AL1474" s="35"/>
    </row>
    <row r="1475">
      <c r="A1475" s="1"/>
      <c r="B1475" s="19" t="s">
        <v>7033</v>
      </c>
      <c r="C1475" s="20" t="s">
        <v>5250</v>
      </c>
      <c r="D1475" s="47"/>
      <c r="E1475" s="22" t="s">
        <v>1507</v>
      </c>
      <c r="F1475" s="22" t="s">
        <v>206</v>
      </c>
      <c r="G1475" s="23">
        <v>2019.0</v>
      </c>
      <c r="H1475" s="22" t="s">
        <v>53</v>
      </c>
      <c r="I1475" s="24" t="s">
        <v>7567</v>
      </c>
      <c r="J1475" s="22" t="s">
        <v>31</v>
      </c>
      <c r="K1475" s="22"/>
      <c r="L1475" s="52">
        <v>463.0</v>
      </c>
      <c r="M1475" s="52"/>
      <c r="N1475" s="52" t="s">
        <v>1897</v>
      </c>
      <c r="O1475" s="52"/>
      <c r="P1475" s="189" t="s">
        <v>7568</v>
      </c>
      <c r="Q1475" s="52"/>
      <c r="R1475" s="52"/>
      <c r="S1475" s="52"/>
      <c r="T1475" s="28" t="s">
        <v>7569</v>
      </c>
      <c r="U1475" s="38" t="str">
        <f>HYPERLINK("https://www.ncbi.nlm.nih.gov/pubmed/31321797","PubMed")</f>
        <v>PubMed</v>
      </c>
      <c r="V1475" s="224"/>
      <c r="W1475" s="49"/>
      <c r="X1475" s="49"/>
      <c r="Y1475" s="35"/>
      <c r="Z1475" s="35"/>
      <c r="AA1475" s="35"/>
      <c r="AB1475" s="35"/>
      <c r="AC1475" s="35"/>
      <c r="AD1475" s="35"/>
      <c r="AE1475" s="35"/>
      <c r="AF1475" s="35"/>
      <c r="AG1475" s="35"/>
      <c r="AH1475" s="35"/>
      <c r="AI1475" s="35"/>
      <c r="AJ1475" s="35"/>
      <c r="AK1475" s="35"/>
      <c r="AL1475" s="35"/>
    </row>
    <row r="1476">
      <c r="A1476" s="1"/>
      <c r="B1476" s="19" t="s">
        <v>7033</v>
      </c>
      <c r="C1476" s="20" t="s">
        <v>5250</v>
      </c>
      <c r="D1476" s="47"/>
      <c r="E1476" s="22" t="s">
        <v>7412</v>
      </c>
      <c r="F1476" s="22" t="s">
        <v>4999</v>
      </c>
      <c r="G1476" s="23">
        <v>2019.0</v>
      </c>
      <c r="H1476" s="22" t="s">
        <v>42</v>
      </c>
      <c r="I1476" s="24" t="s">
        <v>7570</v>
      </c>
      <c r="J1476" s="22" t="s">
        <v>31</v>
      </c>
      <c r="K1476" s="22" t="s">
        <v>157</v>
      </c>
      <c r="L1476" s="52">
        <v>633.0</v>
      </c>
      <c r="M1476" s="52"/>
      <c r="N1476" s="52"/>
      <c r="O1476" s="52"/>
      <c r="P1476" s="189" t="s">
        <v>7571</v>
      </c>
      <c r="Q1476" s="52"/>
      <c r="R1476" s="52"/>
      <c r="S1476" s="52"/>
      <c r="T1476" s="28" t="s">
        <v>7572</v>
      </c>
      <c r="U1476" s="38" t="str">
        <f>HYPERLINK("https://www.ncbi.nlm.nih.gov/pubmed/30182520","PubMed")</f>
        <v>PubMed</v>
      </c>
      <c r="V1476" s="50"/>
      <c r="W1476" s="49"/>
      <c r="X1476" s="49"/>
      <c r="Y1476" s="35"/>
      <c r="Z1476" s="35"/>
      <c r="AA1476" s="35"/>
      <c r="AB1476" s="35"/>
      <c r="AC1476" s="35"/>
      <c r="AD1476" s="35"/>
      <c r="AE1476" s="35"/>
      <c r="AF1476" s="35"/>
      <c r="AG1476" s="35"/>
      <c r="AH1476" s="35"/>
      <c r="AI1476" s="35"/>
      <c r="AJ1476" s="35"/>
      <c r="AK1476" s="35"/>
      <c r="AL1476" s="35"/>
    </row>
    <row r="1477">
      <c r="A1477" s="1"/>
      <c r="B1477" s="19" t="s">
        <v>7033</v>
      </c>
      <c r="C1477" s="20" t="s">
        <v>5250</v>
      </c>
      <c r="D1477" s="47"/>
      <c r="E1477" s="22" t="s">
        <v>7573</v>
      </c>
      <c r="F1477" s="22" t="s">
        <v>7574</v>
      </c>
      <c r="G1477" s="23">
        <v>2018.0</v>
      </c>
      <c r="H1477" s="22" t="s">
        <v>91</v>
      </c>
      <c r="I1477" s="24" t="s">
        <v>7575</v>
      </c>
      <c r="J1477" s="22" t="s">
        <v>31</v>
      </c>
      <c r="K1477" s="22" t="s">
        <v>7576</v>
      </c>
      <c r="L1477" s="52" t="s">
        <v>7577</v>
      </c>
      <c r="M1477" s="52"/>
      <c r="N1477" s="52"/>
      <c r="O1477" s="52"/>
      <c r="P1477" s="189" t="s">
        <v>254</v>
      </c>
      <c r="Q1477" s="52"/>
      <c r="R1477" s="52">
        <v>152.0</v>
      </c>
      <c r="S1477" s="52" t="s">
        <v>7578</v>
      </c>
      <c r="T1477" s="28" t="s">
        <v>7579</v>
      </c>
      <c r="U1477" s="38" t="str">
        <f>HYPERLINK("https://www.ncbi.nlm.nih.gov/pubmed/30367294","PubMed")</f>
        <v>PubMed</v>
      </c>
      <c r="V1477" s="224" t="s">
        <v>7580</v>
      </c>
      <c r="W1477" s="49"/>
      <c r="X1477" s="49"/>
      <c r="Y1477" s="35"/>
      <c r="Z1477" s="35"/>
      <c r="AA1477" s="35"/>
      <c r="AB1477" s="35"/>
      <c r="AC1477" s="35"/>
      <c r="AD1477" s="35"/>
      <c r="AE1477" s="35"/>
      <c r="AF1477" s="35"/>
      <c r="AG1477" s="35"/>
      <c r="AH1477" s="35"/>
      <c r="AI1477" s="35"/>
      <c r="AJ1477" s="35"/>
      <c r="AK1477" s="35"/>
      <c r="AL1477" s="35"/>
    </row>
    <row r="1478">
      <c r="A1478" s="1"/>
      <c r="B1478" s="19" t="s">
        <v>7033</v>
      </c>
      <c r="C1478" s="20" t="s">
        <v>5250</v>
      </c>
      <c r="D1478" s="47"/>
      <c r="E1478" s="22" t="s">
        <v>7581</v>
      </c>
      <c r="F1478" s="22" t="s">
        <v>4999</v>
      </c>
      <c r="G1478" s="23">
        <v>2018.0</v>
      </c>
      <c r="H1478" s="22" t="s">
        <v>5489</v>
      </c>
      <c r="I1478" s="24" t="s">
        <v>7582</v>
      </c>
      <c r="J1478" s="22" t="s">
        <v>31</v>
      </c>
      <c r="K1478" s="22" t="s">
        <v>157</v>
      </c>
      <c r="L1478" s="52">
        <v>633.0</v>
      </c>
      <c r="M1478" s="52"/>
      <c r="N1478" s="52"/>
      <c r="O1478" s="52"/>
      <c r="P1478" s="189" t="s">
        <v>7571</v>
      </c>
      <c r="Q1478" s="52"/>
      <c r="R1478" s="52"/>
      <c r="S1478" s="52"/>
      <c r="T1478" s="28" t="s">
        <v>7583</v>
      </c>
      <c r="U1478" s="38" t="str">
        <f>HYPERLINK("https://www.ncbi.nlm.nih.gov/pubmed/29846344","PubMed")</f>
        <v>PubMed</v>
      </c>
      <c r="V1478" s="50"/>
      <c r="W1478" s="49"/>
      <c r="X1478" s="49"/>
      <c r="Y1478" s="35"/>
      <c r="Z1478" s="35"/>
      <c r="AA1478" s="35"/>
      <c r="AB1478" s="35"/>
      <c r="AC1478" s="35"/>
      <c r="AD1478" s="35"/>
      <c r="AE1478" s="35"/>
      <c r="AF1478" s="35"/>
      <c r="AG1478" s="35"/>
      <c r="AH1478" s="35"/>
      <c r="AI1478" s="35"/>
      <c r="AJ1478" s="35"/>
      <c r="AK1478" s="35"/>
      <c r="AL1478" s="35"/>
    </row>
    <row r="1479">
      <c r="A1479" s="1"/>
      <c r="B1479" s="19" t="s">
        <v>7033</v>
      </c>
      <c r="C1479" s="20" t="s">
        <v>5250</v>
      </c>
      <c r="D1479" s="47"/>
      <c r="E1479" s="22" t="s">
        <v>7581</v>
      </c>
      <c r="F1479" s="22" t="s">
        <v>4999</v>
      </c>
      <c r="G1479" s="23">
        <v>2017.0</v>
      </c>
      <c r="H1479" s="22" t="s">
        <v>5489</v>
      </c>
      <c r="I1479" s="24" t="s">
        <v>7584</v>
      </c>
      <c r="J1479" s="22" t="s">
        <v>31</v>
      </c>
      <c r="K1479" s="22" t="s">
        <v>157</v>
      </c>
      <c r="L1479" s="52">
        <v>633.0</v>
      </c>
      <c r="M1479" s="52"/>
      <c r="N1479" s="52"/>
      <c r="O1479" s="52"/>
      <c r="P1479" s="189"/>
      <c r="Q1479" s="52"/>
      <c r="R1479" s="52"/>
      <c r="S1479" s="52"/>
      <c r="T1479" s="28" t="s">
        <v>7585</v>
      </c>
      <c r="U1479" s="38" t="str">
        <f>HYPERLINK("https://www.ncbi.nlm.nih.gov/pubmed/28027199","PubMed")</f>
        <v>PubMed</v>
      </c>
      <c r="V1479" s="50"/>
      <c r="W1479" s="49"/>
      <c r="X1479" s="49"/>
      <c r="Y1479" s="35"/>
      <c r="Z1479" s="35"/>
      <c r="AA1479" s="35"/>
      <c r="AB1479" s="35"/>
      <c r="AC1479" s="35"/>
      <c r="AD1479" s="35"/>
      <c r="AE1479" s="35"/>
      <c r="AF1479" s="35"/>
      <c r="AG1479" s="35"/>
      <c r="AH1479" s="35"/>
      <c r="AI1479" s="35"/>
      <c r="AJ1479" s="35"/>
      <c r="AK1479" s="35"/>
      <c r="AL1479" s="35"/>
    </row>
    <row r="1480">
      <c r="A1480" s="1"/>
      <c r="B1480" s="19" t="s">
        <v>7033</v>
      </c>
      <c r="C1480" s="20" t="s">
        <v>5250</v>
      </c>
      <c r="D1480" s="47"/>
      <c r="E1480" s="22" t="s">
        <v>6887</v>
      </c>
      <c r="F1480" s="22" t="s">
        <v>5488</v>
      </c>
      <c r="G1480" s="23">
        <v>2016.0</v>
      </c>
      <c r="H1480" s="22" t="s">
        <v>2863</v>
      </c>
      <c r="I1480" s="24" t="s">
        <v>7586</v>
      </c>
      <c r="J1480" s="22" t="s">
        <v>2141</v>
      </c>
      <c r="K1480" s="22" t="s">
        <v>157</v>
      </c>
      <c r="L1480" s="197">
        <v>633.0</v>
      </c>
      <c r="M1480" s="197"/>
      <c r="N1480" s="197"/>
      <c r="O1480" s="197"/>
      <c r="P1480" s="198" t="s">
        <v>7587</v>
      </c>
      <c r="Q1480" s="197"/>
      <c r="R1480" s="197"/>
      <c r="S1480" s="197"/>
      <c r="T1480" s="185" t="s">
        <v>7588</v>
      </c>
      <c r="U1480" s="38" t="str">
        <f>HYPERLINK("https://www.ncbi.nlm.nih.gov/pubmed/27484782","PubMed")</f>
        <v>PubMed</v>
      </c>
      <c r="V1480" s="50"/>
      <c r="W1480" s="49"/>
      <c r="X1480" s="49"/>
      <c r="Y1480" s="35"/>
      <c r="Z1480" s="35"/>
      <c r="AA1480" s="35"/>
      <c r="AB1480" s="35"/>
      <c r="AC1480" s="35"/>
      <c r="AD1480" s="35"/>
      <c r="AE1480" s="35"/>
      <c r="AF1480" s="35"/>
      <c r="AG1480" s="35"/>
      <c r="AH1480" s="35"/>
      <c r="AI1480" s="35"/>
      <c r="AJ1480" s="35"/>
      <c r="AK1480" s="35"/>
      <c r="AL1480" s="35"/>
    </row>
    <row r="1481">
      <c r="A1481" s="1"/>
      <c r="B1481" s="19" t="s">
        <v>7033</v>
      </c>
      <c r="C1481" s="20" t="s">
        <v>5250</v>
      </c>
      <c r="D1481" s="47"/>
      <c r="E1481" s="22" t="s">
        <v>7412</v>
      </c>
      <c r="F1481" s="22" t="s">
        <v>7413</v>
      </c>
      <c r="G1481" s="23">
        <v>2016.0</v>
      </c>
      <c r="H1481" s="22" t="s">
        <v>7589</v>
      </c>
      <c r="I1481" s="24" t="s">
        <v>7590</v>
      </c>
      <c r="J1481" s="22" t="s">
        <v>125</v>
      </c>
      <c r="K1481" s="22" t="s">
        <v>4071</v>
      </c>
      <c r="L1481" s="132" t="s">
        <v>7591</v>
      </c>
      <c r="U1481" s="38" t="str">
        <f>HYPERLINK("https://www.ncbi.nlm.nih.gov/pubmed/27182462","PubMed")</f>
        <v>PubMed</v>
      </c>
      <c r="V1481" s="50"/>
      <c r="W1481" s="49"/>
      <c r="X1481" s="49"/>
      <c r="Y1481" s="35"/>
      <c r="Z1481" s="35"/>
      <c r="AA1481" s="35"/>
      <c r="AB1481" s="35"/>
      <c r="AC1481" s="35"/>
      <c r="AD1481" s="35"/>
      <c r="AE1481" s="35"/>
      <c r="AF1481" s="35"/>
      <c r="AG1481" s="35"/>
      <c r="AH1481" s="35"/>
      <c r="AI1481" s="35"/>
      <c r="AJ1481" s="35"/>
      <c r="AK1481" s="35"/>
      <c r="AL1481" s="35"/>
    </row>
    <row r="1482">
      <c r="A1482" s="1"/>
      <c r="B1482" s="19" t="s">
        <v>7033</v>
      </c>
      <c r="C1482" s="20" t="s">
        <v>5250</v>
      </c>
      <c r="D1482" s="47"/>
      <c r="E1482" s="22" t="s">
        <v>7412</v>
      </c>
      <c r="F1482" s="22" t="s">
        <v>7413</v>
      </c>
      <c r="G1482" s="23">
        <v>2015.0</v>
      </c>
      <c r="H1482" s="22" t="s">
        <v>627</v>
      </c>
      <c r="I1482" s="24" t="s">
        <v>7592</v>
      </c>
      <c r="J1482" s="22" t="s">
        <v>31</v>
      </c>
      <c r="K1482" s="22" t="s">
        <v>157</v>
      </c>
      <c r="L1482" s="52">
        <v>633.0</v>
      </c>
      <c r="M1482" s="52"/>
      <c r="N1482" s="52"/>
      <c r="O1482" s="52"/>
      <c r="P1482" s="189" t="s">
        <v>7593</v>
      </c>
      <c r="Q1482" s="52"/>
      <c r="R1482" s="52"/>
      <c r="S1482" s="52"/>
      <c r="T1482" s="28" t="s">
        <v>7594</v>
      </c>
      <c r="U1482" s="38" t="str">
        <f>HYPERLINK("https://www.ncbi.nlm.nih.gov/pubmed/26488596","PubMed")</f>
        <v>PubMed</v>
      </c>
      <c r="V1482" s="50"/>
      <c r="W1482" s="49"/>
      <c r="X1482" s="49"/>
      <c r="Y1482" s="35"/>
      <c r="Z1482" s="35"/>
      <c r="AA1482" s="35"/>
      <c r="AB1482" s="35"/>
      <c r="AC1482" s="35"/>
      <c r="AD1482" s="35"/>
      <c r="AE1482" s="35"/>
      <c r="AF1482" s="35"/>
      <c r="AG1482" s="35"/>
      <c r="AH1482" s="35"/>
      <c r="AI1482" s="35"/>
      <c r="AJ1482" s="35"/>
      <c r="AK1482" s="35"/>
      <c r="AL1482" s="35"/>
    </row>
    <row r="1483">
      <c r="A1483" s="1"/>
      <c r="B1483" s="19" t="s">
        <v>7033</v>
      </c>
      <c r="C1483" s="20" t="s">
        <v>5250</v>
      </c>
      <c r="D1483" s="47"/>
      <c r="E1483" s="22" t="s">
        <v>7412</v>
      </c>
      <c r="F1483" s="22" t="s">
        <v>7413</v>
      </c>
      <c r="G1483" s="23">
        <v>2015.0</v>
      </c>
      <c r="H1483" s="22" t="s">
        <v>53</v>
      </c>
      <c r="I1483" s="24" t="s">
        <v>7595</v>
      </c>
      <c r="J1483" s="22" t="s">
        <v>31</v>
      </c>
      <c r="K1483" s="22" t="s">
        <v>7596</v>
      </c>
      <c r="L1483" s="52"/>
      <c r="M1483" s="52"/>
      <c r="N1483" s="52"/>
      <c r="O1483" s="52"/>
      <c r="P1483" s="189" t="s">
        <v>7597</v>
      </c>
      <c r="Q1483" s="52"/>
      <c r="R1483" s="52"/>
      <c r="S1483" s="52"/>
      <c r="T1483" s="42" t="s">
        <v>7598</v>
      </c>
      <c r="U1483" s="38" t="str">
        <f>HYPERLINK("https://www.ncbi.nlm.nih.gov/pubmed/25655579","PubMed")</f>
        <v>PubMed</v>
      </c>
      <c r="V1483" s="50"/>
      <c r="W1483" s="49"/>
      <c r="X1483" s="49"/>
      <c r="Y1483" s="35"/>
      <c r="Z1483" s="35"/>
      <c r="AA1483" s="35"/>
      <c r="AB1483" s="35"/>
      <c r="AC1483" s="35"/>
      <c r="AD1483" s="35"/>
      <c r="AE1483" s="35"/>
      <c r="AF1483" s="35"/>
      <c r="AG1483" s="35"/>
      <c r="AH1483" s="35"/>
      <c r="AI1483" s="35"/>
      <c r="AJ1483" s="35"/>
      <c r="AK1483" s="35"/>
      <c r="AL1483" s="35"/>
    </row>
    <row r="1484">
      <c r="A1484" s="1"/>
      <c r="B1484" s="19" t="s">
        <v>7033</v>
      </c>
      <c r="C1484" s="20" t="s">
        <v>7599</v>
      </c>
      <c r="D1484" s="47"/>
      <c r="E1484" s="22" t="s">
        <v>7600</v>
      </c>
      <c r="F1484" s="22" t="s">
        <v>41</v>
      </c>
      <c r="G1484" s="23">
        <v>2023.0</v>
      </c>
      <c r="H1484" s="22" t="s">
        <v>147</v>
      </c>
      <c r="I1484" s="24" t="s">
        <v>7601</v>
      </c>
      <c r="J1484" s="22" t="s">
        <v>7602</v>
      </c>
      <c r="K1484" s="22"/>
      <c r="L1484" s="52">
        <v>660.0</v>
      </c>
      <c r="M1484" s="52">
        <v>100.0</v>
      </c>
      <c r="N1484" s="200">
        <v>45048.0</v>
      </c>
      <c r="O1484" s="52" t="s">
        <v>7603</v>
      </c>
      <c r="P1484" s="189" t="s">
        <v>7604</v>
      </c>
      <c r="Q1484" s="52" t="s">
        <v>7605</v>
      </c>
      <c r="R1484" s="52">
        <v>200.0</v>
      </c>
      <c r="S1484" s="52" t="s">
        <v>35</v>
      </c>
      <c r="T1484" s="28" t="s">
        <v>7606</v>
      </c>
      <c r="U1484" s="38" t="s">
        <v>61</v>
      </c>
      <c r="V1484" s="50"/>
      <c r="W1484" s="49"/>
      <c r="X1484" s="49"/>
      <c r="Y1484" s="35"/>
      <c r="Z1484" s="35"/>
      <c r="AA1484" s="35"/>
      <c r="AB1484" s="35"/>
      <c r="AC1484" s="35"/>
      <c r="AD1484" s="35"/>
      <c r="AE1484" s="35"/>
      <c r="AF1484" s="35"/>
      <c r="AG1484" s="35"/>
      <c r="AH1484" s="35"/>
      <c r="AI1484" s="35"/>
      <c r="AJ1484" s="35"/>
      <c r="AK1484" s="35"/>
      <c r="AL1484" s="35"/>
    </row>
    <row r="1485">
      <c r="A1485" s="1"/>
      <c r="B1485" s="19" t="s">
        <v>7033</v>
      </c>
      <c r="C1485" s="20" t="s">
        <v>73</v>
      </c>
      <c r="D1485" s="47"/>
      <c r="E1485" s="22" t="s">
        <v>1080</v>
      </c>
      <c r="F1485" s="22" t="s">
        <v>7607</v>
      </c>
      <c r="G1485" s="23">
        <v>2022.0</v>
      </c>
      <c r="H1485" s="22" t="s">
        <v>3292</v>
      </c>
      <c r="I1485" s="24" t="s">
        <v>7608</v>
      </c>
      <c r="J1485" s="22" t="s">
        <v>7609</v>
      </c>
      <c r="K1485" s="22" t="s">
        <v>56</v>
      </c>
      <c r="L1485" s="52" t="s">
        <v>7610</v>
      </c>
      <c r="M1485" s="52"/>
      <c r="N1485" s="52" t="s">
        <v>7611</v>
      </c>
      <c r="O1485" s="52"/>
      <c r="P1485" s="189" t="s">
        <v>279</v>
      </c>
      <c r="Q1485" s="52"/>
      <c r="R1485" s="52"/>
      <c r="S1485" s="52" t="s">
        <v>7612</v>
      </c>
      <c r="T1485" s="28" t="s">
        <v>7613</v>
      </c>
      <c r="U1485" s="38" t="s">
        <v>61</v>
      </c>
      <c r="V1485" s="50"/>
      <c r="W1485" s="49"/>
      <c r="X1485" s="49"/>
      <c r="Y1485" s="35"/>
      <c r="Z1485" s="35"/>
      <c r="AA1485" s="35"/>
      <c r="AB1485" s="35"/>
      <c r="AC1485" s="35"/>
      <c r="AD1485" s="35"/>
      <c r="AE1485" s="35"/>
      <c r="AF1485" s="35"/>
      <c r="AG1485" s="35"/>
      <c r="AH1485" s="35"/>
      <c r="AI1485" s="35"/>
      <c r="AJ1485" s="35"/>
      <c r="AK1485" s="35"/>
      <c r="AL1485" s="35"/>
    </row>
    <row r="1486">
      <c r="A1486" s="1"/>
      <c r="B1486" s="19" t="s">
        <v>7033</v>
      </c>
      <c r="C1486" s="20" t="s">
        <v>73</v>
      </c>
      <c r="D1486" s="47"/>
      <c r="E1486" s="22" t="s">
        <v>7614</v>
      </c>
      <c r="F1486" s="22" t="s">
        <v>4999</v>
      </c>
      <c r="G1486" s="23">
        <v>2021.0</v>
      </c>
      <c r="H1486" s="22" t="s">
        <v>2181</v>
      </c>
      <c r="I1486" s="24" t="s">
        <v>7615</v>
      </c>
      <c r="J1486" s="22" t="s">
        <v>31</v>
      </c>
      <c r="K1486" s="22" t="s">
        <v>157</v>
      </c>
      <c r="L1486" s="36">
        <v>633.0</v>
      </c>
      <c r="M1486" s="36"/>
      <c r="N1486" s="36"/>
      <c r="O1486" s="36"/>
      <c r="P1486" s="37" t="s">
        <v>7571</v>
      </c>
      <c r="Q1486" s="36"/>
      <c r="R1486" s="36"/>
      <c r="S1486" s="36"/>
      <c r="T1486" s="28" t="s">
        <v>7616</v>
      </c>
      <c r="U1486" s="29" t="s">
        <v>61</v>
      </c>
      <c r="V1486" s="50"/>
      <c r="W1486" s="49"/>
      <c r="X1486" s="49"/>
      <c r="Y1486" s="35"/>
      <c r="Z1486" s="35"/>
      <c r="AA1486" s="35"/>
      <c r="AB1486" s="35"/>
      <c r="AC1486" s="35"/>
      <c r="AD1486" s="35"/>
      <c r="AE1486" s="35"/>
      <c r="AF1486" s="35"/>
      <c r="AG1486" s="35"/>
      <c r="AH1486" s="35"/>
      <c r="AI1486" s="35"/>
      <c r="AJ1486" s="35"/>
      <c r="AK1486" s="35"/>
      <c r="AL1486" s="35"/>
    </row>
    <row r="1487">
      <c r="A1487" s="1"/>
      <c r="B1487" s="19" t="s">
        <v>7033</v>
      </c>
      <c r="C1487" s="20" t="s">
        <v>7617</v>
      </c>
      <c r="D1487" s="47"/>
      <c r="E1487" s="22" t="s">
        <v>7618</v>
      </c>
      <c r="F1487" s="22" t="s">
        <v>2604</v>
      </c>
      <c r="G1487" s="23">
        <v>2014.0</v>
      </c>
      <c r="H1487" s="22" t="s">
        <v>207</v>
      </c>
      <c r="I1487" s="24" t="s">
        <v>7619</v>
      </c>
      <c r="J1487" s="22" t="s">
        <v>7620</v>
      </c>
      <c r="K1487" s="22" t="s">
        <v>7621</v>
      </c>
      <c r="L1487" s="36"/>
      <c r="M1487" s="36"/>
      <c r="N1487" s="36"/>
      <c r="O1487" s="36"/>
      <c r="P1487" s="37"/>
      <c r="Q1487" s="36"/>
      <c r="R1487" s="36"/>
      <c r="S1487" s="36"/>
      <c r="T1487" s="42" t="s">
        <v>7622</v>
      </c>
      <c r="U1487" s="38" t="str">
        <f>HYPERLINK("https://www.ncbi.nlm.nih.gov/pubmed/25038541","PubMed")</f>
        <v>PubMed</v>
      </c>
      <c r="V1487" s="50"/>
      <c r="W1487" s="49"/>
      <c r="X1487" s="49"/>
      <c r="Y1487" s="35"/>
      <c r="Z1487" s="35"/>
      <c r="AA1487" s="35"/>
      <c r="AB1487" s="35"/>
      <c r="AC1487" s="35"/>
      <c r="AD1487" s="35"/>
      <c r="AE1487" s="35"/>
      <c r="AF1487" s="35"/>
      <c r="AG1487" s="35"/>
      <c r="AH1487" s="35"/>
      <c r="AI1487" s="35"/>
      <c r="AJ1487" s="35"/>
      <c r="AK1487" s="35"/>
      <c r="AL1487" s="35"/>
    </row>
    <row r="1488">
      <c r="A1488" s="18"/>
      <c r="B1488" s="19" t="s">
        <v>7033</v>
      </c>
      <c r="C1488" s="20" t="s">
        <v>7623</v>
      </c>
      <c r="D1488" s="159"/>
      <c r="E1488" s="56" t="s">
        <v>7624</v>
      </c>
      <c r="F1488" s="22" t="s">
        <v>7625</v>
      </c>
      <c r="G1488" s="57">
        <v>2024.0</v>
      </c>
      <c r="H1488" s="56" t="s">
        <v>1485</v>
      </c>
      <c r="I1488" s="58" t="s">
        <v>7626</v>
      </c>
      <c r="J1488" s="22" t="s">
        <v>7627</v>
      </c>
      <c r="K1488" s="22"/>
      <c r="L1488" s="36">
        <v>940.0</v>
      </c>
      <c r="M1488" s="36">
        <v>100.0</v>
      </c>
      <c r="N1488" s="36"/>
      <c r="O1488" s="36"/>
      <c r="P1488" s="37" t="s">
        <v>254</v>
      </c>
      <c r="Q1488" s="36"/>
      <c r="R1488" s="36"/>
      <c r="S1488" s="36"/>
      <c r="T1488" s="160" t="s">
        <v>7628</v>
      </c>
      <c r="U1488" s="60" t="s">
        <v>61</v>
      </c>
      <c r="V1488" s="50"/>
      <c r="W1488" s="162"/>
      <c r="X1488" s="156"/>
      <c r="Y1488" s="35"/>
      <c r="Z1488" s="35"/>
      <c r="AA1488" s="35"/>
      <c r="AB1488" s="35"/>
      <c r="AC1488" s="35"/>
      <c r="AD1488" s="35"/>
      <c r="AE1488" s="35"/>
      <c r="AF1488" s="35"/>
      <c r="AG1488" s="35"/>
      <c r="AH1488" s="35"/>
      <c r="AI1488" s="35"/>
      <c r="AJ1488" s="35"/>
      <c r="AK1488" s="35"/>
      <c r="AL1488" s="35"/>
    </row>
    <row r="1489">
      <c r="A1489" s="18"/>
      <c r="B1489" s="19" t="s">
        <v>7033</v>
      </c>
      <c r="C1489" s="20" t="s">
        <v>7623</v>
      </c>
      <c r="D1489" s="159"/>
      <c r="E1489" s="56" t="s">
        <v>7629</v>
      </c>
      <c r="F1489" s="22" t="s">
        <v>7630</v>
      </c>
      <c r="G1489" s="57">
        <v>2024.0</v>
      </c>
      <c r="H1489" s="56" t="s">
        <v>477</v>
      </c>
      <c r="I1489" s="58" t="s">
        <v>7631</v>
      </c>
      <c r="J1489" s="22" t="s">
        <v>7632</v>
      </c>
      <c r="K1489" s="22" t="s">
        <v>7633</v>
      </c>
      <c r="L1489" s="36">
        <v>650.0</v>
      </c>
      <c r="M1489" s="36">
        <v>100.0</v>
      </c>
      <c r="N1489" s="36"/>
      <c r="O1489" s="36"/>
      <c r="P1489" s="37" t="s">
        <v>7634</v>
      </c>
      <c r="Q1489" s="36"/>
      <c r="R1489" s="36">
        <v>120.0</v>
      </c>
      <c r="S1489" s="36"/>
      <c r="T1489" s="160" t="s">
        <v>7635</v>
      </c>
      <c r="U1489" s="60" t="s">
        <v>61</v>
      </c>
      <c r="V1489" s="50"/>
      <c r="W1489" s="162"/>
      <c r="X1489" s="156"/>
      <c r="Y1489" s="35"/>
      <c r="Z1489" s="35"/>
      <c r="AA1489" s="35"/>
      <c r="AB1489" s="35"/>
      <c r="AC1489" s="35"/>
      <c r="AD1489" s="35"/>
      <c r="AE1489" s="35"/>
      <c r="AF1489" s="35"/>
      <c r="AG1489" s="35"/>
      <c r="AH1489" s="35"/>
      <c r="AI1489" s="35"/>
      <c r="AJ1489" s="35"/>
      <c r="AK1489" s="35"/>
      <c r="AL1489" s="35"/>
    </row>
    <row r="1490">
      <c r="A1490" s="18"/>
      <c r="B1490" s="19" t="s">
        <v>7033</v>
      </c>
      <c r="C1490" s="20" t="s">
        <v>7623</v>
      </c>
      <c r="D1490" s="159"/>
      <c r="E1490" s="56" t="s">
        <v>7636</v>
      </c>
      <c r="F1490" s="22" t="s">
        <v>41</v>
      </c>
      <c r="G1490" s="57">
        <v>2022.0</v>
      </c>
      <c r="H1490" s="56" t="s">
        <v>77</v>
      </c>
      <c r="I1490" s="58" t="s">
        <v>7637</v>
      </c>
      <c r="J1490" s="22" t="s">
        <v>7638</v>
      </c>
      <c r="K1490" s="22"/>
      <c r="L1490" s="36">
        <v>808.0</v>
      </c>
      <c r="M1490" s="36"/>
      <c r="N1490" s="36"/>
      <c r="O1490" s="36" t="s">
        <v>7639</v>
      </c>
      <c r="P1490" s="37" t="s">
        <v>7640</v>
      </c>
      <c r="Q1490" s="36"/>
      <c r="R1490" s="36" t="s">
        <v>7641</v>
      </c>
      <c r="S1490" s="36" t="s">
        <v>7642</v>
      </c>
      <c r="T1490" s="160" t="s">
        <v>7643</v>
      </c>
      <c r="U1490" s="64" t="s">
        <v>61</v>
      </c>
      <c r="V1490" s="50"/>
      <c r="W1490" s="162"/>
      <c r="X1490" s="156"/>
      <c r="Y1490" s="35"/>
      <c r="Z1490" s="35"/>
      <c r="AA1490" s="35"/>
      <c r="AB1490" s="35"/>
      <c r="AC1490" s="35"/>
      <c r="AD1490" s="35"/>
      <c r="AE1490" s="35"/>
      <c r="AF1490" s="35"/>
      <c r="AG1490" s="35"/>
      <c r="AH1490" s="35"/>
      <c r="AI1490" s="35"/>
      <c r="AJ1490" s="35"/>
      <c r="AK1490" s="35"/>
      <c r="AL1490" s="35"/>
    </row>
    <row r="1491">
      <c r="A1491" s="18"/>
      <c r="B1491" s="19" t="s">
        <v>7033</v>
      </c>
      <c r="C1491" s="20" t="s">
        <v>7623</v>
      </c>
      <c r="D1491" s="159"/>
      <c r="E1491" s="56" t="s">
        <v>7644</v>
      </c>
      <c r="F1491" s="22" t="s">
        <v>7630</v>
      </c>
      <c r="G1491" s="57">
        <v>2022.0</v>
      </c>
      <c r="H1491" s="56" t="s">
        <v>77</v>
      </c>
      <c r="I1491" s="58" t="s">
        <v>7645</v>
      </c>
      <c r="J1491" s="22" t="s">
        <v>649</v>
      </c>
      <c r="K1491" s="22" t="s">
        <v>7646</v>
      </c>
      <c r="L1491" s="167" t="s">
        <v>7647</v>
      </c>
      <c r="M1491" s="44"/>
      <c r="N1491" s="44"/>
      <c r="O1491" s="44"/>
      <c r="P1491" s="44"/>
      <c r="Q1491" s="44"/>
      <c r="R1491" s="44"/>
      <c r="S1491" s="44"/>
      <c r="T1491" s="45"/>
      <c r="U1491" s="64" t="s">
        <v>61</v>
      </c>
      <c r="V1491" s="50"/>
      <c r="W1491" s="162"/>
      <c r="X1491" s="156"/>
      <c r="Y1491" s="35"/>
      <c r="Z1491" s="35"/>
      <c r="AA1491" s="35"/>
      <c r="AB1491" s="35"/>
      <c r="AC1491" s="35"/>
      <c r="AD1491" s="35"/>
      <c r="AE1491" s="35"/>
      <c r="AF1491" s="35"/>
      <c r="AG1491" s="35"/>
      <c r="AH1491" s="35"/>
      <c r="AI1491" s="35"/>
      <c r="AJ1491" s="35"/>
      <c r="AK1491" s="35"/>
      <c r="AL1491" s="35"/>
    </row>
    <row r="1492">
      <c r="A1492" s="18"/>
      <c r="B1492" s="19" t="s">
        <v>7033</v>
      </c>
      <c r="C1492" s="20" t="s">
        <v>7623</v>
      </c>
      <c r="D1492" s="159"/>
      <c r="E1492" s="56" t="s">
        <v>7648</v>
      </c>
      <c r="F1492" s="22" t="s">
        <v>7649</v>
      </c>
      <c r="G1492" s="57">
        <v>2021.0</v>
      </c>
      <c r="H1492" s="56" t="s">
        <v>1485</v>
      </c>
      <c r="I1492" s="58" t="s">
        <v>7650</v>
      </c>
      <c r="J1492" s="22" t="s">
        <v>7651</v>
      </c>
      <c r="K1492" s="22" t="s">
        <v>7652</v>
      </c>
      <c r="L1492" s="36">
        <v>660.0</v>
      </c>
      <c r="M1492" s="36">
        <v>100.0</v>
      </c>
      <c r="N1492" s="36"/>
      <c r="O1492" s="36" t="s">
        <v>7653</v>
      </c>
      <c r="P1492" s="37"/>
      <c r="Q1492" s="36" t="s">
        <v>7654</v>
      </c>
      <c r="R1492" s="36"/>
      <c r="S1492" s="36"/>
      <c r="T1492" s="160" t="s">
        <v>7655</v>
      </c>
      <c r="U1492" s="64" t="s">
        <v>61</v>
      </c>
      <c r="V1492" s="50"/>
      <c r="W1492" s="162"/>
      <c r="X1492" s="156"/>
      <c r="Y1492" s="35"/>
      <c r="Z1492" s="35"/>
      <c r="AA1492" s="35"/>
      <c r="AB1492" s="35"/>
      <c r="AC1492" s="35"/>
      <c r="AD1492" s="35"/>
      <c r="AE1492" s="35"/>
      <c r="AF1492" s="35"/>
      <c r="AG1492" s="35"/>
      <c r="AH1492" s="35"/>
      <c r="AI1492" s="35"/>
      <c r="AJ1492" s="35"/>
      <c r="AK1492" s="35"/>
      <c r="AL1492" s="35"/>
    </row>
    <row r="1493">
      <c r="A1493" s="18" t="s">
        <v>38</v>
      </c>
      <c r="B1493" s="19" t="s">
        <v>7033</v>
      </c>
      <c r="C1493" s="20" t="s">
        <v>7623</v>
      </c>
      <c r="D1493" s="159"/>
      <c r="E1493" s="56" t="s">
        <v>7656</v>
      </c>
      <c r="F1493" s="22" t="s">
        <v>7657</v>
      </c>
      <c r="G1493" s="57">
        <v>2020.0</v>
      </c>
      <c r="H1493" s="56" t="s">
        <v>1485</v>
      </c>
      <c r="I1493" s="58" t="s">
        <v>7658</v>
      </c>
      <c r="J1493" s="22" t="s">
        <v>7659</v>
      </c>
      <c r="K1493" s="22" t="s">
        <v>7548</v>
      </c>
      <c r="L1493" s="36">
        <v>660.0</v>
      </c>
      <c r="M1493" s="36">
        <v>100.0</v>
      </c>
      <c r="N1493" s="36"/>
      <c r="O1493" s="36"/>
      <c r="P1493" s="37"/>
      <c r="Q1493" s="36"/>
      <c r="R1493" s="36"/>
      <c r="S1493" s="36"/>
      <c r="T1493" s="160" t="s">
        <v>7660</v>
      </c>
      <c r="U1493" s="64" t="s">
        <v>61</v>
      </c>
      <c r="V1493" s="50"/>
      <c r="W1493" s="162"/>
      <c r="X1493" s="156"/>
      <c r="Y1493" s="35"/>
      <c r="Z1493" s="35"/>
      <c r="AA1493" s="35"/>
      <c r="AB1493" s="35"/>
      <c r="AC1493" s="35"/>
      <c r="AD1493" s="35"/>
      <c r="AE1493" s="35"/>
      <c r="AF1493" s="35"/>
      <c r="AG1493" s="35"/>
      <c r="AH1493" s="35"/>
      <c r="AI1493" s="35"/>
      <c r="AJ1493" s="35"/>
      <c r="AK1493" s="35"/>
      <c r="AL1493" s="35"/>
    </row>
    <row r="1494">
      <c r="A1494" s="133"/>
      <c r="B1494" s="19" t="s">
        <v>7033</v>
      </c>
      <c r="C1494" s="20" t="s">
        <v>7623</v>
      </c>
      <c r="D1494" s="21"/>
      <c r="E1494" s="22" t="s">
        <v>7661</v>
      </c>
      <c r="F1494" s="22" t="s">
        <v>5514</v>
      </c>
      <c r="G1494" s="23">
        <v>2018.0</v>
      </c>
      <c r="H1494" s="22" t="s">
        <v>91</v>
      </c>
      <c r="I1494" s="24" t="s">
        <v>7662</v>
      </c>
      <c r="J1494" s="22" t="s">
        <v>649</v>
      </c>
      <c r="K1494" s="96"/>
      <c r="L1494" s="171" t="s">
        <v>7663</v>
      </c>
      <c r="M1494" s="44"/>
      <c r="N1494" s="44"/>
      <c r="O1494" s="44"/>
      <c r="P1494" s="44"/>
      <c r="Q1494" s="44"/>
      <c r="R1494" s="44"/>
      <c r="S1494" s="44"/>
      <c r="T1494" s="45"/>
      <c r="U1494" s="38" t="str">
        <f>HYPERLINK("https://www.ncbi.nlm.nih.gov/pubmed/29802585","PubMed")</f>
        <v>PubMed</v>
      </c>
      <c r="V1494" s="50"/>
      <c r="W1494" s="49"/>
      <c r="X1494" s="49"/>
      <c r="Y1494" s="35"/>
      <c r="Z1494" s="35"/>
      <c r="AA1494" s="35"/>
      <c r="AB1494" s="35"/>
      <c r="AC1494" s="35"/>
      <c r="AD1494" s="35"/>
      <c r="AE1494" s="35"/>
      <c r="AF1494" s="35"/>
      <c r="AG1494" s="35"/>
      <c r="AH1494" s="35"/>
      <c r="AI1494" s="35"/>
      <c r="AJ1494" s="35"/>
      <c r="AK1494" s="35"/>
      <c r="AL1494" s="35"/>
    </row>
    <row r="1495">
      <c r="A1495" s="133"/>
      <c r="B1495" s="19" t="s">
        <v>7033</v>
      </c>
      <c r="C1495" s="20" t="s">
        <v>7623</v>
      </c>
      <c r="D1495" s="21"/>
      <c r="E1495" s="22" t="s">
        <v>7664</v>
      </c>
      <c r="F1495" s="22" t="s">
        <v>7665</v>
      </c>
      <c r="G1495" s="23">
        <v>2017.0</v>
      </c>
      <c r="H1495" s="22" t="s">
        <v>469</v>
      </c>
      <c r="I1495" s="24" t="s">
        <v>7666</v>
      </c>
      <c r="J1495" s="22" t="s">
        <v>7667</v>
      </c>
      <c r="K1495" s="22" t="s">
        <v>7668</v>
      </c>
      <c r="L1495" s="36">
        <v>870.0</v>
      </c>
      <c r="M1495" s="36"/>
      <c r="N1495" s="36"/>
      <c r="O1495" s="36"/>
      <c r="P1495" s="37" t="s">
        <v>2366</v>
      </c>
      <c r="Q1495" s="36"/>
      <c r="R1495" s="36">
        <v>60.0</v>
      </c>
      <c r="S1495" s="36">
        <v>6.0</v>
      </c>
      <c r="T1495" s="28" t="s">
        <v>7669</v>
      </c>
      <c r="U1495" s="29" t="s">
        <v>61</v>
      </c>
      <c r="V1495" s="50"/>
      <c r="W1495" s="49"/>
      <c r="X1495" s="49"/>
      <c r="Y1495" s="35"/>
      <c r="Z1495" s="35"/>
      <c r="AA1495" s="35"/>
      <c r="AB1495" s="35"/>
      <c r="AC1495" s="35"/>
      <c r="AD1495" s="35"/>
      <c r="AE1495" s="35"/>
      <c r="AF1495" s="35"/>
      <c r="AG1495" s="35"/>
      <c r="AH1495" s="35"/>
      <c r="AI1495" s="35"/>
      <c r="AJ1495" s="35"/>
      <c r="AK1495" s="35"/>
      <c r="AL1495" s="35"/>
    </row>
    <row r="1496">
      <c r="A1496" s="133"/>
      <c r="B1496" s="19" t="s">
        <v>7033</v>
      </c>
      <c r="C1496" s="20" t="s">
        <v>7623</v>
      </c>
      <c r="D1496" s="21"/>
      <c r="E1496" s="22" t="s">
        <v>7670</v>
      </c>
      <c r="F1496" s="22" t="s">
        <v>41</v>
      </c>
      <c r="G1496" s="23">
        <v>2014.0</v>
      </c>
      <c r="H1496" s="22" t="s">
        <v>91</v>
      </c>
      <c r="I1496" s="24" t="s">
        <v>7671</v>
      </c>
      <c r="J1496" s="22" t="s">
        <v>125</v>
      </c>
      <c r="K1496" s="96"/>
      <c r="L1496" s="171" t="s">
        <v>7672</v>
      </c>
      <c r="M1496" s="44"/>
      <c r="N1496" s="44"/>
      <c r="O1496" s="44"/>
      <c r="P1496" s="44"/>
      <c r="Q1496" s="44"/>
      <c r="R1496" s="44"/>
      <c r="S1496" s="44"/>
      <c r="T1496" s="45"/>
      <c r="U1496" s="38" t="str">
        <f>HYPERLINK("https://www.ncbi.nlm.nih.gov/pubmed/23584730","PubMed")</f>
        <v>PubMed</v>
      </c>
      <c r="V1496" s="50"/>
      <c r="W1496" s="49"/>
      <c r="X1496" s="49"/>
      <c r="Y1496" s="35"/>
      <c r="Z1496" s="35"/>
      <c r="AA1496" s="35"/>
      <c r="AB1496" s="35"/>
      <c r="AC1496" s="35"/>
      <c r="AD1496" s="35"/>
      <c r="AE1496" s="35"/>
      <c r="AF1496" s="35"/>
      <c r="AG1496" s="35"/>
      <c r="AH1496" s="35"/>
      <c r="AI1496" s="35"/>
      <c r="AJ1496" s="35"/>
      <c r="AK1496" s="35"/>
      <c r="AL1496" s="35"/>
    </row>
    <row r="1497">
      <c r="A1497" s="133"/>
      <c r="B1497" s="19" t="s">
        <v>7033</v>
      </c>
      <c r="C1497" s="20" t="s">
        <v>7623</v>
      </c>
      <c r="D1497" s="21"/>
      <c r="E1497" s="22" t="s">
        <v>7673</v>
      </c>
      <c r="F1497" s="22" t="s">
        <v>2579</v>
      </c>
      <c r="G1497" s="23">
        <v>2013.0</v>
      </c>
      <c r="H1497" s="22" t="s">
        <v>5215</v>
      </c>
      <c r="I1497" s="24" t="s">
        <v>7674</v>
      </c>
      <c r="J1497" s="22" t="s">
        <v>7675</v>
      </c>
      <c r="K1497" s="22" t="s">
        <v>157</v>
      </c>
      <c r="L1497" s="36">
        <v>1072.0</v>
      </c>
      <c r="M1497" s="36"/>
      <c r="N1497" s="36"/>
      <c r="O1497" s="36"/>
      <c r="P1497" s="37"/>
      <c r="Q1497" s="36"/>
      <c r="R1497" s="36">
        <v>180.0</v>
      </c>
      <c r="S1497" s="36" t="s">
        <v>7676</v>
      </c>
      <c r="T1497" s="28" t="s">
        <v>7677</v>
      </c>
      <c r="U1497" s="38" t="str">
        <f>HYPERLINK("https://www.ncbi.nlm.nih.gov/pubmed/23731454","PubMed")</f>
        <v>PubMed</v>
      </c>
      <c r="V1497" s="50"/>
      <c r="W1497" s="49"/>
      <c r="X1497" s="49"/>
      <c r="Y1497" s="35"/>
      <c r="Z1497" s="35"/>
      <c r="AA1497" s="35"/>
      <c r="AB1497" s="35"/>
      <c r="AC1497" s="35"/>
      <c r="AD1497" s="35"/>
      <c r="AE1497" s="35"/>
      <c r="AF1497" s="35"/>
      <c r="AG1497" s="35"/>
      <c r="AH1497" s="35"/>
      <c r="AI1497" s="35"/>
      <c r="AJ1497" s="35"/>
      <c r="AK1497" s="35"/>
      <c r="AL1497" s="35"/>
    </row>
    <row r="1498">
      <c r="A1498" s="133"/>
      <c r="B1498" s="19" t="s">
        <v>7033</v>
      </c>
      <c r="C1498" s="20" t="s">
        <v>7623</v>
      </c>
      <c r="D1498" s="21"/>
      <c r="E1498" s="22" t="s">
        <v>7678</v>
      </c>
      <c r="F1498" s="22" t="s">
        <v>7679</v>
      </c>
      <c r="G1498" s="23">
        <v>2013.0</v>
      </c>
      <c r="H1498" s="22" t="s">
        <v>3950</v>
      </c>
      <c r="I1498" s="24" t="s">
        <v>7680</v>
      </c>
      <c r="J1498" s="22" t="s">
        <v>31</v>
      </c>
      <c r="K1498" s="96"/>
      <c r="L1498" s="36"/>
      <c r="M1498" s="36"/>
      <c r="N1498" s="36"/>
      <c r="O1498" s="36"/>
      <c r="P1498" s="37"/>
      <c r="Q1498" s="36"/>
      <c r="R1498" s="36"/>
      <c r="S1498" s="36"/>
      <c r="T1498" s="28" t="s">
        <v>7681</v>
      </c>
      <c r="U1498" s="38" t="str">
        <f>HYPERLINK("https://www.ncbi.nlm.nih.gov/pubmed/23483124","PubMed")</f>
        <v>PubMed</v>
      </c>
      <c r="V1498" s="50"/>
      <c r="W1498" s="49"/>
      <c r="X1498" s="49"/>
      <c r="Y1498" s="35"/>
      <c r="Z1498" s="35"/>
      <c r="AA1498" s="35"/>
      <c r="AB1498" s="35"/>
      <c r="AC1498" s="35"/>
      <c r="AD1498" s="35"/>
      <c r="AE1498" s="35"/>
      <c r="AF1498" s="35"/>
      <c r="AG1498" s="35"/>
      <c r="AH1498" s="35"/>
      <c r="AI1498" s="35"/>
      <c r="AJ1498" s="35"/>
      <c r="AK1498" s="35"/>
      <c r="AL1498" s="35"/>
    </row>
    <row r="1499">
      <c r="A1499" s="133" t="s">
        <v>2</v>
      </c>
      <c r="B1499" s="19" t="s">
        <v>7033</v>
      </c>
      <c r="C1499" s="20" t="s">
        <v>7623</v>
      </c>
      <c r="D1499" s="21"/>
      <c r="E1499" s="22" t="s">
        <v>7682</v>
      </c>
      <c r="F1499" s="22" t="s">
        <v>7683</v>
      </c>
      <c r="G1499" s="23">
        <v>2012.0</v>
      </c>
      <c r="H1499" s="22" t="s">
        <v>658</v>
      </c>
      <c r="I1499" s="24" t="s">
        <v>7684</v>
      </c>
      <c r="J1499" s="22" t="s">
        <v>7685</v>
      </c>
      <c r="K1499" s="22" t="s">
        <v>7686</v>
      </c>
      <c r="L1499" s="36">
        <v>670.0</v>
      </c>
      <c r="M1499" s="36">
        <v>40.0</v>
      </c>
      <c r="N1499" s="36" t="s">
        <v>7687</v>
      </c>
      <c r="O1499" s="36" t="s">
        <v>7688</v>
      </c>
      <c r="P1499" s="37" t="s">
        <v>7689</v>
      </c>
      <c r="Q1499" s="36" t="s">
        <v>7690</v>
      </c>
      <c r="R1499" s="36">
        <v>40.0</v>
      </c>
      <c r="S1499" s="36" t="s">
        <v>860</v>
      </c>
      <c r="T1499" s="28" t="s">
        <v>7691</v>
      </c>
      <c r="U1499" s="38" t="str">
        <f>HYPERLINK("https://www.ncbi.nlm.nih.gov/pubmed/22047597","PubMed")</f>
        <v>PubMed</v>
      </c>
      <c r="V1499" s="50"/>
      <c r="W1499" s="49"/>
      <c r="X1499" s="49"/>
      <c r="Y1499" s="35"/>
      <c r="Z1499" s="35"/>
      <c r="AA1499" s="35"/>
      <c r="AB1499" s="35"/>
      <c r="AC1499" s="35"/>
      <c r="AD1499" s="35"/>
      <c r="AE1499" s="35"/>
      <c r="AF1499" s="35"/>
      <c r="AG1499" s="35"/>
      <c r="AH1499" s="35"/>
      <c r="AI1499" s="35"/>
      <c r="AJ1499" s="35"/>
      <c r="AK1499" s="35"/>
      <c r="AL1499" s="35"/>
    </row>
    <row r="1500">
      <c r="A1500" s="133"/>
      <c r="B1500" s="19" t="s">
        <v>7033</v>
      </c>
      <c r="C1500" s="20" t="s">
        <v>7623</v>
      </c>
      <c r="D1500" s="21"/>
      <c r="E1500" s="22" t="s">
        <v>7692</v>
      </c>
      <c r="F1500" s="22" t="s">
        <v>41</v>
      </c>
      <c r="G1500" s="23">
        <v>2012.0</v>
      </c>
      <c r="H1500" s="22" t="s">
        <v>91</v>
      </c>
      <c r="I1500" s="24" t="s">
        <v>7693</v>
      </c>
      <c r="J1500" s="22" t="s">
        <v>7694</v>
      </c>
      <c r="K1500" s="96"/>
      <c r="L1500" s="36">
        <v>780.0</v>
      </c>
      <c r="M1500" s="36">
        <v>70.0</v>
      </c>
      <c r="N1500" s="36" t="s">
        <v>827</v>
      </c>
      <c r="O1500" s="36" t="s">
        <v>7695</v>
      </c>
      <c r="P1500" s="37" t="s">
        <v>7696</v>
      </c>
      <c r="Q1500" s="36" t="s">
        <v>7697</v>
      </c>
      <c r="R1500" s="36">
        <v>300.0</v>
      </c>
      <c r="S1500" s="36" t="s">
        <v>7698</v>
      </c>
      <c r="T1500" s="28" t="s">
        <v>7699</v>
      </c>
      <c r="U1500" s="38" t="str">
        <f>HYPERLINK("https://www.ncbi.nlm.nih.gov/pubmed/22086666","PubMed")</f>
        <v>PubMed</v>
      </c>
      <c r="V1500" s="50"/>
      <c r="W1500" s="49"/>
      <c r="X1500" s="49"/>
      <c r="Y1500" s="35"/>
      <c r="Z1500" s="35"/>
      <c r="AA1500" s="35"/>
      <c r="AB1500" s="35"/>
      <c r="AC1500" s="35"/>
      <c r="AD1500" s="35"/>
      <c r="AE1500" s="35"/>
      <c r="AF1500" s="35"/>
      <c r="AG1500" s="35"/>
      <c r="AH1500" s="35"/>
      <c r="AI1500" s="35"/>
      <c r="AJ1500" s="35"/>
      <c r="AK1500" s="35"/>
      <c r="AL1500" s="35"/>
    </row>
    <row r="1501">
      <c r="A1501" s="133"/>
      <c r="B1501" s="19" t="s">
        <v>7033</v>
      </c>
      <c r="C1501" s="20" t="s">
        <v>7623</v>
      </c>
      <c r="D1501" s="21"/>
      <c r="E1501" s="22" t="s">
        <v>7700</v>
      </c>
      <c r="F1501" s="22" t="s">
        <v>993</v>
      </c>
      <c r="G1501" s="23">
        <v>2011.0</v>
      </c>
      <c r="H1501" s="22" t="s">
        <v>7701</v>
      </c>
      <c r="I1501" s="24" t="s">
        <v>7702</v>
      </c>
      <c r="J1501" s="22" t="s">
        <v>7703</v>
      </c>
      <c r="K1501" s="96"/>
      <c r="L1501" s="36">
        <v>660.0</v>
      </c>
      <c r="M1501" s="36">
        <v>100.0</v>
      </c>
      <c r="N1501" s="36"/>
      <c r="O1501" s="36"/>
      <c r="P1501" s="37" t="s">
        <v>480</v>
      </c>
      <c r="Q1501" s="36"/>
      <c r="R1501" s="36">
        <v>160.0</v>
      </c>
      <c r="S1501" s="183">
        <v>44685.0</v>
      </c>
      <c r="T1501" s="28" t="s">
        <v>7704</v>
      </c>
      <c r="U1501" s="38" t="str">
        <f>HYPERLINK("https://www.ncbi.nlm.nih.gov/pubmed/21779683","PubMed")</f>
        <v>PubMed</v>
      </c>
      <c r="V1501" s="50"/>
      <c r="W1501" s="49"/>
      <c r="X1501" s="49"/>
      <c r="Y1501" s="35"/>
      <c r="Z1501" s="35"/>
      <c r="AA1501" s="35"/>
      <c r="AB1501" s="35"/>
      <c r="AC1501" s="35"/>
      <c r="AD1501" s="35"/>
      <c r="AE1501" s="35"/>
      <c r="AF1501" s="35"/>
      <c r="AG1501" s="35"/>
      <c r="AH1501" s="35"/>
      <c r="AI1501" s="35"/>
      <c r="AJ1501" s="35"/>
      <c r="AK1501" s="35"/>
      <c r="AL1501" s="35"/>
    </row>
    <row r="1502">
      <c r="A1502" s="133"/>
      <c r="B1502" s="19" t="s">
        <v>7033</v>
      </c>
      <c r="C1502" s="20" t="s">
        <v>7623</v>
      </c>
      <c r="D1502" s="21"/>
      <c r="E1502" s="22" t="s">
        <v>7705</v>
      </c>
      <c r="F1502" s="22" t="s">
        <v>41</v>
      </c>
      <c r="G1502" s="23">
        <v>2010.0</v>
      </c>
      <c r="H1502" s="22" t="s">
        <v>91</v>
      </c>
      <c r="I1502" s="24" t="s">
        <v>7706</v>
      </c>
      <c r="J1502" s="22" t="s">
        <v>7707</v>
      </c>
      <c r="K1502" s="22" t="s">
        <v>7708</v>
      </c>
      <c r="L1502" s="36">
        <v>780.0</v>
      </c>
      <c r="M1502" s="36">
        <v>60.0</v>
      </c>
      <c r="N1502" s="36"/>
      <c r="O1502" s="36" t="s">
        <v>7709</v>
      </c>
      <c r="P1502" s="37" t="s">
        <v>7710</v>
      </c>
      <c r="Q1502" s="36" t="s">
        <v>7711</v>
      </c>
      <c r="R1502" s="36" t="s">
        <v>7712</v>
      </c>
      <c r="S1502" s="36" t="s">
        <v>7132</v>
      </c>
      <c r="T1502" s="28" t="s">
        <v>7713</v>
      </c>
      <c r="U1502" s="38" t="str">
        <f>HYPERLINK("https://www.ncbi.nlm.nih.gov/pubmed/19669856","PubMed")</f>
        <v>PubMed</v>
      </c>
      <c r="V1502" s="50"/>
      <c r="W1502" s="49"/>
      <c r="X1502" s="49"/>
      <c r="Y1502" s="35"/>
      <c r="Z1502" s="35"/>
      <c r="AA1502" s="35"/>
      <c r="AB1502" s="35"/>
      <c r="AC1502" s="35"/>
      <c r="AD1502" s="35"/>
      <c r="AE1502" s="35"/>
      <c r="AF1502" s="35"/>
      <c r="AG1502" s="35"/>
      <c r="AH1502" s="35"/>
      <c r="AI1502" s="35"/>
      <c r="AJ1502" s="35"/>
      <c r="AK1502" s="35"/>
      <c r="AL1502" s="35"/>
    </row>
    <row r="1503">
      <c r="A1503" s="18"/>
      <c r="B1503" s="19" t="s">
        <v>7033</v>
      </c>
      <c r="C1503" s="20" t="s">
        <v>7623</v>
      </c>
      <c r="D1503" s="21"/>
      <c r="E1503" s="22" t="s">
        <v>7714</v>
      </c>
      <c r="F1503" s="22" t="s">
        <v>41</v>
      </c>
      <c r="G1503" s="23">
        <v>2010.0</v>
      </c>
      <c r="H1503" s="22" t="s">
        <v>658</v>
      </c>
      <c r="I1503" s="24" t="s">
        <v>7715</v>
      </c>
      <c r="J1503" s="22" t="s">
        <v>2913</v>
      </c>
      <c r="K1503" s="22"/>
      <c r="L1503" s="36" t="s">
        <v>7716</v>
      </c>
      <c r="M1503" s="36" t="s">
        <v>7717</v>
      </c>
      <c r="N1503" s="36"/>
      <c r="O1503" s="36"/>
      <c r="P1503" s="37" t="s">
        <v>7718</v>
      </c>
      <c r="Q1503" s="36"/>
      <c r="R1503" s="36"/>
      <c r="S1503" s="36"/>
      <c r="T1503" s="28" t="s">
        <v>7719</v>
      </c>
      <c r="U1503" s="38" t="str">
        <f>HYPERLINK("https://www.ncbi.nlm.nih.gov/pubmed/19712025","PubMed")</f>
        <v>PubMed</v>
      </c>
      <c r="V1503" s="50"/>
      <c r="W1503" s="49"/>
      <c r="X1503" s="49"/>
      <c r="Y1503" s="35"/>
      <c r="Z1503" s="35"/>
      <c r="AA1503" s="35"/>
      <c r="AB1503" s="35"/>
      <c r="AC1503" s="35"/>
      <c r="AD1503" s="35"/>
      <c r="AE1503" s="35"/>
      <c r="AF1503" s="35"/>
      <c r="AG1503" s="35"/>
      <c r="AH1503" s="35"/>
      <c r="AI1503" s="35"/>
      <c r="AJ1503" s="35"/>
      <c r="AK1503" s="35"/>
      <c r="AL1503" s="35"/>
    </row>
    <row r="1504">
      <c r="A1504" s="18" t="s">
        <v>38</v>
      </c>
      <c r="B1504" s="19" t="s">
        <v>7033</v>
      </c>
      <c r="C1504" s="20" t="s">
        <v>7623</v>
      </c>
      <c r="D1504" s="21"/>
      <c r="E1504" s="22" t="s">
        <v>7720</v>
      </c>
      <c r="F1504" s="22" t="s">
        <v>41</v>
      </c>
      <c r="G1504" s="23">
        <v>2010.0</v>
      </c>
      <c r="H1504" s="22" t="s">
        <v>658</v>
      </c>
      <c r="I1504" s="24" t="s">
        <v>7721</v>
      </c>
      <c r="J1504" s="22" t="s">
        <v>7722</v>
      </c>
      <c r="K1504" s="22" t="s">
        <v>7723</v>
      </c>
      <c r="L1504" s="36"/>
      <c r="M1504" s="36"/>
      <c r="N1504" s="36"/>
      <c r="O1504" s="36"/>
      <c r="P1504" s="37"/>
      <c r="Q1504" s="36"/>
      <c r="R1504" s="36"/>
      <c r="S1504" s="36"/>
      <c r="T1504" s="28" t="s">
        <v>7724</v>
      </c>
      <c r="U1504" s="38" t="str">
        <f>HYPERLINK("https://www.ncbi.nlm.nih.gov/pubmed/19821702","PubMed")</f>
        <v>PubMed</v>
      </c>
      <c r="V1504" s="50"/>
      <c r="W1504" s="49"/>
      <c r="X1504" s="49"/>
      <c r="Y1504" s="35"/>
      <c r="Z1504" s="35"/>
      <c r="AA1504" s="35"/>
      <c r="AB1504" s="35"/>
      <c r="AC1504" s="35"/>
      <c r="AD1504" s="35"/>
      <c r="AE1504" s="35"/>
      <c r="AF1504" s="35"/>
      <c r="AG1504" s="35"/>
      <c r="AH1504" s="35"/>
      <c r="AI1504" s="35"/>
      <c r="AJ1504" s="35"/>
      <c r="AK1504" s="35"/>
      <c r="AL1504" s="35"/>
    </row>
    <row r="1505">
      <c r="A1505" s="133"/>
      <c r="B1505" s="19" t="s">
        <v>7033</v>
      </c>
      <c r="C1505" s="20" t="s">
        <v>7623</v>
      </c>
      <c r="D1505" s="21"/>
      <c r="E1505" s="22" t="s">
        <v>7725</v>
      </c>
      <c r="F1505" s="22" t="s">
        <v>41</v>
      </c>
      <c r="G1505" s="23">
        <v>2007.0</v>
      </c>
      <c r="H1505" s="22" t="s">
        <v>7726</v>
      </c>
      <c r="I1505" s="24" t="s">
        <v>7727</v>
      </c>
      <c r="J1505" s="22" t="s">
        <v>7728</v>
      </c>
      <c r="K1505" s="22"/>
      <c r="L1505" s="36">
        <v>660.0</v>
      </c>
      <c r="M1505" s="36">
        <v>10.0</v>
      </c>
      <c r="N1505" s="36"/>
      <c r="O1505" s="36"/>
      <c r="P1505" s="37" t="s">
        <v>704</v>
      </c>
      <c r="Q1505" s="36"/>
      <c r="R1505" s="36" t="s">
        <v>7729</v>
      </c>
      <c r="S1505" s="36" t="s">
        <v>7730</v>
      </c>
      <c r="T1505" s="28" t="s">
        <v>7731</v>
      </c>
      <c r="U1505" s="38" t="str">
        <f>HYPERLINK("https://www.ncbi.nlm.nih.gov/pubmed/19161055","PubMed")</f>
        <v>PubMed</v>
      </c>
      <c r="V1505" s="50"/>
      <c r="W1505" s="49"/>
      <c r="X1505" s="49"/>
      <c r="Y1505" s="35"/>
      <c r="Z1505" s="35"/>
      <c r="AA1505" s="35"/>
      <c r="AB1505" s="35"/>
      <c r="AC1505" s="35"/>
      <c r="AD1505" s="35"/>
      <c r="AE1505" s="35"/>
      <c r="AF1505" s="35"/>
      <c r="AG1505" s="35"/>
      <c r="AH1505" s="35"/>
      <c r="AI1505" s="35"/>
      <c r="AJ1505" s="35"/>
      <c r="AK1505" s="35"/>
      <c r="AL1505" s="35"/>
    </row>
    <row r="1506">
      <c r="A1506" s="191" t="s">
        <v>181</v>
      </c>
      <c r="B1506" s="19" t="s">
        <v>7033</v>
      </c>
      <c r="C1506" s="20" t="s">
        <v>7623</v>
      </c>
      <c r="D1506" s="21"/>
      <c r="E1506" s="22" t="s">
        <v>7732</v>
      </c>
      <c r="F1506" s="22" t="s">
        <v>7202</v>
      </c>
      <c r="G1506" s="23">
        <v>2006.0</v>
      </c>
      <c r="H1506" s="22" t="s">
        <v>5215</v>
      </c>
      <c r="I1506" s="24" t="s">
        <v>7733</v>
      </c>
      <c r="J1506" s="22" t="s">
        <v>7734</v>
      </c>
      <c r="K1506" s="22" t="s">
        <v>157</v>
      </c>
      <c r="L1506" s="36">
        <v>1072.0</v>
      </c>
      <c r="M1506" s="36"/>
      <c r="N1506" s="36"/>
      <c r="O1506" s="36"/>
      <c r="P1506" s="37"/>
      <c r="Q1506" s="36"/>
      <c r="R1506" s="36">
        <v>180.0</v>
      </c>
      <c r="S1506" s="36" t="s">
        <v>7676</v>
      </c>
      <c r="T1506" s="28" t="s">
        <v>7735</v>
      </c>
      <c r="U1506" s="38" t="str">
        <f>HYPERLINK("https://www.ncbi.nlm.nih.gov/pubmed/16780494","PubMed")</f>
        <v>PubMed</v>
      </c>
      <c r="V1506" s="50"/>
      <c r="W1506" s="49"/>
      <c r="X1506" s="49"/>
      <c r="Y1506" s="35"/>
      <c r="Z1506" s="35"/>
      <c r="AA1506" s="35"/>
      <c r="AB1506" s="35"/>
      <c r="AC1506" s="35"/>
      <c r="AD1506" s="35"/>
      <c r="AE1506" s="35"/>
      <c r="AF1506" s="35"/>
      <c r="AG1506" s="35"/>
      <c r="AH1506" s="35"/>
      <c r="AI1506" s="35"/>
      <c r="AJ1506" s="35"/>
      <c r="AK1506" s="35"/>
      <c r="AL1506" s="35"/>
    </row>
    <row r="1507">
      <c r="A1507" s="191"/>
      <c r="B1507" s="19" t="s">
        <v>7033</v>
      </c>
      <c r="C1507" s="20" t="s">
        <v>7623</v>
      </c>
      <c r="D1507" s="21"/>
      <c r="E1507" s="22" t="s">
        <v>7736</v>
      </c>
      <c r="F1507" s="22" t="s">
        <v>7737</v>
      </c>
      <c r="G1507" s="23">
        <v>2001.0</v>
      </c>
      <c r="H1507" s="22" t="s">
        <v>5215</v>
      </c>
      <c r="I1507" s="24" t="s">
        <v>7738</v>
      </c>
      <c r="J1507" s="22" t="s">
        <v>7739</v>
      </c>
      <c r="K1507" s="22" t="s">
        <v>7740</v>
      </c>
      <c r="L1507" s="36">
        <v>1072.0</v>
      </c>
      <c r="M1507" s="36"/>
      <c r="N1507" s="36" t="s">
        <v>7741</v>
      </c>
      <c r="O1507" s="36"/>
      <c r="P1507" s="37"/>
      <c r="Q1507" s="36" t="s">
        <v>7742</v>
      </c>
      <c r="R1507" s="36">
        <v>300.0</v>
      </c>
      <c r="S1507" s="36">
        <v>1.0</v>
      </c>
      <c r="T1507" s="28" t="s">
        <v>7743</v>
      </c>
      <c r="U1507" s="38" t="str">
        <f>HYPERLINK("https://www.ncbi.nlm.nih.gov/pubmed/11298104","PubMed")</f>
        <v>PubMed</v>
      </c>
      <c r="V1507" s="50"/>
      <c r="W1507" s="49"/>
      <c r="X1507" s="49"/>
      <c r="Y1507" s="35"/>
      <c r="Z1507" s="35"/>
      <c r="AA1507" s="35"/>
      <c r="AB1507" s="35"/>
      <c r="AC1507" s="35"/>
      <c r="AD1507" s="35"/>
      <c r="AE1507" s="35"/>
      <c r="AF1507" s="35"/>
      <c r="AG1507" s="35"/>
      <c r="AH1507" s="35"/>
      <c r="AI1507" s="35"/>
      <c r="AJ1507" s="35"/>
      <c r="AK1507" s="35"/>
      <c r="AL1507" s="35"/>
    </row>
    <row r="1508">
      <c r="A1508" s="133" t="s">
        <v>2</v>
      </c>
      <c r="B1508" s="19" t="s">
        <v>7033</v>
      </c>
      <c r="C1508" s="20" t="s">
        <v>7623</v>
      </c>
      <c r="D1508" s="21"/>
      <c r="E1508" s="22" t="s">
        <v>7744</v>
      </c>
      <c r="F1508" s="22" t="s">
        <v>1603</v>
      </c>
      <c r="G1508" s="23">
        <v>1999.0</v>
      </c>
      <c r="H1508" s="22" t="s">
        <v>5032</v>
      </c>
      <c r="I1508" s="24" t="s">
        <v>7745</v>
      </c>
      <c r="J1508" s="22" t="s">
        <v>7746</v>
      </c>
      <c r="K1508" s="96"/>
      <c r="L1508" s="36">
        <v>690.0</v>
      </c>
      <c r="M1508" s="36">
        <v>80.0</v>
      </c>
      <c r="N1508" s="36" t="s">
        <v>6622</v>
      </c>
      <c r="O1508" s="36">
        <v>48.0</v>
      </c>
      <c r="P1508" s="37" t="s">
        <v>7303</v>
      </c>
      <c r="Q1508" s="36" t="s">
        <v>675</v>
      </c>
      <c r="R1508" s="36">
        <v>600.0</v>
      </c>
      <c r="S1508" s="36" t="s">
        <v>7747</v>
      </c>
      <c r="T1508" s="28" t="s">
        <v>7748</v>
      </c>
      <c r="U1508" s="38" t="str">
        <f>HYPERLINK("https://www.ncbi.nlm.nih.gov/pubmed/10469307","PubMed")</f>
        <v>PubMed</v>
      </c>
      <c r="V1508" s="50"/>
      <c r="W1508" s="49"/>
      <c r="X1508" s="49"/>
      <c r="Y1508" s="35"/>
      <c r="Z1508" s="35"/>
      <c r="AA1508" s="35"/>
      <c r="AB1508" s="35"/>
      <c r="AC1508" s="35"/>
      <c r="AD1508" s="35"/>
      <c r="AE1508" s="35"/>
      <c r="AF1508" s="35"/>
      <c r="AG1508" s="35"/>
      <c r="AH1508" s="35"/>
      <c r="AI1508" s="35"/>
      <c r="AJ1508" s="35"/>
      <c r="AK1508" s="35"/>
      <c r="AL1508" s="35"/>
    </row>
    <row r="1509">
      <c r="A1509" s="133"/>
      <c r="B1509" s="19" t="s">
        <v>7033</v>
      </c>
      <c r="C1509" s="20" t="s">
        <v>7749</v>
      </c>
      <c r="D1509" s="21"/>
      <c r="E1509" s="22" t="s">
        <v>7750</v>
      </c>
      <c r="F1509" s="22" t="s">
        <v>7751</v>
      </c>
      <c r="G1509" s="23">
        <v>2020.0</v>
      </c>
      <c r="H1509" s="22" t="s">
        <v>91</v>
      </c>
      <c r="I1509" s="24" t="s">
        <v>7752</v>
      </c>
      <c r="J1509" s="22" t="s">
        <v>7753</v>
      </c>
      <c r="K1509" s="22"/>
      <c r="L1509" s="36">
        <v>650.0</v>
      </c>
      <c r="M1509" s="36"/>
      <c r="N1509" s="36"/>
      <c r="O1509" s="36"/>
      <c r="P1509" s="37" t="s">
        <v>7754</v>
      </c>
      <c r="Q1509" s="36"/>
      <c r="R1509" s="36" t="s">
        <v>7755</v>
      </c>
      <c r="S1509" s="36" t="s">
        <v>2680</v>
      </c>
      <c r="T1509" s="28" t="s">
        <v>7756</v>
      </c>
      <c r="U1509" s="38" t="str">
        <f>HYPERLINK("https://www.ncbi.nlm.nih.gov/pubmed/32006261","PubMed")</f>
        <v>PubMed</v>
      </c>
      <c r="V1509" s="50"/>
      <c r="W1509" s="49"/>
      <c r="X1509" s="49"/>
      <c r="Y1509" s="35"/>
      <c r="Z1509" s="35"/>
      <c r="AA1509" s="35"/>
      <c r="AB1509" s="35"/>
      <c r="AC1509" s="35"/>
      <c r="AD1509" s="35"/>
      <c r="AE1509" s="35"/>
      <c r="AF1509" s="35"/>
      <c r="AG1509" s="35"/>
      <c r="AH1509" s="35"/>
      <c r="AI1509" s="35"/>
      <c r="AJ1509" s="35"/>
      <c r="AK1509" s="35"/>
      <c r="AL1509" s="35"/>
    </row>
    <row r="1510">
      <c r="A1510" s="133"/>
      <c r="B1510" s="19" t="s">
        <v>7033</v>
      </c>
      <c r="C1510" s="20" t="s">
        <v>7749</v>
      </c>
      <c r="D1510" s="21"/>
      <c r="E1510" s="22" t="s">
        <v>2195</v>
      </c>
      <c r="F1510" s="22" t="s">
        <v>206</v>
      </c>
      <c r="G1510" s="23">
        <v>2016.0</v>
      </c>
      <c r="H1510" s="22" t="s">
        <v>7274</v>
      </c>
      <c r="I1510" s="24" t="s">
        <v>7757</v>
      </c>
      <c r="J1510" s="22" t="s">
        <v>7758</v>
      </c>
      <c r="K1510" s="22" t="s">
        <v>7759</v>
      </c>
      <c r="L1510" s="36">
        <v>633.0</v>
      </c>
      <c r="M1510" s="36">
        <v>50.0</v>
      </c>
      <c r="N1510" s="36"/>
      <c r="O1510" s="36"/>
      <c r="P1510" s="37" t="s">
        <v>269</v>
      </c>
      <c r="Q1510" s="36"/>
      <c r="R1510" s="36">
        <v>300.0</v>
      </c>
      <c r="S1510" s="36" t="s">
        <v>7760</v>
      </c>
      <c r="T1510" s="28" t="s">
        <v>7761</v>
      </c>
      <c r="U1510" s="38" t="str">
        <f>HYPERLINK("https://www.ncbi.nlm.nih.gov/pubmed/27543213","PubMed")</f>
        <v>PubMed</v>
      </c>
      <c r="V1510" s="50"/>
      <c r="W1510" s="49"/>
      <c r="X1510" s="49"/>
      <c r="Y1510" s="35"/>
      <c r="Z1510" s="35"/>
      <c r="AA1510" s="35"/>
      <c r="AB1510" s="35"/>
      <c r="AC1510" s="35"/>
      <c r="AD1510" s="35"/>
      <c r="AE1510" s="35"/>
      <c r="AF1510" s="35"/>
      <c r="AG1510" s="35"/>
      <c r="AH1510" s="35"/>
      <c r="AI1510" s="35"/>
      <c r="AJ1510" s="35"/>
      <c r="AK1510" s="35"/>
      <c r="AL1510" s="35"/>
    </row>
    <row r="1511">
      <c r="A1511" s="191" t="s">
        <v>181</v>
      </c>
      <c r="B1511" s="19" t="s">
        <v>7033</v>
      </c>
      <c r="C1511" s="20" t="s">
        <v>7749</v>
      </c>
      <c r="D1511" s="21"/>
      <c r="E1511" s="22" t="s">
        <v>7762</v>
      </c>
      <c r="F1511" s="22" t="s">
        <v>3301</v>
      </c>
      <c r="G1511" s="23">
        <v>2015.0</v>
      </c>
      <c r="H1511" s="22" t="s">
        <v>5489</v>
      </c>
      <c r="I1511" s="24" t="s">
        <v>7763</v>
      </c>
      <c r="J1511" s="22" t="s">
        <v>7764</v>
      </c>
      <c r="K1511" s="22"/>
      <c r="L1511" s="36">
        <v>1064.0</v>
      </c>
      <c r="M1511" s="36"/>
      <c r="N1511" s="36"/>
      <c r="O1511" s="36"/>
      <c r="P1511" s="37" t="s">
        <v>7765</v>
      </c>
      <c r="Q1511" s="36" t="s">
        <v>7766</v>
      </c>
      <c r="R1511" s="36"/>
      <c r="S1511" s="36" t="s">
        <v>7767</v>
      </c>
      <c r="T1511" s="28" t="s">
        <v>7768</v>
      </c>
      <c r="U1511" s="38" t="str">
        <f>HYPERLINK("https://www.ncbi.nlm.nih.gov/pubmed/26317906","PubMed")</f>
        <v>PubMed</v>
      </c>
      <c r="V1511" s="50"/>
      <c r="W1511" s="49"/>
      <c r="X1511" s="49"/>
      <c r="Y1511" s="35"/>
      <c r="Z1511" s="35"/>
      <c r="AA1511" s="35"/>
      <c r="AB1511" s="35"/>
      <c r="AC1511" s="35"/>
      <c r="AD1511" s="35"/>
      <c r="AE1511" s="35"/>
      <c r="AF1511" s="35"/>
      <c r="AG1511" s="35"/>
      <c r="AH1511" s="35"/>
      <c r="AI1511" s="35"/>
      <c r="AJ1511" s="35"/>
      <c r="AK1511" s="35"/>
      <c r="AL1511" s="35"/>
    </row>
    <row r="1512">
      <c r="A1512" s="18"/>
      <c r="B1512" s="19" t="s">
        <v>7033</v>
      </c>
      <c r="C1512" s="20" t="s">
        <v>7749</v>
      </c>
      <c r="D1512" s="21"/>
      <c r="E1512" s="22" t="s">
        <v>6140</v>
      </c>
      <c r="F1512" s="22" t="s">
        <v>299</v>
      </c>
      <c r="G1512" s="23">
        <v>2013.0</v>
      </c>
      <c r="H1512" s="22" t="s">
        <v>7149</v>
      </c>
      <c r="I1512" s="24" t="s">
        <v>7769</v>
      </c>
      <c r="J1512" s="22" t="s">
        <v>7770</v>
      </c>
      <c r="K1512" s="22" t="s">
        <v>7771</v>
      </c>
      <c r="L1512" s="36">
        <v>830.0</v>
      </c>
      <c r="M1512" s="36"/>
      <c r="N1512" s="36" t="s">
        <v>7772</v>
      </c>
      <c r="O1512" s="36"/>
      <c r="P1512" s="37"/>
      <c r="Q1512" s="36"/>
      <c r="R1512" s="36">
        <v>600.0</v>
      </c>
      <c r="S1512" s="36" t="s">
        <v>7773</v>
      </c>
      <c r="T1512" s="42" t="s">
        <v>7774</v>
      </c>
      <c r="U1512" s="38" t="str">
        <f>HYPERLINK("https://www.ncbi.nlm.nih.gov/pubmed/23717006","PubMed")</f>
        <v>PubMed</v>
      </c>
      <c r="V1512" s="50"/>
      <c r="W1512" s="49"/>
      <c r="X1512" s="49"/>
      <c r="Y1512" s="35"/>
      <c r="Z1512" s="35"/>
      <c r="AA1512" s="35"/>
      <c r="AB1512" s="35"/>
      <c r="AC1512" s="35"/>
      <c r="AD1512" s="35"/>
      <c r="AE1512" s="35"/>
      <c r="AF1512" s="35"/>
      <c r="AG1512" s="35"/>
      <c r="AH1512" s="35"/>
      <c r="AI1512" s="35"/>
      <c r="AJ1512" s="35"/>
      <c r="AK1512" s="35"/>
      <c r="AL1512" s="35"/>
    </row>
    <row r="1513">
      <c r="A1513" s="18" t="s">
        <v>2</v>
      </c>
      <c r="B1513" s="19" t="s">
        <v>7033</v>
      </c>
      <c r="C1513" s="20" t="s">
        <v>7749</v>
      </c>
      <c r="D1513" s="21"/>
      <c r="E1513" s="22" t="s">
        <v>7775</v>
      </c>
      <c r="F1513" s="22" t="s">
        <v>7776</v>
      </c>
      <c r="G1513" s="23">
        <v>2013.0</v>
      </c>
      <c r="H1513" s="22" t="s">
        <v>7777</v>
      </c>
      <c r="I1513" s="24" t="s">
        <v>7778</v>
      </c>
      <c r="J1513" s="22" t="s">
        <v>7779</v>
      </c>
      <c r="K1513" s="22"/>
      <c r="L1513" s="36" t="s">
        <v>7780</v>
      </c>
      <c r="M1513" s="36" t="s">
        <v>7781</v>
      </c>
      <c r="N1513" s="36" t="s">
        <v>7782</v>
      </c>
      <c r="O1513" s="36" t="s">
        <v>57</v>
      </c>
      <c r="P1513" s="37" t="s">
        <v>7783</v>
      </c>
      <c r="Q1513" s="36" t="s">
        <v>7784</v>
      </c>
      <c r="R1513" s="36">
        <v>600.0</v>
      </c>
      <c r="S1513" s="36">
        <v>8.0</v>
      </c>
      <c r="T1513" s="28" t="s">
        <v>7785</v>
      </c>
      <c r="U1513" s="38" t="str">
        <f>HYPERLINK("https://www.ncbi.nlm.nih.gov/pubmed/24384987","PubMed")</f>
        <v>PubMed</v>
      </c>
      <c r="V1513" s="50"/>
      <c r="W1513" s="49"/>
      <c r="X1513" s="49"/>
      <c r="Y1513" s="35"/>
      <c r="Z1513" s="35"/>
      <c r="AA1513" s="35"/>
      <c r="AB1513" s="35"/>
      <c r="AC1513" s="35"/>
      <c r="AD1513" s="35"/>
      <c r="AE1513" s="35"/>
      <c r="AF1513" s="35"/>
      <c r="AG1513" s="35"/>
      <c r="AH1513" s="35"/>
      <c r="AI1513" s="35"/>
      <c r="AJ1513" s="35"/>
      <c r="AK1513" s="35"/>
      <c r="AL1513" s="35"/>
    </row>
    <row r="1514">
      <c r="A1514" s="18"/>
      <c r="B1514" s="19" t="s">
        <v>7033</v>
      </c>
      <c r="C1514" s="20" t="s">
        <v>7749</v>
      </c>
      <c r="D1514" s="21"/>
      <c r="E1514" s="22" t="s">
        <v>7786</v>
      </c>
      <c r="F1514" s="22" t="s">
        <v>1398</v>
      </c>
      <c r="G1514" s="23">
        <v>2010.0</v>
      </c>
      <c r="H1514" s="22" t="s">
        <v>292</v>
      </c>
      <c r="I1514" s="24" t="s">
        <v>7787</v>
      </c>
      <c r="J1514" s="22" t="s">
        <v>7788</v>
      </c>
      <c r="K1514" s="22"/>
      <c r="L1514" s="36">
        <v>830.0</v>
      </c>
      <c r="M1514" s="36"/>
      <c r="N1514" s="36"/>
      <c r="O1514" s="36"/>
      <c r="P1514" s="37" t="s">
        <v>517</v>
      </c>
      <c r="Q1514" s="36"/>
      <c r="R1514" s="36" t="s">
        <v>7789</v>
      </c>
      <c r="S1514" s="36" t="s">
        <v>7790</v>
      </c>
      <c r="T1514" s="28" t="s">
        <v>7791</v>
      </c>
      <c r="U1514" s="38" t="str">
        <f>HYPERLINK("https://www.jstage.jst.go.jp/article/islsm/19/2/19_2_101/_article/-char/en","J-STAGE")</f>
        <v>J-STAGE</v>
      </c>
      <c r="V1514" s="50"/>
      <c r="W1514" s="49"/>
      <c r="X1514" s="49"/>
      <c r="Y1514" s="35"/>
      <c r="Z1514" s="35"/>
      <c r="AA1514" s="35"/>
      <c r="AB1514" s="35"/>
      <c r="AC1514" s="35"/>
      <c r="AD1514" s="35"/>
      <c r="AE1514" s="35"/>
      <c r="AF1514" s="35"/>
      <c r="AG1514" s="35"/>
      <c r="AH1514" s="35"/>
      <c r="AI1514" s="35"/>
      <c r="AJ1514" s="35"/>
      <c r="AK1514" s="35"/>
      <c r="AL1514" s="35"/>
    </row>
    <row r="1515">
      <c r="A1515" s="18"/>
      <c r="B1515" s="19" t="s">
        <v>7033</v>
      </c>
      <c r="C1515" s="20" t="s">
        <v>7749</v>
      </c>
      <c r="D1515" s="21"/>
      <c r="E1515" s="22" t="s">
        <v>7792</v>
      </c>
      <c r="F1515" s="22"/>
      <c r="G1515" s="23">
        <v>1998.0</v>
      </c>
      <c r="H1515" s="22" t="s">
        <v>292</v>
      </c>
      <c r="I1515" s="24" t="s">
        <v>7793</v>
      </c>
      <c r="J1515" s="22" t="s">
        <v>202</v>
      </c>
      <c r="K1515" s="22"/>
      <c r="L1515" s="43" t="s">
        <v>7794</v>
      </c>
      <c r="M1515" s="44"/>
      <c r="N1515" s="44"/>
      <c r="O1515" s="44"/>
      <c r="P1515" s="44"/>
      <c r="Q1515" s="44"/>
      <c r="R1515" s="44"/>
      <c r="S1515" s="44"/>
      <c r="T1515" s="45"/>
      <c r="U1515" s="38" t="str">
        <f>HYPERLINK("https://www.jstage.jst.go.jp/article/islsm/10/4/10_4_151/_article/-char/en","J-STAGE")</f>
        <v>J-STAGE</v>
      </c>
      <c r="V1515" s="50"/>
      <c r="W1515" s="49"/>
      <c r="X1515" s="49"/>
      <c r="Y1515" s="35"/>
      <c r="Z1515" s="35"/>
      <c r="AA1515" s="35"/>
      <c r="AB1515" s="35"/>
      <c r="AC1515" s="35"/>
      <c r="AD1515" s="35"/>
      <c r="AE1515" s="35"/>
      <c r="AF1515" s="35"/>
      <c r="AG1515" s="35"/>
      <c r="AH1515" s="35"/>
      <c r="AI1515" s="35"/>
      <c r="AJ1515" s="35"/>
      <c r="AK1515" s="35"/>
      <c r="AL1515" s="35"/>
    </row>
    <row r="1516">
      <c r="A1516" s="18"/>
      <c r="B1516" s="19" t="s">
        <v>7033</v>
      </c>
      <c r="C1516" s="20" t="s">
        <v>7749</v>
      </c>
      <c r="D1516" s="21"/>
      <c r="E1516" s="22" t="s">
        <v>7795</v>
      </c>
      <c r="F1516" s="22" t="s">
        <v>7796</v>
      </c>
      <c r="G1516" s="23">
        <v>1997.0</v>
      </c>
      <c r="H1516" s="22" t="s">
        <v>292</v>
      </c>
      <c r="I1516" s="24" t="s">
        <v>7797</v>
      </c>
      <c r="J1516" s="22" t="s">
        <v>7798</v>
      </c>
      <c r="K1516" s="22" t="s">
        <v>1112</v>
      </c>
      <c r="L1516" s="36">
        <v>830.0</v>
      </c>
      <c r="M1516" s="36" t="s">
        <v>7799</v>
      </c>
      <c r="N1516" s="36"/>
      <c r="O1516" s="36"/>
      <c r="P1516" s="37"/>
      <c r="Q1516" s="36"/>
      <c r="R1516" s="36">
        <v>180.0</v>
      </c>
      <c r="S1516" s="36" t="s">
        <v>7800</v>
      </c>
      <c r="T1516" s="28" t="s">
        <v>7801</v>
      </c>
      <c r="U1516" s="38" t="str">
        <f>HYPERLINK("https://www.jstage.jst.go.jp/article/islsm/9/1/9_1_7/_article/-char/en","J-STAGE")</f>
        <v>J-STAGE</v>
      </c>
      <c r="V1516" s="50"/>
      <c r="W1516" s="49"/>
      <c r="X1516" s="49"/>
      <c r="Y1516" s="35"/>
      <c r="Z1516" s="35"/>
      <c r="AA1516" s="35"/>
      <c r="AB1516" s="35"/>
      <c r="AC1516" s="35"/>
      <c r="AD1516" s="35"/>
      <c r="AE1516" s="35"/>
      <c r="AF1516" s="35"/>
      <c r="AG1516" s="35"/>
      <c r="AH1516" s="35"/>
      <c r="AI1516" s="35"/>
      <c r="AJ1516" s="35"/>
      <c r="AK1516" s="35"/>
      <c r="AL1516" s="35"/>
    </row>
    <row r="1517">
      <c r="A1517" s="191" t="s">
        <v>181</v>
      </c>
      <c r="B1517" s="19" t="s">
        <v>7033</v>
      </c>
      <c r="C1517" s="20" t="s">
        <v>7749</v>
      </c>
      <c r="D1517" s="21"/>
      <c r="E1517" s="22" t="s">
        <v>7802</v>
      </c>
      <c r="F1517" s="22" t="s">
        <v>1398</v>
      </c>
      <c r="G1517" s="23">
        <v>1995.0</v>
      </c>
      <c r="H1517" s="22" t="s">
        <v>292</v>
      </c>
      <c r="I1517" s="24" t="s">
        <v>7803</v>
      </c>
      <c r="J1517" s="22" t="s">
        <v>7804</v>
      </c>
      <c r="K1517" s="22" t="s">
        <v>7805</v>
      </c>
      <c r="L1517" s="36">
        <v>830.0</v>
      </c>
      <c r="M1517" s="36" t="s">
        <v>7799</v>
      </c>
      <c r="N1517" s="36"/>
      <c r="O1517" s="36" t="s">
        <v>7806</v>
      </c>
      <c r="P1517" s="37"/>
      <c r="Q1517" s="36"/>
      <c r="R1517" s="36" t="s">
        <v>7807</v>
      </c>
      <c r="S1517" s="36" t="s">
        <v>7808</v>
      </c>
      <c r="T1517" s="28" t="s">
        <v>7809</v>
      </c>
      <c r="U1517" s="38" t="str">
        <f>HYPERLINK("https://www.jstage.jst.go.jp/article/islsm/7/2/7_95-OR-10/_article/-char/en","J-STAGE")</f>
        <v>J-STAGE</v>
      </c>
      <c r="V1517" s="50"/>
      <c r="W1517" s="49"/>
      <c r="X1517" s="49"/>
      <c r="Y1517" s="35"/>
      <c r="Z1517" s="35"/>
      <c r="AA1517" s="35"/>
      <c r="AB1517" s="35"/>
      <c r="AC1517" s="35"/>
      <c r="AD1517" s="35"/>
      <c r="AE1517" s="35"/>
      <c r="AF1517" s="35"/>
      <c r="AG1517" s="35"/>
      <c r="AH1517" s="35"/>
      <c r="AI1517" s="35"/>
      <c r="AJ1517" s="35"/>
      <c r="AK1517" s="35"/>
      <c r="AL1517" s="35"/>
    </row>
    <row r="1518">
      <c r="A1518" s="18"/>
      <c r="B1518" s="19" t="s">
        <v>7033</v>
      </c>
      <c r="C1518" s="20" t="s">
        <v>7749</v>
      </c>
      <c r="D1518" s="21"/>
      <c r="E1518" s="22" t="s">
        <v>7810</v>
      </c>
      <c r="F1518" s="22" t="s">
        <v>7811</v>
      </c>
      <c r="G1518" s="23">
        <v>1993.0</v>
      </c>
      <c r="H1518" s="22" t="s">
        <v>292</v>
      </c>
      <c r="I1518" s="24" t="s">
        <v>7812</v>
      </c>
      <c r="J1518" s="22" t="s">
        <v>7813</v>
      </c>
      <c r="K1518" s="22"/>
      <c r="L1518" s="36">
        <v>633.0</v>
      </c>
      <c r="M1518" s="129">
        <v>43228.0</v>
      </c>
      <c r="N1518" s="36" t="s">
        <v>7814</v>
      </c>
      <c r="O1518" s="36"/>
      <c r="P1518" s="37" t="s">
        <v>6530</v>
      </c>
      <c r="Q1518" s="36"/>
      <c r="R1518" s="36">
        <v>300.0</v>
      </c>
      <c r="S1518" s="36" t="s">
        <v>7815</v>
      </c>
      <c r="T1518" s="28" t="s">
        <v>7816</v>
      </c>
      <c r="U1518" s="38" t="str">
        <f>HYPERLINK("https://www.jstage.jst.go.jp/article/islsm/5/1/5_93-CR-01/_article/-char/en","J-STAGE")</f>
        <v>J-STAGE</v>
      </c>
      <c r="V1518" s="50"/>
      <c r="W1518" s="49"/>
      <c r="X1518" s="49"/>
      <c r="Y1518" s="35"/>
      <c r="Z1518" s="35"/>
      <c r="AA1518" s="35"/>
      <c r="AB1518" s="35"/>
      <c r="AC1518" s="35"/>
      <c r="AD1518" s="35"/>
      <c r="AE1518" s="35"/>
      <c r="AF1518" s="35"/>
      <c r="AG1518" s="35"/>
      <c r="AH1518" s="35"/>
      <c r="AI1518" s="35"/>
      <c r="AJ1518" s="35"/>
      <c r="AK1518" s="35"/>
      <c r="AL1518" s="35"/>
    </row>
    <row r="1519">
      <c r="A1519" s="18"/>
      <c r="B1519" s="19" t="s">
        <v>7033</v>
      </c>
      <c r="C1519" s="20" t="s">
        <v>7749</v>
      </c>
      <c r="D1519" s="21"/>
      <c r="E1519" s="22" t="s">
        <v>7817</v>
      </c>
      <c r="F1519" s="22" t="s">
        <v>1416</v>
      </c>
      <c r="G1519" s="23">
        <v>1992.0</v>
      </c>
      <c r="H1519" s="22" t="s">
        <v>7818</v>
      </c>
      <c r="I1519" s="24" t="s">
        <v>7819</v>
      </c>
      <c r="J1519" s="22" t="s">
        <v>7820</v>
      </c>
      <c r="K1519" s="22"/>
      <c r="L1519" s="36"/>
      <c r="M1519" s="36"/>
      <c r="N1519" s="36"/>
      <c r="O1519" s="36"/>
      <c r="P1519" s="37"/>
      <c r="Q1519" s="36"/>
      <c r="R1519" s="36"/>
      <c r="S1519" s="36"/>
      <c r="T1519" s="28" t="s">
        <v>7821</v>
      </c>
      <c r="U1519" s="38" t="str">
        <f>HYPERLINK("https://www.ncbi.nlm.nih.gov/pubmed/1334163","PubMed")</f>
        <v>PubMed</v>
      </c>
      <c r="V1519" s="50"/>
      <c r="W1519" s="49"/>
      <c r="X1519" s="49"/>
      <c r="Y1519" s="35"/>
      <c r="Z1519" s="35"/>
      <c r="AA1519" s="35"/>
      <c r="AB1519" s="35"/>
      <c r="AC1519" s="35"/>
      <c r="AD1519" s="35"/>
      <c r="AE1519" s="35"/>
      <c r="AF1519" s="35"/>
      <c r="AG1519" s="35"/>
      <c r="AH1519" s="35"/>
      <c r="AI1519" s="35"/>
      <c r="AJ1519" s="35"/>
      <c r="AK1519" s="35"/>
      <c r="AL1519" s="35"/>
    </row>
    <row r="1520">
      <c r="A1520" s="18"/>
      <c r="B1520" s="19" t="s">
        <v>7033</v>
      </c>
      <c r="C1520" s="20" t="s">
        <v>7749</v>
      </c>
      <c r="D1520" s="21"/>
      <c r="E1520" s="22" t="s">
        <v>7822</v>
      </c>
      <c r="F1520" s="22" t="s">
        <v>1822</v>
      </c>
      <c r="G1520" s="23">
        <v>1991.0</v>
      </c>
      <c r="H1520" s="22" t="s">
        <v>1289</v>
      </c>
      <c r="I1520" s="24" t="s">
        <v>7823</v>
      </c>
      <c r="J1520" s="22" t="s">
        <v>7824</v>
      </c>
      <c r="K1520" s="22"/>
      <c r="L1520" s="36">
        <v>633.0</v>
      </c>
      <c r="M1520" s="129">
        <v>44689.0</v>
      </c>
      <c r="N1520" s="36"/>
      <c r="O1520" s="36"/>
      <c r="P1520" s="37"/>
      <c r="Q1520" s="36"/>
      <c r="R1520" s="36">
        <v>1440.0</v>
      </c>
      <c r="S1520" s="36" t="s">
        <v>7825</v>
      </c>
      <c r="T1520" s="28" t="s">
        <v>7826</v>
      </c>
      <c r="U1520" s="29" t="s">
        <v>61</v>
      </c>
      <c r="V1520" s="50"/>
      <c r="W1520" s="49"/>
      <c r="X1520" s="49"/>
      <c r="Y1520" s="35"/>
      <c r="Z1520" s="35"/>
      <c r="AA1520" s="35"/>
      <c r="AB1520" s="35"/>
      <c r="AC1520" s="35"/>
      <c r="AD1520" s="35"/>
      <c r="AE1520" s="35"/>
      <c r="AF1520" s="35"/>
      <c r="AG1520" s="35"/>
      <c r="AH1520" s="35"/>
      <c r="AI1520" s="35"/>
      <c r="AJ1520" s="35"/>
      <c r="AK1520" s="35"/>
      <c r="AL1520" s="35"/>
    </row>
    <row r="1521">
      <c r="A1521" s="18"/>
      <c r="B1521" s="19" t="s">
        <v>7033</v>
      </c>
      <c r="C1521" s="20" t="s">
        <v>7749</v>
      </c>
      <c r="D1521" s="21"/>
      <c r="E1521" s="22" t="s">
        <v>7792</v>
      </c>
      <c r="F1521" s="22" t="s">
        <v>7811</v>
      </c>
      <c r="G1521" s="23">
        <v>1991.0</v>
      </c>
      <c r="H1521" s="22" t="s">
        <v>292</v>
      </c>
      <c r="I1521" s="24" t="s">
        <v>7827</v>
      </c>
      <c r="J1521" s="22" t="s">
        <v>7828</v>
      </c>
      <c r="K1521" s="22"/>
      <c r="L1521" s="36">
        <v>830.0</v>
      </c>
      <c r="M1521" s="36">
        <v>60.0</v>
      </c>
      <c r="N1521" s="36"/>
      <c r="O1521" s="36"/>
      <c r="P1521" s="37"/>
      <c r="Q1521" s="36"/>
      <c r="R1521" s="36"/>
      <c r="S1521" s="36" t="s">
        <v>7829</v>
      </c>
      <c r="T1521" s="28" t="s">
        <v>7830</v>
      </c>
      <c r="U1521" s="38" t="str">
        <f>HYPERLINK("https://www.jstage.jst.go.jp/article/islsm/3/2/3_91-OR-10/_article/-char/en","J-STAGE")</f>
        <v>J-STAGE</v>
      </c>
      <c r="V1521" s="50"/>
      <c r="W1521" s="49"/>
      <c r="X1521" s="49"/>
      <c r="Y1521" s="35"/>
      <c r="Z1521" s="35"/>
      <c r="AA1521" s="35"/>
      <c r="AB1521" s="35"/>
      <c r="AC1521" s="35"/>
      <c r="AD1521" s="35"/>
      <c r="AE1521" s="35"/>
      <c r="AF1521" s="35"/>
      <c r="AG1521" s="35"/>
      <c r="AH1521" s="35"/>
      <c r="AI1521" s="35"/>
      <c r="AJ1521" s="35"/>
      <c r="AK1521" s="35"/>
      <c r="AL1521" s="35"/>
    </row>
    <row r="1522">
      <c r="A1522" s="18"/>
      <c r="B1522" s="19" t="s">
        <v>7033</v>
      </c>
      <c r="C1522" s="20" t="s">
        <v>7749</v>
      </c>
      <c r="D1522" s="21"/>
      <c r="E1522" s="22" t="s">
        <v>7831</v>
      </c>
      <c r="F1522" s="22" t="s">
        <v>7832</v>
      </c>
      <c r="G1522" s="23">
        <v>1991.0</v>
      </c>
      <c r="H1522" s="22" t="s">
        <v>292</v>
      </c>
      <c r="I1522" s="24" t="s">
        <v>7833</v>
      </c>
      <c r="J1522" s="22" t="s">
        <v>7834</v>
      </c>
      <c r="K1522" s="22"/>
      <c r="L1522" s="36">
        <v>904.0</v>
      </c>
      <c r="M1522" s="36">
        <v>6.0</v>
      </c>
      <c r="N1522" s="36"/>
      <c r="O1522" s="36"/>
      <c r="P1522" s="37"/>
      <c r="Q1522" s="36"/>
      <c r="R1522" s="36"/>
      <c r="S1522" s="36"/>
      <c r="T1522" s="28" t="s">
        <v>7835</v>
      </c>
      <c r="U1522" s="38" t="str">
        <f>HYPERLINK("https://www.jstage.jst.go.jp/article/islsm/3/1/3_91-OR-05/_article/-char/en","J-STAGE")</f>
        <v>J-STAGE</v>
      </c>
      <c r="V1522" s="50"/>
      <c r="W1522" s="49"/>
      <c r="X1522" s="49"/>
      <c r="Y1522" s="35"/>
      <c r="Z1522" s="35"/>
      <c r="AA1522" s="35"/>
      <c r="AB1522" s="35"/>
      <c r="AC1522" s="35"/>
      <c r="AD1522" s="35"/>
      <c r="AE1522" s="35"/>
      <c r="AF1522" s="35"/>
      <c r="AG1522" s="35"/>
      <c r="AH1522" s="35"/>
      <c r="AI1522" s="35"/>
      <c r="AJ1522" s="35"/>
      <c r="AK1522" s="35"/>
      <c r="AL1522" s="35"/>
    </row>
    <row r="1523">
      <c r="A1523" s="18"/>
      <c r="B1523" s="19" t="s">
        <v>7033</v>
      </c>
      <c r="C1523" s="20" t="s">
        <v>7749</v>
      </c>
      <c r="D1523" s="21"/>
      <c r="E1523" s="22" t="s">
        <v>1648</v>
      </c>
      <c r="F1523" s="22" t="s">
        <v>3040</v>
      </c>
      <c r="G1523" s="23">
        <v>1990.0</v>
      </c>
      <c r="H1523" s="22" t="s">
        <v>292</v>
      </c>
      <c r="I1523" s="24" t="s">
        <v>7836</v>
      </c>
      <c r="J1523" s="22" t="s">
        <v>7837</v>
      </c>
      <c r="K1523" s="22" t="s">
        <v>7838</v>
      </c>
      <c r="L1523" s="36">
        <v>830.0</v>
      </c>
      <c r="M1523" s="36">
        <v>60.0</v>
      </c>
      <c r="N1523" s="36"/>
      <c r="O1523" s="36"/>
      <c r="P1523" s="37"/>
      <c r="Q1523" s="36"/>
      <c r="R1523" s="36"/>
      <c r="S1523" s="36"/>
      <c r="T1523" s="28" t="s">
        <v>7839</v>
      </c>
      <c r="U1523" s="38" t="str">
        <f>HYPERLINK("https://www.jstage.jst.go.jp/article/islsm/2/4/2_90-OR-14/_article/-char/en","J-STAGE")</f>
        <v>J-STAGE</v>
      </c>
      <c r="V1523" s="50"/>
      <c r="W1523" s="49"/>
      <c r="X1523" s="49"/>
      <c r="Y1523" s="35"/>
      <c r="Z1523" s="35"/>
      <c r="AA1523" s="35"/>
      <c r="AB1523" s="35"/>
      <c r="AC1523" s="35"/>
      <c r="AD1523" s="35"/>
      <c r="AE1523" s="35"/>
      <c r="AF1523" s="35"/>
      <c r="AG1523" s="35"/>
      <c r="AH1523" s="35"/>
      <c r="AI1523" s="35"/>
      <c r="AJ1523" s="35"/>
      <c r="AK1523" s="35"/>
      <c r="AL1523" s="35"/>
    </row>
    <row r="1524">
      <c r="A1524" s="18"/>
      <c r="B1524" s="19" t="s">
        <v>7033</v>
      </c>
      <c r="C1524" s="20" t="s">
        <v>7749</v>
      </c>
      <c r="D1524" s="21"/>
      <c r="E1524" s="22" t="s">
        <v>7822</v>
      </c>
      <c r="F1524" s="22" t="s">
        <v>1822</v>
      </c>
      <c r="G1524" s="23">
        <v>1989.0</v>
      </c>
      <c r="H1524" s="22" t="s">
        <v>7777</v>
      </c>
      <c r="I1524" s="24" t="s">
        <v>7840</v>
      </c>
      <c r="J1524" s="22" t="s">
        <v>7841</v>
      </c>
      <c r="K1524" s="22"/>
      <c r="L1524" s="36">
        <v>633.0</v>
      </c>
      <c r="M1524" s="36"/>
      <c r="N1524" s="36"/>
      <c r="O1524" s="36"/>
      <c r="P1524" s="37"/>
      <c r="Q1524" s="36"/>
      <c r="R1524" s="36"/>
      <c r="S1524" s="36" t="s">
        <v>7842</v>
      </c>
      <c r="T1524" s="28" t="s">
        <v>7843</v>
      </c>
      <c r="U1524" s="38" t="str">
        <f>HYPERLINK("https://www.ncbi.nlm.nih.gov/pubmed/2562460","PubMed")</f>
        <v>PubMed</v>
      </c>
      <c r="V1524" s="50"/>
      <c r="W1524" s="49"/>
      <c r="X1524" s="49"/>
      <c r="Y1524" s="35"/>
      <c r="Z1524" s="35"/>
      <c r="AA1524" s="35"/>
      <c r="AB1524" s="35"/>
      <c r="AC1524" s="35"/>
      <c r="AD1524" s="35"/>
      <c r="AE1524" s="35"/>
      <c r="AF1524" s="35"/>
      <c r="AG1524" s="35"/>
      <c r="AH1524" s="35"/>
      <c r="AI1524" s="35"/>
      <c r="AJ1524" s="35"/>
      <c r="AK1524" s="35"/>
      <c r="AL1524" s="35"/>
    </row>
    <row r="1525">
      <c r="A1525" s="18"/>
      <c r="B1525" s="19" t="s">
        <v>7033</v>
      </c>
      <c r="C1525" s="20" t="s">
        <v>7749</v>
      </c>
      <c r="D1525" s="21"/>
      <c r="E1525" s="22" t="s">
        <v>5578</v>
      </c>
      <c r="F1525" s="22" t="s">
        <v>7844</v>
      </c>
      <c r="G1525" s="23">
        <v>1988.0</v>
      </c>
      <c r="H1525" s="22" t="s">
        <v>292</v>
      </c>
      <c r="I1525" s="24" t="s">
        <v>7845</v>
      </c>
      <c r="J1525" s="22" t="s">
        <v>7846</v>
      </c>
      <c r="K1525" s="22" t="s">
        <v>7838</v>
      </c>
      <c r="L1525" s="36">
        <v>830.0</v>
      </c>
      <c r="M1525" s="36">
        <v>60.0</v>
      </c>
      <c r="N1525" s="36"/>
      <c r="O1525" s="36"/>
      <c r="P1525" s="37"/>
      <c r="Q1525" s="36"/>
      <c r="R1525" s="36"/>
      <c r="S1525" s="36" t="s">
        <v>7847</v>
      </c>
      <c r="T1525" s="28" t="s">
        <v>7848</v>
      </c>
      <c r="U1525" s="38" t="str">
        <f>HYPERLINK("https://www.jstage.jst.go.jp/article/islsm/1/0_Pilot_Issue_1/1_1_88-OR-02/_article/-char/en","J-STAGE")</f>
        <v>J-STAGE</v>
      </c>
      <c r="V1525" s="50"/>
      <c r="W1525" s="49"/>
      <c r="X1525" s="49"/>
      <c r="Y1525" s="35"/>
      <c r="Z1525" s="35"/>
      <c r="AA1525" s="35"/>
      <c r="AB1525" s="35"/>
      <c r="AC1525" s="35"/>
      <c r="AD1525" s="35"/>
      <c r="AE1525" s="35"/>
      <c r="AF1525" s="35"/>
      <c r="AG1525" s="35"/>
      <c r="AH1525" s="35"/>
      <c r="AI1525" s="35"/>
      <c r="AJ1525" s="35"/>
      <c r="AK1525" s="35"/>
      <c r="AL1525" s="35"/>
    </row>
    <row r="1526">
      <c r="A1526" s="18"/>
      <c r="B1526" s="19" t="s">
        <v>7033</v>
      </c>
      <c r="C1526" s="20" t="s">
        <v>7749</v>
      </c>
      <c r="D1526" s="21"/>
      <c r="E1526" s="22" t="s">
        <v>7849</v>
      </c>
      <c r="F1526" s="22" t="s">
        <v>748</v>
      </c>
      <c r="G1526" s="23">
        <v>1979.0</v>
      </c>
      <c r="H1526" s="22" t="s">
        <v>7850</v>
      </c>
      <c r="I1526" s="24" t="s">
        <v>7851</v>
      </c>
      <c r="J1526" s="22" t="s">
        <v>3053</v>
      </c>
      <c r="K1526" s="22"/>
      <c r="L1526" s="36">
        <v>633.0</v>
      </c>
      <c r="M1526" s="36"/>
      <c r="N1526" s="36"/>
      <c r="O1526" s="36"/>
      <c r="P1526" s="37"/>
      <c r="Q1526" s="36"/>
      <c r="R1526" s="36"/>
      <c r="S1526" s="36"/>
      <c r="T1526" s="28"/>
      <c r="U1526" s="38" t="str">
        <f>HYPERLINK("https://www.ncbi.nlm.nih.gov/pubmed/283590","PubMed")</f>
        <v>PubMed</v>
      </c>
      <c r="V1526" s="50"/>
      <c r="W1526" s="49"/>
      <c r="X1526" s="49"/>
      <c r="Y1526" s="35"/>
      <c r="Z1526" s="35"/>
      <c r="AA1526" s="35"/>
      <c r="AB1526" s="35"/>
      <c r="AC1526" s="35"/>
      <c r="AD1526" s="35"/>
      <c r="AE1526" s="35"/>
      <c r="AF1526" s="35"/>
      <c r="AG1526" s="35"/>
      <c r="AH1526" s="35"/>
      <c r="AI1526" s="35"/>
      <c r="AJ1526" s="35"/>
      <c r="AK1526" s="35"/>
      <c r="AL1526" s="35"/>
    </row>
    <row r="1527">
      <c r="A1527" s="1"/>
      <c r="B1527" s="19" t="s">
        <v>7033</v>
      </c>
      <c r="C1527" s="20" t="s">
        <v>7852</v>
      </c>
      <c r="D1527" s="47"/>
      <c r="E1527" s="22" t="s">
        <v>5053</v>
      </c>
      <c r="F1527" s="22" t="s">
        <v>7853</v>
      </c>
      <c r="G1527" s="23">
        <v>2020.0</v>
      </c>
      <c r="H1527" s="22" t="s">
        <v>91</v>
      </c>
      <c r="I1527" s="24" t="s">
        <v>7854</v>
      </c>
      <c r="J1527" s="22" t="s">
        <v>31</v>
      </c>
      <c r="K1527" s="22"/>
      <c r="L1527" s="36">
        <v>970.0</v>
      </c>
      <c r="M1527" s="36"/>
      <c r="N1527" s="36" t="s">
        <v>2922</v>
      </c>
      <c r="O1527" s="36"/>
      <c r="P1527" s="37" t="s">
        <v>480</v>
      </c>
      <c r="Q1527" s="36"/>
      <c r="R1527" s="36"/>
      <c r="S1527" s="36"/>
      <c r="T1527" s="28" t="s">
        <v>7855</v>
      </c>
      <c r="U1527" s="29" t="s">
        <v>61</v>
      </c>
      <c r="V1527" s="50"/>
      <c r="W1527" s="49"/>
      <c r="X1527" s="49"/>
      <c r="Y1527" s="35"/>
      <c r="Z1527" s="35"/>
      <c r="AA1527" s="35"/>
      <c r="AB1527" s="35"/>
      <c r="AC1527" s="35"/>
      <c r="AD1527" s="35"/>
      <c r="AE1527" s="35"/>
      <c r="AF1527" s="35"/>
      <c r="AG1527" s="35"/>
      <c r="AH1527" s="35"/>
      <c r="AI1527" s="35"/>
      <c r="AJ1527" s="35"/>
      <c r="AK1527" s="35"/>
      <c r="AL1527" s="35"/>
    </row>
    <row r="1528">
      <c r="A1528" s="1"/>
      <c r="B1528" s="19" t="s">
        <v>7033</v>
      </c>
      <c r="C1528" s="20" t="s">
        <v>7852</v>
      </c>
      <c r="D1528" s="47"/>
      <c r="E1528" s="22" t="s">
        <v>7856</v>
      </c>
      <c r="F1528" s="22" t="s">
        <v>7853</v>
      </c>
      <c r="G1528" s="23">
        <v>2019.0</v>
      </c>
      <c r="H1528" s="22" t="s">
        <v>91</v>
      </c>
      <c r="I1528" s="24" t="s">
        <v>7857</v>
      </c>
      <c r="J1528" s="22" t="s">
        <v>31</v>
      </c>
      <c r="K1528" s="22"/>
      <c r="L1528" s="36" t="s">
        <v>7858</v>
      </c>
      <c r="M1528" s="36"/>
      <c r="N1528" s="36" t="s">
        <v>7859</v>
      </c>
      <c r="O1528" s="36" t="s">
        <v>2907</v>
      </c>
      <c r="P1528" s="37"/>
      <c r="Q1528" s="36"/>
      <c r="R1528" s="36"/>
      <c r="S1528" s="36"/>
      <c r="T1528" s="28" t="s">
        <v>7860</v>
      </c>
      <c r="U1528" s="38" t="str">
        <f>HYPERLINK("https://www.ncbi.nlm.nih.gov/pubmed/31444612","PubMed")</f>
        <v>PubMed</v>
      </c>
      <c r="V1528" s="50"/>
      <c r="W1528" s="49"/>
      <c r="X1528" s="49"/>
      <c r="Y1528" s="35"/>
      <c r="Z1528" s="35"/>
      <c r="AA1528" s="35"/>
      <c r="AB1528" s="35"/>
      <c r="AC1528" s="35"/>
      <c r="AD1528" s="35"/>
      <c r="AE1528" s="35"/>
      <c r="AF1528" s="35"/>
      <c r="AG1528" s="35"/>
      <c r="AH1528" s="35"/>
      <c r="AI1528" s="35"/>
      <c r="AJ1528" s="35"/>
      <c r="AK1528" s="35"/>
      <c r="AL1528" s="35"/>
    </row>
    <row r="1529">
      <c r="A1529" s="1"/>
      <c r="B1529" s="19" t="s">
        <v>7033</v>
      </c>
      <c r="C1529" s="20" t="s">
        <v>7852</v>
      </c>
      <c r="D1529" s="47"/>
      <c r="E1529" s="22" t="s">
        <v>5986</v>
      </c>
      <c r="F1529" s="22" t="s">
        <v>7853</v>
      </c>
      <c r="G1529" s="23">
        <v>2019.0</v>
      </c>
      <c r="H1529" s="22" t="s">
        <v>7861</v>
      </c>
      <c r="I1529" s="24" t="s">
        <v>7862</v>
      </c>
      <c r="J1529" s="22" t="s">
        <v>125</v>
      </c>
      <c r="K1529" s="22"/>
      <c r="L1529" s="167" t="s">
        <v>7863</v>
      </c>
      <c r="M1529" s="44"/>
      <c r="N1529" s="44"/>
      <c r="O1529" s="44"/>
      <c r="P1529" s="44"/>
      <c r="Q1529" s="44"/>
      <c r="R1529" s="44"/>
      <c r="S1529" s="44"/>
      <c r="T1529" s="45"/>
      <c r="U1529" s="38" t="str">
        <f>HYPERLINK("https://www.ncbi.nlm.nih.gov/pubmed/31042851","PubMed")</f>
        <v>PubMed</v>
      </c>
      <c r="V1529" s="50"/>
      <c r="W1529" s="49"/>
      <c r="X1529" s="49"/>
      <c r="Y1529" s="35"/>
      <c r="Z1529" s="35"/>
      <c r="AA1529" s="35"/>
      <c r="AB1529" s="35"/>
      <c r="AC1529" s="35"/>
      <c r="AD1529" s="35"/>
      <c r="AE1529" s="35"/>
      <c r="AF1529" s="35"/>
      <c r="AG1529" s="35"/>
      <c r="AH1529" s="35"/>
      <c r="AI1529" s="35"/>
      <c r="AJ1529" s="35"/>
      <c r="AK1529" s="35"/>
      <c r="AL1529" s="35"/>
    </row>
    <row r="1530">
      <c r="A1530" s="1"/>
      <c r="B1530" s="19" t="s">
        <v>7033</v>
      </c>
      <c r="C1530" s="20" t="s">
        <v>7864</v>
      </c>
      <c r="D1530" s="47"/>
      <c r="E1530" s="22" t="s">
        <v>7865</v>
      </c>
      <c r="F1530" s="22" t="s">
        <v>5752</v>
      </c>
      <c r="G1530" s="23">
        <v>2023.0</v>
      </c>
      <c r="H1530" s="22" t="s">
        <v>3292</v>
      </c>
      <c r="I1530" s="24" t="s">
        <v>7866</v>
      </c>
      <c r="J1530" s="22" t="s">
        <v>125</v>
      </c>
      <c r="K1530" s="22"/>
      <c r="L1530" s="167" t="s">
        <v>7867</v>
      </c>
      <c r="M1530" s="44"/>
      <c r="N1530" s="44"/>
      <c r="O1530" s="44"/>
      <c r="P1530" s="44"/>
      <c r="Q1530" s="44"/>
      <c r="R1530" s="44"/>
      <c r="S1530" s="44"/>
      <c r="T1530" s="45"/>
      <c r="U1530" s="38" t="s">
        <v>61</v>
      </c>
      <c r="V1530" s="50"/>
      <c r="W1530" s="49"/>
      <c r="X1530" s="49"/>
      <c r="Y1530" s="35"/>
      <c r="Z1530" s="35"/>
      <c r="AA1530" s="35"/>
      <c r="AB1530" s="35"/>
      <c r="AC1530" s="35"/>
      <c r="AD1530" s="35"/>
      <c r="AE1530" s="35"/>
      <c r="AF1530" s="35"/>
      <c r="AG1530" s="35"/>
      <c r="AH1530" s="35"/>
      <c r="AI1530" s="35"/>
      <c r="AJ1530" s="35"/>
      <c r="AK1530" s="35"/>
      <c r="AL1530" s="35"/>
    </row>
    <row r="1531">
      <c r="A1531" s="1"/>
      <c r="B1531" s="19" t="s">
        <v>7033</v>
      </c>
      <c r="C1531" s="20" t="s">
        <v>7864</v>
      </c>
      <c r="D1531" s="47"/>
      <c r="E1531" s="22" t="s">
        <v>7868</v>
      </c>
      <c r="F1531" s="22" t="s">
        <v>7869</v>
      </c>
      <c r="G1531" s="23">
        <v>2016.0</v>
      </c>
      <c r="H1531" s="22" t="s">
        <v>3292</v>
      </c>
      <c r="I1531" s="24" t="s">
        <v>7870</v>
      </c>
      <c r="J1531" s="22" t="s">
        <v>7871</v>
      </c>
      <c r="K1531" s="22" t="s">
        <v>7872</v>
      </c>
      <c r="L1531" s="36"/>
      <c r="M1531" s="36"/>
      <c r="N1531" s="36"/>
      <c r="O1531" s="36"/>
      <c r="P1531" s="37"/>
      <c r="Q1531" s="36"/>
      <c r="R1531" s="36"/>
      <c r="S1531" s="36"/>
      <c r="T1531" s="237" t="s">
        <v>7873</v>
      </c>
      <c r="U1531" s="38" t="str">
        <f>HYPERLINK("https://www.ncbi.nlm.nih.gov/pubmed/27622861","PubMed")</f>
        <v>PubMed</v>
      </c>
      <c r="V1531" s="50"/>
      <c r="W1531" s="49"/>
      <c r="X1531" s="49"/>
      <c r="Y1531" s="35"/>
      <c r="Z1531" s="35"/>
      <c r="AA1531" s="35"/>
      <c r="AB1531" s="35"/>
      <c r="AC1531" s="35"/>
      <c r="AD1531" s="35"/>
      <c r="AE1531" s="35"/>
      <c r="AF1531" s="35"/>
      <c r="AG1531" s="35"/>
      <c r="AH1531" s="35"/>
      <c r="AI1531" s="35"/>
      <c r="AJ1531" s="35"/>
      <c r="AK1531" s="35"/>
      <c r="AL1531" s="35"/>
    </row>
    <row r="1532">
      <c r="A1532" s="1"/>
      <c r="B1532" s="19" t="s">
        <v>7033</v>
      </c>
      <c r="C1532" s="20" t="s">
        <v>7864</v>
      </c>
      <c r="D1532" s="47"/>
      <c r="E1532" s="22" t="s">
        <v>7874</v>
      </c>
      <c r="F1532" s="22" t="s">
        <v>5270</v>
      </c>
      <c r="G1532" s="23">
        <v>2015.0</v>
      </c>
      <c r="H1532" s="22" t="s">
        <v>4975</v>
      </c>
      <c r="I1532" s="24" t="s">
        <v>7875</v>
      </c>
      <c r="J1532" s="22" t="s">
        <v>31</v>
      </c>
      <c r="K1532" s="22" t="s">
        <v>7876</v>
      </c>
      <c r="L1532" s="36" t="s">
        <v>7422</v>
      </c>
      <c r="M1532" s="36"/>
      <c r="N1532" s="36" t="s">
        <v>7877</v>
      </c>
      <c r="O1532" s="36"/>
      <c r="P1532" s="37" t="s">
        <v>7878</v>
      </c>
      <c r="Q1532" s="36"/>
      <c r="R1532" s="36"/>
      <c r="S1532" s="36"/>
      <c r="T1532" s="237" t="s">
        <v>7879</v>
      </c>
      <c r="U1532" s="38" t="str">
        <f>HYPERLINK("https://www.ncbi.nlm.nih.gov/pubmed/25349107","PubMed")</f>
        <v>PubMed</v>
      </c>
      <c r="V1532" s="50"/>
      <c r="W1532" s="49"/>
      <c r="X1532" s="49"/>
      <c r="Y1532" s="35"/>
      <c r="Z1532" s="35"/>
      <c r="AA1532" s="35"/>
      <c r="AB1532" s="35"/>
      <c r="AC1532" s="35"/>
      <c r="AD1532" s="35"/>
      <c r="AE1532" s="35"/>
      <c r="AF1532" s="35"/>
      <c r="AG1532" s="35"/>
      <c r="AH1532" s="35"/>
      <c r="AI1532" s="35"/>
      <c r="AJ1532" s="35"/>
      <c r="AK1532" s="35"/>
      <c r="AL1532" s="35"/>
    </row>
    <row r="1533">
      <c r="A1533" s="1"/>
      <c r="B1533" s="19" t="s">
        <v>7033</v>
      </c>
      <c r="C1533" s="20" t="s">
        <v>7864</v>
      </c>
      <c r="D1533" s="47"/>
      <c r="E1533" s="22" t="s">
        <v>7880</v>
      </c>
      <c r="F1533" s="22" t="s">
        <v>237</v>
      </c>
      <c r="G1533" s="23">
        <v>2015.0</v>
      </c>
      <c r="H1533" s="22" t="s">
        <v>7881</v>
      </c>
      <c r="I1533" s="24" t="s">
        <v>7882</v>
      </c>
      <c r="J1533" s="22" t="s">
        <v>31</v>
      </c>
      <c r="K1533" s="22" t="s">
        <v>7876</v>
      </c>
      <c r="L1533" s="36"/>
      <c r="M1533" s="36"/>
      <c r="N1533" s="36"/>
      <c r="O1533" s="36"/>
      <c r="P1533" s="37"/>
      <c r="Q1533" s="36"/>
      <c r="R1533" s="36"/>
      <c r="S1533" s="36"/>
      <c r="T1533" s="237" t="s">
        <v>7883</v>
      </c>
      <c r="U1533" s="38" t="str">
        <f>HYPERLINK("https://www.ncbi.nlm.nih.gov/pubmed/26490662","PubMed")</f>
        <v>PubMed</v>
      </c>
      <c r="V1533" s="50"/>
      <c r="W1533" s="49"/>
      <c r="X1533" s="49"/>
      <c r="Y1533" s="35"/>
      <c r="Z1533" s="35"/>
      <c r="AA1533" s="35"/>
      <c r="AB1533" s="35"/>
      <c r="AC1533" s="35"/>
      <c r="AD1533" s="35"/>
      <c r="AE1533" s="35"/>
      <c r="AF1533" s="35"/>
      <c r="AG1533" s="35"/>
      <c r="AH1533" s="35"/>
      <c r="AI1533" s="35"/>
      <c r="AJ1533" s="35"/>
      <c r="AK1533" s="35"/>
      <c r="AL1533" s="35"/>
    </row>
    <row r="1534">
      <c r="A1534" s="1"/>
      <c r="B1534" s="19" t="s">
        <v>7033</v>
      </c>
      <c r="C1534" s="20" t="s">
        <v>7864</v>
      </c>
      <c r="D1534" s="47"/>
      <c r="E1534" s="22" t="s">
        <v>7884</v>
      </c>
      <c r="F1534" s="22" t="s">
        <v>7885</v>
      </c>
      <c r="G1534" s="23">
        <v>2015.0</v>
      </c>
      <c r="H1534" s="22" t="s">
        <v>7886</v>
      </c>
      <c r="I1534" s="24" t="s">
        <v>7887</v>
      </c>
      <c r="J1534" s="22" t="s">
        <v>31</v>
      </c>
      <c r="K1534" s="22" t="s">
        <v>7888</v>
      </c>
      <c r="L1534" s="36" t="s">
        <v>7889</v>
      </c>
      <c r="M1534" s="36"/>
      <c r="N1534" s="36" t="s">
        <v>7890</v>
      </c>
      <c r="O1534" s="36"/>
      <c r="P1534" s="37" t="s">
        <v>7891</v>
      </c>
      <c r="Q1534" s="36"/>
      <c r="R1534" s="36"/>
      <c r="S1534" s="36"/>
      <c r="T1534" s="237" t="s">
        <v>7892</v>
      </c>
      <c r="U1534" s="38" t="str">
        <f>HYPERLINK("https://www.ncbi.nlm.nih.gov/pubmed/25676694","PubMed")</f>
        <v>PubMed</v>
      </c>
      <c r="V1534" s="50"/>
      <c r="W1534" s="49"/>
      <c r="X1534" s="49"/>
      <c r="Y1534" s="35"/>
      <c r="Z1534" s="35"/>
      <c r="AA1534" s="35"/>
      <c r="AB1534" s="35"/>
      <c r="AC1534" s="35"/>
      <c r="AD1534" s="35"/>
      <c r="AE1534" s="35"/>
      <c r="AF1534" s="35"/>
      <c r="AG1534" s="35"/>
      <c r="AH1534" s="35"/>
      <c r="AI1534" s="35"/>
      <c r="AJ1534" s="35"/>
      <c r="AK1534" s="35"/>
      <c r="AL1534" s="35"/>
    </row>
    <row r="1535">
      <c r="A1535" s="1"/>
      <c r="B1535" s="19" t="s">
        <v>7033</v>
      </c>
      <c r="C1535" s="20" t="s">
        <v>7864</v>
      </c>
      <c r="D1535" s="47"/>
      <c r="E1535" s="22" t="s">
        <v>5739</v>
      </c>
      <c r="F1535" s="22" t="s">
        <v>5740</v>
      </c>
      <c r="G1535" s="23">
        <v>2012.0</v>
      </c>
      <c r="H1535" s="22" t="s">
        <v>3347</v>
      </c>
      <c r="I1535" s="24" t="s">
        <v>7893</v>
      </c>
      <c r="J1535" s="22" t="s">
        <v>31</v>
      </c>
      <c r="K1535" s="22" t="s">
        <v>7876</v>
      </c>
      <c r="L1535" s="36" t="s">
        <v>7894</v>
      </c>
      <c r="M1535" s="36"/>
      <c r="N1535" s="36"/>
      <c r="O1535" s="36"/>
      <c r="P1535" s="37"/>
      <c r="Q1535" s="36"/>
      <c r="R1535" s="36"/>
      <c r="S1535" s="36"/>
      <c r="T1535" s="137" t="s">
        <v>7895</v>
      </c>
      <c r="U1535" s="38" t="str">
        <f>HYPERLINK("https://www.ncbi.nlm.nih.gov/pubmed/23125892","PubMed")</f>
        <v>PubMed</v>
      </c>
      <c r="V1535" s="50"/>
      <c r="W1535" s="49"/>
      <c r="X1535" s="49"/>
      <c r="Y1535" s="35"/>
      <c r="Z1535" s="35"/>
      <c r="AA1535" s="35"/>
      <c r="AB1535" s="35"/>
      <c r="AC1535" s="35"/>
      <c r="AD1535" s="35"/>
      <c r="AE1535" s="35"/>
      <c r="AF1535" s="35"/>
      <c r="AG1535" s="35"/>
      <c r="AH1535" s="35"/>
      <c r="AI1535" s="35"/>
      <c r="AJ1535" s="35"/>
      <c r="AK1535" s="35"/>
      <c r="AL1535" s="35"/>
    </row>
    <row r="1536">
      <c r="A1536" s="1" t="s">
        <v>2</v>
      </c>
      <c r="B1536" s="19" t="s">
        <v>7033</v>
      </c>
      <c r="C1536" s="20" t="s">
        <v>7864</v>
      </c>
      <c r="D1536" s="47"/>
      <c r="E1536" s="22" t="s">
        <v>7155</v>
      </c>
      <c r="F1536" s="22" t="s">
        <v>7896</v>
      </c>
      <c r="G1536" s="23">
        <v>2010.0</v>
      </c>
      <c r="H1536" s="22" t="s">
        <v>2594</v>
      </c>
      <c r="I1536" s="24" t="s">
        <v>7897</v>
      </c>
      <c r="J1536" s="22" t="s">
        <v>31</v>
      </c>
      <c r="K1536" s="22" t="s">
        <v>7898</v>
      </c>
      <c r="L1536" s="36"/>
      <c r="M1536" s="36"/>
      <c r="N1536" s="36"/>
      <c r="O1536" s="36"/>
      <c r="P1536" s="37"/>
      <c r="Q1536" s="36"/>
      <c r="R1536" s="36"/>
      <c r="S1536" s="36"/>
      <c r="T1536" s="137" t="s">
        <v>7899</v>
      </c>
      <c r="U1536" s="38" t="str">
        <f>HYPERLINK("https://www.ncbi.nlm.nih.gov/pubmed/19853655","PubMed")</f>
        <v>PubMed</v>
      </c>
      <c r="V1536" s="50"/>
      <c r="W1536" s="49"/>
      <c r="X1536" s="49"/>
      <c r="Y1536" s="35"/>
      <c r="Z1536" s="35"/>
      <c r="AA1536" s="35"/>
      <c r="AB1536" s="35"/>
      <c r="AC1536" s="35"/>
      <c r="AD1536" s="35"/>
      <c r="AE1536" s="35"/>
      <c r="AF1536" s="35"/>
      <c r="AG1536" s="35"/>
      <c r="AH1536" s="35"/>
      <c r="AI1536" s="35"/>
      <c r="AJ1536" s="35"/>
      <c r="AK1536" s="35"/>
      <c r="AL1536" s="35"/>
    </row>
    <row r="1537">
      <c r="A1537" s="1"/>
      <c r="B1537" s="19" t="s">
        <v>7033</v>
      </c>
      <c r="C1537" s="20" t="s">
        <v>7864</v>
      </c>
      <c r="D1537" s="47"/>
      <c r="E1537" s="22" t="s">
        <v>7900</v>
      </c>
      <c r="F1537" s="22" t="s">
        <v>2750</v>
      </c>
      <c r="G1537" s="23">
        <v>2010.0</v>
      </c>
      <c r="H1537" s="22" t="s">
        <v>7886</v>
      </c>
      <c r="I1537" s="24" t="s">
        <v>7901</v>
      </c>
      <c r="J1537" s="22" t="s">
        <v>7902</v>
      </c>
      <c r="K1537" s="22" t="s">
        <v>56</v>
      </c>
      <c r="L1537" s="36" t="s">
        <v>7903</v>
      </c>
      <c r="M1537" s="36"/>
      <c r="N1537" s="36" t="s">
        <v>7904</v>
      </c>
      <c r="O1537" s="36"/>
      <c r="P1537" s="37"/>
      <c r="Q1537" s="36"/>
      <c r="R1537" s="36">
        <v>1800.0</v>
      </c>
      <c r="S1537" s="36">
        <v>1.0</v>
      </c>
      <c r="T1537" s="237" t="s">
        <v>7905</v>
      </c>
      <c r="U1537" s="38" t="str">
        <f>HYPERLINK("https://www.ncbi.nlm.nih.gov/pubmed/20090407","PubMed")</f>
        <v>PubMed</v>
      </c>
      <c r="V1537" s="50"/>
      <c r="W1537" s="49"/>
      <c r="X1537" s="49"/>
      <c r="Y1537" s="35"/>
      <c r="Z1537" s="35"/>
      <c r="AA1537" s="35"/>
      <c r="AB1537" s="35"/>
      <c r="AC1537" s="35"/>
      <c r="AD1537" s="35"/>
      <c r="AE1537" s="35"/>
      <c r="AF1537" s="35"/>
      <c r="AG1537" s="35"/>
      <c r="AH1537" s="35"/>
      <c r="AI1537" s="35"/>
      <c r="AJ1537" s="35"/>
      <c r="AK1537" s="35"/>
      <c r="AL1537" s="35"/>
    </row>
    <row r="1538">
      <c r="A1538" s="1" t="s">
        <v>2</v>
      </c>
      <c r="B1538" s="19" t="s">
        <v>7033</v>
      </c>
      <c r="C1538" s="20" t="s">
        <v>7864</v>
      </c>
      <c r="D1538" s="47"/>
      <c r="E1538" s="22" t="s">
        <v>7906</v>
      </c>
      <c r="F1538" s="22" t="s">
        <v>2750</v>
      </c>
      <c r="G1538" s="23">
        <v>2010.0</v>
      </c>
      <c r="H1538" s="22" t="s">
        <v>4975</v>
      </c>
      <c r="I1538" s="24" t="s">
        <v>7907</v>
      </c>
      <c r="J1538" s="22" t="s">
        <v>125</v>
      </c>
      <c r="K1538" s="22" t="s">
        <v>56</v>
      </c>
      <c r="L1538" s="167" t="s">
        <v>7908</v>
      </c>
      <c r="M1538" s="44"/>
      <c r="N1538" s="44"/>
      <c r="O1538" s="44"/>
      <c r="P1538" s="44"/>
      <c r="Q1538" s="44"/>
      <c r="R1538" s="44"/>
      <c r="S1538" s="44"/>
      <c r="T1538" s="45"/>
      <c r="U1538" s="38" t="str">
        <f>HYPERLINK("https://www.ncbi.nlm.nih.gov/pubmed/20408985","PubMed")</f>
        <v>PubMed</v>
      </c>
      <c r="V1538" s="50"/>
      <c r="W1538" s="49"/>
      <c r="X1538" s="49"/>
      <c r="Y1538" s="35"/>
      <c r="Z1538" s="35"/>
      <c r="AA1538" s="35"/>
      <c r="AB1538" s="35"/>
      <c r="AC1538" s="35"/>
      <c r="AD1538" s="35"/>
      <c r="AE1538" s="35"/>
      <c r="AF1538" s="35"/>
      <c r="AG1538" s="35"/>
      <c r="AH1538" s="35"/>
      <c r="AI1538" s="35"/>
      <c r="AJ1538" s="35"/>
      <c r="AK1538" s="35"/>
      <c r="AL1538" s="35"/>
    </row>
    <row r="1539">
      <c r="A1539" s="1"/>
      <c r="B1539" s="19" t="s">
        <v>7033</v>
      </c>
      <c r="C1539" s="20" t="s">
        <v>7864</v>
      </c>
      <c r="D1539" s="47"/>
      <c r="E1539" s="22" t="s">
        <v>7909</v>
      </c>
      <c r="F1539" s="22" t="s">
        <v>7910</v>
      </c>
      <c r="G1539" s="23">
        <v>2010.0</v>
      </c>
      <c r="H1539" s="22" t="s">
        <v>5032</v>
      </c>
      <c r="I1539" s="24" t="s">
        <v>7911</v>
      </c>
      <c r="J1539" s="22" t="s">
        <v>125</v>
      </c>
      <c r="K1539" s="22"/>
      <c r="L1539" s="238" t="s">
        <v>7912</v>
      </c>
      <c r="M1539" s="44"/>
      <c r="N1539" s="44"/>
      <c r="O1539" s="44"/>
      <c r="P1539" s="44"/>
      <c r="Q1539" s="44"/>
      <c r="R1539" s="44"/>
      <c r="S1539" s="44"/>
      <c r="T1539" s="45"/>
      <c r="U1539" s="38" t="str">
        <f>HYPERLINK("https://www.ncbi.nlm.nih.gov/pubmed/20463675","PubMed")</f>
        <v>PubMed</v>
      </c>
      <c r="V1539" s="50"/>
      <c r="W1539" s="49"/>
      <c r="X1539" s="49"/>
      <c r="Y1539" s="35"/>
      <c r="Z1539" s="35"/>
      <c r="AA1539" s="35"/>
      <c r="AB1539" s="35"/>
      <c r="AC1539" s="35"/>
      <c r="AD1539" s="35"/>
      <c r="AE1539" s="35"/>
      <c r="AF1539" s="35"/>
      <c r="AG1539" s="35"/>
      <c r="AH1539" s="35"/>
      <c r="AI1539" s="35"/>
      <c r="AJ1539" s="35"/>
      <c r="AK1539" s="35"/>
      <c r="AL1539" s="35"/>
    </row>
    <row r="1540">
      <c r="A1540" s="1"/>
      <c r="B1540" s="19" t="s">
        <v>7033</v>
      </c>
      <c r="C1540" s="20" t="s">
        <v>7864</v>
      </c>
      <c r="D1540" s="47"/>
      <c r="E1540" s="22" t="s">
        <v>7913</v>
      </c>
      <c r="F1540" s="22" t="s">
        <v>5270</v>
      </c>
      <c r="G1540" s="23">
        <v>2010.0</v>
      </c>
      <c r="H1540" s="22" t="s">
        <v>7886</v>
      </c>
      <c r="I1540" s="24" t="s">
        <v>7914</v>
      </c>
      <c r="J1540" s="22" t="s">
        <v>125</v>
      </c>
      <c r="K1540" s="22"/>
      <c r="L1540" s="238" t="s">
        <v>7915</v>
      </c>
      <c r="M1540" s="44"/>
      <c r="N1540" s="44"/>
      <c r="O1540" s="44"/>
      <c r="P1540" s="44"/>
      <c r="Q1540" s="44"/>
      <c r="R1540" s="44"/>
      <c r="S1540" s="44"/>
      <c r="T1540" s="45"/>
      <c r="U1540" s="38" t="str">
        <f>HYPERLINK("https://www.ncbi.nlm.nih.gov/pubmed/20090404","PubMed")</f>
        <v>PubMed</v>
      </c>
      <c r="V1540" s="50"/>
      <c r="W1540" s="49"/>
      <c r="X1540" s="49"/>
      <c r="Y1540" s="35"/>
      <c r="Z1540" s="35"/>
      <c r="AA1540" s="35"/>
      <c r="AB1540" s="35"/>
      <c r="AC1540" s="35"/>
      <c r="AD1540" s="35"/>
      <c r="AE1540" s="35"/>
      <c r="AF1540" s="35"/>
      <c r="AG1540" s="35"/>
      <c r="AH1540" s="35"/>
      <c r="AI1540" s="35"/>
      <c r="AJ1540" s="35"/>
      <c r="AK1540" s="35"/>
      <c r="AL1540" s="35"/>
    </row>
    <row r="1541">
      <c r="A1541" s="1"/>
      <c r="B1541" s="19" t="s">
        <v>7033</v>
      </c>
      <c r="C1541" s="20" t="s">
        <v>7864</v>
      </c>
      <c r="D1541" s="47"/>
      <c r="E1541" s="22" t="s">
        <v>7913</v>
      </c>
      <c r="F1541" s="22" t="s">
        <v>5270</v>
      </c>
      <c r="G1541" s="23">
        <v>2009.0</v>
      </c>
      <c r="H1541" s="22" t="s">
        <v>7916</v>
      </c>
      <c r="I1541" s="24" t="s">
        <v>7917</v>
      </c>
      <c r="J1541" s="22" t="s">
        <v>7918</v>
      </c>
      <c r="K1541" s="22"/>
      <c r="L1541" s="238" t="s">
        <v>7919</v>
      </c>
      <c r="M1541" s="44"/>
      <c r="N1541" s="44"/>
      <c r="O1541" s="44"/>
      <c r="P1541" s="44"/>
      <c r="Q1541" s="44"/>
      <c r="R1541" s="44"/>
      <c r="S1541" s="44"/>
      <c r="T1541" s="45"/>
      <c r="U1541" s="38" t="str">
        <f>HYPERLINK("https://www.ncbi.nlm.nih.gov/pubmed/19609472","PubMed")</f>
        <v>PubMed</v>
      </c>
      <c r="V1541" s="50"/>
      <c r="W1541" s="49"/>
      <c r="X1541" s="49"/>
      <c r="Y1541" s="35"/>
      <c r="Z1541" s="35"/>
      <c r="AA1541" s="35"/>
      <c r="AB1541" s="35"/>
      <c r="AC1541" s="35"/>
      <c r="AD1541" s="35"/>
      <c r="AE1541" s="35"/>
      <c r="AF1541" s="35"/>
      <c r="AG1541" s="35"/>
      <c r="AH1541" s="35"/>
      <c r="AI1541" s="35"/>
      <c r="AJ1541" s="35"/>
      <c r="AK1541" s="35"/>
      <c r="AL1541" s="35"/>
    </row>
    <row r="1542">
      <c r="A1542" s="1"/>
      <c r="B1542" s="19" t="s">
        <v>7033</v>
      </c>
      <c r="C1542" s="20" t="s">
        <v>7864</v>
      </c>
      <c r="D1542" s="47"/>
      <c r="E1542" s="22" t="s">
        <v>7920</v>
      </c>
      <c r="F1542" s="22" t="s">
        <v>5270</v>
      </c>
      <c r="G1542" s="23">
        <v>2009.0</v>
      </c>
      <c r="H1542" s="22" t="s">
        <v>7921</v>
      </c>
      <c r="I1542" s="24" t="s">
        <v>7922</v>
      </c>
      <c r="J1542" s="22" t="s">
        <v>125</v>
      </c>
      <c r="K1542" s="22"/>
      <c r="L1542" s="238" t="s">
        <v>7923</v>
      </c>
      <c r="M1542" s="44"/>
      <c r="N1542" s="44"/>
      <c r="O1542" s="44"/>
      <c r="P1542" s="44"/>
      <c r="Q1542" s="44"/>
      <c r="R1542" s="44"/>
      <c r="S1542" s="44"/>
      <c r="T1542" s="45"/>
      <c r="U1542" s="38" t="str">
        <f>HYPERLINK("https://www.ncbi.nlm.nih.gov/pubmed/19319494","PubMed")</f>
        <v>PubMed</v>
      </c>
      <c r="V1542" s="50"/>
      <c r="W1542" s="49"/>
      <c r="X1542" s="49"/>
      <c r="Y1542" s="35"/>
      <c r="Z1542" s="35"/>
      <c r="AA1542" s="35"/>
      <c r="AB1542" s="35"/>
      <c r="AC1542" s="35"/>
      <c r="AD1542" s="35"/>
      <c r="AE1542" s="35"/>
      <c r="AF1542" s="35"/>
      <c r="AG1542" s="35"/>
      <c r="AH1542" s="35"/>
      <c r="AI1542" s="35"/>
      <c r="AJ1542" s="35"/>
      <c r="AK1542" s="35"/>
      <c r="AL1542" s="35"/>
    </row>
    <row r="1543">
      <c r="A1543" s="1"/>
      <c r="B1543" s="19" t="s">
        <v>7033</v>
      </c>
      <c r="C1543" s="20" t="s">
        <v>7864</v>
      </c>
      <c r="D1543" s="47"/>
      <c r="E1543" s="22" t="s">
        <v>7913</v>
      </c>
      <c r="F1543" s="22" t="s">
        <v>5270</v>
      </c>
      <c r="G1543" s="23">
        <v>2008.0</v>
      </c>
      <c r="H1543" s="22" t="s">
        <v>2012</v>
      </c>
      <c r="I1543" s="24" t="s">
        <v>7924</v>
      </c>
      <c r="J1543" s="22" t="s">
        <v>125</v>
      </c>
      <c r="K1543" s="22"/>
      <c r="L1543" s="238" t="s">
        <v>7925</v>
      </c>
      <c r="M1543" s="44"/>
      <c r="N1543" s="44"/>
      <c r="O1543" s="44"/>
      <c r="P1543" s="44"/>
      <c r="Q1543" s="44"/>
      <c r="R1543" s="44"/>
      <c r="S1543" s="44"/>
      <c r="T1543" s="45"/>
      <c r="U1543" s="38" t="str">
        <f>HYPERLINK("https://www.ncbi.nlm.nih.gov/pubmed/18534799","PubMed")</f>
        <v>PubMed</v>
      </c>
      <c r="V1543" s="50"/>
      <c r="W1543" s="49"/>
      <c r="X1543" s="49"/>
      <c r="Y1543" s="35"/>
      <c r="Z1543" s="35"/>
      <c r="AA1543" s="35"/>
      <c r="AB1543" s="35"/>
      <c r="AC1543" s="35"/>
      <c r="AD1543" s="35"/>
      <c r="AE1543" s="35"/>
      <c r="AF1543" s="35"/>
      <c r="AG1543" s="35"/>
      <c r="AH1543" s="35"/>
      <c r="AI1543" s="35"/>
      <c r="AJ1543" s="35"/>
      <c r="AK1543" s="35"/>
      <c r="AL1543" s="35"/>
    </row>
    <row r="1544">
      <c r="A1544" s="1"/>
      <c r="B1544" s="19" t="s">
        <v>7033</v>
      </c>
      <c r="C1544" s="20" t="s">
        <v>7864</v>
      </c>
      <c r="D1544" s="47"/>
      <c r="E1544" s="22" t="s">
        <v>7926</v>
      </c>
      <c r="F1544" s="22" t="s">
        <v>7927</v>
      </c>
      <c r="G1544" s="23">
        <v>2007.0</v>
      </c>
      <c r="H1544" s="22" t="s">
        <v>7928</v>
      </c>
      <c r="I1544" s="24" t="s">
        <v>7929</v>
      </c>
      <c r="J1544" s="22" t="s">
        <v>31</v>
      </c>
      <c r="K1544" s="22" t="s">
        <v>5886</v>
      </c>
      <c r="L1544" s="36" t="s">
        <v>7930</v>
      </c>
      <c r="M1544" s="36"/>
      <c r="N1544" s="36"/>
      <c r="O1544" s="36"/>
      <c r="P1544" s="37"/>
      <c r="Q1544" s="36"/>
      <c r="R1544" s="36"/>
      <c r="S1544" s="36"/>
      <c r="T1544" s="239" t="s">
        <v>7931</v>
      </c>
      <c r="U1544" s="38" t="str">
        <f>HYPERLINK("https://www.ncbi.nlm.nih.gov/pubmed/19675716","PubMed")</f>
        <v>PubMed</v>
      </c>
      <c r="V1544" s="50"/>
      <c r="W1544" s="49"/>
      <c r="X1544" s="49"/>
      <c r="Y1544" s="35"/>
      <c r="Z1544" s="35"/>
      <c r="AA1544" s="35"/>
      <c r="AB1544" s="35"/>
      <c r="AC1544" s="35"/>
      <c r="AD1544" s="35"/>
      <c r="AE1544" s="35"/>
      <c r="AF1544" s="35"/>
      <c r="AG1544" s="35"/>
      <c r="AH1544" s="35"/>
      <c r="AI1544" s="35"/>
      <c r="AJ1544" s="35"/>
      <c r="AK1544" s="35"/>
      <c r="AL1544" s="35"/>
    </row>
    <row r="1545">
      <c r="A1545" s="1"/>
      <c r="B1545" s="19" t="s">
        <v>7033</v>
      </c>
      <c r="C1545" s="20" t="s">
        <v>7864</v>
      </c>
      <c r="D1545" s="47"/>
      <c r="E1545" s="22" t="s">
        <v>7932</v>
      </c>
      <c r="F1545" s="22" t="s">
        <v>7927</v>
      </c>
      <c r="G1545" s="23">
        <v>2000.0</v>
      </c>
      <c r="H1545" s="22" t="s">
        <v>7933</v>
      </c>
      <c r="I1545" s="24" t="s">
        <v>7934</v>
      </c>
      <c r="J1545" s="22" t="s">
        <v>7935</v>
      </c>
      <c r="K1545" s="22" t="s">
        <v>56</v>
      </c>
      <c r="L1545" s="36" t="s">
        <v>7936</v>
      </c>
      <c r="M1545" s="36"/>
      <c r="N1545" s="36"/>
      <c r="O1545" s="36"/>
      <c r="P1545" s="37"/>
      <c r="Q1545" s="36"/>
      <c r="R1545" s="36"/>
      <c r="S1545" s="36"/>
      <c r="T1545" s="54" t="s">
        <v>7937</v>
      </c>
      <c r="U1545" s="38" t="str">
        <f>HYPERLINK("https://www.ncbi.nlm.nih.gov/pubmed/10677564/","PubMed")</f>
        <v>PubMed</v>
      </c>
      <c r="V1545" s="50"/>
      <c r="W1545" s="49"/>
      <c r="X1545" s="49"/>
      <c r="Y1545" s="35"/>
      <c r="Z1545" s="35"/>
      <c r="AA1545" s="35"/>
      <c r="AB1545" s="35"/>
      <c r="AC1545" s="35"/>
      <c r="AD1545" s="35"/>
      <c r="AE1545" s="35"/>
      <c r="AF1545" s="35"/>
      <c r="AG1545" s="35"/>
      <c r="AH1545" s="35"/>
      <c r="AI1545" s="35"/>
      <c r="AJ1545" s="35"/>
      <c r="AK1545" s="35"/>
      <c r="AL1545" s="35"/>
    </row>
    <row r="1546">
      <c r="A1546" s="146"/>
      <c r="B1546" s="19" t="s">
        <v>7033</v>
      </c>
      <c r="C1546" s="20" t="s">
        <v>7938</v>
      </c>
      <c r="D1546" s="47"/>
      <c r="E1546" s="22" t="s">
        <v>7939</v>
      </c>
      <c r="F1546" s="22" t="s">
        <v>5752</v>
      </c>
      <c r="G1546" s="23">
        <v>2024.0</v>
      </c>
      <c r="H1546" s="22" t="s">
        <v>91</v>
      </c>
      <c r="I1546" s="24" t="s">
        <v>7940</v>
      </c>
      <c r="J1546" s="22" t="s">
        <v>7941</v>
      </c>
      <c r="K1546" s="22" t="s">
        <v>157</v>
      </c>
      <c r="L1546" s="36" t="s">
        <v>7942</v>
      </c>
      <c r="M1546" s="36"/>
      <c r="N1546" s="36"/>
      <c r="O1546" s="36"/>
      <c r="Q1546" s="36"/>
      <c r="R1546" s="36">
        <v>1800.0</v>
      </c>
      <c r="S1546" s="36" t="s">
        <v>4905</v>
      </c>
      <c r="T1546" s="103" t="s">
        <v>7943</v>
      </c>
      <c r="U1546" s="38" t="s">
        <v>61</v>
      </c>
      <c r="V1546" s="50"/>
      <c r="W1546" s="49"/>
      <c r="X1546" s="49"/>
      <c r="Y1546" s="35"/>
      <c r="Z1546" s="35"/>
      <c r="AA1546" s="35"/>
      <c r="AB1546" s="35"/>
      <c r="AC1546" s="35"/>
      <c r="AD1546" s="35"/>
      <c r="AE1546" s="35"/>
      <c r="AF1546" s="35"/>
      <c r="AG1546" s="35"/>
      <c r="AH1546" s="35"/>
      <c r="AI1546" s="35"/>
      <c r="AJ1546" s="35"/>
      <c r="AK1546" s="35"/>
      <c r="AL1546" s="35"/>
    </row>
    <row r="1547">
      <c r="A1547" s="146"/>
      <c r="B1547" s="19" t="s">
        <v>7033</v>
      </c>
      <c r="C1547" s="20" t="s">
        <v>7938</v>
      </c>
      <c r="D1547" s="47"/>
      <c r="E1547" s="22" t="s">
        <v>7944</v>
      </c>
      <c r="F1547" s="22" t="s">
        <v>7945</v>
      </c>
      <c r="G1547" s="23">
        <v>2021.0</v>
      </c>
      <c r="H1547" s="22" t="s">
        <v>53</v>
      </c>
      <c r="I1547" s="24" t="s">
        <v>7946</v>
      </c>
      <c r="J1547" s="22" t="s">
        <v>7947</v>
      </c>
      <c r="K1547" s="22" t="s">
        <v>157</v>
      </c>
      <c r="L1547" s="36" t="s">
        <v>7948</v>
      </c>
      <c r="M1547" s="36"/>
      <c r="N1547" s="36"/>
      <c r="O1547" s="36"/>
      <c r="Q1547" s="36"/>
      <c r="R1547" s="36"/>
      <c r="S1547" s="36" t="s">
        <v>6403</v>
      </c>
      <c r="T1547" s="103" t="s">
        <v>7949</v>
      </c>
      <c r="U1547" s="29" t="s">
        <v>61</v>
      </c>
      <c r="V1547" s="50"/>
      <c r="W1547" s="49"/>
      <c r="X1547" s="49"/>
      <c r="Y1547" s="35"/>
      <c r="Z1547" s="35"/>
      <c r="AA1547" s="35"/>
      <c r="AB1547" s="35"/>
      <c r="AC1547" s="35"/>
      <c r="AD1547" s="35"/>
      <c r="AE1547" s="35"/>
      <c r="AF1547" s="35"/>
      <c r="AG1547" s="35"/>
      <c r="AH1547" s="35"/>
      <c r="AI1547" s="35"/>
      <c r="AJ1547" s="35"/>
      <c r="AK1547" s="35"/>
      <c r="AL1547" s="35"/>
    </row>
    <row r="1548">
      <c r="A1548" s="146"/>
      <c r="B1548" s="19" t="s">
        <v>7033</v>
      </c>
      <c r="C1548" s="20" t="s">
        <v>7938</v>
      </c>
      <c r="D1548" s="47"/>
      <c r="E1548" s="22" t="s">
        <v>7950</v>
      </c>
      <c r="F1548" s="22" t="s">
        <v>2214</v>
      </c>
      <c r="G1548" s="23">
        <v>2018.0</v>
      </c>
      <c r="H1548" s="22" t="s">
        <v>91</v>
      </c>
      <c r="I1548" s="24" t="s">
        <v>7951</v>
      </c>
      <c r="J1548" s="22" t="s">
        <v>7952</v>
      </c>
      <c r="K1548" s="22" t="s">
        <v>6528</v>
      </c>
      <c r="L1548" s="36" t="s">
        <v>1495</v>
      </c>
      <c r="M1548" s="36"/>
      <c r="N1548" s="36"/>
      <c r="O1548" s="36"/>
      <c r="Q1548" s="36"/>
      <c r="R1548" s="36"/>
      <c r="S1548" s="36"/>
      <c r="T1548" s="102" t="s">
        <v>7953</v>
      </c>
      <c r="U1548" s="38" t="str">
        <f>HYPERLINK("https://www.ncbi.nlm.nih.gov/pubmed/30074109","PubMed")</f>
        <v>PubMed</v>
      </c>
      <c r="V1548" s="50"/>
      <c r="W1548" s="49"/>
      <c r="X1548" s="49"/>
      <c r="Y1548" s="35"/>
      <c r="Z1548" s="35"/>
      <c r="AA1548" s="35"/>
      <c r="AB1548" s="35"/>
      <c r="AC1548" s="35"/>
      <c r="AD1548" s="35"/>
      <c r="AE1548" s="35"/>
      <c r="AF1548" s="35"/>
      <c r="AG1548" s="35"/>
      <c r="AH1548" s="35"/>
      <c r="AI1548" s="35"/>
      <c r="AJ1548" s="35"/>
      <c r="AK1548" s="35"/>
      <c r="AL1548" s="35"/>
    </row>
    <row r="1549">
      <c r="A1549" s="1"/>
      <c r="B1549" s="19" t="s">
        <v>7033</v>
      </c>
      <c r="C1549" s="20" t="s">
        <v>7938</v>
      </c>
      <c r="D1549" s="47"/>
      <c r="E1549" s="22" t="s">
        <v>5325</v>
      </c>
      <c r="F1549" s="22" t="s">
        <v>7954</v>
      </c>
      <c r="G1549" s="23">
        <v>2016.0</v>
      </c>
      <c r="H1549" s="22" t="s">
        <v>7589</v>
      </c>
      <c r="I1549" s="24" t="s">
        <v>7955</v>
      </c>
      <c r="J1549" s="22" t="s">
        <v>125</v>
      </c>
      <c r="L1549" s="105" t="s">
        <v>7956</v>
      </c>
      <c r="M1549" s="44"/>
      <c r="N1549" s="44"/>
      <c r="O1549" s="44"/>
      <c r="P1549" s="44"/>
      <c r="Q1549" s="44"/>
      <c r="R1549" s="44"/>
      <c r="S1549" s="44"/>
      <c r="T1549" s="45"/>
      <c r="U1549" s="38" t="str">
        <f>HYPERLINK("http://link.springer.com/article/10.1007/s13671-016-0151-8","Springer")</f>
        <v>Springer</v>
      </c>
      <c r="V1549" s="50"/>
      <c r="W1549" s="49"/>
      <c r="X1549" s="49"/>
      <c r="Y1549" s="35"/>
      <c r="Z1549" s="35"/>
      <c r="AA1549" s="35"/>
      <c r="AB1549" s="35"/>
      <c r="AC1549" s="35"/>
      <c r="AD1549" s="35"/>
      <c r="AE1549" s="35"/>
      <c r="AF1549" s="35"/>
      <c r="AG1549" s="35"/>
      <c r="AH1549" s="35"/>
      <c r="AI1549" s="35"/>
      <c r="AJ1549" s="35"/>
      <c r="AK1549" s="35"/>
      <c r="AL1549" s="35"/>
    </row>
    <row r="1550">
      <c r="A1550" s="146"/>
      <c r="B1550" s="19" t="s">
        <v>7033</v>
      </c>
      <c r="C1550" s="20" t="s">
        <v>7938</v>
      </c>
      <c r="D1550" s="47"/>
      <c r="E1550" s="22" t="s">
        <v>7957</v>
      </c>
      <c r="F1550" s="22" t="s">
        <v>1370</v>
      </c>
      <c r="G1550" s="23">
        <v>2014.0</v>
      </c>
      <c r="H1550" s="22" t="s">
        <v>53</v>
      </c>
      <c r="I1550" s="24" t="s">
        <v>7958</v>
      </c>
      <c r="J1550" s="22" t="s">
        <v>7959</v>
      </c>
      <c r="K1550" s="22"/>
      <c r="L1550" s="36"/>
      <c r="M1550" s="36"/>
      <c r="N1550" s="36"/>
      <c r="O1550" s="36"/>
      <c r="Q1550" s="36"/>
      <c r="R1550" s="36"/>
      <c r="S1550" s="36"/>
      <c r="T1550" s="102" t="s">
        <v>7960</v>
      </c>
      <c r="U1550" s="38" t="str">
        <f>HYPERLINK("https://www.ncbi.nlm.nih.gov/pubmed/24634348","PubMed")</f>
        <v>PubMed</v>
      </c>
      <c r="V1550" s="50"/>
      <c r="W1550" s="49"/>
      <c r="X1550" s="49"/>
      <c r="Y1550" s="35"/>
      <c r="Z1550" s="35"/>
      <c r="AA1550" s="35"/>
      <c r="AB1550" s="35"/>
      <c r="AC1550" s="35"/>
      <c r="AD1550" s="35"/>
      <c r="AE1550" s="35"/>
      <c r="AF1550" s="35"/>
      <c r="AG1550" s="35"/>
      <c r="AH1550" s="35"/>
      <c r="AI1550" s="35"/>
      <c r="AJ1550" s="35"/>
      <c r="AK1550" s="35"/>
      <c r="AL1550" s="35"/>
    </row>
    <row r="1551">
      <c r="A1551" s="146" t="s">
        <v>38</v>
      </c>
      <c r="B1551" s="19" t="s">
        <v>7033</v>
      </c>
      <c r="C1551" s="20" t="s">
        <v>7938</v>
      </c>
      <c r="D1551" s="47"/>
      <c r="E1551" s="22" t="s">
        <v>6387</v>
      </c>
      <c r="F1551" s="22" t="s">
        <v>299</v>
      </c>
      <c r="G1551" s="23">
        <v>2013.0</v>
      </c>
      <c r="H1551" s="22" t="s">
        <v>5489</v>
      </c>
      <c r="I1551" s="24" t="s">
        <v>7961</v>
      </c>
      <c r="J1551" s="22" t="s">
        <v>7962</v>
      </c>
      <c r="K1551" s="22" t="s">
        <v>7963</v>
      </c>
      <c r="L1551" s="36">
        <v>635.0</v>
      </c>
      <c r="M1551" s="36"/>
      <c r="N1551" s="36" t="s">
        <v>7964</v>
      </c>
      <c r="O1551" s="36"/>
      <c r="P1551" s="37"/>
      <c r="Q1551" s="36"/>
      <c r="R1551" s="36">
        <v>900.0</v>
      </c>
      <c r="S1551" s="36" t="s">
        <v>35</v>
      </c>
      <c r="T1551" s="102" t="s">
        <v>7965</v>
      </c>
      <c r="U1551" s="38" t="str">
        <f>HYPERLINK("https://www.ncbi.nlm.nih.gov/pubmed/23551853","PubMed")</f>
        <v>PubMed</v>
      </c>
      <c r="V1551" s="50"/>
      <c r="W1551" s="49"/>
      <c r="X1551" s="49"/>
      <c r="Y1551" s="35"/>
      <c r="Z1551" s="35"/>
      <c r="AA1551" s="35"/>
      <c r="AB1551" s="35"/>
      <c r="AC1551" s="35"/>
      <c r="AD1551" s="35"/>
      <c r="AE1551" s="35"/>
      <c r="AF1551" s="35"/>
      <c r="AG1551" s="35"/>
      <c r="AH1551" s="35"/>
      <c r="AI1551" s="35"/>
      <c r="AJ1551" s="35"/>
      <c r="AK1551" s="35"/>
      <c r="AL1551" s="35"/>
    </row>
    <row r="1552">
      <c r="A1552" s="240" t="s">
        <v>181</v>
      </c>
      <c r="B1552" s="19" t="s">
        <v>7033</v>
      </c>
      <c r="C1552" s="20" t="s">
        <v>7938</v>
      </c>
      <c r="D1552" s="47"/>
      <c r="E1552" s="22" t="s">
        <v>7966</v>
      </c>
      <c r="F1552" s="22" t="s">
        <v>7449</v>
      </c>
      <c r="G1552" s="23">
        <v>2009.0</v>
      </c>
      <c r="H1552" s="22" t="s">
        <v>5489</v>
      </c>
      <c r="I1552" s="24" t="s">
        <v>7967</v>
      </c>
      <c r="J1552" s="22" t="s">
        <v>7968</v>
      </c>
      <c r="K1552" s="22" t="s">
        <v>157</v>
      </c>
      <c r="L1552" s="36">
        <v>590.0</v>
      </c>
      <c r="M1552" s="36"/>
      <c r="N1552" s="36"/>
      <c r="O1552" s="36" t="s">
        <v>7969</v>
      </c>
      <c r="P1552" s="37" t="s">
        <v>7970</v>
      </c>
      <c r="Q1552" s="36"/>
      <c r="R1552" s="36">
        <v>35.0</v>
      </c>
      <c r="S1552" s="36">
        <v>1.0</v>
      </c>
      <c r="T1552" s="54" t="s">
        <v>7971</v>
      </c>
      <c r="U1552" s="38" t="str">
        <f>HYPERLINK("https://www.ncbi.nlm.nih.gov/pubmed/19397672","PubMed")</f>
        <v>PubMed</v>
      </c>
      <c r="V1552" s="50"/>
      <c r="W1552" s="49"/>
      <c r="X1552" s="49"/>
      <c r="Y1552" s="35"/>
      <c r="Z1552" s="35"/>
      <c r="AA1552" s="35"/>
      <c r="AB1552" s="35"/>
      <c r="AC1552" s="35"/>
      <c r="AD1552" s="35"/>
      <c r="AE1552" s="35"/>
      <c r="AF1552" s="35"/>
      <c r="AG1552" s="35"/>
      <c r="AH1552" s="35"/>
      <c r="AI1552" s="35"/>
      <c r="AJ1552" s="35"/>
      <c r="AK1552" s="35"/>
      <c r="AL1552" s="35"/>
    </row>
    <row r="1553">
      <c r="A1553" s="240"/>
      <c r="B1553" s="19" t="s">
        <v>7033</v>
      </c>
      <c r="C1553" s="20" t="s">
        <v>7938</v>
      </c>
      <c r="D1553" s="47"/>
      <c r="E1553" s="22" t="s">
        <v>7972</v>
      </c>
      <c r="F1553" s="22" t="s">
        <v>7973</v>
      </c>
      <c r="G1553" s="23">
        <v>2006.0</v>
      </c>
      <c r="H1553" s="22" t="s">
        <v>7974</v>
      </c>
      <c r="I1553" s="24" t="s">
        <v>7975</v>
      </c>
      <c r="J1553" s="22" t="s">
        <v>7976</v>
      </c>
      <c r="K1553" s="22" t="s">
        <v>7977</v>
      </c>
      <c r="L1553" s="36" t="s">
        <v>7978</v>
      </c>
      <c r="M1553" s="36"/>
      <c r="N1553" s="36"/>
      <c r="O1553" s="36"/>
      <c r="P1553" s="37" t="s">
        <v>7979</v>
      </c>
      <c r="Q1553" s="36"/>
      <c r="R1553" s="36">
        <v>1200.0</v>
      </c>
      <c r="S1553" s="36" t="s">
        <v>7980</v>
      </c>
      <c r="T1553" s="54" t="s">
        <v>7981</v>
      </c>
      <c r="U1553" s="29" t="s">
        <v>6709</v>
      </c>
      <c r="V1553" s="30" t="s">
        <v>7982</v>
      </c>
      <c r="W1553" s="49"/>
      <c r="X1553" s="49"/>
      <c r="Y1553" s="35"/>
      <c r="Z1553" s="35"/>
      <c r="AA1553" s="35"/>
      <c r="AB1553" s="35"/>
      <c r="AC1553" s="35"/>
      <c r="AD1553" s="35"/>
      <c r="AE1553" s="35"/>
      <c r="AF1553" s="35"/>
      <c r="AG1553" s="35"/>
      <c r="AH1553" s="35"/>
      <c r="AI1553" s="35"/>
      <c r="AJ1553" s="35"/>
      <c r="AK1553" s="35"/>
      <c r="AL1553" s="35"/>
    </row>
    <row r="1554">
      <c r="A1554" s="240" t="s">
        <v>38</v>
      </c>
      <c r="B1554" s="19" t="s">
        <v>7033</v>
      </c>
      <c r="C1554" s="20" t="s">
        <v>7938</v>
      </c>
      <c r="D1554" s="47"/>
      <c r="E1554" s="22" t="s">
        <v>7983</v>
      </c>
      <c r="F1554" s="22" t="s">
        <v>7973</v>
      </c>
      <c r="G1554" s="23">
        <v>2006.0</v>
      </c>
      <c r="H1554" s="22" t="s">
        <v>169</v>
      </c>
      <c r="I1554" s="24" t="s">
        <v>7984</v>
      </c>
      <c r="J1554" s="22" t="s">
        <v>7985</v>
      </c>
      <c r="K1554" s="22" t="s">
        <v>157</v>
      </c>
      <c r="L1554" s="36">
        <v>633.0</v>
      </c>
      <c r="M1554" s="36"/>
      <c r="N1554" s="36"/>
      <c r="O1554" s="36"/>
      <c r="P1554" s="37" t="s">
        <v>6478</v>
      </c>
      <c r="Q1554" s="36"/>
      <c r="R1554" s="36">
        <v>1200.0</v>
      </c>
      <c r="S1554" s="36" t="s">
        <v>7986</v>
      </c>
      <c r="T1554" s="54" t="s">
        <v>7987</v>
      </c>
      <c r="U1554" s="38" t="str">
        <f>HYPERLINK("https://www.ncbi.nlm.nih.gov/pubmed/16581685","PubMed")</f>
        <v>PubMed</v>
      </c>
      <c r="V1554" s="50"/>
      <c r="W1554" s="49"/>
      <c r="X1554" s="49"/>
      <c r="Y1554" s="35"/>
      <c r="Z1554" s="35"/>
      <c r="AA1554" s="35"/>
      <c r="AB1554" s="35"/>
      <c r="AC1554" s="35"/>
      <c r="AD1554" s="35"/>
      <c r="AE1554" s="35"/>
      <c r="AF1554" s="35"/>
      <c r="AG1554" s="35"/>
      <c r="AH1554" s="35"/>
      <c r="AI1554" s="35"/>
      <c r="AJ1554" s="35"/>
      <c r="AK1554" s="35"/>
      <c r="AL1554" s="35"/>
    </row>
    <row r="1555">
      <c r="A1555" s="40"/>
      <c r="B1555" s="19" t="s">
        <v>7033</v>
      </c>
      <c r="C1555" s="20" t="s">
        <v>7988</v>
      </c>
      <c r="D1555" s="47"/>
      <c r="E1555" s="22" t="s">
        <v>7989</v>
      </c>
      <c r="F1555" s="22" t="s">
        <v>6995</v>
      </c>
      <c r="G1555" s="23">
        <v>2011.0</v>
      </c>
      <c r="H1555" s="22" t="s">
        <v>7990</v>
      </c>
      <c r="I1555" s="24" t="s">
        <v>7991</v>
      </c>
      <c r="J1555" s="22" t="s">
        <v>125</v>
      </c>
      <c r="K1555" s="22" t="s">
        <v>157</v>
      </c>
      <c r="L1555" s="43" t="s">
        <v>7992</v>
      </c>
      <c r="M1555" s="44"/>
      <c r="N1555" s="44"/>
      <c r="O1555" s="44"/>
      <c r="P1555" s="44"/>
      <c r="Q1555" s="44"/>
      <c r="R1555" s="44"/>
      <c r="S1555" s="44"/>
      <c r="T1555" s="45"/>
      <c r="U1555" s="38" t="str">
        <f>HYPERLINK("https://www.ncbi.nlm.nih.gov/pubmed/21865811","PubMed")</f>
        <v>PubMed</v>
      </c>
      <c r="V1555" s="50"/>
      <c r="W1555" s="49"/>
      <c r="X1555" s="49"/>
      <c r="Y1555" s="35"/>
      <c r="Z1555" s="35"/>
      <c r="AA1555" s="35"/>
      <c r="AB1555" s="35"/>
      <c r="AC1555" s="35"/>
      <c r="AD1555" s="35"/>
      <c r="AE1555" s="35"/>
      <c r="AF1555" s="35"/>
      <c r="AG1555" s="35"/>
      <c r="AH1555" s="35"/>
      <c r="AI1555" s="35"/>
      <c r="AJ1555" s="35"/>
      <c r="AK1555" s="35"/>
      <c r="AL1555" s="35"/>
    </row>
    <row r="1556">
      <c r="A1556" s="40"/>
      <c r="B1556" s="19" t="s">
        <v>7033</v>
      </c>
      <c r="C1556" s="20" t="s">
        <v>7993</v>
      </c>
      <c r="D1556" s="47"/>
      <c r="E1556" s="22" t="s">
        <v>2482</v>
      </c>
      <c r="F1556" s="22" t="s">
        <v>2702</v>
      </c>
      <c r="G1556" s="23">
        <v>2023.0</v>
      </c>
      <c r="H1556" s="22" t="s">
        <v>77</v>
      </c>
      <c r="I1556" s="24" t="s">
        <v>7994</v>
      </c>
      <c r="J1556" s="22" t="s">
        <v>202</v>
      </c>
      <c r="K1556" s="22"/>
      <c r="L1556" s="43" t="s">
        <v>7995</v>
      </c>
      <c r="M1556" s="44"/>
      <c r="N1556" s="44"/>
      <c r="O1556" s="44"/>
      <c r="P1556" s="44"/>
      <c r="Q1556" s="44"/>
      <c r="R1556" s="44"/>
      <c r="S1556" s="44"/>
      <c r="T1556" s="45"/>
      <c r="U1556" s="38" t="s">
        <v>61</v>
      </c>
      <c r="V1556" s="50"/>
      <c r="W1556" s="49"/>
      <c r="X1556" s="49"/>
      <c r="Y1556" s="35"/>
      <c r="Z1556" s="35"/>
      <c r="AA1556" s="35"/>
      <c r="AB1556" s="35"/>
      <c r="AC1556" s="35"/>
      <c r="AD1556" s="35"/>
      <c r="AE1556" s="35"/>
      <c r="AF1556" s="35"/>
      <c r="AG1556" s="35"/>
      <c r="AH1556" s="35"/>
      <c r="AI1556" s="35"/>
      <c r="AJ1556" s="35"/>
      <c r="AK1556" s="35"/>
      <c r="AL1556" s="35"/>
    </row>
    <row r="1557">
      <c r="A1557" s="40"/>
      <c r="B1557" s="19" t="s">
        <v>7033</v>
      </c>
      <c r="C1557" s="20" t="s">
        <v>7993</v>
      </c>
      <c r="D1557" s="47"/>
      <c r="E1557" s="22" t="s">
        <v>493</v>
      </c>
      <c r="F1557" s="22" t="s">
        <v>7156</v>
      </c>
      <c r="G1557" s="23">
        <v>2022.0</v>
      </c>
      <c r="H1557" s="22" t="s">
        <v>7996</v>
      </c>
      <c r="I1557" s="24" t="s">
        <v>7997</v>
      </c>
      <c r="J1557" s="22" t="s">
        <v>7998</v>
      </c>
      <c r="K1557" s="22" t="s">
        <v>7999</v>
      </c>
      <c r="L1557" s="36"/>
      <c r="M1557" s="36"/>
      <c r="N1557" s="36"/>
      <c r="O1557" s="36"/>
      <c r="P1557" s="37"/>
      <c r="Q1557" s="36"/>
      <c r="R1557" s="36"/>
      <c r="S1557" s="36"/>
      <c r="T1557" s="28" t="s">
        <v>8000</v>
      </c>
      <c r="U1557" s="38" t="s">
        <v>61</v>
      </c>
      <c r="V1557" s="30" t="s">
        <v>174</v>
      </c>
      <c r="W1557" s="49"/>
      <c r="X1557" s="49"/>
      <c r="Y1557" s="35"/>
      <c r="Z1557" s="35"/>
      <c r="AA1557" s="35"/>
      <c r="AB1557" s="35"/>
      <c r="AC1557" s="35"/>
      <c r="AD1557" s="35"/>
      <c r="AE1557" s="35"/>
      <c r="AF1557" s="35"/>
      <c r="AG1557" s="35"/>
      <c r="AH1557" s="35"/>
      <c r="AI1557" s="35"/>
      <c r="AJ1557" s="35"/>
      <c r="AK1557" s="35"/>
      <c r="AL1557" s="35"/>
    </row>
    <row r="1558">
      <c r="A1558" s="40"/>
      <c r="B1558" s="19" t="s">
        <v>7033</v>
      </c>
      <c r="C1558" s="20" t="s">
        <v>7993</v>
      </c>
      <c r="D1558" s="47"/>
      <c r="E1558" s="22" t="s">
        <v>8001</v>
      </c>
      <c r="F1558" s="22" t="s">
        <v>2196</v>
      </c>
      <c r="G1558" s="23">
        <v>2020.0</v>
      </c>
      <c r="H1558" s="22" t="s">
        <v>7329</v>
      </c>
      <c r="I1558" s="24" t="s">
        <v>8002</v>
      </c>
      <c r="J1558" s="22" t="s">
        <v>31</v>
      </c>
      <c r="K1558" s="22" t="s">
        <v>157</v>
      </c>
      <c r="L1558" s="36">
        <v>585.0</v>
      </c>
      <c r="M1558" s="36"/>
      <c r="N1558" s="36"/>
      <c r="O1558" s="36"/>
      <c r="P1558" s="37"/>
      <c r="Q1558" s="36"/>
      <c r="R1558" s="36"/>
      <c r="S1558" s="36"/>
      <c r="T1558" s="28" t="s">
        <v>8003</v>
      </c>
      <c r="U1558" s="29" t="s">
        <v>61</v>
      </c>
      <c r="V1558" s="50"/>
      <c r="W1558" s="49"/>
      <c r="X1558" s="49"/>
      <c r="Y1558" s="35"/>
      <c r="Z1558" s="35"/>
      <c r="AA1558" s="35"/>
      <c r="AB1558" s="35"/>
      <c r="AC1558" s="35"/>
      <c r="AD1558" s="35"/>
      <c r="AE1558" s="35"/>
      <c r="AF1558" s="35"/>
      <c r="AG1558" s="35"/>
      <c r="AH1558" s="35"/>
      <c r="AI1558" s="35"/>
      <c r="AJ1558" s="35"/>
      <c r="AK1558" s="35"/>
      <c r="AL1558" s="35"/>
    </row>
    <row r="1559">
      <c r="A1559" s="40"/>
      <c r="B1559" s="19" t="s">
        <v>7033</v>
      </c>
      <c r="C1559" s="20" t="s">
        <v>7993</v>
      </c>
      <c r="D1559" s="47"/>
      <c r="E1559" s="22" t="s">
        <v>2195</v>
      </c>
      <c r="F1559" s="22" t="s">
        <v>2196</v>
      </c>
      <c r="G1559" s="23">
        <v>2018.0</v>
      </c>
      <c r="H1559" s="22" t="s">
        <v>7329</v>
      </c>
      <c r="I1559" s="24" t="s">
        <v>8004</v>
      </c>
      <c r="J1559" s="22" t="s">
        <v>31</v>
      </c>
      <c r="K1559" s="22" t="s">
        <v>157</v>
      </c>
      <c r="L1559" s="36">
        <v>585.0</v>
      </c>
      <c r="M1559" s="36"/>
      <c r="N1559" s="36"/>
      <c r="O1559" s="36"/>
      <c r="P1559" s="37" t="s">
        <v>760</v>
      </c>
      <c r="Q1559" s="36"/>
      <c r="R1559" s="36"/>
      <c r="S1559" s="36"/>
      <c r="T1559" s="28" t="s">
        <v>8005</v>
      </c>
      <c r="U1559" s="38" t="str">
        <f>HYPERLINK("https://www.ncbi.nlm.nih.gov/pubmed/29065997","PubMed")</f>
        <v>PubMed</v>
      </c>
      <c r="V1559" s="50"/>
      <c r="W1559" s="49"/>
      <c r="X1559" s="49"/>
      <c r="Y1559" s="35"/>
      <c r="Z1559" s="35"/>
      <c r="AA1559" s="35"/>
      <c r="AB1559" s="35"/>
      <c r="AC1559" s="35"/>
      <c r="AD1559" s="35"/>
      <c r="AE1559" s="35"/>
      <c r="AF1559" s="35"/>
      <c r="AG1559" s="35"/>
      <c r="AH1559" s="35"/>
      <c r="AI1559" s="35"/>
      <c r="AJ1559" s="35"/>
      <c r="AK1559" s="35"/>
      <c r="AL1559" s="35"/>
    </row>
    <row r="1560">
      <c r="A1560" s="40"/>
      <c r="B1560" s="19" t="s">
        <v>7033</v>
      </c>
      <c r="C1560" s="20" t="s">
        <v>7993</v>
      </c>
      <c r="D1560" s="47"/>
      <c r="E1560" s="22" t="s">
        <v>6387</v>
      </c>
      <c r="F1560" s="22" t="s">
        <v>299</v>
      </c>
      <c r="G1560" s="23">
        <v>2017.0</v>
      </c>
      <c r="H1560" s="22" t="s">
        <v>3292</v>
      </c>
      <c r="I1560" s="24" t="s">
        <v>8006</v>
      </c>
      <c r="J1560" s="22" t="s">
        <v>44</v>
      </c>
      <c r="K1560" s="22"/>
      <c r="L1560" s="36">
        <v>660.0</v>
      </c>
      <c r="M1560" s="36"/>
      <c r="N1560" s="36"/>
      <c r="O1560" s="36"/>
      <c r="P1560" s="37"/>
      <c r="Q1560" s="36"/>
      <c r="R1560" s="36"/>
      <c r="S1560" s="36"/>
      <c r="T1560" s="28" t="s">
        <v>8007</v>
      </c>
      <c r="U1560" s="38" t="str">
        <f>HYPERLINK("https://www.ncbi.nlm.nih.gov/pubmed/27696509","PubMed")</f>
        <v>PubMed</v>
      </c>
      <c r="V1560" s="50"/>
      <c r="W1560" s="49"/>
      <c r="X1560" s="49"/>
      <c r="Y1560" s="35"/>
      <c r="Z1560" s="35"/>
      <c r="AA1560" s="35"/>
      <c r="AB1560" s="35"/>
      <c r="AC1560" s="35"/>
      <c r="AD1560" s="35"/>
      <c r="AE1560" s="35"/>
      <c r="AF1560" s="35"/>
      <c r="AG1560" s="35"/>
      <c r="AH1560" s="35"/>
      <c r="AI1560" s="35"/>
      <c r="AJ1560" s="35"/>
      <c r="AK1560" s="35"/>
      <c r="AL1560" s="35"/>
    </row>
    <row r="1561">
      <c r="A1561" s="40"/>
      <c r="B1561" s="19" t="s">
        <v>7033</v>
      </c>
      <c r="C1561" s="20" t="s">
        <v>7993</v>
      </c>
      <c r="D1561" s="47"/>
      <c r="E1561" s="22" t="s">
        <v>5513</v>
      </c>
      <c r="F1561" s="22" t="s">
        <v>8008</v>
      </c>
      <c r="G1561" s="23">
        <v>2016.0</v>
      </c>
      <c r="H1561" s="22" t="s">
        <v>91</v>
      </c>
      <c r="I1561" s="24" t="s">
        <v>8009</v>
      </c>
      <c r="J1561" s="22" t="s">
        <v>31</v>
      </c>
      <c r="K1561" s="22" t="s">
        <v>8010</v>
      </c>
      <c r="L1561" s="36" t="s">
        <v>8011</v>
      </c>
      <c r="M1561" s="36"/>
      <c r="N1561" s="36"/>
      <c r="O1561" s="36"/>
      <c r="P1561" s="37" t="s">
        <v>8012</v>
      </c>
      <c r="Q1561" s="36"/>
      <c r="R1561" s="36"/>
      <c r="S1561" s="36"/>
      <c r="T1561" s="28" t="s">
        <v>8013</v>
      </c>
      <c r="U1561" s="38" t="str">
        <f>HYPERLINK("https://www.ncbi.nlm.nih.gov/pubmed/27572715","PubMed")</f>
        <v>PubMed</v>
      </c>
      <c r="V1561" s="50"/>
      <c r="W1561" s="49"/>
      <c r="X1561" s="49"/>
      <c r="Y1561" s="35"/>
      <c r="Z1561" s="35"/>
      <c r="AA1561" s="35"/>
      <c r="AB1561" s="35"/>
      <c r="AC1561" s="35"/>
      <c r="AD1561" s="35"/>
      <c r="AE1561" s="35"/>
      <c r="AF1561" s="35"/>
      <c r="AG1561" s="35"/>
      <c r="AH1561" s="35"/>
      <c r="AI1561" s="35"/>
      <c r="AJ1561" s="35"/>
      <c r="AK1561" s="35"/>
      <c r="AL1561" s="35"/>
    </row>
    <row r="1562">
      <c r="A1562" s="40"/>
      <c r="B1562" s="19" t="s">
        <v>7033</v>
      </c>
      <c r="C1562" s="20" t="s">
        <v>7993</v>
      </c>
      <c r="D1562" s="47"/>
      <c r="E1562" s="22" t="s">
        <v>1080</v>
      </c>
      <c r="F1562" s="22" t="s">
        <v>8014</v>
      </c>
      <c r="G1562" s="23">
        <v>2012.0</v>
      </c>
      <c r="H1562" s="22" t="s">
        <v>7246</v>
      </c>
      <c r="I1562" s="24" t="s">
        <v>8015</v>
      </c>
      <c r="J1562" s="22" t="s">
        <v>31</v>
      </c>
      <c r="K1562" s="22" t="s">
        <v>157</v>
      </c>
      <c r="L1562" s="36" t="s">
        <v>8016</v>
      </c>
      <c r="M1562" s="36"/>
      <c r="N1562" s="36"/>
      <c r="O1562" s="36"/>
      <c r="P1562" s="37" t="s">
        <v>8017</v>
      </c>
      <c r="Q1562" s="36"/>
      <c r="R1562" s="36"/>
      <c r="S1562" s="36"/>
      <c r="T1562" s="28" t="s">
        <v>8018</v>
      </c>
      <c r="U1562" s="38" t="str">
        <f>HYPERLINK("https://www.ncbi.nlm.nih.gov/pubmed/22334261","PubMed")</f>
        <v>PubMed</v>
      </c>
      <c r="V1562" s="50"/>
      <c r="W1562" s="49"/>
      <c r="X1562" s="49"/>
      <c r="Y1562" s="35"/>
      <c r="Z1562" s="35"/>
      <c r="AA1562" s="35"/>
      <c r="AB1562" s="35"/>
      <c r="AC1562" s="35"/>
      <c r="AD1562" s="35"/>
      <c r="AE1562" s="35"/>
      <c r="AF1562" s="35"/>
      <c r="AG1562" s="35"/>
      <c r="AH1562" s="35"/>
      <c r="AI1562" s="35"/>
      <c r="AJ1562" s="35"/>
      <c r="AK1562" s="35"/>
      <c r="AL1562" s="35"/>
    </row>
    <row r="1563">
      <c r="A1563" s="146"/>
      <c r="B1563" s="75" t="s">
        <v>7033</v>
      </c>
      <c r="C1563" s="77" t="s">
        <v>8019</v>
      </c>
      <c r="D1563" s="47"/>
      <c r="E1563" s="22" t="s">
        <v>8020</v>
      </c>
      <c r="F1563" s="22" t="s">
        <v>41</v>
      </c>
      <c r="G1563" s="23">
        <v>2023.0</v>
      </c>
      <c r="H1563" s="22" t="s">
        <v>3292</v>
      </c>
      <c r="I1563" s="24" t="s">
        <v>8021</v>
      </c>
      <c r="J1563" s="22" t="s">
        <v>125</v>
      </c>
      <c r="K1563" s="22"/>
      <c r="L1563" s="43" t="s">
        <v>8022</v>
      </c>
      <c r="M1563" s="44"/>
      <c r="N1563" s="44"/>
      <c r="O1563" s="44"/>
      <c r="P1563" s="44"/>
      <c r="Q1563" s="44"/>
      <c r="R1563" s="44"/>
      <c r="S1563" s="44"/>
      <c r="T1563" s="45"/>
      <c r="U1563" s="38" t="s">
        <v>61</v>
      </c>
      <c r="V1563" s="30"/>
      <c r="W1563" s="49"/>
      <c r="X1563" s="49"/>
      <c r="Y1563" s="35"/>
      <c r="Z1563" s="35"/>
      <c r="AA1563" s="35"/>
      <c r="AB1563" s="35"/>
      <c r="AC1563" s="35"/>
      <c r="AD1563" s="35"/>
      <c r="AE1563" s="35"/>
      <c r="AF1563" s="35"/>
      <c r="AG1563" s="35"/>
      <c r="AH1563" s="35"/>
      <c r="AI1563" s="35"/>
      <c r="AJ1563" s="35"/>
      <c r="AK1563" s="35"/>
      <c r="AL1563" s="35"/>
    </row>
    <row r="1564">
      <c r="A1564" s="146"/>
      <c r="B1564" s="75" t="s">
        <v>7033</v>
      </c>
      <c r="C1564" s="77" t="s">
        <v>8019</v>
      </c>
      <c r="D1564" s="47"/>
      <c r="E1564" s="22" t="s">
        <v>8023</v>
      </c>
      <c r="F1564" s="22" t="s">
        <v>8024</v>
      </c>
      <c r="G1564" s="23">
        <v>2023.0</v>
      </c>
      <c r="H1564" s="22" t="s">
        <v>5043</v>
      </c>
      <c r="I1564" s="24" t="s">
        <v>8025</v>
      </c>
      <c r="J1564" s="22" t="s">
        <v>8026</v>
      </c>
      <c r="K1564" s="22" t="s">
        <v>8027</v>
      </c>
      <c r="L1564" s="36">
        <v>675.0</v>
      </c>
      <c r="M1564" s="36" t="s">
        <v>8028</v>
      </c>
      <c r="N1564" s="36" t="s">
        <v>58</v>
      </c>
      <c r="O1564" s="36" t="s">
        <v>58</v>
      </c>
      <c r="P1564" s="37" t="s">
        <v>58</v>
      </c>
      <c r="Q1564" s="36" t="s">
        <v>8029</v>
      </c>
      <c r="R1564" s="36" t="s">
        <v>4694</v>
      </c>
      <c r="S1564" s="36" t="s">
        <v>7207</v>
      </c>
      <c r="T1564" s="28" t="s">
        <v>8030</v>
      </c>
      <c r="U1564" s="38" t="s">
        <v>61</v>
      </c>
      <c r="V1564" s="30"/>
      <c r="W1564" s="49"/>
      <c r="X1564" s="49"/>
      <c r="Y1564" s="35"/>
      <c r="Z1564" s="35"/>
      <c r="AA1564" s="35"/>
      <c r="AB1564" s="35"/>
      <c r="AC1564" s="35"/>
      <c r="AD1564" s="35"/>
      <c r="AE1564" s="35"/>
      <c r="AF1564" s="35"/>
      <c r="AG1564" s="35"/>
      <c r="AH1564" s="35"/>
      <c r="AI1564" s="35"/>
      <c r="AJ1564" s="35"/>
      <c r="AK1564" s="35"/>
      <c r="AL1564" s="35"/>
    </row>
    <row r="1565">
      <c r="A1565" s="146"/>
      <c r="B1565" s="75" t="s">
        <v>7033</v>
      </c>
      <c r="C1565" s="77" t="s">
        <v>8019</v>
      </c>
      <c r="D1565" s="47"/>
      <c r="E1565" s="22" t="s">
        <v>8020</v>
      </c>
      <c r="F1565" s="22" t="s">
        <v>41</v>
      </c>
      <c r="G1565" s="23">
        <v>2023.0</v>
      </c>
      <c r="H1565" s="22" t="s">
        <v>6911</v>
      </c>
      <c r="I1565" s="24" t="s">
        <v>8031</v>
      </c>
      <c r="J1565" s="22" t="s">
        <v>2141</v>
      </c>
      <c r="K1565" s="22"/>
      <c r="L1565" s="168"/>
      <c r="M1565" s="168"/>
      <c r="N1565" s="168"/>
      <c r="O1565" s="168"/>
      <c r="P1565" s="169"/>
      <c r="Q1565" s="168"/>
      <c r="R1565" s="168"/>
      <c r="S1565" s="168"/>
      <c r="T1565" s="185" t="s">
        <v>8032</v>
      </c>
      <c r="U1565" s="38" t="s">
        <v>61</v>
      </c>
      <c r="V1565" s="30"/>
      <c r="W1565" s="49"/>
      <c r="X1565" s="49"/>
      <c r="Y1565" s="35"/>
      <c r="Z1565" s="35"/>
      <c r="AA1565" s="35"/>
      <c r="AB1565" s="35"/>
      <c r="AC1565" s="35"/>
      <c r="AD1565" s="35"/>
      <c r="AE1565" s="35"/>
      <c r="AF1565" s="35"/>
      <c r="AG1565" s="35"/>
      <c r="AH1565" s="35"/>
      <c r="AI1565" s="35"/>
      <c r="AJ1565" s="35"/>
      <c r="AK1565" s="35"/>
      <c r="AL1565" s="35"/>
    </row>
    <row r="1566">
      <c r="A1566" s="146"/>
      <c r="B1566" s="75" t="s">
        <v>7033</v>
      </c>
      <c r="C1566" s="77" t="s">
        <v>8019</v>
      </c>
      <c r="D1566" s="47"/>
      <c r="E1566" s="22" t="s">
        <v>8033</v>
      </c>
      <c r="F1566" s="22" t="s">
        <v>2196</v>
      </c>
      <c r="G1566" s="23">
        <v>2022.0</v>
      </c>
      <c r="H1566" s="22" t="s">
        <v>2392</v>
      </c>
      <c r="I1566" s="24" t="s">
        <v>8034</v>
      </c>
      <c r="J1566" s="22" t="s">
        <v>8035</v>
      </c>
      <c r="K1566" s="22" t="s">
        <v>157</v>
      </c>
      <c r="L1566" s="36">
        <v>590.0</v>
      </c>
      <c r="M1566" s="36"/>
      <c r="N1566" s="36"/>
      <c r="O1566" s="36"/>
      <c r="P1566" s="37" t="s">
        <v>287</v>
      </c>
      <c r="Q1566" s="36"/>
      <c r="R1566" s="36">
        <v>1000.0</v>
      </c>
      <c r="S1566" s="36" t="s">
        <v>2799</v>
      </c>
      <c r="T1566" s="28" t="s">
        <v>8036</v>
      </c>
      <c r="U1566" s="38" t="s">
        <v>61</v>
      </c>
      <c r="V1566" s="30" t="s">
        <v>8037</v>
      </c>
      <c r="W1566" s="49"/>
      <c r="X1566" s="49"/>
      <c r="Y1566" s="35"/>
      <c r="Z1566" s="35"/>
      <c r="AA1566" s="35"/>
      <c r="AB1566" s="35"/>
      <c r="AC1566" s="35"/>
      <c r="AD1566" s="35"/>
      <c r="AE1566" s="35"/>
      <c r="AF1566" s="35"/>
      <c r="AG1566" s="35"/>
      <c r="AH1566" s="35"/>
      <c r="AI1566" s="35"/>
      <c r="AJ1566" s="35"/>
      <c r="AK1566" s="35"/>
      <c r="AL1566" s="35"/>
    </row>
    <row r="1567">
      <c r="A1567" s="146" t="s">
        <v>38</v>
      </c>
      <c r="B1567" s="19" t="s">
        <v>7033</v>
      </c>
      <c r="C1567" s="20" t="s">
        <v>8019</v>
      </c>
      <c r="D1567" s="47"/>
      <c r="E1567" s="22" t="s">
        <v>8038</v>
      </c>
      <c r="F1567" s="22" t="s">
        <v>1386</v>
      </c>
      <c r="G1567" s="23">
        <v>2018.0</v>
      </c>
      <c r="H1567" s="22" t="s">
        <v>658</v>
      </c>
      <c r="I1567" s="24" t="s">
        <v>8039</v>
      </c>
      <c r="J1567" s="22" t="s">
        <v>8040</v>
      </c>
      <c r="K1567" s="22" t="s">
        <v>8041</v>
      </c>
      <c r="L1567" s="36" t="s">
        <v>7978</v>
      </c>
      <c r="M1567" s="36"/>
      <c r="N1567" s="36" t="s">
        <v>8042</v>
      </c>
      <c r="O1567" s="36"/>
      <c r="P1567" s="37" t="s">
        <v>8043</v>
      </c>
      <c r="Q1567" s="36"/>
      <c r="R1567" s="36">
        <v>1200.0</v>
      </c>
      <c r="S1567" s="36" t="s">
        <v>8044</v>
      </c>
      <c r="T1567" s="28" t="s">
        <v>8045</v>
      </c>
      <c r="U1567" s="29" t="s">
        <v>61</v>
      </c>
      <c r="V1567" s="30" t="s">
        <v>7982</v>
      </c>
      <c r="W1567" s="49"/>
      <c r="X1567" s="49"/>
      <c r="Y1567" s="35"/>
      <c r="Z1567" s="35"/>
      <c r="AA1567" s="35"/>
      <c r="AB1567" s="35"/>
      <c r="AC1567" s="35"/>
      <c r="AD1567" s="35"/>
      <c r="AE1567" s="35"/>
      <c r="AF1567" s="35"/>
      <c r="AG1567" s="35"/>
      <c r="AH1567" s="35"/>
      <c r="AI1567" s="35"/>
      <c r="AJ1567" s="35"/>
      <c r="AK1567" s="35"/>
      <c r="AL1567" s="35"/>
    </row>
    <row r="1568">
      <c r="A1568" s="40"/>
      <c r="B1568" s="19" t="s">
        <v>7033</v>
      </c>
      <c r="C1568" s="20" t="s">
        <v>8019</v>
      </c>
      <c r="D1568" s="47"/>
      <c r="E1568" s="22" t="s">
        <v>8046</v>
      </c>
      <c r="F1568" s="22" t="s">
        <v>8047</v>
      </c>
      <c r="G1568" s="23">
        <v>2018.0</v>
      </c>
      <c r="H1568" s="22" t="s">
        <v>6948</v>
      </c>
      <c r="I1568" s="24" t="s">
        <v>8048</v>
      </c>
      <c r="J1568" s="22" t="s">
        <v>8049</v>
      </c>
      <c r="K1568" s="22" t="s">
        <v>157</v>
      </c>
      <c r="L1568" s="36">
        <v>940.0</v>
      </c>
      <c r="M1568" s="36"/>
      <c r="N1568" s="36" t="s">
        <v>6646</v>
      </c>
      <c r="O1568" s="36"/>
      <c r="P1568" s="37" t="s">
        <v>8050</v>
      </c>
      <c r="Q1568" s="36"/>
      <c r="R1568" s="36"/>
      <c r="S1568" s="36" t="s">
        <v>2799</v>
      </c>
      <c r="T1568" s="28" t="s">
        <v>8051</v>
      </c>
      <c r="U1568" s="38" t="str">
        <f>HYPERLINK("https://www.ncbi.nlm.nih.gov/pubmed/29657669","PubMed")</f>
        <v>PubMed</v>
      </c>
      <c r="V1568" s="50"/>
      <c r="W1568" s="49"/>
      <c r="X1568" s="49"/>
      <c r="Y1568" s="35"/>
      <c r="Z1568" s="35"/>
      <c r="AA1568" s="35"/>
      <c r="AB1568" s="35"/>
      <c r="AC1568" s="35"/>
      <c r="AD1568" s="35"/>
      <c r="AE1568" s="35"/>
      <c r="AF1568" s="35"/>
      <c r="AG1568" s="35"/>
      <c r="AH1568" s="35"/>
      <c r="AI1568" s="35"/>
      <c r="AJ1568" s="35"/>
      <c r="AK1568" s="35"/>
      <c r="AL1568" s="35"/>
    </row>
    <row r="1569">
      <c r="A1569" s="18"/>
      <c r="B1569" s="19" t="s">
        <v>7033</v>
      </c>
      <c r="C1569" s="20" t="s">
        <v>8052</v>
      </c>
      <c r="D1569" s="21"/>
      <c r="E1569" s="22" t="s">
        <v>8053</v>
      </c>
      <c r="F1569" s="22" t="s">
        <v>2214</v>
      </c>
      <c r="G1569" s="23">
        <v>2021.0</v>
      </c>
      <c r="H1569" s="22" t="s">
        <v>7308</v>
      </c>
      <c r="I1569" s="24" t="s">
        <v>8054</v>
      </c>
      <c r="J1569" s="22" t="s">
        <v>8055</v>
      </c>
      <c r="K1569" s="22" t="s">
        <v>157</v>
      </c>
      <c r="L1569" s="36">
        <v>633.0</v>
      </c>
      <c r="M1569" s="36"/>
      <c r="N1569" s="36"/>
      <c r="O1569" s="36"/>
      <c r="P1569" s="37" t="s">
        <v>8056</v>
      </c>
      <c r="Q1569" s="36"/>
      <c r="R1569" s="36">
        <v>1200.0</v>
      </c>
      <c r="S1569" s="36" t="s">
        <v>8057</v>
      </c>
      <c r="T1569" s="28" t="s">
        <v>8058</v>
      </c>
      <c r="U1569" s="29" t="s">
        <v>61</v>
      </c>
      <c r="V1569" s="30" t="s">
        <v>8059</v>
      </c>
      <c r="W1569" s="49"/>
      <c r="X1569" s="49"/>
      <c r="Y1569" s="35"/>
      <c r="Z1569" s="35"/>
      <c r="AA1569" s="35"/>
      <c r="AB1569" s="35"/>
      <c r="AC1569" s="35"/>
      <c r="AD1569" s="35"/>
      <c r="AE1569" s="35"/>
      <c r="AF1569" s="35"/>
      <c r="AG1569" s="35"/>
      <c r="AH1569" s="35"/>
      <c r="AI1569" s="35"/>
      <c r="AJ1569" s="35"/>
      <c r="AK1569" s="35"/>
      <c r="AL1569" s="35"/>
    </row>
    <row r="1570">
      <c r="A1570" s="18"/>
      <c r="B1570" s="19" t="s">
        <v>7033</v>
      </c>
      <c r="C1570" s="20" t="s">
        <v>8060</v>
      </c>
      <c r="D1570" s="21"/>
      <c r="E1570" s="22" t="s">
        <v>8061</v>
      </c>
      <c r="F1570" s="22" t="s">
        <v>8062</v>
      </c>
      <c r="G1570" s="23">
        <v>2024.0</v>
      </c>
      <c r="H1570" s="22" t="s">
        <v>8063</v>
      </c>
      <c r="I1570" s="24" t="s">
        <v>8064</v>
      </c>
      <c r="J1570" s="22" t="s">
        <v>8065</v>
      </c>
      <c r="K1570" s="22"/>
      <c r="L1570" s="36">
        <v>1064.0</v>
      </c>
      <c r="M1570" s="36"/>
      <c r="N1570" s="36"/>
      <c r="O1570" s="36"/>
      <c r="P1570" s="37" t="s">
        <v>8066</v>
      </c>
      <c r="Q1570" s="36"/>
      <c r="R1570" s="36"/>
      <c r="S1570" s="36"/>
      <c r="T1570" s="28" t="s">
        <v>8067</v>
      </c>
      <c r="U1570" s="38" t="s">
        <v>61</v>
      </c>
      <c r="V1570" s="50"/>
      <c r="W1570" s="49"/>
      <c r="X1570" s="49"/>
      <c r="Y1570" s="35"/>
      <c r="Z1570" s="35"/>
      <c r="AA1570" s="35"/>
      <c r="AB1570" s="35"/>
      <c r="AC1570" s="35"/>
      <c r="AD1570" s="35"/>
      <c r="AE1570" s="35"/>
      <c r="AF1570" s="35"/>
      <c r="AG1570" s="35"/>
      <c r="AH1570" s="35"/>
      <c r="AI1570" s="35"/>
      <c r="AJ1570" s="35"/>
      <c r="AK1570" s="35"/>
      <c r="AL1570" s="35"/>
    </row>
    <row r="1571">
      <c r="A1571" s="18"/>
      <c r="B1571" s="19" t="s">
        <v>7033</v>
      </c>
      <c r="C1571" s="20" t="s">
        <v>8060</v>
      </c>
      <c r="D1571" s="21"/>
      <c r="E1571" s="22" t="s">
        <v>8068</v>
      </c>
      <c r="F1571" s="22" t="s">
        <v>8069</v>
      </c>
      <c r="G1571" s="23">
        <v>2022.0</v>
      </c>
      <c r="H1571" s="22" t="s">
        <v>7122</v>
      </c>
      <c r="I1571" s="24" t="s">
        <v>8070</v>
      </c>
      <c r="J1571" s="22" t="s">
        <v>8071</v>
      </c>
      <c r="K1571" s="22"/>
      <c r="L1571" s="36" t="s">
        <v>8072</v>
      </c>
      <c r="M1571" s="36">
        <v>3000.0</v>
      </c>
      <c r="N1571" s="36"/>
      <c r="O1571" s="36" t="s">
        <v>8073</v>
      </c>
      <c r="P1571" s="37"/>
      <c r="Q1571" s="36"/>
      <c r="R1571" s="36" t="s">
        <v>8074</v>
      </c>
      <c r="S1571" s="36">
        <v>8.0</v>
      </c>
      <c r="T1571" s="28" t="s">
        <v>8075</v>
      </c>
      <c r="U1571" s="29" t="s">
        <v>61</v>
      </c>
      <c r="V1571" s="50"/>
      <c r="W1571" s="49"/>
      <c r="X1571" s="49"/>
      <c r="Y1571" s="35"/>
      <c r="Z1571" s="35"/>
      <c r="AA1571" s="35"/>
      <c r="AB1571" s="35"/>
      <c r="AC1571" s="35"/>
      <c r="AD1571" s="35"/>
      <c r="AE1571" s="35"/>
      <c r="AF1571" s="35"/>
      <c r="AG1571" s="35"/>
      <c r="AH1571" s="35"/>
      <c r="AI1571" s="35"/>
      <c r="AJ1571" s="35"/>
      <c r="AK1571" s="35"/>
      <c r="AL1571" s="35"/>
    </row>
    <row r="1572">
      <c r="A1572" s="18"/>
      <c r="B1572" s="19" t="s">
        <v>7033</v>
      </c>
      <c r="C1572" s="20" t="s">
        <v>8060</v>
      </c>
      <c r="D1572" s="21"/>
      <c r="E1572" s="22" t="s">
        <v>8076</v>
      </c>
      <c r="F1572" s="22" t="s">
        <v>8077</v>
      </c>
      <c r="G1572" s="23">
        <v>2019.0</v>
      </c>
      <c r="H1572" s="22" t="s">
        <v>8078</v>
      </c>
      <c r="I1572" s="24" t="s">
        <v>8079</v>
      </c>
      <c r="J1572" s="22" t="s">
        <v>8080</v>
      </c>
      <c r="K1572" s="22"/>
      <c r="L1572" s="36">
        <v>1064.0</v>
      </c>
      <c r="M1572" s="36"/>
      <c r="N1572" s="36"/>
      <c r="O1572" s="36"/>
      <c r="P1572" s="37" t="s">
        <v>8081</v>
      </c>
      <c r="Q1572" s="36"/>
      <c r="R1572" s="36"/>
      <c r="S1572" s="36" t="s">
        <v>8082</v>
      </c>
      <c r="T1572" s="41" t="s">
        <v>8083</v>
      </c>
      <c r="U1572" s="38" t="str">
        <f>HYPERLINK("https://www.ncbi.nlm.nih.gov/pubmed/31296045","PubMed")</f>
        <v>PubMed</v>
      </c>
      <c r="V1572" s="50"/>
      <c r="W1572" s="49"/>
      <c r="X1572" s="49"/>
      <c r="Y1572" s="35"/>
      <c r="Z1572" s="35"/>
      <c r="AA1572" s="35"/>
      <c r="AB1572" s="35"/>
      <c r="AC1572" s="35"/>
      <c r="AD1572" s="35"/>
      <c r="AE1572" s="35"/>
      <c r="AF1572" s="35"/>
      <c r="AG1572" s="35"/>
      <c r="AH1572" s="35"/>
      <c r="AI1572" s="35"/>
      <c r="AJ1572" s="35"/>
      <c r="AK1572" s="35"/>
      <c r="AL1572" s="35"/>
    </row>
    <row r="1573">
      <c r="A1573" s="18"/>
      <c r="B1573" s="19" t="s">
        <v>7033</v>
      </c>
      <c r="C1573" s="20" t="s">
        <v>8060</v>
      </c>
      <c r="D1573" s="21"/>
      <c r="E1573" s="22" t="s">
        <v>8084</v>
      </c>
      <c r="F1573" s="22" t="s">
        <v>8085</v>
      </c>
      <c r="G1573" s="23">
        <v>2019.0</v>
      </c>
      <c r="H1573" s="22" t="s">
        <v>8086</v>
      </c>
      <c r="I1573" s="24" t="s">
        <v>8087</v>
      </c>
      <c r="J1573" s="22" t="s">
        <v>8088</v>
      </c>
      <c r="K1573" s="22"/>
      <c r="L1573" s="36">
        <v>1064.0</v>
      </c>
      <c r="M1573" s="36"/>
      <c r="N1573" s="36"/>
      <c r="O1573" s="36"/>
      <c r="P1573" s="37"/>
      <c r="Q1573" s="36"/>
      <c r="R1573" s="36"/>
      <c r="S1573" s="36" t="s">
        <v>8089</v>
      </c>
      <c r="T1573" s="41" t="s">
        <v>8090</v>
      </c>
      <c r="U1573" s="38" t="str">
        <f>HYPERLINK("https://www.ncbi.nlm.nih.gov/pubmed/30920059","PubMed")</f>
        <v>PubMed</v>
      </c>
      <c r="V1573" s="50"/>
      <c r="W1573" s="49"/>
      <c r="X1573" s="49"/>
      <c r="Y1573" s="35"/>
      <c r="Z1573" s="35"/>
      <c r="AA1573" s="35"/>
      <c r="AB1573" s="35"/>
      <c r="AC1573" s="35"/>
      <c r="AD1573" s="35"/>
      <c r="AE1573" s="35"/>
      <c r="AF1573" s="35"/>
      <c r="AG1573" s="35"/>
      <c r="AH1573" s="35"/>
      <c r="AI1573" s="35"/>
      <c r="AJ1573" s="35"/>
      <c r="AK1573" s="35"/>
      <c r="AL1573" s="35"/>
    </row>
    <row r="1574">
      <c r="A1574" s="18"/>
      <c r="B1574" s="19" t="s">
        <v>7033</v>
      </c>
      <c r="C1574" s="20" t="s">
        <v>8060</v>
      </c>
      <c r="D1574" s="21"/>
      <c r="E1574" s="22" t="s">
        <v>8091</v>
      </c>
      <c r="F1574" s="22" t="s">
        <v>8092</v>
      </c>
      <c r="G1574" s="23">
        <v>2014.0</v>
      </c>
      <c r="H1574" s="22" t="s">
        <v>7359</v>
      </c>
      <c r="I1574" s="24" t="s">
        <v>8093</v>
      </c>
      <c r="J1574" s="22" t="s">
        <v>8094</v>
      </c>
      <c r="K1574" s="22" t="s">
        <v>8095</v>
      </c>
      <c r="L1574" s="36" t="s">
        <v>8096</v>
      </c>
      <c r="M1574" s="36" t="s">
        <v>58</v>
      </c>
      <c r="N1574" s="36" t="s">
        <v>58</v>
      </c>
      <c r="O1574" s="36" t="s">
        <v>58</v>
      </c>
      <c r="P1574" s="37" t="s">
        <v>8097</v>
      </c>
      <c r="Q1574" s="36" t="s">
        <v>8098</v>
      </c>
      <c r="R1574" s="36" t="s">
        <v>58</v>
      </c>
      <c r="S1574" s="36" t="s">
        <v>8099</v>
      </c>
      <c r="T1574" s="42" t="s">
        <v>8100</v>
      </c>
      <c r="U1574" s="38" t="str">
        <f>HYPERLINK("https://www.ncbi.nlm.nih.gov/pubmed/24628827","PubMed")</f>
        <v>PubMed</v>
      </c>
      <c r="V1574" s="50"/>
      <c r="W1574" s="49"/>
      <c r="X1574" s="49"/>
      <c r="Y1574" s="35"/>
      <c r="Z1574" s="35"/>
      <c r="AA1574" s="35"/>
      <c r="AB1574" s="35"/>
      <c r="AC1574" s="35"/>
      <c r="AD1574" s="35"/>
      <c r="AE1574" s="35"/>
      <c r="AF1574" s="35"/>
      <c r="AG1574" s="35"/>
      <c r="AH1574" s="35"/>
      <c r="AI1574" s="35"/>
      <c r="AJ1574" s="35"/>
      <c r="AK1574" s="35"/>
      <c r="AL1574" s="35"/>
    </row>
    <row r="1575">
      <c r="A1575" s="18"/>
      <c r="B1575" s="19" t="s">
        <v>7033</v>
      </c>
      <c r="C1575" s="20" t="s">
        <v>8060</v>
      </c>
      <c r="D1575" s="21"/>
      <c r="E1575" s="22" t="s">
        <v>8101</v>
      </c>
      <c r="F1575" s="22" t="s">
        <v>1617</v>
      </c>
      <c r="G1575" s="23">
        <v>1999.0</v>
      </c>
      <c r="H1575" s="22" t="s">
        <v>8102</v>
      </c>
      <c r="I1575" s="24" t="s">
        <v>8103</v>
      </c>
      <c r="J1575" s="22" t="s">
        <v>8104</v>
      </c>
      <c r="K1575" s="22" t="s">
        <v>8105</v>
      </c>
      <c r="L1575" s="36" t="s">
        <v>8106</v>
      </c>
      <c r="M1575" s="36" t="s">
        <v>8107</v>
      </c>
      <c r="N1575" s="36"/>
      <c r="O1575" s="36"/>
      <c r="P1575" s="37" t="s">
        <v>8108</v>
      </c>
      <c r="Q1575" s="36"/>
      <c r="R1575" s="36"/>
      <c r="S1575" s="36" t="s">
        <v>8109</v>
      </c>
      <c r="T1575" s="28" t="s">
        <v>8110</v>
      </c>
      <c r="U1575" s="38" t="str">
        <f>HYPERLINK("https://www.sciencedirect.com/science/article/pii/S0958259299905278#!","ScienceDirect")</f>
        <v>ScienceDirect</v>
      </c>
      <c r="V1575" s="50"/>
      <c r="W1575" s="49"/>
      <c r="X1575" s="49"/>
      <c r="Y1575" s="35"/>
      <c r="Z1575" s="35"/>
      <c r="AA1575" s="35"/>
      <c r="AB1575" s="35"/>
      <c r="AC1575" s="35"/>
      <c r="AD1575" s="35"/>
      <c r="AE1575" s="35"/>
      <c r="AF1575" s="35"/>
      <c r="AG1575" s="35"/>
      <c r="AH1575" s="35"/>
      <c r="AI1575" s="35"/>
      <c r="AJ1575" s="35"/>
      <c r="AK1575" s="35"/>
      <c r="AL1575" s="35"/>
    </row>
    <row r="1576">
      <c r="A1576" s="18"/>
      <c r="B1576" s="19" t="s">
        <v>7033</v>
      </c>
      <c r="C1576" s="20" t="s">
        <v>8111</v>
      </c>
      <c r="D1576" s="21"/>
      <c r="E1576" s="22" t="s">
        <v>3572</v>
      </c>
      <c r="F1576" s="22" t="s">
        <v>3458</v>
      </c>
      <c r="G1576" s="23">
        <v>2023.0</v>
      </c>
      <c r="H1576" s="22" t="s">
        <v>8112</v>
      </c>
      <c r="I1576" s="24" t="s">
        <v>8113</v>
      </c>
      <c r="J1576" s="22" t="s">
        <v>8114</v>
      </c>
      <c r="K1576" s="22"/>
      <c r="L1576" s="36" t="s">
        <v>8115</v>
      </c>
      <c r="M1576" s="36"/>
      <c r="N1576" s="36"/>
      <c r="O1576" s="36"/>
      <c r="P1576" s="37"/>
      <c r="Q1576" s="36"/>
      <c r="R1576" s="36"/>
      <c r="S1576" s="36"/>
      <c r="T1576" s="28" t="s">
        <v>8116</v>
      </c>
      <c r="U1576" s="38" t="s">
        <v>61</v>
      </c>
      <c r="V1576" s="50"/>
      <c r="W1576" s="49"/>
      <c r="X1576" s="49"/>
      <c r="Y1576" s="35"/>
      <c r="Z1576" s="35"/>
      <c r="AA1576" s="35"/>
      <c r="AB1576" s="35"/>
      <c r="AC1576" s="35"/>
      <c r="AD1576" s="35"/>
      <c r="AE1576" s="35"/>
      <c r="AF1576" s="35"/>
      <c r="AG1576" s="35"/>
      <c r="AH1576" s="35"/>
      <c r="AI1576" s="35"/>
      <c r="AJ1576" s="35"/>
      <c r="AK1576" s="35"/>
      <c r="AL1576" s="35"/>
    </row>
    <row r="1577">
      <c r="A1577" s="18"/>
      <c r="B1577" s="19" t="s">
        <v>7033</v>
      </c>
      <c r="C1577" s="20" t="s">
        <v>8117</v>
      </c>
      <c r="D1577" s="21"/>
      <c r="E1577" s="22" t="s">
        <v>626</v>
      </c>
      <c r="F1577" s="22" t="s">
        <v>4999</v>
      </c>
      <c r="G1577" s="23">
        <v>2024.0</v>
      </c>
      <c r="H1577" s="22" t="s">
        <v>5489</v>
      </c>
      <c r="I1577" s="24" t="s">
        <v>8118</v>
      </c>
      <c r="J1577" s="22" t="s">
        <v>8119</v>
      </c>
      <c r="K1577" s="22"/>
      <c r="L1577" s="185" t="s">
        <v>8120</v>
      </c>
      <c r="U1577" s="38" t="s">
        <v>61</v>
      </c>
      <c r="V1577" s="50"/>
      <c r="W1577" s="49"/>
      <c r="X1577" s="49"/>
      <c r="Y1577" s="35"/>
      <c r="Z1577" s="35"/>
      <c r="AA1577" s="35"/>
      <c r="AB1577" s="35"/>
      <c r="AC1577" s="35"/>
      <c r="AD1577" s="35"/>
      <c r="AE1577" s="35"/>
      <c r="AF1577" s="35"/>
      <c r="AG1577" s="35"/>
      <c r="AH1577" s="35"/>
      <c r="AI1577" s="35"/>
      <c r="AJ1577" s="35"/>
      <c r="AK1577" s="35"/>
      <c r="AL1577" s="35"/>
    </row>
    <row r="1578">
      <c r="A1578" s="18"/>
      <c r="B1578" s="19" t="s">
        <v>7033</v>
      </c>
      <c r="C1578" s="20" t="s">
        <v>8121</v>
      </c>
      <c r="D1578" s="21"/>
      <c r="E1578" s="22" t="s">
        <v>467</v>
      </c>
      <c r="F1578" s="22" t="s">
        <v>41</v>
      </c>
      <c r="G1578" s="23">
        <v>2024.0</v>
      </c>
      <c r="H1578" s="22" t="s">
        <v>42</v>
      </c>
      <c r="I1578" s="24" t="s">
        <v>8122</v>
      </c>
      <c r="J1578" s="22" t="s">
        <v>8123</v>
      </c>
      <c r="K1578" s="22" t="s">
        <v>157</v>
      </c>
      <c r="L1578" s="52">
        <v>630.0</v>
      </c>
      <c r="M1578" s="52"/>
      <c r="N1578" s="52"/>
      <c r="O1578" s="52"/>
      <c r="P1578" s="189"/>
      <c r="Q1578" s="52"/>
      <c r="R1578" s="52"/>
      <c r="S1578" s="52" t="s">
        <v>8124</v>
      </c>
      <c r="T1578" s="41" t="s">
        <v>8125</v>
      </c>
      <c r="U1578" s="38" t="s">
        <v>61</v>
      </c>
      <c r="V1578" s="50"/>
      <c r="W1578" s="49"/>
      <c r="X1578" s="49"/>
      <c r="Y1578" s="35"/>
      <c r="Z1578" s="35"/>
      <c r="AA1578" s="35"/>
      <c r="AB1578" s="35"/>
      <c r="AC1578" s="35"/>
      <c r="AD1578" s="35"/>
      <c r="AE1578" s="35"/>
      <c r="AF1578" s="35"/>
      <c r="AG1578" s="35"/>
      <c r="AH1578" s="35"/>
      <c r="AI1578" s="35"/>
      <c r="AJ1578" s="35"/>
      <c r="AK1578" s="35"/>
      <c r="AL1578" s="35"/>
    </row>
    <row r="1579">
      <c r="A1579" s="18"/>
      <c r="B1579" s="19" t="s">
        <v>7033</v>
      </c>
      <c r="C1579" s="20" t="s">
        <v>8126</v>
      </c>
      <c r="D1579" s="21"/>
      <c r="E1579" s="22" t="s">
        <v>626</v>
      </c>
      <c r="F1579" s="22" t="s">
        <v>8127</v>
      </c>
      <c r="G1579" s="23">
        <v>2020.0</v>
      </c>
      <c r="H1579" s="22" t="s">
        <v>116</v>
      </c>
      <c r="I1579" s="24" t="s">
        <v>8128</v>
      </c>
      <c r="J1579" s="22" t="s">
        <v>8129</v>
      </c>
      <c r="K1579" s="22"/>
      <c r="L1579" s="36">
        <v>640.0</v>
      </c>
      <c r="M1579" s="36"/>
      <c r="N1579" s="36"/>
      <c r="O1579" s="36"/>
      <c r="P1579" s="37"/>
      <c r="Q1579" s="36"/>
      <c r="R1579" s="36"/>
      <c r="S1579" s="36"/>
      <c r="T1579" s="28" t="s">
        <v>8130</v>
      </c>
      <c r="U1579" s="38" t="str">
        <f>HYPERLINK("https://www.ncbi.nlm.nih.gov/pubmed/32359024","PubMed")</f>
        <v>PubMed</v>
      </c>
      <c r="V1579" s="50"/>
      <c r="W1579" s="49"/>
      <c r="X1579" s="49"/>
      <c r="Y1579" s="35"/>
      <c r="Z1579" s="35"/>
      <c r="AA1579" s="35"/>
      <c r="AB1579" s="35"/>
      <c r="AC1579" s="35"/>
      <c r="AD1579" s="35"/>
      <c r="AE1579" s="35"/>
      <c r="AF1579" s="35"/>
      <c r="AG1579" s="35"/>
      <c r="AH1579" s="35"/>
      <c r="AI1579" s="35"/>
      <c r="AJ1579" s="35"/>
      <c r="AK1579" s="35"/>
      <c r="AL1579" s="35"/>
    </row>
    <row r="1580">
      <c r="A1580" s="18"/>
      <c r="B1580" s="19" t="s">
        <v>7033</v>
      </c>
      <c r="C1580" s="20" t="s">
        <v>8131</v>
      </c>
      <c r="D1580" s="21"/>
      <c r="E1580" s="22" t="s">
        <v>8132</v>
      </c>
      <c r="F1580" s="22" t="s">
        <v>5340</v>
      </c>
      <c r="G1580" s="23">
        <v>2023.0</v>
      </c>
      <c r="H1580" s="22" t="s">
        <v>7308</v>
      </c>
      <c r="I1580" s="24" t="s">
        <v>8133</v>
      </c>
      <c r="J1580" s="22" t="s">
        <v>8134</v>
      </c>
      <c r="K1580" s="22"/>
      <c r="L1580" s="36" t="s">
        <v>8135</v>
      </c>
      <c r="M1580" s="36" t="s">
        <v>58</v>
      </c>
      <c r="N1580" s="36" t="s">
        <v>58</v>
      </c>
      <c r="O1580" s="36" t="s">
        <v>58</v>
      </c>
      <c r="P1580" s="37" t="s">
        <v>58</v>
      </c>
      <c r="Q1580" s="36" t="s">
        <v>58</v>
      </c>
      <c r="R1580" s="36" t="s">
        <v>58</v>
      </c>
      <c r="S1580" s="36" t="s">
        <v>8136</v>
      </c>
      <c r="T1580" s="28" t="s">
        <v>8137</v>
      </c>
      <c r="U1580" s="38" t="s">
        <v>61</v>
      </c>
      <c r="V1580" s="30" t="s">
        <v>8138</v>
      </c>
      <c r="W1580" s="49"/>
      <c r="X1580" s="49"/>
      <c r="Y1580" s="35"/>
      <c r="Z1580" s="35"/>
      <c r="AA1580" s="35"/>
      <c r="AB1580" s="35"/>
      <c r="AC1580" s="35"/>
      <c r="AD1580" s="35"/>
      <c r="AE1580" s="35"/>
      <c r="AF1580" s="35"/>
      <c r="AG1580" s="35"/>
      <c r="AH1580" s="35"/>
      <c r="AI1580" s="35"/>
      <c r="AJ1580" s="35"/>
      <c r="AK1580" s="35"/>
      <c r="AL1580" s="35"/>
    </row>
    <row r="1581">
      <c r="A1581" s="40"/>
      <c r="B1581" s="19" t="s">
        <v>7033</v>
      </c>
      <c r="C1581" s="20" t="s">
        <v>8131</v>
      </c>
      <c r="D1581" s="47"/>
      <c r="E1581" s="22" t="s">
        <v>8139</v>
      </c>
      <c r="F1581" s="22" t="s">
        <v>8140</v>
      </c>
      <c r="G1581" s="23">
        <v>2019.0</v>
      </c>
      <c r="H1581" s="22" t="s">
        <v>8141</v>
      </c>
      <c r="I1581" s="24" t="s">
        <v>8142</v>
      </c>
      <c r="J1581" s="22" t="s">
        <v>125</v>
      </c>
      <c r="K1581" s="22"/>
      <c r="L1581" s="241" t="s">
        <v>8143</v>
      </c>
      <c r="M1581" s="44"/>
      <c r="N1581" s="44"/>
      <c r="O1581" s="44"/>
      <c r="P1581" s="44"/>
      <c r="Q1581" s="44"/>
      <c r="R1581" s="44"/>
      <c r="S1581" s="44"/>
      <c r="T1581" s="45"/>
      <c r="U1581" s="38" t="str">
        <f>HYPERLINK("https://www.ncbi.nlm.nih.gov/pubmed/31575297","PubMed")</f>
        <v>PubMed</v>
      </c>
      <c r="V1581" s="50"/>
      <c r="W1581" s="49"/>
      <c r="X1581" s="49"/>
      <c r="Y1581" s="35"/>
      <c r="Z1581" s="35"/>
      <c r="AA1581" s="35"/>
      <c r="AB1581" s="35"/>
      <c r="AC1581" s="35"/>
      <c r="AD1581" s="35"/>
      <c r="AE1581" s="35"/>
      <c r="AF1581" s="35"/>
      <c r="AG1581" s="35"/>
      <c r="AH1581" s="35"/>
      <c r="AI1581" s="35"/>
      <c r="AJ1581" s="35"/>
      <c r="AK1581" s="35"/>
      <c r="AL1581" s="35"/>
    </row>
    <row r="1582">
      <c r="A1582" s="40"/>
      <c r="B1582" s="19" t="s">
        <v>7033</v>
      </c>
      <c r="C1582" s="20" t="s">
        <v>8131</v>
      </c>
      <c r="D1582" s="47"/>
      <c r="E1582" s="22" t="s">
        <v>6887</v>
      </c>
      <c r="F1582" s="22" t="s">
        <v>1773</v>
      </c>
      <c r="G1582" s="23">
        <v>2017.0</v>
      </c>
      <c r="H1582" s="22" t="s">
        <v>7267</v>
      </c>
      <c r="I1582" s="24" t="s">
        <v>8144</v>
      </c>
      <c r="J1582" s="22" t="s">
        <v>649</v>
      </c>
      <c r="K1582" s="22" t="s">
        <v>157</v>
      </c>
      <c r="L1582" s="195" t="s">
        <v>8145</v>
      </c>
      <c r="M1582" s="44"/>
      <c r="N1582" s="44"/>
      <c r="O1582" s="44"/>
      <c r="P1582" s="44"/>
      <c r="Q1582" s="44"/>
      <c r="R1582" s="44"/>
      <c r="S1582" s="44"/>
      <c r="T1582" s="45"/>
      <c r="U1582" s="38" t="str">
        <f>HYPERLINK("https://www.ncbi.nlm.nih.gov/pubmed/28628685","PubMed")</f>
        <v>PubMed</v>
      </c>
      <c r="V1582" s="50"/>
      <c r="W1582" s="49"/>
      <c r="X1582" s="49"/>
      <c r="Y1582" s="35"/>
      <c r="Z1582" s="35"/>
      <c r="AA1582" s="35"/>
      <c r="AB1582" s="35"/>
      <c r="AC1582" s="35"/>
      <c r="AD1582" s="35"/>
      <c r="AE1582" s="35"/>
      <c r="AF1582" s="35"/>
      <c r="AG1582" s="35"/>
      <c r="AH1582" s="35"/>
      <c r="AI1582" s="35"/>
      <c r="AJ1582" s="35"/>
      <c r="AK1582" s="35"/>
      <c r="AL1582" s="35"/>
    </row>
    <row r="1583">
      <c r="A1583" s="40"/>
      <c r="B1583" s="19" t="s">
        <v>7033</v>
      </c>
      <c r="C1583" s="20" t="s">
        <v>8131</v>
      </c>
      <c r="D1583" s="47"/>
      <c r="E1583" s="22" t="s">
        <v>8146</v>
      </c>
      <c r="F1583" s="22" t="s">
        <v>8147</v>
      </c>
      <c r="G1583" s="23">
        <v>2015.0</v>
      </c>
      <c r="H1583" s="22" t="s">
        <v>7033</v>
      </c>
      <c r="I1583" s="24" t="s">
        <v>8148</v>
      </c>
      <c r="J1583" s="22" t="s">
        <v>8149</v>
      </c>
      <c r="K1583" s="22" t="s">
        <v>8150</v>
      </c>
      <c r="L1583" s="36">
        <v>453.0</v>
      </c>
      <c r="M1583" s="36"/>
      <c r="N1583" s="36" t="s">
        <v>8151</v>
      </c>
      <c r="O1583" s="36"/>
      <c r="P1583" s="37"/>
      <c r="Q1583" s="36"/>
      <c r="R1583" s="36"/>
      <c r="S1583" s="36" t="s">
        <v>8152</v>
      </c>
      <c r="T1583" s="28" t="s">
        <v>8153</v>
      </c>
      <c r="U1583" s="38" t="s">
        <v>61</v>
      </c>
      <c r="V1583" s="50"/>
      <c r="W1583" s="49"/>
      <c r="X1583" s="49"/>
      <c r="Y1583" s="35"/>
      <c r="Z1583" s="35"/>
      <c r="AA1583" s="35"/>
      <c r="AB1583" s="35"/>
      <c r="AC1583" s="35"/>
      <c r="AD1583" s="35"/>
      <c r="AE1583" s="35"/>
      <c r="AF1583" s="35"/>
      <c r="AG1583" s="35"/>
      <c r="AH1583" s="35"/>
      <c r="AI1583" s="35"/>
      <c r="AJ1583" s="35"/>
      <c r="AK1583" s="35"/>
      <c r="AL1583" s="35"/>
    </row>
    <row r="1584">
      <c r="A1584" s="40"/>
      <c r="B1584" s="19" t="s">
        <v>7033</v>
      </c>
      <c r="C1584" s="20" t="s">
        <v>8131</v>
      </c>
      <c r="D1584" s="47"/>
      <c r="E1584" s="22" t="s">
        <v>8154</v>
      </c>
      <c r="F1584" s="22" t="s">
        <v>3473</v>
      </c>
      <c r="G1584" s="23">
        <v>2012.0</v>
      </c>
      <c r="H1584" s="22" t="s">
        <v>8086</v>
      </c>
      <c r="I1584" s="24" t="s">
        <v>8155</v>
      </c>
      <c r="J1584" s="22" t="s">
        <v>8156</v>
      </c>
      <c r="K1584" s="22" t="s">
        <v>8157</v>
      </c>
      <c r="L1584" s="36" t="s">
        <v>8158</v>
      </c>
      <c r="M1584" s="36"/>
      <c r="N1584" s="36" t="s">
        <v>8159</v>
      </c>
      <c r="O1584" s="36"/>
      <c r="P1584" s="37" t="s">
        <v>8160</v>
      </c>
      <c r="Q1584" s="36"/>
      <c r="R1584" s="36" t="s">
        <v>8161</v>
      </c>
      <c r="S1584" s="36" t="s">
        <v>8162</v>
      </c>
      <c r="T1584" s="28" t="s">
        <v>8163</v>
      </c>
      <c r="U1584" s="38" t="str">
        <f>HYPERLINK("https://www.ncbi.nlm.nih.gov/pubmed/21435024","PubMed")</f>
        <v>PubMed</v>
      </c>
      <c r="V1584" s="50"/>
      <c r="W1584" s="49"/>
      <c r="X1584" s="49"/>
      <c r="Y1584" s="35"/>
      <c r="Z1584" s="35"/>
      <c r="AA1584" s="35"/>
      <c r="AB1584" s="35"/>
      <c r="AC1584" s="35"/>
      <c r="AD1584" s="35"/>
      <c r="AE1584" s="35"/>
      <c r="AF1584" s="35"/>
      <c r="AG1584" s="35"/>
      <c r="AH1584" s="35"/>
      <c r="AI1584" s="35"/>
      <c r="AJ1584" s="35"/>
      <c r="AK1584" s="35"/>
      <c r="AL1584" s="35"/>
    </row>
    <row r="1585">
      <c r="A1585" s="40"/>
      <c r="B1585" s="19" t="s">
        <v>7033</v>
      </c>
      <c r="C1585" s="20" t="s">
        <v>8131</v>
      </c>
      <c r="D1585" s="47"/>
      <c r="E1585" s="22" t="s">
        <v>8164</v>
      </c>
      <c r="F1585" s="22" t="s">
        <v>2795</v>
      </c>
      <c r="G1585" s="23">
        <v>2010.0</v>
      </c>
      <c r="H1585" s="22" t="s">
        <v>658</v>
      </c>
      <c r="I1585" s="24" t="s">
        <v>8165</v>
      </c>
      <c r="J1585" s="22" t="s">
        <v>8166</v>
      </c>
      <c r="K1585" s="22" t="s">
        <v>8167</v>
      </c>
      <c r="L1585" s="36" t="s">
        <v>8106</v>
      </c>
      <c r="M1585" s="36"/>
      <c r="N1585" s="36"/>
      <c r="O1585" s="36"/>
      <c r="P1585" s="37" t="s">
        <v>8168</v>
      </c>
      <c r="Q1585" s="36"/>
      <c r="R1585" s="36">
        <v>1200.0</v>
      </c>
      <c r="S1585" s="36" t="s">
        <v>8169</v>
      </c>
      <c r="T1585" s="28" t="s">
        <v>8170</v>
      </c>
      <c r="U1585" s="38" t="str">
        <f>HYPERLINK("https://www.ncbi.nlm.nih.gov/pubmed/19764893","PubMed")</f>
        <v>PubMed</v>
      </c>
      <c r="V1585" s="50"/>
      <c r="W1585" s="49"/>
      <c r="X1585" s="49"/>
      <c r="Y1585" s="35"/>
      <c r="Z1585" s="35"/>
      <c r="AA1585" s="35"/>
      <c r="AB1585" s="35"/>
      <c r="AC1585" s="35"/>
      <c r="AD1585" s="35"/>
      <c r="AE1585" s="35"/>
      <c r="AF1585" s="35"/>
      <c r="AG1585" s="35"/>
      <c r="AH1585" s="35"/>
      <c r="AI1585" s="35"/>
      <c r="AJ1585" s="35"/>
      <c r="AK1585" s="35"/>
      <c r="AL1585" s="35"/>
    </row>
    <row r="1586">
      <c r="A1586" s="18"/>
      <c r="B1586" s="75" t="s">
        <v>7033</v>
      </c>
      <c r="C1586" s="77" t="s">
        <v>8171</v>
      </c>
      <c r="D1586" s="21"/>
      <c r="E1586" s="22" t="s">
        <v>8172</v>
      </c>
      <c r="F1586" s="22" t="s">
        <v>8173</v>
      </c>
      <c r="G1586" s="23">
        <v>2023.0</v>
      </c>
      <c r="H1586" s="22" t="s">
        <v>3944</v>
      </c>
      <c r="I1586" s="24" t="s">
        <v>8174</v>
      </c>
      <c r="J1586" s="22" t="s">
        <v>649</v>
      </c>
      <c r="K1586" s="22"/>
      <c r="L1586" s="196" t="s">
        <v>8175</v>
      </c>
      <c r="U1586" s="38" t="s">
        <v>61</v>
      </c>
      <c r="V1586" s="50"/>
      <c r="W1586" s="49"/>
      <c r="X1586" s="49"/>
      <c r="Y1586" s="35"/>
      <c r="Z1586" s="35"/>
      <c r="AA1586" s="35"/>
      <c r="AB1586" s="35"/>
      <c r="AC1586" s="35"/>
      <c r="AD1586" s="35"/>
      <c r="AE1586" s="35"/>
      <c r="AF1586" s="35"/>
      <c r="AG1586" s="35"/>
      <c r="AH1586" s="35"/>
      <c r="AI1586" s="35"/>
      <c r="AJ1586" s="35"/>
      <c r="AK1586" s="35"/>
      <c r="AL1586" s="35"/>
    </row>
    <row r="1587">
      <c r="A1587" s="18"/>
      <c r="B1587" s="75" t="s">
        <v>7033</v>
      </c>
      <c r="C1587" s="77" t="s">
        <v>8171</v>
      </c>
      <c r="D1587" s="21"/>
      <c r="E1587" s="22" t="s">
        <v>8176</v>
      </c>
      <c r="F1587" s="22" t="s">
        <v>8173</v>
      </c>
      <c r="G1587" s="23">
        <v>2023.0</v>
      </c>
      <c r="H1587" s="22" t="s">
        <v>8177</v>
      </c>
      <c r="I1587" s="24" t="s">
        <v>8178</v>
      </c>
      <c r="J1587" s="22" t="s">
        <v>1078</v>
      </c>
      <c r="K1587" s="22"/>
      <c r="L1587" s="132" t="s">
        <v>8179</v>
      </c>
      <c r="U1587" s="38" t="s">
        <v>61</v>
      </c>
      <c r="V1587" s="50"/>
      <c r="W1587" s="49"/>
      <c r="X1587" s="49"/>
      <c r="Y1587" s="35"/>
      <c r="Z1587" s="35"/>
      <c r="AA1587" s="35"/>
      <c r="AB1587" s="35"/>
      <c r="AC1587" s="35"/>
      <c r="AD1587" s="35"/>
      <c r="AE1587" s="35"/>
      <c r="AF1587" s="35"/>
      <c r="AG1587" s="35"/>
      <c r="AH1587" s="35"/>
      <c r="AI1587" s="35"/>
      <c r="AJ1587" s="35"/>
      <c r="AK1587" s="35"/>
      <c r="AL1587" s="35"/>
    </row>
    <row r="1588">
      <c r="A1588" s="18"/>
      <c r="B1588" s="75" t="s">
        <v>7033</v>
      </c>
      <c r="C1588" s="77" t="s">
        <v>8171</v>
      </c>
      <c r="D1588" s="21"/>
      <c r="E1588" s="22" t="s">
        <v>8172</v>
      </c>
      <c r="F1588" s="22" t="s">
        <v>8173</v>
      </c>
      <c r="G1588" s="23">
        <v>2023.0</v>
      </c>
      <c r="H1588" s="22" t="s">
        <v>8180</v>
      </c>
      <c r="I1588" s="24" t="s">
        <v>8181</v>
      </c>
      <c r="J1588" s="22" t="s">
        <v>8182</v>
      </c>
      <c r="K1588" s="22"/>
      <c r="L1588" s="132" t="s">
        <v>8183</v>
      </c>
      <c r="U1588" s="38" t="s">
        <v>61</v>
      </c>
      <c r="V1588" s="50"/>
      <c r="W1588" s="49"/>
      <c r="X1588" s="49"/>
      <c r="Y1588" s="35"/>
      <c r="Z1588" s="35"/>
      <c r="AA1588" s="35"/>
      <c r="AB1588" s="35"/>
      <c r="AC1588" s="35"/>
      <c r="AD1588" s="35"/>
      <c r="AE1588" s="35"/>
      <c r="AF1588" s="35"/>
      <c r="AG1588" s="35"/>
      <c r="AH1588" s="35"/>
      <c r="AI1588" s="35"/>
      <c r="AJ1588" s="35"/>
      <c r="AK1588" s="35"/>
      <c r="AL1588" s="35"/>
    </row>
    <row r="1589">
      <c r="A1589" s="18"/>
      <c r="B1589" s="75" t="s">
        <v>7033</v>
      </c>
      <c r="C1589" s="77" t="s">
        <v>8171</v>
      </c>
      <c r="D1589" s="21"/>
      <c r="E1589" s="22" t="s">
        <v>8184</v>
      </c>
      <c r="F1589" s="22" t="s">
        <v>41</v>
      </c>
      <c r="G1589" s="23">
        <v>2023.0</v>
      </c>
      <c r="H1589" s="22" t="s">
        <v>8185</v>
      </c>
      <c r="I1589" s="24" t="s">
        <v>8186</v>
      </c>
      <c r="J1589" s="22" t="s">
        <v>55</v>
      </c>
      <c r="K1589" s="22" t="s">
        <v>2319</v>
      </c>
      <c r="L1589" s="36" t="s">
        <v>8187</v>
      </c>
      <c r="M1589" s="36"/>
      <c r="N1589" s="36"/>
      <c r="O1589" s="36"/>
      <c r="P1589" s="37"/>
      <c r="Q1589" s="36"/>
      <c r="R1589" s="36">
        <v>600.0</v>
      </c>
      <c r="S1589" s="36" t="s">
        <v>8188</v>
      </c>
      <c r="T1589" s="28" t="s">
        <v>8189</v>
      </c>
      <c r="U1589" s="38" t="s">
        <v>61</v>
      </c>
      <c r="V1589" s="50"/>
      <c r="W1589" s="49"/>
      <c r="X1589" s="49"/>
      <c r="Y1589" s="35"/>
      <c r="Z1589" s="35"/>
      <c r="AA1589" s="35"/>
      <c r="AB1589" s="35"/>
      <c r="AC1589" s="35"/>
      <c r="AD1589" s="35"/>
      <c r="AE1589" s="35"/>
      <c r="AF1589" s="35"/>
      <c r="AG1589" s="35"/>
      <c r="AH1589" s="35"/>
      <c r="AI1589" s="35"/>
      <c r="AJ1589" s="35"/>
      <c r="AK1589" s="35"/>
      <c r="AL1589" s="35"/>
    </row>
    <row r="1590">
      <c r="A1590" s="18"/>
      <c r="B1590" s="75" t="s">
        <v>7033</v>
      </c>
      <c r="C1590" s="77" t="s">
        <v>8171</v>
      </c>
      <c r="D1590" s="21"/>
      <c r="E1590" s="22" t="s">
        <v>8190</v>
      </c>
      <c r="F1590" s="22" t="s">
        <v>41</v>
      </c>
      <c r="G1590" s="23">
        <v>2022.0</v>
      </c>
      <c r="H1590" s="22" t="s">
        <v>147</v>
      </c>
      <c r="I1590" s="24" t="s">
        <v>8191</v>
      </c>
      <c r="J1590" s="22" t="s">
        <v>649</v>
      </c>
      <c r="K1590" s="22"/>
      <c r="L1590" s="132" t="s">
        <v>8192</v>
      </c>
      <c r="U1590" s="38" t="s">
        <v>61</v>
      </c>
      <c r="V1590" s="50"/>
      <c r="W1590" s="49"/>
      <c r="X1590" s="49"/>
      <c r="Y1590" s="35"/>
      <c r="Z1590" s="35"/>
      <c r="AA1590" s="35"/>
      <c r="AB1590" s="35"/>
      <c r="AC1590" s="35"/>
      <c r="AD1590" s="35"/>
      <c r="AE1590" s="35"/>
      <c r="AF1590" s="35"/>
      <c r="AG1590" s="35"/>
      <c r="AH1590" s="35"/>
      <c r="AI1590" s="35"/>
      <c r="AJ1590" s="35"/>
      <c r="AK1590" s="35"/>
      <c r="AL1590" s="35"/>
    </row>
    <row r="1591">
      <c r="A1591" s="18"/>
      <c r="B1591" s="75" t="s">
        <v>7033</v>
      </c>
      <c r="C1591" s="77" t="s">
        <v>8171</v>
      </c>
      <c r="D1591" s="21"/>
      <c r="E1591" s="22" t="s">
        <v>8193</v>
      </c>
      <c r="F1591" s="22" t="s">
        <v>993</v>
      </c>
      <c r="G1591" s="23">
        <v>2022.0</v>
      </c>
      <c r="H1591" s="22" t="s">
        <v>8194</v>
      </c>
      <c r="I1591" s="24" t="s">
        <v>8195</v>
      </c>
      <c r="J1591" s="22" t="s">
        <v>8196</v>
      </c>
      <c r="K1591" s="22"/>
      <c r="L1591" s="36" t="s">
        <v>1773</v>
      </c>
      <c r="M1591" s="36">
        <v>100.0</v>
      </c>
      <c r="N1591" s="36"/>
      <c r="O1591" s="36">
        <v>2.0</v>
      </c>
      <c r="P1591" s="37"/>
      <c r="Q1591" s="36"/>
      <c r="R1591" s="36"/>
      <c r="S1591" s="36" t="s">
        <v>2099</v>
      </c>
      <c r="T1591" s="28" t="s">
        <v>8197</v>
      </c>
      <c r="U1591" s="29" t="s">
        <v>61</v>
      </c>
      <c r="V1591" s="50"/>
      <c r="W1591" s="49"/>
      <c r="X1591" s="49"/>
      <c r="Y1591" s="35"/>
      <c r="Z1591" s="35"/>
      <c r="AA1591" s="35"/>
      <c r="AB1591" s="35"/>
      <c r="AC1591" s="35"/>
      <c r="AD1591" s="35"/>
      <c r="AE1591" s="35"/>
      <c r="AF1591" s="35"/>
      <c r="AG1591" s="35"/>
      <c r="AH1591" s="35"/>
      <c r="AI1591" s="35"/>
      <c r="AJ1591" s="35"/>
      <c r="AK1591" s="35"/>
      <c r="AL1591" s="35"/>
    </row>
    <row r="1592">
      <c r="A1592" s="18"/>
      <c r="B1592" s="75" t="s">
        <v>7033</v>
      </c>
      <c r="C1592" s="77" t="s">
        <v>8171</v>
      </c>
      <c r="D1592" s="21"/>
      <c r="E1592" s="22" t="s">
        <v>8198</v>
      </c>
      <c r="F1592" s="22" t="s">
        <v>8199</v>
      </c>
      <c r="G1592" s="23">
        <v>2022.0</v>
      </c>
      <c r="H1592" s="22" t="s">
        <v>2483</v>
      </c>
      <c r="I1592" s="24" t="s">
        <v>8200</v>
      </c>
      <c r="J1592" s="22" t="s">
        <v>44</v>
      </c>
      <c r="K1592" s="22" t="s">
        <v>1684</v>
      </c>
      <c r="L1592" s="36" t="s">
        <v>8201</v>
      </c>
      <c r="M1592" s="36"/>
      <c r="N1592" s="36" t="s">
        <v>3587</v>
      </c>
      <c r="O1592" s="36"/>
      <c r="P1592" s="37" t="s">
        <v>287</v>
      </c>
      <c r="Q1592" s="36"/>
      <c r="R1592" s="36"/>
      <c r="S1592" s="36"/>
      <c r="T1592" s="28" t="s">
        <v>8202</v>
      </c>
      <c r="U1592" s="29" t="s">
        <v>2453</v>
      </c>
      <c r="V1592" s="50"/>
      <c r="W1592" s="49"/>
      <c r="X1592" s="49"/>
      <c r="Y1592" s="35"/>
      <c r="Z1592" s="35"/>
      <c r="AA1592" s="35"/>
      <c r="AB1592" s="35"/>
      <c r="AC1592" s="35"/>
      <c r="AD1592" s="35"/>
      <c r="AE1592" s="35"/>
      <c r="AF1592" s="35"/>
      <c r="AG1592" s="35"/>
      <c r="AH1592" s="35"/>
      <c r="AI1592" s="35"/>
      <c r="AJ1592" s="35"/>
      <c r="AK1592" s="35"/>
      <c r="AL1592" s="35"/>
    </row>
    <row r="1593">
      <c r="A1593" s="18"/>
      <c r="B1593" s="19" t="s">
        <v>7033</v>
      </c>
      <c r="C1593" s="20" t="s">
        <v>8171</v>
      </c>
      <c r="D1593" s="21"/>
      <c r="E1593" s="22" t="s">
        <v>8203</v>
      </c>
      <c r="F1593" s="22" t="s">
        <v>8204</v>
      </c>
      <c r="G1593" s="23">
        <v>2021.0</v>
      </c>
      <c r="H1593" s="22" t="s">
        <v>53</v>
      </c>
      <c r="I1593" s="24" t="s">
        <v>8205</v>
      </c>
      <c r="J1593" s="22" t="s">
        <v>8206</v>
      </c>
      <c r="K1593" s="22"/>
      <c r="L1593" s="36" t="s">
        <v>4503</v>
      </c>
      <c r="M1593" s="36"/>
      <c r="N1593" s="36"/>
      <c r="O1593" s="36"/>
      <c r="P1593" s="37"/>
      <c r="Q1593" s="36"/>
      <c r="R1593" s="36"/>
      <c r="S1593" s="36" t="s">
        <v>8207</v>
      </c>
      <c r="T1593" s="42" t="s">
        <v>8208</v>
      </c>
      <c r="U1593" s="29" t="s">
        <v>61</v>
      </c>
      <c r="V1593" s="30" t="s">
        <v>8209</v>
      </c>
      <c r="W1593" s="49"/>
      <c r="X1593" s="49"/>
      <c r="Y1593" s="35"/>
      <c r="Z1593" s="35"/>
      <c r="AA1593" s="35"/>
      <c r="AB1593" s="35"/>
      <c r="AC1593" s="35"/>
      <c r="AD1593" s="35"/>
      <c r="AE1593" s="35"/>
      <c r="AF1593" s="35"/>
      <c r="AG1593" s="35"/>
      <c r="AH1593" s="35"/>
      <c r="AI1593" s="35"/>
      <c r="AJ1593" s="35"/>
      <c r="AK1593" s="35"/>
      <c r="AL1593" s="35"/>
    </row>
    <row r="1594">
      <c r="A1594" s="18"/>
      <c r="B1594" s="19" t="s">
        <v>7033</v>
      </c>
      <c r="C1594" s="20" t="s">
        <v>8171</v>
      </c>
      <c r="D1594" s="21"/>
      <c r="E1594" s="22" t="s">
        <v>8210</v>
      </c>
      <c r="F1594" s="22" t="s">
        <v>8211</v>
      </c>
      <c r="G1594" s="23">
        <v>2021.0</v>
      </c>
      <c r="H1594" s="22" t="s">
        <v>8212</v>
      </c>
      <c r="I1594" s="24" t="s">
        <v>8213</v>
      </c>
      <c r="J1594" s="22" t="s">
        <v>1078</v>
      </c>
      <c r="K1594" s="22"/>
      <c r="L1594" s="167" t="s">
        <v>8214</v>
      </c>
      <c r="M1594" s="44"/>
      <c r="N1594" s="44"/>
      <c r="O1594" s="44"/>
      <c r="P1594" s="44"/>
      <c r="Q1594" s="44"/>
      <c r="R1594" s="44"/>
      <c r="S1594" s="44"/>
      <c r="T1594" s="45"/>
      <c r="U1594" s="29" t="s">
        <v>61</v>
      </c>
      <c r="V1594" s="50"/>
      <c r="W1594" s="49"/>
      <c r="X1594" s="49"/>
      <c r="Y1594" s="35"/>
      <c r="Z1594" s="35"/>
      <c r="AA1594" s="35"/>
      <c r="AB1594" s="35"/>
      <c r="AC1594" s="35"/>
      <c r="AD1594" s="35"/>
      <c r="AE1594" s="35"/>
      <c r="AF1594" s="35"/>
      <c r="AG1594" s="35"/>
      <c r="AH1594" s="35"/>
      <c r="AI1594" s="35"/>
      <c r="AJ1594" s="35"/>
      <c r="AK1594" s="35"/>
      <c r="AL1594" s="35"/>
    </row>
    <row r="1595">
      <c r="A1595" s="18"/>
      <c r="B1595" s="19" t="s">
        <v>7033</v>
      </c>
      <c r="C1595" s="20" t="s">
        <v>8171</v>
      </c>
      <c r="D1595" s="21"/>
      <c r="E1595" s="22" t="s">
        <v>8184</v>
      </c>
      <c r="F1595" s="22" t="s">
        <v>41</v>
      </c>
      <c r="G1595" s="23">
        <v>2021.0</v>
      </c>
      <c r="H1595" s="22" t="s">
        <v>309</v>
      </c>
      <c r="I1595" s="24" t="s">
        <v>8215</v>
      </c>
      <c r="J1595" s="22" t="s">
        <v>55</v>
      </c>
      <c r="K1595" s="22" t="s">
        <v>157</v>
      </c>
      <c r="L1595" s="36">
        <v>660.0</v>
      </c>
      <c r="M1595" s="36"/>
      <c r="N1595" s="36" t="s">
        <v>8216</v>
      </c>
      <c r="O1595" s="36">
        <v>5.0</v>
      </c>
      <c r="P1595" s="37"/>
      <c r="Q1595" s="36"/>
      <c r="R1595" s="36"/>
      <c r="S1595" s="36"/>
      <c r="T1595" s="28" t="s">
        <v>8217</v>
      </c>
      <c r="U1595" s="29" t="s">
        <v>61</v>
      </c>
      <c r="V1595" s="50"/>
      <c r="W1595" s="49"/>
      <c r="X1595" s="49"/>
      <c r="Y1595" s="35"/>
      <c r="Z1595" s="35"/>
      <c r="AA1595" s="35"/>
      <c r="AB1595" s="35"/>
      <c r="AC1595" s="35"/>
      <c r="AD1595" s="35"/>
      <c r="AE1595" s="35"/>
      <c r="AF1595" s="35"/>
      <c r="AG1595" s="35"/>
      <c r="AH1595" s="35"/>
      <c r="AI1595" s="35"/>
      <c r="AJ1595" s="35"/>
      <c r="AK1595" s="35"/>
      <c r="AL1595" s="35"/>
    </row>
    <row r="1596">
      <c r="A1596" s="18"/>
      <c r="B1596" s="19" t="s">
        <v>7033</v>
      </c>
      <c r="C1596" s="20" t="s">
        <v>8171</v>
      </c>
      <c r="D1596" s="21"/>
      <c r="E1596" s="22" t="s">
        <v>8203</v>
      </c>
      <c r="F1596" s="22" t="s">
        <v>8204</v>
      </c>
      <c r="G1596" s="23">
        <v>2021.0</v>
      </c>
      <c r="H1596" s="22" t="s">
        <v>8218</v>
      </c>
      <c r="I1596" s="24" t="s">
        <v>8219</v>
      </c>
      <c r="J1596" s="22" t="s">
        <v>8220</v>
      </c>
      <c r="K1596" s="22"/>
      <c r="L1596" s="36" t="s">
        <v>4503</v>
      </c>
      <c r="M1596" s="36"/>
      <c r="N1596" s="36" t="s">
        <v>8221</v>
      </c>
      <c r="O1596" s="36"/>
      <c r="P1596" s="37"/>
      <c r="Q1596" s="36"/>
      <c r="R1596" s="36" t="s">
        <v>8222</v>
      </c>
      <c r="S1596" s="36" t="s">
        <v>8223</v>
      </c>
      <c r="T1596" s="28" t="s">
        <v>8224</v>
      </c>
      <c r="U1596" s="29" t="s">
        <v>61</v>
      </c>
      <c r="V1596" s="50"/>
      <c r="W1596" s="49"/>
      <c r="X1596" s="49"/>
      <c r="Y1596" s="35"/>
      <c r="Z1596" s="35"/>
      <c r="AA1596" s="35"/>
      <c r="AB1596" s="35"/>
      <c r="AC1596" s="35"/>
      <c r="AD1596" s="35"/>
      <c r="AE1596" s="35"/>
      <c r="AF1596" s="35"/>
      <c r="AG1596" s="35"/>
      <c r="AH1596" s="35"/>
      <c r="AI1596" s="35"/>
      <c r="AJ1596" s="35"/>
      <c r="AK1596" s="35"/>
      <c r="AL1596" s="35"/>
    </row>
    <row r="1597">
      <c r="A1597" s="18"/>
      <c r="B1597" s="19" t="s">
        <v>7033</v>
      </c>
      <c r="C1597" s="20" t="s">
        <v>8171</v>
      </c>
      <c r="D1597" s="21"/>
      <c r="E1597" s="22" t="s">
        <v>6140</v>
      </c>
      <c r="F1597" s="22" t="s">
        <v>299</v>
      </c>
      <c r="G1597" s="23">
        <v>2020.0</v>
      </c>
      <c r="H1597" s="22" t="s">
        <v>91</v>
      </c>
      <c r="I1597" s="24" t="s">
        <v>8225</v>
      </c>
      <c r="J1597" s="22" t="s">
        <v>44</v>
      </c>
      <c r="K1597" s="22"/>
      <c r="L1597" s="36" t="s">
        <v>6537</v>
      </c>
      <c r="M1597" s="36"/>
      <c r="N1597" s="36"/>
      <c r="O1597" s="36"/>
      <c r="P1597" s="37"/>
      <c r="Q1597" s="36"/>
      <c r="R1597" s="36"/>
      <c r="S1597" s="36"/>
      <c r="T1597" s="28" t="s">
        <v>8226</v>
      </c>
      <c r="U1597" s="29" t="s">
        <v>61</v>
      </c>
      <c r="V1597" s="50"/>
      <c r="W1597" s="49"/>
      <c r="X1597" s="49"/>
      <c r="Y1597" s="35"/>
      <c r="Z1597" s="35"/>
      <c r="AA1597" s="35"/>
      <c r="AB1597" s="35"/>
      <c r="AC1597" s="35"/>
      <c r="AD1597" s="35"/>
      <c r="AE1597" s="35"/>
      <c r="AF1597" s="35"/>
      <c r="AG1597" s="35"/>
      <c r="AH1597" s="35"/>
      <c r="AI1597" s="35"/>
      <c r="AJ1597" s="35"/>
      <c r="AK1597" s="35"/>
      <c r="AL1597" s="35"/>
    </row>
    <row r="1598">
      <c r="A1598" s="18"/>
      <c r="B1598" s="19" t="s">
        <v>7033</v>
      </c>
      <c r="C1598" s="20" t="s">
        <v>8171</v>
      </c>
      <c r="D1598" s="21"/>
      <c r="E1598" s="22" t="s">
        <v>8203</v>
      </c>
      <c r="F1598" s="22" t="s">
        <v>8204</v>
      </c>
      <c r="G1598" s="23">
        <v>2020.0</v>
      </c>
      <c r="H1598" s="22" t="s">
        <v>77</v>
      </c>
      <c r="I1598" s="24" t="s">
        <v>8227</v>
      </c>
      <c r="J1598" s="22" t="s">
        <v>125</v>
      </c>
      <c r="K1598" s="22"/>
      <c r="L1598" s="105" t="s">
        <v>8228</v>
      </c>
      <c r="M1598" s="44"/>
      <c r="N1598" s="44"/>
      <c r="O1598" s="44"/>
      <c r="P1598" s="44"/>
      <c r="Q1598" s="44"/>
      <c r="R1598" s="44"/>
      <c r="S1598" s="44"/>
      <c r="T1598" s="45"/>
      <c r="U1598" s="29" t="s">
        <v>61</v>
      </c>
      <c r="V1598" s="50"/>
      <c r="W1598" s="49"/>
      <c r="X1598" s="49"/>
      <c r="Y1598" s="35"/>
      <c r="Z1598" s="35"/>
      <c r="AA1598" s="35"/>
      <c r="AB1598" s="35"/>
      <c r="AC1598" s="35"/>
      <c r="AD1598" s="35"/>
      <c r="AE1598" s="35"/>
      <c r="AF1598" s="35"/>
      <c r="AG1598" s="35"/>
      <c r="AH1598" s="35"/>
      <c r="AI1598" s="35"/>
      <c r="AJ1598" s="35"/>
      <c r="AK1598" s="35"/>
      <c r="AL1598" s="35"/>
    </row>
    <row r="1599">
      <c r="A1599" s="18"/>
      <c r="B1599" s="19" t="s">
        <v>7033</v>
      </c>
      <c r="C1599" s="20" t="s">
        <v>8171</v>
      </c>
      <c r="D1599" s="21"/>
      <c r="E1599" s="22" t="s">
        <v>6140</v>
      </c>
      <c r="F1599" s="22" t="s">
        <v>299</v>
      </c>
      <c r="G1599" s="23">
        <v>2019.0</v>
      </c>
      <c r="H1599" s="22" t="s">
        <v>91</v>
      </c>
      <c r="I1599" s="24" t="s">
        <v>8229</v>
      </c>
      <c r="J1599" s="22" t="s">
        <v>8230</v>
      </c>
      <c r="K1599" s="22"/>
      <c r="L1599" s="36" t="s">
        <v>1495</v>
      </c>
      <c r="M1599" s="36"/>
      <c r="N1599" s="36" t="s">
        <v>414</v>
      </c>
      <c r="O1599" s="36"/>
      <c r="P1599" s="37" t="s">
        <v>1028</v>
      </c>
      <c r="Q1599" s="36"/>
      <c r="R1599" s="36">
        <v>660.0</v>
      </c>
      <c r="S1599" s="36" t="s">
        <v>3280</v>
      </c>
      <c r="T1599" s="28" t="s">
        <v>8231</v>
      </c>
      <c r="U1599" s="38" t="str">
        <f>HYPERLINK("https://www.ncbi.nlm.nih.gov/pubmed/31811498","PubMed")</f>
        <v>PubMed</v>
      </c>
      <c r="V1599" s="50"/>
      <c r="W1599" s="49"/>
      <c r="X1599" s="49"/>
      <c r="Y1599" s="35"/>
      <c r="Z1599" s="35"/>
      <c r="AA1599" s="35"/>
      <c r="AB1599" s="35"/>
      <c r="AC1599" s="35"/>
      <c r="AD1599" s="35"/>
      <c r="AE1599" s="35"/>
      <c r="AF1599" s="35"/>
      <c r="AG1599" s="35"/>
      <c r="AH1599" s="35"/>
      <c r="AI1599" s="35"/>
      <c r="AJ1599" s="35"/>
      <c r="AK1599" s="35"/>
      <c r="AL1599" s="35"/>
    </row>
    <row r="1600">
      <c r="A1600" s="18" t="s">
        <v>38</v>
      </c>
      <c r="B1600" s="19" t="s">
        <v>7033</v>
      </c>
      <c r="C1600" s="20" t="s">
        <v>8171</v>
      </c>
      <c r="D1600" s="21"/>
      <c r="E1600" s="22" t="s">
        <v>8190</v>
      </c>
      <c r="F1600" s="22" t="s">
        <v>5425</v>
      </c>
      <c r="G1600" s="23">
        <v>2019.0</v>
      </c>
      <c r="H1600" s="22" t="s">
        <v>77</v>
      </c>
      <c r="I1600" s="24" t="s">
        <v>8232</v>
      </c>
      <c r="J1600" s="22" t="s">
        <v>8233</v>
      </c>
      <c r="K1600" s="22"/>
      <c r="L1600" s="36">
        <v>660.0</v>
      </c>
      <c r="M1600" s="36">
        <v>100.0</v>
      </c>
      <c r="N1600" s="36"/>
      <c r="O1600" s="36"/>
      <c r="P1600" s="37"/>
      <c r="Q1600" s="36"/>
      <c r="R1600" s="36"/>
      <c r="S1600" s="36"/>
      <c r="T1600" s="28" t="s">
        <v>8234</v>
      </c>
      <c r="U1600" s="38" t="str">
        <f>HYPERLINK("https://www.ncbi.nlm.nih.gov/pubmed/31603732","PubMed")</f>
        <v>PubMed</v>
      </c>
      <c r="V1600" s="50"/>
      <c r="W1600" s="49"/>
      <c r="X1600" s="49"/>
      <c r="Y1600" s="35"/>
      <c r="Z1600" s="35"/>
      <c r="AA1600" s="35"/>
      <c r="AB1600" s="35"/>
      <c r="AC1600" s="35"/>
      <c r="AD1600" s="35"/>
      <c r="AE1600" s="35"/>
      <c r="AF1600" s="35"/>
      <c r="AG1600" s="35"/>
      <c r="AH1600" s="35"/>
      <c r="AI1600" s="35"/>
      <c r="AJ1600" s="35"/>
      <c r="AK1600" s="35"/>
      <c r="AL1600" s="35"/>
    </row>
    <row r="1601">
      <c r="A1601" s="1"/>
      <c r="B1601" s="19" t="s">
        <v>7033</v>
      </c>
      <c r="C1601" s="20" t="s">
        <v>8171</v>
      </c>
      <c r="D1601" s="47"/>
      <c r="E1601" s="22" t="s">
        <v>8203</v>
      </c>
      <c r="F1601" s="22" t="s">
        <v>8204</v>
      </c>
      <c r="G1601" s="23">
        <v>2019.0</v>
      </c>
      <c r="H1601" s="22" t="s">
        <v>8235</v>
      </c>
      <c r="I1601" s="24" t="s">
        <v>8236</v>
      </c>
      <c r="J1601" s="22" t="s">
        <v>125</v>
      </c>
      <c r="K1601" s="22"/>
      <c r="L1601" s="105" t="s">
        <v>8237</v>
      </c>
      <c r="M1601" s="44"/>
      <c r="N1601" s="44"/>
      <c r="O1601" s="44"/>
      <c r="P1601" s="44"/>
      <c r="Q1601" s="44"/>
      <c r="R1601" s="44"/>
      <c r="S1601" s="44"/>
      <c r="T1601" s="45"/>
      <c r="U1601" s="38" t="str">
        <f>HYPERLINK("https://www.ncbi.nlm.nih.gov/pubmed/31170115","PubMed")</f>
        <v>PubMed</v>
      </c>
      <c r="V1601" s="30"/>
      <c r="W1601" s="34"/>
      <c r="X1601" s="34"/>
      <c r="Y1601" s="35"/>
      <c r="Z1601" s="35"/>
      <c r="AA1601" s="35"/>
      <c r="AB1601" s="35"/>
      <c r="AC1601" s="35"/>
      <c r="AD1601" s="35"/>
      <c r="AE1601" s="35"/>
      <c r="AF1601" s="35"/>
      <c r="AG1601" s="35"/>
      <c r="AH1601" s="35"/>
      <c r="AI1601" s="35"/>
      <c r="AJ1601" s="35"/>
      <c r="AK1601" s="35"/>
      <c r="AL1601" s="35"/>
    </row>
    <row r="1602">
      <c r="A1602" s="1" t="s">
        <v>181</v>
      </c>
      <c r="B1602" s="19" t="s">
        <v>7033</v>
      </c>
      <c r="C1602" s="20" t="s">
        <v>8171</v>
      </c>
      <c r="D1602" s="47"/>
      <c r="E1602" s="22" t="s">
        <v>2316</v>
      </c>
      <c r="F1602" s="22" t="s">
        <v>1482</v>
      </c>
      <c r="G1602" s="23">
        <v>2018.0</v>
      </c>
      <c r="H1602" s="22" t="s">
        <v>8238</v>
      </c>
      <c r="I1602" s="24" t="s">
        <v>8239</v>
      </c>
      <c r="J1602" s="22" t="s">
        <v>8240</v>
      </c>
      <c r="K1602" s="22"/>
      <c r="L1602" s="36" t="s">
        <v>58</v>
      </c>
      <c r="M1602" s="36" t="s">
        <v>58</v>
      </c>
      <c r="N1602" s="36" t="s">
        <v>58</v>
      </c>
      <c r="O1602" s="36" t="s">
        <v>58</v>
      </c>
      <c r="P1602" s="37" t="s">
        <v>58</v>
      </c>
      <c r="Q1602" s="36" t="s">
        <v>58</v>
      </c>
      <c r="R1602" s="36">
        <v>600.0</v>
      </c>
      <c r="S1602" s="36" t="s">
        <v>8241</v>
      </c>
      <c r="T1602" s="54" t="s">
        <v>8242</v>
      </c>
      <c r="U1602" s="38" t="str">
        <f>HYPERLINK("https://www.ncbi.nlm.nih.gov/pubmed/30419911","PubMed")</f>
        <v>PubMed</v>
      </c>
      <c r="V1602" s="30"/>
      <c r="W1602" s="34"/>
      <c r="X1602" s="34"/>
      <c r="Y1602" s="35"/>
      <c r="Z1602" s="35"/>
      <c r="AA1602" s="35"/>
      <c r="AB1602" s="35"/>
      <c r="AC1602" s="35"/>
      <c r="AD1602" s="35"/>
      <c r="AE1602" s="35"/>
      <c r="AF1602" s="35"/>
      <c r="AG1602" s="35"/>
      <c r="AH1602" s="35"/>
      <c r="AI1602" s="35"/>
      <c r="AJ1602" s="35"/>
      <c r="AK1602" s="35"/>
      <c r="AL1602" s="35"/>
    </row>
    <row r="1603">
      <c r="A1603" s="1"/>
      <c r="B1603" s="19" t="s">
        <v>7033</v>
      </c>
      <c r="C1603" s="20" t="s">
        <v>8171</v>
      </c>
      <c r="D1603" s="47"/>
      <c r="E1603" s="22" t="s">
        <v>8203</v>
      </c>
      <c r="F1603" s="22" t="s">
        <v>8204</v>
      </c>
      <c r="G1603" s="23" t="s">
        <v>2499</v>
      </c>
      <c r="H1603" s="22" t="s">
        <v>8177</v>
      </c>
      <c r="I1603" s="24" t="s">
        <v>8243</v>
      </c>
      <c r="J1603" s="22" t="s">
        <v>8244</v>
      </c>
      <c r="K1603" s="22"/>
      <c r="L1603" s="36" t="s">
        <v>8245</v>
      </c>
      <c r="M1603" s="36">
        <v>3300.0</v>
      </c>
      <c r="N1603" s="36" t="s">
        <v>8221</v>
      </c>
      <c r="O1603" s="36"/>
      <c r="P1603" s="37" t="s">
        <v>254</v>
      </c>
      <c r="Q1603" s="36" t="s">
        <v>8246</v>
      </c>
      <c r="R1603" s="36"/>
      <c r="S1603" s="36" t="s">
        <v>8223</v>
      </c>
      <c r="T1603" s="54" t="s">
        <v>8247</v>
      </c>
      <c r="U1603" s="38" t="str">
        <f>HYPERLINK("https://www.ncbi.nlm.nih.gov/pubmed/30270415","PubMed")</f>
        <v>PubMed</v>
      </c>
      <c r="V1603" s="30"/>
      <c r="W1603" s="34"/>
      <c r="X1603" s="34"/>
      <c r="Y1603" s="35"/>
      <c r="Z1603" s="35"/>
      <c r="AA1603" s="35"/>
      <c r="AB1603" s="35"/>
      <c r="AC1603" s="35"/>
      <c r="AD1603" s="35"/>
      <c r="AE1603" s="35"/>
      <c r="AF1603" s="35"/>
      <c r="AG1603" s="35"/>
      <c r="AH1603" s="35"/>
      <c r="AI1603" s="35"/>
      <c r="AJ1603" s="35"/>
      <c r="AK1603" s="35"/>
      <c r="AL1603" s="35"/>
    </row>
    <row r="1604">
      <c r="A1604" s="1"/>
      <c r="B1604" s="19" t="s">
        <v>7033</v>
      </c>
      <c r="C1604" s="20" t="s">
        <v>8171</v>
      </c>
      <c r="D1604" s="47"/>
      <c r="E1604" s="22" t="s">
        <v>8203</v>
      </c>
      <c r="F1604" s="22" t="s">
        <v>8204</v>
      </c>
      <c r="G1604" s="23">
        <v>2018.0</v>
      </c>
      <c r="H1604" s="22" t="s">
        <v>53</v>
      </c>
      <c r="I1604" s="24" t="s">
        <v>8248</v>
      </c>
      <c r="J1604" s="22" t="s">
        <v>8249</v>
      </c>
      <c r="K1604" s="22"/>
      <c r="L1604" s="36" t="s">
        <v>4503</v>
      </c>
      <c r="M1604" s="36"/>
      <c r="N1604" s="36"/>
      <c r="O1604" s="36"/>
      <c r="P1604" s="37" t="s">
        <v>254</v>
      </c>
      <c r="Q1604" s="36"/>
      <c r="R1604" s="36"/>
      <c r="S1604" s="36" t="s">
        <v>8223</v>
      </c>
      <c r="T1604" s="54" t="s">
        <v>8250</v>
      </c>
      <c r="U1604" s="38" t="str">
        <f>HYPERLINK("https://www.ncbi.nlm.nih.gov/pubmed/29427390","PubMed")</f>
        <v>PubMed</v>
      </c>
      <c r="V1604" s="30"/>
      <c r="W1604" s="34"/>
      <c r="X1604" s="34"/>
      <c r="Y1604" s="35"/>
      <c r="Z1604" s="35"/>
      <c r="AA1604" s="35"/>
      <c r="AB1604" s="35"/>
      <c r="AC1604" s="35"/>
      <c r="AD1604" s="35"/>
      <c r="AE1604" s="35"/>
      <c r="AF1604" s="35"/>
      <c r="AG1604" s="35"/>
      <c r="AH1604" s="35"/>
      <c r="AI1604" s="35"/>
      <c r="AJ1604" s="35"/>
      <c r="AK1604" s="35"/>
      <c r="AL1604" s="35"/>
    </row>
    <row r="1605">
      <c r="A1605" s="1"/>
      <c r="B1605" s="19" t="s">
        <v>7033</v>
      </c>
      <c r="C1605" s="20" t="s">
        <v>8171</v>
      </c>
      <c r="D1605" s="47"/>
      <c r="E1605" s="22" t="s">
        <v>8251</v>
      </c>
      <c r="F1605" s="22" t="s">
        <v>8204</v>
      </c>
      <c r="G1605" s="23">
        <v>2018.0</v>
      </c>
      <c r="H1605" s="22" t="s">
        <v>8252</v>
      </c>
      <c r="I1605" s="24" t="s">
        <v>8253</v>
      </c>
      <c r="J1605" s="22" t="s">
        <v>125</v>
      </c>
      <c r="K1605" s="22"/>
      <c r="L1605" s="43" t="s">
        <v>8254</v>
      </c>
      <c r="M1605" s="44"/>
      <c r="N1605" s="44"/>
      <c r="O1605" s="44"/>
      <c r="P1605" s="44"/>
      <c r="Q1605" s="44"/>
      <c r="R1605" s="44"/>
      <c r="S1605" s="44"/>
      <c r="T1605" s="45"/>
      <c r="U1605" s="38" t="str">
        <f>HYPERLINK("https://doclib.uhasselt.be/dspace/bitstream/1942/25520/1/Robijns_2017_reviewRD.pdf","UHasselt")</f>
        <v>UHasselt</v>
      </c>
      <c r="V1605" s="30"/>
      <c r="W1605" s="34"/>
      <c r="X1605" s="34"/>
      <c r="Y1605" s="35"/>
      <c r="Z1605" s="35"/>
      <c r="AA1605" s="35"/>
      <c r="AB1605" s="35"/>
      <c r="AC1605" s="35"/>
      <c r="AD1605" s="35"/>
      <c r="AE1605" s="35"/>
      <c r="AF1605" s="35"/>
      <c r="AG1605" s="35"/>
      <c r="AH1605" s="35"/>
      <c r="AI1605" s="35"/>
      <c r="AJ1605" s="35"/>
      <c r="AK1605" s="35"/>
      <c r="AL1605" s="35"/>
    </row>
    <row r="1606">
      <c r="A1606" s="1"/>
      <c r="B1606" s="19" t="s">
        <v>7033</v>
      </c>
      <c r="C1606" s="20" t="s">
        <v>8171</v>
      </c>
      <c r="D1606" s="47"/>
      <c r="E1606" s="22" t="s">
        <v>8255</v>
      </c>
      <c r="F1606" s="22" t="s">
        <v>8256</v>
      </c>
      <c r="G1606" s="23">
        <v>2017.0</v>
      </c>
      <c r="H1606" s="22" t="s">
        <v>8257</v>
      </c>
      <c r="I1606" s="24" t="s">
        <v>8258</v>
      </c>
      <c r="J1606" s="22" t="s">
        <v>125</v>
      </c>
      <c r="K1606" s="22"/>
      <c r="L1606" s="43" t="s">
        <v>8259</v>
      </c>
      <c r="M1606" s="44"/>
      <c r="N1606" s="44"/>
      <c r="O1606" s="44"/>
      <c r="P1606" s="44"/>
      <c r="Q1606" s="44"/>
      <c r="R1606" s="44"/>
      <c r="S1606" s="44"/>
      <c r="T1606" s="45"/>
      <c r="U1606" s="38" t="str">
        <f>HYPERLINK("https://www.ncbi.nlm.nih.gov/pubmed/29138594","PubMed")</f>
        <v>PubMed</v>
      </c>
      <c r="V1606" s="30"/>
      <c r="W1606" s="34"/>
      <c r="X1606" s="34"/>
      <c r="Y1606" s="35"/>
      <c r="Z1606" s="35"/>
      <c r="AA1606" s="35"/>
      <c r="AB1606" s="35"/>
      <c r="AC1606" s="35"/>
      <c r="AD1606" s="35"/>
      <c r="AE1606" s="35"/>
      <c r="AF1606" s="35"/>
      <c r="AG1606" s="35"/>
      <c r="AH1606" s="35"/>
      <c r="AI1606" s="35"/>
      <c r="AJ1606" s="35"/>
      <c r="AK1606" s="35"/>
      <c r="AL1606" s="35"/>
    </row>
    <row r="1607">
      <c r="A1607" s="1"/>
      <c r="B1607" s="19" t="s">
        <v>7033</v>
      </c>
      <c r="C1607" s="20" t="s">
        <v>8171</v>
      </c>
      <c r="D1607" s="47"/>
      <c r="E1607" s="22" t="s">
        <v>8260</v>
      </c>
      <c r="F1607" s="22" t="s">
        <v>8261</v>
      </c>
      <c r="G1607" s="23" t="s">
        <v>90</v>
      </c>
      <c r="H1607" s="22" t="s">
        <v>8262</v>
      </c>
      <c r="I1607" s="24" t="s">
        <v>8263</v>
      </c>
      <c r="J1607" s="22" t="s">
        <v>8264</v>
      </c>
      <c r="K1607" s="22" t="s">
        <v>8265</v>
      </c>
      <c r="L1607" s="36" t="s">
        <v>8266</v>
      </c>
      <c r="M1607" s="36" t="s">
        <v>8267</v>
      </c>
      <c r="N1607" s="36" t="s">
        <v>8268</v>
      </c>
      <c r="O1607" s="36"/>
      <c r="P1607" s="37"/>
      <c r="Q1607" s="36"/>
      <c r="R1607" s="36" t="s">
        <v>8269</v>
      </c>
      <c r="S1607" s="36" t="s">
        <v>8270</v>
      </c>
      <c r="T1607" s="28" t="s">
        <v>8271</v>
      </c>
      <c r="U1607" s="38" t="str">
        <f>HYPERLINK("https://www.ncbi.nlm.nih.gov/pubmed/28243723","PubMed")</f>
        <v>PubMed</v>
      </c>
      <c r="V1607" s="30"/>
      <c r="W1607" s="34"/>
      <c r="X1607" s="34"/>
      <c r="Y1607" s="35"/>
      <c r="Z1607" s="35"/>
      <c r="AA1607" s="35"/>
      <c r="AB1607" s="35"/>
      <c r="AC1607" s="35"/>
      <c r="AD1607" s="35"/>
      <c r="AE1607" s="35"/>
      <c r="AF1607" s="35"/>
      <c r="AG1607" s="35"/>
      <c r="AH1607" s="35"/>
      <c r="AI1607" s="35"/>
      <c r="AJ1607" s="35"/>
      <c r="AK1607" s="35"/>
      <c r="AL1607" s="35"/>
    </row>
    <row r="1608">
      <c r="A1608" s="1"/>
      <c r="B1608" s="19" t="s">
        <v>7033</v>
      </c>
      <c r="C1608" s="20" t="s">
        <v>8171</v>
      </c>
      <c r="D1608" s="47"/>
      <c r="E1608" s="22" t="s">
        <v>8272</v>
      </c>
      <c r="F1608" s="22" t="s">
        <v>8204</v>
      </c>
      <c r="G1608" s="23">
        <v>2016.0</v>
      </c>
      <c r="H1608" s="22" t="s">
        <v>8177</v>
      </c>
      <c r="I1608" s="24" t="s">
        <v>8273</v>
      </c>
      <c r="J1608" s="22" t="s">
        <v>8274</v>
      </c>
      <c r="K1608" s="22" t="s">
        <v>8275</v>
      </c>
      <c r="L1608" s="36" t="s">
        <v>8276</v>
      </c>
      <c r="M1608" s="36"/>
      <c r="N1608" s="36" t="s">
        <v>8221</v>
      </c>
      <c r="O1608" s="36"/>
      <c r="P1608" s="37" t="s">
        <v>254</v>
      </c>
      <c r="Q1608" s="36" t="s">
        <v>8277</v>
      </c>
      <c r="R1608" s="36"/>
      <c r="S1608" s="36" t="s">
        <v>4387</v>
      </c>
      <c r="T1608" s="28" t="s">
        <v>8278</v>
      </c>
      <c r="U1608" s="38" t="str">
        <f>HYPERLINK("https://www.ncbi.nlm.nih.gov/pubmed/27116013","PubMed")</f>
        <v>PubMed</v>
      </c>
      <c r="V1608" s="30"/>
      <c r="W1608" s="34"/>
      <c r="X1608" s="34"/>
      <c r="Y1608" s="35"/>
      <c r="Z1608" s="35"/>
      <c r="AA1608" s="35"/>
      <c r="AB1608" s="35"/>
      <c r="AC1608" s="35"/>
      <c r="AD1608" s="35"/>
      <c r="AE1608" s="35"/>
      <c r="AF1608" s="35"/>
      <c r="AG1608" s="35"/>
      <c r="AH1608" s="35"/>
      <c r="AI1608" s="35"/>
      <c r="AJ1608" s="35"/>
      <c r="AK1608" s="35"/>
      <c r="AL1608" s="35"/>
    </row>
    <row r="1609">
      <c r="A1609" s="1"/>
      <c r="B1609" s="19" t="s">
        <v>7033</v>
      </c>
      <c r="C1609" s="20" t="s">
        <v>8171</v>
      </c>
      <c r="D1609" s="47"/>
      <c r="E1609" s="22" t="s">
        <v>7880</v>
      </c>
      <c r="F1609" s="22" t="s">
        <v>8279</v>
      </c>
      <c r="G1609" s="23">
        <v>2014.0</v>
      </c>
      <c r="H1609" s="22" t="s">
        <v>2863</v>
      </c>
      <c r="I1609" s="24" t="s">
        <v>8280</v>
      </c>
      <c r="J1609" s="22" t="s">
        <v>2141</v>
      </c>
      <c r="K1609" s="22"/>
      <c r="L1609" s="36"/>
      <c r="M1609" s="36"/>
      <c r="N1609" s="36"/>
      <c r="O1609" s="36"/>
      <c r="P1609" s="37"/>
      <c r="Q1609" s="36"/>
      <c r="R1609" s="36"/>
      <c r="S1609" s="36"/>
      <c r="T1609" s="185" t="s">
        <v>8281</v>
      </c>
      <c r="U1609" s="38" t="str">
        <f>HYPERLINK("https://www.ncbi.nlm.nih.gov/pubmed/25141962","PubMed")</f>
        <v>PubMed</v>
      </c>
      <c r="V1609" s="30"/>
      <c r="W1609" s="49"/>
      <c r="X1609" s="49"/>
      <c r="Y1609" s="35"/>
      <c r="Z1609" s="35"/>
      <c r="AA1609" s="35"/>
      <c r="AB1609" s="35"/>
      <c r="AC1609" s="35"/>
      <c r="AD1609" s="35"/>
      <c r="AE1609" s="35"/>
      <c r="AF1609" s="35"/>
      <c r="AG1609" s="35"/>
      <c r="AH1609" s="35"/>
      <c r="AI1609" s="35"/>
      <c r="AJ1609" s="35"/>
      <c r="AK1609" s="35"/>
      <c r="AL1609" s="35"/>
    </row>
    <row r="1610">
      <c r="A1610" s="1"/>
      <c r="B1610" s="19" t="s">
        <v>7033</v>
      </c>
      <c r="C1610" s="20" t="s">
        <v>8171</v>
      </c>
      <c r="D1610" s="47"/>
      <c r="E1610" s="22" t="s">
        <v>8282</v>
      </c>
      <c r="F1610" s="22" t="s">
        <v>5752</v>
      </c>
      <c r="G1610" s="23">
        <v>2010.0</v>
      </c>
      <c r="H1610" s="22" t="s">
        <v>5489</v>
      </c>
      <c r="I1610" s="24" t="s">
        <v>8283</v>
      </c>
      <c r="J1610" s="22" t="s">
        <v>8284</v>
      </c>
      <c r="K1610" s="22" t="s">
        <v>157</v>
      </c>
      <c r="L1610" s="36">
        <v>590.0</v>
      </c>
      <c r="M1610" s="36"/>
      <c r="N1610" s="36"/>
      <c r="O1610" s="36"/>
      <c r="P1610" s="37"/>
      <c r="Q1610" s="36"/>
      <c r="R1610" s="36">
        <v>35.0</v>
      </c>
      <c r="S1610" s="36" t="s">
        <v>8285</v>
      </c>
      <c r="T1610" s="41" t="s">
        <v>8286</v>
      </c>
      <c r="U1610" s="38" t="str">
        <f>HYPERLINK("https://www.ncbi.nlm.nih.gov/pubmed/21070458","PubMed")</f>
        <v>PubMed</v>
      </c>
      <c r="V1610" s="30" t="s">
        <v>8287</v>
      </c>
      <c r="W1610" s="130" t="str">
        <f>HYPERLINK("https://www.ncbi.nlm.nih.gov/pubmed/21605258","Letter")</f>
        <v>Letter</v>
      </c>
      <c r="X1610" s="130" t="str">
        <f>HYPERLINK("http://onlinelibrary.wiley.com/doi/10.1111/j.1524-4725.2010.01802.x/full","Commentary")</f>
        <v>Commentary</v>
      </c>
      <c r="Y1610" s="35"/>
      <c r="Z1610" s="35"/>
      <c r="AA1610" s="35"/>
      <c r="AB1610" s="35"/>
      <c r="AC1610" s="35"/>
      <c r="AD1610" s="35"/>
      <c r="AE1610" s="35"/>
      <c r="AF1610" s="35"/>
      <c r="AG1610" s="35"/>
      <c r="AH1610" s="35"/>
      <c r="AI1610" s="35"/>
      <c r="AJ1610" s="35"/>
      <c r="AK1610" s="35"/>
      <c r="AL1610" s="35"/>
    </row>
    <row r="1611">
      <c r="A1611" s="1"/>
      <c r="B1611" s="19" t="s">
        <v>7033</v>
      </c>
      <c r="C1611" s="20" t="s">
        <v>8171</v>
      </c>
      <c r="D1611" s="47"/>
      <c r="E1611" s="22" t="s">
        <v>8288</v>
      </c>
      <c r="F1611" s="22" t="s">
        <v>8289</v>
      </c>
      <c r="G1611" s="23">
        <v>2007.0</v>
      </c>
      <c r="H1611" s="22" t="s">
        <v>53</v>
      </c>
      <c r="I1611" s="24" t="s">
        <v>8290</v>
      </c>
      <c r="J1611" s="22" t="s">
        <v>8291</v>
      </c>
      <c r="K1611" s="22" t="s">
        <v>157</v>
      </c>
      <c r="L1611" s="36">
        <v>590.0</v>
      </c>
      <c r="M1611" s="36"/>
      <c r="N1611" s="36"/>
      <c r="O1611" s="36"/>
      <c r="P1611" s="37" t="s">
        <v>2922</v>
      </c>
      <c r="Q1611" s="36"/>
      <c r="R1611" s="36"/>
      <c r="S1611" s="36" t="s">
        <v>8292</v>
      </c>
      <c r="T1611" s="98" t="s">
        <v>8293</v>
      </c>
      <c r="U1611" s="38" t="str">
        <f>HYPERLINK("https://www.ncbi.nlm.nih.gov/pubmed/17311276","PubMed")</f>
        <v>PubMed</v>
      </c>
      <c r="V1611" s="30" t="s">
        <v>8287</v>
      </c>
      <c r="W1611" s="49"/>
      <c r="X1611" s="49"/>
      <c r="Y1611" s="35"/>
      <c r="Z1611" s="35"/>
      <c r="AA1611" s="35"/>
      <c r="AB1611" s="35"/>
      <c r="AC1611" s="35"/>
      <c r="AD1611" s="35"/>
      <c r="AE1611" s="35"/>
      <c r="AF1611" s="35"/>
      <c r="AG1611" s="35"/>
      <c r="AH1611" s="35"/>
      <c r="AI1611" s="35"/>
      <c r="AJ1611" s="35"/>
      <c r="AK1611" s="35"/>
      <c r="AL1611" s="35"/>
    </row>
    <row r="1612">
      <c r="A1612" s="1"/>
      <c r="B1612" s="19" t="s">
        <v>7033</v>
      </c>
      <c r="C1612" s="20" t="s">
        <v>8171</v>
      </c>
      <c r="D1612" s="47"/>
      <c r="E1612" s="22" t="s">
        <v>6425</v>
      </c>
      <c r="F1612" s="22" t="s">
        <v>1603</v>
      </c>
      <c r="G1612" s="23">
        <v>1999.0</v>
      </c>
      <c r="H1612" s="22" t="s">
        <v>8294</v>
      </c>
      <c r="I1612" s="24" t="s">
        <v>8295</v>
      </c>
      <c r="J1612" s="22" t="s">
        <v>8296</v>
      </c>
      <c r="K1612" s="22"/>
      <c r="L1612" s="36">
        <v>633.0</v>
      </c>
      <c r="M1612" s="36">
        <v>10.0</v>
      </c>
      <c r="N1612" s="36"/>
      <c r="O1612" s="36"/>
      <c r="P1612" s="37" t="s">
        <v>480</v>
      </c>
      <c r="Q1612" s="36"/>
      <c r="R1612" s="36"/>
      <c r="S1612" s="36" t="s">
        <v>8297</v>
      </c>
      <c r="T1612" s="28" t="s">
        <v>8298</v>
      </c>
      <c r="U1612" s="38" t="str">
        <f>HYPERLINK("https://www.ncbi.nlm.nih.gov/pubmed/10071324","PubMed")</f>
        <v>PubMed</v>
      </c>
      <c r="V1612" s="30"/>
      <c r="W1612" s="49"/>
      <c r="X1612" s="49"/>
      <c r="Y1612" s="35"/>
      <c r="Z1612" s="35"/>
      <c r="AA1612" s="35"/>
      <c r="AB1612" s="35"/>
      <c r="AC1612" s="35"/>
      <c r="AD1612" s="35"/>
      <c r="AE1612" s="35"/>
      <c r="AF1612" s="35"/>
      <c r="AG1612" s="35"/>
      <c r="AH1612" s="35"/>
      <c r="AI1612" s="35"/>
      <c r="AJ1612" s="35"/>
      <c r="AK1612" s="35"/>
      <c r="AL1612" s="35"/>
    </row>
    <row r="1613">
      <c r="A1613" s="1"/>
      <c r="B1613" s="19" t="s">
        <v>7033</v>
      </c>
      <c r="C1613" s="20" t="s">
        <v>8299</v>
      </c>
      <c r="D1613" s="47"/>
      <c r="E1613" s="22" t="s">
        <v>6425</v>
      </c>
      <c r="F1613" s="22" t="s">
        <v>1603</v>
      </c>
      <c r="G1613" s="23">
        <v>2000.0</v>
      </c>
      <c r="H1613" s="22" t="s">
        <v>3292</v>
      </c>
      <c r="I1613" s="24" t="s">
        <v>8300</v>
      </c>
      <c r="J1613" s="22" t="s">
        <v>8301</v>
      </c>
      <c r="K1613" s="22"/>
      <c r="L1613" s="36">
        <v>633.0</v>
      </c>
      <c r="M1613" s="36"/>
      <c r="N1613" s="36" t="s">
        <v>3132</v>
      </c>
      <c r="O1613" s="36"/>
      <c r="P1613" s="37" t="s">
        <v>480</v>
      </c>
      <c r="Q1613" s="36"/>
      <c r="R1613" s="36"/>
      <c r="S1613" s="36" t="s">
        <v>8302</v>
      </c>
      <c r="T1613" s="28" t="s">
        <v>8303</v>
      </c>
      <c r="U1613" s="38" t="str">
        <f>HYPERLINK("https://www.ncbi.nlm.nih.gov/pubmed/10721863","PubMed")</f>
        <v>PubMed</v>
      </c>
      <c r="V1613" s="30"/>
      <c r="W1613" s="49"/>
      <c r="X1613" s="49"/>
      <c r="Y1613" s="35"/>
      <c r="Z1613" s="35"/>
      <c r="AA1613" s="35"/>
      <c r="AB1613" s="35"/>
      <c r="AC1613" s="35"/>
      <c r="AD1613" s="35"/>
      <c r="AE1613" s="35"/>
      <c r="AF1613" s="35"/>
      <c r="AG1613" s="35"/>
      <c r="AH1613" s="35"/>
      <c r="AI1613" s="35"/>
      <c r="AJ1613" s="35"/>
      <c r="AK1613" s="35"/>
      <c r="AL1613" s="35"/>
    </row>
    <row r="1614">
      <c r="A1614" s="1"/>
      <c r="B1614" s="19" t="s">
        <v>7033</v>
      </c>
      <c r="C1614" s="20" t="s">
        <v>8299</v>
      </c>
      <c r="D1614" s="47"/>
      <c r="E1614" s="22" t="s">
        <v>6425</v>
      </c>
      <c r="F1614" s="22" t="s">
        <v>1603</v>
      </c>
      <c r="G1614" s="23">
        <v>1997.0</v>
      </c>
      <c r="H1614" s="22" t="s">
        <v>6426</v>
      </c>
      <c r="I1614" s="24" t="s">
        <v>8304</v>
      </c>
      <c r="J1614" s="22" t="s">
        <v>8305</v>
      </c>
      <c r="K1614" s="22"/>
      <c r="L1614" s="36">
        <v>633.0</v>
      </c>
      <c r="M1614" s="36">
        <v>20.0</v>
      </c>
      <c r="N1614" s="36"/>
      <c r="O1614" s="36"/>
      <c r="P1614" s="37" t="s">
        <v>2659</v>
      </c>
      <c r="Q1614" s="36"/>
      <c r="R1614" s="36"/>
      <c r="S1614" s="36" t="s">
        <v>8306</v>
      </c>
      <c r="T1614" s="28" t="s">
        <v>8307</v>
      </c>
      <c r="U1614" s="38" t="str">
        <f>HYPERLINK("https://www.ncbi.nlm.nih.gov/pubmed/9415264","PubMed")</f>
        <v>PubMed</v>
      </c>
      <c r="V1614" s="30"/>
      <c r="W1614" s="49"/>
      <c r="X1614" s="49"/>
      <c r="Y1614" s="35"/>
      <c r="Z1614" s="35"/>
      <c r="AA1614" s="35"/>
      <c r="AB1614" s="35"/>
      <c r="AC1614" s="35"/>
      <c r="AD1614" s="35"/>
      <c r="AE1614" s="35"/>
      <c r="AF1614" s="35"/>
      <c r="AG1614" s="35"/>
      <c r="AH1614" s="35"/>
      <c r="AI1614" s="35"/>
      <c r="AJ1614" s="35"/>
      <c r="AK1614" s="35"/>
      <c r="AL1614" s="35"/>
    </row>
    <row r="1615">
      <c r="A1615" s="1"/>
      <c r="B1615" s="19" t="s">
        <v>7033</v>
      </c>
      <c r="C1615" s="20" t="s">
        <v>8299</v>
      </c>
      <c r="D1615" s="47"/>
      <c r="E1615" s="22" t="s">
        <v>6425</v>
      </c>
      <c r="F1615" s="22" t="s">
        <v>1603</v>
      </c>
      <c r="G1615" s="23">
        <v>1997.0</v>
      </c>
      <c r="H1615" s="22" t="s">
        <v>7274</v>
      </c>
      <c r="I1615" s="24" t="s">
        <v>8308</v>
      </c>
      <c r="J1615" s="22" t="s">
        <v>8309</v>
      </c>
      <c r="K1615" s="22"/>
      <c r="L1615" s="36">
        <v>633.0</v>
      </c>
      <c r="M1615" s="36"/>
      <c r="N1615" s="36"/>
      <c r="O1615" s="36"/>
      <c r="P1615" s="37" t="s">
        <v>8310</v>
      </c>
      <c r="Q1615" s="36"/>
      <c r="R1615" s="36"/>
      <c r="S1615" s="36" t="s">
        <v>8311</v>
      </c>
      <c r="T1615" s="28" t="s">
        <v>8312</v>
      </c>
      <c r="U1615" s="38" t="str">
        <f>HYPERLINK("https://www.ncbi.nlm.nih.gov/pubmed/9344208","PubMed")</f>
        <v>PubMed</v>
      </c>
      <c r="V1615" s="30"/>
      <c r="W1615" s="49"/>
      <c r="X1615" s="49"/>
      <c r="Y1615" s="35"/>
      <c r="Z1615" s="35"/>
      <c r="AA1615" s="35"/>
      <c r="AB1615" s="35"/>
      <c r="AC1615" s="35"/>
      <c r="AD1615" s="35"/>
      <c r="AE1615" s="35"/>
      <c r="AF1615" s="35"/>
      <c r="AG1615" s="35"/>
      <c r="AH1615" s="35"/>
      <c r="AI1615" s="35"/>
      <c r="AJ1615" s="35"/>
      <c r="AK1615" s="35"/>
      <c r="AL1615" s="35"/>
    </row>
    <row r="1616">
      <c r="A1616" s="1"/>
      <c r="B1616" s="19" t="s">
        <v>7033</v>
      </c>
      <c r="C1616" s="20" t="s">
        <v>2036</v>
      </c>
      <c r="D1616" s="47"/>
      <c r="E1616" s="22" t="s">
        <v>8313</v>
      </c>
      <c r="F1616" s="22" t="s">
        <v>3885</v>
      </c>
      <c r="G1616" s="23">
        <v>2024.0</v>
      </c>
      <c r="H1616" s="22" t="s">
        <v>348</v>
      </c>
      <c r="I1616" s="24" t="s">
        <v>8314</v>
      </c>
      <c r="J1616" s="22" t="s">
        <v>125</v>
      </c>
      <c r="K1616" s="22"/>
      <c r="L1616" s="132" t="s">
        <v>8315</v>
      </c>
      <c r="U1616" s="38" t="s">
        <v>61</v>
      </c>
      <c r="V1616" s="50"/>
      <c r="W1616" s="49"/>
      <c r="X1616" s="49"/>
      <c r="Y1616" s="35"/>
      <c r="Z1616" s="35"/>
      <c r="AA1616" s="35"/>
      <c r="AB1616" s="35"/>
      <c r="AC1616" s="35"/>
      <c r="AD1616" s="35"/>
      <c r="AE1616" s="35"/>
      <c r="AF1616" s="35"/>
      <c r="AG1616" s="35"/>
      <c r="AH1616" s="35"/>
      <c r="AI1616" s="35"/>
      <c r="AJ1616" s="35"/>
      <c r="AK1616" s="35"/>
      <c r="AL1616" s="35"/>
    </row>
    <row r="1617">
      <c r="A1617" s="1"/>
      <c r="B1617" s="19" t="s">
        <v>7033</v>
      </c>
      <c r="C1617" s="20" t="s">
        <v>2036</v>
      </c>
      <c r="D1617" s="47"/>
      <c r="E1617" s="22" t="s">
        <v>8316</v>
      </c>
      <c r="F1617" s="22" t="s">
        <v>4999</v>
      </c>
      <c r="G1617" s="23">
        <v>2024.0</v>
      </c>
      <c r="H1617" s="22" t="s">
        <v>7274</v>
      </c>
      <c r="I1617" s="24" t="s">
        <v>8317</v>
      </c>
      <c r="J1617" s="22" t="s">
        <v>125</v>
      </c>
      <c r="K1617" s="22"/>
      <c r="L1617" s="132" t="s">
        <v>8318</v>
      </c>
      <c r="U1617" s="38" t="s">
        <v>61</v>
      </c>
      <c r="V1617" s="50"/>
      <c r="W1617" s="49"/>
      <c r="X1617" s="49"/>
      <c r="Y1617" s="35"/>
      <c r="Z1617" s="35"/>
      <c r="AA1617" s="35"/>
      <c r="AB1617" s="35"/>
      <c r="AC1617" s="35"/>
      <c r="AD1617" s="35"/>
      <c r="AE1617" s="35"/>
      <c r="AF1617" s="35"/>
      <c r="AG1617" s="35"/>
      <c r="AH1617" s="35"/>
      <c r="AI1617" s="35"/>
      <c r="AJ1617" s="35"/>
      <c r="AK1617" s="35"/>
      <c r="AL1617" s="35"/>
    </row>
    <row r="1618">
      <c r="A1618" s="1"/>
      <c r="B1618" s="19" t="s">
        <v>7033</v>
      </c>
      <c r="C1618" s="20" t="s">
        <v>2036</v>
      </c>
      <c r="D1618" s="47"/>
      <c r="E1618" s="22" t="s">
        <v>8319</v>
      </c>
      <c r="F1618" s="22" t="s">
        <v>8320</v>
      </c>
      <c r="G1618" s="23">
        <v>2024.0</v>
      </c>
      <c r="H1618" s="22" t="s">
        <v>5348</v>
      </c>
      <c r="I1618" s="24" t="s">
        <v>8321</v>
      </c>
      <c r="J1618" s="22" t="s">
        <v>202</v>
      </c>
      <c r="K1618" s="22"/>
      <c r="L1618" s="132" t="s">
        <v>8322</v>
      </c>
      <c r="U1618" s="38" t="s">
        <v>61</v>
      </c>
      <c r="V1618" s="50"/>
      <c r="W1618" s="49"/>
      <c r="X1618" s="49"/>
      <c r="Y1618" s="35"/>
      <c r="Z1618" s="35"/>
      <c r="AA1618" s="35"/>
      <c r="AB1618" s="35"/>
      <c r="AC1618" s="35"/>
      <c r="AD1618" s="35"/>
      <c r="AE1618" s="35"/>
      <c r="AF1618" s="35"/>
      <c r="AG1618" s="35"/>
      <c r="AH1618" s="35"/>
      <c r="AI1618" s="35"/>
      <c r="AJ1618" s="35"/>
      <c r="AK1618" s="35"/>
      <c r="AL1618" s="35"/>
    </row>
    <row r="1619">
      <c r="A1619" s="1"/>
      <c r="B1619" s="19" t="s">
        <v>7033</v>
      </c>
      <c r="C1619" s="20" t="s">
        <v>2036</v>
      </c>
      <c r="D1619" s="47"/>
      <c r="E1619" s="22" t="s">
        <v>8323</v>
      </c>
      <c r="F1619" s="22" t="s">
        <v>8092</v>
      </c>
      <c r="G1619" s="23">
        <v>2023.0</v>
      </c>
      <c r="H1619" s="22" t="s">
        <v>8324</v>
      </c>
      <c r="I1619" s="24" t="s">
        <v>8325</v>
      </c>
      <c r="J1619" s="22" t="s">
        <v>125</v>
      </c>
      <c r="K1619" s="22"/>
      <c r="L1619" s="132" t="s">
        <v>8326</v>
      </c>
      <c r="U1619" s="38" t="s">
        <v>61</v>
      </c>
      <c r="V1619" s="50"/>
      <c r="W1619" s="49"/>
      <c r="X1619" s="49"/>
      <c r="Y1619" s="35"/>
      <c r="Z1619" s="35"/>
      <c r="AA1619" s="35"/>
      <c r="AB1619" s="35"/>
      <c r="AC1619" s="35"/>
      <c r="AD1619" s="35"/>
      <c r="AE1619" s="35"/>
      <c r="AF1619" s="35"/>
      <c r="AG1619" s="35"/>
      <c r="AH1619" s="35"/>
      <c r="AI1619" s="35"/>
      <c r="AJ1619" s="35"/>
      <c r="AK1619" s="35"/>
      <c r="AL1619" s="35"/>
    </row>
    <row r="1620">
      <c r="A1620" s="1"/>
      <c r="B1620" s="19" t="s">
        <v>7033</v>
      </c>
      <c r="C1620" s="20" t="s">
        <v>2036</v>
      </c>
      <c r="D1620" s="47"/>
      <c r="E1620" s="22" t="s">
        <v>8327</v>
      </c>
      <c r="F1620" s="22" t="s">
        <v>8328</v>
      </c>
      <c r="G1620" s="23">
        <v>2023.0</v>
      </c>
      <c r="H1620" s="22" t="s">
        <v>8329</v>
      </c>
      <c r="I1620" s="24" t="s">
        <v>8330</v>
      </c>
      <c r="J1620" s="22" t="s">
        <v>125</v>
      </c>
      <c r="K1620" s="22"/>
      <c r="L1620" s="132" t="s">
        <v>8331</v>
      </c>
      <c r="U1620" s="38" t="s">
        <v>2453</v>
      </c>
      <c r="V1620" s="50"/>
      <c r="W1620" s="49"/>
      <c r="X1620" s="49"/>
      <c r="Y1620" s="35"/>
      <c r="Z1620" s="35"/>
      <c r="AA1620" s="35"/>
      <c r="AB1620" s="35"/>
      <c r="AC1620" s="35"/>
      <c r="AD1620" s="35"/>
      <c r="AE1620" s="35"/>
      <c r="AF1620" s="35"/>
      <c r="AG1620" s="35"/>
      <c r="AH1620" s="35"/>
      <c r="AI1620" s="35"/>
      <c r="AJ1620" s="35"/>
      <c r="AK1620" s="35"/>
      <c r="AL1620" s="35"/>
    </row>
    <row r="1621">
      <c r="A1621" s="1"/>
      <c r="B1621" s="19" t="s">
        <v>7033</v>
      </c>
      <c r="C1621" s="20" t="s">
        <v>2036</v>
      </c>
      <c r="D1621" s="47"/>
      <c r="E1621" s="22" t="s">
        <v>8332</v>
      </c>
      <c r="F1621" s="22" t="s">
        <v>8333</v>
      </c>
      <c r="G1621" s="23">
        <v>2022.0</v>
      </c>
      <c r="H1621" s="22" t="s">
        <v>7093</v>
      </c>
      <c r="I1621" s="24" t="s">
        <v>8334</v>
      </c>
      <c r="J1621" s="22" t="s">
        <v>649</v>
      </c>
      <c r="K1621" s="22"/>
      <c r="L1621" s="105" t="s">
        <v>8335</v>
      </c>
      <c r="M1621" s="44"/>
      <c r="N1621" s="44"/>
      <c r="O1621" s="44"/>
      <c r="P1621" s="44"/>
      <c r="Q1621" s="44"/>
      <c r="R1621" s="44"/>
      <c r="S1621" s="44"/>
      <c r="T1621" s="45"/>
      <c r="U1621" s="38" t="s">
        <v>61</v>
      </c>
      <c r="V1621" s="50"/>
      <c r="W1621" s="49"/>
      <c r="X1621" s="49"/>
      <c r="Y1621" s="35"/>
      <c r="Z1621" s="35"/>
      <c r="AA1621" s="35"/>
      <c r="AB1621" s="35"/>
      <c r="AC1621" s="35"/>
      <c r="AD1621" s="35"/>
      <c r="AE1621" s="35"/>
      <c r="AF1621" s="35"/>
      <c r="AG1621" s="35"/>
      <c r="AH1621" s="35"/>
      <c r="AI1621" s="35"/>
      <c r="AJ1621" s="35"/>
      <c r="AK1621" s="35"/>
      <c r="AL1621" s="35"/>
    </row>
    <row r="1622">
      <c r="A1622" s="1"/>
      <c r="B1622" s="19" t="s">
        <v>7033</v>
      </c>
      <c r="C1622" s="20" t="s">
        <v>2036</v>
      </c>
      <c r="D1622" s="47"/>
      <c r="E1622" s="22" t="s">
        <v>5935</v>
      </c>
      <c r="F1622" s="22" t="s">
        <v>5157</v>
      </c>
      <c r="G1622" s="23">
        <v>2021.0</v>
      </c>
      <c r="H1622" s="22" t="s">
        <v>8336</v>
      </c>
      <c r="I1622" s="24" t="s">
        <v>8337</v>
      </c>
      <c r="J1622" s="22" t="s">
        <v>125</v>
      </c>
      <c r="K1622" s="22"/>
      <c r="L1622" s="105" t="s">
        <v>8338</v>
      </c>
      <c r="M1622" s="44"/>
      <c r="N1622" s="44"/>
      <c r="O1622" s="44"/>
      <c r="P1622" s="44"/>
      <c r="Q1622" s="44"/>
      <c r="R1622" s="44"/>
      <c r="S1622" s="44"/>
      <c r="T1622" s="45"/>
      <c r="U1622" s="29" t="s">
        <v>37</v>
      </c>
      <c r="V1622" s="50"/>
      <c r="W1622" s="49"/>
      <c r="X1622" s="49"/>
      <c r="Y1622" s="35"/>
      <c r="Z1622" s="35"/>
      <c r="AA1622" s="35"/>
      <c r="AB1622" s="35"/>
      <c r="AC1622" s="35"/>
      <c r="AD1622" s="35"/>
      <c r="AE1622" s="35"/>
      <c r="AF1622" s="35"/>
      <c r="AG1622" s="35"/>
      <c r="AH1622" s="35"/>
      <c r="AI1622" s="35"/>
      <c r="AJ1622" s="35"/>
      <c r="AK1622" s="35"/>
      <c r="AL1622" s="35"/>
    </row>
    <row r="1623">
      <c r="A1623" s="1"/>
      <c r="B1623" s="19" t="s">
        <v>7033</v>
      </c>
      <c r="C1623" s="20" t="s">
        <v>2036</v>
      </c>
      <c r="D1623" s="47"/>
      <c r="E1623" s="22" t="s">
        <v>8339</v>
      </c>
      <c r="F1623" s="22" t="s">
        <v>8340</v>
      </c>
      <c r="G1623" s="23">
        <v>2021.0</v>
      </c>
      <c r="H1623" s="22" t="s">
        <v>4975</v>
      </c>
      <c r="I1623" s="24" t="s">
        <v>8341</v>
      </c>
      <c r="J1623" s="22" t="s">
        <v>125</v>
      </c>
      <c r="K1623" s="22" t="s">
        <v>4071</v>
      </c>
      <c r="L1623" s="105" t="s">
        <v>8342</v>
      </c>
      <c r="M1623" s="44"/>
      <c r="N1623" s="44"/>
      <c r="O1623" s="44"/>
      <c r="P1623" s="44"/>
      <c r="Q1623" s="44"/>
      <c r="R1623" s="44"/>
      <c r="S1623" s="44"/>
      <c r="T1623" s="45"/>
      <c r="U1623" s="29" t="s">
        <v>61</v>
      </c>
      <c r="V1623" s="50"/>
      <c r="W1623" s="49"/>
      <c r="X1623" s="49"/>
      <c r="Y1623" s="35"/>
      <c r="Z1623" s="35"/>
      <c r="AA1623" s="35"/>
      <c r="AB1623" s="35"/>
      <c r="AC1623" s="35"/>
      <c r="AD1623" s="35"/>
      <c r="AE1623" s="35"/>
      <c r="AF1623" s="35"/>
      <c r="AG1623" s="35"/>
      <c r="AH1623" s="35"/>
      <c r="AI1623" s="35"/>
      <c r="AJ1623" s="35"/>
      <c r="AK1623" s="35"/>
      <c r="AL1623" s="35"/>
    </row>
    <row r="1624">
      <c r="A1624" s="1"/>
      <c r="B1624" s="19" t="s">
        <v>7033</v>
      </c>
      <c r="C1624" s="20" t="s">
        <v>2036</v>
      </c>
      <c r="D1624" s="47"/>
      <c r="E1624" s="22" t="s">
        <v>8343</v>
      </c>
      <c r="F1624" s="22" t="s">
        <v>5223</v>
      </c>
      <c r="G1624" s="23">
        <v>2021.0</v>
      </c>
      <c r="H1624" s="22" t="s">
        <v>8344</v>
      </c>
      <c r="I1624" s="24" t="s">
        <v>8345</v>
      </c>
      <c r="J1624" s="22" t="s">
        <v>125</v>
      </c>
      <c r="K1624" s="22"/>
      <c r="L1624" s="105" t="s">
        <v>8346</v>
      </c>
      <c r="M1624" s="44"/>
      <c r="N1624" s="44"/>
      <c r="O1624" s="44"/>
      <c r="P1624" s="44"/>
      <c r="Q1624" s="44"/>
      <c r="R1624" s="44"/>
      <c r="S1624" s="44"/>
      <c r="T1624" s="45"/>
      <c r="U1624" s="29" t="s">
        <v>8347</v>
      </c>
      <c r="V1624" s="50"/>
      <c r="W1624" s="49"/>
      <c r="X1624" s="49"/>
      <c r="Y1624" s="35"/>
      <c r="Z1624" s="35"/>
      <c r="AA1624" s="35"/>
      <c r="AB1624" s="35"/>
      <c r="AC1624" s="35"/>
      <c r="AD1624" s="35"/>
      <c r="AE1624" s="35"/>
      <c r="AF1624" s="35"/>
      <c r="AG1624" s="35"/>
      <c r="AH1624" s="35"/>
      <c r="AI1624" s="35"/>
      <c r="AJ1624" s="35"/>
      <c r="AK1624" s="35"/>
      <c r="AL1624" s="35"/>
    </row>
    <row r="1625">
      <c r="A1625" s="1"/>
      <c r="B1625" s="19" t="s">
        <v>7033</v>
      </c>
      <c r="C1625" s="20" t="s">
        <v>2036</v>
      </c>
      <c r="D1625" s="47"/>
      <c r="E1625" s="22" t="s">
        <v>8348</v>
      </c>
      <c r="F1625" s="22" t="s">
        <v>8349</v>
      </c>
      <c r="G1625" s="23">
        <v>2021.0</v>
      </c>
      <c r="H1625" s="22" t="s">
        <v>8350</v>
      </c>
      <c r="I1625" s="24" t="s">
        <v>8351</v>
      </c>
      <c r="J1625" s="22" t="s">
        <v>125</v>
      </c>
      <c r="K1625" s="22"/>
      <c r="L1625" s="105" t="s">
        <v>8352</v>
      </c>
      <c r="M1625" s="44"/>
      <c r="N1625" s="44"/>
      <c r="O1625" s="44"/>
      <c r="P1625" s="44"/>
      <c r="Q1625" s="44"/>
      <c r="R1625" s="44"/>
      <c r="S1625" s="44"/>
      <c r="T1625" s="45"/>
      <c r="U1625" s="29" t="s">
        <v>8353</v>
      </c>
      <c r="V1625" s="50"/>
      <c r="W1625" s="49"/>
      <c r="X1625" s="49"/>
      <c r="Y1625" s="35"/>
      <c r="Z1625" s="35"/>
      <c r="AA1625" s="35"/>
      <c r="AB1625" s="35"/>
      <c r="AC1625" s="35"/>
      <c r="AD1625" s="35"/>
      <c r="AE1625" s="35"/>
      <c r="AF1625" s="35"/>
      <c r="AG1625" s="35"/>
      <c r="AH1625" s="35"/>
      <c r="AI1625" s="35"/>
      <c r="AJ1625" s="35"/>
      <c r="AK1625" s="35"/>
      <c r="AL1625" s="35"/>
    </row>
    <row r="1626">
      <c r="A1626" s="1"/>
      <c r="B1626" s="19" t="s">
        <v>7033</v>
      </c>
      <c r="C1626" s="20" t="s">
        <v>2036</v>
      </c>
      <c r="D1626" s="47"/>
      <c r="E1626" s="22" t="s">
        <v>7614</v>
      </c>
      <c r="F1626" s="22" t="s">
        <v>4999</v>
      </c>
      <c r="G1626" s="23">
        <v>2021.0</v>
      </c>
      <c r="H1626" s="22" t="s">
        <v>7274</v>
      </c>
      <c r="I1626" s="24" t="s">
        <v>8354</v>
      </c>
      <c r="J1626" s="22" t="s">
        <v>125</v>
      </c>
      <c r="K1626" s="22"/>
      <c r="L1626" s="105" t="s">
        <v>8355</v>
      </c>
      <c r="M1626" s="44"/>
      <c r="N1626" s="44"/>
      <c r="O1626" s="44"/>
      <c r="P1626" s="44"/>
      <c r="Q1626" s="44"/>
      <c r="R1626" s="44"/>
      <c r="S1626" s="44"/>
      <c r="T1626" s="45"/>
      <c r="U1626" s="29" t="s">
        <v>61</v>
      </c>
      <c r="V1626" s="50"/>
      <c r="W1626" s="49"/>
      <c r="X1626" s="49"/>
      <c r="Y1626" s="35"/>
      <c r="Z1626" s="35"/>
      <c r="AA1626" s="35"/>
      <c r="AB1626" s="35"/>
      <c r="AC1626" s="35"/>
      <c r="AD1626" s="35"/>
      <c r="AE1626" s="35"/>
      <c r="AF1626" s="35"/>
      <c r="AG1626" s="35"/>
      <c r="AH1626" s="35"/>
      <c r="AI1626" s="35"/>
      <c r="AJ1626" s="35"/>
      <c r="AK1626" s="35"/>
      <c r="AL1626" s="35"/>
    </row>
    <row r="1627">
      <c r="A1627" s="1"/>
      <c r="B1627" s="19" t="s">
        <v>7033</v>
      </c>
      <c r="C1627" s="20" t="s">
        <v>2036</v>
      </c>
      <c r="D1627" s="47"/>
      <c r="E1627" s="22" t="s">
        <v>223</v>
      </c>
      <c r="F1627" s="22" t="s">
        <v>4999</v>
      </c>
      <c r="G1627" s="23">
        <v>2020.0</v>
      </c>
      <c r="H1627" s="22" t="s">
        <v>7267</v>
      </c>
      <c r="I1627" s="24" t="s">
        <v>8356</v>
      </c>
      <c r="J1627" s="22" t="s">
        <v>125</v>
      </c>
      <c r="K1627" s="22"/>
      <c r="L1627" s="43" t="s">
        <v>8357</v>
      </c>
      <c r="M1627" s="44"/>
      <c r="N1627" s="44"/>
      <c r="O1627" s="44"/>
      <c r="P1627" s="44"/>
      <c r="Q1627" s="44"/>
      <c r="R1627" s="44"/>
      <c r="S1627" s="44"/>
      <c r="T1627" s="45"/>
      <c r="U1627" s="38" t="str">
        <f>HYPERLINK("https://www.ncbi.nlm.nih.gov/pubmed/32272511","PubMed")</f>
        <v>PubMed</v>
      </c>
      <c r="V1627" s="50"/>
      <c r="W1627" s="49"/>
      <c r="X1627" s="49"/>
      <c r="Y1627" s="35"/>
      <c r="Z1627" s="35"/>
      <c r="AA1627" s="35"/>
      <c r="AB1627" s="35"/>
      <c r="AC1627" s="35"/>
      <c r="AD1627" s="35"/>
      <c r="AE1627" s="35"/>
      <c r="AF1627" s="35"/>
      <c r="AG1627" s="35"/>
      <c r="AH1627" s="35"/>
      <c r="AI1627" s="35"/>
      <c r="AJ1627" s="35"/>
      <c r="AK1627" s="35"/>
      <c r="AL1627" s="35"/>
    </row>
    <row r="1628">
      <c r="A1628" s="1"/>
      <c r="B1628" s="19" t="s">
        <v>7033</v>
      </c>
      <c r="C1628" s="20" t="s">
        <v>2036</v>
      </c>
      <c r="D1628" s="47"/>
      <c r="E1628" s="22" t="s">
        <v>3300</v>
      </c>
      <c r="F1628" s="22" t="s">
        <v>6963</v>
      </c>
      <c r="G1628" s="23">
        <v>2020.0</v>
      </c>
      <c r="H1628" s="22" t="s">
        <v>8358</v>
      </c>
      <c r="I1628" s="24" t="s">
        <v>8359</v>
      </c>
      <c r="J1628" s="22" t="s">
        <v>125</v>
      </c>
      <c r="K1628" s="22"/>
      <c r="L1628" s="43"/>
      <c r="M1628" s="44"/>
      <c r="N1628" s="44"/>
      <c r="O1628" s="44"/>
      <c r="P1628" s="44"/>
      <c r="Q1628" s="44"/>
      <c r="R1628" s="44"/>
      <c r="S1628" s="44"/>
      <c r="T1628" s="45"/>
      <c r="U1628" s="215"/>
      <c r="V1628" s="30"/>
      <c r="W1628" s="49"/>
      <c r="X1628" s="49"/>
      <c r="Y1628" s="35"/>
      <c r="Z1628" s="35"/>
      <c r="AA1628" s="35"/>
      <c r="AB1628" s="35"/>
      <c r="AC1628" s="35"/>
      <c r="AD1628" s="35"/>
      <c r="AE1628" s="35"/>
      <c r="AF1628" s="35"/>
      <c r="AG1628" s="35"/>
      <c r="AH1628" s="35"/>
      <c r="AI1628" s="35"/>
      <c r="AJ1628" s="35"/>
      <c r="AK1628" s="35"/>
      <c r="AL1628" s="35"/>
    </row>
    <row r="1629">
      <c r="A1629" s="1"/>
      <c r="B1629" s="19" t="s">
        <v>7033</v>
      </c>
      <c r="C1629" s="20" t="s">
        <v>2036</v>
      </c>
      <c r="D1629" s="47"/>
      <c r="E1629" s="22" t="s">
        <v>8360</v>
      </c>
      <c r="F1629" s="22" t="s">
        <v>8361</v>
      </c>
      <c r="G1629" s="23">
        <v>2021.0</v>
      </c>
      <c r="H1629" s="22" t="s">
        <v>136</v>
      </c>
      <c r="I1629" s="24" t="s">
        <v>8362</v>
      </c>
      <c r="J1629" s="22" t="s">
        <v>125</v>
      </c>
      <c r="K1629" s="22"/>
      <c r="L1629" s="105" t="s">
        <v>8363</v>
      </c>
      <c r="M1629" s="44"/>
      <c r="N1629" s="44"/>
      <c r="O1629" s="44"/>
      <c r="P1629" s="44"/>
      <c r="Q1629" s="44"/>
      <c r="R1629" s="44"/>
      <c r="S1629" s="44"/>
      <c r="T1629" s="45"/>
      <c r="U1629" s="29" t="s">
        <v>61</v>
      </c>
      <c r="V1629" s="50"/>
      <c r="W1629" s="49"/>
      <c r="X1629" s="49"/>
      <c r="Y1629" s="35"/>
      <c r="Z1629" s="35"/>
      <c r="AA1629" s="35"/>
      <c r="AB1629" s="35"/>
      <c r="AC1629" s="35"/>
      <c r="AD1629" s="35"/>
      <c r="AE1629" s="35"/>
      <c r="AF1629" s="35"/>
      <c r="AG1629" s="35"/>
      <c r="AH1629" s="35"/>
      <c r="AI1629" s="35"/>
      <c r="AJ1629" s="35"/>
      <c r="AK1629" s="35"/>
      <c r="AL1629" s="35"/>
    </row>
    <row r="1630">
      <c r="A1630" s="1"/>
      <c r="B1630" s="19" t="s">
        <v>7033</v>
      </c>
      <c r="C1630" s="20" t="s">
        <v>2036</v>
      </c>
      <c r="D1630" s="47"/>
      <c r="E1630" s="22" t="s">
        <v>8364</v>
      </c>
      <c r="F1630" s="22" t="s">
        <v>3492</v>
      </c>
      <c r="G1630" s="23">
        <v>2018.0</v>
      </c>
      <c r="H1630" s="22" t="s">
        <v>91</v>
      </c>
      <c r="I1630" s="24" t="s">
        <v>8365</v>
      </c>
      <c r="J1630" s="22" t="s">
        <v>125</v>
      </c>
      <c r="K1630" s="22" t="s">
        <v>157</v>
      </c>
      <c r="L1630" s="43" t="s">
        <v>8366</v>
      </c>
      <c r="M1630" s="44"/>
      <c r="N1630" s="44"/>
      <c r="O1630" s="44"/>
      <c r="P1630" s="44"/>
      <c r="Q1630" s="44"/>
      <c r="R1630" s="44"/>
      <c r="S1630" s="44"/>
      <c r="T1630" s="45"/>
      <c r="U1630" s="38" t="str">
        <f>HYPERLINK("https://www.ncbi.nlm.nih.gov/pubmed/30006754","PubMed")</f>
        <v>PubMed</v>
      </c>
      <c r="V1630" s="30"/>
      <c r="W1630" s="49"/>
      <c r="X1630" s="49"/>
      <c r="Y1630" s="35"/>
      <c r="Z1630" s="35"/>
      <c r="AA1630" s="35"/>
      <c r="AB1630" s="35"/>
      <c r="AC1630" s="35"/>
      <c r="AD1630" s="35"/>
      <c r="AE1630" s="35"/>
      <c r="AF1630" s="35"/>
      <c r="AG1630" s="35"/>
      <c r="AH1630" s="35"/>
      <c r="AI1630" s="35"/>
      <c r="AJ1630" s="35"/>
      <c r="AK1630" s="35"/>
      <c r="AL1630" s="35"/>
    </row>
    <row r="1631">
      <c r="A1631" s="242" t="s">
        <v>38</v>
      </c>
      <c r="B1631" s="19" t="s">
        <v>7033</v>
      </c>
      <c r="C1631" s="20" t="s">
        <v>2036</v>
      </c>
      <c r="D1631" s="47"/>
      <c r="E1631" s="22" t="s">
        <v>8164</v>
      </c>
      <c r="F1631" s="22" t="s">
        <v>8367</v>
      </c>
      <c r="G1631" s="23">
        <v>2018.0</v>
      </c>
      <c r="H1631" s="22" t="s">
        <v>6948</v>
      </c>
      <c r="I1631" s="24" t="s">
        <v>8368</v>
      </c>
      <c r="J1631" s="22" t="s">
        <v>125</v>
      </c>
      <c r="K1631" s="22"/>
      <c r="L1631" s="105" t="s">
        <v>8369</v>
      </c>
      <c r="M1631" s="44"/>
      <c r="N1631" s="44"/>
      <c r="O1631" s="44"/>
      <c r="P1631" s="44"/>
      <c r="Q1631" s="44"/>
      <c r="R1631" s="44"/>
      <c r="S1631" s="44"/>
      <c r="T1631" s="45"/>
      <c r="U1631" s="29" t="s">
        <v>61</v>
      </c>
      <c r="V1631" s="50"/>
      <c r="W1631" s="49"/>
      <c r="X1631" s="49"/>
      <c r="Y1631" s="35"/>
      <c r="Z1631" s="35"/>
      <c r="AA1631" s="35"/>
      <c r="AB1631" s="35"/>
      <c r="AC1631" s="35"/>
      <c r="AD1631" s="35"/>
      <c r="AE1631" s="35"/>
      <c r="AF1631" s="35"/>
      <c r="AG1631" s="35"/>
      <c r="AH1631" s="35"/>
      <c r="AI1631" s="35"/>
      <c r="AJ1631" s="35"/>
      <c r="AK1631" s="35"/>
      <c r="AL1631" s="35"/>
    </row>
    <row r="1632">
      <c r="A1632" s="1"/>
      <c r="B1632" s="19" t="s">
        <v>7033</v>
      </c>
      <c r="C1632" s="20" t="s">
        <v>2036</v>
      </c>
      <c r="D1632" s="47"/>
      <c r="E1632" s="22" t="s">
        <v>8370</v>
      </c>
      <c r="F1632" s="22" t="s">
        <v>7413</v>
      </c>
      <c r="G1632" s="23">
        <v>2018.0</v>
      </c>
      <c r="H1632" s="22" t="s">
        <v>53</v>
      </c>
      <c r="I1632" s="24" t="s">
        <v>8371</v>
      </c>
      <c r="J1632" s="22" t="s">
        <v>649</v>
      </c>
      <c r="K1632" s="22" t="s">
        <v>157</v>
      </c>
      <c r="L1632" s="43" t="s">
        <v>8372</v>
      </c>
      <c r="M1632" s="44"/>
      <c r="N1632" s="44"/>
      <c r="O1632" s="44"/>
      <c r="P1632" s="44"/>
      <c r="Q1632" s="44"/>
      <c r="R1632" s="44"/>
      <c r="S1632" s="44"/>
      <c r="T1632" s="45"/>
      <c r="U1632" s="38" t="str">
        <f>HYPERLINK("https://www.ncbi.nlm.nih.gov/pubmed/29356026","PubMed")</f>
        <v>PubMed</v>
      </c>
      <c r="V1632" s="30"/>
      <c r="W1632" s="49"/>
      <c r="X1632" s="49"/>
      <c r="Y1632" s="35"/>
      <c r="Z1632" s="35"/>
      <c r="AA1632" s="35"/>
      <c r="AB1632" s="35"/>
      <c r="AC1632" s="35"/>
      <c r="AD1632" s="35"/>
      <c r="AE1632" s="35"/>
      <c r="AF1632" s="35"/>
      <c r="AG1632" s="35"/>
      <c r="AH1632" s="35"/>
      <c r="AI1632" s="35"/>
      <c r="AJ1632" s="35"/>
      <c r="AK1632" s="35"/>
      <c r="AL1632" s="35"/>
    </row>
    <row r="1633">
      <c r="A1633" s="1"/>
      <c r="B1633" s="19" t="s">
        <v>7033</v>
      </c>
      <c r="C1633" s="20" t="s">
        <v>2036</v>
      </c>
      <c r="D1633" s="47"/>
      <c r="E1633" s="22" t="s">
        <v>8373</v>
      </c>
      <c r="F1633" s="22" t="s">
        <v>8374</v>
      </c>
      <c r="G1633" s="23">
        <v>2016.0</v>
      </c>
      <c r="H1633" s="22" t="s">
        <v>123</v>
      </c>
      <c r="I1633" s="24" t="s">
        <v>8375</v>
      </c>
      <c r="J1633" s="22" t="s">
        <v>125</v>
      </c>
      <c r="K1633" s="22" t="s">
        <v>157</v>
      </c>
      <c r="L1633" s="132" t="s">
        <v>8376</v>
      </c>
      <c r="U1633" s="38" t="str">
        <f>HYPERLINK("http://www.sciencedirect.com/science/article/pii/S0094129816300220","ScienceDirect")</f>
        <v>ScienceDirect</v>
      </c>
      <c r="V1633" s="50"/>
      <c r="W1633" s="49"/>
      <c r="X1633" s="49"/>
      <c r="Y1633" s="35"/>
      <c r="Z1633" s="35"/>
      <c r="AA1633" s="35"/>
      <c r="AB1633" s="35"/>
      <c r="AC1633" s="35"/>
      <c r="AD1633" s="35"/>
      <c r="AE1633" s="35"/>
      <c r="AF1633" s="35"/>
      <c r="AG1633" s="35"/>
      <c r="AH1633" s="35"/>
      <c r="AI1633" s="35"/>
      <c r="AJ1633" s="35"/>
      <c r="AK1633" s="35"/>
      <c r="AL1633" s="35"/>
    </row>
    <row r="1634">
      <c r="A1634" s="1"/>
      <c r="B1634" s="19" t="s">
        <v>7033</v>
      </c>
      <c r="C1634" s="20" t="s">
        <v>2036</v>
      </c>
      <c r="D1634" s="47"/>
      <c r="E1634" s="22" t="s">
        <v>8377</v>
      </c>
      <c r="F1634" s="22" t="s">
        <v>8378</v>
      </c>
      <c r="G1634" s="23">
        <v>2016.0</v>
      </c>
      <c r="H1634" s="22" t="s">
        <v>8344</v>
      </c>
      <c r="I1634" s="24" t="s">
        <v>8379</v>
      </c>
      <c r="J1634" s="22" t="s">
        <v>125</v>
      </c>
      <c r="K1634" s="22"/>
      <c r="L1634" s="105" t="s">
        <v>8380</v>
      </c>
      <c r="M1634" s="44"/>
      <c r="N1634" s="44"/>
      <c r="O1634" s="44"/>
      <c r="P1634" s="44"/>
      <c r="Q1634" s="44"/>
      <c r="R1634" s="44"/>
      <c r="S1634" s="44"/>
      <c r="T1634" s="45"/>
      <c r="U1634" s="29" t="s">
        <v>8347</v>
      </c>
      <c r="V1634" s="50"/>
      <c r="W1634" s="49"/>
      <c r="X1634" s="49"/>
      <c r="Y1634" s="35"/>
      <c r="Z1634" s="35"/>
      <c r="AA1634" s="35"/>
      <c r="AB1634" s="35"/>
      <c r="AC1634" s="35"/>
      <c r="AD1634" s="35"/>
      <c r="AE1634" s="35"/>
      <c r="AF1634" s="35"/>
      <c r="AG1634" s="35"/>
      <c r="AH1634" s="35"/>
      <c r="AI1634" s="35"/>
      <c r="AJ1634" s="35"/>
      <c r="AK1634" s="35"/>
      <c r="AL1634" s="35"/>
    </row>
    <row r="1635">
      <c r="A1635" s="1" t="s">
        <v>2</v>
      </c>
      <c r="B1635" s="19" t="s">
        <v>7033</v>
      </c>
      <c r="C1635" s="20" t="s">
        <v>2036</v>
      </c>
      <c r="D1635" s="47"/>
      <c r="E1635" s="22" t="s">
        <v>5325</v>
      </c>
      <c r="F1635" s="22" t="s">
        <v>5326</v>
      </c>
      <c r="G1635" s="23">
        <v>2016.0</v>
      </c>
      <c r="H1635" s="22" t="s">
        <v>207</v>
      </c>
      <c r="I1635" s="24" t="s">
        <v>8381</v>
      </c>
      <c r="J1635" s="22" t="s">
        <v>125</v>
      </c>
      <c r="K1635" s="22"/>
      <c r="L1635" s="105" t="s">
        <v>8382</v>
      </c>
      <c r="M1635" s="44"/>
      <c r="N1635" s="44"/>
      <c r="O1635" s="44"/>
      <c r="P1635" s="44"/>
      <c r="Q1635" s="44"/>
      <c r="R1635" s="44"/>
      <c r="S1635" s="44"/>
      <c r="T1635" s="45"/>
      <c r="U1635" s="38" t="str">
        <f>HYPERLINK("https://www.ncbi.nlm.nih.gov/pubmed/26745730","PubMed")</f>
        <v>PubMed</v>
      </c>
      <c r="V1635" s="50"/>
      <c r="W1635" s="49"/>
      <c r="X1635" s="49"/>
      <c r="Y1635" s="35"/>
      <c r="Z1635" s="35"/>
      <c r="AA1635" s="35"/>
      <c r="AB1635" s="35"/>
      <c r="AC1635" s="35"/>
      <c r="AD1635" s="35"/>
      <c r="AE1635" s="35"/>
      <c r="AF1635" s="35"/>
      <c r="AG1635" s="35"/>
      <c r="AH1635" s="35"/>
      <c r="AI1635" s="35"/>
      <c r="AJ1635" s="35"/>
      <c r="AK1635" s="35"/>
      <c r="AL1635" s="35"/>
    </row>
    <row r="1636">
      <c r="A1636" s="1"/>
      <c r="B1636" s="19" t="s">
        <v>7033</v>
      </c>
      <c r="C1636" s="20" t="s">
        <v>2036</v>
      </c>
      <c r="D1636" s="47"/>
      <c r="E1636" s="22" t="s">
        <v>8383</v>
      </c>
      <c r="F1636" s="22" t="s">
        <v>8384</v>
      </c>
      <c r="G1636" s="23">
        <v>2015.0</v>
      </c>
      <c r="H1636" s="22" t="s">
        <v>8385</v>
      </c>
      <c r="I1636" s="24" t="s">
        <v>8386</v>
      </c>
      <c r="J1636" s="22" t="s">
        <v>125</v>
      </c>
      <c r="K1636" s="22"/>
      <c r="L1636" s="105" t="s">
        <v>8387</v>
      </c>
      <c r="M1636" s="44"/>
      <c r="N1636" s="44"/>
      <c r="O1636" s="44"/>
      <c r="P1636" s="44"/>
      <c r="Q1636" s="44"/>
      <c r="R1636" s="44"/>
      <c r="S1636" s="44"/>
      <c r="T1636" s="45"/>
      <c r="U1636" s="29" t="s">
        <v>61</v>
      </c>
      <c r="V1636" s="50"/>
      <c r="W1636" s="49"/>
      <c r="X1636" s="49"/>
      <c r="Y1636" s="35"/>
      <c r="Z1636" s="35"/>
      <c r="AA1636" s="35"/>
      <c r="AB1636" s="35"/>
      <c r="AC1636" s="35"/>
      <c r="AD1636" s="35"/>
      <c r="AE1636" s="35"/>
      <c r="AF1636" s="35"/>
      <c r="AG1636" s="35"/>
      <c r="AH1636" s="35"/>
      <c r="AI1636" s="35"/>
      <c r="AJ1636" s="35"/>
      <c r="AK1636" s="35"/>
      <c r="AL1636" s="35"/>
    </row>
    <row r="1637">
      <c r="A1637" s="1"/>
      <c r="B1637" s="19" t="s">
        <v>7033</v>
      </c>
      <c r="C1637" s="20" t="s">
        <v>2036</v>
      </c>
      <c r="D1637" s="47"/>
      <c r="E1637" s="22" t="s">
        <v>8388</v>
      </c>
      <c r="F1637" s="22" t="s">
        <v>8389</v>
      </c>
      <c r="G1637" s="23">
        <v>2013.0</v>
      </c>
      <c r="H1637" s="22" t="s">
        <v>8390</v>
      </c>
      <c r="I1637" s="24" t="s">
        <v>8391</v>
      </c>
      <c r="J1637" s="22" t="s">
        <v>125</v>
      </c>
      <c r="K1637" s="22"/>
      <c r="L1637" s="105" t="s">
        <v>8392</v>
      </c>
      <c r="M1637" s="44"/>
      <c r="N1637" s="44"/>
      <c r="O1637" s="44"/>
      <c r="P1637" s="44"/>
      <c r="Q1637" s="44"/>
      <c r="R1637" s="44"/>
      <c r="S1637" s="44"/>
      <c r="T1637" s="45"/>
      <c r="U1637" s="29" t="s">
        <v>61</v>
      </c>
      <c r="V1637" s="50"/>
      <c r="W1637" s="49"/>
      <c r="X1637" s="49"/>
      <c r="Y1637" s="35"/>
      <c r="Z1637" s="35"/>
      <c r="AA1637" s="35"/>
      <c r="AB1637" s="35"/>
      <c r="AC1637" s="35"/>
      <c r="AD1637" s="35"/>
      <c r="AE1637" s="35"/>
      <c r="AF1637" s="35"/>
      <c r="AG1637" s="35"/>
      <c r="AH1637" s="35"/>
      <c r="AI1637" s="35"/>
      <c r="AJ1637" s="35"/>
      <c r="AK1637" s="35"/>
      <c r="AL1637" s="35"/>
    </row>
    <row r="1638">
      <c r="A1638" s="1"/>
      <c r="B1638" s="19" t="s">
        <v>7033</v>
      </c>
      <c r="C1638" s="20" t="s">
        <v>2036</v>
      </c>
      <c r="D1638" s="47"/>
      <c r="E1638" s="22" t="s">
        <v>8393</v>
      </c>
      <c r="F1638" s="22" t="s">
        <v>2407</v>
      </c>
      <c r="G1638" s="23">
        <v>2013.0</v>
      </c>
      <c r="H1638" s="22" t="s">
        <v>6964</v>
      </c>
      <c r="I1638" s="24" t="s">
        <v>8394</v>
      </c>
      <c r="J1638" s="22" t="s">
        <v>125</v>
      </c>
      <c r="K1638" s="22" t="s">
        <v>8395</v>
      </c>
      <c r="L1638" s="105" t="s">
        <v>8396</v>
      </c>
      <c r="M1638" s="44"/>
      <c r="N1638" s="44"/>
      <c r="O1638" s="44"/>
      <c r="P1638" s="44"/>
      <c r="Q1638" s="44"/>
      <c r="R1638" s="44"/>
      <c r="S1638" s="44"/>
      <c r="T1638" s="45"/>
      <c r="U1638" s="38" t="str">
        <f>HYPERLINK("https://www.ncbi.nlm.nih.gov/pubmed/24049929","PubMed")</f>
        <v>PubMed</v>
      </c>
      <c r="V1638" s="50"/>
      <c r="W1638" s="49"/>
      <c r="X1638" s="49"/>
      <c r="Y1638" s="35"/>
      <c r="Z1638" s="35"/>
      <c r="AA1638" s="35"/>
      <c r="AB1638" s="35"/>
      <c r="AC1638" s="35"/>
      <c r="AD1638" s="35"/>
      <c r="AE1638" s="35"/>
      <c r="AF1638" s="35"/>
      <c r="AG1638" s="35"/>
      <c r="AH1638" s="35"/>
      <c r="AI1638" s="35"/>
      <c r="AJ1638" s="35"/>
      <c r="AK1638" s="35"/>
      <c r="AL1638" s="35"/>
    </row>
    <row r="1639">
      <c r="A1639" s="1"/>
      <c r="B1639" s="19" t="s">
        <v>7033</v>
      </c>
      <c r="C1639" s="20" t="s">
        <v>2036</v>
      </c>
      <c r="D1639" s="47"/>
      <c r="E1639" s="22" t="s">
        <v>8397</v>
      </c>
      <c r="F1639" s="22" t="s">
        <v>8398</v>
      </c>
      <c r="G1639" s="23">
        <v>2010.0</v>
      </c>
      <c r="H1639" s="22" t="s">
        <v>8385</v>
      </c>
      <c r="I1639" s="24" t="s">
        <v>8399</v>
      </c>
      <c r="J1639" s="22" t="s">
        <v>125</v>
      </c>
      <c r="K1639" s="22" t="s">
        <v>157</v>
      </c>
      <c r="L1639" s="105" t="s">
        <v>8400</v>
      </c>
      <c r="M1639" s="44"/>
      <c r="N1639" s="44"/>
      <c r="O1639" s="44"/>
      <c r="P1639" s="44"/>
      <c r="Q1639" s="44"/>
      <c r="R1639" s="44"/>
      <c r="S1639" s="44"/>
      <c r="T1639" s="45"/>
      <c r="U1639" s="38" t="str">
        <f>HYPERLINK("https://www.ncbi.nlm.nih.gov/pubmed/20572891","PubMed")</f>
        <v>PubMed</v>
      </c>
      <c r="V1639" s="50"/>
      <c r="W1639" s="49"/>
      <c r="X1639" s="49"/>
      <c r="Y1639" s="35"/>
      <c r="Z1639" s="35"/>
      <c r="AA1639" s="35"/>
      <c r="AB1639" s="35"/>
      <c r="AC1639" s="35"/>
      <c r="AD1639" s="35"/>
      <c r="AE1639" s="35"/>
      <c r="AF1639" s="35"/>
      <c r="AG1639" s="35"/>
      <c r="AH1639" s="35"/>
      <c r="AI1639" s="35"/>
      <c r="AJ1639" s="35"/>
      <c r="AK1639" s="35"/>
      <c r="AL1639" s="35"/>
    </row>
    <row r="1640">
      <c r="A1640" s="1"/>
      <c r="B1640" s="19" t="s">
        <v>7033</v>
      </c>
      <c r="C1640" s="20" t="s">
        <v>2036</v>
      </c>
      <c r="D1640" s="47"/>
      <c r="E1640" s="22" t="s">
        <v>8401</v>
      </c>
      <c r="F1640" s="22" t="s">
        <v>8402</v>
      </c>
      <c r="G1640" s="23">
        <v>2009.0</v>
      </c>
      <c r="H1640" s="22" t="s">
        <v>8403</v>
      </c>
      <c r="I1640" s="24" t="s">
        <v>8404</v>
      </c>
      <c r="J1640" s="22" t="s">
        <v>125</v>
      </c>
      <c r="K1640" s="22" t="s">
        <v>157</v>
      </c>
      <c r="L1640" s="105" t="s">
        <v>8405</v>
      </c>
      <c r="M1640" s="44"/>
      <c r="N1640" s="44"/>
      <c r="O1640" s="44"/>
      <c r="P1640" s="44"/>
      <c r="Q1640" s="44"/>
      <c r="R1640" s="44"/>
      <c r="S1640" s="44"/>
      <c r="T1640" s="45"/>
      <c r="U1640" s="29" t="s">
        <v>8353</v>
      </c>
      <c r="V1640" s="50"/>
      <c r="W1640" s="49"/>
      <c r="X1640" s="49"/>
      <c r="Y1640" s="35"/>
      <c r="Z1640" s="35"/>
      <c r="AA1640" s="35"/>
      <c r="AB1640" s="35"/>
      <c r="AC1640" s="35"/>
      <c r="AD1640" s="35"/>
      <c r="AE1640" s="35"/>
      <c r="AF1640" s="35"/>
      <c r="AG1640" s="35"/>
      <c r="AH1640" s="35"/>
      <c r="AI1640" s="35"/>
      <c r="AJ1640" s="35"/>
      <c r="AK1640" s="35"/>
      <c r="AL1640" s="35"/>
    </row>
    <row r="1641">
      <c r="A1641" s="1"/>
      <c r="B1641" s="19" t="s">
        <v>7033</v>
      </c>
      <c r="C1641" s="20" t="s">
        <v>8406</v>
      </c>
      <c r="D1641" s="47"/>
      <c r="E1641" s="22" t="s">
        <v>2207</v>
      </c>
      <c r="F1641" s="22" t="s">
        <v>2801</v>
      </c>
      <c r="G1641" s="23">
        <v>2023.0</v>
      </c>
      <c r="H1641" s="22" t="s">
        <v>3292</v>
      </c>
      <c r="I1641" s="24" t="s">
        <v>8407</v>
      </c>
      <c r="J1641" s="22" t="s">
        <v>8408</v>
      </c>
      <c r="K1641" s="22"/>
      <c r="L1641" s="36"/>
      <c r="M1641" s="36"/>
      <c r="N1641" s="36"/>
      <c r="O1641" s="36"/>
      <c r="P1641" s="37"/>
      <c r="Q1641" s="36"/>
      <c r="R1641" s="36"/>
      <c r="S1641" s="36"/>
      <c r="T1641" s="137" t="s">
        <v>8409</v>
      </c>
      <c r="U1641" s="38" t="s">
        <v>61</v>
      </c>
      <c r="V1641" s="30" t="s">
        <v>174</v>
      </c>
      <c r="W1641" s="49"/>
      <c r="X1641" s="49"/>
      <c r="Y1641" s="35"/>
      <c r="Z1641" s="35"/>
      <c r="AA1641" s="35"/>
      <c r="AB1641" s="35"/>
      <c r="AC1641" s="35"/>
      <c r="AD1641" s="35"/>
      <c r="AE1641" s="35"/>
      <c r="AF1641" s="35"/>
      <c r="AG1641" s="35"/>
      <c r="AH1641" s="35"/>
      <c r="AI1641" s="35"/>
      <c r="AJ1641" s="35"/>
      <c r="AK1641" s="35"/>
      <c r="AL1641" s="35"/>
    </row>
    <row r="1642">
      <c r="A1642" s="1"/>
      <c r="B1642" s="19" t="s">
        <v>7033</v>
      </c>
      <c r="C1642" s="20" t="s">
        <v>8406</v>
      </c>
      <c r="D1642" s="47"/>
      <c r="E1642" s="22" t="s">
        <v>2275</v>
      </c>
      <c r="F1642" s="22" t="s">
        <v>2801</v>
      </c>
      <c r="G1642" s="23">
        <v>2022.0</v>
      </c>
      <c r="H1642" s="22" t="s">
        <v>4492</v>
      </c>
      <c r="I1642" s="24" t="s">
        <v>8410</v>
      </c>
      <c r="J1642" s="22" t="s">
        <v>44</v>
      </c>
      <c r="K1642" s="22"/>
      <c r="L1642" s="36" t="s">
        <v>1495</v>
      </c>
      <c r="M1642" s="36" t="s">
        <v>8411</v>
      </c>
      <c r="N1642" s="36"/>
      <c r="O1642" s="36"/>
      <c r="P1642" s="37"/>
      <c r="Q1642" s="36"/>
      <c r="R1642" s="36">
        <v>900.0</v>
      </c>
      <c r="S1642" s="36"/>
      <c r="T1642" s="137" t="s">
        <v>8412</v>
      </c>
      <c r="U1642" s="38" t="s">
        <v>61</v>
      </c>
      <c r="V1642" s="50"/>
      <c r="W1642" s="49"/>
      <c r="X1642" s="49"/>
      <c r="Y1642" s="35"/>
      <c r="Z1642" s="35"/>
      <c r="AA1642" s="35"/>
      <c r="AB1642" s="35"/>
      <c r="AC1642" s="35"/>
      <c r="AD1642" s="35"/>
      <c r="AE1642" s="35"/>
      <c r="AF1642" s="35"/>
      <c r="AG1642" s="35"/>
      <c r="AH1642" s="35"/>
      <c r="AI1642" s="35"/>
      <c r="AJ1642" s="35"/>
      <c r="AK1642" s="35"/>
      <c r="AL1642" s="35"/>
    </row>
    <row r="1643">
      <c r="A1643" s="1"/>
      <c r="B1643" s="19" t="s">
        <v>7033</v>
      </c>
      <c r="C1643" s="20" t="s">
        <v>8406</v>
      </c>
      <c r="D1643" s="47"/>
      <c r="E1643" s="22" t="s">
        <v>8413</v>
      </c>
      <c r="F1643" s="22" t="s">
        <v>8414</v>
      </c>
      <c r="G1643" s="23">
        <v>2021.0</v>
      </c>
      <c r="H1643" s="22" t="s">
        <v>6948</v>
      </c>
      <c r="I1643" s="24" t="s">
        <v>8415</v>
      </c>
      <c r="J1643" s="22" t="s">
        <v>8416</v>
      </c>
      <c r="K1643" s="22" t="s">
        <v>8417</v>
      </c>
      <c r="L1643" s="36"/>
      <c r="M1643" s="36"/>
      <c r="N1643" s="36"/>
      <c r="O1643" s="36"/>
      <c r="P1643" s="37"/>
      <c r="Q1643" s="36"/>
      <c r="R1643" s="36"/>
      <c r="S1643" s="36" t="s">
        <v>8418</v>
      </c>
      <c r="T1643" s="137" t="s">
        <v>8419</v>
      </c>
      <c r="U1643" s="29" t="s">
        <v>61</v>
      </c>
      <c r="V1643" s="50"/>
      <c r="W1643" s="49"/>
      <c r="X1643" s="49"/>
      <c r="Y1643" s="35"/>
      <c r="Z1643" s="35"/>
      <c r="AA1643" s="35"/>
      <c r="AB1643" s="35"/>
      <c r="AC1643" s="35"/>
      <c r="AD1643" s="35"/>
      <c r="AE1643" s="35"/>
      <c r="AF1643" s="35"/>
      <c r="AG1643" s="35"/>
      <c r="AH1643" s="35"/>
      <c r="AI1643" s="35"/>
      <c r="AJ1643" s="35"/>
      <c r="AK1643" s="35"/>
      <c r="AL1643" s="35"/>
    </row>
    <row r="1644">
      <c r="A1644" s="1"/>
      <c r="B1644" s="19" t="s">
        <v>7033</v>
      </c>
      <c r="C1644" s="20" t="s">
        <v>8406</v>
      </c>
      <c r="D1644" s="47"/>
      <c r="E1644" s="22" t="s">
        <v>8364</v>
      </c>
      <c r="F1644" s="22" t="s">
        <v>3492</v>
      </c>
      <c r="G1644" s="23">
        <v>2020.0</v>
      </c>
      <c r="H1644" s="22" t="s">
        <v>8420</v>
      </c>
      <c r="I1644" s="24" t="s">
        <v>8421</v>
      </c>
      <c r="J1644" s="22" t="s">
        <v>8422</v>
      </c>
      <c r="K1644" s="22" t="s">
        <v>157</v>
      </c>
      <c r="L1644" s="36" t="s">
        <v>8423</v>
      </c>
      <c r="M1644" s="36"/>
      <c r="N1644" s="36"/>
      <c r="O1644" s="36" t="s">
        <v>8424</v>
      </c>
      <c r="P1644" s="37"/>
      <c r="Q1644" s="36"/>
      <c r="R1644" s="36">
        <v>900.0</v>
      </c>
      <c r="S1644" s="36" t="s">
        <v>7333</v>
      </c>
      <c r="T1644" s="137" t="s">
        <v>8425</v>
      </c>
      <c r="U1644" s="29" t="s">
        <v>61</v>
      </c>
      <c r="V1644" s="30" t="s">
        <v>8426</v>
      </c>
      <c r="W1644" s="49"/>
      <c r="X1644" s="49"/>
      <c r="Y1644" s="35"/>
      <c r="Z1644" s="35"/>
      <c r="AA1644" s="35"/>
      <c r="AB1644" s="35"/>
      <c r="AC1644" s="35"/>
      <c r="AD1644" s="35"/>
      <c r="AE1644" s="35"/>
      <c r="AF1644" s="35"/>
      <c r="AG1644" s="35"/>
      <c r="AH1644" s="35"/>
      <c r="AI1644" s="35"/>
      <c r="AJ1644" s="35"/>
      <c r="AK1644" s="35"/>
      <c r="AL1644" s="35"/>
    </row>
    <row r="1645">
      <c r="A1645" s="1"/>
      <c r="B1645" s="19" t="s">
        <v>7033</v>
      </c>
      <c r="C1645" s="20" t="s">
        <v>8406</v>
      </c>
      <c r="D1645" s="47"/>
      <c r="E1645" s="22" t="s">
        <v>8427</v>
      </c>
      <c r="F1645" s="22" t="s">
        <v>1392</v>
      </c>
      <c r="G1645" s="23">
        <v>2018.0</v>
      </c>
      <c r="H1645" s="22" t="s">
        <v>7041</v>
      </c>
      <c r="I1645" s="24" t="s">
        <v>8428</v>
      </c>
      <c r="J1645" s="22" t="s">
        <v>8429</v>
      </c>
      <c r="K1645" s="22" t="s">
        <v>8417</v>
      </c>
      <c r="L1645" s="36" t="s">
        <v>8430</v>
      </c>
      <c r="M1645" s="36"/>
      <c r="N1645" s="36"/>
      <c r="O1645" s="36"/>
      <c r="P1645" s="37"/>
      <c r="Q1645" s="36"/>
      <c r="R1645" s="36"/>
      <c r="S1645" s="36" t="s">
        <v>8431</v>
      </c>
      <c r="T1645" s="137" t="s">
        <v>8432</v>
      </c>
      <c r="U1645" s="29" t="s">
        <v>61</v>
      </c>
      <c r="V1645" s="50"/>
      <c r="W1645" s="49"/>
      <c r="X1645" s="49"/>
      <c r="Y1645" s="35"/>
      <c r="Z1645" s="35"/>
      <c r="AA1645" s="35"/>
      <c r="AB1645" s="35"/>
      <c r="AC1645" s="35"/>
      <c r="AD1645" s="35"/>
      <c r="AE1645" s="35"/>
      <c r="AF1645" s="35"/>
      <c r="AG1645" s="35"/>
      <c r="AH1645" s="35"/>
      <c r="AI1645" s="35"/>
      <c r="AJ1645" s="35"/>
      <c r="AK1645" s="35"/>
      <c r="AL1645" s="35"/>
    </row>
    <row r="1646">
      <c r="A1646" s="1"/>
      <c r="B1646" s="19" t="s">
        <v>7033</v>
      </c>
      <c r="C1646" s="20" t="s">
        <v>8406</v>
      </c>
      <c r="D1646" s="47"/>
      <c r="E1646" s="22" t="s">
        <v>8433</v>
      </c>
      <c r="F1646" s="22" t="s">
        <v>5270</v>
      </c>
      <c r="G1646" s="23">
        <v>2017.0</v>
      </c>
      <c r="H1646" s="22" t="s">
        <v>7122</v>
      </c>
      <c r="I1646" s="24" t="s">
        <v>8434</v>
      </c>
      <c r="J1646" s="22" t="s">
        <v>8435</v>
      </c>
      <c r="K1646" s="22" t="s">
        <v>8436</v>
      </c>
      <c r="L1646" s="36" t="s">
        <v>8437</v>
      </c>
      <c r="M1646" s="36"/>
      <c r="N1646" s="36"/>
      <c r="O1646" s="36"/>
      <c r="P1646" s="37"/>
      <c r="Q1646" s="36"/>
      <c r="R1646" s="36" t="s">
        <v>8438</v>
      </c>
      <c r="S1646" s="36" t="s">
        <v>3233</v>
      </c>
      <c r="T1646" s="137" t="s">
        <v>8439</v>
      </c>
      <c r="U1646" s="29" t="s">
        <v>61</v>
      </c>
      <c r="V1646" s="50"/>
      <c r="W1646" s="49"/>
      <c r="X1646" s="49"/>
      <c r="Y1646" s="35"/>
      <c r="Z1646" s="35"/>
      <c r="AA1646" s="35"/>
      <c r="AB1646" s="35"/>
      <c r="AC1646" s="35"/>
      <c r="AD1646" s="35"/>
      <c r="AE1646" s="35"/>
      <c r="AF1646" s="35"/>
      <c r="AG1646" s="35"/>
      <c r="AH1646" s="35"/>
      <c r="AI1646" s="35"/>
      <c r="AJ1646" s="35"/>
      <c r="AK1646" s="35"/>
      <c r="AL1646" s="35"/>
    </row>
    <row r="1647">
      <c r="A1647" s="1"/>
      <c r="B1647" s="19" t="s">
        <v>7033</v>
      </c>
      <c r="C1647" s="20" t="s">
        <v>8406</v>
      </c>
      <c r="D1647" s="47"/>
      <c r="E1647" s="22" t="s">
        <v>493</v>
      </c>
      <c r="F1647" s="22" t="s">
        <v>1622</v>
      </c>
      <c r="G1647" s="23">
        <v>2016.0</v>
      </c>
      <c r="H1647" s="22" t="s">
        <v>7420</v>
      </c>
      <c r="I1647" s="24" t="s">
        <v>8440</v>
      </c>
      <c r="J1647" s="22" t="s">
        <v>209</v>
      </c>
      <c r="K1647" s="22" t="s">
        <v>1684</v>
      </c>
      <c r="L1647" s="36" t="s">
        <v>8441</v>
      </c>
      <c r="M1647" s="36"/>
      <c r="N1647" s="36"/>
      <c r="O1647" s="36"/>
      <c r="P1647" s="37"/>
      <c r="Q1647" s="36"/>
      <c r="R1647" s="36"/>
      <c r="S1647" s="36"/>
      <c r="T1647" s="137" t="s">
        <v>8442</v>
      </c>
      <c r="U1647" s="38" t="str">
        <f>HYPERLINK("https://www.ncbi.nlm.nih.gov/pubmed/27315464","PubMed")</f>
        <v>PubMed</v>
      </c>
      <c r="V1647" s="50"/>
      <c r="W1647" s="49"/>
      <c r="X1647" s="49"/>
      <c r="Y1647" s="35"/>
      <c r="Z1647" s="35"/>
      <c r="AA1647" s="35"/>
      <c r="AB1647" s="35"/>
      <c r="AC1647" s="35"/>
      <c r="AD1647" s="35"/>
      <c r="AE1647" s="35"/>
      <c r="AF1647" s="35"/>
      <c r="AG1647" s="35"/>
      <c r="AH1647" s="35"/>
      <c r="AI1647" s="35"/>
      <c r="AJ1647" s="35"/>
      <c r="AK1647" s="35"/>
      <c r="AL1647" s="35"/>
    </row>
    <row r="1648">
      <c r="A1648" s="1"/>
      <c r="B1648" s="19" t="s">
        <v>7033</v>
      </c>
      <c r="C1648" s="20" t="s">
        <v>8406</v>
      </c>
      <c r="D1648" s="47"/>
      <c r="E1648" s="22" t="s">
        <v>8443</v>
      </c>
      <c r="F1648" s="22" t="s">
        <v>5340</v>
      </c>
      <c r="G1648" s="23">
        <v>2014.0</v>
      </c>
      <c r="H1648" s="22" t="s">
        <v>8444</v>
      </c>
      <c r="I1648" s="24" t="s">
        <v>8445</v>
      </c>
      <c r="J1648" s="22" t="s">
        <v>8446</v>
      </c>
      <c r="K1648" s="22"/>
      <c r="L1648" s="216" t="s">
        <v>8447</v>
      </c>
      <c r="M1648" s="44"/>
      <c r="N1648" s="44"/>
      <c r="O1648" s="44"/>
      <c r="P1648" s="44"/>
      <c r="Q1648" s="44"/>
      <c r="R1648" s="44"/>
      <c r="S1648" s="44"/>
      <c r="T1648" s="45"/>
      <c r="U1648" s="38" t="str">
        <f>HYPERLINK("https://www.ncbi.nlm.nih.gov/pubmed/25756491","PubMed")</f>
        <v>PubMed</v>
      </c>
      <c r="V1648" s="50"/>
      <c r="W1648" s="49"/>
      <c r="X1648" s="49"/>
      <c r="Y1648" s="35"/>
      <c r="Z1648" s="35"/>
      <c r="AA1648" s="35"/>
      <c r="AB1648" s="35"/>
      <c r="AC1648" s="35"/>
      <c r="AD1648" s="35"/>
      <c r="AE1648" s="35"/>
      <c r="AF1648" s="35"/>
      <c r="AG1648" s="35"/>
      <c r="AH1648" s="35"/>
      <c r="AI1648" s="35"/>
      <c r="AJ1648" s="35"/>
      <c r="AK1648" s="35"/>
      <c r="AL1648" s="35"/>
    </row>
    <row r="1649">
      <c r="A1649" s="40"/>
      <c r="B1649" s="19" t="s">
        <v>7033</v>
      </c>
      <c r="C1649" s="20" t="s">
        <v>8448</v>
      </c>
      <c r="D1649" s="47"/>
      <c r="E1649" s="22" t="s">
        <v>8449</v>
      </c>
      <c r="F1649" s="22" t="s">
        <v>2214</v>
      </c>
      <c r="G1649" s="23">
        <v>2024.0</v>
      </c>
      <c r="H1649" s="22" t="s">
        <v>7246</v>
      </c>
      <c r="I1649" s="24" t="s">
        <v>8450</v>
      </c>
      <c r="J1649" s="22" t="s">
        <v>8451</v>
      </c>
      <c r="K1649" s="22"/>
      <c r="L1649" s="43" t="s">
        <v>8452</v>
      </c>
      <c r="M1649" s="44"/>
      <c r="N1649" s="44"/>
      <c r="O1649" s="44"/>
      <c r="P1649" s="44"/>
      <c r="Q1649" s="44"/>
      <c r="R1649" s="44"/>
      <c r="S1649" s="44"/>
      <c r="T1649" s="45"/>
      <c r="U1649" s="38" t="s">
        <v>61</v>
      </c>
      <c r="V1649" s="30"/>
      <c r="W1649" s="49"/>
      <c r="X1649" s="49"/>
      <c r="Y1649" s="35"/>
      <c r="Z1649" s="35"/>
      <c r="AA1649" s="35"/>
      <c r="AB1649" s="35"/>
      <c r="AC1649" s="35"/>
      <c r="AD1649" s="35"/>
      <c r="AE1649" s="35"/>
      <c r="AF1649" s="35"/>
      <c r="AG1649" s="35"/>
      <c r="AH1649" s="35"/>
      <c r="AI1649" s="35"/>
      <c r="AJ1649" s="35"/>
      <c r="AK1649" s="35"/>
      <c r="AL1649" s="35"/>
    </row>
    <row r="1650">
      <c r="A1650" s="40" t="s">
        <v>38</v>
      </c>
      <c r="B1650" s="19" t="s">
        <v>7033</v>
      </c>
      <c r="C1650" s="20" t="s">
        <v>8448</v>
      </c>
      <c r="D1650" s="47"/>
      <c r="E1650" s="22" t="s">
        <v>8453</v>
      </c>
      <c r="F1650" s="22" t="s">
        <v>2445</v>
      </c>
      <c r="G1650" s="23">
        <v>2022.0</v>
      </c>
      <c r="H1650" s="22" t="s">
        <v>8454</v>
      </c>
      <c r="I1650" s="24" t="s">
        <v>8455</v>
      </c>
      <c r="J1650" s="22" t="s">
        <v>8456</v>
      </c>
      <c r="K1650" s="22"/>
      <c r="L1650" s="36" t="s">
        <v>8457</v>
      </c>
      <c r="M1650" s="36"/>
      <c r="N1650" s="36"/>
      <c r="O1650" s="36"/>
      <c r="P1650" s="37"/>
      <c r="Q1650" s="36"/>
      <c r="R1650" s="36"/>
      <c r="S1650" s="36"/>
      <c r="T1650" s="28" t="s">
        <v>8458</v>
      </c>
      <c r="U1650" s="38" t="s">
        <v>61</v>
      </c>
      <c r="V1650" s="30" t="s">
        <v>8459</v>
      </c>
      <c r="W1650" s="49"/>
      <c r="X1650" s="49"/>
      <c r="Y1650" s="35"/>
      <c r="Z1650" s="35"/>
      <c r="AA1650" s="35"/>
      <c r="AB1650" s="35"/>
      <c r="AC1650" s="35"/>
      <c r="AD1650" s="35"/>
      <c r="AE1650" s="35"/>
      <c r="AF1650" s="35"/>
      <c r="AG1650" s="35"/>
      <c r="AH1650" s="35"/>
      <c r="AI1650" s="35"/>
      <c r="AJ1650" s="35"/>
      <c r="AK1650" s="35"/>
      <c r="AL1650" s="35"/>
    </row>
    <row r="1651">
      <c r="A1651" s="1"/>
      <c r="B1651" s="19" t="s">
        <v>7033</v>
      </c>
      <c r="C1651" s="20" t="s">
        <v>8448</v>
      </c>
      <c r="D1651" s="47"/>
      <c r="E1651" s="22" t="s">
        <v>1080</v>
      </c>
      <c r="F1651" s="22" t="s">
        <v>8460</v>
      </c>
      <c r="G1651" s="23">
        <v>2022.0</v>
      </c>
      <c r="H1651" s="22" t="s">
        <v>91</v>
      </c>
      <c r="I1651" s="24" t="s">
        <v>8461</v>
      </c>
      <c r="J1651" s="22" t="s">
        <v>8462</v>
      </c>
      <c r="K1651" s="22" t="s">
        <v>8463</v>
      </c>
      <c r="L1651" s="36">
        <v>830.0</v>
      </c>
      <c r="M1651" s="36"/>
      <c r="N1651" s="36"/>
      <c r="O1651" s="36"/>
      <c r="P1651" s="37"/>
      <c r="Q1651" s="36" t="s">
        <v>8464</v>
      </c>
      <c r="R1651" s="36" t="s">
        <v>8465</v>
      </c>
      <c r="S1651" s="36" t="s">
        <v>8466</v>
      </c>
      <c r="T1651" s="42" t="s">
        <v>8467</v>
      </c>
      <c r="U1651" s="38" t="s">
        <v>61</v>
      </c>
      <c r="V1651" s="30" t="s">
        <v>8468</v>
      </c>
      <c r="W1651" s="49"/>
      <c r="X1651" s="49"/>
      <c r="Y1651" s="35"/>
      <c r="Z1651" s="35"/>
      <c r="AA1651" s="35"/>
      <c r="AB1651" s="35"/>
      <c r="AC1651" s="35"/>
      <c r="AD1651" s="35"/>
      <c r="AE1651" s="35"/>
      <c r="AF1651" s="35"/>
      <c r="AG1651" s="35"/>
      <c r="AH1651" s="35"/>
      <c r="AI1651" s="35"/>
      <c r="AJ1651" s="35"/>
      <c r="AK1651" s="35"/>
      <c r="AL1651" s="35"/>
    </row>
    <row r="1652">
      <c r="A1652" s="1"/>
      <c r="B1652" s="19" t="s">
        <v>7033</v>
      </c>
      <c r="C1652" s="20" t="s">
        <v>8448</v>
      </c>
      <c r="D1652" s="47"/>
      <c r="E1652" s="22" t="s">
        <v>8469</v>
      </c>
      <c r="F1652" s="22" t="s">
        <v>41</v>
      </c>
      <c r="G1652" s="23">
        <v>2022.0</v>
      </c>
      <c r="H1652" s="22" t="s">
        <v>627</v>
      </c>
      <c r="I1652" s="24" t="s">
        <v>8470</v>
      </c>
      <c r="J1652" s="22" t="s">
        <v>2141</v>
      </c>
      <c r="K1652" s="22"/>
      <c r="L1652" s="168">
        <v>470.0</v>
      </c>
      <c r="M1652" s="168"/>
      <c r="N1652" s="168"/>
      <c r="O1652" s="168"/>
      <c r="P1652" s="169"/>
      <c r="Q1652" s="168"/>
      <c r="R1652" s="168"/>
      <c r="S1652" s="168"/>
      <c r="T1652" s="185" t="s">
        <v>8471</v>
      </c>
      <c r="U1652" s="29" t="s">
        <v>61</v>
      </c>
      <c r="V1652" s="50"/>
      <c r="W1652" s="49"/>
      <c r="X1652" s="49"/>
      <c r="Y1652" s="35"/>
      <c r="Z1652" s="35"/>
      <c r="AA1652" s="35"/>
      <c r="AB1652" s="35"/>
      <c r="AC1652" s="35"/>
      <c r="AD1652" s="35"/>
      <c r="AE1652" s="35"/>
      <c r="AF1652" s="35"/>
      <c r="AG1652" s="35"/>
      <c r="AH1652" s="35"/>
      <c r="AI1652" s="35"/>
      <c r="AJ1652" s="35"/>
      <c r="AK1652" s="35"/>
      <c r="AL1652" s="35"/>
    </row>
    <row r="1653">
      <c r="A1653" s="1"/>
      <c r="B1653" s="19" t="s">
        <v>7033</v>
      </c>
      <c r="C1653" s="20" t="s">
        <v>8448</v>
      </c>
      <c r="D1653" s="47"/>
      <c r="E1653" s="22" t="s">
        <v>8472</v>
      </c>
      <c r="F1653" s="22" t="s">
        <v>4999</v>
      </c>
      <c r="G1653" s="23">
        <v>2021.0</v>
      </c>
      <c r="H1653" s="22" t="s">
        <v>42</v>
      </c>
      <c r="I1653" s="24" t="s">
        <v>8473</v>
      </c>
      <c r="J1653" s="22" t="s">
        <v>8474</v>
      </c>
      <c r="K1653" s="22" t="s">
        <v>157</v>
      </c>
      <c r="L1653" s="36">
        <v>633.0</v>
      </c>
      <c r="M1653" s="36"/>
      <c r="N1653" s="36"/>
      <c r="O1653" s="36"/>
      <c r="P1653" s="37" t="s">
        <v>8475</v>
      </c>
      <c r="Q1653" s="36"/>
      <c r="R1653" s="36"/>
      <c r="S1653" s="36" t="s">
        <v>8476</v>
      </c>
      <c r="T1653" s="41" t="s">
        <v>8477</v>
      </c>
      <c r="U1653" s="29" t="s">
        <v>61</v>
      </c>
      <c r="V1653" s="50"/>
      <c r="W1653" s="49"/>
      <c r="X1653" s="49"/>
      <c r="Y1653" s="35"/>
      <c r="Z1653" s="35"/>
      <c r="AA1653" s="35"/>
      <c r="AB1653" s="35"/>
      <c r="AC1653" s="35"/>
      <c r="AD1653" s="35"/>
      <c r="AE1653" s="35"/>
      <c r="AF1653" s="35"/>
      <c r="AG1653" s="35"/>
      <c r="AH1653" s="35"/>
      <c r="AI1653" s="35"/>
      <c r="AJ1653" s="35"/>
      <c r="AK1653" s="35"/>
      <c r="AL1653" s="35"/>
    </row>
    <row r="1654">
      <c r="A1654" s="1"/>
      <c r="B1654" s="19" t="s">
        <v>7033</v>
      </c>
      <c r="C1654" s="20" t="s">
        <v>8448</v>
      </c>
      <c r="D1654" s="47"/>
      <c r="E1654" s="22" t="s">
        <v>8478</v>
      </c>
      <c r="F1654" s="22" t="s">
        <v>1943</v>
      </c>
      <c r="G1654" s="23">
        <v>2021.0</v>
      </c>
      <c r="H1654" s="22" t="s">
        <v>8479</v>
      </c>
      <c r="I1654" s="24" t="s">
        <v>8480</v>
      </c>
      <c r="J1654" s="22" t="s">
        <v>8481</v>
      </c>
      <c r="K1654" s="22"/>
      <c r="L1654" s="36">
        <v>806.0</v>
      </c>
      <c r="M1654" s="36">
        <v>100.0</v>
      </c>
      <c r="N1654" s="36"/>
      <c r="O1654" s="36"/>
      <c r="P1654" s="37"/>
      <c r="Q1654" s="36"/>
      <c r="R1654" s="36"/>
      <c r="S1654" s="36"/>
      <c r="T1654" s="28" t="s">
        <v>8482</v>
      </c>
      <c r="U1654" s="29" t="s">
        <v>61</v>
      </c>
      <c r="V1654" s="50"/>
      <c r="W1654" s="49"/>
      <c r="X1654" s="49"/>
      <c r="Y1654" s="35"/>
      <c r="Z1654" s="35"/>
      <c r="AA1654" s="35"/>
      <c r="AB1654" s="35"/>
      <c r="AC1654" s="35"/>
      <c r="AD1654" s="35"/>
      <c r="AE1654" s="35"/>
      <c r="AF1654" s="35"/>
      <c r="AG1654" s="35"/>
      <c r="AH1654" s="35"/>
      <c r="AI1654" s="35"/>
      <c r="AJ1654" s="35"/>
      <c r="AK1654" s="35"/>
      <c r="AL1654" s="35"/>
    </row>
    <row r="1655">
      <c r="A1655" s="1"/>
      <c r="B1655" s="19" t="s">
        <v>7033</v>
      </c>
      <c r="C1655" s="20" t="s">
        <v>8448</v>
      </c>
      <c r="D1655" s="47"/>
      <c r="E1655" s="22" t="s">
        <v>8483</v>
      </c>
      <c r="F1655" s="22" t="s">
        <v>4999</v>
      </c>
      <c r="G1655" s="23">
        <v>2019.0</v>
      </c>
      <c r="H1655" s="22" t="s">
        <v>2863</v>
      </c>
      <c r="I1655" s="24" t="s">
        <v>8484</v>
      </c>
      <c r="J1655" s="22" t="s">
        <v>2141</v>
      </c>
      <c r="K1655" s="22"/>
      <c r="L1655" s="168"/>
      <c r="M1655" s="168"/>
      <c r="N1655" s="168"/>
      <c r="O1655" s="168"/>
      <c r="P1655" s="169"/>
      <c r="Q1655" s="168"/>
      <c r="R1655" s="168"/>
      <c r="S1655" s="168"/>
      <c r="T1655" s="185"/>
      <c r="U1655" s="38" t="str">
        <f>HYPERLINK("https://www.ncbi.nlm.nih.gov/pubmed/31307501","PubMed")</f>
        <v>PubMed</v>
      </c>
      <c r="V1655" s="50"/>
      <c r="W1655" s="49"/>
      <c r="X1655" s="49"/>
      <c r="Y1655" s="35"/>
      <c r="Z1655" s="35"/>
      <c r="AA1655" s="35"/>
      <c r="AB1655" s="35"/>
      <c r="AC1655" s="35"/>
      <c r="AD1655" s="35"/>
      <c r="AE1655" s="35"/>
      <c r="AF1655" s="35"/>
      <c r="AG1655" s="35"/>
      <c r="AH1655" s="35"/>
      <c r="AI1655" s="35"/>
      <c r="AJ1655" s="35"/>
      <c r="AK1655" s="35"/>
      <c r="AL1655" s="35"/>
    </row>
    <row r="1656">
      <c r="A1656" s="1"/>
      <c r="B1656" s="19" t="s">
        <v>7033</v>
      </c>
      <c r="C1656" s="20" t="s">
        <v>8448</v>
      </c>
      <c r="D1656" s="47"/>
      <c r="E1656" s="22" t="s">
        <v>8485</v>
      </c>
      <c r="F1656" s="22" t="s">
        <v>1943</v>
      </c>
      <c r="G1656" s="23">
        <v>2018.0</v>
      </c>
      <c r="H1656" s="22" t="s">
        <v>1958</v>
      </c>
      <c r="I1656" s="24" t="s">
        <v>8486</v>
      </c>
      <c r="J1656" s="22" t="s">
        <v>8487</v>
      </c>
      <c r="K1656" s="22" t="s">
        <v>56</v>
      </c>
      <c r="L1656" s="36" t="s">
        <v>4772</v>
      </c>
      <c r="M1656" s="36"/>
      <c r="N1656" s="36" t="s">
        <v>3587</v>
      </c>
      <c r="O1656" s="36"/>
      <c r="P1656" s="37"/>
      <c r="Q1656" s="36"/>
      <c r="R1656" s="36"/>
      <c r="S1656" s="36" t="s">
        <v>4905</v>
      </c>
      <c r="T1656" s="28" t="s">
        <v>8488</v>
      </c>
      <c r="U1656" s="38" t="str">
        <f>HYPERLINK("https://www.jstage.jst.go.jp/article/jpts/30/10/30_jpts-2018-207/_article/-char/ja/","J-STAGE")</f>
        <v>J-STAGE</v>
      </c>
      <c r="V1656" s="30" t="s">
        <v>8489</v>
      </c>
      <c r="W1656" s="49"/>
      <c r="X1656" s="49"/>
      <c r="Y1656" s="35"/>
      <c r="Z1656" s="35"/>
      <c r="AA1656" s="35"/>
      <c r="AB1656" s="35"/>
      <c r="AC1656" s="35"/>
      <c r="AD1656" s="35"/>
      <c r="AE1656" s="35"/>
      <c r="AF1656" s="35"/>
      <c r="AG1656" s="35"/>
      <c r="AH1656" s="35"/>
      <c r="AI1656" s="35"/>
      <c r="AJ1656" s="35"/>
      <c r="AK1656" s="35"/>
      <c r="AL1656" s="35"/>
    </row>
    <row r="1657">
      <c r="A1657" s="1"/>
      <c r="B1657" s="19" t="s">
        <v>7033</v>
      </c>
      <c r="C1657" s="20" t="s">
        <v>8448</v>
      </c>
      <c r="D1657" s="47"/>
      <c r="E1657" s="22" t="s">
        <v>8490</v>
      </c>
      <c r="F1657" s="22" t="s">
        <v>1943</v>
      </c>
      <c r="G1657" s="23">
        <v>2017.0</v>
      </c>
      <c r="H1657" s="22" t="s">
        <v>91</v>
      </c>
      <c r="I1657" s="24" t="s">
        <v>8491</v>
      </c>
      <c r="J1657" s="22" t="s">
        <v>8492</v>
      </c>
      <c r="K1657" s="22"/>
      <c r="L1657" s="36">
        <v>633.0</v>
      </c>
      <c r="M1657" s="36"/>
      <c r="N1657" s="36" t="s">
        <v>8493</v>
      </c>
      <c r="O1657" s="36"/>
      <c r="P1657" s="37" t="s">
        <v>709</v>
      </c>
      <c r="Q1657" s="36"/>
      <c r="R1657" s="36">
        <v>1500.0</v>
      </c>
      <c r="S1657" s="36" t="s">
        <v>8494</v>
      </c>
      <c r="T1657" s="28" t="s">
        <v>8495</v>
      </c>
      <c r="U1657" s="38" t="str">
        <f>HYPERLINK("https://www.ncbi.nlm.nih.gov/pubmed/29974280","PubMed")</f>
        <v>PubMed</v>
      </c>
      <c r="V1657" s="50"/>
      <c r="W1657" s="49"/>
      <c r="X1657" s="49"/>
      <c r="Y1657" s="35"/>
      <c r="Z1657" s="35"/>
      <c r="AA1657" s="35"/>
      <c r="AB1657" s="35"/>
      <c r="AC1657" s="35"/>
      <c r="AD1657" s="35"/>
      <c r="AE1657" s="35"/>
      <c r="AF1657" s="35"/>
      <c r="AG1657" s="35"/>
      <c r="AH1657" s="35"/>
      <c r="AI1657" s="35"/>
      <c r="AJ1657" s="35"/>
      <c r="AK1657" s="35"/>
      <c r="AL1657" s="35"/>
    </row>
    <row r="1658">
      <c r="A1658" s="1"/>
      <c r="B1658" s="19" t="s">
        <v>7033</v>
      </c>
      <c r="C1658" s="20" t="s">
        <v>8448</v>
      </c>
      <c r="D1658" s="47"/>
      <c r="E1658" s="22" t="s">
        <v>8496</v>
      </c>
      <c r="F1658" s="22" t="s">
        <v>1943</v>
      </c>
      <c r="G1658" s="23" t="s">
        <v>90</v>
      </c>
      <c r="H1658" s="22" t="s">
        <v>91</v>
      </c>
      <c r="I1658" s="24" t="s">
        <v>8497</v>
      </c>
      <c r="J1658" s="22" t="s">
        <v>8492</v>
      </c>
      <c r="K1658" s="22" t="s">
        <v>8498</v>
      </c>
      <c r="L1658" s="36">
        <v>905.0</v>
      </c>
      <c r="M1658" s="36"/>
      <c r="N1658" s="36"/>
      <c r="O1658" s="36"/>
      <c r="P1658" s="37" t="s">
        <v>2616</v>
      </c>
      <c r="Q1658" s="36"/>
      <c r="R1658" s="36"/>
      <c r="S1658" s="36" t="s">
        <v>8494</v>
      </c>
      <c r="T1658" s="28" t="s">
        <v>8499</v>
      </c>
      <c r="U1658" s="38" t="str">
        <f>HYPERLINK("https://www.ncbi.nlm.nih.gov/pubmed/29177979","PubMed")</f>
        <v>PubMed</v>
      </c>
      <c r="V1658" s="50"/>
      <c r="W1658" s="49"/>
      <c r="X1658" s="49"/>
      <c r="Y1658" s="35"/>
      <c r="Z1658" s="35"/>
      <c r="AA1658" s="35"/>
      <c r="AB1658" s="35"/>
      <c r="AC1658" s="35"/>
      <c r="AD1658" s="35"/>
      <c r="AE1658" s="35"/>
      <c r="AF1658" s="35"/>
      <c r="AG1658" s="35"/>
      <c r="AH1658" s="35"/>
      <c r="AI1658" s="35"/>
      <c r="AJ1658" s="35"/>
      <c r="AK1658" s="35"/>
      <c r="AL1658" s="35"/>
    </row>
    <row r="1659">
      <c r="A1659" s="1"/>
      <c r="B1659" s="19" t="s">
        <v>7033</v>
      </c>
      <c r="C1659" s="20" t="s">
        <v>8448</v>
      </c>
      <c r="D1659" s="47"/>
      <c r="E1659" s="22" t="s">
        <v>6140</v>
      </c>
      <c r="F1659" s="22" t="s">
        <v>6118</v>
      </c>
      <c r="G1659" s="23">
        <v>2016.0</v>
      </c>
      <c r="H1659" s="22" t="s">
        <v>5489</v>
      </c>
      <c r="I1659" s="24" t="s">
        <v>8500</v>
      </c>
      <c r="J1659" s="22" t="s">
        <v>8501</v>
      </c>
      <c r="K1659" s="22" t="s">
        <v>157</v>
      </c>
      <c r="L1659" s="36" t="s">
        <v>8502</v>
      </c>
      <c r="M1659" s="36"/>
      <c r="N1659" s="36"/>
      <c r="O1659" s="36"/>
      <c r="P1659" s="37" t="s">
        <v>1028</v>
      </c>
      <c r="Q1659" s="36"/>
      <c r="R1659" s="36">
        <v>660.0</v>
      </c>
      <c r="S1659" s="36" t="s">
        <v>8503</v>
      </c>
      <c r="T1659" s="42" t="s">
        <v>8504</v>
      </c>
      <c r="U1659" s="38" t="str">
        <f>HYPERLINK("https://www.ncbi.nlm.nih.gov/pubmed/26981718","PubMed")</f>
        <v>PubMed</v>
      </c>
      <c r="V1659" s="50"/>
      <c r="W1659" s="49"/>
      <c r="X1659" s="49"/>
      <c r="Y1659" s="35"/>
      <c r="Z1659" s="35"/>
      <c r="AA1659" s="35"/>
      <c r="AB1659" s="35"/>
      <c r="AC1659" s="35"/>
      <c r="AD1659" s="35"/>
      <c r="AE1659" s="35"/>
      <c r="AF1659" s="35"/>
      <c r="AG1659" s="35"/>
      <c r="AH1659" s="35"/>
      <c r="AI1659" s="35"/>
      <c r="AJ1659" s="35"/>
      <c r="AK1659" s="35"/>
      <c r="AL1659" s="35"/>
    </row>
    <row r="1660">
      <c r="A1660" s="1"/>
      <c r="B1660" s="19" t="s">
        <v>7033</v>
      </c>
      <c r="C1660" s="20" t="s">
        <v>8448</v>
      </c>
      <c r="D1660" s="47"/>
      <c r="E1660" s="22" t="s">
        <v>8505</v>
      </c>
      <c r="F1660" s="22" t="s">
        <v>8506</v>
      </c>
      <c r="G1660" s="23">
        <v>2015.0</v>
      </c>
      <c r="H1660" s="22" t="s">
        <v>7056</v>
      </c>
      <c r="I1660" s="24" t="s">
        <v>8507</v>
      </c>
      <c r="J1660" s="22" t="s">
        <v>8508</v>
      </c>
      <c r="K1660" s="22" t="s">
        <v>8509</v>
      </c>
      <c r="L1660" s="36" t="s">
        <v>8510</v>
      </c>
      <c r="M1660" s="36"/>
      <c r="N1660" s="36"/>
      <c r="O1660" s="36"/>
      <c r="P1660" s="37"/>
      <c r="Q1660" s="36"/>
      <c r="R1660" s="36"/>
      <c r="S1660" s="36" t="s">
        <v>8511</v>
      </c>
      <c r="T1660" s="28" t="s">
        <v>8512</v>
      </c>
      <c r="U1660" s="38" t="str">
        <f>HYPERLINK("http://www.ncbi.nlm.nih.gov/pubmed/26031491","PubMed")</f>
        <v>PubMed</v>
      </c>
      <c r="V1660" s="50"/>
      <c r="W1660" s="49"/>
      <c r="X1660" s="49"/>
      <c r="Y1660" s="35"/>
      <c r="Z1660" s="35"/>
      <c r="AA1660" s="35"/>
      <c r="AB1660" s="35"/>
      <c r="AC1660" s="35"/>
      <c r="AD1660" s="35"/>
      <c r="AE1660" s="35"/>
      <c r="AF1660" s="35"/>
      <c r="AG1660" s="35"/>
      <c r="AH1660" s="35"/>
      <c r="AI1660" s="35"/>
      <c r="AJ1660" s="35"/>
      <c r="AK1660" s="35"/>
      <c r="AL1660" s="35"/>
    </row>
    <row r="1661">
      <c r="A1661" s="1"/>
      <c r="B1661" s="19" t="s">
        <v>7033</v>
      </c>
      <c r="C1661" s="20" t="s">
        <v>8448</v>
      </c>
      <c r="D1661" s="47"/>
      <c r="E1661" s="22" t="s">
        <v>6387</v>
      </c>
      <c r="F1661" s="22" t="s">
        <v>299</v>
      </c>
      <c r="G1661" s="23">
        <v>2014.0</v>
      </c>
      <c r="H1661" s="22" t="s">
        <v>7149</v>
      </c>
      <c r="I1661" s="24" t="s">
        <v>8513</v>
      </c>
      <c r="J1661" s="22" t="s">
        <v>8514</v>
      </c>
      <c r="K1661" s="22" t="s">
        <v>157</v>
      </c>
      <c r="L1661" s="36">
        <v>830.0</v>
      </c>
      <c r="M1661" s="36"/>
      <c r="N1661" s="36"/>
      <c r="O1661" s="36"/>
      <c r="P1661" s="37" t="s">
        <v>6491</v>
      </c>
      <c r="Q1661" s="36"/>
      <c r="R1661" s="36">
        <v>1200.0</v>
      </c>
      <c r="S1661" s="36" t="s">
        <v>8515</v>
      </c>
      <c r="T1661" s="28" t="s">
        <v>8516</v>
      </c>
      <c r="U1661" s="29" t="s">
        <v>61</v>
      </c>
      <c r="V1661" s="50"/>
      <c r="W1661" s="49"/>
      <c r="X1661" s="49"/>
      <c r="Y1661" s="35"/>
      <c r="Z1661" s="35"/>
      <c r="AA1661" s="35"/>
      <c r="AB1661" s="35"/>
      <c r="AC1661" s="35"/>
      <c r="AD1661" s="35"/>
      <c r="AE1661" s="35"/>
      <c r="AF1661" s="35"/>
      <c r="AG1661" s="35"/>
      <c r="AH1661" s="35"/>
      <c r="AI1661" s="35"/>
      <c r="AJ1661" s="35"/>
      <c r="AK1661" s="35"/>
      <c r="AL1661" s="35"/>
    </row>
    <row r="1662">
      <c r="A1662" s="1"/>
      <c r="B1662" s="19" t="s">
        <v>7033</v>
      </c>
      <c r="C1662" s="20" t="s">
        <v>8448</v>
      </c>
      <c r="D1662" s="47"/>
      <c r="E1662" s="22" t="s">
        <v>7225</v>
      </c>
      <c r="F1662" s="22" t="s">
        <v>5326</v>
      </c>
      <c r="G1662" s="23">
        <v>2010.0</v>
      </c>
      <c r="H1662" s="22" t="s">
        <v>53</v>
      </c>
      <c r="I1662" s="24" t="s">
        <v>8517</v>
      </c>
      <c r="J1662" s="22" t="s">
        <v>8518</v>
      </c>
      <c r="K1662" s="22" t="s">
        <v>157</v>
      </c>
      <c r="L1662" s="36">
        <v>805.0</v>
      </c>
      <c r="M1662" s="36"/>
      <c r="N1662" s="36" t="s">
        <v>1069</v>
      </c>
      <c r="O1662" s="36"/>
      <c r="P1662" s="37" t="s">
        <v>8519</v>
      </c>
      <c r="Q1662" s="36"/>
      <c r="R1662" s="36">
        <v>900.0</v>
      </c>
      <c r="S1662" s="36" t="s">
        <v>8520</v>
      </c>
      <c r="T1662" s="28" t="s">
        <v>8521</v>
      </c>
      <c r="U1662" s="38" t="str">
        <f>HYPERLINK("https://www.ncbi.nlm.nih.gov/pubmed/20662038","PubMed")</f>
        <v>PubMed</v>
      </c>
      <c r="V1662" s="50"/>
      <c r="W1662" s="49"/>
      <c r="X1662" s="49"/>
      <c r="Y1662" s="35"/>
      <c r="Z1662" s="35"/>
      <c r="AA1662" s="35"/>
      <c r="AB1662" s="35"/>
      <c r="AC1662" s="35"/>
      <c r="AD1662" s="35"/>
      <c r="AE1662" s="35"/>
      <c r="AF1662" s="35"/>
      <c r="AG1662" s="35"/>
      <c r="AH1662" s="35"/>
      <c r="AI1662" s="35"/>
      <c r="AJ1662" s="35"/>
      <c r="AK1662" s="35"/>
      <c r="AL1662" s="35"/>
    </row>
    <row r="1663">
      <c r="A1663" s="18" t="s">
        <v>2</v>
      </c>
      <c r="B1663" s="19" t="s">
        <v>7033</v>
      </c>
      <c r="C1663" s="20" t="s">
        <v>8448</v>
      </c>
      <c r="D1663" s="47"/>
      <c r="E1663" s="22" t="s">
        <v>8522</v>
      </c>
      <c r="F1663" s="22" t="s">
        <v>1603</v>
      </c>
      <c r="G1663" s="23">
        <v>2004.0</v>
      </c>
      <c r="H1663" s="22" t="s">
        <v>8523</v>
      </c>
      <c r="I1663" s="24" t="s">
        <v>8524</v>
      </c>
      <c r="J1663" s="22" t="s">
        <v>8525</v>
      </c>
      <c r="K1663" s="22"/>
      <c r="L1663" s="36">
        <v>670.0</v>
      </c>
      <c r="M1663" s="36">
        <v>400.0</v>
      </c>
      <c r="N1663" s="36"/>
      <c r="O1663" s="36"/>
      <c r="P1663" s="37" t="s">
        <v>254</v>
      </c>
      <c r="Q1663" s="36"/>
      <c r="R1663" s="36" t="s">
        <v>8526</v>
      </c>
      <c r="S1663" s="36" t="s">
        <v>2680</v>
      </c>
      <c r="T1663" s="28" t="s">
        <v>8527</v>
      </c>
      <c r="U1663" s="38" t="str">
        <f>HYPERLINK("https://www.ncbi.nlm.nih.gov/pubmed/15145195","PubMed")</f>
        <v>PubMed</v>
      </c>
      <c r="V1663" s="50"/>
      <c r="W1663" s="49"/>
      <c r="X1663" s="49"/>
      <c r="Y1663" s="35"/>
      <c r="Z1663" s="35"/>
      <c r="AA1663" s="35"/>
      <c r="AB1663" s="35"/>
      <c r="AC1663" s="35"/>
      <c r="AD1663" s="35"/>
      <c r="AE1663" s="35"/>
      <c r="AF1663" s="35"/>
      <c r="AG1663" s="35"/>
      <c r="AH1663" s="35"/>
      <c r="AI1663" s="35"/>
      <c r="AJ1663" s="35"/>
      <c r="AK1663" s="35"/>
      <c r="AL1663" s="35"/>
    </row>
    <row r="1664">
      <c r="A1664" s="1"/>
      <c r="B1664" s="19" t="s">
        <v>7033</v>
      </c>
      <c r="C1664" s="20" t="s">
        <v>8448</v>
      </c>
      <c r="D1664" s="47"/>
      <c r="E1664" s="22" t="s">
        <v>8528</v>
      </c>
      <c r="F1664" s="22" t="s">
        <v>1416</v>
      </c>
      <c r="G1664" s="23">
        <v>1992.0</v>
      </c>
      <c r="H1664" s="22" t="s">
        <v>292</v>
      </c>
      <c r="I1664" s="24" t="s">
        <v>8529</v>
      </c>
      <c r="J1664" s="22" t="s">
        <v>8530</v>
      </c>
      <c r="K1664" s="22"/>
      <c r="L1664" s="36" t="s">
        <v>8531</v>
      </c>
      <c r="M1664" s="36"/>
      <c r="N1664" s="36"/>
      <c r="O1664" s="36"/>
      <c r="P1664" s="37"/>
      <c r="Q1664" s="36"/>
      <c r="R1664" s="36"/>
      <c r="S1664" s="36"/>
      <c r="T1664" s="28" t="s">
        <v>8532</v>
      </c>
      <c r="U1664" s="38" t="str">
        <f>HYPERLINK("https://www.jstage.jst.go.jp/article/islsm/4/4/4_92-OR-18/_article","J-STAGE")</f>
        <v>J-STAGE</v>
      </c>
      <c r="V1664" s="50"/>
      <c r="W1664" s="49"/>
      <c r="X1664" s="49"/>
      <c r="Y1664" s="35"/>
      <c r="Z1664" s="35"/>
      <c r="AA1664" s="35"/>
      <c r="AB1664" s="35"/>
      <c r="AC1664" s="35"/>
      <c r="AD1664" s="35"/>
      <c r="AE1664" s="35"/>
      <c r="AF1664" s="35"/>
      <c r="AG1664" s="35"/>
      <c r="AH1664" s="35"/>
      <c r="AI1664" s="35"/>
      <c r="AJ1664" s="35"/>
      <c r="AK1664" s="35"/>
      <c r="AL1664" s="35"/>
    </row>
    <row r="1665">
      <c r="A1665" s="1"/>
      <c r="B1665" s="19" t="s">
        <v>7033</v>
      </c>
      <c r="C1665" s="20" t="s">
        <v>8533</v>
      </c>
      <c r="D1665" s="47"/>
      <c r="E1665" s="22" t="s">
        <v>5475</v>
      </c>
      <c r="F1665" s="22" t="s">
        <v>224</v>
      </c>
      <c r="G1665" s="23">
        <v>2021.0</v>
      </c>
      <c r="H1665" s="22" t="s">
        <v>1485</v>
      </c>
      <c r="I1665" s="24" t="s">
        <v>8534</v>
      </c>
      <c r="J1665" s="22" t="s">
        <v>31</v>
      </c>
      <c r="K1665" s="22" t="s">
        <v>157</v>
      </c>
      <c r="L1665" s="36">
        <v>630.0</v>
      </c>
      <c r="M1665" s="36"/>
      <c r="N1665" s="36" t="s">
        <v>7221</v>
      </c>
      <c r="O1665" s="36"/>
      <c r="P1665" s="37" t="s">
        <v>969</v>
      </c>
      <c r="Q1665" s="36"/>
      <c r="R1665" s="36"/>
      <c r="S1665" s="36"/>
      <c r="T1665" s="28" t="s">
        <v>8535</v>
      </c>
      <c r="U1665" s="29" t="s">
        <v>61</v>
      </c>
      <c r="V1665" s="50"/>
      <c r="W1665" s="49"/>
      <c r="X1665" s="49"/>
      <c r="Y1665" s="35"/>
      <c r="Z1665" s="35"/>
      <c r="AA1665" s="35"/>
      <c r="AB1665" s="35"/>
      <c r="AC1665" s="35"/>
      <c r="AD1665" s="35"/>
      <c r="AE1665" s="35"/>
      <c r="AF1665" s="35"/>
      <c r="AG1665" s="35"/>
      <c r="AH1665" s="35"/>
      <c r="AI1665" s="35"/>
      <c r="AJ1665" s="35"/>
      <c r="AK1665" s="35"/>
      <c r="AL1665" s="35"/>
    </row>
    <row r="1666">
      <c r="A1666" s="1"/>
      <c r="B1666" s="19" t="s">
        <v>7033</v>
      </c>
      <c r="C1666" s="20" t="s">
        <v>8533</v>
      </c>
      <c r="D1666" s="47"/>
      <c r="E1666" s="22" t="s">
        <v>8536</v>
      </c>
      <c r="F1666" s="22" t="s">
        <v>2705</v>
      </c>
      <c r="G1666" s="23">
        <v>2020.0</v>
      </c>
      <c r="H1666" s="22" t="s">
        <v>191</v>
      </c>
      <c r="I1666" s="24" t="s">
        <v>8537</v>
      </c>
      <c r="J1666" s="22" t="s">
        <v>31</v>
      </c>
      <c r="K1666" s="22" t="s">
        <v>8538</v>
      </c>
      <c r="L1666" s="36" t="s">
        <v>8539</v>
      </c>
      <c r="M1666" s="36"/>
      <c r="N1666" s="36"/>
      <c r="O1666" s="36"/>
      <c r="P1666" s="37" t="s">
        <v>5168</v>
      </c>
      <c r="Q1666" s="36"/>
      <c r="R1666" s="36"/>
      <c r="S1666" s="36"/>
      <c r="T1666" s="28" t="s">
        <v>8540</v>
      </c>
      <c r="U1666" s="29" t="s">
        <v>61</v>
      </c>
      <c r="V1666" s="50"/>
      <c r="W1666" s="49"/>
      <c r="X1666" s="49"/>
      <c r="Y1666" s="35"/>
      <c r="Z1666" s="35"/>
      <c r="AA1666" s="35"/>
      <c r="AB1666" s="35"/>
      <c r="AC1666" s="35"/>
      <c r="AD1666" s="35"/>
      <c r="AE1666" s="35"/>
      <c r="AF1666" s="35"/>
      <c r="AG1666" s="35"/>
      <c r="AH1666" s="35"/>
      <c r="AI1666" s="35"/>
      <c r="AJ1666" s="35"/>
      <c r="AK1666" s="35"/>
      <c r="AL1666" s="35"/>
    </row>
    <row r="1667">
      <c r="A1667" s="1"/>
      <c r="B1667" s="19" t="s">
        <v>7033</v>
      </c>
      <c r="C1667" s="20" t="s">
        <v>8533</v>
      </c>
      <c r="D1667" s="47"/>
      <c r="E1667" s="22" t="s">
        <v>493</v>
      </c>
      <c r="F1667" s="22" t="s">
        <v>6118</v>
      </c>
      <c r="G1667" s="23">
        <v>2017.0</v>
      </c>
      <c r="H1667" s="22" t="s">
        <v>7149</v>
      </c>
      <c r="I1667" s="24" t="s">
        <v>8541</v>
      </c>
      <c r="J1667" s="22" t="s">
        <v>31</v>
      </c>
      <c r="K1667" s="22"/>
      <c r="L1667" s="36" t="s">
        <v>8542</v>
      </c>
      <c r="M1667" s="36"/>
      <c r="N1667" s="36"/>
      <c r="O1667" s="36"/>
      <c r="P1667" s="37" t="s">
        <v>95</v>
      </c>
      <c r="Q1667" s="36"/>
      <c r="R1667" s="36"/>
      <c r="S1667" s="36" t="s">
        <v>7526</v>
      </c>
      <c r="T1667" s="28" t="s">
        <v>8543</v>
      </c>
      <c r="U1667" s="38" t="s">
        <v>61</v>
      </c>
      <c r="V1667" s="50"/>
      <c r="W1667" s="49"/>
      <c r="X1667" s="49"/>
      <c r="Y1667" s="35"/>
      <c r="Z1667" s="35"/>
      <c r="AA1667" s="35"/>
      <c r="AB1667" s="35"/>
      <c r="AC1667" s="35"/>
      <c r="AD1667" s="35"/>
      <c r="AE1667" s="35"/>
      <c r="AF1667" s="35"/>
      <c r="AG1667" s="35"/>
      <c r="AH1667" s="35"/>
      <c r="AI1667" s="35"/>
      <c r="AJ1667" s="35"/>
      <c r="AK1667" s="35"/>
      <c r="AL1667" s="35"/>
    </row>
    <row r="1668">
      <c r="A1668" s="1"/>
      <c r="B1668" s="19" t="s">
        <v>7033</v>
      </c>
      <c r="C1668" s="20" t="s">
        <v>8533</v>
      </c>
      <c r="D1668" s="47"/>
      <c r="E1668" s="22" t="s">
        <v>8544</v>
      </c>
      <c r="F1668" s="22" t="s">
        <v>5884</v>
      </c>
      <c r="G1668" s="23">
        <v>2016.0</v>
      </c>
      <c r="H1668" s="22" t="s">
        <v>207</v>
      </c>
      <c r="I1668" s="24" t="s">
        <v>8545</v>
      </c>
      <c r="J1668" s="22" t="s">
        <v>31</v>
      </c>
      <c r="K1668" s="22" t="s">
        <v>56</v>
      </c>
      <c r="L1668" s="36" t="s">
        <v>7894</v>
      </c>
      <c r="M1668" s="36"/>
      <c r="N1668" s="36"/>
      <c r="O1668" s="36"/>
      <c r="P1668" s="37" t="s">
        <v>7878</v>
      </c>
      <c r="Q1668" s="36"/>
      <c r="R1668" s="36"/>
      <c r="S1668" s="36"/>
      <c r="T1668" s="28" t="s">
        <v>8546</v>
      </c>
      <c r="U1668" s="38" t="str">
        <f>HYPERLINK("https://www.ncbi.nlm.nih.gov/pubmed/27588716","PubMed")</f>
        <v>PubMed</v>
      </c>
      <c r="V1668" s="50"/>
      <c r="W1668" s="49"/>
      <c r="X1668" s="49"/>
      <c r="Y1668" s="35"/>
      <c r="Z1668" s="35"/>
      <c r="AA1668" s="35"/>
      <c r="AB1668" s="35"/>
      <c r="AC1668" s="35"/>
      <c r="AD1668" s="35"/>
      <c r="AE1668" s="35"/>
      <c r="AF1668" s="35"/>
      <c r="AG1668" s="35"/>
      <c r="AH1668" s="35"/>
      <c r="AI1668" s="35"/>
      <c r="AJ1668" s="35"/>
      <c r="AK1668" s="35"/>
      <c r="AL1668" s="35"/>
    </row>
    <row r="1669">
      <c r="A1669" s="1"/>
      <c r="B1669" s="19" t="s">
        <v>7033</v>
      </c>
      <c r="C1669" s="20" t="s">
        <v>8533</v>
      </c>
      <c r="D1669" s="47"/>
      <c r="E1669" s="22" t="s">
        <v>7581</v>
      </c>
      <c r="F1669" s="22" t="s">
        <v>7413</v>
      </c>
      <c r="G1669" s="23">
        <v>2015.0</v>
      </c>
      <c r="H1669" s="22" t="s">
        <v>5489</v>
      </c>
      <c r="I1669" s="24" t="s">
        <v>8547</v>
      </c>
      <c r="J1669" s="22" t="s">
        <v>31</v>
      </c>
      <c r="K1669" s="22" t="s">
        <v>1785</v>
      </c>
      <c r="L1669" s="36">
        <v>633.0</v>
      </c>
      <c r="M1669" s="36"/>
      <c r="N1669" s="36"/>
      <c r="O1669" s="36"/>
      <c r="P1669" s="37" t="s">
        <v>8548</v>
      </c>
      <c r="Q1669" s="36"/>
      <c r="R1669" s="36"/>
      <c r="S1669" s="36"/>
      <c r="T1669" s="28" t="s">
        <v>8549</v>
      </c>
      <c r="U1669" s="38" t="str">
        <f>HYPERLINK("https://www.ncbi.nlm.nih.gov/pubmed/25485805","PubMed")</f>
        <v>PubMed</v>
      </c>
      <c r="V1669" s="50"/>
      <c r="W1669" s="49"/>
      <c r="X1669" s="49"/>
      <c r="Y1669" s="35"/>
      <c r="Z1669" s="35"/>
      <c r="AA1669" s="35"/>
      <c r="AB1669" s="35"/>
      <c r="AC1669" s="35"/>
      <c r="AD1669" s="35"/>
      <c r="AE1669" s="35"/>
      <c r="AF1669" s="35"/>
      <c r="AG1669" s="35"/>
      <c r="AH1669" s="35"/>
      <c r="AI1669" s="35"/>
      <c r="AJ1669" s="35"/>
      <c r="AK1669" s="35"/>
      <c r="AL1669" s="35"/>
    </row>
    <row r="1670">
      <c r="A1670" s="1"/>
      <c r="B1670" s="19" t="s">
        <v>7033</v>
      </c>
      <c r="C1670" s="20" t="s">
        <v>8533</v>
      </c>
      <c r="D1670" s="47"/>
      <c r="E1670" s="22" t="s">
        <v>7412</v>
      </c>
      <c r="F1670" s="22" t="s">
        <v>7413</v>
      </c>
      <c r="G1670" s="23">
        <v>2015.0</v>
      </c>
      <c r="H1670" s="22" t="s">
        <v>8086</v>
      </c>
      <c r="I1670" s="24" t="s">
        <v>8550</v>
      </c>
      <c r="J1670" s="22" t="s">
        <v>125</v>
      </c>
      <c r="K1670" s="22"/>
      <c r="L1670" s="43" t="s">
        <v>8551</v>
      </c>
      <c r="M1670" s="44"/>
      <c r="N1670" s="44"/>
      <c r="O1670" s="44"/>
      <c r="P1670" s="44"/>
      <c r="Q1670" s="44"/>
      <c r="R1670" s="44"/>
      <c r="S1670" s="44"/>
      <c r="T1670" s="45"/>
      <c r="U1670" s="38" t="str">
        <f>HYPERLINK("https://www.ncbi.nlm.nih.gov/pubmed/24033440","PubMed")</f>
        <v>PubMed</v>
      </c>
      <c r="V1670" s="50"/>
      <c r="W1670" s="49"/>
      <c r="X1670" s="49"/>
      <c r="Y1670" s="35"/>
      <c r="Z1670" s="35"/>
      <c r="AA1670" s="35"/>
      <c r="AB1670" s="35"/>
      <c r="AC1670" s="35"/>
      <c r="AD1670" s="35"/>
      <c r="AE1670" s="35"/>
      <c r="AF1670" s="35"/>
      <c r="AG1670" s="35"/>
      <c r="AH1670" s="35"/>
      <c r="AI1670" s="35"/>
      <c r="AJ1670" s="35"/>
      <c r="AK1670" s="35"/>
      <c r="AL1670" s="35"/>
    </row>
    <row r="1671">
      <c r="A1671" s="1"/>
      <c r="B1671" s="19" t="s">
        <v>7033</v>
      </c>
      <c r="C1671" s="20" t="s">
        <v>8533</v>
      </c>
      <c r="D1671" s="47"/>
      <c r="E1671" s="22" t="s">
        <v>8552</v>
      </c>
      <c r="F1671" s="22" t="s">
        <v>41</v>
      </c>
      <c r="G1671" s="23">
        <v>2011.0</v>
      </c>
      <c r="H1671" s="22" t="s">
        <v>309</v>
      </c>
      <c r="I1671" s="24" t="s">
        <v>8553</v>
      </c>
      <c r="J1671" s="22" t="s">
        <v>31</v>
      </c>
      <c r="K1671" s="22" t="s">
        <v>157</v>
      </c>
      <c r="L1671" s="36">
        <v>470.0</v>
      </c>
      <c r="M1671" s="36"/>
      <c r="N1671" s="36"/>
      <c r="O1671" s="36" t="s">
        <v>2670</v>
      </c>
      <c r="P1671" s="37"/>
      <c r="Q1671" s="36"/>
      <c r="R1671" s="36"/>
      <c r="S1671" s="36"/>
      <c r="T1671" s="41" t="s">
        <v>8554</v>
      </c>
      <c r="U1671" s="38" t="s">
        <v>61</v>
      </c>
      <c r="V1671" s="50"/>
      <c r="W1671" s="49"/>
      <c r="X1671" s="49"/>
      <c r="Y1671" s="35"/>
      <c r="Z1671" s="35"/>
      <c r="AA1671" s="35"/>
      <c r="AB1671" s="35"/>
      <c r="AC1671" s="35"/>
      <c r="AD1671" s="35"/>
      <c r="AE1671" s="35"/>
      <c r="AF1671" s="35"/>
      <c r="AG1671" s="35"/>
      <c r="AH1671" s="35"/>
      <c r="AI1671" s="35"/>
      <c r="AJ1671" s="35"/>
      <c r="AK1671" s="35"/>
      <c r="AL1671" s="35"/>
    </row>
    <row r="1672">
      <c r="A1672" s="1"/>
      <c r="B1672" s="19" t="s">
        <v>7033</v>
      </c>
      <c r="C1672" s="20" t="s">
        <v>8533</v>
      </c>
      <c r="D1672" s="47"/>
      <c r="E1672" s="22" t="s">
        <v>8555</v>
      </c>
      <c r="F1672" s="22" t="s">
        <v>1370</v>
      </c>
      <c r="G1672" s="23">
        <v>2003.0</v>
      </c>
      <c r="H1672" s="22" t="s">
        <v>207</v>
      </c>
      <c r="I1672" s="24" t="s">
        <v>8556</v>
      </c>
      <c r="J1672" s="22" t="s">
        <v>31</v>
      </c>
      <c r="K1672" s="22"/>
      <c r="L1672" s="36">
        <v>880.0</v>
      </c>
      <c r="M1672" s="36">
        <v>16.0</v>
      </c>
      <c r="N1672" s="36"/>
      <c r="O1672" s="36"/>
      <c r="P1672" s="37" t="s">
        <v>8557</v>
      </c>
      <c r="Q1672" s="36"/>
      <c r="R1672" s="36"/>
      <c r="S1672" s="36"/>
      <c r="T1672" s="42" t="s">
        <v>8558</v>
      </c>
      <c r="U1672" s="38" t="str">
        <f>HYPERLINK("https://www.ncbi.nlm.nih.gov/pubmed/12745245","PubMed")</f>
        <v>PubMed</v>
      </c>
      <c r="V1672" s="50"/>
      <c r="W1672" s="49"/>
      <c r="X1672" s="49"/>
      <c r="Y1672" s="35"/>
      <c r="Z1672" s="35"/>
      <c r="AA1672" s="35"/>
      <c r="AB1672" s="35"/>
      <c r="AC1672" s="35"/>
      <c r="AD1672" s="35"/>
      <c r="AE1672" s="35"/>
      <c r="AF1672" s="35"/>
      <c r="AG1672" s="35"/>
      <c r="AH1672" s="35"/>
      <c r="AI1672" s="35"/>
      <c r="AJ1672" s="35"/>
      <c r="AK1672" s="35"/>
      <c r="AL1672" s="35"/>
    </row>
    <row r="1673">
      <c r="A1673" s="1"/>
      <c r="B1673" s="19" t="s">
        <v>7033</v>
      </c>
      <c r="C1673" s="20" t="s">
        <v>8533</v>
      </c>
      <c r="D1673" s="47"/>
      <c r="E1673" s="22" t="s">
        <v>8559</v>
      </c>
      <c r="F1673" s="22" t="s">
        <v>1370</v>
      </c>
      <c r="G1673" s="23">
        <v>1998.0</v>
      </c>
      <c r="H1673" s="22" t="s">
        <v>53</v>
      </c>
      <c r="I1673" s="24" t="s">
        <v>8560</v>
      </c>
      <c r="J1673" s="22" t="s">
        <v>31</v>
      </c>
      <c r="K1673" s="22"/>
      <c r="L1673" s="36">
        <v>660.0</v>
      </c>
      <c r="M1673" s="36">
        <v>17.0</v>
      </c>
      <c r="N1673" s="36"/>
      <c r="O1673" s="36"/>
      <c r="P1673" s="37" t="s">
        <v>8557</v>
      </c>
      <c r="Q1673" s="36"/>
      <c r="R1673" s="36"/>
      <c r="S1673" s="36"/>
      <c r="T1673" s="42" t="s">
        <v>8561</v>
      </c>
      <c r="U1673" s="38" t="str">
        <f>HYPERLINK("https://www.ncbi.nlm.nih.gov/pubmed/9671996","PubMed")</f>
        <v>PubMed</v>
      </c>
      <c r="V1673" s="50"/>
      <c r="W1673" s="49"/>
      <c r="X1673" s="49"/>
      <c r="Y1673" s="35"/>
      <c r="Z1673" s="35"/>
      <c r="AA1673" s="35"/>
      <c r="AB1673" s="35"/>
      <c r="AC1673" s="35"/>
      <c r="AD1673" s="35"/>
      <c r="AE1673" s="35"/>
      <c r="AF1673" s="35"/>
      <c r="AG1673" s="35"/>
      <c r="AH1673" s="35"/>
      <c r="AI1673" s="35"/>
      <c r="AJ1673" s="35"/>
      <c r="AK1673" s="35"/>
      <c r="AL1673" s="35"/>
    </row>
    <row r="1674">
      <c r="A1674" s="40"/>
      <c r="B1674" s="19" t="s">
        <v>7033</v>
      </c>
      <c r="C1674" s="20" t="s">
        <v>8562</v>
      </c>
      <c r="D1674" s="47"/>
      <c r="E1674" s="22" t="s">
        <v>175</v>
      </c>
      <c r="F1674" s="22" t="s">
        <v>1398</v>
      </c>
      <c r="G1674" s="23">
        <v>2023.0</v>
      </c>
      <c r="H1674" s="22" t="s">
        <v>7420</v>
      </c>
      <c r="I1674" s="24" t="s">
        <v>8563</v>
      </c>
      <c r="J1674" s="22" t="s">
        <v>8564</v>
      </c>
      <c r="K1674" s="22"/>
      <c r="L1674" s="36" t="s">
        <v>8565</v>
      </c>
      <c r="M1674" s="36"/>
      <c r="N1674" s="36" t="s">
        <v>8566</v>
      </c>
      <c r="O1674" s="36"/>
      <c r="P1674" s="37" t="s">
        <v>2746</v>
      </c>
      <c r="Q1674" s="36"/>
      <c r="R1674" s="36"/>
      <c r="S1674" s="36"/>
      <c r="T1674" s="54" t="s">
        <v>8567</v>
      </c>
      <c r="U1674" s="29"/>
      <c r="V1674" s="50"/>
      <c r="W1674" s="49"/>
      <c r="X1674" s="49"/>
      <c r="Y1674" s="35"/>
      <c r="Z1674" s="35"/>
      <c r="AA1674" s="35"/>
      <c r="AB1674" s="35"/>
      <c r="AC1674" s="35"/>
      <c r="AD1674" s="35"/>
      <c r="AE1674" s="35"/>
      <c r="AF1674" s="35"/>
      <c r="AG1674" s="35"/>
      <c r="AH1674" s="35"/>
      <c r="AI1674" s="35"/>
      <c r="AJ1674" s="35"/>
      <c r="AK1674" s="35"/>
      <c r="AL1674" s="35"/>
    </row>
    <row r="1675">
      <c r="A1675" s="40" t="s">
        <v>181</v>
      </c>
      <c r="B1675" s="19" t="s">
        <v>7033</v>
      </c>
      <c r="C1675" s="20" t="s">
        <v>8568</v>
      </c>
      <c r="D1675" s="47"/>
      <c r="E1675" s="22" t="s">
        <v>8569</v>
      </c>
      <c r="F1675" s="22" t="s">
        <v>8570</v>
      </c>
      <c r="G1675" s="23">
        <v>2021.0</v>
      </c>
      <c r="H1675" s="22" t="s">
        <v>8571</v>
      </c>
      <c r="I1675" s="24" t="s">
        <v>8572</v>
      </c>
      <c r="J1675" s="22" t="s">
        <v>8573</v>
      </c>
      <c r="K1675" s="22"/>
      <c r="L1675" s="36" t="s">
        <v>8574</v>
      </c>
      <c r="M1675" s="36"/>
      <c r="N1675" s="36" t="s">
        <v>4039</v>
      </c>
      <c r="O1675" s="36"/>
      <c r="P1675" s="37"/>
      <c r="Q1675" s="36"/>
      <c r="R1675" s="36">
        <v>1200.0</v>
      </c>
      <c r="S1675" s="36">
        <v>3.0</v>
      </c>
      <c r="T1675" s="137" t="s">
        <v>8575</v>
      </c>
      <c r="U1675" s="29" t="s">
        <v>61</v>
      </c>
      <c r="V1675" s="50"/>
      <c r="W1675" s="49"/>
      <c r="X1675" s="49"/>
      <c r="Y1675" s="35"/>
      <c r="Z1675" s="35"/>
      <c r="AA1675" s="35"/>
      <c r="AB1675" s="35"/>
      <c r="AC1675" s="35"/>
      <c r="AD1675" s="35"/>
      <c r="AE1675" s="35"/>
      <c r="AF1675" s="35"/>
      <c r="AG1675" s="35"/>
      <c r="AH1675" s="35"/>
      <c r="AI1675" s="35"/>
      <c r="AJ1675" s="35"/>
      <c r="AK1675" s="35"/>
      <c r="AL1675" s="35"/>
    </row>
    <row r="1676">
      <c r="A1676" s="1"/>
      <c r="B1676" s="19" t="s">
        <v>7033</v>
      </c>
      <c r="C1676" s="20" t="s">
        <v>8576</v>
      </c>
      <c r="D1676" s="47"/>
      <c r="E1676" s="22" t="s">
        <v>8577</v>
      </c>
      <c r="F1676" s="22" t="s">
        <v>8578</v>
      </c>
      <c r="G1676" s="23">
        <v>2020.0</v>
      </c>
      <c r="H1676" s="22" t="s">
        <v>5348</v>
      </c>
      <c r="I1676" s="24" t="s">
        <v>8579</v>
      </c>
      <c r="J1676" s="22" t="s">
        <v>8580</v>
      </c>
      <c r="K1676" s="22" t="s">
        <v>157</v>
      </c>
      <c r="L1676" s="36">
        <v>630.0</v>
      </c>
      <c r="M1676" s="36"/>
      <c r="N1676" s="36"/>
      <c r="O1676" s="36"/>
      <c r="P1676" s="37"/>
      <c r="Q1676" s="36"/>
      <c r="R1676" s="36"/>
      <c r="S1676" s="36" t="s">
        <v>8581</v>
      </c>
      <c r="T1676" s="137" t="s">
        <v>8582</v>
      </c>
      <c r="U1676" s="38" t="str">
        <f>HYPERLINK("https://www.ncbi.nlm.nih.gov/pubmed/32118019","PubMed")</f>
        <v>PubMed</v>
      </c>
      <c r="V1676" s="50"/>
      <c r="W1676" s="49"/>
      <c r="X1676" s="49"/>
      <c r="Y1676" s="35"/>
      <c r="Z1676" s="35"/>
      <c r="AA1676" s="35"/>
      <c r="AB1676" s="35"/>
      <c r="AC1676" s="35"/>
      <c r="AD1676" s="35"/>
      <c r="AE1676" s="35"/>
      <c r="AF1676" s="35"/>
      <c r="AG1676" s="35"/>
      <c r="AH1676" s="35"/>
      <c r="AI1676" s="35"/>
      <c r="AJ1676" s="35"/>
      <c r="AK1676" s="35"/>
      <c r="AL1676" s="35"/>
    </row>
    <row r="1677">
      <c r="A1677" s="1"/>
      <c r="B1677" s="19" t="s">
        <v>7033</v>
      </c>
      <c r="C1677" s="20" t="s">
        <v>8576</v>
      </c>
      <c r="D1677" s="47"/>
      <c r="E1677" s="22" t="s">
        <v>4595</v>
      </c>
      <c r="F1677" s="22" t="s">
        <v>299</v>
      </c>
      <c r="G1677" s="23">
        <v>2013.0</v>
      </c>
      <c r="H1677" s="22" t="s">
        <v>91</v>
      </c>
      <c r="I1677" s="24" t="s">
        <v>8583</v>
      </c>
      <c r="J1677" s="22" t="s">
        <v>8584</v>
      </c>
      <c r="K1677" s="22" t="s">
        <v>56</v>
      </c>
      <c r="L1677" s="36" t="s">
        <v>4772</v>
      </c>
      <c r="M1677" s="36"/>
      <c r="N1677" s="36" t="s">
        <v>3587</v>
      </c>
      <c r="O1677" s="36"/>
      <c r="P1677" s="37" t="s">
        <v>8585</v>
      </c>
      <c r="Q1677" s="36"/>
      <c r="R1677" s="36">
        <v>180.0</v>
      </c>
      <c r="S1677" s="36" t="s">
        <v>8586</v>
      </c>
      <c r="T1677" s="137" t="s">
        <v>8587</v>
      </c>
      <c r="U1677" s="38" t="str">
        <f>HYPERLINK("https://www.ncbi.nlm.nih.gov/pubmed/23397274","PubMed")</f>
        <v>PubMed</v>
      </c>
      <c r="V1677" s="50"/>
      <c r="W1677" s="49"/>
      <c r="X1677" s="49"/>
      <c r="Y1677" s="35"/>
      <c r="Z1677" s="35"/>
      <c r="AA1677" s="35"/>
      <c r="AB1677" s="35"/>
      <c r="AC1677" s="35"/>
      <c r="AD1677" s="35"/>
      <c r="AE1677" s="35"/>
      <c r="AF1677" s="35"/>
      <c r="AG1677" s="35"/>
      <c r="AH1677" s="35"/>
      <c r="AI1677" s="35"/>
      <c r="AJ1677" s="35"/>
      <c r="AK1677" s="35"/>
      <c r="AL1677" s="35"/>
    </row>
    <row r="1678">
      <c r="A1678" s="1"/>
      <c r="B1678" s="19" t="s">
        <v>7033</v>
      </c>
      <c r="C1678" s="20" t="s">
        <v>8588</v>
      </c>
      <c r="D1678" s="47"/>
      <c r="E1678" s="22" t="s">
        <v>8589</v>
      </c>
      <c r="F1678" s="22" t="s">
        <v>8590</v>
      </c>
      <c r="G1678" s="23">
        <v>2019.0</v>
      </c>
      <c r="H1678" s="22" t="s">
        <v>627</v>
      </c>
      <c r="I1678" s="24" t="s">
        <v>8591</v>
      </c>
      <c r="J1678" s="22" t="s">
        <v>8592</v>
      </c>
      <c r="K1678" s="22"/>
      <c r="L1678" s="36" t="s">
        <v>8593</v>
      </c>
      <c r="M1678" s="36"/>
      <c r="N1678" s="36"/>
      <c r="O1678" s="36"/>
      <c r="P1678" s="37"/>
      <c r="Q1678" s="36"/>
      <c r="R1678" s="36"/>
      <c r="S1678" s="36"/>
      <c r="T1678" s="237" t="s">
        <v>8594</v>
      </c>
      <c r="U1678" s="38" t="str">
        <f>HYPERLINK("https://www.ncbi.nlm.nih.gov/pubmed/31291308","PubMed")</f>
        <v>PubMed</v>
      </c>
      <c r="V1678" s="50"/>
      <c r="W1678" s="49"/>
      <c r="X1678" s="49"/>
      <c r="Y1678" s="35"/>
      <c r="Z1678" s="35"/>
      <c r="AA1678" s="35"/>
      <c r="AB1678" s="35"/>
      <c r="AC1678" s="35"/>
      <c r="AD1678" s="35"/>
      <c r="AE1678" s="35"/>
      <c r="AF1678" s="35"/>
      <c r="AG1678" s="35"/>
      <c r="AH1678" s="35"/>
      <c r="AI1678" s="35"/>
      <c r="AJ1678" s="35"/>
      <c r="AK1678" s="35"/>
      <c r="AL1678" s="35"/>
    </row>
    <row r="1679">
      <c r="A1679" s="1"/>
      <c r="B1679" s="19" t="s">
        <v>7033</v>
      </c>
      <c r="C1679" s="20" t="s">
        <v>8595</v>
      </c>
      <c r="D1679" s="47"/>
      <c r="E1679" s="22" t="s">
        <v>8596</v>
      </c>
      <c r="F1679" s="22" t="s">
        <v>8597</v>
      </c>
      <c r="G1679" s="23">
        <v>2018.0</v>
      </c>
      <c r="H1679" s="22" t="s">
        <v>3292</v>
      </c>
      <c r="I1679" s="24" t="s">
        <v>8598</v>
      </c>
      <c r="J1679" s="22" t="s">
        <v>8599</v>
      </c>
      <c r="K1679" s="22" t="s">
        <v>8600</v>
      </c>
      <c r="L1679" s="36">
        <v>656.0</v>
      </c>
      <c r="M1679" s="36"/>
      <c r="N1679" s="36" t="s">
        <v>8601</v>
      </c>
      <c r="O1679" s="36"/>
      <c r="P1679" s="37" t="s">
        <v>8602</v>
      </c>
      <c r="Q1679" s="36"/>
      <c r="R1679" s="36"/>
      <c r="S1679" s="36" t="s">
        <v>8603</v>
      </c>
      <c r="T1679" s="42" t="s">
        <v>8604</v>
      </c>
      <c r="U1679" s="38" t="str">
        <f>HYPERLINK("https://www.ncbi.nlm.nih.gov/pubmed/30520139","PubMed")</f>
        <v>PubMed</v>
      </c>
      <c r="V1679" s="50"/>
      <c r="W1679" s="49"/>
      <c r="X1679" s="49"/>
      <c r="Y1679" s="35"/>
      <c r="Z1679" s="35"/>
      <c r="AA1679" s="35"/>
      <c r="AB1679" s="35"/>
      <c r="AC1679" s="35"/>
      <c r="AD1679" s="35"/>
      <c r="AE1679" s="35"/>
      <c r="AF1679" s="35"/>
      <c r="AG1679" s="35"/>
      <c r="AH1679" s="35"/>
      <c r="AI1679" s="35"/>
      <c r="AJ1679" s="35"/>
      <c r="AK1679" s="35"/>
      <c r="AL1679" s="35"/>
    </row>
    <row r="1680">
      <c r="A1680" s="40"/>
      <c r="B1680" s="19" t="s">
        <v>7033</v>
      </c>
      <c r="C1680" s="20" t="s">
        <v>8605</v>
      </c>
      <c r="D1680" s="47"/>
      <c r="E1680" s="22" t="s">
        <v>8606</v>
      </c>
      <c r="F1680" s="22"/>
      <c r="G1680" s="23">
        <v>1984.0</v>
      </c>
      <c r="H1680" s="22" t="s">
        <v>4975</v>
      </c>
      <c r="I1680" s="24" t="s">
        <v>8607</v>
      </c>
      <c r="J1680" s="22" t="s">
        <v>8608</v>
      </c>
      <c r="K1680" s="22" t="s">
        <v>56</v>
      </c>
      <c r="L1680" s="36" t="s">
        <v>8609</v>
      </c>
      <c r="M1680" s="36"/>
      <c r="N1680" s="36"/>
      <c r="O1680" s="36"/>
      <c r="P1680" s="37"/>
      <c r="Q1680" s="36"/>
      <c r="R1680" s="36"/>
      <c r="S1680" s="36"/>
      <c r="T1680" s="42" t="s">
        <v>8610</v>
      </c>
      <c r="U1680" s="38" t="str">
        <f>HYPERLINK("https://www.ncbi.nlm.nih.gov/pubmed/6739557","PubMed")</f>
        <v>PubMed</v>
      </c>
      <c r="V1680" s="50"/>
      <c r="W1680" s="49"/>
      <c r="X1680" s="49"/>
      <c r="Y1680" s="35"/>
      <c r="Z1680" s="35"/>
      <c r="AA1680" s="35"/>
      <c r="AB1680" s="35"/>
      <c r="AC1680" s="35"/>
      <c r="AD1680" s="35"/>
      <c r="AE1680" s="35"/>
      <c r="AF1680" s="35"/>
      <c r="AG1680" s="35"/>
      <c r="AH1680" s="35"/>
      <c r="AI1680" s="35"/>
      <c r="AJ1680" s="35"/>
      <c r="AK1680" s="35"/>
      <c r="AL1680" s="35"/>
    </row>
    <row r="1681">
      <c r="A1681" s="40"/>
      <c r="B1681" s="19" t="s">
        <v>7033</v>
      </c>
      <c r="C1681" s="20" t="s">
        <v>8611</v>
      </c>
      <c r="D1681" s="47"/>
      <c r="E1681" s="22" t="s">
        <v>8612</v>
      </c>
      <c r="F1681" s="22" t="s">
        <v>41</v>
      </c>
      <c r="G1681" s="23">
        <v>2014.0</v>
      </c>
      <c r="H1681" s="22" t="s">
        <v>91</v>
      </c>
      <c r="I1681" s="24" t="s">
        <v>8613</v>
      </c>
      <c r="J1681" s="22" t="s">
        <v>55</v>
      </c>
      <c r="K1681" s="22" t="s">
        <v>6000</v>
      </c>
      <c r="L1681" s="36" t="s">
        <v>8614</v>
      </c>
      <c r="M1681" s="36" t="s">
        <v>8615</v>
      </c>
      <c r="N1681" s="36"/>
      <c r="O1681" s="36"/>
      <c r="P1681" s="37"/>
      <c r="Q1681" s="36"/>
      <c r="R1681" s="36"/>
      <c r="S1681" s="36"/>
      <c r="T1681" s="42" t="s">
        <v>8616</v>
      </c>
      <c r="U1681" s="38" t="str">
        <f>HYPERLINK("https://www.ncbi.nlm.nih.gov/pubmed/24337394","PubMed")</f>
        <v>PubMed</v>
      </c>
      <c r="V1681" s="50"/>
      <c r="W1681" s="49"/>
      <c r="X1681" s="49"/>
      <c r="Y1681" s="35"/>
      <c r="Z1681" s="35"/>
      <c r="AA1681" s="35"/>
      <c r="AB1681" s="35"/>
      <c r="AC1681" s="35"/>
      <c r="AD1681" s="35"/>
      <c r="AE1681" s="35"/>
      <c r="AF1681" s="35"/>
      <c r="AG1681" s="35"/>
      <c r="AH1681" s="35"/>
      <c r="AI1681" s="35"/>
      <c r="AJ1681" s="35"/>
      <c r="AK1681" s="35"/>
      <c r="AL1681" s="35"/>
    </row>
    <row r="1682">
      <c r="A1682" s="1"/>
      <c r="B1682" s="19" t="s">
        <v>7033</v>
      </c>
      <c r="C1682" s="20" t="s">
        <v>8617</v>
      </c>
      <c r="D1682" s="47"/>
      <c r="E1682" s="22" t="s">
        <v>8618</v>
      </c>
      <c r="F1682" s="22" t="s">
        <v>7630</v>
      </c>
      <c r="G1682" s="23">
        <v>2024.0</v>
      </c>
      <c r="H1682" s="22" t="s">
        <v>116</v>
      </c>
      <c r="I1682" s="24" t="s">
        <v>8619</v>
      </c>
      <c r="J1682" s="22" t="s">
        <v>8620</v>
      </c>
      <c r="K1682" s="22" t="s">
        <v>8621</v>
      </c>
      <c r="L1682" s="36">
        <v>660.0</v>
      </c>
      <c r="M1682" s="36"/>
      <c r="N1682" s="36"/>
      <c r="O1682" s="36"/>
      <c r="P1682" s="37"/>
      <c r="Q1682" s="36"/>
      <c r="R1682" s="36"/>
      <c r="S1682" s="36"/>
      <c r="T1682" s="28" t="s">
        <v>8622</v>
      </c>
      <c r="U1682" s="38" t="s">
        <v>61</v>
      </c>
      <c r="V1682" s="50"/>
      <c r="W1682" s="49"/>
      <c r="X1682" s="49"/>
      <c r="Y1682" s="35"/>
      <c r="Z1682" s="35"/>
      <c r="AA1682" s="35"/>
      <c r="AB1682" s="35"/>
      <c r="AC1682" s="35"/>
      <c r="AD1682" s="35"/>
      <c r="AE1682" s="35"/>
      <c r="AF1682" s="35"/>
      <c r="AG1682" s="35"/>
      <c r="AH1682" s="35"/>
      <c r="AI1682" s="35"/>
      <c r="AJ1682" s="35"/>
      <c r="AK1682" s="35"/>
      <c r="AL1682" s="35"/>
    </row>
    <row r="1683">
      <c r="A1683" s="1"/>
      <c r="B1683" s="19" t="s">
        <v>7033</v>
      </c>
      <c r="C1683" s="20" t="s">
        <v>8617</v>
      </c>
      <c r="D1683" s="47"/>
      <c r="E1683" s="22" t="s">
        <v>493</v>
      </c>
      <c r="F1683" s="22" t="s">
        <v>299</v>
      </c>
      <c r="G1683" s="23">
        <v>2024.0</v>
      </c>
      <c r="H1683" s="22" t="s">
        <v>8623</v>
      </c>
      <c r="I1683" s="24" t="s">
        <v>8624</v>
      </c>
      <c r="J1683" s="22" t="s">
        <v>209</v>
      </c>
      <c r="K1683" s="22"/>
      <c r="L1683" s="36" t="s">
        <v>8625</v>
      </c>
      <c r="M1683" s="36"/>
      <c r="N1683" s="36"/>
      <c r="O1683" s="36"/>
      <c r="P1683" s="37" t="s">
        <v>8626</v>
      </c>
      <c r="Q1683" s="36"/>
      <c r="R1683" s="36"/>
      <c r="S1683" s="36"/>
      <c r="T1683" s="28" t="s">
        <v>8627</v>
      </c>
      <c r="U1683" s="38" t="s">
        <v>61</v>
      </c>
      <c r="V1683" s="50"/>
      <c r="W1683" s="49"/>
      <c r="X1683" s="49"/>
      <c r="Y1683" s="35"/>
      <c r="Z1683" s="35"/>
      <c r="AA1683" s="35"/>
      <c r="AB1683" s="35"/>
      <c r="AC1683" s="35"/>
      <c r="AD1683" s="35"/>
      <c r="AE1683" s="35"/>
      <c r="AF1683" s="35"/>
      <c r="AG1683" s="35"/>
      <c r="AH1683" s="35"/>
      <c r="AI1683" s="35"/>
      <c r="AJ1683" s="35"/>
      <c r="AK1683" s="35"/>
      <c r="AL1683" s="35"/>
    </row>
    <row r="1684">
      <c r="A1684" s="40"/>
      <c r="B1684" s="19" t="s">
        <v>7033</v>
      </c>
      <c r="C1684" s="20" t="s">
        <v>8617</v>
      </c>
      <c r="D1684" s="47"/>
      <c r="E1684" s="22" t="s">
        <v>4595</v>
      </c>
      <c r="F1684" s="22" t="s">
        <v>299</v>
      </c>
      <c r="G1684" s="23">
        <v>2024.0</v>
      </c>
      <c r="H1684" s="22" t="s">
        <v>91</v>
      </c>
      <c r="I1684" s="24" t="s">
        <v>8628</v>
      </c>
      <c r="J1684" s="22" t="s">
        <v>8629</v>
      </c>
      <c r="K1684" s="22" t="s">
        <v>157</v>
      </c>
      <c r="L1684" s="36">
        <v>630.0</v>
      </c>
      <c r="M1684" s="36"/>
      <c r="N1684" s="36" t="s">
        <v>1018</v>
      </c>
      <c r="O1684" s="36"/>
      <c r="P1684" s="37"/>
      <c r="Q1684" s="36"/>
      <c r="R1684" s="36">
        <v>360.0</v>
      </c>
      <c r="S1684" s="36" t="s">
        <v>2680</v>
      </c>
      <c r="T1684" s="28"/>
      <c r="U1684" s="38" t="s">
        <v>61</v>
      </c>
      <c r="V1684" s="30"/>
      <c r="W1684" s="49"/>
      <c r="X1684" s="49"/>
      <c r="Y1684" s="35"/>
      <c r="Z1684" s="35"/>
      <c r="AA1684" s="35"/>
      <c r="AB1684" s="35"/>
      <c r="AC1684" s="35"/>
      <c r="AD1684" s="35"/>
      <c r="AE1684" s="35"/>
      <c r="AF1684" s="35"/>
      <c r="AG1684" s="35"/>
      <c r="AH1684" s="35"/>
      <c r="AI1684" s="35"/>
      <c r="AJ1684" s="35"/>
      <c r="AK1684" s="35"/>
      <c r="AL1684" s="35"/>
    </row>
    <row r="1685">
      <c r="A1685" s="40"/>
      <c r="B1685" s="19" t="s">
        <v>7033</v>
      </c>
      <c r="C1685" s="20" t="s">
        <v>8617</v>
      </c>
      <c r="D1685" s="47"/>
      <c r="E1685" s="22" t="s">
        <v>8630</v>
      </c>
      <c r="F1685" s="22" t="s">
        <v>8631</v>
      </c>
      <c r="G1685" s="23">
        <v>2023.0</v>
      </c>
      <c r="H1685" s="22" t="s">
        <v>5043</v>
      </c>
      <c r="I1685" s="24" t="s">
        <v>8632</v>
      </c>
      <c r="J1685" s="22" t="s">
        <v>8633</v>
      </c>
      <c r="K1685" s="22" t="s">
        <v>8634</v>
      </c>
      <c r="L1685" s="36">
        <v>630.0</v>
      </c>
      <c r="M1685" s="36">
        <v>10100.0</v>
      </c>
      <c r="N1685" s="36" t="s">
        <v>8635</v>
      </c>
      <c r="O1685" s="36" t="s">
        <v>58</v>
      </c>
      <c r="P1685" s="37" t="s">
        <v>8636</v>
      </c>
      <c r="Q1685" s="36" t="s">
        <v>8637</v>
      </c>
      <c r="R1685" s="36">
        <v>720.0</v>
      </c>
      <c r="S1685" s="36" t="s">
        <v>8638</v>
      </c>
      <c r="T1685" s="28" t="s">
        <v>8639</v>
      </c>
      <c r="U1685" s="38" t="s">
        <v>61</v>
      </c>
      <c r="V1685" s="30" t="s">
        <v>8640</v>
      </c>
      <c r="W1685" s="49"/>
      <c r="X1685" s="49"/>
      <c r="Y1685" s="35"/>
      <c r="Z1685" s="35"/>
      <c r="AA1685" s="35"/>
      <c r="AB1685" s="35"/>
      <c r="AC1685" s="35"/>
      <c r="AD1685" s="35"/>
      <c r="AE1685" s="35"/>
      <c r="AF1685" s="35"/>
      <c r="AG1685" s="35"/>
      <c r="AH1685" s="35"/>
      <c r="AI1685" s="35"/>
      <c r="AJ1685" s="35"/>
      <c r="AK1685" s="35"/>
      <c r="AL1685" s="35"/>
    </row>
    <row r="1686">
      <c r="A1686" s="40"/>
      <c r="B1686" s="19" t="s">
        <v>7033</v>
      </c>
      <c r="C1686" s="20" t="s">
        <v>8617</v>
      </c>
      <c r="D1686" s="47"/>
      <c r="E1686" s="22" t="s">
        <v>8316</v>
      </c>
      <c r="F1686" s="22" t="s">
        <v>4999</v>
      </c>
      <c r="G1686" s="23">
        <v>2023.0</v>
      </c>
      <c r="H1686" s="22" t="s">
        <v>7157</v>
      </c>
      <c r="I1686" s="24" t="s">
        <v>8641</v>
      </c>
      <c r="J1686" s="22" t="s">
        <v>8642</v>
      </c>
      <c r="K1686" s="22" t="s">
        <v>8643</v>
      </c>
      <c r="L1686" s="36" t="s">
        <v>8644</v>
      </c>
      <c r="M1686" s="36"/>
      <c r="N1686" s="36"/>
      <c r="O1686" s="36"/>
      <c r="P1686" s="37"/>
      <c r="Q1686" s="36"/>
      <c r="R1686" s="36"/>
      <c r="S1686" s="36"/>
      <c r="T1686" s="28" t="s">
        <v>8645</v>
      </c>
      <c r="U1686" s="38" t="s">
        <v>61</v>
      </c>
      <c r="V1686" s="50"/>
      <c r="W1686" s="49"/>
      <c r="X1686" s="49"/>
      <c r="Y1686" s="35"/>
      <c r="Z1686" s="35"/>
      <c r="AA1686" s="35"/>
      <c r="AB1686" s="35"/>
      <c r="AC1686" s="35"/>
      <c r="AD1686" s="35"/>
      <c r="AE1686" s="35"/>
      <c r="AF1686" s="35"/>
      <c r="AG1686" s="35"/>
      <c r="AH1686" s="35"/>
      <c r="AI1686" s="35"/>
      <c r="AJ1686" s="35"/>
      <c r="AK1686" s="35"/>
      <c r="AL1686" s="35"/>
    </row>
    <row r="1687">
      <c r="A1687" s="40"/>
      <c r="B1687" s="19" t="s">
        <v>7033</v>
      </c>
      <c r="C1687" s="20" t="s">
        <v>8617</v>
      </c>
      <c r="D1687" s="47"/>
      <c r="E1687" s="22" t="s">
        <v>8646</v>
      </c>
      <c r="F1687" s="22" t="s">
        <v>41</v>
      </c>
      <c r="G1687" s="23">
        <v>2023.0</v>
      </c>
      <c r="H1687" s="22" t="s">
        <v>3828</v>
      </c>
      <c r="I1687" s="24" t="s">
        <v>8647</v>
      </c>
      <c r="J1687" s="22" t="s">
        <v>2141</v>
      </c>
      <c r="K1687" s="22"/>
      <c r="L1687" s="168"/>
      <c r="M1687" s="168"/>
      <c r="N1687" s="168"/>
      <c r="O1687" s="168"/>
      <c r="P1687" s="169"/>
      <c r="Q1687" s="168"/>
      <c r="R1687" s="168"/>
      <c r="S1687" s="168"/>
      <c r="T1687" s="185" t="s">
        <v>8648</v>
      </c>
      <c r="U1687" s="38" t="s">
        <v>61</v>
      </c>
      <c r="V1687" s="50"/>
      <c r="W1687" s="49"/>
      <c r="X1687" s="49"/>
      <c r="Y1687" s="35"/>
      <c r="Z1687" s="35"/>
      <c r="AA1687" s="35"/>
      <c r="AB1687" s="35"/>
      <c r="AC1687" s="35"/>
      <c r="AD1687" s="35"/>
      <c r="AE1687" s="35"/>
      <c r="AF1687" s="35"/>
      <c r="AG1687" s="35"/>
      <c r="AH1687" s="35"/>
      <c r="AI1687" s="35"/>
      <c r="AJ1687" s="35"/>
      <c r="AK1687" s="35"/>
      <c r="AL1687" s="35"/>
    </row>
    <row r="1688">
      <c r="A1688" s="40"/>
      <c r="B1688" s="19" t="s">
        <v>7033</v>
      </c>
      <c r="C1688" s="20" t="s">
        <v>8617</v>
      </c>
      <c r="D1688" s="47"/>
      <c r="E1688" s="22" t="s">
        <v>971</v>
      </c>
      <c r="F1688" s="22" t="s">
        <v>41</v>
      </c>
      <c r="G1688" s="23">
        <v>2023.0</v>
      </c>
      <c r="H1688" s="22" t="s">
        <v>77</v>
      </c>
      <c r="I1688" s="24" t="s">
        <v>8649</v>
      </c>
      <c r="J1688" s="22" t="s">
        <v>8650</v>
      </c>
      <c r="K1688" s="22" t="s">
        <v>8651</v>
      </c>
      <c r="L1688" s="36" t="s">
        <v>8652</v>
      </c>
      <c r="M1688" s="36"/>
      <c r="N1688" s="36"/>
      <c r="O1688" s="36"/>
      <c r="P1688" s="37" t="s">
        <v>8653</v>
      </c>
      <c r="Q1688" s="36"/>
      <c r="R1688" s="36"/>
      <c r="S1688" s="36" t="s">
        <v>4730</v>
      </c>
      <c r="T1688" s="28" t="s">
        <v>8654</v>
      </c>
      <c r="U1688" s="38" t="s">
        <v>61</v>
      </c>
      <c r="V1688" s="50"/>
      <c r="W1688" s="49"/>
      <c r="X1688" s="49"/>
      <c r="Y1688" s="35"/>
      <c r="Z1688" s="35"/>
      <c r="AA1688" s="35"/>
      <c r="AB1688" s="35"/>
      <c r="AC1688" s="35"/>
      <c r="AD1688" s="35"/>
      <c r="AE1688" s="35"/>
      <c r="AF1688" s="35"/>
      <c r="AG1688" s="35"/>
      <c r="AH1688" s="35"/>
      <c r="AI1688" s="35"/>
      <c r="AJ1688" s="35"/>
      <c r="AK1688" s="35"/>
      <c r="AL1688" s="35"/>
    </row>
    <row r="1689">
      <c r="A1689" s="40"/>
      <c r="B1689" s="19" t="s">
        <v>7033</v>
      </c>
      <c r="C1689" s="20" t="s">
        <v>8617</v>
      </c>
      <c r="D1689" s="47"/>
      <c r="E1689" s="22" t="s">
        <v>8655</v>
      </c>
      <c r="F1689" s="22" t="s">
        <v>2821</v>
      </c>
      <c r="G1689" s="23">
        <v>2021.0</v>
      </c>
      <c r="H1689" s="22" t="s">
        <v>3292</v>
      </c>
      <c r="I1689" s="24" t="s">
        <v>8656</v>
      </c>
      <c r="J1689" s="22" t="s">
        <v>125</v>
      </c>
      <c r="K1689" s="22"/>
      <c r="L1689" s="43" t="s">
        <v>8657</v>
      </c>
      <c r="M1689" s="44"/>
      <c r="N1689" s="44"/>
      <c r="O1689" s="44"/>
      <c r="P1689" s="44"/>
      <c r="Q1689" s="44"/>
      <c r="R1689" s="44"/>
      <c r="S1689" s="44"/>
      <c r="T1689" s="45"/>
      <c r="U1689" s="29" t="s">
        <v>61</v>
      </c>
      <c r="V1689" s="50"/>
      <c r="W1689" s="49"/>
      <c r="X1689" s="49"/>
      <c r="Y1689" s="35"/>
      <c r="Z1689" s="35"/>
      <c r="AA1689" s="35"/>
      <c r="AB1689" s="35"/>
      <c r="AC1689" s="35"/>
      <c r="AD1689" s="35"/>
      <c r="AE1689" s="35"/>
      <c r="AF1689" s="35"/>
      <c r="AG1689" s="35"/>
      <c r="AH1689" s="35"/>
      <c r="AI1689" s="35"/>
      <c r="AJ1689" s="35"/>
      <c r="AK1689" s="35"/>
      <c r="AL1689" s="35"/>
    </row>
    <row r="1690">
      <c r="A1690" s="40"/>
      <c r="B1690" s="19" t="s">
        <v>7033</v>
      </c>
      <c r="C1690" s="20" t="s">
        <v>8617</v>
      </c>
      <c r="D1690" s="47"/>
      <c r="E1690" s="22" t="s">
        <v>8658</v>
      </c>
      <c r="F1690" s="22" t="s">
        <v>8659</v>
      </c>
      <c r="G1690" s="23">
        <v>2021.0</v>
      </c>
      <c r="H1690" s="22" t="s">
        <v>8660</v>
      </c>
      <c r="I1690" s="24" t="s">
        <v>8661</v>
      </c>
      <c r="J1690" s="22" t="s">
        <v>125</v>
      </c>
      <c r="K1690" s="22"/>
      <c r="L1690" s="43" t="s">
        <v>8662</v>
      </c>
      <c r="M1690" s="44"/>
      <c r="N1690" s="44"/>
      <c r="O1690" s="44"/>
      <c r="P1690" s="44"/>
      <c r="Q1690" s="44"/>
      <c r="R1690" s="44"/>
      <c r="S1690" s="44"/>
      <c r="T1690" s="45"/>
      <c r="U1690" s="29" t="s">
        <v>61</v>
      </c>
      <c r="V1690" s="50"/>
      <c r="W1690" s="49"/>
      <c r="X1690" s="49"/>
      <c r="Y1690" s="35"/>
      <c r="Z1690" s="35"/>
      <c r="AA1690" s="35"/>
      <c r="AB1690" s="35"/>
      <c r="AC1690" s="35"/>
      <c r="AD1690" s="35"/>
      <c r="AE1690" s="35"/>
      <c r="AF1690" s="35"/>
      <c r="AG1690" s="35"/>
      <c r="AH1690" s="35"/>
      <c r="AI1690" s="35"/>
      <c r="AJ1690" s="35"/>
      <c r="AK1690" s="35"/>
      <c r="AL1690" s="35"/>
    </row>
    <row r="1691">
      <c r="A1691" s="40"/>
      <c r="B1691" s="19" t="s">
        <v>7033</v>
      </c>
      <c r="C1691" s="20" t="s">
        <v>8617</v>
      </c>
      <c r="D1691" s="47"/>
      <c r="E1691" s="22" t="s">
        <v>1689</v>
      </c>
      <c r="F1691" s="22" t="s">
        <v>7134</v>
      </c>
      <c r="G1691" s="23">
        <v>2021.0</v>
      </c>
      <c r="H1691" s="22" t="s">
        <v>8385</v>
      </c>
      <c r="I1691" s="24" t="s">
        <v>8663</v>
      </c>
      <c r="J1691" s="22" t="s">
        <v>31</v>
      </c>
      <c r="K1691" s="22"/>
      <c r="L1691" s="36" t="s">
        <v>8664</v>
      </c>
      <c r="M1691" s="36"/>
      <c r="N1691" s="36" t="s">
        <v>2474</v>
      </c>
      <c r="O1691" s="36"/>
      <c r="P1691" s="37" t="s">
        <v>8665</v>
      </c>
      <c r="Q1691" s="36"/>
      <c r="R1691" s="36">
        <v>600.0</v>
      </c>
      <c r="S1691" s="36"/>
      <c r="T1691" s="28" t="s">
        <v>8666</v>
      </c>
      <c r="U1691" s="29" t="s">
        <v>61</v>
      </c>
      <c r="V1691" s="50"/>
      <c r="W1691" s="49"/>
      <c r="X1691" s="49"/>
      <c r="Y1691" s="35"/>
      <c r="Z1691" s="35"/>
      <c r="AA1691" s="35"/>
      <c r="AB1691" s="35"/>
      <c r="AC1691" s="35"/>
      <c r="AD1691" s="35"/>
      <c r="AE1691" s="35"/>
      <c r="AF1691" s="35"/>
      <c r="AG1691" s="35"/>
      <c r="AH1691" s="35"/>
      <c r="AI1691" s="35"/>
      <c r="AJ1691" s="35"/>
      <c r="AK1691" s="35"/>
      <c r="AL1691" s="35"/>
    </row>
    <row r="1692">
      <c r="A1692" s="40"/>
      <c r="B1692" s="19" t="s">
        <v>7033</v>
      </c>
      <c r="C1692" s="20" t="s">
        <v>8617</v>
      </c>
      <c r="D1692" s="47"/>
      <c r="E1692" s="22" t="s">
        <v>8667</v>
      </c>
      <c r="F1692" s="22" t="s">
        <v>2152</v>
      </c>
      <c r="G1692" s="23">
        <v>2020.0</v>
      </c>
      <c r="H1692" s="22" t="s">
        <v>42</v>
      </c>
      <c r="I1692" s="24" t="s">
        <v>8668</v>
      </c>
      <c r="J1692" s="22" t="s">
        <v>8669</v>
      </c>
      <c r="K1692" s="22" t="s">
        <v>8670</v>
      </c>
      <c r="L1692" s="36" t="s">
        <v>8671</v>
      </c>
      <c r="M1692" s="36"/>
      <c r="N1692" s="36" t="s">
        <v>8672</v>
      </c>
      <c r="O1692" s="36"/>
      <c r="P1692" s="37"/>
      <c r="Q1692" s="36"/>
      <c r="R1692" s="36">
        <v>180.0</v>
      </c>
      <c r="S1692" s="36" t="s">
        <v>8673</v>
      </c>
      <c r="T1692" s="28" t="s">
        <v>8674</v>
      </c>
      <c r="U1692" s="29" t="s">
        <v>61</v>
      </c>
      <c r="V1692" s="30" t="s">
        <v>8675</v>
      </c>
      <c r="W1692" s="49"/>
      <c r="X1692" s="49"/>
      <c r="Y1692" s="35"/>
      <c r="Z1692" s="35"/>
      <c r="AA1692" s="35"/>
      <c r="AB1692" s="35"/>
      <c r="AC1692" s="35"/>
      <c r="AD1692" s="35"/>
      <c r="AE1692" s="35"/>
      <c r="AF1692" s="35"/>
      <c r="AG1692" s="35"/>
      <c r="AH1692" s="35"/>
      <c r="AI1692" s="35"/>
      <c r="AJ1692" s="35"/>
      <c r="AK1692" s="35"/>
      <c r="AL1692" s="35"/>
    </row>
    <row r="1693">
      <c r="A1693" s="40"/>
      <c r="B1693" s="19" t="s">
        <v>7033</v>
      </c>
      <c r="C1693" s="20" t="s">
        <v>8617</v>
      </c>
      <c r="D1693" s="47"/>
      <c r="E1693" s="22" t="s">
        <v>1080</v>
      </c>
      <c r="F1693" s="22" t="s">
        <v>3040</v>
      </c>
      <c r="G1693" s="23">
        <v>2020.0</v>
      </c>
      <c r="H1693" s="22" t="s">
        <v>116</v>
      </c>
      <c r="I1693" s="24" t="s">
        <v>8676</v>
      </c>
      <c r="J1693" s="22" t="s">
        <v>8677</v>
      </c>
      <c r="K1693" s="22" t="s">
        <v>8678</v>
      </c>
      <c r="L1693" s="36" t="s">
        <v>3031</v>
      </c>
      <c r="M1693" s="36"/>
      <c r="N1693" s="36"/>
      <c r="O1693" s="36"/>
      <c r="P1693" s="37" t="s">
        <v>8679</v>
      </c>
      <c r="Q1693" s="36"/>
      <c r="R1693" s="36">
        <v>1200.0</v>
      </c>
      <c r="S1693" s="36" t="s">
        <v>8673</v>
      </c>
      <c r="T1693" s="28" t="s">
        <v>8680</v>
      </c>
      <c r="U1693" s="29" t="s">
        <v>61</v>
      </c>
      <c r="V1693" s="30" t="s">
        <v>8681</v>
      </c>
      <c r="W1693" s="49"/>
      <c r="X1693" s="49"/>
      <c r="Y1693" s="35"/>
      <c r="Z1693" s="35"/>
      <c r="AA1693" s="35"/>
      <c r="AB1693" s="35"/>
      <c r="AC1693" s="35"/>
      <c r="AD1693" s="35"/>
      <c r="AE1693" s="35"/>
      <c r="AF1693" s="35"/>
      <c r="AG1693" s="35"/>
      <c r="AH1693" s="35"/>
      <c r="AI1693" s="35"/>
      <c r="AJ1693" s="35"/>
      <c r="AK1693" s="35"/>
      <c r="AL1693" s="35"/>
    </row>
    <row r="1694">
      <c r="A1694" s="40"/>
      <c r="B1694" s="19" t="s">
        <v>7033</v>
      </c>
      <c r="C1694" s="20" t="s">
        <v>8617</v>
      </c>
      <c r="D1694" s="47"/>
      <c r="E1694" s="22" t="s">
        <v>8682</v>
      </c>
      <c r="F1694" s="22" t="s">
        <v>2214</v>
      </c>
      <c r="G1694" s="23">
        <v>2020.0</v>
      </c>
      <c r="H1694" s="22" t="s">
        <v>116</v>
      </c>
      <c r="I1694" s="24" t="s">
        <v>8683</v>
      </c>
      <c r="J1694" s="22" t="s">
        <v>8684</v>
      </c>
      <c r="K1694" s="22" t="s">
        <v>8463</v>
      </c>
      <c r="L1694" s="36" t="s">
        <v>8685</v>
      </c>
      <c r="M1694" s="36"/>
      <c r="N1694" s="36" t="s">
        <v>1018</v>
      </c>
      <c r="O1694" s="36"/>
      <c r="P1694" s="37"/>
      <c r="Q1694" s="36"/>
      <c r="R1694" s="36">
        <v>540.0</v>
      </c>
      <c r="S1694" s="36" t="s">
        <v>2680</v>
      </c>
      <c r="T1694" s="42" t="s">
        <v>8686</v>
      </c>
      <c r="U1694" s="29" t="s">
        <v>61</v>
      </c>
      <c r="V1694" s="30" t="s">
        <v>8687</v>
      </c>
      <c r="W1694" s="49"/>
      <c r="X1694" s="49"/>
      <c r="Y1694" s="35"/>
      <c r="Z1694" s="35"/>
      <c r="AA1694" s="35"/>
      <c r="AB1694" s="35"/>
      <c r="AC1694" s="35"/>
      <c r="AD1694" s="35"/>
      <c r="AE1694" s="35"/>
      <c r="AF1694" s="35"/>
      <c r="AG1694" s="35"/>
      <c r="AH1694" s="35"/>
      <c r="AI1694" s="35"/>
      <c r="AJ1694" s="35"/>
      <c r="AK1694" s="35"/>
      <c r="AL1694" s="35"/>
    </row>
    <row r="1695">
      <c r="A1695" s="40"/>
      <c r="B1695" s="19" t="s">
        <v>7033</v>
      </c>
      <c r="C1695" s="20" t="s">
        <v>8617</v>
      </c>
      <c r="D1695" s="47"/>
      <c r="E1695" s="22" t="s">
        <v>8688</v>
      </c>
      <c r="F1695" s="22" t="s">
        <v>323</v>
      </c>
      <c r="G1695" s="23">
        <v>2020.0</v>
      </c>
      <c r="H1695" s="22" t="s">
        <v>147</v>
      </c>
      <c r="I1695" s="24" t="s">
        <v>8689</v>
      </c>
      <c r="J1695" s="22" t="s">
        <v>125</v>
      </c>
      <c r="K1695" s="22"/>
      <c r="L1695" s="105" t="s">
        <v>8690</v>
      </c>
      <c r="M1695" s="44"/>
      <c r="N1695" s="44"/>
      <c r="O1695" s="44"/>
      <c r="P1695" s="44"/>
      <c r="Q1695" s="44"/>
      <c r="R1695" s="44"/>
      <c r="S1695" s="44"/>
      <c r="T1695" s="45"/>
      <c r="U1695" s="38" t="str">
        <f>HYPERLINK("https://www.ncbi.nlm.nih.gov/pubmed/32273965","PubMed")</f>
        <v>PubMed</v>
      </c>
      <c r="V1695" s="50"/>
      <c r="W1695" s="49"/>
      <c r="X1695" s="49"/>
      <c r="Y1695" s="35"/>
      <c r="Z1695" s="35"/>
      <c r="AA1695" s="35"/>
      <c r="AB1695" s="35"/>
      <c r="AC1695" s="35"/>
      <c r="AD1695" s="35"/>
      <c r="AE1695" s="35"/>
      <c r="AF1695" s="35"/>
      <c r="AG1695" s="35"/>
      <c r="AH1695" s="35"/>
      <c r="AI1695" s="35"/>
      <c r="AJ1695" s="35"/>
      <c r="AK1695" s="35"/>
      <c r="AL1695" s="35"/>
    </row>
    <row r="1696">
      <c r="A1696" s="1"/>
      <c r="B1696" s="19" t="s">
        <v>7033</v>
      </c>
      <c r="C1696" s="20" t="s">
        <v>8617</v>
      </c>
      <c r="D1696" s="47"/>
      <c r="E1696" s="22" t="s">
        <v>5185</v>
      </c>
      <c r="F1696" s="22" t="s">
        <v>1203</v>
      </c>
      <c r="G1696" s="23">
        <v>2019.0</v>
      </c>
      <c r="H1696" s="22" t="s">
        <v>91</v>
      </c>
      <c r="I1696" s="24" t="s">
        <v>5189</v>
      </c>
      <c r="J1696" s="22" t="s">
        <v>31</v>
      </c>
      <c r="K1696" s="22"/>
      <c r="L1696" s="36">
        <v>660.0</v>
      </c>
      <c r="M1696" s="36">
        <v>35.0</v>
      </c>
      <c r="N1696" s="36"/>
      <c r="O1696" s="36"/>
      <c r="P1696" s="37" t="s">
        <v>5190</v>
      </c>
      <c r="Q1696" s="36"/>
      <c r="R1696" s="36" t="s">
        <v>8691</v>
      </c>
      <c r="S1696" s="36"/>
      <c r="T1696" s="28" t="s">
        <v>8692</v>
      </c>
      <c r="U1696" s="38" t="str">
        <f>HYPERLINK("https://www.ncbi.nlm.nih.gov/pubmed/30712124","PubMed")</f>
        <v>PubMed</v>
      </c>
      <c r="V1696" s="50"/>
      <c r="W1696" s="49"/>
      <c r="X1696" s="49"/>
      <c r="Y1696" s="35"/>
      <c r="Z1696" s="35"/>
      <c r="AA1696" s="35"/>
      <c r="AB1696" s="35"/>
      <c r="AC1696" s="35"/>
      <c r="AD1696" s="35"/>
      <c r="AE1696" s="35"/>
      <c r="AF1696" s="35"/>
      <c r="AG1696" s="35"/>
      <c r="AH1696" s="35"/>
      <c r="AI1696" s="35"/>
      <c r="AJ1696" s="35"/>
      <c r="AK1696" s="35"/>
      <c r="AL1696" s="35"/>
    </row>
    <row r="1697">
      <c r="A1697" s="40"/>
      <c r="B1697" s="19" t="s">
        <v>7033</v>
      </c>
      <c r="C1697" s="20" t="s">
        <v>8617</v>
      </c>
      <c r="D1697" s="47"/>
      <c r="E1697" s="22" t="s">
        <v>8693</v>
      </c>
      <c r="F1697" s="22" t="s">
        <v>1386</v>
      </c>
      <c r="G1697" s="23">
        <v>2019.0</v>
      </c>
      <c r="H1697" s="22" t="s">
        <v>8390</v>
      </c>
      <c r="I1697" s="24" t="s">
        <v>8694</v>
      </c>
      <c r="J1697" s="22" t="s">
        <v>125</v>
      </c>
      <c r="K1697" s="22"/>
      <c r="L1697" s="105" t="s">
        <v>8695</v>
      </c>
      <c r="M1697" s="44"/>
      <c r="N1697" s="44"/>
      <c r="O1697" s="44"/>
      <c r="P1697" s="44"/>
      <c r="Q1697" s="44"/>
      <c r="R1697" s="44"/>
      <c r="S1697" s="44"/>
      <c r="T1697" s="45"/>
      <c r="U1697" s="38" t="str">
        <f>HYPERLINK("https://www.ncbi.nlm.nih.gov/pubmed/31345324","PubMed")</f>
        <v>PubMed</v>
      </c>
      <c r="V1697" s="50"/>
      <c r="W1697" s="49"/>
      <c r="X1697" s="49"/>
      <c r="Y1697" s="35"/>
      <c r="Z1697" s="35"/>
      <c r="AA1697" s="35"/>
      <c r="AB1697" s="35"/>
      <c r="AC1697" s="35"/>
      <c r="AD1697" s="35"/>
      <c r="AE1697" s="35"/>
      <c r="AF1697" s="35"/>
      <c r="AG1697" s="35"/>
      <c r="AH1697" s="35"/>
      <c r="AI1697" s="35"/>
      <c r="AJ1697" s="35"/>
      <c r="AK1697" s="35"/>
      <c r="AL1697" s="35"/>
    </row>
    <row r="1698">
      <c r="A1698" s="40"/>
      <c r="B1698" s="19" t="s">
        <v>7033</v>
      </c>
      <c r="C1698" s="20" t="s">
        <v>8617</v>
      </c>
      <c r="D1698" s="47"/>
      <c r="E1698" s="22" t="s">
        <v>4490</v>
      </c>
      <c r="F1698" s="22" t="s">
        <v>65</v>
      </c>
      <c r="G1698" s="23">
        <v>2018.0</v>
      </c>
      <c r="H1698" s="22" t="s">
        <v>4975</v>
      </c>
      <c r="I1698" s="24" t="s">
        <v>8696</v>
      </c>
      <c r="J1698" s="22" t="s">
        <v>44</v>
      </c>
      <c r="K1698" s="22"/>
      <c r="L1698" s="36">
        <v>650.0</v>
      </c>
      <c r="M1698" s="36"/>
      <c r="N1698" s="36" t="s">
        <v>6380</v>
      </c>
      <c r="O1698" s="36"/>
      <c r="P1698" s="37" t="s">
        <v>8697</v>
      </c>
      <c r="Q1698" s="36" t="s">
        <v>8698</v>
      </c>
      <c r="R1698" s="36" t="s">
        <v>1829</v>
      </c>
      <c r="S1698" s="36"/>
      <c r="T1698" s="28" t="s">
        <v>8699</v>
      </c>
      <c r="U1698" s="38" t="str">
        <f>HYPERLINK("https://www.ncbi.nlm.nih.gov/pubmed/29457847","PubMed")</f>
        <v>PubMed</v>
      </c>
      <c r="V1698" s="50"/>
      <c r="W1698" s="49"/>
      <c r="X1698" s="49"/>
      <c r="Y1698" s="35"/>
      <c r="Z1698" s="35"/>
      <c r="AA1698" s="35"/>
      <c r="AB1698" s="35"/>
      <c r="AC1698" s="35"/>
      <c r="AD1698" s="35"/>
      <c r="AE1698" s="35"/>
      <c r="AF1698" s="35"/>
      <c r="AG1698" s="35"/>
      <c r="AH1698" s="35"/>
      <c r="AI1698" s="35"/>
      <c r="AJ1698" s="35"/>
      <c r="AK1698" s="35"/>
      <c r="AL1698" s="35"/>
    </row>
    <row r="1699">
      <c r="A1699" s="40"/>
      <c r="B1699" s="19" t="s">
        <v>7033</v>
      </c>
      <c r="C1699" s="20" t="s">
        <v>8617</v>
      </c>
      <c r="D1699" s="47"/>
      <c r="E1699" s="22" t="s">
        <v>88</v>
      </c>
      <c r="F1699" s="22" t="s">
        <v>41</v>
      </c>
      <c r="G1699" s="23">
        <v>2018.0</v>
      </c>
      <c r="H1699" s="22" t="s">
        <v>4975</v>
      </c>
      <c r="I1699" s="24" t="s">
        <v>8700</v>
      </c>
      <c r="J1699" s="22" t="s">
        <v>8701</v>
      </c>
      <c r="K1699" s="22" t="s">
        <v>8702</v>
      </c>
      <c r="L1699" s="36">
        <v>640.0</v>
      </c>
      <c r="M1699" s="36"/>
      <c r="N1699" s="36" t="s">
        <v>8703</v>
      </c>
      <c r="O1699" s="36"/>
      <c r="P1699" s="37"/>
      <c r="Q1699" s="36"/>
      <c r="R1699" s="36"/>
      <c r="S1699" s="36"/>
      <c r="T1699" s="28" t="s">
        <v>8704</v>
      </c>
      <c r="U1699" s="38" t="str">
        <f>HYPERLINK("https://www.ncbi.nlm.nih.gov/pubmed/30267581","PubMed")</f>
        <v>PubMed</v>
      </c>
      <c r="V1699" s="50"/>
      <c r="W1699" s="49"/>
      <c r="X1699" s="49"/>
      <c r="Y1699" s="35"/>
      <c r="Z1699" s="35"/>
      <c r="AA1699" s="35"/>
      <c r="AB1699" s="35"/>
      <c r="AC1699" s="35"/>
      <c r="AD1699" s="35"/>
      <c r="AE1699" s="35"/>
      <c r="AF1699" s="35"/>
      <c r="AG1699" s="35"/>
      <c r="AH1699" s="35"/>
      <c r="AI1699" s="35"/>
      <c r="AJ1699" s="35"/>
      <c r="AK1699" s="35"/>
      <c r="AL1699" s="35"/>
    </row>
    <row r="1700">
      <c r="A1700" s="40"/>
      <c r="B1700" s="19" t="s">
        <v>7033</v>
      </c>
      <c r="C1700" s="20" t="s">
        <v>8617</v>
      </c>
      <c r="D1700" s="47"/>
      <c r="E1700" s="22" t="s">
        <v>2338</v>
      </c>
      <c r="F1700" s="22" t="s">
        <v>1968</v>
      </c>
      <c r="G1700" s="23">
        <v>2019.0</v>
      </c>
      <c r="H1700" s="22" t="s">
        <v>91</v>
      </c>
      <c r="I1700" s="24" t="s">
        <v>8705</v>
      </c>
      <c r="J1700" s="22" t="s">
        <v>44</v>
      </c>
      <c r="K1700" s="22" t="s">
        <v>1827</v>
      </c>
      <c r="L1700" s="36">
        <v>1064.0</v>
      </c>
      <c r="M1700" s="36"/>
      <c r="N1700" s="36"/>
      <c r="O1700" s="36"/>
      <c r="P1700" s="37" t="s">
        <v>5627</v>
      </c>
      <c r="Q1700" s="36"/>
      <c r="R1700" s="36"/>
      <c r="S1700" s="36"/>
      <c r="T1700" s="28" t="s">
        <v>8706</v>
      </c>
      <c r="U1700" s="29" t="s">
        <v>61</v>
      </c>
      <c r="V1700" s="50"/>
      <c r="W1700" s="49"/>
      <c r="X1700" s="49"/>
      <c r="Y1700" s="35"/>
      <c r="Z1700" s="35"/>
      <c r="AA1700" s="35"/>
      <c r="AB1700" s="35"/>
      <c r="AC1700" s="35"/>
      <c r="AD1700" s="35"/>
      <c r="AE1700" s="35"/>
      <c r="AF1700" s="35"/>
      <c r="AG1700" s="35"/>
      <c r="AH1700" s="35"/>
      <c r="AI1700" s="35"/>
      <c r="AJ1700" s="35"/>
      <c r="AK1700" s="35"/>
      <c r="AL1700" s="35"/>
    </row>
    <row r="1701">
      <c r="A1701" s="40"/>
      <c r="B1701" s="19" t="s">
        <v>7033</v>
      </c>
      <c r="C1701" s="20" t="s">
        <v>8617</v>
      </c>
      <c r="D1701" s="47"/>
      <c r="E1701" s="22" t="s">
        <v>8707</v>
      </c>
      <c r="F1701" s="22" t="s">
        <v>2196</v>
      </c>
      <c r="G1701" s="23">
        <v>2018.0</v>
      </c>
      <c r="H1701" s="22" t="s">
        <v>91</v>
      </c>
      <c r="I1701" s="24" t="s">
        <v>8708</v>
      </c>
      <c r="J1701" s="22" t="s">
        <v>31</v>
      </c>
      <c r="K1701" s="22"/>
      <c r="L1701" s="36">
        <v>1064.0</v>
      </c>
      <c r="M1701" s="36"/>
      <c r="N1701" s="36"/>
      <c r="O1701" s="36"/>
      <c r="P1701" s="37"/>
      <c r="Q1701" s="36"/>
      <c r="R1701" s="36"/>
      <c r="S1701" s="36"/>
      <c r="T1701" s="28" t="s">
        <v>8709</v>
      </c>
      <c r="U1701" s="38" t="str">
        <f>HYPERLINK("https://www.ncbi.nlm.nih.gov/pubmed/29270708","PubMed")</f>
        <v>PubMed</v>
      </c>
      <c r="V1701" s="50"/>
      <c r="W1701" s="49"/>
      <c r="X1701" s="49"/>
      <c r="Y1701" s="35"/>
      <c r="Z1701" s="35"/>
      <c r="AA1701" s="35"/>
      <c r="AB1701" s="35"/>
      <c r="AC1701" s="35"/>
      <c r="AD1701" s="35"/>
      <c r="AE1701" s="35"/>
      <c r="AF1701" s="35"/>
      <c r="AG1701" s="35"/>
      <c r="AH1701" s="35"/>
      <c r="AI1701" s="35"/>
      <c r="AJ1701" s="35"/>
      <c r="AK1701" s="35"/>
      <c r="AL1701" s="35"/>
    </row>
    <row r="1702">
      <c r="A1702" s="40"/>
      <c r="B1702" s="19" t="s">
        <v>7033</v>
      </c>
      <c r="C1702" s="20" t="s">
        <v>8617</v>
      </c>
      <c r="D1702" s="47"/>
      <c r="E1702" s="22" t="s">
        <v>8710</v>
      </c>
      <c r="F1702" s="22" t="s">
        <v>41</v>
      </c>
      <c r="G1702" s="23">
        <v>2018.0</v>
      </c>
      <c r="H1702" s="22" t="s">
        <v>6911</v>
      </c>
      <c r="I1702" s="24" t="s">
        <v>8711</v>
      </c>
      <c r="J1702" s="22" t="s">
        <v>2141</v>
      </c>
      <c r="K1702" s="22"/>
      <c r="L1702" s="168"/>
      <c r="M1702" s="168"/>
      <c r="N1702" s="168"/>
      <c r="O1702" s="168"/>
      <c r="P1702" s="169"/>
      <c r="Q1702" s="168"/>
      <c r="R1702" s="168"/>
      <c r="S1702" s="168"/>
      <c r="T1702" s="185"/>
      <c r="U1702" s="38" t="str">
        <f>HYPERLINK("https://www.ncbi.nlm.nih.gov/pubmed/29858421","PubMed")</f>
        <v>PubMed</v>
      </c>
      <c r="V1702" s="50"/>
      <c r="W1702" s="49"/>
      <c r="X1702" s="49"/>
      <c r="Y1702" s="35"/>
      <c r="Z1702" s="35"/>
      <c r="AA1702" s="35"/>
      <c r="AB1702" s="35"/>
      <c r="AC1702" s="35"/>
      <c r="AD1702" s="35"/>
      <c r="AE1702" s="35"/>
      <c r="AF1702" s="35"/>
      <c r="AG1702" s="35"/>
      <c r="AH1702" s="35"/>
      <c r="AI1702" s="35"/>
      <c r="AJ1702" s="35"/>
      <c r="AK1702" s="35"/>
      <c r="AL1702" s="35"/>
    </row>
    <row r="1703">
      <c r="A1703" s="40"/>
      <c r="B1703" s="19" t="s">
        <v>7033</v>
      </c>
      <c r="C1703" s="20" t="s">
        <v>8617</v>
      </c>
      <c r="D1703" s="47"/>
      <c r="E1703" s="22" t="s">
        <v>8712</v>
      </c>
      <c r="F1703" s="22" t="s">
        <v>1905</v>
      </c>
      <c r="G1703" s="23">
        <v>2017.0</v>
      </c>
      <c r="H1703" s="22" t="s">
        <v>5489</v>
      </c>
      <c r="I1703" s="24" t="s">
        <v>8713</v>
      </c>
      <c r="J1703" s="22" t="s">
        <v>8714</v>
      </c>
      <c r="K1703" s="22" t="s">
        <v>8715</v>
      </c>
      <c r="L1703" s="36" t="s">
        <v>8716</v>
      </c>
      <c r="M1703" s="36"/>
      <c r="N1703" s="36"/>
      <c r="O1703" s="36"/>
      <c r="P1703" s="37" t="s">
        <v>8717</v>
      </c>
      <c r="Q1703" s="36"/>
      <c r="R1703" s="36"/>
      <c r="S1703" s="36" t="s">
        <v>8718</v>
      </c>
      <c r="T1703" s="28" t="s">
        <v>8719</v>
      </c>
      <c r="U1703" s="29" t="s">
        <v>61</v>
      </c>
      <c r="V1703" s="50"/>
      <c r="W1703" s="49"/>
      <c r="X1703" s="49"/>
      <c r="Y1703" s="35"/>
      <c r="Z1703" s="35"/>
      <c r="AA1703" s="35"/>
      <c r="AB1703" s="35"/>
      <c r="AC1703" s="35"/>
      <c r="AD1703" s="35"/>
      <c r="AE1703" s="35"/>
      <c r="AF1703" s="35"/>
      <c r="AG1703" s="35"/>
      <c r="AH1703" s="35"/>
      <c r="AI1703" s="35"/>
      <c r="AJ1703" s="35"/>
      <c r="AK1703" s="35"/>
      <c r="AL1703" s="35"/>
    </row>
    <row r="1704">
      <c r="A1704" s="40"/>
      <c r="B1704" s="19" t="s">
        <v>7033</v>
      </c>
      <c r="C1704" s="20" t="s">
        <v>8617</v>
      </c>
      <c r="D1704" s="47"/>
      <c r="E1704" s="22" t="s">
        <v>6044</v>
      </c>
      <c r="F1704" s="22" t="s">
        <v>2196</v>
      </c>
      <c r="G1704" s="23">
        <v>2017.0</v>
      </c>
      <c r="H1704" s="22" t="s">
        <v>91</v>
      </c>
      <c r="I1704" s="24" t="s">
        <v>8720</v>
      </c>
      <c r="J1704" s="22" t="s">
        <v>8721</v>
      </c>
      <c r="K1704" s="22"/>
      <c r="L1704" s="36" t="s">
        <v>8722</v>
      </c>
      <c r="M1704" s="36"/>
      <c r="N1704" s="36"/>
      <c r="O1704" s="36"/>
      <c r="P1704" s="37"/>
      <c r="Q1704" s="36"/>
      <c r="R1704" s="36"/>
      <c r="S1704" s="36"/>
      <c r="T1704" s="28" t="s">
        <v>8723</v>
      </c>
      <c r="U1704" s="38" t="str">
        <f>HYPERLINK("https://www.ncbi.nlm.nih.gov/pubmed/28434049","PubMed")</f>
        <v>PubMed</v>
      </c>
      <c r="V1704" s="50"/>
      <c r="W1704" s="49"/>
      <c r="X1704" s="49"/>
      <c r="Y1704" s="35"/>
      <c r="Z1704" s="35"/>
      <c r="AA1704" s="35"/>
      <c r="AB1704" s="35"/>
      <c r="AC1704" s="35"/>
      <c r="AD1704" s="35"/>
      <c r="AE1704" s="35"/>
      <c r="AF1704" s="35"/>
      <c r="AG1704" s="35"/>
      <c r="AH1704" s="35"/>
      <c r="AI1704" s="35"/>
      <c r="AJ1704" s="35"/>
      <c r="AK1704" s="35"/>
      <c r="AL1704" s="35"/>
    </row>
    <row r="1705">
      <c r="A1705" s="40"/>
      <c r="B1705" s="19" t="s">
        <v>7033</v>
      </c>
      <c r="C1705" s="20" t="s">
        <v>8617</v>
      </c>
      <c r="D1705" s="47"/>
      <c r="E1705" s="22" t="s">
        <v>8724</v>
      </c>
      <c r="F1705" s="22" t="s">
        <v>6828</v>
      </c>
      <c r="G1705" s="23">
        <v>2017.0</v>
      </c>
      <c r="H1705" s="22" t="s">
        <v>1958</v>
      </c>
      <c r="I1705" s="24" t="s">
        <v>8725</v>
      </c>
      <c r="J1705" s="22" t="s">
        <v>8726</v>
      </c>
      <c r="K1705" s="22"/>
      <c r="L1705" s="36">
        <v>635.0</v>
      </c>
      <c r="M1705" s="36">
        <v>10.0</v>
      </c>
      <c r="N1705" s="36"/>
      <c r="O1705" s="36"/>
      <c r="P1705" s="37"/>
      <c r="Q1705" s="36"/>
      <c r="R1705" s="36">
        <v>900.0</v>
      </c>
      <c r="S1705" s="36" t="s">
        <v>2688</v>
      </c>
      <c r="T1705" s="28" t="s">
        <v>8727</v>
      </c>
      <c r="U1705" s="38" t="str">
        <f>HYPERLINK("https://www.ncbi.nlm.nih.gov/pubmed/28265160","PubMed")</f>
        <v>PubMed</v>
      </c>
      <c r="V1705" s="50"/>
      <c r="W1705" s="49"/>
      <c r="X1705" s="49"/>
      <c r="Y1705" s="35"/>
      <c r="Z1705" s="35"/>
      <c r="AA1705" s="35"/>
      <c r="AB1705" s="35"/>
      <c r="AC1705" s="35"/>
      <c r="AD1705" s="35"/>
      <c r="AE1705" s="35"/>
      <c r="AF1705" s="35"/>
      <c r="AG1705" s="35"/>
      <c r="AH1705" s="35"/>
      <c r="AI1705" s="35"/>
      <c r="AJ1705" s="35"/>
      <c r="AK1705" s="35"/>
      <c r="AL1705" s="35"/>
    </row>
    <row r="1706">
      <c r="A1706" s="40" t="s">
        <v>181</v>
      </c>
      <c r="B1706" s="19" t="s">
        <v>7033</v>
      </c>
      <c r="C1706" s="20" t="s">
        <v>8617</v>
      </c>
      <c r="D1706" s="47"/>
      <c r="E1706" s="22" t="s">
        <v>6994</v>
      </c>
      <c r="F1706" s="22" t="s">
        <v>6995</v>
      </c>
      <c r="G1706" s="23">
        <v>2017.0</v>
      </c>
      <c r="H1706" s="22" t="s">
        <v>116</v>
      </c>
      <c r="I1706" s="24" t="s">
        <v>8728</v>
      </c>
      <c r="J1706" s="22" t="s">
        <v>8729</v>
      </c>
      <c r="K1706" s="22" t="s">
        <v>8730</v>
      </c>
      <c r="L1706" s="36" t="s">
        <v>8731</v>
      </c>
      <c r="M1706" s="36"/>
      <c r="N1706" s="36" t="s">
        <v>8732</v>
      </c>
      <c r="O1706" s="36"/>
      <c r="P1706" s="37"/>
      <c r="Q1706" s="36"/>
      <c r="R1706" s="36"/>
      <c r="S1706" s="36">
        <v>21.0</v>
      </c>
      <c r="T1706" s="28" t="s">
        <v>8733</v>
      </c>
      <c r="U1706" s="29" t="s">
        <v>61</v>
      </c>
      <c r="V1706" s="50"/>
      <c r="W1706" s="49"/>
      <c r="X1706" s="49"/>
      <c r="Y1706" s="35"/>
      <c r="Z1706" s="35"/>
      <c r="AA1706" s="35"/>
      <c r="AB1706" s="35"/>
      <c r="AC1706" s="35"/>
      <c r="AD1706" s="35"/>
      <c r="AE1706" s="35"/>
      <c r="AF1706" s="35"/>
      <c r="AG1706" s="35"/>
      <c r="AH1706" s="35"/>
      <c r="AI1706" s="35"/>
      <c r="AJ1706" s="35"/>
      <c r="AK1706" s="35"/>
      <c r="AL1706" s="35"/>
    </row>
    <row r="1707">
      <c r="A1707" s="40"/>
      <c r="B1707" s="19" t="s">
        <v>7033</v>
      </c>
      <c r="C1707" s="20" t="s">
        <v>8617</v>
      </c>
      <c r="D1707" s="47"/>
      <c r="E1707" s="22" t="s">
        <v>5469</v>
      </c>
      <c r="F1707" s="22" t="s">
        <v>2196</v>
      </c>
      <c r="G1707" s="23">
        <v>2016.0</v>
      </c>
      <c r="H1707" s="22" t="s">
        <v>91</v>
      </c>
      <c r="I1707" s="24" t="s">
        <v>8734</v>
      </c>
      <c r="J1707" s="22" t="s">
        <v>44</v>
      </c>
      <c r="K1707" s="22"/>
      <c r="L1707" s="36">
        <v>800.0</v>
      </c>
      <c r="M1707" s="36"/>
      <c r="N1707" s="36"/>
      <c r="O1707" s="36"/>
      <c r="P1707" s="37" t="s">
        <v>8735</v>
      </c>
      <c r="Q1707" s="36"/>
      <c r="R1707" s="36"/>
      <c r="S1707" s="36"/>
      <c r="T1707" s="28" t="s">
        <v>8736</v>
      </c>
      <c r="U1707" s="38" t="str">
        <f>HYPERLINK("https://www.ncbi.nlm.nih.gov/pubmed/26914682","PubMed")</f>
        <v>PubMed</v>
      </c>
      <c r="V1707" s="50"/>
      <c r="W1707" s="49"/>
      <c r="X1707" s="49"/>
      <c r="Y1707" s="35"/>
      <c r="Z1707" s="35"/>
      <c r="AA1707" s="35"/>
      <c r="AB1707" s="35"/>
      <c r="AC1707" s="35"/>
      <c r="AD1707" s="35"/>
      <c r="AE1707" s="35"/>
      <c r="AF1707" s="35"/>
      <c r="AG1707" s="35"/>
      <c r="AH1707" s="35"/>
      <c r="AI1707" s="35"/>
      <c r="AJ1707" s="35"/>
      <c r="AK1707" s="35"/>
      <c r="AL1707" s="35"/>
    </row>
    <row r="1708">
      <c r="A1708" s="40"/>
      <c r="B1708" s="19" t="s">
        <v>7033</v>
      </c>
      <c r="C1708" s="20" t="s">
        <v>8617</v>
      </c>
      <c r="D1708" s="47"/>
      <c r="E1708" s="22" t="s">
        <v>1080</v>
      </c>
      <c r="F1708" s="22" t="s">
        <v>1622</v>
      </c>
      <c r="G1708" s="23">
        <v>2016.0</v>
      </c>
      <c r="H1708" s="22" t="s">
        <v>5215</v>
      </c>
      <c r="I1708" s="24" t="s">
        <v>8737</v>
      </c>
      <c r="J1708" s="22" t="s">
        <v>209</v>
      </c>
      <c r="K1708" s="22" t="s">
        <v>8738</v>
      </c>
      <c r="L1708" s="36" t="s">
        <v>8739</v>
      </c>
      <c r="M1708" s="36"/>
      <c r="N1708" s="36"/>
      <c r="O1708" s="36"/>
      <c r="P1708" s="37"/>
      <c r="Q1708" s="36"/>
      <c r="R1708" s="36"/>
      <c r="S1708" s="36"/>
      <c r="T1708" s="28" t="s">
        <v>8740</v>
      </c>
      <c r="U1708" s="38" t="str">
        <f>HYPERLINK("https://www.ncbi.nlm.nih.gov/pubmed/27663159","PubMed")</f>
        <v>PubMed</v>
      </c>
      <c r="V1708" s="50"/>
      <c r="W1708" s="49"/>
      <c r="X1708" s="49"/>
      <c r="Y1708" s="35"/>
      <c r="Z1708" s="35"/>
      <c r="AA1708" s="35"/>
      <c r="AB1708" s="35"/>
      <c r="AC1708" s="35"/>
      <c r="AD1708" s="35"/>
      <c r="AE1708" s="35"/>
      <c r="AF1708" s="35"/>
      <c r="AG1708" s="35"/>
      <c r="AH1708" s="35"/>
      <c r="AI1708" s="35"/>
      <c r="AJ1708" s="35"/>
      <c r="AK1708" s="35"/>
      <c r="AL1708" s="35"/>
    </row>
    <row r="1709">
      <c r="A1709" s="40"/>
      <c r="B1709" s="19" t="s">
        <v>7033</v>
      </c>
      <c r="C1709" s="20" t="s">
        <v>8617</v>
      </c>
      <c r="D1709" s="47"/>
      <c r="E1709" s="22" t="s">
        <v>1101</v>
      </c>
      <c r="F1709" s="22" t="s">
        <v>530</v>
      </c>
      <c r="G1709" s="23">
        <v>2016.0</v>
      </c>
      <c r="H1709" s="22" t="s">
        <v>169</v>
      </c>
      <c r="I1709" s="24" t="s">
        <v>8741</v>
      </c>
      <c r="J1709" s="22" t="s">
        <v>8742</v>
      </c>
      <c r="K1709" s="22" t="s">
        <v>8743</v>
      </c>
      <c r="L1709" s="36">
        <v>658.0</v>
      </c>
      <c r="M1709" s="36">
        <v>30.0</v>
      </c>
      <c r="N1709" s="36" t="s">
        <v>8744</v>
      </c>
      <c r="O1709" s="36" t="s">
        <v>1590</v>
      </c>
      <c r="P1709" s="37" t="s">
        <v>8745</v>
      </c>
      <c r="Q1709" s="36" t="s">
        <v>8746</v>
      </c>
      <c r="R1709" s="36"/>
      <c r="S1709" s="36" t="s">
        <v>6552</v>
      </c>
      <c r="T1709" s="41" t="s">
        <v>8747</v>
      </c>
      <c r="U1709" s="38" t="str">
        <f>HYPERLINK("https://www.ncbi.nlm.nih.gov/pubmed/27997267","PubMed")</f>
        <v>PubMed</v>
      </c>
      <c r="V1709" s="50"/>
      <c r="W1709" s="49"/>
      <c r="X1709" s="49"/>
      <c r="Y1709" s="35"/>
      <c r="Z1709" s="35"/>
      <c r="AA1709" s="35"/>
      <c r="AB1709" s="35"/>
      <c r="AC1709" s="35"/>
      <c r="AD1709" s="35"/>
      <c r="AE1709" s="35"/>
      <c r="AF1709" s="35"/>
      <c r="AG1709" s="35"/>
      <c r="AH1709" s="35"/>
      <c r="AI1709" s="35"/>
      <c r="AJ1709" s="35"/>
      <c r="AK1709" s="35"/>
      <c r="AL1709" s="35"/>
    </row>
    <row r="1710">
      <c r="A1710" s="40"/>
      <c r="B1710" s="19" t="s">
        <v>7033</v>
      </c>
      <c r="C1710" s="20" t="s">
        <v>8617</v>
      </c>
      <c r="D1710" s="47"/>
      <c r="E1710" s="22" t="s">
        <v>1080</v>
      </c>
      <c r="F1710" s="22" t="s">
        <v>8748</v>
      </c>
      <c r="G1710" s="23">
        <v>2015.0</v>
      </c>
      <c r="H1710" s="22" t="s">
        <v>7933</v>
      </c>
      <c r="I1710" s="24" t="s">
        <v>8749</v>
      </c>
      <c r="J1710" s="22" t="s">
        <v>31</v>
      </c>
      <c r="K1710" s="22" t="s">
        <v>8750</v>
      </c>
      <c r="L1710" s="36">
        <v>633.0</v>
      </c>
      <c r="M1710" s="36"/>
      <c r="N1710" s="36" t="s">
        <v>8751</v>
      </c>
      <c r="O1710" s="36"/>
      <c r="P1710" s="37" t="s">
        <v>8752</v>
      </c>
      <c r="Q1710" s="36"/>
      <c r="R1710" s="36" t="s">
        <v>8753</v>
      </c>
      <c r="S1710" s="36"/>
      <c r="T1710" s="28" t="s">
        <v>8754</v>
      </c>
      <c r="U1710" s="38" t="str">
        <f>HYPERLINK("https://www.ncbi.nlm.nih.gov/pubmed/25503577","PubMed")</f>
        <v>PubMed</v>
      </c>
      <c r="V1710" s="50"/>
      <c r="W1710" s="49"/>
      <c r="X1710" s="49"/>
      <c r="Y1710" s="35"/>
      <c r="Z1710" s="35"/>
      <c r="AA1710" s="35"/>
      <c r="AB1710" s="35"/>
      <c r="AC1710" s="35"/>
      <c r="AD1710" s="35"/>
      <c r="AE1710" s="35"/>
      <c r="AF1710" s="35"/>
      <c r="AG1710" s="35"/>
      <c r="AH1710" s="35"/>
      <c r="AI1710" s="35"/>
      <c r="AJ1710" s="35"/>
      <c r="AK1710" s="35"/>
      <c r="AL1710" s="35"/>
    </row>
    <row r="1711">
      <c r="A1711" s="40"/>
      <c r="B1711" s="19" t="s">
        <v>7033</v>
      </c>
      <c r="C1711" s="20" t="s">
        <v>8617</v>
      </c>
      <c r="D1711" s="47"/>
      <c r="E1711" s="22" t="s">
        <v>8755</v>
      </c>
      <c r="F1711" s="22" t="s">
        <v>8756</v>
      </c>
      <c r="G1711" s="23">
        <v>2014.0</v>
      </c>
      <c r="H1711" s="22" t="s">
        <v>658</v>
      </c>
      <c r="I1711" s="24" t="s">
        <v>8757</v>
      </c>
      <c r="J1711" s="22" t="s">
        <v>8758</v>
      </c>
      <c r="K1711" s="22" t="s">
        <v>56</v>
      </c>
      <c r="L1711" s="36" t="s">
        <v>8759</v>
      </c>
      <c r="M1711" s="36"/>
      <c r="N1711" s="36"/>
      <c r="O1711" s="36"/>
      <c r="P1711" s="37" t="s">
        <v>8760</v>
      </c>
      <c r="Q1711" s="36"/>
      <c r="R1711" s="36"/>
      <c r="S1711" s="36" t="s">
        <v>8761</v>
      </c>
      <c r="T1711" s="28" t="s">
        <v>8762</v>
      </c>
      <c r="U1711" s="38" t="str">
        <f>HYPERLINK("https://www.ncbi.nlm.nih.gov/pubmed/24286286","PubMed")</f>
        <v>PubMed</v>
      </c>
      <c r="V1711" s="30" t="s">
        <v>8763</v>
      </c>
      <c r="W1711" s="49"/>
      <c r="X1711" s="49"/>
      <c r="Y1711" s="35"/>
      <c r="Z1711" s="35"/>
      <c r="AA1711" s="35"/>
      <c r="AB1711" s="35"/>
      <c r="AC1711" s="35"/>
      <c r="AD1711" s="35"/>
      <c r="AE1711" s="35"/>
      <c r="AF1711" s="35"/>
      <c r="AG1711" s="35"/>
      <c r="AH1711" s="35"/>
      <c r="AI1711" s="35"/>
      <c r="AJ1711" s="35"/>
      <c r="AK1711" s="35"/>
      <c r="AL1711" s="35"/>
    </row>
    <row r="1712">
      <c r="A1712" s="40"/>
      <c r="B1712" s="19" t="s">
        <v>7033</v>
      </c>
      <c r="C1712" s="20" t="s">
        <v>8617</v>
      </c>
      <c r="D1712" s="47"/>
      <c r="E1712" s="22" t="s">
        <v>8764</v>
      </c>
      <c r="F1712" s="22" t="s">
        <v>2196</v>
      </c>
      <c r="G1712" s="23">
        <v>2011.0</v>
      </c>
      <c r="H1712" s="22" t="s">
        <v>91</v>
      </c>
      <c r="I1712" s="24" t="s">
        <v>8765</v>
      </c>
      <c r="J1712" s="22" t="s">
        <v>55</v>
      </c>
      <c r="K1712" s="22"/>
      <c r="L1712" s="36">
        <v>800.0</v>
      </c>
      <c r="M1712" s="36"/>
      <c r="N1712" s="36"/>
      <c r="O1712" s="36"/>
      <c r="P1712" s="37" t="s">
        <v>8735</v>
      </c>
      <c r="Q1712" s="36"/>
      <c r="R1712" s="36"/>
      <c r="S1712" s="36"/>
      <c r="T1712" s="28" t="s">
        <v>8766</v>
      </c>
      <c r="U1712" s="38" t="str">
        <f>HYPERLINK("https://www.ncbi.nlm.nih.gov/pubmed/21892789","PubMed")</f>
        <v>PubMed</v>
      </c>
      <c r="V1712" s="50"/>
      <c r="W1712" s="49"/>
      <c r="X1712" s="49"/>
      <c r="Y1712" s="35"/>
      <c r="Z1712" s="35"/>
      <c r="AA1712" s="35"/>
      <c r="AB1712" s="35"/>
      <c r="AC1712" s="35"/>
      <c r="AD1712" s="35"/>
      <c r="AE1712" s="35"/>
      <c r="AF1712" s="35"/>
      <c r="AG1712" s="35"/>
      <c r="AH1712" s="35"/>
      <c r="AI1712" s="35"/>
      <c r="AJ1712" s="35"/>
      <c r="AK1712" s="35"/>
      <c r="AL1712" s="35"/>
    </row>
    <row r="1713">
      <c r="A1713" s="40"/>
      <c r="B1713" s="19" t="s">
        <v>7033</v>
      </c>
      <c r="C1713" s="20" t="s">
        <v>8617</v>
      </c>
      <c r="D1713" s="47"/>
      <c r="E1713" s="22" t="s">
        <v>8767</v>
      </c>
      <c r="F1713" s="22" t="s">
        <v>8768</v>
      </c>
      <c r="G1713" s="23">
        <v>2011.0</v>
      </c>
      <c r="H1713" s="22" t="s">
        <v>8769</v>
      </c>
      <c r="I1713" s="24" t="s">
        <v>8770</v>
      </c>
      <c r="J1713" s="22" t="s">
        <v>8771</v>
      </c>
      <c r="K1713" s="22" t="s">
        <v>157</v>
      </c>
      <c r="L1713" s="36" t="s">
        <v>8772</v>
      </c>
      <c r="M1713" s="36"/>
      <c r="N1713" s="36"/>
      <c r="O1713" s="36"/>
      <c r="P1713" s="37"/>
      <c r="Q1713" s="36"/>
      <c r="R1713" s="36"/>
      <c r="S1713" s="36"/>
      <c r="T1713" s="28" t="s">
        <v>8773</v>
      </c>
      <c r="U1713" s="29" t="s">
        <v>8774</v>
      </c>
      <c r="V1713" s="30" t="s">
        <v>8775</v>
      </c>
      <c r="W1713" s="49"/>
      <c r="X1713" s="49"/>
      <c r="Y1713" s="35"/>
      <c r="Z1713" s="35"/>
      <c r="AA1713" s="35"/>
      <c r="AB1713" s="35"/>
      <c r="AC1713" s="35"/>
      <c r="AD1713" s="35"/>
      <c r="AE1713" s="35"/>
      <c r="AF1713" s="35"/>
      <c r="AG1713" s="35"/>
      <c r="AH1713" s="35"/>
      <c r="AI1713" s="35"/>
      <c r="AJ1713" s="35"/>
      <c r="AK1713" s="35"/>
      <c r="AL1713" s="35"/>
    </row>
    <row r="1714">
      <c r="A1714" s="40"/>
      <c r="B1714" s="19" t="s">
        <v>7033</v>
      </c>
      <c r="C1714" s="20" t="s">
        <v>8617</v>
      </c>
      <c r="D1714" s="47"/>
      <c r="E1714" s="22" t="s">
        <v>8776</v>
      </c>
      <c r="F1714" s="22" t="s">
        <v>8777</v>
      </c>
      <c r="G1714" s="23">
        <v>2010.0</v>
      </c>
      <c r="H1714" s="22" t="s">
        <v>7122</v>
      </c>
      <c r="I1714" s="24" t="s">
        <v>8778</v>
      </c>
      <c r="J1714" s="22" t="s">
        <v>125</v>
      </c>
      <c r="K1714" s="22"/>
      <c r="L1714" s="43" t="s">
        <v>8779</v>
      </c>
      <c r="M1714" s="44"/>
      <c r="N1714" s="44"/>
      <c r="O1714" s="44"/>
      <c r="P1714" s="44"/>
      <c r="Q1714" s="44"/>
      <c r="R1714" s="44"/>
      <c r="S1714" s="44"/>
      <c r="T1714" s="45"/>
      <c r="U1714" s="38" t="str">
        <f>HYPERLINK("https://www.ncbi.nlm.nih.gov/pubmed/20465603","PubMed")</f>
        <v>PubMed</v>
      </c>
      <c r="V1714" s="50"/>
      <c r="W1714" s="49"/>
      <c r="X1714" s="49"/>
      <c r="Y1714" s="35"/>
      <c r="Z1714" s="35"/>
      <c r="AA1714" s="35"/>
      <c r="AB1714" s="35"/>
      <c r="AC1714" s="35"/>
      <c r="AD1714" s="35"/>
      <c r="AE1714" s="35"/>
      <c r="AF1714" s="35"/>
      <c r="AG1714" s="35"/>
      <c r="AH1714" s="35"/>
      <c r="AI1714" s="35"/>
      <c r="AJ1714" s="35"/>
      <c r="AK1714" s="35"/>
      <c r="AL1714" s="35"/>
    </row>
    <row r="1715">
      <c r="A1715" s="40" t="s">
        <v>2</v>
      </c>
      <c r="B1715" s="19" t="s">
        <v>7033</v>
      </c>
      <c r="C1715" s="20" t="s">
        <v>8617</v>
      </c>
      <c r="D1715" s="47"/>
      <c r="E1715" s="22" t="s">
        <v>5325</v>
      </c>
      <c r="F1715" s="22" t="s">
        <v>7954</v>
      </c>
      <c r="G1715" s="23">
        <v>2009.0</v>
      </c>
      <c r="H1715" s="22" t="s">
        <v>5032</v>
      </c>
      <c r="I1715" s="24" t="s">
        <v>8780</v>
      </c>
      <c r="J1715" s="22" t="s">
        <v>8781</v>
      </c>
      <c r="K1715" s="22" t="s">
        <v>8782</v>
      </c>
      <c r="L1715" s="36">
        <v>660.0</v>
      </c>
      <c r="M1715" s="36"/>
      <c r="N1715" s="36" t="s">
        <v>1729</v>
      </c>
      <c r="O1715" s="36"/>
      <c r="P1715" s="37" t="s">
        <v>254</v>
      </c>
      <c r="Q1715" s="36"/>
      <c r="R1715" s="36">
        <v>160.0</v>
      </c>
      <c r="S1715" s="36" t="s">
        <v>4905</v>
      </c>
      <c r="T1715" s="28" t="s">
        <v>8783</v>
      </c>
      <c r="U1715" s="38" t="str">
        <f>HYPERLINK("https://www.ncbi.nlm.nih.gov/pubmed/19587693","PubMed")</f>
        <v>PubMed</v>
      </c>
      <c r="V1715" s="50"/>
      <c r="W1715" s="49"/>
      <c r="X1715" s="49"/>
      <c r="Y1715" s="35"/>
      <c r="Z1715" s="35"/>
      <c r="AA1715" s="35"/>
      <c r="AB1715" s="35"/>
      <c r="AC1715" s="35"/>
      <c r="AD1715" s="35"/>
      <c r="AE1715" s="35"/>
      <c r="AF1715" s="35"/>
      <c r="AG1715" s="35"/>
      <c r="AH1715" s="35"/>
      <c r="AI1715" s="35"/>
      <c r="AJ1715" s="35"/>
      <c r="AK1715" s="35"/>
      <c r="AL1715" s="35"/>
    </row>
    <row r="1716">
      <c r="A1716" s="40"/>
      <c r="B1716" s="19" t="s">
        <v>7033</v>
      </c>
      <c r="C1716" s="20" t="s">
        <v>8617</v>
      </c>
      <c r="D1716" s="47"/>
      <c r="E1716" s="22" t="s">
        <v>8784</v>
      </c>
      <c r="F1716" s="22" t="s">
        <v>8785</v>
      </c>
      <c r="G1716" s="23">
        <v>2009.0</v>
      </c>
      <c r="H1716" s="22" t="s">
        <v>8786</v>
      </c>
      <c r="I1716" s="243" t="s">
        <v>8787</v>
      </c>
      <c r="J1716" s="22" t="s">
        <v>8788</v>
      </c>
      <c r="K1716" s="22" t="s">
        <v>8789</v>
      </c>
      <c r="L1716" s="36">
        <v>588.0</v>
      </c>
      <c r="M1716" s="36"/>
      <c r="N1716" s="36"/>
      <c r="O1716" s="36"/>
      <c r="P1716" s="37" t="s">
        <v>892</v>
      </c>
      <c r="Q1716" s="36"/>
      <c r="R1716" s="36"/>
      <c r="S1716" s="36"/>
      <c r="T1716" s="41" t="s">
        <v>8790</v>
      </c>
      <c r="U1716" s="29" t="s">
        <v>61</v>
      </c>
      <c r="V1716" s="50"/>
      <c r="W1716" s="49"/>
      <c r="X1716" s="49"/>
      <c r="Y1716" s="35"/>
      <c r="Z1716" s="35"/>
      <c r="AA1716" s="35"/>
      <c r="AB1716" s="35"/>
      <c r="AC1716" s="35"/>
      <c r="AD1716" s="35"/>
      <c r="AE1716" s="35"/>
      <c r="AF1716" s="35"/>
      <c r="AG1716" s="35"/>
      <c r="AH1716" s="35"/>
      <c r="AI1716" s="35"/>
      <c r="AJ1716" s="35"/>
      <c r="AK1716" s="35"/>
      <c r="AL1716" s="35"/>
    </row>
    <row r="1717">
      <c r="A1717" s="40"/>
      <c r="B1717" s="19" t="s">
        <v>7033</v>
      </c>
      <c r="C1717" s="20" t="s">
        <v>8617</v>
      </c>
      <c r="D1717" s="47"/>
      <c r="E1717" s="22" t="s">
        <v>8791</v>
      </c>
      <c r="F1717" s="22" t="s">
        <v>2407</v>
      </c>
      <c r="G1717" s="23">
        <v>2009.0</v>
      </c>
      <c r="H1717" s="22" t="s">
        <v>5489</v>
      </c>
      <c r="I1717" s="24" t="s">
        <v>8792</v>
      </c>
      <c r="J1717" s="22" t="s">
        <v>8793</v>
      </c>
      <c r="K1717" s="22" t="s">
        <v>8789</v>
      </c>
      <c r="L1717" s="36">
        <v>588.0</v>
      </c>
      <c r="M1717" s="36"/>
      <c r="N1717" s="36"/>
      <c r="O1717" s="36"/>
      <c r="P1717" s="37"/>
      <c r="Q1717" s="36"/>
      <c r="R1717" s="36">
        <v>40.0</v>
      </c>
      <c r="S1717" s="36">
        <v>8.0</v>
      </c>
      <c r="T1717" s="41" t="s">
        <v>8794</v>
      </c>
      <c r="U1717" s="38" t="str">
        <f>HYPERLINK("https://www.ncbi.nlm.nih.gov/pubmed/19215260","PubMed")</f>
        <v>PubMed</v>
      </c>
      <c r="V1717" s="50"/>
      <c r="W1717" s="49"/>
      <c r="X1717" s="49"/>
      <c r="Y1717" s="35"/>
      <c r="Z1717" s="35"/>
      <c r="AA1717" s="35"/>
      <c r="AB1717" s="35"/>
      <c r="AC1717" s="35"/>
      <c r="AD1717" s="35"/>
      <c r="AE1717" s="35"/>
      <c r="AF1717" s="35"/>
      <c r="AG1717" s="35"/>
      <c r="AH1717" s="35"/>
      <c r="AI1717" s="35"/>
      <c r="AJ1717" s="35"/>
      <c r="AK1717" s="35"/>
      <c r="AL1717" s="35"/>
    </row>
    <row r="1718">
      <c r="A1718" s="40"/>
      <c r="B1718" s="19" t="s">
        <v>7033</v>
      </c>
      <c r="C1718" s="20" t="s">
        <v>8617</v>
      </c>
      <c r="D1718" s="47"/>
      <c r="E1718" s="22" t="s">
        <v>8795</v>
      </c>
      <c r="F1718" s="22" t="s">
        <v>8796</v>
      </c>
      <c r="G1718" s="23">
        <v>2009.0</v>
      </c>
      <c r="H1718" s="22" t="s">
        <v>658</v>
      </c>
      <c r="I1718" s="24" t="s">
        <v>8797</v>
      </c>
      <c r="J1718" s="22" t="s">
        <v>2273</v>
      </c>
      <c r="K1718" s="22"/>
      <c r="L1718" s="36">
        <v>670.0</v>
      </c>
      <c r="M1718" s="36"/>
      <c r="N1718" s="36"/>
      <c r="O1718" s="36"/>
      <c r="P1718" s="37" t="s">
        <v>254</v>
      </c>
      <c r="Q1718" s="36"/>
      <c r="R1718" s="36"/>
      <c r="S1718" s="36"/>
      <c r="T1718" s="28" t="s">
        <v>8798</v>
      </c>
      <c r="U1718" s="38" t="str">
        <f>HYPERLINK("https://www.ncbi.nlm.nih.gov/pubmed/19817517","PubMed")</f>
        <v>PubMed</v>
      </c>
      <c r="V1718" s="50"/>
      <c r="W1718" s="49"/>
      <c r="X1718" s="49"/>
      <c r="Y1718" s="35"/>
      <c r="Z1718" s="35"/>
      <c r="AA1718" s="35"/>
      <c r="AB1718" s="35"/>
      <c r="AC1718" s="35"/>
      <c r="AD1718" s="35"/>
      <c r="AE1718" s="35"/>
      <c r="AF1718" s="35"/>
      <c r="AG1718" s="35"/>
      <c r="AH1718" s="35"/>
      <c r="AI1718" s="35"/>
      <c r="AJ1718" s="35"/>
      <c r="AK1718" s="35"/>
      <c r="AL1718" s="35"/>
    </row>
    <row r="1719">
      <c r="A1719" s="40"/>
      <c r="B1719" s="19" t="s">
        <v>7033</v>
      </c>
      <c r="C1719" s="20" t="s">
        <v>8617</v>
      </c>
      <c r="D1719" s="47"/>
      <c r="E1719" s="22" t="s">
        <v>7266</v>
      </c>
      <c r="F1719" s="22" t="s">
        <v>2052</v>
      </c>
      <c r="G1719" s="23">
        <v>2008.0</v>
      </c>
      <c r="H1719" s="22" t="s">
        <v>116</v>
      </c>
      <c r="I1719" s="24" t="s">
        <v>8799</v>
      </c>
      <c r="J1719" s="22" t="s">
        <v>8800</v>
      </c>
      <c r="K1719" s="22" t="s">
        <v>8801</v>
      </c>
      <c r="L1719" s="36" t="s">
        <v>8106</v>
      </c>
      <c r="M1719" s="36"/>
      <c r="N1719" s="36" t="s">
        <v>8802</v>
      </c>
      <c r="O1719" s="36"/>
      <c r="P1719" s="37" t="s">
        <v>8803</v>
      </c>
      <c r="Q1719" s="36"/>
      <c r="R1719" s="36"/>
      <c r="S1719" s="36"/>
      <c r="T1719" s="28" t="s">
        <v>8804</v>
      </c>
      <c r="U1719" s="38" t="str">
        <f>HYPERLINK("https://www.ncbi.nlm.nih.gov/pubmed/19146602","PubMed")</f>
        <v>PubMed</v>
      </c>
      <c r="V1719" s="50"/>
      <c r="W1719" s="49"/>
      <c r="X1719" s="49"/>
      <c r="Y1719" s="35"/>
      <c r="Z1719" s="35"/>
      <c r="AA1719" s="35"/>
      <c r="AB1719" s="35"/>
      <c r="AC1719" s="35"/>
      <c r="AD1719" s="35"/>
      <c r="AE1719" s="35"/>
      <c r="AF1719" s="35"/>
      <c r="AG1719" s="35"/>
      <c r="AH1719" s="35"/>
      <c r="AI1719" s="35"/>
      <c r="AJ1719" s="35"/>
      <c r="AK1719" s="35"/>
      <c r="AL1719" s="35"/>
    </row>
    <row r="1720">
      <c r="A1720" s="40" t="s">
        <v>181</v>
      </c>
      <c r="B1720" s="19" t="s">
        <v>7033</v>
      </c>
      <c r="C1720" s="20" t="s">
        <v>8617</v>
      </c>
      <c r="D1720" s="47"/>
      <c r="E1720" s="22" t="s">
        <v>8805</v>
      </c>
      <c r="F1720" s="22" t="s">
        <v>2579</v>
      </c>
      <c r="G1720" s="23">
        <v>2007.0</v>
      </c>
      <c r="H1720" s="22" t="s">
        <v>169</v>
      </c>
      <c r="I1720" s="24" t="s">
        <v>8806</v>
      </c>
      <c r="J1720" s="22" t="s">
        <v>8807</v>
      </c>
      <c r="K1720" s="22" t="s">
        <v>157</v>
      </c>
      <c r="L1720" s="36">
        <v>1072.0</v>
      </c>
      <c r="M1720" s="36"/>
      <c r="N1720" s="36"/>
      <c r="O1720" s="36"/>
      <c r="P1720" s="37"/>
      <c r="Q1720" s="36"/>
      <c r="R1720" s="36" t="s">
        <v>8808</v>
      </c>
      <c r="S1720" s="36" t="s">
        <v>8809</v>
      </c>
      <c r="T1720" s="28" t="s">
        <v>8810</v>
      </c>
      <c r="U1720" s="38" t="str">
        <f>HYPERLINK("https://www.ncbi.nlm.nih.gov/pubmed/17852628","PubMed")</f>
        <v>PubMed</v>
      </c>
      <c r="V1720" s="30" t="s">
        <v>8811</v>
      </c>
      <c r="W1720" s="49"/>
      <c r="X1720" s="49"/>
      <c r="Y1720" s="35"/>
      <c r="Z1720" s="35"/>
      <c r="AA1720" s="35"/>
      <c r="AB1720" s="35"/>
      <c r="AC1720" s="35"/>
      <c r="AD1720" s="35"/>
      <c r="AE1720" s="35"/>
      <c r="AF1720" s="35"/>
      <c r="AG1720" s="35"/>
      <c r="AH1720" s="35"/>
      <c r="AI1720" s="35"/>
      <c r="AJ1720" s="35"/>
      <c r="AK1720" s="35"/>
      <c r="AL1720" s="35"/>
    </row>
    <row r="1721">
      <c r="A1721" s="40"/>
      <c r="B1721" s="19" t="s">
        <v>7033</v>
      </c>
      <c r="C1721" s="20" t="s">
        <v>8617</v>
      </c>
      <c r="D1721" s="47"/>
      <c r="E1721" s="22" t="s">
        <v>5551</v>
      </c>
      <c r="F1721" s="22" t="s">
        <v>1416</v>
      </c>
      <c r="G1721" s="23">
        <v>2007.0</v>
      </c>
      <c r="H1721" s="22" t="s">
        <v>292</v>
      </c>
      <c r="I1721" s="24" t="s">
        <v>8812</v>
      </c>
      <c r="J1721" s="22" t="s">
        <v>8813</v>
      </c>
      <c r="K1721" s="22" t="s">
        <v>157</v>
      </c>
      <c r="L1721" s="36">
        <v>630.0</v>
      </c>
      <c r="M1721" s="36"/>
      <c r="N1721" s="36"/>
      <c r="O1721" s="36">
        <v>9000.0</v>
      </c>
      <c r="P1721" s="37" t="s">
        <v>8814</v>
      </c>
      <c r="Q1721" s="36"/>
      <c r="R1721" s="36"/>
      <c r="S1721" s="36" t="s">
        <v>8815</v>
      </c>
      <c r="T1721" s="28" t="s">
        <v>8816</v>
      </c>
      <c r="U1721" s="29" t="s">
        <v>3020</v>
      </c>
      <c r="V1721" s="50"/>
      <c r="W1721" s="49"/>
      <c r="X1721" s="49"/>
      <c r="Y1721" s="35"/>
      <c r="Z1721" s="35"/>
      <c r="AA1721" s="35"/>
      <c r="AB1721" s="35"/>
      <c r="AC1721" s="35"/>
      <c r="AD1721" s="35"/>
      <c r="AE1721" s="35"/>
      <c r="AF1721" s="35"/>
      <c r="AG1721" s="35"/>
      <c r="AH1721" s="35"/>
      <c r="AI1721" s="35"/>
      <c r="AJ1721" s="35"/>
      <c r="AK1721" s="35"/>
      <c r="AL1721" s="35"/>
    </row>
    <row r="1722">
      <c r="A1722" s="40"/>
      <c r="B1722" s="19" t="s">
        <v>7033</v>
      </c>
      <c r="C1722" s="20" t="s">
        <v>8617</v>
      </c>
      <c r="D1722" s="47"/>
      <c r="E1722" s="22" t="s">
        <v>8817</v>
      </c>
      <c r="F1722" s="22" t="s">
        <v>1862</v>
      </c>
      <c r="G1722" s="23">
        <v>2007.0</v>
      </c>
      <c r="H1722" s="22" t="s">
        <v>169</v>
      </c>
      <c r="I1722" s="24" t="s">
        <v>8818</v>
      </c>
      <c r="J1722" s="22" t="s">
        <v>8819</v>
      </c>
      <c r="K1722" s="22" t="s">
        <v>8820</v>
      </c>
      <c r="L1722" s="36" t="s">
        <v>8106</v>
      </c>
      <c r="M1722" s="36"/>
      <c r="N1722" s="36"/>
      <c r="O1722" s="36" t="s">
        <v>8821</v>
      </c>
      <c r="P1722" s="37"/>
      <c r="Q1722" s="36"/>
      <c r="R1722" s="36"/>
      <c r="S1722" s="36" t="s">
        <v>8822</v>
      </c>
      <c r="T1722" s="28" t="s">
        <v>8823</v>
      </c>
      <c r="U1722" s="38" t="str">
        <f>HYPERLINK("https://www.ncbi.nlm.nih.gov/pubmed/17760698","PubMed")</f>
        <v>PubMed</v>
      </c>
      <c r="V1722" s="50"/>
      <c r="W1722" s="49"/>
      <c r="X1722" s="49"/>
      <c r="Y1722" s="35"/>
      <c r="Z1722" s="35"/>
      <c r="AA1722" s="35"/>
      <c r="AB1722" s="35"/>
      <c r="AC1722" s="35"/>
      <c r="AD1722" s="35"/>
      <c r="AE1722" s="35"/>
      <c r="AF1722" s="35"/>
      <c r="AG1722" s="35"/>
      <c r="AH1722" s="35"/>
      <c r="AI1722" s="35"/>
      <c r="AJ1722" s="35"/>
      <c r="AK1722" s="35"/>
      <c r="AL1722" s="35"/>
    </row>
    <row r="1723">
      <c r="A1723" s="40"/>
      <c r="B1723" s="19" t="s">
        <v>7033</v>
      </c>
      <c r="C1723" s="20" t="s">
        <v>8617</v>
      </c>
      <c r="D1723" s="47"/>
      <c r="E1723" s="22" t="s">
        <v>493</v>
      </c>
      <c r="F1723" s="22" t="s">
        <v>299</v>
      </c>
      <c r="G1723" s="23">
        <v>2007.0</v>
      </c>
      <c r="H1723" s="22" t="s">
        <v>207</v>
      </c>
      <c r="I1723" s="24" t="s">
        <v>8824</v>
      </c>
      <c r="J1723" s="22" t="s">
        <v>8825</v>
      </c>
      <c r="K1723" s="22" t="s">
        <v>8826</v>
      </c>
      <c r="L1723" s="36" t="s">
        <v>8827</v>
      </c>
      <c r="M1723" s="36" t="s">
        <v>8042</v>
      </c>
      <c r="N1723" s="36"/>
      <c r="O1723" s="36"/>
      <c r="P1723" s="37" t="s">
        <v>8828</v>
      </c>
      <c r="Q1723" s="36"/>
      <c r="R1723" s="36">
        <v>1200.0</v>
      </c>
      <c r="S1723" s="36">
        <v>8.0</v>
      </c>
      <c r="T1723" s="28" t="s">
        <v>8829</v>
      </c>
      <c r="U1723" s="38" t="str">
        <f>HYPERLINK("https://www.ncbi.nlm.nih.gov/pubmed/17566756","PubMed")</f>
        <v>PubMed</v>
      </c>
      <c r="V1723" s="30" t="s">
        <v>8830</v>
      </c>
      <c r="W1723" s="49"/>
      <c r="X1723" s="49"/>
      <c r="Y1723" s="35"/>
      <c r="Z1723" s="35"/>
      <c r="AA1723" s="35"/>
      <c r="AB1723" s="35"/>
      <c r="AC1723" s="35"/>
      <c r="AD1723" s="35"/>
      <c r="AE1723" s="35"/>
      <c r="AF1723" s="35"/>
      <c r="AG1723" s="35"/>
      <c r="AH1723" s="35"/>
      <c r="AI1723" s="35"/>
      <c r="AJ1723" s="35"/>
      <c r="AK1723" s="35"/>
      <c r="AL1723" s="35"/>
    </row>
    <row r="1724">
      <c r="A1724" s="242"/>
      <c r="B1724" s="19" t="s">
        <v>7033</v>
      </c>
      <c r="C1724" s="20" t="s">
        <v>8617</v>
      </c>
      <c r="D1724" s="47"/>
      <c r="E1724" s="22" t="s">
        <v>8831</v>
      </c>
      <c r="F1724" s="22" t="s">
        <v>7973</v>
      </c>
      <c r="G1724" s="23">
        <v>2007.0</v>
      </c>
      <c r="H1724" s="22" t="s">
        <v>91</v>
      </c>
      <c r="I1724" s="24" t="s">
        <v>8832</v>
      </c>
      <c r="J1724" s="22" t="s">
        <v>125</v>
      </c>
      <c r="K1724" s="22"/>
      <c r="L1724" s="105" t="s">
        <v>8833</v>
      </c>
      <c r="M1724" s="44"/>
      <c r="N1724" s="44"/>
      <c r="O1724" s="44"/>
      <c r="P1724" s="44"/>
      <c r="Q1724" s="44"/>
      <c r="R1724" s="44"/>
      <c r="S1724" s="44"/>
      <c r="T1724" s="45"/>
      <c r="U1724" s="38" t="str">
        <f>HYPERLINK("https://www.ncbi.nlm.nih.gov/pubmed/17122954","PubMed")</f>
        <v>PubMed</v>
      </c>
      <c r="V1724" s="50"/>
      <c r="W1724" s="49"/>
      <c r="X1724" s="49"/>
      <c r="Y1724" s="35"/>
      <c r="Z1724" s="35"/>
      <c r="AA1724" s="35"/>
      <c r="AB1724" s="35"/>
      <c r="AC1724" s="35"/>
      <c r="AD1724" s="35"/>
      <c r="AE1724" s="35"/>
      <c r="AF1724" s="35"/>
      <c r="AG1724" s="35"/>
      <c r="AH1724" s="35"/>
      <c r="AI1724" s="35"/>
      <c r="AJ1724" s="35"/>
      <c r="AK1724" s="35"/>
      <c r="AL1724" s="35"/>
    </row>
    <row r="1725">
      <c r="A1725" s="242" t="s">
        <v>38</v>
      </c>
      <c r="B1725" s="19" t="s">
        <v>7033</v>
      </c>
      <c r="C1725" s="20" t="s">
        <v>8617</v>
      </c>
      <c r="D1725" s="47"/>
      <c r="E1725" s="22" t="s">
        <v>8834</v>
      </c>
      <c r="F1725" s="22" t="s">
        <v>7973</v>
      </c>
      <c r="G1725" s="23">
        <v>2006.0</v>
      </c>
      <c r="H1725" s="22" t="s">
        <v>116</v>
      </c>
      <c r="I1725" s="24" t="s">
        <v>8835</v>
      </c>
      <c r="J1725" s="22" t="s">
        <v>125</v>
      </c>
      <c r="K1725" s="22"/>
      <c r="L1725" s="105" t="s">
        <v>8836</v>
      </c>
      <c r="M1725" s="44"/>
      <c r="N1725" s="44"/>
      <c r="O1725" s="44"/>
      <c r="P1725" s="44"/>
      <c r="Q1725" s="44"/>
      <c r="R1725" s="44"/>
      <c r="S1725" s="44"/>
      <c r="T1725" s="45"/>
      <c r="U1725" s="38" t="str">
        <f>HYPERLINK("https://www.ncbi.nlm.nih.gov/pubmed/17173579","PubMed")</f>
        <v>PubMed</v>
      </c>
      <c r="V1725" s="50"/>
      <c r="W1725" s="49"/>
      <c r="X1725" s="49"/>
      <c r="Y1725" s="35"/>
      <c r="Z1725" s="35"/>
      <c r="AA1725" s="35"/>
      <c r="AB1725" s="35"/>
      <c r="AC1725" s="35"/>
      <c r="AD1725" s="35"/>
      <c r="AE1725" s="35"/>
      <c r="AF1725" s="35"/>
      <c r="AG1725" s="35"/>
      <c r="AH1725" s="35"/>
      <c r="AI1725" s="35"/>
      <c r="AJ1725" s="35"/>
      <c r="AK1725" s="35"/>
      <c r="AL1725" s="35"/>
    </row>
    <row r="1726">
      <c r="A1726" s="242"/>
      <c r="B1726" s="19" t="s">
        <v>7033</v>
      </c>
      <c r="C1726" s="20" t="s">
        <v>8617</v>
      </c>
      <c r="D1726" s="47"/>
      <c r="E1726" s="22" t="s">
        <v>8837</v>
      </c>
      <c r="F1726" s="22" t="s">
        <v>8838</v>
      </c>
      <c r="G1726" s="23">
        <v>2006.0</v>
      </c>
      <c r="H1726" s="22" t="s">
        <v>5489</v>
      </c>
      <c r="I1726" s="24" t="s">
        <v>8839</v>
      </c>
      <c r="J1726" s="22" t="s">
        <v>8840</v>
      </c>
      <c r="K1726" s="22"/>
      <c r="L1726" s="36" t="s">
        <v>8841</v>
      </c>
      <c r="M1726" s="36" t="s">
        <v>3911</v>
      </c>
      <c r="N1726" s="36"/>
      <c r="O1726" s="36"/>
      <c r="P1726" s="37" t="s">
        <v>1028</v>
      </c>
      <c r="Q1726" s="36" t="s">
        <v>8842</v>
      </c>
      <c r="R1726" s="36">
        <v>1200.0</v>
      </c>
      <c r="S1726" s="36" t="s">
        <v>2099</v>
      </c>
      <c r="T1726" s="54" t="s">
        <v>8843</v>
      </c>
      <c r="U1726" s="38" t="str">
        <f>HYPERLINK("https://www.ncbi.nlm.nih.gov/pubmed/16970694","PubMed")</f>
        <v>PubMed</v>
      </c>
      <c r="V1726" s="30" t="s">
        <v>8844</v>
      </c>
      <c r="W1726" s="49"/>
      <c r="X1726" s="49"/>
      <c r="Y1726" s="35"/>
      <c r="Z1726" s="35"/>
      <c r="AA1726" s="35"/>
      <c r="AB1726" s="35"/>
      <c r="AC1726" s="35"/>
      <c r="AD1726" s="35"/>
      <c r="AE1726" s="35"/>
      <c r="AF1726" s="35"/>
      <c r="AG1726" s="35"/>
      <c r="AH1726" s="35"/>
      <c r="AI1726" s="35"/>
      <c r="AJ1726" s="35"/>
      <c r="AK1726" s="35"/>
      <c r="AL1726" s="35"/>
    </row>
    <row r="1727">
      <c r="A1727" s="40"/>
      <c r="B1727" s="19" t="s">
        <v>7033</v>
      </c>
      <c r="C1727" s="20" t="s">
        <v>8617</v>
      </c>
      <c r="D1727" s="47"/>
      <c r="E1727" s="22" t="s">
        <v>8764</v>
      </c>
      <c r="F1727" s="22" t="s">
        <v>2196</v>
      </c>
      <c r="G1727" s="23">
        <v>2006.0</v>
      </c>
      <c r="H1727" s="22" t="s">
        <v>5043</v>
      </c>
      <c r="I1727" s="24" t="s">
        <v>8845</v>
      </c>
      <c r="J1727" s="22" t="s">
        <v>44</v>
      </c>
      <c r="K1727" s="22" t="s">
        <v>294</v>
      </c>
      <c r="L1727" s="36" t="s">
        <v>8846</v>
      </c>
      <c r="M1727" s="36"/>
      <c r="N1727" s="36"/>
      <c r="O1727" s="36"/>
      <c r="P1727" s="37" t="s">
        <v>8847</v>
      </c>
      <c r="Q1727" s="36"/>
      <c r="R1727" s="36"/>
      <c r="S1727" s="36" t="s">
        <v>8848</v>
      </c>
      <c r="T1727" s="28" t="s">
        <v>8849</v>
      </c>
      <c r="U1727" s="38" t="str">
        <f>HYPERLINK("https://www.ncbi.nlm.nih.gov/pubmed/16626386","PubMed")</f>
        <v>PubMed</v>
      </c>
      <c r="V1727" s="50"/>
      <c r="W1727" s="49"/>
      <c r="X1727" s="49"/>
      <c r="Y1727" s="35"/>
      <c r="Z1727" s="35"/>
      <c r="AA1727" s="35"/>
      <c r="AB1727" s="35"/>
      <c r="AC1727" s="35"/>
      <c r="AD1727" s="35"/>
      <c r="AE1727" s="35"/>
      <c r="AF1727" s="35"/>
      <c r="AG1727" s="35"/>
      <c r="AH1727" s="35"/>
      <c r="AI1727" s="35"/>
      <c r="AJ1727" s="35"/>
      <c r="AK1727" s="35"/>
      <c r="AL1727" s="35"/>
    </row>
    <row r="1728">
      <c r="A1728" s="40"/>
      <c r="B1728" s="19" t="s">
        <v>7033</v>
      </c>
      <c r="C1728" s="20" t="s">
        <v>8617</v>
      </c>
      <c r="D1728" s="47"/>
      <c r="E1728" s="22" t="s">
        <v>8850</v>
      </c>
      <c r="F1728" s="22" t="s">
        <v>2808</v>
      </c>
      <c r="G1728" s="23">
        <v>2005.0</v>
      </c>
      <c r="H1728" s="22" t="s">
        <v>91</v>
      </c>
      <c r="I1728" s="24" t="s">
        <v>8851</v>
      </c>
      <c r="J1728" s="22" t="s">
        <v>8852</v>
      </c>
      <c r="K1728" s="22" t="s">
        <v>157</v>
      </c>
      <c r="L1728" s="36">
        <v>633.0</v>
      </c>
      <c r="M1728" s="36"/>
      <c r="N1728" s="36"/>
      <c r="O1728" s="36"/>
      <c r="P1728" s="37"/>
      <c r="Q1728" s="36"/>
      <c r="R1728" s="36">
        <v>1200.0</v>
      </c>
      <c r="S1728" s="36" t="s">
        <v>8476</v>
      </c>
      <c r="T1728" s="42" t="s">
        <v>8853</v>
      </c>
      <c r="U1728" s="29" t="s">
        <v>61</v>
      </c>
      <c r="V1728" s="30" t="s">
        <v>8854</v>
      </c>
      <c r="W1728" s="49"/>
      <c r="X1728" s="49"/>
      <c r="Y1728" s="35"/>
      <c r="Z1728" s="35"/>
      <c r="AA1728" s="35"/>
      <c r="AB1728" s="35"/>
      <c r="AC1728" s="35"/>
      <c r="AD1728" s="35"/>
      <c r="AE1728" s="35"/>
      <c r="AF1728" s="35"/>
      <c r="AG1728" s="35"/>
      <c r="AH1728" s="35"/>
      <c r="AI1728" s="35"/>
      <c r="AJ1728" s="35"/>
      <c r="AK1728" s="35"/>
      <c r="AL1728" s="35"/>
    </row>
    <row r="1729">
      <c r="A1729" s="40"/>
      <c r="B1729" s="19" t="s">
        <v>7033</v>
      </c>
      <c r="C1729" s="20" t="s">
        <v>8617</v>
      </c>
      <c r="D1729" s="47"/>
      <c r="E1729" s="22" t="s">
        <v>8401</v>
      </c>
      <c r="F1729" s="22" t="s">
        <v>8402</v>
      </c>
      <c r="G1729" s="23">
        <v>2005.0</v>
      </c>
      <c r="H1729" s="22" t="s">
        <v>53</v>
      </c>
      <c r="I1729" s="24" t="s">
        <v>8855</v>
      </c>
      <c r="J1729" s="22" t="s">
        <v>8856</v>
      </c>
      <c r="K1729" s="22" t="s">
        <v>157</v>
      </c>
      <c r="L1729" s="36">
        <v>590.0</v>
      </c>
      <c r="M1729" s="36"/>
      <c r="N1729" s="36"/>
      <c r="O1729" s="36"/>
      <c r="P1729" s="37" t="s">
        <v>892</v>
      </c>
      <c r="Q1729" s="36"/>
      <c r="R1729" s="36"/>
      <c r="S1729" s="36"/>
      <c r="T1729" s="28" t="s">
        <v>8857</v>
      </c>
      <c r="U1729" s="38" t="str">
        <f>HYPERLINK("https://www.ncbi.nlm.nih.gov/pubmed/15654716","PubMed")</f>
        <v>PubMed</v>
      </c>
      <c r="V1729" s="50"/>
      <c r="W1729" s="49"/>
      <c r="X1729" s="49"/>
      <c r="Y1729" s="35"/>
      <c r="Z1729" s="35"/>
      <c r="AA1729" s="35"/>
      <c r="AB1729" s="35"/>
      <c r="AC1729" s="35"/>
      <c r="AD1729" s="35"/>
      <c r="AE1729" s="35"/>
      <c r="AF1729" s="35"/>
      <c r="AG1729" s="35"/>
      <c r="AH1729" s="35"/>
      <c r="AI1729" s="35"/>
      <c r="AJ1729" s="35"/>
      <c r="AK1729" s="35"/>
      <c r="AL1729" s="35"/>
    </row>
    <row r="1730">
      <c r="A1730" s="40"/>
      <c r="B1730" s="19" t="s">
        <v>7033</v>
      </c>
      <c r="C1730" s="20" t="s">
        <v>8617</v>
      </c>
      <c r="D1730" s="47"/>
      <c r="E1730" s="22" t="s">
        <v>7467</v>
      </c>
      <c r="F1730" s="22" t="s">
        <v>1398</v>
      </c>
      <c r="G1730" s="23">
        <v>2005.0</v>
      </c>
      <c r="H1730" s="22" t="s">
        <v>292</v>
      </c>
      <c r="I1730" s="24" t="s">
        <v>8858</v>
      </c>
      <c r="J1730" s="22" t="s">
        <v>8859</v>
      </c>
      <c r="K1730" s="22" t="s">
        <v>157</v>
      </c>
      <c r="L1730" s="36">
        <v>633.0</v>
      </c>
      <c r="M1730" s="36"/>
      <c r="N1730" s="36" t="s">
        <v>7877</v>
      </c>
      <c r="O1730" s="36"/>
      <c r="P1730" s="37" t="s">
        <v>7472</v>
      </c>
      <c r="Q1730" s="36"/>
      <c r="R1730" s="36">
        <v>900.0</v>
      </c>
      <c r="S1730" s="36" t="s">
        <v>2799</v>
      </c>
      <c r="T1730" s="42" t="s">
        <v>8860</v>
      </c>
      <c r="U1730" s="38" t="str">
        <f>HYPERLINK("https://www.jstage.jst.go.jp/article/islsm/14/4/14_4_153/_article/-char/en","J-STAGE")</f>
        <v>J-STAGE</v>
      </c>
      <c r="V1730" s="30" t="s">
        <v>8861</v>
      </c>
      <c r="W1730" s="49"/>
      <c r="X1730" s="49"/>
      <c r="Y1730" s="35"/>
      <c r="Z1730" s="35"/>
      <c r="AA1730" s="35"/>
      <c r="AB1730" s="35"/>
      <c r="AC1730" s="35"/>
      <c r="AD1730" s="35"/>
      <c r="AE1730" s="35"/>
      <c r="AF1730" s="35"/>
      <c r="AG1730" s="35"/>
      <c r="AH1730" s="35"/>
      <c r="AI1730" s="35"/>
      <c r="AJ1730" s="35"/>
      <c r="AK1730" s="35"/>
      <c r="AL1730" s="35"/>
    </row>
    <row r="1731">
      <c r="A1731" s="40"/>
      <c r="B1731" s="19" t="s">
        <v>7033</v>
      </c>
      <c r="C1731" s="20" t="s">
        <v>8617</v>
      </c>
      <c r="D1731" s="47"/>
      <c r="E1731" s="22" t="s">
        <v>8862</v>
      </c>
      <c r="F1731" s="22" t="s">
        <v>8863</v>
      </c>
      <c r="G1731" s="23">
        <v>2005.0</v>
      </c>
      <c r="H1731" s="22" t="s">
        <v>169</v>
      </c>
      <c r="I1731" s="24" t="s">
        <v>8864</v>
      </c>
      <c r="J1731" s="22" t="s">
        <v>8865</v>
      </c>
      <c r="K1731" s="22" t="s">
        <v>8820</v>
      </c>
      <c r="L1731" s="36" t="s">
        <v>8106</v>
      </c>
      <c r="M1731" s="36"/>
      <c r="N1731" s="36"/>
      <c r="O1731" s="36" t="s">
        <v>8821</v>
      </c>
      <c r="P1731" s="37"/>
      <c r="Q1731" s="36"/>
      <c r="R1731" s="36"/>
      <c r="S1731" s="36"/>
      <c r="T1731" s="28" t="s">
        <v>8866</v>
      </c>
      <c r="U1731" s="38" t="str">
        <f>HYPERLINK("https://www.ncbi.nlm.nih.gov/pubmed/16414908","PubMed")</f>
        <v>PubMed</v>
      </c>
      <c r="V1731" s="50"/>
      <c r="W1731" s="49"/>
      <c r="X1731" s="49"/>
      <c r="Y1731" s="35"/>
      <c r="Z1731" s="35"/>
      <c r="AA1731" s="35"/>
      <c r="AB1731" s="35"/>
      <c r="AC1731" s="35"/>
      <c r="AD1731" s="35"/>
      <c r="AE1731" s="35"/>
      <c r="AF1731" s="35"/>
      <c r="AG1731" s="35"/>
      <c r="AH1731" s="35"/>
      <c r="AI1731" s="35"/>
      <c r="AJ1731" s="35"/>
      <c r="AK1731" s="35"/>
      <c r="AL1731" s="35"/>
    </row>
    <row r="1732">
      <c r="A1732" s="40"/>
      <c r="B1732" s="19" t="s">
        <v>7033</v>
      </c>
      <c r="C1732" s="20" t="s">
        <v>8617</v>
      </c>
      <c r="D1732" s="47"/>
      <c r="E1732" s="22" t="s">
        <v>8401</v>
      </c>
      <c r="F1732" s="22" t="s">
        <v>8402</v>
      </c>
      <c r="G1732" s="23">
        <v>2004.0</v>
      </c>
      <c r="H1732" s="22" t="s">
        <v>7267</v>
      </c>
      <c r="I1732" s="24" t="s">
        <v>8867</v>
      </c>
      <c r="J1732" s="22" t="s">
        <v>8868</v>
      </c>
      <c r="K1732" s="22" t="s">
        <v>8869</v>
      </c>
      <c r="L1732" s="36">
        <v>590.0</v>
      </c>
      <c r="M1732" s="36"/>
      <c r="N1732" s="36"/>
      <c r="O1732" s="36"/>
      <c r="P1732" s="37"/>
      <c r="Q1732" s="36"/>
      <c r="R1732" s="36"/>
      <c r="S1732" s="36"/>
      <c r="T1732" s="28" t="s">
        <v>8870</v>
      </c>
      <c r="U1732" s="38" t="str">
        <f>HYPERLINK("https://www.ncbi.nlm.nih.gov/pubmed/15624743","PubMed")</f>
        <v>PubMed</v>
      </c>
      <c r="V1732" s="50"/>
      <c r="W1732" s="49"/>
      <c r="X1732" s="49"/>
      <c r="Y1732" s="35"/>
      <c r="Z1732" s="35"/>
      <c r="AA1732" s="35"/>
      <c r="AB1732" s="35"/>
      <c r="AC1732" s="35"/>
      <c r="AD1732" s="35"/>
      <c r="AE1732" s="35"/>
      <c r="AF1732" s="35"/>
      <c r="AG1732" s="35"/>
      <c r="AH1732" s="35"/>
      <c r="AI1732" s="35"/>
      <c r="AJ1732" s="35"/>
      <c r="AK1732" s="35"/>
      <c r="AL1732" s="35"/>
    </row>
    <row r="1733">
      <c r="A1733" s="1"/>
      <c r="B1733" s="19" t="s">
        <v>7033</v>
      </c>
      <c r="C1733" s="20" t="s">
        <v>8871</v>
      </c>
      <c r="D1733" s="47"/>
      <c r="E1733" s="22" t="s">
        <v>8872</v>
      </c>
      <c r="F1733" s="22" t="s">
        <v>8873</v>
      </c>
      <c r="G1733" s="23">
        <v>1992.0</v>
      </c>
      <c r="H1733" s="22" t="s">
        <v>292</v>
      </c>
      <c r="I1733" s="24" t="s">
        <v>8874</v>
      </c>
      <c r="J1733" s="22" t="s">
        <v>8875</v>
      </c>
      <c r="K1733" s="22"/>
      <c r="L1733" s="36">
        <v>830.0</v>
      </c>
      <c r="M1733" s="36">
        <v>60.0</v>
      </c>
      <c r="N1733" s="36"/>
      <c r="O1733" s="36"/>
      <c r="P1733" s="37"/>
      <c r="Q1733" s="36"/>
      <c r="R1733" s="36" t="s">
        <v>271</v>
      </c>
      <c r="S1733" s="36"/>
      <c r="T1733" s="28" t="s">
        <v>8876</v>
      </c>
      <c r="U1733" s="38" t="str">
        <f>HYPERLINK("https://www.jstage.jst.go.jp/article/islsm/4/3/4_92-OR-15/_article/-char/en","PubMed")</f>
        <v>PubMed</v>
      </c>
      <c r="V1733" s="30"/>
      <c r="W1733" s="49"/>
      <c r="X1733" s="49"/>
      <c r="Y1733" s="35"/>
      <c r="Z1733" s="35"/>
      <c r="AA1733" s="35"/>
      <c r="AB1733" s="35"/>
      <c r="AC1733" s="35"/>
      <c r="AD1733" s="35"/>
      <c r="AE1733" s="35"/>
      <c r="AF1733" s="35"/>
      <c r="AG1733" s="35"/>
      <c r="AH1733" s="35"/>
      <c r="AI1733" s="35"/>
      <c r="AJ1733" s="35"/>
      <c r="AK1733" s="35"/>
      <c r="AL1733" s="35"/>
    </row>
    <row r="1734">
      <c r="A1734" s="1"/>
      <c r="B1734" s="19" t="s">
        <v>7033</v>
      </c>
      <c r="C1734" s="20" t="s">
        <v>8877</v>
      </c>
      <c r="D1734" s="47"/>
      <c r="E1734" s="22" t="s">
        <v>8878</v>
      </c>
      <c r="F1734" s="22" t="s">
        <v>1943</v>
      </c>
      <c r="G1734" s="23">
        <v>2024.0</v>
      </c>
      <c r="H1734" s="22" t="s">
        <v>1943</v>
      </c>
      <c r="I1734" s="24" t="s">
        <v>8879</v>
      </c>
      <c r="J1734" s="23" t="s">
        <v>8880</v>
      </c>
      <c r="K1734" s="22" t="s">
        <v>8881</v>
      </c>
      <c r="L1734" s="36">
        <v>808.0</v>
      </c>
      <c r="M1734" s="36"/>
      <c r="N1734" s="36"/>
      <c r="O1734" s="36"/>
      <c r="P1734" s="37"/>
      <c r="Q1734" s="36"/>
      <c r="R1734" s="36"/>
      <c r="S1734" s="36">
        <v>12.0</v>
      </c>
      <c r="T1734" s="41" t="s">
        <v>8882</v>
      </c>
      <c r="U1734" s="38" t="s">
        <v>61</v>
      </c>
      <c r="V1734" s="30"/>
      <c r="W1734" s="49"/>
      <c r="X1734" s="49"/>
      <c r="Y1734" s="35"/>
      <c r="Z1734" s="35"/>
      <c r="AA1734" s="35"/>
      <c r="AB1734" s="35"/>
      <c r="AC1734" s="35"/>
      <c r="AD1734" s="35"/>
      <c r="AE1734" s="35"/>
      <c r="AF1734" s="35"/>
      <c r="AG1734" s="35"/>
      <c r="AH1734" s="35"/>
      <c r="AI1734" s="35"/>
      <c r="AJ1734" s="35"/>
      <c r="AK1734" s="35"/>
      <c r="AL1734" s="35"/>
    </row>
    <row r="1735">
      <c r="A1735" s="1"/>
      <c r="B1735" s="19" t="s">
        <v>7033</v>
      </c>
      <c r="C1735" s="20" t="s">
        <v>8877</v>
      </c>
      <c r="D1735" s="47"/>
      <c r="E1735" s="22" t="s">
        <v>8883</v>
      </c>
      <c r="F1735" s="22" t="s">
        <v>2705</v>
      </c>
      <c r="G1735" s="23">
        <v>2023.0</v>
      </c>
      <c r="H1735" s="22" t="s">
        <v>8884</v>
      </c>
      <c r="I1735" s="24" t="s">
        <v>8885</v>
      </c>
      <c r="J1735" s="22" t="s">
        <v>8886</v>
      </c>
      <c r="K1735" s="22"/>
      <c r="L1735" s="36">
        <v>675.0</v>
      </c>
      <c r="M1735" s="36"/>
      <c r="N1735" s="36"/>
      <c r="O1735" s="36"/>
      <c r="P1735" s="37"/>
      <c r="Q1735" s="36"/>
      <c r="R1735" s="36"/>
      <c r="S1735" s="36" t="s">
        <v>8887</v>
      </c>
      <c r="T1735" s="28" t="s">
        <v>8888</v>
      </c>
      <c r="U1735" s="38" t="s">
        <v>61</v>
      </c>
      <c r="V1735" s="30"/>
      <c r="W1735" s="49"/>
      <c r="X1735" s="49"/>
      <c r="Y1735" s="35"/>
      <c r="Z1735" s="35"/>
      <c r="AA1735" s="35"/>
      <c r="AB1735" s="35"/>
      <c r="AC1735" s="35"/>
      <c r="AD1735" s="35"/>
      <c r="AE1735" s="35"/>
      <c r="AF1735" s="35"/>
      <c r="AG1735" s="35"/>
      <c r="AH1735" s="35"/>
      <c r="AI1735" s="35"/>
      <c r="AJ1735" s="35"/>
      <c r="AK1735" s="35"/>
      <c r="AL1735" s="35"/>
    </row>
    <row r="1736">
      <c r="A1736" s="1"/>
      <c r="B1736" s="19" t="s">
        <v>7033</v>
      </c>
      <c r="C1736" s="20" t="s">
        <v>8889</v>
      </c>
      <c r="D1736" s="47"/>
      <c r="E1736" s="22" t="s">
        <v>8890</v>
      </c>
      <c r="F1736" s="22" t="s">
        <v>2052</v>
      </c>
      <c r="G1736" s="23">
        <v>2009.0</v>
      </c>
      <c r="H1736" s="22" t="s">
        <v>7267</v>
      </c>
      <c r="I1736" s="24" t="s">
        <v>8891</v>
      </c>
      <c r="J1736" s="22" t="s">
        <v>8892</v>
      </c>
      <c r="K1736" s="22"/>
      <c r="L1736" s="36">
        <v>980.0</v>
      </c>
      <c r="M1736" s="36"/>
      <c r="N1736" s="36"/>
      <c r="O1736" s="36"/>
      <c r="P1736" s="37"/>
      <c r="Q1736" s="36"/>
      <c r="R1736" s="36"/>
      <c r="S1736" s="36"/>
      <c r="T1736" s="28" t="s">
        <v>8893</v>
      </c>
      <c r="U1736" s="38" t="str">
        <f>HYPERLINK("https://www.ncbi.nlm.nih.gov/pubmed/19271368","PubMed")</f>
        <v>PubMed</v>
      </c>
      <c r="V1736" s="30"/>
      <c r="W1736" s="49"/>
      <c r="X1736" s="49"/>
      <c r="Y1736" s="35"/>
      <c r="Z1736" s="35"/>
      <c r="AA1736" s="35"/>
      <c r="AB1736" s="35"/>
      <c r="AC1736" s="35"/>
      <c r="AD1736" s="35"/>
      <c r="AE1736" s="35"/>
      <c r="AF1736" s="35"/>
      <c r="AG1736" s="35"/>
      <c r="AH1736" s="35"/>
      <c r="AI1736" s="35"/>
      <c r="AJ1736" s="35"/>
      <c r="AK1736" s="35"/>
      <c r="AL1736" s="35"/>
    </row>
    <row r="1737">
      <c r="A1737" s="1"/>
      <c r="B1737" s="19" t="s">
        <v>7033</v>
      </c>
      <c r="C1737" s="20" t="s">
        <v>8894</v>
      </c>
      <c r="D1737" s="47"/>
      <c r="E1737" s="22" t="s">
        <v>856</v>
      </c>
      <c r="F1737" s="22" t="s">
        <v>8895</v>
      </c>
      <c r="G1737" s="23">
        <v>2018.0</v>
      </c>
      <c r="H1737" s="22" t="s">
        <v>8896</v>
      </c>
      <c r="I1737" s="24" t="s">
        <v>8897</v>
      </c>
      <c r="J1737" s="22" t="s">
        <v>31</v>
      </c>
      <c r="K1737" s="22"/>
      <c r="L1737" s="36">
        <v>630.0</v>
      </c>
      <c r="M1737" s="36"/>
      <c r="N1737" s="36"/>
      <c r="O1737" s="36"/>
      <c r="P1737" s="37" t="s">
        <v>480</v>
      </c>
      <c r="Q1737" s="36"/>
      <c r="R1737" s="36"/>
      <c r="S1737" s="36"/>
      <c r="T1737" s="28"/>
      <c r="U1737" s="38" t="str">
        <f>HYPERLINK("https://www.ncbi.nlm.nih.gov/pubmed/29475416","PubMed")</f>
        <v>PubMed</v>
      </c>
      <c r="V1737" s="50"/>
      <c r="W1737" s="49"/>
      <c r="X1737" s="49"/>
      <c r="Y1737" s="35"/>
      <c r="Z1737" s="35"/>
      <c r="AA1737" s="35"/>
      <c r="AB1737" s="35"/>
      <c r="AC1737" s="35"/>
      <c r="AD1737" s="35"/>
      <c r="AE1737" s="35"/>
      <c r="AF1737" s="35"/>
      <c r="AG1737" s="35"/>
      <c r="AH1737" s="35"/>
      <c r="AI1737" s="35"/>
      <c r="AJ1737" s="35"/>
      <c r="AK1737" s="35"/>
      <c r="AL1737" s="35"/>
    </row>
    <row r="1738">
      <c r="A1738" s="1"/>
      <c r="B1738" s="19" t="s">
        <v>7033</v>
      </c>
      <c r="C1738" s="20" t="s">
        <v>8898</v>
      </c>
      <c r="D1738" s="47"/>
      <c r="E1738" s="22" t="s">
        <v>4595</v>
      </c>
      <c r="F1738" s="22" t="s">
        <v>299</v>
      </c>
      <c r="G1738" s="23">
        <v>2024.0</v>
      </c>
      <c r="H1738" s="22" t="s">
        <v>8899</v>
      </c>
      <c r="I1738" s="24" t="s">
        <v>8900</v>
      </c>
      <c r="J1738" s="22" t="s">
        <v>44</v>
      </c>
      <c r="K1738" s="22" t="s">
        <v>157</v>
      </c>
      <c r="L1738" s="36">
        <v>630.0</v>
      </c>
      <c r="M1738" s="36"/>
      <c r="N1738" s="36"/>
      <c r="O1738" s="36"/>
      <c r="P1738" s="37"/>
      <c r="Q1738" s="36"/>
      <c r="R1738" s="36">
        <v>1800.0</v>
      </c>
      <c r="S1738" s="36" t="s">
        <v>8901</v>
      </c>
      <c r="T1738" s="28" t="s">
        <v>8902</v>
      </c>
      <c r="U1738" s="38" t="s">
        <v>61</v>
      </c>
      <c r="V1738" s="50"/>
      <c r="W1738" s="49"/>
      <c r="X1738" s="49"/>
      <c r="Y1738" s="35"/>
      <c r="Z1738" s="35"/>
      <c r="AA1738" s="35"/>
      <c r="AB1738" s="35"/>
      <c r="AC1738" s="35"/>
      <c r="AD1738" s="35"/>
      <c r="AE1738" s="35"/>
      <c r="AF1738" s="35"/>
      <c r="AG1738" s="35"/>
      <c r="AH1738" s="35"/>
      <c r="AI1738" s="35"/>
      <c r="AJ1738" s="35"/>
      <c r="AK1738" s="35"/>
      <c r="AL1738" s="35"/>
    </row>
    <row r="1739">
      <c r="A1739" s="1"/>
      <c r="B1739" s="19" t="s">
        <v>7033</v>
      </c>
      <c r="C1739" s="20" t="s">
        <v>8898</v>
      </c>
      <c r="D1739" s="47"/>
      <c r="E1739" s="22" t="s">
        <v>1648</v>
      </c>
      <c r="F1739" s="22" t="s">
        <v>8903</v>
      </c>
      <c r="G1739" s="23">
        <v>2022.0</v>
      </c>
      <c r="H1739" s="22" t="s">
        <v>7420</v>
      </c>
      <c r="I1739" s="24" t="s">
        <v>8904</v>
      </c>
      <c r="J1739" s="22" t="s">
        <v>31</v>
      </c>
      <c r="K1739" s="22" t="s">
        <v>157</v>
      </c>
      <c r="L1739" s="36">
        <v>590.0</v>
      </c>
      <c r="M1739" s="36"/>
      <c r="N1739" s="36" t="s">
        <v>8905</v>
      </c>
      <c r="O1739" s="36"/>
      <c r="P1739" s="37" t="s">
        <v>8906</v>
      </c>
      <c r="Q1739" s="36"/>
      <c r="R1739" s="36">
        <v>900.0</v>
      </c>
      <c r="S1739" s="36"/>
      <c r="T1739" s="28" t="s">
        <v>8907</v>
      </c>
      <c r="U1739" s="29" t="s">
        <v>61</v>
      </c>
      <c r="V1739" s="50"/>
      <c r="W1739" s="49"/>
      <c r="X1739" s="49"/>
      <c r="Y1739" s="35"/>
      <c r="Z1739" s="35"/>
      <c r="AA1739" s="35"/>
      <c r="AB1739" s="35"/>
      <c r="AC1739" s="35"/>
      <c r="AD1739" s="35"/>
      <c r="AE1739" s="35"/>
      <c r="AF1739" s="35"/>
      <c r="AG1739" s="35"/>
      <c r="AH1739" s="35"/>
      <c r="AI1739" s="35"/>
      <c r="AJ1739" s="35"/>
      <c r="AK1739" s="35"/>
      <c r="AL1739" s="35"/>
    </row>
    <row r="1740">
      <c r="A1740" s="1"/>
      <c r="B1740" s="19" t="s">
        <v>7033</v>
      </c>
      <c r="C1740" s="20" t="s">
        <v>8898</v>
      </c>
      <c r="D1740" s="47"/>
      <c r="E1740" s="22" t="s">
        <v>8908</v>
      </c>
      <c r="F1740" s="22" t="s">
        <v>274</v>
      </c>
      <c r="G1740" s="23">
        <v>2020.0</v>
      </c>
      <c r="H1740" s="22" t="s">
        <v>91</v>
      </c>
      <c r="I1740" s="24" t="s">
        <v>8909</v>
      </c>
      <c r="J1740" s="22" t="s">
        <v>44</v>
      </c>
      <c r="K1740" s="22"/>
      <c r="L1740" s="36">
        <v>660.0</v>
      </c>
      <c r="M1740" s="36"/>
      <c r="N1740" s="36"/>
      <c r="O1740" s="36"/>
      <c r="P1740" s="37"/>
      <c r="Q1740" s="36"/>
      <c r="R1740" s="36"/>
      <c r="S1740" s="36"/>
      <c r="T1740" s="28" t="s">
        <v>8910</v>
      </c>
      <c r="U1740" s="29" t="s">
        <v>61</v>
      </c>
      <c r="V1740" s="50"/>
      <c r="W1740" s="49"/>
      <c r="X1740" s="49"/>
      <c r="Y1740" s="35"/>
      <c r="Z1740" s="35"/>
      <c r="AA1740" s="35"/>
      <c r="AB1740" s="35"/>
      <c r="AC1740" s="35"/>
      <c r="AD1740" s="35"/>
      <c r="AE1740" s="35"/>
      <c r="AF1740" s="35"/>
      <c r="AG1740" s="35"/>
      <c r="AH1740" s="35"/>
      <c r="AI1740" s="35"/>
      <c r="AJ1740" s="35"/>
      <c r="AK1740" s="35"/>
      <c r="AL1740" s="35"/>
    </row>
    <row r="1741">
      <c r="A1741" s="40"/>
      <c r="B1741" s="19" t="s">
        <v>7033</v>
      </c>
      <c r="C1741" s="20" t="s">
        <v>8898</v>
      </c>
      <c r="D1741" s="159"/>
      <c r="E1741" s="23" t="s">
        <v>8908</v>
      </c>
      <c r="F1741" s="23" t="s">
        <v>8911</v>
      </c>
      <c r="G1741" s="23">
        <v>2020.0</v>
      </c>
      <c r="H1741" s="23" t="s">
        <v>5130</v>
      </c>
      <c r="I1741" s="243" t="s">
        <v>8912</v>
      </c>
      <c r="J1741" s="23" t="s">
        <v>44</v>
      </c>
      <c r="K1741" s="23" t="s">
        <v>8913</v>
      </c>
      <c r="L1741" s="94">
        <v>660.0</v>
      </c>
      <c r="M1741" s="94">
        <v>40.0</v>
      </c>
      <c r="N1741" s="94" t="s">
        <v>360</v>
      </c>
      <c r="O1741" s="94" t="s">
        <v>8914</v>
      </c>
      <c r="P1741" s="94">
        <v>40.0</v>
      </c>
      <c r="Q1741" s="94"/>
      <c r="R1741" s="94"/>
      <c r="S1741" s="94"/>
      <c r="T1741" s="54" t="s">
        <v>8915</v>
      </c>
      <c r="U1741" s="138" t="s">
        <v>61</v>
      </c>
      <c r="V1741" s="30"/>
      <c r="W1741" s="49"/>
      <c r="X1741" s="49"/>
      <c r="Y1741" s="35"/>
      <c r="Z1741" s="35"/>
      <c r="AA1741" s="35"/>
      <c r="AB1741" s="35"/>
      <c r="AC1741" s="35"/>
      <c r="AD1741" s="35"/>
      <c r="AE1741" s="35"/>
      <c r="AF1741" s="35"/>
      <c r="AG1741" s="35"/>
      <c r="AH1741" s="35"/>
      <c r="AI1741" s="35"/>
      <c r="AJ1741" s="35"/>
      <c r="AK1741" s="35"/>
      <c r="AL1741" s="35"/>
    </row>
    <row r="1742">
      <c r="A1742" s="1"/>
      <c r="B1742" s="19" t="s">
        <v>7033</v>
      </c>
      <c r="C1742" s="20" t="s">
        <v>8898</v>
      </c>
      <c r="D1742" s="47"/>
      <c r="E1742" s="22" t="s">
        <v>8916</v>
      </c>
      <c r="F1742" s="22" t="s">
        <v>7381</v>
      </c>
      <c r="G1742" s="23">
        <v>2019.0</v>
      </c>
      <c r="H1742" s="22" t="s">
        <v>7329</v>
      </c>
      <c r="I1742" s="24" t="s">
        <v>8917</v>
      </c>
      <c r="J1742" s="22" t="s">
        <v>31</v>
      </c>
      <c r="K1742" s="22" t="s">
        <v>157</v>
      </c>
      <c r="L1742" s="36">
        <v>660.0</v>
      </c>
      <c r="M1742" s="36"/>
      <c r="N1742" s="36"/>
      <c r="O1742" s="36"/>
      <c r="P1742" s="37" t="s">
        <v>1028</v>
      </c>
      <c r="Q1742" s="36"/>
      <c r="R1742" s="36"/>
      <c r="S1742" s="36"/>
      <c r="T1742" s="28" t="s">
        <v>8918</v>
      </c>
      <c r="U1742" s="38" t="str">
        <f>HYPERLINK("https://www.ncbi.nlm.nih.gov/pubmed/30956030","PubMed")</f>
        <v>PubMed</v>
      </c>
      <c r="V1742" s="50"/>
      <c r="W1742" s="49"/>
      <c r="X1742" s="49"/>
      <c r="Y1742" s="35"/>
      <c r="Z1742" s="35"/>
      <c r="AA1742" s="35"/>
      <c r="AB1742" s="35"/>
      <c r="AC1742" s="35"/>
      <c r="AD1742" s="35"/>
      <c r="AE1742" s="35"/>
      <c r="AF1742" s="35"/>
      <c r="AG1742" s="35"/>
      <c r="AH1742" s="35"/>
      <c r="AI1742" s="35"/>
      <c r="AJ1742" s="35"/>
      <c r="AK1742" s="35"/>
      <c r="AL1742" s="35"/>
    </row>
    <row r="1743">
      <c r="A1743" s="1"/>
      <c r="B1743" s="19" t="s">
        <v>7033</v>
      </c>
      <c r="C1743" s="20" t="s">
        <v>8898</v>
      </c>
      <c r="D1743" s="47"/>
      <c r="E1743" s="22" t="s">
        <v>1080</v>
      </c>
      <c r="F1743" s="22" t="s">
        <v>7381</v>
      </c>
      <c r="G1743" s="23">
        <v>2017.0</v>
      </c>
      <c r="H1743" s="22" t="s">
        <v>5032</v>
      </c>
      <c r="I1743" s="24" t="s">
        <v>8919</v>
      </c>
      <c r="J1743" s="22" t="s">
        <v>31</v>
      </c>
      <c r="K1743" s="22" t="s">
        <v>157</v>
      </c>
      <c r="L1743" s="36">
        <v>660.0</v>
      </c>
      <c r="M1743" s="36"/>
      <c r="N1743" s="36"/>
      <c r="O1743" s="36"/>
      <c r="P1743" s="37" t="s">
        <v>1028</v>
      </c>
      <c r="Q1743" s="36"/>
      <c r="R1743" s="36"/>
      <c r="S1743" s="36"/>
      <c r="T1743" s="28" t="s">
        <v>8920</v>
      </c>
      <c r="U1743" s="38" t="str">
        <f>HYPERLINK("https://www.ncbi.nlm.nih.gov/pubmed/27729279","PubMed")</f>
        <v>PubMed</v>
      </c>
      <c r="V1743" s="50"/>
      <c r="W1743" s="49"/>
      <c r="X1743" s="49"/>
      <c r="Y1743" s="35"/>
      <c r="Z1743" s="35"/>
      <c r="AA1743" s="35"/>
      <c r="AB1743" s="35"/>
      <c r="AC1743" s="35"/>
      <c r="AD1743" s="35"/>
      <c r="AE1743" s="35"/>
      <c r="AF1743" s="35"/>
      <c r="AG1743" s="35"/>
      <c r="AH1743" s="35"/>
      <c r="AI1743" s="35"/>
      <c r="AJ1743" s="35"/>
      <c r="AK1743" s="35"/>
      <c r="AL1743" s="35"/>
    </row>
    <row r="1744">
      <c r="A1744" s="1"/>
      <c r="B1744" s="19" t="s">
        <v>7033</v>
      </c>
      <c r="C1744" s="20" t="s">
        <v>8898</v>
      </c>
      <c r="D1744" s="47"/>
      <c r="E1744" s="22" t="s">
        <v>8921</v>
      </c>
      <c r="F1744" s="22" t="s">
        <v>8922</v>
      </c>
      <c r="G1744" s="23">
        <v>2016.0</v>
      </c>
      <c r="H1744" s="22" t="s">
        <v>207</v>
      </c>
      <c r="I1744" s="24" t="s">
        <v>8923</v>
      </c>
      <c r="J1744" s="22" t="s">
        <v>31</v>
      </c>
      <c r="K1744" s="22" t="s">
        <v>5886</v>
      </c>
      <c r="L1744" s="36" t="s">
        <v>5273</v>
      </c>
      <c r="M1744" s="36"/>
      <c r="N1744" s="36"/>
      <c r="O1744" s="36"/>
      <c r="P1744" s="37" t="s">
        <v>102</v>
      </c>
      <c r="Q1744" s="36"/>
      <c r="R1744" s="36"/>
      <c r="S1744" s="36"/>
      <c r="T1744" s="28" t="s">
        <v>8924</v>
      </c>
      <c r="U1744" s="38" t="str">
        <f>HYPERLINK("https://www.ncbi.nlm.nih.gov/pubmed/27567083","PubMed")</f>
        <v>PubMed</v>
      </c>
      <c r="V1744" s="50"/>
      <c r="W1744" s="49"/>
      <c r="X1744" s="49"/>
      <c r="Y1744" s="35"/>
      <c r="Z1744" s="35"/>
      <c r="AA1744" s="35"/>
      <c r="AB1744" s="35"/>
      <c r="AC1744" s="35"/>
      <c r="AD1744" s="35"/>
      <c r="AE1744" s="35"/>
      <c r="AF1744" s="35"/>
      <c r="AG1744" s="35"/>
      <c r="AH1744" s="35"/>
      <c r="AI1744" s="35"/>
      <c r="AJ1744" s="35"/>
      <c r="AK1744" s="35"/>
      <c r="AL1744" s="35"/>
    </row>
    <row r="1745">
      <c r="A1745" s="1"/>
      <c r="B1745" s="19" t="s">
        <v>7033</v>
      </c>
      <c r="C1745" s="20" t="s">
        <v>8898</v>
      </c>
      <c r="D1745" s="47"/>
      <c r="E1745" s="22" t="s">
        <v>3869</v>
      </c>
      <c r="F1745" s="22" t="s">
        <v>494</v>
      </c>
      <c r="G1745" s="23">
        <v>2015.0</v>
      </c>
      <c r="H1745" s="22" t="s">
        <v>7329</v>
      </c>
      <c r="I1745" s="24" t="s">
        <v>8925</v>
      </c>
      <c r="J1745" s="22" t="s">
        <v>31</v>
      </c>
      <c r="K1745" s="22" t="s">
        <v>157</v>
      </c>
      <c r="L1745" s="36">
        <v>590.0</v>
      </c>
      <c r="M1745" s="36"/>
      <c r="N1745" s="36"/>
      <c r="O1745" s="36"/>
      <c r="P1745" s="37"/>
      <c r="Q1745" s="36"/>
      <c r="R1745" s="36"/>
      <c r="S1745" s="36"/>
      <c r="T1745" s="28" t="s">
        <v>8926</v>
      </c>
      <c r="U1745" s="38" t="str">
        <f>HYPERLINK("https://www.ncbi.nlm.nih.gov/pubmed/25816722","PubMed")</f>
        <v>PubMed</v>
      </c>
      <c r="V1745" s="50"/>
      <c r="W1745" s="49"/>
      <c r="X1745" s="49"/>
      <c r="Y1745" s="35"/>
      <c r="Z1745" s="35"/>
      <c r="AA1745" s="35"/>
      <c r="AB1745" s="35"/>
      <c r="AC1745" s="35"/>
      <c r="AD1745" s="35"/>
      <c r="AE1745" s="35"/>
      <c r="AF1745" s="35"/>
      <c r="AG1745" s="35"/>
      <c r="AH1745" s="35"/>
      <c r="AI1745" s="35"/>
      <c r="AJ1745" s="35"/>
      <c r="AK1745" s="35"/>
      <c r="AL1745" s="35"/>
    </row>
    <row r="1746">
      <c r="A1746" s="1" t="s">
        <v>2</v>
      </c>
      <c r="B1746" s="19" t="s">
        <v>7033</v>
      </c>
      <c r="C1746" s="20" t="s">
        <v>8898</v>
      </c>
      <c r="D1746" s="47"/>
      <c r="E1746" s="22" t="s">
        <v>8927</v>
      </c>
      <c r="F1746" s="22" t="s">
        <v>8928</v>
      </c>
      <c r="G1746" s="23">
        <v>2015.0</v>
      </c>
      <c r="H1746" s="22" t="s">
        <v>4975</v>
      </c>
      <c r="I1746" s="24" t="s">
        <v>8929</v>
      </c>
      <c r="J1746" s="22" t="s">
        <v>31</v>
      </c>
      <c r="K1746" s="22" t="s">
        <v>7898</v>
      </c>
      <c r="L1746" s="36" t="s">
        <v>8930</v>
      </c>
      <c r="M1746" s="36"/>
      <c r="N1746" s="36" t="s">
        <v>8931</v>
      </c>
      <c r="O1746" s="36"/>
      <c r="P1746" s="37"/>
      <c r="Q1746" s="36"/>
      <c r="R1746" s="36">
        <v>3600.0</v>
      </c>
      <c r="S1746" s="36"/>
      <c r="T1746" s="42" t="s">
        <v>8932</v>
      </c>
      <c r="U1746" s="38" t="str">
        <f>HYPERLINK("https://www.ncbi.nlm.nih.gov/pubmed/25707293","PubMed")</f>
        <v>PubMed</v>
      </c>
      <c r="V1746" s="50"/>
      <c r="W1746" s="49"/>
      <c r="X1746" s="49"/>
      <c r="Y1746" s="35"/>
      <c r="Z1746" s="35"/>
      <c r="AA1746" s="35"/>
      <c r="AB1746" s="35"/>
      <c r="AC1746" s="35"/>
      <c r="AD1746" s="35"/>
      <c r="AE1746" s="35"/>
      <c r="AF1746" s="35"/>
      <c r="AG1746" s="35"/>
      <c r="AH1746" s="35"/>
      <c r="AI1746" s="35"/>
      <c r="AJ1746" s="35"/>
      <c r="AK1746" s="35"/>
      <c r="AL1746" s="35"/>
    </row>
    <row r="1747">
      <c r="A1747" s="1"/>
      <c r="B1747" s="19" t="s">
        <v>7033</v>
      </c>
      <c r="C1747" s="20" t="s">
        <v>8898</v>
      </c>
      <c r="D1747" s="47"/>
      <c r="E1747" s="22" t="s">
        <v>8933</v>
      </c>
      <c r="F1747" s="22" t="s">
        <v>8922</v>
      </c>
      <c r="G1747" s="23">
        <v>2015.0</v>
      </c>
      <c r="H1747" s="22" t="s">
        <v>4975</v>
      </c>
      <c r="I1747" s="24" t="s">
        <v>8934</v>
      </c>
      <c r="J1747" s="22" t="s">
        <v>55</v>
      </c>
      <c r="K1747" s="22" t="s">
        <v>56</v>
      </c>
      <c r="L1747" s="36" t="s">
        <v>7903</v>
      </c>
      <c r="M1747" s="36"/>
      <c r="N1747" s="36"/>
      <c r="O1747" s="36"/>
      <c r="P1747" s="37" t="s">
        <v>8935</v>
      </c>
      <c r="Q1747" s="36"/>
      <c r="R1747" s="36"/>
      <c r="S1747" s="36"/>
      <c r="T1747" s="42" t="s">
        <v>8936</v>
      </c>
      <c r="U1747" s="38" t="str">
        <f>HYPERLINK("https://www.ncbi.nlm.nih.gov/pubmed/25682891","PubMed")</f>
        <v>PubMed</v>
      </c>
      <c r="V1747" s="50"/>
      <c r="W1747" s="49"/>
      <c r="X1747" s="49"/>
      <c r="Y1747" s="35"/>
      <c r="Z1747" s="35"/>
      <c r="AA1747" s="35"/>
      <c r="AB1747" s="35"/>
      <c r="AC1747" s="35"/>
      <c r="AD1747" s="35"/>
      <c r="AE1747" s="35"/>
      <c r="AF1747" s="35"/>
      <c r="AG1747" s="35"/>
      <c r="AH1747" s="35"/>
      <c r="AI1747" s="35"/>
      <c r="AJ1747" s="35"/>
      <c r="AK1747" s="35"/>
      <c r="AL1747" s="35"/>
    </row>
    <row r="1748">
      <c r="A1748" s="1"/>
      <c r="B1748" s="19" t="s">
        <v>7033</v>
      </c>
      <c r="C1748" s="20" t="s">
        <v>8898</v>
      </c>
      <c r="D1748" s="47"/>
      <c r="E1748" s="22" t="s">
        <v>8937</v>
      </c>
      <c r="F1748" s="22" t="s">
        <v>2105</v>
      </c>
      <c r="G1748" s="23">
        <v>2015.0</v>
      </c>
      <c r="H1748" s="22" t="s">
        <v>658</v>
      </c>
      <c r="I1748" s="24" t="s">
        <v>8938</v>
      </c>
      <c r="J1748" s="22" t="s">
        <v>44</v>
      </c>
      <c r="K1748" s="22" t="s">
        <v>157</v>
      </c>
      <c r="L1748" s="36">
        <v>670.0</v>
      </c>
      <c r="M1748" s="36"/>
      <c r="N1748" s="36" t="s">
        <v>8939</v>
      </c>
      <c r="O1748" s="36"/>
      <c r="P1748" s="37" t="s">
        <v>7500</v>
      </c>
      <c r="Q1748" s="36"/>
      <c r="R1748" s="36">
        <v>312.0</v>
      </c>
      <c r="S1748" s="36">
        <v>3.0</v>
      </c>
      <c r="T1748" s="28" t="s">
        <v>8940</v>
      </c>
      <c r="U1748" s="38" t="str">
        <f>HYPERLINK("https://www.ncbi.nlm.nih.gov/pubmed/26398729","PubMed")</f>
        <v>PubMed</v>
      </c>
      <c r="V1748" s="50"/>
      <c r="W1748" s="49"/>
      <c r="X1748" s="49"/>
      <c r="Y1748" s="35"/>
      <c r="Z1748" s="35"/>
      <c r="AA1748" s="35"/>
      <c r="AB1748" s="35"/>
      <c r="AC1748" s="35"/>
      <c r="AD1748" s="35"/>
      <c r="AE1748" s="35"/>
      <c r="AF1748" s="35"/>
      <c r="AG1748" s="35"/>
      <c r="AH1748" s="35"/>
      <c r="AI1748" s="35"/>
      <c r="AJ1748" s="35"/>
      <c r="AK1748" s="35"/>
      <c r="AL1748" s="35"/>
    </row>
    <row r="1749">
      <c r="A1749" s="1"/>
      <c r="B1749" s="19" t="s">
        <v>7033</v>
      </c>
      <c r="C1749" s="20" t="s">
        <v>8898</v>
      </c>
      <c r="D1749" s="47"/>
      <c r="E1749" s="22" t="s">
        <v>5475</v>
      </c>
      <c r="F1749" s="22" t="s">
        <v>224</v>
      </c>
      <c r="G1749" s="23">
        <v>2014.0</v>
      </c>
      <c r="H1749" s="22" t="s">
        <v>4975</v>
      </c>
      <c r="I1749" s="24" t="s">
        <v>8941</v>
      </c>
      <c r="J1749" s="22" t="s">
        <v>31</v>
      </c>
      <c r="K1749" s="22" t="s">
        <v>8942</v>
      </c>
      <c r="L1749" s="36"/>
      <c r="M1749" s="36"/>
      <c r="N1749" s="36"/>
      <c r="O1749" s="36"/>
      <c r="P1749" s="37" t="s">
        <v>1405</v>
      </c>
      <c r="Q1749" s="36"/>
      <c r="R1749" s="36"/>
      <c r="S1749" s="36">
        <v>5.0</v>
      </c>
      <c r="T1749" s="28" t="s">
        <v>8943</v>
      </c>
      <c r="U1749" s="29" t="s">
        <v>61</v>
      </c>
      <c r="V1749" s="50"/>
      <c r="W1749" s="49"/>
      <c r="X1749" s="49"/>
      <c r="Y1749" s="35"/>
      <c r="Z1749" s="35"/>
      <c r="AA1749" s="35"/>
      <c r="AB1749" s="35"/>
      <c r="AC1749" s="35"/>
      <c r="AD1749" s="35"/>
      <c r="AE1749" s="35"/>
      <c r="AF1749" s="35"/>
      <c r="AG1749" s="35"/>
      <c r="AH1749" s="35"/>
      <c r="AI1749" s="35"/>
      <c r="AJ1749" s="35"/>
      <c r="AK1749" s="35"/>
      <c r="AL1749" s="35"/>
    </row>
    <row r="1750">
      <c r="A1750" s="1"/>
      <c r="B1750" s="19" t="s">
        <v>7033</v>
      </c>
      <c r="C1750" s="20" t="s">
        <v>8898</v>
      </c>
      <c r="D1750" s="47"/>
      <c r="E1750" s="22" t="s">
        <v>8944</v>
      </c>
      <c r="F1750" s="22" t="s">
        <v>65</v>
      </c>
      <c r="G1750" s="23">
        <v>2014.0</v>
      </c>
      <c r="H1750" s="22" t="s">
        <v>5009</v>
      </c>
      <c r="I1750" s="24" t="s">
        <v>8945</v>
      </c>
      <c r="J1750" s="22" t="s">
        <v>31</v>
      </c>
      <c r="K1750" s="22"/>
      <c r="L1750" s="36">
        <v>633.0</v>
      </c>
      <c r="M1750" s="36">
        <v>10.0</v>
      </c>
      <c r="N1750" s="36" t="s">
        <v>5789</v>
      </c>
      <c r="O1750" s="36"/>
      <c r="P1750" s="37" t="s">
        <v>2555</v>
      </c>
      <c r="Q1750" s="36"/>
      <c r="R1750" s="36"/>
      <c r="S1750" s="36"/>
      <c r="T1750" s="28" t="s">
        <v>8946</v>
      </c>
      <c r="U1750" s="38" t="str">
        <f>HYPERLINK("https://www.ncbi.nlm.nih.gov/pubmed/23804320","PubMed")</f>
        <v>PubMed</v>
      </c>
      <c r="V1750" s="50"/>
      <c r="W1750" s="49"/>
      <c r="X1750" s="49"/>
      <c r="Y1750" s="35"/>
      <c r="Z1750" s="35"/>
      <c r="AA1750" s="35"/>
      <c r="AB1750" s="35"/>
      <c r="AC1750" s="35"/>
      <c r="AD1750" s="35"/>
      <c r="AE1750" s="35"/>
      <c r="AF1750" s="35"/>
      <c r="AG1750" s="35"/>
      <c r="AH1750" s="35"/>
      <c r="AI1750" s="35"/>
      <c r="AJ1750" s="35"/>
      <c r="AK1750" s="35"/>
      <c r="AL1750" s="35"/>
    </row>
    <row r="1751">
      <c r="A1751" s="1" t="s">
        <v>2</v>
      </c>
      <c r="B1751" s="19" t="s">
        <v>7033</v>
      </c>
      <c r="C1751" s="20" t="s">
        <v>8898</v>
      </c>
      <c r="D1751" s="47"/>
      <c r="E1751" s="22" t="s">
        <v>7225</v>
      </c>
      <c r="F1751" s="22" t="s">
        <v>5326</v>
      </c>
      <c r="G1751" s="23">
        <v>2008.0</v>
      </c>
      <c r="H1751" s="22" t="s">
        <v>53</v>
      </c>
      <c r="I1751" s="24" t="s">
        <v>8947</v>
      </c>
      <c r="J1751" s="22" t="s">
        <v>8948</v>
      </c>
      <c r="K1751" s="22"/>
      <c r="L1751" s="36">
        <v>660.0</v>
      </c>
      <c r="M1751" s="36"/>
      <c r="N1751" s="36" t="s">
        <v>8949</v>
      </c>
      <c r="O1751" s="36"/>
      <c r="P1751" s="37" t="s">
        <v>432</v>
      </c>
      <c r="Q1751" s="36"/>
      <c r="R1751" s="36">
        <v>160.0</v>
      </c>
      <c r="S1751" s="36" t="s">
        <v>8950</v>
      </c>
      <c r="T1751" s="28" t="s">
        <v>8951</v>
      </c>
      <c r="U1751" s="38" t="str">
        <f>HYPERLINK("https://www.ncbi.nlm.nih.gov/pubmed/18306161","PubMed")</f>
        <v>PubMed</v>
      </c>
      <c r="V1751" s="50"/>
      <c r="W1751" s="49"/>
      <c r="X1751" s="49"/>
      <c r="Y1751" s="35"/>
      <c r="Z1751" s="35"/>
      <c r="AA1751" s="35"/>
      <c r="AB1751" s="35"/>
      <c r="AC1751" s="35"/>
      <c r="AD1751" s="35"/>
      <c r="AE1751" s="35"/>
      <c r="AF1751" s="35"/>
      <c r="AG1751" s="35"/>
      <c r="AH1751" s="35"/>
      <c r="AI1751" s="35"/>
      <c r="AJ1751" s="35"/>
      <c r="AK1751" s="35"/>
      <c r="AL1751" s="35"/>
    </row>
    <row r="1752">
      <c r="A1752" s="1"/>
      <c r="B1752" s="19" t="s">
        <v>7033</v>
      </c>
      <c r="C1752" s="20" t="s">
        <v>8898</v>
      </c>
      <c r="D1752" s="47"/>
      <c r="E1752" s="22" t="s">
        <v>1904</v>
      </c>
      <c r="F1752" s="22" t="s">
        <v>1622</v>
      </c>
      <c r="G1752" s="23">
        <v>2008.0</v>
      </c>
      <c r="H1752" s="22" t="s">
        <v>658</v>
      </c>
      <c r="I1752" s="24" t="s">
        <v>8952</v>
      </c>
      <c r="J1752" s="22" t="s">
        <v>31</v>
      </c>
      <c r="K1752" s="22" t="s">
        <v>8953</v>
      </c>
      <c r="L1752" s="36">
        <v>635.0</v>
      </c>
      <c r="M1752" s="36"/>
      <c r="N1752" s="36" t="s">
        <v>1975</v>
      </c>
      <c r="O1752" s="36"/>
      <c r="P1752" s="37"/>
      <c r="Q1752" s="36"/>
      <c r="R1752" s="36">
        <v>3600.0</v>
      </c>
      <c r="S1752" s="36"/>
      <c r="T1752" s="28" t="s">
        <v>8954</v>
      </c>
      <c r="U1752" s="38" t="str">
        <f>HYPERLINK("https://www.ncbi.nlm.nih.gov/pubmed/18484909","PubMed")</f>
        <v>PubMed</v>
      </c>
      <c r="V1752" s="50"/>
      <c r="W1752" s="49"/>
      <c r="X1752" s="49"/>
      <c r="Y1752" s="35"/>
      <c r="Z1752" s="35"/>
      <c r="AA1752" s="35"/>
      <c r="AB1752" s="35"/>
      <c r="AC1752" s="35"/>
      <c r="AD1752" s="35"/>
      <c r="AE1752" s="35"/>
      <c r="AF1752" s="35"/>
      <c r="AG1752" s="35"/>
      <c r="AH1752" s="35"/>
      <c r="AI1752" s="35"/>
      <c r="AJ1752" s="35"/>
      <c r="AK1752" s="35"/>
      <c r="AL1752" s="35"/>
    </row>
    <row r="1753">
      <c r="A1753" s="1"/>
      <c r="B1753" s="19" t="s">
        <v>7033</v>
      </c>
      <c r="C1753" s="20" t="s">
        <v>8898</v>
      </c>
      <c r="D1753" s="47"/>
      <c r="E1753" s="22" t="s">
        <v>8955</v>
      </c>
      <c r="F1753" s="22" t="s">
        <v>2152</v>
      </c>
      <c r="G1753" s="23">
        <v>2006.0</v>
      </c>
      <c r="H1753" s="22" t="s">
        <v>7420</v>
      </c>
      <c r="I1753" s="24" t="s">
        <v>8956</v>
      </c>
      <c r="J1753" s="22" t="s">
        <v>31</v>
      </c>
      <c r="K1753" s="22" t="s">
        <v>56</v>
      </c>
      <c r="L1753" s="36" t="s">
        <v>8957</v>
      </c>
      <c r="M1753" s="36"/>
      <c r="N1753" s="36" t="s">
        <v>7890</v>
      </c>
      <c r="O1753" s="36"/>
      <c r="P1753" s="37" t="s">
        <v>8958</v>
      </c>
      <c r="Q1753" s="36"/>
      <c r="R1753" s="36">
        <v>3600.0</v>
      </c>
      <c r="S1753" s="36"/>
      <c r="T1753" s="28" t="s">
        <v>8959</v>
      </c>
      <c r="U1753" s="38" t="str">
        <f>HYPERLINK("https://www.ncbi.nlm.nih.gov/pubmed/16433685/","PubMed")</f>
        <v>PubMed</v>
      </c>
      <c r="V1753" s="50"/>
      <c r="W1753" s="49"/>
      <c r="X1753" s="49"/>
      <c r="Y1753" s="35"/>
      <c r="Z1753" s="35"/>
      <c r="AA1753" s="35"/>
      <c r="AB1753" s="35"/>
      <c r="AC1753" s="35"/>
      <c r="AD1753" s="35"/>
      <c r="AE1753" s="35"/>
      <c r="AF1753" s="35"/>
      <c r="AG1753" s="35"/>
      <c r="AH1753" s="35"/>
      <c r="AI1753" s="35"/>
      <c r="AJ1753" s="35"/>
      <c r="AK1753" s="35"/>
      <c r="AL1753" s="35"/>
    </row>
    <row r="1754">
      <c r="A1754" s="18" t="s">
        <v>2</v>
      </c>
      <c r="B1754" s="19" t="s">
        <v>7033</v>
      </c>
      <c r="C1754" s="20" t="s">
        <v>8898</v>
      </c>
      <c r="D1754" s="47"/>
      <c r="E1754" s="22" t="s">
        <v>8960</v>
      </c>
      <c r="F1754" s="22" t="s">
        <v>5884</v>
      </c>
      <c r="G1754" s="23">
        <v>2005.0</v>
      </c>
      <c r="H1754" s="22" t="s">
        <v>7928</v>
      </c>
      <c r="I1754" s="24" t="s">
        <v>8961</v>
      </c>
      <c r="J1754" s="22" t="s">
        <v>8962</v>
      </c>
      <c r="K1754" s="22"/>
      <c r="L1754" s="43" t="s">
        <v>8963</v>
      </c>
      <c r="M1754" s="44"/>
      <c r="N1754" s="44"/>
      <c r="O1754" s="44"/>
      <c r="P1754" s="44"/>
      <c r="Q1754" s="44"/>
      <c r="R1754" s="44"/>
      <c r="S1754" s="44"/>
      <c r="T1754" s="45"/>
      <c r="U1754" s="38" t="str">
        <f>HYPERLINK("https://www.ncbi.nlm.nih.gov/pubmed/19675718/","PubMed")</f>
        <v>PubMed</v>
      </c>
      <c r="V1754" s="50"/>
      <c r="W1754" s="49"/>
      <c r="X1754" s="49"/>
      <c r="Y1754" s="35"/>
      <c r="Z1754" s="35"/>
      <c r="AA1754" s="35"/>
      <c r="AB1754" s="35"/>
      <c r="AC1754" s="35"/>
      <c r="AD1754" s="35"/>
      <c r="AE1754" s="35"/>
      <c r="AF1754" s="35"/>
      <c r="AG1754" s="35"/>
      <c r="AH1754" s="35"/>
      <c r="AI1754" s="35"/>
      <c r="AJ1754" s="35"/>
      <c r="AK1754" s="35"/>
      <c r="AL1754" s="35"/>
    </row>
    <row r="1755">
      <c r="A1755" s="1"/>
      <c r="B1755" s="19" t="s">
        <v>7033</v>
      </c>
      <c r="C1755" s="20" t="s">
        <v>8898</v>
      </c>
      <c r="D1755" s="47"/>
      <c r="E1755" s="22" t="s">
        <v>8964</v>
      </c>
      <c r="F1755" s="22" t="s">
        <v>5552</v>
      </c>
      <c r="G1755" s="23">
        <v>1992.0</v>
      </c>
      <c r="H1755" s="22" t="s">
        <v>7157</v>
      </c>
      <c r="I1755" s="24" t="s">
        <v>8965</v>
      </c>
      <c r="J1755" s="22" t="s">
        <v>44</v>
      </c>
      <c r="K1755" s="22"/>
      <c r="L1755" s="36" t="s">
        <v>1773</v>
      </c>
      <c r="M1755" s="36" t="s">
        <v>1773</v>
      </c>
      <c r="N1755" s="36" t="s">
        <v>1773</v>
      </c>
      <c r="O1755" s="36" t="s">
        <v>1773</v>
      </c>
      <c r="P1755" s="37" t="s">
        <v>1773</v>
      </c>
      <c r="Q1755" s="36" t="s">
        <v>1773</v>
      </c>
      <c r="R1755" s="36" t="s">
        <v>1773</v>
      </c>
      <c r="S1755" s="36" t="s">
        <v>1773</v>
      </c>
      <c r="T1755" s="28" t="s">
        <v>8966</v>
      </c>
      <c r="U1755" s="38" t="str">
        <f>HYPERLINK("https://www.ncbi.nlm.nih.gov/pubmed/1610218","PubMed")</f>
        <v>PubMed</v>
      </c>
      <c r="V1755" s="50"/>
      <c r="W1755" s="49"/>
      <c r="X1755" s="49"/>
      <c r="Y1755" s="35"/>
      <c r="Z1755" s="35"/>
      <c r="AA1755" s="35"/>
      <c r="AB1755" s="35"/>
      <c r="AC1755" s="35"/>
      <c r="AD1755" s="35"/>
      <c r="AE1755" s="35"/>
      <c r="AF1755" s="35"/>
      <c r="AG1755" s="35"/>
      <c r="AH1755" s="35"/>
      <c r="AI1755" s="35"/>
      <c r="AJ1755" s="35"/>
      <c r="AK1755" s="35"/>
      <c r="AL1755" s="35"/>
    </row>
    <row r="1756">
      <c r="A1756" s="40"/>
      <c r="B1756" s="19" t="s">
        <v>7033</v>
      </c>
      <c r="C1756" s="20" t="s">
        <v>8967</v>
      </c>
      <c r="D1756" s="47"/>
      <c r="E1756" s="22" t="s">
        <v>5226</v>
      </c>
      <c r="F1756" s="22" t="s">
        <v>494</v>
      </c>
      <c r="G1756" s="23">
        <v>2019.0</v>
      </c>
      <c r="H1756" s="22" t="s">
        <v>7420</v>
      </c>
      <c r="I1756" s="24" t="s">
        <v>8968</v>
      </c>
      <c r="J1756" s="22" t="s">
        <v>125</v>
      </c>
      <c r="K1756" s="22"/>
      <c r="L1756" s="105" t="s">
        <v>8969</v>
      </c>
      <c r="M1756" s="44"/>
      <c r="N1756" s="44"/>
      <c r="O1756" s="44"/>
      <c r="P1756" s="44"/>
      <c r="Q1756" s="44"/>
      <c r="R1756" s="44"/>
      <c r="S1756" s="44"/>
      <c r="T1756" s="45"/>
      <c r="U1756" s="38" t="str">
        <f>HYPERLINK("https://www.ncbi.nlm.nih.gov/pubmed/30698884","PubMed")</f>
        <v>PubMed</v>
      </c>
      <c r="V1756" s="50"/>
      <c r="W1756" s="49"/>
      <c r="X1756" s="49"/>
      <c r="Y1756" s="35"/>
      <c r="Z1756" s="35"/>
      <c r="AA1756" s="35"/>
      <c r="AB1756" s="35"/>
      <c r="AC1756" s="35"/>
      <c r="AD1756" s="35"/>
      <c r="AE1756" s="35"/>
      <c r="AF1756" s="35"/>
      <c r="AG1756" s="35"/>
      <c r="AH1756" s="35"/>
      <c r="AI1756" s="35"/>
      <c r="AJ1756" s="35"/>
      <c r="AK1756" s="35"/>
      <c r="AL1756" s="35"/>
    </row>
    <row r="1757">
      <c r="A1757" s="40"/>
      <c r="B1757" s="19" t="s">
        <v>7033</v>
      </c>
      <c r="C1757" s="20" t="s">
        <v>8967</v>
      </c>
      <c r="D1757" s="47"/>
      <c r="E1757" s="22" t="s">
        <v>5513</v>
      </c>
      <c r="F1757" s="22" t="s">
        <v>8008</v>
      </c>
      <c r="G1757" s="23">
        <v>2015.0</v>
      </c>
      <c r="H1757" s="22" t="s">
        <v>91</v>
      </c>
      <c r="I1757" s="24" t="s">
        <v>8970</v>
      </c>
      <c r="J1757" s="22" t="s">
        <v>31</v>
      </c>
      <c r="K1757" s="22" t="s">
        <v>8971</v>
      </c>
      <c r="L1757" s="36" t="s">
        <v>8011</v>
      </c>
      <c r="M1757" s="36"/>
      <c r="N1757" s="36"/>
      <c r="O1757" s="36"/>
      <c r="P1757" s="37"/>
      <c r="Q1757" s="36"/>
      <c r="R1757" s="36"/>
      <c r="S1757" s="36"/>
      <c r="T1757" s="28" t="s">
        <v>8972</v>
      </c>
      <c r="U1757" s="38" t="str">
        <f>HYPERLINK("https://www.ncbi.nlm.nih.gov/pubmed/25953314","PubMed")</f>
        <v>PubMed</v>
      </c>
      <c r="V1757" s="50"/>
      <c r="W1757" s="49"/>
      <c r="X1757" s="49"/>
      <c r="Y1757" s="35"/>
      <c r="Z1757" s="35"/>
      <c r="AA1757" s="35"/>
      <c r="AB1757" s="35"/>
      <c r="AC1757" s="35"/>
      <c r="AD1757" s="35"/>
      <c r="AE1757" s="35"/>
      <c r="AF1757" s="35"/>
      <c r="AG1757" s="35"/>
      <c r="AH1757" s="35"/>
      <c r="AI1757" s="35"/>
      <c r="AJ1757" s="35"/>
      <c r="AK1757" s="35"/>
      <c r="AL1757" s="35"/>
    </row>
    <row r="1758">
      <c r="A1758" s="40"/>
      <c r="B1758" s="19" t="s">
        <v>7033</v>
      </c>
      <c r="C1758" s="20" t="s">
        <v>8967</v>
      </c>
      <c r="D1758" s="47"/>
      <c r="E1758" s="22" t="s">
        <v>5226</v>
      </c>
      <c r="F1758" s="22" t="s">
        <v>494</v>
      </c>
      <c r="G1758" s="23">
        <v>2011.0</v>
      </c>
      <c r="H1758" s="22" t="s">
        <v>6426</v>
      </c>
      <c r="I1758" s="24" t="s">
        <v>8973</v>
      </c>
      <c r="J1758" s="22" t="s">
        <v>8974</v>
      </c>
      <c r="K1758" s="22"/>
      <c r="L1758" s="36">
        <v>635.0</v>
      </c>
      <c r="M1758" s="36"/>
      <c r="N1758" s="36"/>
      <c r="O1758" s="36"/>
      <c r="P1758" s="37" t="s">
        <v>8975</v>
      </c>
      <c r="Q1758" s="36"/>
      <c r="R1758" s="36"/>
      <c r="S1758" s="36"/>
      <c r="T1758" s="42" t="s">
        <v>8976</v>
      </c>
      <c r="U1758" s="38" t="str">
        <f>HYPERLINK("https://www.ncbi.nlm.nih.gov/pubmed/21087230","PubMed")</f>
        <v>PubMed</v>
      </c>
      <c r="V1758" s="50"/>
      <c r="W1758" s="49"/>
      <c r="X1758" s="49"/>
      <c r="Y1758" s="35"/>
      <c r="Z1758" s="35"/>
      <c r="AA1758" s="35"/>
      <c r="AB1758" s="35"/>
      <c r="AC1758" s="35"/>
      <c r="AD1758" s="35"/>
      <c r="AE1758" s="35"/>
      <c r="AF1758" s="35"/>
      <c r="AG1758" s="35"/>
      <c r="AH1758" s="35"/>
      <c r="AI1758" s="35"/>
      <c r="AJ1758" s="35"/>
      <c r="AK1758" s="35"/>
      <c r="AL1758" s="35"/>
    </row>
    <row r="1759">
      <c r="A1759" s="40"/>
      <c r="B1759" s="19" t="s">
        <v>7033</v>
      </c>
      <c r="C1759" s="20" t="s">
        <v>8967</v>
      </c>
      <c r="D1759" s="47"/>
      <c r="E1759" s="22" t="s">
        <v>8977</v>
      </c>
      <c r="F1759" s="22" t="s">
        <v>8978</v>
      </c>
      <c r="G1759" s="23">
        <v>2010.0</v>
      </c>
      <c r="H1759" s="22" t="s">
        <v>6426</v>
      </c>
      <c r="I1759" s="24" t="s">
        <v>8979</v>
      </c>
      <c r="J1759" s="22" t="s">
        <v>8980</v>
      </c>
      <c r="K1759" s="22" t="s">
        <v>56</v>
      </c>
      <c r="L1759" s="36" t="s">
        <v>8981</v>
      </c>
      <c r="M1759" s="36"/>
      <c r="N1759" s="36" t="s">
        <v>8982</v>
      </c>
      <c r="O1759" s="36"/>
      <c r="P1759" s="37"/>
      <c r="Q1759" s="36"/>
      <c r="R1759" s="36"/>
      <c r="S1759" s="36"/>
      <c r="T1759" s="41" t="s">
        <v>8983</v>
      </c>
      <c r="U1759" s="38" t="str">
        <f>HYPERLINK("https://www.ncbi.nlm.nih.gov/pubmed/20302575","PubMed")</f>
        <v>PubMed</v>
      </c>
      <c r="V1759" s="50"/>
      <c r="W1759" s="49"/>
      <c r="X1759" s="49"/>
      <c r="Y1759" s="35"/>
      <c r="Z1759" s="35"/>
      <c r="AA1759" s="35"/>
      <c r="AB1759" s="35"/>
      <c r="AC1759" s="35"/>
      <c r="AD1759" s="35"/>
      <c r="AE1759" s="35"/>
      <c r="AF1759" s="35"/>
      <c r="AG1759" s="35"/>
      <c r="AH1759" s="35"/>
      <c r="AI1759" s="35"/>
      <c r="AJ1759" s="35"/>
      <c r="AK1759" s="35"/>
      <c r="AL1759" s="35"/>
    </row>
    <row r="1760">
      <c r="A1760" s="40"/>
      <c r="B1760" s="19" t="s">
        <v>7033</v>
      </c>
      <c r="C1760" s="20" t="s">
        <v>8967</v>
      </c>
      <c r="D1760" s="47"/>
      <c r="E1760" s="22" t="s">
        <v>3869</v>
      </c>
      <c r="F1760" s="22" t="s">
        <v>494</v>
      </c>
      <c r="G1760" s="23">
        <v>2009.0</v>
      </c>
      <c r="H1760" s="22" t="s">
        <v>6426</v>
      </c>
      <c r="I1760" s="24" t="s">
        <v>8984</v>
      </c>
      <c r="J1760" s="22" t="s">
        <v>31</v>
      </c>
      <c r="K1760" s="22"/>
      <c r="L1760" s="36">
        <v>633.0</v>
      </c>
      <c r="M1760" s="36">
        <v>7.0</v>
      </c>
      <c r="N1760" s="36"/>
      <c r="O1760" s="36"/>
      <c r="P1760" s="37" t="s">
        <v>2555</v>
      </c>
      <c r="Q1760" s="36"/>
      <c r="R1760" s="36"/>
      <c r="S1760" s="36"/>
      <c r="T1760" s="28" t="s">
        <v>8985</v>
      </c>
      <c r="U1760" s="38" t="str">
        <f>HYPERLINK("https://www.ncbi.nlm.nih.gov/pubmed/19438447","PubMed")</f>
        <v>PubMed</v>
      </c>
      <c r="V1760" s="50"/>
      <c r="W1760" s="49"/>
      <c r="X1760" s="49"/>
      <c r="Y1760" s="35"/>
      <c r="Z1760" s="35"/>
      <c r="AA1760" s="35"/>
      <c r="AB1760" s="35"/>
      <c r="AC1760" s="35"/>
      <c r="AD1760" s="35"/>
      <c r="AE1760" s="35"/>
      <c r="AF1760" s="35"/>
      <c r="AG1760" s="35"/>
      <c r="AH1760" s="35"/>
      <c r="AI1760" s="35"/>
      <c r="AJ1760" s="35"/>
      <c r="AK1760" s="35"/>
      <c r="AL1760" s="35"/>
    </row>
    <row r="1761">
      <c r="A1761" s="40"/>
      <c r="B1761" s="19" t="s">
        <v>7033</v>
      </c>
      <c r="C1761" s="20" t="s">
        <v>8967</v>
      </c>
      <c r="D1761" s="47"/>
      <c r="E1761" s="22" t="s">
        <v>2275</v>
      </c>
      <c r="F1761" s="22" t="s">
        <v>494</v>
      </c>
      <c r="G1761" s="23">
        <v>2008.0</v>
      </c>
      <c r="H1761" s="22" t="s">
        <v>8986</v>
      </c>
      <c r="I1761" s="24" t="s">
        <v>8987</v>
      </c>
      <c r="J1761" s="22" t="s">
        <v>8988</v>
      </c>
      <c r="K1761" s="22" t="s">
        <v>8989</v>
      </c>
      <c r="L1761" s="36">
        <v>633.0</v>
      </c>
      <c r="M1761" s="36"/>
      <c r="N1761" s="36"/>
      <c r="O1761" s="36"/>
      <c r="P1761" s="37" t="s">
        <v>8975</v>
      </c>
      <c r="Q1761" s="36"/>
      <c r="R1761" s="36"/>
      <c r="S1761" s="36" t="s">
        <v>8990</v>
      </c>
      <c r="T1761" s="28" t="s">
        <v>8991</v>
      </c>
      <c r="U1761" s="38" t="str">
        <f>HYPERLINK("https://www.ncbi.nlm.nih.gov/pubmed/18424354","PubMed")</f>
        <v>PubMed</v>
      </c>
      <c r="V1761" s="50"/>
      <c r="W1761" s="49"/>
      <c r="X1761" s="49"/>
      <c r="Y1761" s="35"/>
      <c r="Z1761" s="35"/>
      <c r="AA1761" s="35"/>
      <c r="AB1761" s="35"/>
      <c r="AC1761" s="35"/>
      <c r="AD1761" s="35"/>
      <c r="AE1761" s="35"/>
      <c r="AF1761" s="35"/>
      <c r="AG1761" s="35"/>
      <c r="AH1761" s="35"/>
      <c r="AI1761" s="35"/>
      <c r="AJ1761" s="35"/>
      <c r="AK1761" s="35"/>
      <c r="AL1761" s="35"/>
    </row>
    <row r="1762">
      <c r="A1762" s="40"/>
      <c r="B1762" s="19" t="s">
        <v>7033</v>
      </c>
      <c r="C1762" s="77" t="s">
        <v>8967</v>
      </c>
      <c r="D1762" s="47"/>
      <c r="E1762" s="22" t="s">
        <v>3869</v>
      </c>
      <c r="F1762" s="22" t="s">
        <v>494</v>
      </c>
      <c r="G1762" s="23">
        <v>2006.0</v>
      </c>
      <c r="H1762" s="22" t="s">
        <v>5032</v>
      </c>
      <c r="I1762" s="24" t="s">
        <v>8992</v>
      </c>
      <c r="J1762" s="22" t="s">
        <v>31</v>
      </c>
      <c r="K1762" s="22"/>
      <c r="L1762" s="36">
        <v>633.0</v>
      </c>
      <c r="M1762" s="36"/>
      <c r="N1762" s="36"/>
      <c r="O1762" s="36"/>
      <c r="P1762" s="37"/>
      <c r="Q1762" s="36"/>
      <c r="R1762" s="36"/>
      <c r="S1762" s="36"/>
      <c r="T1762" s="28" t="s">
        <v>8993</v>
      </c>
      <c r="U1762" s="38" t="str">
        <f>HYPERLINK("https://www.ncbi.nlm.nih.gov/pubmed/16691191","PubMed")</f>
        <v>PubMed</v>
      </c>
      <c r="V1762" s="50"/>
      <c r="W1762" s="49"/>
      <c r="X1762" s="49"/>
      <c r="Y1762" s="35"/>
      <c r="Z1762" s="35"/>
      <c r="AA1762" s="35"/>
      <c r="AB1762" s="35"/>
      <c r="AC1762" s="35"/>
      <c r="AD1762" s="35"/>
      <c r="AE1762" s="35"/>
      <c r="AF1762" s="35"/>
      <c r="AG1762" s="35"/>
      <c r="AH1762" s="35"/>
      <c r="AI1762" s="35"/>
      <c r="AJ1762" s="35"/>
      <c r="AK1762" s="35"/>
      <c r="AL1762" s="35"/>
    </row>
    <row r="1763">
      <c r="A1763" s="40"/>
      <c r="B1763" s="19" t="s">
        <v>7033</v>
      </c>
      <c r="C1763" s="20" t="s">
        <v>8967</v>
      </c>
      <c r="D1763" s="47"/>
      <c r="E1763" s="22" t="s">
        <v>5226</v>
      </c>
      <c r="F1763" s="22" t="s">
        <v>494</v>
      </c>
      <c r="G1763" s="23">
        <v>2003.0</v>
      </c>
      <c r="H1763" s="22" t="s">
        <v>5032</v>
      </c>
      <c r="I1763" s="24" t="s">
        <v>8994</v>
      </c>
      <c r="J1763" s="22" t="s">
        <v>8995</v>
      </c>
      <c r="K1763" s="22"/>
      <c r="L1763" s="36">
        <v>633.0</v>
      </c>
      <c r="M1763" s="36">
        <v>1.0</v>
      </c>
      <c r="N1763" s="36"/>
      <c r="O1763" s="36" t="s">
        <v>8996</v>
      </c>
      <c r="P1763" s="37" t="s">
        <v>969</v>
      </c>
      <c r="Q1763" s="36" t="s">
        <v>4912</v>
      </c>
      <c r="R1763" s="36">
        <v>30.0</v>
      </c>
      <c r="S1763" s="36" t="s">
        <v>8997</v>
      </c>
      <c r="T1763" s="28" t="s">
        <v>8998</v>
      </c>
      <c r="U1763" s="38" t="str">
        <f>HYPERLINK("https://www.ncbi.nlm.nih.gov/pubmed/12535198","PubMed")</f>
        <v>PubMed</v>
      </c>
      <c r="V1763" s="50"/>
      <c r="W1763" s="49"/>
      <c r="X1763" s="49"/>
      <c r="Y1763" s="35"/>
      <c r="Z1763" s="35"/>
      <c r="AA1763" s="35"/>
      <c r="AB1763" s="35"/>
      <c r="AC1763" s="35"/>
      <c r="AD1763" s="35"/>
      <c r="AE1763" s="35"/>
      <c r="AF1763" s="35"/>
      <c r="AG1763" s="35"/>
      <c r="AH1763" s="35"/>
      <c r="AI1763" s="35"/>
      <c r="AJ1763" s="35"/>
      <c r="AK1763" s="35"/>
      <c r="AL1763" s="35"/>
    </row>
    <row r="1764">
      <c r="A1764" s="1"/>
      <c r="B1764" s="19" t="s">
        <v>7033</v>
      </c>
      <c r="C1764" s="20"/>
      <c r="D1764" s="47"/>
      <c r="E1764" s="22" t="s">
        <v>6962</v>
      </c>
      <c r="F1764" s="22" t="s">
        <v>6963</v>
      </c>
      <c r="G1764" s="23">
        <v>2017.0</v>
      </c>
      <c r="H1764" s="22" t="s">
        <v>169</v>
      </c>
      <c r="I1764" s="24" t="s">
        <v>8999</v>
      </c>
      <c r="J1764" s="22" t="s">
        <v>125</v>
      </c>
      <c r="K1764" s="22"/>
      <c r="L1764" s="105" t="s">
        <v>9000</v>
      </c>
      <c r="M1764" s="44"/>
      <c r="N1764" s="44"/>
      <c r="O1764" s="44"/>
      <c r="P1764" s="44"/>
      <c r="Q1764" s="44"/>
      <c r="R1764" s="44"/>
      <c r="S1764" s="44"/>
      <c r="T1764" s="45"/>
      <c r="U1764" s="38" t="str">
        <f>HYPERLINK("https://www.ncbi.nlm.nih.gov/pubmed/28328287","PubMed")</f>
        <v>PubMed</v>
      </c>
      <c r="V1764" s="30"/>
      <c r="W1764" s="49"/>
      <c r="X1764" s="49"/>
      <c r="Y1764" s="35"/>
      <c r="Z1764" s="35"/>
      <c r="AA1764" s="35"/>
      <c r="AB1764" s="35"/>
      <c r="AC1764" s="35"/>
      <c r="AD1764" s="35"/>
      <c r="AE1764" s="35"/>
      <c r="AF1764" s="35"/>
      <c r="AG1764" s="35"/>
      <c r="AH1764" s="35"/>
      <c r="AI1764" s="35"/>
      <c r="AJ1764" s="35"/>
      <c r="AK1764" s="35"/>
      <c r="AL1764" s="35"/>
    </row>
    <row r="1765">
      <c r="A1765" s="40"/>
      <c r="B1765" s="19" t="s">
        <v>7033</v>
      </c>
      <c r="C1765" s="20"/>
      <c r="D1765" s="47"/>
      <c r="E1765" s="22" t="s">
        <v>9001</v>
      </c>
      <c r="F1765" s="22" t="s">
        <v>9002</v>
      </c>
      <c r="G1765" s="23">
        <v>2016.0</v>
      </c>
      <c r="H1765" s="22" t="s">
        <v>42</v>
      </c>
      <c r="I1765" s="24" t="s">
        <v>9003</v>
      </c>
      <c r="J1765" s="22" t="s">
        <v>9004</v>
      </c>
      <c r="K1765" s="22" t="s">
        <v>9005</v>
      </c>
      <c r="L1765" s="36">
        <v>670.0</v>
      </c>
      <c r="M1765" s="36"/>
      <c r="N1765" s="36" t="s">
        <v>9006</v>
      </c>
      <c r="O1765" s="107"/>
      <c r="P1765" s="244" t="s">
        <v>9007</v>
      </c>
      <c r="Q1765" s="245"/>
      <c r="R1765" s="107"/>
      <c r="S1765" s="106"/>
      <c r="T1765" s="54" t="s">
        <v>9008</v>
      </c>
      <c r="U1765" s="38" t="str">
        <f>HYPERLINK("https://www.ncbi.nlm.nih.gov/pubmed/26992152","PubMed")</f>
        <v>PubMed</v>
      </c>
      <c r="V1765" s="50"/>
      <c r="W1765" s="49"/>
      <c r="X1765" s="49"/>
      <c r="Y1765" s="35"/>
      <c r="Z1765" s="35"/>
      <c r="AA1765" s="35"/>
      <c r="AB1765" s="35"/>
      <c r="AC1765" s="35"/>
      <c r="AD1765" s="35"/>
      <c r="AE1765" s="35"/>
      <c r="AF1765" s="35"/>
      <c r="AG1765" s="35"/>
      <c r="AH1765" s="35"/>
      <c r="AI1765" s="35"/>
      <c r="AJ1765" s="35"/>
      <c r="AK1765" s="35"/>
      <c r="AL1765" s="35"/>
    </row>
    <row r="1766">
      <c r="A1766" s="40"/>
      <c r="B1766" s="19" t="s">
        <v>7033</v>
      </c>
      <c r="C1766" s="20"/>
      <c r="D1766" s="47"/>
      <c r="E1766" s="22" t="s">
        <v>9009</v>
      </c>
      <c r="F1766" s="22" t="s">
        <v>9010</v>
      </c>
      <c r="G1766" s="23">
        <v>2015.0</v>
      </c>
      <c r="H1766" s="22" t="s">
        <v>6948</v>
      </c>
      <c r="I1766" s="24" t="s">
        <v>9011</v>
      </c>
      <c r="J1766" s="22" t="s">
        <v>9012</v>
      </c>
      <c r="K1766" s="22" t="s">
        <v>157</v>
      </c>
      <c r="L1766" s="195" t="s">
        <v>9013</v>
      </c>
      <c r="M1766" s="44"/>
      <c r="N1766" s="44"/>
      <c r="O1766" s="44"/>
      <c r="P1766" s="44"/>
      <c r="Q1766" s="44"/>
      <c r="R1766" s="44"/>
      <c r="S1766" s="44"/>
      <c r="T1766" s="45"/>
      <c r="U1766" s="38" t="str">
        <f>HYPERLINK("https://www.ncbi.nlm.nih.gov/pubmed/26155326","PubMed")</f>
        <v>PubMed</v>
      </c>
      <c r="V1766" s="50"/>
      <c r="W1766" s="49"/>
      <c r="X1766" s="49"/>
      <c r="Y1766" s="35"/>
      <c r="Z1766" s="35"/>
      <c r="AA1766" s="35"/>
      <c r="AB1766" s="35"/>
      <c r="AC1766" s="35"/>
      <c r="AD1766" s="35"/>
      <c r="AE1766" s="35"/>
      <c r="AF1766" s="35"/>
      <c r="AG1766" s="35"/>
      <c r="AH1766" s="35"/>
      <c r="AI1766" s="35"/>
      <c r="AJ1766" s="35"/>
      <c r="AK1766" s="35"/>
      <c r="AL1766" s="35"/>
    </row>
    <row r="1767">
      <c r="A1767" s="40"/>
      <c r="B1767" s="19" t="s">
        <v>7033</v>
      </c>
      <c r="C1767" s="20"/>
      <c r="D1767" s="47"/>
      <c r="E1767" s="22" t="s">
        <v>9014</v>
      </c>
      <c r="F1767" s="22" t="s">
        <v>6828</v>
      </c>
      <c r="G1767" s="23">
        <v>2015.0</v>
      </c>
      <c r="H1767" s="22" t="s">
        <v>292</v>
      </c>
      <c r="I1767" s="24" t="s">
        <v>9015</v>
      </c>
      <c r="J1767" s="22" t="s">
        <v>125</v>
      </c>
      <c r="K1767" s="22" t="s">
        <v>157</v>
      </c>
      <c r="L1767" s="105" t="s">
        <v>9016</v>
      </c>
      <c r="M1767" s="44"/>
      <c r="N1767" s="44"/>
      <c r="O1767" s="44"/>
      <c r="P1767" s="44"/>
      <c r="Q1767" s="44"/>
      <c r="R1767" s="44"/>
      <c r="S1767" s="44"/>
      <c r="T1767" s="45"/>
      <c r="U1767" s="153" t="str">
        <f>HYPERLINK("https://www.ncbi.nlm.nih.gov/pubmed/26877592","PubMed")</f>
        <v>PubMed</v>
      </c>
      <c r="V1767" s="50"/>
      <c r="W1767" s="49"/>
      <c r="X1767" s="49"/>
      <c r="Y1767" s="35"/>
      <c r="Z1767" s="35"/>
      <c r="AA1767" s="35"/>
      <c r="AB1767" s="35"/>
      <c r="AC1767" s="35"/>
      <c r="AD1767" s="35"/>
      <c r="AE1767" s="35"/>
      <c r="AF1767" s="35"/>
      <c r="AG1767" s="35"/>
      <c r="AH1767" s="35"/>
      <c r="AI1767" s="35"/>
      <c r="AJ1767" s="35"/>
      <c r="AK1767" s="35"/>
      <c r="AL1767" s="35"/>
    </row>
    <row r="1768">
      <c r="A1768" s="40"/>
      <c r="B1768" s="19" t="s">
        <v>7033</v>
      </c>
      <c r="C1768" s="20"/>
      <c r="D1768" s="47"/>
      <c r="E1768" s="22" t="s">
        <v>9017</v>
      </c>
      <c r="F1768" s="22" t="s">
        <v>41</v>
      </c>
      <c r="G1768" s="23">
        <v>2014.0</v>
      </c>
      <c r="H1768" s="22" t="s">
        <v>960</v>
      </c>
      <c r="I1768" s="24" t="s">
        <v>9018</v>
      </c>
      <c r="J1768" s="22" t="s">
        <v>44</v>
      </c>
      <c r="K1768" s="22" t="s">
        <v>9019</v>
      </c>
      <c r="L1768" s="36">
        <v>780.0</v>
      </c>
      <c r="M1768" s="36">
        <v>40.0</v>
      </c>
      <c r="N1768" s="107"/>
      <c r="O1768" s="36" t="s">
        <v>102</v>
      </c>
      <c r="P1768" s="244" t="s">
        <v>287</v>
      </c>
      <c r="Q1768" s="245" t="s">
        <v>830</v>
      </c>
      <c r="R1768" s="36">
        <v>20.0</v>
      </c>
      <c r="S1768" s="36" t="s">
        <v>9020</v>
      </c>
      <c r="T1768" s="54" t="s">
        <v>9021</v>
      </c>
      <c r="U1768" s="153" t="str">
        <f>HYPERLINK("https://www.ncbi.nlm.nih.gov/pubmed/24616895","PubMed")</f>
        <v>PubMed</v>
      </c>
      <c r="V1768" s="50"/>
      <c r="W1768" s="49"/>
      <c r="X1768" s="49"/>
      <c r="Y1768" s="35"/>
      <c r="Z1768" s="35"/>
      <c r="AA1768" s="35"/>
      <c r="AB1768" s="35"/>
      <c r="AC1768" s="35"/>
      <c r="AD1768" s="35"/>
      <c r="AE1768" s="35"/>
      <c r="AF1768" s="35"/>
      <c r="AG1768" s="35"/>
      <c r="AH1768" s="35"/>
      <c r="AI1768" s="35"/>
      <c r="AJ1768" s="35"/>
      <c r="AK1768" s="35"/>
      <c r="AL1768" s="35"/>
    </row>
    <row r="1769">
      <c r="A1769" s="40"/>
      <c r="B1769" s="19" t="s">
        <v>7033</v>
      </c>
      <c r="C1769" s="20"/>
      <c r="D1769" s="47"/>
      <c r="E1769" s="22" t="s">
        <v>8401</v>
      </c>
      <c r="F1769" s="22" t="s">
        <v>9022</v>
      </c>
      <c r="G1769" s="23">
        <v>2005.0</v>
      </c>
      <c r="H1769" s="22" t="s">
        <v>5489</v>
      </c>
      <c r="I1769" s="24" t="s">
        <v>9023</v>
      </c>
      <c r="J1769" s="22" t="s">
        <v>9024</v>
      </c>
      <c r="K1769" s="22" t="s">
        <v>157</v>
      </c>
      <c r="L1769" s="36">
        <v>590.0</v>
      </c>
      <c r="M1769" s="36"/>
      <c r="N1769" s="36"/>
      <c r="O1769" s="36"/>
      <c r="P1769" s="37"/>
      <c r="Q1769" s="36"/>
      <c r="R1769" s="36"/>
      <c r="S1769" s="36"/>
      <c r="T1769" s="54" t="s">
        <v>9025</v>
      </c>
      <c r="U1769" s="38" t="str">
        <f>HYPERLINK("https://www.ncbi.nlm.nih.gov/pubmed/16176771/","PubMed")</f>
        <v>PubMed</v>
      </c>
      <c r="V1769" s="50"/>
      <c r="W1769" s="49"/>
      <c r="X1769" s="49"/>
      <c r="Y1769" s="35"/>
      <c r="Z1769" s="35"/>
      <c r="AA1769" s="35"/>
      <c r="AB1769" s="35"/>
      <c r="AC1769" s="35"/>
      <c r="AD1769" s="35"/>
      <c r="AE1769" s="35"/>
      <c r="AF1769" s="35"/>
      <c r="AG1769" s="35"/>
      <c r="AH1769" s="35"/>
      <c r="AI1769" s="35"/>
      <c r="AJ1769" s="35"/>
      <c r="AK1769" s="35"/>
      <c r="AL1769" s="35"/>
    </row>
    <row r="1770">
      <c r="A1770" s="149"/>
      <c r="B1770" s="75" t="s">
        <v>9026</v>
      </c>
      <c r="C1770" s="76" t="s">
        <v>9027</v>
      </c>
      <c r="D1770" s="47"/>
      <c r="E1770" s="22" t="s">
        <v>9028</v>
      </c>
      <c r="F1770" s="22" t="s">
        <v>1576</v>
      </c>
      <c r="G1770" s="23">
        <v>2022.0</v>
      </c>
      <c r="H1770" s="22" t="s">
        <v>9029</v>
      </c>
      <c r="I1770" s="24" t="s">
        <v>9030</v>
      </c>
      <c r="J1770" s="22" t="s">
        <v>9031</v>
      </c>
      <c r="K1770" s="22"/>
      <c r="L1770" s="36">
        <v>670.0</v>
      </c>
      <c r="M1770" s="36"/>
      <c r="N1770" s="36"/>
      <c r="O1770" s="36"/>
      <c r="P1770" s="37"/>
      <c r="Q1770" s="36"/>
      <c r="R1770" s="36">
        <v>90.0</v>
      </c>
      <c r="S1770" s="36" t="s">
        <v>9032</v>
      </c>
      <c r="T1770" s="28" t="s">
        <v>9033</v>
      </c>
      <c r="U1770" s="38" t="s">
        <v>61</v>
      </c>
      <c r="V1770" s="30"/>
      <c r="W1770" s="31"/>
      <c r="X1770" s="31"/>
      <c r="Y1770" s="31"/>
      <c r="Z1770" s="32"/>
      <c r="AA1770" s="31"/>
      <c r="AB1770" s="31"/>
      <c r="AC1770" s="9"/>
      <c r="AD1770" s="31"/>
      <c r="AE1770" s="31"/>
      <c r="AF1770" s="33"/>
      <c r="AG1770" s="34"/>
      <c r="AH1770" s="31"/>
      <c r="AI1770" s="35"/>
      <c r="AJ1770" s="35"/>
      <c r="AK1770" s="35"/>
      <c r="AL1770" s="35"/>
    </row>
    <row r="1771">
      <c r="A1771" s="149"/>
      <c r="B1771" s="75" t="s">
        <v>9026</v>
      </c>
      <c r="C1771" s="76" t="s">
        <v>9027</v>
      </c>
      <c r="D1771" s="47"/>
      <c r="E1771" s="22" t="s">
        <v>9034</v>
      </c>
      <c r="F1771" s="22" t="s">
        <v>2180</v>
      </c>
      <c r="G1771" s="23">
        <v>2020.0</v>
      </c>
      <c r="H1771" s="22" t="s">
        <v>29</v>
      </c>
      <c r="I1771" s="24" t="s">
        <v>9035</v>
      </c>
      <c r="J1771" s="22" t="s">
        <v>9031</v>
      </c>
      <c r="K1771" s="22"/>
      <c r="L1771" s="36" t="s">
        <v>9036</v>
      </c>
      <c r="M1771" s="36"/>
      <c r="N1771" s="36" t="s">
        <v>1897</v>
      </c>
      <c r="O1771" s="36"/>
      <c r="P1771" s="37"/>
      <c r="Q1771" s="36"/>
      <c r="R1771" s="36"/>
      <c r="S1771" s="36"/>
      <c r="T1771" s="28" t="s">
        <v>9037</v>
      </c>
      <c r="U1771" s="29" t="s">
        <v>37</v>
      </c>
      <c r="V1771" s="30"/>
      <c r="W1771" s="31"/>
      <c r="X1771" s="31"/>
      <c r="Y1771" s="31"/>
      <c r="Z1771" s="32"/>
      <c r="AA1771" s="31"/>
      <c r="AB1771" s="31"/>
      <c r="AC1771" s="9"/>
      <c r="AD1771" s="31"/>
      <c r="AE1771" s="31"/>
      <c r="AF1771" s="33"/>
      <c r="AG1771" s="34"/>
      <c r="AH1771" s="31"/>
      <c r="AI1771" s="35"/>
      <c r="AJ1771" s="35"/>
      <c r="AK1771" s="35"/>
      <c r="AL1771" s="35"/>
    </row>
    <row r="1772">
      <c r="A1772" s="149"/>
      <c r="B1772" s="75" t="s">
        <v>9026</v>
      </c>
      <c r="C1772" s="77" t="s">
        <v>9038</v>
      </c>
      <c r="D1772" s="47"/>
      <c r="E1772" s="22" t="s">
        <v>9039</v>
      </c>
      <c r="F1772" s="22" t="s">
        <v>1943</v>
      </c>
      <c r="G1772" s="23">
        <v>2020.0</v>
      </c>
      <c r="H1772" s="22" t="s">
        <v>91</v>
      </c>
      <c r="I1772" s="24" t="s">
        <v>9040</v>
      </c>
      <c r="J1772" s="22" t="s">
        <v>9041</v>
      </c>
      <c r="K1772" s="22"/>
      <c r="L1772" s="36">
        <v>633.0</v>
      </c>
      <c r="M1772" s="36"/>
      <c r="N1772" s="36"/>
      <c r="O1772" s="36"/>
      <c r="P1772" s="37"/>
      <c r="Q1772" s="36"/>
      <c r="R1772" s="36"/>
      <c r="S1772" s="36"/>
      <c r="T1772" s="41" t="s">
        <v>9042</v>
      </c>
      <c r="U1772" s="29" t="s">
        <v>61</v>
      </c>
      <c r="V1772" s="30"/>
      <c r="W1772" s="31"/>
      <c r="X1772" s="31"/>
      <c r="Y1772" s="31"/>
      <c r="Z1772" s="32"/>
      <c r="AA1772" s="31"/>
      <c r="AB1772" s="31"/>
      <c r="AC1772" s="9"/>
      <c r="AD1772" s="31"/>
      <c r="AE1772" s="31"/>
      <c r="AF1772" s="33"/>
      <c r="AG1772" s="34"/>
      <c r="AH1772" s="31"/>
      <c r="AI1772" s="35"/>
      <c r="AJ1772" s="35"/>
      <c r="AK1772" s="35"/>
      <c r="AL1772" s="35"/>
    </row>
    <row r="1773">
      <c r="A1773" s="149"/>
      <c r="B1773" s="75" t="s">
        <v>9026</v>
      </c>
      <c r="C1773" s="77" t="s">
        <v>9038</v>
      </c>
      <c r="D1773" s="47"/>
      <c r="E1773" s="22" t="s">
        <v>9039</v>
      </c>
      <c r="F1773" s="22" t="s">
        <v>1943</v>
      </c>
      <c r="G1773" s="23">
        <v>2019.0</v>
      </c>
      <c r="H1773" s="22" t="s">
        <v>314</v>
      </c>
      <c r="I1773" s="24" t="s">
        <v>9043</v>
      </c>
      <c r="J1773" s="22" t="s">
        <v>9041</v>
      </c>
      <c r="K1773" s="22"/>
      <c r="L1773" s="36">
        <v>633.0</v>
      </c>
      <c r="M1773" s="36" t="s">
        <v>4163</v>
      </c>
      <c r="N1773" s="36"/>
      <c r="O1773" s="36"/>
      <c r="P1773" s="37" t="s">
        <v>9044</v>
      </c>
      <c r="Q1773" s="36"/>
      <c r="R1773" s="36" t="s">
        <v>9045</v>
      </c>
      <c r="S1773" s="36"/>
      <c r="T1773" s="41" t="s">
        <v>9046</v>
      </c>
      <c r="U1773" s="38" t="str">
        <f>HYPERLINK("https://www.ncbi.nlm.nih.gov/pubmed/31077705","PubMed")</f>
        <v>PubMed</v>
      </c>
      <c r="V1773" s="30"/>
      <c r="W1773" s="31"/>
      <c r="X1773" s="31"/>
      <c r="Y1773" s="31"/>
      <c r="Z1773" s="32"/>
      <c r="AA1773" s="31"/>
      <c r="AB1773" s="31"/>
      <c r="AC1773" s="9"/>
      <c r="AD1773" s="31"/>
      <c r="AE1773" s="31"/>
      <c r="AF1773" s="33"/>
      <c r="AG1773" s="34"/>
      <c r="AH1773" s="31"/>
      <c r="AI1773" s="35"/>
      <c r="AJ1773" s="35"/>
      <c r="AK1773" s="35"/>
      <c r="AL1773" s="35"/>
    </row>
    <row r="1774">
      <c r="A1774" s="149"/>
      <c r="B1774" s="75" t="s">
        <v>9026</v>
      </c>
      <c r="C1774" s="77" t="s">
        <v>9038</v>
      </c>
      <c r="D1774" s="47"/>
      <c r="E1774" s="22" t="s">
        <v>9047</v>
      </c>
      <c r="F1774" s="22" t="s">
        <v>274</v>
      </c>
      <c r="G1774" s="23">
        <v>2018.0</v>
      </c>
      <c r="H1774" s="22" t="s">
        <v>42</v>
      </c>
      <c r="I1774" s="24" t="s">
        <v>9048</v>
      </c>
      <c r="J1774" s="22" t="s">
        <v>31</v>
      </c>
      <c r="K1774" s="22" t="s">
        <v>157</v>
      </c>
      <c r="L1774" s="36">
        <v>630.0</v>
      </c>
      <c r="M1774" s="36"/>
      <c r="N1774" s="36" t="s">
        <v>9049</v>
      </c>
      <c r="O1774" s="36"/>
      <c r="P1774" s="37" t="s">
        <v>9050</v>
      </c>
      <c r="Q1774" s="36"/>
      <c r="R1774" s="36"/>
      <c r="S1774" s="36"/>
      <c r="T1774" s="28" t="s">
        <v>9051</v>
      </c>
      <c r="U1774" s="38" t="str">
        <f>HYPERLINK("https://www.ncbi.nlm.nih.gov/pubmed/28700130","PubMed")</f>
        <v>PubMed</v>
      </c>
      <c r="V1774" s="30"/>
      <c r="W1774" s="31"/>
      <c r="X1774" s="31"/>
      <c r="Y1774" s="31"/>
      <c r="Z1774" s="32"/>
      <c r="AA1774" s="31"/>
      <c r="AB1774" s="31"/>
      <c r="AC1774" s="9"/>
      <c r="AD1774" s="31"/>
      <c r="AE1774" s="31"/>
      <c r="AF1774" s="33"/>
      <c r="AG1774" s="34"/>
      <c r="AH1774" s="31"/>
      <c r="AI1774" s="35"/>
      <c r="AJ1774" s="35"/>
      <c r="AK1774" s="35"/>
      <c r="AL1774" s="35"/>
    </row>
    <row r="1775">
      <c r="A1775" s="149"/>
      <c r="B1775" s="75" t="s">
        <v>9026</v>
      </c>
      <c r="C1775" s="77" t="s">
        <v>9038</v>
      </c>
      <c r="D1775" s="47"/>
      <c r="E1775" s="22" t="s">
        <v>9052</v>
      </c>
      <c r="F1775" s="22" t="s">
        <v>2346</v>
      </c>
      <c r="G1775" s="23">
        <v>2018.0</v>
      </c>
      <c r="H1775" s="22" t="s">
        <v>207</v>
      </c>
      <c r="I1775" s="24" t="s">
        <v>9053</v>
      </c>
      <c r="J1775" s="22" t="s">
        <v>31</v>
      </c>
      <c r="K1775" s="22"/>
      <c r="L1775" s="36">
        <v>630.0</v>
      </c>
      <c r="M1775" s="36"/>
      <c r="N1775" s="36"/>
      <c r="O1775" s="36"/>
      <c r="P1775" s="37"/>
      <c r="Q1775" s="36"/>
      <c r="R1775" s="36"/>
      <c r="S1775" s="36"/>
      <c r="T1775" s="28" t="s">
        <v>9054</v>
      </c>
      <c r="U1775" s="38" t="str">
        <f>HYPERLINK("https://www.ncbi.nlm.nih.gov/pubmed/30232055","PubMed")</f>
        <v>PubMed</v>
      </c>
      <c r="V1775" s="30"/>
      <c r="W1775" s="31"/>
      <c r="X1775" s="31"/>
      <c r="Y1775" s="31"/>
      <c r="Z1775" s="32"/>
      <c r="AA1775" s="31"/>
      <c r="AB1775" s="31"/>
      <c r="AC1775" s="9"/>
      <c r="AD1775" s="31"/>
      <c r="AE1775" s="31"/>
      <c r="AF1775" s="33"/>
      <c r="AG1775" s="34"/>
      <c r="AH1775" s="31"/>
      <c r="AI1775" s="35"/>
      <c r="AJ1775" s="35"/>
      <c r="AK1775" s="35"/>
      <c r="AL1775" s="35"/>
    </row>
    <row r="1776">
      <c r="A1776" s="149"/>
      <c r="B1776" s="19" t="s">
        <v>9026</v>
      </c>
      <c r="C1776" s="20" t="s">
        <v>9038</v>
      </c>
      <c r="D1776" s="47"/>
      <c r="E1776" s="22" t="s">
        <v>626</v>
      </c>
      <c r="F1776" s="22" t="s">
        <v>224</v>
      </c>
      <c r="G1776" s="23">
        <v>2017.0</v>
      </c>
      <c r="H1776" s="22" t="s">
        <v>4975</v>
      </c>
      <c r="I1776" s="24" t="s">
        <v>9055</v>
      </c>
      <c r="J1776" s="22" t="s">
        <v>9056</v>
      </c>
      <c r="K1776" s="22" t="s">
        <v>5440</v>
      </c>
      <c r="L1776" s="36" t="s">
        <v>9057</v>
      </c>
      <c r="M1776" s="36"/>
      <c r="N1776" s="36"/>
      <c r="O1776" s="36"/>
      <c r="P1776" s="37"/>
      <c r="Q1776" s="36"/>
      <c r="R1776" s="36"/>
      <c r="S1776" s="36"/>
      <c r="T1776" s="28" t="s">
        <v>9058</v>
      </c>
      <c r="U1776" s="38" t="str">
        <f>HYPERLINK("https://www.ncbi.nlm.nih.gov/pubmed/28708285","PubMed")</f>
        <v>PubMed</v>
      </c>
      <c r="V1776" s="30"/>
      <c r="W1776" s="31"/>
      <c r="X1776" s="31"/>
      <c r="Y1776" s="31"/>
      <c r="Z1776" s="32"/>
      <c r="AA1776" s="31"/>
      <c r="AB1776" s="31"/>
      <c r="AC1776" s="9"/>
      <c r="AD1776" s="31"/>
      <c r="AE1776" s="31"/>
      <c r="AF1776" s="33"/>
      <c r="AG1776" s="34"/>
      <c r="AH1776" s="31"/>
      <c r="AI1776" s="35"/>
      <c r="AJ1776" s="35"/>
      <c r="AK1776" s="35"/>
      <c r="AL1776" s="35"/>
    </row>
    <row r="1777">
      <c r="A1777" s="149"/>
      <c r="B1777" s="19" t="s">
        <v>9026</v>
      </c>
      <c r="C1777" s="20" t="s">
        <v>9038</v>
      </c>
      <c r="D1777" s="47"/>
      <c r="E1777" s="22" t="s">
        <v>1689</v>
      </c>
      <c r="F1777" s="22" t="s">
        <v>9059</v>
      </c>
      <c r="G1777" s="23">
        <v>2014.0</v>
      </c>
      <c r="H1777" s="22" t="s">
        <v>9060</v>
      </c>
      <c r="I1777" s="24" t="s">
        <v>9061</v>
      </c>
      <c r="J1777" s="22" t="s">
        <v>9062</v>
      </c>
      <c r="K1777" s="22"/>
      <c r="L1777" s="36">
        <v>625.0</v>
      </c>
      <c r="M1777" s="36"/>
      <c r="N1777" s="36" t="s">
        <v>9063</v>
      </c>
      <c r="O1777" s="36"/>
      <c r="P1777" s="37"/>
      <c r="Q1777" s="36"/>
      <c r="R1777" s="36"/>
      <c r="S1777" s="36"/>
      <c r="T1777" s="28" t="s">
        <v>9064</v>
      </c>
      <c r="U1777" s="38" t="str">
        <f>HYPERLINK("https://www.ncbi.nlm.nih.gov/pubmed/24854483","PubMed")</f>
        <v>PubMed</v>
      </c>
      <c r="V1777" s="30"/>
      <c r="W1777" s="31"/>
      <c r="X1777" s="31"/>
      <c r="Y1777" s="31"/>
      <c r="Z1777" s="32"/>
      <c r="AA1777" s="31"/>
      <c r="AB1777" s="31"/>
      <c r="AC1777" s="9"/>
      <c r="AD1777" s="31"/>
      <c r="AE1777" s="31"/>
      <c r="AF1777" s="33"/>
      <c r="AG1777" s="34"/>
      <c r="AH1777" s="31"/>
      <c r="AI1777" s="35"/>
      <c r="AJ1777" s="35"/>
      <c r="AK1777" s="35"/>
      <c r="AL1777" s="35"/>
    </row>
    <row r="1778">
      <c r="A1778" s="149"/>
      <c r="B1778" s="19" t="s">
        <v>9026</v>
      </c>
      <c r="C1778" s="20" t="s">
        <v>9038</v>
      </c>
      <c r="D1778" s="47"/>
      <c r="E1778" s="22" t="s">
        <v>1904</v>
      </c>
      <c r="F1778" s="22" t="s">
        <v>9065</v>
      </c>
      <c r="G1778" s="23">
        <v>2008.0</v>
      </c>
      <c r="H1778" s="22" t="s">
        <v>9066</v>
      </c>
      <c r="I1778" s="24" t="s">
        <v>9067</v>
      </c>
      <c r="J1778" s="22" t="s">
        <v>9041</v>
      </c>
      <c r="K1778" s="22" t="s">
        <v>157</v>
      </c>
      <c r="L1778" s="36">
        <v>670.0</v>
      </c>
      <c r="M1778" s="36"/>
      <c r="N1778" s="36"/>
      <c r="O1778" s="36"/>
      <c r="P1778" s="37" t="s">
        <v>254</v>
      </c>
      <c r="Q1778" s="36"/>
      <c r="R1778" s="36"/>
      <c r="S1778" s="36"/>
      <c r="T1778" s="28" t="s">
        <v>9068</v>
      </c>
      <c r="U1778" s="38" t="str">
        <f>HYPERLINK("https://www.ncbi.nlm.nih.gov/pubmed/18752309","PubMed")</f>
        <v>PubMed</v>
      </c>
      <c r="V1778" s="30"/>
      <c r="W1778" s="31"/>
      <c r="X1778" s="31"/>
      <c r="Y1778" s="31"/>
      <c r="Z1778" s="32"/>
      <c r="AA1778" s="31"/>
      <c r="AB1778" s="31"/>
      <c r="AC1778" s="9"/>
      <c r="AD1778" s="31"/>
      <c r="AE1778" s="31"/>
      <c r="AF1778" s="33"/>
      <c r="AG1778" s="34"/>
      <c r="AH1778" s="31"/>
      <c r="AI1778" s="35"/>
      <c r="AJ1778" s="35"/>
      <c r="AK1778" s="35"/>
      <c r="AL1778" s="35"/>
    </row>
    <row r="1779">
      <c r="A1779" s="149"/>
      <c r="B1779" s="19" t="s">
        <v>9026</v>
      </c>
      <c r="C1779" s="20" t="s">
        <v>9038</v>
      </c>
      <c r="D1779" s="47"/>
      <c r="E1779" s="22" t="s">
        <v>9069</v>
      </c>
      <c r="F1779" s="22" t="s">
        <v>9065</v>
      </c>
      <c r="G1779" s="23">
        <v>2006.0</v>
      </c>
      <c r="H1779" s="22" t="s">
        <v>658</v>
      </c>
      <c r="I1779" s="24" t="s">
        <v>9070</v>
      </c>
      <c r="J1779" s="22" t="s">
        <v>9041</v>
      </c>
      <c r="K1779" s="22" t="s">
        <v>9071</v>
      </c>
      <c r="L1779" s="36">
        <v>670.0</v>
      </c>
      <c r="M1779" s="36" t="s">
        <v>9072</v>
      </c>
      <c r="N1779" s="36" t="s">
        <v>9073</v>
      </c>
      <c r="O1779" s="36"/>
      <c r="P1779" s="37" t="s">
        <v>254</v>
      </c>
      <c r="Q1779" s="36" t="s">
        <v>9074</v>
      </c>
      <c r="R1779" s="36"/>
      <c r="S1779" s="36">
        <v>20.0</v>
      </c>
      <c r="T1779" s="42" t="s">
        <v>9075</v>
      </c>
      <c r="U1779" s="38" t="str">
        <f>HYPERLINK("https://www.ncbi.nlm.nih.gov/pubmed/16875452","PubMed")</f>
        <v>PubMed</v>
      </c>
      <c r="V1779" s="30"/>
      <c r="W1779" s="31"/>
      <c r="X1779" s="31"/>
      <c r="Y1779" s="31"/>
      <c r="Z1779" s="32"/>
      <c r="AA1779" s="31"/>
      <c r="AB1779" s="31"/>
      <c r="AC1779" s="9"/>
      <c r="AD1779" s="31"/>
      <c r="AE1779" s="31"/>
      <c r="AF1779" s="33"/>
      <c r="AG1779" s="34"/>
      <c r="AH1779" s="31"/>
      <c r="AI1779" s="35"/>
      <c r="AJ1779" s="35"/>
      <c r="AK1779" s="35"/>
      <c r="AL1779" s="35"/>
    </row>
    <row r="1780">
      <c r="A1780" s="149"/>
      <c r="B1780" s="19" t="s">
        <v>9026</v>
      </c>
      <c r="C1780" s="20" t="s">
        <v>9038</v>
      </c>
      <c r="D1780" s="47"/>
      <c r="E1780" s="22" t="s">
        <v>9069</v>
      </c>
      <c r="F1780" s="22" t="s">
        <v>9065</v>
      </c>
      <c r="G1780" s="23">
        <v>2006.0</v>
      </c>
      <c r="H1780" s="22" t="s">
        <v>9066</v>
      </c>
      <c r="I1780" s="24" t="s">
        <v>9076</v>
      </c>
      <c r="J1780" s="22" t="s">
        <v>9056</v>
      </c>
      <c r="K1780" s="22" t="s">
        <v>157</v>
      </c>
      <c r="L1780" s="36">
        <v>670.0</v>
      </c>
      <c r="M1780" s="36"/>
      <c r="N1780" s="36"/>
      <c r="O1780" s="36"/>
      <c r="P1780" s="37"/>
      <c r="Q1780" s="36"/>
      <c r="R1780" s="36"/>
      <c r="S1780" s="36"/>
      <c r="T1780" s="42" t="s">
        <v>9077</v>
      </c>
      <c r="U1780" s="38" t="str">
        <f>HYPERLINK("https://www.ncbi.nlm.nih.gov/pubmed/17163486","PubMed")</f>
        <v>PubMed</v>
      </c>
      <c r="V1780" s="30"/>
      <c r="W1780" s="31"/>
      <c r="X1780" s="31"/>
      <c r="Y1780" s="31"/>
      <c r="Z1780" s="32"/>
      <c r="AA1780" s="31"/>
      <c r="AB1780" s="31"/>
      <c r="AC1780" s="9"/>
      <c r="AD1780" s="31"/>
      <c r="AE1780" s="31"/>
      <c r="AF1780" s="33"/>
      <c r="AG1780" s="34"/>
      <c r="AH1780" s="31"/>
      <c r="AI1780" s="35"/>
      <c r="AJ1780" s="35"/>
      <c r="AK1780" s="35"/>
      <c r="AL1780" s="35"/>
    </row>
    <row r="1781">
      <c r="A1781" s="149"/>
      <c r="B1781" s="19" t="s">
        <v>9026</v>
      </c>
      <c r="C1781" s="20" t="s">
        <v>9038</v>
      </c>
      <c r="D1781" s="47"/>
      <c r="E1781" s="22" t="s">
        <v>9078</v>
      </c>
      <c r="F1781" s="22" t="s">
        <v>9079</v>
      </c>
      <c r="G1781" s="23">
        <v>1992.0</v>
      </c>
      <c r="H1781" s="22" t="s">
        <v>1289</v>
      </c>
      <c r="I1781" s="24" t="s">
        <v>9080</v>
      </c>
      <c r="J1781" s="22" t="s">
        <v>9056</v>
      </c>
      <c r="K1781" s="22"/>
      <c r="L1781" s="36">
        <v>633.0</v>
      </c>
      <c r="M1781" s="36">
        <v>5.0</v>
      </c>
      <c r="N1781" s="36"/>
      <c r="O1781" s="36"/>
      <c r="P1781" s="37"/>
      <c r="Q1781" s="36"/>
      <c r="R1781" s="36">
        <v>300.0</v>
      </c>
      <c r="S1781" s="36"/>
      <c r="T1781" s="41" t="s">
        <v>9081</v>
      </c>
      <c r="U1781" s="38" t="str">
        <f>HYPERLINK("https://www.ncbi.nlm.nih.gov/pubmed/10147878/","PubMed")</f>
        <v>PubMed</v>
      </c>
      <c r="V1781" s="30"/>
      <c r="W1781" s="31"/>
      <c r="X1781" s="31"/>
      <c r="Y1781" s="31"/>
      <c r="Z1781" s="32"/>
      <c r="AA1781" s="31"/>
      <c r="AB1781" s="31"/>
      <c r="AC1781" s="9"/>
      <c r="AD1781" s="31"/>
      <c r="AE1781" s="31"/>
      <c r="AF1781" s="33"/>
      <c r="AG1781" s="34"/>
      <c r="AH1781" s="31"/>
      <c r="AI1781" s="35"/>
      <c r="AJ1781" s="35"/>
      <c r="AK1781" s="35"/>
      <c r="AL1781" s="35"/>
    </row>
    <row r="1782">
      <c r="A1782" s="149"/>
      <c r="B1782" s="19" t="s">
        <v>9026</v>
      </c>
      <c r="C1782" s="20" t="s">
        <v>9038</v>
      </c>
      <c r="D1782" s="47"/>
      <c r="E1782" s="22" t="s">
        <v>9078</v>
      </c>
      <c r="F1782" s="22" t="s">
        <v>9079</v>
      </c>
      <c r="G1782" s="23">
        <v>1992.0</v>
      </c>
      <c r="H1782" s="22" t="s">
        <v>9082</v>
      </c>
      <c r="I1782" s="24" t="s">
        <v>9083</v>
      </c>
      <c r="J1782" s="22" t="s">
        <v>9056</v>
      </c>
      <c r="K1782" s="22"/>
      <c r="L1782" s="36">
        <v>633.0</v>
      </c>
      <c r="M1782" s="36">
        <v>5.0</v>
      </c>
      <c r="N1782" s="36"/>
      <c r="O1782" s="36"/>
      <c r="P1782" s="37"/>
      <c r="Q1782" s="36"/>
      <c r="R1782" s="36"/>
      <c r="S1782" s="36"/>
      <c r="T1782" s="41" t="s">
        <v>9084</v>
      </c>
      <c r="U1782" s="38" t="str">
        <f>HYPERLINK("https://www.ncbi.nlm.nih.gov/pubmed/1344188","PubMed")</f>
        <v>PubMed</v>
      </c>
      <c r="V1782" s="30"/>
      <c r="W1782" s="31"/>
      <c r="X1782" s="31"/>
      <c r="Y1782" s="31"/>
      <c r="Z1782" s="32"/>
      <c r="AA1782" s="31"/>
      <c r="AB1782" s="31"/>
      <c r="AC1782" s="9"/>
      <c r="AD1782" s="31"/>
      <c r="AE1782" s="31"/>
      <c r="AF1782" s="33"/>
      <c r="AG1782" s="34"/>
      <c r="AH1782" s="31"/>
      <c r="AI1782" s="35"/>
      <c r="AJ1782" s="35"/>
      <c r="AK1782" s="35"/>
      <c r="AL1782" s="35"/>
    </row>
    <row r="1783">
      <c r="A1783" s="149"/>
      <c r="B1783" s="19" t="s">
        <v>9026</v>
      </c>
      <c r="C1783" s="20" t="s">
        <v>9038</v>
      </c>
      <c r="D1783" s="47"/>
      <c r="E1783" s="22" t="s">
        <v>9069</v>
      </c>
      <c r="F1783" s="22" t="s">
        <v>9065</v>
      </c>
      <c r="G1783" s="23">
        <v>2006.0</v>
      </c>
      <c r="H1783" s="22" t="s">
        <v>658</v>
      </c>
      <c r="I1783" s="24" t="s">
        <v>9085</v>
      </c>
      <c r="J1783" s="22" t="s">
        <v>9041</v>
      </c>
      <c r="K1783" s="22" t="s">
        <v>157</v>
      </c>
      <c r="L1783" s="36">
        <v>670.0</v>
      </c>
      <c r="M1783" s="36"/>
      <c r="N1783" s="36"/>
      <c r="O1783" s="36"/>
      <c r="P1783" s="37"/>
      <c r="Q1783" s="36"/>
      <c r="R1783" s="36"/>
      <c r="S1783" s="36"/>
      <c r="T1783" s="28" t="s">
        <v>9086</v>
      </c>
      <c r="U1783" s="38" t="str">
        <f>HYPERLINK("https://www.ncbi.nlm.nih.gov/pubmed/16503785","PubMed")</f>
        <v>PubMed</v>
      </c>
      <c r="V1783" s="30"/>
      <c r="W1783" s="31"/>
      <c r="X1783" s="31"/>
      <c r="Y1783" s="31"/>
      <c r="Z1783" s="32"/>
      <c r="AA1783" s="31"/>
      <c r="AB1783" s="31"/>
      <c r="AC1783" s="9"/>
      <c r="AD1783" s="31"/>
      <c r="AE1783" s="31"/>
      <c r="AF1783" s="33"/>
      <c r="AG1783" s="34"/>
      <c r="AH1783" s="31"/>
      <c r="AI1783" s="35"/>
      <c r="AJ1783" s="35"/>
      <c r="AK1783" s="35"/>
      <c r="AL1783" s="35"/>
    </row>
    <row r="1784">
      <c r="A1784" s="149"/>
      <c r="B1784" s="19" t="s">
        <v>9026</v>
      </c>
      <c r="C1784" s="20" t="s">
        <v>9038</v>
      </c>
      <c r="D1784" s="47"/>
      <c r="E1784" s="22" t="s">
        <v>9069</v>
      </c>
      <c r="F1784" s="22" t="s">
        <v>9065</v>
      </c>
      <c r="G1784" s="23">
        <v>2005.0</v>
      </c>
      <c r="H1784" s="22" t="s">
        <v>658</v>
      </c>
      <c r="I1784" s="24" t="s">
        <v>9087</v>
      </c>
      <c r="J1784" s="22" t="s">
        <v>9041</v>
      </c>
      <c r="K1784" s="22" t="s">
        <v>157</v>
      </c>
      <c r="L1784" s="36">
        <v>670.0</v>
      </c>
      <c r="M1784" s="36"/>
      <c r="N1784" s="36"/>
      <c r="O1784" s="36"/>
      <c r="P1784" s="37" t="s">
        <v>254</v>
      </c>
      <c r="Q1784" s="36"/>
      <c r="R1784" s="36"/>
      <c r="S1784" s="36">
        <v>20.0</v>
      </c>
      <c r="T1784" s="28" t="s">
        <v>9088</v>
      </c>
      <c r="U1784" s="38" t="str">
        <f>HYPERLINK("https://www.ncbi.nlm.nih.gov/pubmed/15954813","PubMed")</f>
        <v>PubMed</v>
      </c>
      <c r="V1784" s="30"/>
      <c r="W1784" s="31"/>
      <c r="X1784" s="31"/>
      <c r="Y1784" s="31"/>
      <c r="Z1784" s="32"/>
      <c r="AA1784" s="31"/>
      <c r="AB1784" s="31"/>
      <c r="AC1784" s="9"/>
      <c r="AD1784" s="31"/>
      <c r="AE1784" s="31"/>
      <c r="AF1784" s="33"/>
      <c r="AG1784" s="34"/>
      <c r="AH1784" s="31"/>
      <c r="AI1784" s="35"/>
      <c r="AJ1784" s="35"/>
      <c r="AK1784" s="35"/>
      <c r="AL1784" s="35"/>
    </row>
    <row r="1785">
      <c r="A1785" s="40" t="s">
        <v>2</v>
      </c>
      <c r="B1785" s="19" t="s">
        <v>9026</v>
      </c>
      <c r="C1785" s="20" t="s">
        <v>9089</v>
      </c>
      <c r="D1785" s="47"/>
      <c r="E1785" s="22" t="s">
        <v>2338</v>
      </c>
      <c r="F1785" s="22" t="s">
        <v>3344</v>
      </c>
      <c r="G1785" s="23">
        <v>2021.0</v>
      </c>
      <c r="H1785" s="22" t="s">
        <v>2038</v>
      </c>
      <c r="I1785" s="24" t="s">
        <v>9090</v>
      </c>
      <c r="J1785" s="22" t="s">
        <v>55</v>
      </c>
      <c r="K1785" s="22"/>
      <c r="L1785" s="36">
        <v>808.0</v>
      </c>
      <c r="M1785" s="36"/>
      <c r="N1785" s="36" t="s">
        <v>8939</v>
      </c>
      <c r="O1785" s="36"/>
      <c r="P1785" s="37"/>
      <c r="Q1785" s="36"/>
      <c r="R1785" s="36"/>
      <c r="S1785" s="36"/>
      <c r="T1785" s="28" t="s">
        <v>9091</v>
      </c>
      <c r="U1785" s="29" t="s">
        <v>61</v>
      </c>
      <c r="V1785" s="30"/>
      <c r="W1785" s="31"/>
      <c r="X1785" s="31"/>
      <c r="Y1785" s="31"/>
      <c r="Z1785" s="32"/>
      <c r="AA1785" s="31"/>
      <c r="AB1785" s="31"/>
      <c r="AC1785" s="9"/>
      <c r="AD1785" s="31"/>
      <c r="AE1785" s="31"/>
      <c r="AF1785" s="33"/>
      <c r="AG1785" s="34"/>
      <c r="AH1785" s="31"/>
      <c r="AI1785" s="35"/>
      <c r="AJ1785" s="35"/>
      <c r="AK1785" s="35"/>
      <c r="AL1785" s="35"/>
    </row>
    <row r="1786">
      <c r="A1786" s="18" t="s">
        <v>38</v>
      </c>
      <c r="B1786" s="19" t="s">
        <v>9026</v>
      </c>
      <c r="C1786" s="20" t="s">
        <v>9092</v>
      </c>
      <c r="D1786" s="47"/>
      <c r="E1786" s="22" t="s">
        <v>9047</v>
      </c>
      <c r="F1786" s="22" t="s">
        <v>41</v>
      </c>
      <c r="G1786" s="23">
        <v>2019.0</v>
      </c>
      <c r="H1786" s="22" t="s">
        <v>42</v>
      </c>
      <c r="I1786" s="24" t="s">
        <v>9093</v>
      </c>
      <c r="J1786" s="22" t="s">
        <v>55</v>
      </c>
      <c r="K1786" s="22" t="s">
        <v>157</v>
      </c>
      <c r="L1786" s="36">
        <v>630.0</v>
      </c>
      <c r="M1786" s="36"/>
      <c r="N1786" s="36"/>
      <c r="O1786" s="36"/>
      <c r="P1786" s="37"/>
      <c r="Q1786" s="36"/>
      <c r="R1786" s="36"/>
      <c r="S1786" s="36"/>
      <c r="T1786" s="28" t="s">
        <v>9094</v>
      </c>
      <c r="U1786" s="38" t="str">
        <f>HYPERLINK("https://www.ncbi.nlm.nih.gov/pubmed/30972966","PubMed")</f>
        <v>PubMed</v>
      </c>
      <c r="V1786" s="30"/>
      <c r="W1786" s="31"/>
      <c r="X1786" s="31"/>
      <c r="Y1786" s="31"/>
      <c r="Z1786" s="32"/>
      <c r="AA1786" s="31"/>
      <c r="AB1786" s="31"/>
      <c r="AC1786" s="9"/>
      <c r="AD1786" s="31"/>
      <c r="AE1786" s="31"/>
      <c r="AF1786" s="33"/>
      <c r="AG1786" s="34"/>
      <c r="AH1786" s="31"/>
      <c r="AI1786" s="35"/>
      <c r="AJ1786" s="35"/>
      <c r="AK1786" s="35"/>
      <c r="AL1786" s="35"/>
    </row>
    <row r="1787">
      <c r="A1787" s="18"/>
      <c r="B1787" s="19" t="s">
        <v>9026</v>
      </c>
      <c r="C1787" s="20" t="s">
        <v>9095</v>
      </c>
      <c r="D1787" s="47"/>
      <c r="E1787" s="22" t="s">
        <v>88</v>
      </c>
      <c r="F1787" s="22" t="s">
        <v>41</v>
      </c>
      <c r="G1787" s="23">
        <v>2023.0</v>
      </c>
      <c r="H1787" s="22" t="s">
        <v>3963</v>
      </c>
      <c r="I1787" s="24" t="s">
        <v>9096</v>
      </c>
      <c r="J1787" s="22" t="s">
        <v>9097</v>
      </c>
      <c r="K1787" s="22" t="s">
        <v>157</v>
      </c>
      <c r="L1787" s="36">
        <v>850.0</v>
      </c>
      <c r="M1787" s="36">
        <v>500.0</v>
      </c>
      <c r="N1787" s="36"/>
      <c r="O1787" s="36" t="s">
        <v>9098</v>
      </c>
      <c r="P1787" s="37"/>
      <c r="Q1787" s="36"/>
      <c r="R1787" s="36">
        <v>50.0</v>
      </c>
      <c r="S1787" s="36" t="s">
        <v>8494</v>
      </c>
      <c r="T1787" s="41" t="s">
        <v>9099</v>
      </c>
      <c r="U1787" s="38" t="s">
        <v>61</v>
      </c>
      <c r="V1787" s="30"/>
      <c r="W1787" s="31"/>
      <c r="X1787" s="31"/>
      <c r="Y1787" s="31"/>
      <c r="Z1787" s="32"/>
      <c r="AA1787" s="31"/>
      <c r="AB1787" s="31"/>
      <c r="AC1787" s="9"/>
      <c r="AD1787" s="31"/>
      <c r="AE1787" s="31"/>
      <c r="AF1787" s="33"/>
      <c r="AG1787" s="34"/>
      <c r="AH1787" s="31"/>
      <c r="AI1787" s="35"/>
      <c r="AJ1787" s="35"/>
      <c r="AK1787" s="35"/>
      <c r="AL1787" s="35"/>
    </row>
    <row r="1788">
      <c r="A1788" s="149"/>
      <c r="B1788" s="19" t="s">
        <v>9026</v>
      </c>
      <c r="C1788" s="20" t="s">
        <v>9095</v>
      </c>
      <c r="D1788" s="47"/>
      <c r="E1788" s="22" t="s">
        <v>88</v>
      </c>
      <c r="F1788" s="22" t="s">
        <v>41</v>
      </c>
      <c r="G1788" s="23">
        <v>2021.0</v>
      </c>
      <c r="H1788" s="22" t="s">
        <v>627</v>
      </c>
      <c r="I1788" s="24" t="s">
        <v>9100</v>
      </c>
      <c r="J1788" s="22" t="s">
        <v>2141</v>
      </c>
      <c r="K1788" s="22"/>
      <c r="L1788" s="168"/>
      <c r="M1788" s="168"/>
      <c r="N1788" s="168"/>
      <c r="O1788" s="168"/>
      <c r="P1788" s="169"/>
      <c r="Q1788" s="168"/>
      <c r="R1788" s="168"/>
      <c r="S1788" s="168"/>
      <c r="T1788" s="185" t="s">
        <v>9101</v>
      </c>
      <c r="U1788" s="29" t="s">
        <v>61</v>
      </c>
      <c r="V1788" s="30"/>
      <c r="W1788" s="31"/>
      <c r="X1788" s="31"/>
      <c r="Y1788" s="31"/>
      <c r="Z1788" s="32"/>
      <c r="AA1788" s="31"/>
      <c r="AB1788" s="31"/>
      <c r="AC1788" s="9"/>
      <c r="AD1788" s="31"/>
      <c r="AE1788" s="31"/>
      <c r="AF1788" s="33"/>
      <c r="AG1788" s="34"/>
      <c r="AH1788" s="31"/>
      <c r="AI1788" s="35"/>
      <c r="AJ1788" s="35"/>
      <c r="AK1788" s="35"/>
      <c r="AL1788" s="35"/>
    </row>
    <row r="1789">
      <c r="A1789" s="149"/>
      <c r="B1789" s="19" t="s">
        <v>9026</v>
      </c>
      <c r="C1789" s="20" t="s">
        <v>9102</v>
      </c>
      <c r="D1789" s="47"/>
      <c r="E1789" s="22" t="s">
        <v>9103</v>
      </c>
      <c r="F1789" s="22" t="s">
        <v>9104</v>
      </c>
      <c r="G1789" s="23">
        <v>2008.0</v>
      </c>
      <c r="H1789" s="22" t="s">
        <v>9105</v>
      </c>
      <c r="I1789" s="24" t="s">
        <v>9106</v>
      </c>
      <c r="J1789" s="22" t="s">
        <v>9107</v>
      </c>
      <c r="K1789" s="22" t="s">
        <v>9108</v>
      </c>
      <c r="L1789" s="36">
        <v>808.0</v>
      </c>
      <c r="M1789" s="36"/>
      <c r="N1789" s="36"/>
      <c r="O1789" s="36"/>
      <c r="P1789" s="37"/>
      <c r="Q1789" s="36"/>
      <c r="R1789" s="36"/>
      <c r="S1789" s="36"/>
      <c r="T1789" s="28" t="s">
        <v>9109</v>
      </c>
      <c r="U1789" s="38" t="str">
        <f>HYPERLINK("https://link.springer.com/article/10.1007/s10812-008-9023-8","Springer")</f>
        <v>Springer</v>
      </c>
      <c r="V1789" s="30"/>
      <c r="W1789" s="31"/>
      <c r="X1789" s="31"/>
      <c r="Y1789" s="31"/>
      <c r="Z1789" s="32"/>
      <c r="AA1789" s="31"/>
      <c r="AB1789" s="31"/>
      <c r="AC1789" s="9"/>
      <c r="AD1789" s="31"/>
      <c r="AE1789" s="31"/>
      <c r="AF1789" s="33"/>
      <c r="AG1789" s="34"/>
      <c r="AH1789" s="31"/>
      <c r="AI1789" s="35"/>
      <c r="AJ1789" s="35"/>
      <c r="AK1789" s="35"/>
      <c r="AL1789" s="35"/>
    </row>
    <row r="1790">
      <c r="A1790" s="149"/>
      <c r="B1790" s="19" t="s">
        <v>9026</v>
      </c>
      <c r="C1790" s="20" t="s">
        <v>9110</v>
      </c>
      <c r="D1790" s="47"/>
      <c r="E1790" s="22" t="s">
        <v>9111</v>
      </c>
      <c r="F1790" s="22" t="s">
        <v>9112</v>
      </c>
      <c r="G1790" s="23">
        <v>2006.0</v>
      </c>
      <c r="H1790" s="22" t="s">
        <v>9113</v>
      </c>
      <c r="I1790" s="24" t="s">
        <v>9114</v>
      </c>
      <c r="J1790" s="22" t="s">
        <v>31</v>
      </c>
      <c r="K1790" s="22" t="s">
        <v>9115</v>
      </c>
      <c r="L1790" s="36" t="s">
        <v>9116</v>
      </c>
      <c r="M1790" s="36"/>
      <c r="N1790" s="36"/>
      <c r="O1790" s="36"/>
      <c r="P1790" s="37"/>
      <c r="Q1790" s="36"/>
      <c r="R1790" s="36"/>
      <c r="S1790" s="36"/>
      <c r="T1790" s="28" t="s">
        <v>9117</v>
      </c>
      <c r="U1790" s="38" t="str">
        <f>HYPERLINK("https://www.ncbi.nlm.nih.gov/pubmed/16365884","PubMed")</f>
        <v>PubMed</v>
      </c>
      <c r="V1790" s="30"/>
      <c r="W1790" s="31"/>
      <c r="X1790" s="31"/>
      <c r="Y1790" s="31"/>
      <c r="Z1790" s="32"/>
      <c r="AA1790" s="31"/>
      <c r="AB1790" s="31"/>
      <c r="AC1790" s="9"/>
      <c r="AD1790" s="31"/>
      <c r="AE1790" s="31"/>
      <c r="AF1790" s="33"/>
      <c r="AG1790" s="34"/>
      <c r="AH1790" s="31"/>
      <c r="AI1790" s="35"/>
      <c r="AJ1790" s="35"/>
      <c r="AK1790" s="35"/>
      <c r="AL1790" s="35"/>
    </row>
    <row r="1791">
      <c r="A1791" s="146"/>
      <c r="B1791" s="19" t="s">
        <v>9118</v>
      </c>
      <c r="C1791" s="22" t="s">
        <v>9119</v>
      </c>
      <c r="D1791" s="47"/>
      <c r="E1791" s="22" t="s">
        <v>5311</v>
      </c>
      <c r="F1791" s="22" t="s">
        <v>9120</v>
      </c>
      <c r="G1791" s="23">
        <v>2018.0</v>
      </c>
      <c r="H1791" s="22" t="s">
        <v>658</v>
      </c>
      <c r="I1791" s="24" t="s">
        <v>9121</v>
      </c>
      <c r="J1791" s="22" t="s">
        <v>125</v>
      </c>
      <c r="K1791" s="22" t="s">
        <v>9119</v>
      </c>
      <c r="L1791" s="173" t="s">
        <v>9122</v>
      </c>
      <c r="U1791" s="38" t="str">
        <f>HYPERLINK("https://www.ncbi.nlm.nih.gov/pubmed/30418078","PubMed")</f>
        <v>PubMed</v>
      </c>
      <c r="V1791" s="30"/>
      <c r="W1791" s="31"/>
      <c r="X1791" s="31"/>
      <c r="Y1791" s="31"/>
      <c r="Z1791" s="32"/>
      <c r="AA1791" s="31"/>
      <c r="AB1791" s="31"/>
      <c r="AC1791" s="9"/>
      <c r="AD1791" s="31"/>
      <c r="AE1791" s="31"/>
      <c r="AF1791" s="33"/>
      <c r="AG1791" s="34"/>
      <c r="AH1791" s="31"/>
      <c r="AI1791" s="35"/>
      <c r="AJ1791" s="35"/>
      <c r="AK1791" s="35"/>
      <c r="AL1791" s="35"/>
    </row>
    <row r="1792">
      <c r="A1792" s="146"/>
      <c r="B1792" s="19" t="s">
        <v>9118</v>
      </c>
      <c r="C1792" s="22" t="s">
        <v>9119</v>
      </c>
      <c r="D1792" s="47"/>
      <c r="E1792" s="22" t="s">
        <v>9123</v>
      </c>
      <c r="F1792" s="22" t="s">
        <v>2407</v>
      </c>
      <c r="G1792" s="23">
        <v>2015.0</v>
      </c>
      <c r="H1792" s="22" t="s">
        <v>5489</v>
      </c>
      <c r="I1792" s="24" t="s">
        <v>9124</v>
      </c>
      <c r="J1792" s="22" t="s">
        <v>125</v>
      </c>
      <c r="K1792" s="22"/>
      <c r="L1792" s="53" t="s">
        <v>9125</v>
      </c>
      <c r="U1792" s="29" t="s">
        <v>61</v>
      </c>
      <c r="V1792" s="30"/>
      <c r="W1792" s="31"/>
      <c r="X1792" s="31"/>
      <c r="Y1792" s="31"/>
      <c r="Z1792" s="32"/>
      <c r="AA1792" s="31"/>
      <c r="AB1792" s="31"/>
      <c r="AC1792" s="9"/>
      <c r="AD1792" s="31"/>
      <c r="AE1792" s="31"/>
      <c r="AF1792" s="33"/>
      <c r="AG1792" s="34"/>
      <c r="AH1792" s="31"/>
      <c r="AI1792" s="35"/>
      <c r="AJ1792" s="35"/>
      <c r="AK1792" s="35"/>
      <c r="AL1792" s="35"/>
    </row>
    <row r="1793">
      <c r="A1793" s="146" t="s">
        <v>9126</v>
      </c>
      <c r="B1793" s="19" t="s">
        <v>9118</v>
      </c>
      <c r="C1793" s="20" t="s">
        <v>9127</v>
      </c>
      <c r="D1793" s="47"/>
      <c r="E1793" s="22" t="s">
        <v>9128</v>
      </c>
      <c r="F1793" s="22" t="s">
        <v>1310</v>
      </c>
      <c r="G1793" s="23">
        <v>2014.0</v>
      </c>
      <c r="H1793" s="22" t="s">
        <v>1025</v>
      </c>
      <c r="I1793" s="24" t="s">
        <v>9129</v>
      </c>
      <c r="J1793" s="22" t="s">
        <v>125</v>
      </c>
      <c r="K1793" s="22"/>
      <c r="L1793" s="173" t="s">
        <v>9130</v>
      </c>
      <c r="U1793" s="38" t="str">
        <f>HYPERLINK("https://www.ncbi.nlm.nih.gov/pubmed/25279540","PubMed")</f>
        <v>PubMed</v>
      </c>
      <c r="V1793" s="30"/>
      <c r="W1793" s="31"/>
      <c r="X1793" s="31"/>
      <c r="Y1793" s="31"/>
      <c r="Z1793" s="32"/>
      <c r="AA1793" s="31"/>
      <c r="AB1793" s="31"/>
      <c r="AC1793" s="9"/>
      <c r="AD1793" s="31"/>
      <c r="AE1793" s="31"/>
      <c r="AF1793" s="33"/>
      <c r="AG1793" s="34"/>
      <c r="AH1793" s="31"/>
      <c r="AI1793" s="35"/>
      <c r="AJ1793" s="35"/>
      <c r="AK1793" s="35"/>
      <c r="AL1793" s="35"/>
    </row>
    <row r="1794">
      <c r="A1794" s="205"/>
      <c r="B1794" s="19" t="s">
        <v>9118</v>
      </c>
      <c r="C1794" s="20" t="s">
        <v>9131</v>
      </c>
      <c r="D1794" s="47"/>
      <c r="E1794" s="22" t="s">
        <v>9132</v>
      </c>
      <c r="F1794" s="22" t="s">
        <v>9133</v>
      </c>
      <c r="G1794" s="23">
        <v>2005.0</v>
      </c>
      <c r="H1794" s="22" t="s">
        <v>9134</v>
      </c>
      <c r="I1794" s="24" t="s">
        <v>9135</v>
      </c>
      <c r="J1794" s="22" t="s">
        <v>9136</v>
      </c>
      <c r="K1794" s="22"/>
      <c r="L1794" s="36"/>
      <c r="M1794" s="36"/>
      <c r="N1794" s="36"/>
      <c r="O1794" s="129"/>
      <c r="P1794" s="37"/>
      <c r="Q1794" s="36"/>
      <c r="R1794" s="36"/>
      <c r="S1794" s="36"/>
      <c r="T1794" s="185"/>
      <c r="U1794" s="38" t="str">
        <f>HYPERLINK("https://www.ncbi.nlm.nih.gov/pubmed/15649327","PubMed")</f>
        <v>PubMed</v>
      </c>
      <c r="V1794" s="30"/>
      <c r="W1794" s="31"/>
      <c r="X1794" s="31"/>
      <c r="Y1794" s="31"/>
      <c r="Z1794" s="32"/>
      <c r="AA1794" s="31"/>
      <c r="AB1794" s="31"/>
      <c r="AC1794" s="9"/>
      <c r="AD1794" s="31"/>
      <c r="AE1794" s="31"/>
      <c r="AF1794" s="33"/>
      <c r="AG1794" s="34"/>
      <c r="AH1794" s="31"/>
      <c r="AI1794" s="35"/>
      <c r="AJ1794" s="35"/>
      <c r="AK1794" s="35"/>
      <c r="AL1794" s="35"/>
    </row>
    <row r="1795">
      <c r="A1795" s="205"/>
      <c r="B1795" s="19" t="s">
        <v>9118</v>
      </c>
      <c r="C1795" s="20" t="s">
        <v>9131</v>
      </c>
      <c r="D1795" s="47"/>
      <c r="E1795" s="22" t="s">
        <v>9137</v>
      </c>
      <c r="F1795" s="22" t="s">
        <v>9138</v>
      </c>
      <c r="G1795" s="23">
        <v>2004.0</v>
      </c>
      <c r="H1795" s="22" t="s">
        <v>658</v>
      </c>
      <c r="I1795" s="24" t="s">
        <v>9139</v>
      </c>
      <c r="J1795" s="22" t="s">
        <v>9136</v>
      </c>
      <c r="K1795" s="22"/>
      <c r="L1795" s="36"/>
      <c r="M1795" s="36"/>
      <c r="N1795" s="36"/>
      <c r="O1795" s="129"/>
      <c r="P1795" s="37"/>
      <c r="Q1795" s="36"/>
      <c r="R1795" s="36"/>
      <c r="S1795" s="36"/>
      <c r="T1795" s="185" t="s">
        <v>9140</v>
      </c>
      <c r="U1795" s="38" t="str">
        <f>HYPERLINK("https://www.ncbi.nlm.nih.gov/pubmed/15315731","PubMed")</f>
        <v>PubMed</v>
      </c>
      <c r="V1795" s="30"/>
      <c r="W1795" s="31"/>
      <c r="X1795" s="31"/>
      <c r="Y1795" s="31"/>
      <c r="Z1795" s="32"/>
      <c r="AA1795" s="31"/>
      <c r="AB1795" s="31"/>
      <c r="AC1795" s="9"/>
      <c r="AD1795" s="31"/>
      <c r="AE1795" s="31"/>
      <c r="AF1795" s="33"/>
      <c r="AG1795" s="34"/>
      <c r="AH1795" s="31"/>
      <c r="AI1795" s="35"/>
      <c r="AJ1795" s="35"/>
      <c r="AK1795" s="35"/>
      <c r="AL1795" s="35"/>
    </row>
    <row r="1796">
      <c r="A1796" s="146" t="s">
        <v>38</v>
      </c>
      <c r="B1796" s="19" t="s">
        <v>9118</v>
      </c>
      <c r="C1796" s="20" t="s">
        <v>9141</v>
      </c>
      <c r="D1796" s="47"/>
      <c r="E1796" s="22" t="s">
        <v>493</v>
      </c>
      <c r="F1796" s="22" t="s">
        <v>1081</v>
      </c>
      <c r="G1796" s="23">
        <v>2022.0</v>
      </c>
      <c r="H1796" s="22" t="s">
        <v>3160</v>
      </c>
      <c r="I1796" s="24" t="s">
        <v>9142</v>
      </c>
      <c r="J1796" s="22" t="s">
        <v>9136</v>
      </c>
      <c r="K1796" s="22" t="s">
        <v>157</v>
      </c>
      <c r="L1796" s="36">
        <v>630.0</v>
      </c>
      <c r="M1796" s="36"/>
      <c r="N1796" s="36"/>
      <c r="O1796" s="129"/>
      <c r="P1796" s="37"/>
      <c r="Q1796" s="36"/>
      <c r="R1796" s="36"/>
      <c r="S1796" s="36"/>
      <c r="T1796" s="28" t="s">
        <v>9143</v>
      </c>
      <c r="U1796" s="29" t="s">
        <v>61</v>
      </c>
      <c r="V1796" s="30"/>
      <c r="W1796" s="31"/>
      <c r="X1796" s="31"/>
      <c r="Y1796" s="31"/>
      <c r="Z1796" s="32"/>
      <c r="AA1796" s="31"/>
      <c r="AB1796" s="31"/>
      <c r="AC1796" s="9"/>
      <c r="AD1796" s="31"/>
      <c r="AE1796" s="31"/>
      <c r="AF1796" s="33"/>
      <c r="AG1796" s="34"/>
      <c r="AH1796" s="31"/>
      <c r="AI1796" s="35"/>
      <c r="AJ1796" s="35"/>
      <c r="AK1796" s="35"/>
      <c r="AL1796" s="35"/>
    </row>
    <row r="1797">
      <c r="A1797" s="205"/>
      <c r="B1797" s="19" t="s">
        <v>9118</v>
      </c>
      <c r="C1797" s="20" t="s">
        <v>9141</v>
      </c>
      <c r="D1797" s="47"/>
      <c r="E1797" s="22" t="s">
        <v>9144</v>
      </c>
      <c r="F1797" s="22" t="s">
        <v>1081</v>
      </c>
      <c r="G1797" s="23">
        <v>2021.0</v>
      </c>
      <c r="H1797" s="22" t="s">
        <v>9145</v>
      </c>
      <c r="I1797" s="24" t="s">
        <v>9146</v>
      </c>
      <c r="J1797" s="22" t="s">
        <v>9136</v>
      </c>
      <c r="K1797" s="22" t="s">
        <v>157</v>
      </c>
      <c r="L1797" s="36"/>
      <c r="M1797" s="36"/>
      <c r="N1797" s="36"/>
      <c r="O1797" s="129"/>
      <c r="P1797" s="37"/>
      <c r="Q1797" s="36"/>
      <c r="R1797" s="36"/>
      <c r="S1797" s="36"/>
      <c r="T1797" s="185" t="s">
        <v>9147</v>
      </c>
      <c r="U1797" s="29" t="s">
        <v>2360</v>
      </c>
      <c r="V1797" s="30"/>
      <c r="W1797" s="31"/>
      <c r="X1797" s="31"/>
      <c r="Y1797" s="31"/>
      <c r="Z1797" s="32"/>
      <c r="AA1797" s="31"/>
      <c r="AB1797" s="31"/>
      <c r="AC1797" s="9"/>
      <c r="AD1797" s="31"/>
      <c r="AE1797" s="31"/>
      <c r="AF1797" s="33"/>
      <c r="AG1797" s="34"/>
      <c r="AH1797" s="31"/>
      <c r="AI1797" s="35"/>
      <c r="AJ1797" s="35"/>
      <c r="AK1797" s="35"/>
      <c r="AL1797" s="35"/>
    </row>
    <row r="1798">
      <c r="A1798" s="205"/>
      <c r="B1798" s="19" t="s">
        <v>9118</v>
      </c>
      <c r="C1798" s="20" t="s">
        <v>9141</v>
      </c>
      <c r="D1798" s="47"/>
      <c r="E1798" s="22" t="s">
        <v>1080</v>
      </c>
      <c r="F1798" s="22" t="s">
        <v>6888</v>
      </c>
      <c r="G1798" s="23">
        <v>2021.0</v>
      </c>
      <c r="H1798" s="22" t="s">
        <v>9148</v>
      </c>
      <c r="I1798" s="24" t="s">
        <v>9149</v>
      </c>
      <c r="J1798" s="22" t="s">
        <v>9136</v>
      </c>
      <c r="K1798" s="22"/>
      <c r="L1798" s="36">
        <v>660.0</v>
      </c>
      <c r="M1798" s="36"/>
      <c r="N1798" s="36"/>
      <c r="O1798" s="129"/>
      <c r="P1798" s="37"/>
      <c r="Q1798" s="36"/>
      <c r="R1798" s="36"/>
      <c r="S1798" s="36"/>
      <c r="T1798" s="185" t="s">
        <v>9150</v>
      </c>
      <c r="U1798" s="29" t="s">
        <v>9151</v>
      </c>
      <c r="V1798" s="30"/>
      <c r="W1798" s="31"/>
      <c r="X1798" s="31"/>
      <c r="Y1798" s="31"/>
      <c r="Z1798" s="32"/>
      <c r="AA1798" s="31"/>
      <c r="AB1798" s="31"/>
      <c r="AC1798" s="9"/>
      <c r="AD1798" s="31"/>
      <c r="AE1798" s="31"/>
      <c r="AF1798" s="33"/>
      <c r="AG1798" s="34"/>
      <c r="AH1798" s="31"/>
      <c r="AI1798" s="35"/>
      <c r="AJ1798" s="35"/>
      <c r="AK1798" s="35"/>
      <c r="AL1798" s="35"/>
    </row>
    <row r="1799">
      <c r="A1799" s="146" t="s">
        <v>38</v>
      </c>
      <c r="B1799" s="19" t="s">
        <v>9118</v>
      </c>
      <c r="C1799" s="20" t="s">
        <v>9141</v>
      </c>
      <c r="D1799" s="47"/>
      <c r="E1799" s="22" t="s">
        <v>9152</v>
      </c>
      <c r="F1799" s="22" t="s">
        <v>358</v>
      </c>
      <c r="G1799" s="23">
        <v>2020.0</v>
      </c>
      <c r="H1799" s="22" t="s">
        <v>9153</v>
      </c>
      <c r="I1799" s="24" t="s">
        <v>9154</v>
      </c>
      <c r="J1799" s="22" t="s">
        <v>9136</v>
      </c>
      <c r="K1799" s="22"/>
      <c r="L1799" s="43" t="s">
        <v>9155</v>
      </c>
      <c r="M1799" s="44"/>
      <c r="N1799" s="44"/>
      <c r="O1799" s="44"/>
      <c r="P1799" s="44"/>
      <c r="Q1799" s="44"/>
      <c r="R1799" s="44"/>
      <c r="S1799" s="44"/>
      <c r="T1799" s="45"/>
      <c r="U1799" s="38" t="str">
        <f>HYPERLINK("https://www.ncbi.nlm.nih.gov/pubmed/32166455","PubMed")</f>
        <v>PubMed</v>
      </c>
      <c r="V1799" s="30"/>
      <c r="W1799" s="31"/>
      <c r="X1799" s="31"/>
      <c r="Y1799" s="31"/>
      <c r="Z1799" s="32"/>
      <c r="AA1799" s="31"/>
      <c r="AB1799" s="31"/>
      <c r="AC1799" s="9"/>
      <c r="AD1799" s="31"/>
      <c r="AE1799" s="31"/>
      <c r="AF1799" s="33"/>
      <c r="AG1799" s="34"/>
      <c r="AH1799" s="31"/>
      <c r="AI1799" s="35"/>
      <c r="AJ1799" s="35"/>
      <c r="AK1799" s="35"/>
      <c r="AL1799" s="35"/>
    </row>
    <row r="1800">
      <c r="A1800" s="1" t="s">
        <v>2</v>
      </c>
      <c r="B1800" s="19" t="s">
        <v>9118</v>
      </c>
      <c r="C1800" s="20" t="s">
        <v>9141</v>
      </c>
      <c r="D1800" s="47"/>
      <c r="E1800" s="22" t="s">
        <v>6140</v>
      </c>
      <c r="F1800" s="22" t="s">
        <v>4448</v>
      </c>
      <c r="G1800" s="23">
        <v>2019.0</v>
      </c>
      <c r="H1800" s="22" t="s">
        <v>9156</v>
      </c>
      <c r="I1800" s="24" t="s">
        <v>9157</v>
      </c>
      <c r="J1800" s="22" t="s">
        <v>9136</v>
      </c>
      <c r="K1800" s="22" t="s">
        <v>157</v>
      </c>
      <c r="L1800" s="36" t="s">
        <v>9158</v>
      </c>
      <c r="M1800" s="36"/>
      <c r="N1800" s="36"/>
      <c r="O1800" s="129"/>
      <c r="P1800" s="37"/>
      <c r="Q1800" s="36"/>
      <c r="R1800" s="36"/>
      <c r="S1800" s="36"/>
      <c r="T1800" s="54" t="s">
        <v>9159</v>
      </c>
      <c r="U1800" s="29" t="s">
        <v>61</v>
      </c>
      <c r="V1800" s="30"/>
      <c r="W1800" s="31"/>
      <c r="X1800" s="31"/>
      <c r="Y1800" s="31"/>
      <c r="Z1800" s="32"/>
      <c r="AA1800" s="31"/>
      <c r="AB1800" s="31"/>
      <c r="AC1800" s="9"/>
      <c r="AD1800" s="31"/>
      <c r="AE1800" s="31"/>
      <c r="AF1800" s="33"/>
      <c r="AG1800" s="34"/>
      <c r="AH1800" s="31"/>
      <c r="AI1800" s="35"/>
      <c r="AJ1800" s="35"/>
      <c r="AK1800" s="35"/>
      <c r="AL1800" s="35"/>
    </row>
    <row r="1801">
      <c r="A1801" s="1" t="s">
        <v>2</v>
      </c>
      <c r="B1801" s="19" t="s">
        <v>9118</v>
      </c>
      <c r="C1801" s="20" t="s">
        <v>9141</v>
      </c>
      <c r="D1801" s="47"/>
      <c r="E1801" s="22" t="s">
        <v>6140</v>
      </c>
      <c r="F1801" s="22" t="s">
        <v>299</v>
      </c>
      <c r="G1801" s="23">
        <v>2019.0</v>
      </c>
      <c r="H1801" s="22" t="s">
        <v>9160</v>
      </c>
      <c r="I1801" s="24" t="s">
        <v>9161</v>
      </c>
      <c r="J1801" s="22" t="s">
        <v>9162</v>
      </c>
      <c r="K1801" s="22"/>
      <c r="L1801" s="36" t="s">
        <v>9163</v>
      </c>
      <c r="M1801" s="36"/>
      <c r="N1801" s="36"/>
      <c r="O1801" s="129"/>
      <c r="P1801" s="37"/>
      <c r="Q1801" s="36"/>
      <c r="R1801" s="36"/>
      <c r="S1801" s="36"/>
      <c r="T1801" s="54" t="s">
        <v>9164</v>
      </c>
      <c r="U1801" s="38" t="str">
        <f>HYPERLINK("https://link.springer.com/article/10.1007/s12274-019-2595-1","Springer")</f>
        <v>Springer</v>
      </c>
      <c r="V1801" s="30"/>
      <c r="W1801" s="31"/>
      <c r="X1801" s="31"/>
      <c r="Y1801" s="31"/>
      <c r="Z1801" s="32"/>
      <c r="AA1801" s="31"/>
      <c r="AB1801" s="31"/>
      <c r="AC1801" s="9"/>
      <c r="AD1801" s="31"/>
      <c r="AE1801" s="31"/>
      <c r="AF1801" s="33"/>
      <c r="AG1801" s="34"/>
      <c r="AH1801" s="31"/>
      <c r="AI1801" s="35"/>
      <c r="AJ1801" s="35"/>
      <c r="AK1801" s="35"/>
      <c r="AL1801" s="35"/>
    </row>
    <row r="1802">
      <c r="A1802" s="18"/>
      <c r="B1802" s="19"/>
      <c r="C1802" s="20" t="s">
        <v>9165</v>
      </c>
      <c r="D1802" s="47"/>
      <c r="E1802" s="22" t="s">
        <v>6140</v>
      </c>
      <c r="F1802" s="22" t="s">
        <v>7156</v>
      </c>
      <c r="G1802" s="23">
        <v>2023.0</v>
      </c>
      <c r="H1802" s="22" t="s">
        <v>9166</v>
      </c>
      <c r="I1802" s="24" t="s">
        <v>9167</v>
      </c>
      <c r="J1802" s="22" t="s">
        <v>9168</v>
      </c>
      <c r="K1802" s="22"/>
      <c r="L1802" s="246">
        <v>633.0</v>
      </c>
      <c r="N1802" s="246"/>
      <c r="O1802" s="246"/>
      <c r="P1802" s="246"/>
      <c r="Q1802" s="246"/>
      <c r="R1802" s="246"/>
      <c r="S1802" s="246"/>
      <c r="T1802" s="247" t="s">
        <v>9169</v>
      </c>
      <c r="U1802" s="38" t="s">
        <v>9170</v>
      </c>
      <c r="V1802" s="30"/>
      <c r="W1802" s="31"/>
      <c r="X1802" s="31"/>
      <c r="Y1802" s="31"/>
      <c r="Z1802" s="32"/>
      <c r="AA1802" s="31"/>
      <c r="AB1802" s="31"/>
      <c r="AC1802" s="9"/>
      <c r="AD1802" s="31"/>
      <c r="AE1802" s="31"/>
      <c r="AF1802" s="33"/>
      <c r="AG1802" s="34"/>
      <c r="AH1802" s="31"/>
      <c r="AI1802" s="35"/>
      <c r="AJ1802" s="35"/>
      <c r="AK1802" s="35"/>
      <c r="AL1802" s="35"/>
    </row>
    <row r="1803">
      <c r="A1803" s="18"/>
      <c r="B1803" s="19" t="s">
        <v>9118</v>
      </c>
      <c r="C1803" s="20" t="s">
        <v>9165</v>
      </c>
      <c r="D1803" s="47"/>
      <c r="E1803" s="22" t="s">
        <v>9171</v>
      </c>
      <c r="F1803" s="22" t="s">
        <v>7156</v>
      </c>
      <c r="G1803" s="23">
        <v>2022.0</v>
      </c>
      <c r="H1803" s="22" t="s">
        <v>2362</v>
      </c>
      <c r="I1803" s="24" t="s">
        <v>9172</v>
      </c>
      <c r="J1803" s="22" t="s">
        <v>9168</v>
      </c>
      <c r="K1803" s="22" t="s">
        <v>294</v>
      </c>
      <c r="L1803" s="246" t="s">
        <v>9173</v>
      </c>
      <c r="N1803" s="246" t="s">
        <v>1729</v>
      </c>
      <c r="O1803" s="246"/>
      <c r="P1803" s="246"/>
      <c r="Q1803" s="246"/>
      <c r="R1803" s="246"/>
      <c r="S1803" s="246"/>
      <c r="T1803" s="247" t="s">
        <v>9174</v>
      </c>
      <c r="U1803" s="29" t="s">
        <v>9175</v>
      </c>
      <c r="V1803" s="30"/>
      <c r="W1803" s="31"/>
      <c r="X1803" s="31"/>
      <c r="Y1803" s="31"/>
      <c r="Z1803" s="32"/>
      <c r="AA1803" s="31"/>
      <c r="AB1803" s="31"/>
      <c r="AC1803" s="9"/>
      <c r="AD1803" s="31"/>
      <c r="AE1803" s="31"/>
      <c r="AF1803" s="33"/>
      <c r="AG1803" s="34"/>
      <c r="AH1803" s="31"/>
      <c r="AI1803" s="35"/>
      <c r="AJ1803" s="35"/>
      <c r="AK1803" s="35"/>
      <c r="AL1803" s="35"/>
    </row>
    <row r="1804">
      <c r="A1804" s="18" t="s">
        <v>2</v>
      </c>
      <c r="B1804" s="19" t="s">
        <v>9118</v>
      </c>
      <c r="C1804" s="20" t="s">
        <v>9165</v>
      </c>
      <c r="D1804" s="47"/>
      <c r="E1804" s="22" t="s">
        <v>3617</v>
      </c>
      <c r="F1804" s="22" t="s">
        <v>7156</v>
      </c>
      <c r="G1804" s="23">
        <v>2020.0</v>
      </c>
      <c r="H1804" s="22" t="s">
        <v>9176</v>
      </c>
      <c r="I1804" s="24" t="s">
        <v>9177</v>
      </c>
      <c r="J1804" s="22" t="s">
        <v>125</v>
      </c>
      <c r="K1804" s="22"/>
      <c r="L1804" s="43" t="s">
        <v>9178</v>
      </c>
      <c r="M1804" s="44"/>
      <c r="N1804" s="44"/>
      <c r="O1804" s="44"/>
      <c r="P1804" s="44"/>
      <c r="Q1804" s="44"/>
      <c r="R1804" s="44"/>
      <c r="S1804" s="44"/>
      <c r="T1804" s="45"/>
      <c r="U1804" s="38" t="str">
        <f>HYPERLINK("https://www.ncbi.nlm.nih.gov/pubmed/32142190","PubMed")</f>
        <v>PubMed</v>
      </c>
      <c r="V1804" s="30"/>
      <c r="W1804" s="31"/>
      <c r="X1804" s="31"/>
      <c r="Y1804" s="31"/>
      <c r="Z1804" s="32"/>
      <c r="AA1804" s="31"/>
      <c r="AB1804" s="31"/>
      <c r="AC1804" s="9"/>
      <c r="AD1804" s="31"/>
      <c r="AE1804" s="31"/>
      <c r="AF1804" s="33"/>
      <c r="AG1804" s="34"/>
      <c r="AH1804" s="31"/>
      <c r="AI1804" s="35"/>
      <c r="AJ1804" s="35"/>
      <c r="AK1804" s="35"/>
      <c r="AL1804" s="35"/>
    </row>
    <row r="1805">
      <c r="A1805" s="18"/>
      <c r="B1805" s="19" t="s">
        <v>9118</v>
      </c>
      <c r="C1805" s="20" t="s">
        <v>9165</v>
      </c>
      <c r="D1805" s="47"/>
      <c r="E1805" s="22" t="s">
        <v>9171</v>
      </c>
      <c r="F1805" s="22" t="s">
        <v>7156</v>
      </c>
      <c r="G1805" s="23">
        <v>2018.0</v>
      </c>
      <c r="H1805" s="22" t="s">
        <v>9179</v>
      </c>
      <c r="I1805" s="24" t="s">
        <v>9180</v>
      </c>
      <c r="J1805" s="22" t="s">
        <v>9168</v>
      </c>
      <c r="K1805" s="22"/>
      <c r="L1805" s="246"/>
      <c r="N1805" s="246"/>
      <c r="O1805" s="246"/>
      <c r="P1805" s="246"/>
      <c r="Q1805" s="246"/>
      <c r="R1805" s="246"/>
      <c r="S1805" s="246"/>
      <c r="T1805" s="247" t="s">
        <v>9181</v>
      </c>
      <c r="U1805" s="29" t="s">
        <v>37</v>
      </c>
      <c r="V1805" s="30"/>
      <c r="W1805" s="31"/>
      <c r="X1805" s="31"/>
      <c r="Y1805" s="31"/>
      <c r="Z1805" s="32"/>
      <c r="AA1805" s="31"/>
      <c r="AB1805" s="31"/>
      <c r="AC1805" s="9"/>
      <c r="AD1805" s="31"/>
      <c r="AE1805" s="31"/>
      <c r="AF1805" s="33"/>
      <c r="AG1805" s="34"/>
      <c r="AH1805" s="31"/>
      <c r="AI1805" s="35"/>
      <c r="AJ1805" s="35"/>
      <c r="AK1805" s="35"/>
      <c r="AL1805" s="35"/>
    </row>
    <row r="1806">
      <c r="A1806" s="18"/>
      <c r="B1806" s="19" t="s">
        <v>9118</v>
      </c>
      <c r="C1806" s="20" t="s">
        <v>9182</v>
      </c>
      <c r="D1806" s="47"/>
      <c r="E1806" s="22" t="s">
        <v>9183</v>
      </c>
      <c r="F1806" s="22" t="s">
        <v>9184</v>
      </c>
      <c r="G1806" s="23">
        <v>2020.0</v>
      </c>
      <c r="H1806" s="22" t="s">
        <v>9185</v>
      </c>
      <c r="I1806" s="24" t="s">
        <v>9186</v>
      </c>
      <c r="J1806" s="22" t="s">
        <v>125</v>
      </c>
      <c r="K1806" s="22"/>
      <c r="L1806" s="105" t="s">
        <v>9187</v>
      </c>
      <c r="M1806" s="44"/>
      <c r="N1806" s="44"/>
      <c r="O1806" s="44"/>
      <c r="P1806" s="44"/>
      <c r="Q1806" s="44"/>
      <c r="R1806" s="44"/>
      <c r="S1806" s="44"/>
      <c r="T1806" s="45"/>
      <c r="U1806" s="29" t="s">
        <v>2360</v>
      </c>
      <c r="V1806" s="30"/>
      <c r="W1806" s="31"/>
      <c r="X1806" s="31"/>
      <c r="Y1806" s="31"/>
      <c r="Z1806" s="32"/>
      <c r="AA1806" s="31"/>
      <c r="AB1806" s="31"/>
      <c r="AC1806" s="9"/>
      <c r="AD1806" s="31"/>
      <c r="AE1806" s="31"/>
      <c r="AF1806" s="33"/>
      <c r="AG1806" s="34"/>
      <c r="AH1806" s="31"/>
      <c r="AI1806" s="35"/>
      <c r="AJ1806" s="35"/>
      <c r="AK1806" s="35"/>
      <c r="AL1806" s="35"/>
    </row>
    <row r="1807">
      <c r="A1807" s="18"/>
      <c r="B1807" s="19" t="s">
        <v>9118</v>
      </c>
      <c r="C1807" s="20" t="s">
        <v>9188</v>
      </c>
      <c r="D1807" s="47"/>
      <c r="E1807" s="22" t="s">
        <v>493</v>
      </c>
      <c r="F1807" s="22" t="s">
        <v>7156</v>
      </c>
      <c r="G1807" s="23">
        <v>2022.0</v>
      </c>
      <c r="H1807" s="22" t="s">
        <v>9189</v>
      </c>
      <c r="I1807" s="24" t="s">
        <v>9190</v>
      </c>
      <c r="J1807" s="22" t="s">
        <v>9136</v>
      </c>
      <c r="K1807" s="22"/>
      <c r="L1807" s="105" t="s">
        <v>9191</v>
      </c>
      <c r="M1807" s="44"/>
      <c r="N1807" s="44"/>
      <c r="O1807" s="44"/>
      <c r="P1807" s="44"/>
      <c r="Q1807" s="44"/>
      <c r="R1807" s="44"/>
      <c r="S1807" s="44"/>
      <c r="T1807" s="44"/>
      <c r="U1807" s="29" t="s">
        <v>61</v>
      </c>
      <c r="V1807" s="30"/>
      <c r="W1807" s="31"/>
      <c r="X1807" s="31"/>
      <c r="Y1807" s="31"/>
      <c r="Z1807" s="32"/>
      <c r="AA1807" s="31"/>
      <c r="AB1807" s="31"/>
      <c r="AC1807" s="9"/>
      <c r="AD1807" s="31"/>
      <c r="AE1807" s="31"/>
      <c r="AF1807" s="33"/>
      <c r="AG1807" s="34"/>
      <c r="AH1807" s="31"/>
      <c r="AI1807" s="35"/>
      <c r="AJ1807" s="35"/>
      <c r="AK1807" s="35"/>
      <c r="AL1807" s="35"/>
    </row>
    <row r="1808">
      <c r="A1808" s="18" t="s">
        <v>2</v>
      </c>
      <c r="B1808" s="19" t="s">
        <v>9118</v>
      </c>
      <c r="C1808" s="20"/>
      <c r="D1808" s="47"/>
      <c r="E1808" s="22" t="s">
        <v>1507</v>
      </c>
      <c r="F1808" s="22" t="s">
        <v>5219</v>
      </c>
      <c r="G1808" s="23">
        <v>2018.0</v>
      </c>
      <c r="H1808" s="22" t="s">
        <v>2181</v>
      </c>
      <c r="I1808" s="24" t="s">
        <v>9192</v>
      </c>
      <c r="J1808" s="22" t="s">
        <v>9136</v>
      </c>
      <c r="K1808" s="22"/>
      <c r="L1808" s="36"/>
      <c r="M1808" s="36"/>
      <c r="N1808" s="36"/>
      <c r="O1808" s="129"/>
      <c r="P1808" s="37"/>
      <c r="Q1808" s="36"/>
      <c r="R1808" s="36"/>
      <c r="S1808" s="36"/>
      <c r="T1808" s="28" t="s">
        <v>9193</v>
      </c>
      <c r="U1808" s="38" t="str">
        <f>HYPERLINK("https://www.ncbi.nlm.nih.gov/pubmed/29523829","PubMed")</f>
        <v>PubMed</v>
      </c>
      <c r="V1808" s="30"/>
      <c r="W1808" s="31"/>
      <c r="X1808" s="31"/>
      <c r="Y1808" s="31"/>
      <c r="Z1808" s="32"/>
      <c r="AA1808" s="31"/>
      <c r="AB1808" s="31"/>
      <c r="AC1808" s="9"/>
      <c r="AD1808" s="31"/>
      <c r="AE1808" s="31"/>
      <c r="AF1808" s="33"/>
      <c r="AG1808" s="34"/>
      <c r="AH1808" s="31"/>
      <c r="AI1808" s="35"/>
      <c r="AJ1808" s="35"/>
      <c r="AK1808" s="35"/>
      <c r="AL1808" s="35"/>
    </row>
    <row r="1809">
      <c r="A1809" s="205"/>
      <c r="B1809" s="19" t="s">
        <v>9118</v>
      </c>
      <c r="C1809" s="20"/>
      <c r="D1809" s="47"/>
      <c r="E1809" s="22" t="s">
        <v>2432</v>
      </c>
      <c r="F1809" s="22" t="s">
        <v>1370</v>
      </c>
      <c r="G1809" s="23">
        <v>2013.0</v>
      </c>
      <c r="H1809" s="22" t="s">
        <v>2479</v>
      </c>
      <c r="I1809" s="24" t="s">
        <v>9194</v>
      </c>
      <c r="J1809" s="22"/>
      <c r="K1809" s="22"/>
      <c r="L1809" s="36">
        <v>634.0</v>
      </c>
      <c r="M1809" s="36"/>
      <c r="N1809" s="36"/>
      <c r="O1809" s="129"/>
      <c r="P1809" s="37"/>
      <c r="Q1809" s="36"/>
      <c r="R1809" s="36"/>
      <c r="S1809" s="36"/>
      <c r="T1809" s="28" t="s">
        <v>9195</v>
      </c>
      <c r="U1809" s="38" t="str">
        <f>HYPERLINK("https://www.ncbi.nlm.nih.gov/pubmed/24409391","PubMed")</f>
        <v>PubMed</v>
      </c>
      <c r="V1809" s="30"/>
      <c r="W1809" s="31"/>
      <c r="X1809" s="31"/>
      <c r="Y1809" s="31"/>
      <c r="Z1809" s="32"/>
      <c r="AA1809" s="31"/>
      <c r="AB1809" s="31"/>
      <c r="AC1809" s="9"/>
      <c r="AD1809" s="31"/>
      <c r="AE1809" s="31"/>
      <c r="AF1809" s="33"/>
      <c r="AG1809" s="34"/>
      <c r="AH1809" s="31"/>
      <c r="AI1809" s="35"/>
      <c r="AJ1809" s="35"/>
      <c r="AK1809" s="35"/>
      <c r="AL1809" s="35"/>
    </row>
    <row r="1810" ht="33.0" customHeight="1">
      <c r="A1810" s="205"/>
      <c r="B1810" s="19" t="s">
        <v>9196</v>
      </c>
      <c r="C1810" s="20" t="s">
        <v>9197</v>
      </c>
      <c r="D1810" s="47"/>
      <c r="E1810" s="22" t="s">
        <v>5981</v>
      </c>
      <c r="F1810" s="22" t="s">
        <v>1386</v>
      </c>
      <c r="G1810" s="23">
        <v>2022.0</v>
      </c>
      <c r="H1810" s="22" t="s">
        <v>207</v>
      </c>
      <c r="I1810" s="24" t="s">
        <v>9198</v>
      </c>
      <c r="J1810" s="22" t="s">
        <v>31</v>
      </c>
      <c r="K1810" s="22"/>
      <c r="L1810" s="36">
        <v>660.0</v>
      </c>
      <c r="M1810" s="36"/>
      <c r="N1810" s="36"/>
      <c r="O1810" s="129"/>
      <c r="P1810" s="37" t="s">
        <v>432</v>
      </c>
      <c r="Q1810" s="36"/>
      <c r="R1810" s="36"/>
      <c r="S1810" s="36">
        <v>1.0</v>
      </c>
      <c r="T1810" s="28" t="s">
        <v>9199</v>
      </c>
      <c r="U1810" s="38" t="s">
        <v>61</v>
      </c>
      <c r="V1810" s="30"/>
      <c r="W1810" s="31"/>
      <c r="X1810" s="31"/>
      <c r="Y1810" s="31"/>
      <c r="Z1810" s="32"/>
      <c r="AA1810" s="31"/>
      <c r="AB1810" s="31"/>
      <c r="AC1810" s="9"/>
      <c r="AD1810" s="31"/>
      <c r="AE1810" s="31"/>
      <c r="AF1810" s="33"/>
      <c r="AG1810" s="34"/>
      <c r="AH1810" s="31"/>
      <c r="AI1810" s="35"/>
      <c r="AJ1810" s="35"/>
      <c r="AK1810" s="35"/>
      <c r="AL1810" s="35"/>
    </row>
    <row r="1811" ht="33.0" customHeight="1">
      <c r="A1811" s="205"/>
      <c r="B1811" s="19" t="s">
        <v>9196</v>
      </c>
      <c r="C1811" s="20" t="s">
        <v>9200</v>
      </c>
      <c r="D1811" s="47"/>
      <c r="E1811" s="22" t="s">
        <v>9201</v>
      </c>
      <c r="F1811" s="22" t="s">
        <v>4582</v>
      </c>
      <c r="G1811" s="23">
        <v>2014.0</v>
      </c>
      <c r="H1811" s="22" t="s">
        <v>53</v>
      </c>
      <c r="I1811" s="24" t="s">
        <v>9202</v>
      </c>
      <c r="J1811" s="22" t="s">
        <v>44</v>
      </c>
      <c r="K1811" s="22"/>
      <c r="L1811" s="36">
        <v>810.0</v>
      </c>
      <c r="M1811" s="36"/>
      <c r="N1811" s="36"/>
      <c r="O1811" s="129"/>
      <c r="P1811" s="37" t="s">
        <v>9203</v>
      </c>
      <c r="Q1811" s="36"/>
      <c r="R1811" s="36"/>
      <c r="S1811" s="36">
        <v>7.0</v>
      </c>
      <c r="T1811" s="99" t="s">
        <v>9204</v>
      </c>
      <c r="U1811" s="38" t="str">
        <f>HYPERLINK("https://www.ncbi.nlm.nih.gov/pubmed/25102241","PubMed")</f>
        <v>PubMed</v>
      </c>
      <c r="V1811" s="30"/>
      <c r="W1811" s="31"/>
      <c r="X1811" s="31"/>
      <c r="Y1811" s="31"/>
      <c r="Z1811" s="32"/>
      <c r="AA1811" s="31"/>
      <c r="AB1811" s="31"/>
      <c r="AC1811" s="9"/>
      <c r="AD1811" s="31"/>
      <c r="AE1811" s="31"/>
      <c r="AF1811" s="33"/>
      <c r="AG1811" s="34"/>
      <c r="AH1811" s="31"/>
      <c r="AI1811" s="35"/>
      <c r="AJ1811" s="35"/>
      <c r="AK1811" s="35"/>
      <c r="AL1811" s="35"/>
    </row>
    <row r="1812">
      <c r="A1812" s="205"/>
      <c r="B1812" s="19" t="s">
        <v>9196</v>
      </c>
      <c r="C1812" s="20" t="s">
        <v>9200</v>
      </c>
      <c r="D1812" s="47"/>
      <c r="E1812" s="22" t="s">
        <v>9201</v>
      </c>
      <c r="F1812" s="22" t="s">
        <v>4582</v>
      </c>
      <c r="G1812" s="23">
        <v>2013.0</v>
      </c>
      <c r="H1812" s="22" t="s">
        <v>53</v>
      </c>
      <c r="I1812" s="24" t="s">
        <v>9205</v>
      </c>
      <c r="J1812" s="22" t="s">
        <v>44</v>
      </c>
      <c r="K1812" s="22"/>
      <c r="L1812" s="36">
        <v>810.0</v>
      </c>
      <c r="M1812" s="36"/>
      <c r="N1812" s="36"/>
      <c r="O1812" s="129"/>
      <c r="P1812" s="37"/>
      <c r="Q1812" s="36"/>
      <c r="R1812" s="36"/>
      <c r="S1812" s="36"/>
      <c r="T1812" s="99" t="s">
        <v>9206</v>
      </c>
      <c r="U1812" s="38" t="str">
        <f>HYPERLINK("https://www.ncbi.nlm.nih.gov/pubmed/23568826","PubMed")</f>
        <v>PubMed</v>
      </c>
      <c r="V1812" s="30"/>
      <c r="W1812" s="31"/>
      <c r="X1812" s="31"/>
      <c r="Y1812" s="31"/>
      <c r="Z1812" s="32"/>
      <c r="AA1812" s="31"/>
      <c r="AB1812" s="31"/>
      <c r="AC1812" s="9"/>
      <c r="AD1812" s="31"/>
      <c r="AE1812" s="31"/>
      <c r="AF1812" s="33"/>
      <c r="AG1812" s="34"/>
      <c r="AH1812" s="31"/>
      <c r="AI1812" s="35"/>
      <c r="AJ1812" s="35"/>
      <c r="AK1812" s="35"/>
      <c r="AL1812" s="35"/>
    </row>
    <row r="1813">
      <c r="A1813" s="205"/>
      <c r="B1813" s="19" t="s">
        <v>9196</v>
      </c>
      <c r="C1813" s="20" t="s">
        <v>9207</v>
      </c>
      <c r="D1813" s="47"/>
      <c r="E1813" s="22" t="s">
        <v>9208</v>
      </c>
      <c r="F1813" s="22" t="s">
        <v>5223</v>
      </c>
      <c r="G1813" s="23">
        <v>2024.0</v>
      </c>
      <c r="H1813" s="22" t="s">
        <v>42</v>
      </c>
      <c r="I1813" s="24" t="s">
        <v>9209</v>
      </c>
      <c r="J1813" s="22" t="s">
        <v>9210</v>
      </c>
      <c r="K1813" s="22"/>
      <c r="L1813" s="36">
        <v>670.0</v>
      </c>
      <c r="M1813" s="36"/>
      <c r="N1813" s="36"/>
      <c r="O1813" s="129"/>
      <c r="P1813" s="37"/>
      <c r="Q1813" s="36"/>
      <c r="R1813" s="36"/>
      <c r="S1813" s="36"/>
      <c r="T1813" s="98" t="s">
        <v>9211</v>
      </c>
      <c r="U1813" s="38" t="s">
        <v>61</v>
      </c>
      <c r="V1813" s="30"/>
      <c r="W1813" s="31"/>
      <c r="X1813" s="31"/>
      <c r="Y1813" s="31"/>
      <c r="Z1813" s="32"/>
      <c r="AA1813" s="31"/>
      <c r="AB1813" s="31"/>
      <c r="AC1813" s="9"/>
      <c r="AD1813" s="31"/>
      <c r="AE1813" s="31"/>
      <c r="AF1813" s="33"/>
      <c r="AG1813" s="34"/>
      <c r="AH1813" s="31"/>
      <c r="AI1813" s="35"/>
      <c r="AJ1813" s="35"/>
      <c r="AK1813" s="35"/>
      <c r="AL1813" s="35"/>
    </row>
    <row r="1814">
      <c r="A1814" s="205"/>
      <c r="B1814" s="19" t="s">
        <v>9196</v>
      </c>
      <c r="C1814" s="20" t="s">
        <v>9207</v>
      </c>
      <c r="D1814" s="47"/>
      <c r="E1814" s="22" t="s">
        <v>9212</v>
      </c>
      <c r="F1814" s="22" t="s">
        <v>323</v>
      </c>
      <c r="G1814" s="23">
        <v>2023.0</v>
      </c>
      <c r="H1814" s="22" t="s">
        <v>91</v>
      </c>
      <c r="I1814" s="24" t="s">
        <v>9213</v>
      </c>
      <c r="J1814" s="22" t="s">
        <v>31</v>
      </c>
      <c r="K1814" s="22"/>
      <c r="L1814" s="36">
        <v>915.0</v>
      </c>
      <c r="M1814" s="36"/>
      <c r="N1814" s="36"/>
      <c r="O1814" s="129"/>
      <c r="P1814" s="37" t="s">
        <v>9214</v>
      </c>
      <c r="Q1814" s="36"/>
      <c r="R1814" s="36"/>
      <c r="S1814" s="36"/>
      <c r="T1814" s="99" t="s">
        <v>9215</v>
      </c>
      <c r="U1814" s="38" t="s">
        <v>61</v>
      </c>
      <c r="V1814" s="30"/>
      <c r="W1814" s="31"/>
      <c r="X1814" s="31"/>
      <c r="Y1814" s="31"/>
      <c r="Z1814" s="32"/>
      <c r="AA1814" s="31"/>
      <c r="AB1814" s="31"/>
      <c r="AC1814" s="9"/>
      <c r="AD1814" s="31"/>
      <c r="AE1814" s="31"/>
      <c r="AF1814" s="33"/>
      <c r="AG1814" s="34"/>
      <c r="AH1814" s="31"/>
      <c r="AI1814" s="35"/>
      <c r="AJ1814" s="35"/>
      <c r="AK1814" s="35"/>
      <c r="AL1814" s="35"/>
    </row>
    <row r="1815">
      <c r="A1815" s="18" t="s">
        <v>2</v>
      </c>
      <c r="B1815" s="19" t="s">
        <v>9196</v>
      </c>
      <c r="C1815" s="20" t="s">
        <v>9207</v>
      </c>
      <c r="D1815" s="47"/>
      <c r="E1815" s="22" t="s">
        <v>9216</v>
      </c>
      <c r="F1815" s="22" t="s">
        <v>7156</v>
      </c>
      <c r="G1815" s="23">
        <v>2023.0</v>
      </c>
      <c r="H1815" s="22" t="s">
        <v>3160</v>
      </c>
      <c r="I1815" s="24" t="s">
        <v>9217</v>
      </c>
      <c r="J1815" s="22" t="s">
        <v>55</v>
      </c>
      <c r="K1815" s="22" t="s">
        <v>9218</v>
      </c>
      <c r="L1815" s="36" t="s">
        <v>9219</v>
      </c>
      <c r="M1815" s="36"/>
      <c r="N1815" s="36"/>
      <c r="O1815" s="36"/>
      <c r="P1815" s="37"/>
      <c r="Q1815" s="36"/>
      <c r="R1815" s="36"/>
      <c r="S1815" s="36"/>
      <c r="T1815" s="98" t="s">
        <v>9220</v>
      </c>
      <c r="U1815" s="38" t="s">
        <v>61</v>
      </c>
      <c r="V1815" s="30"/>
      <c r="W1815" s="31"/>
      <c r="X1815" s="31"/>
      <c r="Y1815" s="31"/>
      <c r="Z1815" s="32"/>
      <c r="AA1815" s="31"/>
      <c r="AB1815" s="31"/>
      <c r="AC1815" s="9"/>
      <c r="AD1815" s="31"/>
      <c r="AE1815" s="31"/>
      <c r="AF1815" s="33"/>
      <c r="AG1815" s="34"/>
      <c r="AH1815" s="31"/>
      <c r="AI1815" s="35"/>
      <c r="AJ1815" s="35"/>
      <c r="AK1815" s="35"/>
      <c r="AL1815" s="35"/>
    </row>
    <row r="1816">
      <c r="A1816" s="205"/>
      <c r="B1816" s="19" t="s">
        <v>9196</v>
      </c>
      <c r="C1816" s="20" t="s">
        <v>9207</v>
      </c>
      <c r="D1816" s="47"/>
      <c r="E1816" s="22" t="s">
        <v>9221</v>
      </c>
      <c r="F1816" s="22" t="s">
        <v>274</v>
      </c>
      <c r="G1816" s="23">
        <v>2023.0</v>
      </c>
      <c r="H1816" s="22" t="s">
        <v>42</v>
      </c>
      <c r="I1816" s="24" t="s">
        <v>9222</v>
      </c>
      <c r="J1816" s="22" t="s">
        <v>9223</v>
      </c>
      <c r="K1816" s="22" t="s">
        <v>2628</v>
      </c>
      <c r="L1816" s="36">
        <v>830.0</v>
      </c>
      <c r="M1816" s="36"/>
      <c r="N1816" s="36">
        <v>2.0</v>
      </c>
      <c r="O1816" s="36" t="s">
        <v>9224</v>
      </c>
      <c r="P1816" s="37"/>
      <c r="Q1816" s="36"/>
      <c r="R1816" s="36"/>
      <c r="S1816" s="36"/>
      <c r="T1816" s="98" t="s">
        <v>9225</v>
      </c>
      <c r="U1816" s="38" t="s">
        <v>61</v>
      </c>
      <c r="V1816" s="30" t="s">
        <v>174</v>
      </c>
      <c r="W1816" s="31"/>
      <c r="X1816" s="31"/>
      <c r="Y1816" s="31"/>
      <c r="Z1816" s="32"/>
      <c r="AA1816" s="31"/>
      <c r="AB1816" s="31"/>
      <c r="AC1816" s="9"/>
      <c r="AD1816" s="31"/>
      <c r="AE1816" s="31"/>
      <c r="AF1816" s="33"/>
      <c r="AG1816" s="34"/>
      <c r="AH1816" s="31"/>
      <c r="AI1816" s="35"/>
      <c r="AJ1816" s="35"/>
      <c r="AK1816" s="35"/>
      <c r="AL1816" s="35"/>
    </row>
    <row r="1817">
      <c r="A1817" s="205"/>
      <c r="B1817" s="19" t="s">
        <v>9196</v>
      </c>
      <c r="C1817" s="20" t="s">
        <v>9207</v>
      </c>
      <c r="D1817" s="47"/>
      <c r="E1817" s="22" t="s">
        <v>9226</v>
      </c>
      <c r="F1817" s="22" t="s">
        <v>299</v>
      </c>
      <c r="G1817" s="23">
        <v>2022.0</v>
      </c>
      <c r="H1817" s="22" t="s">
        <v>2392</v>
      </c>
      <c r="I1817" s="24" t="s">
        <v>9227</v>
      </c>
      <c r="J1817" s="22" t="s">
        <v>55</v>
      </c>
      <c r="K1817" s="22" t="s">
        <v>9228</v>
      </c>
      <c r="L1817" s="36" t="s">
        <v>9229</v>
      </c>
      <c r="M1817" s="36"/>
      <c r="N1817" s="36"/>
      <c r="O1817" s="36"/>
      <c r="P1817" s="37" t="s">
        <v>9230</v>
      </c>
      <c r="Q1817" s="36"/>
      <c r="R1817" s="36"/>
      <c r="S1817" s="36">
        <v>1.0</v>
      </c>
      <c r="T1817" s="99" t="s">
        <v>9231</v>
      </c>
      <c r="U1817" s="38" t="s">
        <v>61</v>
      </c>
      <c r="V1817" s="30"/>
      <c r="W1817" s="31"/>
      <c r="X1817" s="31"/>
      <c r="Y1817" s="31"/>
      <c r="Z1817" s="32"/>
      <c r="AA1817" s="31"/>
      <c r="AB1817" s="31"/>
      <c r="AC1817" s="9"/>
      <c r="AD1817" s="31"/>
      <c r="AE1817" s="31"/>
      <c r="AF1817" s="33"/>
      <c r="AG1817" s="34"/>
      <c r="AH1817" s="31"/>
      <c r="AI1817" s="35"/>
      <c r="AJ1817" s="35"/>
      <c r="AK1817" s="35"/>
      <c r="AL1817" s="35"/>
    </row>
    <row r="1818">
      <c r="A1818" s="205"/>
      <c r="B1818" s="19" t="s">
        <v>9196</v>
      </c>
      <c r="C1818" s="20" t="s">
        <v>9207</v>
      </c>
      <c r="D1818" s="47"/>
      <c r="E1818" s="22" t="s">
        <v>9232</v>
      </c>
      <c r="F1818" s="22" t="s">
        <v>5223</v>
      </c>
      <c r="G1818" s="23">
        <v>2022.0</v>
      </c>
      <c r="H1818" s="22" t="s">
        <v>627</v>
      </c>
      <c r="I1818" s="24" t="s">
        <v>9233</v>
      </c>
      <c r="J1818" s="22" t="s">
        <v>9234</v>
      </c>
      <c r="K1818" s="22" t="s">
        <v>9235</v>
      </c>
      <c r="L1818" s="36" t="s">
        <v>9236</v>
      </c>
      <c r="M1818" s="36"/>
      <c r="N1818" s="36" t="s">
        <v>9237</v>
      </c>
      <c r="O1818" s="36"/>
      <c r="P1818" s="37" t="s">
        <v>9238</v>
      </c>
      <c r="Q1818" s="36"/>
      <c r="R1818" s="36" t="s">
        <v>9239</v>
      </c>
      <c r="S1818" s="36">
        <v>1.0</v>
      </c>
      <c r="T1818" s="98" t="s">
        <v>9240</v>
      </c>
      <c r="U1818" s="38" t="s">
        <v>61</v>
      </c>
      <c r="V1818" s="30"/>
      <c r="W1818" s="31"/>
      <c r="X1818" s="31"/>
      <c r="Y1818" s="31"/>
      <c r="Z1818" s="32"/>
      <c r="AA1818" s="31"/>
      <c r="AB1818" s="31"/>
      <c r="AC1818" s="9"/>
      <c r="AD1818" s="31"/>
      <c r="AE1818" s="31"/>
      <c r="AF1818" s="33"/>
      <c r="AG1818" s="34"/>
      <c r="AH1818" s="31"/>
      <c r="AI1818" s="35"/>
      <c r="AJ1818" s="35"/>
      <c r="AK1818" s="35"/>
      <c r="AL1818" s="35"/>
    </row>
    <row r="1819">
      <c r="A1819" s="205"/>
      <c r="B1819" s="19" t="s">
        <v>9196</v>
      </c>
      <c r="C1819" s="20" t="s">
        <v>9207</v>
      </c>
      <c r="D1819" s="47"/>
      <c r="E1819" s="22" t="s">
        <v>9241</v>
      </c>
      <c r="F1819" s="22" t="s">
        <v>41</v>
      </c>
      <c r="G1819" s="23">
        <v>2021.0</v>
      </c>
      <c r="H1819" s="22" t="s">
        <v>91</v>
      </c>
      <c r="I1819" s="24" t="s">
        <v>9242</v>
      </c>
      <c r="J1819" s="22" t="s">
        <v>44</v>
      </c>
      <c r="K1819" s="22"/>
      <c r="L1819" s="36">
        <v>808.0</v>
      </c>
      <c r="M1819" s="36">
        <v>100.0</v>
      </c>
      <c r="N1819" s="36" t="s">
        <v>2325</v>
      </c>
      <c r="O1819" s="36" t="s">
        <v>9243</v>
      </c>
      <c r="P1819" s="37"/>
      <c r="Q1819" s="36"/>
      <c r="R1819" s="36">
        <v>8.0</v>
      </c>
      <c r="S1819" s="36">
        <v>12.0</v>
      </c>
      <c r="T1819" s="98" t="s">
        <v>9244</v>
      </c>
      <c r="U1819" s="29" t="s">
        <v>61</v>
      </c>
      <c r="V1819" s="30"/>
      <c r="W1819" s="31"/>
      <c r="X1819" s="31"/>
      <c r="Y1819" s="31"/>
      <c r="Z1819" s="32"/>
      <c r="AA1819" s="31"/>
      <c r="AB1819" s="31"/>
      <c r="AC1819" s="9"/>
      <c r="AD1819" s="31"/>
      <c r="AE1819" s="31"/>
      <c r="AF1819" s="33"/>
      <c r="AG1819" s="34"/>
      <c r="AH1819" s="31"/>
      <c r="AI1819" s="35"/>
      <c r="AJ1819" s="35"/>
      <c r="AK1819" s="35"/>
      <c r="AL1819" s="35"/>
    </row>
    <row r="1820">
      <c r="A1820" s="205"/>
      <c r="B1820" s="19" t="s">
        <v>9196</v>
      </c>
      <c r="C1820" s="20" t="s">
        <v>9207</v>
      </c>
      <c r="D1820" s="47"/>
      <c r="E1820" s="22" t="s">
        <v>9245</v>
      </c>
      <c r="F1820" s="22" t="s">
        <v>1641</v>
      </c>
      <c r="G1820" s="23">
        <v>2021.0</v>
      </c>
      <c r="H1820" s="22" t="s">
        <v>77</v>
      </c>
      <c r="I1820" s="24" t="s">
        <v>9246</v>
      </c>
      <c r="J1820" s="22" t="s">
        <v>9247</v>
      </c>
      <c r="K1820" s="22"/>
      <c r="L1820" s="36" t="s">
        <v>9248</v>
      </c>
      <c r="M1820" s="36"/>
      <c r="N1820" s="36"/>
      <c r="O1820" s="129"/>
      <c r="P1820" s="37"/>
      <c r="Q1820" s="36"/>
      <c r="R1820" s="36">
        <v>1800.0</v>
      </c>
      <c r="S1820" s="36" t="s">
        <v>9249</v>
      </c>
      <c r="T1820" s="100" t="s">
        <v>9250</v>
      </c>
      <c r="U1820" s="29" t="s">
        <v>61</v>
      </c>
      <c r="V1820" s="30"/>
      <c r="W1820" s="31"/>
      <c r="X1820" s="31"/>
      <c r="Y1820" s="31"/>
      <c r="Z1820" s="32"/>
      <c r="AA1820" s="31"/>
      <c r="AB1820" s="31"/>
      <c r="AC1820" s="9"/>
      <c r="AD1820" s="31"/>
      <c r="AE1820" s="31"/>
      <c r="AF1820" s="33"/>
      <c r="AG1820" s="34"/>
      <c r="AH1820" s="31"/>
      <c r="AI1820" s="35"/>
      <c r="AJ1820" s="35"/>
      <c r="AK1820" s="35"/>
      <c r="AL1820" s="35"/>
    </row>
    <row r="1821">
      <c r="A1821" s="205"/>
      <c r="B1821" s="19" t="s">
        <v>9196</v>
      </c>
      <c r="C1821" s="20" t="s">
        <v>9207</v>
      </c>
      <c r="D1821" s="47"/>
      <c r="E1821" s="22" t="s">
        <v>2195</v>
      </c>
      <c r="F1821" s="22" t="s">
        <v>2437</v>
      </c>
      <c r="G1821" s="23">
        <v>2020.0</v>
      </c>
      <c r="H1821" s="22" t="s">
        <v>91</v>
      </c>
      <c r="I1821" s="24" t="s">
        <v>9251</v>
      </c>
      <c r="J1821" s="22" t="s">
        <v>31</v>
      </c>
      <c r="K1821" s="22" t="s">
        <v>9252</v>
      </c>
      <c r="L1821" s="36">
        <v>635.0</v>
      </c>
      <c r="M1821" s="36"/>
      <c r="N1821" s="36"/>
      <c r="O1821" s="129"/>
      <c r="P1821" s="37"/>
      <c r="Q1821" s="36"/>
      <c r="R1821" s="36"/>
      <c r="S1821" s="36"/>
      <c r="T1821" s="98" t="s">
        <v>9253</v>
      </c>
      <c r="U1821" s="29" t="s">
        <v>61</v>
      </c>
      <c r="V1821" s="30"/>
      <c r="W1821" s="31"/>
      <c r="X1821" s="31"/>
      <c r="Y1821" s="31"/>
      <c r="Z1821" s="32"/>
      <c r="AA1821" s="31"/>
      <c r="AB1821" s="31"/>
      <c r="AC1821" s="9"/>
      <c r="AD1821" s="31"/>
      <c r="AE1821" s="31"/>
      <c r="AF1821" s="33"/>
      <c r="AG1821" s="34"/>
      <c r="AH1821" s="31"/>
      <c r="AI1821" s="35"/>
      <c r="AJ1821" s="35"/>
      <c r="AK1821" s="35"/>
      <c r="AL1821" s="35"/>
    </row>
    <row r="1822">
      <c r="A1822" s="205"/>
      <c r="B1822" s="19" t="s">
        <v>9196</v>
      </c>
      <c r="C1822" s="20" t="s">
        <v>9207</v>
      </c>
      <c r="D1822" s="47"/>
      <c r="E1822" s="22" t="s">
        <v>3957</v>
      </c>
      <c r="F1822" s="22" t="s">
        <v>3958</v>
      </c>
      <c r="G1822" s="23">
        <v>2019.0</v>
      </c>
      <c r="H1822" s="22" t="s">
        <v>91</v>
      </c>
      <c r="I1822" s="24" t="s">
        <v>9254</v>
      </c>
      <c r="J1822" s="22" t="s">
        <v>44</v>
      </c>
      <c r="K1822" s="22" t="s">
        <v>9255</v>
      </c>
      <c r="L1822" s="36">
        <v>941.0</v>
      </c>
      <c r="M1822" s="36"/>
      <c r="N1822" s="36"/>
      <c r="O1822" s="129"/>
      <c r="P1822" s="37"/>
      <c r="Q1822" s="36"/>
      <c r="R1822" s="36"/>
      <c r="S1822" s="36"/>
      <c r="T1822" s="98" t="s">
        <v>9256</v>
      </c>
      <c r="U1822" s="38" t="str">
        <f>HYPERLINK("https://www.ncbi.nlm.nih.gov/pubmed/31741149","PubMed")</f>
        <v>PubMed</v>
      </c>
      <c r="V1822" s="30"/>
      <c r="W1822" s="31"/>
      <c r="X1822" s="31"/>
      <c r="Y1822" s="31"/>
      <c r="Z1822" s="32"/>
      <c r="AA1822" s="31"/>
      <c r="AB1822" s="31"/>
      <c r="AC1822" s="9"/>
      <c r="AD1822" s="31"/>
      <c r="AE1822" s="31"/>
      <c r="AF1822" s="33"/>
      <c r="AG1822" s="34"/>
      <c r="AH1822" s="31"/>
      <c r="AI1822" s="35"/>
      <c r="AJ1822" s="35"/>
      <c r="AK1822" s="35"/>
      <c r="AL1822" s="35"/>
    </row>
    <row r="1823">
      <c r="A1823" s="205"/>
      <c r="B1823" s="19" t="s">
        <v>9196</v>
      </c>
      <c r="C1823" s="20" t="s">
        <v>9207</v>
      </c>
      <c r="D1823" s="47"/>
      <c r="E1823" s="22" t="s">
        <v>6405</v>
      </c>
      <c r="F1823" s="22" t="s">
        <v>6406</v>
      </c>
      <c r="G1823" s="23">
        <v>2018.0</v>
      </c>
      <c r="H1823" s="22" t="s">
        <v>91</v>
      </c>
      <c r="I1823" s="24" t="s">
        <v>9257</v>
      </c>
      <c r="J1823" s="22" t="s">
        <v>31</v>
      </c>
      <c r="K1823" s="22" t="s">
        <v>9258</v>
      </c>
      <c r="L1823" s="36" t="s">
        <v>9259</v>
      </c>
      <c r="M1823" s="36"/>
      <c r="N1823" s="36"/>
      <c r="O1823" s="129"/>
      <c r="P1823" s="37"/>
      <c r="Q1823" s="36"/>
      <c r="R1823" s="36"/>
      <c r="S1823" s="36"/>
      <c r="T1823" s="98" t="s">
        <v>9260</v>
      </c>
      <c r="U1823" s="38" t="str">
        <f>HYPERLINK("https://www.ncbi.nlm.nih.gov/pubmed/29725945","PubMed")</f>
        <v>PubMed</v>
      </c>
      <c r="V1823" s="30"/>
      <c r="W1823" s="31"/>
      <c r="X1823" s="31"/>
      <c r="Y1823" s="31"/>
      <c r="Z1823" s="32"/>
      <c r="AA1823" s="31"/>
      <c r="AB1823" s="31"/>
      <c r="AC1823" s="9"/>
      <c r="AD1823" s="31"/>
      <c r="AE1823" s="31"/>
      <c r="AF1823" s="33"/>
      <c r="AG1823" s="34"/>
      <c r="AH1823" s="31"/>
      <c r="AI1823" s="35"/>
      <c r="AJ1823" s="35"/>
      <c r="AK1823" s="35"/>
      <c r="AL1823" s="35"/>
    </row>
    <row r="1824">
      <c r="A1824" s="205"/>
      <c r="B1824" s="19" t="s">
        <v>9196</v>
      </c>
      <c r="C1824" s="20" t="s">
        <v>9207</v>
      </c>
      <c r="D1824" s="47"/>
      <c r="E1824" s="22" t="s">
        <v>9261</v>
      </c>
      <c r="F1824" s="22" t="s">
        <v>41</v>
      </c>
      <c r="G1824" s="23">
        <v>2016.0</v>
      </c>
      <c r="H1824" s="22" t="s">
        <v>42</v>
      </c>
      <c r="I1824" s="24" t="s">
        <v>9262</v>
      </c>
      <c r="J1824" s="22" t="s">
        <v>55</v>
      </c>
      <c r="K1824" s="22" t="s">
        <v>9263</v>
      </c>
      <c r="L1824" s="36">
        <v>660.0</v>
      </c>
      <c r="M1824" s="36">
        <v>70.0</v>
      </c>
      <c r="N1824" s="36"/>
      <c r="O1824" s="129">
        <v>42482.0</v>
      </c>
      <c r="P1824" s="37" t="s">
        <v>287</v>
      </c>
      <c r="Q1824" s="36" t="s">
        <v>9264</v>
      </c>
      <c r="R1824" s="36">
        <v>320.0</v>
      </c>
      <c r="S1824" s="36"/>
      <c r="T1824" s="98" t="s">
        <v>9265</v>
      </c>
      <c r="U1824" s="38" t="str">
        <f>HYPERLINK("https://www.ncbi.nlm.nih.gov/pubmed/27714950","PubMed")</f>
        <v>PubMed</v>
      </c>
      <c r="V1824" s="30"/>
      <c r="W1824" s="31"/>
      <c r="X1824" s="31"/>
      <c r="Y1824" s="31"/>
      <c r="Z1824" s="32"/>
      <c r="AA1824" s="31"/>
      <c r="AB1824" s="31"/>
      <c r="AC1824" s="9"/>
      <c r="AD1824" s="31"/>
      <c r="AE1824" s="31"/>
      <c r="AF1824" s="33"/>
      <c r="AG1824" s="34"/>
      <c r="AH1824" s="31"/>
      <c r="AI1824" s="35"/>
      <c r="AJ1824" s="35"/>
      <c r="AK1824" s="35"/>
      <c r="AL1824" s="35"/>
    </row>
    <row r="1825">
      <c r="A1825" s="149"/>
      <c r="B1825" s="19" t="s">
        <v>9196</v>
      </c>
      <c r="C1825" s="20" t="s">
        <v>9207</v>
      </c>
      <c r="D1825" s="47"/>
      <c r="E1825" s="22" t="s">
        <v>6405</v>
      </c>
      <c r="F1825" s="22" t="s">
        <v>6406</v>
      </c>
      <c r="G1825" s="23">
        <v>2016.0</v>
      </c>
      <c r="H1825" s="22" t="s">
        <v>91</v>
      </c>
      <c r="I1825" s="24" t="s">
        <v>9266</v>
      </c>
      <c r="J1825" s="22" t="s">
        <v>31</v>
      </c>
      <c r="K1825" s="22" t="s">
        <v>294</v>
      </c>
      <c r="L1825" s="36" t="s">
        <v>9259</v>
      </c>
      <c r="M1825" s="36"/>
      <c r="N1825" s="36"/>
      <c r="O1825" s="36"/>
      <c r="P1825" s="37"/>
      <c r="Q1825" s="36"/>
      <c r="R1825" s="36"/>
      <c r="S1825" s="36"/>
      <c r="T1825" s="28" t="s">
        <v>9267</v>
      </c>
      <c r="U1825" s="38" t="str">
        <f>HYPERLINK("https://www.ncbi.nlm.nih.gov/pubmed/26861982","PubMed")</f>
        <v>PubMed</v>
      </c>
      <c r="V1825" s="30"/>
      <c r="W1825" s="31"/>
      <c r="X1825" s="31"/>
      <c r="Y1825" s="31"/>
      <c r="Z1825" s="32"/>
      <c r="AA1825" s="31"/>
      <c r="AB1825" s="31"/>
      <c r="AC1825" s="9"/>
      <c r="AD1825" s="31"/>
      <c r="AE1825" s="31"/>
      <c r="AF1825" s="33"/>
      <c r="AG1825" s="34"/>
      <c r="AH1825" s="31"/>
      <c r="AI1825" s="35"/>
      <c r="AJ1825" s="35"/>
      <c r="AK1825" s="35"/>
      <c r="AL1825" s="35"/>
    </row>
    <row r="1826">
      <c r="A1826" s="149"/>
      <c r="B1826" s="19" t="s">
        <v>9196</v>
      </c>
      <c r="C1826" s="20" t="s">
        <v>9207</v>
      </c>
      <c r="D1826" s="47"/>
      <c r="E1826" s="22" t="s">
        <v>9268</v>
      </c>
      <c r="F1826" s="22" t="s">
        <v>323</v>
      </c>
      <c r="G1826" s="23">
        <v>2014.0</v>
      </c>
      <c r="H1826" s="22" t="s">
        <v>91</v>
      </c>
      <c r="I1826" s="24" t="s">
        <v>9269</v>
      </c>
      <c r="J1826" s="22" t="s">
        <v>31</v>
      </c>
      <c r="K1826" s="22" t="s">
        <v>9270</v>
      </c>
      <c r="L1826" s="36">
        <v>633.0</v>
      </c>
      <c r="M1826" s="36"/>
      <c r="N1826" s="36" t="s">
        <v>9271</v>
      </c>
      <c r="O1826" s="36"/>
      <c r="P1826" s="37" t="s">
        <v>1730</v>
      </c>
      <c r="Q1826" s="36"/>
      <c r="R1826" s="36"/>
      <c r="S1826" s="36">
        <v>3.0</v>
      </c>
      <c r="T1826" s="98" t="s">
        <v>9272</v>
      </c>
      <c r="U1826" s="38" t="str">
        <f>HYPERLINK("https://www.ncbi.nlm.nih.gov/pubmed/23455657","PubMed")</f>
        <v>PubMed</v>
      </c>
      <c r="V1826" s="30"/>
      <c r="W1826" s="31"/>
      <c r="X1826" s="31"/>
      <c r="Y1826" s="31"/>
      <c r="Z1826" s="32"/>
      <c r="AA1826" s="31"/>
      <c r="AB1826" s="31"/>
      <c r="AC1826" s="9"/>
      <c r="AD1826" s="31"/>
      <c r="AE1826" s="31"/>
      <c r="AF1826" s="33"/>
      <c r="AG1826" s="34"/>
      <c r="AH1826" s="31"/>
      <c r="AI1826" s="35"/>
      <c r="AJ1826" s="35"/>
      <c r="AK1826" s="35"/>
      <c r="AL1826" s="35"/>
    </row>
    <row r="1827">
      <c r="A1827" s="149"/>
      <c r="B1827" s="19" t="s">
        <v>9196</v>
      </c>
      <c r="C1827" s="20" t="s">
        <v>9207</v>
      </c>
      <c r="D1827" s="47"/>
      <c r="E1827" s="22" t="s">
        <v>9273</v>
      </c>
      <c r="F1827" s="22" t="s">
        <v>9274</v>
      </c>
      <c r="G1827" s="23">
        <v>2014.0</v>
      </c>
      <c r="H1827" s="22" t="s">
        <v>3467</v>
      </c>
      <c r="I1827" s="24" t="s">
        <v>9275</v>
      </c>
      <c r="J1827" s="22" t="s">
        <v>55</v>
      </c>
      <c r="K1827" s="22" t="s">
        <v>294</v>
      </c>
      <c r="L1827" s="36" t="s">
        <v>9276</v>
      </c>
      <c r="M1827" s="36" t="s">
        <v>9277</v>
      </c>
      <c r="N1827" s="36"/>
      <c r="O1827" s="36"/>
      <c r="P1827" s="37" t="s">
        <v>9278</v>
      </c>
      <c r="Q1827" s="36" t="s">
        <v>9279</v>
      </c>
      <c r="R1827" s="36" t="s">
        <v>9280</v>
      </c>
      <c r="S1827" s="36"/>
      <c r="T1827" s="98" t="s">
        <v>9281</v>
      </c>
      <c r="U1827" s="38" t="str">
        <f>HYPERLINK("https://www.ncbi.nlm.nih.gov/pubmed/25267728","PubMed")</f>
        <v>PubMed</v>
      </c>
      <c r="V1827" s="30"/>
      <c r="W1827" s="31"/>
      <c r="X1827" s="31"/>
      <c r="Y1827" s="31"/>
      <c r="Z1827" s="32"/>
      <c r="AA1827" s="31"/>
      <c r="AB1827" s="31"/>
      <c r="AC1827" s="9"/>
      <c r="AD1827" s="31"/>
      <c r="AE1827" s="31"/>
      <c r="AF1827" s="33"/>
      <c r="AG1827" s="34"/>
      <c r="AH1827" s="31"/>
      <c r="AI1827" s="35"/>
      <c r="AJ1827" s="35"/>
      <c r="AK1827" s="35"/>
      <c r="AL1827" s="35"/>
    </row>
    <row r="1828">
      <c r="A1828" s="149"/>
      <c r="B1828" s="19" t="s">
        <v>9196</v>
      </c>
      <c r="C1828" s="20" t="s">
        <v>9207</v>
      </c>
      <c r="D1828" s="47"/>
      <c r="E1828" s="22" t="s">
        <v>5529</v>
      </c>
      <c r="F1828" s="22" t="s">
        <v>4582</v>
      </c>
      <c r="G1828" s="23">
        <v>2012.0</v>
      </c>
      <c r="H1828" s="22" t="s">
        <v>53</v>
      </c>
      <c r="I1828" s="24" t="s">
        <v>9282</v>
      </c>
      <c r="J1828" s="22" t="s">
        <v>44</v>
      </c>
      <c r="K1828" s="22"/>
      <c r="L1828" s="36">
        <v>660.0</v>
      </c>
      <c r="M1828" s="36">
        <v>100.0</v>
      </c>
      <c r="N1828" s="36"/>
      <c r="O1828" s="36"/>
      <c r="P1828" s="37"/>
      <c r="Q1828" s="36"/>
      <c r="R1828" s="36">
        <v>20.0</v>
      </c>
      <c r="S1828" s="36"/>
      <c r="T1828" s="41" t="s">
        <v>9283</v>
      </c>
      <c r="U1828" s="29" t="s">
        <v>61</v>
      </c>
      <c r="V1828" s="30"/>
      <c r="W1828" s="31"/>
      <c r="X1828" s="31"/>
      <c r="Y1828" s="31"/>
      <c r="Z1828" s="32"/>
      <c r="AA1828" s="31"/>
      <c r="AB1828" s="31"/>
      <c r="AC1828" s="9"/>
      <c r="AD1828" s="31"/>
      <c r="AE1828" s="31"/>
      <c r="AF1828" s="33"/>
      <c r="AG1828" s="34"/>
      <c r="AH1828" s="31"/>
      <c r="AI1828" s="35"/>
      <c r="AJ1828" s="35"/>
      <c r="AK1828" s="35"/>
      <c r="AL1828" s="35"/>
    </row>
    <row r="1829">
      <c r="A1829" s="149"/>
      <c r="B1829" s="19" t="s">
        <v>9196</v>
      </c>
      <c r="C1829" s="20" t="s">
        <v>1610</v>
      </c>
      <c r="D1829" s="47"/>
      <c r="E1829" s="22" t="s">
        <v>9284</v>
      </c>
      <c r="F1829" s="22" t="s">
        <v>323</v>
      </c>
      <c r="G1829" s="23">
        <v>2020.0</v>
      </c>
      <c r="H1829" s="22" t="s">
        <v>207</v>
      </c>
      <c r="I1829" s="24" t="s">
        <v>9285</v>
      </c>
      <c r="J1829" s="22" t="s">
        <v>31</v>
      </c>
      <c r="K1829" s="22"/>
      <c r="L1829" s="36">
        <v>633.0</v>
      </c>
      <c r="M1829" s="36"/>
      <c r="N1829" s="36"/>
      <c r="O1829" s="36"/>
      <c r="P1829" s="37" t="s">
        <v>4163</v>
      </c>
      <c r="Q1829" s="36"/>
      <c r="R1829" s="36"/>
      <c r="S1829" s="36"/>
      <c r="T1829" s="28" t="s">
        <v>9286</v>
      </c>
      <c r="U1829" s="29" t="s">
        <v>61</v>
      </c>
      <c r="V1829" s="30"/>
      <c r="W1829" s="31"/>
      <c r="X1829" s="31"/>
      <c r="Y1829" s="31"/>
      <c r="Z1829" s="32"/>
      <c r="AA1829" s="31"/>
      <c r="AB1829" s="31"/>
      <c r="AC1829" s="9"/>
      <c r="AD1829" s="31"/>
      <c r="AE1829" s="31"/>
      <c r="AF1829" s="33"/>
      <c r="AG1829" s="34"/>
      <c r="AH1829" s="31"/>
      <c r="AI1829" s="35"/>
      <c r="AJ1829" s="35"/>
      <c r="AK1829" s="35"/>
      <c r="AL1829" s="35"/>
    </row>
    <row r="1830">
      <c r="A1830" s="149"/>
      <c r="B1830" s="19" t="s">
        <v>9196</v>
      </c>
      <c r="C1830" s="20" t="s">
        <v>9287</v>
      </c>
      <c r="D1830" s="47"/>
      <c r="E1830" s="22" t="s">
        <v>9288</v>
      </c>
      <c r="F1830" s="22" t="s">
        <v>323</v>
      </c>
      <c r="G1830" s="23">
        <v>2019.0</v>
      </c>
      <c r="H1830" s="22" t="s">
        <v>292</v>
      </c>
      <c r="I1830" s="24" t="s">
        <v>9289</v>
      </c>
      <c r="J1830" s="22" t="s">
        <v>55</v>
      </c>
      <c r="K1830" s="22" t="s">
        <v>607</v>
      </c>
      <c r="L1830" s="36" t="s">
        <v>9290</v>
      </c>
      <c r="M1830" s="36"/>
      <c r="N1830" s="36"/>
      <c r="O1830" s="36"/>
      <c r="P1830" s="37"/>
      <c r="Q1830" s="36"/>
      <c r="R1830" s="36"/>
      <c r="S1830" s="36"/>
      <c r="T1830" s="28" t="s">
        <v>9291</v>
      </c>
      <c r="U1830" s="38" t="str">
        <f>HYPERLINK("https://www.ncbi.nlm.nih.gov/pubmed/32255918","PubMed")</f>
        <v>PubMed</v>
      </c>
      <c r="V1830" s="30"/>
      <c r="W1830" s="31"/>
      <c r="X1830" s="31"/>
      <c r="Y1830" s="31"/>
      <c r="Z1830" s="32"/>
      <c r="AA1830" s="31"/>
      <c r="AB1830" s="31"/>
      <c r="AC1830" s="9"/>
      <c r="AD1830" s="31"/>
      <c r="AE1830" s="31"/>
      <c r="AF1830" s="33"/>
      <c r="AG1830" s="34"/>
      <c r="AH1830" s="31"/>
      <c r="AI1830" s="35"/>
      <c r="AJ1830" s="35"/>
      <c r="AK1830" s="35"/>
      <c r="AL1830" s="35"/>
    </row>
    <row r="1831">
      <c r="A1831" s="149"/>
      <c r="B1831" s="19" t="s">
        <v>9196</v>
      </c>
      <c r="C1831" s="20" t="s">
        <v>9287</v>
      </c>
      <c r="D1831" s="47"/>
      <c r="E1831" s="22" t="s">
        <v>9288</v>
      </c>
      <c r="F1831" s="22" t="s">
        <v>323</v>
      </c>
      <c r="G1831" s="23">
        <v>2019.0</v>
      </c>
      <c r="H1831" s="22" t="s">
        <v>91</v>
      </c>
      <c r="I1831" s="24" t="s">
        <v>9292</v>
      </c>
      <c r="J1831" s="22" t="s">
        <v>55</v>
      </c>
      <c r="K1831" s="22" t="s">
        <v>9293</v>
      </c>
      <c r="L1831" s="36" t="s">
        <v>9290</v>
      </c>
      <c r="M1831" s="36" t="s">
        <v>2554</v>
      </c>
      <c r="N1831" s="36"/>
      <c r="O1831" s="36"/>
      <c r="P1831" s="37"/>
      <c r="Q1831" s="36"/>
      <c r="R1831" s="36"/>
      <c r="S1831" s="36"/>
      <c r="T1831" s="28" t="s">
        <v>9294</v>
      </c>
      <c r="U1831" s="38" t="str">
        <f>HYPERLINK("https://www.ncbi.nlm.nih.gov/pubmed/31183584","PubMed")</f>
        <v>PubMed</v>
      </c>
      <c r="V1831" s="30"/>
      <c r="W1831" s="31"/>
      <c r="X1831" s="31"/>
      <c r="Y1831" s="31"/>
      <c r="Z1831" s="32"/>
      <c r="AA1831" s="31"/>
      <c r="AB1831" s="31"/>
      <c r="AC1831" s="9"/>
      <c r="AD1831" s="31"/>
      <c r="AE1831" s="31"/>
      <c r="AF1831" s="33"/>
      <c r="AG1831" s="34"/>
      <c r="AH1831" s="31"/>
      <c r="AI1831" s="35"/>
      <c r="AJ1831" s="35"/>
      <c r="AK1831" s="35"/>
      <c r="AL1831" s="35"/>
    </row>
    <row r="1832">
      <c r="A1832" s="149"/>
      <c r="B1832" s="19" t="s">
        <v>9196</v>
      </c>
      <c r="C1832" s="20" t="s">
        <v>9287</v>
      </c>
      <c r="D1832" s="47"/>
      <c r="E1832" s="22" t="s">
        <v>9295</v>
      </c>
      <c r="F1832" s="22" t="s">
        <v>323</v>
      </c>
      <c r="G1832" s="23">
        <v>2016.0</v>
      </c>
      <c r="H1832" s="22" t="s">
        <v>91</v>
      </c>
      <c r="I1832" s="24" t="s">
        <v>9296</v>
      </c>
      <c r="J1832" s="22" t="s">
        <v>9297</v>
      </c>
      <c r="K1832" s="22" t="s">
        <v>9298</v>
      </c>
      <c r="L1832" s="36">
        <v>630.0</v>
      </c>
      <c r="M1832" s="129">
        <v>42491.0</v>
      </c>
      <c r="N1832" s="36"/>
      <c r="O1832" s="36"/>
      <c r="P1832" s="37"/>
      <c r="Q1832" s="36"/>
      <c r="R1832" s="36">
        <v>1800.0</v>
      </c>
      <c r="S1832" s="36">
        <v>1.0</v>
      </c>
      <c r="T1832" s="28" t="s">
        <v>9299</v>
      </c>
      <c r="U1832" s="38" t="str">
        <f>HYPERLINK("https://www.ncbi.nlm.nih.gov/pubmed/27406711","PubMed")</f>
        <v>PubMed</v>
      </c>
      <c r="V1832" s="30"/>
      <c r="W1832" s="31"/>
      <c r="X1832" s="31"/>
      <c r="Y1832" s="31"/>
      <c r="Z1832" s="32"/>
      <c r="AA1832" s="31"/>
      <c r="AB1832" s="31"/>
      <c r="AC1832" s="9"/>
      <c r="AD1832" s="31"/>
      <c r="AE1832" s="31"/>
      <c r="AF1832" s="33"/>
      <c r="AG1832" s="34"/>
      <c r="AH1832" s="31"/>
      <c r="AI1832" s="35"/>
      <c r="AJ1832" s="35"/>
      <c r="AK1832" s="35"/>
      <c r="AL1832" s="35"/>
    </row>
    <row r="1833">
      <c r="A1833" s="149"/>
      <c r="B1833" s="19" t="s">
        <v>9196</v>
      </c>
      <c r="C1833" s="20" t="s">
        <v>9300</v>
      </c>
      <c r="D1833" s="47"/>
      <c r="E1833" s="22" t="s">
        <v>9301</v>
      </c>
      <c r="F1833" s="22" t="s">
        <v>1822</v>
      </c>
      <c r="G1833" s="23">
        <v>2019.0</v>
      </c>
      <c r="H1833" s="22" t="s">
        <v>292</v>
      </c>
      <c r="I1833" s="24" t="s">
        <v>9302</v>
      </c>
      <c r="J1833" s="22" t="s">
        <v>55</v>
      </c>
      <c r="K1833" s="22"/>
      <c r="L1833" s="94">
        <v>830.0</v>
      </c>
      <c r="M1833" s="94"/>
      <c r="N1833" s="94"/>
      <c r="O1833" s="94"/>
      <c r="P1833" s="95" t="s">
        <v>432</v>
      </c>
      <c r="Q1833" s="94"/>
      <c r="R1833" s="94">
        <v>500.0</v>
      </c>
      <c r="S1833" s="94"/>
      <c r="T1833" s="28" t="s">
        <v>9303</v>
      </c>
      <c r="U1833" s="29" t="s">
        <v>61</v>
      </c>
      <c r="V1833" s="30"/>
      <c r="W1833" s="31"/>
      <c r="X1833" s="31"/>
      <c r="Y1833" s="31"/>
      <c r="Z1833" s="32"/>
      <c r="AA1833" s="31"/>
      <c r="AB1833" s="31"/>
      <c r="AC1833" s="9"/>
      <c r="AD1833" s="31"/>
      <c r="AE1833" s="31"/>
      <c r="AF1833" s="33"/>
      <c r="AG1833" s="34"/>
      <c r="AH1833" s="31"/>
      <c r="AI1833" s="35"/>
      <c r="AJ1833" s="35"/>
      <c r="AK1833" s="35"/>
      <c r="AL1833" s="35"/>
    </row>
    <row r="1834">
      <c r="A1834" s="149"/>
      <c r="B1834" s="19" t="s">
        <v>9196</v>
      </c>
      <c r="C1834" s="20" t="s">
        <v>9304</v>
      </c>
      <c r="D1834" s="47"/>
      <c r="E1834" s="22" t="s">
        <v>9305</v>
      </c>
      <c r="F1834" s="22" t="s">
        <v>1203</v>
      </c>
      <c r="G1834" s="23">
        <v>2023.0</v>
      </c>
      <c r="H1834" s="22" t="s">
        <v>91</v>
      </c>
      <c r="I1834" s="24" t="s">
        <v>9306</v>
      </c>
      <c r="J1834" s="22" t="s">
        <v>55</v>
      </c>
      <c r="K1834" s="22"/>
      <c r="L1834" s="94">
        <v>660.0</v>
      </c>
      <c r="M1834" s="94"/>
      <c r="N1834" s="94"/>
      <c r="O1834" s="94"/>
      <c r="P1834" s="95" t="s">
        <v>3112</v>
      </c>
      <c r="Q1834" s="94" t="s">
        <v>9307</v>
      </c>
      <c r="R1834" s="94" t="s">
        <v>9308</v>
      </c>
      <c r="S1834" s="94" t="s">
        <v>9309</v>
      </c>
      <c r="T1834" s="28" t="s">
        <v>9310</v>
      </c>
      <c r="U1834" s="38" t="s">
        <v>61</v>
      </c>
      <c r="V1834" s="30" t="s">
        <v>9311</v>
      </c>
      <c r="W1834" s="31"/>
      <c r="X1834" s="31"/>
      <c r="Y1834" s="31"/>
      <c r="Z1834" s="32"/>
      <c r="AA1834" s="31"/>
      <c r="AB1834" s="31"/>
      <c r="AC1834" s="9"/>
      <c r="AD1834" s="31"/>
      <c r="AE1834" s="31"/>
      <c r="AF1834" s="33"/>
      <c r="AG1834" s="34"/>
      <c r="AH1834" s="31"/>
      <c r="AI1834" s="35"/>
      <c r="AJ1834" s="35"/>
      <c r="AK1834" s="35"/>
      <c r="AL1834" s="35"/>
    </row>
    <row r="1835">
      <c r="A1835" s="149"/>
      <c r="B1835" s="19" t="s">
        <v>9196</v>
      </c>
      <c r="C1835" s="20" t="s">
        <v>2036</v>
      </c>
      <c r="D1835" s="47"/>
      <c r="E1835" s="22" t="s">
        <v>9312</v>
      </c>
      <c r="F1835" s="22" t="s">
        <v>2665</v>
      </c>
      <c r="G1835" s="23">
        <v>2024.0</v>
      </c>
      <c r="H1835" s="22" t="s">
        <v>1701</v>
      </c>
      <c r="I1835" s="24" t="s">
        <v>9313</v>
      </c>
      <c r="J1835" s="22" t="s">
        <v>125</v>
      </c>
      <c r="K1835" s="22"/>
      <c r="L1835" s="43" t="s">
        <v>9314</v>
      </c>
      <c r="M1835" s="44"/>
      <c r="N1835" s="44"/>
      <c r="O1835" s="44"/>
      <c r="P1835" s="44"/>
      <c r="Q1835" s="44"/>
      <c r="R1835" s="44"/>
      <c r="S1835" s="44"/>
      <c r="T1835" s="45"/>
      <c r="U1835" s="38" t="s">
        <v>61</v>
      </c>
      <c r="V1835" s="30"/>
      <c r="W1835" s="31"/>
      <c r="X1835" s="31"/>
      <c r="Y1835" s="31"/>
      <c r="Z1835" s="32"/>
      <c r="AA1835" s="31"/>
      <c r="AB1835" s="31"/>
      <c r="AC1835" s="9"/>
      <c r="AD1835" s="31"/>
      <c r="AE1835" s="31"/>
      <c r="AF1835" s="33"/>
      <c r="AG1835" s="34"/>
      <c r="AH1835" s="31"/>
      <c r="AI1835" s="35"/>
      <c r="AJ1835" s="35"/>
      <c r="AK1835" s="35"/>
      <c r="AL1835" s="35"/>
    </row>
    <row r="1836">
      <c r="A1836" s="1"/>
      <c r="B1836" s="19" t="s">
        <v>9315</v>
      </c>
      <c r="C1836" s="20" t="s">
        <v>9316</v>
      </c>
      <c r="D1836" s="47"/>
      <c r="E1836" s="22" t="s">
        <v>9317</v>
      </c>
      <c r="F1836" s="22" t="s">
        <v>3047</v>
      </c>
      <c r="G1836" s="23">
        <v>2024.0</v>
      </c>
      <c r="H1836" s="22" t="s">
        <v>627</v>
      </c>
      <c r="I1836" s="24" t="s">
        <v>9318</v>
      </c>
      <c r="J1836" s="22" t="s">
        <v>9319</v>
      </c>
      <c r="K1836" s="22"/>
      <c r="L1836" s="36">
        <v>640.0</v>
      </c>
      <c r="M1836" s="36">
        <v>4100.0</v>
      </c>
      <c r="N1836" s="36" t="s">
        <v>9320</v>
      </c>
      <c r="O1836" s="36"/>
      <c r="P1836" s="37"/>
      <c r="Q1836" s="36"/>
      <c r="R1836" s="36">
        <v>360.0</v>
      </c>
      <c r="S1836" s="36">
        <v>1.0</v>
      </c>
      <c r="T1836" s="42" t="s">
        <v>9321</v>
      </c>
      <c r="U1836" s="38" t="s">
        <v>61</v>
      </c>
      <c r="V1836" s="30"/>
      <c r="W1836" s="31"/>
      <c r="X1836" s="31"/>
      <c r="Y1836" s="31"/>
      <c r="Z1836" s="32"/>
      <c r="AA1836" s="31"/>
      <c r="AB1836" s="31"/>
      <c r="AC1836" s="9"/>
      <c r="AD1836" s="31"/>
      <c r="AE1836" s="31"/>
      <c r="AF1836" s="33"/>
      <c r="AG1836" s="34"/>
      <c r="AH1836" s="31"/>
      <c r="AI1836" s="35"/>
      <c r="AJ1836" s="35"/>
      <c r="AK1836" s="35"/>
      <c r="AL1836" s="35"/>
    </row>
    <row r="1837">
      <c r="A1837" s="1"/>
      <c r="B1837" s="19" t="s">
        <v>9322</v>
      </c>
      <c r="C1837" s="20" t="s">
        <v>9323</v>
      </c>
      <c r="D1837" s="47"/>
      <c r="E1837" s="22" t="s">
        <v>9324</v>
      </c>
      <c r="F1837" s="22" t="s">
        <v>9325</v>
      </c>
      <c r="G1837" s="23">
        <v>2020.0</v>
      </c>
      <c r="H1837" s="22" t="s">
        <v>5890</v>
      </c>
      <c r="I1837" s="24" t="s">
        <v>9326</v>
      </c>
      <c r="J1837" s="22" t="s">
        <v>2049</v>
      </c>
      <c r="K1837" s="22"/>
      <c r="L1837" s="36" t="s">
        <v>9327</v>
      </c>
      <c r="M1837" s="36"/>
      <c r="N1837" s="36"/>
      <c r="O1837" s="36"/>
      <c r="P1837" s="37"/>
      <c r="Q1837" s="36"/>
      <c r="R1837" s="36"/>
      <c r="S1837" s="36"/>
      <c r="T1837" s="28" t="s">
        <v>9328</v>
      </c>
      <c r="U1837" s="38" t="str">
        <f>HYPERLINK("https://www.ncbi.nlm.nih.gov/pubmed/32192496","PubMed")</f>
        <v>PubMed</v>
      </c>
      <c r="V1837" s="30"/>
      <c r="W1837" s="31"/>
      <c r="X1837" s="31"/>
      <c r="Y1837" s="31"/>
      <c r="Z1837" s="32"/>
      <c r="AA1837" s="31"/>
      <c r="AB1837" s="31"/>
      <c r="AC1837" s="9"/>
      <c r="AD1837" s="31"/>
      <c r="AE1837" s="31"/>
      <c r="AF1837" s="33"/>
      <c r="AG1837" s="34"/>
      <c r="AH1837" s="31"/>
      <c r="AI1837" s="35"/>
      <c r="AJ1837" s="35"/>
      <c r="AK1837" s="35"/>
      <c r="AL1837" s="35"/>
    </row>
    <row r="1838">
      <c r="A1838" s="1" t="s">
        <v>38</v>
      </c>
      <c r="B1838" s="19" t="s">
        <v>9329</v>
      </c>
      <c r="C1838" s="20" t="s">
        <v>9330</v>
      </c>
      <c r="D1838" s="47"/>
      <c r="E1838" s="22" t="s">
        <v>2603</v>
      </c>
      <c r="F1838" s="22" t="s">
        <v>8796</v>
      </c>
      <c r="G1838" s="23">
        <v>2018.0</v>
      </c>
      <c r="H1838" s="22" t="s">
        <v>658</v>
      </c>
      <c r="I1838" s="24" t="s">
        <v>9331</v>
      </c>
      <c r="J1838" s="22" t="s">
        <v>7728</v>
      </c>
      <c r="K1838" s="22" t="s">
        <v>157</v>
      </c>
      <c r="L1838" s="36">
        <v>670.0</v>
      </c>
      <c r="M1838" s="36"/>
      <c r="N1838" s="36" t="s">
        <v>9332</v>
      </c>
      <c r="O1838" s="36"/>
      <c r="P1838" s="37"/>
      <c r="Q1838" s="36"/>
      <c r="R1838" s="36">
        <v>270.0</v>
      </c>
      <c r="S1838" s="36" t="s">
        <v>9333</v>
      </c>
      <c r="T1838" s="28" t="s">
        <v>9334</v>
      </c>
      <c r="U1838" s="38" t="str">
        <f>HYPERLINK("https://www.ncbi.nlm.nih.gov/pubmed/29570422","PubMed")</f>
        <v>PubMed</v>
      </c>
      <c r="V1838" s="30"/>
      <c r="W1838" s="31"/>
      <c r="X1838" s="31"/>
      <c r="Y1838" s="31"/>
      <c r="Z1838" s="32"/>
      <c r="AA1838" s="31"/>
      <c r="AB1838" s="31"/>
      <c r="AC1838" s="9"/>
      <c r="AD1838" s="31"/>
      <c r="AE1838" s="31"/>
      <c r="AF1838" s="33"/>
      <c r="AG1838" s="34"/>
      <c r="AH1838" s="31"/>
      <c r="AI1838" s="35"/>
      <c r="AJ1838" s="35"/>
      <c r="AK1838" s="35"/>
      <c r="AL1838" s="35"/>
    </row>
    <row r="1839">
      <c r="A1839" s="1"/>
      <c r="B1839" s="19" t="s">
        <v>9329</v>
      </c>
      <c r="C1839" s="20" t="s">
        <v>9335</v>
      </c>
      <c r="D1839" s="47"/>
      <c r="E1839" s="22" t="s">
        <v>7880</v>
      </c>
      <c r="F1839" s="22" t="s">
        <v>9336</v>
      </c>
      <c r="G1839" s="23">
        <v>2021.0</v>
      </c>
      <c r="H1839" s="22" t="s">
        <v>91</v>
      </c>
      <c r="I1839" s="24" t="s">
        <v>9337</v>
      </c>
      <c r="J1839" s="22" t="s">
        <v>44</v>
      </c>
      <c r="K1839" s="22" t="s">
        <v>1240</v>
      </c>
      <c r="L1839" s="36">
        <v>904.0</v>
      </c>
      <c r="M1839" s="36">
        <v>50.0</v>
      </c>
      <c r="N1839" s="36"/>
      <c r="O1839" s="36"/>
      <c r="P1839" s="37" t="s">
        <v>9338</v>
      </c>
      <c r="Q1839" s="36" t="s">
        <v>9339</v>
      </c>
      <c r="R1839" s="36" t="s">
        <v>9340</v>
      </c>
      <c r="S1839" s="36"/>
      <c r="T1839" s="28" t="s">
        <v>9341</v>
      </c>
      <c r="U1839" s="29" t="s">
        <v>61</v>
      </c>
      <c r="V1839" s="30"/>
      <c r="W1839" s="31"/>
      <c r="X1839" s="31"/>
      <c r="Y1839" s="31"/>
      <c r="Z1839" s="32"/>
      <c r="AA1839" s="31"/>
      <c r="AB1839" s="31"/>
      <c r="AC1839" s="9"/>
      <c r="AD1839" s="31"/>
      <c r="AE1839" s="31"/>
      <c r="AF1839" s="33"/>
      <c r="AG1839" s="34"/>
      <c r="AH1839" s="31"/>
      <c r="AI1839" s="35"/>
      <c r="AJ1839" s="35"/>
      <c r="AK1839" s="35"/>
      <c r="AL1839" s="35"/>
    </row>
    <row r="1840">
      <c r="A1840" s="1"/>
      <c r="B1840" s="19" t="s">
        <v>9329</v>
      </c>
      <c r="C1840" s="20" t="s">
        <v>9335</v>
      </c>
      <c r="D1840" s="47"/>
      <c r="E1840" s="22" t="s">
        <v>9342</v>
      </c>
      <c r="F1840" s="22" t="s">
        <v>510</v>
      </c>
      <c r="G1840" s="23">
        <v>2015.0</v>
      </c>
      <c r="H1840" s="22" t="s">
        <v>91</v>
      </c>
      <c r="I1840" s="24" t="s">
        <v>9343</v>
      </c>
      <c r="J1840" s="22" t="s">
        <v>55</v>
      </c>
      <c r="K1840" s="22" t="s">
        <v>9344</v>
      </c>
      <c r="L1840" s="36">
        <v>660.0</v>
      </c>
      <c r="M1840" s="36"/>
      <c r="N1840" s="36"/>
      <c r="O1840" s="36"/>
      <c r="P1840" s="37" t="s">
        <v>704</v>
      </c>
      <c r="Q1840" s="36"/>
      <c r="R1840" s="36"/>
      <c r="S1840" s="36"/>
      <c r="T1840" s="28" t="s">
        <v>9345</v>
      </c>
      <c r="U1840" s="38" t="str">
        <f>HYPERLINK("https://www.ncbi.nlm.nih.gov/pubmed/24974175","PubMed")</f>
        <v>PubMed</v>
      </c>
      <c r="V1840" s="30"/>
      <c r="W1840" s="31"/>
      <c r="X1840" s="31"/>
      <c r="Y1840" s="31"/>
      <c r="Z1840" s="32"/>
      <c r="AA1840" s="31"/>
      <c r="AB1840" s="31"/>
      <c r="AC1840" s="9"/>
      <c r="AD1840" s="31"/>
      <c r="AE1840" s="31"/>
      <c r="AF1840" s="33"/>
      <c r="AG1840" s="34"/>
      <c r="AH1840" s="31"/>
      <c r="AI1840" s="35"/>
      <c r="AJ1840" s="35"/>
      <c r="AK1840" s="35"/>
      <c r="AL1840" s="35"/>
    </row>
    <row r="1841">
      <c r="A1841" s="1"/>
      <c r="B1841" s="19" t="s">
        <v>9329</v>
      </c>
      <c r="C1841" s="20" t="s">
        <v>9335</v>
      </c>
      <c r="D1841" s="47"/>
      <c r="E1841" s="22" t="s">
        <v>9346</v>
      </c>
      <c r="F1841" s="22" t="s">
        <v>510</v>
      </c>
      <c r="G1841" s="23">
        <v>2014.0</v>
      </c>
      <c r="H1841" s="22" t="s">
        <v>91</v>
      </c>
      <c r="I1841" s="24" t="s">
        <v>9347</v>
      </c>
      <c r="J1841" s="22" t="s">
        <v>55</v>
      </c>
      <c r="K1841" s="22" t="s">
        <v>9348</v>
      </c>
      <c r="L1841" s="36">
        <v>660.0</v>
      </c>
      <c r="M1841" s="36">
        <v>30.0</v>
      </c>
      <c r="N1841" s="36"/>
      <c r="O1841" s="36"/>
      <c r="P1841" s="37"/>
      <c r="Q1841" s="36"/>
      <c r="R1841" s="36"/>
      <c r="S1841" s="36"/>
      <c r="T1841" s="28" t="s">
        <v>9349</v>
      </c>
      <c r="U1841" s="38" t="str">
        <f>HYPERLINK("https://www.ncbi.nlm.nih.gov/pubmed/24532118","PubMed")</f>
        <v>PubMed</v>
      </c>
      <c r="V1841" s="30"/>
      <c r="W1841" s="31"/>
      <c r="X1841" s="31"/>
      <c r="Y1841" s="31"/>
      <c r="Z1841" s="32"/>
      <c r="AA1841" s="31"/>
      <c r="AB1841" s="31"/>
      <c r="AC1841" s="9"/>
      <c r="AD1841" s="31"/>
      <c r="AE1841" s="31"/>
      <c r="AF1841" s="33"/>
      <c r="AG1841" s="34"/>
      <c r="AH1841" s="31"/>
      <c r="AI1841" s="35"/>
      <c r="AJ1841" s="35"/>
      <c r="AK1841" s="35"/>
      <c r="AL1841" s="35"/>
    </row>
    <row r="1842">
      <c r="A1842" s="1"/>
      <c r="B1842" s="19" t="s">
        <v>9329</v>
      </c>
      <c r="C1842" s="20" t="s">
        <v>9335</v>
      </c>
      <c r="D1842" s="47"/>
      <c r="E1842" s="22" t="s">
        <v>9350</v>
      </c>
      <c r="F1842" s="22" t="s">
        <v>41</v>
      </c>
      <c r="G1842" s="23">
        <v>2013.0</v>
      </c>
      <c r="H1842" s="22" t="s">
        <v>91</v>
      </c>
      <c r="I1842" s="24" t="s">
        <v>9351</v>
      </c>
      <c r="J1842" s="22" t="s">
        <v>44</v>
      </c>
      <c r="K1842" s="22" t="s">
        <v>9352</v>
      </c>
      <c r="L1842" s="36">
        <v>830.0</v>
      </c>
      <c r="M1842" s="36">
        <v>100.0</v>
      </c>
      <c r="N1842" s="36"/>
      <c r="O1842" s="36">
        <v>1.0</v>
      </c>
      <c r="P1842" s="37" t="s">
        <v>9353</v>
      </c>
      <c r="Q1842" s="36"/>
      <c r="R1842" s="36">
        <v>10.0</v>
      </c>
      <c r="S1842" s="36"/>
      <c r="T1842" s="42" t="s">
        <v>9354</v>
      </c>
      <c r="U1842" s="38" t="str">
        <f>HYPERLINK("https://www.ncbi.nlm.nih.gov/pubmed/22915167","PubMed")</f>
        <v>PubMed</v>
      </c>
      <c r="V1842" s="30"/>
      <c r="W1842" s="31"/>
      <c r="X1842" s="31"/>
      <c r="Y1842" s="31"/>
      <c r="Z1842" s="32"/>
      <c r="AA1842" s="31"/>
      <c r="AB1842" s="31"/>
      <c r="AC1842" s="9"/>
      <c r="AD1842" s="31"/>
      <c r="AE1842" s="31"/>
      <c r="AF1842" s="33"/>
      <c r="AG1842" s="34"/>
      <c r="AH1842" s="31"/>
      <c r="AI1842" s="35"/>
      <c r="AJ1842" s="35"/>
      <c r="AK1842" s="35"/>
      <c r="AL1842" s="35"/>
    </row>
    <row r="1843">
      <c r="A1843" s="40"/>
      <c r="B1843" s="19" t="s">
        <v>9329</v>
      </c>
      <c r="C1843" s="20" t="s">
        <v>9335</v>
      </c>
      <c r="D1843" s="47"/>
      <c r="E1843" s="22" t="s">
        <v>88</v>
      </c>
      <c r="F1843" s="22" t="s">
        <v>41</v>
      </c>
      <c r="G1843" s="23">
        <v>2011.0</v>
      </c>
      <c r="H1843" s="22" t="s">
        <v>9355</v>
      </c>
      <c r="I1843" s="24" t="s">
        <v>9356</v>
      </c>
      <c r="J1843" s="22" t="s">
        <v>55</v>
      </c>
      <c r="K1843" s="22" t="s">
        <v>9348</v>
      </c>
      <c r="L1843" s="36">
        <v>660.0</v>
      </c>
      <c r="M1843" s="36">
        <v>30.0</v>
      </c>
      <c r="N1843" s="36"/>
      <c r="O1843" s="36"/>
      <c r="P1843" s="37" t="s">
        <v>9357</v>
      </c>
      <c r="Q1843" s="36" t="s">
        <v>9358</v>
      </c>
      <c r="R1843" s="36">
        <v>60.0</v>
      </c>
      <c r="S1843" s="36">
        <v>1.0</v>
      </c>
      <c r="T1843" s="28" t="s">
        <v>9359</v>
      </c>
      <c r="U1843" s="38" t="str">
        <f>HYPERLINK("https://www.ncbi.nlm.nih.gov/pubmed/21437517","PubMed")</f>
        <v>PubMed</v>
      </c>
      <c r="V1843" s="30"/>
      <c r="W1843" s="31"/>
      <c r="X1843" s="31"/>
      <c r="Y1843" s="31"/>
      <c r="Z1843" s="32"/>
      <c r="AA1843" s="31"/>
      <c r="AB1843" s="31"/>
      <c r="AC1843" s="9"/>
      <c r="AD1843" s="31"/>
      <c r="AE1843" s="31"/>
      <c r="AF1843" s="33"/>
      <c r="AG1843" s="34"/>
      <c r="AH1843" s="31"/>
      <c r="AI1843" s="35"/>
      <c r="AJ1843" s="35"/>
      <c r="AK1843" s="35"/>
      <c r="AL1843" s="35"/>
    </row>
    <row r="1844">
      <c r="A1844" s="40" t="s">
        <v>2</v>
      </c>
      <c r="B1844" s="19" t="s">
        <v>9329</v>
      </c>
      <c r="C1844" s="20" t="s">
        <v>9335</v>
      </c>
      <c r="D1844" s="47"/>
      <c r="E1844" s="22" t="s">
        <v>9360</v>
      </c>
      <c r="F1844" s="22" t="s">
        <v>510</v>
      </c>
      <c r="G1844" s="23">
        <v>2008.0</v>
      </c>
      <c r="H1844" s="22" t="s">
        <v>658</v>
      </c>
      <c r="I1844" s="24" t="s">
        <v>9361</v>
      </c>
      <c r="J1844" s="22" t="s">
        <v>55</v>
      </c>
      <c r="K1844" s="22" t="s">
        <v>9362</v>
      </c>
      <c r="L1844" s="36" t="s">
        <v>9363</v>
      </c>
      <c r="M1844" s="36"/>
      <c r="N1844" s="36"/>
      <c r="O1844" s="36"/>
      <c r="P1844" s="37" t="s">
        <v>704</v>
      </c>
      <c r="Q1844" s="36"/>
      <c r="R1844" s="36"/>
      <c r="S1844" s="36"/>
      <c r="T1844" s="28" t="s">
        <v>9364</v>
      </c>
      <c r="U1844" s="38" t="str">
        <f>HYPERLINK("https://www.ncbi.nlm.nih.gov/pubmed/18248157","PubMed")</f>
        <v>PubMed</v>
      </c>
      <c r="V1844" s="30"/>
      <c r="W1844" s="31"/>
      <c r="X1844" s="31"/>
      <c r="Y1844" s="31"/>
      <c r="Z1844" s="32"/>
      <c r="AA1844" s="31"/>
      <c r="AB1844" s="31"/>
      <c r="AC1844" s="9"/>
      <c r="AD1844" s="31"/>
      <c r="AE1844" s="31"/>
      <c r="AF1844" s="33"/>
      <c r="AG1844" s="34"/>
      <c r="AH1844" s="31"/>
      <c r="AI1844" s="35"/>
      <c r="AJ1844" s="35"/>
      <c r="AK1844" s="35"/>
      <c r="AL1844" s="35"/>
    </row>
    <row r="1845">
      <c r="A1845" s="40"/>
      <c r="B1845" s="19" t="s">
        <v>9329</v>
      </c>
      <c r="C1845" s="20" t="s">
        <v>9335</v>
      </c>
      <c r="D1845" s="47"/>
      <c r="E1845" s="22" t="s">
        <v>9365</v>
      </c>
      <c r="F1845" s="22" t="s">
        <v>41</v>
      </c>
      <c r="G1845" s="23">
        <v>2008.0</v>
      </c>
      <c r="H1845" s="22" t="s">
        <v>9366</v>
      </c>
      <c r="I1845" s="24" t="s">
        <v>9367</v>
      </c>
      <c r="J1845" s="22" t="s">
        <v>55</v>
      </c>
      <c r="K1845" s="22" t="s">
        <v>9362</v>
      </c>
      <c r="L1845" s="36" t="s">
        <v>9363</v>
      </c>
      <c r="M1845" s="36"/>
      <c r="N1845" s="36"/>
      <c r="O1845" s="36"/>
      <c r="P1845" s="37"/>
      <c r="Q1845" s="36"/>
      <c r="R1845" s="36"/>
      <c r="S1845" s="36"/>
      <c r="T1845" s="28" t="s">
        <v>9368</v>
      </c>
      <c r="U1845" s="38" t="str">
        <f>HYPERLINK("https://www.ncbi.nlm.nih.gov/pubmed/18182228","PubMed")</f>
        <v>PubMed</v>
      </c>
      <c r="V1845" s="30"/>
      <c r="W1845" s="31"/>
      <c r="X1845" s="31"/>
      <c r="Y1845" s="31"/>
      <c r="Z1845" s="32"/>
      <c r="AA1845" s="31"/>
      <c r="AB1845" s="31"/>
      <c r="AC1845" s="9"/>
      <c r="AD1845" s="31"/>
      <c r="AE1845" s="31"/>
      <c r="AF1845" s="33"/>
      <c r="AG1845" s="34"/>
      <c r="AH1845" s="31"/>
      <c r="AI1845" s="35"/>
      <c r="AJ1845" s="35"/>
      <c r="AK1845" s="35"/>
      <c r="AL1845" s="35"/>
    </row>
    <row r="1846">
      <c r="A1846" s="40"/>
      <c r="B1846" s="19" t="s">
        <v>9329</v>
      </c>
      <c r="C1846" s="20" t="s">
        <v>9335</v>
      </c>
      <c r="D1846" s="47"/>
      <c r="E1846" s="22" t="s">
        <v>9360</v>
      </c>
      <c r="F1846" s="22" t="s">
        <v>510</v>
      </c>
      <c r="G1846" s="23">
        <v>2007.0</v>
      </c>
      <c r="H1846" s="22" t="s">
        <v>9369</v>
      </c>
      <c r="I1846" s="24" t="s">
        <v>9370</v>
      </c>
      <c r="J1846" s="22" t="s">
        <v>55</v>
      </c>
      <c r="K1846" s="22" t="s">
        <v>9362</v>
      </c>
      <c r="L1846" s="36" t="s">
        <v>9363</v>
      </c>
      <c r="M1846" s="36"/>
      <c r="N1846" s="36"/>
      <c r="O1846" s="36"/>
      <c r="P1846" s="37"/>
      <c r="Q1846" s="36"/>
      <c r="R1846" s="36"/>
      <c r="S1846" s="36"/>
      <c r="T1846" s="28" t="s">
        <v>9371</v>
      </c>
      <c r="U1846" s="38" t="str">
        <f>HYPERLINK("https://www.ncbi.nlm.nih.gov/pubmed/17607546","PubMed")</f>
        <v>PubMed</v>
      </c>
      <c r="V1846" s="30"/>
      <c r="W1846" s="31"/>
      <c r="X1846" s="31"/>
      <c r="Y1846" s="31"/>
      <c r="Z1846" s="32"/>
      <c r="AA1846" s="31"/>
      <c r="AB1846" s="31"/>
      <c r="AC1846" s="9"/>
      <c r="AD1846" s="31"/>
      <c r="AE1846" s="31"/>
      <c r="AF1846" s="33"/>
      <c r="AG1846" s="34"/>
      <c r="AH1846" s="31"/>
      <c r="AI1846" s="35"/>
      <c r="AJ1846" s="35"/>
      <c r="AK1846" s="35"/>
      <c r="AL1846" s="35"/>
    </row>
    <row r="1847">
      <c r="A1847" s="40" t="s">
        <v>2</v>
      </c>
      <c r="B1847" s="19" t="s">
        <v>9329</v>
      </c>
      <c r="C1847" s="20" t="s">
        <v>9335</v>
      </c>
      <c r="D1847" s="47"/>
      <c r="E1847" s="22" t="s">
        <v>9360</v>
      </c>
      <c r="F1847" s="22" t="s">
        <v>510</v>
      </c>
      <c r="G1847" s="23">
        <v>2007.0</v>
      </c>
      <c r="H1847" s="22" t="s">
        <v>207</v>
      </c>
      <c r="I1847" s="24" t="s">
        <v>9372</v>
      </c>
      <c r="J1847" s="22" t="s">
        <v>55</v>
      </c>
      <c r="K1847" s="22" t="s">
        <v>9362</v>
      </c>
      <c r="L1847" s="36" t="s">
        <v>9363</v>
      </c>
      <c r="M1847" s="36">
        <v>30.0</v>
      </c>
      <c r="N1847" s="36" t="s">
        <v>2325</v>
      </c>
      <c r="O1847" s="36"/>
      <c r="P1847" s="37" t="s">
        <v>704</v>
      </c>
      <c r="Q1847" s="36" t="s">
        <v>9373</v>
      </c>
      <c r="R1847" s="36">
        <v>196.0</v>
      </c>
      <c r="S1847" s="36"/>
      <c r="T1847" s="28" t="s">
        <v>9374</v>
      </c>
      <c r="U1847" s="38" t="str">
        <f>HYPERLINK("https://www.ncbi.nlm.nih.gov/pubmed/17920925","PubMed")</f>
        <v>PubMed</v>
      </c>
      <c r="V1847" s="30"/>
      <c r="W1847" s="31"/>
      <c r="X1847" s="31"/>
      <c r="Y1847" s="31"/>
      <c r="Z1847" s="32"/>
      <c r="AA1847" s="31"/>
      <c r="AB1847" s="31"/>
      <c r="AC1847" s="9"/>
      <c r="AD1847" s="31"/>
      <c r="AE1847" s="31"/>
      <c r="AF1847" s="33"/>
      <c r="AG1847" s="34"/>
      <c r="AH1847" s="31"/>
      <c r="AI1847" s="35"/>
      <c r="AJ1847" s="35"/>
      <c r="AK1847" s="35"/>
      <c r="AL1847" s="35"/>
    </row>
    <row r="1848">
      <c r="A1848" s="1"/>
      <c r="B1848" s="19" t="s">
        <v>9329</v>
      </c>
      <c r="C1848" s="20" t="s">
        <v>9335</v>
      </c>
      <c r="D1848" s="47"/>
      <c r="E1848" s="22" t="s">
        <v>9360</v>
      </c>
      <c r="F1848" s="22" t="s">
        <v>41</v>
      </c>
      <c r="G1848" s="23">
        <v>2004.0</v>
      </c>
      <c r="H1848" s="22" t="s">
        <v>207</v>
      </c>
      <c r="I1848" s="24" t="s">
        <v>9375</v>
      </c>
      <c r="J1848" s="22" t="s">
        <v>55</v>
      </c>
      <c r="K1848" s="22" t="s">
        <v>9376</v>
      </c>
      <c r="L1848" s="36">
        <v>650.0</v>
      </c>
      <c r="M1848" s="36"/>
      <c r="N1848" s="36"/>
      <c r="O1848" s="36"/>
      <c r="P1848" s="37" t="s">
        <v>9377</v>
      </c>
      <c r="Q1848" s="36"/>
      <c r="R1848" s="36">
        <v>80.0</v>
      </c>
      <c r="S1848" s="36"/>
      <c r="T1848" s="28" t="s">
        <v>9378</v>
      </c>
      <c r="U1848" s="38" t="str">
        <f>HYPERLINK("https://www.ncbi.nlm.nih.gov/pubmed/15157905","PubMed")</f>
        <v>PubMed</v>
      </c>
      <c r="V1848" s="30"/>
      <c r="W1848" s="31"/>
      <c r="X1848" s="31"/>
      <c r="Y1848" s="31"/>
      <c r="Z1848" s="32"/>
      <c r="AA1848" s="31"/>
      <c r="AB1848" s="31"/>
      <c r="AC1848" s="9"/>
      <c r="AD1848" s="31"/>
      <c r="AE1848" s="31"/>
      <c r="AF1848" s="33"/>
      <c r="AG1848" s="34"/>
      <c r="AH1848" s="31"/>
      <c r="AI1848" s="35"/>
      <c r="AJ1848" s="35"/>
      <c r="AK1848" s="35"/>
      <c r="AL1848" s="35"/>
    </row>
    <row r="1849">
      <c r="A1849" s="1"/>
      <c r="B1849" s="19" t="s">
        <v>9329</v>
      </c>
      <c r="C1849" s="20" t="s">
        <v>9335</v>
      </c>
      <c r="D1849" s="47"/>
      <c r="E1849" s="22" t="s">
        <v>9379</v>
      </c>
      <c r="F1849" s="22" t="s">
        <v>230</v>
      </c>
      <c r="G1849" s="23">
        <v>2004.0</v>
      </c>
      <c r="H1849" s="22" t="s">
        <v>9380</v>
      </c>
      <c r="I1849" s="24" t="s">
        <v>9381</v>
      </c>
      <c r="J1849" s="22" t="s">
        <v>55</v>
      </c>
      <c r="K1849" s="22"/>
      <c r="L1849" s="36">
        <v>670.0</v>
      </c>
      <c r="M1849" s="36" t="s">
        <v>1069</v>
      </c>
      <c r="N1849" s="36"/>
      <c r="O1849" s="36"/>
      <c r="P1849" s="37"/>
      <c r="Q1849" s="36"/>
      <c r="R1849" s="36" t="s">
        <v>9382</v>
      </c>
      <c r="S1849" s="36"/>
      <c r="T1849" s="28" t="s">
        <v>9383</v>
      </c>
      <c r="U1849" s="29" t="s">
        <v>61</v>
      </c>
      <c r="V1849" s="30"/>
      <c r="W1849" s="31"/>
      <c r="X1849" s="31"/>
      <c r="Y1849" s="31"/>
      <c r="Z1849" s="32"/>
      <c r="AA1849" s="31"/>
      <c r="AB1849" s="31"/>
      <c r="AC1849" s="9"/>
      <c r="AD1849" s="31"/>
      <c r="AE1849" s="31"/>
      <c r="AF1849" s="33"/>
      <c r="AG1849" s="34"/>
      <c r="AH1849" s="31"/>
      <c r="AI1849" s="35"/>
      <c r="AJ1849" s="35"/>
      <c r="AK1849" s="35"/>
      <c r="AL1849" s="35"/>
    </row>
    <row r="1850">
      <c r="A1850" s="39" t="s">
        <v>2</v>
      </c>
      <c r="B1850" s="19" t="s">
        <v>9384</v>
      </c>
      <c r="C1850" s="20" t="s">
        <v>9385</v>
      </c>
      <c r="D1850" s="47"/>
      <c r="E1850" s="22" t="s">
        <v>1457</v>
      </c>
      <c r="F1850" s="22" t="s">
        <v>41</v>
      </c>
      <c r="G1850" s="23">
        <v>2024.0</v>
      </c>
      <c r="H1850" s="22" t="s">
        <v>42</v>
      </c>
      <c r="I1850" s="24" t="s">
        <v>9386</v>
      </c>
      <c r="J1850" s="22" t="s">
        <v>9387</v>
      </c>
      <c r="K1850" s="22"/>
      <c r="L1850" s="36" t="s">
        <v>9388</v>
      </c>
      <c r="M1850" s="36"/>
      <c r="N1850" s="36"/>
      <c r="O1850" s="36"/>
      <c r="P1850" s="37" t="s">
        <v>9389</v>
      </c>
      <c r="Q1850" s="36"/>
      <c r="R1850" s="36" t="s">
        <v>9390</v>
      </c>
      <c r="S1850" s="36" t="s">
        <v>9391</v>
      </c>
      <c r="T1850" s="28" t="s">
        <v>9392</v>
      </c>
      <c r="U1850" s="38" t="s">
        <v>61</v>
      </c>
      <c r="V1850" s="30"/>
      <c r="W1850" s="31"/>
      <c r="X1850" s="31"/>
      <c r="Y1850" s="31"/>
      <c r="Z1850" s="32"/>
      <c r="AA1850" s="31"/>
      <c r="AB1850" s="31"/>
      <c r="AC1850" s="9"/>
      <c r="AD1850" s="31"/>
      <c r="AE1850" s="31"/>
      <c r="AF1850" s="33"/>
      <c r="AG1850" s="34"/>
      <c r="AH1850" s="31"/>
      <c r="AI1850" s="35"/>
      <c r="AJ1850" s="35"/>
      <c r="AK1850" s="35"/>
      <c r="AL1850" s="35"/>
    </row>
    <row r="1851">
      <c r="A1851" s="1"/>
      <c r="B1851" s="19" t="s">
        <v>9393</v>
      </c>
      <c r="C1851" s="20" t="s">
        <v>9394</v>
      </c>
      <c r="D1851" s="47"/>
      <c r="E1851" s="22" t="s">
        <v>696</v>
      </c>
      <c r="F1851" s="22" t="s">
        <v>9395</v>
      </c>
      <c r="G1851" s="23">
        <v>2024.0</v>
      </c>
      <c r="H1851" s="22" t="s">
        <v>9396</v>
      </c>
      <c r="I1851" s="24" t="s">
        <v>9397</v>
      </c>
      <c r="J1851" s="22" t="s">
        <v>55</v>
      </c>
      <c r="K1851" s="22"/>
      <c r="L1851" s="36">
        <v>670.0</v>
      </c>
      <c r="M1851" s="36"/>
      <c r="N1851" s="36"/>
      <c r="O1851" s="36"/>
      <c r="P1851" s="37"/>
      <c r="Q1851" s="36"/>
      <c r="R1851" s="36"/>
      <c r="S1851" s="36"/>
      <c r="T1851" s="28" t="s">
        <v>9398</v>
      </c>
      <c r="U1851" s="38" t="s">
        <v>61</v>
      </c>
      <c r="V1851" s="30"/>
      <c r="W1851" s="31"/>
      <c r="X1851" s="31"/>
      <c r="Y1851" s="31"/>
      <c r="Z1851" s="32"/>
      <c r="AA1851" s="31"/>
      <c r="AB1851" s="31"/>
      <c r="AC1851" s="9"/>
      <c r="AD1851" s="31"/>
      <c r="AE1851" s="31"/>
      <c r="AF1851" s="33"/>
      <c r="AG1851" s="34"/>
      <c r="AH1851" s="31"/>
      <c r="AI1851" s="35"/>
      <c r="AJ1851" s="35"/>
      <c r="AK1851" s="35"/>
      <c r="AL1851" s="35"/>
    </row>
    <row r="1852">
      <c r="A1852" s="1"/>
      <c r="B1852" s="19" t="s">
        <v>9393</v>
      </c>
      <c r="C1852" s="20" t="s">
        <v>9394</v>
      </c>
      <c r="D1852" s="47"/>
      <c r="E1852" s="22" t="s">
        <v>9399</v>
      </c>
      <c r="F1852" s="22" t="s">
        <v>9400</v>
      </c>
      <c r="G1852" s="23">
        <v>2024.0</v>
      </c>
      <c r="H1852" s="22" t="s">
        <v>9401</v>
      </c>
      <c r="I1852" s="24" t="s">
        <v>9402</v>
      </c>
      <c r="J1852" s="22" t="s">
        <v>9403</v>
      </c>
      <c r="K1852" s="22" t="s">
        <v>157</v>
      </c>
      <c r="L1852" s="36"/>
      <c r="M1852" s="36"/>
      <c r="N1852" s="36"/>
      <c r="O1852" s="36"/>
      <c r="P1852" s="37"/>
      <c r="Q1852" s="36"/>
      <c r="R1852" s="36">
        <v>600.0</v>
      </c>
      <c r="S1852" s="36">
        <v>10.0</v>
      </c>
      <c r="T1852" s="42" t="s">
        <v>9404</v>
      </c>
      <c r="U1852" s="38" t="s">
        <v>61</v>
      </c>
      <c r="V1852" s="30"/>
      <c r="W1852" s="31"/>
      <c r="X1852" s="31"/>
      <c r="Y1852" s="31"/>
      <c r="Z1852" s="32"/>
      <c r="AA1852" s="31"/>
      <c r="AB1852" s="31"/>
      <c r="AC1852" s="9"/>
      <c r="AD1852" s="31"/>
      <c r="AE1852" s="31"/>
      <c r="AF1852" s="33"/>
      <c r="AG1852" s="34"/>
      <c r="AH1852" s="31"/>
      <c r="AI1852" s="35"/>
      <c r="AJ1852" s="35"/>
      <c r="AK1852" s="35"/>
      <c r="AL1852" s="35"/>
    </row>
    <row r="1853">
      <c r="A1853" s="1"/>
      <c r="B1853" s="19" t="s">
        <v>9393</v>
      </c>
      <c r="C1853" s="20" t="s">
        <v>9394</v>
      </c>
      <c r="D1853" s="47"/>
      <c r="E1853" s="22" t="s">
        <v>9405</v>
      </c>
      <c r="F1853" s="22" t="s">
        <v>1905</v>
      </c>
      <c r="G1853" s="23">
        <v>2023.0</v>
      </c>
      <c r="H1853" s="22" t="s">
        <v>348</v>
      </c>
      <c r="I1853" s="24" t="s">
        <v>9406</v>
      </c>
      <c r="J1853" s="22" t="s">
        <v>55</v>
      </c>
      <c r="K1853" s="22"/>
      <c r="L1853" s="36" t="s">
        <v>9407</v>
      </c>
      <c r="M1853" s="36"/>
      <c r="N1853" s="36"/>
      <c r="O1853" s="36"/>
      <c r="P1853" s="37"/>
      <c r="Q1853" s="36"/>
      <c r="R1853" s="36"/>
      <c r="S1853" s="36"/>
      <c r="T1853" s="28" t="s">
        <v>9408</v>
      </c>
      <c r="U1853" s="38" t="s">
        <v>61</v>
      </c>
      <c r="V1853" s="30"/>
      <c r="W1853" s="31"/>
      <c r="X1853" s="31"/>
      <c r="Y1853" s="31"/>
      <c r="Z1853" s="32"/>
      <c r="AA1853" s="31"/>
      <c r="AB1853" s="31"/>
      <c r="AC1853" s="9"/>
      <c r="AD1853" s="31"/>
      <c r="AE1853" s="31"/>
      <c r="AF1853" s="33"/>
      <c r="AG1853" s="34"/>
      <c r="AH1853" s="31"/>
      <c r="AI1853" s="35"/>
      <c r="AJ1853" s="35"/>
      <c r="AK1853" s="35"/>
      <c r="AL1853" s="35"/>
    </row>
    <row r="1854">
      <c r="A1854" s="1"/>
      <c r="B1854" s="19" t="s">
        <v>9393</v>
      </c>
      <c r="C1854" s="20" t="s">
        <v>9394</v>
      </c>
      <c r="D1854" s="47"/>
      <c r="E1854" s="22" t="s">
        <v>9409</v>
      </c>
      <c r="F1854" s="22" t="s">
        <v>3492</v>
      </c>
      <c r="G1854" s="23">
        <v>2023.0</v>
      </c>
      <c r="H1854" s="22" t="s">
        <v>9410</v>
      </c>
      <c r="I1854" s="24" t="s">
        <v>9411</v>
      </c>
      <c r="J1854" s="22" t="s">
        <v>2273</v>
      </c>
      <c r="K1854" s="22" t="s">
        <v>9412</v>
      </c>
      <c r="L1854" s="36"/>
      <c r="M1854" s="36"/>
      <c r="N1854" s="36"/>
      <c r="O1854" s="36"/>
      <c r="P1854" s="37"/>
      <c r="Q1854" s="36"/>
      <c r="R1854" s="36"/>
      <c r="S1854" s="36"/>
      <c r="T1854" s="41" t="s">
        <v>9413</v>
      </c>
      <c r="U1854" s="38" t="s">
        <v>61</v>
      </c>
      <c r="V1854" s="30"/>
      <c r="W1854" s="31"/>
      <c r="X1854" s="31"/>
      <c r="Y1854" s="31"/>
      <c r="Z1854" s="32"/>
      <c r="AA1854" s="31"/>
      <c r="AB1854" s="31"/>
      <c r="AC1854" s="9"/>
      <c r="AD1854" s="31"/>
      <c r="AE1854" s="31"/>
      <c r="AF1854" s="33"/>
      <c r="AG1854" s="34"/>
      <c r="AH1854" s="31"/>
      <c r="AI1854" s="35"/>
      <c r="AJ1854" s="35"/>
      <c r="AK1854" s="35"/>
      <c r="AL1854" s="35"/>
    </row>
    <row r="1855">
      <c r="A1855" s="1"/>
      <c r="B1855" s="19" t="s">
        <v>9393</v>
      </c>
      <c r="C1855" s="20" t="s">
        <v>9394</v>
      </c>
      <c r="D1855" s="47"/>
      <c r="E1855" s="22" t="s">
        <v>9414</v>
      </c>
      <c r="F1855" s="22" t="s">
        <v>3492</v>
      </c>
      <c r="G1855" s="23">
        <v>2023.0</v>
      </c>
      <c r="H1855" s="22" t="s">
        <v>9415</v>
      </c>
      <c r="I1855" s="24" t="s">
        <v>9416</v>
      </c>
      <c r="J1855" s="22" t="s">
        <v>125</v>
      </c>
      <c r="K1855" s="22"/>
      <c r="L1855" s="167" t="s">
        <v>9417</v>
      </c>
      <c r="M1855" s="44"/>
      <c r="N1855" s="44"/>
      <c r="O1855" s="44"/>
      <c r="P1855" s="44"/>
      <c r="Q1855" s="44"/>
      <c r="R1855" s="44"/>
      <c r="S1855" s="44"/>
      <c r="T1855" s="45"/>
      <c r="U1855" s="38" t="s">
        <v>61</v>
      </c>
      <c r="V1855" s="30"/>
      <c r="W1855" s="31"/>
      <c r="X1855" s="31"/>
      <c r="Y1855" s="31"/>
      <c r="Z1855" s="32"/>
      <c r="AA1855" s="31"/>
      <c r="AB1855" s="31"/>
      <c r="AC1855" s="9"/>
      <c r="AD1855" s="31"/>
      <c r="AE1855" s="31"/>
      <c r="AF1855" s="33"/>
      <c r="AG1855" s="34"/>
      <c r="AH1855" s="31"/>
      <c r="AI1855" s="35"/>
      <c r="AJ1855" s="35"/>
      <c r="AK1855" s="35"/>
      <c r="AL1855" s="35"/>
    </row>
    <row r="1856">
      <c r="A1856" s="1"/>
      <c r="B1856" s="19" t="s">
        <v>9393</v>
      </c>
      <c r="C1856" s="20" t="s">
        <v>9394</v>
      </c>
      <c r="D1856" s="47"/>
      <c r="E1856" s="22" t="s">
        <v>9418</v>
      </c>
      <c r="F1856" s="22" t="s">
        <v>9419</v>
      </c>
      <c r="G1856" s="23">
        <v>2023.0</v>
      </c>
      <c r="H1856" s="22" t="s">
        <v>9420</v>
      </c>
      <c r="I1856" s="24" t="s">
        <v>9421</v>
      </c>
      <c r="J1856" s="22" t="s">
        <v>9422</v>
      </c>
      <c r="K1856" s="22"/>
      <c r="L1856" s="36" t="s">
        <v>9423</v>
      </c>
      <c r="M1856" s="36"/>
      <c r="N1856" s="36"/>
      <c r="O1856" s="36"/>
      <c r="P1856" s="37"/>
      <c r="Q1856" s="36"/>
      <c r="R1856" s="36"/>
      <c r="S1856" s="36" t="s">
        <v>7333</v>
      </c>
      <c r="T1856" s="28" t="s">
        <v>9424</v>
      </c>
      <c r="U1856" s="38" t="s">
        <v>61</v>
      </c>
      <c r="V1856" s="30" t="s">
        <v>9425</v>
      </c>
      <c r="W1856" s="31"/>
      <c r="X1856" s="31"/>
      <c r="Y1856" s="31"/>
      <c r="Z1856" s="32"/>
      <c r="AA1856" s="31"/>
      <c r="AB1856" s="31"/>
      <c r="AC1856" s="9"/>
      <c r="AD1856" s="31"/>
      <c r="AE1856" s="31"/>
      <c r="AF1856" s="33"/>
      <c r="AG1856" s="34"/>
      <c r="AH1856" s="31"/>
      <c r="AI1856" s="35"/>
      <c r="AJ1856" s="35"/>
      <c r="AK1856" s="35"/>
      <c r="AL1856" s="35"/>
    </row>
    <row r="1857">
      <c r="A1857" s="1"/>
      <c r="B1857" s="19" t="s">
        <v>9393</v>
      </c>
      <c r="C1857" s="20" t="s">
        <v>9394</v>
      </c>
      <c r="D1857" s="47"/>
      <c r="E1857" s="22" t="s">
        <v>9426</v>
      </c>
      <c r="F1857" s="22" t="s">
        <v>2161</v>
      </c>
      <c r="G1857" s="23">
        <v>2023.0</v>
      </c>
      <c r="H1857" s="22" t="s">
        <v>9420</v>
      </c>
      <c r="I1857" s="24" t="s">
        <v>9427</v>
      </c>
      <c r="J1857" s="22" t="s">
        <v>9428</v>
      </c>
      <c r="K1857" s="22"/>
      <c r="L1857" s="36" t="s">
        <v>9423</v>
      </c>
      <c r="M1857" s="36"/>
      <c r="N1857" s="36"/>
      <c r="O1857" s="36"/>
      <c r="P1857" s="37"/>
      <c r="Q1857" s="36"/>
      <c r="R1857" s="36"/>
      <c r="S1857" s="36" t="s">
        <v>9429</v>
      </c>
      <c r="T1857" s="28" t="s">
        <v>9430</v>
      </c>
      <c r="U1857" s="38" t="s">
        <v>61</v>
      </c>
      <c r="V1857" s="30"/>
      <c r="W1857" s="31"/>
      <c r="X1857" s="31"/>
      <c r="Y1857" s="31"/>
      <c r="Z1857" s="32"/>
      <c r="AA1857" s="31"/>
      <c r="AB1857" s="31"/>
      <c r="AC1857" s="9"/>
      <c r="AD1857" s="31"/>
      <c r="AE1857" s="31"/>
      <c r="AF1857" s="33"/>
      <c r="AG1857" s="34"/>
      <c r="AH1857" s="31"/>
      <c r="AI1857" s="35"/>
      <c r="AJ1857" s="35"/>
      <c r="AK1857" s="35"/>
      <c r="AL1857" s="35"/>
    </row>
    <row r="1858">
      <c r="A1858" s="1"/>
      <c r="B1858" s="19" t="s">
        <v>9393</v>
      </c>
      <c r="C1858" s="20" t="s">
        <v>9394</v>
      </c>
      <c r="D1858" s="47"/>
      <c r="E1858" s="22" t="s">
        <v>9431</v>
      </c>
      <c r="F1858" s="22" t="s">
        <v>9432</v>
      </c>
      <c r="G1858" s="23">
        <v>2023.0</v>
      </c>
      <c r="H1858" s="22" t="s">
        <v>9415</v>
      </c>
      <c r="I1858" s="24" t="s">
        <v>9433</v>
      </c>
      <c r="J1858" s="22" t="s">
        <v>9434</v>
      </c>
      <c r="K1858" s="22"/>
      <c r="L1858" s="36" t="s">
        <v>9423</v>
      </c>
      <c r="M1858" s="36"/>
      <c r="N1858" s="36" t="s">
        <v>9435</v>
      </c>
      <c r="O1858" s="36"/>
      <c r="P1858" s="37"/>
      <c r="Q1858" s="36"/>
      <c r="R1858" s="36"/>
      <c r="S1858" s="36" t="s">
        <v>9436</v>
      </c>
      <c r="T1858" s="28" t="s">
        <v>9437</v>
      </c>
      <c r="U1858" s="38" t="s">
        <v>61</v>
      </c>
      <c r="V1858" s="30"/>
      <c r="W1858" s="31"/>
      <c r="X1858" s="31"/>
      <c r="Y1858" s="31"/>
      <c r="Z1858" s="32"/>
      <c r="AA1858" s="31"/>
      <c r="AB1858" s="31"/>
      <c r="AC1858" s="9"/>
      <c r="AD1858" s="31"/>
      <c r="AE1858" s="31"/>
      <c r="AF1858" s="33"/>
      <c r="AG1858" s="34"/>
      <c r="AH1858" s="31"/>
      <c r="AI1858" s="35"/>
      <c r="AJ1858" s="35"/>
      <c r="AK1858" s="35"/>
      <c r="AL1858" s="35"/>
    </row>
    <row r="1859">
      <c r="A1859" s="1"/>
      <c r="B1859" s="19" t="s">
        <v>9393</v>
      </c>
      <c r="C1859" s="20" t="s">
        <v>9394</v>
      </c>
      <c r="D1859" s="47"/>
      <c r="E1859" s="22" t="s">
        <v>9438</v>
      </c>
      <c r="F1859" s="22" t="s">
        <v>9439</v>
      </c>
      <c r="G1859" s="23">
        <v>2022.0</v>
      </c>
      <c r="H1859" s="22" t="s">
        <v>348</v>
      </c>
      <c r="I1859" s="24" t="s">
        <v>9440</v>
      </c>
      <c r="J1859" s="22" t="s">
        <v>31</v>
      </c>
      <c r="K1859" s="22"/>
      <c r="L1859" s="36">
        <v>660.0</v>
      </c>
      <c r="M1859" s="36"/>
      <c r="N1859" s="36" t="s">
        <v>6101</v>
      </c>
      <c r="O1859" s="36"/>
      <c r="P1859" s="37"/>
      <c r="Q1859" s="36"/>
      <c r="R1859" s="36">
        <v>250.0</v>
      </c>
      <c r="S1859" s="36" t="s">
        <v>9441</v>
      </c>
      <c r="T1859" s="28" t="s">
        <v>9442</v>
      </c>
      <c r="U1859" s="29" t="s">
        <v>61</v>
      </c>
      <c r="V1859" s="30"/>
      <c r="W1859" s="31"/>
      <c r="X1859" s="31"/>
      <c r="Y1859" s="31"/>
      <c r="Z1859" s="32"/>
      <c r="AA1859" s="31"/>
      <c r="AB1859" s="31"/>
      <c r="AC1859" s="9"/>
      <c r="AD1859" s="31"/>
      <c r="AE1859" s="31"/>
      <c r="AF1859" s="33"/>
      <c r="AG1859" s="34"/>
      <c r="AH1859" s="31"/>
      <c r="AI1859" s="35"/>
      <c r="AJ1859" s="35"/>
      <c r="AK1859" s="35"/>
      <c r="AL1859" s="35"/>
    </row>
    <row r="1860">
      <c r="A1860" s="1"/>
      <c r="B1860" s="19" t="s">
        <v>9393</v>
      </c>
      <c r="C1860" s="20" t="s">
        <v>9394</v>
      </c>
      <c r="D1860" s="47"/>
      <c r="E1860" s="22" t="s">
        <v>9443</v>
      </c>
      <c r="F1860" s="22" t="s">
        <v>9444</v>
      </c>
      <c r="G1860" s="23">
        <v>2021.0</v>
      </c>
      <c r="H1860" s="22" t="s">
        <v>9445</v>
      </c>
      <c r="I1860" s="24" t="s">
        <v>9446</v>
      </c>
      <c r="J1860" s="22" t="s">
        <v>7820</v>
      </c>
      <c r="K1860" s="22"/>
      <c r="L1860" s="36"/>
      <c r="M1860" s="36"/>
      <c r="N1860" s="36"/>
      <c r="O1860" s="36"/>
      <c r="P1860" s="37"/>
      <c r="Q1860" s="36"/>
      <c r="R1860" s="36"/>
      <c r="S1860" s="36"/>
      <c r="T1860" s="28" t="s">
        <v>9447</v>
      </c>
      <c r="U1860" s="29" t="s">
        <v>61</v>
      </c>
      <c r="V1860" s="30"/>
      <c r="W1860" s="31"/>
      <c r="X1860" s="31"/>
      <c r="Y1860" s="31"/>
      <c r="Z1860" s="32"/>
      <c r="AA1860" s="31"/>
      <c r="AB1860" s="31"/>
      <c r="AC1860" s="9"/>
      <c r="AD1860" s="31"/>
      <c r="AE1860" s="31"/>
      <c r="AF1860" s="33"/>
      <c r="AG1860" s="34"/>
      <c r="AH1860" s="31"/>
      <c r="AI1860" s="35"/>
      <c r="AJ1860" s="35"/>
      <c r="AK1860" s="35"/>
      <c r="AL1860" s="35"/>
    </row>
    <row r="1861">
      <c r="A1861" s="1"/>
      <c r="B1861" s="19" t="s">
        <v>9393</v>
      </c>
      <c r="C1861" s="20" t="s">
        <v>9394</v>
      </c>
      <c r="D1861" s="47"/>
      <c r="E1861" s="22" t="s">
        <v>9448</v>
      </c>
      <c r="F1861" s="22" t="s">
        <v>9449</v>
      </c>
      <c r="G1861" s="23">
        <v>2021.0</v>
      </c>
      <c r="H1861" s="22" t="s">
        <v>9450</v>
      </c>
      <c r="I1861" s="24" t="s">
        <v>9451</v>
      </c>
      <c r="J1861" s="22" t="s">
        <v>125</v>
      </c>
      <c r="K1861" s="22"/>
      <c r="L1861" s="195" t="s">
        <v>9452</v>
      </c>
      <c r="M1861" s="44"/>
      <c r="N1861" s="44"/>
      <c r="O1861" s="44"/>
      <c r="P1861" s="44"/>
      <c r="Q1861" s="44"/>
      <c r="R1861" s="44"/>
      <c r="S1861" s="44"/>
      <c r="T1861" s="45"/>
      <c r="U1861" s="29" t="s">
        <v>61</v>
      </c>
      <c r="V1861" s="30"/>
      <c r="W1861" s="31"/>
      <c r="X1861" s="31"/>
      <c r="Y1861" s="31"/>
      <c r="Z1861" s="32"/>
      <c r="AA1861" s="31"/>
      <c r="AB1861" s="31"/>
      <c r="AC1861" s="9"/>
      <c r="AD1861" s="31"/>
      <c r="AE1861" s="31"/>
      <c r="AF1861" s="33"/>
      <c r="AG1861" s="34"/>
      <c r="AH1861" s="31"/>
      <c r="AI1861" s="35"/>
      <c r="AJ1861" s="35"/>
      <c r="AK1861" s="35"/>
      <c r="AL1861" s="35"/>
    </row>
    <row r="1862">
      <c r="A1862" s="1"/>
      <c r="B1862" s="19" t="s">
        <v>9393</v>
      </c>
      <c r="C1862" s="20" t="s">
        <v>9394</v>
      </c>
      <c r="D1862" s="47"/>
      <c r="E1862" s="22" t="s">
        <v>7540</v>
      </c>
      <c r="F1862" s="22" t="s">
        <v>9453</v>
      </c>
      <c r="G1862" s="23">
        <v>2021.0</v>
      </c>
      <c r="H1862" s="22" t="s">
        <v>77</v>
      </c>
      <c r="I1862" s="24" t="s">
        <v>9454</v>
      </c>
      <c r="J1862" s="22" t="s">
        <v>9455</v>
      </c>
      <c r="K1862" s="22" t="s">
        <v>157</v>
      </c>
      <c r="L1862" s="36">
        <v>670.0</v>
      </c>
      <c r="M1862" s="36"/>
      <c r="N1862" s="36" t="s">
        <v>3911</v>
      </c>
      <c r="O1862" s="36"/>
      <c r="P1862" s="37" t="s">
        <v>254</v>
      </c>
      <c r="Q1862" s="36"/>
      <c r="R1862" s="36">
        <v>88.0</v>
      </c>
      <c r="S1862" s="36">
        <v>9.0</v>
      </c>
      <c r="T1862" s="28" t="s">
        <v>9456</v>
      </c>
      <c r="U1862" s="29" t="s">
        <v>61</v>
      </c>
      <c r="V1862" s="30"/>
      <c r="W1862" s="31"/>
      <c r="X1862" s="31"/>
      <c r="Y1862" s="31"/>
      <c r="Z1862" s="32"/>
      <c r="AA1862" s="31"/>
      <c r="AB1862" s="31"/>
      <c r="AC1862" s="9"/>
      <c r="AD1862" s="31"/>
      <c r="AE1862" s="31"/>
      <c r="AF1862" s="33"/>
      <c r="AG1862" s="34"/>
      <c r="AH1862" s="31"/>
      <c r="AI1862" s="35"/>
      <c r="AJ1862" s="35"/>
      <c r="AK1862" s="35"/>
      <c r="AL1862" s="35"/>
    </row>
    <row r="1863">
      <c r="A1863" s="1"/>
      <c r="B1863" s="19" t="s">
        <v>9393</v>
      </c>
      <c r="C1863" s="20" t="s">
        <v>9394</v>
      </c>
      <c r="D1863" s="47"/>
      <c r="E1863" s="57" t="s">
        <v>9457</v>
      </c>
      <c r="F1863" s="22" t="s">
        <v>9458</v>
      </c>
      <c r="G1863" s="57">
        <v>2021.0</v>
      </c>
      <c r="H1863" s="57" t="s">
        <v>9459</v>
      </c>
      <c r="I1863" s="134" t="s">
        <v>9460</v>
      </c>
      <c r="J1863" s="22" t="s">
        <v>649</v>
      </c>
      <c r="K1863" s="22"/>
      <c r="L1863" s="238" t="s">
        <v>9461</v>
      </c>
      <c r="M1863" s="44"/>
      <c r="N1863" s="44"/>
      <c r="O1863" s="44"/>
      <c r="P1863" s="44"/>
      <c r="Q1863" s="44"/>
      <c r="R1863" s="44"/>
      <c r="S1863" s="44"/>
      <c r="T1863" s="45"/>
      <c r="U1863" s="248" t="s">
        <v>61</v>
      </c>
      <c r="V1863" s="50"/>
      <c r="W1863" s="49"/>
      <c r="X1863" s="49"/>
      <c r="Y1863" s="35"/>
      <c r="Z1863" s="35"/>
      <c r="AA1863" s="35"/>
      <c r="AB1863" s="35"/>
      <c r="AC1863" s="35"/>
      <c r="AD1863" s="35"/>
      <c r="AE1863" s="35"/>
      <c r="AF1863" s="35"/>
      <c r="AG1863" s="35"/>
      <c r="AH1863" s="35"/>
      <c r="AI1863" s="35"/>
      <c r="AJ1863" s="35"/>
      <c r="AK1863" s="35"/>
      <c r="AL1863" s="35"/>
    </row>
    <row r="1864">
      <c r="A1864" s="1"/>
      <c r="B1864" s="19" t="s">
        <v>9393</v>
      </c>
      <c r="C1864" s="20" t="s">
        <v>9394</v>
      </c>
      <c r="D1864" s="47"/>
      <c r="E1864" s="57" t="s">
        <v>9448</v>
      </c>
      <c r="F1864" s="22" t="s">
        <v>9449</v>
      </c>
      <c r="G1864" s="57">
        <v>2021.0</v>
      </c>
      <c r="H1864" s="57" t="s">
        <v>9462</v>
      </c>
      <c r="I1864" s="134" t="s">
        <v>9463</v>
      </c>
      <c r="J1864" s="22" t="s">
        <v>125</v>
      </c>
      <c r="K1864" s="22"/>
      <c r="L1864" s="43" t="s">
        <v>9464</v>
      </c>
      <c r="M1864" s="44"/>
      <c r="N1864" s="44"/>
      <c r="O1864" s="44"/>
      <c r="P1864" s="44"/>
      <c r="Q1864" s="44"/>
      <c r="R1864" s="44"/>
      <c r="S1864" s="44"/>
      <c r="T1864" s="45"/>
      <c r="U1864" s="248" t="s">
        <v>61</v>
      </c>
      <c r="V1864" s="50"/>
      <c r="W1864" s="49"/>
      <c r="X1864" s="49"/>
      <c r="Y1864" s="35"/>
      <c r="Z1864" s="35"/>
      <c r="AA1864" s="35"/>
      <c r="AB1864" s="35"/>
      <c r="AC1864" s="35"/>
      <c r="AD1864" s="35"/>
      <c r="AE1864" s="35"/>
      <c r="AF1864" s="35"/>
      <c r="AG1864" s="35"/>
      <c r="AH1864" s="35"/>
      <c r="AI1864" s="35"/>
      <c r="AJ1864" s="35"/>
      <c r="AK1864" s="35"/>
      <c r="AL1864" s="35"/>
    </row>
    <row r="1865">
      <c r="A1865" s="1"/>
      <c r="B1865" s="19" t="s">
        <v>9393</v>
      </c>
      <c r="C1865" s="20" t="s">
        <v>9394</v>
      </c>
      <c r="D1865" s="47"/>
      <c r="E1865" s="57" t="s">
        <v>9465</v>
      </c>
      <c r="F1865" s="22" t="s">
        <v>5223</v>
      </c>
      <c r="G1865" s="57">
        <v>2020.0</v>
      </c>
      <c r="H1865" s="57" t="s">
        <v>3963</v>
      </c>
      <c r="I1865" s="134" t="s">
        <v>9466</v>
      </c>
      <c r="J1865" s="22" t="s">
        <v>9467</v>
      </c>
      <c r="K1865" s="22" t="s">
        <v>157</v>
      </c>
      <c r="L1865" s="36">
        <v>670.0</v>
      </c>
      <c r="M1865" s="36"/>
      <c r="N1865" s="36" t="s">
        <v>3587</v>
      </c>
      <c r="O1865" s="249"/>
      <c r="P1865" s="129">
        <v>44777.0</v>
      </c>
      <c r="Q1865" s="36"/>
      <c r="R1865" s="36">
        <v>120.0</v>
      </c>
      <c r="S1865" s="36" t="s">
        <v>9468</v>
      </c>
      <c r="T1865" s="103" t="s">
        <v>9469</v>
      </c>
      <c r="U1865" s="248" t="s">
        <v>61</v>
      </c>
      <c r="V1865" s="50"/>
      <c r="W1865" s="49"/>
      <c r="X1865" s="49"/>
      <c r="Y1865" s="35"/>
      <c r="Z1865" s="35"/>
      <c r="AA1865" s="35"/>
      <c r="AB1865" s="35"/>
      <c r="AC1865" s="35"/>
      <c r="AD1865" s="35"/>
      <c r="AE1865" s="35"/>
      <c r="AF1865" s="35"/>
      <c r="AG1865" s="35"/>
      <c r="AH1865" s="35"/>
      <c r="AI1865" s="35"/>
      <c r="AJ1865" s="35"/>
      <c r="AK1865" s="35"/>
      <c r="AL1865" s="35"/>
    </row>
    <row r="1866">
      <c r="A1866" s="1"/>
      <c r="B1866" s="19" t="s">
        <v>9393</v>
      </c>
      <c r="C1866" s="20" t="s">
        <v>9394</v>
      </c>
      <c r="D1866" s="47"/>
      <c r="E1866" s="57" t="s">
        <v>9470</v>
      </c>
      <c r="F1866" s="22" t="s">
        <v>5223</v>
      </c>
      <c r="G1866" s="57">
        <v>2020.0</v>
      </c>
      <c r="H1866" s="57" t="s">
        <v>2500</v>
      </c>
      <c r="I1866" s="134" t="s">
        <v>9471</v>
      </c>
      <c r="J1866" s="22" t="s">
        <v>9472</v>
      </c>
      <c r="K1866" s="22" t="s">
        <v>9473</v>
      </c>
      <c r="L1866" s="36">
        <v>670.0</v>
      </c>
      <c r="M1866" s="36"/>
      <c r="N1866" s="36" t="s">
        <v>3587</v>
      </c>
      <c r="O1866" s="249"/>
      <c r="P1866" s="36"/>
      <c r="Q1866" s="36"/>
      <c r="R1866" s="36">
        <v>180.0</v>
      </c>
      <c r="S1866" s="36" t="s">
        <v>4007</v>
      </c>
      <c r="T1866" s="54" t="s">
        <v>9474</v>
      </c>
      <c r="U1866" s="248" t="s">
        <v>61</v>
      </c>
      <c r="V1866" s="50"/>
      <c r="W1866" s="49"/>
      <c r="X1866" s="49"/>
      <c r="Y1866" s="35"/>
      <c r="Z1866" s="35"/>
      <c r="AA1866" s="35"/>
      <c r="AB1866" s="35"/>
      <c r="AC1866" s="35"/>
      <c r="AD1866" s="35"/>
      <c r="AE1866" s="35"/>
      <c r="AF1866" s="35"/>
      <c r="AG1866" s="35"/>
      <c r="AH1866" s="35"/>
      <c r="AI1866" s="35"/>
      <c r="AJ1866" s="35"/>
      <c r="AK1866" s="35"/>
      <c r="AL1866" s="35"/>
    </row>
    <row r="1867">
      <c r="A1867" s="1"/>
      <c r="B1867" s="19" t="s">
        <v>9393</v>
      </c>
      <c r="C1867" s="20" t="s">
        <v>9394</v>
      </c>
      <c r="D1867" s="47"/>
      <c r="E1867" s="57" t="s">
        <v>9475</v>
      </c>
      <c r="F1867" s="22" t="s">
        <v>2445</v>
      </c>
      <c r="G1867" s="57">
        <v>2019.0</v>
      </c>
      <c r="H1867" s="57" t="s">
        <v>9420</v>
      </c>
      <c r="I1867" s="134" t="s">
        <v>9476</v>
      </c>
      <c r="J1867" s="22" t="s">
        <v>9477</v>
      </c>
      <c r="K1867" s="22" t="s">
        <v>157</v>
      </c>
      <c r="L1867" s="36" t="s">
        <v>9478</v>
      </c>
      <c r="M1867" s="36"/>
      <c r="N1867" s="36" t="s">
        <v>9479</v>
      </c>
      <c r="O1867" s="249"/>
      <c r="P1867" s="36"/>
      <c r="Q1867" s="36"/>
      <c r="R1867" s="36" t="s">
        <v>9480</v>
      </c>
      <c r="S1867" s="36" t="s">
        <v>9481</v>
      </c>
      <c r="T1867" s="54" t="s">
        <v>9482</v>
      </c>
      <c r="U1867" s="250" t="str">
        <f>HYPERLINK("https://www.ncbi.nlm.nih.gov/pubmed/31404033","PubMed")</f>
        <v>PubMed</v>
      </c>
      <c r="V1867" s="50"/>
      <c r="W1867" s="49"/>
      <c r="X1867" s="49"/>
      <c r="Y1867" s="35"/>
      <c r="Z1867" s="35"/>
      <c r="AA1867" s="35"/>
      <c r="AB1867" s="35"/>
      <c r="AC1867" s="35"/>
      <c r="AD1867" s="35"/>
      <c r="AE1867" s="35"/>
      <c r="AF1867" s="35"/>
      <c r="AG1867" s="35"/>
      <c r="AH1867" s="35"/>
      <c r="AI1867" s="35"/>
      <c r="AJ1867" s="35"/>
      <c r="AK1867" s="35"/>
      <c r="AL1867" s="35"/>
    </row>
    <row r="1868">
      <c r="A1868" s="1"/>
      <c r="B1868" s="19" t="s">
        <v>9393</v>
      </c>
      <c r="C1868" s="20" t="s">
        <v>9394</v>
      </c>
      <c r="D1868" s="47"/>
      <c r="E1868" s="57" t="s">
        <v>9483</v>
      </c>
      <c r="F1868" s="22" t="s">
        <v>5223</v>
      </c>
      <c r="G1868" s="57">
        <v>2019.0</v>
      </c>
      <c r="H1868" s="57" t="s">
        <v>9396</v>
      </c>
      <c r="I1868" s="134" t="s">
        <v>9484</v>
      </c>
      <c r="J1868" s="22" t="s">
        <v>44</v>
      </c>
      <c r="K1868" s="22" t="s">
        <v>157</v>
      </c>
      <c r="L1868" s="36">
        <v>670.0</v>
      </c>
      <c r="M1868" s="36"/>
      <c r="N1868" s="36"/>
      <c r="O1868" s="249"/>
      <c r="P1868" s="36"/>
      <c r="Q1868" s="36"/>
      <c r="R1868" s="36"/>
      <c r="S1868" s="36"/>
      <c r="T1868" s="54" t="s">
        <v>9485</v>
      </c>
      <c r="U1868" s="250" t="str">
        <f>HYPERLINK("https://www.ncbi.nlm.nih.gov/pubmed/31181197","PubMed")</f>
        <v>PubMed</v>
      </c>
      <c r="V1868" s="50"/>
      <c r="W1868" s="49"/>
      <c r="X1868" s="49"/>
      <c r="Y1868" s="35"/>
      <c r="Z1868" s="35"/>
      <c r="AA1868" s="35"/>
      <c r="AB1868" s="35"/>
      <c r="AC1868" s="35"/>
      <c r="AD1868" s="35"/>
      <c r="AE1868" s="35"/>
      <c r="AF1868" s="35"/>
      <c r="AG1868" s="35"/>
      <c r="AH1868" s="35"/>
      <c r="AI1868" s="35"/>
      <c r="AJ1868" s="35"/>
      <c r="AK1868" s="35"/>
      <c r="AL1868" s="35"/>
    </row>
    <row r="1869">
      <c r="A1869" s="1"/>
      <c r="B1869" s="19" t="s">
        <v>9393</v>
      </c>
      <c r="C1869" s="20" t="s">
        <v>9394</v>
      </c>
      <c r="D1869" s="47"/>
      <c r="E1869" s="57" t="s">
        <v>9486</v>
      </c>
      <c r="F1869" s="22" t="s">
        <v>6013</v>
      </c>
      <c r="G1869" s="57">
        <v>2018.0</v>
      </c>
      <c r="H1869" s="57" t="s">
        <v>9487</v>
      </c>
      <c r="I1869" s="134" t="s">
        <v>9488</v>
      </c>
      <c r="J1869" s="22" t="s">
        <v>9489</v>
      </c>
      <c r="K1869" s="22"/>
      <c r="L1869" s="36">
        <v>633.0</v>
      </c>
      <c r="M1869" s="36"/>
      <c r="N1869" s="36" t="s">
        <v>5051</v>
      </c>
      <c r="O1869" s="249"/>
      <c r="P1869" s="36"/>
      <c r="Q1869" s="36"/>
      <c r="R1869" s="36">
        <v>180.0</v>
      </c>
      <c r="S1869" s="36" t="s">
        <v>9490</v>
      </c>
      <c r="T1869" s="54" t="s">
        <v>9491</v>
      </c>
      <c r="U1869" s="250" t="str">
        <f>HYPERLINK("http://iopscience.iop.org/article/10.1088/1742-6596/992/1/012061/pdf","IOP (pdf)")</f>
        <v>IOP (pdf)</v>
      </c>
      <c r="V1869" s="50"/>
      <c r="W1869" s="49"/>
      <c r="X1869" s="49"/>
      <c r="Y1869" s="35"/>
      <c r="Z1869" s="35"/>
      <c r="AA1869" s="35"/>
      <c r="AB1869" s="35"/>
      <c r="AC1869" s="35"/>
      <c r="AD1869" s="35"/>
      <c r="AE1869" s="35"/>
      <c r="AF1869" s="35"/>
      <c r="AG1869" s="35"/>
      <c r="AH1869" s="35"/>
      <c r="AI1869" s="35"/>
      <c r="AJ1869" s="35"/>
      <c r="AK1869" s="35"/>
      <c r="AL1869" s="35"/>
    </row>
    <row r="1870">
      <c r="A1870" s="1"/>
      <c r="B1870" s="19" t="s">
        <v>9393</v>
      </c>
      <c r="C1870" s="20" t="s">
        <v>9394</v>
      </c>
      <c r="D1870" s="47"/>
      <c r="E1870" s="57" t="s">
        <v>9483</v>
      </c>
      <c r="F1870" s="22" t="s">
        <v>5223</v>
      </c>
      <c r="G1870" s="57">
        <v>2017.0</v>
      </c>
      <c r="H1870" s="57" t="s">
        <v>2541</v>
      </c>
      <c r="I1870" s="134" t="s">
        <v>9492</v>
      </c>
      <c r="J1870" s="22" t="s">
        <v>44</v>
      </c>
      <c r="K1870" s="22" t="s">
        <v>157</v>
      </c>
      <c r="L1870" s="36">
        <v>670.0</v>
      </c>
      <c r="M1870" s="36"/>
      <c r="N1870" s="36"/>
      <c r="O1870" s="249"/>
      <c r="P1870" s="36"/>
      <c r="Q1870" s="36"/>
      <c r="R1870" s="36"/>
      <c r="S1870" s="36"/>
      <c r="T1870" s="54" t="s">
        <v>9493</v>
      </c>
      <c r="U1870" s="250" t="str">
        <f>HYPERLINK("https://www.ncbi.nlm.nih.gov/pubmed/28129566","PubMed")</f>
        <v>PubMed</v>
      </c>
      <c r="V1870" s="50"/>
      <c r="W1870" s="49"/>
      <c r="X1870" s="49"/>
      <c r="Y1870" s="35"/>
      <c r="Z1870" s="35"/>
      <c r="AA1870" s="35"/>
      <c r="AB1870" s="35"/>
      <c r="AC1870" s="35"/>
      <c r="AD1870" s="35"/>
      <c r="AE1870" s="35"/>
      <c r="AF1870" s="35"/>
      <c r="AG1870" s="35"/>
      <c r="AH1870" s="35"/>
      <c r="AI1870" s="35"/>
      <c r="AJ1870" s="35"/>
      <c r="AK1870" s="35"/>
      <c r="AL1870" s="35"/>
    </row>
    <row r="1871">
      <c r="A1871" s="1" t="s">
        <v>2</v>
      </c>
      <c r="B1871" s="19" t="s">
        <v>9393</v>
      </c>
      <c r="C1871" s="20" t="s">
        <v>9394</v>
      </c>
      <c r="D1871" s="47"/>
      <c r="E1871" s="57" t="s">
        <v>9494</v>
      </c>
      <c r="F1871" s="22" t="s">
        <v>2445</v>
      </c>
      <c r="G1871" s="57">
        <v>2016.0</v>
      </c>
      <c r="H1871" s="57" t="s">
        <v>9495</v>
      </c>
      <c r="I1871" s="134" t="s">
        <v>9496</v>
      </c>
      <c r="J1871" s="22" t="s">
        <v>9497</v>
      </c>
      <c r="K1871" s="22" t="s">
        <v>9498</v>
      </c>
      <c r="L1871" s="36" t="s">
        <v>9499</v>
      </c>
      <c r="M1871" s="36" t="s">
        <v>9500</v>
      </c>
      <c r="N1871" s="36" t="s">
        <v>9501</v>
      </c>
      <c r="O1871" s="249"/>
      <c r="P1871" s="36" t="s">
        <v>9502</v>
      </c>
      <c r="Q1871" s="36"/>
      <c r="R1871" s="36" t="s">
        <v>9503</v>
      </c>
      <c r="S1871" s="36" t="s">
        <v>8476</v>
      </c>
      <c r="T1871" s="104" t="s">
        <v>9504</v>
      </c>
      <c r="U1871" s="250" t="str">
        <f>HYPERLINK("https://www.ncbi.nlm.nih.gov/pubmed/27989012","PubMed")</f>
        <v>PubMed</v>
      </c>
      <c r="V1871" s="50"/>
      <c r="W1871" s="49"/>
      <c r="X1871" s="49"/>
      <c r="Y1871" s="35"/>
      <c r="Z1871" s="35"/>
      <c r="AA1871" s="35"/>
      <c r="AB1871" s="35"/>
      <c r="AC1871" s="35"/>
      <c r="AD1871" s="35"/>
      <c r="AE1871" s="35"/>
      <c r="AF1871" s="35"/>
      <c r="AG1871" s="35"/>
      <c r="AH1871" s="35"/>
      <c r="AI1871" s="35"/>
      <c r="AJ1871" s="35"/>
      <c r="AK1871" s="35"/>
      <c r="AL1871" s="35"/>
    </row>
    <row r="1872">
      <c r="A1872" s="133"/>
      <c r="B1872" s="19" t="s">
        <v>9393</v>
      </c>
      <c r="C1872" s="20" t="s">
        <v>9394</v>
      </c>
      <c r="D1872" s="47"/>
      <c r="E1872" s="174" t="s">
        <v>9505</v>
      </c>
      <c r="F1872" s="23" t="s">
        <v>5223</v>
      </c>
      <c r="G1872" s="174">
        <v>2015.0</v>
      </c>
      <c r="H1872" s="174" t="s">
        <v>2541</v>
      </c>
      <c r="I1872" s="175" t="s">
        <v>9506</v>
      </c>
      <c r="J1872" s="23" t="s">
        <v>44</v>
      </c>
      <c r="K1872" s="23" t="s">
        <v>9507</v>
      </c>
      <c r="L1872" s="36">
        <v>670.0</v>
      </c>
      <c r="M1872" s="36"/>
      <c r="N1872" s="36" t="s">
        <v>1439</v>
      </c>
      <c r="O1872" s="36"/>
      <c r="P1872" s="37"/>
      <c r="Q1872" s="36"/>
      <c r="R1872" s="36">
        <v>90.0</v>
      </c>
      <c r="S1872" s="36">
        <v>5.0</v>
      </c>
      <c r="T1872" s="54" t="s">
        <v>9508</v>
      </c>
      <c r="U1872" s="250" t="str">
        <f>HYPERLINK("https://www.ncbi.nlm.nih.gov/pubmed/26149919","PubMed")</f>
        <v>PubMed</v>
      </c>
      <c r="V1872" s="251"/>
      <c r="W1872" s="49"/>
      <c r="X1872" s="49"/>
      <c r="Y1872" s="35"/>
      <c r="Z1872" s="35"/>
      <c r="AA1872" s="35"/>
      <c r="AB1872" s="35"/>
      <c r="AC1872" s="35"/>
      <c r="AD1872" s="35"/>
      <c r="AE1872" s="35"/>
      <c r="AF1872" s="35"/>
      <c r="AG1872" s="35"/>
      <c r="AH1872" s="35"/>
      <c r="AI1872" s="35"/>
      <c r="AJ1872" s="35"/>
      <c r="AK1872" s="35"/>
      <c r="AL1872" s="35"/>
    </row>
    <row r="1873">
      <c r="A1873" s="133"/>
      <c r="B1873" s="19" t="s">
        <v>9393</v>
      </c>
      <c r="C1873" s="20" t="s">
        <v>9394</v>
      </c>
      <c r="D1873" s="47"/>
      <c r="E1873" s="22" t="s">
        <v>9509</v>
      </c>
      <c r="F1873" s="22" t="s">
        <v>5223</v>
      </c>
      <c r="G1873" s="57">
        <v>2014.0</v>
      </c>
      <c r="H1873" s="57" t="s">
        <v>9396</v>
      </c>
      <c r="I1873" s="134" t="s">
        <v>9510</v>
      </c>
      <c r="J1873" s="57" t="s">
        <v>44</v>
      </c>
      <c r="K1873" s="23" t="s">
        <v>9511</v>
      </c>
      <c r="L1873" s="36">
        <v>670.0</v>
      </c>
      <c r="M1873" s="36"/>
      <c r="N1873" s="36" t="s">
        <v>1439</v>
      </c>
      <c r="O1873" s="36"/>
      <c r="P1873" s="37"/>
      <c r="Q1873" s="36"/>
      <c r="R1873" s="36">
        <v>90.0</v>
      </c>
      <c r="S1873" s="36">
        <v>7.0</v>
      </c>
      <c r="T1873" s="28" t="s">
        <v>9512</v>
      </c>
      <c r="U1873" s="250" t="str">
        <f>HYPERLINK("https://www.ncbi.nlm.nih.gov/pubmed/24631333","PubMed")</f>
        <v>PubMed</v>
      </c>
      <c r="V1873" s="50"/>
      <c r="W1873" s="49"/>
      <c r="X1873" s="49"/>
      <c r="Y1873" s="35"/>
      <c r="Z1873" s="35"/>
      <c r="AA1873" s="35"/>
      <c r="AB1873" s="35"/>
      <c r="AC1873" s="35"/>
      <c r="AD1873" s="35"/>
      <c r="AE1873" s="35"/>
      <c r="AF1873" s="35"/>
      <c r="AG1873" s="35"/>
      <c r="AH1873" s="35"/>
      <c r="AI1873" s="35"/>
      <c r="AJ1873" s="35"/>
      <c r="AK1873" s="35"/>
      <c r="AL1873" s="35"/>
    </row>
    <row r="1874">
      <c r="A1874" s="133"/>
      <c r="B1874" s="19" t="s">
        <v>9393</v>
      </c>
      <c r="C1874" s="20" t="s">
        <v>9394</v>
      </c>
      <c r="D1874" s="47"/>
      <c r="E1874" s="57" t="s">
        <v>9513</v>
      </c>
      <c r="F1874" s="22" t="s">
        <v>9514</v>
      </c>
      <c r="G1874" s="23">
        <v>2013.0</v>
      </c>
      <c r="H1874" s="57" t="s">
        <v>2541</v>
      </c>
      <c r="I1874" s="134" t="s">
        <v>9515</v>
      </c>
      <c r="J1874" s="57" t="s">
        <v>44</v>
      </c>
      <c r="K1874" s="23" t="s">
        <v>9507</v>
      </c>
      <c r="L1874" s="36">
        <v>670.0</v>
      </c>
      <c r="M1874" s="36"/>
      <c r="N1874" s="36" t="s">
        <v>1439</v>
      </c>
      <c r="O1874" s="36"/>
      <c r="P1874" s="37"/>
      <c r="Q1874" s="36"/>
      <c r="R1874" s="36">
        <v>90.0</v>
      </c>
      <c r="S1874" s="36">
        <v>5.0</v>
      </c>
      <c r="T1874" s="28" t="s">
        <v>9516</v>
      </c>
      <c r="U1874" s="250" t="str">
        <f>HYPERLINK("https://www.ncbi.nlm.nih.gov/pubmed/22595370","PubMed")</f>
        <v>PubMed</v>
      </c>
      <c r="V1874" s="50"/>
      <c r="W1874" s="49"/>
      <c r="X1874" s="49"/>
      <c r="Y1874" s="35"/>
      <c r="Z1874" s="35"/>
      <c r="AA1874" s="35"/>
      <c r="AB1874" s="35"/>
      <c r="AC1874" s="35"/>
      <c r="AD1874" s="35"/>
      <c r="AE1874" s="35"/>
      <c r="AF1874" s="35"/>
      <c r="AG1874" s="35"/>
      <c r="AH1874" s="35"/>
      <c r="AI1874" s="35"/>
      <c r="AJ1874" s="35"/>
      <c r="AK1874" s="35"/>
      <c r="AL1874" s="35"/>
    </row>
    <row r="1875">
      <c r="A1875" s="133" t="s">
        <v>2</v>
      </c>
      <c r="B1875" s="19" t="s">
        <v>9393</v>
      </c>
      <c r="C1875" s="20" t="s">
        <v>9394</v>
      </c>
      <c r="D1875" s="47"/>
      <c r="E1875" s="22" t="s">
        <v>9517</v>
      </c>
      <c r="F1875" s="22" t="s">
        <v>8378</v>
      </c>
      <c r="G1875" s="57">
        <v>2013.0</v>
      </c>
      <c r="H1875" s="57" t="s">
        <v>627</v>
      </c>
      <c r="I1875" s="134" t="s">
        <v>9518</v>
      </c>
      <c r="J1875" s="57" t="s">
        <v>44</v>
      </c>
      <c r="K1875" s="23" t="s">
        <v>9519</v>
      </c>
      <c r="L1875" s="36">
        <v>670.0</v>
      </c>
      <c r="M1875" s="36"/>
      <c r="N1875" s="36"/>
      <c r="O1875" s="36"/>
      <c r="P1875" s="37"/>
      <c r="Q1875" s="36"/>
      <c r="R1875" s="36">
        <v>360.0</v>
      </c>
      <c r="S1875" s="36">
        <v>28.0</v>
      </c>
      <c r="T1875" s="28" t="s">
        <v>9520</v>
      </c>
      <c r="U1875" s="250" t="str">
        <f>HYPERLINK("https://www.ncbi.nlm.nih.gov/pubmed/23469078","PubMed")</f>
        <v>PubMed</v>
      </c>
      <c r="V1875" s="30" t="s">
        <v>9521</v>
      </c>
      <c r="W1875" s="49"/>
      <c r="X1875" s="49"/>
      <c r="Y1875" s="35"/>
      <c r="Z1875" s="35"/>
      <c r="AA1875" s="35"/>
      <c r="AB1875" s="35"/>
      <c r="AC1875" s="35"/>
      <c r="AD1875" s="35"/>
      <c r="AE1875" s="35"/>
      <c r="AF1875" s="35"/>
      <c r="AG1875" s="35"/>
      <c r="AH1875" s="35"/>
      <c r="AI1875" s="35"/>
      <c r="AJ1875" s="35"/>
      <c r="AK1875" s="35"/>
      <c r="AL1875" s="35"/>
    </row>
    <row r="1876">
      <c r="A1876" s="133"/>
      <c r="B1876" s="19" t="s">
        <v>9393</v>
      </c>
      <c r="C1876" s="20" t="s">
        <v>9394</v>
      </c>
      <c r="D1876" s="47"/>
      <c r="E1876" s="57" t="s">
        <v>9522</v>
      </c>
      <c r="F1876" s="22" t="s">
        <v>9514</v>
      </c>
      <c r="G1876" s="23">
        <v>2013.0</v>
      </c>
      <c r="H1876" s="57" t="s">
        <v>207</v>
      </c>
      <c r="I1876" s="134" t="s">
        <v>9523</v>
      </c>
      <c r="J1876" s="57" t="s">
        <v>44</v>
      </c>
      <c r="K1876" s="23" t="s">
        <v>9524</v>
      </c>
      <c r="L1876" s="36">
        <v>670.0</v>
      </c>
      <c r="M1876" s="36"/>
      <c r="N1876" s="36" t="s">
        <v>1439</v>
      </c>
      <c r="O1876" s="36"/>
      <c r="P1876" s="37"/>
      <c r="Q1876" s="36"/>
      <c r="R1876" s="36">
        <v>90.0</v>
      </c>
      <c r="S1876" s="36">
        <v>4.0</v>
      </c>
      <c r="T1876" s="28" t="s">
        <v>9525</v>
      </c>
      <c r="U1876" s="250" t="str">
        <f>HYPERLINK("https://www.ncbi.nlm.nih.gov/pubmed/23584451","PubMed")</f>
        <v>PubMed</v>
      </c>
      <c r="V1876" s="50"/>
      <c r="W1876" s="49"/>
      <c r="X1876" s="49"/>
      <c r="Y1876" s="35"/>
      <c r="Z1876" s="35"/>
      <c r="AA1876" s="35"/>
      <c r="AB1876" s="35"/>
      <c r="AC1876" s="35"/>
      <c r="AD1876" s="35"/>
      <c r="AE1876" s="35"/>
      <c r="AF1876" s="35"/>
      <c r="AG1876" s="35"/>
      <c r="AH1876" s="35"/>
      <c r="AI1876" s="35"/>
      <c r="AJ1876" s="35"/>
      <c r="AK1876" s="35"/>
      <c r="AL1876" s="35"/>
    </row>
    <row r="1877">
      <c r="A1877" s="133"/>
      <c r="B1877" s="19" t="s">
        <v>9393</v>
      </c>
      <c r="C1877" s="20" t="s">
        <v>9394</v>
      </c>
      <c r="D1877" s="47"/>
      <c r="E1877" s="174" t="s">
        <v>9526</v>
      </c>
      <c r="F1877" s="22" t="s">
        <v>9527</v>
      </c>
      <c r="G1877" s="174">
        <v>2012.0</v>
      </c>
      <c r="H1877" s="174" t="s">
        <v>2276</v>
      </c>
      <c r="I1877" s="175" t="s">
        <v>9528</v>
      </c>
      <c r="J1877" s="23" t="s">
        <v>55</v>
      </c>
      <c r="K1877" s="23" t="s">
        <v>157</v>
      </c>
      <c r="L1877" s="36">
        <v>670.0</v>
      </c>
      <c r="M1877" s="36"/>
      <c r="N1877" s="36"/>
      <c r="O1877" s="36"/>
      <c r="P1877" s="37" t="s">
        <v>2395</v>
      </c>
      <c r="Q1877" s="36"/>
      <c r="R1877" s="36">
        <v>180.0</v>
      </c>
      <c r="S1877" s="36">
        <v>5.0</v>
      </c>
      <c r="T1877" s="54" t="s">
        <v>9529</v>
      </c>
      <c r="U1877" s="135" t="str">
        <f>HYPERLINK("https://www.ncbi.nlm.nih.gov/pubmed/23181358","PubMed")</f>
        <v>PubMed</v>
      </c>
      <c r="V1877" s="139"/>
      <c r="W1877" s="49"/>
      <c r="X1877" s="49"/>
      <c r="Y1877" s="35"/>
      <c r="Z1877" s="35"/>
      <c r="AA1877" s="35"/>
      <c r="AB1877" s="35"/>
      <c r="AC1877" s="35"/>
      <c r="AD1877" s="35"/>
      <c r="AE1877" s="35"/>
      <c r="AF1877" s="35"/>
      <c r="AG1877" s="35"/>
      <c r="AH1877" s="35"/>
      <c r="AI1877" s="35"/>
      <c r="AJ1877" s="35"/>
      <c r="AK1877" s="35"/>
      <c r="AL1877" s="35"/>
    </row>
    <row r="1878">
      <c r="A1878" s="133" t="s">
        <v>9530</v>
      </c>
      <c r="B1878" s="19" t="s">
        <v>9393</v>
      </c>
      <c r="C1878" s="20" t="s">
        <v>9394</v>
      </c>
      <c r="D1878" s="47"/>
      <c r="E1878" s="174" t="s">
        <v>9531</v>
      </c>
      <c r="F1878" s="22" t="s">
        <v>1173</v>
      </c>
      <c r="G1878" s="174">
        <v>2012.0</v>
      </c>
      <c r="H1878" s="174" t="s">
        <v>9532</v>
      </c>
      <c r="I1878" s="175" t="s">
        <v>9533</v>
      </c>
      <c r="J1878" s="23" t="s">
        <v>55</v>
      </c>
      <c r="K1878" s="22" t="s">
        <v>9534</v>
      </c>
      <c r="L1878" s="36" t="s">
        <v>9535</v>
      </c>
      <c r="M1878" s="36"/>
      <c r="N1878" s="36"/>
      <c r="O1878" s="36"/>
      <c r="P1878" s="37"/>
      <c r="Q1878" s="36"/>
      <c r="R1878" s="36"/>
      <c r="S1878" s="36"/>
      <c r="T1878" s="252" t="s">
        <v>9536</v>
      </c>
      <c r="U1878" s="250" t="str">
        <f>HYPERLINK("http://dc.uwm.edu/etd/4/","UWM")</f>
        <v>UWM</v>
      </c>
      <c r="V1878" s="251"/>
      <c r="W1878" s="49"/>
      <c r="X1878" s="49"/>
      <c r="Y1878" s="35"/>
      <c r="Z1878" s="35"/>
      <c r="AA1878" s="35"/>
      <c r="AB1878" s="35"/>
      <c r="AC1878" s="35"/>
      <c r="AD1878" s="35"/>
      <c r="AE1878" s="35"/>
      <c r="AF1878" s="35"/>
      <c r="AG1878" s="35"/>
      <c r="AH1878" s="35"/>
      <c r="AI1878" s="35"/>
      <c r="AJ1878" s="35"/>
      <c r="AK1878" s="35"/>
      <c r="AL1878" s="35"/>
    </row>
    <row r="1879">
      <c r="A1879" s="146" t="s">
        <v>181</v>
      </c>
      <c r="B1879" s="19" t="s">
        <v>9393</v>
      </c>
      <c r="C1879" s="20" t="s">
        <v>9394</v>
      </c>
      <c r="D1879" s="47"/>
      <c r="E1879" s="174" t="s">
        <v>9486</v>
      </c>
      <c r="F1879" s="23" t="s">
        <v>6013</v>
      </c>
      <c r="G1879" s="174">
        <v>2012.0</v>
      </c>
      <c r="H1879" s="174" t="s">
        <v>9495</v>
      </c>
      <c r="I1879" s="175" t="s">
        <v>9537</v>
      </c>
      <c r="J1879" s="23" t="s">
        <v>9538</v>
      </c>
      <c r="K1879" s="22" t="s">
        <v>9539</v>
      </c>
      <c r="L1879" s="36">
        <v>633.0</v>
      </c>
      <c r="M1879" s="36"/>
      <c r="N1879" s="36" t="s">
        <v>9540</v>
      </c>
      <c r="O1879" s="36"/>
      <c r="P1879" s="37"/>
      <c r="Q1879" s="36"/>
      <c r="R1879" s="36">
        <v>180.0</v>
      </c>
      <c r="S1879" s="36" t="s">
        <v>9490</v>
      </c>
      <c r="T1879" s="252" t="s">
        <v>9541</v>
      </c>
      <c r="U1879" s="250" t="str">
        <f>HYPERLINK("http://onlinelibrary.wiley.com/doi/10.1111/j.1755-3768.2012.S053.x/abstract","Wiley")</f>
        <v>Wiley</v>
      </c>
      <c r="V1879" s="251"/>
      <c r="W1879" s="49"/>
      <c r="X1879" s="49"/>
      <c r="Y1879" s="35"/>
      <c r="Z1879" s="35"/>
      <c r="AA1879" s="35"/>
      <c r="AB1879" s="35"/>
      <c r="AC1879" s="35"/>
      <c r="AD1879" s="35"/>
      <c r="AE1879" s="35"/>
      <c r="AF1879" s="35"/>
      <c r="AG1879" s="35"/>
      <c r="AH1879" s="35"/>
      <c r="AI1879" s="35"/>
      <c r="AJ1879" s="35"/>
      <c r="AK1879" s="35"/>
      <c r="AL1879" s="35"/>
    </row>
    <row r="1880">
      <c r="A1880" s="253"/>
      <c r="B1880" s="19" t="s">
        <v>9393</v>
      </c>
      <c r="C1880" s="20" t="s">
        <v>9394</v>
      </c>
      <c r="D1880" s="47"/>
      <c r="E1880" s="22" t="s">
        <v>9542</v>
      </c>
      <c r="F1880" s="22" t="s">
        <v>2604</v>
      </c>
      <c r="G1880" s="23">
        <v>2008.0</v>
      </c>
      <c r="H1880" s="22" t="s">
        <v>658</v>
      </c>
      <c r="I1880" s="254" t="s">
        <v>9543</v>
      </c>
      <c r="J1880" s="22" t="s">
        <v>9544</v>
      </c>
      <c r="K1880" s="23" t="s">
        <v>9394</v>
      </c>
      <c r="L1880" s="36">
        <v>780.0</v>
      </c>
      <c r="M1880" s="129">
        <v>42497.0</v>
      </c>
      <c r="N1880" s="36"/>
      <c r="O1880" s="36"/>
      <c r="P1880" s="37" t="s">
        <v>8665</v>
      </c>
      <c r="Q1880" s="36" t="s">
        <v>9545</v>
      </c>
      <c r="R1880" s="36">
        <v>40.0</v>
      </c>
      <c r="S1880" s="36" t="s">
        <v>7986</v>
      </c>
      <c r="T1880" s="252" t="s">
        <v>9546</v>
      </c>
      <c r="U1880" s="250" t="str">
        <f>HYPERLINK("http://www.ncbi.nlm.nih.gov/pubmed/18588438","PubMed")</f>
        <v>PubMed</v>
      </c>
      <c r="V1880" s="30" t="s">
        <v>9547</v>
      </c>
      <c r="W1880" s="49"/>
      <c r="X1880" s="49"/>
      <c r="Y1880" s="35"/>
      <c r="Z1880" s="35"/>
      <c r="AA1880" s="35"/>
      <c r="AB1880" s="35"/>
      <c r="AC1880" s="35"/>
      <c r="AD1880" s="35"/>
      <c r="AE1880" s="35"/>
      <c r="AF1880" s="35"/>
      <c r="AG1880" s="35"/>
      <c r="AH1880" s="35"/>
      <c r="AI1880" s="35"/>
      <c r="AJ1880" s="35"/>
      <c r="AK1880" s="35"/>
      <c r="AL1880" s="35"/>
    </row>
    <row r="1881">
      <c r="A1881" s="146"/>
      <c r="B1881" s="19" t="s">
        <v>9393</v>
      </c>
      <c r="C1881" s="20" t="s">
        <v>9548</v>
      </c>
      <c r="D1881" s="47"/>
      <c r="E1881" s="174" t="s">
        <v>9549</v>
      </c>
      <c r="F1881" s="23" t="s">
        <v>993</v>
      </c>
      <c r="G1881" s="174">
        <v>2019.0</v>
      </c>
      <c r="H1881" s="174" t="s">
        <v>9550</v>
      </c>
      <c r="I1881" s="175" t="s">
        <v>9551</v>
      </c>
      <c r="J1881" s="22" t="s">
        <v>125</v>
      </c>
      <c r="K1881" s="22"/>
      <c r="L1881" s="167" t="s">
        <v>9552</v>
      </c>
      <c r="M1881" s="44"/>
      <c r="N1881" s="44"/>
      <c r="O1881" s="44"/>
      <c r="P1881" s="44"/>
      <c r="Q1881" s="44"/>
      <c r="R1881" s="44"/>
      <c r="S1881" s="44"/>
      <c r="T1881" s="45"/>
      <c r="U1881" s="250" t="str">
        <f>HYPERLINK("https://iopscience.iop.org/article/10.1088/1612-202X/ab16df/meta","IOP")</f>
        <v>IOP</v>
      </c>
      <c r="V1881" s="251"/>
      <c r="W1881" s="49"/>
      <c r="X1881" s="49"/>
      <c r="Y1881" s="35"/>
      <c r="Z1881" s="35"/>
      <c r="AA1881" s="35"/>
      <c r="AB1881" s="35"/>
      <c r="AC1881" s="35"/>
      <c r="AD1881" s="35"/>
      <c r="AE1881" s="35"/>
      <c r="AF1881" s="35"/>
      <c r="AG1881" s="35"/>
      <c r="AH1881" s="35"/>
      <c r="AI1881" s="35"/>
      <c r="AJ1881" s="35"/>
      <c r="AK1881" s="35"/>
      <c r="AL1881" s="35"/>
    </row>
    <row r="1882">
      <c r="A1882" s="146"/>
      <c r="B1882" s="19" t="s">
        <v>9393</v>
      </c>
      <c r="C1882" s="20" t="s">
        <v>9548</v>
      </c>
      <c r="D1882" s="47"/>
      <c r="E1882" s="174" t="s">
        <v>9542</v>
      </c>
      <c r="F1882" s="23" t="s">
        <v>8756</v>
      </c>
      <c r="G1882" s="174">
        <v>2012.0</v>
      </c>
      <c r="H1882" s="174" t="s">
        <v>658</v>
      </c>
      <c r="I1882" s="175" t="s">
        <v>9553</v>
      </c>
      <c r="J1882" s="23" t="s">
        <v>9554</v>
      </c>
      <c r="K1882" s="22" t="s">
        <v>9555</v>
      </c>
      <c r="L1882" s="36">
        <v>780.0</v>
      </c>
      <c r="M1882" s="129">
        <v>42497.0</v>
      </c>
      <c r="N1882" s="36"/>
      <c r="O1882" s="36"/>
      <c r="P1882" s="37" t="s">
        <v>9556</v>
      </c>
      <c r="Q1882" s="36" t="s">
        <v>1270</v>
      </c>
      <c r="R1882" s="36"/>
      <c r="S1882" s="36" t="s">
        <v>9557</v>
      </c>
      <c r="T1882" s="252" t="s">
        <v>9558</v>
      </c>
      <c r="U1882" s="250" t="str">
        <f>HYPERLINK("https://www.ncbi.nlm.nih.gov/pubmed/22235969","PubMed")</f>
        <v>PubMed</v>
      </c>
      <c r="V1882" s="251"/>
      <c r="W1882" s="49"/>
      <c r="X1882" s="49"/>
      <c r="Y1882" s="35"/>
      <c r="Z1882" s="35"/>
      <c r="AA1882" s="35"/>
      <c r="AB1882" s="35"/>
      <c r="AC1882" s="35"/>
      <c r="AD1882" s="35"/>
      <c r="AE1882" s="35"/>
      <c r="AF1882" s="35"/>
      <c r="AG1882" s="35"/>
      <c r="AH1882" s="35"/>
      <c r="AI1882" s="35"/>
      <c r="AJ1882" s="35"/>
      <c r="AK1882" s="35"/>
      <c r="AL1882" s="35"/>
    </row>
    <row r="1883">
      <c r="A1883" s="146"/>
      <c r="B1883" s="19" t="s">
        <v>9393</v>
      </c>
      <c r="C1883" s="20" t="s">
        <v>9559</v>
      </c>
      <c r="D1883" s="47"/>
      <c r="E1883" s="57" t="s">
        <v>1080</v>
      </c>
      <c r="F1883" s="22" t="s">
        <v>1905</v>
      </c>
      <c r="G1883" s="57">
        <v>2020.0</v>
      </c>
      <c r="H1883" s="57" t="s">
        <v>9560</v>
      </c>
      <c r="I1883" s="134" t="s">
        <v>9561</v>
      </c>
      <c r="J1883" s="22" t="s">
        <v>55</v>
      </c>
      <c r="K1883" s="22"/>
      <c r="L1883" s="36">
        <v>808.0</v>
      </c>
      <c r="M1883" s="36"/>
      <c r="N1883" s="36"/>
      <c r="O1883" s="36"/>
      <c r="P1883" s="37"/>
      <c r="Q1883" s="36"/>
      <c r="R1883" s="36"/>
      <c r="S1883" s="36"/>
      <c r="T1883" s="252" t="s">
        <v>9562</v>
      </c>
      <c r="U1883" s="248" t="s">
        <v>61</v>
      </c>
      <c r="V1883" s="50"/>
      <c r="W1883" s="49"/>
      <c r="X1883" s="49"/>
      <c r="Y1883" s="35"/>
      <c r="Z1883" s="35"/>
      <c r="AA1883" s="35"/>
      <c r="AB1883" s="35"/>
      <c r="AC1883" s="35"/>
      <c r="AD1883" s="35"/>
      <c r="AE1883" s="35"/>
      <c r="AF1883" s="35"/>
      <c r="AG1883" s="35"/>
      <c r="AH1883" s="35"/>
      <c r="AI1883" s="35"/>
      <c r="AJ1883" s="35"/>
      <c r="AK1883" s="35"/>
      <c r="AL1883" s="35"/>
    </row>
    <row r="1884">
      <c r="A1884" s="146" t="s">
        <v>181</v>
      </c>
      <c r="B1884" s="19" t="s">
        <v>9393</v>
      </c>
      <c r="C1884" s="20" t="s">
        <v>9563</v>
      </c>
      <c r="D1884" s="47"/>
      <c r="E1884" s="57" t="s">
        <v>9564</v>
      </c>
      <c r="F1884" s="22" t="s">
        <v>9565</v>
      </c>
      <c r="G1884" s="57">
        <v>2019.0</v>
      </c>
      <c r="H1884" s="57" t="s">
        <v>9450</v>
      </c>
      <c r="I1884" s="134" t="s">
        <v>9566</v>
      </c>
      <c r="J1884" s="22" t="s">
        <v>9567</v>
      </c>
      <c r="K1884" s="22"/>
      <c r="L1884" s="36"/>
      <c r="M1884" s="36"/>
      <c r="N1884" s="36"/>
      <c r="O1884" s="36"/>
      <c r="P1884" s="37"/>
      <c r="Q1884" s="36"/>
      <c r="R1884" s="36"/>
      <c r="S1884" s="183">
        <v>44593.0</v>
      </c>
      <c r="T1884" s="252" t="s">
        <v>9568</v>
      </c>
      <c r="U1884" s="250" t="str">
        <f>HYPERLINK("https://www.ncbi.nlm.nih.gov/pubmed/31564823","PubMed")</f>
        <v>PubMed</v>
      </c>
      <c r="V1884" s="50"/>
      <c r="W1884" s="49"/>
      <c r="X1884" s="49"/>
      <c r="Y1884" s="35"/>
      <c r="Z1884" s="35"/>
      <c r="AA1884" s="35"/>
      <c r="AB1884" s="35"/>
      <c r="AC1884" s="35"/>
      <c r="AD1884" s="35"/>
      <c r="AE1884" s="35"/>
      <c r="AF1884" s="35"/>
      <c r="AG1884" s="35"/>
      <c r="AH1884" s="35"/>
      <c r="AI1884" s="35"/>
      <c r="AJ1884" s="35"/>
      <c r="AK1884" s="35"/>
      <c r="AL1884" s="35"/>
    </row>
    <row r="1885">
      <c r="A1885" s="146"/>
      <c r="B1885" s="19" t="s">
        <v>9393</v>
      </c>
      <c r="C1885" s="20" t="s">
        <v>9569</v>
      </c>
      <c r="D1885" s="47"/>
      <c r="E1885" s="57" t="s">
        <v>9570</v>
      </c>
      <c r="F1885" s="22" t="s">
        <v>9571</v>
      </c>
      <c r="G1885" s="57">
        <v>2024.0</v>
      </c>
      <c r="H1885" s="57" t="s">
        <v>9415</v>
      </c>
      <c r="I1885" s="134" t="s">
        <v>9572</v>
      </c>
      <c r="J1885" s="22" t="s">
        <v>2273</v>
      </c>
      <c r="K1885" s="22"/>
      <c r="L1885" s="36"/>
      <c r="M1885" s="36"/>
      <c r="N1885" s="36"/>
      <c r="O1885" s="36"/>
      <c r="P1885" s="37"/>
      <c r="Q1885" s="36"/>
      <c r="R1885" s="36"/>
      <c r="S1885" s="183"/>
      <c r="T1885" s="252" t="s">
        <v>9573</v>
      </c>
      <c r="U1885" s="255" t="s">
        <v>61</v>
      </c>
      <c r="V1885" s="50"/>
      <c r="W1885" s="49"/>
      <c r="X1885" s="49"/>
      <c r="Y1885" s="35"/>
      <c r="Z1885" s="35"/>
      <c r="AA1885" s="35"/>
      <c r="AB1885" s="35"/>
      <c r="AC1885" s="35"/>
      <c r="AD1885" s="35"/>
      <c r="AE1885" s="35"/>
      <c r="AF1885" s="35"/>
      <c r="AG1885" s="35"/>
      <c r="AH1885" s="35"/>
      <c r="AI1885" s="35"/>
      <c r="AJ1885" s="35"/>
      <c r="AK1885" s="35"/>
      <c r="AL1885" s="35"/>
    </row>
    <row r="1886">
      <c r="A1886" s="40"/>
      <c r="B1886" s="19" t="s">
        <v>9393</v>
      </c>
      <c r="C1886" s="20" t="s">
        <v>9574</v>
      </c>
      <c r="D1886" s="47"/>
      <c r="E1886" s="57" t="s">
        <v>9470</v>
      </c>
      <c r="F1886" s="22" t="s">
        <v>8414</v>
      </c>
      <c r="G1886" s="57">
        <v>2021.0</v>
      </c>
      <c r="H1886" s="57" t="s">
        <v>2181</v>
      </c>
      <c r="I1886" s="134" t="s">
        <v>9575</v>
      </c>
      <c r="J1886" s="22" t="s">
        <v>9576</v>
      </c>
      <c r="K1886" s="22" t="s">
        <v>9577</v>
      </c>
      <c r="L1886" s="36">
        <v>670.0</v>
      </c>
      <c r="M1886" s="36"/>
      <c r="N1886" s="36" t="s">
        <v>8939</v>
      </c>
      <c r="O1886" s="36"/>
      <c r="P1886" s="37"/>
      <c r="Q1886" s="36"/>
      <c r="R1886" s="36">
        <v>180.0</v>
      </c>
      <c r="S1886" s="36">
        <v>1.0</v>
      </c>
      <c r="T1886" s="252" t="s">
        <v>9578</v>
      </c>
      <c r="U1886" s="248" t="s">
        <v>61</v>
      </c>
      <c r="V1886" s="50"/>
      <c r="W1886" s="49"/>
      <c r="X1886" s="49"/>
      <c r="Y1886" s="35"/>
      <c r="Z1886" s="35"/>
      <c r="AA1886" s="35"/>
      <c r="AB1886" s="35"/>
      <c r="AC1886" s="35"/>
      <c r="AD1886" s="35"/>
      <c r="AE1886" s="35"/>
      <c r="AF1886" s="35"/>
      <c r="AG1886" s="35"/>
      <c r="AH1886" s="35"/>
      <c r="AI1886" s="35"/>
      <c r="AJ1886" s="35"/>
      <c r="AK1886" s="35"/>
      <c r="AL1886" s="35"/>
    </row>
    <row r="1887">
      <c r="A1887" s="40"/>
      <c r="B1887" s="19" t="s">
        <v>9393</v>
      </c>
      <c r="C1887" s="20" t="s">
        <v>9579</v>
      </c>
      <c r="D1887" s="47"/>
      <c r="E1887" s="57" t="s">
        <v>1369</v>
      </c>
      <c r="F1887" s="22" t="s">
        <v>9580</v>
      </c>
      <c r="G1887" s="57">
        <v>2021.0</v>
      </c>
      <c r="H1887" s="57" t="s">
        <v>7367</v>
      </c>
      <c r="I1887" s="134" t="s">
        <v>9581</v>
      </c>
      <c r="J1887" s="22" t="s">
        <v>9582</v>
      </c>
      <c r="K1887" s="22"/>
      <c r="L1887" s="36">
        <v>650.0</v>
      </c>
      <c r="M1887" s="36"/>
      <c r="N1887" s="36"/>
      <c r="O1887" s="36"/>
      <c r="P1887" s="37" t="s">
        <v>6531</v>
      </c>
      <c r="Q1887" s="36"/>
      <c r="R1887" s="36"/>
      <c r="S1887" s="36" t="s">
        <v>9583</v>
      </c>
      <c r="T1887" s="252" t="s">
        <v>9584</v>
      </c>
      <c r="U1887" s="248" t="s">
        <v>61</v>
      </c>
      <c r="V1887" s="50"/>
      <c r="W1887" s="49"/>
      <c r="X1887" s="49"/>
      <c r="Y1887" s="35"/>
      <c r="Z1887" s="35"/>
      <c r="AA1887" s="35"/>
      <c r="AB1887" s="35"/>
      <c r="AC1887" s="35"/>
      <c r="AD1887" s="35"/>
      <c r="AE1887" s="35"/>
      <c r="AF1887" s="35"/>
      <c r="AG1887" s="35"/>
      <c r="AH1887" s="35"/>
      <c r="AI1887" s="35"/>
      <c r="AJ1887" s="35"/>
      <c r="AK1887" s="35"/>
      <c r="AL1887" s="35"/>
    </row>
    <row r="1888">
      <c r="A1888" s="146"/>
      <c r="B1888" s="19" t="s">
        <v>9393</v>
      </c>
      <c r="C1888" s="20" t="s">
        <v>9585</v>
      </c>
      <c r="D1888" s="47"/>
      <c r="E1888" s="174" t="s">
        <v>223</v>
      </c>
      <c r="F1888" s="23" t="s">
        <v>9586</v>
      </c>
      <c r="G1888" s="174">
        <v>2023.0</v>
      </c>
      <c r="H1888" s="174" t="s">
        <v>9587</v>
      </c>
      <c r="I1888" s="175" t="s">
        <v>9588</v>
      </c>
      <c r="J1888" s="22" t="s">
        <v>9589</v>
      </c>
      <c r="K1888" s="22"/>
      <c r="L1888" s="36">
        <v>650.0</v>
      </c>
      <c r="M1888" s="36">
        <v>10.0</v>
      </c>
      <c r="N1888" s="36"/>
      <c r="O1888" s="36"/>
      <c r="P1888" s="129">
        <v>45141.0</v>
      </c>
      <c r="Q1888" s="36"/>
      <c r="R1888" s="36">
        <v>300.0</v>
      </c>
      <c r="S1888" s="36" t="s">
        <v>35</v>
      </c>
      <c r="T1888" s="54" t="s">
        <v>9590</v>
      </c>
      <c r="U1888" s="255" t="s">
        <v>61</v>
      </c>
      <c r="V1888" s="251"/>
      <c r="W1888" s="49"/>
      <c r="X1888" s="49"/>
      <c r="Y1888" s="35"/>
      <c r="Z1888" s="35"/>
      <c r="AA1888" s="35"/>
      <c r="AB1888" s="35"/>
      <c r="AC1888" s="35"/>
      <c r="AD1888" s="35"/>
      <c r="AE1888" s="35"/>
      <c r="AF1888" s="35"/>
      <c r="AG1888" s="35"/>
      <c r="AH1888" s="35"/>
      <c r="AI1888" s="35"/>
      <c r="AJ1888" s="35"/>
      <c r="AK1888" s="35"/>
      <c r="AL1888" s="35"/>
    </row>
    <row r="1889">
      <c r="A1889" s="40"/>
      <c r="B1889" s="19" t="s">
        <v>9393</v>
      </c>
      <c r="C1889" s="20" t="s">
        <v>9591</v>
      </c>
      <c r="D1889" s="47"/>
      <c r="E1889" s="57" t="s">
        <v>8724</v>
      </c>
      <c r="F1889" s="22" t="s">
        <v>1905</v>
      </c>
      <c r="G1889" s="57">
        <v>2024.0</v>
      </c>
      <c r="H1889" s="57" t="s">
        <v>91</v>
      </c>
      <c r="I1889" s="134" t="s">
        <v>9592</v>
      </c>
      <c r="J1889" s="22" t="s">
        <v>55</v>
      </c>
      <c r="K1889" s="22" t="s">
        <v>9593</v>
      </c>
      <c r="L1889" s="36">
        <v>830.0</v>
      </c>
      <c r="M1889" s="36"/>
      <c r="N1889" s="36" t="s">
        <v>1897</v>
      </c>
      <c r="O1889" s="36"/>
      <c r="P1889" s="37"/>
      <c r="Q1889" s="36"/>
      <c r="R1889" s="36" t="s">
        <v>9594</v>
      </c>
      <c r="S1889" s="36"/>
      <c r="T1889" s="256" t="s">
        <v>9595</v>
      </c>
      <c r="U1889" s="255" t="s">
        <v>61</v>
      </c>
      <c r="V1889" s="50"/>
      <c r="W1889" s="49"/>
      <c r="X1889" s="49"/>
      <c r="Y1889" s="35"/>
      <c r="Z1889" s="35"/>
      <c r="AA1889" s="35"/>
      <c r="AB1889" s="35"/>
      <c r="AC1889" s="35"/>
      <c r="AD1889" s="35"/>
      <c r="AE1889" s="35"/>
      <c r="AF1889" s="35"/>
      <c r="AG1889" s="35"/>
      <c r="AH1889" s="35"/>
      <c r="AI1889" s="35"/>
      <c r="AJ1889" s="35"/>
      <c r="AK1889" s="35"/>
      <c r="AL1889" s="35"/>
    </row>
    <row r="1890">
      <c r="A1890" s="40"/>
      <c r="B1890" s="19" t="s">
        <v>9393</v>
      </c>
      <c r="C1890" s="20" t="s">
        <v>9591</v>
      </c>
      <c r="D1890" s="47"/>
      <c r="E1890" s="57" t="s">
        <v>9596</v>
      </c>
      <c r="F1890" s="22" t="s">
        <v>52</v>
      </c>
      <c r="G1890" s="57">
        <v>2024.0</v>
      </c>
      <c r="H1890" s="57" t="s">
        <v>207</v>
      </c>
      <c r="I1890" s="134" t="s">
        <v>9597</v>
      </c>
      <c r="J1890" s="22" t="s">
        <v>55</v>
      </c>
      <c r="K1890" s="22" t="s">
        <v>56</v>
      </c>
      <c r="L1890" s="36" t="s">
        <v>57</v>
      </c>
      <c r="M1890" s="36"/>
      <c r="N1890" s="36"/>
      <c r="O1890" s="36"/>
      <c r="P1890" s="37"/>
      <c r="Q1890" s="36"/>
      <c r="R1890" s="36"/>
      <c r="S1890" s="36"/>
      <c r="T1890" s="252" t="s">
        <v>9598</v>
      </c>
      <c r="U1890" s="255" t="s">
        <v>61</v>
      </c>
      <c r="V1890" s="50"/>
      <c r="W1890" s="49"/>
      <c r="X1890" s="49"/>
      <c r="Y1890" s="35"/>
      <c r="Z1890" s="35"/>
      <c r="AA1890" s="35"/>
      <c r="AB1890" s="35"/>
      <c r="AC1890" s="35"/>
      <c r="AD1890" s="35"/>
      <c r="AE1890" s="35"/>
      <c r="AF1890" s="35"/>
      <c r="AG1890" s="35"/>
      <c r="AH1890" s="35"/>
      <c r="AI1890" s="35"/>
      <c r="AJ1890" s="35"/>
      <c r="AK1890" s="35"/>
      <c r="AL1890" s="35"/>
    </row>
    <row r="1891">
      <c r="A1891" s="40"/>
      <c r="B1891" s="19" t="s">
        <v>9393</v>
      </c>
      <c r="C1891" s="20" t="s">
        <v>9591</v>
      </c>
      <c r="D1891" s="47"/>
      <c r="E1891" s="57" t="s">
        <v>9599</v>
      </c>
      <c r="F1891" s="22" t="s">
        <v>9600</v>
      </c>
      <c r="G1891" s="57">
        <v>2019.0</v>
      </c>
      <c r="H1891" s="57" t="s">
        <v>9396</v>
      </c>
      <c r="I1891" s="134" t="s">
        <v>9601</v>
      </c>
      <c r="J1891" s="22" t="s">
        <v>31</v>
      </c>
      <c r="K1891" s="22" t="s">
        <v>9602</v>
      </c>
      <c r="L1891" s="36"/>
      <c r="M1891" s="36"/>
      <c r="N1891" s="36"/>
      <c r="O1891" s="36"/>
      <c r="P1891" s="37"/>
      <c r="Q1891" s="36"/>
      <c r="R1891" s="36"/>
      <c r="S1891" s="36"/>
      <c r="T1891" s="252" t="s">
        <v>9603</v>
      </c>
      <c r="U1891" s="250" t="str">
        <f>HYPERLINK("https://www.ncbi.nlm.nih.gov/pubmed/30611737","PubMed")</f>
        <v>PubMed</v>
      </c>
      <c r="V1891" s="50"/>
      <c r="W1891" s="49"/>
      <c r="X1891" s="49"/>
      <c r="Y1891" s="35"/>
      <c r="Z1891" s="35"/>
      <c r="AA1891" s="35"/>
      <c r="AB1891" s="35"/>
      <c r="AC1891" s="35"/>
      <c r="AD1891" s="35"/>
      <c r="AE1891" s="35"/>
      <c r="AF1891" s="35"/>
      <c r="AG1891" s="35"/>
      <c r="AH1891" s="35"/>
      <c r="AI1891" s="35"/>
      <c r="AJ1891" s="35"/>
      <c r="AK1891" s="35"/>
      <c r="AL1891" s="35"/>
    </row>
    <row r="1892">
      <c r="A1892" s="40" t="s">
        <v>2</v>
      </c>
      <c r="B1892" s="19" t="s">
        <v>9393</v>
      </c>
      <c r="C1892" s="20" t="s">
        <v>9591</v>
      </c>
      <c r="D1892" s="47"/>
      <c r="E1892" s="57" t="s">
        <v>9604</v>
      </c>
      <c r="F1892" s="22" t="s">
        <v>9600</v>
      </c>
      <c r="G1892" s="57">
        <v>2017.0</v>
      </c>
      <c r="H1892" s="57" t="s">
        <v>9396</v>
      </c>
      <c r="I1892" s="134" t="s">
        <v>9605</v>
      </c>
      <c r="J1892" s="22" t="s">
        <v>378</v>
      </c>
      <c r="K1892" s="23" t="s">
        <v>157</v>
      </c>
      <c r="L1892" s="36" t="s">
        <v>9606</v>
      </c>
      <c r="M1892" s="36"/>
      <c r="N1892" s="36" t="s">
        <v>9607</v>
      </c>
      <c r="O1892" s="36"/>
      <c r="P1892" s="37"/>
      <c r="Q1892" s="36"/>
      <c r="R1892" s="36"/>
      <c r="S1892" s="36"/>
      <c r="T1892" s="252" t="s">
        <v>9608</v>
      </c>
      <c r="U1892" s="250" t="str">
        <f>HYPERLINK("https://www.ncbi.nlm.nih.gov/pubmed/28619506","PubMed")</f>
        <v>PubMed</v>
      </c>
      <c r="V1892" s="50"/>
      <c r="W1892" s="49"/>
      <c r="X1892" s="49"/>
      <c r="Y1892" s="35"/>
      <c r="Z1892" s="35"/>
      <c r="AA1892" s="35"/>
      <c r="AB1892" s="35"/>
      <c r="AC1892" s="35"/>
      <c r="AD1892" s="35"/>
      <c r="AE1892" s="35"/>
      <c r="AF1892" s="35"/>
      <c r="AG1892" s="35"/>
      <c r="AH1892" s="35"/>
      <c r="AI1892" s="35"/>
      <c r="AJ1892" s="35"/>
      <c r="AK1892" s="35"/>
      <c r="AL1892" s="35"/>
    </row>
    <row r="1893">
      <c r="A1893" s="133"/>
      <c r="B1893" s="19" t="s">
        <v>9393</v>
      </c>
      <c r="C1893" s="20" t="s">
        <v>9591</v>
      </c>
      <c r="D1893" s="47"/>
      <c r="E1893" s="57" t="s">
        <v>9609</v>
      </c>
      <c r="F1893" s="22" t="s">
        <v>323</v>
      </c>
      <c r="G1893" s="57">
        <v>2016.0</v>
      </c>
      <c r="H1893" s="57" t="s">
        <v>9396</v>
      </c>
      <c r="I1893" s="134" t="s">
        <v>9610</v>
      </c>
      <c r="J1893" s="22" t="s">
        <v>253</v>
      </c>
      <c r="K1893" s="22"/>
      <c r="L1893" s="36">
        <v>810.0</v>
      </c>
      <c r="M1893" s="36">
        <v>100.0</v>
      </c>
      <c r="N1893" s="36"/>
      <c r="O1893" s="36"/>
      <c r="P1893" s="37" t="s">
        <v>4163</v>
      </c>
      <c r="Q1893" s="36"/>
      <c r="R1893" s="36">
        <v>1800.0</v>
      </c>
      <c r="S1893" s="36">
        <v>28.0</v>
      </c>
      <c r="T1893" s="252" t="s">
        <v>9611</v>
      </c>
      <c r="U1893" s="250" t="str">
        <f>HYPERLINK("https://www.ncbi.nlm.nih.gov/pubmed/26795389","PubMed")</f>
        <v>PubMed</v>
      </c>
      <c r="V1893" s="50"/>
      <c r="W1893" s="49"/>
      <c r="X1893" s="49"/>
      <c r="Y1893" s="35"/>
      <c r="Z1893" s="35"/>
      <c r="AA1893" s="35"/>
      <c r="AB1893" s="35"/>
      <c r="AC1893" s="35"/>
      <c r="AD1893" s="35"/>
      <c r="AE1893" s="35"/>
      <c r="AF1893" s="35"/>
      <c r="AG1893" s="35"/>
      <c r="AH1893" s="35"/>
      <c r="AI1893" s="35"/>
      <c r="AJ1893" s="35"/>
      <c r="AK1893" s="35"/>
      <c r="AL1893" s="35"/>
    </row>
    <row r="1894">
      <c r="A1894" s="146"/>
      <c r="B1894" s="19" t="s">
        <v>9393</v>
      </c>
      <c r="C1894" s="20" t="s">
        <v>9591</v>
      </c>
      <c r="D1894" s="47"/>
      <c r="E1894" s="174" t="s">
        <v>9486</v>
      </c>
      <c r="F1894" s="23" t="s">
        <v>6013</v>
      </c>
      <c r="G1894" s="174">
        <v>2011.0</v>
      </c>
      <c r="H1894" s="174" t="s">
        <v>9612</v>
      </c>
      <c r="I1894" s="175" t="s">
        <v>9613</v>
      </c>
      <c r="J1894" s="23" t="s">
        <v>9614</v>
      </c>
      <c r="K1894" s="22" t="s">
        <v>9615</v>
      </c>
      <c r="L1894" s="36">
        <v>633.0</v>
      </c>
      <c r="M1894" s="36"/>
      <c r="N1894" s="36" t="s">
        <v>9540</v>
      </c>
      <c r="O1894" s="36"/>
      <c r="P1894" s="37"/>
      <c r="Q1894" s="36"/>
      <c r="R1894" s="36">
        <v>180.0</v>
      </c>
      <c r="S1894" s="36">
        <v>1.0</v>
      </c>
      <c r="T1894" s="252" t="s">
        <v>9616</v>
      </c>
      <c r="U1894" s="250" t="str">
        <f>HYPERLINK("http://proceedings.spiedigitallibrary.org/proceeding.aspx?articleid=752472","SPIE")</f>
        <v>SPIE</v>
      </c>
      <c r="V1894" s="251"/>
      <c r="W1894" s="49"/>
      <c r="X1894" s="49"/>
      <c r="Y1894" s="35"/>
      <c r="Z1894" s="35"/>
      <c r="AA1894" s="35"/>
      <c r="AB1894" s="35"/>
      <c r="AC1894" s="35"/>
      <c r="AD1894" s="35"/>
      <c r="AE1894" s="35"/>
      <c r="AF1894" s="35"/>
      <c r="AG1894" s="35"/>
      <c r="AH1894" s="35"/>
      <c r="AI1894" s="35"/>
      <c r="AJ1894" s="35"/>
      <c r="AK1894" s="35"/>
      <c r="AL1894" s="35"/>
    </row>
    <row r="1895">
      <c r="A1895" s="146"/>
      <c r="B1895" s="75" t="s">
        <v>9393</v>
      </c>
      <c r="C1895" s="77" t="s">
        <v>9617</v>
      </c>
      <c r="D1895" s="47"/>
      <c r="E1895" s="174" t="s">
        <v>9618</v>
      </c>
      <c r="F1895" s="23" t="s">
        <v>4010</v>
      </c>
      <c r="G1895" s="174">
        <v>2023.0</v>
      </c>
      <c r="H1895" s="174" t="s">
        <v>9450</v>
      </c>
      <c r="I1895" s="175" t="s">
        <v>9619</v>
      </c>
      <c r="J1895" s="23" t="s">
        <v>9620</v>
      </c>
      <c r="K1895" s="22"/>
      <c r="L1895" s="36" t="s">
        <v>9423</v>
      </c>
      <c r="M1895" s="36"/>
      <c r="N1895" s="36" t="s">
        <v>9621</v>
      </c>
      <c r="O1895" s="36"/>
      <c r="P1895" s="37"/>
      <c r="Q1895" s="36"/>
      <c r="R1895" s="36"/>
      <c r="S1895" s="36" t="s">
        <v>9622</v>
      </c>
      <c r="T1895" s="252" t="s">
        <v>9623</v>
      </c>
      <c r="U1895" s="135" t="s">
        <v>61</v>
      </c>
      <c r="V1895" s="136"/>
      <c r="W1895" s="49"/>
      <c r="X1895" s="49"/>
      <c r="Y1895" s="35"/>
      <c r="Z1895" s="35"/>
      <c r="AA1895" s="35"/>
      <c r="AB1895" s="35"/>
      <c r="AC1895" s="35"/>
      <c r="AD1895" s="35"/>
      <c r="AE1895" s="35"/>
      <c r="AF1895" s="35"/>
      <c r="AG1895" s="35"/>
      <c r="AH1895" s="35"/>
      <c r="AI1895" s="35"/>
      <c r="AJ1895" s="35"/>
      <c r="AK1895" s="35"/>
      <c r="AL1895" s="35"/>
    </row>
    <row r="1896">
      <c r="A1896" s="55" t="s">
        <v>181</v>
      </c>
      <c r="B1896" s="75" t="s">
        <v>9393</v>
      </c>
      <c r="C1896" s="77" t="s">
        <v>9617</v>
      </c>
      <c r="D1896" s="47"/>
      <c r="E1896" s="174" t="s">
        <v>2195</v>
      </c>
      <c r="F1896" s="23" t="s">
        <v>2312</v>
      </c>
      <c r="G1896" s="174">
        <v>2022.0</v>
      </c>
      <c r="H1896" s="174" t="s">
        <v>9624</v>
      </c>
      <c r="I1896" s="175" t="s">
        <v>9625</v>
      </c>
      <c r="J1896" s="23" t="s">
        <v>9626</v>
      </c>
      <c r="K1896" s="22"/>
      <c r="L1896" s="36" t="s">
        <v>1773</v>
      </c>
      <c r="M1896" s="36"/>
      <c r="N1896" s="36"/>
      <c r="O1896" s="36"/>
      <c r="P1896" s="37" t="s">
        <v>1773</v>
      </c>
      <c r="Q1896" s="36"/>
      <c r="R1896" s="36"/>
      <c r="S1896" s="36"/>
      <c r="T1896" s="252" t="s">
        <v>9627</v>
      </c>
      <c r="U1896" s="135" t="s">
        <v>61</v>
      </c>
      <c r="V1896" s="136"/>
      <c r="W1896" s="49"/>
      <c r="X1896" s="49"/>
      <c r="Y1896" s="35"/>
      <c r="Z1896" s="35"/>
      <c r="AA1896" s="35"/>
      <c r="AB1896" s="35"/>
      <c r="AC1896" s="35"/>
      <c r="AD1896" s="35"/>
      <c r="AE1896" s="35"/>
      <c r="AF1896" s="35"/>
      <c r="AG1896" s="35"/>
      <c r="AH1896" s="35"/>
      <c r="AI1896" s="35"/>
      <c r="AJ1896" s="35"/>
      <c r="AK1896" s="35"/>
      <c r="AL1896" s="35"/>
    </row>
    <row r="1897">
      <c r="A1897" s="146"/>
      <c r="B1897" s="75" t="s">
        <v>9393</v>
      </c>
      <c r="C1897" s="77" t="s">
        <v>9617</v>
      </c>
      <c r="D1897" s="47"/>
      <c r="E1897" s="174" t="s">
        <v>9628</v>
      </c>
      <c r="F1897" s="23" t="s">
        <v>323</v>
      </c>
      <c r="G1897" s="174">
        <v>2022.0</v>
      </c>
      <c r="H1897" s="174" t="s">
        <v>77</v>
      </c>
      <c r="I1897" s="175" t="s">
        <v>9629</v>
      </c>
      <c r="J1897" s="23" t="s">
        <v>9630</v>
      </c>
      <c r="K1897" s="22" t="s">
        <v>9631</v>
      </c>
      <c r="L1897" s="36">
        <v>670.0</v>
      </c>
      <c r="M1897" s="36"/>
      <c r="N1897" s="36"/>
      <c r="O1897" s="36"/>
      <c r="P1897" s="37"/>
      <c r="Q1897" s="36"/>
      <c r="R1897" s="36"/>
      <c r="S1897" s="36"/>
      <c r="T1897" s="252" t="s">
        <v>9632</v>
      </c>
      <c r="U1897" s="135" t="s">
        <v>61</v>
      </c>
      <c r="V1897" s="136" t="s">
        <v>174</v>
      </c>
      <c r="W1897" s="49"/>
      <c r="X1897" s="49"/>
      <c r="Y1897" s="35"/>
      <c r="Z1897" s="35"/>
      <c r="AA1897" s="35"/>
      <c r="AB1897" s="35"/>
      <c r="AC1897" s="35"/>
      <c r="AD1897" s="35"/>
      <c r="AE1897" s="35"/>
      <c r="AF1897" s="35"/>
      <c r="AG1897" s="35"/>
      <c r="AH1897" s="35"/>
      <c r="AI1897" s="35"/>
      <c r="AJ1897" s="35"/>
      <c r="AK1897" s="35"/>
      <c r="AL1897" s="35"/>
    </row>
    <row r="1898">
      <c r="A1898" s="146"/>
      <c r="B1898" s="75" t="s">
        <v>9393</v>
      </c>
      <c r="C1898" s="77" t="s">
        <v>9617</v>
      </c>
      <c r="D1898" s="47"/>
      <c r="E1898" s="174" t="s">
        <v>9633</v>
      </c>
      <c r="F1898" s="23" t="s">
        <v>4010</v>
      </c>
      <c r="G1898" s="174">
        <v>2021.0</v>
      </c>
      <c r="H1898" s="174" t="s">
        <v>9634</v>
      </c>
      <c r="I1898" s="175" t="s">
        <v>9635</v>
      </c>
      <c r="J1898" s="23" t="s">
        <v>9636</v>
      </c>
      <c r="K1898" s="22"/>
      <c r="L1898" s="36"/>
      <c r="M1898" s="36"/>
      <c r="N1898" s="36"/>
      <c r="O1898" s="36"/>
      <c r="P1898" s="37"/>
      <c r="Q1898" s="36"/>
      <c r="R1898" s="36"/>
      <c r="S1898" s="36" t="s">
        <v>4924</v>
      </c>
      <c r="T1898" s="252" t="s">
        <v>9637</v>
      </c>
      <c r="U1898" s="138" t="s">
        <v>61</v>
      </c>
      <c r="V1898" s="139"/>
      <c r="W1898" s="49"/>
      <c r="X1898" s="49"/>
      <c r="Y1898" s="35"/>
      <c r="Z1898" s="35"/>
      <c r="AA1898" s="35"/>
      <c r="AB1898" s="35"/>
      <c r="AC1898" s="35"/>
      <c r="AD1898" s="35"/>
      <c r="AE1898" s="35"/>
      <c r="AF1898" s="35"/>
      <c r="AG1898" s="35"/>
      <c r="AH1898" s="35"/>
      <c r="AI1898" s="35"/>
      <c r="AJ1898" s="35"/>
      <c r="AK1898" s="35"/>
      <c r="AL1898" s="35"/>
    </row>
    <row r="1899">
      <c r="A1899" s="146"/>
      <c r="B1899" s="75" t="s">
        <v>9393</v>
      </c>
      <c r="C1899" s="77" t="s">
        <v>9617</v>
      </c>
      <c r="D1899" s="47"/>
      <c r="E1899" s="174" t="s">
        <v>1080</v>
      </c>
      <c r="F1899" s="23" t="s">
        <v>9638</v>
      </c>
      <c r="G1899" s="174">
        <v>2021.0</v>
      </c>
      <c r="H1899" s="174" t="s">
        <v>9639</v>
      </c>
      <c r="I1899" s="175" t="s">
        <v>9640</v>
      </c>
      <c r="J1899" s="23" t="s">
        <v>9641</v>
      </c>
      <c r="K1899" s="22" t="s">
        <v>9642</v>
      </c>
      <c r="L1899" s="36">
        <v>670.0</v>
      </c>
      <c r="M1899" s="36"/>
      <c r="N1899" s="36"/>
      <c r="O1899" s="36"/>
      <c r="P1899" s="37"/>
      <c r="Q1899" s="36"/>
      <c r="R1899" s="36" t="s">
        <v>9643</v>
      </c>
      <c r="S1899" s="36" t="s">
        <v>9644</v>
      </c>
      <c r="T1899" s="256" t="s">
        <v>9645</v>
      </c>
      <c r="U1899" s="138" t="s">
        <v>61</v>
      </c>
      <c r="V1899" s="139"/>
      <c r="W1899" s="49"/>
      <c r="X1899" s="49"/>
      <c r="Y1899" s="35"/>
      <c r="Z1899" s="35"/>
      <c r="AA1899" s="35"/>
      <c r="AB1899" s="35"/>
      <c r="AC1899" s="35"/>
      <c r="AD1899" s="35"/>
      <c r="AE1899" s="35"/>
      <c r="AF1899" s="35"/>
      <c r="AG1899" s="35"/>
      <c r="AH1899" s="35"/>
      <c r="AI1899" s="35"/>
      <c r="AJ1899" s="35"/>
      <c r="AK1899" s="35"/>
      <c r="AL1899" s="35"/>
    </row>
    <row r="1900">
      <c r="A1900" s="146"/>
      <c r="B1900" s="19" t="s">
        <v>9393</v>
      </c>
      <c r="C1900" s="20" t="s">
        <v>9617</v>
      </c>
      <c r="D1900" s="47"/>
      <c r="E1900" s="174" t="s">
        <v>2432</v>
      </c>
      <c r="F1900" s="23" t="s">
        <v>1862</v>
      </c>
      <c r="G1900" s="174">
        <v>2020.0</v>
      </c>
      <c r="H1900" s="174" t="s">
        <v>9646</v>
      </c>
      <c r="I1900" s="175" t="s">
        <v>9647</v>
      </c>
      <c r="J1900" s="23" t="s">
        <v>9648</v>
      </c>
      <c r="K1900" s="22" t="s">
        <v>157</v>
      </c>
      <c r="L1900" s="36">
        <v>670.0</v>
      </c>
      <c r="M1900" s="36"/>
      <c r="N1900" s="36" t="s">
        <v>9649</v>
      </c>
      <c r="O1900" s="36"/>
      <c r="P1900" s="37"/>
      <c r="Q1900" s="36"/>
      <c r="R1900" s="36"/>
      <c r="S1900" s="36" t="s">
        <v>9650</v>
      </c>
      <c r="T1900" s="252" t="s">
        <v>9651</v>
      </c>
      <c r="U1900" s="138" t="s">
        <v>61</v>
      </c>
      <c r="V1900" s="139"/>
      <c r="W1900" s="49"/>
      <c r="X1900" s="49"/>
      <c r="Y1900" s="35"/>
      <c r="Z1900" s="35"/>
      <c r="AA1900" s="35"/>
      <c r="AB1900" s="35"/>
      <c r="AC1900" s="35"/>
      <c r="AD1900" s="35"/>
      <c r="AE1900" s="35"/>
      <c r="AF1900" s="35"/>
      <c r="AG1900" s="35"/>
      <c r="AH1900" s="35"/>
      <c r="AI1900" s="35"/>
      <c r="AJ1900" s="35"/>
      <c r="AK1900" s="35"/>
      <c r="AL1900" s="35"/>
    </row>
    <row r="1901">
      <c r="A1901" s="146" t="s">
        <v>38</v>
      </c>
      <c r="B1901" s="19" t="s">
        <v>9393</v>
      </c>
      <c r="C1901" s="20" t="s">
        <v>9617</v>
      </c>
      <c r="D1901" s="47"/>
      <c r="E1901" s="174" t="s">
        <v>1767</v>
      </c>
      <c r="F1901" s="23" t="s">
        <v>9449</v>
      </c>
      <c r="G1901" s="174">
        <v>2014.0</v>
      </c>
      <c r="H1901" s="174" t="s">
        <v>9652</v>
      </c>
      <c r="I1901" s="175" t="s">
        <v>9653</v>
      </c>
      <c r="J1901" s="23" t="s">
        <v>9654</v>
      </c>
      <c r="K1901" s="22" t="s">
        <v>9655</v>
      </c>
      <c r="L1901" s="36">
        <v>670.0</v>
      </c>
      <c r="M1901" s="36"/>
      <c r="N1901" s="36"/>
      <c r="O1901" s="36"/>
      <c r="P1901" s="37" t="s">
        <v>9656</v>
      </c>
      <c r="Q1901" s="36"/>
      <c r="R1901" s="36">
        <v>160.0</v>
      </c>
      <c r="S1901" s="36" t="s">
        <v>9657</v>
      </c>
      <c r="T1901" s="252" t="s">
        <v>9658</v>
      </c>
      <c r="U1901" s="135" t="str">
        <f>HYPERLINK("https://www.ncbi.nlm.nih.gov/pubmed/24682183","PubMed")</f>
        <v>PubMed</v>
      </c>
      <c r="V1901" s="139"/>
      <c r="W1901" s="49"/>
      <c r="X1901" s="49"/>
      <c r="Y1901" s="35"/>
      <c r="Z1901" s="35"/>
      <c r="AA1901" s="35"/>
      <c r="AB1901" s="35"/>
      <c r="AC1901" s="35"/>
      <c r="AD1901" s="35"/>
      <c r="AE1901" s="35"/>
      <c r="AF1901" s="35"/>
      <c r="AG1901" s="35"/>
      <c r="AH1901" s="35"/>
      <c r="AI1901" s="35"/>
      <c r="AJ1901" s="35"/>
      <c r="AK1901" s="35"/>
      <c r="AL1901" s="35"/>
    </row>
    <row r="1902">
      <c r="A1902" s="40"/>
      <c r="B1902" s="19" t="s">
        <v>9393</v>
      </c>
      <c r="C1902" s="20" t="s">
        <v>9659</v>
      </c>
      <c r="D1902" s="47"/>
      <c r="E1902" s="57" t="s">
        <v>493</v>
      </c>
      <c r="F1902" s="22" t="s">
        <v>9439</v>
      </c>
      <c r="G1902" s="57">
        <v>2022.0</v>
      </c>
      <c r="H1902" s="57" t="s">
        <v>2197</v>
      </c>
      <c r="I1902" s="134" t="s">
        <v>9660</v>
      </c>
      <c r="J1902" s="22" t="s">
        <v>253</v>
      </c>
      <c r="K1902" s="22" t="s">
        <v>9661</v>
      </c>
      <c r="L1902" s="36">
        <v>670.0</v>
      </c>
      <c r="M1902" s="36"/>
      <c r="N1902" s="36"/>
      <c r="O1902" s="36"/>
      <c r="P1902" s="37"/>
      <c r="Q1902" s="36"/>
      <c r="R1902" s="36"/>
      <c r="S1902" s="36"/>
      <c r="T1902" s="54" t="s">
        <v>9662</v>
      </c>
      <c r="U1902" s="255" t="s">
        <v>61</v>
      </c>
      <c r="V1902" s="50"/>
      <c r="W1902" s="49"/>
      <c r="X1902" s="49"/>
      <c r="Y1902" s="35"/>
      <c r="Z1902" s="35"/>
      <c r="AA1902" s="35"/>
      <c r="AB1902" s="35"/>
      <c r="AC1902" s="35"/>
      <c r="AD1902" s="35"/>
      <c r="AE1902" s="35"/>
      <c r="AF1902" s="35"/>
      <c r="AG1902" s="35"/>
      <c r="AH1902" s="35"/>
      <c r="AI1902" s="35"/>
      <c r="AJ1902" s="35"/>
      <c r="AK1902" s="35"/>
      <c r="AL1902" s="35"/>
    </row>
    <row r="1903">
      <c r="A1903" s="40"/>
      <c r="B1903" s="19" t="s">
        <v>9393</v>
      </c>
      <c r="C1903" s="20" t="s">
        <v>9659</v>
      </c>
      <c r="D1903" s="47"/>
      <c r="E1903" s="57" t="s">
        <v>9663</v>
      </c>
      <c r="F1903" s="22" t="s">
        <v>9664</v>
      </c>
      <c r="G1903" s="57">
        <v>2023.0</v>
      </c>
      <c r="H1903" s="57" t="s">
        <v>348</v>
      </c>
      <c r="I1903" s="134" t="s">
        <v>9665</v>
      </c>
      <c r="J1903" s="22" t="s">
        <v>9666</v>
      </c>
      <c r="K1903" s="22"/>
      <c r="L1903" s="36">
        <v>660.0</v>
      </c>
      <c r="M1903" s="36"/>
      <c r="N1903" s="36" t="s">
        <v>9667</v>
      </c>
      <c r="O1903" s="36"/>
      <c r="P1903" s="37"/>
      <c r="Q1903" s="36"/>
      <c r="R1903" s="36"/>
      <c r="S1903" s="36" t="s">
        <v>9668</v>
      </c>
      <c r="T1903" s="102" t="s">
        <v>9669</v>
      </c>
      <c r="U1903" s="255" t="s">
        <v>61</v>
      </c>
      <c r="V1903" s="50"/>
      <c r="W1903" s="49"/>
      <c r="X1903" s="49"/>
      <c r="Y1903" s="35"/>
      <c r="Z1903" s="35"/>
      <c r="AA1903" s="35"/>
      <c r="AB1903" s="35"/>
      <c r="AC1903" s="35"/>
      <c r="AD1903" s="35"/>
      <c r="AE1903" s="35"/>
      <c r="AF1903" s="35"/>
      <c r="AG1903" s="35"/>
      <c r="AH1903" s="35"/>
      <c r="AI1903" s="35"/>
      <c r="AJ1903" s="35"/>
      <c r="AK1903" s="35"/>
      <c r="AL1903" s="35"/>
    </row>
    <row r="1904">
      <c r="A1904" s="40"/>
      <c r="B1904" s="19" t="s">
        <v>9393</v>
      </c>
      <c r="C1904" s="20" t="s">
        <v>9659</v>
      </c>
      <c r="D1904" s="47"/>
      <c r="E1904" s="57" t="s">
        <v>9670</v>
      </c>
      <c r="F1904" s="22" t="s">
        <v>9671</v>
      </c>
      <c r="G1904" s="57">
        <v>2022.0</v>
      </c>
      <c r="H1904" s="57" t="s">
        <v>9672</v>
      </c>
      <c r="I1904" s="134" t="s">
        <v>9673</v>
      </c>
      <c r="J1904" s="22" t="s">
        <v>31</v>
      </c>
      <c r="K1904" s="22" t="s">
        <v>157</v>
      </c>
      <c r="L1904" s="36">
        <v>670.0</v>
      </c>
      <c r="M1904" s="36"/>
      <c r="N1904" s="36"/>
      <c r="O1904" s="36"/>
      <c r="P1904" s="37"/>
      <c r="Q1904" s="36"/>
      <c r="R1904" s="36"/>
      <c r="S1904" s="36"/>
      <c r="T1904" s="103" t="s">
        <v>9674</v>
      </c>
      <c r="U1904" s="255" t="s">
        <v>9675</v>
      </c>
      <c r="V1904" s="50"/>
      <c r="W1904" s="49"/>
      <c r="X1904" s="49"/>
      <c r="Y1904" s="35"/>
      <c r="Z1904" s="35"/>
      <c r="AA1904" s="35"/>
      <c r="AB1904" s="35"/>
      <c r="AC1904" s="35"/>
      <c r="AD1904" s="35"/>
      <c r="AE1904" s="35"/>
      <c r="AF1904" s="35"/>
      <c r="AG1904" s="35"/>
      <c r="AH1904" s="35"/>
      <c r="AI1904" s="35"/>
      <c r="AJ1904" s="35"/>
      <c r="AK1904" s="35"/>
      <c r="AL1904" s="35"/>
    </row>
    <row r="1905">
      <c r="A1905" s="40"/>
      <c r="B1905" s="19" t="s">
        <v>9393</v>
      </c>
      <c r="C1905" s="20" t="s">
        <v>9659</v>
      </c>
      <c r="D1905" s="47"/>
      <c r="E1905" s="57" t="s">
        <v>9676</v>
      </c>
      <c r="F1905" s="22" t="s">
        <v>332</v>
      </c>
      <c r="G1905" s="57">
        <v>2022.0</v>
      </c>
      <c r="H1905" s="57" t="s">
        <v>9677</v>
      </c>
      <c r="I1905" s="134" t="s">
        <v>9678</v>
      </c>
      <c r="J1905" s="22" t="s">
        <v>55</v>
      </c>
      <c r="K1905" s="22"/>
      <c r="L1905" s="36">
        <v>670.0</v>
      </c>
      <c r="M1905" s="36">
        <v>50.0</v>
      </c>
      <c r="N1905" s="36"/>
      <c r="O1905" s="36"/>
      <c r="P1905" s="37" t="s">
        <v>2395</v>
      </c>
      <c r="Q1905" s="36"/>
      <c r="R1905" s="36">
        <v>90.0</v>
      </c>
      <c r="S1905" s="36" t="s">
        <v>2688</v>
      </c>
      <c r="T1905" s="54" t="s">
        <v>9679</v>
      </c>
      <c r="U1905" s="255" t="s">
        <v>9680</v>
      </c>
      <c r="V1905" s="50"/>
      <c r="W1905" s="49"/>
      <c r="X1905" s="49"/>
      <c r="Y1905" s="35"/>
      <c r="Z1905" s="35"/>
      <c r="AA1905" s="35"/>
      <c r="AB1905" s="35"/>
      <c r="AC1905" s="35"/>
      <c r="AD1905" s="35"/>
      <c r="AE1905" s="35"/>
      <c r="AF1905" s="35"/>
      <c r="AG1905" s="35"/>
      <c r="AH1905" s="35"/>
      <c r="AI1905" s="35"/>
      <c r="AJ1905" s="35"/>
      <c r="AK1905" s="35"/>
      <c r="AL1905" s="35"/>
    </row>
    <row r="1906">
      <c r="A1906" s="40"/>
      <c r="B1906" s="19" t="s">
        <v>9393</v>
      </c>
      <c r="C1906" s="20" t="s">
        <v>9659</v>
      </c>
      <c r="D1906" s="47"/>
      <c r="E1906" s="57" t="s">
        <v>3919</v>
      </c>
      <c r="F1906" s="22" t="s">
        <v>332</v>
      </c>
      <c r="G1906" s="57">
        <v>2021.0</v>
      </c>
      <c r="H1906" s="57" t="s">
        <v>9681</v>
      </c>
      <c r="I1906" s="134" t="s">
        <v>9682</v>
      </c>
      <c r="J1906" s="22" t="s">
        <v>55</v>
      </c>
      <c r="K1906" s="22"/>
      <c r="L1906" s="36">
        <v>670.0</v>
      </c>
      <c r="M1906" s="36"/>
      <c r="N1906" s="36"/>
      <c r="O1906" s="36"/>
      <c r="P1906" s="37"/>
      <c r="Q1906" s="36"/>
      <c r="R1906" s="36"/>
      <c r="S1906" s="36"/>
      <c r="T1906" s="54" t="s">
        <v>9683</v>
      </c>
      <c r="U1906" s="248" t="s">
        <v>61</v>
      </c>
      <c r="V1906" s="50"/>
      <c r="W1906" s="49"/>
      <c r="X1906" s="49"/>
      <c r="Y1906" s="35"/>
      <c r="Z1906" s="35"/>
      <c r="AA1906" s="35"/>
      <c r="AB1906" s="35"/>
      <c r="AC1906" s="35"/>
      <c r="AD1906" s="35"/>
      <c r="AE1906" s="35"/>
      <c r="AF1906" s="35"/>
      <c r="AG1906" s="35"/>
      <c r="AH1906" s="35"/>
      <c r="AI1906" s="35"/>
      <c r="AJ1906" s="35"/>
      <c r="AK1906" s="35"/>
      <c r="AL1906" s="35"/>
    </row>
    <row r="1907">
      <c r="A1907" s="40"/>
      <c r="B1907" s="19" t="s">
        <v>9393</v>
      </c>
      <c r="C1907" s="20" t="s">
        <v>9659</v>
      </c>
      <c r="D1907" s="47"/>
      <c r="E1907" s="57" t="s">
        <v>9684</v>
      </c>
      <c r="F1907" s="22" t="s">
        <v>332</v>
      </c>
      <c r="G1907" s="57">
        <v>2019.0</v>
      </c>
      <c r="H1907" s="57" t="s">
        <v>9685</v>
      </c>
      <c r="I1907" s="134" t="s">
        <v>9686</v>
      </c>
      <c r="J1907" s="22" t="s">
        <v>55</v>
      </c>
      <c r="K1907" s="22" t="s">
        <v>9687</v>
      </c>
      <c r="L1907" s="36">
        <v>670.0</v>
      </c>
      <c r="M1907" s="36"/>
      <c r="N1907" s="36"/>
      <c r="O1907" s="36"/>
      <c r="P1907" s="37"/>
      <c r="Q1907" s="36"/>
      <c r="R1907" s="36"/>
      <c r="S1907" s="36"/>
      <c r="T1907" s="54" t="s">
        <v>9688</v>
      </c>
      <c r="U1907" s="250" t="str">
        <f>HYPERLINK("http://www.new.asmr.eg.net/article.asp?issn=1687-4293;year=2019;volume=14;issue=2;spage=130;epage=139;aulast=Abdelkawi","ASMR")</f>
        <v>ASMR</v>
      </c>
      <c r="V1907" s="50"/>
      <c r="W1907" s="49"/>
      <c r="X1907" s="49"/>
      <c r="Y1907" s="35"/>
      <c r="Z1907" s="35"/>
      <c r="AA1907" s="35"/>
      <c r="AB1907" s="35"/>
      <c r="AC1907" s="35"/>
      <c r="AD1907" s="35"/>
      <c r="AE1907" s="35"/>
      <c r="AF1907" s="35"/>
      <c r="AG1907" s="35"/>
      <c r="AH1907" s="35"/>
      <c r="AI1907" s="35"/>
      <c r="AJ1907" s="35"/>
      <c r="AK1907" s="35"/>
      <c r="AL1907" s="35"/>
    </row>
    <row r="1908">
      <c r="A1908" s="40" t="s">
        <v>2</v>
      </c>
      <c r="B1908" s="19" t="s">
        <v>9393</v>
      </c>
      <c r="C1908" s="20" t="s">
        <v>9659</v>
      </c>
      <c r="D1908" s="47"/>
      <c r="E1908" s="57" t="s">
        <v>1481</v>
      </c>
      <c r="F1908" s="22" t="s">
        <v>4555</v>
      </c>
      <c r="G1908" s="57">
        <v>2018.0</v>
      </c>
      <c r="H1908" s="57" t="s">
        <v>9689</v>
      </c>
      <c r="I1908" s="134" t="s">
        <v>9690</v>
      </c>
      <c r="J1908" s="22" t="s">
        <v>44</v>
      </c>
      <c r="K1908" s="22" t="s">
        <v>9691</v>
      </c>
      <c r="L1908" s="36">
        <v>670.0</v>
      </c>
      <c r="M1908" s="36"/>
      <c r="N1908" s="36" t="s">
        <v>1018</v>
      </c>
      <c r="O1908" s="36"/>
      <c r="P1908" s="37" t="s">
        <v>432</v>
      </c>
      <c r="Q1908" s="36"/>
      <c r="R1908" s="36"/>
      <c r="S1908" s="36" t="s">
        <v>9692</v>
      </c>
      <c r="T1908" s="54" t="s">
        <v>9693</v>
      </c>
      <c r="U1908" s="250" t="str">
        <f>HYPERLINK("https://www.ncbi.nlm.nih.gov/pubmed/29167189","PubMed")</f>
        <v>PubMed</v>
      </c>
      <c r="V1908" s="50"/>
      <c r="W1908" s="49"/>
      <c r="X1908" s="49"/>
      <c r="Y1908" s="35"/>
      <c r="Z1908" s="35"/>
      <c r="AA1908" s="35"/>
      <c r="AB1908" s="35"/>
      <c r="AC1908" s="35"/>
      <c r="AD1908" s="35"/>
      <c r="AE1908" s="35"/>
      <c r="AF1908" s="35"/>
      <c r="AG1908" s="35"/>
      <c r="AH1908" s="35"/>
      <c r="AI1908" s="35"/>
      <c r="AJ1908" s="35"/>
      <c r="AK1908" s="35"/>
      <c r="AL1908" s="35"/>
    </row>
    <row r="1909">
      <c r="A1909" s="133"/>
      <c r="B1909" s="19" t="s">
        <v>9393</v>
      </c>
      <c r="C1909" s="20" t="s">
        <v>9659</v>
      </c>
      <c r="D1909" s="47"/>
      <c r="E1909" s="57" t="s">
        <v>9694</v>
      </c>
      <c r="F1909" s="22" t="s">
        <v>9695</v>
      </c>
      <c r="G1909" s="57">
        <v>2015.0</v>
      </c>
      <c r="H1909" s="57" t="s">
        <v>627</v>
      </c>
      <c r="I1909" s="134" t="s">
        <v>9696</v>
      </c>
      <c r="J1909" s="22" t="s">
        <v>44</v>
      </c>
      <c r="K1909" s="22" t="s">
        <v>9697</v>
      </c>
      <c r="L1909" s="36">
        <v>670.0</v>
      </c>
      <c r="M1909" s="36"/>
      <c r="N1909" s="36" t="s">
        <v>9698</v>
      </c>
      <c r="O1909" s="36"/>
      <c r="P1909" s="37" t="s">
        <v>9699</v>
      </c>
      <c r="Q1909" s="36"/>
      <c r="R1909" s="36">
        <v>240.0</v>
      </c>
      <c r="S1909" s="36">
        <v>70.0</v>
      </c>
      <c r="T1909" s="252" t="s">
        <v>9700</v>
      </c>
      <c r="U1909" s="250" t="str">
        <f>HYPERLINK("https://www.ncbi.nlm.nih.gov/pubmed/26426815","PubMed")</f>
        <v>PubMed</v>
      </c>
      <c r="V1909" s="50"/>
      <c r="W1909" s="49"/>
      <c r="X1909" s="49"/>
      <c r="Y1909" s="35"/>
      <c r="Z1909" s="35"/>
      <c r="AA1909" s="35"/>
      <c r="AB1909" s="35"/>
      <c r="AC1909" s="35"/>
      <c r="AD1909" s="35"/>
      <c r="AE1909" s="35"/>
      <c r="AF1909" s="35"/>
      <c r="AG1909" s="35"/>
      <c r="AH1909" s="35"/>
      <c r="AI1909" s="35"/>
      <c r="AJ1909" s="35"/>
      <c r="AK1909" s="35"/>
      <c r="AL1909" s="35"/>
    </row>
    <row r="1910">
      <c r="A1910" s="55" t="s">
        <v>2</v>
      </c>
      <c r="B1910" s="19" t="s">
        <v>9393</v>
      </c>
      <c r="C1910" s="20" t="s">
        <v>9659</v>
      </c>
      <c r="D1910" s="47"/>
      <c r="E1910" s="22" t="s">
        <v>1767</v>
      </c>
      <c r="F1910" s="22" t="s">
        <v>9701</v>
      </c>
      <c r="G1910" s="57">
        <v>2013.0</v>
      </c>
      <c r="H1910" s="57" t="s">
        <v>9702</v>
      </c>
      <c r="I1910" s="134" t="s">
        <v>9703</v>
      </c>
      <c r="J1910" s="22" t="s">
        <v>378</v>
      </c>
      <c r="K1910" s="22" t="s">
        <v>9704</v>
      </c>
      <c r="L1910" s="36">
        <v>670.0</v>
      </c>
      <c r="M1910" s="36"/>
      <c r="N1910" s="36" t="s">
        <v>1018</v>
      </c>
      <c r="O1910" s="36"/>
      <c r="P1910" s="37" t="s">
        <v>82</v>
      </c>
      <c r="Q1910" s="36"/>
      <c r="R1910" s="36">
        <v>240.0</v>
      </c>
      <c r="S1910" s="36" t="s">
        <v>9705</v>
      </c>
      <c r="T1910" s="252" t="s">
        <v>9706</v>
      </c>
      <c r="U1910" s="38" t="str">
        <f>HYPERLINK("https://www.ncbi.nlm.nih.gov/pubmed/23557732","PubMed")</f>
        <v>PubMed</v>
      </c>
      <c r="V1910" s="50"/>
      <c r="W1910" s="49"/>
      <c r="X1910" s="49"/>
      <c r="Y1910" s="35"/>
      <c r="Z1910" s="35"/>
      <c r="AA1910" s="35"/>
      <c r="AB1910" s="35"/>
      <c r="AC1910" s="35"/>
      <c r="AD1910" s="35"/>
      <c r="AE1910" s="35"/>
      <c r="AF1910" s="35"/>
      <c r="AG1910" s="35"/>
      <c r="AH1910" s="35"/>
      <c r="AI1910" s="35"/>
      <c r="AJ1910" s="35"/>
      <c r="AK1910" s="35"/>
      <c r="AL1910" s="35"/>
    </row>
    <row r="1911">
      <c r="A1911" s="55"/>
      <c r="B1911" s="19" t="s">
        <v>9393</v>
      </c>
      <c r="C1911" s="20" t="s">
        <v>9707</v>
      </c>
      <c r="D1911" s="47"/>
      <c r="E1911" s="22" t="s">
        <v>9405</v>
      </c>
      <c r="F1911" s="22" t="s">
        <v>1905</v>
      </c>
      <c r="G1911" s="57">
        <v>2023.0</v>
      </c>
      <c r="H1911" s="57" t="s">
        <v>348</v>
      </c>
      <c r="I1911" s="134" t="s">
        <v>9708</v>
      </c>
      <c r="J1911" s="22" t="s">
        <v>44</v>
      </c>
      <c r="K1911" s="22" t="s">
        <v>157</v>
      </c>
      <c r="L1911" s="52" t="s">
        <v>9407</v>
      </c>
      <c r="M1911" s="52"/>
      <c r="N1911" s="52"/>
      <c r="O1911" s="52"/>
      <c r="P1911" s="189"/>
      <c r="Q1911" s="52"/>
      <c r="R1911" s="52"/>
      <c r="S1911" s="52"/>
      <c r="T1911" s="252" t="s">
        <v>9709</v>
      </c>
      <c r="U1911" s="38" t="s">
        <v>61</v>
      </c>
      <c r="V1911" s="30"/>
      <c r="W1911" s="49"/>
      <c r="X1911" s="49"/>
      <c r="Y1911" s="35"/>
      <c r="Z1911" s="35"/>
      <c r="AA1911" s="35"/>
      <c r="AB1911" s="35"/>
      <c r="AC1911" s="35"/>
      <c r="AD1911" s="35"/>
      <c r="AE1911" s="35"/>
      <c r="AF1911" s="35"/>
      <c r="AG1911" s="35"/>
      <c r="AH1911" s="35"/>
      <c r="AI1911" s="35"/>
      <c r="AJ1911" s="35"/>
      <c r="AK1911" s="35"/>
      <c r="AL1911" s="35"/>
    </row>
    <row r="1912">
      <c r="A1912" s="55"/>
      <c r="B1912" s="19" t="s">
        <v>9393</v>
      </c>
      <c r="C1912" s="20" t="s">
        <v>9710</v>
      </c>
      <c r="D1912" s="47"/>
      <c r="E1912" s="22" t="s">
        <v>9711</v>
      </c>
      <c r="F1912" s="22" t="s">
        <v>9712</v>
      </c>
      <c r="G1912" s="57">
        <v>2023.0</v>
      </c>
      <c r="H1912" s="57" t="s">
        <v>9652</v>
      </c>
      <c r="I1912" s="134" t="s">
        <v>9713</v>
      </c>
      <c r="J1912" s="22" t="s">
        <v>9714</v>
      </c>
      <c r="K1912" s="22"/>
      <c r="L1912" s="52"/>
      <c r="M1912" s="52"/>
      <c r="N1912" s="52"/>
      <c r="O1912" s="52"/>
      <c r="P1912" s="189"/>
      <c r="Q1912" s="52"/>
      <c r="R1912" s="52"/>
      <c r="S1912" s="52"/>
      <c r="T1912" s="252" t="s">
        <v>9715</v>
      </c>
      <c r="U1912" s="38" t="s">
        <v>61</v>
      </c>
      <c r="V1912" s="30" t="s">
        <v>174</v>
      </c>
      <c r="W1912" s="49"/>
      <c r="X1912" s="49"/>
      <c r="Y1912" s="35"/>
      <c r="Z1912" s="35"/>
      <c r="AA1912" s="35"/>
      <c r="AB1912" s="35"/>
      <c r="AC1912" s="35"/>
      <c r="AD1912" s="35"/>
      <c r="AE1912" s="35"/>
      <c r="AF1912" s="35"/>
      <c r="AG1912" s="35"/>
      <c r="AH1912" s="35"/>
      <c r="AI1912" s="35"/>
      <c r="AJ1912" s="35"/>
      <c r="AK1912" s="35"/>
      <c r="AL1912" s="35"/>
    </row>
    <row r="1913">
      <c r="A1913" s="55"/>
      <c r="B1913" s="19" t="s">
        <v>9393</v>
      </c>
      <c r="C1913" s="20" t="s">
        <v>9707</v>
      </c>
      <c r="D1913" s="47"/>
      <c r="E1913" s="22" t="s">
        <v>9716</v>
      </c>
      <c r="F1913" s="22" t="s">
        <v>9717</v>
      </c>
      <c r="G1913" s="57">
        <v>2023.0</v>
      </c>
      <c r="H1913" s="57" t="s">
        <v>9718</v>
      </c>
      <c r="I1913" s="134" t="s">
        <v>9719</v>
      </c>
      <c r="J1913" s="22" t="s">
        <v>9720</v>
      </c>
      <c r="K1913" s="22" t="s">
        <v>9721</v>
      </c>
      <c r="L1913" s="52" t="s">
        <v>58</v>
      </c>
      <c r="M1913" s="52" t="s">
        <v>58</v>
      </c>
      <c r="N1913" s="52" t="s">
        <v>58</v>
      </c>
      <c r="O1913" s="52" t="s">
        <v>58</v>
      </c>
      <c r="P1913" s="189" t="s">
        <v>58</v>
      </c>
      <c r="Q1913" s="52" t="s">
        <v>58</v>
      </c>
      <c r="R1913" s="52"/>
      <c r="S1913" s="52" t="s">
        <v>9722</v>
      </c>
      <c r="T1913" s="252" t="s">
        <v>9723</v>
      </c>
      <c r="U1913" s="38" t="s">
        <v>61</v>
      </c>
      <c r="V1913" s="30"/>
      <c r="W1913" s="49"/>
      <c r="X1913" s="49"/>
      <c r="Y1913" s="35"/>
      <c r="Z1913" s="35"/>
      <c r="AA1913" s="35"/>
      <c r="AB1913" s="35"/>
      <c r="AC1913" s="35"/>
      <c r="AD1913" s="35"/>
      <c r="AE1913" s="35"/>
      <c r="AF1913" s="35"/>
      <c r="AG1913" s="35"/>
      <c r="AH1913" s="35"/>
      <c r="AI1913" s="35"/>
      <c r="AJ1913" s="35"/>
      <c r="AK1913" s="35"/>
      <c r="AL1913" s="35"/>
    </row>
    <row r="1914">
      <c r="A1914" s="55"/>
      <c r="B1914" s="19" t="s">
        <v>9393</v>
      </c>
      <c r="C1914" s="20" t="s">
        <v>9707</v>
      </c>
      <c r="D1914" s="47"/>
      <c r="E1914" s="22" t="s">
        <v>9724</v>
      </c>
      <c r="F1914" s="22" t="s">
        <v>6382</v>
      </c>
      <c r="G1914" s="57">
        <v>2023.0</v>
      </c>
      <c r="H1914" s="57" t="s">
        <v>42</v>
      </c>
      <c r="I1914" s="134" t="s">
        <v>9725</v>
      </c>
      <c r="J1914" s="22" t="s">
        <v>9726</v>
      </c>
      <c r="K1914" s="22" t="s">
        <v>9727</v>
      </c>
      <c r="L1914" s="52"/>
      <c r="M1914" s="52"/>
      <c r="N1914" s="52" t="s">
        <v>9728</v>
      </c>
      <c r="O1914" s="52"/>
      <c r="P1914" s="189"/>
      <c r="Q1914" s="52"/>
      <c r="R1914" s="52" t="s">
        <v>9729</v>
      </c>
      <c r="S1914" s="52">
        <v>1.0</v>
      </c>
      <c r="T1914" s="252" t="s">
        <v>9730</v>
      </c>
      <c r="U1914" s="38" t="s">
        <v>61</v>
      </c>
      <c r="V1914" s="30"/>
      <c r="W1914" s="49"/>
      <c r="X1914" s="49"/>
      <c r="Y1914" s="35"/>
      <c r="Z1914" s="35"/>
      <c r="AA1914" s="35"/>
      <c r="AB1914" s="35"/>
      <c r="AC1914" s="35"/>
      <c r="AD1914" s="35"/>
      <c r="AE1914" s="35"/>
      <c r="AF1914" s="35"/>
      <c r="AG1914" s="35"/>
      <c r="AH1914" s="35"/>
      <c r="AI1914" s="35"/>
      <c r="AJ1914" s="35"/>
      <c r="AK1914" s="35"/>
      <c r="AL1914" s="35"/>
    </row>
    <row r="1915">
      <c r="A1915" s="55" t="s">
        <v>181</v>
      </c>
      <c r="B1915" s="19" t="s">
        <v>9393</v>
      </c>
      <c r="C1915" s="20" t="s">
        <v>9707</v>
      </c>
      <c r="D1915" s="47"/>
      <c r="E1915" s="22" t="s">
        <v>9731</v>
      </c>
      <c r="F1915" s="22" t="s">
        <v>115</v>
      </c>
      <c r="G1915" s="57">
        <v>2023.0</v>
      </c>
      <c r="H1915" s="57" t="s">
        <v>2375</v>
      </c>
      <c r="I1915" s="134" t="s">
        <v>9732</v>
      </c>
      <c r="J1915" s="22" t="s">
        <v>9733</v>
      </c>
      <c r="K1915" s="22"/>
      <c r="L1915" s="52" t="s">
        <v>58</v>
      </c>
      <c r="M1915" s="52" t="s">
        <v>58</v>
      </c>
      <c r="N1915" s="52" t="s">
        <v>58</v>
      </c>
      <c r="O1915" s="52" t="s">
        <v>58</v>
      </c>
      <c r="P1915" s="189" t="s">
        <v>58</v>
      </c>
      <c r="Q1915" s="52" t="s">
        <v>58</v>
      </c>
      <c r="R1915" s="52">
        <v>900.0</v>
      </c>
      <c r="S1915" s="52" t="s">
        <v>58</v>
      </c>
      <c r="T1915" s="252" t="s">
        <v>9734</v>
      </c>
      <c r="U1915" s="38" t="s">
        <v>61</v>
      </c>
      <c r="V1915" s="30" t="s">
        <v>9735</v>
      </c>
      <c r="W1915" s="49"/>
      <c r="X1915" s="49"/>
      <c r="Y1915" s="35"/>
      <c r="Z1915" s="35"/>
      <c r="AA1915" s="35"/>
      <c r="AB1915" s="35"/>
      <c r="AC1915" s="35"/>
      <c r="AD1915" s="35"/>
      <c r="AE1915" s="35"/>
      <c r="AF1915" s="35"/>
      <c r="AG1915" s="35"/>
      <c r="AH1915" s="35"/>
      <c r="AI1915" s="35"/>
      <c r="AJ1915" s="35"/>
      <c r="AK1915" s="35"/>
      <c r="AL1915" s="35"/>
    </row>
    <row r="1916">
      <c r="A1916" s="55"/>
      <c r="B1916" s="19" t="s">
        <v>9393</v>
      </c>
      <c r="C1916" s="20" t="s">
        <v>9707</v>
      </c>
      <c r="D1916" s="47"/>
      <c r="E1916" s="22" t="s">
        <v>9736</v>
      </c>
      <c r="F1916" s="22" t="s">
        <v>2208</v>
      </c>
      <c r="G1916" s="57">
        <v>2023.0</v>
      </c>
      <c r="H1916" s="57" t="s">
        <v>9737</v>
      </c>
      <c r="I1916" s="134" t="s">
        <v>9738</v>
      </c>
      <c r="J1916" s="22" t="s">
        <v>9739</v>
      </c>
      <c r="K1916" s="22" t="s">
        <v>9740</v>
      </c>
      <c r="L1916" s="52">
        <v>633.0</v>
      </c>
      <c r="M1916" s="52"/>
      <c r="N1916" s="52"/>
      <c r="O1916" s="52"/>
      <c r="P1916" s="189"/>
      <c r="Q1916" s="52"/>
      <c r="R1916" s="52">
        <v>900.0</v>
      </c>
      <c r="S1916" s="52">
        <v>1.0</v>
      </c>
      <c r="T1916" s="252" t="s">
        <v>9741</v>
      </c>
      <c r="U1916" s="38" t="s">
        <v>61</v>
      </c>
      <c r="V1916" s="50"/>
      <c r="W1916" s="49"/>
      <c r="X1916" s="49"/>
      <c r="Y1916" s="35"/>
      <c r="Z1916" s="35"/>
      <c r="AA1916" s="35"/>
      <c r="AB1916" s="35"/>
      <c r="AC1916" s="35"/>
      <c r="AD1916" s="35"/>
      <c r="AE1916" s="35"/>
      <c r="AF1916" s="35"/>
      <c r="AG1916" s="35"/>
      <c r="AH1916" s="35"/>
      <c r="AI1916" s="35"/>
      <c r="AJ1916" s="35"/>
      <c r="AK1916" s="35"/>
      <c r="AL1916" s="35"/>
    </row>
    <row r="1917">
      <c r="A1917" s="55"/>
      <c r="B1917" s="19" t="s">
        <v>9393</v>
      </c>
      <c r="C1917" s="20" t="s">
        <v>9707</v>
      </c>
      <c r="D1917" s="47"/>
      <c r="E1917" s="22" t="s">
        <v>9742</v>
      </c>
      <c r="F1917" s="22" t="s">
        <v>8578</v>
      </c>
      <c r="G1917" s="57">
        <v>2023.0</v>
      </c>
      <c r="H1917" s="57" t="s">
        <v>9743</v>
      </c>
      <c r="I1917" s="134" t="s">
        <v>9744</v>
      </c>
      <c r="J1917" s="22" t="s">
        <v>9745</v>
      </c>
      <c r="K1917" s="22"/>
      <c r="L1917" s="52"/>
      <c r="M1917" s="52"/>
      <c r="N1917" s="52"/>
      <c r="O1917" s="52"/>
      <c r="P1917" s="189"/>
      <c r="Q1917" s="52"/>
      <c r="R1917" s="52"/>
      <c r="S1917" s="52"/>
      <c r="T1917" s="252" t="s">
        <v>9746</v>
      </c>
      <c r="U1917" s="38" t="s">
        <v>61</v>
      </c>
      <c r="V1917" s="50"/>
      <c r="W1917" s="49"/>
      <c r="X1917" s="49"/>
      <c r="Y1917" s="35"/>
      <c r="Z1917" s="35"/>
      <c r="AA1917" s="35"/>
      <c r="AB1917" s="35"/>
      <c r="AC1917" s="35"/>
      <c r="AD1917" s="35"/>
      <c r="AE1917" s="35"/>
      <c r="AF1917" s="35"/>
      <c r="AG1917" s="35"/>
      <c r="AH1917" s="35"/>
      <c r="AI1917" s="35"/>
      <c r="AJ1917" s="35"/>
      <c r="AK1917" s="35"/>
      <c r="AL1917" s="35"/>
    </row>
    <row r="1918">
      <c r="A1918" s="55"/>
      <c r="B1918" s="19" t="s">
        <v>9393</v>
      </c>
      <c r="C1918" s="20" t="s">
        <v>9707</v>
      </c>
      <c r="D1918" s="47"/>
      <c r="E1918" s="22" t="s">
        <v>9747</v>
      </c>
      <c r="F1918" s="22" t="s">
        <v>9748</v>
      </c>
      <c r="G1918" s="57">
        <v>2023.0</v>
      </c>
      <c r="H1918" s="57" t="s">
        <v>9749</v>
      </c>
      <c r="I1918" s="134" t="s">
        <v>9750</v>
      </c>
      <c r="J1918" s="22" t="s">
        <v>649</v>
      </c>
      <c r="K1918" s="22"/>
      <c r="L1918" s="173" t="s">
        <v>9751</v>
      </c>
      <c r="U1918" s="38" t="s">
        <v>61</v>
      </c>
      <c r="V1918" s="50"/>
      <c r="W1918" s="49"/>
      <c r="X1918" s="49"/>
      <c r="Y1918" s="35"/>
      <c r="Z1918" s="35"/>
      <c r="AA1918" s="35"/>
      <c r="AB1918" s="35"/>
      <c r="AC1918" s="35"/>
      <c r="AD1918" s="35"/>
      <c r="AE1918" s="35"/>
      <c r="AF1918" s="35"/>
      <c r="AG1918" s="35"/>
      <c r="AH1918" s="35"/>
      <c r="AI1918" s="35"/>
      <c r="AJ1918" s="35"/>
      <c r="AK1918" s="35"/>
      <c r="AL1918" s="35"/>
    </row>
    <row r="1919">
      <c r="A1919" s="55"/>
      <c r="B1919" s="19" t="s">
        <v>9393</v>
      </c>
      <c r="C1919" s="20" t="s">
        <v>9707</v>
      </c>
      <c r="D1919" s="47"/>
      <c r="E1919" s="22" t="s">
        <v>9711</v>
      </c>
      <c r="F1919" s="22" t="s">
        <v>9712</v>
      </c>
      <c r="G1919" s="57">
        <v>2023.0</v>
      </c>
      <c r="H1919" s="57" t="s">
        <v>9415</v>
      </c>
      <c r="I1919" s="134" t="s">
        <v>9752</v>
      </c>
      <c r="J1919" s="22" t="s">
        <v>9753</v>
      </c>
      <c r="K1919" s="22" t="s">
        <v>9754</v>
      </c>
      <c r="L1919" s="52">
        <v>625.0</v>
      </c>
      <c r="M1919" s="52"/>
      <c r="N1919" s="52" t="s">
        <v>9755</v>
      </c>
      <c r="O1919" s="52"/>
      <c r="P1919" s="189" t="s">
        <v>2400</v>
      </c>
      <c r="Q1919" s="52"/>
      <c r="R1919" s="52"/>
      <c r="S1919" s="52" t="s">
        <v>9756</v>
      </c>
      <c r="T1919" s="252" t="s">
        <v>9757</v>
      </c>
      <c r="U1919" s="38" t="s">
        <v>61</v>
      </c>
      <c r="V1919" s="50"/>
      <c r="W1919" s="49"/>
      <c r="X1919" s="49"/>
      <c r="Y1919" s="35"/>
      <c r="Z1919" s="35"/>
      <c r="AA1919" s="35"/>
      <c r="AB1919" s="35"/>
      <c r="AC1919" s="35"/>
      <c r="AD1919" s="35"/>
      <c r="AE1919" s="35"/>
      <c r="AF1919" s="35"/>
      <c r="AG1919" s="35"/>
      <c r="AH1919" s="35"/>
      <c r="AI1919" s="35"/>
      <c r="AJ1919" s="35"/>
      <c r="AK1919" s="35"/>
      <c r="AL1919" s="35"/>
    </row>
    <row r="1920">
      <c r="A1920" s="55"/>
      <c r="B1920" s="19" t="s">
        <v>9393</v>
      </c>
      <c r="C1920" s="20" t="s">
        <v>9707</v>
      </c>
      <c r="D1920" s="47"/>
      <c r="E1920" s="22" t="s">
        <v>9711</v>
      </c>
      <c r="F1920" s="22" t="s">
        <v>9758</v>
      </c>
      <c r="G1920" s="57">
        <v>2023.0</v>
      </c>
      <c r="H1920" s="57" t="s">
        <v>9560</v>
      </c>
      <c r="I1920" s="134" t="s">
        <v>9759</v>
      </c>
      <c r="J1920" s="22" t="s">
        <v>9760</v>
      </c>
      <c r="K1920" s="22" t="s">
        <v>9761</v>
      </c>
      <c r="L1920" s="52"/>
      <c r="M1920" s="52"/>
      <c r="N1920" s="52"/>
      <c r="O1920" s="52"/>
      <c r="P1920" s="189"/>
      <c r="Q1920" s="52"/>
      <c r="R1920" s="52"/>
      <c r="S1920" s="52" t="s">
        <v>8418</v>
      </c>
      <c r="T1920" s="257" t="s">
        <v>9762</v>
      </c>
      <c r="U1920" s="38" t="s">
        <v>61</v>
      </c>
      <c r="V1920" s="50"/>
      <c r="W1920" s="49"/>
      <c r="X1920" s="49"/>
      <c r="Y1920" s="35"/>
      <c r="Z1920" s="35"/>
      <c r="AA1920" s="35"/>
      <c r="AB1920" s="35"/>
      <c r="AC1920" s="35"/>
      <c r="AD1920" s="35"/>
      <c r="AE1920" s="35"/>
      <c r="AF1920" s="35"/>
      <c r="AG1920" s="35"/>
      <c r="AH1920" s="35"/>
      <c r="AI1920" s="35"/>
      <c r="AJ1920" s="35"/>
      <c r="AK1920" s="35"/>
      <c r="AL1920" s="35"/>
    </row>
    <row r="1921">
      <c r="A1921" s="55"/>
      <c r="B1921" s="19" t="s">
        <v>9393</v>
      </c>
      <c r="C1921" s="20" t="s">
        <v>9707</v>
      </c>
      <c r="D1921" s="47"/>
      <c r="E1921" s="22" t="s">
        <v>850</v>
      </c>
      <c r="F1921" s="22" t="s">
        <v>115</v>
      </c>
      <c r="G1921" s="57">
        <v>2022.0</v>
      </c>
      <c r="H1921" s="57" t="s">
        <v>9450</v>
      </c>
      <c r="I1921" s="134" t="s">
        <v>9763</v>
      </c>
      <c r="J1921" s="22" t="s">
        <v>9764</v>
      </c>
      <c r="K1921" s="22" t="s">
        <v>9765</v>
      </c>
      <c r="L1921" s="52"/>
      <c r="M1921" s="52"/>
      <c r="N1921" s="52"/>
      <c r="O1921" s="52"/>
      <c r="P1921" s="189"/>
      <c r="Q1921" s="52"/>
      <c r="R1921" s="52"/>
      <c r="S1921" s="52" t="s">
        <v>9766</v>
      </c>
      <c r="T1921" s="256" t="s">
        <v>9767</v>
      </c>
      <c r="U1921" s="38" t="s">
        <v>61</v>
      </c>
      <c r="V1921" s="50"/>
      <c r="W1921" s="49"/>
      <c r="X1921" s="49"/>
      <c r="Y1921" s="35"/>
      <c r="Z1921" s="35"/>
      <c r="AA1921" s="35"/>
      <c r="AB1921" s="35"/>
      <c r="AC1921" s="35"/>
      <c r="AD1921" s="35"/>
      <c r="AE1921" s="35"/>
      <c r="AF1921" s="35"/>
      <c r="AG1921" s="35"/>
      <c r="AH1921" s="35"/>
      <c r="AI1921" s="35"/>
      <c r="AJ1921" s="35"/>
      <c r="AK1921" s="35"/>
      <c r="AL1921" s="35"/>
    </row>
    <row r="1922">
      <c r="A1922" s="55"/>
      <c r="B1922" s="19" t="s">
        <v>9393</v>
      </c>
      <c r="C1922" s="20" t="s">
        <v>9707</v>
      </c>
      <c r="D1922" s="47"/>
      <c r="E1922" s="22" t="s">
        <v>9768</v>
      </c>
      <c r="F1922" s="22" t="s">
        <v>128</v>
      </c>
      <c r="G1922" s="57">
        <v>2022.0</v>
      </c>
      <c r="H1922" s="57" t="s">
        <v>9743</v>
      </c>
      <c r="I1922" s="134" t="s">
        <v>9769</v>
      </c>
      <c r="J1922" s="22" t="s">
        <v>9770</v>
      </c>
      <c r="K1922" s="22"/>
      <c r="L1922" s="52"/>
      <c r="M1922" s="52"/>
      <c r="N1922" s="52"/>
      <c r="O1922" s="52"/>
      <c r="P1922" s="189"/>
      <c r="Q1922" s="52"/>
      <c r="R1922" s="52"/>
      <c r="S1922" s="52"/>
      <c r="T1922" s="252" t="s">
        <v>9771</v>
      </c>
      <c r="U1922" s="38" t="s">
        <v>61</v>
      </c>
      <c r="V1922" s="50"/>
      <c r="W1922" s="49"/>
      <c r="X1922" s="49"/>
      <c r="Y1922" s="35"/>
      <c r="Z1922" s="35"/>
      <c r="AA1922" s="35"/>
      <c r="AB1922" s="35"/>
      <c r="AC1922" s="35"/>
      <c r="AD1922" s="35"/>
      <c r="AE1922" s="35"/>
      <c r="AF1922" s="35"/>
      <c r="AG1922" s="35"/>
      <c r="AH1922" s="35"/>
      <c r="AI1922" s="35"/>
      <c r="AJ1922" s="35"/>
      <c r="AK1922" s="35"/>
      <c r="AL1922" s="35"/>
    </row>
    <row r="1923">
      <c r="A1923" s="55"/>
      <c r="B1923" s="19" t="s">
        <v>9393</v>
      </c>
      <c r="C1923" s="20" t="s">
        <v>9707</v>
      </c>
      <c r="D1923" s="47"/>
      <c r="E1923" s="22" t="s">
        <v>9772</v>
      </c>
      <c r="F1923" s="22" t="s">
        <v>9773</v>
      </c>
      <c r="G1923" s="57">
        <v>2022.0</v>
      </c>
      <c r="H1923" s="57" t="s">
        <v>9401</v>
      </c>
      <c r="I1923" s="134" t="s">
        <v>9774</v>
      </c>
      <c r="J1923" s="22" t="s">
        <v>9775</v>
      </c>
      <c r="K1923" s="22" t="s">
        <v>9776</v>
      </c>
      <c r="L1923" s="52"/>
      <c r="M1923" s="52"/>
      <c r="N1923" s="52"/>
      <c r="O1923" s="52"/>
      <c r="P1923" s="189"/>
      <c r="Q1923" s="52"/>
      <c r="R1923" s="52"/>
      <c r="S1923" s="52">
        <v>3.0</v>
      </c>
      <c r="T1923" s="252" t="s">
        <v>9777</v>
      </c>
      <c r="U1923" s="38" t="s">
        <v>61</v>
      </c>
      <c r="V1923" s="50"/>
      <c r="W1923" s="49"/>
      <c r="X1923" s="49"/>
      <c r="Y1923" s="35"/>
      <c r="Z1923" s="35"/>
      <c r="AA1923" s="35"/>
      <c r="AB1923" s="35"/>
      <c r="AC1923" s="35"/>
      <c r="AD1923" s="35"/>
      <c r="AE1923" s="35"/>
      <c r="AF1923" s="35"/>
      <c r="AG1923" s="35"/>
      <c r="AH1923" s="35"/>
      <c r="AI1923" s="35"/>
      <c r="AJ1923" s="35"/>
      <c r="AK1923" s="35"/>
      <c r="AL1923" s="35"/>
    </row>
    <row r="1924">
      <c r="A1924" s="146"/>
      <c r="B1924" s="19" t="s">
        <v>9393</v>
      </c>
      <c r="C1924" s="20" t="s">
        <v>9707</v>
      </c>
      <c r="D1924" s="47"/>
      <c r="E1924" s="22" t="s">
        <v>6140</v>
      </c>
      <c r="F1924" s="22" t="s">
        <v>1905</v>
      </c>
      <c r="G1924" s="57">
        <v>2022.0</v>
      </c>
      <c r="H1924" s="57" t="s">
        <v>2181</v>
      </c>
      <c r="I1924" s="134" t="s">
        <v>9778</v>
      </c>
      <c r="J1924" s="22" t="s">
        <v>9779</v>
      </c>
      <c r="K1924" s="22"/>
      <c r="L1924" s="258" t="s">
        <v>8502</v>
      </c>
      <c r="M1924" s="258"/>
      <c r="N1924" s="258" t="s">
        <v>9780</v>
      </c>
      <c r="O1924" s="258"/>
      <c r="P1924" s="258" t="s">
        <v>9781</v>
      </c>
      <c r="Q1924" s="258"/>
      <c r="R1924" s="258" t="s">
        <v>9782</v>
      </c>
      <c r="S1924" s="258" t="s">
        <v>4387</v>
      </c>
      <c r="T1924" s="259" t="s">
        <v>9783</v>
      </c>
      <c r="U1924" s="29" t="s">
        <v>61</v>
      </c>
      <c r="V1924" s="30"/>
      <c r="W1924" s="49"/>
      <c r="X1924" s="49"/>
      <c r="Y1924" s="35"/>
      <c r="Z1924" s="35"/>
      <c r="AA1924" s="35"/>
      <c r="AB1924" s="35"/>
      <c r="AC1924" s="35"/>
      <c r="AD1924" s="35"/>
      <c r="AE1924" s="35"/>
      <c r="AF1924" s="35"/>
      <c r="AG1924" s="35"/>
      <c r="AH1924" s="35"/>
      <c r="AI1924" s="35"/>
      <c r="AJ1924" s="35"/>
      <c r="AK1924" s="35"/>
      <c r="AL1924" s="35"/>
    </row>
    <row r="1925">
      <c r="A1925" s="146"/>
      <c r="B1925" s="19" t="s">
        <v>9393</v>
      </c>
      <c r="C1925" s="20" t="s">
        <v>9707</v>
      </c>
      <c r="D1925" s="47"/>
      <c r="E1925" s="22" t="s">
        <v>9716</v>
      </c>
      <c r="F1925" s="22" t="s">
        <v>9717</v>
      </c>
      <c r="G1925" s="57">
        <v>2021.0</v>
      </c>
      <c r="H1925" s="57" t="s">
        <v>9560</v>
      </c>
      <c r="I1925" s="134" t="s">
        <v>9784</v>
      </c>
      <c r="J1925" s="22" t="s">
        <v>9785</v>
      </c>
      <c r="K1925" s="22"/>
      <c r="L1925" s="258"/>
      <c r="M1925" s="260"/>
      <c r="N1925" s="260"/>
      <c r="O1925" s="260"/>
      <c r="P1925" s="260"/>
      <c r="Q1925" s="260"/>
      <c r="R1925" s="260"/>
      <c r="S1925" s="258">
        <v>1.0</v>
      </c>
      <c r="T1925" s="252" t="s">
        <v>9786</v>
      </c>
      <c r="U1925" s="29" t="s">
        <v>61</v>
      </c>
      <c r="V1925" s="30"/>
      <c r="W1925" s="49"/>
      <c r="X1925" s="49"/>
      <c r="Y1925" s="35"/>
      <c r="Z1925" s="35"/>
      <c r="AA1925" s="35"/>
      <c r="AB1925" s="35"/>
      <c r="AC1925" s="35"/>
      <c r="AD1925" s="35"/>
      <c r="AE1925" s="35"/>
      <c r="AF1925" s="35"/>
      <c r="AG1925" s="35"/>
      <c r="AH1925" s="35"/>
      <c r="AI1925" s="35"/>
      <c r="AJ1925" s="35"/>
      <c r="AK1925" s="35"/>
      <c r="AL1925" s="35"/>
    </row>
    <row r="1926">
      <c r="A1926" s="146"/>
      <c r="B1926" s="19" t="s">
        <v>9393</v>
      </c>
      <c r="C1926" s="20" t="s">
        <v>9707</v>
      </c>
      <c r="D1926" s="47"/>
      <c r="E1926" s="22" t="s">
        <v>9787</v>
      </c>
      <c r="F1926" s="22" t="s">
        <v>5429</v>
      </c>
      <c r="G1926" s="57">
        <v>2021.0</v>
      </c>
      <c r="H1926" s="57" t="s">
        <v>9788</v>
      </c>
      <c r="I1926" s="134" t="s">
        <v>9789</v>
      </c>
      <c r="J1926" s="22" t="s">
        <v>9790</v>
      </c>
      <c r="K1926" s="22"/>
      <c r="L1926" s="258"/>
      <c r="M1926" s="260"/>
      <c r="N1926" s="258" t="s">
        <v>414</v>
      </c>
      <c r="O1926" s="260"/>
      <c r="P1926" s="258">
        <v>110.0</v>
      </c>
      <c r="Q1926" s="260"/>
      <c r="R1926" s="258">
        <v>900.0</v>
      </c>
      <c r="S1926" s="258" t="s">
        <v>8418</v>
      </c>
      <c r="T1926" s="259" t="s">
        <v>9791</v>
      </c>
      <c r="U1926" s="29" t="s">
        <v>61</v>
      </c>
      <c r="V1926" s="30"/>
      <c r="W1926" s="49"/>
      <c r="X1926" s="49"/>
      <c r="Y1926" s="35"/>
      <c r="Z1926" s="35"/>
      <c r="AA1926" s="35"/>
      <c r="AB1926" s="35"/>
      <c r="AC1926" s="35"/>
      <c r="AD1926" s="35"/>
      <c r="AE1926" s="35"/>
      <c r="AF1926" s="35"/>
      <c r="AG1926" s="35"/>
      <c r="AH1926" s="35"/>
      <c r="AI1926" s="35"/>
      <c r="AJ1926" s="35"/>
      <c r="AK1926" s="35"/>
      <c r="AL1926" s="35"/>
    </row>
    <row r="1927">
      <c r="A1927" s="146"/>
      <c r="B1927" s="19" t="s">
        <v>9393</v>
      </c>
      <c r="C1927" s="20" t="s">
        <v>9707</v>
      </c>
      <c r="D1927" s="47"/>
      <c r="E1927" s="22" t="s">
        <v>9792</v>
      </c>
      <c r="F1927" s="22" t="s">
        <v>9793</v>
      </c>
      <c r="G1927" s="57">
        <v>2021.0</v>
      </c>
      <c r="H1927" s="57" t="s">
        <v>9450</v>
      </c>
      <c r="I1927" s="134" t="s">
        <v>9794</v>
      </c>
      <c r="J1927" s="22" t="s">
        <v>9795</v>
      </c>
      <c r="K1927" s="22"/>
      <c r="L1927" s="258"/>
      <c r="M1927" s="260"/>
      <c r="N1927" s="260"/>
      <c r="O1927" s="260"/>
      <c r="P1927" s="260"/>
      <c r="Q1927" s="260"/>
      <c r="R1927" s="260"/>
      <c r="S1927" s="258" t="s">
        <v>7321</v>
      </c>
      <c r="T1927" s="252" t="s">
        <v>9796</v>
      </c>
      <c r="U1927" s="29" t="s">
        <v>61</v>
      </c>
      <c r="V1927" s="30"/>
      <c r="W1927" s="49"/>
      <c r="X1927" s="49"/>
      <c r="Y1927" s="35"/>
      <c r="Z1927" s="35"/>
      <c r="AA1927" s="35"/>
      <c r="AB1927" s="35"/>
      <c r="AC1927" s="35"/>
      <c r="AD1927" s="35"/>
      <c r="AE1927" s="35"/>
      <c r="AF1927" s="35"/>
      <c r="AG1927" s="35"/>
      <c r="AH1927" s="35"/>
      <c r="AI1927" s="35"/>
      <c r="AJ1927" s="35"/>
      <c r="AK1927" s="35"/>
      <c r="AL1927" s="35"/>
    </row>
    <row r="1928">
      <c r="A1928" s="146"/>
      <c r="B1928" s="19" t="s">
        <v>9393</v>
      </c>
      <c r="C1928" s="20" t="s">
        <v>9707</v>
      </c>
      <c r="D1928" s="47"/>
      <c r="E1928" s="22" t="s">
        <v>9797</v>
      </c>
      <c r="F1928" s="22" t="s">
        <v>2180</v>
      </c>
      <c r="G1928" s="57">
        <v>2021.0</v>
      </c>
      <c r="H1928" s="57" t="s">
        <v>8884</v>
      </c>
      <c r="I1928" s="134" t="s">
        <v>9798</v>
      </c>
      <c r="J1928" s="22" t="s">
        <v>9799</v>
      </c>
      <c r="K1928" s="22"/>
      <c r="L1928" s="258" t="s">
        <v>9800</v>
      </c>
      <c r="M1928" s="260"/>
      <c r="N1928" s="260"/>
      <c r="O1928" s="260"/>
      <c r="P1928" s="260"/>
      <c r="Q1928" s="260"/>
      <c r="R1928" s="260"/>
      <c r="S1928" s="258" t="s">
        <v>8418</v>
      </c>
      <c r="T1928" s="252" t="s">
        <v>9801</v>
      </c>
      <c r="U1928" s="29" t="s">
        <v>61</v>
      </c>
      <c r="V1928" s="30"/>
      <c r="W1928" s="49"/>
      <c r="X1928" s="49"/>
      <c r="Y1928" s="35"/>
      <c r="Z1928" s="35"/>
      <c r="AA1928" s="35"/>
      <c r="AB1928" s="35"/>
      <c r="AC1928" s="35"/>
      <c r="AD1928" s="35"/>
      <c r="AE1928" s="35"/>
      <c r="AF1928" s="35"/>
      <c r="AG1928" s="35"/>
      <c r="AH1928" s="35"/>
      <c r="AI1928" s="35"/>
      <c r="AJ1928" s="35"/>
      <c r="AK1928" s="35"/>
      <c r="AL1928" s="35"/>
    </row>
    <row r="1929">
      <c r="A1929" s="146"/>
      <c r="B1929" s="19" t="s">
        <v>9393</v>
      </c>
      <c r="C1929" s="20" t="s">
        <v>9707</v>
      </c>
      <c r="D1929" s="47"/>
      <c r="E1929" s="22" t="s">
        <v>9802</v>
      </c>
      <c r="F1929" s="22" t="s">
        <v>9803</v>
      </c>
      <c r="G1929" s="57">
        <v>2021.0</v>
      </c>
      <c r="H1929" s="57" t="s">
        <v>9450</v>
      </c>
      <c r="I1929" s="134" t="s">
        <v>9804</v>
      </c>
      <c r="J1929" s="22" t="s">
        <v>9805</v>
      </c>
      <c r="K1929" s="22"/>
      <c r="L1929" s="258" t="s">
        <v>9800</v>
      </c>
      <c r="M1929" s="260"/>
      <c r="N1929" s="260"/>
      <c r="O1929" s="260"/>
      <c r="P1929" s="260"/>
      <c r="Q1929" s="260"/>
      <c r="R1929" s="260"/>
      <c r="S1929" s="258" t="s">
        <v>9806</v>
      </c>
      <c r="T1929" s="252" t="s">
        <v>9807</v>
      </c>
      <c r="U1929" s="29" t="s">
        <v>61</v>
      </c>
      <c r="V1929" s="30"/>
      <c r="W1929" s="49"/>
      <c r="X1929" s="49"/>
      <c r="Y1929" s="35"/>
      <c r="Z1929" s="35"/>
      <c r="AA1929" s="35"/>
      <c r="AB1929" s="35"/>
      <c r="AC1929" s="35"/>
      <c r="AD1929" s="35"/>
      <c r="AE1929" s="35"/>
      <c r="AF1929" s="35"/>
      <c r="AG1929" s="35"/>
      <c r="AH1929" s="35"/>
      <c r="AI1929" s="35"/>
      <c r="AJ1929" s="35"/>
      <c r="AK1929" s="35"/>
      <c r="AL1929" s="35"/>
    </row>
    <row r="1930">
      <c r="A1930" s="146"/>
      <c r="B1930" s="19" t="s">
        <v>9393</v>
      </c>
      <c r="C1930" s="20" t="s">
        <v>9707</v>
      </c>
      <c r="D1930" s="47"/>
      <c r="E1930" s="22" t="s">
        <v>9808</v>
      </c>
      <c r="F1930" s="22" t="s">
        <v>1862</v>
      </c>
      <c r="G1930" s="57">
        <v>2021.0</v>
      </c>
      <c r="H1930" s="57" t="s">
        <v>9737</v>
      </c>
      <c r="I1930" s="134" t="s">
        <v>9809</v>
      </c>
      <c r="J1930" s="22" t="s">
        <v>125</v>
      </c>
      <c r="K1930" s="22"/>
      <c r="L1930" s="261" t="s">
        <v>9810</v>
      </c>
      <c r="U1930" s="29" t="s">
        <v>61</v>
      </c>
      <c r="V1930" s="30"/>
      <c r="W1930" s="49"/>
      <c r="X1930" s="49"/>
      <c r="Y1930" s="35"/>
      <c r="Z1930" s="35"/>
      <c r="AA1930" s="35"/>
      <c r="AB1930" s="35"/>
      <c r="AC1930" s="35"/>
      <c r="AD1930" s="35"/>
      <c r="AE1930" s="35"/>
      <c r="AF1930" s="35"/>
      <c r="AG1930" s="35"/>
      <c r="AH1930" s="35"/>
      <c r="AI1930" s="35"/>
      <c r="AJ1930" s="35"/>
      <c r="AK1930" s="35"/>
      <c r="AL1930" s="35"/>
    </row>
    <row r="1931">
      <c r="A1931" s="146"/>
      <c r="B1931" s="19" t="s">
        <v>9393</v>
      </c>
      <c r="C1931" s="20" t="s">
        <v>9707</v>
      </c>
      <c r="D1931" s="47"/>
      <c r="E1931" s="22" t="s">
        <v>9405</v>
      </c>
      <c r="F1931" s="22" t="s">
        <v>1905</v>
      </c>
      <c r="G1931" s="57">
        <v>2019.0</v>
      </c>
      <c r="H1931" s="57" t="s">
        <v>9811</v>
      </c>
      <c r="I1931" s="134" t="s">
        <v>9812</v>
      </c>
      <c r="J1931" s="22" t="s">
        <v>44</v>
      </c>
      <c r="K1931" s="22" t="s">
        <v>157</v>
      </c>
      <c r="L1931" s="36">
        <v>740.0</v>
      </c>
      <c r="M1931" s="36"/>
      <c r="N1931" s="36"/>
      <c r="O1931" s="36"/>
      <c r="P1931" s="37" t="s">
        <v>1704</v>
      </c>
      <c r="Q1931" s="36"/>
      <c r="R1931" s="36">
        <v>40.0</v>
      </c>
      <c r="S1931" s="36">
        <v>5.0</v>
      </c>
      <c r="T1931" s="252" t="s">
        <v>9813</v>
      </c>
      <c r="U1931" s="38" t="str">
        <f>HYPERLINK("http://www.jkslms.or.kr/journal/view.html?doi=10.25289/ML.2019.8.2.50","Korean Society for Laser Medicine and Surgery")</f>
        <v>Korean Society for Laser Medicine and Surgery</v>
      </c>
      <c r="V1931" s="30"/>
      <c r="W1931" s="49"/>
      <c r="X1931" s="49"/>
      <c r="Y1931" s="35"/>
      <c r="Z1931" s="35"/>
      <c r="AA1931" s="35"/>
      <c r="AB1931" s="35"/>
      <c r="AC1931" s="35"/>
      <c r="AD1931" s="35"/>
      <c r="AE1931" s="35"/>
      <c r="AF1931" s="35"/>
      <c r="AG1931" s="35"/>
      <c r="AH1931" s="35"/>
      <c r="AI1931" s="35"/>
      <c r="AJ1931" s="35"/>
      <c r="AK1931" s="35"/>
      <c r="AL1931" s="35"/>
    </row>
    <row r="1932">
      <c r="A1932" s="146" t="s">
        <v>181</v>
      </c>
      <c r="B1932" s="19" t="s">
        <v>9393</v>
      </c>
      <c r="C1932" s="20" t="s">
        <v>9707</v>
      </c>
      <c r="D1932" s="47"/>
      <c r="E1932" s="22" t="s">
        <v>9814</v>
      </c>
      <c r="F1932" s="22" t="s">
        <v>9565</v>
      </c>
      <c r="G1932" s="57">
        <v>2019.0</v>
      </c>
      <c r="H1932" s="57" t="s">
        <v>9450</v>
      </c>
      <c r="I1932" s="134" t="s">
        <v>9815</v>
      </c>
      <c r="J1932" s="22" t="s">
        <v>9816</v>
      </c>
      <c r="K1932" s="22"/>
      <c r="L1932" s="36"/>
      <c r="M1932" s="36"/>
      <c r="N1932" s="36"/>
      <c r="O1932" s="36"/>
      <c r="P1932" s="37" t="s">
        <v>9817</v>
      </c>
      <c r="Q1932" s="36"/>
      <c r="R1932" s="36">
        <v>900.0</v>
      </c>
      <c r="S1932" s="36"/>
      <c r="T1932" s="252" t="s">
        <v>9818</v>
      </c>
      <c r="U1932" s="38" t="str">
        <f>HYPERLINK("https://www.ncbi.nlm.nih.gov/pubmed/31354233","PubMed")</f>
        <v>PubMed</v>
      </c>
      <c r="V1932" s="30" t="s">
        <v>9819</v>
      </c>
      <c r="W1932" s="49"/>
      <c r="X1932" s="49"/>
      <c r="Y1932" s="35"/>
      <c r="Z1932" s="35"/>
      <c r="AA1932" s="35"/>
      <c r="AB1932" s="35"/>
      <c r="AC1932" s="35"/>
      <c r="AD1932" s="35"/>
      <c r="AE1932" s="35"/>
      <c r="AF1932" s="35"/>
      <c r="AG1932" s="35"/>
      <c r="AH1932" s="35"/>
      <c r="AI1932" s="35"/>
      <c r="AJ1932" s="35"/>
      <c r="AK1932" s="35"/>
      <c r="AL1932" s="35"/>
    </row>
    <row r="1933">
      <c r="A1933" s="55"/>
      <c r="B1933" s="19" t="s">
        <v>9393</v>
      </c>
      <c r="C1933" s="20" t="s">
        <v>9707</v>
      </c>
      <c r="D1933" s="47"/>
      <c r="E1933" s="22" t="s">
        <v>9820</v>
      </c>
      <c r="F1933" s="22" t="s">
        <v>9821</v>
      </c>
      <c r="G1933" s="57">
        <v>2018.0</v>
      </c>
      <c r="H1933" s="57" t="s">
        <v>9822</v>
      </c>
      <c r="I1933" s="134" t="s">
        <v>9823</v>
      </c>
      <c r="J1933" s="22" t="s">
        <v>9824</v>
      </c>
      <c r="K1933" s="22" t="s">
        <v>56</v>
      </c>
      <c r="L1933" s="36" t="s">
        <v>8957</v>
      </c>
      <c r="M1933" s="36"/>
      <c r="N1933" s="36" t="s">
        <v>3587</v>
      </c>
      <c r="O1933" s="36"/>
      <c r="P1933" s="37" t="s">
        <v>9825</v>
      </c>
      <c r="Q1933" s="36"/>
      <c r="R1933" s="36"/>
      <c r="S1933" s="36" t="s">
        <v>4905</v>
      </c>
      <c r="T1933" s="252" t="s">
        <v>9826</v>
      </c>
      <c r="U1933" s="38" t="str">
        <f>HYPERLINK("https://scindeks-clanci.ceon.rs/data/pdf/0365-4478/2018/0365-44781801109B.pdf","PDF")</f>
        <v>PDF</v>
      </c>
      <c r="V1933" s="50"/>
      <c r="W1933" s="49"/>
      <c r="X1933" s="49"/>
      <c r="Y1933" s="35"/>
      <c r="Z1933" s="35"/>
      <c r="AA1933" s="35"/>
      <c r="AB1933" s="35"/>
      <c r="AC1933" s="35"/>
      <c r="AD1933" s="35"/>
      <c r="AE1933" s="35"/>
      <c r="AF1933" s="35"/>
      <c r="AG1933" s="35"/>
      <c r="AH1933" s="35"/>
      <c r="AI1933" s="35"/>
      <c r="AJ1933" s="35"/>
      <c r="AK1933" s="35"/>
      <c r="AL1933" s="35"/>
    </row>
    <row r="1934">
      <c r="A1934" s="133"/>
      <c r="B1934" s="19" t="s">
        <v>9393</v>
      </c>
      <c r="C1934" s="20" t="s">
        <v>9827</v>
      </c>
      <c r="D1934" s="47"/>
      <c r="E1934" s="174" t="s">
        <v>9828</v>
      </c>
      <c r="F1934" s="22" t="s">
        <v>9829</v>
      </c>
      <c r="G1934" s="174">
        <v>2008.0</v>
      </c>
      <c r="H1934" s="174" t="s">
        <v>658</v>
      </c>
      <c r="I1934" s="175" t="s">
        <v>9830</v>
      </c>
      <c r="J1934" s="23" t="s">
        <v>9831</v>
      </c>
      <c r="K1934" s="23"/>
      <c r="L1934" s="36">
        <v>890.0</v>
      </c>
      <c r="M1934" s="36">
        <v>28.0</v>
      </c>
      <c r="N1934" s="36"/>
      <c r="O1934" s="36" t="s">
        <v>9832</v>
      </c>
      <c r="P1934" s="37" t="s">
        <v>709</v>
      </c>
      <c r="Q1934" s="36"/>
      <c r="R1934" s="36" t="s">
        <v>9833</v>
      </c>
      <c r="S1934" s="36" t="s">
        <v>9834</v>
      </c>
      <c r="T1934" s="28" t="s">
        <v>9835</v>
      </c>
      <c r="U1934" s="250" t="str">
        <f>HYPERLINK("https://www.ncbi.nlm.nih.gov/pubmed/18922092","PubMed")</f>
        <v>PubMed</v>
      </c>
      <c r="V1934" s="251"/>
      <c r="W1934" s="49"/>
      <c r="X1934" s="49"/>
      <c r="Y1934" s="35"/>
      <c r="Z1934" s="35"/>
      <c r="AA1934" s="35"/>
      <c r="AB1934" s="35"/>
      <c r="AC1934" s="35"/>
      <c r="AD1934" s="35"/>
      <c r="AE1934" s="35"/>
      <c r="AF1934" s="35"/>
      <c r="AG1934" s="35"/>
      <c r="AH1934" s="35"/>
      <c r="AI1934" s="35"/>
      <c r="AJ1934" s="35"/>
      <c r="AK1934" s="35"/>
      <c r="AL1934" s="35"/>
    </row>
    <row r="1935">
      <c r="A1935" s="133"/>
      <c r="B1935" s="19" t="s">
        <v>9393</v>
      </c>
      <c r="C1935" s="20" t="s">
        <v>73</v>
      </c>
      <c r="D1935" s="47"/>
      <c r="E1935" s="174" t="s">
        <v>9836</v>
      </c>
      <c r="F1935" s="23" t="s">
        <v>2698</v>
      </c>
      <c r="G1935" s="174">
        <v>2010.0</v>
      </c>
      <c r="H1935" s="174" t="s">
        <v>9837</v>
      </c>
      <c r="I1935" s="175" t="s">
        <v>9838</v>
      </c>
      <c r="J1935" s="23" t="s">
        <v>55</v>
      </c>
      <c r="K1935" s="23" t="s">
        <v>157</v>
      </c>
      <c r="L1935" s="36">
        <v>670.0</v>
      </c>
      <c r="M1935" s="36"/>
      <c r="N1935" s="36" t="s">
        <v>8949</v>
      </c>
      <c r="O1935" s="36"/>
      <c r="P1935" s="37" t="s">
        <v>2395</v>
      </c>
      <c r="Q1935" s="36"/>
      <c r="R1935" s="36">
        <v>180.0</v>
      </c>
      <c r="S1935" s="36">
        <v>5.0</v>
      </c>
      <c r="T1935" s="252" t="s">
        <v>9839</v>
      </c>
      <c r="U1935" s="250" t="str">
        <f>HYPERLINK("PubMed","PubMed")</f>
        <v>PubMed</v>
      </c>
      <c r="V1935" s="251"/>
      <c r="W1935" s="49"/>
      <c r="X1935" s="49"/>
      <c r="Y1935" s="35"/>
      <c r="Z1935" s="35"/>
      <c r="AA1935" s="35"/>
      <c r="AB1935" s="35"/>
      <c r="AC1935" s="35"/>
      <c r="AD1935" s="35"/>
      <c r="AE1935" s="35"/>
      <c r="AF1935" s="35"/>
      <c r="AG1935" s="35"/>
      <c r="AH1935" s="35"/>
      <c r="AI1935" s="35"/>
      <c r="AJ1935" s="35"/>
      <c r="AK1935" s="35"/>
      <c r="AL1935" s="35"/>
    </row>
    <row r="1936">
      <c r="A1936" s="133"/>
      <c r="B1936" s="19" t="s">
        <v>9393</v>
      </c>
      <c r="C1936" s="20" t="s">
        <v>9840</v>
      </c>
      <c r="D1936" s="47"/>
      <c r="E1936" s="174" t="s">
        <v>9841</v>
      </c>
      <c r="F1936" s="23" t="s">
        <v>1081</v>
      </c>
      <c r="G1936" s="174">
        <v>2023.0</v>
      </c>
      <c r="H1936" s="174" t="s">
        <v>318</v>
      </c>
      <c r="I1936" s="175" t="s">
        <v>9842</v>
      </c>
      <c r="J1936" s="23" t="s">
        <v>125</v>
      </c>
      <c r="K1936" s="23"/>
      <c r="L1936" s="105" t="s">
        <v>9843</v>
      </c>
      <c r="M1936" s="44"/>
      <c r="N1936" s="44"/>
      <c r="O1936" s="44"/>
      <c r="P1936" s="44"/>
      <c r="Q1936" s="44"/>
      <c r="R1936" s="44"/>
      <c r="S1936" s="44"/>
      <c r="T1936" s="45"/>
      <c r="U1936" s="255" t="s">
        <v>61</v>
      </c>
      <c r="V1936" s="251"/>
      <c r="W1936" s="49"/>
      <c r="X1936" s="49"/>
      <c r="Y1936" s="35"/>
      <c r="Z1936" s="35"/>
      <c r="AA1936" s="35"/>
      <c r="AB1936" s="35"/>
      <c r="AC1936" s="35"/>
      <c r="AD1936" s="35"/>
      <c r="AE1936" s="35"/>
      <c r="AF1936" s="35"/>
      <c r="AG1936" s="35"/>
      <c r="AH1936" s="35"/>
      <c r="AI1936" s="35"/>
      <c r="AJ1936" s="35"/>
      <c r="AK1936" s="35"/>
      <c r="AL1936" s="35"/>
    </row>
    <row r="1937">
      <c r="A1937" s="133"/>
      <c r="B1937" s="19" t="s">
        <v>9393</v>
      </c>
      <c r="C1937" s="20" t="s">
        <v>9840</v>
      </c>
      <c r="D1937" s="47"/>
      <c r="E1937" s="174" t="s">
        <v>9542</v>
      </c>
      <c r="F1937" s="23" t="s">
        <v>8756</v>
      </c>
      <c r="G1937" s="174">
        <v>2015.0</v>
      </c>
      <c r="H1937" s="174" t="s">
        <v>658</v>
      </c>
      <c r="I1937" s="175" t="s">
        <v>9844</v>
      </c>
      <c r="J1937" s="23" t="s">
        <v>9845</v>
      </c>
      <c r="K1937" s="23" t="s">
        <v>9846</v>
      </c>
      <c r="L1937" s="36">
        <v>780.0</v>
      </c>
      <c r="M1937" s="36">
        <v>10.0</v>
      </c>
      <c r="N1937" s="36" t="s">
        <v>8665</v>
      </c>
      <c r="O1937" s="36"/>
      <c r="P1937" s="37" t="s">
        <v>9847</v>
      </c>
      <c r="Q1937" s="36" t="s">
        <v>1270</v>
      </c>
      <c r="R1937" s="36" t="s">
        <v>9848</v>
      </c>
      <c r="S1937" s="36" t="s">
        <v>9849</v>
      </c>
      <c r="T1937" s="54" t="s">
        <v>9850</v>
      </c>
      <c r="U1937" s="250" t="str">
        <f>HYPERLINK("https://www.ncbi.nlm.nih.gov/pubmed/26673826","PubMed")</f>
        <v>PubMed</v>
      </c>
      <c r="V1937" s="251"/>
      <c r="W1937" s="49"/>
      <c r="X1937" s="49"/>
      <c r="Y1937" s="35"/>
      <c r="Z1937" s="35"/>
      <c r="AA1937" s="35"/>
      <c r="AB1937" s="35"/>
      <c r="AC1937" s="35"/>
      <c r="AD1937" s="35"/>
      <c r="AE1937" s="35"/>
      <c r="AF1937" s="35"/>
      <c r="AG1937" s="35"/>
      <c r="AH1937" s="35"/>
      <c r="AI1937" s="35"/>
      <c r="AJ1937" s="35"/>
      <c r="AK1937" s="35"/>
      <c r="AL1937" s="35"/>
    </row>
    <row r="1938">
      <c r="A1938" s="133"/>
      <c r="B1938" s="19" t="s">
        <v>9393</v>
      </c>
      <c r="C1938" s="20" t="s">
        <v>9840</v>
      </c>
      <c r="D1938" s="47"/>
      <c r="E1938" s="174" t="s">
        <v>9851</v>
      </c>
      <c r="F1938" s="23" t="s">
        <v>9852</v>
      </c>
      <c r="G1938" s="174">
        <v>2007.0</v>
      </c>
      <c r="H1938" s="174" t="s">
        <v>9853</v>
      </c>
      <c r="I1938" s="175" t="s">
        <v>9854</v>
      </c>
      <c r="J1938" s="23" t="s">
        <v>31</v>
      </c>
      <c r="K1938" s="23"/>
      <c r="L1938" s="36">
        <v>810.0</v>
      </c>
      <c r="M1938" s="36"/>
      <c r="N1938" s="36"/>
      <c r="O1938" s="36"/>
      <c r="P1938" s="37" t="s">
        <v>9855</v>
      </c>
      <c r="Q1938" s="36"/>
      <c r="R1938" s="36"/>
      <c r="S1938" s="36"/>
      <c r="T1938" s="54" t="s">
        <v>9856</v>
      </c>
      <c r="U1938" s="250" t="str">
        <f>HYPERLINK("https://www.ncbi.nlm.nih.gov/pubmed/17852186","PubMed")</f>
        <v>PubMed</v>
      </c>
      <c r="V1938" s="251"/>
      <c r="W1938" s="49"/>
      <c r="X1938" s="49"/>
      <c r="Y1938" s="35"/>
      <c r="Z1938" s="35"/>
      <c r="AA1938" s="35"/>
      <c r="AB1938" s="35"/>
      <c r="AC1938" s="35"/>
      <c r="AD1938" s="35"/>
      <c r="AE1938" s="35"/>
      <c r="AF1938" s="35"/>
      <c r="AG1938" s="35"/>
      <c r="AH1938" s="35"/>
      <c r="AI1938" s="35"/>
      <c r="AJ1938" s="35"/>
      <c r="AK1938" s="35"/>
      <c r="AL1938" s="35"/>
    </row>
    <row r="1939">
      <c r="A1939" s="133"/>
      <c r="B1939" s="19" t="s">
        <v>9393</v>
      </c>
      <c r="C1939" s="20" t="s">
        <v>6367</v>
      </c>
      <c r="D1939" s="47"/>
      <c r="E1939" s="57" t="s">
        <v>9857</v>
      </c>
      <c r="F1939" s="22" t="s">
        <v>9858</v>
      </c>
      <c r="G1939" s="23">
        <v>2013.0</v>
      </c>
      <c r="H1939" s="57" t="s">
        <v>658</v>
      </c>
      <c r="I1939" s="134" t="s">
        <v>9859</v>
      </c>
      <c r="J1939" s="57" t="s">
        <v>3289</v>
      </c>
      <c r="K1939" s="23"/>
      <c r="L1939" s="105" t="s">
        <v>9860</v>
      </c>
      <c r="M1939" s="44"/>
      <c r="N1939" s="44"/>
      <c r="O1939" s="44"/>
      <c r="P1939" s="44"/>
      <c r="Q1939" s="44"/>
      <c r="R1939" s="44"/>
      <c r="S1939" s="44"/>
      <c r="T1939" s="45"/>
      <c r="U1939" s="250" t="str">
        <f>HYPERLINK("https://www.ncbi.nlm.nih.gov/pubmed/23808767","PubMed")</f>
        <v>PubMed</v>
      </c>
      <c r="V1939" s="50"/>
      <c r="W1939" s="49"/>
      <c r="X1939" s="49"/>
      <c r="Y1939" s="35"/>
      <c r="Z1939" s="35"/>
      <c r="AA1939" s="35"/>
      <c r="AB1939" s="35"/>
      <c r="AC1939" s="35"/>
      <c r="AD1939" s="35"/>
      <c r="AE1939" s="35"/>
      <c r="AF1939" s="35"/>
      <c r="AG1939" s="35"/>
      <c r="AH1939" s="35"/>
      <c r="AI1939" s="35"/>
      <c r="AJ1939" s="35"/>
      <c r="AK1939" s="35"/>
      <c r="AL1939" s="35"/>
    </row>
    <row r="1940">
      <c r="A1940" s="133"/>
      <c r="B1940" s="19" t="s">
        <v>9393</v>
      </c>
      <c r="C1940" s="20" t="s">
        <v>9861</v>
      </c>
      <c r="D1940" s="47"/>
      <c r="E1940" s="57" t="s">
        <v>9862</v>
      </c>
      <c r="F1940" s="22" t="s">
        <v>1603</v>
      </c>
      <c r="G1940" s="57">
        <v>2020.0</v>
      </c>
      <c r="H1940" s="57" t="s">
        <v>207</v>
      </c>
      <c r="I1940" s="134" t="s">
        <v>9863</v>
      </c>
      <c r="J1940" s="22" t="s">
        <v>9864</v>
      </c>
      <c r="K1940" s="22" t="s">
        <v>56</v>
      </c>
      <c r="L1940" s="36" t="s">
        <v>5966</v>
      </c>
      <c r="M1940" s="36"/>
      <c r="N1940" s="36" t="s">
        <v>9865</v>
      </c>
      <c r="O1940" s="36"/>
      <c r="P1940" s="37"/>
      <c r="Q1940" s="36"/>
      <c r="R1940" s="36"/>
      <c r="S1940" s="36"/>
      <c r="T1940" s="252" t="s">
        <v>9866</v>
      </c>
      <c r="U1940" s="248" t="s">
        <v>61</v>
      </c>
      <c r="V1940" s="50"/>
      <c r="W1940" s="49"/>
      <c r="X1940" s="49"/>
      <c r="Y1940" s="35"/>
      <c r="Z1940" s="35"/>
      <c r="AA1940" s="35"/>
      <c r="AB1940" s="35"/>
      <c r="AC1940" s="35"/>
      <c r="AD1940" s="35"/>
      <c r="AE1940" s="35"/>
      <c r="AF1940" s="35"/>
      <c r="AG1940" s="35"/>
      <c r="AH1940" s="35"/>
      <c r="AI1940" s="35"/>
      <c r="AJ1940" s="35"/>
      <c r="AK1940" s="35"/>
      <c r="AL1940" s="35"/>
    </row>
    <row r="1941">
      <c r="A1941" s="133"/>
      <c r="B1941" s="19" t="s">
        <v>9393</v>
      </c>
      <c r="C1941" s="20" t="s">
        <v>1610</v>
      </c>
      <c r="D1941" s="47"/>
      <c r="E1941" s="57" t="s">
        <v>1080</v>
      </c>
      <c r="F1941" s="22" t="s">
        <v>7156</v>
      </c>
      <c r="G1941" s="57">
        <v>2023.0</v>
      </c>
      <c r="H1941" s="57" t="s">
        <v>9867</v>
      </c>
      <c r="I1941" s="134" t="s">
        <v>9868</v>
      </c>
      <c r="J1941" s="22" t="s">
        <v>31</v>
      </c>
      <c r="K1941" s="22" t="s">
        <v>9869</v>
      </c>
      <c r="L1941" s="36">
        <v>670.0</v>
      </c>
      <c r="M1941" s="36"/>
      <c r="N1941" s="36"/>
      <c r="O1941" s="36"/>
      <c r="P1941" s="37"/>
      <c r="Q1941" s="36"/>
      <c r="R1941" s="36"/>
      <c r="S1941" s="36"/>
      <c r="T1941" s="252" t="s">
        <v>9870</v>
      </c>
      <c r="U1941" s="255" t="s">
        <v>61</v>
      </c>
      <c r="V1941" s="50"/>
      <c r="W1941" s="49"/>
      <c r="X1941" s="49"/>
      <c r="Y1941" s="35"/>
      <c r="Z1941" s="35"/>
      <c r="AA1941" s="35"/>
      <c r="AB1941" s="35"/>
      <c r="AC1941" s="35"/>
      <c r="AD1941" s="35"/>
      <c r="AE1941" s="35"/>
      <c r="AF1941" s="35"/>
      <c r="AG1941" s="35"/>
      <c r="AH1941" s="35"/>
      <c r="AI1941" s="35"/>
      <c r="AJ1941" s="35"/>
      <c r="AK1941" s="35"/>
      <c r="AL1941" s="35"/>
    </row>
    <row r="1942">
      <c r="A1942" s="133"/>
      <c r="B1942" s="19" t="s">
        <v>9393</v>
      </c>
      <c r="C1942" s="20" t="s">
        <v>1610</v>
      </c>
      <c r="D1942" s="47"/>
      <c r="E1942" s="57" t="s">
        <v>9871</v>
      </c>
      <c r="F1942" s="22" t="s">
        <v>1173</v>
      </c>
      <c r="G1942" s="57">
        <v>2021.0</v>
      </c>
      <c r="H1942" s="57" t="s">
        <v>627</v>
      </c>
      <c r="I1942" s="134" t="s">
        <v>9872</v>
      </c>
      <c r="J1942" s="22" t="s">
        <v>31</v>
      </c>
      <c r="K1942" s="22" t="s">
        <v>157</v>
      </c>
      <c r="L1942" s="36">
        <v>670.0</v>
      </c>
      <c r="M1942" s="36"/>
      <c r="N1942" s="36"/>
      <c r="O1942" s="36"/>
      <c r="P1942" s="37" t="s">
        <v>2366</v>
      </c>
      <c r="Q1942" s="36"/>
      <c r="R1942" s="36"/>
      <c r="S1942" s="36"/>
      <c r="T1942" s="252" t="s">
        <v>9873</v>
      </c>
      <c r="U1942" s="248" t="s">
        <v>61</v>
      </c>
      <c r="V1942" s="50"/>
      <c r="W1942" s="49"/>
      <c r="X1942" s="49"/>
      <c r="Y1942" s="35"/>
      <c r="Z1942" s="35"/>
      <c r="AA1942" s="35"/>
      <c r="AB1942" s="35"/>
      <c r="AC1942" s="35"/>
      <c r="AD1942" s="35"/>
      <c r="AE1942" s="35"/>
      <c r="AF1942" s="35"/>
      <c r="AG1942" s="35"/>
      <c r="AH1942" s="35"/>
      <c r="AI1942" s="35"/>
      <c r="AJ1942" s="35"/>
      <c r="AK1942" s="35"/>
      <c r="AL1942" s="35"/>
    </row>
    <row r="1943">
      <c r="A1943" s="133"/>
      <c r="B1943" s="19" t="s">
        <v>9393</v>
      </c>
      <c r="C1943" s="20" t="s">
        <v>1610</v>
      </c>
      <c r="D1943" s="47"/>
      <c r="E1943" s="57" t="s">
        <v>9874</v>
      </c>
      <c r="F1943" s="22" t="s">
        <v>9600</v>
      </c>
      <c r="G1943" s="57">
        <v>2019.0</v>
      </c>
      <c r="H1943" s="57" t="s">
        <v>4482</v>
      </c>
      <c r="I1943" s="134" t="s">
        <v>9875</v>
      </c>
      <c r="J1943" s="22" t="s">
        <v>31</v>
      </c>
      <c r="K1943" s="22" t="s">
        <v>9876</v>
      </c>
      <c r="L1943" s="36" t="s">
        <v>9877</v>
      </c>
      <c r="M1943" s="36"/>
      <c r="N1943" s="36"/>
      <c r="O1943" s="36"/>
      <c r="P1943" s="37"/>
      <c r="Q1943" s="36"/>
      <c r="R1943" s="36"/>
      <c r="S1943" s="36"/>
      <c r="T1943" s="252" t="s">
        <v>9878</v>
      </c>
      <c r="U1943" s="250" t="str">
        <f>HYPERLINK("https://www.ncbi.nlm.nih.gov/pubmed/30825600","PubMed")</f>
        <v>PubMed</v>
      </c>
      <c r="V1943" s="50"/>
      <c r="W1943" s="49"/>
      <c r="X1943" s="49"/>
      <c r="Y1943" s="35"/>
      <c r="Z1943" s="35"/>
      <c r="AA1943" s="35"/>
      <c r="AB1943" s="35"/>
      <c r="AC1943" s="35"/>
      <c r="AD1943" s="35"/>
      <c r="AE1943" s="35"/>
      <c r="AF1943" s="35"/>
      <c r="AG1943" s="35"/>
      <c r="AH1943" s="35"/>
      <c r="AI1943" s="35"/>
      <c r="AJ1943" s="35"/>
      <c r="AK1943" s="35"/>
      <c r="AL1943" s="35"/>
    </row>
    <row r="1944">
      <c r="A1944" s="133"/>
      <c r="B1944" s="19" t="s">
        <v>9393</v>
      </c>
      <c r="C1944" s="20" t="s">
        <v>1610</v>
      </c>
      <c r="D1944" s="47"/>
      <c r="E1944" s="57" t="s">
        <v>9874</v>
      </c>
      <c r="F1944" s="22" t="s">
        <v>9600</v>
      </c>
      <c r="G1944" s="57">
        <v>2018.0</v>
      </c>
      <c r="H1944" s="57" t="s">
        <v>9495</v>
      </c>
      <c r="I1944" s="134" t="s">
        <v>9879</v>
      </c>
      <c r="J1944" s="22" t="s">
        <v>31</v>
      </c>
      <c r="K1944" s="22" t="s">
        <v>9880</v>
      </c>
      <c r="L1944" s="36">
        <v>630.0</v>
      </c>
      <c r="M1944" s="36"/>
      <c r="N1944" s="36" t="s">
        <v>9881</v>
      </c>
      <c r="O1944" s="36"/>
      <c r="P1944" s="37" t="s">
        <v>9882</v>
      </c>
      <c r="Q1944" s="36"/>
      <c r="R1944" s="36">
        <v>43200.0</v>
      </c>
      <c r="S1944" s="36"/>
      <c r="T1944" s="252" t="s">
        <v>9883</v>
      </c>
      <c r="U1944" s="250" t="str">
        <f>HYPERLINK("https://www.ncbi.nlm.nih.gov/pubmed/30198155","PubMed")</f>
        <v>PubMed</v>
      </c>
      <c r="V1944" s="50"/>
      <c r="W1944" s="49"/>
      <c r="X1944" s="49"/>
      <c r="Y1944" s="35"/>
      <c r="Z1944" s="35"/>
      <c r="AA1944" s="35"/>
      <c r="AB1944" s="35"/>
      <c r="AC1944" s="35"/>
      <c r="AD1944" s="35"/>
      <c r="AE1944" s="35"/>
      <c r="AF1944" s="35"/>
      <c r="AG1944" s="35"/>
      <c r="AH1944" s="35"/>
      <c r="AI1944" s="35"/>
      <c r="AJ1944" s="35"/>
      <c r="AK1944" s="35"/>
      <c r="AL1944" s="35"/>
    </row>
    <row r="1945">
      <c r="A1945" s="133"/>
      <c r="B1945" s="19" t="s">
        <v>9393</v>
      </c>
      <c r="C1945" s="20" t="s">
        <v>1610</v>
      </c>
      <c r="D1945" s="47"/>
      <c r="E1945" s="57" t="s">
        <v>8764</v>
      </c>
      <c r="F1945" s="22" t="s">
        <v>1482</v>
      </c>
      <c r="G1945" s="57">
        <v>2015.0</v>
      </c>
      <c r="H1945" s="57" t="s">
        <v>91</v>
      </c>
      <c r="I1945" s="134" t="s">
        <v>9884</v>
      </c>
      <c r="J1945" s="22" t="s">
        <v>31</v>
      </c>
      <c r="K1945" s="22"/>
      <c r="L1945" s="36">
        <v>635.0</v>
      </c>
      <c r="M1945" s="36">
        <v>313.0</v>
      </c>
      <c r="N1945" s="36" t="s">
        <v>9885</v>
      </c>
      <c r="O1945" s="36"/>
      <c r="P1945" s="37" t="s">
        <v>70</v>
      </c>
      <c r="Q1945" s="36"/>
      <c r="R1945" s="36"/>
      <c r="S1945" s="36"/>
      <c r="T1945" s="252" t="s">
        <v>9886</v>
      </c>
      <c r="U1945" s="248" t="s">
        <v>61</v>
      </c>
      <c r="V1945" s="50"/>
      <c r="W1945" s="49"/>
      <c r="X1945" s="49"/>
      <c r="Y1945" s="35"/>
      <c r="Z1945" s="35"/>
      <c r="AA1945" s="35"/>
      <c r="AB1945" s="35"/>
      <c r="AC1945" s="35"/>
      <c r="AD1945" s="35"/>
      <c r="AE1945" s="35"/>
      <c r="AF1945" s="35"/>
      <c r="AG1945" s="35"/>
      <c r="AH1945" s="35"/>
      <c r="AI1945" s="35"/>
      <c r="AJ1945" s="35"/>
      <c r="AK1945" s="35"/>
      <c r="AL1945" s="35"/>
    </row>
    <row r="1946">
      <c r="A1946" s="133"/>
      <c r="B1946" s="19" t="s">
        <v>9393</v>
      </c>
      <c r="C1946" s="20" t="s">
        <v>1610</v>
      </c>
      <c r="D1946" s="47"/>
      <c r="E1946" s="57" t="s">
        <v>9887</v>
      </c>
      <c r="F1946" s="22" t="s">
        <v>1416</v>
      </c>
      <c r="G1946" s="57">
        <v>2015.0</v>
      </c>
      <c r="H1946" s="57" t="s">
        <v>9837</v>
      </c>
      <c r="I1946" s="134" t="s">
        <v>9888</v>
      </c>
      <c r="J1946" s="22" t="s">
        <v>9889</v>
      </c>
      <c r="K1946" s="22" t="s">
        <v>157</v>
      </c>
      <c r="L1946" s="36"/>
      <c r="M1946" s="36"/>
      <c r="N1946" s="36"/>
      <c r="O1946" s="36"/>
      <c r="P1946" s="37"/>
      <c r="Q1946" s="36"/>
      <c r="R1946" s="36"/>
      <c r="S1946" s="36"/>
      <c r="T1946" s="259" t="s">
        <v>9890</v>
      </c>
      <c r="U1946" s="250" t="str">
        <f>HYPERLINK("https://www.ncbi.nlm.nih.gov/pubmed/26321863","PubMed")</f>
        <v>PubMed</v>
      </c>
      <c r="V1946" s="50"/>
      <c r="W1946" s="49"/>
      <c r="X1946" s="49"/>
      <c r="Y1946" s="35"/>
      <c r="Z1946" s="35"/>
      <c r="AA1946" s="35"/>
      <c r="AB1946" s="35"/>
      <c r="AC1946" s="35"/>
      <c r="AD1946" s="35"/>
      <c r="AE1946" s="35"/>
      <c r="AF1946" s="35"/>
      <c r="AG1946" s="35"/>
      <c r="AH1946" s="35"/>
      <c r="AI1946" s="35"/>
      <c r="AJ1946" s="35"/>
      <c r="AK1946" s="35"/>
      <c r="AL1946" s="35"/>
    </row>
    <row r="1947">
      <c r="A1947" s="55"/>
      <c r="B1947" s="19" t="s">
        <v>9393</v>
      </c>
      <c r="C1947" s="20" t="s">
        <v>1610</v>
      </c>
      <c r="D1947" s="47"/>
      <c r="E1947" s="22" t="s">
        <v>9891</v>
      </c>
      <c r="F1947" s="22" t="s">
        <v>2161</v>
      </c>
      <c r="G1947" s="57">
        <v>2013.0</v>
      </c>
      <c r="H1947" s="57" t="s">
        <v>9892</v>
      </c>
      <c r="I1947" s="134" t="s">
        <v>9893</v>
      </c>
      <c r="J1947" s="22" t="s">
        <v>31</v>
      </c>
      <c r="K1947" s="22" t="s">
        <v>9894</v>
      </c>
      <c r="L1947" s="36" t="s">
        <v>9895</v>
      </c>
      <c r="M1947" s="36"/>
      <c r="N1947" s="36"/>
      <c r="O1947" s="36"/>
      <c r="P1947" s="37"/>
      <c r="Q1947" s="36"/>
      <c r="R1947" s="36"/>
      <c r="S1947" s="36"/>
      <c r="T1947" s="252" t="s">
        <v>9896</v>
      </c>
      <c r="U1947" s="38" t="str">
        <f>HYPERLINK("https://www.spiedigitallibrary.org/conference-proceedings-of-spie/8569/1/The-response-of-human-retinal-pigmented-epithelial-cells-in-vitro/10.1117/12.2004781.short?SSO=1","SPIE")</f>
        <v>SPIE</v>
      </c>
      <c r="V1947" s="50"/>
      <c r="W1947" s="49"/>
      <c r="X1947" s="49"/>
      <c r="Y1947" s="35"/>
      <c r="Z1947" s="35"/>
      <c r="AA1947" s="35"/>
      <c r="AB1947" s="35"/>
      <c r="AC1947" s="35"/>
      <c r="AD1947" s="35"/>
      <c r="AE1947" s="35"/>
      <c r="AF1947" s="35"/>
      <c r="AG1947" s="35"/>
      <c r="AH1947" s="35"/>
      <c r="AI1947" s="35"/>
      <c r="AJ1947" s="35"/>
      <c r="AK1947" s="35"/>
      <c r="AL1947" s="35"/>
    </row>
    <row r="1948">
      <c r="A1948" s="242" t="s">
        <v>181</v>
      </c>
      <c r="B1948" s="19" t="s">
        <v>9393</v>
      </c>
      <c r="C1948" s="20" t="s">
        <v>9897</v>
      </c>
      <c r="D1948" s="47"/>
      <c r="E1948" s="174" t="s">
        <v>9486</v>
      </c>
      <c r="F1948" s="23" t="s">
        <v>6013</v>
      </c>
      <c r="G1948" s="174">
        <v>2010.0</v>
      </c>
      <c r="H1948" s="174" t="s">
        <v>9898</v>
      </c>
      <c r="I1948" s="175" t="s">
        <v>9899</v>
      </c>
      <c r="J1948" s="23" t="s">
        <v>9900</v>
      </c>
      <c r="K1948" s="23"/>
      <c r="L1948" s="36">
        <v>632.0</v>
      </c>
      <c r="M1948" s="36"/>
      <c r="N1948" s="36" t="s">
        <v>5051</v>
      </c>
      <c r="O1948" s="36"/>
      <c r="P1948" s="37"/>
      <c r="Q1948" s="36"/>
      <c r="R1948" s="36"/>
      <c r="S1948" s="36">
        <v>10.0</v>
      </c>
      <c r="T1948" s="252" t="s">
        <v>9901</v>
      </c>
      <c r="U1948" s="250" t="str">
        <f>HYPERLINK("http://nt-cmb.medun.acad.bg:8080/jspui/bitstream/10861/297/1/Koev-K_et-al_acta-medica-1-10.pdf","PDF")</f>
        <v>PDF</v>
      </c>
      <c r="V1948" s="251" t="s">
        <v>9902</v>
      </c>
      <c r="W1948" s="49"/>
      <c r="X1948" s="49"/>
      <c r="Y1948" s="35"/>
      <c r="Z1948" s="35"/>
      <c r="AA1948" s="35"/>
      <c r="AB1948" s="35"/>
      <c r="AC1948" s="35"/>
      <c r="AD1948" s="35"/>
      <c r="AE1948" s="35"/>
      <c r="AF1948" s="35"/>
      <c r="AG1948" s="35"/>
      <c r="AH1948" s="35"/>
      <c r="AI1948" s="35"/>
      <c r="AJ1948" s="35"/>
      <c r="AK1948" s="35"/>
      <c r="AL1948" s="35"/>
    </row>
    <row r="1949">
      <c r="A1949" s="18" t="s">
        <v>2</v>
      </c>
      <c r="B1949" s="19" t="s">
        <v>9393</v>
      </c>
      <c r="C1949" s="20" t="s">
        <v>9903</v>
      </c>
      <c r="D1949" s="47"/>
      <c r="E1949" s="174" t="s">
        <v>9904</v>
      </c>
      <c r="F1949" s="23" t="s">
        <v>224</v>
      </c>
      <c r="G1949" s="174">
        <v>2022.0</v>
      </c>
      <c r="H1949" s="174" t="s">
        <v>3950</v>
      </c>
      <c r="I1949" s="175" t="s">
        <v>9905</v>
      </c>
      <c r="J1949" s="23" t="s">
        <v>55</v>
      </c>
      <c r="K1949" s="23"/>
      <c r="L1949" s="52" t="s">
        <v>9906</v>
      </c>
      <c r="M1949" s="52"/>
      <c r="N1949" s="52"/>
      <c r="O1949" s="52"/>
      <c r="P1949" s="189"/>
      <c r="Q1949" s="52"/>
      <c r="R1949" s="52"/>
      <c r="S1949" s="52"/>
      <c r="T1949" s="252" t="s">
        <v>9907</v>
      </c>
      <c r="U1949" s="255" t="s">
        <v>61</v>
      </c>
      <c r="V1949" s="251"/>
      <c r="W1949" s="49"/>
      <c r="X1949" s="49"/>
      <c r="Y1949" s="35"/>
      <c r="Z1949" s="35"/>
      <c r="AA1949" s="35"/>
      <c r="AB1949" s="35"/>
      <c r="AC1949" s="35"/>
      <c r="AD1949" s="35"/>
      <c r="AE1949" s="35"/>
      <c r="AF1949" s="35"/>
      <c r="AG1949" s="35"/>
      <c r="AH1949" s="35"/>
      <c r="AI1949" s="35"/>
      <c r="AJ1949" s="35"/>
      <c r="AK1949" s="35"/>
      <c r="AL1949" s="35"/>
    </row>
    <row r="1950">
      <c r="A1950" s="18"/>
      <c r="B1950" s="19" t="s">
        <v>9393</v>
      </c>
      <c r="C1950" s="20" t="s">
        <v>9903</v>
      </c>
      <c r="D1950" s="47"/>
      <c r="E1950" s="174" t="s">
        <v>9908</v>
      </c>
      <c r="F1950" s="23" t="s">
        <v>9444</v>
      </c>
      <c r="G1950" s="174">
        <v>2021.0</v>
      </c>
      <c r="H1950" s="174" t="s">
        <v>8884</v>
      </c>
      <c r="I1950" s="175" t="s">
        <v>9909</v>
      </c>
      <c r="J1950" s="23" t="s">
        <v>55</v>
      </c>
      <c r="K1950" s="23" t="s">
        <v>157</v>
      </c>
      <c r="L1950" s="52">
        <v>670.0</v>
      </c>
      <c r="M1950" s="52"/>
      <c r="N1950" s="52"/>
      <c r="O1950" s="52"/>
      <c r="P1950" s="189" t="s">
        <v>9910</v>
      </c>
      <c r="Q1950" s="52"/>
      <c r="R1950" s="52"/>
      <c r="S1950" s="52"/>
      <c r="T1950" s="252" t="s">
        <v>9911</v>
      </c>
      <c r="U1950" s="248" t="s">
        <v>61</v>
      </c>
      <c r="V1950" s="251"/>
      <c r="W1950" s="49"/>
      <c r="X1950" s="49"/>
      <c r="Y1950" s="35"/>
      <c r="Z1950" s="35"/>
      <c r="AA1950" s="35"/>
      <c r="AB1950" s="35"/>
      <c r="AC1950" s="35"/>
      <c r="AD1950" s="35"/>
      <c r="AE1950" s="35"/>
      <c r="AF1950" s="35"/>
      <c r="AG1950" s="35"/>
      <c r="AH1950" s="35"/>
      <c r="AI1950" s="35"/>
      <c r="AJ1950" s="35"/>
      <c r="AK1950" s="35"/>
      <c r="AL1950" s="35"/>
    </row>
    <row r="1951">
      <c r="A1951" s="18"/>
      <c r="B1951" s="19" t="s">
        <v>9393</v>
      </c>
      <c r="C1951" s="20" t="s">
        <v>9903</v>
      </c>
      <c r="D1951" s="47"/>
      <c r="E1951" s="174" t="s">
        <v>9912</v>
      </c>
      <c r="F1951" s="23" t="s">
        <v>323</v>
      </c>
      <c r="G1951" s="174">
        <v>2020.0</v>
      </c>
      <c r="H1951" s="174" t="s">
        <v>147</v>
      </c>
      <c r="I1951" s="175" t="s">
        <v>9913</v>
      </c>
      <c r="J1951" s="23" t="s">
        <v>9914</v>
      </c>
      <c r="K1951" s="23"/>
      <c r="L1951" s="52">
        <v>670.0</v>
      </c>
      <c r="M1951" s="52"/>
      <c r="N1951" s="52"/>
      <c r="O1951" s="52"/>
      <c r="P1951" s="189"/>
      <c r="Q1951" s="52"/>
      <c r="R1951" s="52"/>
      <c r="S1951" s="52"/>
      <c r="T1951" s="252" t="s">
        <v>9915</v>
      </c>
      <c r="U1951" s="248" t="s">
        <v>61</v>
      </c>
      <c r="V1951" s="251"/>
      <c r="W1951" s="49"/>
      <c r="X1951" s="49"/>
      <c r="Y1951" s="35"/>
      <c r="Z1951" s="35"/>
      <c r="AA1951" s="35"/>
      <c r="AB1951" s="35"/>
      <c r="AC1951" s="35"/>
      <c r="AD1951" s="35"/>
      <c r="AE1951" s="35"/>
      <c r="AF1951" s="35"/>
      <c r="AG1951" s="35"/>
      <c r="AH1951" s="35"/>
      <c r="AI1951" s="35"/>
      <c r="AJ1951" s="35"/>
      <c r="AK1951" s="35"/>
      <c r="AL1951" s="35"/>
    </row>
    <row r="1952">
      <c r="A1952" s="18" t="s">
        <v>2</v>
      </c>
      <c r="B1952" s="19" t="s">
        <v>9393</v>
      </c>
      <c r="C1952" s="20" t="s">
        <v>9903</v>
      </c>
      <c r="D1952" s="47"/>
      <c r="E1952" s="174" t="s">
        <v>9916</v>
      </c>
      <c r="F1952" s="23" t="s">
        <v>5740</v>
      </c>
      <c r="G1952" s="174">
        <v>2020.0</v>
      </c>
      <c r="H1952" s="174" t="s">
        <v>348</v>
      </c>
      <c r="I1952" s="175" t="s">
        <v>9917</v>
      </c>
      <c r="J1952" s="23" t="s">
        <v>6871</v>
      </c>
      <c r="K1952" s="23" t="s">
        <v>9918</v>
      </c>
      <c r="L1952" s="52" t="s">
        <v>9919</v>
      </c>
      <c r="M1952" s="52"/>
      <c r="N1952" s="52"/>
      <c r="O1952" s="52"/>
      <c r="P1952" s="189" t="s">
        <v>9920</v>
      </c>
      <c r="Q1952" s="52"/>
      <c r="R1952" s="52"/>
      <c r="S1952" s="52"/>
      <c r="T1952" s="252" t="s">
        <v>9921</v>
      </c>
      <c r="U1952" s="250" t="str">
        <f>HYPERLINK("https://www.ncbi.nlm.nih.gov/pubmed/32235464","PubMed")</f>
        <v>PubMed</v>
      </c>
      <c r="V1952" s="251"/>
      <c r="W1952" s="49"/>
      <c r="X1952" s="49"/>
      <c r="Y1952" s="35"/>
      <c r="Z1952" s="35"/>
      <c r="AA1952" s="35"/>
      <c r="AB1952" s="35"/>
      <c r="AC1952" s="35"/>
      <c r="AD1952" s="35"/>
      <c r="AE1952" s="35"/>
      <c r="AF1952" s="35"/>
      <c r="AG1952" s="35"/>
      <c r="AH1952" s="35"/>
      <c r="AI1952" s="35"/>
      <c r="AJ1952" s="35"/>
      <c r="AK1952" s="35"/>
      <c r="AL1952" s="35"/>
    </row>
    <row r="1953">
      <c r="A1953" s="40"/>
      <c r="B1953" s="19" t="s">
        <v>9393</v>
      </c>
      <c r="C1953" s="20" t="s">
        <v>9903</v>
      </c>
      <c r="D1953" s="47"/>
      <c r="E1953" s="57" t="s">
        <v>9922</v>
      </c>
      <c r="F1953" s="22" t="s">
        <v>3864</v>
      </c>
      <c r="G1953" s="57">
        <v>2018.0</v>
      </c>
      <c r="H1953" s="57" t="s">
        <v>1633</v>
      </c>
      <c r="I1953" s="134" t="s">
        <v>9923</v>
      </c>
      <c r="J1953" s="22" t="s">
        <v>22</v>
      </c>
      <c r="K1953" s="22"/>
      <c r="L1953" s="262" t="s">
        <v>9924</v>
      </c>
      <c r="U1953" s="250" t="str">
        <f>HYPERLINK("https://www.ncbi.nlm.nih.gov/pubmed/29345653","PubMed")</f>
        <v>PubMed</v>
      </c>
      <c r="V1953" s="50"/>
      <c r="W1953" s="49"/>
      <c r="X1953" s="49"/>
      <c r="Y1953" s="35"/>
      <c r="Z1953" s="35"/>
      <c r="AA1953" s="35"/>
      <c r="AB1953" s="35"/>
      <c r="AC1953" s="35"/>
      <c r="AD1953" s="35"/>
      <c r="AE1953" s="35"/>
      <c r="AF1953" s="35"/>
      <c r="AG1953" s="35"/>
      <c r="AH1953" s="35"/>
      <c r="AI1953" s="35"/>
      <c r="AJ1953" s="35"/>
      <c r="AK1953" s="35"/>
      <c r="AL1953" s="35"/>
    </row>
    <row r="1954">
      <c r="A1954" s="40"/>
      <c r="B1954" s="19" t="s">
        <v>9393</v>
      </c>
      <c r="C1954" s="20" t="s">
        <v>9903</v>
      </c>
      <c r="D1954" s="47"/>
      <c r="E1954" s="57" t="s">
        <v>9604</v>
      </c>
      <c r="F1954" s="22" t="s">
        <v>9600</v>
      </c>
      <c r="G1954" s="57">
        <v>2019.0</v>
      </c>
      <c r="H1954" s="57" t="s">
        <v>9495</v>
      </c>
      <c r="I1954" s="134" t="s">
        <v>9879</v>
      </c>
      <c r="J1954" s="22" t="s">
        <v>31</v>
      </c>
      <c r="K1954" s="22" t="s">
        <v>9925</v>
      </c>
      <c r="L1954" s="36" t="s">
        <v>6001</v>
      </c>
      <c r="M1954" s="36"/>
      <c r="N1954" s="36"/>
      <c r="O1954" s="36"/>
      <c r="P1954" s="37"/>
      <c r="Q1954" s="36"/>
      <c r="R1954" s="36"/>
      <c r="S1954" s="36"/>
      <c r="T1954" s="252" t="s">
        <v>9926</v>
      </c>
      <c r="U1954" s="263"/>
      <c r="V1954" s="50"/>
      <c r="W1954" s="49"/>
      <c r="X1954" s="49"/>
      <c r="Y1954" s="35"/>
      <c r="Z1954" s="35"/>
      <c r="AA1954" s="35"/>
      <c r="AB1954" s="35"/>
      <c r="AC1954" s="35"/>
      <c r="AD1954" s="35"/>
      <c r="AE1954" s="35"/>
      <c r="AF1954" s="35"/>
      <c r="AG1954" s="35"/>
      <c r="AH1954" s="35"/>
      <c r="AI1954" s="35"/>
      <c r="AJ1954" s="35"/>
      <c r="AK1954" s="35"/>
      <c r="AL1954" s="35"/>
    </row>
    <row r="1955">
      <c r="A1955" s="40"/>
      <c r="B1955" s="19" t="s">
        <v>9393</v>
      </c>
      <c r="C1955" s="20" t="s">
        <v>9903</v>
      </c>
      <c r="D1955" s="47"/>
      <c r="E1955" s="57" t="s">
        <v>312</v>
      </c>
      <c r="F1955" s="22" t="s">
        <v>9927</v>
      </c>
      <c r="G1955" s="57">
        <v>2018.0</v>
      </c>
      <c r="H1955" s="57" t="s">
        <v>9396</v>
      </c>
      <c r="I1955" s="134" t="s">
        <v>9928</v>
      </c>
      <c r="J1955" s="22" t="s">
        <v>378</v>
      </c>
      <c r="K1955" s="22" t="s">
        <v>157</v>
      </c>
      <c r="L1955" s="36">
        <v>670.0</v>
      </c>
      <c r="M1955" s="36"/>
      <c r="N1955" s="36"/>
      <c r="O1955" s="36"/>
      <c r="P1955" s="37"/>
      <c r="Q1955" s="36"/>
      <c r="R1955" s="36"/>
      <c r="S1955" s="36">
        <v>3.0</v>
      </c>
      <c r="T1955" s="54" t="s">
        <v>9929</v>
      </c>
      <c r="U1955" s="250" t="str">
        <f>HYPERLINK("https://www.ncbi.nlm.nih.gov/pubmed/29355737","PubMed")</f>
        <v>PubMed</v>
      </c>
      <c r="V1955" s="50"/>
      <c r="W1955" s="49"/>
      <c r="X1955" s="49"/>
      <c r="Y1955" s="35"/>
      <c r="Z1955" s="35"/>
      <c r="AA1955" s="35"/>
      <c r="AB1955" s="35"/>
      <c r="AC1955" s="35"/>
      <c r="AD1955" s="35"/>
      <c r="AE1955" s="35"/>
      <c r="AF1955" s="35"/>
      <c r="AG1955" s="35"/>
      <c r="AH1955" s="35"/>
      <c r="AI1955" s="35"/>
      <c r="AJ1955" s="35"/>
      <c r="AK1955" s="35"/>
      <c r="AL1955" s="35"/>
    </row>
    <row r="1956">
      <c r="A1956" s="40"/>
      <c r="B1956" s="19" t="s">
        <v>9393</v>
      </c>
      <c r="C1956" s="20" t="s">
        <v>9903</v>
      </c>
      <c r="D1956" s="47"/>
      <c r="E1956" s="57" t="s">
        <v>312</v>
      </c>
      <c r="F1956" s="22" t="s">
        <v>9927</v>
      </c>
      <c r="G1956" s="57" t="s">
        <v>90</v>
      </c>
      <c r="H1956" s="57" t="s">
        <v>9396</v>
      </c>
      <c r="I1956" s="134" t="s">
        <v>9930</v>
      </c>
      <c r="J1956" s="22" t="s">
        <v>55</v>
      </c>
      <c r="K1956" s="22" t="s">
        <v>157</v>
      </c>
      <c r="L1956" s="36">
        <v>670.0</v>
      </c>
      <c r="M1956" s="36"/>
      <c r="N1956" s="36"/>
      <c r="O1956" s="36"/>
      <c r="P1956" s="37" t="s">
        <v>2395</v>
      </c>
      <c r="Q1956" s="36"/>
      <c r="R1956" s="36"/>
      <c r="S1956" s="36"/>
      <c r="T1956" s="54" t="s">
        <v>9931</v>
      </c>
      <c r="U1956" s="250" t="str">
        <f>HYPERLINK("https://www.ncbi.nlm.nih.gov/pubmed/28888911","PubMed")</f>
        <v>PubMed</v>
      </c>
      <c r="V1956" s="50"/>
      <c r="W1956" s="49"/>
      <c r="X1956" s="49"/>
      <c r="Y1956" s="35"/>
      <c r="Z1956" s="35"/>
      <c r="AA1956" s="35"/>
      <c r="AB1956" s="35"/>
      <c r="AC1956" s="35"/>
      <c r="AD1956" s="35"/>
      <c r="AE1956" s="35"/>
      <c r="AF1956" s="35"/>
      <c r="AG1956" s="35"/>
      <c r="AH1956" s="35"/>
      <c r="AI1956" s="35"/>
      <c r="AJ1956" s="35"/>
      <c r="AK1956" s="35"/>
      <c r="AL1956" s="35"/>
    </row>
    <row r="1957">
      <c r="A1957" s="133"/>
      <c r="B1957" s="19" t="s">
        <v>9393</v>
      </c>
      <c r="C1957" s="20" t="s">
        <v>9903</v>
      </c>
      <c r="D1957" s="47"/>
      <c r="E1957" s="57" t="s">
        <v>9932</v>
      </c>
      <c r="F1957" s="22" t="s">
        <v>9527</v>
      </c>
      <c r="G1957" s="57">
        <v>2016.0</v>
      </c>
      <c r="H1957" s="57" t="s">
        <v>1000</v>
      </c>
      <c r="I1957" s="134" t="s">
        <v>9933</v>
      </c>
      <c r="J1957" s="22" t="s">
        <v>55</v>
      </c>
      <c r="K1957" s="22" t="s">
        <v>9934</v>
      </c>
      <c r="L1957" s="36">
        <v>670.0</v>
      </c>
      <c r="M1957" s="36"/>
      <c r="N1957" s="36" t="s">
        <v>8949</v>
      </c>
      <c r="O1957" s="36"/>
      <c r="P1957" s="37" t="s">
        <v>9935</v>
      </c>
      <c r="Q1957" s="36"/>
      <c r="R1957" s="36" t="s">
        <v>9936</v>
      </c>
      <c r="S1957" s="36"/>
      <c r="T1957" s="252" t="s">
        <v>9937</v>
      </c>
      <c r="U1957" s="250" t="str">
        <f>HYPERLINK("https://www.hindawi.com/journals/ijp/2016/2734139/","Hindawi")</f>
        <v>Hindawi</v>
      </c>
      <c r="V1957" s="50"/>
      <c r="W1957" s="49"/>
      <c r="X1957" s="49"/>
      <c r="Y1957" s="35"/>
      <c r="Z1957" s="35"/>
      <c r="AA1957" s="35"/>
      <c r="AB1957" s="35"/>
      <c r="AC1957" s="35"/>
      <c r="AD1957" s="35"/>
      <c r="AE1957" s="35"/>
      <c r="AF1957" s="35"/>
      <c r="AG1957" s="35"/>
      <c r="AH1957" s="35"/>
      <c r="AI1957" s="35"/>
      <c r="AJ1957" s="35"/>
      <c r="AK1957" s="35"/>
      <c r="AL1957" s="35"/>
    </row>
    <row r="1958">
      <c r="A1958" s="133"/>
      <c r="B1958" s="19" t="s">
        <v>9393</v>
      </c>
      <c r="C1958" s="20" t="s">
        <v>9903</v>
      </c>
      <c r="D1958" s="47"/>
      <c r="E1958" s="174" t="s">
        <v>2937</v>
      </c>
      <c r="F1958" s="23" t="s">
        <v>2938</v>
      </c>
      <c r="G1958" s="174">
        <v>2014.0</v>
      </c>
      <c r="H1958" s="174" t="s">
        <v>627</v>
      </c>
      <c r="I1958" s="175" t="s">
        <v>2939</v>
      </c>
      <c r="J1958" s="23" t="s">
        <v>55</v>
      </c>
      <c r="K1958" s="22" t="s">
        <v>9938</v>
      </c>
      <c r="L1958" s="36" t="s">
        <v>9939</v>
      </c>
      <c r="M1958" s="36"/>
      <c r="N1958" s="36"/>
      <c r="O1958" s="36"/>
      <c r="P1958" s="37" t="s">
        <v>9940</v>
      </c>
      <c r="Q1958" s="36"/>
      <c r="R1958" s="36">
        <v>180.0</v>
      </c>
      <c r="S1958" s="36">
        <v>5.0</v>
      </c>
      <c r="T1958" s="252" t="s">
        <v>9941</v>
      </c>
      <c r="U1958" s="135" t="str">
        <f>HYPERLINK("https://www.ncbi.nlm.nih.gov/pubmed/25105800","PubMed")</f>
        <v>PubMed</v>
      </c>
      <c r="V1958" s="139"/>
      <c r="W1958" s="49"/>
      <c r="X1958" s="49"/>
      <c r="Y1958" s="35"/>
      <c r="Z1958" s="35"/>
      <c r="AA1958" s="35"/>
      <c r="AB1958" s="35"/>
      <c r="AC1958" s="35"/>
      <c r="AD1958" s="35"/>
      <c r="AE1958" s="35"/>
      <c r="AF1958" s="35"/>
      <c r="AG1958" s="35"/>
      <c r="AH1958" s="35"/>
      <c r="AI1958" s="35"/>
      <c r="AJ1958" s="35"/>
      <c r="AK1958" s="35"/>
      <c r="AL1958" s="35"/>
    </row>
    <row r="1959">
      <c r="A1959" s="133"/>
      <c r="B1959" s="19" t="s">
        <v>9393</v>
      </c>
      <c r="C1959" s="20" t="s">
        <v>9903</v>
      </c>
      <c r="D1959" s="47"/>
      <c r="E1959" s="174" t="s">
        <v>9942</v>
      </c>
      <c r="F1959" s="23" t="s">
        <v>4033</v>
      </c>
      <c r="G1959" s="174">
        <v>2014.0</v>
      </c>
      <c r="H1959" s="174" t="s">
        <v>627</v>
      </c>
      <c r="I1959" s="175" t="s">
        <v>9943</v>
      </c>
      <c r="J1959" s="23" t="s">
        <v>55</v>
      </c>
      <c r="K1959" s="22" t="s">
        <v>9944</v>
      </c>
      <c r="L1959" s="36">
        <v>670.0</v>
      </c>
      <c r="M1959" s="36"/>
      <c r="N1959" s="36"/>
      <c r="O1959" s="36"/>
      <c r="P1959" s="37" t="s">
        <v>9945</v>
      </c>
      <c r="Q1959" s="36"/>
      <c r="R1959" s="36"/>
      <c r="S1959" s="36"/>
      <c r="T1959" s="252" t="s">
        <v>9946</v>
      </c>
      <c r="U1959" s="135" t="str">
        <f>HYPERLINK("https://www.ncbi.nlm.nih.gov/pubmed/24955576","PubMed")</f>
        <v>PubMed</v>
      </c>
      <c r="V1959" s="139"/>
      <c r="W1959" s="49"/>
      <c r="X1959" s="49"/>
      <c r="Y1959" s="35"/>
      <c r="Z1959" s="35"/>
      <c r="AA1959" s="35"/>
      <c r="AB1959" s="35"/>
      <c r="AC1959" s="35"/>
      <c r="AD1959" s="35"/>
      <c r="AE1959" s="35"/>
      <c r="AF1959" s="35"/>
      <c r="AG1959" s="35"/>
      <c r="AH1959" s="35"/>
      <c r="AI1959" s="35"/>
      <c r="AJ1959" s="35"/>
      <c r="AK1959" s="35"/>
      <c r="AL1959" s="35"/>
    </row>
    <row r="1960">
      <c r="A1960" s="133"/>
      <c r="B1960" s="19" t="s">
        <v>9393</v>
      </c>
      <c r="C1960" s="20" t="s">
        <v>9903</v>
      </c>
      <c r="D1960" s="47"/>
      <c r="E1960" s="174" t="s">
        <v>9947</v>
      </c>
      <c r="F1960" s="23" t="s">
        <v>2143</v>
      </c>
      <c r="G1960" s="174">
        <v>2014.0</v>
      </c>
      <c r="H1960" s="174" t="s">
        <v>9948</v>
      </c>
      <c r="I1960" s="175" t="s">
        <v>9949</v>
      </c>
      <c r="J1960" s="23" t="s">
        <v>55</v>
      </c>
      <c r="K1960" s="22" t="s">
        <v>9950</v>
      </c>
      <c r="L1960" s="36">
        <v>670.0</v>
      </c>
      <c r="M1960" s="36"/>
      <c r="N1960" s="36" t="s">
        <v>1018</v>
      </c>
      <c r="O1960" s="36"/>
      <c r="P1960" s="37" t="s">
        <v>2395</v>
      </c>
      <c r="Q1960" s="36"/>
      <c r="R1960" s="36">
        <v>360.0</v>
      </c>
      <c r="S1960" s="36"/>
      <c r="T1960" s="252" t="s">
        <v>9951</v>
      </c>
      <c r="U1960" s="135" t="str">
        <f>HYPERLINK("https://www.ncbi.nlm.nih.gov/pubmed/24840621","PubMed")</f>
        <v>PubMed</v>
      </c>
      <c r="V1960" s="139"/>
      <c r="W1960" s="49"/>
      <c r="X1960" s="49"/>
      <c r="Y1960" s="35"/>
      <c r="Z1960" s="35"/>
      <c r="AA1960" s="35"/>
      <c r="AB1960" s="35"/>
      <c r="AC1960" s="35"/>
      <c r="AD1960" s="35"/>
      <c r="AE1960" s="35"/>
      <c r="AF1960" s="35"/>
      <c r="AG1960" s="35"/>
      <c r="AH1960" s="35"/>
      <c r="AI1960" s="35"/>
      <c r="AJ1960" s="35"/>
      <c r="AK1960" s="35"/>
      <c r="AL1960" s="35"/>
    </row>
    <row r="1961">
      <c r="A1961" s="55"/>
      <c r="B1961" s="19" t="s">
        <v>9393</v>
      </c>
      <c r="C1961" s="20" t="s">
        <v>9903</v>
      </c>
      <c r="D1961" s="47"/>
      <c r="E1961" s="22" t="s">
        <v>9952</v>
      </c>
      <c r="F1961" s="22" t="s">
        <v>4033</v>
      </c>
      <c r="G1961" s="57">
        <v>2013.0</v>
      </c>
      <c r="H1961" s="57" t="s">
        <v>9953</v>
      </c>
      <c r="I1961" s="134" t="s">
        <v>9954</v>
      </c>
      <c r="J1961" s="22" t="s">
        <v>55</v>
      </c>
      <c r="K1961" s="22" t="s">
        <v>9955</v>
      </c>
      <c r="L1961" s="36">
        <v>670.0</v>
      </c>
      <c r="M1961" s="36"/>
      <c r="N1961" s="36"/>
      <c r="O1961" s="36"/>
      <c r="P1961" s="37" t="s">
        <v>432</v>
      </c>
      <c r="Q1961" s="36"/>
      <c r="R1961" s="36"/>
      <c r="S1961" s="36"/>
      <c r="T1961" s="252" t="s">
        <v>9956</v>
      </c>
      <c r="U1961" s="38" t="str">
        <f>HYPERLINK("https://www.ncbi.nlm.nih.gov/pubmed/24093084","PubMed")</f>
        <v>PubMed</v>
      </c>
      <c r="V1961" s="50"/>
      <c r="W1961" s="49"/>
      <c r="X1961" s="49"/>
      <c r="Y1961" s="35"/>
      <c r="Z1961" s="35"/>
      <c r="AA1961" s="35"/>
      <c r="AB1961" s="35"/>
      <c r="AC1961" s="35"/>
      <c r="AD1961" s="35"/>
      <c r="AE1961" s="35"/>
      <c r="AF1961" s="35"/>
      <c r="AG1961" s="35"/>
      <c r="AH1961" s="35"/>
      <c r="AI1961" s="35"/>
      <c r="AJ1961" s="35"/>
      <c r="AK1961" s="35"/>
      <c r="AL1961" s="35"/>
    </row>
    <row r="1962">
      <c r="A1962" s="133"/>
      <c r="B1962" s="19" t="s">
        <v>9393</v>
      </c>
      <c r="C1962" s="20" t="s">
        <v>9903</v>
      </c>
      <c r="D1962" s="47"/>
      <c r="E1962" s="174" t="s">
        <v>9957</v>
      </c>
      <c r="F1962" s="22" t="s">
        <v>9527</v>
      </c>
      <c r="G1962" s="174">
        <v>2013.0</v>
      </c>
      <c r="H1962" s="174" t="s">
        <v>4145</v>
      </c>
      <c r="I1962" s="175" t="s">
        <v>9958</v>
      </c>
      <c r="J1962" s="23" t="s">
        <v>44</v>
      </c>
      <c r="K1962" s="23" t="s">
        <v>9959</v>
      </c>
      <c r="L1962" s="36">
        <v>670.0</v>
      </c>
      <c r="M1962" s="36"/>
      <c r="N1962" s="36" t="s">
        <v>8949</v>
      </c>
      <c r="O1962" s="36"/>
      <c r="P1962" s="37" t="s">
        <v>2395</v>
      </c>
      <c r="Q1962" s="36"/>
      <c r="R1962" s="36">
        <v>180.0</v>
      </c>
      <c r="S1962" s="36">
        <v>5.0</v>
      </c>
      <c r="T1962" s="252" t="s">
        <v>9960</v>
      </c>
      <c r="U1962" s="135" t="str">
        <f>HYPERLINK("https://www.ncbi.nlm.nih.gov/pubmed/24134095/","PubMed")</f>
        <v>PubMed</v>
      </c>
      <c r="V1962" s="139"/>
      <c r="W1962" s="49"/>
      <c r="X1962" s="49"/>
      <c r="Y1962" s="35"/>
      <c r="Z1962" s="35"/>
      <c r="AA1962" s="35"/>
      <c r="AB1962" s="35"/>
      <c r="AC1962" s="35"/>
      <c r="AD1962" s="35"/>
      <c r="AE1962" s="35"/>
      <c r="AF1962" s="35"/>
      <c r="AG1962" s="35"/>
      <c r="AH1962" s="35"/>
      <c r="AI1962" s="35"/>
      <c r="AJ1962" s="35"/>
      <c r="AK1962" s="35"/>
      <c r="AL1962" s="35"/>
    </row>
    <row r="1963">
      <c r="A1963" s="205" t="s">
        <v>2</v>
      </c>
      <c r="B1963" s="19" t="s">
        <v>9393</v>
      </c>
      <c r="C1963" s="20" t="s">
        <v>9903</v>
      </c>
      <c r="D1963" s="47"/>
      <c r="E1963" s="57" t="s">
        <v>9961</v>
      </c>
      <c r="F1963" s="22" t="s">
        <v>9527</v>
      </c>
      <c r="G1963" s="57">
        <v>2012.0</v>
      </c>
      <c r="H1963" s="57" t="s">
        <v>4975</v>
      </c>
      <c r="I1963" s="134" t="s">
        <v>9962</v>
      </c>
      <c r="J1963" s="22" t="s">
        <v>55</v>
      </c>
      <c r="K1963" s="22" t="s">
        <v>157</v>
      </c>
      <c r="L1963" s="36">
        <v>670.0</v>
      </c>
      <c r="M1963" s="107"/>
      <c r="N1963" s="36" t="s">
        <v>8949</v>
      </c>
      <c r="O1963" s="107"/>
      <c r="P1963" s="37" t="s">
        <v>2395</v>
      </c>
      <c r="Q1963" s="107"/>
      <c r="R1963" s="36">
        <v>180.0</v>
      </c>
      <c r="S1963" s="36">
        <v>5.0</v>
      </c>
      <c r="T1963" s="252" t="s">
        <v>9963</v>
      </c>
      <c r="U1963" s="250" t="str">
        <f>HYPERLINK("https://www.ncbi.nlm.nih.gov/pubmed/22372425","PubMed")</f>
        <v>PubMed</v>
      </c>
      <c r="V1963" s="50"/>
      <c r="W1963" s="49"/>
      <c r="X1963" s="49"/>
      <c r="Y1963" s="35"/>
      <c r="Z1963" s="35"/>
      <c r="AA1963" s="35"/>
      <c r="AB1963" s="35"/>
      <c r="AC1963" s="35"/>
      <c r="AD1963" s="35"/>
      <c r="AE1963" s="35"/>
      <c r="AF1963" s="35"/>
      <c r="AG1963" s="35"/>
      <c r="AH1963" s="35"/>
      <c r="AI1963" s="35"/>
      <c r="AJ1963" s="35"/>
      <c r="AK1963" s="35"/>
      <c r="AL1963" s="35"/>
    </row>
    <row r="1964">
      <c r="A1964" s="133"/>
      <c r="B1964" s="19" t="s">
        <v>9393</v>
      </c>
      <c r="C1964" s="20" t="s">
        <v>9903</v>
      </c>
      <c r="D1964" s="47"/>
      <c r="E1964" s="174" t="s">
        <v>9961</v>
      </c>
      <c r="F1964" s="22" t="s">
        <v>9527</v>
      </c>
      <c r="G1964" s="174">
        <v>2012.0</v>
      </c>
      <c r="H1964" s="174" t="s">
        <v>2398</v>
      </c>
      <c r="I1964" s="175" t="s">
        <v>9964</v>
      </c>
      <c r="J1964" s="23" t="s">
        <v>55</v>
      </c>
      <c r="K1964" s="22" t="s">
        <v>9965</v>
      </c>
      <c r="L1964" s="36">
        <v>670.0</v>
      </c>
      <c r="M1964" s="36"/>
      <c r="N1964" s="36"/>
      <c r="O1964" s="36"/>
      <c r="P1964" s="37"/>
      <c r="Q1964" s="36"/>
      <c r="R1964" s="36"/>
      <c r="S1964" s="36"/>
      <c r="T1964" s="264" t="s">
        <v>9966</v>
      </c>
      <c r="U1964" s="265" t="s">
        <v>61</v>
      </c>
      <c r="V1964" s="251" t="s">
        <v>9967</v>
      </c>
      <c r="W1964" s="49"/>
      <c r="X1964" s="49"/>
      <c r="Y1964" s="35"/>
      <c r="Z1964" s="35"/>
      <c r="AA1964" s="35"/>
      <c r="AB1964" s="35"/>
      <c r="AC1964" s="35"/>
      <c r="AD1964" s="35"/>
      <c r="AE1964" s="35"/>
      <c r="AF1964" s="35"/>
      <c r="AG1964" s="35"/>
      <c r="AH1964" s="35"/>
      <c r="AI1964" s="35"/>
      <c r="AJ1964" s="35"/>
      <c r="AK1964" s="35"/>
      <c r="AL1964" s="35"/>
    </row>
    <row r="1965">
      <c r="A1965" s="207" t="s">
        <v>2</v>
      </c>
      <c r="B1965" s="19" t="s">
        <v>9393</v>
      </c>
      <c r="C1965" s="20" t="s">
        <v>9903</v>
      </c>
      <c r="D1965" s="47"/>
      <c r="E1965" s="174" t="s">
        <v>9957</v>
      </c>
      <c r="F1965" s="22" t="s">
        <v>9527</v>
      </c>
      <c r="G1965" s="174">
        <v>2011.0</v>
      </c>
      <c r="H1965" s="174" t="s">
        <v>9702</v>
      </c>
      <c r="I1965" s="175" t="s">
        <v>9968</v>
      </c>
      <c r="J1965" s="23" t="s">
        <v>55</v>
      </c>
      <c r="K1965" s="22" t="s">
        <v>9965</v>
      </c>
      <c r="L1965" s="36">
        <v>670.0</v>
      </c>
      <c r="M1965" s="36"/>
      <c r="N1965" s="36" t="s">
        <v>8949</v>
      </c>
      <c r="O1965" s="36"/>
      <c r="P1965" s="37" t="s">
        <v>2395</v>
      </c>
      <c r="Q1965" s="36"/>
      <c r="R1965" s="36">
        <v>180.0</v>
      </c>
      <c r="S1965" s="36">
        <v>5.0</v>
      </c>
      <c r="T1965" s="252" t="s">
        <v>9969</v>
      </c>
      <c r="U1965" s="265" t="s">
        <v>61</v>
      </c>
      <c r="V1965" s="251"/>
      <c r="W1965" s="49"/>
      <c r="X1965" s="49"/>
      <c r="Y1965" s="35"/>
      <c r="Z1965" s="35"/>
      <c r="AA1965" s="35"/>
      <c r="AB1965" s="35"/>
      <c r="AC1965" s="35"/>
      <c r="AD1965" s="35"/>
      <c r="AE1965" s="35"/>
      <c r="AF1965" s="35"/>
      <c r="AG1965" s="35"/>
      <c r="AH1965" s="35"/>
      <c r="AI1965" s="35"/>
      <c r="AJ1965" s="35"/>
      <c r="AK1965" s="35"/>
      <c r="AL1965" s="35"/>
    </row>
    <row r="1966">
      <c r="A1966" s="133"/>
      <c r="B1966" s="19" t="s">
        <v>9393</v>
      </c>
      <c r="C1966" s="20" t="s">
        <v>9903</v>
      </c>
      <c r="D1966" s="47"/>
      <c r="E1966" s="174" t="s">
        <v>3165</v>
      </c>
      <c r="F1966" s="23" t="s">
        <v>9970</v>
      </c>
      <c r="G1966" s="174">
        <v>2010.0</v>
      </c>
      <c r="H1966" s="174" t="s">
        <v>2398</v>
      </c>
      <c r="I1966" s="175" t="s">
        <v>9971</v>
      </c>
      <c r="J1966" s="23" t="s">
        <v>55</v>
      </c>
      <c r="K1966" s="22" t="s">
        <v>9965</v>
      </c>
      <c r="L1966" s="36">
        <v>670.0</v>
      </c>
      <c r="M1966" s="36">
        <v>50.0</v>
      </c>
      <c r="N1966" s="36"/>
      <c r="O1966" s="36"/>
      <c r="P1966" s="37"/>
      <c r="Q1966" s="36"/>
      <c r="R1966" s="36"/>
      <c r="S1966" s="36">
        <v>5.0</v>
      </c>
      <c r="T1966" s="252" t="s">
        <v>9972</v>
      </c>
      <c r="U1966" s="265" t="s">
        <v>61</v>
      </c>
      <c r="V1966" s="139"/>
      <c r="W1966" s="49"/>
      <c r="X1966" s="49"/>
      <c r="Y1966" s="35"/>
      <c r="Z1966" s="35"/>
      <c r="AA1966" s="35"/>
      <c r="AB1966" s="35"/>
      <c r="AC1966" s="35"/>
      <c r="AD1966" s="35"/>
      <c r="AE1966" s="35"/>
      <c r="AF1966" s="35"/>
      <c r="AG1966" s="35"/>
      <c r="AH1966" s="35"/>
      <c r="AI1966" s="35"/>
      <c r="AJ1966" s="35"/>
      <c r="AK1966" s="35"/>
      <c r="AL1966" s="35"/>
    </row>
    <row r="1967">
      <c r="A1967" s="133"/>
      <c r="B1967" s="19" t="s">
        <v>9393</v>
      </c>
      <c r="C1967" s="20" t="s">
        <v>3714</v>
      </c>
      <c r="D1967" s="47"/>
      <c r="E1967" s="57" t="s">
        <v>9973</v>
      </c>
      <c r="F1967" s="22" t="s">
        <v>5223</v>
      </c>
      <c r="G1967" s="57">
        <v>2016.0</v>
      </c>
      <c r="H1967" s="57" t="s">
        <v>9396</v>
      </c>
      <c r="I1967" s="134" t="s">
        <v>9974</v>
      </c>
      <c r="J1967" s="22" t="s">
        <v>55</v>
      </c>
      <c r="K1967" s="22" t="s">
        <v>157</v>
      </c>
      <c r="L1967" s="36">
        <v>670.0</v>
      </c>
      <c r="M1967" s="129">
        <v>42493.0</v>
      </c>
      <c r="N1967" s="36"/>
      <c r="O1967" s="36"/>
      <c r="P1967" s="37"/>
      <c r="Q1967" s="36"/>
      <c r="R1967" s="36">
        <v>300.0</v>
      </c>
      <c r="S1967" s="36"/>
      <c r="T1967" s="252" t="s">
        <v>9975</v>
      </c>
      <c r="U1967" s="250" t="str">
        <f>HYPERLINK("https://www.ncbi.nlm.nih.gov/pubmed/27664904","PubMed")</f>
        <v>PubMed</v>
      </c>
      <c r="V1967" s="50"/>
      <c r="W1967" s="49"/>
      <c r="X1967" s="49"/>
      <c r="Y1967" s="35"/>
      <c r="Z1967" s="35"/>
      <c r="AA1967" s="35"/>
      <c r="AB1967" s="35"/>
      <c r="AC1967" s="35"/>
      <c r="AD1967" s="35"/>
      <c r="AE1967" s="35"/>
      <c r="AF1967" s="35"/>
      <c r="AG1967" s="35"/>
      <c r="AH1967" s="35"/>
      <c r="AI1967" s="35"/>
      <c r="AJ1967" s="35"/>
      <c r="AK1967" s="35"/>
      <c r="AL1967" s="35"/>
    </row>
    <row r="1968">
      <c r="A1968" s="133" t="s">
        <v>2</v>
      </c>
      <c r="B1968" s="19" t="s">
        <v>9393</v>
      </c>
      <c r="C1968" s="20" t="s">
        <v>9976</v>
      </c>
      <c r="D1968" s="47"/>
      <c r="E1968" s="174" t="s">
        <v>9977</v>
      </c>
      <c r="F1968" s="22" t="s">
        <v>2956</v>
      </c>
      <c r="G1968" s="174">
        <v>2003.0</v>
      </c>
      <c r="H1968" s="174" t="s">
        <v>9978</v>
      </c>
      <c r="I1968" s="175" t="s">
        <v>9979</v>
      </c>
      <c r="J1968" s="23" t="s">
        <v>55</v>
      </c>
      <c r="K1968" s="23" t="s">
        <v>9980</v>
      </c>
      <c r="L1968" s="36">
        <v>670.0</v>
      </c>
      <c r="M1968" s="36"/>
      <c r="N1968" s="36"/>
      <c r="O1968" s="36"/>
      <c r="P1968" s="37" t="s">
        <v>254</v>
      </c>
      <c r="Q1968" s="36"/>
      <c r="R1968" s="36">
        <v>144.0</v>
      </c>
      <c r="S1968" s="36">
        <v>3.0</v>
      </c>
      <c r="T1968" s="28" t="s">
        <v>9981</v>
      </c>
      <c r="U1968" s="265" t="s">
        <v>61</v>
      </c>
      <c r="V1968" s="251"/>
      <c r="W1968" s="49"/>
      <c r="X1968" s="49"/>
      <c r="Y1968" s="35"/>
      <c r="Z1968" s="35"/>
      <c r="AA1968" s="35"/>
      <c r="AB1968" s="35"/>
      <c r="AC1968" s="35"/>
      <c r="AD1968" s="35"/>
      <c r="AE1968" s="35"/>
      <c r="AF1968" s="35"/>
      <c r="AG1968" s="35"/>
      <c r="AH1968" s="35"/>
      <c r="AI1968" s="35"/>
      <c r="AJ1968" s="35"/>
      <c r="AK1968" s="35"/>
      <c r="AL1968" s="35"/>
    </row>
    <row r="1969">
      <c r="A1969" s="133"/>
      <c r="B1969" s="19" t="s">
        <v>9393</v>
      </c>
      <c r="C1969" s="20" t="s">
        <v>9982</v>
      </c>
      <c r="D1969" s="47"/>
      <c r="E1969" s="174" t="s">
        <v>9983</v>
      </c>
      <c r="F1969" s="22" t="s">
        <v>1482</v>
      </c>
      <c r="G1969" s="174">
        <v>2024.0</v>
      </c>
      <c r="H1969" s="174" t="s">
        <v>9984</v>
      </c>
      <c r="I1969" s="175" t="s">
        <v>9985</v>
      </c>
      <c r="J1969" s="23" t="s">
        <v>9986</v>
      </c>
      <c r="K1969" s="23"/>
      <c r="L1969" s="52">
        <v>650.0</v>
      </c>
      <c r="M1969" s="52" t="s">
        <v>9987</v>
      </c>
      <c r="N1969" s="52"/>
      <c r="O1969" s="52"/>
      <c r="P1969" s="189"/>
      <c r="Q1969" s="52"/>
      <c r="R1969" s="52" t="s">
        <v>9988</v>
      </c>
      <c r="S1969" s="52" t="s">
        <v>9989</v>
      </c>
      <c r="T1969" s="28" t="s">
        <v>9990</v>
      </c>
      <c r="U1969" s="255" t="s">
        <v>61</v>
      </c>
      <c r="V1969" s="251"/>
      <c r="W1969" s="49"/>
      <c r="X1969" s="49"/>
      <c r="Y1969" s="35"/>
      <c r="Z1969" s="35"/>
      <c r="AA1969" s="35"/>
      <c r="AB1969" s="35"/>
      <c r="AC1969" s="35"/>
      <c r="AD1969" s="35"/>
      <c r="AE1969" s="35"/>
      <c r="AF1969" s="35"/>
      <c r="AG1969" s="35"/>
      <c r="AH1969" s="35"/>
      <c r="AI1969" s="35"/>
      <c r="AJ1969" s="35"/>
      <c r="AK1969" s="35"/>
      <c r="AL1969" s="35"/>
    </row>
    <row r="1970">
      <c r="A1970" s="133"/>
      <c r="B1970" s="19" t="s">
        <v>9393</v>
      </c>
      <c r="C1970" s="20" t="s">
        <v>9982</v>
      </c>
      <c r="D1970" s="47"/>
      <c r="E1970" s="174" t="s">
        <v>2195</v>
      </c>
      <c r="F1970" s="22" t="s">
        <v>206</v>
      </c>
      <c r="G1970" s="174">
        <v>2024.0</v>
      </c>
      <c r="H1970" s="174" t="s">
        <v>9991</v>
      </c>
      <c r="I1970" s="175" t="s">
        <v>9992</v>
      </c>
      <c r="J1970" s="22" t="s">
        <v>125</v>
      </c>
      <c r="K1970" s="23"/>
      <c r="L1970" s="196" t="s">
        <v>9993</v>
      </c>
      <c r="U1970" s="255" t="s">
        <v>61</v>
      </c>
      <c r="V1970" s="251"/>
      <c r="W1970" s="49"/>
      <c r="X1970" s="49"/>
      <c r="Y1970" s="35"/>
      <c r="Z1970" s="35"/>
      <c r="AA1970" s="35"/>
      <c r="AB1970" s="35"/>
      <c r="AC1970" s="35"/>
      <c r="AD1970" s="35"/>
      <c r="AE1970" s="35"/>
      <c r="AF1970" s="35"/>
      <c r="AG1970" s="35"/>
      <c r="AH1970" s="35"/>
      <c r="AI1970" s="35"/>
      <c r="AJ1970" s="35"/>
      <c r="AK1970" s="35"/>
      <c r="AL1970" s="35"/>
    </row>
    <row r="1971">
      <c r="A1971" s="133"/>
      <c r="B1971" s="19" t="s">
        <v>9393</v>
      </c>
      <c r="C1971" s="20" t="s">
        <v>9982</v>
      </c>
      <c r="D1971" s="47"/>
      <c r="E1971" s="174" t="s">
        <v>1369</v>
      </c>
      <c r="F1971" s="22" t="s">
        <v>2196</v>
      </c>
      <c r="G1971" s="174">
        <v>2024.0</v>
      </c>
      <c r="H1971" s="174" t="s">
        <v>9994</v>
      </c>
      <c r="I1971" s="175" t="s">
        <v>9995</v>
      </c>
      <c r="J1971" s="23" t="s">
        <v>9996</v>
      </c>
      <c r="K1971" s="23"/>
      <c r="L1971" s="52"/>
      <c r="M1971" s="52"/>
      <c r="N1971" s="52"/>
      <c r="O1971" s="52"/>
      <c r="P1971" s="189"/>
      <c r="Q1971" s="52"/>
      <c r="R1971" s="52">
        <v>180.0</v>
      </c>
      <c r="S1971" s="52" t="s">
        <v>9989</v>
      </c>
      <c r="T1971" s="28" t="s">
        <v>9997</v>
      </c>
      <c r="U1971" s="255" t="s">
        <v>61</v>
      </c>
      <c r="V1971" s="251"/>
      <c r="W1971" s="49"/>
      <c r="X1971" s="49"/>
      <c r="Y1971" s="35"/>
      <c r="Z1971" s="35"/>
      <c r="AA1971" s="35"/>
      <c r="AB1971" s="35"/>
      <c r="AC1971" s="35"/>
      <c r="AD1971" s="35"/>
      <c r="AE1971" s="35"/>
      <c r="AF1971" s="35"/>
      <c r="AG1971" s="35"/>
      <c r="AH1971" s="35"/>
      <c r="AI1971" s="35"/>
      <c r="AJ1971" s="35"/>
      <c r="AK1971" s="35"/>
      <c r="AL1971" s="35"/>
    </row>
    <row r="1972">
      <c r="A1972" s="133"/>
      <c r="B1972" s="19" t="s">
        <v>9393</v>
      </c>
      <c r="C1972" s="20" t="s">
        <v>9982</v>
      </c>
      <c r="D1972" s="47"/>
      <c r="E1972" s="174" t="s">
        <v>9998</v>
      </c>
      <c r="F1972" s="22" t="s">
        <v>65</v>
      </c>
      <c r="G1972" s="174">
        <v>2024.0</v>
      </c>
      <c r="H1972" s="174" t="s">
        <v>9994</v>
      </c>
      <c r="I1972" s="175" t="s">
        <v>9999</v>
      </c>
      <c r="J1972" s="23" t="s">
        <v>10000</v>
      </c>
      <c r="K1972" s="23"/>
      <c r="L1972" s="52"/>
      <c r="M1972" s="52"/>
      <c r="N1972" s="52"/>
      <c r="O1972" s="52"/>
      <c r="P1972" s="189"/>
      <c r="Q1972" s="52"/>
      <c r="R1972" s="52"/>
      <c r="S1972" s="52"/>
      <c r="T1972" s="28" t="s">
        <v>10001</v>
      </c>
      <c r="U1972" s="255" t="s">
        <v>61</v>
      </c>
      <c r="V1972" s="251"/>
      <c r="W1972" s="49"/>
      <c r="X1972" s="49"/>
      <c r="Y1972" s="35"/>
      <c r="Z1972" s="35"/>
      <c r="AA1972" s="35"/>
      <c r="AB1972" s="35"/>
      <c r="AC1972" s="35"/>
      <c r="AD1972" s="35"/>
      <c r="AE1972" s="35"/>
      <c r="AF1972" s="35"/>
      <c r="AG1972" s="35"/>
      <c r="AH1972" s="35"/>
      <c r="AI1972" s="35"/>
      <c r="AJ1972" s="35"/>
      <c r="AK1972" s="35"/>
      <c r="AL1972" s="35"/>
    </row>
    <row r="1973">
      <c r="A1973" s="133"/>
      <c r="B1973" s="19" t="s">
        <v>9393</v>
      </c>
      <c r="C1973" s="20" t="s">
        <v>9982</v>
      </c>
      <c r="D1973" s="47"/>
      <c r="E1973" s="174" t="s">
        <v>10002</v>
      </c>
      <c r="F1973" s="22" t="s">
        <v>10003</v>
      </c>
      <c r="G1973" s="174">
        <v>2024.0</v>
      </c>
      <c r="H1973" s="174" t="s">
        <v>9587</v>
      </c>
      <c r="I1973" s="175" t="s">
        <v>10004</v>
      </c>
      <c r="J1973" s="23" t="s">
        <v>10005</v>
      </c>
      <c r="K1973" s="23"/>
      <c r="L1973" s="52"/>
      <c r="M1973" s="52"/>
      <c r="N1973" s="52"/>
      <c r="O1973" s="52"/>
      <c r="P1973" s="189"/>
      <c r="Q1973" s="52"/>
      <c r="R1973" s="52"/>
      <c r="S1973" s="52"/>
      <c r="T1973" s="28" t="s">
        <v>10006</v>
      </c>
      <c r="U1973" s="255" t="s">
        <v>61</v>
      </c>
      <c r="V1973" s="251"/>
      <c r="W1973" s="49"/>
      <c r="X1973" s="49"/>
      <c r="Y1973" s="35"/>
      <c r="Z1973" s="35"/>
      <c r="AA1973" s="35"/>
      <c r="AB1973" s="35"/>
      <c r="AC1973" s="35"/>
      <c r="AD1973" s="35"/>
      <c r="AE1973" s="35"/>
      <c r="AF1973" s="35"/>
      <c r="AG1973" s="35"/>
      <c r="AH1973" s="35"/>
      <c r="AI1973" s="35"/>
      <c r="AJ1973" s="35"/>
      <c r="AK1973" s="35"/>
      <c r="AL1973" s="35"/>
    </row>
    <row r="1974">
      <c r="A1974" s="133"/>
      <c r="B1974" s="19" t="s">
        <v>9393</v>
      </c>
      <c r="C1974" s="20" t="s">
        <v>9982</v>
      </c>
      <c r="D1974" s="47"/>
      <c r="E1974" s="174" t="s">
        <v>2316</v>
      </c>
      <c r="F1974" s="22" t="s">
        <v>224</v>
      </c>
      <c r="G1974" s="174">
        <v>2024.0</v>
      </c>
      <c r="H1974" s="174" t="s">
        <v>1485</v>
      </c>
      <c r="I1974" s="175" t="s">
        <v>10007</v>
      </c>
      <c r="J1974" s="23" t="s">
        <v>10008</v>
      </c>
      <c r="K1974" s="23"/>
      <c r="L1974" s="52">
        <v>650.0</v>
      </c>
      <c r="M1974" s="52"/>
      <c r="N1974" s="52"/>
      <c r="O1974" s="52"/>
      <c r="P1974" s="189"/>
      <c r="Q1974" s="52"/>
      <c r="R1974" s="52">
        <v>180.0</v>
      </c>
      <c r="S1974" s="52" t="s">
        <v>10009</v>
      </c>
      <c r="T1974" s="28" t="s">
        <v>10010</v>
      </c>
      <c r="U1974" s="255" t="s">
        <v>61</v>
      </c>
      <c r="V1974" s="251"/>
      <c r="W1974" s="49"/>
      <c r="X1974" s="49"/>
      <c r="Y1974" s="35"/>
      <c r="Z1974" s="35"/>
      <c r="AA1974" s="35"/>
      <c r="AB1974" s="35"/>
      <c r="AC1974" s="35"/>
      <c r="AD1974" s="35"/>
      <c r="AE1974" s="35"/>
      <c r="AF1974" s="35"/>
      <c r="AG1974" s="35"/>
      <c r="AH1974" s="35"/>
      <c r="AI1974" s="35"/>
      <c r="AJ1974" s="35"/>
      <c r="AK1974" s="35"/>
      <c r="AL1974" s="35"/>
    </row>
    <row r="1975">
      <c r="A1975" s="133"/>
      <c r="B1975" s="19" t="s">
        <v>9393</v>
      </c>
      <c r="C1975" s="20" t="s">
        <v>9982</v>
      </c>
      <c r="D1975" s="47"/>
      <c r="E1975" s="174" t="s">
        <v>1921</v>
      </c>
      <c r="F1975" s="22" t="s">
        <v>313</v>
      </c>
      <c r="G1975" s="174">
        <v>2024.0</v>
      </c>
      <c r="H1975" s="174" t="s">
        <v>1485</v>
      </c>
      <c r="I1975" s="175" t="s">
        <v>10011</v>
      </c>
      <c r="J1975" s="23" t="s">
        <v>10012</v>
      </c>
      <c r="K1975" s="23"/>
      <c r="L1975" s="52">
        <v>650.0</v>
      </c>
      <c r="M1975" s="52"/>
      <c r="N1975" s="52"/>
      <c r="O1975" s="52"/>
      <c r="P1975" s="189"/>
      <c r="Q1975" s="52"/>
      <c r="R1975" s="52"/>
      <c r="S1975" s="52"/>
      <c r="T1975" s="28" t="s">
        <v>10013</v>
      </c>
      <c r="U1975" s="255" t="s">
        <v>61</v>
      </c>
      <c r="V1975" s="251"/>
      <c r="W1975" s="49"/>
      <c r="X1975" s="49"/>
      <c r="Y1975" s="35"/>
      <c r="Z1975" s="35"/>
      <c r="AA1975" s="35"/>
      <c r="AB1975" s="35"/>
      <c r="AC1975" s="35"/>
      <c r="AD1975" s="35"/>
      <c r="AE1975" s="35"/>
      <c r="AF1975" s="35"/>
      <c r="AG1975" s="35"/>
      <c r="AH1975" s="35"/>
      <c r="AI1975" s="35"/>
      <c r="AJ1975" s="35"/>
      <c r="AK1975" s="35"/>
      <c r="AL1975" s="35"/>
    </row>
    <row r="1976">
      <c r="A1976" s="133"/>
      <c r="B1976" s="19" t="s">
        <v>9393</v>
      </c>
      <c r="C1976" s="20" t="s">
        <v>9982</v>
      </c>
      <c r="D1976" s="47"/>
      <c r="E1976" s="174" t="s">
        <v>10014</v>
      </c>
      <c r="F1976" s="22" t="s">
        <v>993</v>
      </c>
      <c r="G1976" s="174">
        <v>2024.0</v>
      </c>
      <c r="H1976" s="174" t="s">
        <v>10015</v>
      </c>
      <c r="I1976" s="175" t="s">
        <v>10016</v>
      </c>
      <c r="J1976" s="22" t="s">
        <v>1078</v>
      </c>
      <c r="K1976" s="23"/>
      <c r="L1976" s="173" t="s">
        <v>10017</v>
      </c>
      <c r="U1976" s="255" t="s">
        <v>61</v>
      </c>
      <c r="V1976" s="251"/>
      <c r="W1976" s="49"/>
      <c r="X1976" s="49"/>
      <c r="Y1976" s="35"/>
      <c r="Z1976" s="35"/>
      <c r="AA1976" s="35"/>
      <c r="AB1976" s="35"/>
      <c r="AC1976" s="35"/>
      <c r="AD1976" s="35"/>
      <c r="AE1976" s="35"/>
      <c r="AF1976" s="35"/>
      <c r="AG1976" s="35"/>
      <c r="AH1976" s="35"/>
      <c r="AI1976" s="35"/>
      <c r="AJ1976" s="35"/>
      <c r="AK1976" s="35"/>
      <c r="AL1976" s="35"/>
    </row>
    <row r="1977">
      <c r="A1977" s="133"/>
      <c r="B1977" s="19" t="s">
        <v>9393</v>
      </c>
      <c r="C1977" s="20" t="s">
        <v>9982</v>
      </c>
      <c r="D1977" s="47"/>
      <c r="E1977" s="174" t="s">
        <v>10018</v>
      </c>
      <c r="F1977" s="22" t="s">
        <v>224</v>
      </c>
      <c r="G1977" s="174">
        <v>2024.0</v>
      </c>
      <c r="H1977" s="174" t="s">
        <v>10019</v>
      </c>
      <c r="I1977" s="175" t="s">
        <v>10020</v>
      </c>
      <c r="J1977" s="23" t="s">
        <v>10021</v>
      </c>
      <c r="K1977" s="23"/>
      <c r="L1977" s="52">
        <v>650.0</v>
      </c>
      <c r="M1977" s="52"/>
      <c r="N1977" s="52"/>
      <c r="O1977" s="52"/>
      <c r="P1977" s="189"/>
      <c r="Q1977" s="52"/>
      <c r="R1977" s="52">
        <v>180.0</v>
      </c>
      <c r="S1977" s="52" t="s">
        <v>10022</v>
      </c>
      <c r="T1977" s="28" t="s">
        <v>10023</v>
      </c>
      <c r="U1977" s="255" t="s">
        <v>61</v>
      </c>
      <c r="V1977" s="251"/>
      <c r="W1977" s="49"/>
      <c r="X1977" s="49"/>
      <c r="Y1977" s="35"/>
      <c r="Z1977" s="35"/>
      <c r="AA1977" s="35"/>
      <c r="AB1977" s="35"/>
      <c r="AC1977" s="35"/>
      <c r="AD1977" s="35"/>
      <c r="AE1977" s="35"/>
      <c r="AF1977" s="35"/>
      <c r="AG1977" s="35"/>
      <c r="AH1977" s="35"/>
      <c r="AI1977" s="35"/>
      <c r="AJ1977" s="35"/>
      <c r="AK1977" s="35"/>
      <c r="AL1977" s="35"/>
    </row>
    <row r="1978">
      <c r="A1978" s="133"/>
      <c r="B1978" s="19" t="s">
        <v>9393</v>
      </c>
      <c r="C1978" s="20" t="s">
        <v>9982</v>
      </c>
      <c r="D1978" s="47"/>
      <c r="E1978" s="174" t="s">
        <v>10024</v>
      </c>
      <c r="F1978" s="22" t="s">
        <v>6888</v>
      </c>
      <c r="G1978" s="174">
        <v>2024.0</v>
      </c>
      <c r="H1978" s="174" t="s">
        <v>10025</v>
      </c>
      <c r="I1978" s="175" t="s">
        <v>10026</v>
      </c>
      <c r="J1978" s="22" t="s">
        <v>125</v>
      </c>
      <c r="K1978" s="23"/>
      <c r="L1978" s="196" t="s">
        <v>10027</v>
      </c>
      <c r="U1978" s="255" t="s">
        <v>61</v>
      </c>
      <c r="V1978" s="251"/>
      <c r="W1978" s="49"/>
      <c r="X1978" s="49"/>
      <c r="Y1978" s="35"/>
      <c r="Z1978" s="35"/>
      <c r="AA1978" s="35"/>
      <c r="AB1978" s="35"/>
      <c r="AC1978" s="35"/>
      <c r="AD1978" s="35"/>
      <c r="AE1978" s="35"/>
      <c r="AF1978" s="35"/>
      <c r="AG1978" s="35"/>
      <c r="AH1978" s="35"/>
      <c r="AI1978" s="35"/>
      <c r="AJ1978" s="35"/>
      <c r="AK1978" s="35"/>
      <c r="AL1978" s="35"/>
    </row>
    <row r="1979">
      <c r="A1979" s="133"/>
      <c r="B1979" s="19" t="s">
        <v>9393</v>
      </c>
      <c r="C1979" s="20" t="s">
        <v>9982</v>
      </c>
      <c r="D1979" s="47"/>
      <c r="E1979" s="174" t="s">
        <v>10028</v>
      </c>
      <c r="F1979" s="22" t="s">
        <v>10029</v>
      </c>
      <c r="G1979" s="174">
        <v>2024.0</v>
      </c>
      <c r="H1979" s="174" t="s">
        <v>10030</v>
      </c>
      <c r="I1979" s="175" t="s">
        <v>10031</v>
      </c>
      <c r="J1979" s="23" t="s">
        <v>10032</v>
      </c>
      <c r="K1979" s="23" t="s">
        <v>294</v>
      </c>
      <c r="L1979" s="52" t="s">
        <v>10033</v>
      </c>
      <c r="M1979" s="52"/>
      <c r="N1979" s="52"/>
      <c r="O1979" s="52"/>
      <c r="P1979" s="189"/>
      <c r="Q1979" s="52"/>
      <c r="R1979" s="52"/>
      <c r="S1979" s="52"/>
      <c r="T1979" s="28" t="s">
        <v>10034</v>
      </c>
      <c r="U1979" s="255" t="s">
        <v>61</v>
      </c>
      <c r="V1979" s="251"/>
      <c r="W1979" s="49"/>
      <c r="X1979" s="49"/>
      <c r="Y1979" s="35"/>
      <c r="Z1979" s="35"/>
      <c r="AA1979" s="35"/>
      <c r="AB1979" s="35"/>
      <c r="AC1979" s="35"/>
      <c r="AD1979" s="35"/>
      <c r="AE1979" s="35"/>
      <c r="AF1979" s="35"/>
      <c r="AG1979" s="35"/>
      <c r="AH1979" s="35"/>
      <c r="AI1979" s="35"/>
      <c r="AJ1979" s="35"/>
      <c r="AK1979" s="35"/>
      <c r="AL1979" s="35"/>
    </row>
    <row r="1980">
      <c r="A1980" s="133"/>
      <c r="B1980" s="19" t="s">
        <v>9393</v>
      </c>
      <c r="C1980" s="20" t="s">
        <v>9982</v>
      </c>
      <c r="D1980" s="47"/>
      <c r="E1980" s="174" t="s">
        <v>10035</v>
      </c>
      <c r="F1980" s="22" t="s">
        <v>10029</v>
      </c>
      <c r="G1980" s="174">
        <v>2024.0</v>
      </c>
      <c r="H1980" s="174" t="s">
        <v>10030</v>
      </c>
      <c r="I1980" s="175" t="s">
        <v>10036</v>
      </c>
      <c r="J1980" s="22" t="s">
        <v>125</v>
      </c>
      <c r="K1980" s="23"/>
      <c r="L1980" s="132" t="s">
        <v>10037</v>
      </c>
      <c r="U1980" s="255" t="s">
        <v>61</v>
      </c>
      <c r="V1980" s="251"/>
      <c r="W1980" s="49"/>
      <c r="X1980" s="49"/>
      <c r="Y1980" s="35"/>
      <c r="Z1980" s="35"/>
      <c r="AA1980" s="35"/>
      <c r="AB1980" s="35"/>
      <c r="AC1980" s="35"/>
      <c r="AD1980" s="35"/>
      <c r="AE1980" s="35"/>
      <c r="AF1980" s="35"/>
      <c r="AG1980" s="35"/>
      <c r="AH1980" s="35"/>
      <c r="AI1980" s="35"/>
      <c r="AJ1980" s="35"/>
      <c r="AK1980" s="35"/>
      <c r="AL1980" s="35"/>
    </row>
    <row r="1981">
      <c r="A1981" s="133"/>
      <c r="B1981" s="19" t="s">
        <v>9393</v>
      </c>
      <c r="C1981" s="20" t="s">
        <v>9982</v>
      </c>
      <c r="D1981" s="47"/>
      <c r="E1981" s="174" t="s">
        <v>10038</v>
      </c>
      <c r="F1981" s="22" t="s">
        <v>10039</v>
      </c>
      <c r="G1981" s="174">
        <v>2024.0</v>
      </c>
      <c r="H1981" s="174" t="s">
        <v>9587</v>
      </c>
      <c r="I1981" s="175" t="s">
        <v>10040</v>
      </c>
      <c r="J1981" s="22" t="s">
        <v>1078</v>
      </c>
      <c r="K1981" s="23"/>
      <c r="L1981" s="132" t="s">
        <v>10041</v>
      </c>
      <c r="U1981" s="255" t="s">
        <v>61</v>
      </c>
      <c r="V1981" s="251"/>
      <c r="W1981" s="49"/>
      <c r="X1981" s="49"/>
      <c r="Y1981" s="35"/>
      <c r="Z1981" s="35"/>
      <c r="AA1981" s="35"/>
      <c r="AB1981" s="35"/>
      <c r="AC1981" s="35"/>
      <c r="AD1981" s="35"/>
      <c r="AE1981" s="35"/>
      <c r="AF1981" s="35"/>
      <c r="AG1981" s="35"/>
      <c r="AH1981" s="35"/>
      <c r="AI1981" s="35"/>
      <c r="AJ1981" s="35"/>
      <c r="AK1981" s="35"/>
      <c r="AL1981" s="35"/>
    </row>
    <row r="1982">
      <c r="A1982" s="133"/>
      <c r="B1982" s="19" t="s">
        <v>9393</v>
      </c>
      <c r="C1982" s="20" t="s">
        <v>9982</v>
      </c>
      <c r="D1982" s="47"/>
      <c r="E1982" s="174" t="s">
        <v>10042</v>
      </c>
      <c r="F1982" s="22" t="s">
        <v>9586</v>
      </c>
      <c r="G1982" s="174">
        <v>2024.0</v>
      </c>
      <c r="H1982" s="174" t="s">
        <v>1485</v>
      </c>
      <c r="I1982" s="175" t="s">
        <v>10043</v>
      </c>
      <c r="J1982" s="23" t="s">
        <v>10044</v>
      </c>
      <c r="K1982" s="23"/>
      <c r="L1982" s="52">
        <v>650.0</v>
      </c>
      <c r="M1982" s="52" t="s">
        <v>10045</v>
      </c>
      <c r="N1982" s="52"/>
      <c r="O1982" s="52"/>
      <c r="P1982" s="189"/>
      <c r="Q1982" s="52"/>
      <c r="R1982" s="52">
        <v>180.0</v>
      </c>
      <c r="S1982" s="52" t="s">
        <v>10046</v>
      </c>
      <c r="T1982" s="28" t="s">
        <v>10047</v>
      </c>
      <c r="U1982" s="255" t="s">
        <v>61</v>
      </c>
      <c r="V1982" s="251"/>
      <c r="W1982" s="49"/>
      <c r="X1982" s="49"/>
      <c r="Y1982" s="35"/>
      <c r="Z1982" s="35"/>
      <c r="AA1982" s="35"/>
      <c r="AB1982" s="35"/>
      <c r="AC1982" s="35"/>
      <c r="AD1982" s="35"/>
      <c r="AE1982" s="35"/>
      <c r="AF1982" s="35"/>
      <c r="AG1982" s="35"/>
      <c r="AH1982" s="35"/>
      <c r="AI1982" s="35"/>
      <c r="AJ1982" s="35"/>
      <c r="AK1982" s="35"/>
      <c r="AL1982" s="35"/>
    </row>
    <row r="1983">
      <c r="A1983" s="133"/>
      <c r="B1983" s="19" t="s">
        <v>9393</v>
      </c>
      <c r="C1983" s="20" t="s">
        <v>9982</v>
      </c>
      <c r="D1983" s="47"/>
      <c r="E1983" s="174" t="s">
        <v>10048</v>
      </c>
      <c r="F1983" s="22" t="s">
        <v>10049</v>
      </c>
      <c r="G1983" s="174">
        <v>2024.0</v>
      </c>
      <c r="H1983" s="174" t="s">
        <v>10050</v>
      </c>
      <c r="I1983" s="175" t="s">
        <v>10051</v>
      </c>
      <c r="J1983" s="22" t="s">
        <v>125</v>
      </c>
      <c r="K1983" s="23"/>
      <c r="L1983" s="53" t="s">
        <v>10052</v>
      </c>
      <c r="U1983" s="255" t="s">
        <v>61</v>
      </c>
      <c r="V1983" s="251"/>
      <c r="W1983" s="49"/>
      <c r="X1983" s="49"/>
      <c r="Y1983" s="35"/>
      <c r="Z1983" s="35"/>
      <c r="AA1983" s="35"/>
      <c r="AB1983" s="35"/>
      <c r="AC1983" s="35"/>
      <c r="AD1983" s="35"/>
      <c r="AE1983" s="35"/>
      <c r="AF1983" s="35"/>
      <c r="AG1983" s="35"/>
      <c r="AH1983" s="35"/>
      <c r="AI1983" s="35"/>
      <c r="AJ1983" s="35"/>
      <c r="AK1983" s="35"/>
      <c r="AL1983" s="35"/>
    </row>
    <row r="1984">
      <c r="A1984" s="133"/>
      <c r="B1984" s="19" t="s">
        <v>9393</v>
      </c>
      <c r="C1984" s="20" t="s">
        <v>9982</v>
      </c>
      <c r="D1984" s="47"/>
      <c r="E1984" s="174" t="s">
        <v>10053</v>
      </c>
      <c r="F1984" s="22" t="s">
        <v>1370</v>
      </c>
      <c r="G1984" s="174">
        <v>2023.0</v>
      </c>
      <c r="H1984" s="174" t="s">
        <v>9652</v>
      </c>
      <c r="I1984" s="175" t="s">
        <v>10054</v>
      </c>
      <c r="J1984" s="22" t="s">
        <v>1078</v>
      </c>
      <c r="K1984" s="23"/>
      <c r="L1984" s="173" t="s">
        <v>10055</v>
      </c>
      <c r="U1984" s="255" t="s">
        <v>61</v>
      </c>
      <c r="V1984" s="251"/>
      <c r="W1984" s="49"/>
      <c r="X1984" s="49"/>
      <c r="Y1984" s="35"/>
      <c r="Z1984" s="35"/>
      <c r="AA1984" s="35"/>
      <c r="AB1984" s="35"/>
      <c r="AC1984" s="35"/>
      <c r="AD1984" s="35"/>
      <c r="AE1984" s="35"/>
      <c r="AF1984" s="35"/>
      <c r="AG1984" s="35"/>
      <c r="AH1984" s="35"/>
      <c r="AI1984" s="35"/>
      <c r="AJ1984" s="35"/>
      <c r="AK1984" s="35"/>
      <c r="AL1984" s="35"/>
    </row>
    <row r="1985">
      <c r="A1985" s="133"/>
      <c r="B1985" s="19" t="s">
        <v>9393</v>
      </c>
      <c r="C1985" s="20" t="s">
        <v>9982</v>
      </c>
      <c r="D1985" s="47"/>
      <c r="E1985" s="174" t="s">
        <v>216</v>
      </c>
      <c r="F1985" s="22" t="s">
        <v>2437</v>
      </c>
      <c r="G1985" s="174">
        <v>2023.0</v>
      </c>
      <c r="H1985" s="174" t="s">
        <v>9415</v>
      </c>
      <c r="I1985" s="175" t="s">
        <v>10056</v>
      </c>
      <c r="J1985" s="23" t="s">
        <v>10057</v>
      </c>
      <c r="K1985" s="23"/>
      <c r="L1985" s="52">
        <v>650.0</v>
      </c>
      <c r="M1985" s="52"/>
      <c r="N1985" s="52"/>
      <c r="O1985" s="52"/>
      <c r="P1985" s="189"/>
      <c r="Q1985" s="52"/>
      <c r="R1985" s="52">
        <v>180.0</v>
      </c>
      <c r="S1985" s="52" t="s">
        <v>10058</v>
      </c>
      <c r="T1985" s="28" t="s">
        <v>10059</v>
      </c>
      <c r="U1985" s="255" t="s">
        <v>61</v>
      </c>
      <c r="V1985" s="251"/>
      <c r="W1985" s="49"/>
      <c r="X1985" s="49"/>
      <c r="Y1985" s="35"/>
      <c r="Z1985" s="35"/>
      <c r="AA1985" s="35"/>
      <c r="AB1985" s="35"/>
      <c r="AC1985" s="35"/>
      <c r="AD1985" s="35"/>
      <c r="AE1985" s="35"/>
      <c r="AF1985" s="35"/>
      <c r="AG1985" s="35"/>
      <c r="AH1985" s="35"/>
      <c r="AI1985" s="35"/>
      <c r="AJ1985" s="35"/>
      <c r="AK1985" s="35"/>
      <c r="AL1985" s="35"/>
    </row>
    <row r="1986">
      <c r="A1986" s="133"/>
      <c r="B1986" s="19" t="s">
        <v>9393</v>
      </c>
      <c r="C1986" s="20" t="s">
        <v>9982</v>
      </c>
      <c r="D1986" s="47"/>
      <c r="E1986" s="174" t="s">
        <v>205</v>
      </c>
      <c r="F1986" s="22" t="s">
        <v>10060</v>
      </c>
      <c r="G1986" s="174">
        <v>2023.0</v>
      </c>
      <c r="H1986" s="174" t="s">
        <v>9718</v>
      </c>
      <c r="I1986" s="175" t="s">
        <v>10061</v>
      </c>
      <c r="J1986" s="22" t="s">
        <v>1078</v>
      </c>
      <c r="K1986" s="23"/>
      <c r="L1986" s="202" t="s">
        <v>10062</v>
      </c>
      <c r="U1986" s="255" t="s">
        <v>61</v>
      </c>
      <c r="V1986" s="251"/>
      <c r="W1986" s="49"/>
      <c r="X1986" s="49"/>
      <c r="Y1986" s="35"/>
      <c r="Z1986" s="35"/>
      <c r="AA1986" s="35"/>
      <c r="AB1986" s="35"/>
      <c r="AC1986" s="35"/>
      <c r="AD1986" s="35"/>
      <c r="AE1986" s="35"/>
      <c r="AF1986" s="35"/>
      <c r="AG1986" s="35"/>
      <c r="AH1986" s="35"/>
      <c r="AI1986" s="35"/>
      <c r="AJ1986" s="35"/>
      <c r="AK1986" s="35"/>
      <c r="AL1986" s="35"/>
    </row>
    <row r="1987">
      <c r="A1987" s="133"/>
      <c r="B1987" s="19" t="s">
        <v>9393</v>
      </c>
      <c r="C1987" s="20" t="s">
        <v>9982</v>
      </c>
      <c r="D1987" s="47"/>
      <c r="E1987" s="174" t="s">
        <v>10063</v>
      </c>
      <c r="F1987" s="22" t="s">
        <v>1370</v>
      </c>
      <c r="G1987" s="174">
        <v>2023.0</v>
      </c>
      <c r="H1987" s="174" t="s">
        <v>2826</v>
      </c>
      <c r="I1987" s="175" t="s">
        <v>10064</v>
      </c>
      <c r="J1987" s="22" t="s">
        <v>10065</v>
      </c>
      <c r="K1987" s="23"/>
      <c r="L1987" s="132" t="s">
        <v>10066</v>
      </c>
      <c r="U1987" s="255" t="s">
        <v>61</v>
      </c>
      <c r="V1987" s="251"/>
      <c r="W1987" s="49"/>
      <c r="X1987" s="49"/>
      <c r="Y1987" s="35"/>
      <c r="Z1987" s="35"/>
      <c r="AA1987" s="35"/>
      <c r="AB1987" s="35"/>
      <c r="AC1987" s="35"/>
      <c r="AD1987" s="35"/>
      <c r="AE1987" s="35"/>
      <c r="AF1987" s="35"/>
      <c r="AG1987" s="35"/>
      <c r="AH1987" s="35"/>
      <c r="AI1987" s="35"/>
      <c r="AJ1987" s="35"/>
      <c r="AK1987" s="35"/>
      <c r="AL1987" s="35"/>
    </row>
    <row r="1988">
      <c r="A1988" s="133"/>
      <c r="B1988" s="19" t="s">
        <v>9393</v>
      </c>
      <c r="C1988" s="20" t="s">
        <v>9982</v>
      </c>
      <c r="D1988" s="47"/>
      <c r="E1988" s="174" t="s">
        <v>10067</v>
      </c>
      <c r="F1988" s="22" t="s">
        <v>2161</v>
      </c>
      <c r="G1988" s="174">
        <v>2023.0</v>
      </c>
      <c r="H1988" s="174" t="s">
        <v>10068</v>
      </c>
      <c r="I1988" s="175" t="s">
        <v>10069</v>
      </c>
      <c r="J1988" s="22" t="s">
        <v>125</v>
      </c>
      <c r="K1988" s="23"/>
      <c r="L1988" s="132" t="s">
        <v>10070</v>
      </c>
      <c r="U1988" s="255" t="s">
        <v>61</v>
      </c>
      <c r="V1988" s="251"/>
      <c r="W1988" s="49"/>
      <c r="X1988" s="49"/>
      <c r="Y1988" s="35"/>
      <c r="Z1988" s="35"/>
      <c r="AA1988" s="35"/>
      <c r="AB1988" s="35"/>
      <c r="AC1988" s="35"/>
      <c r="AD1988" s="35"/>
      <c r="AE1988" s="35"/>
      <c r="AF1988" s="35"/>
      <c r="AG1988" s="35"/>
      <c r="AH1988" s="35"/>
      <c r="AI1988" s="35"/>
      <c r="AJ1988" s="35"/>
      <c r="AK1988" s="35"/>
      <c r="AL1988" s="35"/>
    </row>
    <row r="1989">
      <c r="A1989" s="133"/>
      <c r="B1989" s="19" t="s">
        <v>9393</v>
      </c>
      <c r="C1989" s="20" t="s">
        <v>9982</v>
      </c>
      <c r="D1989" s="47"/>
      <c r="E1989" s="174" t="s">
        <v>10071</v>
      </c>
      <c r="F1989" s="22" t="s">
        <v>10072</v>
      </c>
      <c r="G1989" s="174">
        <v>2023.0</v>
      </c>
      <c r="H1989" s="174" t="s">
        <v>8884</v>
      </c>
      <c r="I1989" s="175" t="s">
        <v>10073</v>
      </c>
      <c r="J1989" s="22" t="s">
        <v>125</v>
      </c>
      <c r="K1989" s="23"/>
      <c r="L1989" s="132" t="s">
        <v>10074</v>
      </c>
      <c r="U1989" s="255" t="s">
        <v>61</v>
      </c>
      <c r="V1989" s="251"/>
      <c r="W1989" s="49"/>
      <c r="X1989" s="49"/>
      <c r="Y1989" s="35"/>
      <c r="Z1989" s="35"/>
      <c r="AA1989" s="35"/>
      <c r="AB1989" s="35"/>
      <c r="AC1989" s="35"/>
      <c r="AD1989" s="35"/>
      <c r="AE1989" s="35"/>
      <c r="AF1989" s="35"/>
      <c r="AG1989" s="35"/>
      <c r="AH1989" s="35"/>
      <c r="AI1989" s="35"/>
      <c r="AJ1989" s="35"/>
      <c r="AK1989" s="35"/>
      <c r="AL1989" s="35"/>
    </row>
    <row r="1990">
      <c r="A1990" s="133"/>
      <c r="B1990" s="19" t="s">
        <v>9393</v>
      </c>
      <c r="C1990" s="20" t="s">
        <v>9982</v>
      </c>
      <c r="D1990" s="47"/>
      <c r="E1990" s="174" t="s">
        <v>1767</v>
      </c>
      <c r="F1990" s="22" t="s">
        <v>65</v>
      </c>
      <c r="G1990" s="174">
        <v>2023.0</v>
      </c>
      <c r="H1990" s="174" t="s">
        <v>10075</v>
      </c>
      <c r="I1990" s="175" t="s">
        <v>10076</v>
      </c>
      <c r="J1990" s="23" t="s">
        <v>10077</v>
      </c>
      <c r="K1990" s="23"/>
      <c r="L1990" s="36"/>
      <c r="M1990" s="36"/>
      <c r="N1990" s="36"/>
      <c r="O1990" s="36"/>
      <c r="P1990" s="37"/>
      <c r="Q1990" s="36"/>
      <c r="R1990" s="36"/>
      <c r="S1990" s="36"/>
      <c r="T1990" s="28" t="s">
        <v>10078</v>
      </c>
      <c r="U1990" s="255" t="s">
        <v>61</v>
      </c>
      <c r="V1990" s="251"/>
      <c r="W1990" s="49"/>
      <c r="X1990" s="49"/>
      <c r="Y1990" s="35"/>
      <c r="Z1990" s="35"/>
      <c r="AA1990" s="35"/>
      <c r="AB1990" s="35"/>
      <c r="AC1990" s="35"/>
      <c r="AD1990" s="35"/>
      <c r="AE1990" s="35"/>
      <c r="AF1990" s="35"/>
      <c r="AG1990" s="35"/>
      <c r="AH1990" s="35"/>
      <c r="AI1990" s="35"/>
      <c r="AJ1990" s="35"/>
      <c r="AK1990" s="35"/>
      <c r="AL1990" s="35"/>
    </row>
    <row r="1991">
      <c r="A1991" s="242"/>
      <c r="B1991" s="19" t="s">
        <v>9393</v>
      </c>
      <c r="C1991" s="20" t="s">
        <v>9982</v>
      </c>
      <c r="D1991" s="47"/>
      <c r="E1991" s="174" t="s">
        <v>1921</v>
      </c>
      <c r="F1991" s="23" t="s">
        <v>1968</v>
      </c>
      <c r="G1991" s="174">
        <v>2023.0</v>
      </c>
      <c r="H1991" s="174" t="s">
        <v>251</v>
      </c>
      <c r="I1991" s="175" t="s">
        <v>10079</v>
      </c>
      <c r="J1991" s="22" t="s">
        <v>125</v>
      </c>
      <c r="K1991" s="23"/>
      <c r="L1991" s="105" t="s">
        <v>10080</v>
      </c>
      <c r="M1991" s="44"/>
      <c r="N1991" s="44"/>
      <c r="O1991" s="44"/>
      <c r="P1991" s="44"/>
      <c r="Q1991" s="44"/>
      <c r="R1991" s="44"/>
      <c r="S1991" s="44"/>
      <c r="T1991" s="45"/>
      <c r="U1991" s="255" t="s">
        <v>61</v>
      </c>
      <c r="V1991" s="251"/>
      <c r="W1991" s="49"/>
      <c r="X1991" s="49"/>
      <c r="Y1991" s="35"/>
      <c r="Z1991" s="35"/>
      <c r="AA1991" s="35"/>
      <c r="AB1991" s="35"/>
      <c r="AC1991" s="35"/>
      <c r="AD1991" s="35"/>
      <c r="AE1991" s="35"/>
      <c r="AF1991" s="35"/>
      <c r="AG1991" s="35"/>
      <c r="AH1991" s="35"/>
      <c r="AI1991" s="35"/>
      <c r="AJ1991" s="35"/>
      <c r="AK1991" s="35"/>
      <c r="AL1991" s="35"/>
    </row>
    <row r="1992">
      <c r="A1992" s="133"/>
      <c r="B1992" s="19" t="s">
        <v>9393</v>
      </c>
      <c r="C1992" s="20" t="s">
        <v>9982</v>
      </c>
      <c r="D1992" s="47"/>
      <c r="E1992" s="174" t="s">
        <v>2755</v>
      </c>
      <c r="F1992" s="22" t="s">
        <v>2833</v>
      </c>
      <c r="G1992" s="174">
        <v>2023.0</v>
      </c>
      <c r="H1992" s="174" t="s">
        <v>9994</v>
      </c>
      <c r="I1992" s="175" t="s">
        <v>10081</v>
      </c>
      <c r="J1992" s="23" t="s">
        <v>10082</v>
      </c>
      <c r="K1992" s="23" t="s">
        <v>1112</v>
      </c>
      <c r="L1992" s="36">
        <v>650.0</v>
      </c>
      <c r="M1992" s="36" t="s">
        <v>10083</v>
      </c>
      <c r="N1992" s="36" t="s">
        <v>58</v>
      </c>
      <c r="O1992" s="36" t="s">
        <v>58</v>
      </c>
      <c r="P1992" s="37" t="s">
        <v>58</v>
      </c>
      <c r="Q1992" s="36" t="s">
        <v>58</v>
      </c>
      <c r="R1992" s="36" t="s">
        <v>9988</v>
      </c>
      <c r="S1992" s="36" t="s">
        <v>10084</v>
      </c>
      <c r="T1992" s="28" t="s">
        <v>10085</v>
      </c>
      <c r="U1992" s="255" t="s">
        <v>61</v>
      </c>
      <c r="V1992" s="251" t="s">
        <v>10086</v>
      </c>
      <c r="W1992" s="49"/>
      <c r="X1992" s="49"/>
      <c r="Y1992" s="35"/>
      <c r="Z1992" s="35"/>
      <c r="AA1992" s="35"/>
      <c r="AB1992" s="35"/>
      <c r="AC1992" s="35"/>
      <c r="AD1992" s="35"/>
      <c r="AE1992" s="35"/>
      <c r="AF1992" s="35"/>
      <c r="AG1992" s="35"/>
      <c r="AH1992" s="35"/>
      <c r="AI1992" s="35"/>
      <c r="AJ1992" s="35"/>
      <c r="AK1992" s="35"/>
      <c r="AL1992" s="35"/>
    </row>
    <row r="1993">
      <c r="A1993" s="242"/>
      <c r="B1993" s="19" t="s">
        <v>9393</v>
      </c>
      <c r="C1993" s="20" t="s">
        <v>9982</v>
      </c>
      <c r="D1993" s="47"/>
      <c r="E1993" s="174" t="s">
        <v>626</v>
      </c>
      <c r="F1993" s="23" t="s">
        <v>4296</v>
      </c>
      <c r="G1993" s="174">
        <v>2023.0</v>
      </c>
      <c r="H1993" s="174" t="s">
        <v>9749</v>
      </c>
      <c r="I1993" s="175" t="s">
        <v>10087</v>
      </c>
      <c r="J1993" s="22" t="s">
        <v>1078</v>
      </c>
      <c r="K1993" s="23"/>
      <c r="L1993" s="105" t="s">
        <v>10088</v>
      </c>
      <c r="M1993" s="44"/>
      <c r="N1993" s="44"/>
      <c r="O1993" s="44"/>
      <c r="P1993" s="44"/>
      <c r="Q1993" s="44"/>
      <c r="R1993" s="44"/>
      <c r="S1993" s="44"/>
      <c r="T1993" s="45"/>
      <c r="U1993" s="255" t="s">
        <v>61</v>
      </c>
      <c r="V1993" s="251"/>
      <c r="W1993" s="49"/>
      <c r="X1993" s="49"/>
      <c r="Y1993" s="35"/>
      <c r="Z1993" s="35"/>
      <c r="AA1993" s="35"/>
      <c r="AB1993" s="35"/>
      <c r="AC1993" s="35"/>
      <c r="AD1993" s="35"/>
      <c r="AE1993" s="35"/>
      <c r="AF1993" s="35"/>
      <c r="AG1993" s="35"/>
      <c r="AH1993" s="35"/>
      <c r="AI1993" s="35"/>
      <c r="AJ1993" s="35"/>
      <c r="AK1993" s="35"/>
      <c r="AL1993" s="35"/>
    </row>
    <row r="1994">
      <c r="A1994" s="242"/>
      <c r="B1994" s="19" t="s">
        <v>9393</v>
      </c>
      <c r="C1994" s="20" t="s">
        <v>9982</v>
      </c>
      <c r="D1994" s="47"/>
      <c r="E1994" s="174" t="s">
        <v>10089</v>
      </c>
      <c r="F1994" s="23" t="s">
        <v>7910</v>
      </c>
      <c r="G1994" s="174">
        <v>2023.0</v>
      </c>
      <c r="H1994" s="174" t="s">
        <v>9396</v>
      </c>
      <c r="I1994" s="175" t="s">
        <v>10090</v>
      </c>
      <c r="J1994" s="23" t="s">
        <v>10091</v>
      </c>
      <c r="K1994" s="23"/>
      <c r="L1994" s="36" t="s">
        <v>10092</v>
      </c>
      <c r="M1994" s="36"/>
      <c r="N1994" s="36"/>
      <c r="O1994" s="36"/>
      <c r="P1994" s="37"/>
      <c r="Q1994" s="36"/>
      <c r="R1994" s="36"/>
      <c r="S1994" s="36"/>
      <c r="T1994" s="54" t="s">
        <v>10093</v>
      </c>
      <c r="U1994" s="255" t="s">
        <v>61</v>
      </c>
      <c r="V1994" s="251"/>
      <c r="W1994" s="49"/>
      <c r="X1994" s="49"/>
      <c r="Y1994" s="35"/>
      <c r="Z1994" s="35"/>
      <c r="AA1994" s="35"/>
      <c r="AB1994" s="35"/>
      <c r="AC1994" s="35"/>
      <c r="AD1994" s="35"/>
      <c r="AE1994" s="35"/>
      <c r="AF1994" s="35"/>
      <c r="AG1994" s="35"/>
      <c r="AH1994" s="35"/>
      <c r="AI1994" s="35"/>
      <c r="AJ1994" s="35"/>
      <c r="AK1994" s="35"/>
      <c r="AL1994" s="35"/>
    </row>
    <row r="1995">
      <c r="A1995" s="242"/>
      <c r="B1995" s="19" t="s">
        <v>9393</v>
      </c>
      <c r="C1995" s="20" t="s">
        <v>9982</v>
      </c>
      <c r="D1995" s="47"/>
      <c r="E1995" s="174" t="s">
        <v>10094</v>
      </c>
      <c r="F1995" s="23" t="s">
        <v>7910</v>
      </c>
      <c r="G1995" s="174">
        <v>2023.0</v>
      </c>
      <c r="H1995" s="174" t="s">
        <v>10030</v>
      </c>
      <c r="I1995" s="175" t="s">
        <v>10095</v>
      </c>
      <c r="J1995" s="23" t="s">
        <v>10091</v>
      </c>
      <c r="K1995" s="23"/>
      <c r="L1995" s="36"/>
      <c r="M1995" s="36"/>
      <c r="N1995" s="36"/>
      <c r="O1995" s="36"/>
      <c r="P1995" s="37"/>
      <c r="Q1995" s="36"/>
      <c r="R1995" s="36"/>
      <c r="S1995" s="36"/>
      <c r="T1995" s="54" t="s">
        <v>10096</v>
      </c>
      <c r="U1995" s="255" t="s">
        <v>61</v>
      </c>
      <c r="V1995" s="251"/>
      <c r="W1995" s="49"/>
      <c r="X1995" s="49"/>
      <c r="Y1995" s="35"/>
      <c r="Z1995" s="35"/>
      <c r="AA1995" s="35"/>
      <c r="AB1995" s="35"/>
      <c r="AC1995" s="35"/>
      <c r="AD1995" s="35"/>
      <c r="AE1995" s="35"/>
      <c r="AF1995" s="35"/>
      <c r="AG1995" s="35"/>
      <c r="AH1995" s="35"/>
      <c r="AI1995" s="35"/>
      <c r="AJ1995" s="35"/>
      <c r="AK1995" s="35"/>
      <c r="AL1995" s="35"/>
    </row>
    <row r="1996">
      <c r="A1996" s="242"/>
      <c r="B1996" s="19" t="s">
        <v>9393</v>
      </c>
      <c r="C1996" s="20" t="s">
        <v>9982</v>
      </c>
      <c r="D1996" s="47"/>
      <c r="E1996" s="174" t="s">
        <v>3159</v>
      </c>
      <c r="F1996" s="23" t="s">
        <v>65</v>
      </c>
      <c r="G1996" s="174">
        <v>2023.0</v>
      </c>
      <c r="H1996" s="174" t="s">
        <v>10030</v>
      </c>
      <c r="I1996" s="175" t="s">
        <v>10097</v>
      </c>
      <c r="J1996" s="23" t="s">
        <v>10098</v>
      </c>
      <c r="K1996" s="23"/>
      <c r="L1996" s="36">
        <v>650.0</v>
      </c>
      <c r="M1996" s="36">
        <v>2.0</v>
      </c>
      <c r="N1996" s="36"/>
      <c r="O1996" s="36"/>
      <c r="P1996" s="37"/>
      <c r="Q1996" s="36"/>
      <c r="R1996" s="36" t="s">
        <v>10099</v>
      </c>
      <c r="S1996" s="36" t="s">
        <v>10100</v>
      </c>
      <c r="T1996" s="54" t="s">
        <v>10101</v>
      </c>
      <c r="U1996" s="255" t="s">
        <v>61</v>
      </c>
      <c r="V1996" s="251"/>
      <c r="W1996" s="49"/>
      <c r="X1996" s="49"/>
      <c r="Y1996" s="35"/>
      <c r="Z1996" s="35"/>
      <c r="AA1996" s="35"/>
      <c r="AB1996" s="35"/>
      <c r="AC1996" s="35"/>
      <c r="AD1996" s="35"/>
      <c r="AE1996" s="35"/>
      <c r="AF1996" s="35"/>
      <c r="AG1996" s="35"/>
      <c r="AH1996" s="35"/>
      <c r="AI1996" s="35"/>
      <c r="AJ1996" s="35"/>
      <c r="AK1996" s="35"/>
      <c r="AL1996" s="35"/>
    </row>
    <row r="1997">
      <c r="A1997" s="242"/>
      <c r="B1997" s="19" t="s">
        <v>9393</v>
      </c>
      <c r="C1997" s="20" t="s">
        <v>9982</v>
      </c>
      <c r="D1997" s="47"/>
      <c r="E1997" s="174" t="s">
        <v>2884</v>
      </c>
      <c r="F1997" s="23" t="s">
        <v>65</v>
      </c>
      <c r="G1997" s="174">
        <v>2023.0</v>
      </c>
      <c r="H1997" s="174" t="s">
        <v>10102</v>
      </c>
      <c r="I1997" s="175" t="s">
        <v>10103</v>
      </c>
      <c r="J1997" s="23" t="s">
        <v>10104</v>
      </c>
      <c r="K1997" s="23"/>
      <c r="L1997" s="36"/>
      <c r="M1997" s="36"/>
      <c r="N1997" s="36"/>
      <c r="O1997" s="36"/>
      <c r="P1997" s="37"/>
      <c r="Q1997" s="36"/>
      <c r="R1997" s="36"/>
      <c r="S1997" s="36"/>
      <c r="T1997" s="54" t="s">
        <v>10105</v>
      </c>
      <c r="U1997" s="255" t="s">
        <v>61</v>
      </c>
      <c r="V1997" s="251"/>
      <c r="W1997" s="49"/>
      <c r="X1997" s="49"/>
      <c r="Y1997" s="35"/>
      <c r="Z1997" s="35"/>
      <c r="AA1997" s="35"/>
      <c r="AB1997" s="35"/>
      <c r="AC1997" s="35"/>
      <c r="AD1997" s="35"/>
      <c r="AE1997" s="35"/>
      <c r="AF1997" s="35"/>
      <c r="AG1997" s="35"/>
      <c r="AH1997" s="35"/>
      <c r="AI1997" s="35"/>
      <c r="AJ1997" s="35"/>
      <c r="AK1997" s="35"/>
      <c r="AL1997" s="35"/>
    </row>
    <row r="1998">
      <c r="A1998" s="242"/>
      <c r="B1998" s="19" t="s">
        <v>9393</v>
      </c>
      <c r="C1998" s="20" t="s">
        <v>9982</v>
      </c>
      <c r="D1998" s="47"/>
      <c r="E1998" s="174" t="s">
        <v>10106</v>
      </c>
      <c r="F1998" s="23" t="s">
        <v>2196</v>
      </c>
      <c r="G1998" s="174">
        <v>2023.0</v>
      </c>
      <c r="H1998" s="174" t="s">
        <v>2826</v>
      </c>
      <c r="I1998" s="175" t="s">
        <v>10107</v>
      </c>
      <c r="J1998" s="23" t="s">
        <v>10108</v>
      </c>
      <c r="K1998" s="23"/>
      <c r="L1998" s="36">
        <v>650.0</v>
      </c>
      <c r="M1998" s="36"/>
      <c r="N1998" s="36"/>
      <c r="O1998" s="36"/>
      <c r="P1998" s="37"/>
      <c r="Q1998" s="36"/>
      <c r="R1998" s="36"/>
      <c r="S1998" s="36"/>
      <c r="T1998" s="54" t="s">
        <v>10109</v>
      </c>
      <c r="U1998" s="255" t="s">
        <v>61</v>
      </c>
      <c r="V1998" s="251"/>
      <c r="W1998" s="49"/>
      <c r="X1998" s="49"/>
      <c r="Y1998" s="35"/>
      <c r="Z1998" s="35"/>
      <c r="AA1998" s="35"/>
      <c r="AB1998" s="35"/>
      <c r="AC1998" s="35"/>
      <c r="AD1998" s="35"/>
      <c r="AE1998" s="35"/>
      <c r="AF1998" s="35"/>
      <c r="AG1998" s="35"/>
      <c r="AH1998" s="35"/>
      <c r="AI1998" s="35"/>
      <c r="AJ1998" s="35"/>
      <c r="AK1998" s="35"/>
      <c r="AL1998" s="35"/>
    </row>
    <row r="1999">
      <c r="A1999" s="242"/>
      <c r="B1999" s="19" t="s">
        <v>9393</v>
      </c>
      <c r="C1999" s="20" t="s">
        <v>9982</v>
      </c>
      <c r="D1999" s="47"/>
      <c r="E1999" s="174" t="s">
        <v>1767</v>
      </c>
      <c r="F1999" s="23" t="s">
        <v>3936</v>
      </c>
      <c r="G1999" s="174">
        <v>2023.0</v>
      </c>
      <c r="H1999" s="174" t="s">
        <v>10110</v>
      </c>
      <c r="I1999" s="175" t="s">
        <v>10111</v>
      </c>
      <c r="J1999" s="23" t="s">
        <v>1078</v>
      </c>
      <c r="K1999" s="23"/>
      <c r="L1999" s="43" t="s">
        <v>10112</v>
      </c>
      <c r="M1999" s="44"/>
      <c r="N1999" s="44"/>
      <c r="O1999" s="44"/>
      <c r="P1999" s="44"/>
      <c r="Q1999" s="44"/>
      <c r="R1999" s="44"/>
      <c r="S1999" s="44"/>
      <c r="T1999" s="45"/>
      <c r="U1999" s="255" t="s">
        <v>61</v>
      </c>
      <c r="V1999" s="251"/>
      <c r="W1999" s="49"/>
      <c r="X1999" s="49"/>
      <c r="Y1999" s="35"/>
      <c r="Z1999" s="35"/>
      <c r="AA1999" s="35"/>
      <c r="AB1999" s="35"/>
      <c r="AC1999" s="35"/>
      <c r="AD1999" s="35"/>
      <c r="AE1999" s="35"/>
      <c r="AF1999" s="35"/>
      <c r="AG1999" s="35"/>
      <c r="AH1999" s="35"/>
      <c r="AI1999" s="35"/>
      <c r="AJ1999" s="35"/>
      <c r="AK1999" s="35"/>
      <c r="AL1999" s="35"/>
    </row>
    <row r="2000">
      <c r="A2000" s="242"/>
      <c r="B2000" s="19" t="s">
        <v>9393</v>
      </c>
      <c r="C2000" s="20" t="s">
        <v>9982</v>
      </c>
      <c r="D2000" s="47"/>
      <c r="E2000" s="174" t="s">
        <v>626</v>
      </c>
      <c r="F2000" s="23" t="s">
        <v>65</v>
      </c>
      <c r="G2000" s="174">
        <v>2023.0</v>
      </c>
      <c r="H2000" s="174" t="s">
        <v>9415</v>
      </c>
      <c r="I2000" s="175" t="s">
        <v>10113</v>
      </c>
      <c r="J2000" s="23" t="s">
        <v>10114</v>
      </c>
      <c r="K2000" s="23"/>
      <c r="L2000" s="36"/>
      <c r="M2000" s="36"/>
      <c r="N2000" s="36"/>
      <c r="O2000" s="36"/>
      <c r="P2000" s="37"/>
      <c r="Q2000" s="36"/>
      <c r="R2000" s="36"/>
      <c r="S2000" s="36"/>
      <c r="T2000" s="252" t="s">
        <v>10115</v>
      </c>
      <c r="U2000" s="255" t="s">
        <v>61</v>
      </c>
      <c r="V2000" s="251"/>
      <c r="W2000" s="49"/>
      <c r="X2000" s="49"/>
      <c r="Y2000" s="35"/>
      <c r="Z2000" s="35"/>
      <c r="AA2000" s="35"/>
      <c r="AB2000" s="35"/>
      <c r="AC2000" s="35"/>
      <c r="AD2000" s="35"/>
      <c r="AE2000" s="35"/>
      <c r="AF2000" s="35"/>
      <c r="AG2000" s="35"/>
      <c r="AH2000" s="35"/>
      <c r="AI2000" s="35"/>
      <c r="AJ2000" s="35"/>
      <c r="AK2000" s="35"/>
      <c r="AL2000" s="35"/>
    </row>
    <row r="2001">
      <c r="A2001" s="242"/>
      <c r="B2001" s="19" t="s">
        <v>9393</v>
      </c>
      <c r="C2001" s="20" t="s">
        <v>9982</v>
      </c>
      <c r="D2001" s="47"/>
      <c r="E2001" s="174" t="s">
        <v>2783</v>
      </c>
      <c r="F2001" s="23" t="s">
        <v>10116</v>
      </c>
      <c r="G2001" s="174">
        <v>2023.0</v>
      </c>
      <c r="H2001" s="174" t="s">
        <v>10117</v>
      </c>
      <c r="I2001" s="175" t="s">
        <v>10118</v>
      </c>
      <c r="J2001" s="23" t="s">
        <v>10119</v>
      </c>
      <c r="K2001" s="23" t="s">
        <v>10120</v>
      </c>
      <c r="L2001" s="36">
        <v>650.0</v>
      </c>
      <c r="M2001" s="36"/>
      <c r="N2001" s="36"/>
      <c r="O2001" s="36"/>
      <c r="P2001" s="37"/>
      <c r="Q2001" s="36"/>
      <c r="R2001" s="36"/>
      <c r="S2001" s="36"/>
      <c r="T2001" s="252" t="s">
        <v>10121</v>
      </c>
      <c r="U2001" s="255" t="s">
        <v>61</v>
      </c>
      <c r="V2001" s="251"/>
      <c r="W2001" s="49"/>
      <c r="X2001" s="49"/>
      <c r="Y2001" s="35"/>
      <c r="Z2001" s="35"/>
      <c r="AA2001" s="35"/>
      <c r="AB2001" s="35"/>
      <c r="AC2001" s="35"/>
      <c r="AD2001" s="35"/>
      <c r="AE2001" s="35"/>
      <c r="AF2001" s="35"/>
      <c r="AG2001" s="35"/>
      <c r="AH2001" s="35"/>
      <c r="AI2001" s="35"/>
      <c r="AJ2001" s="35"/>
      <c r="AK2001" s="35"/>
      <c r="AL2001" s="35"/>
    </row>
    <row r="2002">
      <c r="A2002" s="242"/>
      <c r="B2002" s="19" t="s">
        <v>9393</v>
      </c>
      <c r="C2002" s="20" t="s">
        <v>9982</v>
      </c>
      <c r="D2002" s="47"/>
      <c r="E2002" s="174" t="s">
        <v>2755</v>
      </c>
      <c r="F2002" s="23" t="s">
        <v>10122</v>
      </c>
      <c r="G2002" s="174">
        <v>2023.0</v>
      </c>
      <c r="H2002" s="174" t="s">
        <v>2181</v>
      </c>
      <c r="I2002" s="175" t="s">
        <v>10123</v>
      </c>
      <c r="J2002" s="23" t="s">
        <v>10124</v>
      </c>
      <c r="K2002" s="23"/>
      <c r="L2002" s="36">
        <v>650.0</v>
      </c>
      <c r="M2002" s="36"/>
      <c r="N2002" s="36" t="s">
        <v>10125</v>
      </c>
      <c r="O2002" s="36"/>
      <c r="P2002" s="37"/>
      <c r="Q2002" s="36"/>
      <c r="R2002" s="36" t="s">
        <v>9988</v>
      </c>
      <c r="S2002" s="36" t="s">
        <v>10126</v>
      </c>
      <c r="T2002" s="252" t="s">
        <v>10127</v>
      </c>
      <c r="U2002" s="255" t="s">
        <v>61</v>
      </c>
      <c r="V2002" s="251"/>
      <c r="W2002" s="49"/>
      <c r="X2002" s="49"/>
      <c r="Y2002" s="35"/>
      <c r="Z2002" s="35"/>
      <c r="AA2002" s="35"/>
      <c r="AB2002" s="35"/>
      <c r="AC2002" s="35"/>
      <c r="AD2002" s="35"/>
      <c r="AE2002" s="35"/>
      <c r="AF2002" s="35"/>
      <c r="AG2002" s="35"/>
      <c r="AH2002" s="35"/>
      <c r="AI2002" s="35"/>
      <c r="AJ2002" s="35"/>
      <c r="AK2002" s="35"/>
      <c r="AL2002" s="35"/>
    </row>
    <row r="2003">
      <c r="A2003" s="242"/>
      <c r="B2003" s="19" t="s">
        <v>9393</v>
      </c>
      <c r="C2003" s="20" t="s">
        <v>9982</v>
      </c>
      <c r="D2003" s="47"/>
      <c r="E2003" s="174" t="s">
        <v>1694</v>
      </c>
      <c r="F2003" s="23" t="s">
        <v>1398</v>
      </c>
      <c r="G2003" s="174">
        <v>2023.0</v>
      </c>
      <c r="H2003" s="174" t="s">
        <v>9396</v>
      </c>
      <c r="I2003" s="175" t="s">
        <v>10128</v>
      </c>
      <c r="J2003" s="23" t="s">
        <v>44</v>
      </c>
      <c r="K2003" s="23" t="s">
        <v>10129</v>
      </c>
      <c r="L2003" s="36" t="s">
        <v>10130</v>
      </c>
      <c r="M2003" s="36"/>
      <c r="N2003" s="36"/>
      <c r="O2003" s="36"/>
      <c r="P2003" s="37"/>
      <c r="Q2003" s="36"/>
      <c r="R2003" s="36"/>
      <c r="S2003" s="36"/>
      <c r="T2003" s="252" t="s">
        <v>10131</v>
      </c>
      <c r="U2003" s="255" t="s">
        <v>61</v>
      </c>
      <c r="V2003" s="251"/>
      <c r="W2003" s="49"/>
      <c r="X2003" s="49"/>
      <c r="Y2003" s="35"/>
      <c r="Z2003" s="35"/>
      <c r="AA2003" s="35"/>
      <c r="AB2003" s="35"/>
      <c r="AC2003" s="35"/>
      <c r="AD2003" s="35"/>
      <c r="AE2003" s="35"/>
      <c r="AF2003" s="35"/>
      <c r="AG2003" s="35"/>
      <c r="AH2003" s="35"/>
      <c r="AI2003" s="35"/>
      <c r="AJ2003" s="35"/>
      <c r="AK2003" s="35"/>
      <c r="AL2003" s="35"/>
    </row>
    <row r="2004">
      <c r="A2004" s="242"/>
      <c r="B2004" s="19" t="s">
        <v>9393</v>
      </c>
      <c r="C2004" s="20" t="s">
        <v>9982</v>
      </c>
      <c r="D2004" s="47"/>
      <c r="E2004" s="174" t="s">
        <v>216</v>
      </c>
      <c r="F2004" s="23" t="s">
        <v>2437</v>
      </c>
      <c r="G2004" s="174">
        <v>2022.0</v>
      </c>
      <c r="H2004" s="174" t="s">
        <v>3963</v>
      </c>
      <c r="I2004" s="175" t="s">
        <v>10132</v>
      </c>
      <c r="J2004" s="23" t="s">
        <v>10133</v>
      </c>
      <c r="K2004" s="23" t="s">
        <v>10134</v>
      </c>
      <c r="L2004" s="36">
        <v>650.0</v>
      </c>
      <c r="M2004" s="36"/>
      <c r="N2004" s="36"/>
      <c r="O2004" s="36"/>
      <c r="P2004" s="37"/>
      <c r="Q2004" s="36"/>
      <c r="R2004" s="36">
        <v>180.0</v>
      </c>
      <c r="S2004" s="36" t="s">
        <v>10135</v>
      </c>
      <c r="T2004" s="252" t="s">
        <v>10136</v>
      </c>
      <c r="U2004" s="255" t="s">
        <v>61</v>
      </c>
      <c r="V2004" s="251"/>
      <c r="W2004" s="49"/>
      <c r="X2004" s="49"/>
      <c r="Y2004" s="35"/>
      <c r="Z2004" s="35"/>
      <c r="AA2004" s="35"/>
      <c r="AB2004" s="35"/>
      <c r="AC2004" s="35"/>
      <c r="AD2004" s="35"/>
      <c r="AE2004" s="35"/>
      <c r="AF2004" s="35"/>
      <c r="AG2004" s="35"/>
      <c r="AH2004" s="35"/>
      <c r="AI2004" s="35"/>
      <c r="AJ2004" s="35"/>
      <c r="AK2004" s="35"/>
      <c r="AL2004" s="35"/>
    </row>
    <row r="2005">
      <c r="A2005" s="242"/>
      <c r="B2005" s="19" t="s">
        <v>9393</v>
      </c>
      <c r="C2005" s="20" t="s">
        <v>9982</v>
      </c>
      <c r="D2005" s="47"/>
      <c r="E2005" s="174" t="s">
        <v>626</v>
      </c>
      <c r="F2005" s="23" t="s">
        <v>65</v>
      </c>
      <c r="G2005" s="174">
        <v>2023.0</v>
      </c>
      <c r="H2005" s="174" t="s">
        <v>9415</v>
      </c>
      <c r="I2005" s="175" t="s">
        <v>10137</v>
      </c>
      <c r="J2005" s="23" t="s">
        <v>10138</v>
      </c>
      <c r="K2005" s="23"/>
      <c r="L2005" s="36">
        <v>650.0</v>
      </c>
      <c r="M2005" s="36"/>
      <c r="N2005" s="36"/>
      <c r="O2005" s="36"/>
      <c r="P2005" s="37"/>
      <c r="Q2005" s="36"/>
      <c r="R2005" s="36"/>
      <c r="S2005" s="36"/>
      <c r="T2005" s="252" t="s">
        <v>10139</v>
      </c>
      <c r="U2005" s="255" t="s">
        <v>61</v>
      </c>
      <c r="V2005" s="251"/>
      <c r="W2005" s="49"/>
      <c r="X2005" s="49"/>
      <c r="Y2005" s="35"/>
      <c r="Z2005" s="35"/>
      <c r="AA2005" s="35"/>
      <c r="AB2005" s="35"/>
      <c r="AC2005" s="35"/>
      <c r="AD2005" s="35"/>
      <c r="AE2005" s="35"/>
      <c r="AF2005" s="35"/>
      <c r="AG2005" s="35"/>
      <c r="AH2005" s="35"/>
      <c r="AI2005" s="35"/>
      <c r="AJ2005" s="35"/>
      <c r="AK2005" s="35"/>
      <c r="AL2005" s="35"/>
    </row>
    <row r="2006">
      <c r="A2006" s="242"/>
      <c r="B2006" s="19" t="s">
        <v>9393</v>
      </c>
      <c r="C2006" s="20" t="s">
        <v>9982</v>
      </c>
      <c r="D2006" s="47"/>
      <c r="E2006" s="174" t="s">
        <v>2243</v>
      </c>
      <c r="F2006" s="23" t="s">
        <v>224</v>
      </c>
      <c r="G2006" s="174">
        <v>2022.0</v>
      </c>
      <c r="H2006" s="174" t="s">
        <v>9415</v>
      </c>
      <c r="I2006" s="175" t="s">
        <v>10140</v>
      </c>
      <c r="J2006" s="23" t="s">
        <v>10141</v>
      </c>
      <c r="K2006" s="23"/>
      <c r="L2006" s="36">
        <v>650.0</v>
      </c>
      <c r="M2006" s="36"/>
      <c r="N2006" s="36"/>
      <c r="O2006" s="36"/>
      <c r="P2006" s="37"/>
      <c r="Q2006" s="36"/>
      <c r="R2006" s="36"/>
      <c r="S2006" s="36" t="s">
        <v>10046</v>
      </c>
      <c r="T2006" s="252" t="s">
        <v>10142</v>
      </c>
      <c r="U2006" s="255" t="s">
        <v>61</v>
      </c>
      <c r="V2006" s="251" t="s">
        <v>10143</v>
      </c>
      <c r="W2006" s="49"/>
      <c r="X2006" s="49"/>
      <c r="Y2006" s="35"/>
      <c r="Z2006" s="35"/>
      <c r="AA2006" s="35"/>
      <c r="AB2006" s="35"/>
      <c r="AC2006" s="35"/>
      <c r="AD2006" s="35"/>
      <c r="AE2006" s="35"/>
      <c r="AF2006" s="35"/>
      <c r="AG2006" s="35"/>
      <c r="AH2006" s="35"/>
      <c r="AI2006" s="35"/>
      <c r="AJ2006" s="35"/>
      <c r="AK2006" s="35"/>
      <c r="AL2006" s="35"/>
    </row>
    <row r="2007">
      <c r="A2007" s="242"/>
      <c r="B2007" s="19" t="s">
        <v>9393</v>
      </c>
      <c r="C2007" s="20" t="s">
        <v>9982</v>
      </c>
      <c r="D2007" s="47"/>
      <c r="E2007" s="174" t="s">
        <v>2195</v>
      </c>
      <c r="F2007" s="23" t="s">
        <v>2833</v>
      </c>
      <c r="G2007" s="174">
        <v>2022.0</v>
      </c>
      <c r="H2007" s="174" t="s">
        <v>5147</v>
      </c>
      <c r="I2007" s="175" t="s">
        <v>10144</v>
      </c>
      <c r="J2007" s="23" t="s">
        <v>10145</v>
      </c>
      <c r="K2007" s="23" t="s">
        <v>10146</v>
      </c>
      <c r="L2007" s="36">
        <v>635.0</v>
      </c>
      <c r="M2007" s="36" t="s">
        <v>2259</v>
      </c>
      <c r="N2007" s="36"/>
      <c r="O2007" s="36"/>
      <c r="P2007" s="37"/>
      <c r="Q2007" s="36"/>
      <c r="R2007" s="36">
        <v>180.0</v>
      </c>
      <c r="S2007" s="36" t="s">
        <v>10147</v>
      </c>
      <c r="T2007" s="252" t="s">
        <v>10148</v>
      </c>
      <c r="U2007" s="255" t="s">
        <v>61</v>
      </c>
      <c r="V2007" s="251"/>
      <c r="W2007" s="49"/>
      <c r="X2007" s="49"/>
      <c r="Y2007" s="35"/>
      <c r="Z2007" s="35"/>
      <c r="AA2007" s="35"/>
      <c r="AB2007" s="35"/>
      <c r="AC2007" s="35"/>
      <c r="AD2007" s="35"/>
      <c r="AE2007" s="35"/>
      <c r="AF2007" s="35"/>
      <c r="AG2007" s="35"/>
      <c r="AH2007" s="35"/>
      <c r="AI2007" s="35"/>
      <c r="AJ2007" s="35"/>
      <c r="AK2007" s="35"/>
      <c r="AL2007" s="35"/>
    </row>
    <row r="2008">
      <c r="A2008" s="242"/>
      <c r="B2008" s="19" t="s">
        <v>9393</v>
      </c>
      <c r="C2008" s="20" t="s">
        <v>9982</v>
      </c>
      <c r="D2008" s="47"/>
      <c r="E2008" s="174" t="s">
        <v>2195</v>
      </c>
      <c r="F2008" s="23" t="s">
        <v>2175</v>
      </c>
      <c r="G2008" s="174">
        <v>2022.0</v>
      </c>
      <c r="H2008" s="174" t="s">
        <v>9984</v>
      </c>
      <c r="I2008" s="175" t="s">
        <v>10149</v>
      </c>
      <c r="J2008" s="23" t="s">
        <v>10150</v>
      </c>
      <c r="K2008" s="23" t="s">
        <v>10151</v>
      </c>
      <c r="L2008" s="36">
        <v>650.0</v>
      </c>
      <c r="M2008" s="36" t="s">
        <v>58</v>
      </c>
      <c r="N2008" s="36" t="s">
        <v>58</v>
      </c>
      <c r="O2008" s="36" t="s">
        <v>58</v>
      </c>
      <c r="P2008" s="37" t="s">
        <v>58</v>
      </c>
      <c r="Q2008" s="36" t="s">
        <v>58</v>
      </c>
      <c r="R2008" s="36" t="s">
        <v>10152</v>
      </c>
      <c r="S2008" s="36" t="s">
        <v>10153</v>
      </c>
      <c r="T2008" s="252" t="s">
        <v>10154</v>
      </c>
      <c r="U2008" s="255" t="s">
        <v>61</v>
      </c>
      <c r="V2008" s="251" t="s">
        <v>10155</v>
      </c>
      <c r="W2008" s="49"/>
      <c r="X2008" s="49"/>
      <c r="Y2008" s="35"/>
      <c r="Z2008" s="35"/>
      <c r="AA2008" s="35"/>
      <c r="AB2008" s="35"/>
      <c r="AC2008" s="35"/>
      <c r="AD2008" s="35"/>
      <c r="AE2008" s="35"/>
      <c r="AF2008" s="35"/>
      <c r="AG2008" s="35"/>
      <c r="AH2008" s="35"/>
      <c r="AI2008" s="35"/>
      <c r="AJ2008" s="35"/>
      <c r="AK2008" s="35"/>
      <c r="AL2008" s="35"/>
    </row>
    <row r="2009">
      <c r="A2009" s="242"/>
      <c r="B2009" s="19" t="s">
        <v>9393</v>
      </c>
      <c r="C2009" s="20" t="s">
        <v>9982</v>
      </c>
      <c r="D2009" s="47"/>
      <c r="E2009" s="174" t="s">
        <v>9998</v>
      </c>
      <c r="F2009" s="23" t="s">
        <v>65</v>
      </c>
      <c r="G2009" s="174">
        <v>2022.0</v>
      </c>
      <c r="H2009" s="174" t="s">
        <v>9994</v>
      </c>
      <c r="I2009" s="175" t="s">
        <v>10156</v>
      </c>
      <c r="J2009" s="23" t="s">
        <v>10157</v>
      </c>
      <c r="K2009" s="23"/>
      <c r="L2009" s="36">
        <v>650.0</v>
      </c>
      <c r="M2009" s="36" t="s">
        <v>10158</v>
      </c>
      <c r="N2009" s="36"/>
      <c r="O2009" s="36"/>
      <c r="P2009" s="37"/>
      <c r="Q2009" s="36"/>
      <c r="R2009" s="36" t="s">
        <v>10159</v>
      </c>
      <c r="S2009" s="36" t="s">
        <v>10160</v>
      </c>
      <c r="T2009" s="252" t="s">
        <v>10161</v>
      </c>
      <c r="U2009" s="255" t="s">
        <v>61</v>
      </c>
      <c r="V2009" s="251"/>
      <c r="W2009" s="49"/>
      <c r="X2009" s="49"/>
      <c r="Y2009" s="35"/>
      <c r="Z2009" s="35"/>
      <c r="AA2009" s="35"/>
      <c r="AB2009" s="35"/>
      <c r="AC2009" s="35"/>
      <c r="AD2009" s="35"/>
      <c r="AE2009" s="35"/>
      <c r="AF2009" s="35"/>
      <c r="AG2009" s="35"/>
      <c r="AH2009" s="35"/>
      <c r="AI2009" s="35"/>
      <c r="AJ2009" s="35"/>
      <c r="AK2009" s="35"/>
      <c r="AL2009" s="35"/>
    </row>
    <row r="2010">
      <c r="A2010" s="242"/>
      <c r="B2010" s="19" t="s">
        <v>9393</v>
      </c>
      <c r="C2010" s="20" t="s">
        <v>9982</v>
      </c>
      <c r="D2010" s="47"/>
      <c r="E2010" s="174" t="s">
        <v>2918</v>
      </c>
      <c r="F2010" s="23" t="s">
        <v>10162</v>
      </c>
      <c r="G2010" s="174">
        <v>2022.0</v>
      </c>
      <c r="H2010" s="174" t="s">
        <v>9994</v>
      </c>
      <c r="I2010" s="175" t="s">
        <v>10163</v>
      </c>
      <c r="J2010" s="23" t="s">
        <v>10164</v>
      </c>
      <c r="K2010" s="23"/>
      <c r="L2010" s="36" t="s">
        <v>10165</v>
      </c>
      <c r="M2010" s="36" t="s">
        <v>10166</v>
      </c>
      <c r="N2010" s="36"/>
      <c r="O2010" s="36"/>
      <c r="P2010" s="37"/>
      <c r="Q2010" s="36"/>
      <c r="R2010" s="36">
        <v>180.0</v>
      </c>
      <c r="S2010" s="36" t="s">
        <v>10046</v>
      </c>
      <c r="T2010" s="252" t="s">
        <v>10167</v>
      </c>
      <c r="U2010" s="255" t="s">
        <v>61</v>
      </c>
      <c r="V2010" s="251" t="s">
        <v>10168</v>
      </c>
      <c r="W2010" s="49"/>
      <c r="X2010" s="49"/>
      <c r="Y2010" s="35"/>
      <c r="Z2010" s="35"/>
      <c r="AA2010" s="35"/>
      <c r="AB2010" s="35"/>
      <c r="AC2010" s="35"/>
      <c r="AD2010" s="35"/>
      <c r="AE2010" s="35"/>
      <c r="AF2010" s="35"/>
      <c r="AG2010" s="35"/>
      <c r="AH2010" s="35"/>
      <c r="AI2010" s="35"/>
      <c r="AJ2010" s="35"/>
      <c r="AK2010" s="35"/>
      <c r="AL2010" s="35"/>
    </row>
    <row r="2011">
      <c r="A2011" s="242"/>
      <c r="B2011" s="19" t="s">
        <v>9393</v>
      </c>
      <c r="C2011" s="20" t="s">
        <v>9982</v>
      </c>
      <c r="D2011" s="47"/>
      <c r="E2011" s="174" t="s">
        <v>9998</v>
      </c>
      <c r="F2011" s="23" t="s">
        <v>65</v>
      </c>
      <c r="G2011" s="174">
        <v>2022.0</v>
      </c>
      <c r="H2011" s="174" t="s">
        <v>10169</v>
      </c>
      <c r="I2011" s="175" t="s">
        <v>10170</v>
      </c>
      <c r="J2011" s="23" t="s">
        <v>10171</v>
      </c>
      <c r="K2011" s="23"/>
      <c r="L2011" s="36">
        <v>650.0</v>
      </c>
      <c r="M2011" s="36"/>
      <c r="N2011" s="36"/>
      <c r="O2011" s="36"/>
      <c r="P2011" s="37"/>
      <c r="Q2011" s="36"/>
      <c r="R2011" s="36"/>
      <c r="S2011" s="36" t="s">
        <v>10172</v>
      </c>
      <c r="T2011" s="252" t="s">
        <v>10173</v>
      </c>
      <c r="U2011" s="255" t="s">
        <v>61</v>
      </c>
      <c r="V2011" s="251"/>
      <c r="W2011" s="49"/>
      <c r="X2011" s="49"/>
      <c r="Y2011" s="35"/>
      <c r="Z2011" s="35"/>
      <c r="AA2011" s="35"/>
      <c r="AB2011" s="35"/>
      <c r="AC2011" s="35"/>
      <c r="AD2011" s="35"/>
      <c r="AE2011" s="35"/>
      <c r="AF2011" s="35"/>
      <c r="AG2011" s="35"/>
      <c r="AH2011" s="35"/>
      <c r="AI2011" s="35"/>
      <c r="AJ2011" s="35"/>
      <c r="AK2011" s="35"/>
      <c r="AL2011" s="35"/>
    </row>
    <row r="2012">
      <c r="A2012" s="242"/>
      <c r="B2012" s="19" t="s">
        <v>9393</v>
      </c>
      <c r="C2012" s="20" t="s">
        <v>9982</v>
      </c>
      <c r="D2012" s="47"/>
      <c r="E2012" s="174" t="s">
        <v>223</v>
      </c>
      <c r="F2012" s="23" t="s">
        <v>2312</v>
      </c>
      <c r="G2012" s="174">
        <v>2022.0</v>
      </c>
      <c r="H2012" s="174" t="s">
        <v>9718</v>
      </c>
      <c r="I2012" s="175" t="s">
        <v>10174</v>
      </c>
      <c r="J2012" s="23" t="s">
        <v>125</v>
      </c>
      <c r="K2012" s="23"/>
      <c r="L2012" s="105" t="s">
        <v>10175</v>
      </c>
      <c r="M2012" s="44"/>
      <c r="N2012" s="44"/>
      <c r="O2012" s="44"/>
      <c r="P2012" s="44"/>
      <c r="Q2012" s="44"/>
      <c r="R2012" s="44"/>
      <c r="S2012" s="44"/>
      <c r="T2012" s="45"/>
      <c r="U2012" s="255" t="s">
        <v>61</v>
      </c>
      <c r="V2012" s="251"/>
      <c r="W2012" s="49"/>
      <c r="X2012" s="49"/>
      <c r="Y2012" s="35"/>
      <c r="Z2012" s="35"/>
      <c r="AA2012" s="35"/>
      <c r="AB2012" s="35"/>
      <c r="AC2012" s="35"/>
      <c r="AD2012" s="35"/>
      <c r="AE2012" s="35"/>
      <c r="AF2012" s="35"/>
      <c r="AG2012" s="35"/>
      <c r="AH2012" s="35"/>
      <c r="AI2012" s="35"/>
      <c r="AJ2012" s="35"/>
      <c r="AK2012" s="35"/>
      <c r="AL2012" s="35"/>
    </row>
    <row r="2013">
      <c r="A2013" s="242"/>
      <c r="B2013" s="19" t="s">
        <v>9393</v>
      </c>
      <c r="C2013" s="20" t="s">
        <v>9982</v>
      </c>
      <c r="D2013" s="47"/>
      <c r="E2013" s="174" t="s">
        <v>2755</v>
      </c>
      <c r="F2013" s="23" t="s">
        <v>10122</v>
      </c>
      <c r="G2013" s="174">
        <v>2022.0</v>
      </c>
      <c r="H2013" s="174" t="s">
        <v>10030</v>
      </c>
      <c r="I2013" s="175" t="s">
        <v>10176</v>
      </c>
      <c r="J2013" s="23" t="s">
        <v>10177</v>
      </c>
      <c r="K2013" s="23"/>
      <c r="L2013" s="36">
        <v>635.0</v>
      </c>
      <c r="M2013" s="36" t="s">
        <v>431</v>
      </c>
      <c r="N2013" s="36"/>
      <c r="O2013" s="36"/>
      <c r="P2013" s="37"/>
      <c r="Q2013" s="36"/>
      <c r="R2013" s="36" t="s">
        <v>10178</v>
      </c>
      <c r="S2013" s="36" t="s">
        <v>10179</v>
      </c>
      <c r="T2013" s="252" t="s">
        <v>10180</v>
      </c>
      <c r="U2013" s="248" t="s">
        <v>61</v>
      </c>
      <c r="V2013" s="251"/>
      <c r="W2013" s="49"/>
      <c r="X2013" s="49"/>
      <c r="Y2013" s="35"/>
      <c r="Z2013" s="35"/>
      <c r="AA2013" s="35"/>
      <c r="AB2013" s="35"/>
      <c r="AC2013" s="35"/>
      <c r="AD2013" s="35"/>
      <c r="AE2013" s="35"/>
      <c r="AF2013" s="35"/>
      <c r="AG2013" s="35"/>
      <c r="AH2013" s="35"/>
      <c r="AI2013" s="35"/>
      <c r="AJ2013" s="35"/>
      <c r="AK2013" s="35"/>
      <c r="AL2013" s="35"/>
    </row>
    <row r="2014">
      <c r="A2014" s="242"/>
      <c r="B2014" s="19" t="s">
        <v>9393</v>
      </c>
      <c r="C2014" s="20" t="s">
        <v>9982</v>
      </c>
      <c r="D2014" s="47"/>
      <c r="E2014" s="174" t="s">
        <v>6044</v>
      </c>
      <c r="F2014" s="23" t="s">
        <v>65</v>
      </c>
      <c r="G2014" s="174">
        <v>2021.0</v>
      </c>
      <c r="H2014" s="174" t="s">
        <v>9994</v>
      </c>
      <c r="I2014" s="175" t="s">
        <v>10181</v>
      </c>
      <c r="J2014" s="23" t="s">
        <v>10182</v>
      </c>
      <c r="K2014" s="23" t="s">
        <v>10183</v>
      </c>
      <c r="L2014" s="36">
        <v>650.0</v>
      </c>
      <c r="M2014" s="36" t="s">
        <v>10158</v>
      </c>
      <c r="N2014" s="36"/>
      <c r="O2014" s="36"/>
      <c r="P2014" s="37"/>
      <c r="Q2014" s="36"/>
      <c r="R2014" s="36" t="s">
        <v>10159</v>
      </c>
      <c r="S2014" s="36" t="s">
        <v>10160</v>
      </c>
      <c r="T2014" s="252" t="s">
        <v>10184</v>
      </c>
      <c r="U2014" s="248" t="s">
        <v>61</v>
      </c>
      <c r="V2014" s="251"/>
      <c r="W2014" s="49"/>
      <c r="X2014" s="49"/>
      <c r="Y2014" s="35"/>
      <c r="Z2014" s="35"/>
      <c r="AA2014" s="35"/>
      <c r="AB2014" s="35"/>
      <c r="AC2014" s="35"/>
      <c r="AD2014" s="35"/>
      <c r="AE2014" s="35"/>
      <c r="AF2014" s="35"/>
      <c r="AG2014" s="35"/>
      <c r="AH2014" s="35"/>
      <c r="AI2014" s="35"/>
      <c r="AJ2014" s="35"/>
      <c r="AK2014" s="35"/>
      <c r="AL2014" s="35"/>
    </row>
    <row r="2015">
      <c r="A2015" s="242"/>
      <c r="B2015" s="19" t="s">
        <v>9393</v>
      </c>
      <c r="C2015" s="20" t="s">
        <v>9982</v>
      </c>
      <c r="D2015" s="47"/>
      <c r="E2015" s="174" t="s">
        <v>10185</v>
      </c>
      <c r="F2015" s="23" t="s">
        <v>6888</v>
      </c>
      <c r="G2015" s="174">
        <v>2021.0</v>
      </c>
      <c r="H2015" s="174" t="s">
        <v>10186</v>
      </c>
      <c r="I2015" s="175" t="s">
        <v>10187</v>
      </c>
      <c r="J2015" s="22" t="s">
        <v>125</v>
      </c>
      <c r="K2015" s="23"/>
      <c r="L2015" s="167" t="s">
        <v>10188</v>
      </c>
      <c r="M2015" s="44"/>
      <c r="N2015" s="44"/>
      <c r="O2015" s="44"/>
      <c r="P2015" s="44"/>
      <c r="Q2015" s="44"/>
      <c r="R2015" s="44"/>
      <c r="S2015" s="44"/>
      <c r="T2015" s="45"/>
      <c r="U2015" s="248" t="s">
        <v>61</v>
      </c>
      <c r="V2015" s="251"/>
      <c r="W2015" s="49"/>
      <c r="X2015" s="49"/>
      <c r="Y2015" s="35"/>
      <c r="Z2015" s="35"/>
      <c r="AA2015" s="35"/>
      <c r="AB2015" s="35"/>
      <c r="AC2015" s="35"/>
      <c r="AD2015" s="35"/>
      <c r="AE2015" s="35"/>
      <c r="AF2015" s="35"/>
      <c r="AG2015" s="35"/>
      <c r="AH2015" s="35"/>
      <c r="AI2015" s="35"/>
      <c r="AJ2015" s="35"/>
      <c r="AK2015" s="35"/>
      <c r="AL2015" s="35"/>
    </row>
    <row r="2016">
      <c r="A2016" s="242"/>
      <c r="B2016" s="19" t="s">
        <v>9393</v>
      </c>
      <c r="C2016" s="20" t="s">
        <v>9982</v>
      </c>
      <c r="D2016" s="47"/>
      <c r="E2016" s="174" t="s">
        <v>2783</v>
      </c>
      <c r="F2016" s="23" t="s">
        <v>10189</v>
      </c>
      <c r="G2016" s="174">
        <v>2021.0</v>
      </c>
      <c r="H2016" s="174" t="s">
        <v>9450</v>
      </c>
      <c r="I2016" s="175" t="s">
        <v>10190</v>
      </c>
      <c r="J2016" s="23" t="s">
        <v>10191</v>
      </c>
      <c r="K2016" s="23"/>
      <c r="L2016" s="36">
        <v>830.0</v>
      </c>
      <c r="M2016" s="36">
        <v>30.0</v>
      </c>
      <c r="N2016" s="36"/>
      <c r="O2016" s="36"/>
      <c r="P2016" s="37"/>
      <c r="Q2016" s="36" t="s">
        <v>10192</v>
      </c>
      <c r="R2016" s="36">
        <v>1800.0</v>
      </c>
      <c r="S2016" s="36"/>
      <c r="T2016" s="252" t="s">
        <v>10193</v>
      </c>
      <c r="U2016" s="248" t="s">
        <v>61</v>
      </c>
      <c r="V2016" s="251"/>
      <c r="W2016" s="49"/>
      <c r="X2016" s="49"/>
      <c r="Y2016" s="35"/>
      <c r="Z2016" s="35"/>
      <c r="AA2016" s="35"/>
      <c r="AB2016" s="35"/>
      <c r="AC2016" s="35"/>
      <c r="AD2016" s="35"/>
      <c r="AE2016" s="35"/>
      <c r="AF2016" s="35"/>
      <c r="AG2016" s="35"/>
      <c r="AH2016" s="35"/>
      <c r="AI2016" s="35"/>
      <c r="AJ2016" s="35"/>
      <c r="AK2016" s="35"/>
      <c r="AL2016" s="35"/>
    </row>
    <row r="2017">
      <c r="A2017" s="242"/>
      <c r="B2017" s="19" t="s">
        <v>9393</v>
      </c>
      <c r="C2017" s="20" t="s">
        <v>9982</v>
      </c>
      <c r="D2017" s="47"/>
      <c r="E2017" s="174" t="s">
        <v>9998</v>
      </c>
      <c r="F2017" s="23" t="s">
        <v>6382</v>
      </c>
      <c r="G2017" s="174">
        <v>2021.0</v>
      </c>
      <c r="H2017" s="174" t="s">
        <v>960</v>
      </c>
      <c r="I2017" s="175" t="s">
        <v>10194</v>
      </c>
      <c r="J2017" s="23" t="s">
        <v>10195</v>
      </c>
      <c r="K2017" s="23" t="s">
        <v>10183</v>
      </c>
      <c r="L2017" s="36">
        <v>650.0</v>
      </c>
      <c r="M2017" s="36">
        <v>2.0</v>
      </c>
      <c r="N2017" s="36"/>
      <c r="O2017" s="36"/>
      <c r="P2017" s="37"/>
      <c r="Q2017" s="36"/>
      <c r="R2017" s="36" t="s">
        <v>10196</v>
      </c>
      <c r="S2017" s="36" t="s">
        <v>10197</v>
      </c>
      <c r="T2017" s="252" t="s">
        <v>10198</v>
      </c>
      <c r="U2017" s="248" t="s">
        <v>61</v>
      </c>
      <c r="V2017" s="251"/>
      <c r="W2017" s="49"/>
      <c r="X2017" s="49"/>
      <c r="Y2017" s="35"/>
      <c r="Z2017" s="35"/>
      <c r="AA2017" s="35"/>
      <c r="AB2017" s="35"/>
      <c r="AC2017" s="35"/>
      <c r="AD2017" s="35"/>
      <c r="AE2017" s="35"/>
      <c r="AF2017" s="35"/>
      <c r="AG2017" s="35"/>
      <c r="AH2017" s="35"/>
      <c r="AI2017" s="35"/>
      <c r="AJ2017" s="35"/>
      <c r="AK2017" s="35"/>
      <c r="AL2017" s="35"/>
    </row>
    <row r="2018">
      <c r="A2018" s="242"/>
      <c r="B2018" s="19" t="s">
        <v>9393</v>
      </c>
      <c r="C2018" s="20" t="s">
        <v>9982</v>
      </c>
      <c r="D2018" s="47"/>
      <c r="E2018" s="174" t="s">
        <v>1689</v>
      </c>
      <c r="F2018" s="23" t="s">
        <v>10199</v>
      </c>
      <c r="G2018" s="174">
        <v>2019.0</v>
      </c>
      <c r="H2018" s="174" t="s">
        <v>10075</v>
      </c>
      <c r="I2018" s="175" t="s">
        <v>10200</v>
      </c>
      <c r="J2018" s="23" t="s">
        <v>9864</v>
      </c>
      <c r="K2018" s="23"/>
      <c r="L2018" s="36"/>
      <c r="M2018" s="36"/>
      <c r="N2018" s="36"/>
      <c r="O2018" s="36"/>
      <c r="P2018" s="37"/>
      <c r="Q2018" s="36"/>
      <c r="R2018" s="36"/>
      <c r="S2018" s="36"/>
      <c r="T2018" s="252" t="s">
        <v>10201</v>
      </c>
      <c r="U2018" s="250" t="str">
        <f>HYPERLINK("https://www.ncbi.nlm.nih.gov/pubmed/31236341","PubMed")</f>
        <v>PubMed</v>
      </c>
      <c r="V2018" s="251"/>
      <c r="W2018" s="49"/>
      <c r="X2018" s="49"/>
      <c r="Y2018" s="35"/>
      <c r="Z2018" s="35"/>
      <c r="AA2018" s="35"/>
      <c r="AB2018" s="35"/>
      <c r="AC2018" s="35"/>
      <c r="AD2018" s="35"/>
      <c r="AE2018" s="35"/>
      <c r="AF2018" s="35"/>
      <c r="AG2018" s="35"/>
      <c r="AH2018" s="35"/>
      <c r="AI2018" s="35"/>
      <c r="AJ2018" s="35"/>
      <c r="AK2018" s="35"/>
      <c r="AL2018" s="35"/>
    </row>
    <row r="2019">
      <c r="A2019" s="242"/>
      <c r="B2019" s="19" t="s">
        <v>9393</v>
      </c>
      <c r="C2019" s="20" t="s">
        <v>9982</v>
      </c>
      <c r="D2019" s="47"/>
      <c r="E2019" s="174" t="s">
        <v>626</v>
      </c>
      <c r="F2019" s="23" t="s">
        <v>10202</v>
      </c>
      <c r="G2019" s="174">
        <v>2018.0</v>
      </c>
      <c r="H2019" s="174" t="s">
        <v>9702</v>
      </c>
      <c r="I2019" s="175" t="s">
        <v>10203</v>
      </c>
      <c r="J2019" s="23" t="s">
        <v>9041</v>
      </c>
      <c r="K2019" s="23" t="s">
        <v>5045</v>
      </c>
      <c r="L2019" s="36" t="s">
        <v>10204</v>
      </c>
      <c r="M2019" s="36"/>
      <c r="N2019" s="36"/>
      <c r="O2019" s="36"/>
      <c r="P2019" s="37"/>
      <c r="Q2019" s="36"/>
      <c r="R2019" s="36"/>
      <c r="S2019" s="36"/>
      <c r="T2019" s="252" t="s">
        <v>10205</v>
      </c>
      <c r="U2019" s="250" t="str">
        <f>HYPERLINK("https://www.ncbi.nlm.nih.gov/pubmed/30193312","PubMed")</f>
        <v>PubMed</v>
      </c>
      <c r="V2019" s="251"/>
      <c r="W2019" s="49"/>
      <c r="X2019" s="49"/>
      <c r="Y2019" s="35"/>
      <c r="Z2019" s="35"/>
      <c r="AA2019" s="35"/>
      <c r="AB2019" s="35"/>
      <c r="AC2019" s="35"/>
      <c r="AD2019" s="35"/>
      <c r="AE2019" s="35"/>
      <c r="AF2019" s="35"/>
      <c r="AG2019" s="35"/>
      <c r="AH2019" s="35"/>
      <c r="AI2019" s="35"/>
      <c r="AJ2019" s="35"/>
      <c r="AK2019" s="35"/>
      <c r="AL2019" s="35"/>
    </row>
    <row r="2020">
      <c r="A2020" s="242"/>
      <c r="B2020" s="19" t="s">
        <v>9393</v>
      </c>
      <c r="C2020" s="20" t="s">
        <v>9982</v>
      </c>
      <c r="D2020" s="47"/>
      <c r="E2020" s="174" t="s">
        <v>10206</v>
      </c>
      <c r="F2020" s="23" t="s">
        <v>2208</v>
      </c>
      <c r="G2020" s="174">
        <v>2018.0</v>
      </c>
      <c r="H2020" s="174" t="s">
        <v>9396</v>
      </c>
      <c r="I2020" s="175" t="s">
        <v>10207</v>
      </c>
      <c r="J2020" s="23" t="s">
        <v>4054</v>
      </c>
      <c r="K2020" s="23" t="s">
        <v>10208</v>
      </c>
      <c r="L2020" s="36">
        <v>630.0</v>
      </c>
      <c r="M2020" s="36"/>
      <c r="N2020" s="36"/>
      <c r="O2020" s="36"/>
      <c r="P2020" s="37"/>
      <c r="Q2020" s="36"/>
      <c r="R2020" s="36"/>
      <c r="S2020" s="36"/>
      <c r="T2020" s="252" t="s">
        <v>10209</v>
      </c>
      <c r="U2020" s="250" t="str">
        <f>HYPERLINK("https://www.ncbi.nlm.nih.gov/pubmed/29981345","PubMed")</f>
        <v>PubMed</v>
      </c>
      <c r="V2020" s="251"/>
      <c r="W2020" s="49"/>
      <c r="X2020" s="49"/>
      <c r="Y2020" s="35"/>
      <c r="Z2020" s="35"/>
      <c r="AA2020" s="35"/>
      <c r="AB2020" s="35"/>
      <c r="AC2020" s="35"/>
      <c r="AD2020" s="35"/>
      <c r="AE2020" s="35"/>
      <c r="AF2020" s="35"/>
      <c r="AG2020" s="35"/>
      <c r="AH2020" s="35"/>
      <c r="AI2020" s="35"/>
      <c r="AJ2020" s="35"/>
      <c r="AK2020" s="35"/>
      <c r="AL2020" s="35"/>
    </row>
    <row r="2021">
      <c r="A2021" s="242"/>
      <c r="B2021" s="19" t="s">
        <v>9393</v>
      </c>
      <c r="C2021" s="20" t="s">
        <v>9982</v>
      </c>
      <c r="D2021" s="47"/>
      <c r="E2021" s="174" t="s">
        <v>10094</v>
      </c>
      <c r="F2021" s="23" t="s">
        <v>7910</v>
      </c>
      <c r="G2021" s="174">
        <v>2017.0</v>
      </c>
      <c r="H2021" s="174" t="s">
        <v>9396</v>
      </c>
      <c r="I2021" s="175" t="s">
        <v>10210</v>
      </c>
      <c r="J2021" s="23" t="s">
        <v>10091</v>
      </c>
      <c r="K2021" s="23" t="s">
        <v>1725</v>
      </c>
      <c r="L2021" s="36" t="s">
        <v>10211</v>
      </c>
      <c r="M2021" s="36"/>
      <c r="N2021" s="36"/>
      <c r="O2021" s="36"/>
      <c r="P2021" s="37"/>
      <c r="Q2021" s="36"/>
      <c r="R2021" s="36"/>
      <c r="S2021" s="36"/>
      <c r="T2021" s="252" t="s">
        <v>10212</v>
      </c>
      <c r="U2021" s="250" t="str">
        <f>HYPERLINK("https://www.ncbi.nlm.nih.gov/pubmed/27979713","PubMed")</f>
        <v>PubMed</v>
      </c>
      <c r="V2021" s="251"/>
      <c r="W2021" s="49"/>
      <c r="X2021" s="49"/>
      <c r="Y2021" s="35"/>
      <c r="Z2021" s="35"/>
      <c r="AA2021" s="35"/>
      <c r="AB2021" s="35"/>
      <c r="AC2021" s="35"/>
      <c r="AD2021" s="35"/>
      <c r="AE2021" s="35"/>
      <c r="AF2021" s="35"/>
      <c r="AG2021" s="35"/>
      <c r="AH2021" s="35"/>
      <c r="AI2021" s="35"/>
      <c r="AJ2021" s="35"/>
      <c r="AK2021" s="35"/>
      <c r="AL2021" s="35"/>
    </row>
    <row r="2022">
      <c r="A2022" s="242"/>
      <c r="B2022" s="19" t="s">
        <v>9393</v>
      </c>
      <c r="C2022" s="20" t="s">
        <v>9982</v>
      </c>
      <c r="D2022" s="47"/>
      <c r="E2022" s="174" t="s">
        <v>10094</v>
      </c>
      <c r="F2022" s="23" t="s">
        <v>7910</v>
      </c>
      <c r="G2022" s="174">
        <v>2017.0</v>
      </c>
      <c r="H2022" s="174" t="s">
        <v>10213</v>
      </c>
      <c r="I2022" s="175" t="s">
        <v>10214</v>
      </c>
      <c r="J2022" s="23" t="s">
        <v>10091</v>
      </c>
      <c r="K2022" s="23"/>
      <c r="L2022" s="36" t="s">
        <v>10215</v>
      </c>
      <c r="M2022" s="36"/>
      <c r="N2022" s="36"/>
      <c r="O2022" s="36"/>
      <c r="P2022" s="37"/>
      <c r="Q2022" s="36"/>
      <c r="R2022" s="36"/>
      <c r="S2022" s="36"/>
      <c r="T2022" s="252" t="s">
        <v>10216</v>
      </c>
      <c r="U2022" s="250" t="str">
        <f>HYPERLINK("https://www.ncbi.nlm.nih.gov/pubmed/28801261","PubMed")</f>
        <v>PubMed</v>
      </c>
      <c r="V2022" s="251"/>
      <c r="W2022" s="49"/>
      <c r="X2022" s="49"/>
      <c r="Y2022" s="35"/>
      <c r="Z2022" s="35"/>
      <c r="AA2022" s="35"/>
      <c r="AB2022" s="35"/>
      <c r="AC2022" s="35"/>
      <c r="AD2022" s="35"/>
      <c r="AE2022" s="35"/>
      <c r="AF2022" s="35"/>
      <c r="AG2022" s="35"/>
      <c r="AH2022" s="35"/>
      <c r="AI2022" s="35"/>
      <c r="AJ2022" s="35"/>
      <c r="AK2022" s="35"/>
      <c r="AL2022" s="35"/>
    </row>
    <row r="2023">
      <c r="A2023" s="242"/>
      <c r="B2023" s="19" t="s">
        <v>9393</v>
      </c>
      <c r="C2023" s="20" t="s">
        <v>9982</v>
      </c>
      <c r="D2023" s="47"/>
      <c r="E2023" s="174" t="s">
        <v>10217</v>
      </c>
      <c r="F2023" s="23" t="s">
        <v>10218</v>
      </c>
      <c r="G2023" s="174">
        <v>2015.0</v>
      </c>
      <c r="H2023" s="174" t="s">
        <v>1633</v>
      </c>
      <c r="I2023" s="175" t="s">
        <v>10219</v>
      </c>
      <c r="J2023" s="23" t="s">
        <v>10220</v>
      </c>
      <c r="K2023" s="23"/>
      <c r="L2023" s="105" t="s">
        <v>10221</v>
      </c>
      <c r="M2023" s="44"/>
      <c r="N2023" s="44"/>
      <c r="O2023" s="44"/>
      <c r="P2023" s="44"/>
      <c r="Q2023" s="44"/>
      <c r="R2023" s="44"/>
      <c r="S2023" s="44"/>
      <c r="T2023" s="45"/>
      <c r="U2023" s="250" t="str">
        <f>HYPERLINK("https://www.ncbi.nlm.nih.gov/pubmed/25788077","PubMed")</f>
        <v>PubMed</v>
      </c>
      <c r="V2023" s="251"/>
      <c r="W2023" s="49"/>
      <c r="X2023" s="49"/>
      <c r="Y2023" s="35"/>
      <c r="Z2023" s="35"/>
      <c r="AA2023" s="35"/>
      <c r="AB2023" s="35"/>
      <c r="AC2023" s="35"/>
      <c r="AD2023" s="35"/>
      <c r="AE2023" s="35"/>
      <c r="AF2023" s="35"/>
      <c r="AG2023" s="35"/>
      <c r="AH2023" s="35"/>
      <c r="AI2023" s="35"/>
      <c r="AJ2023" s="35"/>
      <c r="AK2023" s="35"/>
      <c r="AL2023" s="35"/>
    </row>
    <row r="2024">
      <c r="A2024" s="242"/>
      <c r="B2024" s="19" t="s">
        <v>9393</v>
      </c>
      <c r="C2024" s="20" t="s">
        <v>10222</v>
      </c>
      <c r="D2024" s="47"/>
      <c r="E2024" s="174" t="s">
        <v>10223</v>
      </c>
      <c r="F2024" s="23" t="s">
        <v>748</v>
      </c>
      <c r="G2024" s="174">
        <v>2009.0</v>
      </c>
      <c r="H2024" s="174" t="s">
        <v>4326</v>
      </c>
      <c r="I2024" s="175" t="s">
        <v>10224</v>
      </c>
      <c r="J2024" s="23" t="s">
        <v>10225</v>
      </c>
      <c r="K2024" s="23" t="s">
        <v>10226</v>
      </c>
      <c r="L2024" s="36"/>
      <c r="M2024" s="36"/>
      <c r="N2024" s="36"/>
      <c r="O2024" s="36"/>
      <c r="P2024" s="37"/>
      <c r="Q2024" s="36"/>
      <c r="R2024" s="36"/>
      <c r="S2024" s="36"/>
      <c r="T2024" s="252" t="s">
        <v>10227</v>
      </c>
      <c r="U2024" s="250" t="str">
        <f>HYPERLINK("https://www.ncbi.nlm.nih.gov/pubmed/19886021","PubMed")</f>
        <v>PubMed</v>
      </c>
      <c r="V2024" s="251"/>
      <c r="W2024" s="49"/>
      <c r="X2024" s="49"/>
      <c r="Y2024" s="35"/>
      <c r="Z2024" s="35"/>
      <c r="AA2024" s="35"/>
      <c r="AB2024" s="35"/>
      <c r="AC2024" s="35"/>
      <c r="AD2024" s="35"/>
      <c r="AE2024" s="35"/>
      <c r="AF2024" s="35"/>
      <c r="AG2024" s="35"/>
      <c r="AH2024" s="35"/>
      <c r="AI2024" s="35"/>
      <c r="AJ2024" s="35"/>
      <c r="AK2024" s="35"/>
      <c r="AL2024" s="35"/>
    </row>
    <row r="2025">
      <c r="A2025" s="40" t="s">
        <v>2</v>
      </c>
      <c r="B2025" s="19" t="s">
        <v>9393</v>
      </c>
      <c r="C2025" s="20" t="s">
        <v>10228</v>
      </c>
      <c r="D2025" s="47"/>
      <c r="E2025" s="57" t="s">
        <v>3221</v>
      </c>
      <c r="F2025" s="22" t="s">
        <v>3222</v>
      </c>
      <c r="G2025" s="57">
        <v>2017.0</v>
      </c>
      <c r="H2025" s="57" t="s">
        <v>10229</v>
      </c>
      <c r="I2025" s="134" t="s">
        <v>10230</v>
      </c>
      <c r="J2025" s="22" t="s">
        <v>55</v>
      </c>
      <c r="K2025" s="22" t="s">
        <v>10231</v>
      </c>
      <c r="L2025" s="36">
        <v>670.0</v>
      </c>
      <c r="M2025" s="36"/>
      <c r="N2025" s="36" t="s">
        <v>3855</v>
      </c>
      <c r="O2025" s="249"/>
      <c r="P2025" s="36">
        <v>4.0</v>
      </c>
      <c r="Q2025" s="36"/>
      <c r="R2025" s="36">
        <v>144.0</v>
      </c>
      <c r="S2025" s="36">
        <v>7.0</v>
      </c>
      <c r="T2025" s="54" t="s">
        <v>10232</v>
      </c>
      <c r="U2025" s="250" t="str">
        <f>HYPERLINK("https://www.ncbi.nlm.nih.gov/pubmed/28320099","PubMed")</f>
        <v>PubMed</v>
      </c>
      <c r="V2025" s="50"/>
      <c r="W2025" s="49"/>
      <c r="X2025" s="49"/>
      <c r="Y2025" s="35"/>
      <c r="Z2025" s="35"/>
      <c r="AA2025" s="35"/>
      <c r="AB2025" s="35"/>
      <c r="AC2025" s="35"/>
      <c r="AD2025" s="35"/>
      <c r="AE2025" s="35"/>
      <c r="AF2025" s="35"/>
      <c r="AG2025" s="35"/>
      <c r="AH2025" s="35"/>
      <c r="AI2025" s="35"/>
      <c r="AJ2025" s="35"/>
      <c r="AK2025" s="35"/>
      <c r="AL2025" s="35"/>
    </row>
    <row r="2026">
      <c r="A2026" s="242"/>
      <c r="B2026" s="19" t="s">
        <v>9393</v>
      </c>
      <c r="C2026" s="20" t="s">
        <v>10233</v>
      </c>
      <c r="D2026" s="47"/>
      <c r="E2026" s="174" t="s">
        <v>10234</v>
      </c>
      <c r="F2026" s="23" t="s">
        <v>10235</v>
      </c>
      <c r="G2026" s="174">
        <v>2019.0</v>
      </c>
      <c r="H2026" s="174" t="s">
        <v>9029</v>
      </c>
      <c r="I2026" s="175" t="s">
        <v>10236</v>
      </c>
      <c r="J2026" s="23" t="s">
        <v>10237</v>
      </c>
      <c r="K2026" s="23" t="s">
        <v>56</v>
      </c>
      <c r="L2026" s="36" t="s">
        <v>10238</v>
      </c>
      <c r="M2026" s="36"/>
      <c r="N2026" s="36"/>
      <c r="O2026" s="36"/>
      <c r="P2026" s="37"/>
      <c r="Q2026" s="36"/>
      <c r="R2026" s="36">
        <v>900.0</v>
      </c>
      <c r="S2026" s="36"/>
      <c r="T2026" s="259" t="s">
        <v>10239</v>
      </c>
      <c r="U2026" s="250" t="str">
        <f>HYPERLINK("https://www.ncbi.nlm.nih.gov/pubmed/30652773","PubMed")</f>
        <v>PubMed</v>
      </c>
      <c r="V2026" s="251" t="s">
        <v>10240</v>
      </c>
      <c r="W2026" s="49"/>
      <c r="X2026" s="49"/>
      <c r="Y2026" s="35"/>
      <c r="Z2026" s="35"/>
      <c r="AA2026" s="35"/>
      <c r="AB2026" s="35"/>
      <c r="AC2026" s="35"/>
      <c r="AD2026" s="35"/>
      <c r="AE2026" s="35"/>
      <c r="AF2026" s="35"/>
      <c r="AG2026" s="35"/>
      <c r="AH2026" s="35"/>
      <c r="AI2026" s="35"/>
      <c r="AJ2026" s="35"/>
      <c r="AK2026" s="35"/>
      <c r="AL2026" s="35"/>
    </row>
    <row r="2027">
      <c r="A2027" s="133"/>
      <c r="B2027" s="19" t="s">
        <v>9393</v>
      </c>
      <c r="C2027" s="20" t="s">
        <v>10233</v>
      </c>
      <c r="D2027" s="47"/>
      <c r="E2027" s="57" t="s">
        <v>10241</v>
      </c>
      <c r="F2027" s="22" t="s">
        <v>3188</v>
      </c>
      <c r="G2027" s="57">
        <v>2016.0</v>
      </c>
      <c r="H2027" s="57" t="s">
        <v>9495</v>
      </c>
      <c r="I2027" s="134" t="s">
        <v>10242</v>
      </c>
      <c r="J2027" s="22" t="s">
        <v>10243</v>
      </c>
      <c r="K2027" s="22" t="s">
        <v>10244</v>
      </c>
      <c r="L2027" s="36">
        <v>630.0</v>
      </c>
      <c r="M2027" s="129"/>
      <c r="N2027" s="36"/>
      <c r="O2027" s="36"/>
      <c r="P2027" s="37"/>
      <c r="Q2027" s="36"/>
      <c r="R2027" s="36"/>
      <c r="S2027" s="36"/>
      <c r="T2027" s="252" t="s">
        <v>10245</v>
      </c>
      <c r="U2027" s="250" t="str">
        <f>HYPERLINK("https://www.ncbi.nlm.nih.gov/pubmed/26928988","PubMed")</f>
        <v>PubMed</v>
      </c>
      <c r="V2027" s="50"/>
      <c r="W2027" s="49"/>
      <c r="X2027" s="49"/>
      <c r="Y2027" s="35"/>
      <c r="Z2027" s="35"/>
      <c r="AA2027" s="35"/>
      <c r="AB2027" s="35"/>
      <c r="AC2027" s="35"/>
      <c r="AD2027" s="35"/>
      <c r="AE2027" s="35"/>
      <c r="AF2027" s="35"/>
      <c r="AG2027" s="35"/>
      <c r="AH2027" s="35"/>
      <c r="AI2027" s="35"/>
      <c r="AJ2027" s="35"/>
      <c r="AK2027" s="35"/>
      <c r="AL2027" s="35"/>
    </row>
    <row r="2028">
      <c r="A2028" s="242"/>
      <c r="B2028" s="19" t="s">
        <v>9393</v>
      </c>
      <c r="C2028" s="20" t="s">
        <v>10233</v>
      </c>
      <c r="D2028" s="47"/>
      <c r="E2028" s="174" t="s">
        <v>10246</v>
      </c>
      <c r="F2028" s="23" t="s">
        <v>8756</v>
      </c>
      <c r="G2028" s="174">
        <v>2009.0</v>
      </c>
      <c r="H2028" s="174" t="s">
        <v>658</v>
      </c>
      <c r="I2028" s="175" t="s">
        <v>10247</v>
      </c>
      <c r="J2028" s="23" t="s">
        <v>10248</v>
      </c>
      <c r="K2028" s="23"/>
      <c r="L2028" s="36">
        <v>780.0</v>
      </c>
      <c r="M2028" s="129">
        <v>44688.0</v>
      </c>
      <c r="N2028" s="36"/>
      <c r="O2028" s="36"/>
      <c r="P2028" s="37"/>
      <c r="Q2028" s="36"/>
      <c r="R2028" s="36"/>
      <c r="S2028" s="36"/>
      <c r="T2028" s="252" t="s">
        <v>10249</v>
      </c>
      <c r="U2028" s="250" t="str">
        <f>HYPERLINK("https://www.ncbi.nlm.nih.gov/pubmed/19514814","PubMed")</f>
        <v>PubMed</v>
      </c>
      <c r="V2028" s="251"/>
      <c r="W2028" s="49"/>
      <c r="X2028" s="49"/>
      <c r="Y2028" s="35"/>
      <c r="Z2028" s="35"/>
      <c r="AA2028" s="35"/>
      <c r="AB2028" s="35"/>
      <c r="AC2028" s="35"/>
      <c r="AD2028" s="35"/>
      <c r="AE2028" s="35"/>
      <c r="AF2028" s="35"/>
      <c r="AG2028" s="35"/>
      <c r="AH2028" s="35"/>
      <c r="AI2028" s="35"/>
      <c r="AJ2028" s="35"/>
      <c r="AK2028" s="35"/>
      <c r="AL2028" s="35"/>
    </row>
    <row r="2029">
      <c r="A2029" s="18" t="s">
        <v>38</v>
      </c>
      <c r="B2029" s="19" t="s">
        <v>9393</v>
      </c>
      <c r="C2029" s="20" t="s">
        <v>10250</v>
      </c>
      <c r="D2029" s="47"/>
      <c r="E2029" s="57" t="s">
        <v>10251</v>
      </c>
      <c r="F2029" s="22" t="s">
        <v>7261</v>
      </c>
      <c r="G2029" s="23">
        <v>2021.0</v>
      </c>
      <c r="H2029" s="57" t="s">
        <v>348</v>
      </c>
      <c r="I2029" s="134" t="s">
        <v>10252</v>
      </c>
      <c r="J2029" s="57" t="s">
        <v>44</v>
      </c>
      <c r="K2029" s="57" t="s">
        <v>157</v>
      </c>
      <c r="L2029" s="87">
        <v>670.0</v>
      </c>
      <c r="M2029" s="87"/>
      <c r="N2029" s="87"/>
      <c r="O2029" s="87"/>
      <c r="P2029" s="266"/>
      <c r="Q2029" s="87"/>
      <c r="R2029" s="87"/>
      <c r="S2029" s="87"/>
      <c r="T2029" s="28" t="s">
        <v>10253</v>
      </c>
      <c r="U2029" s="248" t="s">
        <v>61</v>
      </c>
      <c r="V2029" s="50"/>
      <c r="W2029" s="49"/>
      <c r="X2029" s="49"/>
      <c r="Y2029" s="35"/>
      <c r="Z2029" s="35"/>
      <c r="AA2029" s="35"/>
      <c r="AB2029" s="35"/>
      <c r="AC2029" s="35"/>
      <c r="AD2029" s="35"/>
      <c r="AE2029" s="35"/>
      <c r="AF2029" s="35"/>
      <c r="AG2029" s="35"/>
      <c r="AH2029" s="35"/>
      <c r="AI2029" s="35"/>
      <c r="AJ2029" s="35"/>
      <c r="AK2029" s="35"/>
      <c r="AL2029" s="35"/>
    </row>
    <row r="2030">
      <c r="A2030" s="133"/>
      <c r="B2030" s="19" t="s">
        <v>9393</v>
      </c>
      <c r="C2030" s="20" t="s">
        <v>10250</v>
      </c>
      <c r="D2030" s="47"/>
      <c r="E2030" s="57" t="s">
        <v>10251</v>
      </c>
      <c r="F2030" s="22" t="s">
        <v>7261</v>
      </c>
      <c r="G2030" s="23">
        <v>2016.0</v>
      </c>
      <c r="H2030" s="57" t="s">
        <v>4975</v>
      </c>
      <c r="I2030" s="134" t="s">
        <v>10254</v>
      </c>
      <c r="J2030" s="57" t="s">
        <v>10255</v>
      </c>
      <c r="K2030" s="57" t="s">
        <v>10256</v>
      </c>
      <c r="L2030" s="87">
        <v>670.0</v>
      </c>
      <c r="M2030" s="87"/>
      <c r="N2030" s="87"/>
      <c r="O2030" s="87"/>
      <c r="P2030" s="266" t="s">
        <v>10257</v>
      </c>
      <c r="Q2030" s="87"/>
      <c r="R2030" s="87">
        <v>528.0</v>
      </c>
      <c r="S2030" s="87"/>
      <c r="T2030" s="28" t="s">
        <v>10258</v>
      </c>
      <c r="U2030" s="250" t="str">
        <f>HYPERLINK("https://www.ncbi.nlm.nih.gov/pubmed/27276065","PubMed")</f>
        <v>PubMed</v>
      </c>
      <c r="V2030" s="50"/>
      <c r="W2030" s="49"/>
      <c r="X2030" s="49"/>
      <c r="Y2030" s="35"/>
      <c r="Z2030" s="35"/>
      <c r="AA2030" s="35"/>
      <c r="AB2030" s="35"/>
      <c r="AC2030" s="35"/>
      <c r="AD2030" s="35"/>
      <c r="AE2030" s="35"/>
      <c r="AF2030" s="35"/>
      <c r="AG2030" s="35"/>
      <c r="AH2030" s="35"/>
      <c r="AI2030" s="35"/>
      <c r="AJ2030" s="35"/>
      <c r="AK2030" s="35"/>
      <c r="AL2030" s="35"/>
    </row>
    <row r="2031">
      <c r="A2031" s="55"/>
      <c r="B2031" s="19" t="s">
        <v>9393</v>
      </c>
      <c r="C2031" s="20" t="s">
        <v>10250</v>
      </c>
      <c r="D2031" s="47"/>
      <c r="E2031" s="22" t="s">
        <v>10259</v>
      </c>
      <c r="F2031" s="22" t="s">
        <v>65</v>
      </c>
      <c r="G2031" s="57">
        <v>2014.0</v>
      </c>
      <c r="H2031" s="57" t="s">
        <v>2225</v>
      </c>
      <c r="I2031" s="134" t="s">
        <v>10260</v>
      </c>
      <c r="J2031" s="22" t="s">
        <v>8564</v>
      </c>
      <c r="K2031" s="22"/>
      <c r="L2031" s="36">
        <v>660.0</v>
      </c>
      <c r="M2031" s="36">
        <v>15.0</v>
      </c>
      <c r="N2031" s="36"/>
      <c r="O2031" s="36"/>
      <c r="P2031" s="37"/>
      <c r="Q2031" s="36"/>
      <c r="R2031" s="36"/>
      <c r="S2031" s="36"/>
      <c r="T2031" s="252" t="s">
        <v>10261</v>
      </c>
      <c r="U2031" s="38" t="str">
        <f>HYPERLINK("https://www.ncbi.nlm.nih.gov/pubmed/25558230","PubMed")</f>
        <v>PubMed</v>
      </c>
      <c r="V2031" s="50"/>
      <c r="W2031" s="49"/>
      <c r="X2031" s="49"/>
      <c r="Y2031" s="35"/>
      <c r="Z2031" s="35"/>
      <c r="AA2031" s="35"/>
      <c r="AB2031" s="35"/>
      <c r="AC2031" s="35"/>
      <c r="AD2031" s="35"/>
      <c r="AE2031" s="35"/>
      <c r="AF2031" s="35"/>
      <c r="AG2031" s="35"/>
      <c r="AH2031" s="35"/>
      <c r="AI2031" s="35"/>
      <c r="AJ2031" s="35"/>
      <c r="AK2031" s="35"/>
      <c r="AL2031" s="35"/>
    </row>
    <row r="2032">
      <c r="A2032" s="55"/>
      <c r="B2032" s="19" t="s">
        <v>9393</v>
      </c>
      <c r="C2032" s="20" t="s">
        <v>10250</v>
      </c>
      <c r="D2032" s="47"/>
      <c r="E2032" s="22" t="s">
        <v>10262</v>
      </c>
      <c r="F2032" s="22" t="s">
        <v>10263</v>
      </c>
      <c r="G2032" s="57">
        <v>2013.0</v>
      </c>
      <c r="H2032" s="57" t="s">
        <v>627</v>
      </c>
      <c r="I2032" s="134" t="s">
        <v>10264</v>
      </c>
      <c r="J2032" s="22" t="s">
        <v>55</v>
      </c>
      <c r="K2032" s="22" t="s">
        <v>10265</v>
      </c>
      <c r="L2032" s="36">
        <v>670.0</v>
      </c>
      <c r="M2032" s="36"/>
      <c r="N2032" s="36"/>
      <c r="O2032" s="36"/>
      <c r="P2032" s="37"/>
      <c r="Q2032" s="36"/>
      <c r="R2032" s="36"/>
      <c r="S2032" s="36"/>
      <c r="T2032" s="252" t="s">
        <v>10266</v>
      </c>
      <c r="U2032" s="38" t="str">
        <f>HYPERLINK("https://www.ncbi.nlm.nih.gov/pubmed/23840470","PubMed")</f>
        <v>PubMed</v>
      </c>
      <c r="V2032" s="50"/>
      <c r="W2032" s="49"/>
      <c r="X2032" s="49"/>
      <c r="Y2032" s="35"/>
      <c r="Z2032" s="35"/>
      <c r="AA2032" s="35"/>
      <c r="AB2032" s="35"/>
      <c r="AC2032" s="35"/>
      <c r="AD2032" s="35"/>
      <c r="AE2032" s="35"/>
      <c r="AF2032" s="35"/>
      <c r="AG2032" s="35"/>
      <c r="AH2032" s="35"/>
      <c r="AI2032" s="35"/>
      <c r="AJ2032" s="35"/>
      <c r="AK2032" s="35"/>
      <c r="AL2032" s="35"/>
    </row>
    <row r="2033">
      <c r="A2033" s="205" t="s">
        <v>2</v>
      </c>
      <c r="B2033" s="19" t="s">
        <v>9393</v>
      </c>
      <c r="C2033" s="20" t="s">
        <v>10250</v>
      </c>
      <c r="D2033" s="47"/>
      <c r="E2033" s="174" t="s">
        <v>3092</v>
      </c>
      <c r="F2033" s="23" t="s">
        <v>10263</v>
      </c>
      <c r="G2033" s="174">
        <v>2010.0</v>
      </c>
      <c r="H2033" s="174" t="s">
        <v>2809</v>
      </c>
      <c r="I2033" s="175" t="s">
        <v>10267</v>
      </c>
      <c r="J2033" s="23" t="s">
        <v>55</v>
      </c>
      <c r="K2033" s="22" t="s">
        <v>157</v>
      </c>
      <c r="L2033" s="36">
        <v>670.0</v>
      </c>
      <c r="M2033" s="36"/>
      <c r="N2033" s="36" t="s">
        <v>10268</v>
      </c>
      <c r="O2033" s="36"/>
      <c r="P2033" s="37"/>
      <c r="Q2033" s="36"/>
      <c r="R2033" s="36">
        <v>1800.0</v>
      </c>
      <c r="S2033" s="36"/>
      <c r="T2033" s="252" t="s">
        <v>10269</v>
      </c>
      <c r="U2033" s="250" t="str">
        <f>HYPERLINK("https://www.ncbi.nlm.nih.gov/pubmed/20822460","PubMed")</f>
        <v>PubMed</v>
      </c>
      <c r="V2033" s="251"/>
      <c r="W2033" s="49"/>
      <c r="X2033" s="49"/>
      <c r="Y2033" s="35"/>
      <c r="Z2033" s="35"/>
      <c r="AA2033" s="35"/>
      <c r="AB2033" s="35"/>
      <c r="AC2033" s="35"/>
      <c r="AD2033" s="35"/>
      <c r="AE2033" s="35"/>
      <c r="AF2033" s="35"/>
      <c r="AG2033" s="35"/>
      <c r="AH2033" s="35"/>
      <c r="AI2033" s="35"/>
      <c r="AJ2033" s="35"/>
      <c r="AK2033" s="35"/>
      <c r="AL2033" s="35"/>
    </row>
    <row r="2034">
      <c r="A2034" s="253"/>
      <c r="B2034" s="19" t="s">
        <v>9393</v>
      </c>
      <c r="C2034" s="20" t="s">
        <v>10250</v>
      </c>
      <c r="D2034" s="47"/>
      <c r="E2034" s="22" t="s">
        <v>3271</v>
      </c>
      <c r="F2034" s="22" t="s">
        <v>2130</v>
      </c>
      <c r="G2034" s="23">
        <v>2008.0</v>
      </c>
      <c r="H2034" s="22" t="s">
        <v>2584</v>
      </c>
      <c r="I2034" s="254" t="s">
        <v>10270</v>
      </c>
      <c r="J2034" s="22" t="s">
        <v>55</v>
      </c>
      <c r="K2034" s="23" t="s">
        <v>10271</v>
      </c>
      <c r="L2034" s="36">
        <v>633.0</v>
      </c>
      <c r="M2034" s="129"/>
      <c r="N2034" s="36" t="s">
        <v>5674</v>
      </c>
      <c r="O2034" s="36"/>
      <c r="P2034" s="37" t="s">
        <v>7754</v>
      </c>
      <c r="Q2034" s="36" t="s">
        <v>10272</v>
      </c>
      <c r="R2034" s="36">
        <v>1800.0</v>
      </c>
      <c r="S2034" s="183">
        <v>42554.0</v>
      </c>
      <c r="T2034" s="252" t="s">
        <v>10273</v>
      </c>
      <c r="U2034" s="250" t="str">
        <f>HYPERLINK("https://www.ncbi.nlm.nih.gov/pubmed/19074024","PubMed")</f>
        <v>PubMed</v>
      </c>
      <c r="V2034" s="30"/>
      <c r="W2034" s="49"/>
      <c r="X2034" s="49"/>
      <c r="Y2034" s="35"/>
      <c r="Z2034" s="35"/>
      <c r="AA2034" s="35"/>
      <c r="AB2034" s="35"/>
      <c r="AC2034" s="35"/>
      <c r="AD2034" s="35"/>
      <c r="AE2034" s="35"/>
      <c r="AF2034" s="35"/>
      <c r="AG2034" s="35"/>
      <c r="AH2034" s="35"/>
      <c r="AI2034" s="35"/>
      <c r="AJ2034" s="35"/>
      <c r="AK2034" s="35"/>
      <c r="AL2034" s="35"/>
    </row>
    <row r="2035">
      <c r="A2035" s="133"/>
      <c r="B2035" s="19" t="s">
        <v>9393</v>
      </c>
      <c r="C2035" s="20" t="s">
        <v>10250</v>
      </c>
      <c r="D2035" s="47"/>
      <c r="E2035" s="174" t="s">
        <v>10274</v>
      </c>
      <c r="F2035" s="22" t="s">
        <v>1426</v>
      </c>
      <c r="G2035" s="174">
        <v>1993.0</v>
      </c>
      <c r="H2035" s="174" t="s">
        <v>53</v>
      </c>
      <c r="I2035" s="175" t="s">
        <v>10275</v>
      </c>
      <c r="J2035" s="23" t="s">
        <v>55</v>
      </c>
      <c r="K2035" s="23" t="s">
        <v>10276</v>
      </c>
      <c r="L2035" s="36">
        <v>633.0</v>
      </c>
      <c r="M2035" s="129">
        <v>42865.0</v>
      </c>
      <c r="N2035" s="36"/>
      <c r="O2035" s="36"/>
      <c r="P2035" s="37"/>
      <c r="Q2035" s="36"/>
      <c r="R2035" s="36" t="s">
        <v>10277</v>
      </c>
      <c r="S2035" s="36">
        <v>14.0</v>
      </c>
      <c r="T2035" s="28" t="s">
        <v>10278</v>
      </c>
      <c r="U2035" s="250" t="str">
        <f>HYPERLINK("https://www.ncbi.nlm.nih.gov/pubmed/8295469","PubMed")</f>
        <v>PubMed</v>
      </c>
      <c r="V2035" s="251"/>
      <c r="W2035" s="49"/>
      <c r="X2035" s="49"/>
      <c r="Y2035" s="35"/>
      <c r="Z2035" s="35"/>
      <c r="AA2035" s="35"/>
      <c r="AB2035" s="35"/>
      <c r="AC2035" s="35"/>
      <c r="AD2035" s="35"/>
      <c r="AE2035" s="35"/>
      <c r="AF2035" s="35"/>
      <c r="AG2035" s="35"/>
      <c r="AH2035" s="35"/>
      <c r="AI2035" s="35"/>
      <c r="AJ2035" s="35"/>
      <c r="AK2035" s="35"/>
      <c r="AL2035" s="35"/>
    </row>
    <row r="2036">
      <c r="A2036" s="133"/>
      <c r="B2036" s="19" t="s">
        <v>9393</v>
      </c>
      <c r="C2036" s="20" t="s">
        <v>10250</v>
      </c>
      <c r="D2036" s="47"/>
      <c r="E2036" s="174" t="s">
        <v>10279</v>
      </c>
      <c r="F2036" s="22" t="s">
        <v>291</v>
      </c>
      <c r="G2036" s="174">
        <v>1989.0</v>
      </c>
      <c r="H2036" s="174" t="s">
        <v>3106</v>
      </c>
      <c r="I2036" s="175" t="s">
        <v>10280</v>
      </c>
      <c r="J2036" s="23" t="s">
        <v>55</v>
      </c>
      <c r="K2036" s="23" t="s">
        <v>10250</v>
      </c>
      <c r="L2036" s="36">
        <v>633.0</v>
      </c>
      <c r="M2036" s="36">
        <v>35.0</v>
      </c>
      <c r="N2036" s="36"/>
      <c r="O2036" s="36"/>
      <c r="P2036" s="37"/>
      <c r="Q2036" s="36"/>
      <c r="R2036" s="36"/>
      <c r="S2036" s="36"/>
      <c r="T2036" s="28" t="s">
        <v>10281</v>
      </c>
      <c r="U2036" s="250" t="str">
        <f>HYPERLINK("https://www.ncbi.nlm.nih.gov/pubmed/2702463","PubMed")</f>
        <v>PubMed</v>
      </c>
      <c r="V2036" s="251"/>
      <c r="W2036" s="49"/>
      <c r="X2036" s="49"/>
      <c r="Y2036" s="35"/>
      <c r="Z2036" s="35"/>
      <c r="AA2036" s="35"/>
      <c r="AB2036" s="35"/>
      <c r="AC2036" s="35"/>
      <c r="AD2036" s="35"/>
      <c r="AE2036" s="35"/>
      <c r="AF2036" s="35"/>
      <c r="AG2036" s="35"/>
      <c r="AH2036" s="35"/>
      <c r="AI2036" s="35"/>
      <c r="AJ2036" s="35"/>
      <c r="AK2036" s="35"/>
      <c r="AL2036" s="35"/>
    </row>
    <row r="2037">
      <c r="A2037" s="133"/>
      <c r="B2037" s="19" t="s">
        <v>9393</v>
      </c>
      <c r="C2037" s="20" t="s">
        <v>10250</v>
      </c>
      <c r="D2037" s="47"/>
      <c r="E2037" s="174" t="s">
        <v>10282</v>
      </c>
      <c r="F2037" s="22" t="s">
        <v>1310</v>
      </c>
      <c r="G2037" s="174">
        <v>1987.0</v>
      </c>
      <c r="H2037" s="174" t="s">
        <v>53</v>
      </c>
      <c r="I2037" s="175" t="s">
        <v>10283</v>
      </c>
      <c r="J2037" s="23" t="s">
        <v>253</v>
      </c>
      <c r="K2037" s="23"/>
      <c r="L2037" s="36">
        <v>633.0</v>
      </c>
      <c r="M2037" s="36">
        <v>15.0</v>
      </c>
      <c r="N2037" s="36"/>
      <c r="O2037" s="36"/>
      <c r="P2037" s="37"/>
      <c r="Q2037" s="36"/>
      <c r="R2037" s="36">
        <v>840.0</v>
      </c>
      <c r="S2037" s="36" t="s">
        <v>10284</v>
      </c>
      <c r="T2037" s="28" t="s">
        <v>10285</v>
      </c>
      <c r="U2037" s="250" t="str">
        <f>HYPERLINK("https://www.ncbi.nlm.nih.gov/pubmed/3573936","PubMed")</f>
        <v>PubMed</v>
      </c>
      <c r="V2037" s="251"/>
      <c r="W2037" s="49"/>
      <c r="X2037" s="49"/>
      <c r="Y2037" s="35"/>
      <c r="Z2037" s="35"/>
      <c r="AA2037" s="35"/>
      <c r="AB2037" s="35"/>
      <c r="AC2037" s="35"/>
      <c r="AD2037" s="35"/>
      <c r="AE2037" s="35"/>
      <c r="AF2037" s="35"/>
      <c r="AG2037" s="35"/>
      <c r="AH2037" s="35"/>
      <c r="AI2037" s="35"/>
      <c r="AJ2037" s="35"/>
      <c r="AK2037" s="35"/>
      <c r="AL2037" s="35"/>
    </row>
    <row r="2038">
      <c r="A2038" s="133"/>
      <c r="B2038" s="19" t="s">
        <v>9393</v>
      </c>
      <c r="C2038" s="20" t="s">
        <v>10286</v>
      </c>
      <c r="D2038" s="47"/>
      <c r="E2038" s="174" t="s">
        <v>1369</v>
      </c>
      <c r="F2038" s="22" t="s">
        <v>217</v>
      </c>
      <c r="G2038" s="174">
        <v>2015.0</v>
      </c>
      <c r="H2038" s="174" t="s">
        <v>7367</v>
      </c>
      <c r="I2038" s="175" t="s">
        <v>10287</v>
      </c>
      <c r="J2038" s="23" t="s">
        <v>10288</v>
      </c>
      <c r="K2038" s="23" t="s">
        <v>10289</v>
      </c>
      <c r="L2038" s="36">
        <v>633.0</v>
      </c>
      <c r="M2038" s="36"/>
      <c r="N2038" s="36"/>
      <c r="O2038" s="36"/>
      <c r="P2038" s="37"/>
      <c r="Q2038" s="36"/>
      <c r="R2038" s="36">
        <v>900.0</v>
      </c>
      <c r="S2038" s="36" t="s">
        <v>10290</v>
      </c>
      <c r="T2038" s="28" t="s">
        <v>10291</v>
      </c>
      <c r="U2038" s="250" t="str">
        <f>HYPERLINK("https://www.ncbi.nlm.nih.gov/pubmed/26622442","PubMed")</f>
        <v>PubMed</v>
      </c>
      <c r="V2038" s="251"/>
      <c r="W2038" s="49"/>
      <c r="X2038" s="49"/>
      <c r="Y2038" s="35"/>
      <c r="Z2038" s="35"/>
      <c r="AA2038" s="35"/>
      <c r="AB2038" s="35"/>
      <c r="AC2038" s="35"/>
      <c r="AD2038" s="35"/>
      <c r="AE2038" s="35"/>
      <c r="AF2038" s="35"/>
      <c r="AG2038" s="35"/>
      <c r="AH2038" s="35"/>
      <c r="AI2038" s="35"/>
      <c r="AJ2038" s="35"/>
      <c r="AK2038" s="35"/>
      <c r="AL2038" s="35"/>
    </row>
    <row r="2039">
      <c r="A2039" s="133"/>
      <c r="B2039" s="19" t="s">
        <v>9393</v>
      </c>
      <c r="C2039" s="20" t="s">
        <v>3930</v>
      </c>
      <c r="D2039" s="47"/>
      <c r="E2039" s="174" t="s">
        <v>10292</v>
      </c>
      <c r="F2039" s="22" t="s">
        <v>10116</v>
      </c>
      <c r="G2039" s="174">
        <v>2022.0</v>
      </c>
      <c r="H2039" s="174" t="s">
        <v>10117</v>
      </c>
      <c r="I2039" s="175" t="s">
        <v>10293</v>
      </c>
      <c r="J2039" s="23" t="s">
        <v>10294</v>
      </c>
      <c r="K2039" s="23"/>
      <c r="L2039" s="36">
        <v>650.0</v>
      </c>
      <c r="M2039" s="36"/>
      <c r="N2039" s="36"/>
      <c r="O2039" s="36"/>
      <c r="P2039" s="37"/>
      <c r="Q2039" s="36"/>
      <c r="R2039" s="36">
        <v>180.0</v>
      </c>
      <c r="S2039" s="36">
        <v>1.0</v>
      </c>
      <c r="T2039" s="42" t="s">
        <v>10295</v>
      </c>
      <c r="U2039" s="255" t="s">
        <v>61</v>
      </c>
      <c r="V2039" s="251"/>
      <c r="W2039" s="49"/>
      <c r="X2039" s="49"/>
      <c r="Y2039" s="35"/>
      <c r="Z2039" s="35"/>
      <c r="AA2039" s="35"/>
      <c r="AB2039" s="35"/>
      <c r="AC2039" s="35"/>
      <c r="AD2039" s="35"/>
      <c r="AE2039" s="35"/>
      <c r="AF2039" s="35"/>
      <c r="AG2039" s="35"/>
      <c r="AH2039" s="35"/>
      <c r="AI2039" s="35"/>
      <c r="AJ2039" s="35"/>
      <c r="AK2039" s="35"/>
      <c r="AL2039" s="35"/>
    </row>
    <row r="2040">
      <c r="A2040" s="133"/>
      <c r="B2040" s="19" t="s">
        <v>9393</v>
      </c>
      <c r="C2040" s="20" t="s">
        <v>10296</v>
      </c>
      <c r="D2040" s="47"/>
      <c r="E2040" s="174" t="s">
        <v>10297</v>
      </c>
      <c r="F2040" s="22" t="s">
        <v>1943</v>
      </c>
      <c r="G2040" s="174">
        <v>2021.0</v>
      </c>
      <c r="H2040" s="174" t="s">
        <v>147</v>
      </c>
      <c r="I2040" s="175" t="s">
        <v>10298</v>
      </c>
      <c r="J2040" s="23" t="s">
        <v>55</v>
      </c>
      <c r="K2040" s="23" t="s">
        <v>157</v>
      </c>
      <c r="L2040" s="36">
        <v>670.0</v>
      </c>
      <c r="M2040" s="36"/>
      <c r="N2040" s="36" t="s">
        <v>3911</v>
      </c>
      <c r="O2040" s="36"/>
      <c r="P2040" s="37" t="s">
        <v>2395</v>
      </c>
      <c r="Q2040" s="36"/>
      <c r="R2040" s="36">
        <v>90.0</v>
      </c>
      <c r="S2040" s="36">
        <v>2.0</v>
      </c>
      <c r="T2040" s="252" t="s">
        <v>10299</v>
      </c>
      <c r="U2040" s="138" t="s">
        <v>61</v>
      </c>
      <c r="V2040" s="139"/>
      <c r="W2040" s="49"/>
      <c r="X2040" s="49"/>
      <c r="Y2040" s="35"/>
      <c r="Z2040" s="35"/>
      <c r="AA2040" s="35"/>
      <c r="AB2040" s="35"/>
      <c r="AC2040" s="35"/>
      <c r="AD2040" s="35"/>
      <c r="AE2040" s="35"/>
      <c r="AF2040" s="35"/>
      <c r="AG2040" s="35"/>
      <c r="AH2040" s="35"/>
      <c r="AI2040" s="35"/>
      <c r="AJ2040" s="35"/>
      <c r="AK2040" s="35"/>
      <c r="AL2040" s="35"/>
    </row>
    <row r="2041">
      <c r="A2041" s="133"/>
      <c r="B2041" s="19" t="s">
        <v>9393</v>
      </c>
      <c r="C2041" s="20" t="s">
        <v>10296</v>
      </c>
      <c r="D2041" s="47"/>
      <c r="E2041" s="174" t="s">
        <v>10300</v>
      </c>
      <c r="F2041" s="22" t="s">
        <v>10301</v>
      </c>
      <c r="G2041" s="174">
        <v>2019.0</v>
      </c>
      <c r="H2041" s="174" t="s">
        <v>10302</v>
      </c>
      <c r="I2041" s="175" t="s">
        <v>10303</v>
      </c>
      <c r="J2041" s="23" t="s">
        <v>10304</v>
      </c>
      <c r="K2041" s="23" t="s">
        <v>157</v>
      </c>
      <c r="L2041" s="36">
        <v>670.0</v>
      </c>
      <c r="M2041" s="36"/>
      <c r="N2041" s="36"/>
      <c r="O2041" s="36"/>
      <c r="P2041" s="37" t="s">
        <v>2395</v>
      </c>
      <c r="Q2041" s="36"/>
      <c r="R2041" s="36">
        <v>900.0</v>
      </c>
      <c r="S2041" s="36" t="s">
        <v>10305</v>
      </c>
      <c r="T2041" s="252" t="s">
        <v>10306</v>
      </c>
      <c r="U2041" s="135" t="str">
        <f>HYPERLINK("https://www.ncbi.nlm.nih.gov/pubmed/31430763","PubMed")</f>
        <v>PubMed</v>
      </c>
      <c r="V2041" s="139"/>
      <c r="W2041" s="49"/>
      <c r="X2041" s="49"/>
      <c r="Y2041" s="35"/>
      <c r="Z2041" s="35"/>
      <c r="AA2041" s="35"/>
      <c r="AB2041" s="35"/>
      <c r="AC2041" s="35"/>
      <c r="AD2041" s="35"/>
      <c r="AE2041" s="35"/>
      <c r="AF2041" s="35"/>
      <c r="AG2041" s="35"/>
      <c r="AH2041" s="35"/>
      <c r="AI2041" s="35"/>
      <c r="AJ2041" s="35"/>
      <c r="AK2041" s="35"/>
      <c r="AL2041" s="35"/>
    </row>
    <row r="2042">
      <c r="A2042" s="1"/>
      <c r="B2042" s="19" t="s">
        <v>9393</v>
      </c>
      <c r="C2042" s="20" t="s">
        <v>10296</v>
      </c>
      <c r="D2042" s="47"/>
      <c r="E2042" s="22" t="s">
        <v>10300</v>
      </c>
      <c r="F2042" s="22" t="s">
        <v>9927</v>
      </c>
      <c r="G2042" s="23">
        <v>2015.0</v>
      </c>
      <c r="H2042" s="22" t="s">
        <v>10307</v>
      </c>
      <c r="I2042" s="24" t="s">
        <v>10308</v>
      </c>
      <c r="J2042" s="22" t="s">
        <v>10309</v>
      </c>
      <c r="K2042" s="22"/>
      <c r="L2042" s="36">
        <v>670.0</v>
      </c>
      <c r="M2042" s="36"/>
      <c r="N2042" s="36"/>
      <c r="O2042" s="36"/>
      <c r="P2042" s="37" t="s">
        <v>2395</v>
      </c>
      <c r="Q2042" s="36"/>
      <c r="R2042" s="36"/>
      <c r="S2042" s="36" t="s">
        <v>10310</v>
      </c>
      <c r="T2042" s="28" t="s">
        <v>10311</v>
      </c>
      <c r="U2042" s="38" t="str">
        <f>HYPERLINK("https://www.ncbi.nlm.nih.gov/pubmed/25695843","PubMed")</f>
        <v>PubMed</v>
      </c>
      <c r="V2042" s="30"/>
      <c r="W2042" s="49"/>
      <c r="X2042" s="49"/>
      <c r="Y2042" s="35"/>
      <c r="Z2042" s="35"/>
      <c r="AA2042" s="35"/>
      <c r="AB2042" s="35"/>
      <c r="AC2042" s="35"/>
      <c r="AD2042" s="35"/>
      <c r="AE2042" s="35"/>
      <c r="AF2042" s="35"/>
      <c r="AG2042" s="35"/>
      <c r="AH2042" s="35"/>
      <c r="AI2042" s="35"/>
      <c r="AJ2042" s="35"/>
      <c r="AK2042" s="35"/>
      <c r="AL2042" s="35"/>
    </row>
    <row r="2043">
      <c r="A2043" s="133"/>
      <c r="B2043" s="19" t="s">
        <v>9393</v>
      </c>
      <c r="C2043" s="20" t="s">
        <v>10296</v>
      </c>
      <c r="D2043" s="47"/>
      <c r="E2043" s="174" t="s">
        <v>114</v>
      </c>
      <c r="F2043" s="22" t="s">
        <v>9527</v>
      </c>
      <c r="G2043" s="174">
        <v>2014.0</v>
      </c>
      <c r="H2043" s="174" t="s">
        <v>2479</v>
      </c>
      <c r="I2043" s="175" t="s">
        <v>10312</v>
      </c>
      <c r="J2043" s="23" t="s">
        <v>55</v>
      </c>
      <c r="K2043" s="23" t="s">
        <v>157</v>
      </c>
      <c r="L2043" s="36">
        <v>670.0</v>
      </c>
      <c r="M2043" s="36"/>
      <c r="N2043" s="36"/>
      <c r="O2043" s="36"/>
      <c r="P2043" s="37" t="s">
        <v>2395</v>
      </c>
      <c r="Q2043" s="36"/>
      <c r="R2043" s="36">
        <v>180.0</v>
      </c>
      <c r="S2043" s="36"/>
      <c r="T2043" s="252" t="s">
        <v>10313</v>
      </c>
      <c r="U2043" s="135" t="str">
        <f>HYPERLINK("https://www.ncbi.nlm.nih.gov/pubmed/25071966","PubMed")</f>
        <v>PubMed</v>
      </c>
      <c r="V2043" s="139"/>
      <c r="W2043" s="49"/>
      <c r="X2043" s="49"/>
      <c r="Y2043" s="35"/>
      <c r="Z2043" s="35"/>
      <c r="AA2043" s="35"/>
      <c r="AB2043" s="35"/>
      <c r="AC2043" s="35"/>
      <c r="AD2043" s="35"/>
      <c r="AE2043" s="35"/>
      <c r="AF2043" s="35"/>
      <c r="AG2043" s="35"/>
      <c r="AH2043" s="35"/>
      <c r="AI2043" s="35"/>
      <c r="AJ2043" s="35"/>
      <c r="AK2043" s="35"/>
      <c r="AL2043" s="35"/>
    </row>
    <row r="2044">
      <c r="A2044" s="133"/>
      <c r="B2044" s="19" t="s">
        <v>9393</v>
      </c>
      <c r="C2044" s="20" t="s">
        <v>10296</v>
      </c>
      <c r="D2044" s="47"/>
      <c r="E2044" s="174" t="s">
        <v>9836</v>
      </c>
      <c r="F2044" s="22" t="s">
        <v>9527</v>
      </c>
      <c r="G2044" s="174">
        <v>2013.0</v>
      </c>
      <c r="H2044" s="174" t="s">
        <v>627</v>
      </c>
      <c r="I2044" s="175" t="s">
        <v>10314</v>
      </c>
      <c r="J2044" s="23" t="s">
        <v>10315</v>
      </c>
      <c r="K2044" s="23" t="s">
        <v>10316</v>
      </c>
      <c r="L2044" s="36">
        <v>670.0</v>
      </c>
      <c r="M2044" s="36"/>
      <c r="N2044" s="36"/>
      <c r="O2044" s="36"/>
      <c r="P2044" s="37" t="s">
        <v>2395</v>
      </c>
      <c r="Q2044" s="36"/>
      <c r="R2044" s="36">
        <v>180.0</v>
      </c>
      <c r="S2044" s="36" t="s">
        <v>10317</v>
      </c>
      <c r="T2044" s="252" t="s">
        <v>10318</v>
      </c>
      <c r="U2044" s="135" t="str">
        <f>HYPERLINK("https://www.ncbi.nlm.nih.gov/pubmed/23951291/","PubMed")</f>
        <v>PubMed</v>
      </c>
      <c r="V2044" s="139"/>
      <c r="W2044" s="49"/>
      <c r="X2044" s="49"/>
      <c r="Y2044" s="35"/>
      <c r="Z2044" s="35"/>
      <c r="AA2044" s="35"/>
      <c r="AB2044" s="35"/>
      <c r="AC2044" s="35"/>
      <c r="AD2044" s="35"/>
      <c r="AE2044" s="35"/>
      <c r="AF2044" s="35"/>
      <c r="AG2044" s="35"/>
      <c r="AH2044" s="35"/>
      <c r="AI2044" s="35"/>
      <c r="AJ2044" s="35"/>
      <c r="AK2044" s="35"/>
      <c r="AL2044" s="35"/>
    </row>
    <row r="2045">
      <c r="A2045" s="133"/>
      <c r="B2045" s="19" t="s">
        <v>9393</v>
      </c>
      <c r="C2045" s="20" t="s">
        <v>10319</v>
      </c>
      <c r="D2045" s="47"/>
      <c r="E2045" s="174" t="s">
        <v>6053</v>
      </c>
      <c r="F2045" s="23" t="s">
        <v>10320</v>
      </c>
      <c r="G2045" s="174">
        <v>2015.0</v>
      </c>
      <c r="H2045" s="174" t="s">
        <v>91</v>
      </c>
      <c r="I2045" s="175" t="s">
        <v>10321</v>
      </c>
      <c r="J2045" s="23" t="s">
        <v>55</v>
      </c>
      <c r="K2045" s="23" t="s">
        <v>10322</v>
      </c>
      <c r="L2045" s="36">
        <v>810.0</v>
      </c>
      <c r="M2045" s="36">
        <v>60.0</v>
      </c>
      <c r="N2045" s="36"/>
      <c r="O2045" s="36"/>
      <c r="P2045" s="37" t="s">
        <v>10323</v>
      </c>
      <c r="Q2045" s="36"/>
      <c r="R2045" s="36">
        <v>60.0</v>
      </c>
      <c r="S2045" s="36"/>
      <c r="T2045" s="54" t="s">
        <v>10324</v>
      </c>
      <c r="U2045" s="265" t="s">
        <v>61</v>
      </c>
      <c r="V2045" s="251" t="s">
        <v>9967</v>
      </c>
      <c r="W2045" s="49"/>
      <c r="X2045" s="49"/>
      <c r="Y2045" s="35"/>
      <c r="Z2045" s="35"/>
      <c r="AA2045" s="35"/>
      <c r="AB2045" s="35"/>
      <c r="AC2045" s="35"/>
      <c r="AD2045" s="35"/>
      <c r="AE2045" s="35"/>
      <c r="AF2045" s="35"/>
      <c r="AG2045" s="35"/>
      <c r="AH2045" s="35"/>
      <c r="AI2045" s="35"/>
      <c r="AJ2045" s="35"/>
      <c r="AK2045" s="35"/>
      <c r="AL2045" s="35"/>
    </row>
    <row r="2046">
      <c r="A2046" s="253"/>
      <c r="B2046" s="19" t="s">
        <v>9393</v>
      </c>
      <c r="C2046" s="20" t="s">
        <v>10325</v>
      </c>
      <c r="D2046" s="47"/>
      <c r="E2046" s="22" t="s">
        <v>10326</v>
      </c>
      <c r="F2046" s="22" t="s">
        <v>5987</v>
      </c>
      <c r="G2046" s="23">
        <v>2022.0</v>
      </c>
      <c r="H2046" s="22" t="s">
        <v>8884</v>
      </c>
      <c r="I2046" s="254" t="s">
        <v>10327</v>
      </c>
      <c r="J2046" s="23" t="s">
        <v>10328</v>
      </c>
      <c r="K2046" s="23"/>
      <c r="L2046" s="36" t="s">
        <v>9423</v>
      </c>
      <c r="M2046" s="36"/>
      <c r="N2046" s="36"/>
      <c r="O2046" s="36"/>
      <c r="P2046" s="37"/>
      <c r="Q2046" s="36"/>
      <c r="R2046" s="36" t="s">
        <v>10329</v>
      </c>
      <c r="S2046" s="36" t="s">
        <v>2688</v>
      </c>
      <c r="T2046" s="259" t="s">
        <v>10330</v>
      </c>
      <c r="U2046" s="255" t="s">
        <v>61</v>
      </c>
      <c r="V2046" s="30" t="s">
        <v>10331</v>
      </c>
      <c r="W2046" s="49"/>
      <c r="X2046" s="49"/>
      <c r="Y2046" s="35"/>
      <c r="Z2046" s="35"/>
      <c r="AA2046" s="35"/>
      <c r="AB2046" s="35"/>
      <c r="AC2046" s="35"/>
      <c r="AD2046" s="35"/>
      <c r="AE2046" s="35"/>
      <c r="AF2046" s="35"/>
      <c r="AG2046" s="35"/>
      <c r="AH2046" s="35"/>
      <c r="AI2046" s="35"/>
      <c r="AJ2046" s="35"/>
      <c r="AK2046" s="35"/>
      <c r="AL2046" s="35"/>
    </row>
    <row r="2047">
      <c r="A2047" s="253"/>
      <c r="B2047" s="19" t="s">
        <v>9393</v>
      </c>
      <c r="C2047" s="20" t="s">
        <v>10332</v>
      </c>
      <c r="D2047" s="47"/>
      <c r="E2047" s="22" t="s">
        <v>10333</v>
      </c>
      <c r="F2047" s="22" t="s">
        <v>1398</v>
      </c>
      <c r="G2047" s="23">
        <v>2007.0</v>
      </c>
      <c r="H2047" s="22" t="s">
        <v>7468</v>
      </c>
      <c r="I2047" s="254" t="s">
        <v>10334</v>
      </c>
      <c r="J2047" s="22" t="s">
        <v>10335</v>
      </c>
      <c r="K2047" s="23" t="s">
        <v>10336</v>
      </c>
      <c r="L2047" s="36" t="s">
        <v>3447</v>
      </c>
      <c r="M2047" s="36">
        <v>920.0</v>
      </c>
      <c r="N2047" s="36"/>
      <c r="O2047" s="36"/>
      <c r="P2047" s="37"/>
      <c r="Q2047" s="36"/>
      <c r="R2047" s="36">
        <v>600.0</v>
      </c>
      <c r="S2047" s="36" t="s">
        <v>10337</v>
      </c>
      <c r="T2047" s="252" t="s">
        <v>10338</v>
      </c>
      <c r="U2047" s="250" t="str">
        <f>HYPERLINK("https://www.ncbi.nlm.nih.gov/pubmed/17384474","PubMed")</f>
        <v>PubMed</v>
      </c>
      <c r="V2047" s="30" t="s">
        <v>10339</v>
      </c>
      <c r="W2047" s="49"/>
      <c r="X2047" s="49"/>
      <c r="Y2047" s="35"/>
      <c r="Z2047" s="35"/>
      <c r="AA2047" s="35"/>
      <c r="AB2047" s="35"/>
      <c r="AC2047" s="35"/>
      <c r="AD2047" s="35"/>
      <c r="AE2047" s="35"/>
      <c r="AF2047" s="35"/>
      <c r="AG2047" s="35"/>
      <c r="AH2047" s="35"/>
      <c r="AI2047" s="35"/>
      <c r="AJ2047" s="35"/>
      <c r="AK2047" s="35"/>
      <c r="AL2047" s="35"/>
    </row>
    <row r="2048">
      <c r="A2048" s="133"/>
      <c r="B2048" s="19" t="s">
        <v>9393</v>
      </c>
      <c r="C2048" s="20" t="s">
        <v>10340</v>
      </c>
      <c r="D2048" s="47"/>
      <c r="E2048" s="174" t="s">
        <v>10341</v>
      </c>
      <c r="F2048" s="23" t="s">
        <v>3885</v>
      </c>
      <c r="G2048" s="174">
        <v>2023.0</v>
      </c>
      <c r="H2048" s="174" t="s">
        <v>10342</v>
      </c>
      <c r="I2048" s="175" t="s">
        <v>10343</v>
      </c>
      <c r="J2048" s="23" t="s">
        <v>2273</v>
      </c>
      <c r="K2048" s="23"/>
      <c r="L2048" s="36"/>
      <c r="M2048" s="36"/>
      <c r="N2048" s="36"/>
      <c r="O2048" s="129"/>
      <c r="P2048" s="37"/>
      <c r="Q2048" s="36"/>
      <c r="R2048" s="36"/>
      <c r="S2048" s="36">
        <v>9.0</v>
      </c>
      <c r="T2048" s="54" t="s">
        <v>10344</v>
      </c>
      <c r="U2048" s="255" t="s">
        <v>61</v>
      </c>
      <c r="V2048" s="251"/>
      <c r="W2048" s="49"/>
      <c r="X2048" s="49"/>
      <c r="Y2048" s="35"/>
      <c r="Z2048" s="35"/>
      <c r="AA2048" s="35"/>
      <c r="AB2048" s="35"/>
      <c r="AC2048" s="35"/>
      <c r="AD2048" s="35"/>
      <c r="AE2048" s="35"/>
      <c r="AF2048" s="35"/>
      <c r="AG2048" s="35"/>
      <c r="AH2048" s="35"/>
      <c r="AI2048" s="35"/>
      <c r="AJ2048" s="35"/>
      <c r="AK2048" s="35"/>
      <c r="AL2048" s="35"/>
    </row>
    <row r="2049">
      <c r="A2049" s="133"/>
      <c r="B2049" s="19" t="s">
        <v>9393</v>
      </c>
      <c r="C2049" s="20" t="s">
        <v>10340</v>
      </c>
      <c r="D2049" s="47"/>
      <c r="E2049" s="174" t="s">
        <v>10345</v>
      </c>
      <c r="F2049" s="23" t="s">
        <v>9395</v>
      </c>
      <c r="G2049" s="174">
        <v>2022.0</v>
      </c>
      <c r="H2049" s="174" t="s">
        <v>10346</v>
      </c>
      <c r="I2049" s="175" t="s">
        <v>10347</v>
      </c>
      <c r="J2049" s="23" t="s">
        <v>10348</v>
      </c>
      <c r="K2049" s="23"/>
      <c r="L2049" s="36">
        <v>670.0</v>
      </c>
      <c r="M2049" s="36"/>
      <c r="N2049" s="36" t="s">
        <v>10349</v>
      </c>
      <c r="O2049" s="129"/>
      <c r="P2049" s="37"/>
      <c r="Q2049" s="36"/>
      <c r="R2049" s="36" t="s">
        <v>10350</v>
      </c>
      <c r="S2049" s="36" t="s">
        <v>2099</v>
      </c>
      <c r="T2049" s="102" t="s">
        <v>10351</v>
      </c>
      <c r="U2049" s="248" t="s">
        <v>61</v>
      </c>
      <c r="V2049" s="251" t="s">
        <v>10352</v>
      </c>
      <c r="W2049" s="49"/>
      <c r="X2049" s="49"/>
      <c r="Y2049" s="35"/>
      <c r="Z2049" s="35"/>
      <c r="AA2049" s="35"/>
      <c r="AB2049" s="35"/>
      <c r="AC2049" s="35"/>
      <c r="AD2049" s="35"/>
      <c r="AE2049" s="35"/>
      <c r="AF2049" s="35"/>
      <c r="AG2049" s="35"/>
      <c r="AH2049" s="35"/>
      <c r="AI2049" s="35"/>
      <c r="AJ2049" s="35"/>
      <c r="AK2049" s="35"/>
      <c r="AL2049" s="35"/>
    </row>
    <row r="2050">
      <c r="A2050" s="133"/>
      <c r="B2050" s="19" t="s">
        <v>9393</v>
      </c>
      <c r="C2050" s="20" t="s">
        <v>10340</v>
      </c>
      <c r="D2050" s="47"/>
      <c r="E2050" s="174" t="s">
        <v>10353</v>
      </c>
      <c r="F2050" s="23" t="s">
        <v>1173</v>
      </c>
      <c r="G2050" s="174">
        <v>2020.0</v>
      </c>
      <c r="H2050" s="174" t="s">
        <v>2181</v>
      </c>
      <c r="I2050" s="175" t="s">
        <v>10354</v>
      </c>
      <c r="J2050" s="23" t="s">
        <v>55</v>
      </c>
      <c r="K2050" s="23" t="s">
        <v>157</v>
      </c>
      <c r="L2050" s="36">
        <v>830.0</v>
      </c>
      <c r="M2050" s="36"/>
      <c r="N2050" s="36" t="s">
        <v>1018</v>
      </c>
      <c r="O2050" s="129"/>
      <c r="P2050" s="37" t="s">
        <v>2366</v>
      </c>
      <c r="Q2050" s="36"/>
      <c r="R2050" s="36">
        <v>180.0</v>
      </c>
      <c r="S2050" s="36"/>
      <c r="T2050" s="54" t="s">
        <v>10355</v>
      </c>
      <c r="U2050" s="248" t="s">
        <v>61</v>
      </c>
      <c r="V2050" s="251"/>
      <c r="W2050" s="49"/>
      <c r="X2050" s="49"/>
      <c r="Y2050" s="35"/>
      <c r="Z2050" s="35"/>
      <c r="AA2050" s="35"/>
      <c r="AB2050" s="35"/>
      <c r="AC2050" s="35"/>
      <c r="AD2050" s="35"/>
      <c r="AE2050" s="35"/>
      <c r="AF2050" s="35"/>
      <c r="AG2050" s="35"/>
      <c r="AH2050" s="35"/>
      <c r="AI2050" s="35"/>
      <c r="AJ2050" s="35"/>
      <c r="AK2050" s="35"/>
      <c r="AL2050" s="35"/>
    </row>
    <row r="2051">
      <c r="A2051" s="133"/>
      <c r="B2051" s="19" t="s">
        <v>9393</v>
      </c>
      <c r="C2051" s="20" t="s">
        <v>10340</v>
      </c>
      <c r="D2051" s="47"/>
      <c r="E2051" s="174" t="s">
        <v>10356</v>
      </c>
      <c r="F2051" s="23" t="s">
        <v>6013</v>
      </c>
      <c r="G2051" s="174">
        <v>2015.0</v>
      </c>
      <c r="H2051" s="174" t="s">
        <v>10357</v>
      </c>
      <c r="I2051" s="175" t="s">
        <v>10358</v>
      </c>
      <c r="J2051" s="23" t="s">
        <v>10359</v>
      </c>
      <c r="K2051" s="23"/>
      <c r="L2051" s="36">
        <v>633.0</v>
      </c>
      <c r="M2051" s="36"/>
      <c r="N2051" s="36"/>
      <c r="O2051" s="36"/>
      <c r="P2051" s="37"/>
      <c r="Q2051" s="36"/>
      <c r="R2051" s="36">
        <v>180.0</v>
      </c>
      <c r="S2051" s="36">
        <v>10.0</v>
      </c>
      <c r="T2051" s="54" t="s">
        <v>10360</v>
      </c>
      <c r="U2051" s="250" t="str">
        <f>HYPERLINK("http://onlinelibrary.wiley.com/doi/10.1111/j.1755-3768.2015.0376/abstract","Wiley")</f>
        <v>Wiley</v>
      </c>
      <c r="V2051" s="251"/>
      <c r="W2051" s="49"/>
      <c r="X2051" s="49"/>
      <c r="Y2051" s="35"/>
      <c r="Z2051" s="35"/>
      <c r="AA2051" s="35"/>
      <c r="AB2051" s="35"/>
      <c r="AC2051" s="35"/>
      <c r="AD2051" s="35"/>
      <c r="AE2051" s="35"/>
      <c r="AF2051" s="35"/>
      <c r="AG2051" s="35"/>
      <c r="AH2051" s="35"/>
      <c r="AI2051" s="35"/>
      <c r="AJ2051" s="35"/>
      <c r="AK2051" s="35"/>
      <c r="AL2051" s="35"/>
    </row>
    <row r="2052">
      <c r="A2052" s="133"/>
      <c r="B2052" s="19" t="s">
        <v>9393</v>
      </c>
      <c r="C2052" s="20" t="s">
        <v>10340</v>
      </c>
      <c r="D2052" s="47"/>
      <c r="E2052" s="174" t="s">
        <v>9542</v>
      </c>
      <c r="F2052" s="23" t="s">
        <v>8756</v>
      </c>
      <c r="G2052" s="174">
        <v>2014.0</v>
      </c>
      <c r="H2052" s="174" t="s">
        <v>658</v>
      </c>
      <c r="I2052" s="175" t="s">
        <v>10361</v>
      </c>
      <c r="J2052" s="23" t="s">
        <v>10362</v>
      </c>
      <c r="K2052" s="22" t="s">
        <v>10363</v>
      </c>
      <c r="L2052" s="36">
        <v>780.0</v>
      </c>
      <c r="M2052" s="36">
        <v>10.0</v>
      </c>
      <c r="N2052" s="36" t="s">
        <v>10364</v>
      </c>
      <c r="O2052" s="36" t="s">
        <v>431</v>
      </c>
      <c r="P2052" s="37"/>
      <c r="Q2052" s="36"/>
      <c r="R2052" s="36">
        <v>40.0</v>
      </c>
      <c r="S2052" s="36" t="s">
        <v>7986</v>
      </c>
      <c r="T2052" s="252" t="s">
        <v>10365</v>
      </c>
      <c r="U2052" s="135" t="str">
        <f>HYPERLINK("https://www.ncbi.nlm.nih.gov/pubmed/24527959","PubMed")</f>
        <v>PubMed</v>
      </c>
      <c r="V2052" s="139"/>
      <c r="W2052" s="49"/>
      <c r="X2052" s="49"/>
      <c r="Y2052" s="35"/>
      <c r="Z2052" s="35"/>
      <c r="AA2052" s="35"/>
      <c r="AB2052" s="35"/>
      <c r="AC2052" s="35"/>
      <c r="AD2052" s="35"/>
      <c r="AE2052" s="35"/>
      <c r="AF2052" s="35"/>
      <c r="AG2052" s="35"/>
      <c r="AH2052" s="35"/>
      <c r="AI2052" s="35"/>
      <c r="AJ2052" s="35"/>
      <c r="AK2052" s="35"/>
      <c r="AL2052" s="35"/>
    </row>
    <row r="2053">
      <c r="A2053" s="55" t="s">
        <v>38</v>
      </c>
      <c r="B2053" s="19" t="s">
        <v>9393</v>
      </c>
      <c r="C2053" s="20" t="s">
        <v>2036</v>
      </c>
      <c r="D2053" s="47"/>
      <c r="E2053" s="174" t="s">
        <v>10366</v>
      </c>
      <c r="F2053" s="23" t="s">
        <v>41</v>
      </c>
      <c r="G2053" s="174">
        <v>2024.0</v>
      </c>
      <c r="H2053" s="174" t="s">
        <v>9450</v>
      </c>
      <c r="I2053" s="175" t="s">
        <v>10367</v>
      </c>
      <c r="J2053" s="22" t="s">
        <v>125</v>
      </c>
      <c r="K2053" s="22"/>
      <c r="L2053" s="105" t="s">
        <v>10368</v>
      </c>
      <c r="M2053" s="44"/>
      <c r="N2053" s="44"/>
      <c r="O2053" s="44"/>
      <c r="P2053" s="44"/>
      <c r="Q2053" s="44"/>
      <c r="R2053" s="44"/>
      <c r="S2053" s="44"/>
      <c r="T2053" s="45"/>
      <c r="U2053" s="135" t="s">
        <v>61</v>
      </c>
      <c r="V2053" s="139"/>
      <c r="W2053" s="49"/>
      <c r="X2053" s="49"/>
      <c r="Y2053" s="35"/>
      <c r="Z2053" s="35"/>
      <c r="AA2053" s="35"/>
      <c r="AB2053" s="35"/>
      <c r="AC2053" s="35"/>
      <c r="AD2053" s="35"/>
      <c r="AE2053" s="35"/>
      <c r="AF2053" s="35"/>
      <c r="AG2053" s="35"/>
      <c r="AH2053" s="35"/>
      <c r="AI2053" s="35"/>
      <c r="AJ2053" s="35"/>
      <c r="AK2053" s="35"/>
      <c r="AL2053" s="35"/>
    </row>
    <row r="2054">
      <c r="A2054" s="133"/>
      <c r="B2054" s="19" t="s">
        <v>9393</v>
      </c>
      <c r="C2054" s="20" t="s">
        <v>2036</v>
      </c>
      <c r="D2054" s="47"/>
      <c r="E2054" s="174" t="s">
        <v>2316</v>
      </c>
      <c r="F2054" s="23" t="s">
        <v>1690</v>
      </c>
      <c r="G2054" s="174">
        <v>2022.0</v>
      </c>
      <c r="H2054" s="174" t="s">
        <v>584</v>
      </c>
      <c r="I2054" s="175" t="s">
        <v>10369</v>
      </c>
      <c r="J2054" s="22" t="s">
        <v>125</v>
      </c>
      <c r="K2054" s="22"/>
      <c r="L2054" s="105" t="s">
        <v>10370</v>
      </c>
      <c r="M2054" s="44"/>
      <c r="N2054" s="44"/>
      <c r="O2054" s="44"/>
      <c r="P2054" s="44"/>
      <c r="Q2054" s="44"/>
      <c r="R2054" s="44"/>
      <c r="S2054" s="44"/>
      <c r="T2054" s="45"/>
      <c r="U2054" s="135" t="s">
        <v>61</v>
      </c>
      <c r="V2054" s="139"/>
      <c r="W2054" s="49"/>
      <c r="X2054" s="49"/>
      <c r="Y2054" s="35"/>
      <c r="Z2054" s="35"/>
      <c r="AA2054" s="35"/>
      <c r="AB2054" s="35"/>
      <c r="AC2054" s="35"/>
      <c r="AD2054" s="35"/>
      <c r="AE2054" s="35"/>
      <c r="AF2054" s="35"/>
      <c r="AG2054" s="35"/>
      <c r="AH2054" s="35"/>
      <c r="AI2054" s="35"/>
      <c r="AJ2054" s="35"/>
      <c r="AK2054" s="35"/>
      <c r="AL2054" s="35"/>
    </row>
    <row r="2055">
      <c r="A2055" s="133"/>
      <c r="B2055" s="19" t="s">
        <v>9393</v>
      </c>
      <c r="C2055" s="20" t="s">
        <v>2036</v>
      </c>
      <c r="D2055" s="47"/>
      <c r="E2055" s="174" t="s">
        <v>10371</v>
      </c>
      <c r="F2055" s="23" t="s">
        <v>10372</v>
      </c>
      <c r="G2055" s="174">
        <v>2022.0</v>
      </c>
      <c r="H2055" s="174" t="s">
        <v>10373</v>
      </c>
      <c r="I2055" s="175" t="s">
        <v>10374</v>
      </c>
      <c r="J2055" s="22" t="s">
        <v>125</v>
      </c>
      <c r="K2055" s="22"/>
      <c r="L2055" s="105" t="s">
        <v>10375</v>
      </c>
      <c r="M2055" s="44"/>
      <c r="N2055" s="44"/>
      <c r="O2055" s="44"/>
      <c r="P2055" s="44"/>
      <c r="Q2055" s="44"/>
      <c r="R2055" s="44"/>
      <c r="S2055" s="44"/>
      <c r="T2055" s="45"/>
      <c r="U2055" s="135" t="s">
        <v>3913</v>
      </c>
      <c r="V2055" s="139"/>
      <c r="W2055" s="49"/>
      <c r="X2055" s="49"/>
      <c r="Y2055" s="35"/>
      <c r="Z2055" s="35"/>
      <c r="AA2055" s="35"/>
      <c r="AB2055" s="35"/>
      <c r="AC2055" s="35"/>
      <c r="AD2055" s="35"/>
      <c r="AE2055" s="35"/>
      <c r="AF2055" s="35"/>
      <c r="AG2055" s="35"/>
      <c r="AH2055" s="35"/>
      <c r="AI2055" s="35"/>
      <c r="AJ2055" s="35"/>
      <c r="AK2055" s="35"/>
      <c r="AL2055" s="35"/>
    </row>
    <row r="2056">
      <c r="A2056" s="133"/>
      <c r="B2056" s="19" t="s">
        <v>9393</v>
      </c>
      <c r="C2056" s="20" t="s">
        <v>2036</v>
      </c>
      <c r="D2056" s="47"/>
      <c r="E2056" s="174" t="s">
        <v>10376</v>
      </c>
      <c r="F2056" s="23" t="s">
        <v>10377</v>
      </c>
      <c r="G2056" s="174">
        <v>2020.0</v>
      </c>
      <c r="H2056" s="174" t="s">
        <v>10378</v>
      </c>
      <c r="I2056" s="175" t="s">
        <v>10379</v>
      </c>
      <c r="J2056" s="22" t="s">
        <v>125</v>
      </c>
      <c r="K2056" s="22"/>
      <c r="L2056" s="105" t="s">
        <v>10380</v>
      </c>
      <c r="M2056" s="44"/>
      <c r="N2056" s="44"/>
      <c r="O2056" s="44"/>
      <c r="P2056" s="44"/>
      <c r="Q2056" s="44"/>
      <c r="R2056" s="44"/>
      <c r="S2056" s="44"/>
      <c r="T2056" s="45"/>
      <c r="U2056" s="138" t="s">
        <v>61</v>
      </c>
      <c r="V2056" s="139"/>
      <c r="W2056" s="49"/>
      <c r="X2056" s="49"/>
      <c r="Y2056" s="35"/>
      <c r="Z2056" s="35"/>
      <c r="AA2056" s="35"/>
      <c r="AB2056" s="35"/>
      <c r="AC2056" s="35"/>
      <c r="AD2056" s="35"/>
      <c r="AE2056" s="35"/>
      <c r="AF2056" s="35"/>
      <c r="AG2056" s="35"/>
      <c r="AH2056" s="35"/>
      <c r="AI2056" s="35"/>
      <c r="AJ2056" s="35"/>
      <c r="AK2056" s="35"/>
      <c r="AL2056" s="35"/>
    </row>
    <row r="2057">
      <c r="A2057" s="133"/>
      <c r="B2057" s="19" t="s">
        <v>9393</v>
      </c>
      <c r="C2057" s="20" t="s">
        <v>2036</v>
      </c>
      <c r="D2057" s="47"/>
      <c r="E2057" s="174" t="s">
        <v>1921</v>
      </c>
      <c r="F2057" s="23" t="s">
        <v>1968</v>
      </c>
      <c r="G2057" s="174">
        <v>2021.0</v>
      </c>
      <c r="H2057" s="174" t="s">
        <v>251</v>
      </c>
      <c r="I2057" s="175" t="s">
        <v>10381</v>
      </c>
      <c r="J2057" s="22" t="s">
        <v>125</v>
      </c>
      <c r="K2057" s="22"/>
      <c r="L2057" s="43" t="s">
        <v>10382</v>
      </c>
      <c r="M2057" s="44"/>
      <c r="N2057" s="44"/>
      <c r="O2057" s="44"/>
      <c r="P2057" s="44"/>
      <c r="Q2057" s="44"/>
      <c r="R2057" s="44"/>
      <c r="S2057" s="44"/>
      <c r="T2057" s="45"/>
      <c r="U2057" s="138" t="s">
        <v>61</v>
      </c>
      <c r="V2057" s="139"/>
      <c r="W2057" s="49"/>
      <c r="X2057" s="49"/>
      <c r="Y2057" s="35"/>
      <c r="Z2057" s="35"/>
      <c r="AA2057" s="35"/>
      <c r="AB2057" s="35"/>
      <c r="AC2057" s="35"/>
      <c r="AD2057" s="35"/>
      <c r="AE2057" s="35"/>
      <c r="AF2057" s="35"/>
      <c r="AG2057" s="35"/>
      <c r="AH2057" s="35"/>
      <c r="AI2057" s="35"/>
      <c r="AJ2057" s="35"/>
      <c r="AK2057" s="35"/>
      <c r="AL2057" s="35"/>
    </row>
    <row r="2058">
      <c r="A2058" s="40"/>
      <c r="B2058" s="19" t="s">
        <v>9393</v>
      </c>
      <c r="C2058" s="20" t="s">
        <v>2036</v>
      </c>
      <c r="D2058" s="47"/>
      <c r="E2058" s="57" t="s">
        <v>10383</v>
      </c>
      <c r="F2058" s="22" t="s">
        <v>10384</v>
      </c>
      <c r="G2058" s="57">
        <v>2020.0</v>
      </c>
      <c r="H2058" s="57" t="s">
        <v>348</v>
      </c>
      <c r="I2058" s="134" t="s">
        <v>10385</v>
      </c>
      <c r="J2058" s="22" t="s">
        <v>125</v>
      </c>
      <c r="K2058" s="22"/>
      <c r="L2058" s="167" t="s">
        <v>10386</v>
      </c>
      <c r="M2058" s="44"/>
      <c r="N2058" s="44"/>
      <c r="O2058" s="44"/>
      <c r="P2058" s="44"/>
      <c r="Q2058" s="44"/>
      <c r="R2058" s="44"/>
      <c r="S2058" s="44"/>
      <c r="T2058" s="45"/>
      <c r="U2058" s="248" t="s">
        <v>61</v>
      </c>
      <c r="V2058" s="50"/>
      <c r="W2058" s="49"/>
      <c r="X2058" s="49"/>
      <c r="Y2058" s="35"/>
      <c r="Z2058" s="35"/>
      <c r="AA2058" s="35"/>
      <c r="AB2058" s="35"/>
      <c r="AC2058" s="35"/>
      <c r="AD2058" s="35"/>
      <c r="AE2058" s="35"/>
      <c r="AF2058" s="35"/>
      <c r="AG2058" s="35"/>
      <c r="AH2058" s="35"/>
      <c r="AI2058" s="35"/>
      <c r="AJ2058" s="35"/>
      <c r="AK2058" s="35"/>
      <c r="AL2058" s="35"/>
    </row>
    <row r="2059">
      <c r="A2059" s="40"/>
      <c r="B2059" s="19" t="s">
        <v>9393</v>
      </c>
      <c r="C2059" s="20" t="s">
        <v>2036</v>
      </c>
      <c r="D2059" s="47"/>
      <c r="E2059" s="57" t="s">
        <v>10387</v>
      </c>
      <c r="F2059" s="22" t="s">
        <v>10388</v>
      </c>
      <c r="G2059" s="57">
        <v>2018.0</v>
      </c>
      <c r="H2059" s="57" t="s">
        <v>10389</v>
      </c>
      <c r="I2059" s="134" t="s">
        <v>10390</v>
      </c>
      <c r="J2059" s="22" t="s">
        <v>10391</v>
      </c>
      <c r="K2059" s="22"/>
      <c r="L2059" s="167" t="s">
        <v>10392</v>
      </c>
      <c r="M2059" s="44"/>
      <c r="N2059" s="44"/>
      <c r="O2059" s="44"/>
      <c r="P2059" s="44"/>
      <c r="Q2059" s="44"/>
      <c r="R2059" s="44"/>
      <c r="S2059" s="44"/>
      <c r="T2059" s="45"/>
      <c r="U2059" s="250" t="str">
        <f>HYPERLINK("https://www.ncbi.nlm.nih.gov/books/NBK500486/","NCBI Books")</f>
        <v>NCBI Books</v>
      </c>
      <c r="V2059" s="50"/>
      <c r="W2059" s="49"/>
      <c r="X2059" s="49"/>
      <c r="Y2059" s="35"/>
      <c r="Z2059" s="35"/>
      <c r="AA2059" s="35"/>
      <c r="AB2059" s="35"/>
      <c r="AC2059" s="35"/>
      <c r="AD2059" s="35"/>
      <c r="AE2059" s="35"/>
      <c r="AF2059" s="35"/>
      <c r="AG2059" s="35"/>
      <c r="AH2059" s="35"/>
      <c r="AI2059" s="35"/>
      <c r="AJ2059" s="35"/>
      <c r="AK2059" s="35"/>
      <c r="AL2059" s="35"/>
    </row>
    <row r="2060">
      <c r="A2060" s="40"/>
      <c r="B2060" s="19" t="s">
        <v>9393</v>
      </c>
      <c r="C2060" s="20" t="s">
        <v>2036</v>
      </c>
      <c r="D2060" s="47"/>
      <c r="E2060" s="57" t="s">
        <v>10393</v>
      </c>
      <c r="F2060" s="22" t="s">
        <v>9395</v>
      </c>
      <c r="G2060" s="57" t="s">
        <v>90</v>
      </c>
      <c r="H2060" s="57" t="s">
        <v>10169</v>
      </c>
      <c r="I2060" s="134" t="s">
        <v>10394</v>
      </c>
      <c r="J2060" s="22" t="s">
        <v>125</v>
      </c>
      <c r="K2060" s="22"/>
      <c r="L2060" s="167" t="s">
        <v>10395</v>
      </c>
      <c r="M2060" s="44"/>
      <c r="N2060" s="44"/>
      <c r="O2060" s="44"/>
      <c r="P2060" s="44"/>
      <c r="Q2060" s="44"/>
      <c r="R2060" s="44"/>
      <c r="S2060" s="44"/>
      <c r="T2060" s="45"/>
      <c r="U2060" s="250" t="str">
        <f>HYPERLINK("https://www.ncbi.nlm.nih.gov/pubmed/29205705","PubMed")</f>
        <v>PubMed</v>
      </c>
      <c r="V2060" s="50"/>
      <c r="W2060" s="49"/>
      <c r="X2060" s="49"/>
      <c r="Y2060" s="35"/>
      <c r="Z2060" s="35"/>
      <c r="AA2060" s="35"/>
      <c r="AB2060" s="35"/>
      <c r="AC2060" s="35"/>
      <c r="AD2060" s="35"/>
      <c r="AE2060" s="35"/>
      <c r="AF2060" s="35"/>
      <c r="AG2060" s="35"/>
      <c r="AH2060" s="35"/>
      <c r="AI2060" s="35"/>
      <c r="AJ2060" s="35"/>
      <c r="AK2060" s="35"/>
      <c r="AL2060" s="35"/>
    </row>
    <row r="2061">
      <c r="A2061" s="40"/>
      <c r="B2061" s="19" t="s">
        <v>9393</v>
      </c>
      <c r="C2061" s="20" t="s">
        <v>2036</v>
      </c>
      <c r="D2061" s="47"/>
      <c r="E2061" s="57" t="s">
        <v>2316</v>
      </c>
      <c r="F2061" s="22" t="s">
        <v>5416</v>
      </c>
      <c r="G2061" s="57" t="s">
        <v>90</v>
      </c>
      <c r="H2061" s="57" t="s">
        <v>2641</v>
      </c>
      <c r="I2061" s="134" t="s">
        <v>10396</v>
      </c>
      <c r="J2061" s="22" t="s">
        <v>125</v>
      </c>
      <c r="K2061" s="22"/>
      <c r="L2061" s="43" t="s">
        <v>10397</v>
      </c>
      <c r="M2061" s="44"/>
      <c r="N2061" s="44"/>
      <c r="O2061" s="44"/>
      <c r="P2061" s="44"/>
      <c r="Q2061" s="44"/>
      <c r="R2061" s="44"/>
      <c r="S2061" s="44"/>
      <c r="T2061" s="45"/>
      <c r="U2061" s="250" t="str">
        <f>HYPERLINK("https://www.ncbi.nlm.nih.gov/pubmed/28529157","PubMed")</f>
        <v>PubMed</v>
      </c>
      <c r="V2061" s="50"/>
      <c r="W2061" s="49"/>
      <c r="X2061" s="49"/>
      <c r="Y2061" s="35"/>
      <c r="Z2061" s="35"/>
      <c r="AA2061" s="35"/>
      <c r="AB2061" s="35"/>
      <c r="AC2061" s="35"/>
      <c r="AD2061" s="35"/>
      <c r="AE2061" s="35"/>
      <c r="AF2061" s="35"/>
      <c r="AG2061" s="35"/>
      <c r="AH2061" s="35"/>
      <c r="AI2061" s="35"/>
      <c r="AJ2061" s="35"/>
      <c r="AK2061" s="35"/>
      <c r="AL2061" s="35"/>
    </row>
    <row r="2062">
      <c r="A2062" s="40"/>
      <c r="B2062" s="19" t="s">
        <v>9393</v>
      </c>
      <c r="C2062" s="20" t="s">
        <v>2036</v>
      </c>
      <c r="D2062" s="47"/>
      <c r="E2062" s="57" t="s">
        <v>10251</v>
      </c>
      <c r="F2062" s="22" t="s">
        <v>7261</v>
      </c>
      <c r="G2062" s="57" t="s">
        <v>90</v>
      </c>
      <c r="H2062" s="57" t="s">
        <v>4633</v>
      </c>
      <c r="I2062" s="134" t="s">
        <v>10398</v>
      </c>
      <c r="J2062" s="22" t="s">
        <v>125</v>
      </c>
      <c r="K2062" s="22"/>
      <c r="L2062" s="43" t="s">
        <v>10399</v>
      </c>
      <c r="M2062" s="44"/>
      <c r="N2062" s="44"/>
      <c r="O2062" s="44"/>
      <c r="P2062" s="44"/>
      <c r="Q2062" s="44"/>
      <c r="R2062" s="44"/>
      <c r="S2062" s="44"/>
      <c r="T2062" s="45"/>
      <c r="U2062" s="250" t="str">
        <f>HYPERLINK("https://www.ncbi.nlm.nih.gov/pubmed/28499983","PubMed")</f>
        <v>PubMed</v>
      </c>
      <c r="V2062" s="50"/>
      <c r="W2062" s="49"/>
      <c r="X2062" s="49"/>
      <c r="Y2062" s="35"/>
      <c r="Z2062" s="35"/>
      <c r="AA2062" s="35"/>
      <c r="AB2062" s="35"/>
      <c r="AC2062" s="35"/>
      <c r="AD2062" s="35"/>
      <c r="AE2062" s="35"/>
      <c r="AF2062" s="35"/>
      <c r="AG2062" s="35"/>
      <c r="AH2062" s="35"/>
      <c r="AI2062" s="35"/>
      <c r="AJ2062" s="35"/>
      <c r="AK2062" s="35"/>
      <c r="AL2062" s="35"/>
    </row>
    <row r="2063">
      <c r="A2063" s="133"/>
      <c r="B2063" s="19" t="s">
        <v>9393</v>
      </c>
      <c r="C2063" s="20" t="s">
        <v>2036</v>
      </c>
      <c r="D2063" s="47"/>
      <c r="E2063" s="57" t="s">
        <v>10400</v>
      </c>
      <c r="F2063" s="22" t="s">
        <v>10401</v>
      </c>
      <c r="G2063" s="57">
        <v>2016.0</v>
      </c>
      <c r="H2063" s="57" t="s">
        <v>4633</v>
      </c>
      <c r="I2063" s="134" t="s">
        <v>10402</v>
      </c>
      <c r="J2063" s="22" t="s">
        <v>125</v>
      </c>
      <c r="K2063" s="22"/>
      <c r="L2063" s="105" t="s">
        <v>10403</v>
      </c>
      <c r="M2063" s="44"/>
      <c r="N2063" s="44"/>
      <c r="O2063" s="44"/>
      <c r="P2063" s="44"/>
      <c r="Q2063" s="44"/>
      <c r="R2063" s="44"/>
      <c r="S2063" s="44"/>
      <c r="T2063" s="45"/>
      <c r="U2063" s="250" t="str">
        <f>HYPERLINK("https://www.ncbi.nlm.nih.gov/pubmed/27476756","PubMed")</f>
        <v>PubMed</v>
      </c>
      <c r="V2063" s="50"/>
      <c r="W2063" s="49"/>
      <c r="X2063" s="49"/>
      <c r="Y2063" s="35"/>
      <c r="Z2063" s="35"/>
      <c r="AA2063" s="35"/>
      <c r="AB2063" s="35"/>
      <c r="AC2063" s="35"/>
      <c r="AD2063" s="35"/>
      <c r="AE2063" s="35"/>
      <c r="AF2063" s="35"/>
      <c r="AG2063" s="35"/>
      <c r="AH2063" s="35"/>
      <c r="AI2063" s="35"/>
      <c r="AJ2063" s="35"/>
      <c r="AK2063" s="35"/>
      <c r="AL2063" s="35"/>
    </row>
    <row r="2064">
      <c r="A2064" s="133"/>
      <c r="B2064" s="19" t="s">
        <v>9393</v>
      </c>
      <c r="C2064" s="20" t="s">
        <v>2036</v>
      </c>
      <c r="D2064" s="47"/>
      <c r="E2064" s="57" t="s">
        <v>10404</v>
      </c>
      <c r="F2064" s="22" t="s">
        <v>2407</v>
      </c>
      <c r="G2064" s="57">
        <v>2016.0</v>
      </c>
      <c r="H2064" s="57" t="s">
        <v>5239</v>
      </c>
      <c r="I2064" s="134" t="s">
        <v>10405</v>
      </c>
      <c r="J2064" s="22" t="s">
        <v>125</v>
      </c>
      <c r="K2064" s="22"/>
      <c r="L2064" s="105" t="s">
        <v>10406</v>
      </c>
      <c r="M2064" s="44"/>
      <c r="N2064" s="44"/>
      <c r="O2064" s="44"/>
      <c r="P2064" s="44"/>
      <c r="Q2064" s="44"/>
      <c r="R2064" s="44"/>
      <c r="S2064" s="44"/>
      <c r="T2064" s="45"/>
      <c r="U2064" s="250" t="str">
        <f>HYPERLINK("https://www.ncbi.nlm.nih.gov/pubmed/27846381","PubMed")</f>
        <v>PubMed</v>
      </c>
      <c r="V2064" s="50"/>
      <c r="W2064" s="49"/>
      <c r="X2064" s="49"/>
      <c r="Y2064" s="35"/>
      <c r="Z2064" s="35"/>
      <c r="AA2064" s="35"/>
      <c r="AB2064" s="35"/>
      <c r="AC2064" s="35"/>
      <c r="AD2064" s="35"/>
      <c r="AE2064" s="35"/>
      <c r="AF2064" s="35"/>
      <c r="AG2064" s="35"/>
      <c r="AH2064" s="35"/>
      <c r="AI2064" s="35"/>
      <c r="AJ2064" s="35"/>
      <c r="AK2064" s="35"/>
      <c r="AL2064" s="35"/>
    </row>
    <row r="2065">
      <c r="A2065" s="133" t="s">
        <v>2</v>
      </c>
      <c r="B2065" s="19" t="s">
        <v>9393</v>
      </c>
      <c r="C2065" s="20" t="s">
        <v>2036</v>
      </c>
      <c r="D2065" s="47"/>
      <c r="E2065" s="57" t="s">
        <v>10407</v>
      </c>
      <c r="F2065" s="22" t="s">
        <v>10408</v>
      </c>
      <c r="G2065" s="57">
        <v>2016.0</v>
      </c>
      <c r="H2065" s="57" t="s">
        <v>10075</v>
      </c>
      <c r="I2065" s="134" t="s">
        <v>10409</v>
      </c>
      <c r="J2065" s="22" t="s">
        <v>125</v>
      </c>
      <c r="K2065" s="22"/>
      <c r="L2065" s="267" t="s">
        <v>10410</v>
      </c>
      <c r="M2065" s="44"/>
      <c r="N2065" s="44"/>
      <c r="O2065" s="44"/>
      <c r="P2065" s="44"/>
      <c r="Q2065" s="44"/>
      <c r="R2065" s="44"/>
      <c r="S2065" s="44"/>
      <c r="T2065" s="45"/>
      <c r="U2065" s="250" t="str">
        <f>HYPERLINK("https://www.ncbi.nlm.nih.gov/pmc/articles/PMC4768515/","PubMed")</f>
        <v>PubMed</v>
      </c>
      <c r="V2065" s="50"/>
      <c r="W2065" s="49"/>
      <c r="X2065" s="49"/>
      <c r="Y2065" s="35"/>
      <c r="Z2065" s="35"/>
      <c r="AA2065" s="35"/>
      <c r="AB2065" s="35"/>
      <c r="AC2065" s="35"/>
      <c r="AD2065" s="35"/>
      <c r="AE2065" s="35"/>
      <c r="AF2065" s="35"/>
      <c r="AG2065" s="35"/>
      <c r="AH2065" s="35"/>
      <c r="AI2065" s="35"/>
      <c r="AJ2065" s="35"/>
      <c r="AK2065" s="35"/>
      <c r="AL2065" s="35"/>
    </row>
    <row r="2066">
      <c r="A2066" s="1"/>
      <c r="B2066" s="19" t="s">
        <v>9393</v>
      </c>
      <c r="C2066" s="20" t="s">
        <v>2036</v>
      </c>
      <c r="D2066" s="47"/>
      <c r="E2066" s="22" t="s">
        <v>9977</v>
      </c>
      <c r="F2066" s="22" t="s">
        <v>10301</v>
      </c>
      <c r="G2066" s="23">
        <v>2016.0</v>
      </c>
      <c r="H2066" s="22" t="s">
        <v>2398</v>
      </c>
      <c r="I2066" s="24" t="s">
        <v>10411</v>
      </c>
      <c r="J2066" s="22" t="s">
        <v>125</v>
      </c>
      <c r="K2066" s="22" t="s">
        <v>10412</v>
      </c>
      <c r="L2066" s="171" t="s">
        <v>10413</v>
      </c>
      <c r="M2066" s="44"/>
      <c r="N2066" s="44"/>
      <c r="O2066" s="44"/>
      <c r="P2066" s="44"/>
      <c r="Q2066" s="44"/>
      <c r="R2066" s="44"/>
      <c r="S2066" s="44"/>
      <c r="T2066" s="45"/>
      <c r="U2066" s="38" t="str">
        <f>HYPERLINK("http://www.ncbi.nlm.nih.gov/pubmed/26427443","PubMed")</f>
        <v>PubMed</v>
      </c>
      <c r="V2066" s="50"/>
      <c r="W2066" s="49"/>
      <c r="X2066" s="49"/>
      <c r="Y2066" s="35"/>
      <c r="Z2066" s="35"/>
      <c r="AA2066" s="35"/>
      <c r="AB2066" s="35"/>
      <c r="AC2066" s="35"/>
      <c r="AD2066" s="35"/>
      <c r="AE2066" s="35"/>
      <c r="AF2066" s="35"/>
      <c r="AG2066" s="35"/>
      <c r="AH2066" s="35"/>
      <c r="AI2066" s="35"/>
      <c r="AJ2066" s="35"/>
      <c r="AK2066" s="35"/>
      <c r="AL2066" s="35"/>
    </row>
    <row r="2067">
      <c r="A2067" s="133"/>
      <c r="B2067" s="19" t="s">
        <v>9393</v>
      </c>
      <c r="C2067" s="20" t="s">
        <v>2036</v>
      </c>
      <c r="D2067" s="47"/>
      <c r="E2067" s="57" t="s">
        <v>10414</v>
      </c>
      <c r="F2067" s="22" t="s">
        <v>3188</v>
      </c>
      <c r="G2067" s="57">
        <v>2016.0</v>
      </c>
      <c r="H2067" s="57" t="s">
        <v>10415</v>
      </c>
      <c r="I2067" s="134" t="s">
        <v>10416</v>
      </c>
      <c r="J2067" s="22" t="s">
        <v>125</v>
      </c>
      <c r="K2067" s="22"/>
      <c r="L2067" s="105" t="s">
        <v>10417</v>
      </c>
      <c r="M2067" s="44"/>
      <c r="N2067" s="44"/>
      <c r="O2067" s="44"/>
      <c r="P2067" s="44"/>
      <c r="Q2067" s="44"/>
      <c r="R2067" s="44"/>
      <c r="S2067" s="44"/>
      <c r="T2067" s="45"/>
      <c r="U2067" s="250" t="str">
        <f>HYPERLINK("https://www.ncbi.nlm.nih.gov/pubmed/27090928","PubMed")</f>
        <v>PubMed</v>
      </c>
      <c r="V2067" s="50"/>
      <c r="W2067" s="49"/>
      <c r="X2067" s="49"/>
      <c r="Y2067" s="35"/>
      <c r="Z2067" s="35"/>
      <c r="AA2067" s="35"/>
      <c r="AB2067" s="35"/>
      <c r="AC2067" s="35"/>
      <c r="AD2067" s="35"/>
      <c r="AE2067" s="35"/>
      <c r="AF2067" s="35"/>
      <c r="AG2067" s="35"/>
      <c r="AH2067" s="35"/>
      <c r="AI2067" s="35"/>
      <c r="AJ2067" s="35"/>
      <c r="AK2067" s="35"/>
      <c r="AL2067" s="35"/>
    </row>
    <row r="2068">
      <c r="A2068" s="133"/>
      <c r="B2068" s="19" t="s">
        <v>9393</v>
      </c>
      <c r="C2068" s="20" t="s">
        <v>2036</v>
      </c>
      <c r="D2068" s="47"/>
      <c r="E2068" s="57" t="s">
        <v>10414</v>
      </c>
      <c r="F2068" s="22" t="s">
        <v>3188</v>
      </c>
      <c r="G2068" s="57">
        <v>2016.0</v>
      </c>
      <c r="H2068" s="57" t="s">
        <v>4633</v>
      </c>
      <c r="I2068" s="134" t="s">
        <v>10418</v>
      </c>
      <c r="J2068" s="22" t="s">
        <v>125</v>
      </c>
      <c r="K2068" s="22"/>
      <c r="L2068" s="105" t="s">
        <v>10406</v>
      </c>
      <c r="M2068" s="44"/>
      <c r="N2068" s="44"/>
      <c r="O2068" s="44"/>
      <c r="P2068" s="44"/>
      <c r="Q2068" s="44"/>
      <c r="R2068" s="44"/>
      <c r="S2068" s="44"/>
      <c r="T2068" s="45"/>
      <c r="U2068" s="250" t="str">
        <f>HYPERLINK("https://www.ncbi.nlm.nih.gov/pubmed/27890822","PubMed")</f>
        <v>PubMed</v>
      </c>
      <c r="V2068" s="50"/>
      <c r="W2068" s="49"/>
      <c r="X2068" s="49"/>
      <c r="Y2068" s="35"/>
      <c r="Z2068" s="35"/>
      <c r="AA2068" s="35"/>
      <c r="AB2068" s="35"/>
      <c r="AC2068" s="35"/>
      <c r="AD2068" s="35"/>
      <c r="AE2068" s="35"/>
      <c r="AF2068" s="35"/>
      <c r="AG2068" s="35"/>
      <c r="AH2068" s="35"/>
      <c r="AI2068" s="35"/>
      <c r="AJ2068" s="35"/>
      <c r="AK2068" s="35"/>
      <c r="AL2068" s="35"/>
    </row>
    <row r="2069">
      <c r="A2069" s="133"/>
      <c r="B2069" s="19" t="s">
        <v>9393</v>
      </c>
      <c r="C2069" s="20" t="s">
        <v>2036</v>
      </c>
      <c r="D2069" s="47"/>
      <c r="E2069" s="57" t="s">
        <v>10414</v>
      </c>
      <c r="F2069" s="22" t="s">
        <v>3188</v>
      </c>
      <c r="G2069" s="57">
        <v>2014.0</v>
      </c>
      <c r="H2069" s="57" t="s">
        <v>10419</v>
      </c>
      <c r="I2069" s="134" t="s">
        <v>10420</v>
      </c>
      <c r="J2069" s="22" t="s">
        <v>125</v>
      </c>
      <c r="K2069" s="22"/>
      <c r="L2069" s="105" t="s">
        <v>10421</v>
      </c>
      <c r="M2069" s="44"/>
      <c r="N2069" s="44"/>
      <c r="O2069" s="44"/>
      <c r="P2069" s="44"/>
      <c r="Q2069" s="44"/>
      <c r="R2069" s="44"/>
      <c r="S2069" s="44"/>
      <c r="T2069" s="45"/>
      <c r="U2069" s="250" t="str">
        <f>HYPERLINK("https://www.ncbi.nlm.nih.gov/pubmed/24880106","PubMed")</f>
        <v>PubMed</v>
      </c>
      <c r="V2069" s="50"/>
      <c r="W2069" s="49"/>
      <c r="X2069" s="49"/>
      <c r="Y2069" s="35"/>
      <c r="Z2069" s="35"/>
      <c r="AA2069" s="35"/>
      <c r="AB2069" s="35"/>
      <c r="AC2069" s="35"/>
      <c r="AD2069" s="35"/>
      <c r="AE2069" s="35"/>
      <c r="AF2069" s="35"/>
      <c r="AG2069" s="35"/>
      <c r="AH2069" s="35"/>
      <c r="AI2069" s="35"/>
      <c r="AJ2069" s="35"/>
      <c r="AK2069" s="35"/>
      <c r="AL2069" s="35"/>
    </row>
    <row r="2070">
      <c r="A2070" s="133"/>
      <c r="B2070" s="19" t="s">
        <v>9393</v>
      </c>
      <c r="C2070" s="20" t="s">
        <v>2036</v>
      </c>
      <c r="D2070" s="47"/>
      <c r="E2070" s="174" t="s">
        <v>10422</v>
      </c>
      <c r="F2070" s="22" t="s">
        <v>1426</v>
      </c>
      <c r="G2070" s="174">
        <v>1994.0</v>
      </c>
      <c r="H2070" s="174" t="s">
        <v>10423</v>
      </c>
      <c r="I2070" s="175" t="s">
        <v>10424</v>
      </c>
      <c r="J2070" s="22" t="s">
        <v>125</v>
      </c>
      <c r="K2070" s="23"/>
      <c r="L2070" s="105" t="s">
        <v>10425</v>
      </c>
      <c r="M2070" s="44"/>
      <c r="N2070" s="44"/>
      <c r="O2070" s="44"/>
      <c r="P2070" s="44"/>
      <c r="Q2070" s="44"/>
      <c r="R2070" s="44"/>
      <c r="S2070" s="44"/>
      <c r="T2070" s="45"/>
      <c r="U2070" s="250" t="str">
        <f>HYPERLINK("https://www.ncbi.nlm.nih.gov/pubmed/7801219","PubMed")</f>
        <v>PubMed</v>
      </c>
      <c r="V2070" s="251"/>
      <c r="W2070" s="49"/>
      <c r="X2070" s="49"/>
      <c r="Y2070" s="35"/>
      <c r="Z2070" s="35"/>
      <c r="AA2070" s="35"/>
      <c r="AB2070" s="35"/>
      <c r="AC2070" s="35"/>
      <c r="AD2070" s="35"/>
      <c r="AE2070" s="35"/>
      <c r="AF2070" s="35"/>
      <c r="AG2070" s="35"/>
      <c r="AH2070" s="35"/>
      <c r="AI2070" s="35"/>
      <c r="AJ2070" s="35"/>
      <c r="AK2070" s="35"/>
      <c r="AL2070" s="35"/>
    </row>
    <row r="2071">
      <c r="A2071" s="242"/>
      <c r="B2071" s="19" t="s">
        <v>9393</v>
      </c>
      <c r="C2071" s="20" t="s">
        <v>10426</v>
      </c>
      <c r="D2071" s="47"/>
      <c r="E2071" s="174" t="s">
        <v>10427</v>
      </c>
      <c r="F2071" s="23" t="s">
        <v>2208</v>
      </c>
      <c r="G2071" s="174">
        <v>2024.0</v>
      </c>
      <c r="H2071" s="174" t="s">
        <v>10030</v>
      </c>
      <c r="I2071" s="175" t="s">
        <v>10428</v>
      </c>
      <c r="J2071" s="23" t="s">
        <v>10429</v>
      </c>
      <c r="K2071" s="23"/>
      <c r="L2071" s="36"/>
      <c r="M2071" s="36"/>
      <c r="N2071" s="36"/>
      <c r="O2071" s="36"/>
      <c r="P2071" s="37"/>
      <c r="Q2071" s="36"/>
      <c r="R2071" s="36"/>
      <c r="S2071" s="36"/>
      <c r="T2071" s="252" t="s">
        <v>10430</v>
      </c>
      <c r="U2071" s="255" t="s">
        <v>61</v>
      </c>
      <c r="V2071" s="251"/>
      <c r="W2071" s="49"/>
      <c r="X2071" s="49"/>
      <c r="Y2071" s="35"/>
      <c r="Z2071" s="35"/>
      <c r="AA2071" s="35"/>
      <c r="AB2071" s="35"/>
      <c r="AC2071" s="35"/>
      <c r="AD2071" s="35"/>
      <c r="AE2071" s="35"/>
      <c r="AF2071" s="35"/>
      <c r="AG2071" s="35"/>
      <c r="AH2071" s="35"/>
      <c r="AI2071" s="35"/>
      <c r="AJ2071" s="35"/>
      <c r="AK2071" s="35"/>
      <c r="AL2071" s="35"/>
    </row>
    <row r="2072">
      <c r="A2072" s="242"/>
      <c r="B2072" s="19" t="s">
        <v>9393</v>
      </c>
      <c r="C2072" s="20" t="s">
        <v>10426</v>
      </c>
      <c r="D2072" s="47"/>
      <c r="E2072" s="174" t="s">
        <v>10393</v>
      </c>
      <c r="F2072" s="23" t="s">
        <v>9395</v>
      </c>
      <c r="G2072" s="174">
        <v>2020.0</v>
      </c>
      <c r="H2072" s="174" t="s">
        <v>9984</v>
      </c>
      <c r="I2072" s="175" t="s">
        <v>10431</v>
      </c>
      <c r="J2072" s="23" t="s">
        <v>55</v>
      </c>
      <c r="K2072" s="23"/>
      <c r="L2072" s="36">
        <v>670.0</v>
      </c>
      <c r="M2072" s="36"/>
      <c r="N2072" s="36"/>
      <c r="O2072" s="36"/>
      <c r="P2072" s="37"/>
      <c r="Q2072" s="36"/>
      <c r="R2072" s="36"/>
      <c r="S2072" s="36"/>
      <c r="T2072" s="252" t="s">
        <v>10432</v>
      </c>
      <c r="U2072" s="248" t="s">
        <v>61</v>
      </c>
      <c r="V2072" s="251"/>
      <c r="W2072" s="49"/>
      <c r="X2072" s="49"/>
      <c r="Y2072" s="35"/>
      <c r="Z2072" s="35"/>
      <c r="AA2072" s="35"/>
      <c r="AB2072" s="35"/>
      <c r="AC2072" s="35"/>
      <c r="AD2072" s="35"/>
      <c r="AE2072" s="35"/>
      <c r="AF2072" s="35"/>
      <c r="AG2072" s="35"/>
      <c r="AH2072" s="35"/>
      <c r="AI2072" s="35"/>
      <c r="AJ2072" s="35"/>
      <c r="AK2072" s="35"/>
      <c r="AL2072" s="35"/>
    </row>
    <row r="2073">
      <c r="A2073" s="242"/>
      <c r="B2073" s="19" t="s">
        <v>9393</v>
      </c>
      <c r="C2073" s="20" t="s">
        <v>10426</v>
      </c>
      <c r="D2073" s="47"/>
      <c r="E2073" s="174" t="s">
        <v>10433</v>
      </c>
      <c r="F2073" s="23" t="s">
        <v>3775</v>
      </c>
      <c r="G2073" s="174">
        <v>2018.0</v>
      </c>
      <c r="H2073" s="174" t="s">
        <v>10434</v>
      </c>
      <c r="I2073" s="175" t="s">
        <v>10435</v>
      </c>
      <c r="J2073" s="23" t="s">
        <v>31</v>
      </c>
      <c r="K2073" s="23"/>
      <c r="L2073" s="36"/>
      <c r="M2073" s="36"/>
      <c r="N2073" s="36"/>
      <c r="O2073" s="36"/>
      <c r="P2073" s="37"/>
      <c r="Q2073" s="36"/>
      <c r="R2073" s="36"/>
      <c r="S2073" s="36"/>
      <c r="T2073" s="252" t="s">
        <v>10436</v>
      </c>
      <c r="U2073" s="248" t="s">
        <v>61</v>
      </c>
      <c r="V2073" s="251"/>
      <c r="W2073" s="49"/>
      <c r="X2073" s="49"/>
      <c r="Y2073" s="35"/>
      <c r="Z2073" s="35"/>
      <c r="AA2073" s="35"/>
      <c r="AB2073" s="35"/>
      <c r="AC2073" s="35"/>
      <c r="AD2073" s="35"/>
      <c r="AE2073" s="35"/>
      <c r="AF2073" s="35"/>
      <c r="AG2073" s="35"/>
      <c r="AH2073" s="35"/>
      <c r="AI2073" s="35"/>
      <c r="AJ2073" s="35"/>
      <c r="AK2073" s="35"/>
      <c r="AL2073" s="35"/>
    </row>
    <row r="2074">
      <c r="A2074" s="242"/>
      <c r="B2074" s="19" t="s">
        <v>9393</v>
      </c>
      <c r="C2074" s="20" t="s">
        <v>10437</v>
      </c>
      <c r="D2074" s="47"/>
      <c r="E2074" s="174" t="s">
        <v>10438</v>
      </c>
      <c r="F2074" s="23" t="s">
        <v>3691</v>
      </c>
      <c r="G2074" s="174">
        <v>2024.0</v>
      </c>
      <c r="H2074" s="174" t="s">
        <v>10439</v>
      </c>
      <c r="I2074" s="175" t="s">
        <v>10440</v>
      </c>
      <c r="J2074" s="23" t="s">
        <v>22</v>
      </c>
      <c r="K2074" s="23"/>
      <c r="L2074" s="167"/>
      <c r="M2074" s="44"/>
      <c r="N2074" s="44"/>
      <c r="O2074" s="44"/>
      <c r="P2074" s="44"/>
      <c r="Q2074" s="44"/>
      <c r="R2074" s="44"/>
      <c r="S2074" s="44"/>
      <c r="T2074" s="45"/>
      <c r="U2074" s="255" t="s">
        <v>61</v>
      </c>
      <c r="V2074" s="251"/>
      <c r="W2074" s="49"/>
      <c r="X2074" s="49"/>
      <c r="Y2074" s="35"/>
      <c r="Z2074" s="35"/>
      <c r="AA2074" s="35"/>
      <c r="AB2074" s="35"/>
      <c r="AC2074" s="35"/>
      <c r="AD2074" s="35"/>
      <c r="AE2074" s="35"/>
      <c r="AF2074" s="35"/>
      <c r="AG2074" s="35"/>
      <c r="AH2074" s="35"/>
      <c r="AI2074" s="35"/>
      <c r="AJ2074" s="35"/>
      <c r="AK2074" s="35"/>
      <c r="AL2074" s="35"/>
    </row>
    <row r="2075">
      <c r="A2075" s="242"/>
      <c r="B2075" s="19" t="s">
        <v>9393</v>
      </c>
      <c r="C2075" s="20" t="s">
        <v>10441</v>
      </c>
      <c r="D2075" s="47"/>
      <c r="E2075" s="174" t="s">
        <v>10442</v>
      </c>
      <c r="F2075" s="23" t="s">
        <v>230</v>
      </c>
      <c r="G2075" s="174">
        <v>2022.0</v>
      </c>
      <c r="H2075" s="174" t="s">
        <v>9450</v>
      </c>
      <c r="I2075" s="175" t="s">
        <v>10443</v>
      </c>
      <c r="J2075" s="23" t="s">
        <v>10444</v>
      </c>
      <c r="K2075" s="23" t="s">
        <v>157</v>
      </c>
      <c r="L2075" s="36">
        <v>650.0</v>
      </c>
      <c r="M2075" s="36"/>
      <c r="N2075" s="36"/>
      <c r="O2075" s="36"/>
      <c r="P2075" s="37"/>
      <c r="Q2075" s="36"/>
      <c r="R2075" s="36">
        <v>600.0</v>
      </c>
      <c r="S2075" s="36" t="s">
        <v>10445</v>
      </c>
      <c r="T2075" s="252" t="s">
        <v>10446</v>
      </c>
      <c r="U2075" s="248" t="s">
        <v>61</v>
      </c>
      <c r="V2075" s="251"/>
      <c r="W2075" s="49"/>
      <c r="X2075" s="49"/>
      <c r="Y2075" s="35"/>
      <c r="Z2075" s="35"/>
      <c r="AA2075" s="35"/>
      <c r="AB2075" s="35"/>
      <c r="AC2075" s="35"/>
      <c r="AD2075" s="35"/>
      <c r="AE2075" s="35"/>
      <c r="AF2075" s="35"/>
      <c r="AG2075" s="35"/>
      <c r="AH2075" s="35"/>
      <c r="AI2075" s="35"/>
      <c r="AJ2075" s="35"/>
      <c r="AK2075" s="35"/>
      <c r="AL2075" s="35"/>
    </row>
    <row r="2076">
      <c r="A2076" s="242"/>
      <c r="B2076" s="19" t="s">
        <v>9393</v>
      </c>
      <c r="C2076" s="20" t="s">
        <v>10447</v>
      </c>
      <c r="D2076" s="47"/>
      <c r="E2076" s="174" t="s">
        <v>626</v>
      </c>
      <c r="F2076" s="23" t="s">
        <v>313</v>
      </c>
      <c r="G2076" s="174">
        <v>2010.0</v>
      </c>
      <c r="H2076" s="174" t="s">
        <v>10075</v>
      </c>
      <c r="I2076" s="175" t="s">
        <v>10448</v>
      </c>
      <c r="J2076" s="23" t="s">
        <v>253</v>
      </c>
      <c r="K2076" s="23" t="s">
        <v>10447</v>
      </c>
      <c r="L2076" s="36">
        <v>633.0</v>
      </c>
      <c r="M2076" s="36"/>
      <c r="N2076" s="36" t="s">
        <v>1175</v>
      </c>
      <c r="O2076" s="36"/>
      <c r="P2076" s="37"/>
      <c r="Q2076" s="36"/>
      <c r="R2076" s="36">
        <v>600.0</v>
      </c>
      <c r="S2076" s="36"/>
      <c r="T2076" s="252" t="s">
        <v>10449</v>
      </c>
      <c r="U2076" s="250" t="str">
        <f>HYPERLINK("https://www.ncbi.nlm.nih.gov/pubmed/22553551","PubMed")</f>
        <v>PubMed</v>
      </c>
      <c r="V2076" s="251"/>
      <c r="W2076" s="49"/>
      <c r="X2076" s="49"/>
      <c r="Y2076" s="35"/>
      <c r="Z2076" s="35"/>
      <c r="AA2076" s="35"/>
      <c r="AB2076" s="35"/>
      <c r="AC2076" s="35"/>
      <c r="AD2076" s="35"/>
      <c r="AE2076" s="35"/>
      <c r="AF2076" s="35"/>
      <c r="AG2076" s="35"/>
      <c r="AH2076" s="35"/>
      <c r="AI2076" s="35"/>
      <c r="AJ2076" s="35"/>
      <c r="AK2076" s="35"/>
      <c r="AL2076" s="35"/>
    </row>
    <row r="2077">
      <c r="A2077" s="242"/>
      <c r="B2077" s="19" t="s">
        <v>9393</v>
      </c>
      <c r="C2077" s="20" t="s">
        <v>10447</v>
      </c>
      <c r="D2077" s="47"/>
      <c r="E2077" s="174" t="s">
        <v>3035</v>
      </c>
      <c r="F2077" s="23" t="s">
        <v>313</v>
      </c>
      <c r="G2077" s="174">
        <v>2010.0</v>
      </c>
      <c r="H2077" s="174" t="s">
        <v>10075</v>
      </c>
      <c r="I2077" s="175" t="s">
        <v>10450</v>
      </c>
      <c r="J2077" s="23" t="s">
        <v>253</v>
      </c>
      <c r="K2077" s="23" t="s">
        <v>10447</v>
      </c>
      <c r="L2077" s="36">
        <v>633.0</v>
      </c>
      <c r="M2077" s="36"/>
      <c r="N2077" s="36" t="s">
        <v>1175</v>
      </c>
      <c r="O2077" s="36"/>
      <c r="P2077" s="37" t="s">
        <v>279</v>
      </c>
      <c r="Q2077" s="36"/>
      <c r="R2077" s="36"/>
      <c r="S2077" s="36"/>
      <c r="T2077" s="252" t="s">
        <v>10451</v>
      </c>
      <c r="U2077" s="250" t="str">
        <f>HYPERLINK("https://www.ncbi.nlm.nih.gov/pubmed/22553536","PubMed")</f>
        <v>PubMed</v>
      </c>
      <c r="V2077" s="251"/>
      <c r="W2077" s="49"/>
      <c r="X2077" s="49"/>
      <c r="Y2077" s="35"/>
      <c r="Z2077" s="35"/>
      <c r="AA2077" s="35"/>
      <c r="AB2077" s="35"/>
      <c r="AC2077" s="35"/>
      <c r="AD2077" s="35"/>
      <c r="AE2077" s="35"/>
      <c r="AF2077" s="35"/>
      <c r="AG2077" s="35"/>
      <c r="AH2077" s="35"/>
      <c r="AI2077" s="35"/>
      <c r="AJ2077" s="35"/>
      <c r="AK2077" s="35"/>
      <c r="AL2077" s="35"/>
    </row>
    <row r="2078">
      <c r="A2078" s="133"/>
      <c r="B2078" s="19" t="s">
        <v>9393</v>
      </c>
      <c r="C2078" s="20"/>
      <c r="D2078" s="47"/>
      <c r="E2078" s="174" t="s">
        <v>10452</v>
      </c>
      <c r="F2078" s="22" t="s">
        <v>748</v>
      </c>
      <c r="G2078" s="174">
        <v>1996.0</v>
      </c>
      <c r="H2078" s="174" t="s">
        <v>10453</v>
      </c>
      <c r="I2078" s="175" t="s">
        <v>10454</v>
      </c>
      <c r="J2078" s="23" t="s">
        <v>253</v>
      </c>
      <c r="K2078" s="23"/>
      <c r="L2078" s="36" t="s">
        <v>10455</v>
      </c>
      <c r="M2078" s="36"/>
      <c r="N2078" s="36"/>
      <c r="O2078" s="36"/>
      <c r="P2078" s="37"/>
      <c r="Q2078" s="36"/>
      <c r="R2078" s="36"/>
      <c r="S2078" s="36"/>
      <c r="T2078" s="42" t="s">
        <v>10456</v>
      </c>
      <c r="U2078" s="250" t="str">
        <f>HYPERLINK("https://www.ncbi.nlm.nih.gov/pubmed/8659066","PubMed")</f>
        <v>PubMed</v>
      </c>
      <c r="V2078" s="251"/>
      <c r="W2078" s="49"/>
      <c r="X2078" s="49"/>
      <c r="Y2078" s="35"/>
      <c r="Z2078" s="35"/>
      <c r="AA2078" s="35"/>
      <c r="AB2078" s="35"/>
      <c r="AC2078" s="35"/>
      <c r="AD2078" s="35"/>
      <c r="AE2078" s="35"/>
      <c r="AF2078" s="35"/>
      <c r="AG2078" s="35"/>
      <c r="AH2078" s="35"/>
      <c r="AI2078" s="35"/>
      <c r="AJ2078" s="35"/>
      <c r="AK2078" s="35"/>
      <c r="AL2078" s="35"/>
    </row>
    <row r="2079">
      <c r="A2079" s="133"/>
      <c r="B2079" s="19" t="s">
        <v>9393</v>
      </c>
      <c r="C2079" s="20"/>
      <c r="D2079" s="47"/>
      <c r="E2079" s="174" t="s">
        <v>10457</v>
      </c>
      <c r="F2079" s="22" t="s">
        <v>1426</v>
      </c>
      <c r="G2079" s="174">
        <v>1990.0</v>
      </c>
      <c r="H2079" s="174" t="s">
        <v>2869</v>
      </c>
      <c r="I2079" s="175" t="s">
        <v>10458</v>
      </c>
      <c r="J2079" s="23" t="s">
        <v>55</v>
      </c>
      <c r="K2079" s="23" t="s">
        <v>10459</v>
      </c>
      <c r="L2079" s="36">
        <v>633.0</v>
      </c>
      <c r="M2079" s="36">
        <v>15.0</v>
      </c>
      <c r="N2079" s="36"/>
      <c r="O2079" s="36"/>
      <c r="P2079" s="37"/>
      <c r="Q2079" s="36"/>
      <c r="R2079" s="36">
        <v>120.0</v>
      </c>
      <c r="S2079" s="36"/>
      <c r="T2079" s="28" t="s">
        <v>10460</v>
      </c>
      <c r="U2079" s="250" t="str">
        <f>HYPERLINK("https://www.ncbi.nlm.nih.gov/pubmed/2168952","PubMed")</f>
        <v>PubMed</v>
      </c>
      <c r="V2079" s="251"/>
      <c r="W2079" s="49"/>
      <c r="X2079" s="49"/>
      <c r="Y2079" s="35"/>
      <c r="Z2079" s="35"/>
      <c r="AA2079" s="35"/>
      <c r="AB2079" s="35"/>
      <c r="AC2079" s="35"/>
      <c r="AD2079" s="35"/>
      <c r="AE2079" s="35"/>
      <c r="AF2079" s="35"/>
      <c r="AG2079" s="35"/>
      <c r="AH2079" s="35"/>
      <c r="AI2079" s="35"/>
      <c r="AJ2079" s="35"/>
      <c r="AK2079" s="35"/>
      <c r="AL2079" s="35"/>
    </row>
    <row r="2080">
      <c r="A2080" s="133"/>
      <c r="B2080" s="19" t="s">
        <v>9393</v>
      </c>
      <c r="C2080" s="20"/>
      <c r="D2080" s="47"/>
      <c r="E2080" s="174" t="s">
        <v>10461</v>
      </c>
      <c r="F2080" s="22" t="s">
        <v>748</v>
      </c>
      <c r="G2080" s="174">
        <v>1990.0</v>
      </c>
      <c r="H2080" s="174" t="s">
        <v>10462</v>
      </c>
      <c r="I2080" s="175" t="s">
        <v>10463</v>
      </c>
      <c r="J2080" s="23" t="s">
        <v>253</v>
      </c>
      <c r="K2080" s="23"/>
      <c r="L2080" s="36">
        <v>633.0</v>
      </c>
      <c r="M2080" s="36" t="s">
        <v>8939</v>
      </c>
      <c r="N2080" s="36"/>
      <c r="O2080" s="36"/>
      <c r="P2080" s="37"/>
      <c r="Q2080" s="36"/>
      <c r="R2080" s="36">
        <v>600.0</v>
      </c>
      <c r="S2080" s="36">
        <v>10.0</v>
      </c>
      <c r="T2080" s="28" t="s">
        <v>10464</v>
      </c>
      <c r="U2080" s="250" t="str">
        <f>HYPERLINK("https://www.ncbi.nlm.nih.gov/pubmed/2255486","PubMed")</f>
        <v>PubMed</v>
      </c>
      <c r="V2080" s="251"/>
      <c r="W2080" s="49"/>
      <c r="X2080" s="49"/>
      <c r="Y2080" s="35"/>
      <c r="Z2080" s="35"/>
      <c r="AA2080" s="35"/>
      <c r="AB2080" s="35"/>
      <c r="AC2080" s="35"/>
      <c r="AD2080" s="35"/>
      <c r="AE2080" s="35"/>
      <c r="AF2080" s="35"/>
      <c r="AG2080" s="35"/>
      <c r="AH2080" s="35"/>
      <c r="AI2080" s="35"/>
      <c r="AJ2080" s="35"/>
      <c r="AK2080" s="35"/>
      <c r="AL2080" s="35"/>
    </row>
    <row r="2081">
      <c r="A2081" s="133"/>
      <c r="B2081" s="19" t="s">
        <v>9393</v>
      </c>
      <c r="C2081" s="20"/>
      <c r="D2081" s="47"/>
      <c r="E2081" s="174" t="s">
        <v>10465</v>
      </c>
      <c r="F2081" s="22" t="s">
        <v>748</v>
      </c>
      <c r="G2081" s="174">
        <v>1990.0</v>
      </c>
      <c r="H2081" s="174" t="s">
        <v>10453</v>
      </c>
      <c r="I2081" s="175" t="s">
        <v>10466</v>
      </c>
      <c r="J2081" s="23" t="s">
        <v>253</v>
      </c>
      <c r="K2081" s="23"/>
      <c r="L2081" s="36">
        <v>633.0</v>
      </c>
      <c r="M2081" s="36"/>
      <c r="N2081" s="36"/>
      <c r="O2081" s="36"/>
      <c r="P2081" s="37"/>
      <c r="Q2081" s="36"/>
      <c r="R2081" s="36"/>
      <c r="S2081" s="36"/>
      <c r="T2081" s="28" t="s">
        <v>10467</v>
      </c>
      <c r="U2081" s="250" t="str">
        <f>HYPERLINK("https://www.ncbi.nlm.nih.gov/pubmed/2238330","PubMed")</f>
        <v>PubMed</v>
      </c>
      <c r="V2081" s="251"/>
      <c r="W2081" s="49"/>
      <c r="X2081" s="49"/>
      <c r="Y2081" s="35"/>
      <c r="Z2081" s="35"/>
      <c r="AA2081" s="35"/>
      <c r="AB2081" s="35"/>
      <c r="AC2081" s="35"/>
      <c r="AD2081" s="35"/>
      <c r="AE2081" s="35"/>
      <c r="AF2081" s="35"/>
      <c r="AG2081" s="35"/>
      <c r="AH2081" s="35"/>
      <c r="AI2081" s="35"/>
      <c r="AJ2081" s="35"/>
      <c r="AK2081" s="35"/>
      <c r="AL2081" s="35"/>
    </row>
    <row r="2082">
      <c r="A2082" s="133"/>
      <c r="B2082" s="19" t="s">
        <v>9393</v>
      </c>
      <c r="C2082" s="20"/>
      <c r="D2082" s="47"/>
      <c r="E2082" s="174" t="s">
        <v>10468</v>
      </c>
      <c r="F2082" s="22" t="s">
        <v>748</v>
      </c>
      <c r="G2082" s="174">
        <v>1989.0</v>
      </c>
      <c r="H2082" s="174" t="s">
        <v>10462</v>
      </c>
      <c r="I2082" s="175" t="s">
        <v>10469</v>
      </c>
      <c r="J2082" s="23" t="s">
        <v>10470</v>
      </c>
      <c r="K2082" s="23"/>
      <c r="L2082" s="36">
        <v>633.0</v>
      </c>
      <c r="M2082" s="36"/>
      <c r="N2082" s="36"/>
      <c r="O2082" s="36"/>
      <c r="P2082" s="37"/>
      <c r="Q2082" s="36"/>
      <c r="R2082" s="36"/>
      <c r="S2082" s="36"/>
      <c r="T2082" s="28" t="s">
        <v>10471</v>
      </c>
      <c r="U2082" s="250" t="str">
        <f>HYPERLINK("https://www.ncbi.nlm.nih.gov/pubmed/2797693","PubMed")</f>
        <v>PubMed</v>
      </c>
      <c r="V2082" s="251"/>
      <c r="W2082" s="49"/>
      <c r="X2082" s="49"/>
      <c r="Y2082" s="35"/>
      <c r="Z2082" s="35"/>
      <c r="AA2082" s="35"/>
      <c r="AB2082" s="35"/>
      <c r="AC2082" s="35"/>
      <c r="AD2082" s="35"/>
      <c r="AE2082" s="35"/>
      <c r="AF2082" s="35"/>
      <c r="AG2082" s="35"/>
      <c r="AH2082" s="35"/>
      <c r="AI2082" s="35"/>
      <c r="AJ2082" s="35"/>
      <c r="AK2082" s="35"/>
      <c r="AL2082" s="35"/>
    </row>
    <row r="2083">
      <c r="A2083" s="1"/>
      <c r="B2083" s="19" t="s">
        <v>10472</v>
      </c>
      <c r="C2083" s="20"/>
      <c r="D2083" s="47"/>
      <c r="E2083" s="22" t="s">
        <v>10473</v>
      </c>
      <c r="F2083" s="22" t="s">
        <v>4033</v>
      </c>
      <c r="G2083" s="23">
        <v>2017.0</v>
      </c>
      <c r="H2083" s="22" t="s">
        <v>3106</v>
      </c>
      <c r="I2083" s="24" t="s">
        <v>10474</v>
      </c>
      <c r="J2083" s="22" t="s">
        <v>44</v>
      </c>
      <c r="K2083" s="22"/>
      <c r="L2083" s="36">
        <v>710.0</v>
      </c>
      <c r="M2083" s="36"/>
      <c r="N2083" s="36"/>
      <c r="O2083" s="36"/>
      <c r="P2083" s="37"/>
      <c r="Q2083" s="36"/>
      <c r="R2083" s="36"/>
      <c r="S2083" s="36"/>
      <c r="T2083" s="28" t="s">
        <v>10475</v>
      </c>
      <c r="U2083" s="38" t="str">
        <f>HYPERLINK("https://www.ncbi.nlm.nih.gov/pubmed/28263713","PubMed")</f>
        <v>PubMed</v>
      </c>
      <c r="V2083" s="50"/>
      <c r="W2083" s="49"/>
      <c r="X2083" s="49"/>
      <c r="Y2083" s="35"/>
      <c r="Z2083" s="35"/>
      <c r="AA2083" s="35"/>
      <c r="AB2083" s="35"/>
      <c r="AC2083" s="35"/>
      <c r="AD2083" s="35"/>
      <c r="AE2083" s="35"/>
      <c r="AF2083" s="35"/>
      <c r="AG2083" s="35"/>
      <c r="AH2083" s="35"/>
      <c r="AI2083" s="35"/>
      <c r="AJ2083" s="35"/>
      <c r="AK2083" s="35"/>
      <c r="AL2083" s="35"/>
    </row>
    <row r="2084">
      <c r="A2084" s="1"/>
      <c r="B2084" s="19" t="s">
        <v>10472</v>
      </c>
      <c r="C2084" s="20"/>
      <c r="D2084" s="47"/>
      <c r="E2084" s="22" t="s">
        <v>10476</v>
      </c>
      <c r="F2084" s="22" t="s">
        <v>10477</v>
      </c>
      <c r="G2084" s="23">
        <v>2016.0</v>
      </c>
      <c r="H2084" s="22" t="s">
        <v>91</v>
      </c>
      <c r="I2084" s="24" t="s">
        <v>10478</v>
      </c>
      <c r="J2084" s="22" t="s">
        <v>55</v>
      </c>
      <c r="K2084" s="22" t="s">
        <v>157</v>
      </c>
      <c r="L2084" s="36">
        <v>670.0</v>
      </c>
      <c r="M2084" s="36"/>
      <c r="N2084" s="36" t="s">
        <v>1018</v>
      </c>
      <c r="O2084" s="36"/>
      <c r="P2084" s="37" t="s">
        <v>2395</v>
      </c>
      <c r="Q2084" s="36" t="s">
        <v>10479</v>
      </c>
      <c r="R2084" s="36">
        <v>360.0</v>
      </c>
      <c r="S2084" s="36"/>
      <c r="T2084" s="28" t="s">
        <v>10480</v>
      </c>
      <c r="U2084" s="38" t="str">
        <f>HYPERLINK("http://www.ncbi.nlm.nih.gov/pubmed/27562504","PubMed")</f>
        <v>PubMed</v>
      </c>
      <c r="V2084" s="50"/>
      <c r="W2084" s="49"/>
      <c r="X2084" s="49"/>
      <c r="Y2084" s="35"/>
      <c r="Z2084" s="35"/>
      <c r="AA2084" s="35"/>
      <c r="AB2084" s="35"/>
      <c r="AC2084" s="35"/>
      <c r="AD2084" s="35"/>
      <c r="AE2084" s="35"/>
      <c r="AF2084" s="35"/>
      <c r="AG2084" s="35"/>
      <c r="AH2084" s="35"/>
      <c r="AI2084" s="35"/>
      <c r="AJ2084" s="35"/>
      <c r="AK2084" s="35"/>
      <c r="AL2084" s="35"/>
    </row>
    <row r="2085">
      <c r="A2085" s="180"/>
      <c r="B2085" s="157" t="s">
        <v>10481</v>
      </c>
      <c r="C2085" s="158" t="s">
        <v>10482</v>
      </c>
      <c r="D2085" s="159"/>
      <c r="E2085" s="22" t="s">
        <v>2850</v>
      </c>
      <c r="F2085" s="23" t="s">
        <v>1034</v>
      </c>
      <c r="G2085" s="23">
        <v>2021.0</v>
      </c>
      <c r="H2085" s="22" t="s">
        <v>10483</v>
      </c>
      <c r="I2085" s="24" t="s">
        <v>10484</v>
      </c>
      <c r="J2085" s="22" t="s">
        <v>55</v>
      </c>
      <c r="K2085" s="22"/>
      <c r="L2085" s="36">
        <v>660.0</v>
      </c>
      <c r="N2085" s="36" t="s">
        <v>278</v>
      </c>
      <c r="O2085" s="129"/>
      <c r="P2085" s="37" t="s">
        <v>254</v>
      </c>
      <c r="Q2085" s="36"/>
      <c r="R2085" s="36"/>
      <c r="S2085" s="36"/>
      <c r="T2085" s="28" t="s">
        <v>10485</v>
      </c>
      <c r="U2085" s="29" t="s">
        <v>61</v>
      </c>
      <c r="V2085" s="30"/>
      <c r="W2085" s="49"/>
      <c r="X2085" s="49"/>
      <c r="Y2085" s="35"/>
      <c r="Z2085" s="35"/>
      <c r="AA2085" s="35"/>
      <c r="AB2085" s="35"/>
      <c r="AC2085" s="35"/>
      <c r="AD2085" s="35"/>
      <c r="AE2085" s="35"/>
      <c r="AF2085" s="35"/>
      <c r="AG2085" s="35"/>
      <c r="AH2085" s="35"/>
      <c r="AI2085" s="35"/>
      <c r="AJ2085" s="35"/>
      <c r="AK2085" s="35"/>
      <c r="AL2085" s="35"/>
    </row>
    <row r="2086">
      <c r="A2086" s="180"/>
      <c r="B2086" s="75" t="s">
        <v>10481</v>
      </c>
      <c r="C2086" s="77" t="s">
        <v>10486</v>
      </c>
      <c r="D2086" s="159"/>
      <c r="E2086" s="22" t="s">
        <v>10487</v>
      </c>
      <c r="F2086" s="23" t="s">
        <v>323</v>
      </c>
      <c r="G2086" s="23">
        <v>2021.0</v>
      </c>
      <c r="H2086" s="22" t="s">
        <v>10488</v>
      </c>
      <c r="I2086" s="24" t="s">
        <v>10489</v>
      </c>
      <c r="J2086" s="22" t="s">
        <v>253</v>
      </c>
      <c r="K2086" s="22"/>
      <c r="L2086" s="36">
        <v>660.0</v>
      </c>
      <c r="M2086" s="52">
        <v>100.0</v>
      </c>
      <c r="N2086" s="36"/>
      <c r="O2086" s="129"/>
      <c r="P2086" s="37"/>
      <c r="Q2086" s="36"/>
      <c r="R2086" s="36"/>
      <c r="S2086" s="36"/>
      <c r="T2086" s="28" t="s">
        <v>10490</v>
      </c>
      <c r="U2086" s="29" t="s">
        <v>61</v>
      </c>
      <c r="V2086" s="30"/>
      <c r="W2086" s="49"/>
      <c r="X2086" s="49"/>
      <c r="Y2086" s="35"/>
      <c r="Z2086" s="35"/>
      <c r="AA2086" s="35"/>
      <c r="AB2086" s="35"/>
      <c r="AC2086" s="35"/>
      <c r="AD2086" s="35"/>
      <c r="AE2086" s="35"/>
      <c r="AF2086" s="35"/>
      <c r="AG2086" s="35"/>
      <c r="AH2086" s="35"/>
      <c r="AI2086" s="35"/>
      <c r="AJ2086" s="35"/>
      <c r="AK2086" s="35"/>
      <c r="AL2086" s="35"/>
    </row>
    <row r="2087">
      <c r="A2087" s="180"/>
      <c r="B2087" s="157" t="s">
        <v>10481</v>
      </c>
      <c r="C2087" s="158" t="s">
        <v>10486</v>
      </c>
      <c r="D2087" s="159"/>
      <c r="E2087" s="22" t="s">
        <v>10487</v>
      </c>
      <c r="F2087" s="23" t="s">
        <v>323</v>
      </c>
      <c r="G2087" s="23">
        <v>2019.0</v>
      </c>
      <c r="H2087" s="22" t="s">
        <v>484</v>
      </c>
      <c r="I2087" s="24" t="s">
        <v>10491</v>
      </c>
      <c r="J2087" s="22" t="s">
        <v>253</v>
      </c>
      <c r="K2087" s="22"/>
      <c r="L2087" s="36">
        <v>660.0</v>
      </c>
      <c r="M2087" s="36" t="s">
        <v>617</v>
      </c>
      <c r="N2087" s="36"/>
      <c r="O2087" s="129"/>
      <c r="P2087" s="37"/>
      <c r="Q2087" s="36"/>
      <c r="R2087" s="36">
        <v>90.0</v>
      </c>
      <c r="S2087" s="36"/>
      <c r="T2087" s="28" t="s">
        <v>10492</v>
      </c>
      <c r="U2087" s="38" t="str">
        <f>HYPERLINK("https://www.ncbi.nlm.nih.gov/pubmed/31791407","PubMed")</f>
        <v>PubMed</v>
      </c>
      <c r="V2087" s="30" t="s">
        <v>10493</v>
      </c>
      <c r="W2087" s="49"/>
      <c r="X2087" s="49"/>
      <c r="Y2087" s="35"/>
      <c r="Z2087" s="35"/>
      <c r="AA2087" s="35"/>
      <c r="AB2087" s="35"/>
      <c r="AC2087" s="35"/>
      <c r="AD2087" s="35"/>
      <c r="AE2087" s="35"/>
      <c r="AF2087" s="35"/>
      <c r="AG2087" s="35"/>
      <c r="AH2087" s="35"/>
      <c r="AI2087" s="35"/>
      <c r="AJ2087" s="35"/>
      <c r="AK2087" s="35"/>
      <c r="AL2087" s="35"/>
    </row>
    <row r="2088">
      <c r="A2088" s="180"/>
      <c r="B2088" s="157" t="s">
        <v>10481</v>
      </c>
      <c r="C2088" s="158" t="s">
        <v>10494</v>
      </c>
      <c r="D2088" s="159"/>
      <c r="E2088" s="22" t="s">
        <v>2338</v>
      </c>
      <c r="F2088" s="23" t="s">
        <v>10495</v>
      </c>
      <c r="G2088" s="23">
        <v>2005.0</v>
      </c>
      <c r="H2088" s="22" t="s">
        <v>10496</v>
      </c>
      <c r="I2088" s="24" t="s">
        <v>10497</v>
      </c>
      <c r="J2088" s="22" t="s">
        <v>55</v>
      </c>
      <c r="K2088" s="22" t="s">
        <v>1240</v>
      </c>
      <c r="L2088" s="36">
        <v>633.0</v>
      </c>
      <c r="M2088" s="36"/>
      <c r="N2088" s="36"/>
      <c r="O2088" s="129"/>
      <c r="P2088" s="37"/>
      <c r="Q2088" s="36"/>
      <c r="R2088" s="36"/>
      <c r="S2088" s="36">
        <v>20.0</v>
      </c>
      <c r="T2088" s="28" t="s">
        <v>10498</v>
      </c>
      <c r="U2088" s="38" t="str">
        <f>HYPERLINK("https://www.ncbi.nlm.nih.gov/pubmed/16294723","PubMed")</f>
        <v>PubMed</v>
      </c>
      <c r="V2088" s="50"/>
      <c r="W2088" s="49"/>
      <c r="X2088" s="49"/>
      <c r="Y2088" s="35"/>
      <c r="Z2088" s="35"/>
      <c r="AA2088" s="35"/>
      <c r="AB2088" s="35"/>
      <c r="AC2088" s="35"/>
      <c r="AD2088" s="35"/>
      <c r="AE2088" s="35"/>
      <c r="AF2088" s="35"/>
      <c r="AG2088" s="35"/>
      <c r="AH2088" s="35"/>
      <c r="AI2088" s="35"/>
      <c r="AJ2088" s="35"/>
      <c r="AK2088" s="35"/>
      <c r="AL2088" s="35"/>
    </row>
    <row r="2089">
      <c r="A2089" s="180"/>
      <c r="B2089" s="157" t="s">
        <v>10481</v>
      </c>
      <c r="C2089" s="158" t="s">
        <v>10494</v>
      </c>
      <c r="D2089" s="159"/>
      <c r="E2089" s="22" t="s">
        <v>10499</v>
      </c>
      <c r="F2089" s="23" t="s">
        <v>10495</v>
      </c>
      <c r="G2089" s="23">
        <v>2005.0</v>
      </c>
      <c r="H2089" s="22" t="s">
        <v>10500</v>
      </c>
      <c r="I2089" s="24" t="s">
        <v>10501</v>
      </c>
      <c r="J2089" s="22" t="s">
        <v>55</v>
      </c>
      <c r="K2089" s="22" t="s">
        <v>1240</v>
      </c>
      <c r="L2089" s="36">
        <v>633.0</v>
      </c>
      <c r="M2089" s="36"/>
      <c r="N2089" s="36" t="s">
        <v>8939</v>
      </c>
      <c r="O2089" s="129"/>
      <c r="P2089" s="37" t="s">
        <v>10502</v>
      </c>
      <c r="Q2089" s="36" t="s">
        <v>2923</v>
      </c>
      <c r="R2089" s="36" t="s">
        <v>10503</v>
      </c>
      <c r="S2089" s="36">
        <v>20.0</v>
      </c>
      <c r="T2089" s="28" t="s">
        <v>10504</v>
      </c>
      <c r="U2089" s="38" t="str">
        <f>HYPERLINK("https://www.ncbi.nlm.nih.gov/pubmed/15991302","PubMed")</f>
        <v>PubMed</v>
      </c>
      <c r="V2089" s="50"/>
      <c r="W2089" s="49"/>
      <c r="X2089" s="49"/>
      <c r="Y2089" s="35"/>
      <c r="Z2089" s="35"/>
      <c r="AA2089" s="35"/>
      <c r="AB2089" s="35"/>
      <c r="AC2089" s="35"/>
      <c r="AD2089" s="35"/>
      <c r="AE2089" s="35"/>
      <c r="AF2089" s="35"/>
      <c r="AG2089" s="35"/>
      <c r="AH2089" s="35"/>
      <c r="AI2089" s="35"/>
      <c r="AJ2089" s="35"/>
      <c r="AK2089" s="35"/>
      <c r="AL2089" s="35"/>
    </row>
    <row r="2090">
      <c r="A2090" s="1"/>
      <c r="B2090" s="75" t="s">
        <v>10481</v>
      </c>
      <c r="C2090" s="77" t="s">
        <v>10505</v>
      </c>
      <c r="D2090" s="159"/>
      <c r="E2090" s="22" t="s">
        <v>10506</v>
      </c>
      <c r="F2090" s="23" t="s">
        <v>41</v>
      </c>
      <c r="G2090" s="23">
        <v>2023.0</v>
      </c>
      <c r="H2090" s="22" t="s">
        <v>91</v>
      </c>
      <c r="I2090" s="24" t="s">
        <v>10507</v>
      </c>
      <c r="J2090" s="22" t="s">
        <v>55</v>
      </c>
      <c r="K2090" s="22"/>
      <c r="L2090" s="36">
        <v>660.0</v>
      </c>
      <c r="M2090" s="36">
        <v>100.0</v>
      </c>
      <c r="N2090" s="36" t="s">
        <v>10508</v>
      </c>
      <c r="O2090" s="36"/>
      <c r="P2090" s="37" t="s">
        <v>10509</v>
      </c>
      <c r="Q2090" s="36" t="s">
        <v>10510</v>
      </c>
      <c r="R2090" s="36" t="s">
        <v>10511</v>
      </c>
      <c r="S2090" s="36"/>
      <c r="T2090" s="28" t="s">
        <v>10512</v>
      </c>
      <c r="U2090" s="38" t="s">
        <v>61</v>
      </c>
      <c r="V2090" s="50"/>
      <c r="W2090" s="49"/>
      <c r="X2090" s="49"/>
      <c r="Y2090" s="35"/>
      <c r="Z2090" s="35"/>
      <c r="AA2090" s="35"/>
      <c r="AB2090" s="35"/>
      <c r="AC2090" s="35"/>
      <c r="AD2090" s="35"/>
      <c r="AE2090" s="35"/>
      <c r="AF2090" s="35"/>
      <c r="AG2090" s="35"/>
      <c r="AH2090" s="35"/>
      <c r="AI2090" s="35"/>
      <c r="AJ2090" s="35"/>
      <c r="AK2090" s="35"/>
      <c r="AL2090" s="35"/>
    </row>
    <row r="2091">
      <c r="A2091" s="1"/>
      <c r="B2091" s="75" t="s">
        <v>10481</v>
      </c>
      <c r="C2091" s="77" t="s">
        <v>10505</v>
      </c>
      <c r="D2091" s="159"/>
      <c r="E2091" s="22" t="s">
        <v>10513</v>
      </c>
      <c r="F2091" s="23" t="s">
        <v>41</v>
      </c>
      <c r="G2091" s="23">
        <v>2023.0</v>
      </c>
      <c r="H2091" s="22" t="s">
        <v>91</v>
      </c>
      <c r="I2091" s="24" t="s">
        <v>10514</v>
      </c>
      <c r="J2091" s="22" t="s">
        <v>55</v>
      </c>
      <c r="K2091" s="22" t="s">
        <v>10515</v>
      </c>
      <c r="L2091" s="36">
        <v>660.0</v>
      </c>
      <c r="M2091" s="36"/>
      <c r="N2091" s="268"/>
      <c r="O2091" s="36"/>
      <c r="P2091" s="37"/>
      <c r="Q2091" s="36"/>
      <c r="R2091" s="36"/>
      <c r="S2091" s="36"/>
      <c r="T2091" s="28" t="s">
        <v>10516</v>
      </c>
      <c r="U2091" s="38" t="s">
        <v>61</v>
      </c>
      <c r="V2091" s="50"/>
      <c r="W2091" s="49"/>
      <c r="X2091" s="49"/>
      <c r="Y2091" s="35"/>
      <c r="Z2091" s="35"/>
      <c r="AA2091" s="35"/>
      <c r="AB2091" s="35"/>
      <c r="AC2091" s="35"/>
      <c r="AD2091" s="35"/>
      <c r="AE2091" s="35"/>
      <c r="AF2091" s="35"/>
      <c r="AG2091" s="35"/>
      <c r="AH2091" s="35"/>
      <c r="AI2091" s="35"/>
      <c r="AJ2091" s="35"/>
      <c r="AK2091" s="35"/>
      <c r="AL2091" s="35"/>
    </row>
    <row r="2092">
      <c r="A2092" s="1"/>
      <c r="B2092" s="75" t="s">
        <v>10481</v>
      </c>
      <c r="C2092" s="77" t="s">
        <v>10505</v>
      </c>
      <c r="D2092" s="159"/>
      <c r="E2092" s="22" t="s">
        <v>10517</v>
      </c>
      <c r="F2092" s="23" t="s">
        <v>41</v>
      </c>
      <c r="G2092" s="23">
        <v>2020.0</v>
      </c>
      <c r="H2092" s="22" t="s">
        <v>207</v>
      </c>
      <c r="I2092" s="24" t="s">
        <v>10518</v>
      </c>
      <c r="J2092" s="22" t="s">
        <v>44</v>
      </c>
      <c r="K2092" s="22" t="s">
        <v>157</v>
      </c>
      <c r="L2092" s="36"/>
      <c r="M2092" s="36"/>
      <c r="N2092" s="268"/>
      <c r="O2092" s="36"/>
      <c r="P2092" s="37"/>
      <c r="Q2092" s="36"/>
      <c r="R2092" s="36"/>
      <c r="S2092" s="36"/>
      <c r="T2092" s="28" t="s">
        <v>10519</v>
      </c>
      <c r="U2092" s="29" t="s">
        <v>61</v>
      </c>
      <c r="V2092" s="50"/>
      <c r="W2092" s="49"/>
      <c r="X2092" s="49"/>
      <c r="Y2092" s="35"/>
      <c r="Z2092" s="35"/>
      <c r="AA2092" s="35"/>
      <c r="AB2092" s="35"/>
      <c r="AC2092" s="35"/>
      <c r="AD2092" s="35"/>
      <c r="AE2092" s="35"/>
      <c r="AF2092" s="35"/>
      <c r="AG2092" s="35"/>
      <c r="AH2092" s="35"/>
      <c r="AI2092" s="35"/>
      <c r="AJ2092" s="35"/>
      <c r="AK2092" s="35"/>
      <c r="AL2092" s="35"/>
    </row>
    <row r="2093">
      <c r="A2093" s="1" t="s">
        <v>2</v>
      </c>
      <c r="B2093" s="157" t="s">
        <v>10481</v>
      </c>
      <c r="C2093" s="158" t="s">
        <v>10505</v>
      </c>
      <c r="D2093" s="159"/>
      <c r="E2093" s="22" t="s">
        <v>10520</v>
      </c>
      <c r="F2093" s="23" t="s">
        <v>5207</v>
      </c>
      <c r="G2093" s="23">
        <v>2016.0</v>
      </c>
      <c r="H2093" s="22" t="s">
        <v>207</v>
      </c>
      <c r="I2093" s="24" t="s">
        <v>10521</v>
      </c>
      <c r="J2093" s="22" t="s">
        <v>44</v>
      </c>
      <c r="K2093" s="22" t="s">
        <v>10522</v>
      </c>
      <c r="L2093" s="36">
        <v>940.0</v>
      </c>
      <c r="M2093" s="36">
        <v>270.0</v>
      </c>
      <c r="N2093" s="268"/>
      <c r="O2093" s="36" t="s">
        <v>10523</v>
      </c>
      <c r="P2093" s="37" t="s">
        <v>10524</v>
      </c>
      <c r="Q2093" s="36"/>
      <c r="R2093" s="36">
        <v>240.0</v>
      </c>
      <c r="S2093" s="36"/>
      <c r="T2093" s="28" t="s">
        <v>10525</v>
      </c>
      <c r="U2093" s="38" t="str">
        <f>HYPERLINK("https://www.ncbi.nlm.nih.gov/pubmed/27424097","PubMed")</f>
        <v>PubMed</v>
      </c>
      <c r="V2093" s="50"/>
      <c r="W2093" s="49"/>
      <c r="X2093" s="49"/>
      <c r="Y2093" s="35"/>
      <c r="Z2093" s="35"/>
      <c r="AA2093" s="35"/>
      <c r="AB2093" s="35"/>
      <c r="AC2093" s="35"/>
      <c r="AD2093" s="35"/>
      <c r="AE2093" s="35"/>
      <c r="AF2093" s="35"/>
      <c r="AG2093" s="35"/>
      <c r="AH2093" s="35"/>
      <c r="AI2093" s="35"/>
      <c r="AJ2093" s="35"/>
      <c r="AK2093" s="35"/>
      <c r="AL2093" s="35"/>
    </row>
    <row r="2094">
      <c r="A2094" s="180"/>
      <c r="B2094" s="157" t="s">
        <v>10481</v>
      </c>
      <c r="C2094" s="158" t="s">
        <v>10505</v>
      </c>
      <c r="D2094" s="159"/>
      <c r="E2094" s="22" t="s">
        <v>10526</v>
      </c>
      <c r="F2094" s="23" t="s">
        <v>291</v>
      </c>
      <c r="G2094" s="23">
        <v>2014.0</v>
      </c>
      <c r="H2094" s="22" t="s">
        <v>658</v>
      </c>
      <c r="I2094" s="24" t="s">
        <v>10527</v>
      </c>
      <c r="J2094" s="22" t="s">
        <v>44</v>
      </c>
      <c r="K2094" s="22" t="s">
        <v>10528</v>
      </c>
      <c r="L2094" s="36" t="s">
        <v>10529</v>
      </c>
      <c r="M2094" s="36"/>
      <c r="N2094" s="268"/>
      <c r="O2094" s="129"/>
      <c r="P2094" s="109"/>
      <c r="Q2094" s="36"/>
      <c r="R2094" s="36"/>
      <c r="S2094" s="36"/>
      <c r="T2094" s="28" t="s">
        <v>10530</v>
      </c>
      <c r="U2094" s="38" t="str">
        <f>HYPERLINK("https://www.ncbi.nlm.nih.gov/pubmed/25101535","PubMed")</f>
        <v>PubMed</v>
      </c>
      <c r="V2094" s="50"/>
      <c r="W2094" s="49"/>
      <c r="X2094" s="49"/>
      <c r="Y2094" s="35"/>
      <c r="Z2094" s="35"/>
      <c r="AA2094" s="35"/>
      <c r="AB2094" s="35"/>
      <c r="AC2094" s="35"/>
      <c r="AD2094" s="35"/>
      <c r="AE2094" s="35"/>
      <c r="AF2094" s="35"/>
      <c r="AG2094" s="35"/>
      <c r="AH2094" s="35"/>
      <c r="AI2094" s="35"/>
      <c r="AJ2094" s="35"/>
      <c r="AK2094" s="35"/>
      <c r="AL2094" s="35"/>
    </row>
    <row r="2095">
      <c r="A2095" s="180"/>
      <c r="B2095" s="157" t="s">
        <v>10481</v>
      </c>
      <c r="C2095" s="158" t="s">
        <v>10505</v>
      </c>
      <c r="D2095" s="159"/>
      <c r="E2095" s="22" t="s">
        <v>10531</v>
      </c>
      <c r="F2095" s="23" t="s">
        <v>3445</v>
      </c>
      <c r="G2095" s="23">
        <v>2014.0</v>
      </c>
      <c r="H2095" s="22" t="s">
        <v>10532</v>
      </c>
      <c r="I2095" s="24" t="s">
        <v>10533</v>
      </c>
      <c r="J2095" s="22" t="s">
        <v>44</v>
      </c>
      <c r="K2095" s="22" t="s">
        <v>10534</v>
      </c>
      <c r="L2095" s="36"/>
      <c r="M2095" s="36"/>
      <c r="N2095" s="268"/>
      <c r="O2095" s="129"/>
      <c r="P2095" s="109"/>
      <c r="Q2095" s="36"/>
      <c r="R2095" s="36"/>
      <c r="S2095" s="36"/>
      <c r="T2095" s="28" t="s">
        <v>10535</v>
      </c>
      <c r="U2095" s="38" t="str">
        <f>HYPERLINK("https://www.ncbi.nlm.nih.gov/pubmed/24236761","PubMed")</f>
        <v>PubMed</v>
      </c>
      <c r="V2095" s="50"/>
      <c r="W2095" s="49"/>
      <c r="X2095" s="49"/>
      <c r="Y2095" s="35"/>
      <c r="Z2095" s="35"/>
      <c r="AA2095" s="35"/>
      <c r="AB2095" s="35"/>
      <c r="AC2095" s="35"/>
      <c r="AD2095" s="35"/>
      <c r="AE2095" s="35"/>
      <c r="AF2095" s="35"/>
      <c r="AG2095" s="35"/>
      <c r="AH2095" s="35"/>
      <c r="AI2095" s="35"/>
      <c r="AJ2095" s="35"/>
      <c r="AK2095" s="35"/>
      <c r="AL2095" s="35"/>
    </row>
    <row r="2096">
      <c r="A2096" s="180"/>
      <c r="B2096" s="157" t="s">
        <v>10481</v>
      </c>
      <c r="C2096" s="158" t="s">
        <v>10536</v>
      </c>
      <c r="D2096" s="159"/>
      <c r="E2096" s="22" t="s">
        <v>10537</v>
      </c>
      <c r="F2096" s="23" t="s">
        <v>1337</v>
      </c>
      <c r="G2096" s="23">
        <v>1992.0</v>
      </c>
      <c r="H2096" s="22" t="s">
        <v>10538</v>
      </c>
      <c r="I2096" s="24" t="s">
        <v>10539</v>
      </c>
      <c r="J2096" s="22" t="s">
        <v>55</v>
      </c>
      <c r="K2096" s="22" t="s">
        <v>1240</v>
      </c>
      <c r="L2096" s="36">
        <v>633.0</v>
      </c>
      <c r="M2096" s="36"/>
      <c r="N2096" s="268"/>
      <c r="O2096" s="129"/>
      <c r="P2096" s="37" t="s">
        <v>10540</v>
      </c>
      <c r="Q2096" s="36"/>
      <c r="R2096" s="36"/>
      <c r="S2096" s="36"/>
      <c r="T2096" s="42" t="s">
        <v>10541</v>
      </c>
      <c r="U2096" s="38" t="str">
        <f>HYPERLINK("https://www.ncbi.nlm.nih.gov/pubmed/1587175","PubMed")</f>
        <v>PubMed</v>
      </c>
      <c r="V2096" s="50"/>
      <c r="W2096" s="49"/>
      <c r="X2096" s="49"/>
      <c r="Y2096" s="35"/>
      <c r="Z2096" s="35"/>
      <c r="AA2096" s="35"/>
      <c r="AB2096" s="35"/>
      <c r="AC2096" s="35"/>
      <c r="AD2096" s="35"/>
      <c r="AE2096" s="35"/>
      <c r="AF2096" s="35"/>
      <c r="AG2096" s="35"/>
      <c r="AH2096" s="35"/>
      <c r="AI2096" s="35"/>
      <c r="AJ2096" s="35"/>
      <c r="AK2096" s="35"/>
      <c r="AL2096" s="35"/>
    </row>
    <row r="2097">
      <c r="A2097" s="180"/>
      <c r="B2097" s="157" t="s">
        <v>10481</v>
      </c>
      <c r="C2097" s="158" t="s">
        <v>10536</v>
      </c>
      <c r="D2097" s="159"/>
      <c r="E2097" s="22" t="s">
        <v>10537</v>
      </c>
      <c r="F2097" s="23" t="s">
        <v>1337</v>
      </c>
      <c r="G2097" s="23">
        <v>1990.0</v>
      </c>
      <c r="H2097" s="22" t="s">
        <v>1289</v>
      </c>
      <c r="I2097" s="24" t="s">
        <v>10542</v>
      </c>
      <c r="J2097" s="22" t="s">
        <v>55</v>
      </c>
      <c r="K2097" s="22"/>
      <c r="L2097" s="36">
        <v>633.0</v>
      </c>
      <c r="M2097" s="36"/>
      <c r="N2097" s="268"/>
      <c r="O2097" s="129"/>
      <c r="P2097" s="37" t="s">
        <v>7754</v>
      </c>
      <c r="Q2097" s="36"/>
      <c r="R2097" s="36"/>
      <c r="S2097" s="36"/>
      <c r="T2097" s="28" t="s">
        <v>10543</v>
      </c>
      <c r="U2097" s="38" t="str">
        <f>HYPERLINK("https://www.ncbi.nlm.nih.gov/pubmed/10148949","PubMed")</f>
        <v>PubMed</v>
      </c>
      <c r="V2097" s="50"/>
      <c r="W2097" s="49"/>
      <c r="X2097" s="49"/>
      <c r="Y2097" s="35"/>
      <c r="Z2097" s="35"/>
      <c r="AA2097" s="35"/>
      <c r="AB2097" s="35"/>
      <c r="AC2097" s="35"/>
      <c r="AD2097" s="35"/>
      <c r="AE2097" s="35"/>
      <c r="AF2097" s="35"/>
      <c r="AG2097" s="35"/>
      <c r="AH2097" s="35"/>
      <c r="AI2097" s="35"/>
      <c r="AJ2097" s="35"/>
      <c r="AK2097" s="35"/>
      <c r="AL2097" s="35"/>
    </row>
    <row r="2098">
      <c r="A2098" s="180"/>
      <c r="B2098" s="157" t="s">
        <v>10481</v>
      </c>
      <c r="C2098" s="158" t="s">
        <v>10536</v>
      </c>
      <c r="D2098" s="159"/>
      <c r="E2098" s="22" t="s">
        <v>10544</v>
      </c>
      <c r="F2098" s="23" t="s">
        <v>4223</v>
      </c>
      <c r="G2098" s="23">
        <v>1988.0</v>
      </c>
      <c r="H2098" s="22" t="s">
        <v>10545</v>
      </c>
      <c r="I2098" s="24" t="s">
        <v>10546</v>
      </c>
      <c r="J2098" s="22" t="s">
        <v>55</v>
      </c>
      <c r="K2098" s="22"/>
      <c r="L2098" s="36">
        <v>633.0</v>
      </c>
      <c r="M2098" s="36">
        <v>6.0</v>
      </c>
      <c r="N2098" s="268"/>
      <c r="O2098" s="129"/>
      <c r="P2098" s="37" t="s">
        <v>7754</v>
      </c>
      <c r="Q2098" s="36"/>
      <c r="R2098" s="36"/>
      <c r="S2098" s="36"/>
      <c r="T2098" s="28" t="s">
        <v>10547</v>
      </c>
      <c r="U2098" s="38" t="str">
        <f>HYPERLINK("https://www.ncbi.nlm.nih.gov/pubmed/3349298","PubMed")</f>
        <v>PubMed</v>
      </c>
      <c r="V2098" s="50"/>
      <c r="W2098" s="49"/>
      <c r="X2098" s="49"/>
      <c r="Y2098" s="35"/>
      <c r="Z2098" s="35"/>
      <c r="AA2098" s="35"/>
      <c r="AB2098" s="35"/>
      <c r="AC2098" s="35"/>
      <c r="AD2098" s="35"/>
      <c r="AE2098" s="35"/>
      <c r="AF2098" s="35"/>
      <c r="AG2098" s="35"/>
      <c r="AH2098" s="35"/>
      <c r="AI2098" s="35"/>
      <c r="AJ2098" s="35"/>
      <c r="AK2098" s="35"/>
      <c r="AL2098" s="35"/>
    </row>
    <row r="2099">
      <c r="A2099" s="180"/>
      <c r="B2099" s="157" t="s">
        <v>10481</v>
      </c>
      <c r="C2099" s="158" t="s">
        <v>10548</v>
      </c>
      <c r="D2099" s="159"/>
      <c r="E2099" s="22" t="s">
        <v>10549</v>
      </c>
      <c r="F2099" s="23" t="s">
        <v>10550</v>
      </c>
      <c r="G2099" s="23">
        <v>2022.0</v>
      </c>
      <c r="H2099" s="22" t="s">
        <v>2122</v>
      </c>
      <c r="I2099" s="24" t="s">
        <v>10551</v>
      </c>
      <c r="J2099" s="22" t="s">
        <v>10552</v>
      </c>
      <c r="K2099" s="22"/>
      <c r="L2099" s="36" t="s">
        <v>10553</v>
      </c>
      <c r="M2099" s="36"/>
      <c r="N2099" s="268"/>
      <c r="O2099" s="129"/>
      <c r="P2099" s="37"/>
      <c r="Q2099" s="36"/>
      <c r="R2099" s="36"/>
      <c r="S2099" s="36">
        <v>1.0</v>
      </c>
      <c r="T2099" s="28" t="s">
        <v>10554</v>
      </c>
      <c r="U2099" s="38" t="s">
        <v>61</v>
      </c>
      <c r="V2099" s="50"/>
      <c r="W2099" s="49"/>
      <c r="X2099" s="49"/>
      <c r="Y2099" s="35"/>
      <c r="Z2099" s="35"/>
      <c r="AA2099" s="35"/>
      <c r="AB2099" s="35"/>
      <c r="AC2099" s="35"/>
      <c r="AD2099" s="35"/>
      <c r="AE2099" s="35"/>
      <c r="AF2099" s="35"/>
      <c r="AG2099" s="35"/>
      <c r="AH2099" s="35"/>
      <c r="AI2099" s="35"/>
      <c r="AJ2099" s="35"/>
      <c r="AK2099" s="35"/>
      <c r="AL2099" s="35"/>
    </row>
    <row r="2100">
      <c r="A2100" s="40" t="s">
        <v>181</v>
      </c>
      <c r="B2100" s="157" t="s">
        <v>10481</v>
      </c>
      <c r="C2100" s="158" t="s">
        <v>10555</v>
      </c>
      <c r="D2100" s="159"/>
      <c r="E2100" s="22" t="s">
        <v>10556</v>
      </c>
      <c r="F2100" s="23" t="s">
        <v>10116</v>
      </c>
      <c r="G2100" s="23">
        <v>1991.0</v>
      </c>
      <c r="H2100" s="22" t="s">
        <v>292</v>
      </c>
      <c r="I2100" s="24" t="s">
        <v>10557</v>
      </c>
      <c r="J2100" s="22" t="s">
        <v>10558</v>
      </c>
      <c r="K2100" s="22" t="s">
        <v>2686</v>
      </c>
      <c r="L2100" s="36"/>
      <c r="M2100" s="36"/>
      <c r="N2100" s="268"/>
      <c r="O2100" s="129"/>
      <c r="P2100" s="37"/>
      <c r="Q2100" s="36"/>
      <c r="R2100" s="36"/>
      <c r="S2100" s="36"/>
      <c r="T2100" s="42" t="s">
        <v>10559</v>
      </c>
      <c r="U2100" s="38" t="str">
        <f>HYPERLINK("https://www.jstage.jst.go.jp/article/islsm/3/2/3_91-SC-02/_article/-char/en","J-STAGE")</f>
        <v>J-STAGE</v>
      </c>
      <c r="V2100" s="50"/>
      <c r="W2100" s="49"/>
      <c r="X2100" s="49"/>
      <c r="Y2100" s="35"/>
      <c r="Z2100" s="35"/>
      <c r="AA2100" s="35"/>
      <c r="AB2100" s="35"/>
      <c r="AC2100" s="35"/>
      <c r="AD2100" s="35"/>
      <c r="AE2100" s="35"/>
      <c r="AF2100" s="35"/>
      <c r="AG2100" s="35"/>
      <c r="AH2100" s="35"/>
      <c r="AI2100" s="35"/>
      <c r="AJ2100" s="35"/>
      <c r="AK2100" s="35"/>
      <c r="AL2100" s="35"/>
    </row>
    <row r="2101">
      <c r="A2101" s="180"/>
      <c r="B2101" s="157" t="s">
        <v>10481</v>
      </c>
      <c r="C2101" s="158" t="s">
        <v>10560</v>
      </c>
      <c r="D2101" s="159"/>
      <c r="E2101" s="22" t="s">
        <v>10561</v>
      </c>
      <c r="F2101" s="23" t="s">
        <v>10562</v>
      </c>
      <c r="G2101" s="23">
        <v>2019.0</v>
      </c>
      <c r="H2101" s="22" t="s">
        <v>10563</v>
      </c>
      <c r="I2101" s="24" t="s">
        <v>10564</v>
      </c>
      <c r="J2101" s="22" t="s">
        <v>10565</v>
      </c>
      <c r="K2101" s="22"/>
      <c r="L2101" s="36">
        <v>980.0</v>
      </c>
      <c r="M2101" s="36"/>
      <c r="N2101" s="268"/>
      <c r="O2101" s="129"/>
      <c r="P2101" s="37" t="s">
        <v>969</v>
      </c>
      <c r="Q2101" s="36" t="s">
        <v>10566</v>
      </c>
      <c r="R2101" s="36" t="s">
        <v>10567</v>
      </c>
      <c r="S2101" s="36" t="s">
        <v>3125</v>
      </c>
      <c r="T2101" s="28" t="s">
        <v>10568</v>
      </c>
      <c r="U2101" s="38" t="str">
        <f>HYPERLINK("https://www.ncbi.nlm.nih.gov/pubmed/31086017","PubMed")</f>
        <v>PubMed</v>
      </c>
      <c r="V2101" s="50"/>
      <c r="W2101" s="49"/>
      <c r="X2101" s="49"/>
      <c r="Y2101" s="35"/>
      <c r="Z2101" s="35"/>
      <c r="AA2101" s="35"/>
      <c r="AB2101" s="35"/>
      <c r="AC2101" s="35"/>
      <c r="AD2101" s="35"/>
      <c r="AE2101" s="35"/>
      <c r="AF2101" s="35"/>
      <c r="AG2101" s="35"/>
      <c r="AH2101" s="35"/>
      <c r="AI2101" s="35"/>
      <c r="AJ2101" s="35"/>
      <c r="AK2101" s="35"/>
      <c r="AL2101" s="35"/>
    </row>
    <row r="2102">
      <c r="A2102" s="180"/>
      <c r="B2102" s="157" t="s">
        <v>10481</v>
      </c>
      <c r="C2102" s="158" t="s">
        <v>10560</v>
      </c>
      <c r="D2102" s="159"/>
      <c r="E2102" s="22" t="s">
        <v>10569</v>
      </c>
      <c r="F2102" s="23" t="s">
        <v>5884</v>
      </c>
      <c r="G2102" s="23">
        <v>2017.0</v>
      </c>
      <c r="H2102" s="22" t="s">
        <v>7928</v>
      </c>
      <c r="I2102" s="24" t="s">
        <v>10570</v>
      </c>
      <c r="J2102" s="22" t="s">
        <v>7651</v>
      </c>
      <c r="K2102" s="22" t="s">
        <v>5886</v>
      </c>
      <c r="L2102" s="36"/>
      <c r="M2102" s="36"/>
      <c r="N2102" s="268"/>
      <c r="O2102" s="129"/>
      <c r="P2102" s="37"/>
      <c r="Q2102" s="36"/>
      <c r="R2102" s="36"/>
      <c r="S2102" s="36"/>
      <c r="T2102" s="28" t="s">
        <v>10571</v>
      </c>
      <c r="U2102" s="38" t="str">
        <f>HYPERLINK("https://www.ncbi.nlm.nih.gov/pubmed/28794695","PubMed")</f>
        <v>PubMed</v>
      </c>
      <c r="V2102" s="50"/>
      <c r="W2102" s="49"/>
      <c r="X2102" s="49"/>
      <c r="Y2102" s="35"/>
      <c r="Z2102" s="35"/>
      <c r="AA2102" s="35"/>
      <c r="AB2102" s="35"/>
      <c r="AC2102" s="35"/>
      <c r="AD2102" s="35"/>
      <c r="AE2102" s="35"/>
      <c r="AF2102" s="35"/>
      <c r="AG2102" s="35"/>
      <c r="AH2102" s="35"/>
      <c r="AI2102" s="35"/>
      <c r="AJ2102" s="35"/>
      <c r="AK2102" s="35"/>
      <c r="AL2102" s="35"/>
    </row>
    <row r="2103">
      <c r="A2103" s="180"/>
      <c r="B2103" s="157" t="s">
        <v>10481</v>
      </c>
      <c r="C2103" s="158" t="s">
        <v>10572</v>
      </c>
      <c r="D2103" s="159"/>
      <c r="E2103" s="22" t="s">
        <v>10573</v>
      </c>
      <c r="F2103" s="23" t="s">
        <v>41</v>
      </c>
      <c r="G2103" s="23">
        <v>2024.0</v>
      </c>
      <c r="H2103" s="22" t="s">
        <v>91</v>
      </c>
      <c r="I2103" s="24" t="s">
        <v>10574</v>
      </c>
      <c r="J2103" s="22" t="s">
        <v>55</v>
      </c>
      <c r="K2103" s="22" t="s">
        <v>157</v>
      </c>
      <c r="L2103" s="36">
        <v>660.0</v>
      </c>
      <c r="M2103" s="36">
        <v>100.0</v>
      </c>
      <c r="N2103" s="36"/>
      <c r="O2103" s="36">
        <v>15.0</v>
      </c>
      <c r="P2103" s="37"/>
      <c r="Q2103" s="36"/>
      <c r="R2103" s="36" t="s">
        <v>10575</v>
      </c>
      <c r="S2103" s="36" t="s">
        <v>6403</v>
      </c>
      <c r="T2103" s="28" t="s">
        <v>10576</v>
      </c>
      <c r="U2103" s="38" t="s">
        <v>61</v>
      </c>
      <c r="V2103" s="50"/>
      <c r="W2103" s="49"/>
      <c r="X2103" s="49"/>
      <c r="Y2103" s="35"/>
      <c r="Z2103" s="35"/>
      <c r="AA2103" s="35"/>
      <c r="AB2103" s="35"/>
      <c r="AC2103" s="35"/>
      <c r="AD2103" s="35"/>
      <c r="AE2103" s="35"/>
      <c r="AF2103" s="35"/>
      <c r="AG2103" s="35"/>
      <c r="AH2103" s="35"/>
      <c r="AI2103" s="35"/>
      <c r="AJ2103" s="35"/>
      <c r="AK2103" s="35"/>
      <c r="AL2103" s="35"/>
    </row>
    <row r="2104">
      <c r="A2104" s="180"/>
      <c r="B2104" s="157" t="s">
        <v>10481</v>
      </c>
      <c r="C2104" s="158" t="s">
        <v>10577</v>
      </c>
      <c r="D2104" s="159"/>
      <c r="E2104" s="22" t="s">
        <v>10578</v>
      </c>
      <c r="F2104" s="23" t="s">
        <v>647</v>
      </c>
      <c r="G2104" s="23">
        <v>2023.0</v>
      </c>
      <c r="H2104" s="22" t="s">
        <v>191</v>
      </c>
      <c r="I2104" s="24" t="s">
        <v>10579</v>
      </c>
      <c r="J2104" s="22" t="s">
        <v>2141</v>
      </c>
      <c r="K2104" s="22"/>
      <c r="L2104" s="168"/>
      <c r="M2104" s="168"/>
      <c r="N2104" s="168"/>
      <c r="O2104" s="184"/>
      <c r="P2104" s="169"/>
      <c r="Q2104" s="168"/>
      <c r="R2104" s="168"/>
      <c r="S2104" s="168"/>
      <c r="T2104" s="185"/>
      <c r="U2104" s="38" t="s">
        <v>61</v>
      </c>
      <c r="V2104" s="50"/>
      <c r="W2104" s="49"/>
      <c r="X2104" s="49"/>
      <c r="Y2104" s="35"/>
      <c r="Z2104" s="35"/>
      <c r="AA2104" s="35"/>
      <c r="AB2104" s="35"/>
      <c r="AC2104" s="35"/>
      <c r="AD2104" s="35"/>
      <c r="AE2104" s="35"/>
      <c r="AF2104" s="35"/>
      <c r="AG2104" s="35"/>
      <c r="AH2104" s="35"/>
      <c r="AI2104" s="35"/>
      <c r="AJ2104" s="35"/>
      <c r="AK2104" s="35"/>
      <c r="AL2104" s="35"/>
    </row>
    <row r="2105">
      <c r="A2105" s="180"/>
      <c r="B2105" s="157" t="s">
        <v>10481</v>
      </c>
      <c r="C2105" s="158" t="s">
        <v>10580</v>
      </c>
      <c r="D2105" s="159"/>
      <c r="E2105" s="22" t="s">
        <v>10581</v>
      </c>
      <c r="F2105" s="23" t="s">
        <v>10582</v>
      </c>
      <c r="G2105" s="23">
        <v>2012.0</v>
      </c>
      <c r="H2105" s="22" t="s">
        <v>53</v>
      </c>
      <c r="I2105" s="24" t="s">
        <v>10583</v>
      </c>
      <c r="J2105" s="22" t="s">
        <v>55</v>
      </c>
      <c r="K2105" s="22" t="s">
        <v>10584</v>
      </c>
      <c r="L2105" s="36">
        <v>650.0</v>
      </c>
      <c r="M2105" s="36">
        <v>70.0</v>
      </c>
      <c r="N2105" s="36"/>
      <c r="O2105" s="129"/>
      <c r="P2105" s="37" t="s">
        <v>4163</v>
      </c>
      <c r="Q2105" s="36"/>
      <c r="R2105" s="36"/>
      <c r="S2105" s="36"/>
      <c r="T2105" s="41" t="s">
        <v>10585</v>
      </c>
      <c r="U2105" s="38" t="str">
        <f>HYPERLINK("https://www.ncbi.nlm.nih.gov/pubmed/22886545","PubMed")</f>
        <v>PubMed</v>
      </c>
      <c r="V2105" s="50"/>
      <c r="W2105" s="49"/>
      <c r="X2105" s="49"/>
      <c r="Y2105" s="35"/>
      <c r="Z2105" s="35"/>
      <c r="AA2105" s="35"/>
      <c r="AB2105" s="35"/>
      <c r="AC2105" s="35"/>
      <c r="AD2105" s="35"/>
      <c r="AE2105" s="35"/>
      <c r="AF2105" s="35"/>
      <c r="AG2105" s="35"/>
      <c r="AH2105" s="35"/>
      <c r="AI2105" s="35"/>
      <c r="AJ2105" s="35"/>
      <c r="AK2105" s="35"/>
      <c r="AL2105" s="35"/>
    </row>
    <row r="2106">
      <c r="A2106" s="180"/>
      <c r="B2106" s="157" t="s">
        <v>10481</v>
      </c>
      <c r="C2106" s="158" t="s">
        <v>10586</v>
      </c>
      <c r="D2106" s="159"/>
      <c r="E2106" s="22" t="s">
        <v>5065</v>
      </c>
      <c r="F2106" s="23" t="s">
        <v>2346</v>
      </c>
      <c r="G2106" s="23">
        <v>2022.0</v>
      </c>
      <c r="H2106" s="22" t="s">
        <v>348</v>
      </c>
      <c r="I2106" s="24" t="s">
        <v>10587</v>
      </c>
      <c r="J2106" s="22" t="s">
        <v>125</v>
      </c>
      <c r="K2106" s="22"/>
      <c r="L2106" s="195" t="s">
        <v>10588</v>
      </c>
      <c r="M2106" s="44"/>
      <c r="N2106" s="44"/>
      <c r="O2106" s="44"/>
      <c r="P2106" s="44"/>
      <c r="Q2106" s="44"/>
      <c r="R2106" s="44"/>
      <c r="S2106" s="44"/>
      <c r="T2106" s="44"/>
      <c r="U2106" s="29" t="s">
        <v>61</v>
      </c>
      <c r="V2106" s="50"/>
      <c r="W2106" s="49"/>
      <c r="X2106" s="49"/>
      <c r="Y2106" s="35"/>
      <c r="Z2106" s="35"/>
      <c r="AA2106" s="35"/>
      <c r="AB2106" s="35"/>
      <c r="AC2106" s="35"/>
      <c r="AD2106" s="35"/>
      <c r="AE2106" s="35"/>
      <c r="AF2106" s="35"/>
      <c r="AG2106" s="35"/>
      <c r="AH2106" s="35"/>
      <c r="AI2106" s="35"/>
      <c r="AJ2106" s="35"/>
      <c r="AK2106" s="35"/>
      <c r="AL2106" s="35"/>
    </row>
    <row r="2107">
      <c r="A2107" s="180"/>
      <c r="B2107" s="157" t="s">
        <v>10481</v>
      </c>
      <c r="C2107" s="158" t="s">
        <v>10586</v>
      </c>
      <c r="D2107" s="159"/>
      <c r="E2107" s="22" t="s">
        <v>3939</v>
      </c>
      <c r="F2107" s="23" t="s">
        <v>1862</v>
      </c>
      <c r="G2107" s="23">
        <v>2022.0</v>
      </c>
      <c r="H2107" s="22" t="s">
        <v>3940</v>
      </c>
      <c r="I2107" s="24" t="s">
        <v>10589</v>
      </c>
      <c r="J2107" s="22" t="s">
        <v>10590</v>
      </c>
      <c r="K2107" s="22"/>
      <c r="L2107" s="236">
        <v>904.0</v>
      </c>
      <c r="M2107" s="246">
        <v>30.0</v>
      </c>
      <c r="N2107" s="246"/>
      <c r="O2107" s="246" t="s">
        <v>10591</v>
      </c>
      <c r="P2107" s="246"/>
      <c r="Q2107" s="246"/>
      <c r="R2107" s="246"/>
      <c r="S2107" s="246" t="s">
        <v>10592</v>
      </c>
      <c r="T2107" s="54" t="s">
        <v>10593</v>
      </c>
      <c r="U2107" s="29" t="s">
        <v>61</v>
      </c>
      <c r="V2107" s="50"/>
      <c r="W2107" s="49"/>
      <c r="X2107" s="49"/>
      <c r="Y2107" s="35"/>
      <c r="Z2107" s="35"/>
      <c r="AA2107" s="35"/>
      <c r="AB2107" s="35"/>
      <c r="AC2107" s="35"/>
      <c r="AD2107" s="35"/>
      <c r="AE2107" s="35"/>
      <c r="AF2107" s="35"/>
      <c r="AG2107" s="35"/>
      <c r="AH2107" s="35"/>
      <c r="AI2107" s="35"/>
      <c r="AJ2107" s="35"/>
      <c r="AK2107" s="35"/>
      <c r="AL2107" s="35"/>
    </row>
    <row r="2108">
      <c r="A2108" s="180"/>
      <c r="B2108" s="157" t="s">
        <v>10481</v>
      </c>
      <c r="C2108" s="158" t="s">
        <v>10586</v>
      </c>
      <c r="D2108" s="159"/>
      <c r="E2108" s="22" t="s">
        <v>3939</v>
      </c>
      <c r="F2108" s="23" t="s">
        <v>1862</v>
      </c>
      <c r="G2108" s="23">
        <v>2021.0</v>
      </c>
      <c r="H2108" s="22" t="s">
        <v>77</v>
      </c>
      <c r="I2108" s="24" t="s">
        <v>10594</v>
      </c>
      <c r="J2108" s="22" t="s">
        <v>10595</v>
      </c>
      <c r="K2108" s="22"/>
      <c r="L2108" s="236">
        <v>904.0</v>
      </c>
      <c r="M2108" s="246"/>
      <c r="N2108" s="246"/>
      <c r="O2108" s="246"/>
      <c r="P2108" s="246">
        <v>861.0</v>
      </c>
      <c r="Q2108" s="246"/>
      <c r="R2108" s="246"/>
      <c r="S2108" s="246" t="s">
        <v>10596</v>
      </c>
      <c r="T2108" s="104" t="s">
        <v>10597</v>
      </c>
      <c r="U2108" s="29" t="s">
        <v>61</v>
      </c>
      <c r="V2108" s="30" t="s">
        <v>10598</v>
      </c>
      <c r="W2108" s="49"/>
      <c r="X2108" s="49"/>
      <c r="Y2108" s="35"/>
      <c r="Z2108" s="35"/>
      <c r="AA2108" s="35"/>
      <c r="AB2108" s="35"/>
      <c r="AC2108" s="35"/>
      <c r="AD2108" s="35"/>
      <c r="AE2108" s="35"/>
      <c r="AF2108" s="35"/>
      <c r="AG2108" s="35"/>
      <c r="AH2108" s="35"/>
      <c r="AI2108" s="35"/>
      <c r="AJ2108" s="35"/>
      <c r="AK2108" s="35"/>
      <c r="AL2108" s="35"/>
    </row>
    <row r="2109">
      <c r="A2109" s="180"/>
      <c r="B2109" s="157" t="s">
        <v>10481</v>
      </c>
      <c r="C2109" s="158" t="s">
        <v>10586</v>
      </c>
      <c r="D2109" s="159"/>
      <c r="E2109" s="22" t="s">
        <v>10599</v>
      </c>
      <c r="F2109" s="23" t="s">
        <v>10600</v>
      </c>
      <c r="G2109" s="23">
        <v>2021.0</v>
      </c>
      <c r="H2109" s="22" t="s">
        <v>348</v>
      </c>
      <c r="I2109" s="24" t="s">
        <v>10601</v>
      </c>
      <c r="J2109" s="22" t="s">
        <v>125</v>
      </c>
      <c r="K2109" s="22"/>
      <c r="L2109" s="43" t="s">
        <v>10602</v>
      </c>
      <c r="M2109" s="44"/>
      <c r="N2109" s="44"/>
      <c r="O2109" s="44"/>
      <c r="P2109" s="44"/>
      <c r="Q2109" s="44"/>
      <c r="R2109" s="44"/>
      <c r="S2109" s="44"/>
      <c r="T2109" s="45"/>
      <c r="U2109" s="29" t="s">
        <v>61</v>
      </c>
      <c r="V2109" s="50"/>
      <c r="W2109" s="49"/>
      <c r="X2109" s="49"/>
      <c r="Y2109" s="35"/>
      <c r="Z2109" s="35"/>
      <c r="AA2109" s="35"/>
      <c r="AB2109" s="35"/>
      <c r="AC2109" s="35"/>
      <c r="AD2109" s="35"/>
      <c r="AE2109" s="35"/>
      <c r="AF2109" s="35"/>
      <c r="AG2109" s="35"/>
      <c r="AH2109" s="35"/>
      <c r="AI2109" s="35"/>
      <c r="AJ2109" s="35"/>
      <c r="AK2109" s="35"/>
      <c r="AL2109" s="35"/>
    </row>
    <row r="2110">
      <c r="A2110" s="180"/>
      <c r="B2110" s="157" t="s">
        <v>10481</v>
      </c>
      <c r="C2110" s="158" t="s">
        <v>10586</v>
      </c>
      <c r="D2110" s="159"/>
      <c r="E2110" s="22" t="s">
        <v>10603</v>
      </c>
      <c r="F2110" s="23" t="s">
        <v>7853</v>
      </c>
      <c r="G2110" s="23">
        <v>2020.0</v>
      </c>
      <c r="H2110" s="22" t="s">
        <v>10604</v>
      </c>
      <c r="I2110" s="24" t="s">
        <v>10605</v>
      </c>
      <c r="J2110" s="22" t="s">
        <v>10606</v>
      </c>
      <c r="K2110" s="22" t="s">
        <v>10607</v>
      </c>
      <c r="L2110" s="36">
        <v>970.0</v>
      </c>
      <c r="M2110" s="36"/>
      <c r="N2110" s="36" t="s">
        <v>1175</v>
      </c>
      <c r="O2110" s="129"/>
      <c r="P2110" s="37" t="s">
        <v>82</v>
      </c>
      <c r="Q2110" s="36" t="s">
        <v>6449</v>
      </c>
      <c r="R2110" s="36">
        <v>30.0</v>
      </c>
      <c r="S2110" s="36" t="s">
        <v>7612</v>
      </c>
      <c r="T2110" s="41" t="s">
        <v>10608</v>
      </c>
      <c r="U2110" s="29" t="s">
        <v>61</v>
      </c>
      <c r="V2110" s="50"/>
      <c r="W2110" s="49"/>
      <c r="X2110" s="49"/>
      <c r="Y2110" s="35"/>
      <c r="Z2110" s="35"/>
      <c r="AA2110" s="35"/>
      <c r="AB2110" s="35"/>
      <c r="AC2110" s="35"/>
      <c r="AD2110" s="35"/>
      <c r="AE2110" s="35"/>
      <c r="AF2110" s="35"/>
      <c r="AG2110" s="35"/>
      <c r="AH2110" s="35"/>
      <c r="AI2110" s="35"/>
      <c r="AJ2110" s="35"/>
      <c r="AK2110" s="35"/>
      <c r="AL2110" s="35"/>
    </row>
    <row r="2111">
      <c r="A2111" s="180"/>
      <c r="B2111" s="157" t="s">
        <v>10481</v>
      </c>
      <c r="C2111" s="158" t="s">
        <v>10586</v>
      </c>
      <c r="D2111" s="159"/>
      <c r="E2111" s="22" t="s">
        <v>3980</v>
      </c>
      <c r="F2111" s="23" t="s">
        <v>10609</v>
      </c>
      <c r="G2111" s="23" t="s">
        <v>76</v>
      </c>
      <c r="H2111" s="22" t="s">
        <v>77</v>
      </c>
      <c r="I2111" s="24" t="s">
        <v>10610</v>
      </c>
      <c r="J2111" s="22" t="s">
        <v>125</v>
      </c>
      <c r="K2111" s="22"/>
      <c r="L2111" s="213" t="s">
        <v>10611</v>
      </c>
      <c r="M2111" s="44"/>
      <c r="N2111" s="44"/>
      <c r="O2111" s="44"/>
      <c r="P2111" s="44"/>
      <c r="Q2111" s="44"/>
      <c r="R2111" s="44"/>
      <c r="S2111" s="44"/>
      <c r="T2111" s="45"/>
      <c r="U2111" s="38" t="str">
        <f>HYPERLINK("https://www.ncbi.nlm.nih.gov/pubmed/31596658","PubMed")</f>
        <v>PubMed</v>
      </c>
      <c r="V2111" s="50"/>
      <c r="W2111" s="49"/>
      <c r="X2111" s="49"/>
      <c r="Y2111" s="35"/>
      <c r="Z2111" s="35"/>
      <c r="AA2111" s="35"/>
      <c r="AB2111" s="35"/>
      <c r="AC2111" s="35"/>
      <c r="AD2111" s="35"/>
      <c r="AE2111" s="35"/>
      <c r="AF2111" s="35"/>
      <c r="AG2111" s="35"/>
      <c r="AH2111" s="35"/>
      <c r="AI2111" s="35"/>
      <c r="AJ2111" s="35"/>
      <c r="AK2111" s="35"/>
      <c r="AL2111" s="35"/>
    </row>
    <row r="2112">
      <c r="A2112" s="180"/>
      <c r="B2112" s="157" t="s">
        <v>10481</v>
      </c>
      <c r="C2112" s="158" t="s">
        <v>10586</v>
      </c>
      <c r="D2112" s="159"/>
      <c r="E2112" s="22" t="s">
        <v>3939</v>
      </c>
      <c r="F2112" s="23" t="s">
        <v>10609</v>
      </c>
      <c r="G2112" s="23">
        <v>2018.0</v>
      </c>
      <c r="H2112" s="22" t="s">
        <v>91</v>
      </c>
      <c r="I2112" s="24" t="s">
        <v>10612</v>
      </c>
      <c r="J2112" s="22" t="s">
        <v>44</v>
      </c>
      <c r="K2112" s="22" t="s">
        <v>294</v>
      </c>
      <c r="L2112" s="36" t="s">
        <v>5357</v>
      </c>
      <c r="M2112" s="36"/>
      <c r="N2112" s="36"/>
      <c r="O2112" s="129"/>
      <c r="P2112" s="37"/>
      <c r="Q2112" s="36"/>
      <c r="R2112" s="36"/>
      <c r="S2112" s="36"/>
      <c r="T2112" s="42" t="s">
        <v>10613</v>
      </c>
      <c r="U2112" s="38" t="str">
        <f>HYPERLINK("https://www.ncbi.nlm.nih.gov/pubmed/30074108","PubMed")</f>
        <v>PubMed</v>
      </c>
      <c r="V2112" s="50"/>
      <c r="W2112" s="49"/>
      <c r="X2112" s="49"/>
      <c r="Y2112" s="35"/>
      <c r="Z2112" s="35"/>
      <c r="AA2112" s="35"/>
      <c r="AB2112" s="35"/>
      <c r="AC2112" s="35"/>
      <c r="AD2112" s="35"/>
      <c r="AE2112" s="35"/>
      <c r="AF2112" s="35"/>
      <c r="AG2112" s="35"/>
      <c r="AH2112" s="35"/>
      <c r="AI2112" s="35"/>
      <c r="AJ2112" s="35"/>
      <c r="AK2112" s="35"/>
      <c r="AL2112" s="35"/>
    </row>
    <row r="2113">
      <c r="A2113" s="180"/>
      <c r="B2113" s="157" t="s">
        <v>10481</v>
      </c>
      <c r="C2113" s="158" t="s">
        <v>10614</v>
      </c>
      <c r="D2113" s="159"/>
      <c r="E2113" s="22" t="s">
        <v>10615</v>
      </c>
      <c r="F2113" s="23" t="s">
        <v>41</v>
      </c>
      <c r="G2113" s="23">
        <v>2021.0</v>
      </c>
      <c r="H2113" s="22" t="s">
        <v>1485</v>
      </c>
      <c r="I2113" s="24" t="s">
        <v>10616</v>
      </c>
      <c r="J2113" s="22" t="s">
        <v>6365</v>
      </c>
      <c r="K2113" s="22" t="s">
        <v>7646</v>
      </c>
      <c r="L2113" s="36"/>
      <c r="M2113" s="36"/>
      <c r="N2113" s="36"/>
      <c r="O2113" s="129"/>
      <c r="P2113" s="37"/>
      <c r="Q2113" s="36"/>
      <c r="R2113" s="36"/>
      <c r="S2113" s="36"/>
      <c r="T2113" s="132" t="s">
        <v>10617</v>
      </c>
      <c r="U2113" s="29" t="s">
        <v>61</v>
      </c>
      <c r="V2113" s="50"/>
      <c r="W2113" s="49"/>
      <c r="X2113" s="49"/>
      <c r="Y2113" s="35"/>
      <c r="Z2113" s="35"/>
      <c r="AA2113" s="35"/>
      <c r="AB2113" s="35"/>
      <c r="AC2113" s="35"/>
      <c r="AD2113" s="35"/>
      <c r="AE2113" s="35"/>
      <c r="AF2113" s="35"/>
      <c r="AG2113" s="35"/>
      <c r="AH2113" s="35"/>
      <c r="AI2113" s="35"/>
      <c r="AJ2113" s="35"/>
      <c r="AK2113" s="35"/>
      <c r="AL2113" s="35"/>
    </row>
    <row r="2114">
      <c r="A2114" s="180"/>
      <c r="B2114" s="157" t="s">
        <v>10481</v>
      </c>
      <c r="C2114" s="158" t="s">
        <v>10618</v>
      </c>
      <c r="D2114" s="159"/>
      <c r="E2114" s="22" t="s">
        <v>1080</v>
      </c>
      <c r="F2114" s="23" t="s">
        <v>299</v>
      </c>
      <c r="G2114" s="23">
        <v>2019.0</v>
      </c>
      <c r="H2114" s="22" t="s">
        <v>348</v>
      </c>
      <c r="I2114" s="24" t="s">
        <v>10619</v>
      </c>
      <c r="J2114" s="22" t="s">
        <v>209</v>
      </c>
      <c r="K2114" s="22" t="s">
        <v>10620</v>
      </c>
      <c r="L2114" s="36">
        <v>633.0</v>
      </c>
      <c r="M2114" s="36"/>
      <c r="N2114" s="36"/>
      <c r="O2114" s="129"/>
      <c r="P2114" s="37"/>
      <c r="Q2114" s="36"/>
      <c r="R2114" s="36"/>
      <c r="S2114" s="36"/>
      <c r="T2114" s="28" t="s">
        <v>10621</v>
      </c>
      <c r="U2114" s="38" t="str">
        <f>HYPERLINK("https://www.ncbi.nlm.nih.gov/pubmed/30841658","PubMed")</f>
        <v>PubMed</v>
      </c>
      <c r="V2114" s="50"/>
      <c r="W2114" s="49"/>
      <c r="X2114" s="49"/>
      <c r="Y2114" s="35"/>
      <c r="Z2114" s="35"/>
      <c r="AA2114" s="35"/>
      <c r="AB2114" s="35"/>
      <c r="AC2114" s="35"/>
      <c r="AD2114" s="35"/>
      <c r="AE2114" s="35"/>
      <c r="AF2114" s="35"/>
      <c r="AG2114" s="35"/>
      <c r="AH2114" s="35"/>
      <c r="AI2114" s="35"/>
      <c r="AJ2114" s="35"/>
      <c r="AK2114" s="35"/>
      <c r="AL2114" s="35"/>
    </row>
    <row r="2115">
      <c r="A2115" s="180"/>
      <c r="B2115" s="157" t="s">
        <v>10481</v>
      </c>
      <c r="C2115" s="158" t="s">
        <v>10622</v>
      </c>
      <c r="D2115" s="159"/>
      <c r="E2115" s="22" t="s">
        <v>10623</v>
      </c>
      <c r="F2115" s="23" t="s">
        <v>10624</v>
      </c>
      <c r="G2115" s="23">
        <v>2024.0</v>
      </c>
      <c r="H2115" s="22" t="s">
        <v>77</v>
      </c>
      <c r="I2115" s="24" t="s">
        <v>10625</v>
      </c>
      <c r="J2115" s="22" t="s">
        <v>2273</v>
      </c>
      <c r="K2115" s="22"/>
      <c r="L2115" s="36">
        <v>635.0</v>
      </c>
      <c r="M2115" s="36"/>
      <c r="N2115" s="36"/>
      <c r="O2115" s="129"/>
      <c r="P2115" s="37"/>
      <c r="Q2115" s="36"/>
      <c r="R2115" s="36"/>
      <c r="S2115" s="36">
        <v>7.0</v>
      </c>
      <c r="T2115" s="28" t="s">
        <v>10626</v>
      </c>
      <c r="U2115" s="38" t="s">
        <v>61</v>
      </c>
      <c r="V2115" s="50"/>
      <c r="W2115" s="49"/>
      <c r="X2115" s="49"/>
      <c r="Y2115" s="35"/>
      <c r="Z2115" s="35"/>
      <c r="AA2115" s="35"/>
      <c r="AB2115" s="35"/>
      <c r="AC2115" s="35"/>
      <c r="AD2115" s="35"/>
      <c r="AE2115" s="35"/>
      <c r="AF2115" s="35"/>
      <c r="AG2115" s="35"/>
      <c r="AH2115" s="35"/>
      <c r="AI2115" s="35"/>
      <c r="AJ2115" s="35"/>
      <c r="AK2115" s="35"/>
      <c r="AL2115" s="35"/>
    </row>
    <row r="2116">
      <c r="A2116" s="180"/>
      <c r="B2116" s="157" t="s">
        <v>10481</v>
      </c>
      <c r="C2116" s="158" t="s">
        <v>10627</v>
      </c>
      <c r="D2116" s="159"/>
      <c r="E2116" s="22" t="s">
        <v>10628</v>
      </c>
      <c r="F2116" s="23" t="s">
        <v>6013</v>
      </c>
      <c r="G2116" s="23">
        <v>2022.0</v>
      </c>
      <c r="H2116" s="22" t="s">
        <v>584</v>
      </c>
      <c r="I2116" s="24" t="s">
        <v>10629</v>
      </c>
      <c r="J2116" s="22" t="s">
        <v>10630</v>
      </c>
      <c r="K2116" s="22" t="s">
        <v>10631</v>
      </c>
      <c r="L2116" s="36" t="s">
        <v>10632</v>
      </c>
      <c r="M2116" s="36"/>
      <c r="N2116" s="36"/>
      <c r="O2116" s="129"/>
      <c r="P2116" s="37"/>
      <c r="Q2116" s="36"/>
      <c r="R2116" s="36"/>
      <c r="S2116" s="36"/>
      <c r="T2116" s="28" t="s">
        <v>10633</v>
      </c>
      <c r="U2116" s="38" t="s">
        <v>61</v>
      </c>
      <c r="V2116" s="50"/>
      <c r="W2116" s="49"/>
      <c r="X2116" s="49"/>
      <c r="Y2116" s="35"/>
      <c r="Z2116" s="35"/>
      <c r="AA2116" s="35"/>
      <c r="AB2116" s="35"/>
      <c r="AC2116" s="35"/>
      <c r="AD2116" s="35"/>
      <c r="AE2116" s="35"/>
      <c r="AF2116" s="35"/>
      <c r="AG2116" s="35"/>
      <c r="AH2116" s="35"/>
      <c r="AI2116" s="35"/>
      <c r="AJ2116" s="35"/>
      <c r="AK2116" s="35"/>
      <c r="AL2116" s="35"/>
    </row>
    <row r="2117">
      <c r="A2117" s="180"/>
      <c r="B2117" s="157" t="s">
        <v>10481</v>
      </c>
      <c r="C2117" s="158" t="s">
        <v>10634</v>
      </c>
      <c r="D2117" s="159"/>
      <c r="E2117" s="22" t="s">
        <v>10635</v>
      </c>
      <c r="F2117" s="23" t="s">
        <v>10636</v>
      </c>
      <c r="G2117" s="23" t="s">
        <v>90</v>
      </c>
      <c r="H2117" s="22" t="s">
        <v>658</v>
      </c>
      <c r="I2117" s="24" t="s">
        <v>10637</v>
      </c>
      <c r="J2117" s="22" t="s">
        <v>10638</v>
      </c>
      <c r="K2117" s="22" t="s">
        <v>10639</v>
      </c>
      <c r="L2117" s="36">
        <v>625.0</v>
      </c>
      <c r="M2117" s="36">
        <v>30.0</v>
      </c>
      <c r="N2117" s="36" t="s">
        <v>10640</v>
      </c>
      <c r="O2117" s="129"/>
      <c r="P2117" s="37" t="s">
        <v>10641</v>
      </c>
      <c r="Q2117" s="36"/>
      <c r="R2117" s="36">
        <v>120.0</v>
      </c>
      <c r="S2117" s="36">
        <v>1.0</v>
      </c>
      <c r="T2117" s="28" t="s">
        <v>10642</v>
      </c>
      <c r="U2117" s="38" t="str">
        <f>HYPERLINK("https://www.ncbi.nlm.nih.gov/pubmed/28301292","PubMed")</f>
        <v>PubMed</v>
      </c>
      <c r="V2117" s="50"/>
      <c r="W2117" s="49"/>
      <c r="X2117" s="49"/>
      <c r="Y2117" s="35"/>
      <c r="Z2117" s="35"/>
      <c r="AA2117" s="35"/>
      <c r="AB2117" s="35"/>
      <c r="AC2117" s="35"/>
      <c r="AD2117" s="35"/>
      <c r="AE2117" s="35"/>
      <c r="AF2117" s="35"/>
      <c r="AG2117" s="35"/>
      <c r="AH2117" s="35"/>
      <c r="AI2117" s="35"/>
      <c r="AJ2117" s="35"/>
      <c r="AK2117" s="35"/>
      <c r="AL2117" s="35"/>
    </row>
    <row r="2118">
      <c r="A2118" s="180"/>
      <c r="B2118" s="157" t="s">
        <v>10481</v>
      </c>
      <c r="C2118" s="158" t="s">
        <v>10643</v>
      </c>
      <c r="D2118" s="159"/>
      <c r="E2118" s="22" t="s">
        <v>10644</v>
      </c>
      <c r="F2118" s="23" t="s">
        <v>748</v>
      </c>
      <c r="G2118" s="23">
        <v>1999.0</v>
      </c>
      <c r="H2118" s="22" t="s">
        <v>58</v>
      </c>
      <c r="I2118" s="24" t="s">
        <v>10645</v>
      </c>
      <c r="J2118" s="22" t="s">
        <v>10646</v>
      </c>
      <c r="K2118" s="178"/>
      <c r="L2118" s="36">
        <v>633.0</v>
      </c>
      <c r="M2118" s="36"/>
      <c r="N2118" s="268"/>
      <c r="O2118" s="129"/>
      <c r="P2118" s="109"/>
      <c r="Q2118" s="36"/>
      <c r="R2118" s="36"/>
      <c r="S2118" s="183">
        <v>44905.0</v>
      </c>
      <c r="T2118" s="28" t="s">
        <v>10647</v>
      </c>
      <c r="U2118" s="215"/>
      <c r="V2118" s="50"/>
      <c r="W2118" s="49"/>
      <c r="X2118" s="49"/>
      <c r="Y2118" s="35"/>
      <c r="Z2118" s="35"/>
      <c r="AA2118" s="35"/>
      <c r="AB2118" s="35"/>
      <c r="AC2118" s="35"/>
      <c r="AD2118" s="35"/>
      <c r="AE2118" s="35"/>
      <c r="AF2118" s="35"/>
      <c r="AG2118" s="35"/>
      <c r="AH2118" s="35"/>
      <c r="AI2118" s="35"/>
      <c r="AJ2118" s="35"/>
      <c r="AK2118" s="35"/>
      <c r="AL2118" s="35"/>
    </row>
    <row r="2119">
      <c r="A2119" s="180"/>
      <c r="B2119" s="157" t="s">
        <v>73</v>
      </c>
      <c r="C2119" s="158" t="s">
        <v>10648</v>
      </c>
      <c r="D2119" s="159"/>
      <c r="E2119" s="22" t="s">
        <v>5156</v>
      </c>
      <c r="F2119" s="23" t="s">
        <v>5157</v>
      </c>
      <c r="G2119" s="23">
        <v>2023.0</v>
      </c>
      <c r="H2119" s="22" t="s">
        <v>207</v>
      </c>
      <c r="I2119" s="24" t="s">
        <v>10649</v>
      </c>
      <c r="J2119" s="22" t="s">
        <v>31</v>
      </c>
      <c r="K2119" s="22"/>
      <c r="L2119" s="36"/>
      <c r="M2119" s="36"/>
      <c r="N2119" s="268"/>
      <c r="O2119" s="129"/>
      <c r="P2119" s="37"/>
      <c r="Q2119" s="36"/>
      <c r="R2119" s="36"/>
      <c r="S2119" s="36"/>
      <c r="T2119" s="28" t="s">
        <v>10650</v>
      </c>
      <c r="U2119" s="38" t="s">
        <v>61</v>
      </c>
      <c r="V2119" s="30" t="s">
        <v>174</v>
      </c>
      <c r="W2119" s="49"/>
      <c r="X2119" s="49"/>
      <c r="Y2119" s="35"/>
      <c r="Z2119" s="35"/>
      <c r="AA2119" s="35"/>
      <c r="AB2119" s="35"/>
      <c r="AC2119" s="35"/>
      <c r="AD2119" s="35"/>
      <c r="AE2119" s="35"/>
      <c r="AF2119" s="35"/>
      <c r="AG2119" s="35"/>
      <c r="AH2119" s="35"/>
      <c r="AI2119" s="35"/>
      <c r="AJ2119" s="35"/>
      <c r="AK2119" s="35"/>
      <c r="AL2119" s="35"/>
    </row>
    <row r="2120">
      <c r="A2120" s="180"/>
      <c r="B2120" s="157" t="s">
        <v>73</v>
      </c>
      <c r="C2120" s="158" t="s">
        <v>10648</v>
      </c>
      <c r="D2120" s="159"/>
      <c r="E2120" s="22" t="s">
        <v>7614</v>
      </c>
      <c r="F2120" s="23" t="s">
        <v>7413</v>
      </c>
      <c r="G2120" s="23">
        <v>2021.0</v>
      </c>
      <c r="H2120" s="22" t="s">
        <v>2181</v>
      </c>
      <c r="I2120" s="24" t="s">
        <v>7615</v>
      </c>
      <c r="J2120" s="22" t="s">
        <v>31</v>
      </c>
      <c r="K2120" s="22" t="s">
        <v>157</v>
      </c>
      <c r="L2120" s="36">
        <v>633.0</v>
      </c>
      <c r="M2120" s="36"/>
      <c r="N2120" s="268"/>
      <c r="O2120" s="129"/>
      <c r="P2120" s="37"/>
      <c r="Q2120" s="36"/>
      <c r="R2120" s="36"/>
      <c r="S2120" s="36"/>
      <c r="T2120" s="28" t="s">
        <v>10651</v>
      </c>
      <c r="U2120" s="38" t="s">
        <v>61</v>
      </c>
      <c r="V2120" s="50"/>
      <c r="W2120" s="49"/>
      <c r="X2120" s="49"/>
      <c r="Y2120" s="35"/>
      <c r="Z2120" s="35"/>
      <c r="AA2120" s="35"/>
      <c r="AB2120" s="35"/>
      <c r="AC2120" s="35"/>
      <c r="AD2120" s="35"/>
      <c r="AE2120" s="35"/>
      <c r="AF2120" s="35"/>
      <c r="AG2120" s="35"/>
      <c r="AH2120" s="35"/>
      <c r="AI2120" s="35"/>
      <c r="AJ2120" s="35"/>
      <c r="AK2120" s="35"/>
      <c r="AL2120" s="35"/>
    </row>
    <row r="2121">
      <c r="A2121" s="180"/>
      <c r="B2121" s="157" t="s">
        <v>73</v>
      </c>
      <c r="C2121" s="158" t="s">
        <v>10648</v>
      </c>
      <c r="D2121" s="159"/>
      <c r="E2121" s="22" t="s">
        <v>10652</v>
      </c>
      <c r="F2121" s="23" t="s">
        <v>5207</v>
      </c>
      <c r="G2121" s="23">
        <v>2017.0</v>
      </c>
      <c r="H2121" s="22" t="s">
        <v>91</v>
      </c>
      <c r="I2121" s="24" t="s">
        <v>10653</v>
      </c>
      <c r="J2121" s="22" t="s">
        <v>31</v>
      </c>
      <c r="K2121" s="22" t="s">
        <v>10654</v>
      </c>
      <c r="L2121" s="36">
        <v>660.0</v>
      </c>
      <c r="M2121" s="36"/>
      <c r="N2121" s="268"/>
      <c r="O2121" s="129"/>
      <c r="P2121" s="37" t="s">
        <v>9338</v>
      </c>
      <c r="Q2121" s="36"/>
      <c r="R2121" s="36"/>
      <c r="S2121" s="36"/>
      <c r="T2121" s="28" t="s">
        <v>10655</v>
      </c>
      <c r="U2121" s="38" t="str">
        <f>HYPERLINK("https://www.ncbi.nlm.nih.gov/pubmed/29159515","PubMed")</f>
        <v>PubMed</v>
      </c>
      <c r="V2121" s="50"/>
      <c r="W2121" s="49"/>
      <c r="X2121" s="49"/>
      <c r="Y2121" s="35"/>
      <c r="Z2121" s="35"/>
      <c r="AA2121" s="35"/>
      <c r="AB2121" s="35"/>
      <c r="AC2121" s="35"/>
      <c r="AD2121" s="35"/>
      <c r="AE2121" s="35"/>
      <c r="AF2121" s="35"/>
      <c r="AG2121" s="35"/>
      <c r="AH2121" s="35"/>
      <c r="AI2121" s="35"/>
      <c r="AJ2121" s="35"/>
      <c r="AK2121" s="35"/>
      <c r="AL2121" s="35"/>
    </row>
    <row r="2122">
      <c r="A2122" s="18"/>
      <c r="B2122" s="157" t="s">
        <v>73</v>
      </c>
      <c r="C2122" s="158" t="s">
        <v>10648</v>
      </c>
      <c r="D2122" s="159"/>
      <c r="E2122" s="22" t="s">
        <v>3317</v>
      </c>
      <c r="F2122" s="23" t="s">
        <v>2795</v>
      </c>
      <c r="G2122" s="23">
        <v>2015.0</v>
      </c>
      <c r="H2122" s="22" t="s">
        <v>10656</v>
      </c>
      <c r="I2122" s="24" t="s">
        <v>10657</v>
      </c>
      <c r="J2122" s="22" t="s">
        <v>31</v>
      </c>
      <c r="K2122" s="22" t="s">
        <v>2216</v>
      </c>
      <c r="L2122" s="36" t="s">
        <v>10658</v>
      </c>
      <c r="M2122" s="36"/>
      <c r="N2122" s="36"/>
      <c r="O2122" s="36"/>
      <c r="P2122" s="37" t="s">
        <v>10659</v>
      </c>
      <c r="Q2122" s="36"/>
      <c r="R2122" s="36"/>
      <c r="S2122" s="36"/>
      <c r="T2122" s="28" t="s">
        <v>10660</v>
      </c>
      <c r="U2122" s="29" t="s">
        <v>61</v>
      </c>
      <c r="V2122" s="50"/>
      <c r="W2122" s="49"/>
      <c r="X2122" s="49"/>
      <c r="Y2122" s="35"/>
      <c r="Z2122" s="35"/>
      <c r="AA2122" s="35"/>
      <c r="AB2122" s="35"/>
      <c r="AC2122" s="35"/>
      <c r="AD2122" s="35"/>
      <c r="AE2122" s="35"/>
      <c r="AF2122" s="35"/>
      <c r="AG2122" s="35"/>
      <c r="AH2122" s="35"/>
      <c r="AI2122" s="35"/>
      <c r="AJ2122" s="35"/>
      <c r="AK2122" s="35"/>
      <c r="AL2122" s="35"/>
    </row>
    <row r="2123">
      <c r="A2123" s="18" t="s">
        <v>2</v>
      </c>
      <c r="B2123" s="157" t="s">
        <v>73</v>
      </c>
      <c r="C2123" s="158" t="s">
        <v>10648</v>
      </c>
      <c r="D2123" s="159"/>
      <c r="E2123" s="22" t="s">
        <v>4966</v>
      </c>
      <c r="F2123" s="23" t="s">
        <v>1386</v>
      </c>
      <c r="G2123" s="23">
        <v>2014.0</v>
      </c>
      <c r="H2123" s="178" t="s">
        <v>207</v>
      </c>
      <c r="I2123" s="24" t="s">
        <v>10661</v>
      </c>
      <c r="J2123" s="22" t="s">
        <v>31</v>
      </c>
      <c r="K2123" s="178"/>
      <c r="L2123" s="36">
        <v>660.0</v>
      </c>
      <c r="M2123" s="36"/>
      <c r="N2123" s="36" t="s">
        <v>5774</v>
      </c>
      <c r="O2123" s="36">
        <v>5.0</v>
      </c>
      <c r="P2123" s="109"/>
      <c r="Q2123" s="36"/>
      <c r="R2123" s="36"/>
      <c r="S2123" s="36"/>
      <c r="T2123" s="28" t="s">
        <v>10662</v>
      </c>
      <c r="U2123" s="38" t="str">
        <f>HYPERLINK("https://www.ncbi.nlm.nih.gov/pubmed/24333762","PubMed")</f>
        <v>PubMed</v>
      </c>
      <c r="V2123" s="50"/>
      <c r="W2123" s="49"/>
      <c r="X2123" s="49"/>
      <c r="Y2123" s="35"/>
      <c r="Z2123" s="35"/>
      <c r="AA2123" s="35"/>
      <c r="AB2123" s="35"/>
      <c r="AC2123" s="35"/>
      <c r="AD2123" s="35"/>
      <c r="AE2123" s="35"/>
      <c r="AF2123" s="35"/>
      <c r="AG2123" s="35"/>
      <c r="AH2123" s="35"/>
      <c r="AI2123" s="35"/>
      <c r="AJ2123" s="35"/>
      <c r="AK2123" s="35"/>
      <c r="AL2123" s="35"/>
    </row>
    <row r="2124">
      <c r="A2124" s="18" t="s">
        <v>2</v>
      </c>
      <c r="B2124" s="157" t="s">
        <v>73</v>
      </c>
      <c r="C2124" s="158" t="s">
        <v>10648</v>
      </c>
      <c r="D2124" s="159"/>
      <c r="E2124" s="22" t="s">
        <v>10663</v>
      </c>
      <c r="F2124" s="23" t="s">
        <v>1386</v>
      </c>
      <c r="G2124" s="23">
        <v>2013.0</v>
      </c>
      <c r="H2124" s="22" t="s">
        <v>658</v>
      </c>
      <c r="I2124" s="24" t="s">
        <v>10664</v>
      </c>
      <c r="J2124" s="22" t="s">
        <v>31</v>
      </c>
      <c r="K2124" s="22" t="s">
        <v>10665</v>
      </c>
      <c r="L2124" s="36">
        <v>660.0</v>
      </c>
      <c r="M2124" s="36"/>
      <c r="N2124" s="36"/>
      <c r="O2124" s="36"/>
      <c r="P2124" s="37" t="s">
        <v>432</v>
      </c>
      <c r="Q2124" s="36"/>
      <c r="R2124" s="36"/>
      <c r="S2124" s="36"/>
      <c r="T2124" s="28" t="s">
        <v>10666</v>
      </c>
      <c r="U2124" s="38" t="str">
        <f>HYPERLINK("https://www.ncbi.nlm.nih.gov/pubmed/23240874","PubMed")</f>
        <v>PubMed</v>
      </c>
      <c r="V2124" s="50"/>
      <c r="W2124" s="49"/>
      <c r="X2124" s="49"/>
      <c r="Y2124" s="35"/>
      <c r="Z2124" s="35"/>
      <c r="AA2124" s="35"/>
      <c r="AB2124" s="35"/>
      <c r="AC2124" s="35"/>
      <c r="AD2124" s="35"/>
      <c r="AE2124" s="35"/>
      <c r="AF2124" s="35"/>
      <c r="AG2124" s="35"/>
      <c r="AH2124" s="35"/>
      <c r="AI2124" s="35"/>
      <c r="AJ2124" s="35"/>
      <c r="AK2124" s="35"/>
      <c r="AL2124" s="35"/>
    </row>
    <row r="2125">
      <c r="A2125" s="180"/>
      <c r="B2125" s="140" t="s">
        <v>73</v>
      </c>
      <c r="C2125" s="158" t="s">
        <v>10648</v>
      </c>
      <c r="D2125" s="152"/>
      <c r="E2125" s="22" t="s">
        <v>10667</v>
      </c>
      <c r="F2125" s="23" t="s">
        <v>5270</v>
      </c>
      <c r="G2125" s="23">
        <v>2010.0</v>
      </c>
      <c r="H2125" s="22" t="s">
        <v>5032</v>
      </c>
      <c r="I2125" s="24" t="s">
        <v>10668</v>
      </c>
      <c r="J2125" s="22" t="s">
        <v>31</v>
      </c>
      <c r="K2125" s="22" t="s">
        <v>10669</v>
      </c>
      <c r="L2125" s="36" t="s">
        <v>7422</v>
      </c>
      <c r="M2125" s="268"/>
      <c r="N2125" s="268"/>
      <c r="O2125" s="129"/>
      <c r="P2125" s="37"/>
      <c r="Q2125" s="36"/>
      <c r="R2125" s="36"/>
      <c r="S2125" s="36"/>
      <c r="T2125" s="54" t="s">
        <v>10670</v>
      </c>
      <c r="U2125" s="38" t="str">
        <f>HYPERLINK("https://www.ncbi.nlm.nih.gov/pubmed/20130591","PubMed")</f>
        <v>PubMed</v>
      </c>
      <c r="V2125" s="50"/>
      <c r="W2125" s="49"/>
      <c r="X2125" s="49"/>
      <c r="Y2125" s="35"/>
      <c r="Z2125" s="35"/>
      <c r="AA2125" s="35"/>
      <c r="AB2125" s="35"/>
      <c r="AC2125" s="35"/>
      <c r="AD2125" s="35"/>
      <c r="AE2125" s="35"/>
      <c r="AF2125" s="35"/>
      <c r="AG2125" s="35"/>
      <c r="AH2125" s="35"/>
      <c r="AI2125" s="35"/>
      <c r="AJ2125" s="35"/>
      <c r="AK2125" s="35"/>
      <c r="AL2125" s="35"/>
    </row>
    <row r="2126">
      <c r="A2126" s="180"/>
      <c r="B2126" s="140" t="s">
        <v>73</v>
      </c>
      <c r="C2126" s="158" t="s">
        <v>10648</v>
      </c>
      <c r="D2126" s="152"/>
      <c r="E2126" s="22" t="s">
        <v>10671</v>
      </c>
      <c r="F2126" s="23" t="s">
        <v>10672</v>
      </c>
      <c r="G2126" s="23">
        <v>2010.0</v>
      </c>
      <c r="H2126" s="22" t="s">
        <v>53</v>
      </c>
      <c r="I2126" s="24" t="s">
        <v>10673</v>
      </c>
      <c r="J2126" s="22" t="s">
        <v>31</v>
      </c>
      <c r="K2126" s="22" t="s">
        <v>9270</v>
      </c>
      <c r="L2126" s="36" t="s">
        <v>10674</v>
      </c>
      <c r="M2126" s="268"/>
      <c r="N2126" s="268"/>
      <c r="O2126" s="129"/>
      <c r="P2126" s="37" t="s">
        <v>892</v>
      </c>
      <c r="Q2126" s="36"/>
      <c r="R2126" s="36"/>
      <c r="S2126" s="36"/>
      <c r="T2126" s="54" t="s">
        <v>10675</v>
      </c>
      <c r="U2126" s="38" t="str">
        <f>HYPERLINK("https://www.ncbi.nlm.nih.gov/pubmed/20662030","PubMed")</f>
        <v>PubMed</v>
      </c>
      <c r="V2126" s="50"/>
      <c r="W2126" s="49"/>
      <c r="X2126" s="49"/>
      <c r="Y2126" s="35"/>
      <c r="Z2126" s="35"/>
      <c r="AA2126" s="35"/>
      <c r="AB2126" s="35"/>
      <c r="AC2126" s="35"/>
      <c r="AD2126" s="35"/>
      <c r="AE2126" s="35"/>
      <c r="AF2126" s="35"/>
      <c r="AG2126" s="35"/>
      <c r="AH2126" s="35"/>
      <c r="AI2126" s="35"/>
      <c r="AJ2126" s="35"/>
      <c r="AK2126" s="35"/>
      <c r="AL2126" s="35"/>
    </row>
    <row r="2127">
      <c r="A2127" s="180"/>
      <c r="B2127" s="157" t="s">
        <v>73</v>
      </c>
      <c r="C2127" s="158" t="s">
        <v>2036</v>
      </c>
      <c r="D2127" s="159"/>
      <c r="E2127" s="22" t="s">
        <v>1542</v>
      </c>
      <c r="F2127" s="23" t="s">
        <v>993</v>
      </c>
      <c r="G2127" s="23">
        <v>2022.0</v>
      </c>
      <c r="H2127" s="22" t="s">
        <v>91</v>
      </c>
      <c r="I2127" s="24" t="s">
        <v>10676</v>
      </c>
      <c r="J2127" s="22" t="s">
        <v>125</v>
      </c>
      <c r="K2127" s="22"/>
      <c r="L2127" s="105" t="s">
        <v>10677</v>
      </c>
      <c r="M2127" s="44"/>
      <c r="N2127" s="44"/>
      <c r="O2127" s="44"/>
      <c r="P2127" s="44"/>
      <c r="Q2127" s="44"/>
      <c r="R2127" s="44"/>
      <c r="S2127" s="44"/>
      <c r="T2127" s="45"/>
      <c r="U2127" s="29" t="s">
        <v>61</v>
      </c>
      <c r="V2127" s="50"/>
      <c r="W2127" s="49"/>
      <c r="X2127" s="49"/>
      <c r="Y2127" s="35"/>
      <c r="Z2127" s="35"/>
      <c r="AA2127" s="35"/>
      <c r="AB2127" s="35"/>
      <c r="AC2127" s="35"/>
      <c r="AD2127" s="35"/>
      <c r="AE2127" s="35"/>
      <c r="AF2127" s="35"/>
      <c r="AG2127" s="35"/>
      <c r="AH2127" s="35"/>
      <c r="AI2127" s="35"/>
      <c r="AJ2127" s="35"/>
      <c r="AK2127" s="35"/>
      <c r="AL2127" s="35"/>
    </row>
    <row r="2128">
      <c r="A2128" s="180"/>
      <c r="B2128" s="157" t="s">
        <v>73</v>
      </c>
      <c r="C2128" s="158"/>
      <c r="D2128" s="159"/>
      <c r="E2128" s="22" t="s">
        <v>10678</v>
      </c>
      <c r="F2128" s="23" t="s">
        <v>993</v>
      </c>
      <c r="G2128" s="23">
        <v>2016.0</v>
      </c>
      <c r="H2128" s="22" t="s">
        <v>967</v>
      </c>
      <c r="I2128" s="24" t="s">
        <v>10679</v>
      </c>
      <c r="J2128" s="22" t="s">
        <v>31</v>
      </c>
      <c r="K2128" s="22" t="s">
        <v>294</v>
      </c>
      <c r="L2128" s="36" t="s">
        <v>5357</v>
      </c>
      <c r="M2128" s="36"/>
      <c r="N2128" s="268"/>
      <c r="O2128" s="129"/>
      <c r="P2128" s="109"/>
      <c r="Q2128" s="36"/>
      <c r="R2128" s="36"/>
      <c r="S2128" s="36"/>
      <c r="T2128" s="28" t="s">
        <v>10680</v>
      </c>
      <c r="U2128" s="38" t="str">
        <f>HYPERLINK("http://iopscience.iop.org/article/10.1088/1054-660X/26/3/035601/meta","IOPscience")</f>
        <v>IOPscience</v>
      </c>
      <c r="V2128" s="50"/>
      <c r="W2128" s="49"/>
      <c r="X2128" s="49"/>
      <c r="Y2128" s="35"/>
      <c r="Z2128" s="35"/>
      <c r="AA2128" s="35"/>
      <c r="AB2128" s="35"/>
      <c r="AC2128" s="35"/>
      <c r="AD2128" s="35"/>
      <c r="AE2128" s="35"/>
      <c r="AF2128" s="35"/>
      <c r="AG2128" s="35"/>
      <c r="AH2128" s="35"/>
      <c r="AI2128" s="35"/>
      <c r="AJ2128" s="35"/>
      <c r="AK2128" s="35"/>
      <c r="AL2128" s="35"/>
    </row>
    <row r="2129">
      <c r="A2129" s="180"/>
      <c r="B2129" s="157" t="s">
        <v>73</v>
      </c>
      <c r="C2129" s="158"/>
      <c r="D2129" s="159"/>
      <c r="E2129" s="22" t="s">
        <v>10681</v>
      </c>
      <c r="F2129" s="23" t="s">
        <v>993</v>
      </c>
      <c r="G2129" s="23">
        <v>2014.0</v>
      </c>
      <c r="H2129" s="22" t="s">
        <v>967</v>
      </c>
      <c r="I2129" s="24" t="s">
        <v>10682</v>
      </c>
      <c r="J2129" s="22" t="s">
        <v>31</v>
      </c>
      <c r="K2129" s="178"/>
      <c r="L2129" s="36"/>
      <c r="M2129" s="36"/>
      <c r="N2129" s="36"/>
      <c r="O2129" s="36"/>
      <c r="P2129" s="109"/>
      <c r="Q2129" s="36"/>
      <c r="R2129" s="36"/>
      <c r="S2129" s="36"/>
      <c r="T2129" s="28" t="s">
        <v>10683</v>
      </c>
      <c r="U2129" s="38" t="str">
        <f>HYPERLINK("http://iopscience.iop.org/article/10.1088/1054-660X/24/11/115605/meta","IOPscience")</f>
        <v>IOPscience</v>
      </c>
      <c r="V2129" s="50"/>
      <c r="W2129" s="49"/>
      <c r="X2129" s="49"/>
      <c r="Y2129" s="35"/>
      <c r="Z2129" s="35"/>
      <c r="AA2129" s="35"/>
      <c r="AB2129" s="35"/>
      <c r="AC2129" s="35"/>
      <c r="AD2129" s="35"/>
      <c r="AE2129" s="35"/>
      <c r="AF2129" s="35"/>
      <c r="AG2129" s="35"/>
      <c r="AH2129" s="35"/>
      <c r="AI2129" s="35"/>
      <c r="AJ2129" s="35"/>
      <c r="AK2129" s="35"/>
      <c r="AL2129" s="35"/>
    </row>
    <row r="2130">
      <c r="A2130" s="180"/>
      <c r="B2130" s="157" t="s">
        <v>73</v>
      </c>
      <c r="C2130" s="158"/>
      <c r="D2130" s="159"/>
      <c r="E2130" s="22" t="s">
        <v>10681</v>
      </c>
      <c r="F2130" s="23" t="s">
        <v>993</v>
      </c>
      <c r="G2130" s="23">
        <v>2014.0</v>
      </c>
      <c r="H2130" s="22" t="s">
        <v>9550</v>
      </c>
      <c r="I2130" s="24" t="s">
        <v>10684</v>
      </c>
      <c r="J2130" s="22" t="s">
        <v>31</v>
      </c>
      <c r="K2130" s="22" t="s">
        <v>294</v>
      </c>
      <c r="M2130" s="36"/>
      <c r="N2130" s="36"/>
      <c r="O2130" s="36"/>
      <c r="P2130" s="109"/>
      <c r="Q2130" s="36"/>
      <c r="R2130" s="36"/>
      <c r="S2130" s="36"/>
      <c r="T2130" s="28" t="s">
        <v>10685</v>
      </c>
      <c r="U2130" s="38" t="str">
        <f>HYPERLINK("http://iopscience.iop.org/article/10.1088/1612-2011/11/9/095601","IOPscience")</f>
        <v>IOPscience</v>
      </c>
      <c r="V2130" s="50"/>
      <c r="W2130" s="49"/>
      <c r="X2130" s="49"/>
      <c r="Y2130" s="35"/>
      <c r="Z2130" s="35"/>
      <c r="AA2130" s="35"/>
      <c r="AB2130" s="35"/>
      <c r="AC2130" s="35"/>
      <c r="AD2130" s="35"/>
      <c r="AE2130" s="35"/>
      <c r="AF2130" s="35"/>
      <c r="AG2130" s="35"/>
      <c r="AH2130" s="35"/>
      <c r="AI2130" s="35"/>
      <c r="AJ2130" s="35"/>
      <c r="AK2130" s="35"/>
      <c r="AL2130" s="35"/>
    </row>
    <row r="2131">
      <c r="A2131" s="18" t="s">
        <v>2</v>
      </c>
      <c r="B2131" s="157" t="s">
        <v>73</v>
      </c>
      <c r="C2131" s="158"/>
      <c r="D2131" s="159"/>
      <c r="E2131" s="22" t="s">
        <v>5529</v>
      </c>
      <c r="F2131" s="23" t="s">
        <v>4582</v>
      </c>
      <c r="G2131" s="23">
        <v>2011.0</v>
      </c>
      <c r="H2131" s="22" t="s">
        <v>658</v>
      </c>
      <c r="I2131" s="24" t="s">
        <v>10686</v>
      </c>
      <c r="J2131" s="22" t="s">
        <v>649</v>
      </c>
      <c r="K2131" s="178"/>
      <c r="L2131" s="105" t="s">
        <v>10687</v>
      </c>
      <c r="M2131" s="44"/>
      <c r="N2131" s="44"/>
      <c r="O2131" s="44"/>
      <c r="P2131" s="44"/>
      <c r="Q2131" s="44"/>
      <c r="R2131" s="44"/>
      <c r="S2131" s="44"/>
      <c r="T2131" s="45"/>
      <c r="U2131" s="38" t="str">
        <f>HYPERLINK("https://www.ncbi.nlm.nih.gov/pubmed/21309703","PubMed")</f>
        <v>PubMed</v>
      </c>
      <c r="V2131" s="50"/>
      <c r="W2131" s="49"/>
      <c r="X2131" s="49"/>
      <c r="Y2131" s="35"/>
      <c r="Z2131" s="35"/>
      <c r="AA2131" s="35"/>
      <c r="AB2131" s="35"/>
      <c r="AC2131" s="35"/>
      <c r="AD2131" s="35"/>
      <c r="AE2131" s="35"/>
      <c r="AF2131" s="35"/>
      <c r="AG2131" s="35"/>
      <c r="AH2131" s="35"/>
      <c r="AI2131" s="35"/>
      <c r="AJ2131" s="35"/>
      <c r="AK2131" s="35"/>
      <c r="AL2131" s="35"/>
    </row>
    <row r="2132">
      <c r="A2132" s="180"/>
      <c r="B2132" s="140" t="s">
        <v>73</v>
      </c>
      <c r="C2132" s="141" t="s">
        <v>10688</v>
      </c>
      <c r="D2132" s="152"/>
      <c r="E2132" s="22" t="s">
        <v>10689</v>
      </c>
      <c r="F2132" s="23" t="s">
        <v>993</v>
      </c>
      <c r="G2132" s="23">
        <v>2017.0</v>
      </c>
      <c r="H2132" s="22" t="s">
        <v>169</v>
      </c>
      <c r="I2132" s="24" t="s">
        <v>10690</v>
      </c>
      <c r="J2132" s="22" t="s">
        <v>31</v>
      </c>
      <c r="K2132" s="22" t="s">
        <v>294</v>
      </c>
      <c r="L2132" s="36" t="s">
        <v>5357</v>
      </c>
      <c r="M2132" s="268"/>
      <c r="N2132" s="268"/>
      <c r="O2132" s="129"/>
      <c r="P2132" s="37"/>
      <c r="Q2132" s="36"/>
      <c r="R2132" s="36"/>
      <c r="S2132" s="36"/>
      <c r="T2132" s="102" t="s">
        <v>10691</v>
      </c>
      <c r="U2132" s="38" t="str">
        <f>HYPERLINK("https://www.ncbi.nlm.nih.gov/pubmed/28296509","PubMed")</f>
        <v>PubMed</v>
      </c>
      <c r="V2132" s="50"/>
      <c r="W2132" s="49"/>
      <c r="X2132" s="49"/>
      <c r="Y2132" s="35"/>
      <c r="Z2132" s="35"/>
      <c r="AA2132" s="35"/>
      <c r="AB2132" s="35"/>
      <c r="AC2132" s="35"/>
      <c r="AD2132" s="35"/>
      <c r="AE2132" s="35"/>
      <c r="AF2132" s="35"/>
      <c r="AG2132" s="35"/>
      <c r="AH2132" s="35"/>
      <c r="AI2132" s="35"/>
      <c r="AJ2132" s="35"/>
      <c r="AK2132" s="35"/>
      <c r="AL2132" s="35"/>
    </row>
    <row r="2133">
      <c r="A2133" s="180"/>
      <c r="B2133" s="140" t="s">
        <v>73</v>
      </c>
      <c r="C2133" s="141" t="s">
        <v>1323</v>
      </c>
      <c r="D2133" s="152"/>
      <c r="E2133" s="22" t="s">
        <v>2275</v>
      </c>
      <c r="F2133" s="23" t="s">
        <v>224</v>
      </c>
      <c r="G2133" s="23">
        <v>2012.0</v>
      </c>
      <c r="H2133" s="22" t="s">
        <v>91</v>
      </c>
      <c r="I2133" s="24" t="s">
        <v>10692</v>
      </c>
      <c r="J2133" s="22" t="s">
        <v>31</v>
      </c>
      <c r="K2133" s="22"/>
      <c r="L2133" s="36">
        <v>635.0</v>
      </c>
      <c r="M2133" s="268"/>
      <c r="N2133" s="36" t="s">
        <v>6380</v>
      </c>
      <c r="O2133" s="129"/>
      <c r="P2133" s="37"/>
      <c r="Q2133" s="36"/>
      <c r="R2133" s="36">
        <v>75.0</v>
      </c>
      <c r="S2133" s="36"/>
      <c r="T2133" s="54" t="s">
        <v>10693</v>
      </c>
      <c r="U2133" s="38" t="str">
        <f>HYPERLINK("https://www.ncbi.nlm.nih.gov/pubmed/21956279","PubMed")</f>
        <v>PubMed</v>
      </c>
      <c r="V2133" s="50"/>
      <c r="W2133" s="49"/>
      <c r="X2133" s="49"/>
      <c r="Y2133" s="35"/>
      <c r="Z2133" s="35"/>
      <c r="AA2133" s="35"/>
      <c r="AB2133" s="35"/>
      <c r="AC2133" s="35"/>
      <c r="AD2133" s="35"/>
      <c r="AE2133" s="35"/>
      <c r="AF2133" s="35"/>
      <c r="AG2133" s="35"/>
      <c r="AH2133" s="35"/>
      <c r="AI2133" s="35"/>
      <c r="AJ2133" s="35"/>
      <c r="AK2133" s="35"/>
      <c r="AL2133" s="35"/>
    </row>
    <row r="2134">
      <c r="A2134" s="180"/>
      <c r="B2134" s="140" t="s">
        <v>73</v>
      </c>
      <c r="C2134" s="141" t="s">
        <v>10694</v>
      </c>
      <c r="D2134" s="152"/>
      <c r="E2134" s="22" t="s">
        <v>7678</v>
      </c>
      <c r="F2134" s="23" t="s">
        <v>993</v>
      </c>
      <c r="G2134" s="23">
        <v>2016.0</v>
      </c>
      <c r="H2134" s="22" t="s">
        <v>91</v>
      </c>
      <c r="I2134" s="24" t="s">
        <v>10695</v>
      </c>
      <c r="J2134" s="22" t="s">
        <v>31</v>
      </c>
      <c r="K2134" s="22" t="s">
        <v>294</v>
      </c>
      <c r="L2134" s="36" t="s">
        <v>10696</v>
      </c>
      <c r="M2134" s="268"/>
      <c r="N2134" s="268"/>
      <c r="O2134" s="129"/>
      <c r="P2134" s="37" t="s">
        <v>10697</v>
      </c>
      <c r="Q2134" s="36"/>
      <c r="R2134" s="36"/>
      <c r="S2134" s="36"/>
      <c r="T2134" s="102" t="s">
        <v>10698</v>
      </c>
      <c r="U2134" s="38" t="str">
        <f>HYPERLINK("https://www.ncbi.nlm.nih.gov/pubmed/26796702","PubMed")</f>
        <v>PubMed</v>
      </c>
      <c r="V2134" s="50"/>
      <c r="W2134" s="49"/>
      <c r="X2134" s="49"/>
      <c r="Y2134" s="35"/>
      <c r="Z2134" s="35"/>
      <c r="AA2134" s="35"/>
      <c r="AB2134" s="35"/>
      <c r="AC2134" s="35"/>
      <c r="AD2134" s="35"/>
      <c r="AE2134" s="35"/>
      <c r="AF2134" s="35"/>
      <c r="AG2134" s="35"/>
      <c r="AH2134" s="35"/>
      <c r="AI2134" s="35"/>
      <c r="AJ2134" s="35"/>
      <c r="AK2134" s="35"/>
      <c r="AL2134" s="35"/>
    </row>
    <row r="2135">
      <c r="A2135" s="180"/>
      <c r="B2135" s="140" t="s">
        <v>73</v>
      </c>
      <c r="C2135" s="141" t="s">
        <v>10694</v>
      </c>
      <c r="D2135" s="152"/>
      <c r="E2135" s="22" t="s">
        <v>10699</v>
      </c>
      <c r="F2135" s="23" t="s">
        <v>993</v>
      </c>
      <c r="G2135" s="23">
        <v>2013.0</v>
      </c>
      <c r="H2135" s="22" t="s">
        <v>91</v>
      </c>
      <c r="I2135" s="24" t="s">
        <v>10700</v>
      </c>
      <c r="J2135" s="22" t="s">
        <v>55</v>
      </c>
      <c r="K2135" s="22"/>
      <c r="L2135" s="36">
        <v>830.0</v>
      </c>
      <c r="M2135" s="268"/>
      <c r="N2135" s="268"/>
      <c r="O2135" s="129"/>
      <c r="P2135" s="37" t="s">
        <v>5447</v>
      </c>
      <c r="Q2135" s="36"/>
      <c r="R2135" s="36"/>
      <c r="S2135" s="36"/>
      <c r="T2135" s="102" t="s">
        <v>10701</v>
      </c>
      <c r="U2135" s="38" t="str">
        <f>HYPERLINK("https://www.ncbi.nlm.nih.gov/pubmed/22941447","PubMed")</f>
        <v>PubMed</v>
      </c>
      <c r="V2135" s="50"/>
      <c r="W2135" s="49"/>
      <c r="X2135" s="49"/>
      <c r="Y2135" s="35"/>
      <c r="Z2135" s="35"/>
      <c r="AA2135" s="35"/>
      <c r="AB2135" s="35"/>
      <c r="AC2135" s="35"/>
      <c r="AD2135" s="35"/>
      <c r="AE2135" s="35"/>
      <c r="AF2135" s="35"/>
      <c r="AG2135" s="35"/>
      <c r="AH2135" s="35"/>
      <c r="AI2135" s="35"/>
      <c r="AJ2135" s="35"/>
      <c r="AK2135" s="35"/>
      <c r="AL2135" s="35"/>
    </row>
    <row r="2136">
      <c r="A2136" s="180"/>
      <c r="B2136" s="140" t="s">
        <v>73</v>
      </c>
      <c r="C2136" s="141" t="s">
        <v>10702</v>
      </c>
      <c r="D2136" s="152"/>
      <c r="E2136" s="22" t="s">
        <v>5053</v>
      </c>
      <c r="F2136" s="23" t="s">
        <v>1392</v>
      </c>
      <c r="G2136" s="23">
        <v>2018.0</v>
      </c>
      <c r="H2136" s="22" t="s">
        <v>10703</v>
      </c>
      <c r="I2136" s="24" t="s">
        <v>10704</v>
      </c>
      <c r="J2136" s="22" t="s">
        <v>31</v>
      </c>
      <c r="K2136" s="22"/>
      <c r="L2136" s="36"/>
      <c r="M2136" s="268"/>
      <c r="N2136" s="268"/>
      <c r="O2136" s="129"/>
      <c r="P2136" s="37"/>
      <c r="Q2136" s="36"/>
      <c r="R2136" s="36"/>
      <c r="S2136" s="36"/>
      <c r="T2136" s="54" t="s">
        <v>10705</v>
      </c>
      <c r="U2136" s="38" t="str">
        <f>HYPERLINK("https://www.ingentaconnect.com/contentone/ben/ppl/2018/00000025/00000004/art00003","IngentaConnect")</f>
        <v>IngentaConnect</v>
      </c>
      <c r="V2136" s="50"/>
      <c r="W2136" s="49"/>
      <c r="X2136" s="49"/>
      <c r="Y2136" s="35"/>
      <c r="Z2136" s="35"/>
      <c r="AA2136" s="35"/>
      <c r="AB2136" s="35"/>
      <c r="AC2136" s="35"/>
      <c r="AD2136" s="35"/>
      <c r="AE2136" s="35"/>
      <c r="AF2136" s="35"/>
      <c r="AG2136" s="35"/>
      <c r="AH2136" s="35"/>
      <c r="AI2136" s="35"/>
      <c r="AJ2136" s="35"/>
      <c r="AK2136" s="35"/>
      <c r="AL2136" s="35"/>
    </row>
    <row r="2137">
      <c r="A2137" s="180"/>
      <c r="B2137" s="140" t="s">
        <v>73</v>
      </c>
      <c r="C2137" s="141" t="s">
        <v>10706</v>
      </c>
      <c r="D2137" s="152"/>
      <c r="E2137" s="22" t="s">
        <v>5201</v>
      </c>
      <c r="F2137" s="23" t="s">
        <v>2702</v>
      </c>
      <c r="G2137" s="23">
        <v>2014.0</v>
      </c>
      <c r="H2137" s="22" t="s">
        <v>1000</v>
      </c>
      <c r="I2137" s="24" t="s">
        <v>10707</v>
      </c>
      <c r="J2137" s="22" t="s">
        <v>31</v>
      </c>
      <c r="K2137" s="22"/>
      <c r="L2137" s="36">
        <v>660.0</v>
      </c>
      <c r="M2137" s="268"/>
      <c r="N2137" s="268"/>
      <c r="O2137" s="129"/>
      <c r="P2137" s="37"/>
      <c r="Q2137" s="36"/>
      <c r="R2137" s="36"/>
      <c r="S2137" s="36"/>
      <c r="T2137" s="54" t="s">
        <v>10708</v>
      </c>
      <c r="U2137" s="38" t="str">
        <f>HYPERLINK("https://www.hindawi.com/journals/ijp/2014/604518/","Hindawi")</f>
        <v>Hindawi</v>
      </c>
      <c r="V2137" s="50"/>
      <c r="W2137" s="49"/>
      <c r="X2137" s="49"/>
      <c r="Y2137" s="35"/>
      <c r="Z2137" s="35"/>
      <c r="AA2137" s="35"/>
      <c r="AB2137" s="35"/>
      <c r="AC2137" s="35"/>
      <c r="AD2137" s="35"/>
      <c r="AE2137" s="35"/>
      <c r="AF2137" s="35"/>
      <c r="AG2137" s="35"/>
      <c r="AH2137" s="35"/>
      <c r="AI2137" s="35"/>
      <c r="AJ2137" s="35"/>
      <c r="AK2137" s="35"/>
      <c r="AL2137" s="35"/>
    </row>
    <row r="2138">
      <c r="A2138" s="180"/>
      <c r="B2138" s="140" t="s">
        <v>73</v>
      </c>
      <c r="C2138" s="141" t="s">
        <v>10709</v>
      </c>
      <c r="D2138" s="269"/>
      <c r="E2138" s="178" t="s">
        <v>216</v>
      </c>
      <c r="F2138" s="177" t="s">
        <v>5416</v>
      </c>
      <c r="G2138" s="177">
        <v>2022.0</v>
      </c>
      <c r="H2138" s="178" t="s">
        <v>77</v>
      </c>
      <c r="I2138" s="179" t="s">
        <v>10710</v>
      </c>
      <c r="J2138" s="178" t="s">
        <v>31</v>
      </c>
      <c r="K2138" s="178" t="s">
        <v>157</v>
      </c>
      <c r="L2138" s="36">
        <v>630.0</v>
      </c>
      <c r="M2138" s="268"/>
      <c r="N2138" s="268"/>
      <c r="O2138" s="129"/>
      <c r="P2138" s="37"/>
      <c r="Q2138" s="36"/>
      <c r="R2138" s="36"/>
      <c r="S2138" s="36"/>
      <c r="T2138" s="54" t="s">
        <v>10711</v>
      </c>
      <c r="U2138" s="38" t="s">
        <v>61</v>
      </c>
      <c r="V2138" s="50"/>
      <c r="W2138" s="49"/>
      <c r="X2138" s="49"/>
      <c r="Y2138" s="35"/>
      <c r="Z2138" s="35"/>
      <c r="AA2138" s="35"/>
      <c r="AB2138" s="35"/>
      <c r="AC2138" s="35"/>
      <c r="AD2138" s="35"/>
      <c r="AE2138" s="35"/>
      <c r="AF2138" s="35"/>
      <c r="AG2138" s="35"/>
      <c r="AH2138" s="35"/>
      <c r="AI2138" s="35"/>
      <c r="AJ2138" s="35"/>
      <c r="AK2138" s="35"/>
      <c r="AL2138" s="35"/>
    </row>
    <row r="2139">
      <c r="A2139" s="180"/>
      <c r="B2139" s="140" t="s">
        <v>73</v>
      </c>
      <c r="C2139" s="141"/>
      <c r="D2139" s="152"/>
      <c r="E2139" s="22" t="s">
        <v>2275</v>
      </c>
      <c r="F2139" s="23" t="s">
        <v>5416</v>
      </c>
      <c r="G2139" s="23">
        <v>2022.0</v>
      </c>
      <c r="H2139" s="22" t="s">
        <v>77</v>
      </c>
      <c r="I2139" s="24" t="s">
        <v>10712</v>
      </c>
      <c r="J2139" s="22" t="s">
        <v>10713</v>
      </c>
      <c r="K2139" s="22" t="s">
        <v>157</v>
      </c>
      <c r="L2139" s="36">
        <v>630.0</v>
      </c>
      <c r="M2139" s="268"/>
      <c r="N2139" s="268"/>
      <c r="O2139" s="129"/>
      <c r="P2139" s="37"/>
      <c r="Q2139" s="36"/>
      <c r="R2139" s="36"/>
      <c r="S2139" s="36"/>
      <c r="T2139" s="54" t="s">
        <v>10714</v>
      </c>
      <c r="U2139" s="29" t="s">
        <v>61</v>
      </c>
      <c r="V2139" s="50"/>
      <c r="W2139" s="49"/>
      <c r="X2139" s="49"/>
      <c r="Y2139" s="35"/>
      <c r="Z2139" s="35"/>
      <c r="AA2139" s="35"/>
      <c r="AB2139" s="35"/>
      <c r="AC2139" s="35"/>
      <c r="AD2139" s="35"/>
      <c r="AE2139" s="35"/>
      <c r="AF2139" s="35"/>
      <c r="AG2139" s="35"/>
      <c r="AH2139" s="35"/>
      <c r="AI2139" s="35"/>
      <c r="AJ2139" s="35"/>
      <c r="AK2139" s="35"/>
      <c r="AL2139" s="35"/>
    </row>
    <row r="2140">
      <c r="A2140" s="180"/>
      <c r="B2140" s="140" t="s">
        <v>73</v>
      </c>
      <c r="C2140" s="141" t="s">
        <v>6113</v>
      </c>
      <c r="D2140" s="152"/>
      <c r="E2140" s="22" t="s">
        <v>10715</v>
      </c>
      <c r="F2140" s="23" t="s">
        <v>797</v>
      </c>
      <c r="G2140" s="23">
        <v>2024.0</v>
      </c>
      <c r="H2140" s="22" t="s">
        <v>3292</v>
      </c>
      <c r="I2140" s="24" t="s">
        <v>10716</v>
      </c>
      <c r="J2140" s="22" t="s">
        <v>3892</v>
      </c>
      <c r="K2140" s="22"/>
      <c r="L2140" s="173" t="s">
        <v>10717</v>
      </c>
      <c r="U2140" s="38" t="s">
        <v>61</v>
      </c>
      <c r="V2140" s="50"/>
      <c r="W2140" s="49"/>
      <c r="X2140" s="49"/>
      <c r="Y2140" s="35"/>
      <c r="Z2140" s="35"/>
      <c r="AA2140" s="35"/>
      <c r="AB2140" s="35"/>
      <c r="AC2140" s="35"/>
      <c r="AD2140" s="35"/>
      <c r="AE2140" s="35"/>
      <c r="AF2140" s="35"/>
      <c r="AG2140" s="35"/>
      <c r="AH2140" s="35"/>
      <c r="AI2140" s="35"/>
      <c r="AJ2140" s="35"/>
      <c r="AK2140" s="35"/>
      <c r="AL2140" s="35"/>
    </row>
    <row r="2141">
      <c r="A2141" s="180"/>
      <c r="B2141" s="140" t="s">
        <v>10718</v>
      </c>
      <c r="C2141" s="141" t="s">
        <v>10719</v>
      </c>
      <c r="D2141" s="152"/>
      <c r="E2141" s="22" t="s">
        <v>1507</v>
      </c>
      <c r="F2141" s="23" t="s">
        <v>1905</v>
      </c>
      <c r="G2141" s="23">
        <v>2018.0</v>
      </c>
      <c r="H2141" s="22" t="s">
        <v>91</v>
      </c>
      <c r="I2141" s="24" t="s">
        <v>10720</v>
      </c>
      <c r="J2141" s="22" t="s">
        <v>31</v>
      </c>
      <c r="K2141" s="22"/>
      <c r="L2141" s="36">
        <v>808.0</v>
      </c>
      <c r="M2141" s="268"/>
      <c r="N2141" s="268"/>
      <c r="O2141" s="129"/>
      <c r="P2141" s="37"/>
      <c r="Q2141" s="36"/>
      <c r="R2141" s="36"/>
      <c r="S2141" s="36">
        <v>2.0</v>
      </c>
      <c r="T2141" s="54" t="s">
        <v>10721</v>
      </c>
      <c r="U2141" s="38" t="str">
        <f>HYPERLINK("https://www.ncbi.nlm.nih.gov/pubmed/30105484","PubMed")</f>
        <v>PubMed</v>
      </c>
      <c r="V2141" s="50"/>
      <c r="W2141" s="49"/>
      <c r="X2141" s="49"/>
      <c r="Y2141" s="35"/>
      <c r="Z2141" s="35"/>
      <c r="AA2141" s="35"/>
      <c r="AB2141" s="35"/>
      <c r="AC2141" s="35"/>
      <c r="AD2141" s="35"/>
      <c r="AE2141" s="35"/>
      <c r="AF2141" s="35"/>
      <c r="AG2141" s="35"/>
      <c r="AH2141" s="35"/>
      <c r="AI2141" s="35"/>
      <c r="AJ2141" s="35"/>
      <c r="AK2141" s="35"/>
      <c r="AL2141" s="35"/>
    </row>
    <row r="2142">
      <c r="A2142" s="180"/>
      <c r="B2142" s="140" t="s">
        <v>10718</v>
      </c>
      <c r="C2142" s="141" t="s">
        <v>10722</v>
      </c>
      <c r="D2142" s="152"/>
      <c r="E2142" s="22" t="s">
        <v>646</v>
      </c>
      <c r="F2142" s="23" t="s">
        <v>10723</v>
      </c>
      <c r="G2142" s="23">
        <v>2021.0</v>
      </c>
      <c r="H2142" s="22" t="s">
        <v>207</v>
      </c>
      <c r="I2142" s="24" t="s">
        <v>10724</v>
      </c>
      <c r="J2142" s="22" t="s">
        <v>31</v>
      </c>
      <c r="K2142" s="22"/>
      <c r="L2142" s="36" t="s">
        <v>10725</v>
      </c>
      <c r="M2142" s="268"/>
      <c r="N2142" s="36" t="s">
        <v>10726</v>
      </c>
      <c r="O2142" s="129"/>
      <c r="P2142" s="37"/>
      <c r="Q2142" s="36"/>
      <c r="R2142" s="36"/>
      <c r="S2142" s="36"/>
      <c r="T2142" s="54" t="s">
        <v>10727</v>
      </c>
      <c r="U2142" s="29" t="s">
        <v>61</v>
      </c>
      <c r="V2142" s="50"/>
      <c r="W2142" s="49"/>
      <c r="X2142" s="49"/>
      <c r="Y2142" s="35"/>
      <c r="Z2142" s="35"/>
      <c r="AA2142" s="35"/>
      <c r="AB2142" s="35"/>
      <c r="AC2142" s="35"/>
      <c r="AD2142" s="35"/>
      <c r="AE2142" s="35"/>
      <c r="AF2142" s="35"/>
      <c r="AG2142" s="35"/>
      <c r="AH2142" s="35"/>
      <c r="AI2142" s="35"/>
      <c r="AJ2142" s="35"/>
      <c r="AK2142" s="35"/>
      <c r="AL2142" s="35"/>
    </row>
    <row r="2143">
      <c r="A2143" s="18"/>
      <c r="B2143" s="19" t="s">
        <v>10728</v>
      </c>
      <c r="C2143" s="20" t="s">
        <v>10729</v>
      </c>
      <c r="D2143" s="47"/>
      <c r="E2143" s="22" t="s">
        <v>10730</v>
      </c>
      <c r="F2143" s="22" t="s">
        <v>5312</v>
      </c>
      <c r="G2143" s="23">
        <v>2019.0</v>
      </c>
      <c r="H2143" s="22" t="s">
        <v>77</v>
      </c>
      <c r="I2143" s="24" t="s">
        <v>10731</v>
      </c>
      <c r="J2143" s="22" t="s">
        <v>649</v>
      </c>
      <c r="K2143" s="22"/>
      <c r="L2143" s="171" t="s">
        <v>9122</v>
      </c>
      <c r="M2143" s="44"/>
      <c r="N2143" s="44"/>
      <c r="O2143" s="44"/>
      <c r="P2143" s="44"/>
      <c r="Q2143" s="44"/>
      <c r="R2143" s="44"/>
      <c r="S2143" s="44"/>
      <c r="T2143" s="45"/>
      <c r="U2143" s="38" t="str">
        <f>HYPERLINK("https://www.ncbi.nlm.nih.gov/pubmed/31050938","PubMed")</f>
        <v>PubMed</v>
      </c>
      <c r="V2143" s="50"/>
      <c r="W2143" s="49"/>
      <c r="X2143" s="49"/>
      <c r="Y2143" s="35"/>
      <c r="Z2143" s="35"/>
      <c r="AA2143" s="35"/>
      <c r="AB2143" s="35"/>
      <c r="AC2143" s="35"/>
      <c r="AD2143" s="35"/>
      <c r="AE2143" s="35"/>
      <c r="AF2143" s="35"/>
      <c r="AG2143" s="35"/>
      <c r="AH2143" s="35"/>
      <c r="AI2143" s="35"/>
      <c r="AJ2143" s="35"/>
      <c r="AK2143" s="35"/>
      <c r="AL2143" s="35"/>
    </row>
    <row r="2144">
      <c r="A2144" s="1"/>
      <c r="B2144" s="19" t="s">
        <v>10728</v>
      </c>
      <c r="C2144" s="20" t="s">
        <v>2686</v>
      </c>
      <c r="D2144" s="47"/>
      <c r="E2144" s="22" t="s">
        <v>3046</v>
      </c>
      <c r="F2144" s="22" t="s">
        <v>10732</v>
      </c>
      <c r="G2144" s="23">
        <v>2018.0</v>
      </c>
      <c r="H2144" s="22" t="s">
        <v>10733</v>
      </c>
      <c r="I2144" s="24" t="s">
        <v>10734</v>
      </c>
      <c r="J2144" s="22" t="s">
        <v>202</v>
      </c>
      <c r="K2144" s="22"/>
      <c r="L2144" s="171" t="s">
        <v>10735</v>
      </c>
      <c r="M2144" s="44"/>
      <c r="N2144" s="44"/>
      <c r="O2144" s="44"/>
      <c r="P2144" s="44"/>
      <c r="Q2144" s="44"/>
      <c r="R2144" s="44"/>
      <c r="S2144" s="44"/>
      <c r="T2144" s="45"/>
      <c r="U2144" s="38" t="str">
        <f>HYPERLINK("https://www.ncbi.nlm.nih.gov/pubmed/30380794","PubMed")</f>
        <v>PubMed</v>
      </c>
      <c r="V2144" s="50"/>
      <c r="W2144" s="49"/>
      <c r="X2144" s="49"/>
      <c r="Y2144" s="35"/>
      <c r="Z2144" s="35"/>
      <c r="AA2144" s="35"/>
      <c r="AB2144" s="35"/>
      <c r="AC2144" s="35"/>
      <c r="AD2144" s="35"/>
      <c r="AE2144" s="35"/>
      <c r="AF2144" s="35"/>
      <c r="AG2144" s="35"/>
      <c r="AH2144" s="35"/>
      <c r="AI2144" s="35"/>
      <c r="AJ2144" s="35"/>
      <c r="AK2144" s="35"/>
      <c r="AL2144" s="35"/>
    </row>
    <row r="2145">
      <c r="A2145" s="1"/>
      <c r="B2145" s="19" t="s">
        <v>10728</v>
      </c>
      <c r="C2145" s="20" t="s">
        <v>2686</v>
      </c>
      <c r="D2145" s="47"/>
      <c r="E2145" s="22" t="s">
        <v>10736</v>
      </c>
      <c r="F2145" s="22" t="s">
        <v>10737</v>
      </c>
      <c r="G2145" s="23">
        <v>2004.0</v>
      </c>
      <c r="H2145" s="22" t="s">
        <v>91</v>
      </c>
      <c r="I2145" s="24" t="s">
        <v>10738</v>
      </c>
      <c r="J2145" s="22" t="s">
        <v>125</v>
      </c>
      <c r="K2145" s="22"/>
      <c r="L2145" s="171"/>
      <c r="M2145" s="44"/>
      <c r="N2145" s="44"/>
      <c r="O2145" s="44"/>
      <c r="P2145" s="44"/>
      <c r="Q2145" s="44"/>
      <c r="R2145" s="44"/>
      <c r="S2145" s="44"/>
      <c r="T2145" s="45"/>
      <c r="U2145" s="38" t="str">
        <f>HYPERLINK("https://www.ncbi.nlm.nih.gov/pubmed/15349795","PubMed")</f>
        <v>PubMed</v>
      </c>
      <c r="V2145" s="50"/>
      <c r="W2145" s="49"/>
      <c r="X2145" s="49"/>
      <c r="Y2145" s="35"/>
      <c r="Z2145" s="35"/>
      <c r="AA2145" s="35"/>
      <c r="AB2145" s="35"/>
      <c r="AC2145" s="35"/>
      <c r="AD2145" s="35"/>
      <c r="AE2145" s="35"/>
      <c r="AF2145" s="35"/>
      <c r="AG2145" s="35"/>
      <c r="AH2145" s="35"/>
      <c r="AI2145" s="35"/>
      <c r="AJ2145" s="35"/>
      <c r="AK2145" s="35"/>
      <c r="AL2145" s="35"/>
    </row>
    <row r="2146">
      <c r="A2146" s="1"/>
      <c r="B2146" s="19" t="s">
        <v>10728</v>
      </c>
      <c r="C2146" s="20" t="s">
        <v>2686</v>
      </c>
      <c r="D2146" s="47"/>
      <c r="E2146" s="22" t="s">
        <v>10739</v>
      </c>
      <c r="F2146" s="22" t="s">
        <v>1416</v>
      </c>
      <c r="G2146" s="23">
        <v>1990.0</v>
      </c>
      <c r="H2146" s="22" t="s">
        <v>292</v>
      </c>
      <c r="I2146" s="24" t="s">
        <v>10740</v>
      </c>
      <c r="J2146" s="22" t="s">
        <v>202</v>
      </c>
      <c r="K2146" s="22"/>
      <c r="L2146" s="270" t="s">
        <v>10741</v>
      </c>
      <c r="M2146" s="44"/>
      <c r="N2146" s="44"/>
      <c r="O2146" s="44"/>
      <c r="P2146" s="44"/>
      <c r="Q2146" s="44"/>
      <c r="R2146" s="44"/>
      <c r="S2146" s="44"/>
      <c r="T2146" s="45"/>
      <c r="U2146" s="38" t="str">
        <f>HYPERLINK("https://www.jstage.jst.go.jp/article/islsm/2/4/2_90-ED-04/_article/-char/en","J-STAGE")</f>
        <v>J-STAGE</v>
      </c>
      <c r="V2146" s="50"/>
      <c r="W2146" s="49"/>
      <c r="X2146" s="49"/>
      <c r="Y2146" s="35"/>
      <c r="Z2146" s="35"/>
      <c r="AA2146" s="35"/>
      <c r="AB2146" s="35"/>
      <c r="AC2146" s="35"/>
      <c r="AD2146" s="35"/>
      <c r="AE2146" s="35"/>
      <c r="AF2146" s="35"/>
      <c r="AG2146" s="35"/>
      <c r="AH2146" s="35"/>
      <c r="AI2146" s="35"/>
      <c r="AJ2146" s="35"/>
      <c r="AK2146" s="35"/>
      <c r="AL2146" s="35"/>
    </row>
    <row r="2147">
      <c r="A2147" s="1"/>
      <c r="B2147" s="19" t="s">
        <v>10728</v>
      </c>
      <c r="C2147" s="20" t="s">
        <v>9131</v>
      </c>
      <c r="D2147" s="47"/>
      <c r="E2147" s="22" t="s">
        <v>6292</v>
      </c>
      <c r="F2147" s="22" t="s">
        <v>323</v>
      </c>
      <c r="G2147" s="23">
        <v>2021.0</v>
      </c>
      <c r="H2147" s="22" t="s">
        <v>147</v>
      </c>
      <c r="I2147" s="24" t="s">
        <v>10742</v>
      </c>
      <c r="J2147" s="22" t="s">
        <v>125</v>
      </c>
      <c r="K2147" s="22"/>
      <c r="L2147" s="171" t="s">
        <v>10743</v>
      </c>
      <c r="M2147" s="44"/>
      <c r="N2147" s="44"/>
      <c r="O2147" s="44"/>
      <c r="P2147" s="44"/>
      <c r="Q2147" s="44"/>
      <c r="R2147" s="44"/>
      <c r="S2147" s="44"/>
      <c r="T2147" s="45"/>
      <c r="U2147" s="29" t="s">
        <v>61</v>
      </c>
      <c r="V2147" s="50"/>
      <c r="W2147" s="49"/>
      <c r="X2147" s="49"/>
      <c r="Y2147" s="35"/>
      <c r="Z2147" s="35"/>
      <c r="AA2147" s="35"/>
      <c r="AB2147" s="35"/>
      <c r="AC2147" s="35"/>
      <c r="AD2147" s="35"/>
      <c r="AE2147" s="35"/>
      <c r="AF2147" s="35"/>
      <c r="AG2147" s="35"/>
      <c r="AH2147" s="35"/>
      <c r="AI2147" s="35"/>
      <c r="AJ2147" s="35"/>
      <c r="AK2147" s="35"/>
      <c r="AL2147" s="35"/>
    </row>
    <row r="2148">
      <c r="A2148" s="1"/>
      <c r="B2148" s="19" t="s">
        <v>10728</v>
      </c>
      <c r="C2148" s="20" t="s">
        <v>9131</v>
      </c>
      <c r="D2148" s="47"/>
      <c r="E2148" s="22" t="s">
        <v>6656</v>
      </c>
      <c r="F2148" s="22" t="s">
        <v>5404</v>
      </c>
      <c r="G2148" s="23">
        <v>2014.0</v>
      </c>
      <c r="H2148" s="22" t="s">
        <v>6179</v>
      </c>
      <c r="I2148" s="24" t="s">
        <v>10744</v>
      </c>
      <c r="J2148" s="22" t="s">
        <v>125</v>
      </c>
      <c r="K2148" s="22" t="s">
        <v>10745</v>
      </c>
      <c r="L2148" s="171" t="s">
        <v>10746</v>
      </c>
      <c r="M2148" s="44"/>
      <c r="N2148" s="44"/>
      <c r="O2148" s="44"/>
      <c r="P2148" s="44"/>
      <c r="Q2148" s="44"/>
      <c r="R2148" s="44"/>
      <c r="S2148" s="44"/>
      <c r="T2148" s="45"/>
      <c r="U2148" s="38" t="str">
        <f>HYPERLINK("https://www.ncbi.nlm.nih.gov/pubmed/25491701","PubMed")</f>
        <v>PubMed</v>
      </c>
      <c r="V2148" s="50"/>
      <c r="W2148" s="49"/>
      <c r="X2148" s="49"/>
      <c r="Y2148" s="35"/>
      <c r="Z2148" s="35"/>
      <c r="AA2148" s="35"/>
      <c r="AB2148" s="35"/>
      <c r="AC2148" s="35"/>
      <c r="AD2148" s="35"/>
      <c r="AE2148" s="35"/>
      <c r="AF2148" s="35"/>
      <c r="AG2148" s="35"/>
      <c r="AH2148" s="35"/>
      <c r="AI2148" s="35"/>
      <c r="AJ2148" s="35"/>
      <c r="AK2148" s="35"/>
      <c r="AL2148" s="35"/>
    </row>
    <row r="2149">
      <c r="A2149" s="1"/>
      <c r="B2149" s="19" t="s">
        <v>10728</v>
      </c>
      <c r="C2149" s="20" t="s">
        <v>9131</v>
      </c>
      <c r="D2149" s="47"/>
      <c r="E2149" s="22" t="s">
        <v>1626</v>
      </c>
      <c r="F2149" s="22" t="s">
        <v>1258</v>
      </c>
      <c r="G2149" s="23">
        <v>2008.0</v>
      </c>
      <c r="H2149" s="22" t="s">
        <v>10747</v>
      </c>
      <c r="I2149" s="24" t="s">
        <v>10748</v>
      </c>
      <c r="J2149" s="22" t="s">
        <v>125</v>
      </c>
      <c r="K2149" s="22"/>
      <c r="L2149" s="171" t="s">
        <v>10749</v>
      </c>
      <c r="M2149" s="44"/>
      <c r="N2149" s="44"/>
      <c r="O2149" s="44"/>
      <c r="P2149" s="44"/>
      <c r="Q2149" s="44"/>
      <c r="R2149" s="44"/>
      <c r="S2149" s="44"/>
      <c r="T2149" s="45"/>
      <c r="U2149" s="29" t="s">
        <v>2360</v>
      </c>
      <c r="V2149" s="50"/>
      <c r="W2149" s="49"/>
      <c r="X2149" s="49"/>
      <c r="Y2149" s="35"/>
      <c r="Z2149" s="35"/>
      <c r="AA2149" s="35"/>
      <c r="AB2149" s="35"/>
      <c r="AC2149" s="35"/>
      <c r="AD2149" s="35"/>
      <c r="AE2149" s="35"/>
      <c r="AF2149" s="35"/>
      <c r="AG2149" s="35"/>
      <c r="AH2149" s="35"/>
      <c r="AI2149" s="35"/>
      <c r="AJ2149" s="35"/>
      <c r="AK2149" s="35"/>
      <c r="AL2149" s="35"/>
    </row>
    <row r="2150">
      <c r="A2150" s="1"/>
      <c r="B2150" s="19" t="s">
        <v>10728</v>
      </c>
      <c r="C2150" s="20" t="s">
        <v>9131</v>
      </c>
      <c r="D2150" s="47"/>
      <c r="E2150" s="22" t="s">
        <v>10750</v>
      </c>
      <c r="F2150" s="22" t="s">
        <v>2161</v>
      </c>
      <c r="G2150" s="23">
        <v>1995.0</v>
      </c>
      <c r="H2150" s="22" t="s">
        <v>8390</v>
      </c>
      <c r="I2150" s="24" t="s">
        <v>10751</v>
      </c>
      <c r="J2150" s="22" t="s">
        <v>125</v>
      </c>
      <c r="K2150" s="22"/>
      <c r="L2150" s="171" t="s">
        <v>10752</v>
      </c>
      <c r="M2150" s="44"/>
      <c r="N2150" s="44"/>
      <c r="O2150" s="44"/>
      <c r="P2150" s="44"/>
      <c r="Q2150" s="44"/>
      <c r="R2150" s="44"/>
      <c r="S2150" s="44"/>
      <c r="T2150" s="45"/>
      <c r="U2150" s="29" t="s">
        <v>8353</v>
      </c>
      <c r="V2150" s="50"/>
      <c r="W2150" s="49"/>
      <c r="X2150" s="49"/>
      <c r="Y2150" s="35"/>
      <c r="Z2150" s="35"/>
      <c r="AA2150" s="35"/>
      <c r="AB2150" s="35"/>
      <c r="AC2150" s="35"/>
      <c r="AD2150" s="35"/>
      <c r="AE2150" s="35"/>
      <c r="AF2150" s="35"/>
      <c r="AG2150" s="35"/>
      <c r="AH2150" s="35"/>
      <c r="AI2150" s="35"/>
      <c r="AJ2150" s="35"/>
      <c r="AK2150" s="35"/>
      <c r="AL2150" s="35"/>
    </row>
    <row r="2151">
      <c r="A2151" s="18" t="s">
        <v>2</v>
      </c>
      <c r="B2151" s="19" t="s">
        <v>10728</v>
      </c>
      <c r="C2151" s="20" t="s">
        <v>9141</v>
      </c>
      <c r="D2151" s="47"/>
      <c r="E2151" s="22" t="s">
        <v>4057</v>
      </c>
      <c r="F2151" s="22" t="s">
        <v>224</v>
      </c>
      <c r="G2151" s="23">
        <v>2019.0</v>
      </c>
      <c r="H2151" s="22" t="s">
        <v>10753</v>
      </c>
      <c r="I2151" s="24" t="s">
        <v>10754</v>
      </c>
      <c r="J2151" s="22" t="s">
        <v>125</v>
      </c>
      <c r="K2151" s="22" t="s">
        <v>157</v>
      </c>
      <c r="L2151" s="171" t="s">
        <v>10755</v>
      </c>
      <c r="M2151" s="44"/>
      <c r="N2151" s="44"/>
      <c r="O2151" s="44"/>
      <c r="P2151" s="44"/>
      <c r="Q2151" s="44"/>
      <c r="R2151" s="44"/>
      <c r="S2151" s="44"/>
      <c r="T2151" s="45"/>
      <c r="U2151" s="38" t="str">
        <f>HYPERLINK("https://link.springer.com/chapter/10.1007/978-3-319-99211-2_13","Springer")</f>
        <v>Springer</v>
      </c>
      <c r="V2151" s="50"/>
      <c r="W2151" s="49"/>
      <c r="X2151" s="49"/>
      <c r="Y2151" s="35"/>
      <c r="Z2151" s="35"/>
      <c r="AA2151" s="35"/>
      <c r="AB2151" s="35"/>
      <c r="AC2151" s="35"/>
      <c r="AD2151" s="35"/>
      <c r="AE2151" s="35"/>
      <c r="AF2151" s="35"/>
      <c r="AG2151" s="35"/>
      <c r="AH2151" s="35"/>
      <c r="AI2151" s="35"/>
      <c r="AJ2151" s="35"/>
      <c r="AK2151" s="35"/>
      <c r="AL2151" s="35"/>
    </row>
    <row r="2152">
      <c r="A2152" s="18"/>
      <c r="B2152" s="19" t="s">
        <v>10728</v>
      </c>
      <c r="C2152" s="20" t="s">
        <v>9141</v>
      </c>
      <c r="D2152" s="47"/>
      <c r="E2152" s="22" t="s">
        <v>10756</v>
      </c>
      <c r="F2152" s="22" t="s">
        <v>4943</v>
      </c>
      <c r="G2152" s="23">
        <v>2019.0</v>
      </c>
      <c r="H2152" s="22" t="s">
        <v>207</v>
      </c>
      <c r="I2152" s="24" t="s">
        <v>10757</v>
      </c>
      <c r="J2152" s="22" t="s">
        <v>125</v>
      </c>
      <c r="K2152" s="22" t="s">
        <v>10758</v>
      </c>
      <c r="L2152" s="171" t="s">
        <v>10759</v>
      </c>
      <c r="M2152" s="44"/>
      <c r="N2152" s="44"/>
      <c r="O2152" s="44"/>
      <c r="P2152" s="44"/>
      <c r="Q2152" s="44"/>
      <c r="R2152" s="44"/>
      <c r="S2152" s="44"/>
      <c r="T2152" s="45"/>
      <c r="U2152" s="38" t="str">
        <f>HYPERLINK("https://www.ncbi.nlm.nih.gov/pubmed/30654264","PubMed")</f>
        <v>PubMed</v>
      </c>
      <c r="V2152" s="50"/>
      <c r="W2152" s="49"/>
      <c r="X2152" s="49"/>
      <c r="Y2152" s="35"/>
      <c r="Z2152" s="35"/>
      <c r="AA2152" s="35"/>
      <c r="AB2152" s="35"/>
      <c r="AC2152" s="35"/>
      <c r="AD2152" s="35"/>
      <c r="AE2152" s="35"/>
      <c r="AF2152" s="35"/>
      <c r="AG2152" s="35"/>
      <c r="AH2152" s="35"/>
      <c r="AI2152" s="35"/>
      <c r="AJ2152" s="35"/>
      <c r="AK2152" s="35"/>
      <c r="AL2152" s="35"/>
    </row>
    <row r="2153">
      <c r="A2153" s="39" t="s">
        <v>2</v>
      </c>
      <c r="B2153" s="19" t="s">
        <v>10728</v>
      </c>
      <c r="C2153" s="20" t="s">
        <v>9141</v>
      </c>
      <c r="D2153" s="47"/>
      <c r="E2153" s="22" t="s">
        <v>10760</v>
      </c>
      <c r="F2153" s="22" t="s">
        <v>10761</v>
      </c>
      <c r="G2153" s="23">
        <v>2017.0</v>
      </c>
      <c r="H2153" s="22" t="s">
        <v>5923</v>
      </c>
      <c r="I2153" s="24" t="s">
        <v>10762</v>
      </c>
      <c r="J2153" s="22" t="s">
        <v>125</v>
      </c>
      <c r="K2153" s="22" t="s">
        <v>157</v>
      </c>
      <c r="L2153" s="171" t="s">
        <v>10763</v>
      </c>
      <c r="M2153" s="44"/>
      <c r="N2153" s="44"/>
      <c r="O2153" s="44"/>
      <c r="P2153" s="44"/>
      <c r="Q2153" s="44"/>
      <c r="R2153" s="44"/>
      <c r="S2153" s="44"/>
      <c r="T2153" s="45"/>
      <c r="U2153" s="38" t="str">
        <f>HYPERLINK("https://www.ncbi.nlm.nih.gov/pubmed/28948402","PubMed")</f>
        <v>PubMed</v>
      </c>
      <c r="V2153" s="50"/>
      <c r="W2153" s="49"/>
      <c r="X2153" s="49"/>
      <c r="Y2153" s="35"/>
      <c r="Z2153" s="35"/>
      <c r="AA2153" s="35"/>
      <c r="AB2153" s="35"/>
      <c r="AC2153" s="35"/>
      <c r="AD2153" s="35"/>
      <c r="AE2153" s="35"/>
      <c r="AF2153" s="35"/>
      <c r="AG2153" s="35"/>
      <c r="AH2153" s="35"/>
      <c r="AI2153" s="35"/>
      <c r="AJ2153" s="35"/>
      <c r="AK2153" s="35"/>
      <c r="AL2153" s="35"/>
    </row>
    <row r="2154">
      <c r="A2154" s="1" t="s">
        <v>10764</v>
      </c>
      <c r="B2154" s="19" t="s">
        <v>10728</v>
      </c>
      <c r="C2154" s="20" t="s">
        <v>9141</v>
      </c>
      <c r="D2154" s="47"/>
      <c r="E2154" s="22" t="s">
        <v>10765</v>
      </c>
      <c r="F2154" s="22" t="s">
        <v>6828</v>
      </c>
      <c r="G2154" s="23">
        <v>2017.0</v>
      </c>
      <c r="H2154" s="22" t="s">
        <v>10766</v>
      </c>
      <c r="I2154" s="24" t="s">
        <v>10767</v>
      </c>
      <c r="J2154" s="22" t="s">
        <v>125</v>
      </c>
      <c r="K2154" s="22" t="s">
        <v>157</v>
      </c>
      <c r="L2154" s="171" t="s">
        <v>10768</v>
      </c>
      <c r="M2154" s="44"/>
      <c r="N2154" s="44"/>
      <c r="O2154" s="44"/>
      <c r="P2154" s="44"/>
      <c r="Q2154" s="44"/>
      <c r="R2154" s="44"/>
      <c r="S2154" s="44"/>
      <c r="T2154" s="45"/>
      <c r="U2154" s="38" t="str">
        <f>HYPERLINK("https://www.intechopen.com/books/photomedicine-advances-in-clinical-practice/photobiological-basics-and-clinical-indications-of-phototherapy-for-skin-rejuvenation","INTECH")</f>
        <v>INTECH</v>
      </c>
      <c r="V2154" s="50"/>
      <c r="W2154" s="49"/>
      <c r="X2154" s="49"/>
      <c r="Y2154" s="35"/>
      <c r="Z2154" s="35"/>
      <c r="AA2154" s="35"/>
      <c r="AB2154" s="35"/>
      <c r="AC2154" s="35"/>
      <c r="AD2154" s="35"/>
      <c r="AE2154" s="35"/>
      <c r="AF2154" s="35"/>
      <c r="AG2154" s="35"/>
      <c r="AH2154" s="35"/>
      <c r="AI2154" s="35"/>
      <c r="AJ2154" s="35"/>
      <c r="AK2154" s="35"/>
      <c r="AL2154" s="35"/>
    </row>
    <row r="2155">
      <c r="A2155" s="1"/>
      <c r="B2155" s="19" t="s">
        <v>10728</v>
      </c>
      <c r="C2155" s="20" t="s">
        <v>9141</v>
      </c>
      <c r="D2155" s="47"/>
      <c r="E2155" s="22" t="s">
        <v>5255</v>
      </c>
      <c r="F2155" s="22" t="s">
        <v>10769</v>
      </c>
      <c r="G2155" s="23">
        <v>2015.0</v>
      </c>
      <c r="H2155" s="22" t="s">
        <v>10770</v>
      </c>
      <c r="I2155" s="24" t="s">
        <v>10771</v>
      </c>
      <c r="J2155" s="22" t="s">
        <v>125</v>
      </c>
      <c r="K2155" s="22"/>
      <c r="L2155" s="171" t="s">
        <v>10772</v>
      </c>
      <c r="M2155" s="44"/>
      <c r="N2155" s="44"/>
      <c r="O2155" s="44"/>
      <c r="P2155" s="44"/>
      <c r="Q2155" s="44"/>
      <c r="R2155" s="44"/>
      <c r="S2155" s="44"/>
      <c r="T2155" s="45"/>
      <c r="U2155" s="38" t="str">
        <f>HYPERLINK("https://www.sciencedirect.com/science/article/pii/S1364032115004505","ScienceDirect")</f>
        <v>ScienceDirect</v>
      </c>
      <c r="V2155" s="50"/>
      <c r="W2155" s="49"/>
      <c r="X2155" s="49"/>
      <c r="Y2155" s="35"/>
      <c r="Z2155" s="35"/>
      <c r="AA2155" s="35"/>
      <c r="AB2155" s="35"/>
      <c r="AC2155" s="35"/>
      <c r="AD2155" s="35"/>
      <c r="AE2155" s="35"/>
      <c r="AF2155" s="35"/>
      <c r="AG2155" s="35"/>
      <c r="AH2155" s="35"/>
      <c r="AI2155" s="35"/>
      <c r="AJ2155" s="35"/>
      <c r="AK2155" s="35"/>
      <c r="AL2155" s="35"/>
    </row>
    <row r="2156">
      <c r="A2156" s="1" t="s">
        <v>38</v>
      </c>
      <c r="B2156" s="19" t="s">
        <v>10728</v>
      </c>
      <c r="C2156" s="20" t="s">
        <v>9141</v>
      </c>
      <c r="D2156" s="47"/>
      <c r="E2156" s="22" t="s">
        <v>10773</v>
      </c>
      <c r="F2156" s="22" t="s">
        <v>1905</v>
      </c>
      <c r="G2156" s="23">
        <v>2011.0</v>
      </c>
      <c r="H2156" s="22" t="s">
        <v>10774</v>
      </c>
      <c r="I2156" s="24" t="s">
        <v>10775</v>
      </c>
      <c r="J2156" s="22" t="s">
        <v>125</v>
      </c>
      <c r="K2156" s="22" t="s">
        <v>157</v>
      </c>
      <c r="L2156" s="171" t="s">
        <v>10776</v>
      </c>
      <c r="M2156" s="44"/>
      <c r="N2156" s="44"/>
      <c r="O2156" s="44"/>
      <c r="P2156" s="44"/>
      <c r="Q2156" s="44"/>
      <c r="R2156" s="44"/>
      <c r="S2156" s="44"/>
      <c r="T2156" s="45"/>
      <c r="U2156" s="38" t="str">
        <f>HYPERLINK("http://onlinelibrary.wiley.com/doi/10.1889/JSID19.12.882/abstract","Wiley")</f>
        <v>Wiley</v>
      </c>
      <c r="V2156" s="50"/>
      <c r="W2156" s="49"/>
      <c r="X2156" s="49"/>
      <c r="Y2156" s="35"/>
      <c r="Z2156" s="35"/>
      <c r="AA2156" s="35"/>
      <c r="AB2156" s="35"/>
      <c r="AC2156" s="35"/>
      <c r="AD2156" s="35"/>
      <c r="AE2156" s="35"/>
      <c r="AF2156" s="35"/>
      <c r="AG2156" s="35"/>
      <c r="AH2156" s="35"/>
      <c r="AI2156" s="35"/>
      <c r="AJ2156" s="35"/>
      <c r="AK2156" s="35"/>
      <c r="AL2156" s="35"/>
    </row>
    <row r="2157">
      <c r="A2157" s="1"/>
      <c r="B2157" s="19" t="s">
        <v>10728</v>
      </c>
      <c r="C2157" s="20" t="s">
        <v>9141</v>
      </c>
      <c r="D2157" s="47"/>
      <c r="E2157" s="22" t="s">
        <v>7989</v>
      </c>
      <c r="F2157" s="22" t="s">
        <v>6995</v>
      </c>
      <c r="G2157" s="23">
        <v>2011.0</v>
      </c>
      <c r="H2157" s="22" t="s">
        <v>10777</v>
      </c>
      <c r="I2157" s="24" t="s">
        <v>10778</v>
      </c>
      <c r="J2157" s="22" t="s">
        <v>125</v>
      </c>
      <c r="K2157" s="22"/>
      <c r="L2157" s="171" t="s">
        <v>10779</v>
      </c>
      <c r="M2157" s="44"/>
      <c r="N2157" s="44"/>
      <c r="O2157" s="44"/>
      <c r="P2157" s="44"/>
      <c r="Q2157" s="44"/>
      <c r="R2157" s="44"/>
      <c r="S2157" s="44"/>
      <c r="T2157" s="45"/>
      <c r="U2157" s="38" t="str">
        <f>HYPERLINK("https://www.karger.com/Article/Abstract/328326","Karger")</f>
        <v>Karger</v>
      </c>
      <c r="V2157" s="50"/>
      <c r="W2157" s="49"/>
      <c r="X2157" s="49"/>
      <c r="Y2157" s="35"/>
      <c r="Z2157" s="35"/>
      <c r="AA2157" s="35"/>
      <c r="AB2157" s="35"/>
      <c r="AC2157" s="35"/>
      <c r="AD2157" s="35"/>
      <c r="AE2157" s="35"/>
      <c r="AF2157" s="35"/>
      <c r="AG2157" s="35"/>
      <c r="AH2157" s="35"/>
      <c r="AI2157" s="35"/>
      <c r="AJ2157" s="35"/>
      <c r="AK2157" s="35"/>
      <c r="AL2157" s="35"/>
    </row>
    <row r="2158">
      <c r="A2158" s="39" t="s">
        <v>2</v>
      </c>
      <c r="B2158" s="19" t="s">
        <v>10728</v>
      </c>
      <c r="C2158" s="20" t="s">
        <v>9141</v>
      </c>
      <c r="D2158" s="47"/>
      <c r="E2158" s="22" t="s">
        <v>5255</v>
      </c>
      <c r="F2158" s="22" t="s">
        <v>10780</v>
      </c>
      <c r="G2158" s="23">
        <v>2010.0</v>
      </c>
      <c r="H2158" s="22" t="s">
        <v>10770</v>
      </c>
      <c r="I2158" s="24" t="s">
        <v>10781</v>
      </c>
      <c r="J2158" s="22" t="s">
        <v>125</v>
      </c>
      <c r="K2158" s="22" t="s">
        <v>157</v>
      </c>
      <c r="L2158" s="171" t="s">
        <v>10782</v>
      </c>
      <c r="M2158" s="44"/>
      <c r="N2158" s="44"/>
      <c r="O2158" s="44"/>
      <c r="P2158" s="44"/>
      <c r="Q2158" s="44"/>
      <c r="R2158" s="44"/>
      <c r="S2158" s="44"/>
      <c r="T2158" s="45"/>
      <c r="U2158" s="38" t="str">
        <f>HYPERLINK("https://www.sciencedirect.com/science/article/pii/S1364032110000547","ScienceDirect")</f>
        <v>ScienceDirect</v>
      </c>
      <c r="V2158" s="50"/>
      <c r="W2158" s="49"/>
      <c r="X2158" s="49"/>
      <c r="Y2158" s="35"/>
      <c r="Z2158" s="35"/>
      <c r="AA2158" s="35"/>
      <c r="AB2158" s="35"/>
      <c r="AC2158" s="35"/>
      <c r="AD2158" s="35"/>
      <c r="AE2158" s="35"/>
      <c r="AF2158" s="35"/>
      <c r="AG2158" s="35"/>
      <c r="AH2158" s="35"/>
      <c r="AI2158" s="35"/>
      <c r="AJ2158" s="35"/>
      <c r="AK2158" s="35"/>
      <c r="AL2158" s="35"/>
    </row>
    <row r="2159">
      <c r="A2159" s="1"/>
      <c r="B2159" s="19" t="s">
        <v>10728</v>
      </c>
      <c r="C2159" s="20" t="s">
        <v>9141</v>
      </c>
      <c r="D2159" s="47"/>
      <c r="E2159" s="22" t="s">
        <v>10783</v>
      </c>
      <c r="F2159" s="22" t="s">
        <v>10784</v>
      </c>
      <c r="G2159" s="23">
        <v>2006.0</v>
      </c>
      <c r="H2159" s="22" t="s">
        <v>292</v>
      </c>
      <c r="I2159" s="24" t="s">
        <v>10785</v>
      </c>
      <c r="J2159" s="22" t="s">
        <v>125</v>
      </c>
      <c r="K2159" s="22" t="s">
        <v>157</v>
      </c>
      <c r="L2159" s="171" t="s">
        <v>10786</v>
      </c>
      <c r="M2159" s="44"/>
      <c r="N2159" s="44"/>
      <c r="O2159" s="44"/>
      <c r="P2159" s="44"/>
      <c r="Q2159" s="44"/>
      <c r="R2159" s="44"/>
      <c r="S2159" s="44"/>
      <c r="T2159" s="45"/>
      <c r="U2159" s="38" t="str">
        <f>HYPERLINK("https://www.jstage.jst.go.jp/article/islsm/15/4/15_4_161/_article/-char/en","J-STAGE")</f>
        <v>J-STAGE</v>
      </c>
      <c r="V2159" s="50"/>
      <c r="W2159" s="49"/>
      <c r="X2159" s="49"/>
      <c r="Y2159" s="35"/>
      <c r="Z2159" s="35"/>
      <c r="AA2159" s="35"/>
      <c r="AB2159" s="35"/>
      <c r="AC2159" s="35"/>
      <c r="AD2159" s="35"/>
      <c r="AE2159" s="35"/>
      <c r="AF2159" s="35"/>
      <c r="AG2159" s="35"/>
      <c r="AH2159" s="35"/>
      <c r="AI2159" s="35"/>
      <c r="AJ2159" s="35"/>
      <c r="AK2159" s="35"/>
      <c r="AL2159" s="35"/>
    </row>
    <row r="2160">
      <c r="A2160" s="1"/>
      <c r="B2160" s="19" t="s">
        <v>10728</v>
      </c>
      <c r="C2160" s="20" t="s">
        <v>9141</v>
      </c>
      <c r="D2160" s="47"/>
      <c r="E2160" s="22" t="s">
        <v>10787</v>
      </c>
      <c r="F2160" s="22" t="s">
        <v>2956</v>
      </c>
      <c r="G2160" s="23">
        <v>2006.0</v>
      </c>
      <c r="H2160" s="22" t="s">
        <v>658</v>
      </c>
      <c r="I2160" s="24" t="s">
        <v>10788</v>
      </c>
      <c r="J2160" s="22" t="s">
        <v>125</v>
      </c>
      <c r="K2160" s="22" t="s">
        <v>157</v>
      </c>
      <c r="L2160" s="171" t="s">
        <v>10789</v>
      </c>
      <c r="M2160" s="44"/>
      <c r="N2160" s="44"/>
      <c r="O2160" s="44"/>
      <c r="P2160" s="44"/>
      <c r="Q2160" s="44"/>
      <c r="R2160" s="44"/>
      <c r="S2160" s="44"/>
      <c r="T2160" s="45"/>
      <c r="U2160" s="38" t="str">
        <f>HYPERLINK("https://www.ncbi.nlm.nih.gov/pubmed/16706690","PubMed")</f>
        <v>PubMed</v>
      </c>
      <c r="V2160" s="50"/>
      <c r="W2160" s="49"/>
      <c r="X2160" s="49"/>
      <c r="Y2160" s="35"/>
      <c r="Z2160" s="35"/>
      <c r="AA2160" s="35"/>
      <c r="AB2160" s="35"/>
      <c r="AC2160" s="35"/>
      <c r="AD2160" s="35"/>
      <c r="AE2160" s="35"/>
      <c r="AF2160" s="35"/>
      <c r="AG2160" s="35"/>
      <c r="AH2160" s="35"/>
      <c r="AI2160" s="35"/>
      <c r="AJ2160" s="35"/>
      <c r="AK2160" s="35"/>
      <c r="AL2160" s="35"/>
    </row>
    <row r="2161">
      <c r="A2161" s="39"/>
      <c r="B2161" s="19" t="s">
        <v>10728</v>
      </c>
      <c r="C2161" s="20" t="s">
        <v>10790</v>
      </c>
      <c r="D2161" s="47"/>
      <c r="E2161" s="22" t="s">
        <v>1689</v>
      </c>
      <c r="F2161" s="22" t="s">
        <v>2196</v>
      </c>
      <c r="G2161" s="23">
        <v>2024.0</v>
      </c>
      <c r="H2161" s="22" t="s">
        <v>42</v>
      </c>
      <c r="I2161" s="24" t="s">
        <v>10791</v>
      </c>
      <c r="J2161" s="22" t="s">
        <v>125</v>
      </c>
      <c r="K2161" s="22"/>
      <c r="L2161" s="171" t="s">
        <v>10792</v>
      </c>
      <c r="M2161" s="44"/>
      <c r="N2161" s="44"/>
      <c r="O2161" s="44"/>
      <c r="P2161" s="44"/>
      <c r="Q2161" s="44"/>
      <c r="R2161" s="44"/>
      <c r="S2161" s="44"/>
      <c r="T2161" s="45"/>
      <c r="U2161" s="38" t="s">
        <v>61</v>
      </c>
      <c r="V2161" s="50"/>
      <c r="W2161" s="49"/>
      <c r="X2161" s="49"/>
      <c r="Y2161" s="35"/>
      <c r="Z2161" s="35"/>
      <c r="AA2161" s="35"/>
      <c r="AB2161" s="35"/>
      <c r="AC2161" s="35"/>
      <c r="AD2161" s="35"/>
      <c r="AE2161" s="35"/>
      <c r="AF2161" s="35"/>
      <c r="AG2161" s="35"/>
      <c r="AH2161" s="35"/>
      <c r="AI2161" s="35"/>
      <c r="AJ2161" s="35"/>
      <c r="AK2161" s="35"/>
      <c r="AL2161" s="35"/>
    </row>
    <row r="2162">
      <c r="A2162" s="39" t="s">
        <v>2</v>
      </c>
      <c r="B2162" s="19" t="s">
        <v>10728</v>
      </c>
      <c r="C2162" s="20" t="s">
        <v>10790</v>
      </c>
      <c r="D2162" s="47"/>
      <c r="E2162" s="22" t="s">
        <v>493</v>
      </c>
      <c r="F2162" s="22" t="s">
        <v>8374</v>
      </c>
      <c r="G2162" s="23">
        <v>2019.0</v>
      </c>
      <c r="H2162" s="22" t="s">
        <v>10793</v>
      </c>
      <c r="I2162" s="24" t="s">
        <v>10794</v>
      </c>
      <c r="J2162" s="22" t="s">
        <v>125</v>
      </c>
      <c r="K2162" s="22"/>
      <c r="L2162" s="171"/>
      <c r="M2162" s="44"/>
      <c r="N2162" s="44"/>
      <c r="O2162" s="44"/>
      <c r="P2162" s="44"/>
      <c r="Q2162" s="44"/>
      <c r="R2162" s="44"/>
      <c r="S2162" s="44"/>
      <c r="T2162" s="45"/>
      <c r="U2162" s="38" t="str">
        <f>HYPERLINK("https://www.nature.com/articles/s41578-019-0167-3","Nature")</f>
        <v>Nature</v>
      </c>
      <c r="V2162" s="50"/>
      <c r="W2162" s="49"/>
      <c r="X2162" s="49"/>
      <c r="Y2162" s="35"/>
      <c r="Z2162" s="35"/>
      <c r="AA2162" s="35"/>
      <c r="AB2162" s="35"/>
      <c r="AC2162" s="35"/>
      <c r="AD2162" s="35"/>
      <c r="AE2162" s="35"/>
      <c r="AF2162" s="35"/>
      <c r="AG2162" s="35"/>
      <c r="AH2162" s="35"/>
      <c r="AI2162" s="35"/>
      <c r="AJ2162" s="35"/>
      <c r="AK2162" s="35"/>
      <c r="AL2162" s="35"/>
    </row>
    <row r="2163">
      <c r="A2163" s="18"/>
      <c r="B2163" s="19" t="s">
        <v>10728</v>
      </c>
      <c r="C2163" s="20" t="s">
        <v>10790</v>
      </c>
      <c r="D2163" s="47"/>
      <c r="E2163" s="22" t="s">
        <v>10795</v>
      </c>
      <c r="F2163" s="22" t="s">
        <v>10796</v>
      </c>
      <c r="G2163" s="23">
        <v>2019.0</v>
      </c>
      <c r="H2163" s="22" t="s">
        <v>10797</v>
      </c>
      <c r="I2163" s="24" t="s">
        <v>10798</v>
      </c>
      <c r="J2163" s="22" t="s">
        <v>125</v>
      </c>
      <c r="K2163" s="22"/>
      <c r="L2163" s="171" t="s">
        <v>10799</v>
      </c>
      <c r="M2163" s="44"/>
      <c r="N2163" s="44"/>
      <c r="O2163" s="44"/>
      <c r="P2163" s="44"/>
      <c r="Q2163" s="44"/>
      <c r="R2163" s="44"/>
      <c r="S2163" s="44"/>
      <c r="T2163" s="45"/>
      <c r="U2163" s="38" t="str">
        <f>HYPERLINK("https://www.ncbi.nlm.nih.gov/pubmed/31519282","PubMed")</f>
        <v>PubMed</v>
      </c>
      <c r="V2163" s="50"/>
      <c r="W2163" s="49"/>
      <c r="X2163" s="49"/>
      <c r="Y2163" s="35"/>
      <c r="Z2163" s="35"/>
      <c r="AA2163" s="35"/>
      <c r="AB2163" s="35"/>
      <c r="AC2163" s="35"/>
      <c r="AD2163" s="35"/>
      <c r="AE2163" s="35"/>
      <c r="AF2163" s="35"/>
      <c r="AG2163" s="35"/>
      <c r="AH2163" s="35"/>
      <c r="AI2163" s="35"/>
      <c r="AJ2163" s="35"/>
      <c r="AK2163" s="35"/>
      <c r="AL2163" s="35"/>
    </row>
    <row r="2164">
      <c r="A2164" s="18"/>
      <c r="B2164" s="19" t="s">
        <v>10728</v>
      </c>
      <c r="C2164" s="20" t="s">
        <v>10790</v>
      </c>
      <c r="D2164" s="47"/>
      <c r="E2164" s="22" t="s">
        <v>10800</v>
      </c>
      <c r="F2164" s="22" t="s">
        <v>4555</v>
      </c>
      <c r="G2164" s="23">
        <v>2019.0</v>
      </c>
      <c r="H2164" s="22" t="s">
        <v>2247</v>
      </c>
      <c r="I2164" s="24" t="s">
        <v>10801</v>
      </c>
      <c r="J2164" s="22" t="s">
        <v>125</v>
      </c>
      <c r="K2164" s="22"/>
      <c r="L2164" s="171" t="s">
        <v>10802</v>
      </c>
      <c r="M2164" s="44"/>
      <c r="N2164" s="44"/>
      <c r="O2164" s="44"/>
      <c r="P2164" s="44"/>
      <c r="Q2164" s="44"/>
      <c r="R2164" s="44"/>
      <c r="S2164" s="44"/>
      <c r="T2164" s="45"/>
      <c r="U2164" s="38" t="str">
        <f>HYPERLINK("https://www.ncbi.nlm.nih.gov/pubmed/31154014","PubMed")</f>
        <v>PubMed</v>
      </c>
      <c r="V2164" s="50"/>
      <c r="W2164" s="49"/>
      <c r="X2164" s="49"/>
      <c r="Y2164" s="35"/>
      <c r="Z2164" s="35"/>
      <c r="AA2164" s="35"/>
      <c r="AB2164" s="35"/>
      <c r="AC2164" s="35"/>
      <c r="AD2164" s="35"/>
      <c r="AE2164" s="35"/>
      <c r="AF2164" s="35"/>
      <c r="AG2164" s="35"/>
      <c r="AH2164" s="35"/>
      <c r="AI2164" s="35"/>
      <c r="AJ2164" s="35"/>
      <c r="AK2164" s="35"/>
      <c r="AL2164" s="35"/>
    </row>
    <row r="2165">
      <c r="A2165" s="18" t="s">
        <v>2</v>
      </c>
      <c r="B2165" s="19" t="s">
        <v>10728</v>
      </c>
      <c r="C2165" s="20" t="s">
        <v>10790</v>
      </c>
      <c r="D2165" s="47"/>
      <c r="E2165" s="22" t="s">
        <v>10803</v>
      </c>
      <c r="F2165" s="22" t="s">
        <v>2876</v>
      </c>
      <c r="G2165" s="23">
        <v>2017.0</v>
      </c>
      <c r="H2165" s="22" t="s">
        <v>10804</v>
      </c>
      <c r="I2165" s="24" t="s">
        <v>10805</v>
      </c>
      <c r="J2165" s="22" t="s">
        <v>125</v>
      </c>
      <c r="K2165" s="22"/>
      <c r="L2165" s="171" t="s">
        <v>10806</v>
      </c>
      <c r="M2165" s="44"/>
      <c r="N2165" s="44"/>
      <c r="O2165" s="44"/>
      <c r="P2165" s="44"/>
      <c r="Q2165" s="44"/>
      <c r="R2165" s="44"/>
      <c r="S2165" s="44"/>
      <c r="T2165" s="45"/>
      <c r="U2165" s="38" t="str">
        <f>HYPERLINK("https://www.ncbi.nlm.nih.gov/pubmed/28649464","PubMed")</f>
        <v>PubMed</v>
      </c>
      <c r="V2165" s="50"/>
      <c r="W2165" s="49"/>
      <c r="X2165" s="49"/>
      <c r="Y2165" s="35"/>
      <c r="Z2165" s="35"/>
      <c r="AA2165" s="35"/>
      <c r="AB2165" s="35"/>
      <c r="AC2165" s="35"/>
      <c r="AD2165" s="35"/>
      <c r="AE2165" s="35"/>
      <c r="AF2165" s="35"/>
      <c r="AG2165" s="35"/>
      <c r="AH2165" s="35"/>
      <c r="AI2165" s="35"/>
      <c r="AJ2165" s="35"/>
      <c r="AK2165" s="35"/>
      <c r="AL2165" s="35"/>
    </row>
    <row r="2166">
      <c r="A2166" s="39"/>
      <c r="B2166" s="19" t="s">
        <v>10728</v>
      </c>
      <c r="C2166" s="20" t="s">
        <v>10807</v>
      </c>
      <c r="D2166" s="47"/>
      <c r="E2166" s="22" t="s">
        <v>2482</v>
      </c>
      <c r="F2166" s="22" t="s">
        <v>2702</v>
      </c>
      <c r="G2166" s="23">
        <v>2023.0</v>
      </c>
      <c r="H2166" s="22" t="s">
        <v>77</v>
      </c>
      <c r="I2166" s="24" t="s">
        <v>10808</v>
      </c>
      <c r="J2166" s="22" t="s">
        <v>202</v>
      </c>
      <c r="K2166" s="22"/>
      <c r="L2166" s="171"/>
      <c r="M2166" s="44"/>
      <c r="N2166" s="44"/>
      <c r="O2166" s="44"/>
      <c r="P2166" s="44"/>
      <c r="Q2166" s="44"/>
      <c r="R2166" s="44"/>
      <c r="S2166" s="44"/>
      <c r="T2166" s="45"/>
      <c r="U2166" s="38" t="s">
        <v>61</v>
      </c>
      <c r="V2166" s="50"/>
      <c r="W2166" s="49"/>
      <c r="X2166" s="49"/>
      <c r="Y2166" s="35"/>
      <c r="Z2166" s="35"/>
      <c r="AA2166" s="35"/>
      <c r="AB2166" s="35"/>
      <c r="AC2166" s="35"/>
      <c r="AD2166" s="35"/>
      <c r="AE2166" s="35"/>
      <c r="AF2166" s="35"/>
      <c r="AG2166" s="35"/>
      <c r="AH2166" s="35"/>
      <c r="AI2166" s="35"/>
      <c r="AJ2166" s="35"/>
      <c r="AK2166" s="35"/>
      <c r="AL2166" s="35"/>
    </row>
    <row r="2167">
      <c r="A2167" s="39"/>
      <c r="B2167" s="19" t="s">
        <v>10728</v>
      </c>
      <c r="C2167" s="20" t="s">
        <v>10807</v>
      </c>
      <c r="D2167" s="47"/>
      <c r="E2167" s="22" t="s">
        <v>10809</v>
      </c>
      <c r="F2167" s="22" t="s">
        <v>10810</v>
      </c>
      <c r="G2167" s="23">
        <v>2021.0</v>
      </c>
      <c r="H2167" s="22" t="s">
        <v>10811</v>
      </c>
      <c r="I2167" s="24" t="s">
        <v>10812</v>
      </c>
      <c r="J2167" s="22" t="s">
        <v>125</v>
      </c>
      <c r="K2167" s="22"/>
      <c r="L2167" s="171" t="s">
        <v>10813</v>
      </c>
      <c r="M2167" s="44"/>
      <c r="N2167" s="44"/>
      <c r="O2167" s="44"/>
      <c r="P2167" s="44"/>
      <c r="Q2167" s="44"/>
      <c r="R2167" s="44"/>
      <c r="S2167" s="44"/>
      <c r="T2167" s="45"/>
      <c r="U2167" s="29" t="s">
        <v>6010</v>
      </c>
      <c r="V2167" s="50"/>
      <c r="W2167" s="49"/>
      <c r="X2167" s="49"/>
      <c r="Y2167" s="35"/>
      <c r="Z2167" s="35"/>
      <c r="AA2167" s="35"/>
      <c r="AB2167" s="35"/>
      <c r="AC2167" s="35"/>
      <c r="AD2167" s="35"/>
      <c r="AE2167" s="35"/>
      <c r="AF2167" s="35"/>
      <c r="AG2167" s="35"/>
      <c r="AH2167" s="35"/>
      <c r="AI2167" s="35"/>
      <c r="AJ2167" s="35"/>
      <c r="AK2167" s="35"/>
      <c r="AL2167" s="35"/>
    </row>
    <row r="2168">
      <c r="A2168" s="18"/>
      <c r="B2168" s="19" t="s">
        <v>10728</v>
      </c>
      <c r="C2168" s="20"/>
      <c r="D2168" s="47"/>
      <c r="E2168" s="22" t="s">
        <v>10814</v>
      </c>
      <c r="F2168" s="22" t="s">
        <v>1081</v>
      </c>
      <c r="G2168" s="23">
        <v>2024.0</v>
      </c>
      <c r="H2168" s="22" t="s">
        <v>1858</v>
      </c>
      <c r="I2168" s="24" t="s">
        <v>10815</v>
      </c>
      <c r="J2168" s="22" t="s">
        <v>125</v>
      </c>
      <c r="K2168" s="22"/>
      <c r="L2168" s="171" t="s">
        <v>10816</v>
      </c>
      <c r="M2168" s="44"/>
      <c r="N2168" s="44"/>
      <c r="O2168" s="44"/>
      <c r="P2168" s="44"/>
      <c r="Q2168" s="44"/>
      <c r="R2168" s="44"/>
      <c r="S2168" s="44"/>
      <c r="T2168" s="45"/>
      <c r="U2168" s="38" t="s">
        <v>61</v>
      </c>
      <c r="V2168" s="50"/>
      <c r="W2168" s="49"/>
      <c r="X2168" s="49"/>
      <c r="Y2168" s="35"/>
      <c r="Z2168" s="35"/>
      <c r="AA2168" s="35"/>
      <c r="AB2168" s="35"/>
      <c r="AC2168" s="35"/>
      <c r="AD2168" s="35"/>
      <c r="AE2168" s="35"/>
      <c r="AF2168" s="35"/>
      <c r="AG2168" s="35"/>
      <c r="AH2168" s="35"/>
      <c r="AI2168" s="35"/>
      <c r="AJ2168" s="35"/>
      <c r="AK2168" s="35"/>
      <c r="AL2168" s="35"/>
    </row>
    <row r="2169">
      <c r="A2169" s="18"/>
      <c r="B2169" s="19" t="s">
        <v>10728</v>
      </c>
      <c r="C2169" s="20"/>
      <c r="D2169" s="47"/>
      <c r="E2169" s="22" t="s">
        <v>10817</v>
      </c>
      <c r="F2169" s="22" t="s">
        <v>2346</v>
      </c>
      <c r="G2169" s="23">
        <v>2023.0</v>
      </c>
      <c r="H2169" s="22" t="s">
        <v>4326</v>
      </c>
      <c r="I2169" s="24" t="s">
        <v>10818</v>
      </c>
      <c r="J2169" s="22" t="s">
        <v>125</v>
      </c>
      <c r="K2169" s="22"/>
      <c r="L2169" s="171" t="s">
        <v>10819</v>
      </c>
      <c r="M2169" s="44"/>
      <c r="N2169" s="44"/>
      <c r="O2169" s="44"/>
      <c r="P2169" s="44"/>
      <c r="Q2169" s="44"/>
      <c r="R2169" s="44"/>
      <c r="S2169" s="44"/>
      <c r="T2169" s="45"/>
      <c r="U2169" s="38" t="s">
        <v>61</v>
      </c>
      <c r="V2169" s="50"/>
      <c r="W2169" s="49"/>
      <c r="X2169" s="49"/>
      <c r="Y2169" s="35"/>
      <c r="Z2169" s="35"/>
      <c r="AA2169" s="35"/>
      <c r="AB2169" s="35"/>
      <c r="AC2169" s="35"/>
      <c r="AD2169" s="35"/>
      <c r="AE2169" s="35"/>
      <c r="AF2169" s="35"/>
      <c r="AG2169" s="35"/>
      <c r="AH2169" s="35"/>
      <c r="AI2169" s="35"/>
      <c r="AJ2169" s="35"/>
      <c r="AK2169" s="35"/>
      <c r="AL2169" s="35"/>
    </row>
    <row r="2170">
      <c r="A2170" s="18"/>
      <c r="B2170" s="19" t="s">
        <v>10728</v>
      </c>
      <c r="C2170" s="20"/>
      <c r="D2170" s="47"/>
      <c r="E2170" s="22" t="s">
        <v>9912</v>
      </c>
      <c r="F2170" s="22" t="s">
        <v>323</v>
      </c>
      <c r="G2170" s="23">
        <v>2020.0</v>
      </c>
      <c r="H2170" s="22" t="s">
        <v>147</v>
      </c>
      <c r="I2170" s="24" t="s">
        <v>10820</v>
      </c>
      <c r="J2170" s="22" t="s">
        <v>125</v>
      </c>
      <c r="K2170" s="22"/>
      <c r="L2170" s="171" t="s">
        <v>10821</v>
      </c>
      <c r="M2170" s="44"/>
      <c r="N2170" s="44"/>
      <c r="O2170" s="44"/>
      <c r="P2170" s="44"/>
      <c r="Q2170" s="44"/>
      <c r="R2170" s="44"/>
      <c r="S2170" s="44"/>
      <c r="T2170" s="45"/>
      <c r="U2170" s="29" t="s">
        <v>61</v>
      </c>
      <c r="V2170" s="50"/>
      <c r="W2170" s="49"/>
      <c r="X2170" s="49"/>
      <c r="Y2170" s="35"/>
      <c r="Z2170" s="35"/>
      <c r="AA2170" s="35"/>
      <c r="AB2170" s="35"/>
      <c r="AC2170" s="35"/>
      <c r="AD2170" s="35"/>
      <c r="AE2170" s="35"/>
      <c r="AF2170" s="35"/>
      <c r="AG2170" s="35"/>
      <c r="AH2170" s="35"/>
      <c r="AI2170" s="35"/>
      <c r="AJ2170" s="35"/>
      <c r="AK2170" s="35"/>
      <c r="AL2170" s="35"/>
    </row>
    <row r="2171">
      <c r="A2171" s="18"/>
      <c r="B2171" s="19" t="s">
        <v>10728</v>
      </c>
      <c r="C2171" s="20"/>
      <c r="D2171" s="47"/>
      <c r="E2171" s="22" t="s">
        <v>7114</v>
      </c>
      <c r="F2171" s="22" t="s">
        <v>7115</v>
      </c>
      <c r="G2171" s="23">
        <v>2020.0</v>
      </c>
      <c r="H2171" s="22" t="s">
        <v>10822</v>
      </c>
      <c r="I2171" s="24" t="s">
        <v>10823</v>
      </c>
      <c r="J2171" s="22" t="s">
        <v>125</v>
      </c>
      <c r="K2171" s="22"/>
      <c r="L2171" s="171" t="s">
        <v>10824</v>
      </c>
      <c r="M2171" s="44"/>
      <c r="N2171" s="44"/>
      <c r="O2171" s="44"/>
      <c r="P2171" s="44"/>
      <c r="Q2171" s="44"/>
      <c r="R2171" s="44"/>
      <c r="S2171" s="44"/>
      <c r="T2171" s="45"/>
      <c r="U2171" s="29" t="s">
        <v>6709</v>
      </c>
      <c r="V2171" s="50"/>
      <c r="W2171" s="49"/>
      <c r="X2171" s="49"/>
      <c r="Y2171" s="35"/>
      <c r="Z2171" s="35"/>
      <c r="AA2171" s="35"/>
      <c r="AB2171" s="35"/>
      <c r="AC2171" s="35"/>
      <c r="AD2171" s="35"/>
      <c r="AE2171" s="35"/>
      <c r="AF2171" s="35"/>
      <c r="AG2171" s="35"/>
      <c r="AH2171" s="35"/>
      <c r="AI2171" s="35"/>
      <c r="AJ2171" s="35"/>
      <c r="AK2171" s="35"/>
      <c r="AL2171" s="35"/>
    </row>
    <row r="2172">
      <c r="A2172" s="18"/>
      <c r="B2172" s="19" t="s">
        <v>10728</v>
      </c>
      <c r="C2172" s="20"/>
      <c r="D2172" s="47"/>
      <c r="E2172" s="22" t="s">
        <v>10825</v>
      </c>
      <c r="F2172" s="22" t="s">
        <v>10826</v>
      </c>
      <c r="G2172" s="23">
        <v>2020.0</v>
      </c>
      <c r="H2172" s="22" t="s">
        <v>3963</v>
      </c>
      <c r="I2172" s="24" t="s">
        <v>10827</v>
      </c>
      <c r="J2172" s="22" t="s">
        <v>125</v>
      </c>
      <c r="K2172" s="22"/>
      <c r="L2172" s="171" t="s">
        <v>10828</v>
      </c>
      <c r="M2172" s="44"/>
      <c r="N2172" s="44"/>
      <c r="O2172" s="44"/>
      <c r="P2172" s="44"/>
      <c r="Q2172" s="44"/>
      <c r="R2172" s="44"/>
      <c r="S2172" s="44"/>
      <c r="T2172" s="45"/>
      <c r="U2172" s="29" t="s">
        <v>61</v>
      </c>
      <c r="V2172" s="50"/>
      <c r="W2172" s="49"/>
      <c r="X2172" s="49"/>
      <c r="Y2172" s="35"/>
      <c r="Z2172" s="35"/>
      <c r="AA2172" s="35"/>
      <c r="AB2172" s="35"/>
      <c r="AC2172" s="35"/>
      <c r="AD2172" s="35"/>
      <c r="AE2172" s="35"/>
      <c r="AF2172" s="35"/>
      <c r="AG2172" s="35"/>
      <c r="AH2172" s="35"/>
      <c r="AI2172" s="35"/>
      <c r="AJ2172" s="35"/>
      <c r="AK2172" s="35"/>
      <c r="AL2172" s="35"/>
    </row>
    <row r="2173">
      <c r="A2173" s="18"/>
      <c r="B2173" s="19" t="s">
        <v>10728</v>
      </c>
      <c r="C2173" s="20"/>
      <c r="D2173" s="47"/>
      <c r="E2173" s="22" t="s">
        <v>10829</v>
      </c>
      <c r="F2173" s="22" t="s">
        <v>10830</v>
      </c>
      <c r="G2173" s="23">
        <v>2020.0</v>
      </c>
      <c r="H2173" s="22" t="s">
        <v>10831</v>
      </c>
      <c r="I2173" s="24" t="s">
        <v>10832</v>
      </c>
      <c r="J2173" s="22" t="s">
        <v>10391</v>
      </c>
      <c r="K2173" s="22"/>
      <c r="L2173" s="171"/>
      <c r="M2173" s="44"/>
      <c r="N2173" s="44"/>
      <c r="O2173" s="44"/>
      <c r="P2173" s="44"/>
      <c r="Q2173" s="44"/>
      <c r="R2173" s="44"/>
      <c r="S2173" s="44"/>
      <c r="T2173" s="45"/>
      <c r="U2173" s="38" t="str">
        <f>HYPERLINK("https://books.google.fi/books?hl=fi&amp;lr=&amp;id=di_XDwAAQBAJ&amp;oi=fnd&amp;pg=PA189&amp;dq=photobiomodulation&amp;ots=9ZgmHGvD6B&amp;sig=pxr2enDSdIphIrf3qDq4A5AkOkI&amp;redir_esc=y#v=onepage&amp;q=photobiomodulation&amp;f=false","Google Books")</f>
        <v>Google Books</v>
      </c>
      <c r="V2173" s="50"/>
      <c r="W2173" s="49"/>
      <c r="X2173" s="49"/>
      <c r="Y2173" s="35"/>
      <c r="Z2173" s="35"/>
      <c r="AA2173" s="35"/>
      <c r="AB2173" s="35"/>
      <c r="AC2173" s="35"/>
      <c r="AD2173" s="35"/>
      <c r="AE2173" s="35"/>
      <c r="AF2173" s="35"/>
      <c r="AG2173" s="35"/>
      <c r="AH2173" s="35"/>
      <c r="AI2173" s="35"/>
      <c r="AJ2173" s="35"/>
      <c r="AK2173" s="35"/>
      <c r="AL2173" s="35"/>
    </row>
    <row r="2174">
      <c r="A2174" s="18"/>
      <c r="B2174" s="19" t="s">
        <v>10728</v>
      </c>
      <c r="C2174" s="20"/>
      <c r="D2174" s="47"/>
      <c r="E2174" s="22" t="s">
        <v>10833</v>
      </c>
      <c r="F2174" s="22" t="s">
        <v>4411</v>
      </c>
      <c r="G2174" s="23">
        <v>2019.0</v>
      </c>
      <c r="H2174" s="22" t="s">
        <v>10834</v>
      </c>
      <c r="I2174" s="24" t="s">
        <v>10835</v>
      </c>
      <c r="J2174" s="22" t="s">
        <v>125</v>
      </c>
      <c r="K2174" s="22"/>
      <c r="L2174" s="171" t="s">
        <v>10836</v>
      </c>
      <c r="M2174" s="44"/>
      <c r="N2174" s="44"/>
      <c r="O2174" s="44"/>
      <c r="P2174" s="44"/>
      <c r="Q2174" s="44"/>
      <c r="R2174" s="44"/>
      <c r="S2174" s="44"/>
      <c r="T2174" s="45"/>
      <c r="U2174" s="38" t="str">
        <f>HYPERLINK("https://www.ncbi.nlm.nih.gov/pubmed/31267251","PubMed")</f>
        <v>PubMed</v>
      </c>
      <c r="V2174" s="50"/>
      <c r="W2174" s="49"/>
      <c r="X2174" s="49"/>
      <c r="Y2174" s="35"/>
      <c r="Z2174" s="35"/>
      <c r="AA2174" s="35"/>
      <c r="AB2174" s="35"/>
      <c r="AC2174" s="35"/>
      <c r="AD2174" s="35"/>
      <c r="AE2174" s="35"/>
      <c r="AF2174" s="35"/>
      <c r="AG2174" s="35"/>
      <c r="AH2174" s="35"/>
      <c r="AI2174" s="35"/>
      <c r="AJ2174" s="35"/>
      <c r="AK2174" s="35"/>
      <c r="AL2174" s="35"/>
    </row>
    <row r="2175">
      <c r="A2175" s="18"/>
      <c r="B2175" s="19" t="s">
        <v>10728</v>
      </c>
      <c r="C2175" s="20"/>
      <c r="D2175" s="47"/>
      <c r="E2175" s="22" t="s">
        <v>10837</v>
      </c>
      <c r="F2175" s="22" t="s">
        <v>10838</v>
      </c>
      <c r="G2175" s="23">
        <v>2019.0</v>
      </c>
      <c r="H2175" s="22" t="s">
        <v>3902</v>
      </c>
      <c r="I2175" s="24" t="s">
        <v>10839</v>
      </c>
      <c r="J2175" s="22" t="s">
        <v>125</v>
      </c>
      <c r="K2175" s="22"/>
      <c r="L2175" s="171" t="s">
        <v>10840</v>
      </c>
      <c r="M2175" s="44"/>
      <c r="N2175" s="44"/>
      <c r="O2175" s="44"/>
      <c r="P2175" s="44"/>
      <c r="Q2175" s="44"/>
      <c r="R2175" s="44"/>
      <c r="S2175" s="44"/>
      <c r="T2175" s="45"/>
      <c r="U2175" s="38" t="str">
        <f>HYPERLINK("https://www.ncbi.nlm.nih.gov/pubmed/30614743","PubMed")</f>
        <v>PubMed</v>
      </c>
      <c r="V2175" s="50"/>
      <c r="W2175" s="49"/>
      <c r="X2175" s="49"/>
      <c r="Y2175" s="35"/>
      <c r="Z2175" s="35"/>
      <c r="AA2175" s="35"/>
      <c r="AB2175" s="35"/>
      <c r="AC2175" s="35"/>
      <c r="AD2175" s="35"/>
      <c r="AE2175" s="35"/>
      <c r="AF2175" s="35"/>
      <c r="AG2175" s="35"/>
      <c r="AH2175" s="35"/>
      <c r="AI2175" s="35"/>
      <c r="AJ2175" s="35"/>
      <c r="AK2175" s="35"/>
      <c r="AL2175" s="35"/>
    </row>
    <row r="2176">
      <c r="A2176" s="18"/>
      <c r="B2176" s="19" t="s">
        <v>10728</v>
      </c>
      <c r="C2176" s="20"/>
      <c r="D2176" s="47"/>
      <c r="E2176" s="22" t="s">
        <v>10841</v>
      </c>
      <c r="F2176" s="22" t="s">
        <v>10842</v>
      </c>
      <c r="G2176" s="23">
        <v>2018.0</v>
      </c>
      <c r="H2176" s="22" t="s">
        <v>2398</v>
      </c>
      <c r="I2176" s="24" t="s">
        <v>10843</v>
      </c>
      <c r="J2176" s="22" t="s">
        <v>125</v>
      </c>
      <c r="K2176" s="22"/>
      <c r="L2176" s="171" t="s">
        <v>10844</v>
      </c>
      <c r="M2176" s="44"/>
      <c r="N2176" s="44"/>
      <c r="O2176" s="44"/>
      <c r="P2176" s="44"/>
      <c r="Q2176" s="44"/>
      <c r="R2176" s="44"/>
      <c r="S2176" s="44"/>
      <c r="T2176" s="45"/>
      <c r="U2176" s="38" t="str">
        <f>HYPERLINK("https://www.ncbi.nlm.nih.gov/pubmed/29572678","PubMed")</f>
        <v>PubMed</v>
      </c>
      <c r="V2176" s="50"/>
      <c r="W2176" s="49"/>
      <c r="X2176" s="49"/>
      <c r="Y2176" s="35"/>
      <c r="Z2176" s="35"/>
      <c r="AA2176" s="35"/>
      <c r="AB2176" s="35"/>
      <c r="AC2176" s="35"/>
      <c r="AD2176" s="35"/>
      <c r="AE2176" s="35"/>
      <c r="AF2176" s="35"/>
      <c r="AG2176" s="35"/>
      <c r="AH2176" s="35"/>
      <c r="AI2176" s="35"/>
      <c r="AJ2176" s="35"/>
      <c r="AK2176" s="35"/>
      <c r="AL2176" s="35"/>
    </row>
    <row r="2177">
      <c r="A2177" s="18" t="s">
        <v>2</v>
      </c>
      <c r="B2177" s="19" t="s">
        <v>10728</v>
      </c>
      <c r="C2177" s="20"/>
      <c r="D2177" s="47"/>
      <c r="E2177" s="22" t="s">
        <v>10845</v>
      </c>
      <c r="F2177" s="22" t="s">
        <v>9138</v>
      </c>
      <c r="G2177" s="23">
        <v>2004.0</v>
      </c>
      <c r="H2177" s="22" t="s">
        <v>1289</v>
      </c>
      <c r="I2177" s="24" t="s">
        <v>10846</v>
      </c>
      <c r="J2177" s="22" t="s">
        <v>125</v>
      </c>
      <c r="K2177" s="22"/>
      <c r="L2177" s="171" t="s">
        <v>10847</v>
      </c>
      <c r="M2177" s="44"/>
      <c r="N2177" s="44"/>
      <c r="O2177" s="44"/>
      <c r="P2177" s="44"/>
      <c r="Q2177" s="44"/>
      <c r="R2177" s="44"/>
      <c r="S2177" s="44"/>
      <c r="T2177" s="45"/>
      <c r="U2177" s="38" t="str">
        <f>HYPERLINK("https://www.ncbi.nlm.nih.gov/pubmed/15165389","PubMed")</f>
        <v>PubMed</v>
      </c>
      <c r="V2177" s="50"/>
      <c r="W2177" s="49"/>
      <c r="X2177" s="49"/>
      <c r="Y2177" s="35"/>
      <c r="Z2177" s="35"/>
      <c r="AA2177" s="35"/>
      <c r="AB2177" s="35"/>
      <c r="AC2177" s="35"/>
      <c r="AD2177" s="35"/>
      <c r="AE2177" s="35"/>
      <c r="AF2177" s="35"/>
      <c r="AG2177" s="35"/>
      <c r="AH2177" s="35"/>
      <c r="AI2177" s="35"/>
      <c r="AJ2177" s="35"/>
      <c r="AK2177" s="35"/>
      <c r="AL2177" s="35"/>
    </row>
    <row r="2178">
      <c r="A2178" s="133"/>
      <c r="B2178" s="19" t="s">
        <v>10848</v>
      </c>
      <c r="C2178" s="20" t="s">
        <v>10849</v>
      </c>
      <c r="D2178" s="47"/>
      <c r="E2178" s="22" t="s">
        <v>7600</v>
      </c>
      <c r="F2178" s="22" t="s">
        <v>41</v>
      </c>
      <c r="G2178" s="23">
        <v>2023.0</v>
      </c>
      <c r="H2178" s="22" t="s">
        <v>147</v>
      </c>
      <c r="I2178" s="24" t="s">
        <v>10850</v>
      </c>
      <c r="J2178" s="22" t="s">
        <v>10851</v>
      </c>
      <c r="K2178" s="22"/>
      <c r="L2178" s="36">
        <v>660.0</v>
      </c>
      <c r="M2178" s="36">
        <v>40.0</v>
      </c>
      <c r="N2178" s="36">
        <v>1.0</v>
      </c>
      <c r="O2178" s="36" t="s">
        <v>10852</v>
      </c>
      <c r="P2178" s="37" t="s">
        <v>95</v>
      </c>
      <c r="Q2178" s="36" t="s">
        <v>10853</v>
      </c>
      <c r="R2178" s="36" t="s">
        <v>10854</v>
      </c>
      <c r="S2178" s="36" t="s">
        <v>3849</v>
      </c>
      <c r="T2178" s="54" t="s">
        <v>10855</v>
      </c>
      <c r="U2178" s="38" t="s">
        <v>61</v>
      </c>
      <c r="V2178" s="30"/>
      <c r="W2178" s="49"/>
      <c r="X2178" s="49"/>
      <c r="Y2178" s="35"/>
      <c r="Z2178" s="35"/>
      <c r="AA2178" s="35"/>
      <c r="AB2178" s="35"/>
      <c r="AC2178" s="35"/>
      <c r="AD2178" s="35"/>
      <c r="AE2178" s="35"/>
      <c r="AF2178" s="35"/>
      <c r="AG2178" s="35"/>
      <c r="AH2178" s="35"/>
      <c r="AI2178" s="35"/>
      <c r="AJ2178" s="35"/>
      <c r="AK2178" s="35"/>
      <c r="AL2178" s="35"/>
    </row>
    <row r="2179">
      <c r="A2179" s="133"/>
      <c r="B2179" s="19" t="s">
        <v>10848</v>
      </c>
      <c r="C2179" s="20" t="s">
        <v>10849</v>
      </c>
      <c r="D2179" s="47"/>
      <c r="E2179" s="22" t="s">
        <v>2316</v>
      </c>
      <c r="F2179" s="22" t="s">
        <v>2437</v>
      </c>
      <c r="G2179" s="23">
        <v>2023.0</v>
      </c>
      <c r="H2179" s="22" t="s">
        <v>91</v>
      </c>
      <c r="I2179" s="24" t="s">
        <v>10856</v>
      </c>
      <c r="J2179" s="22" t="s">
        <v>1078</v>
      </c>
      <c r="K2179" s="22"/>
      <c r="L2179" s="105" t="s">
        <v>10857</v>
      </c>
      <c r="M2179" s="44"/>
      <c r="N2179" s="44"/>
      <c r="O2179" s="44"/>
      <c r="P2179" s="44"/>
      <c r="Q2179" s="44"/>
      <c r="R2179" s="44"/>
      <c r="S2179" s="44"/>
      <c r="T2179" s="45"/>
      <c r="U2179" s="38" t="s">
        <v>61</v>
      </c>
      <c r="V2179" s="30"/>
      <c r="W2179" s="49"/>
      <c r="X2179" s="49"/>
      <c r="Y2179" s="35"/>
      <c r="Z2179" s="35"/>
      <c r="AA2179" s="35"/>
      <c r="AB2179" s="35"/>
      <c r="AC2179" s="35"/>
      <c r="AD2179" s="35"/>
      <c r="AE2179" s="35"/>
      <c r="AF2179" s="35"/>
      <c r="AG2179" s="35"/>
      <c r="AH2179" s="35"/>
      <c r="AI2179" s="35"/>
      <c r="AJ2179" s="35"/>
      <c r="AK2179" s="35"/>
      <c r="AL2179" s="35"/>
    </row>
    <row r="2180">
      <c r="A2180" s="133"/>
      <c r="B2180" s="19" t="s">
        <v>10848</v>
      </c>
      <c r="C2180" s="20" t="s">
        <v>10849</v>
      </c>
      <c r="D2180" s="47"/>
      <c r="E2180" s="22" t="s">
        <v>10858</v>
      </c>
      <c r="F2180" s="22" t="s">
        <v>6963</v>
      </c>
      <c r="G2180" s="23" t="s">
        <v>90</v>
      </c>
      <c r="H2180" s="22" t="s">
        <v>91</v>
      </c>
      <c r="I2180" s="24" t="s">
        <v>10859</v>
      </c>
      <c r="J2180" s="22" t="s">
        <v>125</v>
      </c>
      <c r="K2180" s="22" t="s">
        <v>10849</v>
      </c>
      <c r="L2180" s="195" t="s">
        <v>10860</v>
      </c>
      <c r="M2180" s="44"/>
      <c r="N2180" s="44"/>
      <c r="O2180" s="44"/>
      <c r="P2180" s="44"/>
      <c r="Q2180" s="44"/>
      <c r="R2180" s="44"/>
      <c r="S2180" s="44"/>
      <c r="T2180" s="45"/>
      <c r="U2180" s="38" t="str">
        <f>HYPERLINK("https://www.ncbi.nlm.nih.gov/pubmed/29250710","PubMed")</f>
        <v>PubMed</v>
      </c>
      <c r="V2180" s="30"/>
      <c r="W2180" s="49"/>
      <c r="X2180" s="49"/>
      <c r="Y2180" s="35"/>
      <c r="Z2180" s="35"/>
      <c r="AA2180" s="35"/>
      <c r="AB2180" s="35"/>
      <c r="AC2180" s="35"/>
      <c r="AD2180" s="35"/>
      <c r="AE2180" s="35"/>
      <c r="AF2180" s="35"/>
      <c r="AG2180" s="35"/>
      <c r="AH2180" s="35"/>
      <c r="AI2180" s="35"/>
      <c r="AJ2180" s="35"/>
      <c r="AK2180" s="35"/>
      <c r="AL2180" s="35"/>
    </row>
    <row r="2181">
      <c r="A2181" s="133"/>
      <c r="B2181" s="19" t="s">
        <v>10848</v>
      </c>
      <c r="C2181" s="20" t="s">
        <v>10849</v>
      </c>
      <c r="D2181" s="47"/>
      <c r="E2181" s="22" t="s">
        <v>10861</v>
      </c>
      <c r="F2181" s="22" t="s">
        <v>1398</v>
      </c>
      <c r="G2181" s="23">
        <v>2003.0</v>
      </c>
      <c r="H2181" s="22" t="s">
        <v>7122</v>
      </c>
      <c r="I2181" s="24" t="s">
        <v>10862</v>
      </c>
      <c r="J2181" s="22" t="s">
        <v>10863</v>
      </c>
      <c r="K2181" s="22" t="s">
        <v>10864</v>
      </c>
      <c r="L2181" s="36" t="s">
        <v>3447</v>
      </c>
      <c r="M2181" s="166"/>
      <c r="N2181" s="166"/>
      <c r="O2181" s="166"/>
      <c r="P2181" s="166"/>
      <c r="Q2181" s="271"/>
      <c r="R2181" s="36">
        <v>180.0</v>
      </c>
      <c r="S2181" s="36" t="s">
        <v>10865</v>
      </c>
      <c r="T2181" s="54" t="s">
        <v>10866</v>
      </c>
      <c r="U2181" s="29" t="s">
        <v>61</v>
      </c>
      <c r="V2181" s="30" t="s">
        <v>10867</v>
      </c>
      <c r="W2181" s="49"/>
      <c r="X2181" s="49"/>
      <c r="Y2181" s="35"/>
      <c r="Z2181" s="35"/>
      <c r="AA2181" s="35"/>
      <c r="AB2181" s="35"/>
      <c r="AC2181" s="35"/>
      <c r="AD2181" s="35"/>
      <c r="AE2181" s="35"/>
      <c r="AF2181" s="35"/>
      <c r="AG2181" s="35"/>
      <c r="AH2181" s="35"/>
      <c r="AI2181" s="35"/>
      <c r="AJ2181" s="35"/>
      <c r="AK2181" s="35"/>
      <c r="AL2181" s="35"/>
    </row>
    <row r="2182">
      <c r="A2182" s="133"/>
      <c r="B2182" s="19" t="s">
        <v>10848</v>
      </c>
      <c r="C2182" s="20" t="s">
        <v>10849</v>
      </c>
      <c r="D2182" s="47"/>
      <c r="E2182" s="22" t="s">
        <v>10868</v>
      </c>
      <c r="F2182" s="22" t="s">
        <v>6963</v>
      </c>
      <c r="G2182" s="23">
        <v>2012.0</v>
      </c>
      <c r="H2182" s="22" t="s">
        <v>91</v>
      </c>
      <c r="I2182" s="24" t="s">
        <v>10869</v>
      </c>
      <c r="J2182" s="22" t="s">
        <v>44</v>
      </c>
      <c r="K2182" s="22" t="s">
        <v>10849</v>
      </c>
      <c r="L2182" s="36">
        <v>655.0</v>
      </c>
      <c r="M2182" s="36"/>
      <c r="N2182" s="36"/>
      <c r="O2182" s="36"/>
      <c r="P2182" s="37"/>
      <c r="Q2182" s="36"/>
      <c r="R2182" s="36">
        <v>20.0</v>
      </c>
      <c r="S2182" s="36">
        <v>18.0</v>
      </c>
      <c r="T2182" s="28" t="s">
        <v>10870</v>
      </c>
      <c r="U2182" s="38" t="str">
        <f>HYPERLINK("https://www.ncbi.nlm.nih.gov/pubmed/21739260","PubMed")</f>
        <v>PubMed</v>
      </c>
      <c r="V2182" s="30"/>
      <c r="W2182" s="49"/>
      <c r="X2182" s="49"/>
      <c r="Y2182" s="35"/>
      <c r="Z2182" s="35"/>
      <c r="AA2182" s="35"/>
      <c r="AB2182" s="35"/>
      <c r="AC2182" s="35"/>
      <c r="AD2182" s="35"/>
      <c r="AE2182" s="35"/>
      <c r="AF2182" s="35"/>
      <c r="AG2182" s="35"/>
      <c r="AH2182" s="35"/>
      <c r="AI2182" s="35"/>
      <c r="AJ2182" s="35"/>
      <c r="AK2182" s="35"/>
      <c r="AL2182" s="35"/>
    </row>
    <row r="2183">
      <c r="A2183" s="133"/>
      <c r="B2183" s="19" t="s">
        <v>10848</v>
      </c>
      <c r="C2183" s="20" t="s">
        <v>10871</v>
      </c>
      <c r="D2183" s="47"/>
      <c r="E2183" s="22" t="s">
        <v>10872</v>
      </c>
      <c r="F2183" s="22" t="s">
        <v>2795</v>
      </c>
      <c r="G2183" s="23">
        <v>2024.0</v>
      </c>
      <c r="H2183" s="22" t="s">
        <v>169</v>
      </c>
      <c r="I2183" s="24" t="s">
        <v>10873</v>
      </c>
      <c r="J2183" s="22" t="s">
        <v>649</v>
      </c>
      <c r="K2183" s="22"/>
      <c r="L2183" s="132" t="s">
        <v>10874</v>
      </c>
      <c r="U2183" s="38" t="s">
        <v>61</v>
      </c>
      <c r="V2183" s="30"/>
      <c r="W2183" s="49"/>
      <c r="X2183" s="49"/>
      <c r="Y2183" s="35"/>
      <c r="Z2183" s="35"/>
      <c r="AA2183" s="35"/>
      <c r="AB2183" s="35"/>
      <c r="AC2183" s="35"/>
      <c r="AD2183" s="35"/>
      <c r="AE2183" s="35"/>
      <c r="AF2183" s="35"/>
      <c r="AG2183" s="35"/>
      <c r="AH2183" s="35"/>
      <c r="AI2183" s="35"/>
      <c r="AJ2183" s="35"/>
      <c r="AK2183" s="35"/>
      <c r="AL2183" s="35"/>
    </row>
    <row r="2184">
      <c r="A2184" s="133"/>
      <c r="B2184" s="19" t="s">
        <v>10848</v>
      </c>
      <c r="C2184" s="20" t="s">
        <v>10871</v>
      </c>
      <c r="D2184" s="47"/>
      <c r="E2184" s="22" t="s">
        <v>7486</v>
      </c>
      <c r="F2184" s="22" t="s">
        <v>2445</v>
      </c>
      <c r="G2184" s="23">
        <v>2024.0</v>
      </c>
      <c r="H2184" s="22" t="s">
        <v>116</v>
      </c>
      <c r="I2184" s="24" t="s">
        <v>10875</v>
      </c>
      <c r="J2184" s="22" t="s">
        <v>8451</v>
      </c>
      <c r="K2184" s="22"/>
      <c r="L2184" s="196" t="s">
        <v>10876</v>
      </c>
      <c r="U2184" s="38" t="s">
        <v>61</v>
      </c>
      <c r="V2184" s="30"/>
      <c r="W2184" s="49"/>
      <c r="X2184" s="49"/>
      <c r="Y2184" s="35"/>
      <c r="Z2184" s="35"/>
      <c r="AA2184" s="35"/>
      <c r="AB2184" s="35"/>
      <c r="AC2184" s="35"/>
      <c r="AD2184" s="35"/>
      <c r="AE2184" s="35"/>
      <c r="AF2184" s="35"/>
      <c r="AG2184" s="35"/>
      <c r="AH2184" s="35"/>
      <c r="AI2184" s="35"/>
      <c r="AJ2184" s="35"/>
      <c r="AK2184" s="35"/>
      <c r="AL2184" s="35"/>
    </row>
    <row r="2185">
      <c r="A2185" s="133"/>
      <c r="B2185" s="19" t="s">
        <v>10848</v>
      </c>
      <c r="C2185" s="20" t="s">
        <v>10871</v>
      </c>
      <c r="D2185" s="47"/>
      <c r="E2185" s="22" t="s">
        <v>2187</v>
      </c>
      <c r="F2185" s="22" t="s">
        <v>2196</v>
      </c>
      <c r="G2185" s="23">
        <v>2024.0</v>
      </c>
      <c r="H2185" s="22" t="s">
        <v>116</v>
      </c>
      <c r="I2185" s="24" t="s">
        <v>10877</v>
      </c>
      <c r="J2185" s="22" t="s">
        <v>10878</v>
      </c>
      <c r="K2185" s="22" t="s">
        <v>10879</v>
      </c>
      <c r="L2185" s="52">
        <v>640.0</v>
      </c>
      <c r="M2185" s="52"/>
      <c r="N2185" s="52"/>
      <c r="O2185" s="52"/>
      <c r="P2185" s="189" t="s">
        <v>254</v>
      </c>
      <c r="Q2185" s="52"/>
      <c r="R2185" s="52"/>
      <c r="S2185" s="52"/>
      <c r="T2185" s="28" t="s">
        <v>10880</v>
      </c>
      <c r="U2185" s="38" t="s">
        <v>61</v>
      </c>
      <c r="V2185" s="30"/>
      <c r="W2185" s="49"/>
      <c r="X2185" s="49"/>
      <c r="Y2185" s="35"/>
      <c r="Z2185" s="35"/>
      <c r="AA2185" s="35"/>
      <c r="AB2185" s="35"/>
      <c r="AC2185" s="35"/>
      <c r="AD2185" s="35"/>
      <c r="AE2185" s="35"/>
      <c r="AF2185" s="35"/>
      <c r="AG2185" s="35"/>
      <c r="AH2185" s="35"/>
      <c r="AI2185" s="35"/>
      <c r="AJ2185" s="35"/>
      <c r="AK2185" s="35"/>
      <c r="AL2185" s="35"/>
    </row>
    <row r="2186">
      <c r="A2186" s="133"/>
      <c r="B2186" s="19" t="s">
        <v>10848</v>
      </c>
      <c r="C2186" s="20" t="s">
        <v>10871</v>
      </c>
      <c r="D2186" s="47"/>
      <c r="E2186" s="22" t="s">
        <v>6362</v>
      </c>
      <c r="F2186" s="22" t="s">
        <v>2214</v>
      </c>
      <c r="G2186" s="23">
        <v>2024.0</v>
      </c>
      <c r="H2186" s="22" t="s">
        <v>6948</v>
      </c>
      <c r="I2186" s="24" t="s">
        <v>10881</v>
      </c>
      <c r="J2186" s="22" t="s">
        <v>10882</v>
      </c>
      <c r="K2186" s="22"/>
      <c r="L2186" s="52">
        <v>1064.0</v>
      </c>
      <c r="M2186" s="52"/>
      <c r="N2186" s="52"/>
      <c r="O2186" s="52"/>
      <c r="P2186" s="189"/>
      <c r="Q2186" s="52"/>
      <c r="R2186" s="52"/>
      <c r="S2186" s="52" t="s">
        <v>7207</v>
      </c>
      <c r="T2186" s="42" t="s">
        <v>10883</v>
      </c>
      <c r="U2186" s="38" t="s">
        <v>61</v>
      </c>
      <c r="V2186" s="30"/>
      <c r="W2186" s="49"/>
      <c r="X2186" s="49"/>
      <c r="Y2186" s="35"/>
      <c r="Z2186" s="35"/>
      <c r="AA2186" s="35"/>
      <c r="AB2186" s="35"/>
      <c r="AC2186" s="35"/>
      <c r="AD2186" s="35"/>
      <c r="AE2186" s="35"/>
      <c r="AF2186" s="35"/>
      <c r="AG2186" s="35"/>
      <c r="AH2186" s="35"/>
      <c r="AI2186" s="35"/>
      <c r="AJ2186" s="35"/>
      <c r="AK2186" s="35"/>
      <c r="AL2186" s="35"/>
    </row>
    <row r="2187">
      <c r="A2187" s="133"/>
      <c r="B2187" s="19" t="s">
        <v>10848</v>
      </c>
      <c r="C2187" s="20" t="s">
        <v>10871</v>
      </c>
      <c r="D2187" s="47"/>
      <c r="E2187" s="22" t="s">
        <v>2338</v>
      </c>
      <c r="F2187" s="22" t="s">
        <v>217</v>
      </c>
      <c r="G2187" s="23">
        <v>2024.0</v>
      </c>
      <c r="H2187" s="22" t="s">
        <v>1485</v>
      </c>
      <c r="I2187" s="24" t="s">
        <v>10884</v>
      </c>
      <c r="J2187" s="22" t="s">
        <v>10885</v>
      </c>
      <c r="K2187" s="22"/>
      <c r="L2187" s="52">
        <v>655.0</v>
      </c>
      <c r="M2187" s="52"/>
      <c r="N2187" s="52"/>
      <c r="O2187" s="52"/>
      <c r="P2187" s="189"/>
      <c r="Q2187" s="52"/>
      <c r="R2187" s="52"/>
      <c r="S2187" s="52"/>
      <c r="T2187" s="42" t="s">
        <v>10886</v>
      </c>
      <c r="U2187" s="38" t="s">
        <v>61</v>
      </c>
      <c r="V2187" s="30" t="s">
        <v>10887</v>
      </c>
      <c r="W2187" s="49"/>
      <c r="X2187" s="49"/>
      <c r="Y2187" s="35"/>
      <c r="Z2187" s="35"/>
      <c r="AA2187" s="35"/>
      <c r="AB2187" s="35"/>
      <c r="AC2187" s="35"/>
      <c r="AD2187" s="35"/>
      <c r="AE2187" s="35"/>
      <c r="AF2187" s="35"/>
      <c r="AG2187" s="35"/>
      <c r="AH2187" s="35"/>
      <c r="AI2187" s="35"/>
      <c r="AJ2187" s="35"/>
      <c r="AK2187" s="35"/>
      <c r="AL2187" s="35"/>
    </row>
    <row r="2188">
      <c r="A2188" s="133"/>
      <c r="B2188" s="19" t="s">
        <v>10848</v>
      </c>
      <c r="C2188" s="20" t="s">
        <v>10871</v>
      </c>
      <c r="D2188" s="47"/>
      <c r="E2188" s="22" t="s">
        <v>10888</v>
      </c>
      <c r="F2188" s="22" t="s">
        <v>10377</v>
      </c>
      <c r="G2188" s="23">
        <v>2023.0</v>
      </c>
      <c r="H2188" s="22" t="s">
        <v>169</v>
      </c>
      <c r="I2188" s="24" t="s">
        <v>10889</v>
      </c>
      <c r="J2188" s="22" t="s">
        <v>8446</v>
      </c>
      <c r="K2188" s="22"/>
      <c r="L2188" s="197"/>
      <c r="M2188" s="197"/>
      <c r="N2188" s="197"/>
      <c r="O2188" s="197"/>
      <c r="P2188" s="198"/>
      <c r="Q2188" s="197"/>
      <c r="R2188" s="197"/>
      <c r="S2188" s="197"/>
      <c r="T2188" s="185" t="s">
        <v>10890</v>
      </c>
      <c r="U2188" s="38" t="s">
        <v>61</v>
      </c>
      <c r="V2188" s="30"/>
      <c r="W2188" s="49"/>
      <c r="X2188" s="49"/>
      <c r="Y2188" s="35"/>
      <c r="Z2188" s="35"/>
      <c r="AA2188" s="35"/>
      <c r="AB2188" s="35"/>
      <c r="AC2188" s="35"/>
      <c r="AD2188" s="35"/>
      <c r="AE2188" s="35"/>
      <c r="AF2188" s="35"/>
      <c r="AG2188" s="35"/>
      <c r="AH2188" s="35"/>
      <c r="AI2188" s="35"/>
      <c r="AJ2188" s="35"/>
      <c r="AK2188" s="35"/>
      <c r="AL2188" s="35"/>
    </row>
    <row r="2189">
      <c r="A2189" s="133"/>
      <c r="B2189" s="19" t="s">
        <v>10848</v>
      </c>
      <c r="C2189" s="20" t="s">
        <v>10871</v>
      </c>
      <c r="D2189" s="47"/>
      <c r="E2189" s="22" t="s">
        <v>10891</v>
      </c>
      <c r="F2189" s="22" t="s">
        <v>2214</v>
      </c>
      <c r="G2189" s="23">
        <v>2023.0</v>
      </c>
      <c r="H2189" s="22" t="s">
        <v>8660</v>
      </c>
      <c r="I2189" s="24" t="s">
        <v>10892</v>
      </c>
      <c r="J2189" s="22" t="s">
        <v>125</v>
      </c>
      <c r="K2189" s="22"/>
      <c r="L2189" s="132" t="s">
        <v>10893</v>
      </c>
      <c r="U2189" s="38" t="s">
        <v>61</v>
      </c>
      <c r="V2189" s="30"/>
      <c r="W2189" s="49"/>
      <c r="X2189" s="49"/>
      <c r="Y2189" s="35"/>
      <c r="Z2189" s="35"/>
      <c r="AA2189" s="35"/>
      <c r="AB2189" s="35"/>
      <c r="AC2189" s="35"/>
      <c r="AD2189" s="35"/>
      <c r="AE2189" s="35"/>
      <c r="AF2189" s="35"/>
      <c r="AG2189" s="35"/>
      <c r="AH2189" s="35"/>
      <c r="AI2189" s="35"/>
      <c r="AJ2189" s="35"/>
      <c r="AK2189" s="35"/>
      <c r="AL2189" s="35"/>
    </row>
    <row r="2190">
      <c r="A2190" s="133"/>
      <c r="B2190" s="19" t="s">
        <v>10848</v>
      </c>
      <c r="C2190" s="20" t="s">
        <v>10871</v>
      </c>
      <c r="D2190" s="47"/>
      <c r="E2190" s="22" t="s">
        <v>1080</v>
      </c>
      <c r="F2190" s="22" t="s">
        <v>299</v>
      </c>
      <c r="G2190" s="23">
        <v>2023.0</v>
      </c>
      <c r="H2190" s="22" t="s">
        <v>7194</v>
      </c>
      <c r="I2190" s="24" t="s">
        <v>10894</v>
      </c>
      <c r="J2190" s="22" t="s">
        <v>10895</v>
      </c>
      <c r="K2190" s="22" t="s">
        <v>9631</v>
      </c>
      <c r="L2190" s="52" t="s">
        <v>10896</v>
      </c>
      <c r="M2190" s="52"/>
      <c r="N2190" s="52" t="s">
        <v>5789</v>
      </c>
      <c r="O2190" s="52"/>
      <c r="P2190" s="189"/>
      <c r="Q2190" s="52"/>
      <c r="R2190" s="52"/>
      <c r="S2190" s="52"/>
      <c r="T2190" s="28" t="s">
        <v>10897</v>
      </c>
      <c r="U2190" s="38" t="s">
        <v>61</v>
      </c>
      <c r="V2190" s="30"/>
      <c r="W2190" s="49"/>
      <c r="X2190" s="49"/>
      <c r="Y2190" s="35"/>
      <c r="Z2190" s="35"/>
      <c r="AA2190" s="35"/>
      <c r="AB2190" s="35"/>
      <c r="AC2190" s="35"/>
      <c r="AD2190" s="35"/>
      <c r="AE2190" s="35"/>
      <c r="AF2190" s="35"/>
      <c r="AG2190" s="35"/>
      <c r="AH2190" s="35"/>
      <c r="AI2190" s="35"/>
      <c r="AJ2190" s="35"/>
      <c r="AK2190" s="35"/>
      <c r="AL2190" s="35"/>
    </row>
    <row r="2191">
      <c r="A2191" s="133"/>
      <c r="B2191" s="19" t="s">
        <v>10848</v>
      </c>
      <c r="C2191" s="20" t="s">
        <v>10871</v>
      </c>
      <c r="D2191" s="47"/>
      <c r="E2191" s="22" t="s">
        <v>10898</v>
      </c>
      <c r="F2191" s="22" t="s">
        <v>10899</v>
      </c>
      <c r="G2191" s="23">
        <v>2023.0</v>
      </c>
      <c r="H2191" s="22" t="s">
        <v>2375</v>
      </c>
      <c r="I2191" s="24" t="s">
        <v>10900</v>
      </c>
      <c r="J2191" s="22" t="s">
        <v>125</v>
      </c>
      <c r="K2191" s="22"/>
      <c r="L2191" s="53" t="s">
        <v>10901</v>
      </c>
      <c r="U2191" s="38" t="s">
        <v>61</v>
      </c>
      <c r="V2191" s="30"/>
      <c r="W2191" s="49"/>
      <c r="X2191" s="49"/>
      <c r="Y2191" s="35"/>
      <c r="Z2191" s="35"/>
      <c r="AA2191" s="35"/>
      <c r="AB2191" s="35"/>
      <c r="AC2191" s="35"/>
      <c r="AD2191" s="35"/>
      <c r="AE2191" s="35"/>
      <c r="AF2191" s="35"/>
      <c r="AG2191" s="35"/>
      <c r="AH2191" s="35"/>
      <c r="AI2191" s="35"/>
      <c r="AJ2191" s="35"/>
      <c r="AK2191" s="35"/>
      <c r="AL2191" s="35"/>
    </row>
    <row r="2192">
      <c r="A2192" s="133"/>
      <c r="B2192" s="19" t="s">
        <v>10848</v>
      </c>
      <c r="C2192" s="20" t="s">
        <v>10871</v>
      </c>
      <c r="D2192" s="47"/>
      <c r="E2192" s="22" t="s">
        <v>10902</v>
      </c>
      <c r="F2192" s="22" t="s">
        <v>6963</v>
      </c>
      <c r="G2192" s="23">
        <v>2023.0</v>
      </c>
      <c r="H2192" s="22" t="s">
        <v>7083</v>
      </c>
      <c r="I2192" s="24" t="s">
        <v>10903</v>
      </c>
      <c r="J2192" s="22" t="s">
        <v>125</v>
      </c>
      <c r="K2192" s="22"/>
      <c r="L2192" s="173" t="s">
        <v>10904</v>
      </c>
      <c r="U2192" s="38" t="s">
        <v>61</v>
      </c>
      <c r="V2192" s="30"/>
      <c r="W2192" s="49"/>
      <c r="X2192" s="49"/>
      <c r="Y2192" s="35"/>
      <c r="Z2192" s="35"/>
      <c r="AA2192" s="35"/>
      <c r="AB2192" s="35"/>
      <c r="AC2192" s="35"/>
      <c r="AD2192" s="35"/>
      <c r="AE2192" s="35"/>
      <c r="AF2192" s="35"/>
      <c r="AG2192" s="35"/>
      <c r="AH2192" s="35"/>
      <c r="AI2192" s="35"/>
      <c r="AJ2192" s="35"/>
      <c r="AK2192" s="35"/>
      <c r="AL2192" s="35"/>
    </row>
    <row r="2193">
      <c r="A2193" s="133"/>
      <c r="B2193" s="19" t="s">
        <v>10848</v>
      </c>
      <c r="C2193" s="20" t="s">
        <v>10871</v>
      </c>
      <c r="D2193" s="47"/>
      <c r="E2193" s="22" t="s">
        <v>10905</v>
      </c>
      <c r="F2193" s="22" t="s">
        <v>10906</v>
      </c>
      <c r="G2193" s="23">
        <v>2023.0</v>
      </c>
      <c r="H2193" s="22" t="s">
        <v>10907</v>
      </c>
      <c r="I2193" s="24" t="s">
        <v>10908</v>
      </c>
      <c r="J2193" s="22" t="s">
        <v>10909</v>
      </c>
      <c r="K2193" s="22" t="s">
        <v>10910</v>
      </c>
      <c r="L2193" s="36">
        <v>655.0</v>
      </c>
      <c r="M2193" s="36"/>
      <c r="N2193" s="36"/>
      <c r="O2193" s="36"/>
      <c r="P2193" s="37"/>
      <c r="Q2193" s="36"/>
      <c r="R2193" s="36">
        <v>660.0</v>
      </c>
      <c r="S2193" s="36" t="s">
        <v>8494</v>
      </c>
      <c r="T2193" s="103" t="s">
        <v>10911</v>
      </c>
      <c r="U2193" s="38" t="s">
        <v>61</v>
      </c>
      <c r="V2193" s="30" t="s">
        <v>10912</v>
      </c>
      <c r="W2193" s="49"/>
      <c r="X2193" s="49"/>
      <c r="Y2193" s="35"/>
      <c r="Z2193" s="35"/>
      <c r="AA2193" s="35"/>
      <c r="AB2193" s="35"/>
      <c r="AC2193" s="35"/>
      <c r="AD2193" s="35"/>
      <c r="AE2193" s="35"/>
      <c r="AF2193" s="35"/>
      <c r="AG2193" s="35"/>
      <c r="AH2193" s="35"/>
      <c r="AI2193" s="35"/>
      <c r="AJ2193" s="35"/>
      <c r="AK2193" s="35"/>
      <c r="AL2193" s="35"/>
    </row>
    <row r="2194">
      <c r="A2194" s="133"/>
      <c r="B2194" s="19" t="s">
        <v>10848</v>
      </c>
      <c r="C2194" s="20" t="s">
        <v>10871</v>
      </c>
      <c r="D2194" s="47"/>
      <c r="E2194" s="22" t="s">
        <v>8364</v>
      </c>
      <c r="F2194" s="22" t="s">
        <v>10913</v>
      </c>
      <c r="G2194" s="23">
        <v>2023.0</v>
      </c>
      <c r="H2194" s="22" t="s">
        <v>77</v>
      </c>
      <c r="I2194" s="24" t="s">
        <v>10914</v>
      </c>
      <c r="J2194" s="22" t="s">
        <v>10915</v>
      </c>
      <c r="K2194" s="22"/>
      <c r="L2194" s="36">
        <v>675.0</v>
      </c>
      <c r="M2194" s="36"/>
      <c r="N2194" s="36"/>
      <c r="O2194" s="36"/>
      <c r="P2194" s="37"/>
      <c r="Q2194" s="36"/>
      <c r="R2194" s="36">
        <v>1200.0</v>
      </c>
      <c r="S2194" s="36">
        <v>10.0</v>
      </c>
      <c r="T2194" s="54" t="s">
        <v>10916</v>
      </c>
      <c r="U2194" s="38" t="s">
        <v>61</v>
      </c>
      <c r="V2194" s="30"/>
      <c r="W2194" s="49"/>
      <c r="X2194" s="49"/>
      <c r="Y2194" s="35"/>
      <c r="Z2194" s="35"/>
      <c r="AA2194" s="35"/>
      <c r="AB2194" s="35"/>
      <c r="AC2194" s="35"/>
      <c r="AD2194" s="35"/>
      <c r="AE2194" s="35"/>
      <c r="AF2194" s="35"/>
      <c r="AG2194" s="35"/>
      <c r="AH2194" s="35"/>
      <c r="AI2194" s="35"/>
      <c r="AJ2194" s="35"/>
      <c r="AK2194" s="35"/>
      <c r="AL2194" s="35"/>
    </row>
    <row r="2195">
      <c r="A2195" s="133"/>
      <c r="B2195" s="19" t="s">
        <v>10848</v>
      </c>
      <c r="C2195" s="20" t="s">
        <v>10871</v>
      </c>
      <c r="D2195" s="47"/>
      <c r="E2195" s="22" t="s">
        <v>10902</v>
      </c>
      <c r="F2195" s="22" t="s">
        <v>6963</v>
      </c>
      <c r="G2195" s="23">
        <v>2023.0</v>
      </c>
      <c r="H2195" s="22" t="s">
        <v>10917</v>
      </c>
      <c r="I2195" s="24" t="s">
        <v>10918</v>
      </c>
      <c r="J2195" s="22" t="s">
        <v>125</v>
      </c>
      <c r="K2195" s="22"/>
      <c r="L2195" s="105" t="s">
        <v>10919</v>
      </c>
      <c r="M2195" s="44"/>
      <c r="N2195" s="44"/>
      <c r="O2195" s="44"/>
      <c r="P2195" s="44"/>
      <c r="Q2195" s="44"/>
      <c r="R2195" s="44"/>
      <c r="S2195" s="44"/>
      <c r="T2195" s="45"/>
      <c r="U2195" s="38" t="s">
        <v>61</v>
      </c>
      <c r="V2195" s="30"/>
      <c r="W2195" s="49"/>
      <c r="X2195" s="49"/>
      <c r="Y2195" s="35"/>
      <c r="Z2195" s="35"/>
      <c r="AA2195" s="35"/>
      <c r="AB2195" s="35"/>
      <c r="AC2195" s="35"/>
      <c r="AD2195" s="35"/>
      <c r="AE2195" s="35"/>
      <c r="AF2195" s="35"/>
      <c r="AG2195" s="35"/>
      <c r="AH2195" s="35"/>
      <c r="AI2195" s="35"/>
      <c r="AJ2195" s="35"/>
      <c r="AK2195" s="35"/>
      <c r="AL2195" s="35"/>
    </row>
    <row r="2196">
      <c r="A2196" s="133"/>
      <c r="B2196" s="19" t="s">
        <v>10848</v>
      </c>
      <c r="C2196" s="20" t="s">
        <v>10871</v>
      </c>
      <c r="D2196" s="47"/>
      <c r="E2196" s="22" t="s">
        <v>10920</v>
      </c>
      <c r="F2196" s="22" t="s">
        <v>10921</v>
      </c>
      <c r="G2196" s="23">
        <v>2023.0</v>
      </c>
      <c r="H2196" s="22" t="s">
        <v>5348</v>
      </c>
      <c r="I2196" s="24" t="s">
        <v>10922</v>
      </c>
      <c r="J2196" s="22" t="s">
        <v>10923</v>
      </c>
      <c r="K2196" s="22"/>
      <c r="L2196" s="105" t="s">
        <v>10924</v>
      </c>
      <c r="M2196" s="44"/>
      <c r="N2196" s="44"/>
      <c r="O2196" s="44"/>
      <c r="P2196" s="44"/>
      <c r="Q2196" s="44"/>
      <c r="R2196" s="44"/>
      <c r="S2196" s="44"/>
      <c r="T2196" s="45"/>
      <c r="U2196" s="38" t="s">
        <v>61</v>
      </c>
      <c r="V2196" s="30"/>
      <c r="W2196" s="49"/>
      <c r="X2196" s="49"/>
      <c r="Y2196" s="35"/>
      <c r="Z2196" s="35"/>
      <c r="AA2196" s="35"/>
      <c r="AB2196" s="35"/>
      <c r="AC2196" s="35"/>
      <c r="AD2196" s="35"/>
      <c r="AE2196" s="35"/>
      <c r="AF2196" s="35"/>
      <c r="AG2196" s="35"/>
      <c r="AH2196" s="35"/>
      <c r="AI2196" s="35"/>
      <c r="AJ2196" s="35"/>
      <c r="AK2196" s="35"/>
      <c r="AL2196" s="35"/>
    </row>
    <row r="2197">
      <c r="A2197" s="55" t="s">
        <v>181</v>
      </c>
      <c r="B2197" s="19" t="s">
        <v>10848</v>
      </c>
      <c r="C2197" s="20" t="s">
        <v>10871</v>
      </c>
      <c r="D2197" s="47"/>
      <c r="E2197" s="22" t="s">
        <v>10925</v>
      </c>
      <c r="F2197" s="22" t="s">
        <v>1905</v>
      </c>
      <c r="G2197" s="23">
        <v>2022.0</v>
      </c>
      <c r="H2197" s="22" t="s">
        <v>116</v>
      </c>
      <c r="I2197" s="24" t="s">
        <v>10926</v>
      </c>
      <c r="J2197" s="22" t="s">
        <v>10927</v>
      </c>
      <c r="K2197" s="22" t="s">
        <v>10928</v>
      </c>
      <c r="L2197" s="36" t="s">
        <v>6257</v>
      </c>
      <c r="M2197" s="36"/>
      <c r="N2197" s="36"/>
      <c r="O2197" s="36"/>
      <c r="P2197" s="37" t="s">
        <v>10929</v>
      </c>
      <c r="Q2197" s="36"/>
      <c r="R2197" s="36">
        <v>900.0</v>
      </c>
      <c r="S2197" s="36" t="s">
        <v>10930</v>
      </c>
      <c r="T2197" s="54" t="s">
        <v>10931</v>
      </c>
      <c r="U2197" s="38" t="s">
        <v>61</v>
      </c>
      <c r="V2197" s="30" t="s">
        <v>10932</v>
      </c>
      <c r="W2197" s="49"/>
      <c r="X2197" s="49"/>
      <c r="Y2197" s="35"/>
      <c r="Z2197" s="35"/>
      <c r="AA2197" s="35"/>
      <c r="AB2197" s="35"/>
      <c r="AC2197" s="35"/>
      <c r="AD2197" s="35"/>
      <c r="AE2197" s="35"/>
      <c r="AF2197" s="35"/>
      <c r="AG2197" s="35"/>
      <c r="AH2197" s="35"/>
      <c r="AI2197" s="35"/>
      <c r="AJ2197" s="35"/>
      <c r="AK2197" s="35"/>
      <c r="AL2197" s="35"/>
    </row>
    <row r="2198">
      <c r="A2198" s="133"/>
      <c r="B2198" s="19" t="s">
        <v>10848</v>
      </c>
      <c r="C2198" s="20" t="s">
        <v>10871</v>
      </c>
      <c r="D2198" s="47"/>
      <c r="E2198" s="22" t="s">
        <v>10933</v>
      </c>
      <c r="F2198" s="22" t="s">
        <v>41</v>
      </c>
      <c r="G2198" s="23">
        <v>2022.0</v>
      </c>
      <c r="H2198" s="22" t="s">
        <v>77</v>
      </c>
      <c r="I2198" s="24" t="s">
        <v>10934</v>
      </c>
      <c r="J2198" s="22" t="s">
        <v>10935</v>
      </c>
      <c r="K2198" s="22"/>
      <c r="L2198" s="36">
        <v>660.0</v>
      </c>
      <c r="M2198" s="36">
        <v>100.0</v>
      </c>
      <c r="N2198" s="36"/>
      <c r="O2198" s="36" t="s">
        <v>10936</v>
      </c>
      <c r="P2198" s="37"/>
      <c r="Q2198" s="36"/>
      <c r="R2198" s="36" t="s">
        <v>10937</v>
      </c>
      <c r="S2198" s="36" t="s">
        <v>8311</v>
      </c>
      <c r="T2198" s="54" t="s">
        <v>10938</v>
      </c>
      <c r="U2198" s="29" t="s">
        <v>61</v>
      </c>
      <c r="V2198" s="30"/>
      <c r="W2198" s="49"/>
      <c r="X2198" s="49"/>
      <c r="Y2198" s="35"/>
      <c r="Z2198" s="35"/>
      <c r="AA2198" s="35"/>
      <c r="AB2198" s="35"/>
      <c r="AC2198" s="35"/>
      <c r="AD2198" s="35"/>
      <c r="AE2198" s="35"/>
      <c r="AF2198" s="35"/>
      <c r="AG2198" s="35"/>
      <c r="AH2198" s="35"/>
      <c r="AI2198" s="35"/>
      <c r="AJ2198" s="35"/>
      <c r="AK2198" s="35"/>
      <c r="AL2198" s="35"/>
    </row>
    <row r="2199">
      <c r="A2199" s="133"/>
      <c r="B2199" s="19" t="s">
        <v>10848</v>
      </c>
      <c r="C2199" s="20" t="s">
        <v>10871</v>
      </c>
      <c r="D2199" s="47"/>
      <c r="E2199" s="22" t="s">
        <v>2316</v>
      </c>
      <c r="F2199" s="22" t="s">
        <v>2437</v>
      </c>
      <c r="G2199" s="23">
        <v>2022.0</v>
      </c>
      <c r="H2199" s="22" t="s">
        <v>5489</v>
      </c>
      <c r="I2199" s="24" t="s">
        <v>10939</v>
      </c>
      <c r="J2199" s="22" t="s">
        <v>649</v>
      </c>
      <c r="K2199" s="22"/>
      <c r="L2199" s="105" t="s">
        <v>10940</v>
      </c>
      <c r="M2199" s="44"/>
      <c r="N2199" s="44"/>
      <c r="O2199" s="44"/>
      <c r="P2199" s="44"/>
      <c r="Q2199" s="44"/>
      <c r="R2199" s="44"/>
      <c r="S2199" s="44"/>
      <c r="T2199" s="45"/>
      <c r="U2199" s="29" t="s">
        <v>61</v>
      </c>
      <c r="V2199" s="30"/>
      <c r="W2199" s="49"/>
      <c r="X2199" s="49"/>
      <c r="Y2199" s="35"/>
      <c r="Z2199" s="35"/>
      <c r="AA2199" s="35"/>
      <c r="AB2199" s="35"/>
      <c r="AC2199" s="35"/>
      <c r="AD2199" s="35"/>
      <c r="AE2199" s="35"/>
      <c r="AF2199" s="35"/>
      <c r="AG2199" s="35"/>
      <c r="AH2199" s="35"/>
      <c r="AI2199" s="35"/>
      <c r="AJ2199" s="35"/>
      <c r="AK2199" s="35"/>
      <c r="AL2199" s="35"/>
    </row>
    <row r="2200">
      <c r="A2200" s="133"/>
      <c r="B2200" s="19" t="s">
        <v>10848</v>
      </c>
      <c r="C2200" s="20" t="s">
        <v>10871</v>
      </c>
      <c r="D2200" s="47"/>
      <c r="E2200" s="22" t="s">
        <v>10941</v>
      </c>
      <c r="F2200" s="22" t="s">
        <v>10942</v>
      </c>
      <c r="G2200" s="23">
        <v>2021.0</v>
      </c>
      <c r="H2200" s="22" t="s">
        <v>8571</v>
      </c>
      <c r="I2200" s="24" t="s">
        <v>10943</v>
      </c>
      <c r="J2200" s="22" t="s">
        <v>125</v>
      </c>
      <c r="K2200" s="22"/>
      <c r="L2200" s="105" t="s">
        <v>10944</v>
      </c>
      <c r="M2200" s="44"/>
      <c r="N2200" s="44"/>
      <c r="O2200" s="44"/>
      <c r="P2200" s="44"/>
      <c r="Q2200" s="44"/>
      <c r="R2200" s="44"/>
      <c r="S2200" s="44"/>
      <c r="T2200" s="45"/>
      <c r="U2200" s="29" t="s">
        <v>61</v>
      </c>
      <c r="V2200" s="30"/>
      <c r="W2200" s="49"/>
      <c r="X2200" s="49"/>
      <c r="Y2200" s="35"/>
      <c r="Z2200" s="35"/>
      <c r="AA2200" s="35"/>
      <c r="AB2200" s="35"/>
      <c r="AC2200" s="35"/>
      <c r="AD2200" s="35"/>
      <c r="AE2200" s="35"/>
      <c r="AF2200" s="35"/>
      <c r="AG2200" s="35"/>
      <c r="AH2200" s="35"/>
      <c r="AI2200" s="35"/>
      <c r="AJ2200" s="35"/>
      <c r="AK2200" s="35"/>
      <c r="AL2200" s="35"/>
    </row>
    <row r="2201">
      <c r="A2201" s="133"/>
      <c r="B2201" s="19" t="s">
        <v>10848</v>
      </c>
      <c r="C2201" s="20" t="s">
        <v>10871</v>
      </c>
      <c r="D2201" s="47"/>
      <c r="E2201" s="22" t="s">
        <v>10002</v>
      </c>
      <c r="F2201" s="22" t="s">
        <v>65</v>
      </c>
      <c r="G2201" s="23">
        <v>2022.0</v>
      </c>
      <c r="H2201" s="22" t="s">
        <v>91</v>
      </c>
      <c r="I2201" s="24" t="s">
        <v>10945</v>
      </c>
      <c r="J2201" s="22" t="s">
        <v>10946</v>
      </c>
      <c r="K2201" s="22"/>
      <c r="L2201" s="36">
        <v>650.0</v>
      </c>
      <c r="M2201" s="36" t="s">
        <v>10947</v>
      </c>
      <c r="N2201" s="36"/>
      <c r="O2201" s="36"/>
      <c r="P2201" s="37"/>
      <c r="Q2201" s="36"/>
      <c r="R2201" s="36"/>
      <c r="S2201" s="36" t="s">
        <v>10948</v>
      </c>
      <c r="T2201" s="28" t="s">
        <v>10949</v>
      </c>
      <c r="U2201" s="29" t="s">
        <v>61</v>
      </c>
      <c r="V2201" s="30" t="s">
        <v>10950</v>
      </c>
      <c r="W2201" s="49"/>
      <c r="X2201" s="49"/>
      <c r="Y2201" s="35"/>
      <c r="Z2201" s="35"/>
      <c r="AA2201" s="35"/>
      <c r="AB2201" s="35"/>
      <c r="AC2201" s="35"/>
      <c r="AD2201" s="35"/>
      <c r="AE2201" s="35"/>
      <c r="AF2201" s="35"/>
      <c r="AG2201" s="35"/>
      <c r="AH2201" s="35"/>
      <c r="AI2201" s="35"/>
      <c r="AJ2201" s="35"/>
      <c r="AK2201" s="35"/>
      <c r="AL2201" s="35"/>
    </row>
    <row r="2202">
      <c r="A2202" s="133"/>
      <c r="B2202" s="19" t="s">
        <v>10848</v>
      </c>
      <c r="C2202" s="20" t="s">
        <v>10871</v>
      </c>
      <c r="D2202" s="47"/>
      <c r="E2202" s="22" t="s">
        <v>10951</v>
      </c>
      <c r="F2202" s="22" t="s">
        <v>4448</v>
      </c>
      <c r="G2202" s="23">
        <v>2022.0</v>
      </c>
      <c r="H2202" s="22" t="s">
        <v>8390</v>
      </c>
      <c r="I2202" s="24" t="s">
        <v>10952</v>
      </c>
      <c r="J2202" s="22" t="s">
        <v>125</v>
      </c>
      <c r="K2202" s="22"/>
      <c r="L2202" s="105" t="s">
        <v>10953</v>
      </c>
      <c r="M2202" s="44"/>
      <c r="N2202" s="44"/>
      <c r="O2202" s="44"/>
      <c r="P2202" s="44"/>
      <c r="Q2202" s="44"/>
      <c r="R2202" s="44"/>
      <c r="S2202" s="44"/>
      <c r="T2202" s="45"/>
      <c r="U2202" s="29" t="s">
        <v>61</v>
      </c>
      <c r="V2202" s="30"/>
      <c r="W2202" s="49"/>
      <c r="X2202" s="49"/>
      <c r="Y2202" s="35"/>
      <c r="Z2202" s="35"/>
      <c r="AA2202" s="35"/>
      <c r="AB2202" s="35"/>
      <c r="AC2202" s="35"/>
      <c r="AD2202" s="35"/>
      <c r="AE2202" s="35"/>
      <c r="AF2202" s="35"/>
      <c r="AG2202" s="35"/>
      <c r="AH2202" s="35"/>
      <c r="AI2202" s="35"/>
      <c r="AJ2202" s="35"/>
      <c r="AK2202" s="35"/>
      <c r="AL2202" s="35"/>
    </row>
    <row r="2203">
      <c r="A2203" s="133"/>
      <c r="B2203" s="19" t="s">
        <v>10848</v>
      </c>
      <c r="C2203" s="20" t="s">
        <v>10871</v>
      </c>
      <c r="D2203" s="47"/>
      <c r="E2203" s="22" t="s">
        <v>10954</v>
      </c>
      <c r="F2203" s="22" t="s">
        <v>10955</v>
      </c>
      <c r="G2203" s="23">
        <v>2021.0</v>
      </c>
      <c r="H2203" s="22" t="s">
        <v>6948</v>
      </c>
      <c r="I2203" s="24" t="s">
        <v>10956</v>
      </c>
      <c r="J2203" s="22" t="s">
        <v>1078</v>
      </c>
      <c r="K2203" s="22"/>
      <c r="L2203" s="105" t="s">
        <v>10957</v>
      </c>
      <c r="M2203" s="44"/>
      <c r="N2203" s="44"/>
      <c r="O2203" s="44"/>
      <c r="P2203" s="44"/>
      <c r="Q2203" s="44"/>
      <c r="R2203" s="44"/>
      <c r="S2203" s="44"/>
      <c r="T2203" s="45"/>
      <c r="U2203" s="29" t="s">
        <v>61</v>
      </c>
      <c r="V2203" s="30"/>
      <c r="W2203" s="49"/>
      <c r="X2203" s="49"/>
      <c r="Y2203" s="35"/>
      <c r="Z2203" s="35"/>
      <c r="AA2203" s="35"/>
      <c r="AB2203" s="35"/>
      <c r="AC2203" s="35"/>
      <c r="AD2203" s="35"/>
      <c r="AE2203" s="35"/>
      <c r="AF2203" s="35"/>
      <c r="AG2203" s="35"/>
      <c r="AH2203" s="35"/>
      <c r="AI2203" s="35"/>
      <c r="AJ2203" s="35"/>
      <c r="AK2203" s="35"/>
      <c r="AL2203" s="35"/>
    </row>
    <row r="2204">
      <c r="A2204" s="133"/>
      <c r="B2204" s="19" t="s">
        <v>10848</v>
      </c>
      <c r="C2204" s="20" t="s">
        <v>10871</v>
      </c>
      <c r="D2204" s="47"/>
      <c r="E2204" s="22" t="s">
        <v>6962</v>
      </c>
      <c r="F2204" s="22" t="s">
        <v>10958</v>
      </c>
      <c r="G2204" s="23">
        <v>2021.0</v>
      </c>
      <c r="H2204" s="22" t="s">
        <v>116</v>
      </c>
      <c r="I2204" s="24" t="s">
        <v>10959</v>
      </c>
      <c r="J2204" s="22" t="s">
        <v>125</v>
      </c>
      <c r="K2204" s="22"/>
      <c r="L2204" s="105" t="s">
        <v>10960</v>
      </c>
      <c r="M2204" s="44"/>
      <c r="N2204" s="44"/>
      <c r="O2204" s="44"/>
      <c r="P2204" s="44"/>
      <c r="Q2204" s="44"/>
      <c r="R2204" s="44"/>
      <c r="S2204" s="44"/>
      <c r="T2204" s="45"/>
      <c r="U2204" s="29" t="s">
        <v>61</v>
      </c>
      <c r="V2204" s="30"/>
      <c r="W2204" s="49"/>
      <c r="X2204" s="49"/>
      <c r="Y2204" s="35"/>
      <c r="Z2204" s="35"/>
      <c r="AA2204" s="35"/>
      <c r="AB2204" s="35"/>
      <c r="AC2204" s="35"/>
      <c r="AD2204" s="35"/>
      <c r="AE2204" s="35"/>
      <c r="AF2204" s="35"/>
      <c r="AG2204" s="35"/>
      <c r="AH2204" s="35"/>
      <c r="AI2204" s="35"/>
      <c r="AJ2204" s="35"/>
      <c r="AK2204" s="35"/>
      <c r="AL2204" s="35"/>
    </row>
    <row r="2205">
      <c r="A2205" s="133"/>
      <c r="B2205" s="19" t="s">
        <v>10848</v>
      </c>
      <c r="C2205" s="20" t="s">
        <v>10871</v>
      </c>
      <c r="D2205" s="47"/>
      <c r="E2205" s="22" t="s">
        <v>10961</v>
      </c>
      <c r="F2205" s="22" t="s">
        <v>5429</v>
      </c>
      <c r="G2205" s="23">
        <v>2021.0</v>
      </c>
      <c r="H2205" s="22" t="s">
        <v>10962</v>
      </c>
      <c r="I2205" s="24" t="s">
        <v>10963</v>
      </c>
      <c r="J2205" s="22" t="s">
        <v>649</v>
      </c>
      <c r="K2205" s="22"/>
      <c r="L2205" s="43" t="s">
        <v>10964</v>
      </c>
      <c r="M2205" s="44"/>
      <c r="N2205" s="44"/>
      <c r="O2205" s="44"/>
      <c r="P2205" s="44"/>
      <c r="Q2205" s="44"/>
      <c r="R2205" s="44"/>
      <c r="S2205" s="44"/>
      <c r="T2205" s="45"/>
      <c r="U2205" s="29" t="s">
        <v>61</v>
      </c>
      <c r="V2205" s="30"/>
      <c r="W2205" s="49"/>
      <c r="X2205" s="49"/>
      <c r="Y2205" s="35"/>
      <c r="Z2205" s="35"/>
      <c r="AA2205" s="35"/>
      <c r="AB2205" s="35"/>
      <c r="AC2205" s="35"/>
      <c r="AD2205" s="35"/>
      <c r="AE2205" s="35"/>
      <c r="AF2205" s="35"/>
      <c r="AG2205" s="35"/>
      <c r="AH2205" s="35"/>
      <c r="AI2205" s="35"/>
      <c r="AJ2205" s="35"/>
      <c r="AK2205" s="35"/>
      <c r="AL2205" s="35"/>
    </row>
    <row r="2206">
      <c r="A2206" s="133"/>
      <c r="B2206" s="19" t="s">
        <v>10848</v>
      </c>
      <c r="C2206" s="20" t="s">
        <v>10871</v>
      </c>
      <c r="D2206" s="47"/>
      <c r="E2206" s="22" t="s">
        <v>10965</v>
      </c>
      <c r="F2206" s="22" t="s">
        <v>10377</v>
      </c>
      <c r="G2206" s="23">
        <v>2021.0</v>
      </c>
      <c r="H2206" s="22" t="s">
        <v>10966</v>
      </c>
      <c r="I2206" s="24" t="s">
        <v>10967</v>
      </c>
      <c r="J2206" s="22" t="s">
        <v>125</v>
      </c>
      <c r="K2206" s="22"/>
      <c r="L2206" s="43" t="s">
        <v>10968</v>
      </c>
      <c r="M2206" s="44"/>
      <c r="N2206" s="44"/>
      <c r="O2206" s="44"/>
      <c r="P2206" s="44"/>
      <c r="Q2206" s="44"/>
      <c r="R2206" s="44"/>
      <c r="S2206" s="44"/>
      <c r="T2206" s="45"/>
      <c r="U2206" s="29" t="s">
        <v>61</v>
      </c>
      <c r="V2206" s="30"/>
      <c r="W2206" s="49"/>
      <c r="X2206" s="49"/>
      <c r="Y2206" s="35"/>
      <c r="Z2206" s="35"/>
      <c r="AA2206" s="35"/>
      <c r="AB2206" s="35"/>
      <c r="AC2206" s="35"/>
      <c r="AD2206" s="35"/>
      <c r="AE2206" s="35"/>
      <c r="AF2206" s="35"/>
      <c r="AG2206" s="35"/>
      <c r="AH2206" s="35"/>
      <c r="AI2206" s="35"/>
      <c r="AJ2206" s="35"/>
      <c r="AK2206" s="35"/>
      <c r="AL2206" s="35"/>
    </row>
    <row r="2207">
      <c r="A2207" s="18"/>
      <c r="B2207" s="19" t="s">
        <v>10848</v>
      </c>
      <c r="C2207" s="20" t="s">
        <v>10871</v>
      </c>
      <c r="D2207" s="47"/>
      <c r="E2207" s="22" t="s">
        <v>10018</v>
      </c>
      <c r="F2207" s="22" t="s">
        <v>2196</v>
      </c>
      <c r="G2207" s="23">
        <v>2021.0</v>
      </c>
      <c r="H2207" s="22" t="s">
        <v>1485</v>
      </c>
      <c r="I2207" s="24" t="s">
        <v>10969</v>
      </c>
      <c r="J2207" s="22" t="s">
        <v>10970</v>
      </c>
      <c r="K2207" s="22" t="s">
        <v>10971</v>
      </c>
      <c r="L2207" s="36">
        <v>630.0</v>
      </c>
      <c r="M2207" s="166"/>
      <c r="N2207" s="36" t="s">
        <v>6646</v>
      </c>
      <c r="O2207" s="166"/>
      <c r="P2207" s="36">
        <v>60.0</v>
      </c>
      <c r="Q2207" s="166"/>
      <c r="R2207" s="166"/>
      <c r="S2207" s="36" t="s">
        <v>10972</v>
      </c>
      <c r="T2207" s="103" t="s">
        <v>10973</v>
      </c>
      <c r="U2207" s="29" t="s">
        <v>61</v>
      </c>
      <c r="V2207" s="30"/>
      <c r="W2207" s="49"/>
      <c r="X2207" s="49"/>
      <c r="Y2207" s="35"/>
      <c r="Z2207" s="35"/>
      <c r="AA2207" s="35"/>
      <c r="AB2207" s="35"/>
      <c r="AC2207" s="35"/>
      <c r="AD2207" s="35"/>
      <c r="AE2207" s="35"/>
      <c r="AF2207" s="35"/>
      <c r="AG2207" s="35"/>
      <c r="AH2207" s="35"/>
      <c r="AI2207" s="35"/>
      <c r="AJ2207" s="35"/>
      <c r="AK2207" s="35"/>
      <c r="AL2207" s="35"/>
    </row>
    <row r="2208">
      <c r="A2208" s="18"/>
      <c r="B2208" s="19" t="s">
        <v>10848</v>
      </c>
      <c r="C2208" s="20" t="s">
        <v>10871</v>
      </c>
      <c r="D2208" s="47"/>
      <c r="E2208" s="22" t="s">
        <v>10974</v>
      </c>
      <c r="F2208" s="22" t="s">
        <v>41</v>
      </c>
      <c r="G2208" s="23">
        <v>2021.0</v>
      </c>
      <c r="H2208" s="22" t="s">
        <v>53</v>
      </c>
      <c r="I2208" s="24" t="s">
        <v>10975</v>
      </c>
      <c r="J2208" s="22" t="s">
        <v>10976</v>
      </c>
      <c r="K2208" s="22" t="s">
        <v>10977</v>
      </c>
      <c r="L2208" s="36">
        <v>660.0</v>
      </c>
      <c r="M2208" s="36" t="s">
        <v>10978</v>
      </c>
      <c r="N2208" s="36"/>
      <c r="O2208" s="36"/>
      <c r="P2208" s="36" t="s">
        <v>10979</v>
      </c>
      <c r="Q2208" s="36"/>
      <c r="R2208" s="36" t="s">
        <v>10980</v>
      </c>
      <c r="S2208" s="36" t="s">
        <v>10981</v>
      </c>
      <c r="T2208" s="103" t="s">
        <v>10982</v>
      </c>
      <c r="U2208" s="29" t="s">
        <v>61</v>
      </c>
      <c r="V2208" s="30" t="s">
        <v>10983</v>
      </c>
      <c r="W2208" s="49"/>
      <c r="X2208" s="49"/>
      <c r="Y2208" s="35"/>
      <c r="Z2208" s="35"/>
      <c r="AA2208" s="35"/>
      <c r="AB2208" s="35"/>
      <c r="AC2208" s="35"/>
      <c r="AD2208" s="35"/>
      <c r="AE2208" s="35"/>
      <c r="AF2208" s="35"/>
      <c r="AG2208" s="35"/>
      <c r="AH2208" s="35"/>
      <c r="AI2208" s="35"/>
      <c r="AJ2208" s="35"/>
      <c r="AK2208" s="35"/>
      <c r="AL2208" s="35"/>
    </row>
    <row r="2209">
      <c r="A2209" s="18"/>
      <c r="B2209" s="19" t="s">
        <v>10848</v>
      </c>
      <c r="C2209" s="20" t="s">
        <v>10871</v>
      </c>
      <c r="D2209" s="47"/>
      <c r="E2209" s="22" t="s">
        <v>10984</v>
      </c>
      <c r="F2209" s="22" t="s">
        <v>5429</v>
      </c>
      <c r="G2209" s="23">
        <v>2021.0</v>
      </c>
      <c r="H2209" s="22" t="s">
        <v>91</v>
      </c>
      <c r="I2209" s="24" t="s">
        <v>10985</v>
      </c>
      <c r="J2209" s="22" t="s">
        <v>10986</v>
      </c>
      <c r="K2209" s="22" t="s">
        <v>1725</v>
      </c>
      <c r="L2209" s="36">
        <v>417.0</v>
      </c>
      <c r="M2209" s="166"/>
      <c r="N2209" s="36" t="s">
        <v>4039</v>
      </c>
      <c r="O2209" s="166"/>
      <c r="P2209" s="36">
        <v>120.0</v>
      </c>
      <c r="Q2209" s="166"/>
      <c r="R2209" s="166"/>
      <c r="S2209" s="36" t="s">
        <v>8311</v>
      </c>
      <c r="T2209" s="54" t="s">
        <v>10987</v>
      </c>
      <c r="U2209" s="29" t="s">
        <v>61</v>
      </c>
      <c r="V2209" s="30"/>
      <c r="W2209" s="49"/>
      <c r="X2209" s="49"/>
      <c r="Y2209" s="35"/>
      <c r="Z2209" s="35"/>
      <c r="AA2209" s="35"/>
      <c r="AB2209" s="35"/>
      <c r="AC2209" s="35"/>
      <c r="AD2209" s="35"/>
      <c r="AE2209" s="35"/>
      <c r="AF2209" s="35"/>
      <c r="AG2209" s="35"/>
      <c r="AH2209" s="35"/>
      <c r="AI2209" s="35"/>
      <c r="AJ2209" s="35"/>
      <c r="AK2209" s="35"/>
      <c r="AL2209" s="35"/>
    </row>
    <row r="2210">
      <c r="A2210" s="18"/>
      <c r="B2210" s="19" t="s">
        <v>10848</v>
      </c>
      <c r="C2210" s="20" t="s">
        <v>10871</v>
      </c>
      <c r="D2210" s="47"/>
      <c r="E2210" s="22" t="s">
        <v>10988</v>
      </c>
      <c r="F2210" s="22" t="s">
        <v>10989</v>
      </c>
      <c r="G2210" s="23">
        <v>2021.0</v>
      </c>
      <c r="H2210" s="22" t="s">
        <v>53</v>
      </c>
      <c r="I2210" s="24" t="s">
        <v>10990</v>
      </c>
      <c r="J2210" s="22" t="s">
        <v>10991</v>
      </c>
      <c r="K2210" s="22" t="s">
        <v>10992</v>
      </c>
      <c r="L2210" s="36" t="s">
        <v>10993</v>
      </c>
      <c r="M2210" s="166"/>
      <c r="N2210" s="166"/>
      <c r="O2210" s="166"/>
      <c r="P2210" s="36" t="s">
        <v>892</v>
      </c>
      <c r="Q2210" s="166"/>
      <c r="R2210" s="166"/>
      <c r="S2210" s="36" t="s">
        <v>10994</v>
      </c>
      <c r="T2210" s="54" t="s">
        <v>10995</v>
      </c>
      <c r="U2210" s="29" t="s">
        <v>61</v>
      </c>
      <c r="V2210" s="30" t="s">
        <v>10996</v>
      </c>
      <c r="W2210" s="49"/>
      <c r="X2210" s="49"/>
      <c r="Y2210" s="35"/>
      <c r="Z2210" s="35"/>
      <c r="AA2210" s="35"/>
      <c r="AB2210" s="35"/>
      <c r="AC2210" s="35"/>
      <c r="AD2210" s="35"/>
      <c r="AE2210" s="35"/>
      <c r="AF2210" s="35"/>
      <c r="AG2210" s="35"/>
      <c r="AH2210" s="35"/>
      <c r="AI2210" s="35"/>
      <c r="AJ2210" s="35"/>
      <c r="AK2210" s="35"/>
      <c r="AL2210" s="35"/>
    </row>
    <row r="2211">
      <c r="A2211" s="18"/>
      <c r="B2211" s="19" t="s">
        <v>10848</v>
      </c>
      <c r="C2211" s="20" t="s">
        <v>10871</v>
      </c>
      <c r="D2211" s="47"/>
      <c r="E2211" s="22" t="s">
        <v>10997</v>
      </c>
      <c r="F2211" s="22" t="s">
        <v>10998</v>
      </c>
      <c r="G2211" s="23">
        <v>2021.0</v>
      </c>
      <c r="H2211" s="22" t="s">
        <v>7056</v>
      </c>
      <c r="I2211" s="24" t="s">
        <v>10999</v>
      </c>
      <c r="J2211" s="22" t="s">
        <v>11000</v>
      </c>
      <c r="K2211" s="22" t="s">
        <v>11001</v>
      </c>
      <c r="L2211" s="36">
        <v>655.0</v>
      </c>
      <c r="M2211" s="166"/>
      <c r="N2211" s="166"/>
      <c r="O2211" s="166"/>
      <c r="P2211" s="166"/>
      <c r="Q2211" s="166"/>
      <c r="R2211" s="36">
        <v>1200.0</v>
      </c>
      <c r="S2211" s="36" t="s">
        <v>11002</v>
      </c>
      <c r="T2211" s="54" t="s">
        <v>11003</v>
      </c>
      <c r="U2211" s="29" t="s">
        <v>61</v>
      </c>
      <c r="V2211" s="30" t="s">
        <v>11004</v>
      </c>
      <c r="W2211" s="49"/>
      <c r="X2211" s="49"/>
      <c r="Y2211" s="35"/>
      <c r="Z2211" s="35"/>
      <c r="AA2211" s="35"/>
      <c r="AB2211" s="35"/>
      <c r="AC2211" s="35"/>
      <c r="AD2211" s="35"/>
      <c r="AE2211" s="35"/>
      <c r="AF2211" s="35"/>
      <c r="AG2211" s="35"/>
      <c r="AH2211" s="35"/>
      <c r="AI2211" s="35"/>
      <c r="AJ2211" s="35"/>
      <c r="AK2211" s="35"/>
      <c r="AL2211" s="35"/>
    </row>
    <row r="2212">
      <c r="A2212" s="18"/>
      <c r="B2212" s="19" t="s">
        <v>10848</v>
      </c>
      <c r="C2212" s="20" t="s">
        <v>10871</v>
      </c>
      <c r="D2212" s="47"/>
      <c r="E2212" s="22" t="s">
        <v>11005</v>
      </c>
      <c r="F2212" s="22" t="s">
        <v>2821</v>
      </c>
      <c r="G2212" s="23">
        <v>2021.0</v>
      </c>
      <c r="H2212" s="22" t="s">
        <v>3292</v>
      </c>
      <c r="I2212" s="24" t="s">
        <v>11006</v>
      </c>
      <c r="J2212" s="22" t="s">
        <v>125</v>
      </c>
      <c r="K2212" s="22"/>
      <c r="L2212" s="105" t="s">
        <v>11007</v>
      </c>
      <c r="M2212" s="44"/>
      <c r="N2212" s="44"/>
      <c r="O2212" s="44"/>
      <c r="P2212" s="44"/>
      <c r="Q2212" s="44"/>
      <c r="R2212" s="44"/>
      <c r="S2212" s="44"/>
      <c r="T2212" s="45"/>
      <c r="U2212" s="29" t="s">
        <v>61</v>
      </c>
      <c r="V2212" s="30"/>
      <c r="W2212" s="49"/>
      <c r="X2212" s="49"/>
      <c r="Y2212" s="35"/>
      <c r="Z2212" s="35"/>
      <c r="AA2212" s="35"/>
      <c r="AB2212" s="35"/>
      <c r="AC2212" s="35"/>
      <c r="AD2212" s="35"/>
      <c r="AE2212" s="35"/>
      <c r="AF2212" s="35"/>
      <c r="AG2212" s="35"/>
      <c r="AH2212" s="35"/>
      <c r="AI2212" s="35"/>
      <c r="AJ2212" s="35"/>
      <c r="AK2212" s="35"/>
      <c r="AL2212" s="35"/>
    </row>
    <row r="2213">
      <c r="A2213" s="18"/>
      <c r="B2213" s="19" t="s">
        <v>10848</v>
      </c>
      <c r="C2213" s="20" t="s">
        <v>10871</v>
      </c>
      <c r="D2213" s="47"/>
      <c r="E2213" s="22" t="s">
        <v>216</v>
      </c>
      <c r="F2213" s="22" t="s">
        <v>65</v>
      </c>
      <c r="G2213" s="23">
        <v>2020.0</v>
      </c>
      <c r="H2213" s="22" t="s">
        <v>91</v>
      </c>
      <c r="I2213" s="24" t="s">
        <v>11008</v>
      </c>
      <c r="J2213" s="22" t="s">
        <v>11009</v>
      </c>
      <c r="K2213" s="22" t="s">
        <v>11010</v>
      </c>
      <c r="L2213" s="36">
        <v>650.0</v>
      </c>
      <c r="M2213" s="36">
        <v>1000.0</v>
      </c>
      <c r="N2213" s="36"/>
      <c r="O2213" s="36"/>
      <c r="P2213" s="36"/>
      <c r="Q2213" s="36"/>
      <c r="R2213" s="36">
        <v>1800.0</v>
      </c>
      <c r="S2213" s="36" t="s">
        <v>11011</v>
      </c>
      <c r="T2213" s="54" t="s">
        <v>11012</v>
      </c>
      <c r="U2213" s="29" t="s">
        <v>61</v>
      </c>
      <c r="V2213" s="50"/>
      <c r="W2213" s="49"/>
      <c r="X2213" s="49"/>
      <c r="Y2213" s="35"/>
      <c r="Z2213" s="35"/>
      <c r="AA2213" s="35"/>
      <c r="AB2213" s="35"/>
      <c r="AC2213" s="35"/>
      <c r="AD2213" s="35"/>
      <c r="AE2213" s="35"/>
      <c r="AF2213" s="35"/>
      <c r="AG2213" s="35"/>
      <c r="AH2213" s="35"/>
      <c r="AI2213" s="35"/>
      <c r="AJ2213" s="35"/>
      <c r="AK2213" s="35"/>
      <c r="AL2213" s="35"/>
    </row>
    <row r="2214">
      <c r="A2214" s="18"/>
      <c r="B2214" s="19" t="s">
        <v>10848</v>
      </c>
      <c r="C2214" s="20" t="s">
        <v>10871</v>
      </c>
      <c r="D2214" s="47"/>
      <c r="E2214" s="22" t="s">
        <v>11013</v>
      </c>
      <c r="F2214" s="22" t="s">
        <v>6963</v>
      </c>
      <c r="G2214" s="23">
        <v>2020.0</v>
      </c>
      <c r="H2214" s="22" t="s">
        <v>10917</v>
      </c>
      <c r="I2214" s="24" t="s">
        <v>11014</v>
      </c>
      <c r="J2214" s="22" t="s">
        <v>125</v>
      </c>
      <c r="K2214" s="22"/>
      <c r="L2214" s="105" t="s">
        <v>11015</v>
      </c>
      <c r="M2214" s="44"/>
      <c r="N2214" s="44"/>
      <c r="O2214" s="44"/>
      <c r="P2214" s="44"/>
      <c r="Q2214" s="44"/>
      <c r="R2214" s="44"/>
      <c r="S2214" s="44"/>
      <c r="T2214" s="45"/>
      <c r="U2214" s="29" t="s">
        <v>61</v>
      </c>
      <c r="V2214" s="50"/>
      <c r="W2214" s="49"/>
      <c r="X2214" s="49"/>
      <c r="Y2214" s="35"/>
      <c r="Z2214" s="35"/>
      <c r="AA2214" s="35"/>
      <c r="AB2214" s="35"/>
      <c r="AC2214" s="35"/>
      <c r="AD2214" s="35"/>
      <c r="AE2214" s="35"/>
      <c r="AF2214" s="35"/>
      <c r="AG2214" s="35"/>
      <c r="AH2214" s="35"/>
      <c r="AI2214" s="35"/>
      <c r="AJ2214" s="35"/>
      <c r="AK2214" s="35"/>
      <c r="AL2214" s="35"/>
    </row>
    <row r="2215">
      <c r="A2215" s="18"/>
      <c r="B2215" s="19" t="s">
        <v>10848</v>
      </c>
      <c r="C2215" s="20" t="s">
        <v>10871</v>
      </c>
      <c r="D2215" s="47"/>
      <c r="E2215" s="22" t="s">
        <v>7486</v>
      </c>
      <c r="F2215" s="22" t="s">
        <v>1075</v>
      </c>
      <c r="G2215" s="23">
        <v>2020.0</v>
      </c>
      <c r="H2215" s="22" t="s">
        <v>116</v>
      </c>
      <c r="I2215" s="24" t="s">
        <v>11016</v>
      </c>
      <c r="J2215" s="22" t="s">
        <v>11017</v>
      </c>
      <c r="K2215" s="22"/>
      <c r="L2215" s="105" t="s">
        <v>11018</v>
      </c>
      <c r="M2215" s="44"/>
      <c r="N2215" s="44"/>
      <c r="O2215" s="44"/>
      <c r="P2215" s="44"/>
      <c r="Q2215" s="44"/>
      <c r="R2215" s="44"/>
      <c r="S2215" s="44"/>
      <c r="T2215" s="45"/>
      <c r="U2215" s="29" t="s">
        <v>61</v>
      </c>
      <c r="V2215" s="50"/>
      <c r="W2215" s="49"/>
      <c r="X2215" s="49"/>
      <c r="Y2215" s="35"/>
      <c r="Z2215" s="35"/>
      <c r="AA2215" s="35"/>
      <c r="AB2215" s="35"/>
      <c r="AC2215" s="35"/>
      <c r="AD2215" s="35"/>
      <c r="AE2215" s="35"/>
      <c r="AF2215" s="35"/>
      <c r="AG2215" s="35"/>
      <c r="AH2215" s="35"/>
      <c r="AI2215" s="35"/>
      <c r="AJ2215" s="35"/>
      <c r="AK2215" s="35"/>
      <c r="AL2215" s="35"/>
    </row>
    <row r="2216">
      <c r="A2216" s="18"/>
      <c r="B2216" s="19" t="s">
        <v>10848</v>
      </c>
      <c r="C2216" s="20" t="s">
        <v>10871</v>
      </c>
      <c r="D2216" s="47"/>
      <c r="E2216" s="22" t="s">
        <v>3317</v>
      </c>
      <c r="F2216" s="22" t="s">
        <v>65</v>
      </c>
      <c r="G2216" s="23">
        <v>2020.0</v>
      </c>
      <c r="H2216" s="22" t="s">
        <v>91</v>
      </c>
      <c r="I2216" s="24" t="s">
        <v>11019</v>
      </c>
      <c r="J2216" s="22" t="s">
        <v>125</v>
      </c>
      <c r="K2216" s="22"/>
      <c r="L2216" s="105" t="s">
        <v>11020</v>
      </c>
      <c r="M2216" s="44"/>
      <c r="N2216" s="44"/>
      <c r="O2216" s="44"/>
      <c r="P2216" s="44"/>
      <c r="Q2216" s="44"/>
      <c r="R2216" s="44"/>
      <c r="S2216" s="44"/>
      <c r="T2216" s="45"/>
      <c r="U2216" s="29" t="s">
        <v>61</v>
      </c>
      <c r="V2216" s="50"/>
      <c r="W2216" s="49"/>
      <c r="X2216" s="49"/>
      <c r="Y2216" s="35"/>
      <c r="Z2216" s="35"/>
      <c r="AA2216" s="35"/>
      <c r="AB2216" s="35"/>
      <c r="AC2216" s="35"/>
      <c r="AD2216" s="35"/>
      <c r="AE2216" s="35"/>
      <c r="AF2216" s="35"/>
      <c r="AG2216" s="35"/>
      <c r="AH2216" s="35"/>
      <c r="AI2216" s="35"/>
      <c r="AJ2216" s="35"/>
      <c r="AK2216" s="35"/>
      <c r="AL2216" s="35"/>
    </row>
    <row r="2217">
      <c r="A2217" s="18"/>
      <c r="B2217" s="19" t="s">
        <v>10848</v>
      </c>
      <c r="C2217" s="20" t="s">
        <v>10871</v>
      </c>
      <c r="D2217" s="47"/>
      <c r="E2217" s="22" t="s">
        <v>11021</v>
      </c>
      <c r="F2217" s="22" t="s">
        <v>1075</v>
      </c>
      <c r="G2217" s="23">
        <v>2020.0</v>
      </c>
      <c r="H2217" s="22" t="s">
        <v>7056</v>
      </c>
      <c r="I2217" s="24" t="s">
        <v>11022</v>
      </c>
      <c r="J2217" s="22" t="s">
        <v>649</v>
      </c>
      <c r="K2217" s="22" t="s">
        <v>1112</v>
      </c>
      <c r="L2217" s="105" t="s">
        <v>11023</v>
      </c>
      <c r="M2217" s="44"/>
      <c r="N2217" s="44"/>
      <c r="O2217" s="44"/>
      <c r="P2217" s="44"/>
      <c r="Q2217" s="44"/>
      <c r="R2217" s="44"/>
      <c r="S2217" s="44"/>
      <c r="T2217" s="45"/>
      <c r="U2217" s="29" t="s">
        <v>61</v>
      </c>
      <c r="V2217" s="50"/>
      <c r="W2217" s="49"/>
      <c r="X2217" s="49"/>
      <c r="Y2217" s="35"/>
      <c r="Z2217" s="35"/>
      <c r="AA2217" s="35"/>
      <c r="AB2217" s="35"/>
      <c r="AC2217" s="35"/>
      <c r="AD2217" s="35"/>
      <c r="AE2217" s="35"/>
      <c r="AF2217" s="35"/>
      <c r="AG2217" s="35"/>
      <c r="AH2217" s="35"/>
      <c r="AI2217" s="35"/>
      <c r="AJ2217" s="35"/>
      <c r="AK2217" s="35"/>
      <c r="AL2217" s="35"/>
    </row>
    <row r="2218">
      <c r="A2218" s="18" t="s">
        <v>181</v>
      </c>
      <c r="B2218" s="19" t="s">
        <v>10848</v>
      </c>
      <c r="C2218" s="20" t="s">
        <v>10871</v>
      </c>
      <c r="D2218" s="47"/>
      <c r="E2218" s="22" t="s">
        <v>11024</v>
      </c>
      <c r="F2218" s="22" t="s">
        <v>5429</v>
      </c>
      <c r="G2218" s="23">
        <v>2020.0</v>
      </c>
      <c r="H2218" s="22" t="s">
        <v>11025</v>
      </c>
      <c r="I2218" s="24" t="s">
        <v>11026</v>
      </c>
      <c r="J2218" s="22" t="s">
        <v>11027</v>
      </c>
      <c r="K2218" s="22" t="s">
        <v>11028</v>
      </c>
      <c r="L2218" s="36" t="s">
        <v>11029</v>
      </c>
      <c r="M2218" s="36"/>
      <c r="N2218" s="36"/>
      <c r="O2218" s="36"/>
      <c r="P2218" s="37"/>
      <c r="Q2218" s="36"/>
      <c r="R2218" s="36"/>
      <c r="S2218" s="36" t="s">
        <v>11030</v>
      </c>
      <c r="T2218" s="28" t="s">
        <v>11031</v>
      </c>
      <c r="U2218" s="29" t="s">
        <v>61</v>
      </c>
      <c r="V2218" s="30" t="s">
        <v>11032</v>
      </c>
      <c r="W2218" s="49"/>
      <c r="X2218" s="49"/>
      <c r="Y2218" s="35"/>
      <c r="Z2218" s="35"/>
      <c r="AA2218" s="35"/>
      <c r="AB2218" s="35"/>
      <c r="AC2218" s="35"/>
      <c r="AD2218" s="35"/>
      <c r="AE2218" s="35"/>
      <c r="AF2218" s="35"/>
      <c r="AG2218" s="35"/>
      <c r="AH2218" s="35"/>
      <c r="AI2218" s="35"/>
      <c r="AJ2218" s="35"/>
      <c r="AK2218" s="35"/>
      <c r="AL2218" s="35"/>
    </row>
    <row r="2219">
      <c r="A2219" s="18"/>
      <c r="B2219" s="19" t="s">
        <v>10848</v>
      </c>
      <c r="C2219" s="20" t="s">
        <v>10871</v>
      </c>
      <c r="D2219" s="47"/>
      <c r="E2219" s="22" t="s">
        <v>2668</v>
      </c>
      <c r="F2219" s="22" t="s">
        <v>7381</v>
      </c>
      <c r="G2219" s="23">
        <v>2020.0</v>
      </c>
      <c r="H2219" s="22" t="s">
        <v>3828</v>
      </c>
      <c r="I2219" s="24" t="s">
        <v>11033</v>
      </c>
      <c r="J2219" s="22" t="s">
        <v>11034</v>
      </c>
      <c r="K2219" s="22" t="s">
        <v>11035</v>
      </c>
      <c r="L2219" s="36">
        <v>655.0</v>
      </c>
      <c r="M2219" s="36" t="s">
        <v>11036</v>
      </c>
      <c r="N2219" s="36" t="s">
        <v>11037</v>
      </c>
      <c r="O2219" s="36"/>
      <c r="P2219" s="37"/>
      <c r="Q2219" s="36"/>
      <c r="R2219" s="36">
        <v>1500.0</v>
      </c>
      <c r="S2219" s="36" t="s">
        <v>11038</v>
      </c>
      <c r="T2219" s="28" t="s">
        <v>11039</v>
      </c>
      <c r="U2219" s="29" t="s">
        <v>61</v>
      </c>
      <c r="V2219" s="30" t="s">
        <v>11040</v>
      </c>
      <c r="W2219" s="49"/>
      <c r="X2219" s="49"/>
      <c r="Y2219" s="35"/>
      <c r="Z2219" s="35"/>
      <c r="AA2219" s="35"/>
      <c r="AB2219" s="35"/>
      <c r="AC2219" s="35"/>
      <c r="AD2219" s="35"/>
      <c r="AE2219" s="35"/>
      <c r="AF2219" s="35"/>
      <c r="AG2219" s="35"/>
      <c r="AH2219" s="35"/>
      <c r="AI2219" s="35"/>
      <c r="AJ2219" s="35"/>
      <c r="AK2219" s="35"/>
      <c r="AL2219" s="35"/>
    </row>
    <row r="2220">
      <c r="A2220" s="18"/>
      <c r="B2220" s="19" t="s">
        <v>10848</v>
      </c>
      <c r="C2220" s="20" t="s">
        <v>10871</v>
      </c>
      <c r="D2220" s="47"/>
      <c r="E2220" s="22" t="s">
        <v>2755</v>
      </c>
      <c r="F2220" s="22" t="s">
        <v>224</v>
      </c>
      <c r="G2220" s="23">
        <v>2020.0</v>
      </c>
      <c r="H2220" s="22" t="s">
        <v>7056</v>
      </c>
      <c r="I2220" s="24" t="s">
        <v>11041</v>
      </c>
      <c r="J2220" s="22" t="s">
        <v>1078</v>
      </c>
      <c r="K2220" s="22"/>
      <c r="L2220" s="171" t="s">
        <v>11042</v>
      </c>
      <c r="M2220" s="44"/>
      <c r="N2220" s="44"/>
      <c r="O2220" s="44"/>
      <c r="P2220" s="44"/>
      <c r="Q2220" s="44"/>
      <c r="R2220" s="44"/>
      <c r="S2220" s="44"/>
      <c r="T2220" s="45"/>
      <c r="U2220" s="29" t="s">
        <v>61</v>
      </c>
      <c r="V2220" s="50"/>
      <c r="W2220" s="49"/>
      <c r="X2220" s="49"/>
      <c r="Y2220" s="35"/>
      <c r="Z2220" s="35"/>
      <c r="AA2220" s="35"/>
      <c r="AB2220" s="35"/>
      <c r="AC2220" s="35"/>
      <c r="AD2220" s="35"/>
      <c r="AE2220" s="35"/>
      <c r="AF2220" s="35"/>
      <c r="AG2220" s="35"/>
      <c r="AH2220" s="35"/>
      <c r="AI2220" s="35"/>
      <c r="AJ2220" s="35"/>
      <c r="AK2220" s="35"/>
      <c r="AL2220" s="35"/>
    </row>
    <row r="2221">
      <c r="A2221" s="18"/>
      <c r="B2221" s="19" t="s">
        <v>10848</v>
      </c>
      <c r="C2221" s="20" t="s">
        <v>10871</v>
      </c>
      <c r="D2221" s="47"/>
      <c r="E2221" s="22" t="s">
        <v>7486</v>
      </c>
      <c r="F2221" s="22" t="s">
        <v>1075</v>
      </c>
      <c r="G2221" s="23">
        <v>2020.0</v>
      </c>
      <c r="H2221" s="22" t="s">
        <v>7308</v>
      </c>
      <c r="I2221" s="24" t="s">
        <v>11043</v>
      </c>
      <c r="J2221" s="22" t="s">
        <v>11044</v>
      </c>
      <c r="K2221" s="22"/>
      <c r="L2221" s="171" t="s">
        <v>11045</v>
      </c>
      <c r="M2221" s="44"/>
      <c r="N2221" s="44"/>
      <c r="O2221" s="44"/>
      <c r="P2221" s="44"/>
      <c r="Q2221" s="44"/>
      <c r="R2221" s="44"/>
      <c r="S2221" s="44"/>
      <c r="T2221" s="45"/>
      <c r="U2221" s="38" t="str">
        <f>HYPERLINK("https://www.ncbi.nlm.nih.gov/pubmed/32250713","PubMed")</f>
        <v>PubMed</v>
      </c>
      <c r="V2221" s="50"/>
      <c r="W2221" s="49"/>
      <c r="X2221" s="49"/>
      <c r="Y2221" s="35"/>
      <c r="Z2221" s="35"/>
      <c r="AA2221" s="35"/>
      <c r="AB2221" s="35"/>
      <c r="AC2221" s="35"/>
      <c r="AD2221" s="35"/>
      <c r="AE2221" s="35"/>
      <c r="AF2221" s="35"/>
      <c r="AG2221" s="35"/>
      <c r="AH2221" s="35"/>
      <c r="AI2221" s="35"/>
      <c r="AJ2221" s="35"/>
      <c r="AK2221" s="35"/>
      <c r="AL2221" s="35"/>
    </row>
    <row r="2222">
      <c r="A2222" s="18"/>
      <c r="B2222" s="19" t="s">
        <v>10848</v>
      </c>
      <c r="C2222" s="20" t="s">
        <v>10871</v>
      </c>
      <c r="D2222" s="47"/>
      <c r="E2222" s="22" t="s">
        <v>11046</v>
      </c>
      <c r="F2222" s="22" t="s">
        <v>11047</v>
      </c>
      <c r="G2222" s="23">
        <v>2020.0</v>
      </c>
      <c r="H2222" s="22" t="s">
        <v>91</v>
      </c>
      <c r="I2222" s="24" t="s">
        <v>11048</v>
      </c>
      <c r="J2222" s="22" t="s">
        <v>125</v>
      </c>
      <c r="K2222" s="22"/>
      <c r="L2222" s="171" t="s">
        <v>11049</v>
      </c>
      <c r="M2222" s="44"/>
      <c r="N2222" s="44"/>
      <c r="O2222" s="44"/>
      <c r="P2222" s="44"/>
      <c r="Q2222" s="44"/>
      <c r="R2222" s="44"/>
      <c r="S2222" s="44"/>
      <c r="T2222" s="45"/>
      <c r="U2222" s="38" t="str">
        <f>HYPERLINK("https://www.ncbi.nlm.nih.gov/pubmed/32162134","PubMed")</f>
        <v>PubMed</v>
      </c>
      <c r="V2222" s="50"/>
      <c r="W2222" s="49"/>
      <c r="X2222" s="49"/>
      <c r="Y2222" s="35"/>
      <c r="Z2222" s="35"/>
      <c r="AA2222" s="35"/>
      <c r="AB2222" s="35"/>
      <c r="AC2222" s="35"/>
      <c r="AD2222" s="35"/>
      <c r="AE2222" s="35"/>
      <c r="AF2222" s="35"/>
      <c r="AG2222" s="35"/>
      <c r="AH2222" s="35"/>
      <c r="AI2222" s="35"/>
      <c r="AJ2222" s="35"/>
      <c r="AK2222" s="35"/>
      <c r="AL2222" s="35"/>
    </row>
    <row r="2223">
      <c r="A2223" s="18"/>
      <c r="B2223" s="19" t="s">
        <v>10848</v>
      </c>
      <c r="C2223" s="20" t="s">
        <v>10871</v>
      </c>
      <c r="D2223" s="47"/>
      <c r="E2223" s="22" t="s">
        <v>11050</v>
      </c>
      <c r="F2223" s="22" t="s">
        <v>11051</v>
      </c>
      <c r="G2223" s="23">
        <v>2020.0</v>
      </c>
      <c r="H2223" s="22" t="s">
        <v>11052</v>
      </c>
      <c r="I2223" s="24" t="s">
        <v>11053</v>
      </c>
      <c r="J2223" s="22" t="s">
        <v>125</v>
      </c>
      <c r="K2223" s="22"/>
      <c r="L2223" s="171" t="s">
        <v>11054</v>
      </c>
      <c r="M2223" s="44"/>
      <c r="N2223" s="44"/>
      <c r="O2223" s="44"/>
      <c r="P2223" s="44"/>
      <c r="Q2223" s="44"/>
      <c r="R2223" s="44"/>
      <c r="S2223" s="44"/>
      <c r="T2223" s="45"/>
      <c r="U2223" s="38" t="str">
        <f>HYPERLINK("https://www.ncbi.nlm.nih.gov/pubmed/32066284","PubMed")</f>
        <v>PubMed</v>
      </c>
      <c r="V2223" s="50"/>
      <c r="W2223" s="49"/>
      <c r="X2223" s="49"/>
      <c r="Y2223" s="35"/>
      <c r="Z2223" s="35"/>
      <c r="AA2223" s="35"/>
      <c r="AB2223" s="35"/>
      <c r="AC2223" s="35"/>
      <c r="AD2223" s="35"/>
      <c r="AE2223" s="35"/>
      <c r="AF2223" s="35"/>
      <c r="AG2223" s="35"/>
      <c r="AH2223" s="35"/>
      <c r="AI2223" s="35"/>
      <c r="AJ2223" s="35"/>
      <c r="AK2223" s="35"/>
      <c r="AL2223" s="35"/>
    </row>
    <row r="2224">
      <c r="A2224" s="18"/>
      <c r="B2224" s="19" t="s">
        <v>10848</v>
      </c>
      <c r="C2224" s="20" t="s">
        <v>10871</v>
      </c>
      <c r="D2224" s="47"/>
      <c r="E2224" s="22" t="s">
        <v>11055</v>
      </c>
      <c r="F2224" s="22" t="s">
        <v>1075</v>
      </c>
      <c r="G2224" s="23">
        <v>2019.0</v>
      </c>
      <c r="H2224" s="22" t="s">
        <v>7308</v>
      </c>
      <c r="I2224" s="24" t="s">
        <v>11056</v>
      </c>
      <c r="J2224" s="22" t="s">
        <v>1078</v>
      </c>
      <c r="K2224" s="22"/>
      <c r="L2224" s="171" t="s">
        <v>11057</v>
      </c>
      <c r="M2224" s="44"/>
      <c r="N2224" s="44"/>
      <c r="O2224" s="44"/>
      <c r="P2224" s="44"/>
      <c r="Q2224" s="44"/>
      <c r="R2224" s="44"/>
      <c r="S2224" s="44"/>
      <c r="T2224" s="45"/>
      <c r="U2224" s="38" t="str">
        <f>HYPERLINK("https://www.ncbi.nlm.nih.gov/pubmed/31746251","PubMed")</f>
        <v>PubMed</v>
      </c>
      <c r="V2224" s="50"/>
      <c r="W2224" s="49"/>
      <c r="X2224" s="49"/>
      <c r="Y2224" s="35"/>
      <c r="Z2224" s="35"/>
      <c r="AA2224" s="35"/>
      <c r="AB2224" s="35"/>
      <c r="AC2224" s="35"/>
      <c r="AD2224" s="35"/>
      <c r="AE2224" s="35"/>
      <c r="AF2224" s="35"/>
      <c r="AG2224" s="35"/>
      <c r="AH2224" s="35"/>
      <c r="AI2224" s="35"/>
      <c r="AJ2224" s="35"/>
      <c r="AK2224" s="35"/>
      <c r="AL2224" s="35"/>
    </row>
    <row r="2225">
      <c r="A2225" s="18"/>
      <c r="B2225" s="19" t="s">
        <v>10848</v>
      </c>
      <c r="C2225" s="20" t="s">
        <v>10871</v>
      </c>
      <c r="D2225" s="47"/>
      <c r="E2225" s="22" t="s">
        <v>2482</v>
      </c>
      <c r="F2225" s="22" t="s">
        <v>2407</v>
      </c>
      <c r="G2225" s="23">
        <v>2019.0</v>
      </c>
      <c r="H2225" s="22" t="s">
        <v>7083</v>
      </c>
      <c r="I2225" s="24" t="s">
        <v>11058</v>
      </c>
      <c r="J2225" s="22" t="s">
        <v>125</v>
      </c>
      <c r="K2225" s="22"/>
      <c r="L2225" s="171" t="s">
        <v>11059</v>
      </c>
      <c r="M2225" s="44"/>
      <c r="N2225" s="44"/>
      <c r="O2225" s="44"/>
      <c r="P2225" s="44"/>
      <c r="Q2225" s="44"/>
      <c r="R2225" s="44"/>
      <c r="S2225" s="44"/>
      <c r="T2225" s="45"/>
      <c r="U2225" s="38" t="str">
        <f>HYPERLINK("https://www.ncbi.nlm.nih.gov/pubmed/31686888","PubMed")</f>
        <v>PubMed</v>
      </c>
      <c r="V2225" s="50"/>
      <c r="W2225" s="49"/>
      <c r="X2225" s="49"/>
      <c r="Y2225" s="35"/>
      <c r="Z2225" s="35"/>
      <c r="AA2225" s="35"/>
      <c r="AB2225" s="35"/>
      <c r="AC2225" s="35"/>
      <c r="AD2225" s="35"/>
      <c r="AE2225" s="35"/>
      <c r="AF2225" s="35"/>
      <c r="AG2225" s="35"/>
      <c r="AH2225" s="35"/>
      <c r="AI2225" s="35"/>
      <c r="AJ2225" s="35"/>
      <c r="AK2225" s="35"/>
      <c r="AL2225" s="35"/>
    </row>
    <row r="2226">
      <c r="A2226" s="18"/>
      <c r="B2226" s="19" t="s">
        <v>10848</v>
      </c>
      <c r="C2226" s="20" t="s">
        <v>10871</v>
      </c>
      <c r="D2226" s="47"/>
      <c r="E2226" s="22" t="s">
        <v>11060</v>
      </c>
      <c r="F2226" s="22" t="s">
        <v>41</v>
      </c>
      <c r="G2226" s="23">
        <v>2019.0</v>
      </c>
      <c r="H2226" s="22" t="s">
        <v>3828</v>
      </c>
      <c r="I2226" s="24" t="s">
        <v>11061</v>
      </c>
      <c r="J2226" s="22" t="s">
        <v>2141</v>
      </c>
      <c r="K2226" s="22"/>
      <c r="L2226" s="168"/>
      <c r="M2226" s="168"/>
      <c r="N2226" s="168"/>
      <c r="O2226" s="168"/>
      <c r="P2226" s="169"/>
      <c r="Q2226" s="168"/>
      <c r="R2226" s="168"/>
      <c r="S2226" s="168"/>
      <c r="T2226" s="185"/>
      <c r="U2226" s="38" t="str">
        <f>HYPERLINK("https://www.ncbi.nlm.nih.gov/pubmed/30896659","PubMed")</f>
        <v>PubMed</v>
      </c>
      <c r="V2226" s="30"/>
      <c r="W2226" s="49"/>
      <c r="X2226" s="49"/>
      <c r="Y2226" s="35"/>
      <c r="Z2226" s="35"/>
      <c r="AA2226" s="35"/>
      <c r="AB2226" s="35"/>
      <c r="AC2226" s="35"/>
      <c r="AD2226" s="35"/>
      <c r="AE2226" s="35"/>
      <c r="AF2226" s="35"/>
      <c r="AG2226" s="35"/>
      <c r="AH2226" s="35"/>
      <c r="AI2226" s="35"/>
      <c r="AJ2226" s="35"/>
      <c r="AK2226" s="35"/>
      <c r="AL2226" s="35"/>
    </row>
    <row r="2227">
      <c r="A2227" s="18"/>
      <c r="B2227" s="19" t="s">
        <v>10848</v>
      </c>
      <c r="C2227" s="20" t="s">
        <v>10871</v>
      </c>
      <c r="D2227" s="47"/>
      <c r="E2227" s="22" t="s">
        <v>11062</v>
      </c>
      <c r="F2227" s="22" t="s">
        <v>2214</v>
      </c>
      <c r="G2227" s="23">
        <v>2019.0</v>
      </c>
      <c r="H2227" s="22" t="s">
        <v>53</v>
      </c>
      <c r="I2227" s="24" t="s">
        <v>11063</v>
      </c>
      <c r="J2227" s="22" t="s">
        <v>11064</v>
      </c>
      <c r="K2227" s="22"/>
      <c r="L2227" s="36">
        <v>655.0</v>
      </c>
      <c r="M2227" s="36" t="s">
        <v>11065</v>
      </c>
      <c r="N2227" s="36"/>
      <c r="O2227" s="36"/>
      <c r="P2227" s="37"/>
      <c r="Q2227" s="36"/>
      <c r="R2227" s="36"/>
      <c r="S2227" s="36" t="s">
        <v>11066</v>
      </c>
      <c r="T2227" s="28" t="s">
        <v>11067</v>
      </c>
      <c r="U2227" s="38" t="str">
        <f>HYPERLINK("https://www.ncbi.nlm.nih.gov/pubmed/30843235","PubMed")</f>
        <v>PubMed</v>
      </c>
      <c r="V2227" s="30" t="s">
        <v>11068</v>
      </c>
      <c r="W2227" s="49"/>
      <c r="X2227" s="49"/>
      <c r="Y2227" s="35"/>
      <c r="Z2227" s="35"/>
      <c r="AA2227" s="35"/>
      <c r="AB2227" s="35"/>
      <c r="AC2227" s="35"/>
      <c r="AD2227" s="35"/>
      <c r="AE2227" s="35"/>
      <c r="AF2227" s="35"/>
      <c r="AG2227" s="35"/>
      <c r="AH2227" s="35"/>
      <c r="AI2227" s="35"/>
      <c r="AJ2227" s="35"/>
      <c r="AK2227" s="35"/>
      <c r="AL2227" s="35"/>
    </row>
    <row r="2228">
      <c r="A2228" s="18"/>
      <c r="B2228" s="19" t="s">
        <v>10848</v>
      </c>
      <c r="C2228" s="20" t="s">
        <v>10871</v>
      </c>
      <c r="D2228" s="47"/>
      <c r="E2228" s="22" t="s">
        <v>216</v>
      </c>
      <c r="F2228" s="22" t="s">
        <v>11069</v>
      </c>
      <c r="G2228" s="23">
        <v>2019.0</v>
      </c>
      <c r="H2228" s="22" t="s">
        <v>91</v>
      </c>
      <c r="I2228" s="24" t="s">
        <v>11070</v>
      </c>
      <c r="J2228" s="22" t="s">
        <v>1078</v>
      </c>
      <c r="K2228" s="22"/>
      <c r="L2228" s="43" t="s">
        <v>11071</v>
      </c>
      <c r="M2228" s="44"/>
      <c r="N2228" s="44"/>
      <c r="O2228" s="44"/>
      <c r="P2228" s="44"/>
      <c r="Q2228" s="44"/>
      <c r="R2228" s="44"/>
      <c r="S2228" s="44"/>
      <c r="T2228" s="45"/>
      <c r="U2228" s="38" t="str">
        <f>HYPERLINK("https://www.ncbi.nlm.nih.gov/pubmed/30706177","PubMed")</f>
        <v>PubMed</v>
      </c>
      <c r="V2228" s="30"/>
      <c r="W2228" s="49"/>
      <c r="X2228" s="49"/>
      <c r="Y2228" s="35"/>
      <c r="Z2228" s="35"/>
      <c r="AA2228" s="35"/>
      <c r="AB2228" s="35"/>
      <c r="AC2228" s="35"/>
      <c r="AD2228" s="35"/>
      <c r="AE2228" s="35"/>
      <c r="AF2228" s="35"/>
      <c r="AG2228" s="35"/>
      <c r="AH2228" s="35"/>
      <c r="AI2228" s="35"/>
      <c r="AJ2228" s="35"/>
      <c r="AK2228" s="35"/>
      <c r="AL2228" s="35"/>
    </row>
    <row r="2229">
      <c r="A2229" s="18"/>
      <c r="B2229" s="19" t="s">
        <v>10848</v>
      </c>
      <c r="C2229" s="20" t="s">
        <v>10871</v>
      </c>
      <c r="D2229" s="47"/>
      <c r="E2229" s="22" t="s">
        <v>11072</v>
      </c>
      <c r="F2229" s="22" t="s">
        <v>2214</v>
      </c>
      <c r="G2229" s="23">
        <v>2018.0</v>
      </c>
      <c r="H2229" s="22" t="s">
        <v>91</v>
      </c>
      <c r="I2229" s="24" t="s">
        <v>11073</v>
      </c>
      <c r="J2229" s="22" t="s">
        <v>11074</v>
      </c>
      <c r="K2229" s="22"/>
      <c r="L2229" s="36">
        <v>650.0</v>
      </c>
      <c r="M2229" s="36" t="s">
        <v>11075</v>
      </c>
      <c r="N2229" s="36"/>
      <c r="O2229" s="36"/>
      <c r="P2229" s="37" t="s">
        <v>254</v>
      </c>
      <c r="Q2229" s="36"/>
      <c r="R2229" s="36">
        <v>1200.0</v>
      </c>
      <c r="S2229" s="36" t="s">
        <v>1955</v>
      </c>
      <c r="T2229" s="28" t="s">
        <v>11076</v>
      </c>
      <c r="U2229" s="38" t="str">
        <f>HYPERLINK("https://www.ncbi.nlm.nih.gov/pubmed/30569416","PubMed")</f>
        <v>PubMed</v>
      </c>
      <c r="V2229" s="30" t="s">
        <v>11077</v>
      </c>
      <c r="W2229" s="49"/>
      <c r="X2229" s="49"/>
      <c r="Y2229" s="35"/>
      <c r="Z2229" s="35"/>
      <c r="AA2229" s="35"/>
      <c r="AB2229" s="35"/>
      <c r="AC2229" s="35"/>
      <c r="AD2229" s="35"/>
      <c r="AE2229" s="35"/>
      <c r="AF2229" s="35"/>
      <c r="AG2229" s="35"/>
      <c r="AH2229" s="35"/>
      <c r="AI2229" s="35"/>
      <c r="AJ2229" s="35"/>
      <c r="AK2229" s="35"/>
      <c r="AL2229" s="35"/>
    </row>
    <row r="2230">
      <c r="A2230" s="133"/>
      <c r="B2230" s="19" t="s">
        <v>10848</v>
      </c>
      <c r="C2230" s="20" t="s">
        <v>10871</v>
      </c>
      <c r="D2230" s="47"/>
      <c r="E2230" s="22" t="s">
        <v>11078</v>
      </c>
      <c r="F2230" s="22" t="s">
        <v>206</v>
      </c>
      <c r="G2230" s="23">
        <v>2018.0</v>
      </c>
      <c r="H2230" s="22" t="s">
        <v>5489</v>
      </c>
      <c r="I2230" s="24" t="s">
        <v>11079</v>
      </c>
      <c r="J2230" s="22" t="s">
        <v>11080</v>
      </c>
      <c r="K2230" s="22" t="s">
        <v>11081</v>
      </c>
      <c r="L2230" s="36" t="s">
        <v>11082</v>
      </c>
      <c r="M2230" s="36"/>
      <c r="N2230" s="36"/>
      <c r="O2230" s="36"/>
      <c r="P2230" s="37"/>
      <c r="Q2230" s="36"/>
      <c r="R2230" s="36">
        <v>1800.0</v>
      </c>
      <c r="S2230" s="36" t="s">
        <v>1955</v>
      </c>
      <c r="T2230" s="28" t="s">
        <v>11083</v>
      </c>
      <c r="U2230" s="38" t="str">
        <f>HYPERLINK("https://www.ncbi.nlm.nih.gov/pubmed/29957664","PubMed")</f>
        <v>PubMed</v>
      </c>
      <c r="V2230" s="30" t="s">
        <v>11084</v>
      </c>
      <c r="W2230" s="49"/>
      <c r="X2230" s="49"/>
      <c r="Y2230" s="35"/>
      <c r="Z2230" s="35"/>
      <c r="AA2230" s="35"/>
      <c r="AB2230" s="35"/>
      <c r="AC2230" s="35"/>
      <c r="AD2230" s="35"/>
      <c r="AE2230" s="35"/>
      <c r="AF2230" s="35"/>
      <c r="AG2230" s="35"/>
      <c r="AH2230" s="35"/>
      <c r="AI2230" s="35"/>
      <c r="AJ2230" s="35"/>
      <c r="AK2230" s="35"/>
      <c r="AL2230" s="35"/>
    </row>
    <row r="2231">
      <c r="A2231" s="133"/>
      <c r="B2231" s="19" t="s">
        <v>10848</v>
      </c>
      <c r="C2231" s="20" t="s">
        <v>10871</v>
      </c>
      <c r="D2231" s="47"/>
      <c r="E2231" s="22" t="s">
        <v>11085</v>
      </c>
      <c r="F2231" s="22" t="s">
        <v>11086</v>
      </c>
      <c r="G2231" s="23">
        <v>2018.0</v>
      </c>
      <c r="H2231" s="22" t="s">
        <v>11087</v>
      </c>
      <c r="I2231" s="24" t="s">
        <v>11088</v>
      </c>
      <c r="J2231" s="22" t="s">
        <v>11089</v>
      </c>
      <c r="K2231" s="22"/>
      <c r="L2231" s="43" t="s">
        <v>11090</v>
      </c>
      <c r="M2231" s="44"/>
      <c r="N2231" s="44"/>
      <c r="O2231" s="44"/>
      <c r="P2231" s="44"/>
      <c r="Q2231" s="44"/>
      <c r="R2231" s="44"/>
      <c r="S2231" s="44"/>
      <c r="T2231" s="45"/>
      <c r="U2231" s="38" t="str">
        <f>HYPERLINK("https://www.ncbi.nlm.nih.gov/pubmed/29863806","PubMed")</f>
        <v>PubMed</v>
      </c>
      <c r="V2231" s="30"/>
      <c r="W2231" s="49"/>
      <c r="X2231" s="49"/>
      <c r="Y2231" s="35"/>
      <c r="Z2231" s="35"/>
      <c r="AA2231" s="35"/>
      <c r="AB2231" s="35"/>
      <c r="AC2231" s="35"/>
      <c r="AD2231" s="35"/>
      <c r="AE2231" s="35"/>
      <c r="AF2231" s="35"/>
      <c r="AG2231" s="35"/>
      <c r="AH2231" s="35"/>
      <c r="AI2231" s="35"/>
      <c r="AJ2231" s="35"/>
      <c r="AK2231" s="35"/>
      <c r="AL2231" s="35"/>
    </row>
    <row r="2232">
      <c r="A2232" s="133"/>
      <c r="B2232" s="19" t="s">
        <v>10848</v>
      </c>
      <c r="C2232" s="20" t="s">
        <v>10871</v>
      </c>
      <c r="D2232" s="47"/>
      <c r="E2232" s="22" t="s">
        <v>7486</v>
      </c>
      <c r="F2232" s="22" t="s">
        <v>1075</v>
      </c>
      <c r="G2232" s="23">
        <v>2018.0</v>
      </c>
      <c r="H2232" s="22" t="s">
        <v>8086</v>
      </c>
      <c r="I2232" s="24" t="s">
        <v>11091</v>
      </c>
      <c r="J2232" s="22" t="s">
        <v>1078</v>
      </c>
      <c r="K2232" s="22"/>
      <c r="L2232" s="43" t="s">
        <v>11092</v>
      </c>
      <c r="M2232" s="44"/>
      <c r="N2232" s="44"/>
      <c r="O2232" s="44"/>
      <c r="P2232" s="44"/>
      <c r="Q2232" s="44"/>
      <c r="R2232" s="44"/>
      <c r="S2232" s="44"/>
      <c r="T2232" s="45"/>
      <c r="U2232" s="38" t="str">
        <f>HYPERLINK("https://www.ncbi.nlm.nih.gov/pubmed/29797431","PubMed")</f>
        <v>PubMed</v>
      </c>
      <c r="V2232" s="30"/>
      <c r="W2232" s="49"/>
      <c r="X2232" s="49"/>
      <c r="Y2232" s="35"/>
      <c r="Z2232" s="35"/>
      <c r="AA2232" s="35"/>
      <c r="AB2232" s="35"/>
      <c r="AC2232" s="35"/>
      <c r="AD2232" s="35"/>
      <c r="AE2232" s="35"/>
      <c r="AF2232" s="35"/>
      <c r="AG2232" s="35"/>
      <c r="AH2232" s="35"/>
      <c r="AI2232" s="35"/>
      <c r="AJ2232" s="35"/>
      <c r="AK2232" s="35"/>
      <c r="AL2232" s="35"/>
    </row>
    <row r="2233">
      <c r="A2233" s="133"/>
      <c r="B2233" s="19" t="s">
        <v>10848</v>
      </c>
      <c r="C2233" s="20" t="s">
        <v>10871</v>
      </c>
      <c r="D2233" s="47"/>
      <c r="E2233" s="22" t="s">
        <v>7209</v>
      </c>
      <c r="F2233" s="22" t="s">
        <v>1891</v>
      </c>
      <c r="G2233" s="23">
        <v>2018.0</v>
      </c>
      <c r="H2233" s="22" t="s">
        <v>7178</v>
      </c>
      <c r="I2233" s="24" t="s">
        <v>11093</v>
      </c>
      <c r="J2233" s="22" t="s">
        <v>11094</v>
      </c>
      <c r="K2233" s="22" t="s">
        <v>11095</v>
      </c>
      <c r="L2233" s="36">
        <v>785.0</v>
      </c>
      <c r="M2233" s="36" t="s">
        <v>11096</v>
      </c>
      <c r="N2233" s="36"/>
      <c r="O2233" s="36"/>
      <c r="P2233" s="37"/>
      <c r="Q2233" s="36"/>
      <c r="R2233" s="36">
        <v>1200.0</v>
      </c>
      <c r="S2233" s="36" t="s">
        <v>11097</v>
      </c>
      <c r="T2233" s="28" t="s">
        <v>11098</v>
      </c>
      <c r="U2233" s="38" t="str">
        <f>HYPERLINK("https://www.ncbi.nlm.nih.gov/pubmed/30027912","PubMed")</f>
        <v>PubMed</v>
      </c>
      <c r="V2233" s="30" t="s">
        <v>11099</v>
      </c>
      <c r="W2233" s="49"/>
      <c r="X2233" s="49"/>
      <c r="Y2233" s="35"/>
      <c r="Z2233" s="35"/>
      <c r="AA2233" s="35"/>
      <c r="AB2233" s="35"/>
      <c r="AC2233" s="35"/>
      <c r="AD2233" s="35"/>
      <c r="AE2233" s="35"/>
      <c r="AF2233" s="35"/>
      <c r="AG2233" s="35"/>
      <c r="AH2233" s="35"/>
      <c r="AI2233" s="35"/>
      <c r="AJ2233" s="35"/>
      <c r="AK2233" s="35"/>
      <c r="AL2233" s="35"/>
    </row>
    <row r="2234">
      <c r="A2234" s="133"/>
      <c r="B2234" s="19" t="s">
        <v>10848</v>
      </c>
      <c r="C2234" s="20" t="s">
        <v>10871</v>
      </c>
      <c r="D2234" s="47"/>
      <c r="E2234" s="22" t="s">
        <v>7266</v>
      </c>
      <c r="F2234" s="22" t="s">
        <v>8199</v>
      </c>
      <c r="G2234" s="23">
        <v>2018.0</v>
      </c>
      <c r="H2234" s="22" t="s">
        <v>10966</v>
      </c>
      <c r="I2234" s="24" t="s">
        <v>11100</v>
      </c>
      <c r="J2234" s="22" t="s">
        <v>125</v>
      </c>
      <c r="K2234" s="22"/>
      <c r="L2234" s="43" t="s">
        <v>11101</v>
      </c>
      <c r="M2234" s="44"/>
      <c r="N2234" s="44"/>
      <c r="O2234" s="44"/>
      <c r="P2234" s="44"/>
      <c r="Q2234" s="44"/>
      <c r="R2234" s="44"/>
      <c r="S2234" s="44"/>
      <c r="T2234" s="45"/>
      <c r="U2234" s="38" t="str">
        <f>HYPERLINK("https://www.ncbi.nlm.nih.gov/pubmed/29108548","PubMed")</f>
        <v>PubMed</v>
      </c>
      <c r="V2234" s="30"/>
      <c r="W2234" s="49"/>
      <c r="X2234" s="49"/>
      <c r="Y2234" s="35"/>
      <c r="Z2234" s="35"/>
      <c r="AA2234" s="35"/>
      <c r="AB2234" s="35"/>
      <c r="AC2234" s="35"/>
      <c r="AD2234" s="35"/>
      <c r="AE2234" s="35"/>
      <c r="AF2234" s="35"/>
      <c r="AG2234" s="35"/>
      <c r="AH2234" s="35"/>
      <c r="AI2234" s="35"/>
      <c r="AJ2234" s="35"/>
      <c r="AK2234" s="35"/>
      <c r="AL2234" s="35"/>
    </row>
    <row r="2235">
      <c r="A2235" s="133"/>
      <c r="B2235" s="19" t="s">
        <v>10848</v>
      </c>
      <c r="C2235" s="20" t="s">
        <v>10871</v>
      </c>
      <c r="D2235" s="47"/>
      <c r="E2235" s="22" t="s">
        <v>10858</v>
      </c>
      <c r="F2235" s="22" t="s">
        <v>6963</v>
      </c>
      <c r="G2235" s="23">
        <v>2018.0</v>
      </c>
      <c r="H2235" s="22" t="s">
        <v>91</v>
      </c>
      <c r="I2235" s="24" t="s">
        <v>11102</v>
      </c>
      <c r="J2235" s="22" t="s">
        <v>125</v>
      </c>
      <c r="K2235" s="22"/>
      <c r="L2235" s="43" t="s">
        <v>11103</v>
      </c>
      <c r="M2235" s="44"/>
      <c r="N2235" s="44"/>
      <c r="O2235" s="44"/>
      <c r="P2235" s="44"/>
      <c r="Q2235" s="44"/>
      <c r="R2235" s="44"/>
      <c r="S2235" s="44"/>
      <c r="T2235" s="45"/>
      <c r="U2235" s="38" t="str">
        <f>HYPERLINK("https://www.ncbi.nlm.nih.gov/pubmed/29270707","PubMed")</f>
        <v>PubMed</v>
      </c>
      <c r="V2235" s="30"/>
      <c r="W2235" s="49"/>
      <c r="X2235" s="49"/>
      <c r="Y2235" s="35"/>
      <c r="Z2235" s="35"/>
      <c r="AA2235" s="35"/>
      <c r="AB2235" s="35"/>
      <c r="AC2235" s="35"/>
      <c r="AD2235" s="35"/>
      <c r="AE2235" s="35"/>
      <c r="AF2235" s="35"/>
      <c r="AG2235" s="35"/>
      <c r="AH2235" s="35"/>
      <c r="AI2235" s="35"/>
      <c r="AJ2235" s="35"/>
      <c r="AK2235" s="35"/>
      <c r="AL2235" s="35"/>
    </row>
    <row r="2236">
      <c r="A2236" s="133"/>
      <c r="B2236" s="19" t="s">
        <v>10848</v>
      </c>
      <c r="C2236" s="20" t="s">
        <v>10871</v>
      </c>
      <c r="D2236" s="47"/>
      <c r="E2236" s="22" t="s">
        <v>11104</v>
      </c>
      <c r="F2236" s="22" t="s">
        <v>2208</v>
      </c>
      <c r="G2236" s="23">
        <v>2017.0</v>
      </c>
      <c r="H2236" s="22" t="s">
        <v>169</v>
      </c>
      <c r="I2236" s="24" t="s">
        <v>11105</v>
      </c>
      <c r="J2236" s="22" t="s">
        <v>649</v>
      </c>
      <c r="K2236" s="22"/>
      <c r="L2236" s="43" t="s">
        <v>11106</v>
      </c>
      <c r="M2236" s="44"/>
      <c r="N2236" s="44"/>
      <c r="O2236" s="44"/>
      <c r="P2236" s="44"/>
      <c r="Q2236" s="44"/>
      <c r="R2236" s="44"/>
      <c r="S2236" s="44"/>
      <c r="T2236" s="45"/>
      <c r="U2236" s="38" t="str">
        <f>HYPERLINK("https://www.ncbi.nlm.nih.gov/pubmed/29286826","PubMed")</f>
        <v>PubMed</v>
      </c>
      <c r="V2236" s="30"/>
      <c r="W2236" s="49"/>
      <c r="X2236" s="49"/>
      <c r="Y2236" s="35"/>
      <c r="Z2236" s="35"/>
      <c r="AA2236" s="35"/>
      <c r="AB2236" s="35"/>
      <c r="AC2236" s="35"/>
      <c r="AD2236" s="35"/>
      <c r="AE2236" s="35"/>
      <c r="AF2236" s="35"/>
      <c r="AG2236" s="35"/>
      <c r="AH2236" s="35"/>
      <c r="AI2236" s="35"/>
      <c r="AJ2236" s="35"/>
      <c r="AK2236" s="35"/>
      <c r="AL2236" s="35"/>
    </row>
    <row r="2237">
      <c r="A2237" s="133"/>
      <c r="B2237" s="19" t="s">
        <v>10848</v>
      </c>
      <c r="C2237" s="20" t="s">
        <v>10871</v>
      </c>
      <c r="D2237" s="47"/>
      <c r="E2237" s="22" t="s">
        <v>11107</v>
      </c>
      <c r="F2237" s="22" t="s">
        <v>10377</v>
      </c>
      <c r="G2237" s="23">
        <v>2017.0</v>
      </c>
      <c r="H2237" s="22" t="s">
        <v>169</v>
      </c>
      <c r="I2237" s="24" t="s">
        <v>11108</v>
      </c>
      <c r="J2237" s="22" t="s">
        <v>11109</v>
      </c>
      <c r="K2237" s="22"/>
      <c r="L2237" s="105" t="s">
        <v>11110</v>
      </c>
      <c r="M2237" s="44"/>
      <c r="N2237" s="44"/>
      <c r="O2237" s="44"/>
      <c r="P2237" s="44"/>
      <c r="Q2237" s="44"/>
      <c r="R2237" s="44"/>
      <c r="S2237" s="44"/>
      <c r="T2237" s="45"/>
      <c r="U2237" s="38" t="str">
        <f>HYPERLINK("https://www.ncbi.nlm.nih.gov/pubmed/29020478","PubMed")</f>
        <v>PubMed</v>
      </c>
      <c r="V2237" s="30"/>
      <c r="W2237" s="49"/>
      <c r="X2237" s="49"/>
      <c r="Y2237" s="35"/>
      <c r="Z2237" s="35"/>
      <c r="AA2237" s="35"/>
      <c r="AB2237" s="35"/>
      <c r="AC2237" s="35"/>
      <c r="AD2237" s="35"/>
      <c r="AE2237" s="35"/>
      <c r="AF2237" s="35"/>
      <c r="AG2237" s="35"/>
      <c r="AH2237" s="35"/>
      <c r="AI2237" s="35"/>
      <c r="AJ2237" s="35"/>
      <c r="AK2237" s="35"/>
      <c r="AL2237" s="35"/>
    </row>
    <row r="2238">
      <c r="A2238" s="133"/>
      <c r="B2238" s="19" t="s">
        <v>10848</v>
      </c>
      <c r="C2238" s="20" t="s">
        <v>10871</v>
      </c>
      <c r="D2238" s="47"/>
      <c r="E2238" s="22" t="s">
        <v>11111</v>
      </c>
      <c r="F2238" s="22" t="s">
        <v>323</v>
      </c>
      <c r="G2238" s="23">
        <v>2017.0</v>
      </c>
      <c r="H2238" s="22" t="s">
        <v>169</v>
      </c>
      <c r="I2238" s="24" t="s">
        <v>11112</v>
      </c>
      <c r="J2238" s="22" t="s">
        <v>11113</v>
      </c>
      <c r="K2238" s="22" t="s">
        <v>11114</v>
      </c>
      <c r="L2238" s="36" t="s">
        <v>11115</v>
      </c>
      <c r="M2238" s="36"/>
      <c r="N2238" s="36"/>
      <c r="O2238" s="36"/>
      <c r="P2238" s="37" t="s">
        <v>11116</v>
      </c>
      <c r="Q2238" s="36"/>
      <c r="R2238" s="36"/>
      <c r="S2238" s="36" t="s">
        <v>11117</v>
      </c>
      <c r="T2238" s="28" t="s">
        <v>11118</v>
      </c>
      <c r="U2238" s="38" t="str">
        <f>HYPERLINK("https://www.ncbi.nlm.nih.gov/pubmed/28513251","PubMed")</f>
        <v>PubMed</v>
      </c>
      <c r="V2238" s="30"/>
      <c r="W2238" s="49"/>
      <c r="X2238" s="49"/>
      <c r="Y2238" s="35"/>
      <c r="Z2238" s="35"/>
      <c r="AA2238" s="35"/>
      <c r="AB2238" s="35"/>
      <c r="AC2238" s="35"/>
      <c r="AD2238" s="35"/>
      <c r="AE2238" s="35"/>
      <c r="AF2238" s="35"/>
      <c r="AG2238" s="35"/>
      <c r="AH2238" s="35"/>
      <c r="AI2238" s="35"/>
      <c r="AJ2238" s="35"/>
      <c r="AK2238" s="35"/>
      <c r="AL2238" s="35"/>
    </row>
    <row r="2239">
      <c r="A2239" s="133"/>
      <c r="B2239" s="19" t="s">
        <v>10848</v>
      </c>
      <c r="C2239" s="20" t="s">
        <v>10871</v>
      </c>
      <c r="D2239" s="47"/>
      <c r="E2239" s="22" t="s">
        <v>11119</v>
      </c>
      <c r="F2239" s="22" t="s">
        <v>1943</v>
      </c>
      <c r="G2239" s="23">
        <v>2017.0</v>
      </c>
      <c r="H2239" s="22" t="s">
        <v>53</v>
      </c>
      <c r="I2239" s="24" t="s">
        <v>11120</v>
      </c>
      <c r="J2239" s="22" t="s">
        <v>11121</v>
      </c>
      <c r="K2239" s="22" t="s">
        <v>11122</v>
      </c>
      <c r="L2239" s="36">
        <v>655.0</v>
      </c>
      <c r="M2239" s="36"/>
      <c r="N2239" s="36"/>
      <c r="O2239" s="36"/>
      <c r="P2239" s="37"/>
      <c r="Q2239" s="36"/>
      <c r="R2239" s="36"/>
      <c r="S2239" s="36" t="s">
        <v>11123</v>
      </c>
      <c r="T2239" s="28" t="s">
        <v>11124</v>
      </c>
      <c r="U2239" s="38" t="str">
        <f>HYPERLINK("https://www.ncbi.nlm.nih.gov/pubmed/28489273","PubMed")</f>
        <v>PubMed</v>
      </c>
      <c r="V2239" s="30" t="s">
        <v>11125</v>
      </c>
      <c r="W2239" s="49"/>
      <c r="X2239" s="49"/>
      <c r="Y2239" s="35"/>
      <c r="Z2239" s="35"/>
      <c r="AA2239" s="35"/>
      <c r="AB2239" s="35"/>
      <c r="AC2239" s="35"/>
      <c r="AD2239" s="35"/>
      <c r="AE2239" s="35"/>
      <c r="AF2239" s="35"/>
      <c r="AG2239" s="35"/>
      <c r="AH2239" s="35"/>
      <c r="AI2239" s="35"/>
      <c r="AJ2239" s="35"/>
      <c r="AK2239" s="35"/>
      <c r="AL2239" s="35"/>
    </row>
    <row r="2240">
      <c r="A2240" s="18"/>
      <c r="B2240" s="19" t="s">
        <v>10848</v>
      </c>
      <c r="C2240" s="20" t="s">
        <v>10871</v>
      </c>
      <c r="D2240" s="47"/>
      <c r="E2240" s="22" t="s">
        <v>11126</v>
      </c>
      <c r="F2240" s="22" t="s">
        <v>11127</v>
      </c>
      <c r="G2240" s="23">
        <v>2017.0</v>
      </c>
      <c r="H2240" s="22" t="s">
        <v>7274</v>
      </c>
      <c r="I2240" s="24" t="s">
        <v>11128</v>
      </c>
      <c r="J2240" s="22" t="s">
        <v>1078</v>
      </c>
      <c r="K2240" s="22"/>
      <c r="L2240" s="171" t="s">
        <v>11129</v>
      </c>
      <c r="M2240" s="44"/>
      <c r="N2240" s="44"/>
      <c r="O2240" s="44"/>
      <c r="P2240" s="44"/>
      <c r="Q2240" s="44"/>
      <c r="R2240" s="44"/>
      <c r="S2240" s="44"/>
      <c r="T2240" s="45"/>
      <c r="U2240" s="38" t="str">
        <f>HYPERLINK("https://www.ncbi.nlm.nih.gov/pubmed/28396101","PubMed")</f>
        <v>PubMed</v>
      </c>
      <c r="V2240" s="50"/>
      <c r="W2240" s="49"/>
      <c r="X2240" s="49"/>
      <c r="Y2240" s="35"/>
      <c r="Z2240" s="35"/>
      <c r="AA2240" s="35"/>
      <c r="AB2240" s="35"/>
      <c r="AC2240" s="35"/>
      <c r="AD2240" s="35"/>
      <c r="AE2240" s="35"/>
      <c r="AF2240" s="35"/>
      <c r="AG2240" s="35"/>
      <c r="AH2240" s="35"/>
      <c r="AI2240" s="35"/>
      <c r="AJ2240" s="35"/>
      <c r="AK2240" s="35"/>
      <c r="AL2240" s="35"/>
    </row>
    <row r="2241">
      <c r="A2241" s="133"/>
      <c r="B2241" s="19" t="s">
        <v>10848</v>
      </c>
      <c r="C2241" s="20" t="s">
        <v>10871</v>
      </c>
      <c r="D2241" s="47"/>
      <c r="E2241" s="22" t="s">
        <v>11130</v>
      </c>
      <c r="F2241" s="22" t="s">
        <v>6963</v>
      </c>
      <c r="G2241" s="23">
        <v>2017.0</v>
      </c>
      <c r="H2241" s="22" t="s">
        <v>5489</v>
      </c>
      <c r="I2241" s="24" t="s">
        <v>11131</v>
      </c>
      <c r="J2241" s="22" t="s">
        <v>11132</v>
      </c>
      <c r="K2241" s="22" t="s">
        <v>11133</v>
      </c>
      <c r="L2241" s="36">
        <v>650.0</v>
      </c>
      <c r="M2241" s="36" t="s">
        <v>11134</v>
      </c>
      <c r="N2241" s="36" t="s">
        <v>11135</v>
      </c>
      <c r="O2241" s="36"/>
      <c r="P2241" s="37"/>
      <c r="Q2241" s="36" t="s">
        <v>11136</v>
      </c>
      <c r="R2241" s="36">
        <v>1800.0</v>
      </c>
      <c r="S2241" s="36" t="s">
        <v>11137</v>
      </c>
      <c r="T2241" s="28" t="s">
        <v>11138</v>
      </c>
      <c r="U2241" s="38" t="str">
        <f>HYPERLINK("https://www.ncbi.nlm.nih.gov/pubmed/28328705","PubMed")</f>
        <v>PubMed</v>
      </c>
      <c r="V2241" s="30"/>
      <c r="W2241" s="49"/>
      <c r="X2241" s="49"/>
      <c r="Y2241" s="35"/>
      <c r="Z2241" s="35"/>
      <c r="AA2241" s="35"/>
      <c r="AB2241" s="35"/>
      <c r="AC2241" s="35"/>
      <c r="AD2241" s="35"/>
      <c r="AE2241" s="35"/>
      <c r="AF2241" s="35"/>
      <c r="AG2241" s="35"/>
      <c r="AH2241" s="35"/>
      <c r="AI2241" s="35"/>
      <c r="AJ2241" s="35"/>
      <c r="AK2241" s="35"/>
      <c r="AL2241" s="35"/>
    </row>
    <row r="2242">
      <c r="A2242" s="133"/>
      <c r="B2242" s="19" t="s">
        <v>10848</v>
      </c>
      <c r="C2242" s="20" t="s">
        <v>10871</v>
      </c>
      <c r="D2242" s="47"/>
      <c r="E2242" s="22" t="s">
        <v>11139</v>
      </c>
      <c r="F2242" s="22" t="s">
        <v>3427</v>
      </c>
      <c r="G2242" s="23">
        <v>2016.0</v>
      </c>
      <c r="H2242" s="22" t="s">
        <v>7420</v>
      </c>
      <c r="I2242" s="24" t="s">
        <v>11140</v>
      </c>
      <c r="J2242" s="22" t="s">
        <v>3887</v>
      </c>
      <c r="K2242" s="22"/>
      <c r="L2242" s="105" t="s">
        <v>11141</v>
      </c>
      <c r="M2242" s="44"/>
      <c r="N2242" s="44"/>
      <c r="O2242" s="44"/>
      <c r="P2242" s="44"/>
      <c r="Q2242" s="44"/>
      <c r="R2242" s="44"/>
      <c r="S2242" s="44"/>
      <c r="T2242" s="45"/>
      <c r="U2242" s="38" t="str">
        <f>HYPERLINK("https://www.ncbi.nlm.nih.gov/pubmed/27376766","PubMed")</f>
        <v>PubMed</v>
      </c>
      <c r="V2242" s="30"/>
      <c r="W2242" s="49"/>
      <c r="X2242" s="49"/>
      <c r="Y2242" s="35"/>
      <c r="Z2242" s="35"/>
      <c r="AA2242" s="35"/>
      <c r="AB2242" s="35"/>
      <c r="AC2242" s="35"/>
      <c r="AD2242" s="35"/>
      <c r="AE2242" s="35"/>
      <c r="AF2242" s="35"/>
      <c r="AG2242" s="35"/>
      <c r="AH2242" s="35"/>
      <c r="AI2242" s="35"/>
      <c r="AJ2242" s="35"/>
      <c r="AK2242" s="35"/>
      <c r="AL2242" s="35"/>
    </row>
    <row r="2243">
      <c r="A2243" s="133"/>
      <c r="B2243" s="19" t="s">
        <v>10848</v>
      </c>
      <c r="C2243" s="20" t="s">
        <v>10871</v>
      </c>
      <c r="D2243" s="47"/>
      <c r="E2243" s="22" t="s">
        <v>5071</v>
      </c>
      <c r="F2243" s="22" t="s">
        <v>11142</v>
      </c>
      <c r="G2243" s="23">
        <v>2016.0</v>
      </c>
      <c r="H2243" s="22" t="s">
        <v>7420</v>
      </c>
      <c r="I2243" s="24" t="s">
        <v>11143</v>
      </c>
      <c r="J2243" s="22" t="s">
        <v>125</v>
      </c>
      <c r="K2243" s="22" t="s">
        <v>4202</v>
      </c>
      <c r="L2243" s="195" t="s">
        <v>11144</v>
      </c>
      <c r="M2243" s="44"/>
      <c r="N2243" s="44"/>
      <c r="O2243" s="44"/>
      <c r="P2243" s="44"/>
      <c r="Q2243" s="44"/>
      <c r="R2243" s="44"/>
      <c r="S2243" s="44"/>
      <c r="T2243" s="45"/>
      <c r="U2243" s="38" t="str">
        <f>HYPERLINK("https://www.ncbi.nlm.nih.gov/pubmed/27095546","PubMed")</f>
        <v>PubMed</v>
      </c>
      <c r="V2243" s="30"/>
      <c r="W2243" s="49"/>
      <c r="X2243" s="49"/>
      <c r="Y2243" s="35"/>
      <c r="Z2243" s="35"/>
      <c r="AA2243" s="35"/>
      <c r="AB2243" s="35"/>
      <c r="AC2243" s="35"/>
      <c r="AD2243" s="35"/>
      <c r="AE2243" s="35"/>
      <c r="AF2243" s="35"/>
      <c r="AG2243" s="35"/>
      <c r="AH2243" s="35"/>
      <c r="AI2243" s="35"/>
      <c r="AJ2243" s="35"/>
      <c r="AK2243" s="35"/>
      <c r="AL2243" s="35"/>
    </row>
    <row r="2244">
      <c r="A2244" s="133"/>
      <c r="B2244" s="19" t="s">
        <v>10848</v>
      </c>
      <c r="C2244" s="20" t="s">
        <v>10871</v>
      </c>
      <c r="D2244" s="47"/>
      <c r="E2244" s="22" t="s">
        <v>11145</v>
      </c>
      <c r="F2244" s="22" t="s">
        <v>11146</v>
      </c>
      <c r="G2244" s="23">
        <v>2016.0</v>
      </c>
      <c r="H2244" s="22" t="s">
        <v>5489</v>
      </c>
      <c r="I2244" s="24" t="s">
        <v>11147</v>
      </c>
      <c r="J2244" s="22" t="s">
        <v>649</v>
      </c>
      <c r="K2244" s="22" t="s">
        <v>11148</v>
      </c>
      <c r="L2244" s="195" t="s">
        <v>11149</v>
      </c>
      <c r="M2244" s="44"/>
      <c r="N2244" s="44"/>
      <c r="O2244" s="44"/>
      <c r="P2244" s="44"/>
      <c r="Q2244" s="44"/>
      <c r="R2244" s="44"/>
      <c r="S2244" s="44"/>
      <c r="T2244" s="45"/>
      <c r="U2244" s="38" t="str">
        <f>HYPERLINK("https://www.ncbi.nlm.nih.gov/pubmed/27618394","PubMed")</f>
        <v>PubMed</v>
      </c>
      <c r="V2244" s="30"/>
      <c r="W2244" s="49"/>
      <c r="X2244" s="49"/>
      <c r="Y2244" s="35"/>
      <c r="Z2244" s="35"/>
      <c r="AA2244" s="35"/>
      <c r="AB2244" s="35"/>
      <c r="AC2244" s="35"/>
      <c r="AD2244" s="35"/>
      <c r="AE2244" s="35"/>
      <c r="AF2244" s="35"/>
      <c r="AG2244" s="35"/>
      <c r="AH2244" s="35"/>
      <c r="AI2244" s="35"/>
      <c r="AJ2244" s="35"/>
      <c r="AK2244" s="35"/>
      <c r="AL2244" s="35"/>
    </row>
    <row r="2245">
      <c r="A2245" s="133"/>
      <c r="B2245" s="19" t="s">
        <v>10848</v>
      </c>
      <c r="C2245" s="20" t="s">
        <v>10871</v>
      </c>
      <c r="D2245" s="47"/>
      <c r="E2245" s="22" t="s">
        <v>11150</v>
      </c>
      <c r="F2245" s="22" t="s">
        <v>11151</v>
      </c>
      <c r="G2245" s="23">
        <v>2016.0</v>
      </c>
      <c r="H2245" s="22" t="s">
        <v>53</v>
      </c>
      <c r="I2245" s="24" t="s">
        <v>11152</v>
      </c>
      <c r="J2245" s="22" t="s">
        <v>649</v>
      </c>
      <c r="K2245" s="22" t="s">
        <v>10871</v>
      </c>
      <c r="L2245" s="105" t="s">
        <v>11153</v>
      </c>
      <c r="M2245" s="44"/>
      <c r="N2245" s="44"/>
      <c r="O2245" s="44"/>
      <c r="P2245" s="44"/>
      <c r="Q2245" s="44"/>
      <c r="R2245" s="44"/>
      <c r="S2245" s="44"/>
      <c r="T2245" s="45"/>
      <c r="U2245" s="38" t="str">
        <f>HYPERLINK("https://www.ncbi.nlm.nih.gov/pubmed/27114071","PubMed")</f>
        <v>PubMed</v>
      </c>
      <c r="V2245" s="30"/>
      <c r="W2245" s="49"/>
      <c r="X2245" s="49"/>
      <c r="Y2245" s="35"/>
      <c r="Z2245" s="35"/>
      <c r="AA2245" s="35"/>
      <c r="AB2245" s="35"/>
      <c r="AC2245" s="35"/>
      <c r="AD2245" s="35"/>
      <c r="AE2245" s="35"/>
      <c r="AF2245" s="35"/>
      <c r="AG2245" s="35"/>
      <c r="AH2245" s="35"/>
      <c r="AI2245" s="35"/>
      <c r="AJ2245" s="35"/>
      <c r="AK2245" s="35"/>
      <c r="AL2245" s="35"/>
    </row>
    <row r="2246">
      <c r="A2246" s="242" t="s">
        <v>2</v>
      </c>
      <c r="B2246" s="19" t="s">
        <v>10848</v>
      </c>
      <c r="C2246" s="20" t="s">
        <v>10871</v>
      </c>
      <c r="D2246" s="47"/>
      <c r="E2246" s="22" t="s">
        <v>11154</v>
      </c>
      <c r="F2246" s="22" t="s">
        <v>6963</v>
      </c>
      <c r="G2246" s="23">
        <v>2014.0</v>
      </c>
      <c r="H2246" s="22" t="s">
        <v>7314</v>
      </c>
      <c r="I2246" s="24" t="s">
        <v>11155</v>
      </c>
      <c r="J2246" s="22" t="s">
        <v>11156</v>
      </c>
      <c r="K2246" s="22" t="s">
        <v>11157</v>
      </c>
      <c r="L2246" s="36" t="s">
        <v>11158</v>
      </c>
      <c r="M2246" s="36"/>
      <c r="N2246" s="36"/>
      <c r="O2246" s="36"/>
      <c r="P2246" s="37"/>
      <c r="Q2246" s="36"/>
      <c r="R2246" s="36"/>
      <c r="S2246" s="36" t="s">
        <v>11159</v>
      </c>
      <c r="T2246" s="28" t="s">
        <v>11160</v>
      </c>
      <c r="U2246" s="38" t="str">
        <f>HYPERLINK("https://www.ncbi.nlm.nih.gov/pubmed/24474647","PubMed")</f>
        <v>PubMed</v>
      </c>
      <c r="V2246" s="30" t="s">
        <v>11161</v>
      </c>
      <c r="W2246" s="49"/>
      <c r="X2246" s="49"/>
      <c r="Y2246" s="35"/>
      <c r="Z2246" s="35"/>
      <c r="AA2246" s="35"/>
      <c r="AB2246" s="35"/>
      <c r="AC2246" s="35"/>
      <c r="AD2246" s="35"/>
      <c r="AE2246" s="35"/>
      <c r="AF2246" s="35"/>
      <c r="AG2246" s="35"/>
      <c r="AH2246" s="35"/>
      <c r="AI2246" s="35"/>
      <c r="AJ2246" s="35"/>
      <c r="AK2246" s="35"/>
      <c r="AL2246" s="35"/>
    </row>
    <row r="2247">
      <c r="A2247" s="133"/>
      <c r="B2247" s="19" t="s">
        <v>10848</v>
      </c>
      <c r="C2247" s="20" t="s">
        <v>10871</v>
      </c>
      <c r="D2247" s="47"/>
      <c r="E2247" s="22" t="s">
        <v>11162</v>
      </c>
      <c r="F2247" s="22" t="s">
        <v>11163</v>
      </c>
      <c r="G2247" s="23">
        <v>2014.0</v>
      </c>
      <c r="H2247" s="22" t="s">
        <v>10907</v>
      </c>
      <c r="I2247" s="24" t="s">
        <v>11164</v>
      </c>
      <c r="J2247" s="22" t="s">
        <v>11165</v>
      </c>
      <c r="K2247" s="22" t="s">
        <v>10871</v>
      </c>
      <c r="L2247" s="36">
        <v>655.0</v>
      </c>
      <c r="M2247" s="36"/>
      <c r="N2247" s="36"/>
      <c r="O2247" s="36"/>
      <c r="P2247" s="37"/>
      <c r="Q2247" s="36"/>
      <c r="R2247" s="36"/>
      <c r="S2247" s="36" t="s">
        <v>11166</v>
      </c>
      <c r="T2247" s="28" t="s">
        <v>11167</v>
      </c>
      <c r="U2247" s="38" t="str">
        <f>HYPERLINK("https://www.ncbi.nlm.nih.gov/pubmed/25191036","PubMed")</f>
        <v>PubMed</v>
      </c>
      <c r="V2247" s="30" t="s">
        <v>11168</v>
      </c>
      <c r="W2247" s="49"/>
      <c r="X2247" s="49"/>
      <c r="Y2247" s="35"/>
      <c r="Z2247" s="35"/>
      <c r="AA2247" s="35"/>
      <c r="AB2247" s="35"/>
      <c r="AC2247" s="35"/>
      <c r="AD2247" s="35"/>
      <c r="AE2247" s="35"/>
      <c r="AF2247" s="35"/>
      <c r="AG2247" s="35"/>
      <c r="AH2247" s="35"/>
      <c r="AI2247" s="35"/>
      <c r="AJ2247" s="35"/>
      <c r="AK2247" s="35"/>
      <c r="AL2247" s="35"/>
    </row>
    <row r="2248">
      <c r="A2248" s="133"/>
      <c r="B2248" s="19" t="s">
        <v>10848</v>
      </c>
      <c r="C2248" s="20" t="s">
        <v>10871</v>
      </c>
      <c r="D2248" s="47"/>
      <c r="E2248" s="22" t="s">
        <v>11169</v>
      </c>
      <c r="F2248" s="22" t="s">
        <v>5227</v>
      </c>
      <c r="G2248" s="23">
        <v>2014.0</v>
      </c>
      <c r="H2248" s="22" t="s">
        <v>53</v>
      </c>
      <c r="I2248" s="24" t="s">
        <v>11170</v>
      </c>
      <c r="J2248" s="22" t="s">
        <v>11171</v>
      </c>
      <c r="K2248" s="22" t="s">
        <v>11172</v>
      </c>
      <c r="L2248" s="36">
        <v>655.0</v>
      </c>
      <c r="M2248" s="36"/>
      <c r="N2248" s="36"/>
      <c r="O2248" s="36"/>
      <c r="P2248" s="37" t="s">
        <v>11173</v>
      </c>
      <c r="Q2248" s="36"/>
      <c r="R2248" s="36">
        <v>1500.0</v>
      </c>
      <c r="S2248" s="36" t="s">
        <v>11174</v>
      </c>
      <c r="T2248" s="28" t="s">
        <v>11175</v>
      </c>
      <c r="U2248" s="38" t="str">
        <f>HYPERLINK("https://www.ncbi.nlm.nih.gov/pubmed/25124964","PubMed")</f>
        <v>PubMed</v>
      </c>
      <c r="V2248" s="30" t="s">
        <v>11176</v>
      </c>
      <c r="W2248" s="49"/>
      <c r="X2248" s="49"/>
      <c r="Y2248" s="35"/>
      <c r="Z2248" s="35"/>
      <c r="AA2248" s="35"/>
      <c r="AB2248" s="35"/>
      <c r="AC2248" s="35"/>
      <c r="AD2248" s="35"/>
      <c r="AE2248" s="35"/>
      <c r="AF2248" s="35"/>
      <c r="AG2248" s="35"/>
      <c r="AH2248" s="35"/>
      <c r="AI2248" s="35"/>
      <c r="AJ2248" s="35"/>
      <c r="AK2248" s="35"/>
      <c r="AL2248" s="35"/>
    </row>
    <row r="2249">
      <c r="A2249" s="133"/>
      <c r="B2249" s="19" t="s">
        <v>10848</v>
      </c>
      <c r="C2249" s="20" t="s">
        <v>10871</v>
      </c>
      <c r="D2249" s="47"/>
      <c r="E2249" s="22" t="s">
        <v>11177</v>
      </c>
      <c r="F2249" s="22" t="s">
        <v>6349</v>
      </c>
      <c r="G2249" s="23">
        <v>2014.0</v>
      </c>
      <c r="H2249" s="22" t="s">
        <v>11178</v>
      </c>
      <c r="I2249" s="24" t="s">
        <v>11179</v>
      </c>
      <c r="J2249" s="22" t="s">
        <v>11180</v>
      </c>
      <c r="K2249" s="22"/>
      <c r="L2249" s="36" t="s">
        <v>58</v>
      </c>
      <c r="M2249" s="36" t="s">
        <v>58</v>
      </c>
      <c r="N2249" s="36" t="s">
        <v>58</v>
      </c>
      <c r="O2249" s="36" t="s">
        <v>58</v>
      </c>
      <c r="P2249" s="37" t="s">
        <v>58</v>
      </c>
      <c r="Q2249" s="36" t="s">
        <v>58</v>
      </c>
      <c r="R2249" s="36" t="s">
        <v>11181</v>
      </c>
      <c r="S2249" s="36" t="s">
        <v>1773</v>
      </c>
      <c r="T2249" s="28" t="s">
        <v>11182</v>
      </c>
      <c r="U2249" s="38" t="s">
        <v>61</v>
      </c>
      <c r="V2249" s="30" t="s">
        <v>11183</v>
      </c>
      <c r="W2249" s="49"/>
      <c r="X2249" s="49"/>
      <c r="Y2249" s="35"/>
      <c r="Z2249" s="35"/>
      <c r="AA2249" s="35"/>
      <c r="AB2249" s="35"/>
      <c r="AC2249" s="35"/>
      <c r="AD2249" s="35"/>
      <c r="AE2249" s="35"/>
      <c r="AF2249" s="35"/>
      <c r="AG2249" s="35"/>
      <c r="AH2249" s="35"/>
      <c r="AI2249" s="35"/>
      <c r="AJ2249" s="35"/>
      <c r="AK2249" s="35"/>
      <c r="AL2249" s="35"/>
    </row>
    <row r="2250">
      <c r="A2250" s="133"/>
      <c r="B2250" s="19" t="s">
        <v>10848</v>
      </c>
      <c r="C2250" s="20" t="s">
        <v>10871</v>
      </c>
      <c r="D2250" s="47"/>
      <c r="E2250" s="22" t="s">
        <v>11184</v>
      </c>
      <c r="F2250" s="22" t="s">
        <v>2445</v>
      </c>
      <c r="G2250" s="23">
        <v>2014.0</v>
      </c>
      <c r="H2250" s="22" t="s">
        <v>7308</v>
      </c>
      <c r="I2250" s="24" t="s">
        <v>11185</v>
      </c>
      <c r="J2250" s="22" t="s">
        <v>125</v>
      </c>
      <c r="K2250" s="22" t="s">
        <v>10871</v>
      </c>
      <c r="L2250" s="167"/>
      <c r="M2250" s="44"/>
      <c r="N2250" s="44"/>
      <c r="O2250" s="44"/>
      <c r="P2250" s="44"/>
      <c r="Q2250" s="44"/>
      <c r="R2250" s="44"/>
      <c r="S2250" s="44"/>
      <c r="T2250" s="45"/>
      <c r="U2250" s="38" t="str">
        <f>HYPERLINK("https://www.ncbi.nlm.nih.gov/pubmed/23924031","PubMed")</f>
        <v>PubMed</v>
      </c>
      <c r="V2250" s="30"/>
      <c r="W2250" s="49"/>
      <c r="X2250" s="49"/>
      <c r="Y2250" s="35"/>
      <c r="Z2250" s="35"/>
      <c r="AA2250" s="35"/>
      <c r="AB2250" s="35"/>
      <c r="AC2250" s="35"/>
      <c r="AD2250" s="35"/>
      <c r="AE2250" s="35"/>
      <c r="AF2250" s="35"/>
      <c r="AG2250" s="35"/>
      <c r="AH2250" s="35"/>
      <c r="AI2250" s="35"/>
      <c r="AJ2250" s="35"/>
      <c r="AK2250" s="35"/>
      <c r="AL2250" s="35"/>
    </row>
    <row r="2251">
      <c r="A2251" s="133"/>
      <c r="B2251" s="19" t="s">
        <v>10848</v>
      </c>
      <c r="C2251" s="20" t="s">
        <v>10871</v>
      </c>
      <c r="D2251" s="47"/>
      <c r="E2251" s="22" t="s">
        <v>8393</v>
      </c>
      <c r="F2251" s="22" t="s">
        <v>2407</v>
      </c>
      <c r="G2251" s="23">
        <v>2014.0</v>
      </c>
      <c r="H2251" s="22" t="s">
        <v>53</v>
      </c>
      <c r="I2251" s="24" t="s">
        <v>11186</v>
      </c>
      <c r="J2251" s="22" t="s">
        <v>125</v>
      </c>
      <c r="K2251" s="22" t="s">
        <v>11187</v>
      </c>
      <c r="L2251" s="105" t="s">
        <v>11188</v>
      </c>
      <c r="M2251" s="44"/>
      <c r="N2251" s="44"/>
      <c r="O2251" s="44"/>
      <c r="P2251" s="44"/>
      <c r="Q2251" s="44"/>
      <c r="R2251" s="44"/>
      <c r="S2251" s="44"/>
      <c r="T2251" s="45"/>
      <c r="U2251" s="38" t="str">
        <f>HYPERLINK("https://www.ncbi.nlm.nih.gov/pubmed/23970445","PubMed")</f>
        <v>PubMed</v>
      </c>
      <c r="V2251" s="30"/>
      <c r="W2251" s="49"/>
      <c r="X2251" s="49"/>
      <c r="Y2251" s="35"/>
      <c r="Z2251" s="35"/>
      <c r="AA2251" s="35"/>
      <c r="AB2251" s="35"/>
      <c r="AC2251" s="35"/>
      <c r="AD2251" s="35"/>
      <c r="AE2251" s="35"/>
      <c r="AF2251" s="35"/>
      <c r="AG2251" s="35"/>
      <c r="AH2251" s="35"/>
      <c r="AI2251" s="35"/>
      <c r="AJ2251" s="35"/>
      <c r="AK2251" s="35"/>
      <c r="AL2251" s="35"/>
    </row>
    <row r="2252">
      <c r="A2252" s="133"/>
      <c r="B2252" s="19" t="s">
        <v>10848</v>
      </c>
      <c r="C2252" s="20" t="s">
        <v>10871</v>
      </c>
      <c r="D2252" s="47"/>
      <c r="E2252" s="22" t="s">
        <v>11189</v>
      </c>
      <c r="F2252" s="22" t="s">
        <v>11190</v>
      </c>
      <c r="G2252" s="23">
        <v>2013.0</v>
      </c>
      <c r="H2252" s="22" t="s">
        <v>11191</v>
      </c>
      <c r="I2252" s="24" t="s">
        <v>11192</v>
      </c>
      <c r="J2252" s="22" t="s">
        <v>125</v>
      </c>
      <c r="K2252" s="22" t="s">
        <v>11187</v>
      </c>
      <c r="L2252" s="43" t="s">
        <v>11193</v>
      </c>
      <c r="M2252" s="44"/>
      <c r="N2252" s="44"/>
      <c r="O2252" s="44"/>
      <c r="P2252" s="44"/>
      <c r="Q2252" s="44"/>
      <c r="R2252" s="44"/>
      <c r="S2252" s="44"/>
      <c r="T2252" s="45"/>
      <c r="U2252" s="38" t="str">
        <f>HYPERLINK("https://www.ncbi.nlm.nih.gov/pubmed/24017975","PubMed")</f>
        <v>PubMed</v>
      </c>
      <c r="V2252" s="30"/>
      <c r="W2252" s="49"/>
      <c r="X2252" s="49"/>
      <c r="Y2252" s="35"/>
      <c r="Z2252" s="35"/>
      <c r="AA2252" s="35"/>
      <c r="AB2252" s="35"/>
      <c r="AC2252" s="35"/>
      <c r="AD2252" s="35"/>
      <c r="AE2252" s="35"/>
      <c r="AF2252" s="35"/>
      <c r="AG2252" s="35"/>
      <c r="AH2252" s="35"/>
      <c r="AI2252" s="35"/>
      <c r="AJ2252" s="35"/>
      <c r="AK2252" s="35"/>
      <c r="AL2252" s="35"/>
    </row>
    <row r="2253">
      <c r="A2253" s="133"/>
      <c r="B2253" s="19" t="s">
        <v>10848</v>
      </c>
      <c r="C2253" s="20" t="s">
        <v>10871</v>
      </c>
      <c r="D2253" s="47"/>
      <c r="E2253" s="22" t="s">
        <v>11169</v>
      </c>
      <c r="F2253" s="22" t="s">
        <v>5227</v>
      </c>
      <c r="G2253" s="23">
        <v>2013.0</v>
      </c>
      <c r="H2253" s="22" t="s">
        <v>53</v>
      </c>
      <c r="I2253" s="24" t="s">
        <v>11194</v>
      </c>
      <c r="J2253" s="22" t="s">
        <v>11195</v>
      </c>
      <c r="K2253" s="22" t="s">
        <v>11172</v>
      </c>
      <c r="L2253" s="36">
        <v>655.0</v>
      </c>
      <c r="M2253" s="36"/>
      <c r="N2253" s="36"/>
      <c r="O2253" s="36"/>
      <c r="P2253" s="37"/>
      <c r="Q2253" s="36"/>
      <c r="R2253" s="36"/>
      <c r="S2253" s="36">
        <v>60.0</v>
      </c>
      <c r="T2253" s="28" t="s">
        <v>11196</v>
      </c>
      <c r="U2253" s="38" t="str">
        <f>HYPERLINK("https://www.ncbi.nlm.nih.gov/pubmed/24078483","PubMed")</f>
        <v>PubMed</v>
      </c>
      <c r="V2253" s="30" t="s">
        <v>11197</v>
      </c>
      <c r="W2253" s="49"/>
      <c r="X2253" s="49"/>
      <c r="Y2253" s="35"/>
      <c r="Z2253" s="35"/>
      <c r="AA2253" s="35"/>
      <c r="AB2253" s="35"/>
      <c r="AC2253" s="35"/>
      <c r="AD2253" s="35"/>
      <c r="AE2253" s="35"/>
      <c r="AF2253" s="35"/>
      <c r="AG2253" s="35"/>
      <c r="AH2253" s="35"/>
      <c r="AI2253" s="35"/>
      <c r="AJ2253" s="35"/>
      <c r="AK2253" s="35"/>
      <c r="AL2253" s="35"/>
    </row>
    <row r="2254">
      <c r="A2254" s="133"/>
      <c r="B2254" s="19" t="s">
        <v>10848</v>
      </c>
      <c r="C2254" s="20" t="s">
        <v>10871</v>
      </c>
      <c r="D2254" s="47"/>
      <c r="E2254" s="22" t="s">
        <v>1080</v>
      </c>
      <c r="F2254" s="22" t="s">
        <v>8333</v>
      </c>
      <c r="G2254" s="23">
        <v>2013.0</v>
      </c>
      <c r="H2254" s="22" t="s">
        <v>5489</v>
      </c>
      <c r="I2254" s="24" t="s">
        <v>11198</v>
      </c>
      <c r="J2254" s="22" t="s">
        <v>11074</v>
      </c>
      <c r="K2254" s="22" t="s">
        <v>10871</v>
      </c>
      <c r="L2254" s="36" t="s">
        <v>11199</v>
      </c>
      <c r="M2254" s="36"/>
      <c r="N2254" s="36" t="s">
        <v>11200</v>
      </c>
      <c r="O2254" s="36"/>
      <c r="P2254" s="37" t="s">
        <v>11201</v>
      </c>
      <c r="Q2254" s="36"/>
      <c r="R2254" s="36">
        <v>1080.0</v>
      </c>
      <c r="S2254" s="36" t="s">
        <v>11202</v>
      </c>
      <c r="T2254" s="28" t="s">
        <v>11203</v>
      </c>
      <c r="U2254" s="38" t="str">
        <f>HYPERLINK("https://www.ncbi.nlm.nih.gov/pubmed/23551662","PubMed")</f>
        <v>PubMed</v>
      </c>
      <c r="V2254" s="30" t="s">
        <v>11204</v>
      </c>
      <c r="W2254" s="49"/>
      <c r="X2254" s="49"/>
      <c r="Y2254" s="35"/>
      <c r="Z2254" s="35"/>
      <c r="AA2254" s="35"/>
      <c r="AB2254" s="35"/>
      <c r="AC2254" s="35"/>
      <c r="AD2254" s="35"/>
      <c r="AE2254" s="35"/>
      <c r="AF2254" s="35"/>
      <c r="AG2254" s="35"/>
      <c r="AH2254" s="35"/>
      <c r="AI2254" s="35"/>
      <c r="AJ2254" s="35"/>
      <c r="AK2254" s="35"/>
      <c r="AL2254" s="35"/>
    </row>
    <row r="2255">
      <c r="A2255" s="133"/>
      <c r="B2255" s="19" t="s">
        <v>10848</v>
      </c>
      <c r="C2255" s="20" t="s">
        <v>10871</v>
      </c>
      <c r="D2255" s="47"/>
      <c r="E2255" s="22" t="s">
        <v>11205</v>
      </c>
      <c r="F2255" s="22" t="s">
        <v>4999</v>
      </c>
      <c r="G2255" s="23">
        <v>2010.0</v>
      </c>
      <c r="H2255" s="22" t="s">
        <v>11206</v>
      </c>
      <c r="I2255" s="24" t="s">
        <v>11207</v>
      </c>
      <c r="J2255" s="22" t="s">
        <v>125</v>
      </c>
      <c r="K2255" s="22" t="s">
        <v>11187</v>
      </c>
      <c r="L2255" s="195" t="s">
        <v>11208</v>
      </c>
      <c r="M2255" s="44"/>
      <c r="N2255" s="44"/>
      <c r="O2255" s="44"/>
      <c r="P2255" s="44"/>
      <c r="Q2255" s="44"/>
      <c r="R2255" s="44"/>
      <c r="S2255" s="44"/>
      <c r="T2255" s="45"/>
      <c r="U2255" s="38" t="str">
        <f>HYPERLINK("https://www.ncbi.nlm.nih.gov/pubmed/20689478","PubMed")</f>
        <v>PubMed</v>
      </c>
      <c r="V2255" s="30"/>
      <c r="W2255" s="49"/>
      <c r="X2255" s="49"/>
      <c r="Y2255" s="35"/>
      <c r="Z2255" s="35"/>
      <c r="AA2255" s="35"/>
      <c r="AB2255" s="35"/>
      <c r="AC2255" s="35"/>
      <c r="AD2255" s="35"/>
      <c r="AE2255" s="35"/>
      <c r="AF2255" s="35"/>
      <c r="AG2255" s="35"/>
      <c r="AH2255" s="35"/>
      <c r="AI2255" s="35"/>
      <c r="AJ2255" s="35"/>
      <c r="AK2255" s="35"/>
      <c r="AL2255" s="35"/>
    </row>
    <row r="2256">
      <c r="A2256" s="133"/>
      <c r="B2256" s="19" t="s">
        <v>10848</v>
      </c>
      <c r="C2256" s="20" t="s">
        <v>10871</v>
      </c>
      <c r="D2256" s="47"/>
      <c r="E2256" s="22" t="s">
        <v>11209</v>
      </c>
      <c r="F2256" s="22" t="s">
        <v>11210</v>
      </c>
      <c r="G2256" s="23">
        <v>2009.0</v>
      </c>
      <c r="H2256" s="22" t="s">
        <v>11211</v>
      </c>
      <c r="I2256" s="24" t="s">
        <v>11212</v>
      </c>
      <c r="J2256" s="22" t="s">
        <v>11213</v>
      </c>
      <c r="K2256" s="22"/>
      <c r="L2256" s="36">
        <v>655.0</v>
      </c>
      <c r="M2256" s="36"/>
      <c r="N2256" s="36"/>
      <c r="O2256" s="36"/>
      <c r="P2256" s="37"/>
      <c r="Q2256" s="36"/>
      <c r="R2256" s="36">
        <v>900.0</v>
      </c>
      <c r="S2256" s="36" t="s">
        <v>11159</v>
      </c>
      <c r="T2256" s="137" t="s">
        <v>11214</v>
      </c>
      <c r="U2256" s="38" t="str">
        <f>HYPERLINK("https://www.ncbi.nlm.nih.gov/pubmed/19366270","PubMed")</f>
        <v>PubMed</v>
      </c>
      <c r="V2256" s="30"/>
      <c r="W2256" s="49"/>
      <c r="X2256" s="49"/>
      <c r="Y2256" s="35"/>
      <c r="Z2256" s="35"/>
      <c r="AA2256" s="35"/>
      <c r="AB2256" s="35"/>
      <c r="AC2256" s="35"/>
      <c r="AD2256" s="35"/>
      <c r="AE2256" s="35"/>
      <c r="AF2256" s="35"/>
      <c r="AG2256" s="35"/>
      <c r="AH2256" s="35"/>
      <c r="AI2256" s="35"/>
      <c r="AJ2256" s="35"/>
      <c r="AK2256" s="35"/>
      <c r="AL2256" s="35"/>
    </row>
    <row r="2257">
      <c r="A2257" s="133"/>
      <c r="B2257" s="19" t="s">
        <v>10848</v>
      </c>
      <c r="C2257" s="20" t="s">
        <v>10871</v>
      </c>
      <c r="D2257" s="47"/>
      <c r="E2257" s="22" t="s">
        <v>11215</v>
      </c>
      <c r="F2257" s="22" t="s">
        <v>2052</v>
      </c>
      <c r="G2257" s="23">
        <v>2009.0</v>
      </c>
      <c r="H2257" s="22" t="s">
        <v>169</v>
      </c>
      <c r="I2257" s="24" t="s">
        <v>11216</v>
      </c>
      <c r="J2257" s="22" t="s">
        <v>11217</v>
      </c>
      <c r="K2257" s="22" t="s">
        <v>11187</v>
      </c>
      <c r="L2257" s="36"/>
      <c r="M2257" s="36"/>
      <c r="N2257" s="36"/>
      <c r="O2257" s="36"/>
      <c r="P2257" s="37"/>
      <c r="Q2257" s="36"/>
      <c r="R2257" s="36"/>
      <c r="S2257" s="36" t="s">
        <v>11218</v>
      </c>
      <c r="T2257" s="272" t="s">
        <v>11219</v>
      </c>
      <c r="U2257" s="38" t="str">
        <f>HYPERLINK("https://www.ncbi.nlm.nih.gov/pubmed/19466643","PubMed")</f>
        <v>PubMed</v>
      </c>
      <c r="V2257" s="30" t="s">
        <v>174</v>
      </c>
      <c r="W2257" s="49"/>
      <c r="X2257" s="49"/>
      <c r="Y2257" s="35"/>
      <c r="Z2257" s="35"/>
      <c r="AA2257" s="35"/>
      <c r="AB2257" s="35"/>
      <c r="AC2257" s="35"/>
      <c r="AD2257" s="35"/>
      <c r="AE2257" s="35"/>
      <c r="AF2257" s="35"/>
      <c r="AG2257" s="35"/>
      <c r="AH2257" s="35"/>
      <c r="AI2257" s="35"/>
      <c r="AJ2257" s="35"/>
      <c r="AK2257" s="35"/>
      <c r="AL2257" s="35"/>
    </row>
    <row r="2258">
      <c r="A2258" s="133"/>
      <c r="B2258" s="19" t="s">
        <v>10848</v>
      </c>
      <c r="C2258" s="20" t="s">
        <v>10871</v>
      </c>
      <c r="D2258" s="47"/>
      <c r="E2258" s="22" t="s">
        <v>11220</v>
      </c>
      <c r="F2258" s="22" t="s">
        <v>2052</v>
      </c>
      <c r="G2258" s="23">
        <v>2007.0</v>
      </c>
      <c r="H2258" s="22" t="s">
        <v>169</v>
      </c>
      <c r="I2258" s="24" t="s">
        <v>11221</v>
      </c>
      <c r="J2258" s="22" t="s">
        <v>125</v>
      </c>
      <c r="K2258" s="22" t="s">
        <v>11187</v>
      </c>
      <c r="L2258" s="273" t="s">
        <v>11222</v>
      </c>
      <c r="M2258" s="44"/>
      <c r="N2258" s="44"/>
      <c r="O2258" s="44"/>
      <c r="P2258" s="44"/>
      <c r="Q2258" s="44"/>
      <c r="R2258" s="44"/>
      <c r="S2258" s="44"/>
      <c r="T2258" s="45"/>
      <c r="U2258" s="38" t="str">
        <f>HYPERLINK("https://www.ncbi.nlm.nih.gov/pubmed/17457763","PubMed")</f>
        <v>PubMed</v>
      </c>
      <c r="V2258" s="30"/>
      <c r="W2258" s="49"/>
      <c r="X2258" s="49"/>
      <c r="Y2258" s="35"/>
      <c r="Z2258" s="35"/>
      <c r="AA2258" s="35"/>
      <c r="AB2258" s="35"/>
      <c r="AC2258" s="35"/>
      <c r="AD2258" s="35"/>
      <c r="AE2258" s="35"/>
      <c r="AF2258" s="35"/>
      <c r="AG2258" s="35"/>
      <c r="AH2258" s="35"/>
      <c r="AI2258" s="35"/>
      <c r="AJ2258" s="35"/>
      <c r="AK2258" s="35"/>
      <c r="AL2258" s="35"/>
    </row>
    <row r="2259">
      <c r="A2259" s="133"/>
      <c r="B2259" s="19" t="s">
        <v>10848</v>
      </c>
      <c r="C2259" s="20" t="s">
        <v>11223</v>
      </c>
      <c r="D2259" s="47"/>
      <c r="E2259" s="22" t="s">
        <v>11224</v>
      </c>
      <c r="F2259" s="22" t="s">
        <v>323</v>
      </c>
      <c r="G2259" s="23">
        <v>2019.0</v>
      </c>
      <c r="H2259" s="22" t="s">
        <v>147</v>
      </c>
      <c r="I2259" s="24" t="s">
        <v>11225</v>
      </c>
      <c r="J2259" s="22" t="s">
        <v>31</v>
      </c>
      <c r="K2259" s="22"/>
      <c r="L2259" s="36">
        <v>780.0</v>
      </c>
      <c r="M2259" s="36">
        <v>30.0</v>
      </c>
      <c r="N2259" s="36"/>
      <c r="O2259" s="36"/>
      <c r="P2259" s="36">
        <v>5.0</v>
      </c>
      <c r="Q2259" s="36"/>
      <c r="R2259" s="36"/>
      <c r="S2259" s="36"/>
      <c r="T2259" s="54" t="s">
        <v>11226</v>
      </c>
      <c r="U2259" s="38" t="str">
        <f>HYPERLINK("https://www.ncbi.nlm.nih.gov/pubmed/31749941","PubMed")</f>
        <v>PubMed</v>
      </c>
      <c r="V2259" s="30"/>
      <c r="W2259" s="49"/>
      <c r="X2259" s="49"/>
      <c r="Y2259" s="35"/>
      <c r="Z2259" s="35"/>
      <c r="AA2259" s="35"/>
      <c r="AB2259" s="35"/>
      <c r="AC2259" s="35"/>
      <c r="AD2259" s="35"/>
      <c r="AE2259" s="35"/>
      <c r="AF2259" s="35"/>
      <c r="AG2259" s="35"/>
      <c r="AH2259" s="35"/>
      <c r="AI2259" s="35"/>
      <c r="AJ2259" s="35"/>
      <c r="AK2259" s="35"/>
      <c r="AL2259" s="35"/>
    </row>
    <row r="2260">
      <c r="A2260" s="133"/>
      <c r="B2260" s="19" t="s">
        <v>10848</v>
      </c>
      <c r="C2260" s="20" t="s">
        <v>11227</v>
      </c>
      <c r="D2260" s="47"/>
      <c r="E2260" s="22" t="s">
        <v>2275</v>
      </c>
      <c r="F2260" s="22" t="s">
        <v>11228</v>
      </c>
      <c r="G2260" s="23">
        <v>2023.0</v>
      </c>
      <c r="H2260" s="22" t="s">
        <v>2863</v>
      </c>
      <c r="I2260" s="24" t="s">
        <v>11229</v>
      </c>
      <c r="J2260" s="22" t="s">
        <v>2141</v>
      </c>
      <c r="K2260" s="22"/>
      <c r="L2260" s="168"/>
      <c r="M2260" s="168"/>
      <c r="N2260" s="168"/>
      <c r="O2260" s="168"/>
      <c r="P2260" s="169"/>
      <c r="Q2260" s="274"/>
      <c r="R2260" s="168"/>
      <c r="S2260" s="168"/>
      <c r="T2260" s="214"/>
      <c r="U2260" s="38" t="s">
        <v>61</v>
      </c>
      <c r="V2260" s="30"/>
      <c r="W2260" s="49"/>
      <c r="X2260" s="49"/>
      <c r="Y2260" s="35"/>
      <c r="Z2260" s="35"/>
      <c r="AA2260" s="35"/>
      <c r="AB2260" s="35"/>
      <c r="AC2260" s="35"/>
      <c r="AD2260" s="35"/>
      <c r="AE2260" s="35"/>
      <c r="AF2260" s="35"/>
      <c r="AG2260" s="35"/>
      <c r="AH2260" s="35"/>
      <c r="AI2260" s="35"/>
      <c r="AJ2260" s="35"/>
      <c r="AK2260" s="35"/>
      <c r="AL2260" s="35"/>
    </row>
    <row r="2261">
      <c r="A2261" s="133"/>
      <c r="B2261" s="19" t="s">
        <v>10848</v>
      </c>
      <c r="C2261" s="20" t="s">
        <v>11227</v>
      </c>
      <c r="D2261" s="47"/>
      <c r="E2261" s="22" t="s">
        <v>11230</v>
      </c>
      <c r="F2261" s="22" t="s">
        <v>8204</v>
      </c>
      <c r="G2261" s="23">
        <v>2023.0</v>
      </c>
      <c r="H2261" s="22" t="s">
        <v>8177</v>
      </c>
      <c r="I2261" s="24" t="s">
        <v>11231</v>
      </c>
      <c r="J2261" s="22" t="s">
        <v>11232</v>
      </c>
      <c r="K2261" s="22"/>
      <c r="L2261" s="36">
        <v>678.0</v>
      </c>
      <c r="M2261" s="36"/>
      <c r="N2261" s="36"/>
      <c r="O2261" s="36"/>
      <c r="P2261" s="37" t="s">
        <v>11233</v>
      </c>
      <c r="Q2261" s="275"/>
      <c r="R2261" s="36">
        <v>1200.0</v>
      </c>
      <c r="S2261" s="36" t="s">
        <v>1961</v>
      </c>
      <c r="T2261" s="54" t="s">
        <v>11234</v>
      </c>
      <c r="U2261" s="38" t="s">
        <v>61</v>
      </c>
      <c r="V2261" s="30"/>
      <c r="W2261" s="49"/>
      <c r="X2261" s="49"/>
      <c r="Y2261" s="35"/>
      <c r="Z2261" s="35"/>
      <c r="AA2261" s="35"/>
      <c r="AB2261" s="35"/>
      <c r="AC2261" s="35"/>
      <c r="AD2261" s="35"/>
      <c r="AE2261" s="35"/>
      <c r="AF2261" s="35"/>
      <c r="AG2261" s="35"/>
      <c r="AH2261" s="35"/>
      <c r="AI2261" s="35"/>
      <c r="AJ2261" s="35"/>
      <c r="AK2261" s="35"/>
      <c r="AL2261" s="35"/>
    </row>
    <row r="2262">
      <c r="A2262" s="133" t="s">
        <v>11235</v>
      </c>
      <c r="B2262" s="19" t="s">
        <v>10848</v>
      </c>
      <c r="C2262" s="20" t="s">
        <v>11227</v>
      </c>
      <c r="D2262" s="47"/>
      <c r="E2262" s="22" t="s">
        <v>10868</v>
      </c>
      <c r="F2262" s="22" t="s">
        <v>6963</v>
      </c>
      <c r="G2262" s="23">
        <v>2013.0</v>
      </c>
      <c r="H2262" s="22" t="s">
        <v>91</v>
      </c>
      <c r="I2262" s="24" t="s">
        <v>11236</v>
      </c>
      <c r="J2262" s="22" t="s">
        <v>55</v>
      </c>
      <c r="K2262" s="22" t="s">
        <v>11237</v>
      </c>
      <c r="L2262" s="36">
        <v>655.0</v>
      </c>
      <c r="M2262" s="36"/>
      <c r="N2262" s="36"/>
      <c r="O2262" s="36"/>
      <c r="P2262" s="36"/>
      <c r="Q2262" s="275"/>
      <c r="R2262" s="36"/>
      <c r="S2262" s="36"/>
      <c r="T2262" s="54" t="s">
        <v>11238</v>
      </c>
      <c r="U2262" s="38" t="str">
        <f>HYPERLINK("https://www.ncbi.nlm.nih.gov/pubmed/22696077","PubMed")</f>
        <v>PubMed</v>
      </c>
      <c r="V2262" s="30"/>
      <c r="W2262" s="49"/>
      <c r="X2262" s="49"/>
      <c r="Y2262" s="35"/>
      <c r="Z2262" s="35"/>
      <c r="AA2262" s="35"/>
      <c r="AB2262" s="35"/>
      <c r="AC2262" s="35"/>
      <c r="AD2262" s="35"/>
      <c r="AE2262" s="35"/>
      <c r="AF2262" s="35"/>
      <c r="AG2262" s="35"/>
      <c r="AH2262" s="35"/>
      <c r="AI2262" s="35"/>
      <c r="AJ2262" s="35"/>
      <c r="AK2262" s="35"/>
      <c r="AL2262" s="35"/>
    </row>
    <row r="2263">
      <c r="A2263" s="133"/>
      <c r="B2263" s="19" t="s">
        <v>10848</v>
      </c>
      <c r="C2263" s="20" t="s">
        <v>11239</v>
      </c>
      <c r="D2263" s="47"/>
      <c r="E2263" s="22" t="s">
        <v>11240</v>
      </c>
      <c r="F2263" s="22" t="s">
        <v>11241</v>
      </c>
      <c r="G2263" s="23">
        <v>2021.0</v>
      </c>
      <c r="H2263" s="22" t="s">
        <v>2271</v>
      </c>
      <c r="I2263" s="24" t="s">
        <v>11242</v>
      </c>
      <c r="J2263" s="22" t="s">
        <v>11243</v>
      </c>
      <c r="K2263" s="22" t="s">
        <v>157</v>
      </c>
      <c r="L2263" s="36">
        <v>630.0</v>
      </c>
      <c r="M2263" s="36"/>
      <c r="N2263" s="36" t="s">
        <v>11244</v>
      </c>
      <c r="O2263" s="36"/>
      <c r="P2263" s="37" t="s">
        <v>846</v>
      </c>
      <c r="Q2263" s="36"/>
      <c r="R2263" s="36">
        <v>544.0</v>
      </c>
      <c r="S2263" s="36" t="s">
        <v>7132</v>
      </c>
      <c r="T2263" s="28" t="s">
        <v>11245</v>
      </c>
      <c r="U2263" s="29" t="s">
        <v>61</v>
      </c>
      <c r="V2263" s="30"/>
      <c r="W2263" s="49"/>
      <c r="X2263" s="49"/>
      <c r="Y2263" s="35"/>
      <c r="Z2263" s="35"/>
      <c r="AA2263" s="35"/>
      <c r="AB2263" s="35"/>
      <c r="AC2263" s="35"/>
      <c r="AD2263" s="35"/>
      <c r="AE2263" s="35"/>
      <c r="AF2263" s="35"/>
      <c r="AG2263" s="35"/>
      <c r="AH2263" s="35"/>
      <c r="AI2263" s="35"/>
      <c r="AJ2263" s="35"/>
      <c r="AK2263" s="35"/>
      <c r="AL2263" s="35"/>
    </row>
    <row r="2264">
      <c r="A2264" s="18"/>
      <c r="B2264" s="19" t="s">
        <v>10848</v>
      </c>
      <c r="C2264" s="20" t="s">
        <v>11246</v>
      </c>
      <c r="D2264" s="47"/>
      <c r="E2264" s="22" t="s">
        <v>11247</v>
      </c>
      <c r="F2264" s="22" t="s">
        <v>1386</v>
      </c>
      <c r="G2264" s="23">
        <v>2023.0</v>
      </c>
      <c r="H2264" s="22" t="s">
        <v>11248</v>
      </c>
      <c r="I2264" s="24" t="s">
        <v>11249</v>
      </c>
      <c r="J2264" s="22" t="s">
        <v>125</v>
      </c>
      <c r="K2264" s="22"/>
      <c r="L2264" s="167" t="s">
        <v>11250</v>
      </c>
      <c r="M2264" s="44"/>
      <c r="N2264" s="44"/>
      <c r="O2264" s="44"/>
      <c r="P2264" s="44"/>
      <c r="Q2264" s="44"/>
      <c r="R2264" s="44"/>
      <c r="S2264" s="44"/>
      <c r="T2264" s="45"/>
      <c r="U2264" s="38" t="s">
        <v>61</v>
      </c>
      <c r="V2264" s="30"/>
      <c r="W2264" s="49"/>
      <c r="X2264" s="49"/>
      <c r="Y2264" s="35"/>
      <c r="Z2264" s="35"/>
      <c r="AA2264" s="35"/>
      <c r="AB2264" s="35"/>
      <c r="AC2264" s="35"/>
      <c r="AD2264" s="35"/>
      <c r="AE2264" s="35"/>
      <c r="AF2264" s="35"/>
      <c r="AG2264" s="35"/>
      <c r="AH2264" s="35"/>
      <c r="AI2264" s="35"/>
      <c r="AJ2264" s="35"/>
      <c r="AK2264" s="35"/>
      <c r="AL2264" s="35"/>
    </row>
    <row r="2265">
      <c r="A2265" s="18" t="s">
        <v>11251</v>
      </c>
      <c r="B2265" s="19" t="s">
        <v>10848</v>
      </c>
      <c r="C2265" s="20" t="s">
        <v>11252</v>
      </c>
      <c r="D2265" s="47"/>
      <c r="E2265" s="22" t="s">
        <v>11253</v>
      </c>
      <c r="F2265" s="22" t="s">
        <v>323</v>
      </c>
      <c r="G2265" s="23">
        <v>2016.0</v>
      </c>
      <c r="H2265" s="22" t="s">
        <v>147</v>
      </c>
      <c r="I2265" s="24" t="s">
        <v>11254</v>
      </c>
      <c r="J2265" s="22" t="s">
        <v>11255</v>
      </c>
      <c r="K2265" s="22" t="s">
        <v>11256</v>
      </c>
      <c r="L2265" s="36">
        <v>660.0</v>
      </c>
      <c r="M2265" s="36">
        <v>100.0</v>
      </c>
      <c r="N2265" s="166"/>
      <c r="O2265" s="166"/>
      <c r="P2265" s="36"/>
      <c r="Q2265" s="166"/>
      <c r="R2265" s="36">
        <v>1200.0</v>
      </c>
      <c r="S2265" s="36">
        <v>1.0</v>
      </c>
      <c r="T2265" s="103" t="s">
        <v>11257</v>
      </c>
      <c r="U2265" s="29" t="s">
        <v>61</v>
      </c>
      <c r="V2265" s="30"/>
      <c r="W2265" s="49"/>
      <c r="X2265" s="49"/>
      <c r="Y2265" s="35"/>
      <c r="Z2265" s="35"/>
      <c r="AA2265" s="35"/>
      <c r="AB2265" s="35"/>
      <c r="AC2265" s="35"/>
      <c r="AD2265" s="35"/>
      <c r="AE2265" s="35"/>
      <c r="AF2265" s="35"/>
      <c r="AG2265" s="35"/>
      <c r="AH2265" s="35"/>
      <c r="AI2265" s="35"/>
      <c r="AJ2265" s="35"/>
      <c r="AK2265" s="35"/>
      <c r="AL2265" s="35"/>
    </row>
    <row r="2266">
      <c r="A2266" s="18"/>
      <c r="B2266" s="19" t="s">
        <v>10848</v>
      </c>
      <c r="C2266" s="20" t="s">
        <v>11258</v>
      </c>
      <c r="D2266" s="47"/>
      <c r="E2266" s="22" t="s">
        <v>10002</v>
      </c>
      <c r="F2266" s="22" t="s">
        <v>65</v>
      </c>
      <c r="G2266" s="23">
        <v>2024.0</v>
      </c>
      <c r="H2266" s="22" t="s">
        <v>207</v>
      </c>
      <c r="I2266" s="24" t="s">
        <v>11259</v>
      </c>
      <c r="J2266" s="22" t="s">
        <v>31</v>
      </c>
      <c r="K2266" s="22"/>
      <c r="L2266" s="36">
        <v>630.0</v>
      </c>
      <c r="M2266" s="166"/>
      <c r="N2266" s="166"/>
      <c r="O2266" s="166"/>
      <c r="P2266" s="36">
        <v>2.0</v>
      </c>
      <c r="Q2266" s="166"/>
      <c r="R2266" s="166"/>
      <c r="S2266" s="36"/>
      <c r="T2266" s="54" t="s">
        <v>11260</v>
      </c>
      <c r="U2266" s="38" t="s">
        <v>61</v>
      </c>
      <c r="V2266" s="30"/>
      <c r="W2266" s="49"/>
      <c r="X2266" s="49"/>
      <c r="Y2266" s="35"/>
      <c r="Z2266" s="35"/>
      <c r="AA2266" s="35"/>
      <c r="AB2266" s="35"/>
      <c r="AC2266" s="35"/>
      <c r="AD2266" s="35"/>
      <c r="AE2266" s="35"/>
      <c r="AF2266" s="35"/>
      <c r="AG2266" s="35"/>
      <c r="AH2266" s="35"/>
      <c r="AI2266" s="35"/>
      <c r="AJ2266" s="35"/>
      <c r="AK2266" s="35"/>
      <c r="AL2266" s="35"/>
    </row>
    <row r="2267">
      <c r="A2267" s="18"/>
      <c r="B2267" s="19" t="s">
        <v>10848</v>
      </c>
      <c r="C2267" s="20" t="s">
        <v>11258</v>
      </c>
      <c r="D2267" s="47"/>
      <c r="E2267" s="22" t="s">
        <v>6053</v>
      </c>
      <c r="F2267" s="22" t="s">
        <v>2196</v>
      </c>
      <c r="G2267" s="23">
        <v>2023.0</v>
      </c>
      <c r="H2267" s="22" t="s">
        <v>42</v>
      </c>
      <c r="I2267" s="24" t="s">
        <v>11261</v>
      </c>
      <c r="J2267" s="22" t="s">
        <v>31</v>
      </c>
      <c r="K2267" s="22"/>
      <c r="L2267" s="36"/>
      <c r="M2267" s="166"/>
      <c r="N2267" s="166"/>
      <c r="O2267" s="166"/>
      <c r="P2267" s="36"/>
      <c r="Q2267" s="166"/>
      <c r="R2267" s="166"/>
      <c r="S2267" s="36"/>
      <c r="T2267" s="54" t="s">
        <v>11262</v>
      </c>
      <c r="U2267" s="38" t="s">
        <v>61</v>
      </c>
      <c r="V2267" s="30" t="s">
        <v>174</v>
      </c>
      <c r="W2267" s="49"/>
      <c r="X2267" s="49"/>
      <c r="Y2267" s="35"/>
      <c r="Z2267" s="35"/>
      <c r="AA2267" s="35"/>
      <c r="AB2267" s="35"/>
      <c r="AC2267" s="35"/>
      <c r="AD2267" s="35"/>
      <c r="AE2267" s="35"/>
      <c r="AF2267" s="35"/>
      <c r="AG2267" s="35"/>
      <c r="AH2267" s="35"/>
      <c r="AI2267" s="35"/>
      <c r="AJ2267" s="35"/>
      <c r="AK2267" s="35"/>
      <c r="AL2267" s="35"/>
    </row>
    <row r="2268">
      <c r="A2268" s="18"/>
      <c r="B2268" s="19" t="s">
        <v>10848</v>
      </c>
      <c r="C2268" s="20" t="s">
        <v>11258</v>
      </c>
      <c r="D2268" s="47"/>
      <c r="E2268" s="22" t="s">
        <v>11263</v>
      </c>
      <c r="F2268" s="22" t="s">
        <v>10955</v>
      </c>
      <c r="G2268" s="23">
        <v>2022.0</v>
      </c>
      <c r="H2268" s="22" t="s">
        <v>7157</v>
      </c>
      <c r="I2268" s="24" t="s">
        <v>11264</v>
      </c>
      <c r="J2268" s="22" t="s">
        <v>44</v>
      </c>
      <c r="K2268" s="22" t="s">
        <v>11265</v>
      </c>
      <c r="L2268" s="36" t="s">
        <v>11266</v>
      </c>
      <c r="M2268" s="166"/>
      <c r="N2268" s="166"/>
      <c r="O2268" s="166"/>
      <c r="P2268" s="36" t="s">
        <v>267</v>
      </c>
      <c r="Q2268" s="166"/>
      <c r="R2268" s="166"/>
      <c r="S2268" s="36" t="s">
        <v>11267</v>
      </c>
      <c r="T2268" s="54" t="s">
        <v>11268</v>
      </c>
      <c r="U2268" s="38" t="s">
        <v>61</v>
      </c>
      <c r="V2268" s="30"/>
      <c r="W2268" s="49"/>
      <c r="X2268" s="49"/>
      <c r="Y2268" s="35"/>
      <c r="Z2268" s="35"/>
      <c r="AA2268" s="35"/>
      <c r="AB2268" s="35"/>
      <c r="AC2268" s="35"/>
      <c r="AD2268" s="35"/>
      <c r="AE2268" s="35"/>
      <c r="AF2268" s="35"/>
      <c r="AG2268" s="35"/>
      <c r="AH2268" s="35"/>
      <c r="AI2268" s="35"/>
      <c r="AJ2268" s="35"/>
      <c r="AK2268" s="35"/>
      <c r="AL2268" s="35"/>
    </row>
    <row r="2269">
      <c r="A2269" s="18"/>
      <c r="B2269" s="19" t="s">
        <v>10848</v>
      </c>
      <c r="C2269" s="20" t="s">
        <v>11258</v>
      </c>
      <c r="D2269" s="47"/>
      <c r="E2269" s="22" t="s">
        <v>2755</v>
      </c>
      <c r="F2269" s="22" t="s">
        <v>10199</v>
      </c>
      <c r="G2269" s="23">
        <v>2022.0</v>
      </c>
      <c r="H2269" s="22" t="s">
        <v>42</v>
      </c>
      <c r="I2269" s="24" t="s">
        <v>11269</v>
      </c>
      <c r="J2269" s="22" t="s">
        <v>55</v>
      </c>
      <c r="K2269" s="22"/>
      <c r="L2269" s="36">
        <v>650.0</v>
      </c>
      <c r="M2269" s="166"/>
      <c r="N2269" s="166"/>
      <c r="O2269" s="166"/>
      <c r="P2269" s="36" t="s">
        <v>11270</v>
      </c>
      <c r="Q2269" s="166"/>
      <c r="R2269" s="166"/>
      <c r="S2269" s="166"/>
      <c r="T2269" s="54" t="s">
        <v>11271</v>
      </c>
      <c r="U2269" s="38" t="s">
        <v>61</v>
      </c>
      <c r="V2269" s="30"/>
      <c r="W2269" s="49"/>
      <c r="X2269" s="49"/>
      <c r="Y2269" s="35"/>
      <c r="Z2269" s="35"/>
      <c r="AA2269" s="35"/>
      <c r="AB2269" s="35"/>
      <c r="AC2269" s="35"/>
      <c r="AD2269" s="35"/>
      <c r="AE2269" s="35"/>
      <c r="AF2269" s="35"/>
      <c r="AG2269" s="35"/>
      <c r="AH2269" s="35"/>
      <c r="AI2269" s="35"/>
      <c r="AJ2269" s="35"/>
      <c r="AK2269" s="35"/>
      <c r="AL2269" s="35"/>
    </row>
    <row r="2270">
      <c r="A2270" s="18"/>
      <c r="B2270" s="19" t="s">
        <v>10848</v>
      </c>
      <c r="C2270" s="20" t="s">
        <v>11258</v>
      </c>
      <c r="D2270" s="47"/>
      <c r="E2270" s="22" t="s">
        <v>2338</v>
      </c>
      <c r="F2270" s="22" t="s">
        <v>2196</v>
      </c>
      <c r="G2270" s="23">
        <v>2021.0</v>
      </c>
      <c r="H2270" s="22" t="s">
        <v>7149</v>
      </c>
      <c r="I2270" s="24" t="s">
        <v>11272</v>
      </c>
      <c r="J2270" s="22" t="s">
        <v>11273</v>
      </c>
      <c r="K2270" s="22"/>
      <c r="L2270" s="36">
        <v>650.0</v>
      </c>
      <c r="M2270" s="166"/>
      <c r="N2270" s="166"/>
      <c r="O2270" s="166"/>
      <c r="P2270" s="36"/>
      <c r="Q2270" s="166"/>
      <c r="R2270" s="166"/>
      <c r="S2270" s="166"/>
      <c r="T2270" s="54" t="s">
        <v>11274</v>
      </c>
      <c r="U2270" s="29" t="s">
        <v>61</v>
      </c>
      <c r="V2270" s="30"/>
      <c r="W2270" s="49"/>
      <c r="X2270" s="49"/>
      <c r="Y2270" s="35"/>
      <c r="Z2270" s="35"/>
      <c r="AA2270" s="35"/>
      <c r="AB2270" s="35"/>
      <c r="AC2270" s="35"/>
      <c r="AD2270" s="35"/>
      <c r="AE2270" s="35"/>
      <c r="AF2270" s="35"/>
      <c r="AG2270" s="35"/>
      <c r="AH2270" s="35"/>
      <c r="AI2270" s="35"/>
      <c r="AJ2270" s="35"/>
      <c r="AK2270" s="35"/>
      <c r="AL2270" s="35"/>
    </row>
    <row r="2271">
      <c r="A2271" s="133"/>
      <c r="B2271" s="19" t="s">
        <v>10848</v>
      </c>
      <c r="C2271" s="20" t="s">
        <v>11258</v>
      </c>
      <c r="D2271" s="47"/>
      <c r="E2271" s="22" t="s">
        <v>2316</v>
      </c>
      <c r="F2271" s="22" t="s">
        <v>2437</v>
      </c>
      <c r="G2271" s="23">
        <v>2021.0</v>
      </c>
      <c r="H2271" s="22" t="s">
        <v>5130</v>
      </c>
      <c r="I2271" s="24" t="s">
        <v>11275</v>
      </c>
      <c r="J2271" s="22" t="s">
        <v>44</v>
      </c>
      <c r="K2271" s="22"/>
      <c r="L2271" s="36">
        <v>655.0</v>
      </c>
      <c r="M2271" s="36"/>
      <c r="N2271" s="36"/>
      <c r="O2271" s="36"/>
      <c r="P2271" s="37" t="s">
        <v>969</v>
      </c>
      <c r="Q2271" s="36"/>
      <c r="R2271" s="36">
        <v>600.0</v>
      </c>
      <c r="S2271" s="36"/>
      <c r="T2271" s="28" t="s">
        <v>11276</v>
      </c>
      <c r="U2271" s="29" t="s">
        <v>61</v>
      </c>
      <c r="V2271" s="30"/>
      <c r="W2271" s="49"/>
      <c r="X2271" s="49"/>
      <c r="Y2271" s="35"/>
      <c r="Z2271" s="35"/>
      <c r="AA2271" s="35"/>
      <c r="AB2271" s="35"/>
      <c r="AC2271" s="35"/>
      <c r="AD2271" s="35"/>
      <c r="AE2271" s="35"/>
      <c r="AF2271" s="35"/>
      <c r="AG2271" s="35"/>
      <c r="AH2271" s="35"/>
      <c r="AI2271" s="35"/>
      <c r="AJ2271" s="35"/>
      <c r="AK2271" s="35"/>
      <c r="AL2271" s="35"/>
    </row>
    <row r="2272">
      <c r="A2272" s="133"/>
      <c r="B2272" s="19" t="s">
        <v>10848</v>
      </c>
      <c r="C2272" s="20" t="s">
        <v>11258</v>
      </c>
      <c r="D2272" s="47"/>
      <c r="E2272" s="22" t="s">
        <v>8001</v>
      </c>
      <c r="F2272" s="22" t="s">
        <v>65</v>
      </c>
      <c r="G2272" s="23">
        <v>2021.0</v>
      </c>
      <c r="H2272" s="22" t="s">
        <v>11277</v>
      </c>
      <c r="I2272" s="24" t="s">
        <v>11278</v>
      </c>
      <c r="J2272" s="22" t="s">
        <v>209</v>
      </c>
      <c r="K2272" s="22"/>
      <c r="L2272" s="36">
        <v>635.0</v>
      </c>
      <c r="M2272" s="36"/>
      <c r="N2272" s="36" t="s">
        <v>6380</v>
      </c>
      <c r="O2272" s="36"/>
      <c r="P2272" s="37" t="s">
        <v>70</v>
      </c>
      <c r="Q2272" s="36"/>
      <c r="R2272" s="36">
        <v>1200.0</v>
      </c>
      <c r="S2272" s="36">
        <v>14.0</v>
      </c>
      <c r="T2272" s="28" t="s">
        <v>11279</v>
      </c>
      <c r="U2272" s="29" t="s">
        <v>61</v>
      </c>
      <c r="V2272" s="30"/>
      <c r="W2272" s="49"/>
      <c r="X2272" s="49"/>
      <c r="Y2272" s="35"/>
      <c r="Z2272" s="35"/>
      <c r="AA2272" s="35"/>
      <c r="AB2272" s="35"/>
      <c r="AC2272" s="35"/>
      <c r="AD2272" s="35"/>
      <c r="AE2272" s="35"/>
      <c r="AF2272" s="35"/>
      <c r="AG2272" s="35"/>
      <c r="AH2272" s="35"/>
      <c r="AI2272" s="35"/>
      <c r="AJ2272" s="35"/>
      <c r="AK2272" s="35"/>
      <c r="AL2272" s="35"/>
    </row>
    <row r="2273">
      <c r="A2273" s="1"/>
      <c r="B2273" s="19" t="s">
        <v>10848</v>
      </c>
      <c r="C2273" s="20" t="s">
        <v>11258</v>
      </c>
      <c r="D2273" s="47"/>
      <c r="E2273" s="22" t="s">
        <v>11280</v>
      </c>
      <c r="F2273" s="22" t="s">
        <v>6963</v>
      </c>
      <c r="G2273" s="23">
        <v>2021.0</v>
      </c>
      <c r="H2273" s="22" t="s">
        <v>7420</v>
      </c>
      <c r="I2273" s="24" t="s">
        <v>11281</v>
      </c>
      <c r="J2273" s="22" t="s">
        <v>202</v>
      </c>
      <c r="K2273" s="22"/>
      <c r="L2273" s="105" t="s">
        <v>11282</v>
      </c>
      <c r="M2273" s="44"/>
      <c r="N2273" s="44"/>
      <c r="O2273" s="44"/>
      <c r="P2273" s="44"/>
      <c r="Q2273" s="44"/>
      <c r="R2273" s="44"/>
      <c r="S2273" s="44"/>
      <c r="T2273" s="45"/>
      <c r="U2273" s="29" t="s">
        <v>61</v>
      </c>
      <c r="V2273" s="30"/>
      <c r="W2273" s="49"/>
      <c r="X2273" s="49"/>
      <c r="Y2273" s="35"/>
      <c r="Z2273" s="35"/>
      <c r="AA2273" s="35"/>
      <c r="AB2273" s="35"/>
      <c r="AC2273" s="35"/>
      <c r="AD2273" s="35"/>
      <c r="AE2273" s="35"/>
      <c r="AF2273" s="35"/>
      <c r="AG2273" s="35"/>
      <c r="AH2273" s="35"/>
      <c r="AI2273" s="35"/>
      <c r="AJ2273" s="35"/>
      <c r="AK2273" s="35"/>
      <c r="AL2273" s="35"/>
    </row>
    <row r="2274">
      <c r="A2274" s="1"/>
      <c r="B2274" s="19" t="s">
        <v>10848</v>
      </c>
      <c r="C2274" s="20" t="s">
        <v>11258</v>
      </c>
      <c r="D2274" s="47"/>
      <c r="E2274" s="22" t="s">
        <v>11283</v>
      </c>
      <c r="F2274" s="22" t="s">
        <v>11284</v>
      </c>
      <c r="G2274" s="23">
        <v>2020.0</v>
      </c>
      <c r="H2274" s="22" t="s">
        <v>7420</v>
      </c>
      <c r="I2274" s="24" t="s">
        <v>11285</v>
      </c>
      <c r="J2274" s="22" t="s">
        <v>11286</v>
      </c>
      <c r="K2274" s="22" t="s">
        <v>11287</v>
      </c>
      <c r="L2274" s="36">
        <v>453.0</v>
      </c>
      <c r="M2274" s="36"/>
      <c r="N2274" s="36"/>
      <c r="O2274" s="36"/>
      <c r="P2274" s="37"/>
      <c r="Q2274" s="36"/>
      <c r="R2274" s="36"/>
      <c r="S2274" s="36"/>
      <c r="T2274" s="28" t="s">
        <v>11288</v>
      </c>
      <c r="U2274" s="29" t="s">
        <v>61</v>
      </c>
      <c r="V2274" s="30"/>
      <c r="W2274" s="49"/>
      <c r="X2274" s="49"/>
      <c r="Y2274" s="35"/>
      <c r="Z2274" s="35"/>
      <c r="AA2274" s="35"/>
      <c r="AB2274" s="35"/>
      <c r="AC2274" s="35"/>
      <c r="AD2274" s="35"/>
      <c r="AE2274" s="35"/>
      <c r="AF2274" s="35"/>
      <c r="AG2274" s="35"/>
      <c r="AH2274" s="35"/>
      <c r="AI2274" s="35"/>
      <c r="AJ2274" s="35"/>
      <c r="AK2274" s="35"/>
      <c r="AL2274" s="35"/>
    </row>
    <row r="2275">
      <c r="A2275" s="18" t="s">
        <v>2</v>
      </c>
      <c r="B2275" s="19" t="s">
        <v>10848</v>
      </c>
      <c r="C2275" s="20" t="s">
        <v>11258</v>
      </c>
      <c r="D2275" s="47"/>
      <c r="E2275" s="22" t="s">
        <v>493</v>
      </c>
      <c r="F2275" s="22" t="s">
        <v>7156</v>
      </c>
      <c r="G2275" s="23">
        <v>2018.0</v>
      </c>
      <c r="H2275" s="22" t="s">
        <v>1768</v>
      </c>
      <c r="I2275" s="24" t="s">
        <v>11289</v>
      </c>
      <c r="J2275" s="22" t="s">
        <v>44</v>
      </c>
      <c r="K2275" s="22" t="s">
        <v>11290</v>
      </c>
      <c r="L2275" s="36">
        <v>650.0</v>
      </c>
      <c r="M2275" s="36"/>
      <c r="N2275" s="36" t="s">
        <v>1897</v>
      </c>
      <c r="O2275" s="36"/>
      <c r="P2275" s="37"/>
      <c r="Q2275" s="36"/>
      <c r="R2275" s="36">
        <v>900.0</v>
      </c>
      <c r="S2275" s="36">
        <v>20.0</v>
      </c>
      <c r="T2275" s="28" t="s">
        <v>11291</v>
      </c>
      <c r="U2275" s="38" t="str">
        <f>HYPERLINK("https://www.ncbi.nlm.nih.gov/pubmed/30125485","PubMed")</f>
        <v>PubMed</v>
      </c>
      <c r="V2275" s="30"/>
      <c r="W2275" s="49"/>
      <c r="X2275" s="49"/>
      <c r="Y2275" s="35"/>
      <c r="Z2275" s="35"/>
      <c r="AA2275" s="35"/>
      <c r="AB2275" s="35"/>
      <c r="AC2275" s="35"/>
      <c r="AD2275" s="35"/>
      <c r="AE2275" s="35"/>
      <c r="AF2275" s="35"/>
      <c r="AG2275" s="35"/>
      <c r="AH2275" s="35"/>
      <c r="AI2275" s="35"/>
      <c r="AJ2275" s="35"/>
      <c r="AK2275" s="35"/>
      <c r="AL2275" s="35"/>
    </row>
    <row r="2276">
      <c r="A2276" s="133"/>
      <c r="B2276" s="19" t="s">
        <v>10848</v>
      </c>
      <c r="C2276" s="20" t="s">
        <v>11258</v>
      </c>
      <c r="D2276" s="47"/>
      <c r="E2276" s="22" t="s">
        <v>7573</v>
      </c>
      <c r="F2276" s="22" t="s">
        <v>65</v>
      </c>
      <c r="G2276" s="23">
        <v>2018.0</v>
      </c>
      <c r="H2276" s="22" t="s">
        <v>91</v>
      </c>
      <c r="I2276" s="24" t="s">
        <v>11292</v>
      </c>
      <c r="J2276" s="22" t="s">
        <v>31</v>
      </c>
      <c r="K2276" s="22"/>
      <c r="L2276" s="36">
        <v>655.0</v>
      </c>
      <c r="M2276" s="36"/>
      <c r="N2276" s="36"/>
      <c r="O2276" s="36"/>
      <c r="P2276" s="37"/>
      <c r="Q2276" s="36"/>
      <c r="R2276" s="36"/>
      <c r="S2276" s="36"/>
      <c r="T2276" s="28" t="s">
        <v>11293</v>
      </c>
      <c r="U2276" s="38" t="str">
        <f>HYPERLINK("https://www.ncbi.nlm.nih.gov/pubmed/29468283","PubMed")</f>
        <v>PubMed</v>
      </c>
      <c r="V2276" s="30"/>
      <c r="W2276" s="49"/>
      <c r="X2276" s="49"/>
      <c r="Y2276" s="35"/>
      <c r="Z2276" s="35"/>
      <c r="AA2276" s="35"/>
      <c r="AB2276" s="35"/>
      <c r="AC2276" s="35"/>
      <c r="AD2276" s="35"/>
      <c r="AE2276" s="35"/>
      <c r="AF2276" s="35"/>
      <c r="AG2276" s="35"/>
      <c r="AH2276" s="35"/>
      <c r="AI2276" s="35"/>
      <c r="AJ2276" s="35"/>
      <c r="AK2276" s="35"/>
      <c r="AL2276" s="35"/>
    </row>
    <row r="2277">
      <c r="A2277" s="133"/>
      <c r="B2277" s="19" t="s">
        <v>10848</v>
      </c>
      <c r="C2277" s="20" t="s">
        <v>11258</v>
      </c>
      <c r="D2277" s="47"/>
      <c r="E2277" s="22" t="s">
        <v>1080</v>
      </c>
      <c r="F2277" s="22" t="s">
        <v>299</v>
      </c>
      <c r="G2277" s="23">
        <v>2017.0</v>
      </c>
      <c r="H2277" s="22" t="s">
        <v>53</v>
      </c>
      <c r="I2277" s="24" t="s">
        <v>11294</v>
      </c>
      <c r="J2277" s="22" t="s">
        <v>31</v>
      </c>
      <c r="K2277" s="22" t="s">
        <v>11295</v>
      </c>
      <c r="L2277" s="36" t="s">
        <v>11296</v>
      </c>
      <c r="M2277" s="36"/>
      <c r="N2277" s="36"/>
      <c r="O2277" s="36"/>
      <c r="P2277" s="37"/>
      <c r="Q2277" s="36"/>
      <c r="R2277" s="36"/>
      <c r="S2277" s="36"/>
      <c r="T2277" s="28" t="s">
        <v>11297</v>
      </c>
      <c r="U2277" s="29" t="s">
        <v>61</v>
      </c>
      <c r="V2277" s="30"/>
      <c r="W2277" s="49"/>
      <c r="X2277" s="49"/>
      <c r="Y2277" s="35"/>
      <c r="Z2277" s="35"/>
      <c r="AA2277" s="35"/>
      <c r="AB2277" s="35"/>
      <c r="AC2277" s="35"/>
      <c r="AD2277" s="35"/>
      <c r="AE2277" s="35"/>
      <c r="AF2277" s="35"/>
      <c r="AG2277" s="35"/>
      <c r="AH2277" s="35"/>
      <c r="AI2277" s="35"/>
      <c r="AJ2277" s="35"/>
      <c r="AK2277" s="35"/>
      <c r="AL2277" s="35"/>
    </row>
    <row r="2278">
      <c r="A2278" s="133"/>
      <c r="B2278" s="19" t="s">
        <v>10848</v>
      </c>
      <c r="C2278" s="20" t="s">
        <v>11258</v>
      </c>
      <c r="D2278" s="47"/>
      <c r="E2278" s="22" t="s">
        <v>11298</v>
      </c>
      <c r="F2278" s="22" t="s">
        <v>299</v>
      </c>
      <c r="G2278" s="23">
        <v>2017.0</v>
      </c>
      <c r="H2278" s="22" t="s">
        <v>7149</v>
      </c>
      <c r="I2278" s="24" t="s">
        <v>11299</v>
      </c>
      <c r="J2278" s="22" t="s">
        <v>31</v>
      </c>
      <c r="K2278" s="22" t="s">
        <v>11300</v>
      </c>
      <c r="L2278" s="36" t="s">
        <v>11301</v>
      </c>
      <c r="M2278" s="36"/>
      <c r="N2278" s="36"/>
      <c r="O2278" s="36"/>
      <c r="P2278" s="37"/>
      <c r="Q2278" s="36"/>
      <c r="R2278" s="36"/>
      <c r="S2278" s="36"/>
      <c r="T2278" s="28" t="s">
        <v>11302</v>
      </c>
      <c r="U2278" s="38" t="str">
        <f>HYPERLINK("https://www.ncbi.nlm.nih.gov/pubmed/29200764","PubMed")</f>
        <v>PubMed</v>
      </c>
      <c r="V2278" s="30"/>
      <c r="W2278" s="49"/>
      <c r="X2278" s="49"/>
      <c r="Y2278" s="35"/>
      <c r="Z2278" s="35"/>
      <c r="AA2278" s="35"/>
      <c r="AB2278" s="35"/>
      <c r="AC2278" s="35"/>
      <c r="AD2278" s="35"/>
      <c r="AE2278" s="35"/>
      <c r="AF2278" s="35"/>
      <c r="AG2278" s="35"/>
      <c r="AH2278" s="35"/>
      <c r="AI2278" s="35"/>
      <c r="AJ2278" s="35"/>
      <c r="AK2278" s="35"/>
      <c r="AL2278" s="35"/>
    </row>
    <row r="2279">
      <c r="A2279" s="133"/>
      <c r="B2279" s="19" t="s">
        <v>10848</v>
      </c>
      <c r="C2279" s="20" t="s">
        <v>11258</v>
      </c>
      <c r="D2279" s="47"/>
      <c r="E2279" s="22" t="s">
        <v>11303</v>
      </c>
      <c r="F2279" s="22"/>
      <c r="G2279" s="23">
        <v>2017.0</v>
      </c>
      <c r="H2279" s="22" t="s">
        <v>1774</v>
      </c>
      <c r="I2279" s="24" t="s">
        <v>11304</v>
      </c>
      <c r="J2279" s="22" t="s">
        <v>31</v>
      </c>
      <c r="K2279" s="22" t="s">
        <v>1827</v>
      </c>
      <c r="L2279" s="36">
        <v>808.0</v>
      </c>
      <c r="M2279" s="36"/>
      <c r="N2279" s="36"/>
      <c r="O2279" s="36"/>
      <c r="P2279" s="37" t="s">
        <v>11305</v>
      </c>
      <c r="Q2279" s="36"/>
      <c r="R2279" s="36"/>
      <c r="S2279" s="36"/>
      <c r="T2279" s="28" t="s">
        <v>11306</v>
      </c>
      <c r="U2279" s="38" t="str">
        <f>HYPERLINK("https://www.ncbi.nlm.nih.gov/pubmed/29060675","PubMed")</f>
        <v>PubMed</v>
      </c>
      <c r="V2279" s="30"/>
      <c r="W2279" s="49"/>
      <c r="X2279" s="49"/>
      <c r="Y2279" s="35"/>
      <c r="Z2279" s="35"/>
      <c r="AA2279" s="35"/>
      <c r="AB2279" s="35"/>
      <c r="AC2279" s="35"/>
      <c r="AD2279" s="35"/>
      <c r="AE2279" s="35"/>
      <c r="AF2279" s="35"/>
      <c r="AG2279" s="35"/>
      <c r="AH2279" s="35"/>
      <c r="AI2279" s="35"/>
      <c r="AJ2279" s="35"/>
      <c r="AK2279" s="35"/>
      <c r="AL2279" s="35"/>
    </row>
    <row r="2280">
      <c r="A2280" s="133"/>
      <c r="B2280" s="19" t="s">
        <v>10848</v>
      </c>
      <c r="C2280" s="20" t="s">
        <v>11258</v>
      </c>
      <c r="D2280" s="47"/>
      <c r="E2280" s="22" t="s">
        <v>11283</v>
      </c>
      <c r="F2280" s="22" t="s">
        <v>8378</v>
      </c>
      <c r="G2280" s="23">
        <v>2017.0</v>
      </c>
      <c r="H2280" s="22" t="s">
        <v>53</v>
      </c>
      <c r="I2280" s="24" t="s">
        <v>11307</v>
      </c>
      <c r="J2280" s="22" t="s">
        <v>11308</v>
      </c>
      <c r="K2280" s="22" t="s">
        <v>11309</v>
      </c>
      <c r="L2280" s="36" t="s">
        <v>11310</v>
      </c>
      <c r="M2280" s="36"/>
      <c r="N2280" s="36"/>
      <c r="O2280" s="36"/>
      <c r="P2280" s="37" t="s">
        <v>11311</v>
      </c>
      <c r="Q2280" s="36"/>
      <c r="R2280" s="36"/>
      <c r="S2280" s="36"/>
      <c r="T2280" s="28" t="s">
        <v>11312</v>
      </c>
      <c r="U2280" s="38" t="str">
        <f>HYPERLINK("https://www.ncbi.nlm.nih.gov/pubmed/28418107","PubMed")</f>
        <v>PubMed</v>
      </c>
      <c r="V2280" s="30"/>
      <c r="W2280" s="49"/>
      <c r="X2280" s="49"/>
      <c r="Y2280" s="35"/>
      <c r="Z2280" s="35"/>
      <c r="AA2280" s="35"/>
      <c r="AB2280" s="35"/>
      <c r="AC2280" s="35"/>
      <c r="AD2280" s="35"/>
      <c r="AE2280" s="35"/>
      <c r="AF2280" s="35"/>
      <c r="AG2280" s="35"/>
      <c r="AH2280" s="35"/>
      <c r="AI2280" s="35"/>
      <c r="AJ2280" s="35"/>
      <c r="AK2280" s="35"/>
      <c r="AL2280" s="35"/>
    </row>
    <row r="2281">
      <c r="A2281" s="133"/>
      <c r="B2281" s="19" t="s">
        <v>10848</v>
      </c>
      <c r="C2281" s="20" t="s">
        <v>11258</v>
      </c>
      <c r="D2281" s="47"/>
      <c r="E2281" s="22" t="s">
        <v>2316</v>
      </c>
      <c r="F2281" s="22" t="s">
        <v>224</v>
      </c>
      <c r="G2281" s="23" t="s">
        <v>90</v>
      </c>
      <c r="H2281" s="22" t="s">
        <v>91</v>
      </c>
      <c r="I2281" s="24" t="s">
        <v>11313</v>
      </c>
      <c r="J2281" s="22" t="s">
        <v>44</v>
      </c>
      <c r="K2281" s="22" t="s">
        <v>11314</v>
      </c>
      <c r="L2281" s="36" t="s">
        <v>11315</v>
      </c>
      <c r="M2281" s="36"/>
      <c r="N2281" s="36"/>
      <c r="O2281" s="36"/>
      <c r="P2281" s="37" t="s">
        <v>2555</v>
      </c>
      <c r="Q2281" s="36"/>
      <c r="R2281" s="36"/>
      <c r="S2281" s="36">
        <v>10.0</v>
      </c>
      <c r="T2281" s="42" t="s">
        <v>11316</v>
      </c>
      <c r="U2281" s="38" t="str">
        <f>HYPERLINK("https://www.ncbi.nlm.nih.gov/pubmed/28508243","PubMed")</f>
        <v>PubMed</v>
      </c>
      <c r="V2281" s="30"/>
      <c r="W2281" s="49"/>
      <c r="X2281" s="49"/>
      <c r="Y2281" s="35"/>
      <c r="Z2281" s="35"/>
      <c r="AA2281" s="35"/>
      <c r="AB2281" s="35"/>
      <c r="AC2281" s="35"/>
      <c r="AD2281" s="35"/>
      <c r="AE2281" s="35"/>
      <c r="AF2281" s="35"/>
      <c r="AG2281" s="35"/>
      <c r="AH2281" s="35"/>
      <c r="AI2281" s="35"/>
      <c r="AJ2281" s="35"/>
      <c r="AK2281" s="35"/>
      <c r="AL2281" s="35"/>
    </row>
    <row r="2282">
      <c r="A2282" s="133"/>
      <c r="B2282" s="19" t="s">
        <v>10848</v>
      </c>
      <c r="C2282" s="20" t="s">
        <v>11258</v>
      </c>
      <c r="D2282" s="47"/>
      <c r="E2282" s="22" t="s">
        <v>11317</v>
      </c>
      <c r="F2282" s="22" t="s">
        <v>206</v>
      </c>
      <c r="G2282" s="23">
        <v>2015.0</v>
      </c>
      <c r="H2282" s="22" t="s">
        <v>53</v>
      </c>
      <c r="I2282" s="24" t="s">
        <v>11318</v>
      </c>
      <c r="J2282" s="22" t="s">
        <v>31</v>
      </c>
      <c r="K2282" s="22" t="s">
        <v>11319</v>
      </c>
      <c r="L2282" s="36">
        <v>630.0</v>
      </c>
      <c r="M2282" s="36">
        <v>3.0</v>
      </c>
      <c r="N2282" s="36"/>
      <c r="O2282" s="36"/>
      <c r="P2282" s="37" t="s">
        <v>2555</v>
      </c>
      <c r="Q2282" s="36"/>
      <c r="R2282" s="36"/>
      <c r="S2282" s="36"/>
      <c r="T2282" s="28" t="s">
        <v>11320</v>
      </c>
      <c r="U2282" s="38" t="str">
        <f>HYPERLINK("https://www.ncbi.nlm.nih.gov/pubmed/25557083","PubMed")</f>
        <v>PubMed</v>
      </c>
      <c r="V2282" s="30"/>
      <c r="W2282" s="49"/>
      <c r="X2282" s="49"/>
      <c r="Y2282" s="35"/>
      <c r="Z2282" s="35"/>
      <c r="AA2282" s="35"/>
      <c r="AB2282" s="35"/>
      <c r="AC2282" s="35"/>
      <c r="AD2282" s="35"/>
      <c r="AE2282" s="35"/>
      <c r="AF2282" s="35"/>
      <c r="AG2282" s="35"/>
      <c r="AH2282" s="35"/>
      <c r="AI2282" s="35"/>
      <c r="AJ2282" s="35"/>
      <c r="AK2282" s="35"/>
      <c r="AL2282" s="35"/>
    </row>
    <row r="2283">
      <c r="A2283" s="133"/>
      <c r="B2283" s="19" t="s">
        <v>10848</v>
      </c>
      <c r="C2283" s="20" t="s">
        <v>11258</v>
      </c>
      <c r="D2283" s="47"/>
      <c r="E2283" s="22" t="s">
        <v>11321</v>
      </c>
      <c r="F2283" s="22" t="s">
        <v>6785</v>
      </c>
      <c r="G2283" s="23">
        <v>2011.0</v>
      </c>
      <c r="H2283" s="22" t="s">
        <v>7329</v>
      </c>
      <c r="I2283" s="24" t="s">
        <v>11322</v>
      </c>
      <c r="J2283" s="22" t="s">
        <v>209</v>
      </c>
      <c r="K2283" s="22" t="s">
        <v>11258</v>
      </c>
      <c r="L2283" s="36">
        <v>638.0</v>
      </c>
      <c r="M2283" s="36"/>
      <c r="N2283" s="36"/>
      <c r="O2283" s="36"/>
      <c r="P2283" s="37" t="s">
        <v>6258</v>
      </c>
      <c r="Q2283" s="36"/>
      <c r="R2283" s="36"/>
      <c r="S2283" s="36"/>
      <c r="T2283" s="137" t="s">
        <v>11323</v>
      </c>
      <c r="U2283" s="38" t="str">
        <f>HYPERLINK("https://www.ncbi.nlm.nih.gov/pubmed/21996311","PubMed")</f>
        <v>PubMed</v>
      </c>
      <c r="V2283" s="30"/>
      <c r="W2283" s="49"/>
      <c r="X2283" s="49"/>
      <c r="Y2283" s="35"/>
      <c r="Z2283" s="35"/>
      <c r="AA2283" s="35"/>
      <c r="AB2283" s="35"/>
      <c r="AC2283" s="35"/>
      <c r="AD2283" s="35"/>
      <c r="AE2283" s="35"/>
      <c r="AF2283" s="35"/>
      <c r="AG2283" s="35"/>
      <c r="AH2283" s="35"/>
      <c r="AI2283" s="35"/>
      <c r="AJ2283" s="35"/>
      <c r="AK2283" s="35"/>
      <c r="AL2283" s="35"/>
    </row>
    <row r="2284">
      <c r="A2284" s="55" t="s">
        <v>181</v>
      </c>
      <c r="B2284" s="19" t="s">
        <v>10848</v>
      </c>
      <c r="C2284" s="20" t="s">
        <v>11324</v>
      </c>
      <c r="D2284" s="47"/>
      <c r="E2284" s="22" t="s">
        <v>11325</v>
      </c>
      <c r="F2284" s="22" t="s">
        <v>5429</v>
      </c>
      <c r="G2284" s="23">
        <v>2022.0</v>
      </c>
      <c r="H2284" s="22" t="s">
        <v>3963</v>
      </c>
      <c r="I2284" s="24" t="s">
        <v>11326</v>
      </c>
      <c r="J2284" s="22" t="s">
        <v>11327</v>
      </c>
      <c r="K2284" s="22" t="s">
        <v>11328</v>
      </c>
      <c r="L2284" s="36" t="s">
        <v>11329</v>
      </c>
      <c r="M2284" s="36" t="s">
        <v>58</v>
      </c>
      <c r="N2284" s="36" t="s">
        <v>58</v>
      </c>
      <c r="O2284" s="36" t="s">
        <v>58</v>
      </c>
      <c r="P2284" s="37" t="s">
        <v>58</v>
      </c>
      <c r="Q2284" s="36" t="s">
        <v>58</v>
      </c>
      <c r="R2284" s="36" t="s">
        <v>58</v>
      </c>
      <c r="S2284" s="36" t="s">
        <v>11330</v>
      </c>
      <c r="T2284" s="102" t="s">
        <v>11331</v>
      </c>
      <c r="U2284" s="38" t="s">
        <v>61</v>
      </c>
      <c r="V2284" s="30" t="s">
        <v>11332</v>
      </c>
      <c r="W2284" s="49"/>
      <c r="X2284" s="49"/>
      <c r="Y2284" s="35"/>
      <c r="Z2284" s="35"/>
      <c r="AA2284" s="35"/>
      <c r="AB2284" s="35"/>
      <c r="AC2284" s="35"/>
      <c r="AD2284" s="35"/>
      <c r="AE2284" s="35"/>
      <c r="AF2284" s="35"/>
      <c r="AG2284" s="35"/>
      <c r="AH2284" s="35"/>
      <c r="AI2284" s="35"/>
      <c r="AJ2284" s="35"/>
      <c r="AK2284" s="35"/>
      <c r="AL2284" s="35"/>
    </row>
    <row r="2285">
      <c r="A2285" s="133"/>
      <c r="B2285" s="19" t="s">
        <v>10848</v>
      </c>
      <c r="C2285" s="20" t="s">
        <v>11333</v>
      </c>
      <c r="D2285" s="47"/>
      <c r="E2285" s="22" t="s">
        <v>11334</v>
      </c>
      <c r="F2285" s="22" t="s">
        <v>6963</v>
      </c>
      <c r="G2285" s="23">
        <v>2020.0</v>
      </c>
      <c r="H2285" s="22" t="s">
        <v>6974</v>
      </c>
      <c r="I2285" s="24" t="s">
        <v>11335</v>
      </c>
      <c r="J2285" s="22" t="s">
        <v>11336</v>
      </c>
      <c r="K2285" s="22" t="s">
        <v>157</v>
      </c>
      <c r="L2285" s="36" t="s">
        <v>11337</v>
      </c>
      <c r="M2285" s="36"/>
      <c r="N2285" s="36"/>
      <c r="O2285" s="36"/>
      <c r="P2285" s="37"/>
      <c r="Q2285" s="36"/>
      <c r="R2285" s="36"/>
      <c r="S2285" s="36" t="s">
        <v>11338</v>
      </c>
      <c r="T2285" s="28" t="s">
        <v>11339</v>
      </c>
      <c r="U2285" s="38" t="str">
        <f>HYPERLINK("https://www.ncbi.nlm.nih.gov/pubmed/32060796","PubMed")</f>
        <v>PubMed</v>
      </c>
      <c r="V2285" s="30"/>
      <c r="W2285" s="49"/>
      <c r="X2285" s="49"/>
      <c r="Y2285" s="35"/>
      <c r="Z2285" s="35"/>
      <c r="AA2285" s="35"/>
      <c r="AB2285" s="35"/>
      <c r="AC2285" s="35"/>
      <c r="AD2285" s="35"/>
      <c r="AE2285" s="35"/>
      <c r="AF2285" s="35"/>
      <c r="AG2285" s="35"/>
      <c r="AH2285" s="35"/>
      <c r="AI2285" s="35"/>
      <c r="AJ2285" s="35"/>
      <c r="AK2285" s="35"/>
      <c r="AL2285" s="35"/>
    </row>
    <row r="2286">
      <c r="A2286" s="133"/>
      <c r="B2286" s="19" t="s">
        <v>10848</v>
      </c>
      <c r="C2286" s="20" t="s">
        <v>11333</v>
      </c>
      <c r="D2286" s="47"/>
      <c r="E2286" s="22" t="s">
        <v>11340</v>
      </c>
      <c r="F2286" s="22" t="s">
        <v>3885</v>
      </c>
      <c r="G2286" s="23">
        <v>2017.0</v>
      </c>
      <c r="H2286" s="22" t="s">
        <v>7274</v>
      </c>
      <c r="I2286" s="24" t="s">
        <v>11341</v>
      </c>
      <c r="J2286" s="22" t="s">
        <v>11342</v>
      </c>
      <c r="K2286" s="22" t="s">
        <v>157</v>
      </c>
      <c r="L2286" s="36">
        <v>630.0</v>
      </c>
      <c r="M2286" s="36"/>
      <c r="N2286" s="36"/>
      <c r="O2286" s="36"/>
      <c r="P2286" s="37" t="s">
        <v>254</v>
      </c>
      <c r="Q2286" s="36"/>
      <c r="R2286" s="36"/>
      <c r="S2286" s="36" t="s">
        <v>11343</v>
      </c>
      <c r="T2286" s="28" t="s">
        <v>11344</v>
      </c>
      <c r="U2286" s="38" t="str">
        <f>HYPERLINK("https://www.ncbi.nlm.nih.gov/pubmed/29198781","PubMed")</f>
        <v>PubMed</v>
      </c>
      <c r="V2286" s="30"/>
      <c r="W2286" s="49"/>
      <c r="X2286" s="49"/>
      <c r="Y2286" s="35"/>
      <c r="Z2286" s="35"/>
      <c r="AA2286" s="35"/>
      <c r="AB2286" s="35"/>
      <c r="AC2286" s="35"/>
      <c r="AD2286" s="35"/>
      <c r="AE2286" s="35"/>
      <c r="AF2286" s="35"/>
      <c r="AG2286" s="35"/>
      <c r="AH2286" s="35"/>
      <c r="AI2286" s="35"/>
      <c r="AJ2286" s="35"/>
      <c r="AK2286" s="35"/>
      <c r="AL2286" s="35"/>
    </row>
    <row r="2287">
      <c r="A2287" s="18" t="s">
        <v>38</v>
      </c>
      <c r="B2287" s="19" t="s">
        <v>10848</v>
      </c>
      <c r="C2287" s="20" t="s">
        <v>11345</v>
      </c>
      <c r="D2287" s="47"/>
      <c r="E2287" s="22" t="s">
        <v>11346</v>
      </c>
      <c r="F2287" s="22" t="s">
        <v>11347</v>
      </c>
      <c r="G2287" s="23">
        <v>2015.0</v>
      </c>
      <c r="H2287" s="22" t="s">
        <v>7388</v>
      </c>
      <c r="I2287" s="24" t="s">
        <v>11348</v>
      </c>
      <c r="J2287" s="22" t="s">
        <v>2049</v>
      </c>
      <c r="K2287" s="22" t="s">
        <v>11349</v>
      </c>
      <c r="L2287" s="36" t="s">
        <v>11350</v>
      </c>
      <c r="M2287" s="36" t="s">
        <v>11351</v>
      </c>
      <c r="N2287" s="36"/>
      <c r="O2287" s="36"/>
      <c r="P2287" s="37" t="s">
        <v>969</v>
      </c>
      <c r="Q2287" s="36" t="s">
        <v>11352</v>
      </c>
      <c r="R2287" s="36">
        <v>80.0</v>
      </c>
      <c r="S2287" s="36" t="s">
        <v>854</v>
      </c>
      <c r="T2287" s="28" t="s">
        <v>11353</v>
      </c>
      <c r="U2287" s="38" t="str">
        <f>HYPERLINK("https://www.ncbi.nlm.nih.gov/pubmed/25227429","PubMed")</f>
        <v>PubMed</v>
      </c>
      <c r="V2287" s="30"/>
      <c r="W2287" s="49"/>
      <c r="X2287" s="49"/>
      <c r="Y2287" s="35"/>
      <c r="Z2287" s="35"/>
      <c r="AA2287" s="35"/>
      <c r="AB2287" s="35"/>
      <c r="AC2287" s="35"/>
      <c r="AD2287" s="35"/>
      <c r="AE2287" s="35"/>
      <c r="AF2287" s="35"/>
      <c r="AG2287" s="35"/>
      <c r="AH2287" s="35"/>
      <c r="AI2287" s="35"/>
      <c r="AJ2287" s="35"/>
      <c r="AK2287" s="35"/>
      <c r="AL2287" s="35"/>
    </row>
    <row r="2288">
      <c r="A2288" s="133"/>
      <c r="B2288" s="19" t="s">
        <v>10848</v>
      </c>
      <c r="C2288" s="20" t="s">
        <v>11354</v>
      </c>
      <c r="D2288" s="47"/>
      <c r="E2288" s="22" t="s">
        <v>11355</v>
      </c>
      <c r="F2288" s="22" t="s">
        <v>5340</v>
      </c>
      <c r="G2288" s="23">
        <v>2023.0</v>
      </c>
      <c r="H2288" s="22" t="s">
        <v>3292</v>
      </c>
      <c r="I2288" s="24" t="s">
        <v>11356</v>
      </c>
      <c r="J2288" s="22" t="s">
        <v>11357</v>
      </c>
      <c r="K2288" s="22"/>
      <c r="L2288" s="36"/>
      <c r="M2288" s="36"/>
      <c r="N2288" s="36"/>
      <c r="O2288" s="36"/>
      <c r="P2288" s="36"/>
      <c r="Q2288" s="36"/>
      <c r="R2288" s="36"/>
      <c r="S2288" s="36"/>
      <c r="T2288" s="54"/>
      <c r="U2288" s="38" t="s">
        <v>61</v>
      </c>
      <c r="V2288" s="30" t="s">
        <v>174</v>
      </c>
      <c r="W2288" s="49"/>
      <c r="X2288" s="49"/>
      <c r="Y2288" s="35"/>
      <c r="Z2288" s="35"/>
      <c r="AA2288" s="35"/>
      <c r="AB2288" s="35"/>
      <c r="AC2288" s="35"/>
      <c r="AD2288" s="35"/>
      <c r="AE2288" s="35"/>
      <c r="AF2288" s="35"/>
      <c r="AG2288" s="35"/>
      <c r="AH2288" s="35"/>
      <c r="AI2288" s="35"/>
      <c r="AJ2288" s="35"/>
      <c r="AK2288" s="35"/>
      <c r="AL2288" s="35"/>
    </row>
    <row r="2289">
      <c r="A2289" s="133"/>
      <c r="B2289" s="19" t="s">
        <v>10848</v>
      </c>
      <c r="C2289" s="20" t="s">
        <v>11354</v>
      </c>
      <c r="D2289" s="47"/>
      <c r="E2289" s="22" t="s">
        <v>11240</v>
      </c>
      <c r="F2289" s="22" t="s">
        <v>11241</v>
      </c>
      <c r="G2289" s="23">
        <v>2019.0</v>
      </c>
      <c r="H2289" s="22" t="s">
        <v>1485</v>
      </c>
      <c r="I2289" s="24" t="s">
        <v>11358</v>
      </c>
      <c r="J2289" s="22" t="s">
        <v>11359</v>
      </c>
      <c r="K2289" s="22" t="s">
        <v>11360</v>
      </c>
      <c r="L2289" s="36">
        <v>630.0</v>
      </c>
      <c r="M2289" s="36"/>
      <c r="N2289" s="36" t="s">
        <v>2692</v>
      </c>
      <c r="O2289" s="36"/>
      <c r="P2289" s="36" t="s">
        <v>11361</v>
      </c>
      <c r="Q2289" s="36"/>
      <c r="R2289" s="36"/>
      <c r="S2289" s="36" t="s">
        <v>11362</v>
      </c>
      <c r="T2289" s="54" t="s">
        <v>11363</v>
      </c>
      <c r="U2289" s="38" t="str">
        <f>HYPERLINK("https://www.ncbi.nlm.nih.gov/pubmed/31546043","PubMed")</f>
        <v>PubMed</v>
      </c>
      <c r="V2289" s="30"/>
      <c r="W2289" s="49"/>
      <c r="X2289" s="49"/>
      <c r="Y2289" s="35"/>
      <c r="Z2289" s="35"/>
      <c r="AA2289" s="35"/>
      <c r="AB2289" s="35"/>
      <c r="AC2289" s="35"/>
      <c r="AD2289" s="35"/>
      <c r="AE2289" s="35"/>
      <c r="AF2289" s="35"/>
      <c r="AG2289" s="35"/>
      <c r="AH2289" s="35"/>
      <c r="AI2289" s="35"/>
      <c r="AJ2289" s="35"/>
      <c r="AK2289" s="35"/>
      <c r="AL2289" s="35"/>
    </row>
    <row r="2290">
      <c r="A2290" s="133"/>
      <c r="B2290" s="19" t="s">
        <v>10848</v>
      </c>
      <c r="C2290" s="20" t="s">
        <v>11364</v>
      </c>
      <c r="D2290" s="47"/>
      <c r="E2290" s="22" t="s">
        <v>11240</v>
      </c>
      <c r="F2290" s="22" t="s">
        <v>11241</v>
      </c>
      <c r="G2290" s="23">
        <v>2024.0</v>
      </c>
      <c r="H2290" s="22" t="s">
        <v>11365</v>
      </c>
      <c r="I2290" s="24" t="s">
        <v>11366</v>
      </c>
      <c r="J2290" s="22" t="s">
        <v>11367</v>
      </c>
      <c r="K2290" s="22"/>
      <c r="L2290" s="36"/>
      <c r="M2290" s="36"/>
      <c r="N2290" s="36"/>
      <c r="O2290" s="36"/>
      <c r="P2290" s="36"/>
      <c r="Q2290" s="36"/>
      <c r="R2290" s="36"/>
      <c r="S2290" s="36"/>
      <c r="T2290" s="54" t="s">
        <v>11368</v>
      </c>
      <c r="U2290" s="38" t="s">
        <v>11369</v>
      </c>
      <c r="V2290" s="30"/>
      <c r="W2290" s="49"/>
      <c r="X2290" s="49"/>
      <c r="Y2290" s="35"/>
      <c r="Z2290" s="35"/>
      <c r="AA2290" s="35"/>
      <c r="AB2290" s="35"/>
      <c r="AC2290" s="35"/>
      <c r="AD2290" s="35"/>
      <c r="AE2290" s="35"/>
      <c r="AF2290" s="35"/>
      <c r="AG2290" s="35"/>
      <c r="AH2290" s="35"/>
      <c r="AI2290" s="35"/>
      <c r="AJ2290" s="35"/>
      <c r="AK2290" s="35"/>
      <c r="AL2290" s="35"/>
    </row>
    <row r="2291">
      <c r="A2291" s="133"/>
      <c r="B2291" s="19" t="s">
        <v>11370</v>
      </c>
      <c r="C2291" s="20" t="s">
        <v>11371</v>
      </c>
      <c r="D2291" s="47"/>
      <c r="E2291" s="22" t="s">
        <v>1507</v>
      </c>
      <c r="F2291" s="22" t="s">
        <v>11372</v>
      </c>
      <c r="G2291" s="23">
        <v>2023.0</v>
      </c>
      <c r="H2291" s="22" t="s">
        <v>11373</v>
      </c>
      <c r="I2291" s="24" t="s">
        <v>11374</v>
      </c>
      <c r="J2291" s="22" t="s">
        <v>209</v>
      </c>
      <c r="K2291" s="22"/>
      <c r="L2291" s="36">
        <v>808.0</v>
      </c>
      <c r="M2291" s="36"/>
      <c r="N2291" s="36" t="s">
        <v>3587</v>
      </c>
      <c r="O2291" s="36"/>
      <c r="P2291" s="37"/>
      <c r="Q2291" s="36"/>
      <c r="R2291" s="36">
        <v>3600.0</v>
      </c>
      <c r="S2291" s="36" t="s">
        <v>3125</v>
      </c>
      <c r="T2291" s="41" t="s">
        <v>11375</v>
      </c>
      <c r="U2291" s="38" t="s">
        <v>61</v>
      </c>
      <c r="V2291" s="30"/>
      <c r="W2291" s="49"/>
      <c r="X2291" s="49"/>
      <c r="Y2291" s="35"/>
      <c r="Z2291" s="35"/>
      <c r="AA2291" s="35"/>
      <c r="AB2291" s="35"/>
      <c r="AC2291" s="35"/>
      <c r="AD2291" s="35"/>
      <c r="AE2291" s="35"/>
      <c r="AF2291" s="35"/>
      <c r="AG2291" s="35"/>
      <c r="AH2291" s="35"/>
      <c r="AI2291" s="35"/>
      <c r="AJ2291" s="35"/>
      <c r="AK2291" s="35"/>
      <c r="AL2291" s="35"/>
    </row>
    <row r="2292">
      <c r="A2292" s="133" t="s">
        <v>11376</v>
      </c>
      <c r="B2292" s="19" t="s">
        <v>11370</v>
      </c>
      <c r="C2292" s="20" t="s">
        <v>11371</v>
      </c>
      <c r="D2292" s="47"/>
      <c r="E2292" s="22" t="s">
        <v>493</v>
      </c>
      <c r="F2292" s="22" t="s">
        <v>11372</v>
      </c>
      <c r="G2292" s="23">
        <v>2016.0</v>
      </c>
      <c r="H2292" s="22" t="s">
        <v>2558</v>
      </c>
      <c r="I2292" s="24" t="s">
        <v>11377</v>
      </c>
      <c r="J2292" s="22" t="s">
        <v>11378</v>
      </c>
      <c r="K2292" s="22" t="s">
        <v>11379</v>
      </c>
      <c r="L2292" s="36">
        <v>808.0</v>
      </c>
      <c r="M2292" s="36">
        <v>200.0</v>
      </c>
      <c r="N2292" s="36" t="s">
        <v>11380</v>
      </c>
      <c r="O2292" s="36">
        <v>720.0</v>
      </c>
      <c r="P2292" s="37" t="s">
        <v>11381</v>
      </c>
      <c r="Q2292" s="36" t="s">
        <v>2109</v>
      </c>
      <c r="R2292" s="36">
        <v>3600.0</v>
      </c>
      <c r="S2292" s="36"/>
      <c r="T2292" s="28" t="s">
        <v>11382</v>
      </c>
      <c r="U2292" s="38" t="str">
        <f>HYPERLINK("https://www.ncbi.nlm.nih.gov/pubmed/27666974","PubMed")</f>
        <v>PubMed</v>
      </c>
      <c r="V2292" s="30"/>
      <c r="W2292" s="49"/>
      <c r="X2292" s="49"/>
      <c r="Y2292" s="35"/>
      <c r="Z2292" s="35"/>
      <c r="AA2292" s="35"/>
      <c r="AB2292" s="35"/>
      <c r="AC2292" s="35"/>
      <c r="AD2292" s="35"/>
      <c r="AE2292" s="35"/>
      <c r="AF2292" s="35"/>
      <c r="AG2292" s="35"/>
      <c r="AH2292" s="35"/>
      <c r="AI2292" s="35"/>
      <c r="AJ2292" s="35"/>
      <c r="AK2292" s="35"/>
      <c r="AL2292" s="35"/>
    </row>
    <row r="2293">
      <c r="A2293" s="55"/>
      <c r="B2293" s="19" t="s">
        <v>11370</v>
      </c>
      <c r="C2293" s="20" t="s">
        <v>2392</v>
      </c>
      <c r="D2293" s="47"/>
      <c r="E2293" s="22" t="s">
        <v>1507</v>
      </c>
      <c r="F2293" s="22" t="s">
        <v>11372</v>
      </c>
      <c r="G2293" s="23">
        <v>2019.0</v>
      </c>
      <c r="H2293" s="22" t="s">
        <v>2181</v>
      </c>
      <c r="I2293" s="24" t="s">
        <v>11383</v>
      </c>
      <c r="J2293" s="22" t="s">
        <v>31</v>
      </c>
      <c r="K2293" s="22" t="s">
        <v>5989</v>
      </c>
      <c r="L2293" s="36">
        <v>808.0</v>
      </c>
      <c r="M2293" s="36">
        <v>15.0</v>
      </c>
      <c r="N2293" s="36"/>
      <c r="O2293" s="36"/>
      <c r="P2293" s="129">
        <v>43598.0</v>
      </c>
      <c r="Q2293" s="36"/>
      <c r="R2293" s="36">
        <v>900.0</v>
      </c>
      <c r="S2293" s="36"/>
      <c r="T2293" s="28" t="s">
        <v>11384</v>
      </c>
      <c r="U2293" s="38" t="str">
        <f>HYPERLINK("https://www.ncbi.nlm.nih.gov/pubmed/31848399","PubMed")</f>
        <v>PubMed</v>
      </c>
      <c r="V2293" s="30"/>
      <c r="W2293" s="49"/>
      <c r="X2293" s="49"/>
      <c r="Y2293" s="35"/>
      <c r="Z2293" s="35"/>
      <c r="AA2293" s="35"/>
      <c r="AB2293" s="35"/>
      <c r="AC2293" s="35"/>
      <c r="AD2293" s="35"/>
      <c r="AE2293" s="35"/>
      <c r="AF2293" s="35"/>
      <c r="AG2293" s="35"/>
      <c r="AH2293" s="35"/>
      <c r="AI2293" s="35"/>
      <c r="AJ2293" s="35"/>
      <c r="AK2293" s="35"/>
      <c r="AL2293" s="35"/>
    </row>
    <row r="2294">
      <c r="A2294" s="55"/>
      <c r="B2294" s="19" t="s">
        <v>11370</v>
      </c>
      <c r="C2294" s="20" t="s">
        <v>11385</v>
      </c>
      <c r="D2294" s="47"/>
      <c r="E2294" s="22" t="s">
        <v>11386</v>
      </c>
      <c r="F2294" s="22" t="s">
        <v>6963</v>
      </c>
      <c r="G2294" s="23">
        <v>2024.0</v>
      </c>
      <c r="H2294" s="22" t="s">
        <v>2139</v>
      </c>
      <c r="I2294" s="24" t="s">
        <v>11387</v>
      </c>
      <c r="J2294" s="22" t="s">
        <v>11388</v>
      </c>
      <c r="K2294" s="22"/>
      <c r="L2294" s="36">
        <v>850.0</v>
      </c>
      <c r="M2294" s="36"/>
      <c r="N2294" s="36" t="s">
        <v>6267</v>
      </c>
      <c r="O2294" s="36"/>
      <c r="P2294" s="129">
        <v>45354.0</v>
      </c>
      <c r="Q2294" s="36"/>
      <c r="R2294" s="36">
        <v>1800.0</v>
      </c>
      <c r="S2294" s="36"/>
      <c r="T2294" s="41" t="s">
        <v>11389</v>
      </c>
      <c r="U2294" s="38" t="s">
        <v>61</v>
      </c>
      <c r="V2294" s="30"/>
      <c r="W2294" s="49"/>
      <c r="X2294" s="49"/>
      <c r="Y2294" s="35"/>
      <c r="Z2294" s="35"/>
      <c r="AA2294" s="35"/>
      <c r="AB2294" s="35"/>
      <c r="AC2294" s="35"/>
      <c r="AD2294" s="35"/>
      <c r="AE2294" s="35"/>
      <c r="AF2294" s="35"/>
      <c r="AG2294" s="35"/>
      <c r="AH2294" s="35"/>
      <c r="AI2294" s="35"/>
      <c r="AJ2294" s="35"/>
      <c r="AK2294" s="35"/>
      <c r="AL2294" s="35"/>
    </row>
    <row r="2295">
      <c r="A2295" s="276"/>
      <c r="B2295" s="19" t="s">
        <v>11370</v>
      </c>
      <c r="C2295" s="20" t="s">
        <v>11385</v>
      </c>
      <c r="D2295" s="47"/>
      <c r="E2295" s="22" t="s">
        <v>11390</v>
      </c>
      <c r="F2295" s="277" t="s">
        <v>2808</v>
      </c>
      <c r="G2295" s="23">
        <v>2023.0</v>
      </c>
      <c r="H2295" s="22" t="s">
        <v>11391</v>
      </c>
      <c r="I2295" s="24" t="s">
        <v>11392</v>
      </c>
      <c r="J2295" s="22" t="s">
        <v>649</v>
      </c>
      <c r="K2295" s="22"/>
      <c r="L2295" s="105" t="s">
        <v>11393</v>
      </c>
      <c r="M2295" s="44"/>
      <c r="N2295" s="44"/>
      <c r="O2295" s="44"/>
      <c r="P2295" s="44"/>
      <c r="Q2295" s="44"/>
      <c r="R2295" s="44"/>
      <c r="S2295" s="44"/>
      <c r="T2295" s="45"/>
      <c r="U2295" s="38" t="s">
        <v>61</v>
      </c>
      <c r="V2295" s="30"/>
      <c r="W2295" s="49"/>
      <c r="X2295" s="49"/>
      <c r="Y2295" s="35"/>
      <c r="Z2295" s="35"/>
      <c r="AA2295" s="35"/>
      <c r="AB2295" s="35"/>
      <c r="AC2295" s="35"/>
      <c r="AD2295" s="35"/>
      <c r="AE2295" s="35"/>
      <c r="AF2295" s="35"/>
      <c r="AG2295" s="35"/>
      <c r="AH2295" s="35"/>
      <c r="AI2295" s="35"/>
      <c r="AJ2295" s="35"/>
      <c r="AK2295" s="35"/>
      <c r="AL2295" s="35"/>
    </row>
    <row r="2296">
      <c r="A2296" s="276"/>
      <c r="B2296" s="19" t="s">
        <v>11370</v>
      </c>
      <c r="C2296" s="20" t="s">
        <v>11385</v>
      </c>
      <c r="D2296" s="47"/>
      <c r="E2296" s="22" t="s">
        <v>11394</v>
      </c>
      <c r="F2296" s="22" t="s">
        <v>1905</v>
      </c>
      <c r="G2296" s="23">
        <v>2021.0</v>
      </c>
      <c r="H2296" s="22" t="s">
        <v>91</v>
      </c>
      <c r="I2296" s="24" t="s">
        <v>11395</v>
      </c>
      <c r="J2296" s="22" t="s">
        <v>55</v>
      </c>
      <c r="K2296" s="22" t="s">
        <v>11396</v>
      </c>
      <c r="L2296" s="36">
        <v>808.0</v>
      </c>
      <c r="M2296" s="36"/>
      <c r="N2296" s="36" t="s">
        <v>11397</v>
      </c>
      <c r="O2296" s="36"/>
      <c r="P2296" s="36" t="s">
        <v>11398</v>
      </c>
      <c r="Q2296" s="36"/>
      <c r="R2296" s="36"/>
      <c r="S2296" s="36"/>
      <c r="T2296" s="28" t="s">
        <v>11399</v>
      </c>
      <c r="U2296" s="29" t="s">
        <v>61</v>
      </c>
      <c r="V2296" s="30"/>
      <c r="W2296" s="49"/>
      <c r="X2296" s="49"/>
      <c r="Y2296" s="35"/>
      <c r="Z2296" s="35"/>
      <c r="AA2296" s="35"/>
      <c r="AB2296" s="35"/>
      <c r="AC2296" s="35"/>
      <c r="AD2296" s="35"/>
      <c r="AE2296" s="35"/>
      <c r="AF2296" s="35"/>
      <c r="AG2296" s="35"/>
      <c r="AH2296" s="35"/>
      <c r="AI2296" s="35"/>
      <c r="AJ2296" s="35"/>
      <c r="AK2296" s="35"/>
      <c r="AL2296" s="35"/>
    </row>
    <row r="2297">
      <c r="A2297" s="276" t="s">
        <v>38</v>
      </c>
      <c r="B2297" s="19" t="s">
        <v>11370</v>
      </c>
      <c r="C2297" s="20" t="s">
        <v>11385</v>
      </c>
      <c r="D2297" s="47"/>
      <c r="E2297" s="22" t="s">
        <v>11400</v>
      </c>
      <c r="F2297" s="22" t="s">
        <v>2750</v>
      </c>
      <c r="G2297" s="23">
        <v>2020.0</v>
      </c>
      <c r="H2297" s="22" t="s">
        <v>11401</v>
      </c>
      <c r="I2297" s="24" t="s">
        <v>11402</v>
      </c>
      <c r="J2297" s="22" t="s">
        <v>44</v>
      </c>
      <c r="K2297" s="22" t="s">
        <v>1827</v>
      </c>
      <c r="L2297" s="36">
        <v>808.0</v>
      </c>
      <c r="M2297" s="36">
        <v>120.0</v>
      </c>
      <c r="N2297" s="36" t="s">
        <v>11403</v>
      </c>
      <c r="O2297" s="36"/>
      <c r="P2297" s="129"/>
      <c r="Q2297" s="36"/>
      <c r="R2297" s="36" t="s">
        <v>11404</v>
      </c>
      <c r="S2297" s="36"/>
      <c r="T2297" s="28" t="s">
        <v>11405</v>
      </c>
      <c r="U2297" s="29" t="s">
        <v>61</v>
      </c>
      <c r="V2297" s="30"/>
      <c r="W2297" s="49"/>
      <c r="X2297" s="49"/>
      <c r="Y2297" s="35"/>
      <c r="Z2297" s="35"/>
      <c r="AA2297" s="35"/>
      <c r="AB2297" s="35"/>
      <c r="AC2297" s="35"/>
      <c r="AD2297" s="35"/>
      <c r="AE2297" s="35"/>
      <c r="AF2297" s="35"/>
      <c r="AG2297" s="35"/>
      <c r="AH2297" s="35"/>
      <c r="AI2297" s="35"/>
      <c r="AJ2297" s="35"/>
      <c r="AK2297" s="35"/>
      <c r="AL2297" s="35"/>
    </row>
    <row r="2298">
      <c r="A2298" s="55"/>
      <c r="B2298" s="19" t="s">
        <v>11370</v>
      </c>
      <c r="C2298" s="20" t="s">
        <v>11385</v>
      </c>
      <c r="D2298" s="47"/>
      <c r="E2298" s="22" t="s">
        <v>493</v>
      </c>
      <c r="F2298" s="22" t="s">
        <v>11372</v>
      </c>
      <c r="G2298" s="23">
        <v>2019.0</v>
      </c>
      <c r="H2298" s="22" t="s">
        <v>4351</v>
      </c>
      <c r="I2298" s="24" t="s">
        <v>11406</v>
      </c>
      <c r="J2298" s="22" t="s">
        <v>125</v>
      </c>
      <c r="K2298" s="22"/>
      <c r="L2298" s="43" t="s">
        <v>11407</v>
      </c>
      <c r="M2298" s="44"/>
      <c r="N2298" s="44"/>
      <c r="O2298" s="44"/>
      <c r="P2298" s="44"/>
      <c r="Q2298" s="44"/>
      <c r="R2298" s="44"/>
      <c r="S2298" s="44"/>
      <c r="T2298" s="45"/>
      <c r="U2298" s="38" t="str">
        <f>HYPERLINK("https://www.ncbi.nlm.nih.gov/pubmed/31456894","PubMed")</f>
        <v>PubMed</v>
      </c>
      <c r="V2298" s="30"/>
      <c r="W2298" s="49"/>
      <c r="X2298" s="49"/>
      <c r="Y2298" s="35"/>
      <c r="Z2298" s="35"/>
      <c r="AA2298" s="35"/>
      <c r="AB2298" s="35"/>
      <c r="AC2298" s="35"/>
      <c r="AD2298" s="35"/>
      <c r="AE2298" s="35"/>
      <c r="AF2298" s="35"/>
      <c r="AG2298" s="35"/>
      <c r="AH2298" s="35"/>
      <c r="AI2298" s="35"/>
      <c r="AJ2298" s="35"/>
      <c r="AK2298" s="35"/>
      <c r="AL2298" s="35"/>
    </row>
    <row r="2299">
      <c r="A2299" s="55"/>
      <c r="B2299" s="19" t="s">
        <v>11370</v>
      </c>
      <c r="C2299" s="20" t="s">
        <v>11385</v>
      </c>
      <c r="D2299" s="47"/>
      <c r="E2299" s="22" t="s">
        <v>493</v>
      </c>
      <c r="F2299" s="22" t="s">
        <v>11372</v>
      </c>
      <c r="G2299" s="23">
        <v>2019.0</v>
      </c>
      <c r="H2299" s="22" t="s">
        <v>42</v>
      </c>
      <c r="I2299" s="24" t="s">
        <v>11408</v>
      </c>
      <c r="J2299" s="22" t="s">
        <v>55</v>
      </c>
      <c r="K2299" s="22" t="s">
        <v>11409</v>
      </c>
      <c r="L2299" s="36">
        <v>808.0</v>
      </c>
      <c r="M2299" s="129"/>
      <c r="N2299" s="36"/>
      <c r="O2299" s="36"/>
      <c r="P2299" s="37"/>
      <c r="Q2299" s="36"/>
      <c r="R2299" s="36"/>
      <c r="S2299" s="36"/>
      <c r="T2299" s="28" t="s">
        <v>11410</v>
      </c>
      <c r="U2299" s="38" t="str">
        <f>HYPERLINK("https://www.ncbi.nlm.nih.gov/pubmed/31240853","PubMed")</f>
        <v>PubMed</v>
      </c>
      <c r="V2299" s="30"/>
      <c r="W2299" s="49"/>
      <c r="X2299" s="49"/>
      <c r="Y2299" s="35"/>
      <c r="Z2299" s="35"/>
      <c r="AA2299" s="35"/>
      <c r="AB2299" s="35"/>
      <c r="AC2299" s="35"/>
      <c r="AD2299" s="35"/>
      <c r="AE2299" s="35"/>
      <c r="AF2299" s="35"/>
      <c r="AG2299" s="35"/>
      <c r="AH2299" s="35"/>
      <c r="AI2299" s="35"/>
      <c r="AJ2299" s="35"/>
      <c r="AK2299" s="35"/>
      <c r="AL2299" s="35"/>
    </row>
    <row r="2300">
      <c r="A2300" s="55"/>
      <c r="B2300" s="19" t="s">
        <v>11370</v>
      </c>
      <c r="C2300" s="20" t="s">
        <v>11385</v>
      </c>
      <c r="D2300" s="47"/>
      <c r="E2300" s="22" t="s">
        <v>11411</v>
      </c>
      <c r="F2300" s="22" t="s">
        <v>366</v>
      </c>
      <c r="G2300" s="23">
        <v>2016.0</v>
      </c>
      <c r="H2300" s="22" t="s">
        <v>3106</v>
      </c>
      <c r="I2300" s="24" t="s">
        <v>11412</v>
      </c>
      <c r="J2300" s="22" t="s">
        <v>55</v>
      </c>
      <c r="K2300" s="22" t="s">
        <v>11409</v>
      </c>
      <c r="L2300" s="36">
        <v>808.0</v>
      </c>
      <c r="M2300" s="129">
        <v>42615.0</v>
      </c>
      <c r="N2300" s="36" t="s">
        <v>11397</v>
      </c>
      <c r="O2300" s="36">
        <v>26.0</v>
      </c>
      <c r="P2300" s="37"/>
      <c r="Q2300" s="36" t="s">
        <v>11413</v>
      </c>
      <c r="R2300" s="36">
        <v>1800.0</v>
      </c>
      <c r="S2300" s="36">
        <v>5.0</v>
      </c>
      <c r="T2300" s="28" t="s">
        <v>11414</v>
      </c>
      <c r="U2300" s="38" t="str">
        <f>HYPERLINK("https://www.ncbi.nlm.nih.gov/pubmed/27342816","PubMed")</f>
        <v>PubMed</v>
      </c>
      <c r="V2300" s="30"/>
      <c r="W2300" s="49"/>
      <c r="X2300" s="49"/>
      <c r="Y2300" s="35"/>
      <c r="Z2300" s="35"/>
      <c r="AA2300" s="35"/>
      <c r="AB2300" s="35"/>
      <c r="AC2300" s="35"/>
      <c r="AD2300" s="35"/>
      <c r="AE2300" s="35"/>
      <c r="AF2300" s="35"/>
      <c r="AG2300" s="35"/>
      <c r="AH2300" s="35"/>
      <c r="AI2300" s="35"/>
      <c r="AJ2300" s="35"/>
      <c r="AK2300" s="35"/>
      <c r="AL2300" s="35"/>
    </row>
    <row r="2301">
      <c r="A2301" s="55"/>
      <c r="B2301" s="19" t="s">
        <v>11370</v>
      </c>
      <c r="C2301" s="20" t="s">
        <v>11385</v>
      </c>
      <c r="D2301" s="47"/>
      <c r="E2301" s="22" t="s">
        <v>493</v>
      </c>
      <c r="F2301" s="22" t="s">
        <v>6828</v>
      </c>
      <c r="G2301" s="23">
        <v>2017.0</v>
      </c>
      <c r="H2301" s="22" t="s">
        <v>1025</v>
      </c>
      <c r="I2301" s="24" t="s">
        <v>11415</v>
      </c>
      <c r="J2301" s="22" t="s">
        <v>55</v>
      </c>
      <c r="K2301" s="22" t="s">
        <v>11416</v>
      </c>
      <c r="L2301" s="36">
        <v>830.0</v>
      </c>
      <c r="M2301" s="36"/>
      <c r="N2301" s="36"/>
      <c r="O2301" s="36"/>
      <c r="P2301" s="37"/>
      <c r="Q2301" s="36"/>
      <c r="R2301" s="36"/>
      <c r="S2301" s="36"/>
      <c r="T2301" s="28" t="s">
        <v>11417</v>
      </c>
      <c r="U2301" s="29" t="s">
        <v>61</v>
      </c>
      <c r="V2301" s="30"/>
      <c r="W2301" s="49"/>
      <c r="X2301" s="49"/>
      <c r="Y2301" s="35"/>
      <c r="Z2301" s="35"/>
      <c r="AA2301" s="35"/>
      <c r="AB2301" s="35"/>
      <c r="AC2301" s="35"/>
      <c r="AD2301" s="35"/>
      <c r="AE2301" s="35"/>
      <c r="AF2301" s="35"/>
      <c r="AG2301" s="35"/>
      <c r="AH2301" s="35"/>
      <c r="AI2301" s="35"/>
      <c r="AJ2301" s="35"/>
      <c r="AK2301" s="35"/>
      <c r="AL2301" s="35"/>
    </row>
    <row r="2302">
      <c r="A2302" s="55" t="s">
        <v>2</v>
      </c>
      <c r="B2302" s="19" t="s">
        <v>11370</v>
      </c>
      <c r="C2302" s="20" t="s">
        <v>11385</v>
      </c>
      <c r="D2302" s="47"/>
      <c r="E2302" s="22" t="s">
        <v>493</v>
      </c>
      <c r="F2302" s="22" t="s">
        <v>11372</v>
      </c>
      <c r="G2302" s="23">
        <v>2016.0</v>
      </c>
      <c r="H2302" s="22" t="s">
        <v>11401</v>
      </c>
      <c r="I2302" s="24" t="s">
        <v>11418</v>
      </c>
      <c r="J2302" s="22" t="s">
        <v>55</v>
      </c>
      <c r="K2302" s="22" t="s">
        <v>11409</v>
      </c>
      <c r="L2302" s="36">
        <v>808.0</v>
      </c>
      <c r="M2302" s="36">
        <v>185.0</v>
      </c>
      <c r="N2302" s="36" t="s">
        <v>11397</v>
      </c>
      <c r="O2302" s="36">
        <v>594.0</v>
      </c>
      <c r="P2302" s="37" t="s">
        <v>11419</v>
      </c>
      <c r="Q2302" s="36" t="s">
        <v>2109</v>
      </c>
      <c r="R2302" s="36">
        <v>3600.0</v>
      </c>
      <c r="S2302" s="36">
        <v>15.0</v>
      </c>
      <c r="T2302" s="28" t="s">
        <v>11420</v>
      </c>
      <c r="U2302" s="38" t="str">
        <f>HYPERLINK("https://www.ncbi.nlm.nih.gov/pubmed/27547558","PubMed")</f>
        <v>PubMed</v>
      </c>
      <c r="V2302" s="30"/>
      <c r="W2302" s="49"/>
      <c r="X2302" s="49"/>
      <c r="Y2302" s="35"/>
      <c r="Z2302" s="35"/>
      <c r="AA2302" s="35"/>
      <c r="AB2302" s="35"/>
      <c r="AC2302" s="35"/>
      <c r="AD2302" s="35"/>
      <c r="AE2302" s="35"/>
      <c r="AF2302" s="35"/>
      <c r="AG2302" s="35"/>
      <c r="AH2302" s="35"/>
      <c r="AI2302" s="35"/>
      <c r="AJ2302" s="35"/>
      <c r="AK2302" s="35"/>
      <c r="AL2302" s="35"/>
    </row>
    <row r="2303">
      <c r="A2303" s="55"/>
      <c r="B2303" s="19" t="s">
        <v>11370</v>
      </c>
      <c r="C2303" s="20" t="s">
        <v>11385</v>
      </c>
      <c r="D2303" s="47"/>
      <c r="E2303" s="22" t="s">
        <v>11411</v>
      </c>
      <c r="F2303" s="22" t="s">
        <v>366</v>
      </c>
      <c r="G2303" s="23">
        <v>2015.0</v>
      </c>
      <c r="H2303" s="22" t="s">
        <v>2558</v>
      </c>
      <c r="I2303" s="24" t="s">
        <v>11421</v>
      </c>
      <c r="J2303" s="22" t="s">
        <v>55</v>
      </c>
      <c r="K2303" s="22" t="s">
        <v>11409</v>
      </c>
      <c r="L2303" s="36">
        <v>808.0</v>
      </c>
      <c r="M2303" s="36"/>
      <c r="N2303" s="36" t="s">
        <v>11422</v>
      </c>
      <c r="O2303" s="36"/>
      <c r="P2303" s="37"/>
      <c r="Q2303" s="36"/>
      <c r="R2303" s="36">
        <v>1800.0</v>
      </c>
      <c r="S2303" s="36">
        <v>5.0</v>
      </c>
      <c r="T2303" s="28" t="s">
        <v>11423</v>
      </c>
      <c r="U2303" s="38" t="str">
        <f>HYPERLINK("https://www.ncbi.nlm.nih.gov/pubmed/25797186","PubMed")</f>
        <v>PubMed</v>
      </c>
      <c r="V2303" s="30"/>
      <c r="W2303" s="49"/>
      <c r="X2303" s="49"/>
      <c r="Y2303" s="35"/>
      <c r="Z2303" s="35"/>
      <c r="AA2303" s="35"/>
      <c r="AB2303" s="35"/>
      <c r="AC2303" s="35"/>
      <c r="AD2303" s="35"/>
      <c r="AE2303" s="35"/>
      <c r="AF2303" s="35"/>
      <c r="AG2303" s="35"/>
      <c r="AH2303" s="35"/>
      <c r="AI2303" s="35"/>
      <c r="AJ2303" s="35"/>
      <c r="AK2303" s="35"/>
      <c r="AL2303" s="35"/>
    </row>
    <row r="2304">
      <c r="A2304" s="55" t="s">
        <v>2983</v>
      </c>
      <c r="B2304" s="19" t="s">
        <v>11370</v>
      </c>
      <c r="C2304" s="20" t="s">
        <v>11385</v>
      </c>
      <c r="D2304" s="47"/>
      <c r="E2304" s="22" t="s">
        <v>5718</v>
      </c>
      <c r="F2304" s="22" t="s">
        <v>11372</v>
      </c>
      <c r="G2304" s="23">
        <v>2013.0</v>
      </c>
      <c r="H2304" s="22" t="s">
        <v>1025</v>
      </c>
      <c r="I2304" s="24" t="s">
        <v>11424</v>
      </c>
      <c r="J2304" s="22" t="s">
        <v>55</v>
      </c>
      <c r="K2304" s="22" t="s">
        <v>11416</v>
      </c>
      <c r="L2304" s="36">
        <v>830.0</v>
      </c>
      <c r="M2304" s="36"/>
      <c r="N2304" s="36" t="s">
        <v>1704</v>
      </c>
      <c r="O2304" s="36" t="s">
        <v>11425</v>
      </c>
      <c r="P2304" s="36" t="s">
        <v>11426</v>
      </c>
      <c r="Q2304" s="36" t="s">
        <v>2109</v>
      </c>
      <c r="R2304" s="36">
        <v>3600.0</v>
      </c>
      <c r="S2304" s="36">
        <v>10.0</v>
      </c>
      <c r="T2304" s="28" t="s">
        <v>11427</v>
      </c>
      <c r="U2304" s="38" t="str">
        <f>HYPERLINK("https://www.ncbi.nlm.nih.gov/pubmed/24343446","PubMed")</f>
        <v>PubMed</v>
      </c>
      <c r="V2304" s="30"/>
      <c r="W2304" s="49"/>
      <c r="X2304" s="49"/>
      <c r="Y2304" s="35"/>
      <c r="Z2304" s="35"/>
      <c r="AA2304" s="35"/>
      <c r="AB2304" s="35"/>
      <c r="AC2304" s="35"/>
      <c r="AD2304" s="35"/>
      <c r="AE2304" s="35"/>
      <c r="AF2304" s="35"/>
      <c r="AG2304" s="35"/>
      <c r="AH2304" s="35"/>
      <c r="AI2304" s="35"/>
      <c r="AJ2304" s="35"/>
      <c r="AK2304" s="35"/>
      <c r="AL2304" s="35"/>
    </row>
    <row r="2305">
      <c r="A2305" s="55"/>
      <c r="B2305" s="19" t="s">
        <v>11370</v>
      </c>
      <c r="C2305" s="20" t="s">
        <v>11385</v>
      </c>
      <c r="D2305" s="47"/>
      <c r="E2305" s="22" t="s">
        <v>11428</v>
      </c>
      <c r="F2305" s="22" t="s">
        <v>11429</v>
      </c>
      <c r="G2305" s="23">
        <v>2013.0</v>
      </c>
      <c r="H2305" s="22" t="s">
        <v>11430</v>
      </c>
      <c r="I2305" s="24" t="s">
        <v>11431</v>
      </c>
      <c r="J2305" s="22" t="s">
        <v>3887</v>
      </c>
      <c r="K2305" s="22"/>
      <c r="L2305" s="42" t="s">
        <v>11432</v>
      </c>
      <c r="U2305" s="38" t="str">
        <f>HYPERLINK("https://www.ncbi.nlm.nih.gov/pubmed/24319598","PubMed")</f>
        <v>PubMed</v>
      </c>
      <c r="V2305" s="30"/>
      <c r="W2305" s="49"/>
      <c r="X2305" s="49"/>
      <c r="Y2305" s="35"/>
      <c r="Z2305" s="35"/>
      <c r="AA2305" s="35"/>
      <c r="AB2305" s="35"/>
      <c r="AC2305" s="35"/>
      <c r="AD2305" s="35"/>
      <c r="AE2305" s="35"/>
      <c r="AF2305" s="35"/>
      <c r="AG2305" s="35"/>
      <c r="AH2305" s="35"/>
      <c r="AI2305" s="35"/>
      <c r="AJ2305" s="35"/>
      <c r="AK2305" s="35"/>
      <c r="AL2305" s="35"/>
    </row>
    <row r="2306">
      <c r="A2306" s="149" t="s">
        <v>181</v>
      </c>
      <c r="B2306" s="19" t="s">
        <v>11370</v>
      </c>
      <c r="C2306" s="20" t="s">
        <v>11385</v>
      </c>
      <c r="D2306" s="47"/>
      <c r="E2306" s="22" t="s">
        <v>11433</v>
      </c>
      <c r="F2306" s="22" t="s">
        <v>11434</v>
      </c>
      <c r="G2306" s="23">
        <v>2013.0</v>
      </c>
      <c r="H2306" s="22" t="s">
        <v>11430</v>
      </c>
      <c r="I2306" s="24" t="s">
        <v>11435</v>
      </c>
      <c r="J2306" s="22" t="s">
        <v>11436</v>
      </c>
      <c r="K2306" s="22" t="s">
        <v>294</v>
      </c>
      <c r="L2306" s="36" t="s">
        <v>11437</v>
      </c>
      <c r="M2306" s="36" t="s">
        <v>11438</v>
      </c>
      <c r="N2306" s="36"/>
      <c r="O2306" s="36"/>
      <c r="P2306" s="37"/>
      <c r="Q2306" s="36"/>
      <c r="R2306" s="36">
        <v>300.0</v>
      </c>
      <c r="S2306" s="36" t="s">
        <v>11439</v>
      </c>
      <c r="T2306" s="41" t="s">
        <v>11440</v>
      </c>
      <c r="U2306" s="38" t="str">
        <f>HYPERLINK("https://www.ncbi.nlm.nih.gov/pubmed/24024040","PubMed")</f>
        <v>PubMed</v>
      </c>
      <c r="V2306" s="30"/>
      <c r="W2306" s="49"/>
      <c r="X2306" s="49"/>
      <c r="Y2306" s="35"/>
      <c r="Z2306" s="35"/>
      <c r="AA2306" s="35"/>
      <c r="AB2306" s="35"/>
      <c r="AC2306" s="35"/>
      <c r="AD2306" s="35"/>
      <c r="AE2306" s="35"/>
      <c r="AF2306" s="35"/>
      <c r="AG2306" s="35"/>
      <c r="AH2306" s="35"/>
      <c r="AI2306" s="35"/>
      <c r="AJ2306" s="35"/>
      <c r="AK2306" s="35"/>
      <c r="AL2306" s="35"/>
    </row>
    <row r="2307">
      <c r="A2307" s="55"/>
      <c r="B2307" s="19" t="s">
        <v>11370</v>
      </c>
      <c r="C2307" s="20" t="s">
        <v>11385</v>
      </c>
      <c r="D2307" s="47"/>
      <c r="E2307" s="22" t="s">
        <v>5718</v>
      </c>
      <c r="F2307" s="22" t="s">
        <v>11372</v>
      </c>
      <c r="G2307" s="23">
        <v>2012.0</v>
      </c>
      <c r="H2307" s="22" t="s">
        <v>1025</v>
      </c>
      <c r="I2307" s="24" t="s">
        <v>11441</v>
      </c>
      <c r="J2307" s="22" t="s">
        <v>55</v>
      </c>
      <c r="K2307" s="22" t="s">
        <v>11409</v>
      </c>
      <c r="L2307" s="36">
        <v>830.0</v>
      </c>
      <c r="M2307" s="36"/>
      <c r="N2307" s="36" t="s">
        <v>11442</v>
      </c>
      <c r="O2307" s="36"/>
      <c r="P2307" s="36"/>
      <c r="Q2307" s="36"/>
      <c r="R2307" s="36">
        <v>3600.0</v>
      </c>
      <c r="S2307" s="36">
        <v>12.0</v>
      </c>
      <c r="T2307" s="28" t="s">
        <v>11443</v>
      </c>
      <c r="U2307" s="38" t="str">
        <f>HYPERLINK("https://www.ncbi.nlm.nih.gov/pubmed/22734788","PubMed")</f>
        <v>PubMed</v>
      </c>
      <c r="V2307" s="30"/>
      <c r="W2307" s="49"/>
      <c r="X2307" s="49"/>
      <c r="Y2307" s="35"/>
      <c r="Z2307" s="35"/>
      <c r="AA2307" s="35"/>
      <c r="AB2307" s="35"/>
      <c r="AC2307" s="35"/>
      <c r="AD2307" s="35"/>
      <c r="AE2307" s="35"/>
      <c r="AF2307" s="35"/>
      <c r="AG2307" s="35"/>
      <c r="AH2307" s="35"/>
      <c r="AI2307" s="35"/>
      <c r="AJ2307" s="35"/>
      <c r="AK2307" s="35"/>
      <c r="AL2307" s="35"/>
    </row>
    <row r="2308">
      <c r="A2308" s="55"/>
      <c r="B2308" s="19" t="s">
        <v>11370</v>
      </c>
      <c r="C2308" s="20" t="s">
        <v>11444</v>
      </c>
      <c r="D2308" s="47"/>
      <c r="E2308" s="22" t="s">
        <v>11445</v>
      </c>
      <c r="F2308" s="22" t="s">
        <v>3492</v>
      </c>
      <c r="G2308" s="23">
        <v>2008.0</v>
      </c>
      <c r="H2308" s="22" t="s">
        <v>658</v>
      </c>
      <c r="I2308" s="24" t="s">
        <v>11446</v>
      </c>
      <c r="J2308" s="22" t="s">
        <v>11447</v>
      </c>
      <c r="K2308" s="22" t="s">
        <v>11448</v>
      </c>
      <c r="L2308" s="36">
        <v>650.0</v>
      </c>
      <c r="M2308" s="36">
        <v>5.0</v>
      </c>
      <c r="N2308" s="36"/>
      <c r="O2308" s="36" t="s">
        <v>11449</v>
      </c>
      <c r="P2308" s="37"/>
      <c r="Q2308" s="36" t="s">
        <v>675</v>
      </c>
      <c r="R2308" s="36">
        <v>1200.0</v>
      </c>
      <c r="S2308" s="36" t="s">
        <v>11450</v>
      </c>
      <c r="T2308" s="42" t="s">
        <v>11451</v>
      </c>
      <c r="U2308" s="38" t="str">
        <f>HYPERLINK("https://www.ncbi.nlm.nih.gov/pubmed/18665761","PubMed")</f>
        <v>PubMed</v>
      </c>
      <c r="V2308" s="30"/>
      <c r="W2308" s="49"/>
      <c r="X2308" s="49"/>
      <c r="Y2308" s="35"/>
      <c r="Z2308" s="35"/>
      <c r="AA2308" s="35"/>
      <c r="AB2308" s="35"/>
      <c r="AC2308" s="35"/>
      <c r="AD2308" s="35"/>
      <c r="AE2308" s="35"/>
      <c r="AF2308" s="35"/>
      <c r="AG2308" s="35"/>
      <c r="AH2308" s="35"/>
      <c r="AI2308" s="35"/>
      <c r="AJ2308" s="35"/>
      <c r="AK2308" s="35"/>
      <c r="AL2308" s="35"/>
    </row>
    <row r="2309">
      <c r="A2309" s="149"/>
      <c r="B2309" s="19" t="s">
        <v>11370</v>
      </c>
      <c r="C2309" s="20" t="s">
        <v>1331</v>
      </c>
      <c r="D2309" s="47"/>
      <c r="E2309" s="22" t="s">
        <v>11452</v>
      </c>
      <c r="F2309" s="22" t="s">
        <v>1905</v>
      </c>
      <c r="G2309" s="23">
        <v>2021.0</v>
      </c>
      <c r="H2309" s="22" t="s">
        <v>91</v>
      </c>
      <c r="I2309" s="24" t="s">
        <v>11453</v>
      </c>
      <c r="J2309" s="22" t="s">
        <v>11454</v>
      </c>
      <c r="K2309" s="22"/>
      <c r="L2309" s="36" t="s">
        <v>11455</v>
      </c>
      <c r="M2309" s="36"/>
      <c r="N2309" s="36"/>
      <c r="O2309" s="36"/>
      <c r="P2309" s="37"/>
      <c r="Q2309" s="36"/>
      <c r="R2309" s="36"/>
      <c r="S2309" s="36"/>
      <c r="T2309" s="28" t="s">
        <v>11456</v>
      </c>
      <c r="U2309" s="29" t="s">
        <v>61</v>
      </c>
      <c r="V2309" s="30"/>
      <c r="W2309" s="49"/>
      <c r="X2309" s="49"/>
      <c r="Y2309" s="35"/>
      <c r="Z2309" s="35"/>
      <c r="AA2309" s="35"/>
      <c r="AB2309" s="35"/>
      <c r="AC2309" s="35"/>
      <c r="AD2309" s="35"/>
      <c r="AE2309" s="35"/>
      <c r="AF2309" s="35"/>
      <c r="AG2309" s="35"/>
      <c r="AH2309" s="35"/>
      <c r="AI2309" s="35"/>
      <c r="AJ2309" s="35"/>
      <c r="AK2309" s="35"/>
      <c r="AL2309" s="35"/>
    </row>
    <row r="2310">
      <c r="A2310" s="149"/>
      <c r="B2310" s="19" t="s">
        <v>11370</v>
      </c>
      <c r="C2310" s="20" t="s">
        <v>11457</v>
      </c>
      <c r="D2310" s="47"/>
      <c r="E2310" s="22" t="s">
        <v>4303</v>
      </c>
      <c r="F2310" s="22" t="s">
        <v>323</v>
      </c>
      <c r="G2310" s="23">
        <v>2024.0</v>
      </c>
      <c r="H2310" s="22" t="s">
        <v>627</v>
      </c>
      <c r="I2310" s="24" t="s">
        <v>11458</v>
      </c>
      <c r="J2310" s="22" t="s">
        <v>55</v>
      </c>
      <c r="K2310" s="22"/>
      <c r="L2310" s="52">
        <v>808.0</v>
      </c>
      <c r="M2310" s="52"/>
      <c r="N2310" s="52" t="s">
        <v>11397</v>
      </c>
      <c r="O2310" s="52"/>
      <c r="P2310" s="189" t="s">
        <v>11459</v>
      </c>
      <c r="Q2310" s="52"/>
      <c r="R2310" s="52"/>
      <c r="S2310" s="52"/>
      <c r="T2310" s="28" t="s">
        <v>11460</v>
      </c>
      <c r="U2310" s="38" t="s">
        <v>61</v>
      </c>
      <c r="V2310" s="30"/>
      <c r="W2310" s="49"/>
      <c r="X2310" s="49"/>
      <c r="Y2310" s="35"/>
      <c r="Z2310" s="35"/>
      <c r="AA2310" s="35"/>
      <c r="AB2310" s="35"/>
      <c r="AC2310" s="35"/>
      <c r="AD2310" s="35"/>
      <c r="AE2310" s="35"/>
      <c r="AF2310" s="35"/>
      <c r="AG2310" s="35"/>
      <c r="AH2310" s="35"/>
      <c r="AI2310" s="35"/>
      <c r="AJ2310" s="35"/>
      <c r="AK2310" s="35"/>
      <c r="AL2310" s="35"/>
    </row>
    <row r="2311">
      <c r="A2311" s="149"/>
      <c r="B2311" s="19" t="s">
        <v>11370</v>
      </c>
      <c r="C2311" s="20" t="s">
        <v>11457</v>
      </c>
      <c r="D2311" s="47"/>
      <c r="E2311" s="22" t="s">
        <v>11390</v>
      </c>
      <c r="F2311" s="22" t="s">
        <v>2808</v>
      </c>
      <c r="G2311" s="23">
        <v>2023.0</v>
      </c>
      <c r="H2311" s="22" t="s">
        <v>11461</v>
      </c>
      <c r="I2311" s="24" t="s">
        <v>11462</v>
      </c>
      <c r="J2311" s="22" t="s">
        <v>649</v>
      </c>
      <c r="K2311" s="22"/>
      <c r="L2311" s="188"/>
      <c r="U2311" s="38" t="s">
        <v>61</v>
      </c>
      <c r="V2311" s="30" t="s">
        <v>174</v>
      </c>
      <c r="W2311" s="49"/>
      <c r="X2311" s="49"/>
      <c r="Y2311" s="35"/>
      <c r="Z2311" s="35"/>
      <c r="AA2311" s="35"/>
      <c r="AB2311" s="35"/>
      <c r="AC2311" s="35"/>
      <c r="AD2311" s="35"/>
      <c r="AE2311" s="35"/>
      <c r="AF2311" s="35"/>
      <c r="AG2311" s="35"/>
      <c r="AH2311" s="35"/>
      <c r="AI2311" s="35"/>
      <c r="AJ2311" s="35"/>
      <c r="AK2311" s="35"/>
      <c r="AL2311" s="35"/>
    </row>
    <row r="2312">
      <c r="A2312" s="149"/>
      <c r="B2312" s="19" t="s">
        <v>11370</v>
      </c>
      <c r="C2312" s="20" t="s">
        <v>11457</v>
      </c>
      <c r="D2312" s="47"/>
      <c r="E2312" s="22" t="s">
        <v>10549</v>
      </c>
      <c r="F2312" s="22" t="s">
        <v>11463</v>
      </c>
      <c r="G2312" s="23">
        <v>2023.0</v>
      </c>
      <c r="H2312" s="22" t="s">
        <v>91</v>
      </c>
      <c r="I2312" s="24" t="s">
        <v>11464</v>
      </c>
      <c r="J2312" s="22" t="s">
        <v>11465</v>
      </c>
      <c r="K2312" s="22"/>
      <c r="L2312" s="52" t="s">
        <v>11466</v>
      </c>
      <c r="M2312" s="52"/>
      <c r="N2312" s="52"/>
      <c r="O2312" s="52"/>
      <c r="P2312" s="189"/>
      <c r="Q2312" s="52"/>
      <c r="R2312" s="52"/>
      <c r="S2312" s="52"/>
      <c r="T2312" s="42" t="s">
        <v>11467</v>
      </c>
      <c r="U2312" s="38" t="s">
        <v>61</v>
      </c>
      <c r="V2312" s="30" t="s">
        <v>11468</v>
      </c>
      <c r="W2312" s="49"/>
      <c r="X2312" s="49"/>
      <c r="Y2312" s="35"/>
      <c r="Z2312" s="35"/>
      <c r="AA2312" s="35"/>
      <c r="AB2312" s="35"/>
      <c r="AC2312" s="35"/>
      <c r="AD2312" s="35"/>
      <c r="AE2312" s="35"/>
      <c r="AF2312" s="35"/>
      <c r="AG2312" s="35"/>
      <c r="AH2312" s="35"/>
      <c r="AI2312" s="35"/>
      <c r="AJ2312" s="35"/>
      <c r="AK2312" s="35"/>
      <c r="AL2312" s="35"/>
    </row>
    <row r="2313">
      <c r="A2313" s="149" t="s">
        <v>38</v>
      </c>
      <c r="B2313" s="19" t="s">
        <v>11370</v>
      </c>
      <c r="C2313" s="20" t="s">
        <v>11457</v>
      </c>
      <c r="D2313" s="47"/>
      <c r="E2313" s="22" t="s">
        <v>11469</v>
      </c>
      <c r="F2313" s="22" t="s">
        <v>274</v>
      </c>
      <c r="G2313" s="23">
        <v>2023.0</v>
      </c>
      <c r="H2313" s="22" t="s">
        <v>3940</v>
      </c>
      <c r="I2313" s="24" t="s">
        <v>11470</v>
      </c>
      <c r="J2313" s="22" t="s">
        <v>11471</v>
      </c>
      <c r="K2313" s="22" t="s">
        <v>11472</v>
      </c>
      <c r="L2313" s="52" t="s">
        <v>11473</v>
      </c>
      <c r="M2313" s="52"/>
      <c r="N2313" s="52"/>
      <c r="O2313" s="52"/>
      <c r="P2313" s="189"/>
      <c r="Q2313" s="52"/>
      <c r="R2313" s="52"/>
      <c r="S2313" s="52" t="s">
        <v>2099</v>
      </c>
      <c r="T2313" s="41" t="s">
        <v>11474</v>
      </c>
      <c r="U2313" s="38" t="s">
        <v>61</v>
      </c>
      <c r="V2313" s="30"/>
      <c r="W2313" s="49"/>
      <c r="X2313" s="49"/>
      <c r="Y2313" s="35"/>
      <c r="Z2313" s="35"/>
      <c r="AA2313" s="35"/>
      <c r="AB2313" s="35"/>
      <c r="AC2313" s="35"/>
      <c r="AD2313" s="35"/>
      <c r="AE2313" s="35"/>
      <c r="AF2313" s="35"/>
      <c r="AG2313" s="35"/>
      <c r="AH2313" s="35"/>
      <c r="AI2313" s="35"/>
      <c r="AJ2313" s="35"/>
      <c r="AK2313" s="35"/>
      <c r="AL2313" s="35"/>
    </row>
    <row r="2314">
      <c r="A2314" s="149"/>
      <c r="B2314" s="19" t="s">
        <v>11370</v>
      </c>
      <c r="C2314" s="20" t="s">
        <v>11457</v>
      </c>
      <c r="D2314" s="47"/>
      <c r="E2314" s="22" t="s">
        <v>88</v>
      </c>
      <c r="F2314" s="22" t="s">
        <v>241</v>
      </c>
      <c r="G2314" s="23">
        <v>2022.0</v>
      </c>
      <c r="H2314" s="22" t="s">
        <v>91</v>
      </c>
      <c r="I2314" s="24" t="s">
        <v>11475</v>
      </c>
      <c r="J2314" s="22" t="s">
        <v>11476</v>
      </c>
      <c r="K2314" s="22"/>
      <c r="L2314" s="52" t="s">
        <v>6257</v>
      </c>
      <c r="M2314" s="52">
        <v>100.0</v>
      </c>
      <c r="N2314" s="52"/>
      <c r="O2314" s="52"/>
      <c r="P2314" s="189"/>
      <c r="Q2314" s="52"/>
      <c r="R2314" s="52"/>
      <c r="S2314" s="52" t="s">
        <v>2688</v>
      </c>
      <c r="T2314" s="41" t="s">
        <v>11477</v>
      </c>
      <c r="U2314" s="38" t="s">
        <v>61</v>
      </c>
      <c r="V2314" s="30"/>
      <c r="W2314" s="49"/>
      <c r="X2314" s="49"/>
      <c r="Y2314" s="35"/>
      <c r="Z2314" s="35"/>
      <c r="AA2314" s="35"/>
      <c r="AB2314" s="35"/>
      <c r="AC2314" s="35"/>
      <c r="AD2314" s="35"/>
      <c r="AE2314" s="35"/>
      <c r="AF2314" s="35"/>
      <c r="AG2314" s="35"/>
      <c r="AH2314" s="35"/>
      <c r="AI2314" s="35"/>
      <c r="AJ2314" s="35"/>
      <c r="AK2314" s="35"/>
      <c r="AL2314" s="35"/>
    </row>
    <row r="2315">
      <c r="A2315" s="149"/>
      <c r="B2315" s="19" t="s">
        <v>11370</v>
      </c>
      <c r="C2315" s="20" t="s">
        <v>11457</v>
      </c>
      <c r="D2315" s="47"/>
      <c r="E2315" s="22" t="s">
        <v>11478</v>
      </c>
      <c r="F2315" s="22" t="s">
        <v>11479</v>
      </c>
      <c r="G2315" s="23">
        <v>2022.0</v>
      </c>
      <c r="H2315" s="22" t="s">
        <v>11480</v>
      </c>
      <c r="I2315" s="24" t="s">
        <v>11481</v>
      </c>
      <c r="J2315" s="22" t="s">
        <v>11482</v>
      </c>
      <c r="K2315" s="22" t="s">
        <v>11483</v>
      </c>
      <c r="L2315" s="52">
        <v>650.0</v>
      </c>
      <c r="M2315" s="52"/>
      <c r="N2315" s="52"/>
      <c r="O2315" s="52"/>
      <c r="P2315" s="189"/>
      <c r="Q2315" s="52" t="s">
        <v>6449</v>
      </c>
      <c r="R2315" s="52">
        <v>1200.0</v>
      </c>
      <c r="S2315" s="52" t="s">
        <v>6552</v>
      </c>
      <c r="T2315" s="42" t="s">
        <v>11484</v>
      </c>
      <c r="U2315" s="38" t="s">
        <v>61</v>
      </c>
      <c r="V2315" s="30"/>
      <c r="W2315" s="49"/>
      <c r="X2315" s="49"/>
      <c r="Y2315" s="35"/>
      <c r="Z2315" s="35"/>
      <c r="AA2315" s="35"/>
      <c r="AB2315" s="35"/>
      <c r="AC2315" s="35"/>
      <c r="AD2315" s="35"/>
      <c r="AE2315" s="35"/>
      <c r="AF2315" s="35"/>
      <c r="AG2315" s="35"/>
      <c r="AH2315" s="35"/>
      <c r="AI2315" s="35"/>
      <c r="AJ2315" s="35"/>
      <c r="AK2315" s="35"/>
      <c r="AL2315" s="35"/>
    </row>
    <row r="2316">
      <c r="A2316" s="149"/>
      <c r="B2316" s="19" t="s">
        <v>11370</v>
      </c>
      <c r="C2316" s="20" t="s">
        <v>11457</v>
      </c>
      <c r="D2316" s="47"/>
      <c r="E2316" s="22" t="s">
        <v>11485</v>
      </c>
      <c r="F2316" s="22" t="s">
        <v>5227</v>
      </c>
      <c r="G2316" s="23">
        <v>2021.0</v>
      </c>
      <c r="H2316" s="22" t="s">
        <v>11486</v>
      </c>
      <c r="I2316" s="24" t="s">
        <v>11487</v>
      </c>
      <c r="J2316" s="22" t="s">
        <v>649</v>
      </c>
      <c r="K2316" s="22"/>
      <c r="L2316" s="41" t="s">
        <v>11488</v>
      </c>
      <c r="U2316" s="29" t="s">
        <v>61</v>
      </c>
      <c r="V2316" s="30"/>
      <c r="W2316" s="49"/>
      <c r="X2316" s="49"/>
      <c r="Y2316" s="35"/>
      <c r="Z2316" s="35"/>
      <c r="AA2316" s="35"/>
      <c r="AB2316" s="35"/>
      <c r="AC2316" s="35"/>
      <c r="AD2316" s="35"/>
      <c r="AE2316" s="35"/>
      <c r="AF2316" s="35"/>
      <c r="AG2316" s="35"/>
      <c r="AH2316" s="35"/>
      <c r="AI2316" s="35"/>
      <c r="AJ2316" s="35"/>
      <c r="AK2316" s="35"/>
      <c r="AL2316" s="35"/>
    </row>
    <row r="2317">
      <c r="A2317" s="149"/>
      <c r="B2317" s="19" t="s">
        <v>11370</v>
      </c>
      <c r="C2317" s="20" t="s">
        <v>11457</v>
      </c>
      <c r="D2317" s="47"/>
      <c r="E2317" s="22" t="s">
        <v>7700</v>
      </c>
      <c r="F2317" s="22" t="s">
        <v>41</v>
      </c>
      <c r="G2317" s="23">
        <v>2021.0</v>
      </c>
      <c r="H2317" s="22" t="s">
        <v>11489</v>
      </c>
      <c r="I2317" s="24" t="s">
        <v>11490</v>
      </c>
      <c r="J2317" s="22" t="s">
        <v>649</v>
      </c>
      <c r="K2317" s="22"/>
      <c r="L2317" s="196" t="s">
        <v>11491</v>
      </c>
      <c r="U2317" s="29" t="s">
        <v>61</v>
      </c>
      <c r="V2317" s="30"/>
      <c r="W2317" s="49"/>
      <c r="X2317" s="49"/>
      <c r="Y2317" s="35"/>
      <c r="Z2317" s="35"/>
      <c r="AA2317" s="35"/>
      <c r="AB2317" s="35"/>
      <c r="AC2317" s="35"/>
      <c r="AD2317" s="35"/>
      <c r="AE2317" s="35"/>
      <c r="AF2317" s="35"/>
      <c r="AG2317" s="35"/>
      <c r="AH2317" s="35"/>
      <c r="AI2317" s="35"/>
      <c r="AJ2317" s="35"/>
      <c r="AK2317" s="35"/>
      <c r="AL2317" s="35"/>
    </row>
    <row r="2318">
      <c r="A2318" s="149"/>
      <c r="B2318" s="19" t="s">
        <v>11370</v>
      </c>
      <c r="C2318" s="20" t="s">
        <v>11457</v>
      </c>
      <c r="D2318" s="47"/>
      <c r="E2318" s="22" t="s">
        <v>2195</v>
      </c>
      <c r="F2318" s="22" t="s">
        <v>206</v>
      </c>
      <c r="G2318" s="23">
        <v>2020.0</v>
      </c>
      <c r="H2318" s="22" t="s">
        <v>2257</v>
      </c>
      <c r="I2318" s="24" t="s">
        <v>11492</v>
      </c>
      <c r="J2318" s="22" t="s">
        <v>1078</v>
      </c>
      <c r="K2318" s="22"/>
      <c r="L2318" s="41" t="s">
        <v>11493</v>
      </c>
      <c r="U2318" s="29"/>
      <c r="V2318" s="30"/>
      <c r="W2318" s="49"/>
      <c r="X2318" s="49"/>
      <c r="Y2318" s="35"/>
      <c r="Z2318" s="35"/>
      <c r="AA2318" s="35"/>
      <c r="AB2318" s="35"/>
      <c r="AC2318" s="35"/>
      <c r="AD2318" s="35"/>
      <c r="AE2318" s="35"/>
      <c r="AF2318" s="35"/>
      <c r="AG2318" s="35"/>
      <c r="AH2318" s="35"/>
      <c r="AI2318" s="35"/>
      <c r="AJ2318" s="35"/>
      <c r="AK2318" s="35"/>
      <c r="AL2318" s="35"/>
    </row>
    <row r="2319">
      <c r="A2319" s="149"/>
      <c r="B2319" s="19" t="s">
        <v>11370</v>
      </c>
      <c r="C2319" s="20" t="s">
        <v>11457</v>
      </c>
      <c r="D2319" s="47"/>
      <c r="E2319" s="22" t="s">
        <v>4595</v>
      </c>
      <c r="F2319" s="22" t="s">
        <v>1905</v>
      </c>
      <c r="G2319" s="23">
        <v>2019.0</v>
      </c>
      <c r="H2319" s="22" t="s">
        <v>11494</v>
      </c>
      <c r="I2319" s="24" t="s">
        <v>11495</v>
      </c>
      <c r="J2319" s="22" t="s">
        <v>11496</v>
      </c>
      <c r="K2319" s="22"/>
      <c r="L2319" s="36">
        <v>830.0</v>
      </c>
      <c r="M2319" s="36">
        <v>100.0</v>
      </c>
      <c r="N2319" s="36"/>
      <c r="O2319" s="36">
        <v>120.0</v>
      </c>
      <c r="P2319" s="37"/>
      <c r="Q2319" s="36"/>
      <c r="R2319" s="36" t="s">
        <v>1065</v>
      </c>
      <c r="S2319" s="36" t="s">
        <v>1514</v>
      </c>
      <c r="T2319" s="41" t="s">
        <v>11497</v>
      </c>
      <c r="U2319" s="38" t="str">
        <f>HYPERLINK("https://www.ncbi.nlm.nih.gov/pubmed/31469529+","PubMed")</f>
        <v>PubMed</v>
      </c>
      <c r="V2319" s="30"/>
      <c r="W2319" s="49"/>
      <c r="X2319" s="49"/>
      <c r="Y2319" s="35"/>
      <c r="Z2319" s="35"/>
      <c r="AA2319" s="35"/>
      <c r="AB2319" s="35"/>
      <c r="AC2319" s="35"/>
      <c r="AD2319" s="35"/>
      <c r="AE2319" s="35"/>
      <c r="AF2319" s="35"/>
      <c r="AG2319" s="35"/>
      <c r="AH2319" s="35"/>
      <c r="AI2319" s="35"/>
      <c r="AJ2319" s="35"/>
      <c r="AK2319" s="35"/>
      <c r="AL2319" s="35"/>
    </row>
    <row r="2320">
      <c r="A2320" s="149" t="s">
        <v>38</v>
      </c>
      <c r="B2320" s="19" t="s">
        <v>11370</v>
      </c>
      <c r="C2320" s="20" t="s">
        <v>11457</v>
      </c>
      <c r="D2320" s="47"/>
      <c r="E2320" s="22" t="s">
        <v>1397</v>
      </c>
      <c r="F2320" s="22" t="s">
        <v>11498</v>
      </c>
      <c r="G2320" s="23">
        <v>2018.0</v>
      </c>
      <c r="H2320" s="22" t="s">
        <v>658</v>
      </c>
      <c r="I2320" s="24" t="s">
        <v>11499</v>
      </c>
      <c r="J2320" s="22" t="s">
        <v>11500</v>
      </c>
      <c r="K2320" s="22" t="s">
        <v>11501</v>
      </c>
      <c r="L2320" s="36" t="s">
        <v>11502</v>
      </c>
      <c r="M2320" s="36"/>
      <c r="N2320" s="36"/>
      <c r="O2320" s="36"/>
      <c r="P2320" s="37" t="s">
        <v>247</v>
      </c>
      <c r="Q2320" s="36"/>
      <c r="R2320" s="36"/>
      <c r="S2320" s="36" t="s">
        <v>11503</v>
      </c>
      <c r="T2320" s="28" t="s">
        <v>11504</v>
      </c>
      <c r="U2320" s="38" t="str">
        <f>HYPERLINK("https://www.ncbi.nlm.nih.gov/pubmed/30096265","PubMed")</f>
        <v>PubMed</v>
      </c>
      <c r="V2320" s="30"/>
      <c r="W2320" s="49"/>
      <c r="X2320" s="49"/>
      <c r="Y2320" s="35"/>
      <c r="Z2320" s="35"/>
      <c r="AA2320" s="35"/>
      <c r="AB2320" s="35"/>
      <c r="AC2320" s="35"/>
      <c r="AD2320" s="35"/>
      <c r="AE2320" s="35"/>
      <c r="AF2320" s="35"/>
      <c r="AG2320" s="35"/>
      <c r="AH2320" s="35"/>
      <c r="AI2320" s="35"/>
      <c r="AJ2320" s="35"/>
      <c r="AK2320" s="35"/>
      <c r="AL2320" s="35"/>
    </row>
    <row r="2321">
      <c r="A2321" s="149"/>
      <c r="B2321" s="19" t="s">
        <v>11370</v>
      </c>
      <c r="C2321" s="20" t="s">
        <v>11457</v>
      </c>
      <c r="D2321" s="47"/>
      <c r="E2321" s="22" t="s">
        <v>4303</v>
      </c>
      <c r="F2321" s="22" t="s">
        <v>323</v>
      </c>
      <c r="G2321" s="23">
        <v>2017.0</v>
      </c>
      <c r="H2321" s="22" t="s">
        <v>147</v>
      </c>
      <c r="I2321" s="24" t="s">
        <v>11505</v>
      </c>
      <c r="J2321" s="22" t="s">
        <v>11506</v>
      </c>
      <c r="K2321" s="22"/>
      <c r="L2321" s="36" t="s">
        <v>11507</v>
      </c>
      <c r="M2321" s="36"/>
      <c r="N2321" s="36" t="s">
        <v>414</v>
      </c>
      <c r="O2321" s="36" t="s">
        <v>11508</v>
      </c>
      <c r="P2321" s="37"/>
      <c r="Q2321" s="36" t="s">
        <v>6449</v>
      </c>
      <c r="R2321" s="36" t="s">
        <v>11509</v>
      </c>
      <c r="S2321" s="36" t="s">
        <v>2688</v>
      </c>
      <c r="T2321" s="42" t="s">
        <v>11510</v>
      </c>
      <c r="U2321" s="38" t="str">
        <f>HYPERLINK("https://www.ncbi.nlm.nih.gov/pubmed/29071034","PubMed")</f>
        <v>PubMed</v>
      </c>
      <c r="V2321" s="30"/>
      <c r="W2321" s="49"/>
      <c r="X2321" s="49"/>
      <c r="Y2321" s="35"/>
      <c r="Z2321" s="35"/>
      <c r="AA2321" s="35"/>
      <c r="AB2321" s="35"/>
      <c r="AC2321" s="35"/>
      <c r="AD2321" s="35"/>
      <c r="AE2321" s="35"/>
      <c r="AF2321" s="35"/>
      <c r="AG2321" s="35"/>
      <c r="AH2321" s="35"/>
      <c r="AI2321" s="35"/>
      <c r="AJ2321" s="35"/>
      <c r="AK2321" s="35"/>
      <c r="AL2321" s="35"/>
    </row>
    <row r="2322">
      <c r="A2322" s="149"/>
      <c r="B2322" s="19" t="s">
        <v>11370</v>
      </c>
      <c r="C2322" s="20" t="s">
        <v>11457</v>
      </c>
      <c r="D2322" s="47"/>
      <c r="E2322" s="22" t="s">
        <v>11511</v>
      </c>
      <c r="F2322" s="22" t="s">
        <v>11512</v>
      </c>
      <c r="G2322" s="23">
        <v>2017.0</v>
      </c>
      <c r="H2322" s="22" t="s">
        <v>658</v>
      </c>
      <c r="I2322" s="24" t="s">
        <v>11513</v>
      </c>
      <c r="J2322" s="22" t="s">
        <v>11514</v>
      </c>
      <c r="K2322" s="22" t="s">
        <v>11515</v>
      </c>
      <c r="L2322" s="36" t="s">
        <v>11516</v>
      </c>
      <c r="M2322" s="36"/>
      <c r="N2322" s="36"/>
      <c r="O2322" s="36"/>
      <c r="P2322" s="37" t="s">
        <v>11517</v>
      </c>
      <c r="Q2322" s="36"/>
      <c r="R2322" s="36" t="s">
        <v>11518</v>
      </c>
      <c r="S2322" s="36" t="s">
        <v>1514</v>
      </c>
      <c r="T2322" s="28" t="s">
        <v>11519</v>
      </c>
      <c r="U2322" s="38" t="str">
        <f>HYPERLINK("http://online.liebertpub.com/doi/10.1089/pho.2016.4240","PubMed")</f>
        <v>PubMed</v>
      </c>
      <c r="V2322" s="30"/>
      <c r="W2322" s="49"/>
      <c r="X2322" s="49"/>
      <c r="Y2322" s="35"/>
      <c r="Z2322" s="35"/>
      <c r="AA2322" s="35"/>
      <c r="AB2322" s="35"/>
      <c r="AC2322" s="35"/>
      <c r="AD2322" s="35"/>
      <c r="AE2322" s="35"/>
      <c r="AF2322" s="35"/>
      <c r="AG2322" s="35"/>
      <c r="AH2322" s="35"/>
      <c r="AI2322" s="35"/>
      <c r="AJ2322" s="35"/>
      <c r="AK2322" s="35"/>
      <c r="AL2322" s="35"/>
    </row>
    <row r="2323">
      <c r="A2323" s="149"/>
      <c r="B2323" s="19" t="s">
        <v>11370</v>
      </c>
      <c r="C2323" s="20" t="s">
        <v>11457</v>
      </c>
      <c r="D2323" s="47"/>
      <c r="E2323" s="22" t="s">
        <v>11520</v>
      </c>
      <c r="F2323" s="22" t="s">
        <v>11521</v>
      </c>
      <c r="G2323" s="23">
        <v>2015.0</v>
      </c>
      <c r="H2323" s="22" t="s">
        <v>11522</v>
      </c>
      <c r="I2323" s="24" t="s">
        <v>11523</v>
      </c>
      <c r="J2323" s="22" t="s">
        <v>11524</v>
      </c>
      <c r="K2323" s="22" t="s">
        <v>11525</v>
      </c>
      <c r="L2323" s="36">
        <v>808.0</v>
      </c>
      <c r="M2323" s="36">
        <v>200.0</v>
      </c>
      <c r="N2323" s="36"/>
      <c r="O2323" s="36"/>
      <c r="P2323" s="37"/>
      <c r="Q2323" s="36"/>
      <c r="R2323" s="36"/>
      <c r="S2323" s="36" t="s">
        <v>11526</v>
      </c>
      <c r="T2323" s="42" t="s">
        <v>11527</v>
      </c>
      <c r="U2323" s="38" t="str">
        <f>HYPERLINK("https://www.ncbi.nlm.nih.gov/pubmed/25030898","PubMed")</f>
        <v>PubMed</v>
      </c>
      <c r="V2323" s="30"/>
      <c r="W2323" s="49"/>
      <c r="X2323" s="49"/>
      <c r="Y2323" s="35"/>
      <c r="Z2323" s="35"/>
      <c r="AA2323" s="35"/>
      <c r="AB2323" s="35"/>
      <c r="AC2323" s="35"/>
      <c r="AD2323" s="35"/>
      <c r="AE2323" s="35"/>
      <c r="AF2323" s="35"/>
      <c r="AG2323" s="35"/>
      <c r="AH2323" s="35"/>
      <c r="AI2323" s="35"/>
      <c r="AJ2323" s="35"/>
      <c r="AK2323" s="35"/>
      <c r="AL2323" s="35"/>
    </row>
    <row r="2324">
      <c r="A2324" s="55"/>
      <c r="B2324" s="19" t="s">
        <v>11370</v>
      </c>
      <c r="C2324" s="20" t="s">
        <v>11457</v>
      </c>
      <c r="D2324" s="47"/>
      <c r="E2324" s="22" t="s">
        <v>11528</v>
      </c>
      <c r="F2324" s="22" t="s">
        <v>11529</v>
      </c>
      <c r="G2324" s="23">
        <v>2015.0</v>
      </c>
      <c r="H2324" s="22" t="s">
        <v>11530</v>
      </c>
      <c r="I2324" s="24" t="s">
        <v>11531</v>
      </c>
      <c r="J2324" s="22" t="s">
        <v>11532</v>
      </c>
      <c r="K2324" s="22"/>
      <c r="L2324" s="36">
        <v>650.0</v>
      </c>
      <c r="M2324" s="36">
        <v>5.0</v>
      </c>
      <c r="N2324" s="36"/>
      <c r="O2324" s="36"/>
      <c r="P2324" s="37"/>
      <c r="Q2324" s="36"/>
      <c r="R2324" s="36">
        <v>1200.0</v>
      </c>
      <c r="S2324" s="36" t="s">
        <v>85</v>
      </c>
      <c r="T2324" s="41" t="s">
        <v>11533</v>
      </c>
      <c r="U2324" s="38" t="str">
        <f>HYPERLINK("https://www.ncbi.nlm.nih.gov/pubmed/25606834","PubMed")</f>
        <v>PubMed</v>
      </c>
      <c r="V2324" s="30" t="s">
        <v>11534</v>
      </c>
      <c r="W2324" s="49"/>
      <c r="X2324" s="49"/>
      <c r="Y2324" s="35"/>
      <c r="Z2324" s="35"/>
      <c r="AA2324" s="35"/>
      <c r="AB2324" s="35"/>
      <c r="AC2324" s="35"/>
      <c r="AD2324" s="35"/>
      <c r="AE2324" s="35"/>
      <c r="AF2324" s="35"/>
      <c r="AG2324" s="35"/>
      <c r="AH2324" s="35"/>
      <c r="AI2324" s="35"/>
      <c r="AJ2324" s="35"/>
      <c r="AK2324" s="35"/>
      <c r="AL2324" s="35"/>
    </row>
    <row r="2325">
      <c r="A2325" s="55"/>
      <c r="B2325" s="19" t="s">
        <v>11370</v>
      </c>
      <c r="C2325" s="20" t="s">
        <v>11457</v>
      </c>
      <c r="D2325" s="47"/>
      <c r="E2325" s="22" t="s">
        <v>11535</v>
      </c>
      <c r="F2325" s="22" t="s">
        <v>11536</v>
      </c>
      <c r="G2325" s="23">
        <v>2014.0</v>
      </c>
      <c r="H2325" s="22" t="s">
        <v>147</v>
      </c>
      <c r="I2325" s="24" t="s">
        <v>11537</v>
      </c>
      <c r="J2325" s="22" t="s">
        <v>11538</v>
      </c>
      <c r="K2325" s="22"/>
      <c r="L2325" s="36">
        <v>650.0</v>
      </c>
      <c r="M2325" s="36">
        <v>5.0</v>
      </c>
      <c r="N2325" s="36"/>
      <c r="O2325" s="36"/>
      <c r="P2325" s="37"/>
      <c r="Q2325" s="36"/>
      <c r="R2325" s="36"/>
      <c r="S2325" s="36" t="s">
        <v>11539</v>
      </c>
      <c r="T2325" s="28" t="s">
        <v>11540</v>
      </c>
      <c r="U2325" s="38" t="str">
        <f>HYPERLINK("https://www.ncbi.nlm.nih.gov/pubmed/25653802","PubMed")</f>
        <v>PubMed</v>
      </c>
      <c r="V2325" s="30" t="s">
        <v>11541</v>
      </c>
      <c r="W2325" s="49"/>
      <c r="X2325" s="49"/>
      <c r="Y2325" s="35"/>
      <c r="Z2325" s="35"/>
      <c r="AA2325" s="35"/>
      <c r="AB2325" s="35"/>
      <c r="AC2325" s="35"/>
      <c r="AD2325" s="35"/>
      <c r="AE2325" s="35"/>
      <c r="AF2325" s="35"/>
      <c r="AG2325" s="35"/>
      <c r="AH2325" s="35"/>
      <c r="AI2325" s="35"/>
      <c r="AJ2325" s="35"/>
      <c r="AK2325" s="35"/>
      <c r="AL2325" s="35"/>
    </row>
    <row r="2326">
      <c r="A2326" s="55"/>
      <c r="B2326" s="19" t="s">
        <v>11370</v>
      </c>
      <c r="C2326" s="20" t="s">
        <v>11457</v>
      </c>
      <c r="D2326" s="47"/>
      <c r="E2326" s="22" t="s">
        <v>11542</v>
      </c>
      <c r="F2326" s="22" t="s">
        <v>4697</v>
      </c>
      <c r="G2326" s="23">
        <v>2014.0</v>
      </c>
      <c r="H2326" s="22" t="s">
        <v>11543</v>
      </c>
      <c r="I2326" s="24" t="s">
        <v>11544</v>
      </c>
      <c r="J2326" s="22" t="s">
        <v>11545</v>
      </c>
      <c r="K2326" s="22"/>
      <c r="L2326" s="36">
        <v>650.0</v>
      </c>
      <c r="M2326" s="36">
        <v>5.0</v>
      </c>
      <c r="N2326" s="36"/>
      <c r="O2326" s="36"/>
      <c r="P2326" s="37"/>
      <c r="Q2326" s="36"/>
      <c r="R2326" s="36">
        <v>1200.0</v>
      </c>
      <c r="S2326" s="36" t="s">
        <v>11546</v>
      </c>
      <c r="T2326" s="41" t="s">
        <v>11547</v>
      </c>
      <c r="U2326" s="38" t="str">
        <f>HYPERLINK("https://www.ncbi.nlm.nih.gov/pubmed/23605244","PubMed")</f>
        <v>PubMed</v>
      </c>
      <c r="V2326" s="30"/>
      <c r="W2326" s="49"/>
      <c r="X2326" s="49"/>
      <c r="Y2326" s="35"/>
      <c r="Z2326" s="35"/>
      <c r="AA2326" s="35"/>
      <c r="AB2326" s="35"/>
      <c r="AC2326" s="35"/>
      <c r="AD2326" s="35"/>
      <c r="AE2326" s="35"/>
      <c r="AF2326" s="35"/>
      <c r="AG2326" s="35"/>
      <c r="AH2326" s="35"/>
      <c r="AI2326" s="35"/>
      <c r="AJ2326" s="35"/>
      <c r="AK2326" s="35"/>
      <c r="AL2326" s="35"/>
    </row>
    <row r="2327">
      <c r="A2327" s="55"/>
      <c r="B2327" s="19" t="s">
        <v>11370</v>
      </c>
      <c r="C2327" s="20" t="s">
        <v>11457</v>
      </c>
      <c r="D2327" s="47"/>
      <c r="E2327" s="22" t="s">
        <v>11548</v>
      </c>
      <c r="F2327" s="22" t="s">
        <v>11549</v>
      </c>
      <c r="G2327" s="23">
        <v>2013.0</v>
      </c>
      <c r="H2327" s="22" t="s">
        <v>960</v>
      </c>
      <c r="I2327" s="24" t="s">
        <v>11550</v>
      </c>
      <c r="J2327" s="22" t="s">
        <v>11551</v>
      </c>
      <c r="K2327" s="22"/>
      <c r="L2327" s="36">
        <v>830.0</v>
      </c>
      <c r="M2327" s="36">
        <v>450.0</v>
      </c>
      <c r="N2327" s="36"/>
      <c r="O2327" s="36"/>
      <c r="P2327" s="36"/>
      <c r="Q2327" s="36"/>
      <c r="R2327" s="36"/>
      <c r="S2327" s="36" t="s">
        <v>4905</v>
      </c>
      <c r="T2327" s="41" t="s">
        <v>11552</v>
      </c>
      <c r="U2327" s="38" t="str">
        <f>HYPERLINK("https://www.ncbi.nlm.nih.gov/pubmed/24294604","PubMed")</f>
        <v>PubMed</v>
      </c>
      <c r="V2327" s="30"/>
      <c r="W2327" s="49"/>
      <c r="X2327" s="49"/>
      <c r="Y2327" s="35"/>
      <c r="Z2327" s="35"/>
      <c r="AA2327" s="35"/>
      <c r="AB2327" s="35"/>
      <c r="AC2327" s="35"/>
      <c r="AD2327" s="35"/>
      <c r="AE2327" s="35"/>
      <c r="AF2327" s="35"/>
      <c r="AG2327" s="35"/>
      <c r="AH2327" s="35"/>
      <c r="AI2327" s="35"/>
      <c r="AJ2327" s="35"/>
      <c r="AK2327" s="35"/>
      <c r="AL2327" s="35"/>
    </row>
    <row r="2328">
      <c r="A2328" s="55"/>
      <c r="B2328" s="19" t="s">
        <v>11370</v>
      </c>
      <c r="C2328" s="20" t="s">
        <v>11457</v>
      </c>
      <c r="D2328" s="47"/>
      <c r="E2328" s="22" t="s">
        <v>11553</v>
      </c>
      <c r="F2328" s="22" t="s">
        <v>11536</v>
      </c>
      <c r="G2328" s="23">
        <v>2013.0</v>
      </c>
      <c r="H2328" s="22" t="s">
        <v>11554</v>
      </c>
      <c r="I2328" s="24" t="s">
        <v>11555</v>
      </c>
      <c r="J2328" s="22" t="s">
        <v>11556</v>
      </c>
      <c r="K2328" s="22"/>
      <c r="L2328" s="36">
        <v>650.0</v>
      </c>
      <c r="M2328" s="36">
        <v>5.0</v>
      </c>
      <c r="N2328" s="36" t="s">
        <v>58</v>
      </c>
      <c r="O2328" s="36" t="s">
        <v>58</v>
      </c>
      <c r="P2328" s="36" t="s">
        <v>58</v>
      </c>
      <c r="Q2328" s="36" t="s">
        <v>58</v>
      </c>
      <c r="R2328" s="36">
        <v>1200.0</v>
      </c>
      <c r="S2328" s="36" t="s">
        <v>11557</v>
      </c>
      <c r="T2328" s="28" t="s">
        <v>11558</v>
      </c>
      <c r="U2328" s="38" t="str">
        <f>HYPERLINK("https://www.ncbi.nlm.nih.gov/pubmed/24288494","PubMed")</f>
        <v>PubMed</v>
      </c>
      <c r="V2328" s="30" t="s">
        <v>11559</v>
      </c>
      <c r="W2328" s="49"/>
      <c r="X2328" s="49"/>
      <c r="Y2328" s="35"/>
      <c r="Z2328" s="35"/>
      <c r="AA2328" s="35"/>
      <c r="AB2328" s="35"/>
      <c r="AC2328" s="35"/>
      <c r="AD2328" s="35"/>
      <c r="AE2328" s="35"/>
      <c r="AF2328" s="35"/>
      <c r="AG2328" s="35"/>
      <c r="AH2328" s="35"/>
      <c r="AI2328" s="35"/>
      <c r="AJ2328" s="35"/>
      <c r="AK2328" s="35"/>
      <c r="AL2328" s="35"/>
    </row>
    <row r="2329">
      <c r="A2329" s="149" t="s">
        <v>181</v>
      </c>
      <c r="B2329" s="19" t="s">
        <v>11370</v>
      </c>
      <c r="C2329" s="20" t="s">
        <v>11457</v>
      </c>
      <c r="D2329" s="47"/>
      <c r="E2329" s="22" t="s">
        <v>6140</v>
      </c>
      <c r="F2329" s="22" t="s">
        <v>11372</v>
      </c>
      <c r="G2329" s="23">
        <v>2013.0</v>
      </c>
      <c r="H2329" s="22" t="s">
        <v>2558</v>
      </c>
      <c r="I2329" s="24" t="s">
        <v>11560</v>
      </c>
      <c r="J2329" s="22" t="s">
        <v>55</v>
      </c>
      <c r="K2329" s="22" t="s">
        <v>11561</v>
      </c>
      <c r="L2329" s="36">
        <v>830.0</v>
      </c>
      <c r="M2329" s="36"/>
      <c r="N2329" s="36" t="s">
        <v>11397</v>
      </c>
      <c r="O2329" s="36"/>
      <c r="P2329" s="37"/>
      <c r="Q2329" s="36"/>
      <c r="R2329" s="36">
        <v>1800.0</v>
      </c>
      <c r="S2329" s="36">
        <v>8.0</v>
      </c>
      <c r="T2329" s="28" t="s">
        <v>11562</v>
      </c>
      <c r="U2329" s="38" t="str">
        <f>HYPERLINK("https://www.ncbi.nlm.nih.gov/pubmed/23583341","PubMed")</f>
        <v>PubMed</v>
      </c>
      <c r="V2329" s="30"/>
      <c r="W2329" s="49"/>
      <c r="X2329" s="49"/>
      <c r="Y2329" s="35"/>
      <c r="Z2329" s="35"/>
      <c r="AA2329" s="35"/>
      <c r="AB2329" s="35"/>
      <c r="AC2329" s="35"/>
      <c r="AD2329" s="35"/>
      <c r="AE2329" s="35"/>
      <c r="AF2329" s="35"/>
      <c r="AG2329" s="35"/>
      <c r="AH2329" s="35"/>
      <c r="AI2329" s="35"/>
      <c r="AJ2329" s="35"/>
      <c r="AK2329" s="35"/>
      <c r="AL2329" s="35"/>
    </row>
    <row r="2330">
      <c r="A2330" s="55"/>
      <c r="B2330" s="19" t="s">
        <v>11370</v>
      </c>
      <c r="C2330" s="20" t="s">
        <v>11457</v>
      </c>
      <c r="D2330" s="47"/>
      <c r="E2330" s="22" t="s">
        <v>11563</v>
      </c>
      <c r="F2330" s="22" t="s">
        <v>8361</v>
      </c>
      <c r="G2330" s="23">
        <v>2012.0</v>
      </c>
      <c r="H2330" s="22" t="s">
        <v>11430</v>
      </c>
      <c r="I2330" s="24" t="s">
        <v>11564</v>
      </c>
      <c r="J2330" s="22" t="s">
        <v>11565</v>
      </c>
      <c r="K2330" s="22"/>
      <c r="L2330" s="36">
        <v>650.0</v>
      </c>
      <c r="M2330" s="36">
        <v>5.0</v>
      </c>
      <c r="N2330" s="36"/>
      <c r="O2330" s="36"/>
      <c r="P2330" s="37"/>
      <c r="Q2330" s="36"/>
      <c r="R2330" s="36">
        <v>1200.0</v>
      </c>
      <c r="S2330" s="36" t="s">
        <v>11566</v>
      </c>
      <c r="T2330" s="28" t="s">
        <v>11567</v>
      </c>
      <c r="U2330" s="38" t="str">
        <f>HYPERLINK("https://www.ncbi.nlm.nih.gov/pubmed/23724264","PubMed")</f>
        <v>PubMed</v>
      </c>
      <c r="V2330" s="30"/>
      <c r="W2330" s="49"/>
      <c r="X2330" s="49"/>
      <c r="Y2330" s="35"/>
      <c r="Z2330" s="35"/>
      <c r="AA2330" s="35"/>
      <c r="AB2330" s="35"/>
      <c r="AC2330" s="35"/>
      <c r="AD2330" s="35"/>
      <c r="AE2330" s="35"/>
      <c r="AF2330" s="35"/>
      <c r="AG2330" s="35"/>
      <c r="AH2330" s="35"/>
      <c r="AI2330" s="35"/>
      <c r="AJ2330" s="35"/>
      <c r="AK2330" s="35"/>
      <c r="AL2330" s="35"/>
    </row>
    <row r="2331">
      <c r="A2331" s="55"/>
      <c r="B2331" s="19" t="s">
        <v>11370</v>
      </c>
      <c r="C2331" s="20" t="s">
        <v>11457</v>
      </c>
      <c r="D2331" s="47"/>
      <c r="E2331" s="22" t="s">
        <v>11568</v>
      </c>
      <c r="F2331" s="22" t="s">
        <v>1891</v>
      </c>
      <c r="G2331" s="23">
        <v>2011.0</v>
      </c>
      <c r="H2331" s="22" t="s">
        <v>11569</v>
      </c>
      <c r="I2331" s="24" t="s">
        <v>11570</v>
      </c>
      <c r="J2331" s="22" t="s">
        <v>11571</v>
      </c>
      <c r="K2331" s="22"/>
      <c r="L2331" s="36">
        <v>650.0</v>
      </c>
      <c r="M2331" s="36">
        <v>5.0</v>
      </c>
      <c r="N2331" s="36"/>
      <c r="O2331" s="36"/>
      <c r="P2331" s="37"/>
      <c r="Q2331" s="36"/>
      <c r="R2331" s="36">
        <v>1200.0</v>
      </c>
      <c r="S2331" s="36" t="s">
        <v>11572</v>
      </c>
      <c r="T2331" s="28" t="s">
        <v>11573</v>
      </c>
      <c r="U2331" s="29" t="s">
        <v>61</v>
      </c>
      <c r="V2331" s="30"/>
      <c r="W2331" s="49"/>
      <c r="X2331" s="49"/>
      <c r="Y2331" s="35"/>
      <c r="Z2331" s="35"/>
      <c r="AA2331" s="35"/>
      <c r="AB2331" s="35"/>
      <c r="AC2331" s="35"/>
      <c r="AD2331" s="35"/>
      <c r="AE2331" s="35"/>
      <c r="AF2331" s="35"/>
      <c r="AG2331" s="35"/>
      <c r="AH2331" s="35"/>
      <c r="AI2331" s="35"/>
      <c r="AJ2331" s="35"/>
      <c r="AK2331" s="35"/>
      <c r="AL2331" s="35"/>
    </row>
    <row r="2332">
      <c r="A2332" s="55"/>
      <c r="B2332" s="19" t="s">
        <v>11370</v>
      </c>
      <c r="C2332" s="20" t="s">
        <v>11457</v>
      </c>
      <c r="D2332" s="47"/>
      <c r="E2332" s="22" t="s">
        <v>11445</v>
      </c>
      <c r="F2332" s="22" t="s">
        <v>3492</v>
      </c>
      <c r="G2332" s="23">
        <v>2009.0</v>
      </c>
      <c r="H2332" s="22" t="s">
        <v>11574</v>
      </c>
      <c r="I2332" s="24" t="s">
        <v>11575</v>
      </c>
      <c r="J2332" s="22" t="s">
        <v>11576</v>
      </c>
      <c r="K2332" s="22"/>
      <c r="L2332" s="36">
        <v>650.0</v>
      </c>
      <c r="M2332" s="36">
        <v>5.0</v>
      </c>
      <c r="N2332" s="36"/>
      <c r="O2332" s="36" t="s">
        <v>11449</v>
      </c>
      <c r="P2332" s="37"/>
      <c r="Q2332" s="36" t="s">
        <v>675</v>
      </c>
      <c r="R2332" s="36">
        <v>1200.0</v>
      </c>
      <c r="S2332" s="36" t="s">
        <v>11566</v>
      </c>
      <c r="T2332" s="41" t="s">
        <v>11577</v>
      </c>
      <c r="U2332" s="38" t="str">
        <f>HYPERLINK("https://www.ncbi.nlm.nih.gov/pubmed/18843180","PubMed")</f>
        <v>PubMed</v>
      </c>
      <c r="V2332" s="30" t="s">
        <v>11578</v>
      </c>
      <c r="W2332" s="49"/>
      <c r="X2332" s="49"/>
      <c r="Y2332" s="35"/>
      <c r="Z2332" s="35"/>
      <c r="AA2332" s="35"/>
      <c r="AB2332" s="35"/>
      <c r="AC2332" s="35"/>
      <c r="AD2332" s="35"/>
      <c r="AE2332" s="35"/>
      <c r="AF2332" s="35"/>
      <c r="AG2332" s="35"/>
      <c r="AH2332" s="35"/>
      <c r="AI2332" s="35"/>
      <c r="AJ2332" s="35"/>
      <c r="AK2332" s="35"/>
      <c r="AL2332" s="35"/>
    </row>
    <row r="2333">
      <c r="A2333" s="55"/>
      <c r="B2333" s="19" t="s">
        <v>11370</v>
      </c>
      <c r="C2333" s="20" t="s">
        <v>11457</v>
      </c>
      <c r="D2333" s="47"/>
      <c r="E2333" s="22" t="s">
        <v>11579</v>
      </c>
      <c r="F2333" s="22" t="s">
        <v>11580</v>
      </c>
      <c r="G2333" s="23">
        <v>2008.0</v>
      </c>
      <c r="H2333" s="22" t="s">
        <v>11581</v>
      </c>
      <c r="I2333" s="24" t="s">
        <v>11582</v>
      </c>
      <c r="J2333" s="22" t="s">
        <v>11583</v>
      </c>
      <c r="K2333" s="22" t="s">
        <v>11584</v>
      </c>
      <c r="L2333" s="36">
        <v>830.0</v>
      </c>
      <c r="M2333" s="36">
        <v>400.0</v>
      </c>
      <c r="N2333" s="36"/>
      <c r="O2333" s="36"/>
      <c r="P2333" s="37" t="s">
        <v>480</v>
      </c>
      <c r="Q2333" s="36"/>
      <c r="R2333" s="36">
        <v>600.0</v>
      </c>
      <c r="S2333" s="36" t="s">
        <v>10290</v>
      </c>
      <c r="T2333" s="41" t="s">
        <v>11585</v>
      </c>
      <c r="U2333" s="38" t="str">
        <f>HYPERLINK("https://www.ncbi.nlm.nih.gov/pubmed/18616089","PubMed")</f>
        <v>PubMed</v>
      </c>
      <c r="V2333" s="30" t="s">
        <v>11586</v>
      </c>
      <c r="W2333" s="49"/>
      <c r="X2333" s="49"/>
      <c r="Y2333" s="35"/>
      <c r="Z2333" s="35"/>
      <c r="AA2333" s="35"/>
      <c r="AB2333" s="35"/>
      <c r="AC2333" s="35"/>
      <c r="AD2333" s="35"/>
      <c r="AE2333" s="35"/>
      <c r="AF2333" s="35"/>
      <c r="AG2333" s="35"/>
      <c r="AH2333" s="35"/>
      <c r="AI2333" s="35"/>
      <c r="AJ2333" s="35"/>
      <c r="AK2333" s="35"/>
      <c r="AL2333" s="35"/>
    </row>
    <row r="2334">
      <c r="A2334" s="55"/>
      <c r="B2334" s="19" t="s">
        <v>11370</v>
      </c>
      <c r="C2334" s="20" t="s">
        <v>11457</v>
      </c>
      <c r="D2334" s="47"/>
      <c r="E2334" s="22" t="s">
        <v>11587</v>
      </c>
      <c r="F2334" s="22" t="s">
        <v>11588</v>
      </c>
      <c r="G2334" s="23">
        <v>2008.0</v>
      </c>
      <c r="H2334" s="22" t="s">
        <v>11581</v>
      </c>
      <c r="I2334" s="24" t="s">
        <v>11589</v>
      </c>
      <c r="J2334" s="22" t="s">
        <v>11590</v>
      </c>
      <c r="K2334" s="22"/>
      <c r="L2334" s="36">
        <v>650.0</v>
      </c>
      <c r="M2334" s="36">
        <v>5.0</v>
      </c>
      <c r="N2334" s="36"/>
      <c r="O2334" s="36"/>
      <c r="P2334" s="37"/>
      <c r="Q2334" s="36"/>
      <c r="R2334" s="36">
        <v>1200.0</v>
      </c>
      <c r="S2334" s="36" t="s">
        <v>11566</v>
      </c>
      <c r="T2334" s="28" t="s">
        <v>11591</v>
      </c>
      <c r="U2334" s="38" t="str">
        <f>HYPERLINK("https://www.ncbi.nlm.nih.gov/pubmed/19205171","PubMed")</f>
        <v>PubMed</v>
      </c>
      <c r="V2334" s="30"/>
      <c r="W2334" s="49"/>
      <c r="X2334" s="49"/>
      <c r="Y2334" s="35"/>
      <c r="Z2334" s="35"/>
      <c r="AA2334" s="35"/>
      <c r="AB2334" s="35"/>
      <c r="AC2334" s="35"/>
      <c r="AD2334" s="35"/>
      <c r="AE2334" s="35"/>
      <c r="AF2334" s="35"/>
      <c r="AG2334" s="35"/>
      <c r="AH2334" s="35"/>
      <c r="AI2334" s="35"/>
      <c r="AJ2334" s="35"/>
      <c r="AK2334" s="35"/>
      <c r="AL2334" s="35"/>
    </row>
    <row r="2335">
      <c r="A2335" s="55"/>
      <c r="B2335" s="19" t="s">
        <v>11370</v>
      </c>
      <c r="C2335" s="20" t="s">
        <v>11457</v>
      </c>
      <c r="D2335" s="47"/>
      <c r="E2335" s="22" t="s">
        <v>11592</v>
      </c>
      <c r="F2335" s="22" t="s">
        <v>605</v>
      </c>
      <c r="G2335" s="23">
        <v>2008.0</v>
      </c>
      <c r="H2335" s="22" t="s">
        <v>11461</v>
      </c>
      <c r="I2335" s="24" t="s">
        <v>11593</v>
      </c>
      <c r="J2335" s="22" t="s">
        <v>11594</v>
      </c>
      <c r="K2335" s="22"/>
      <c r="L2335" s="36">
        <v>650.0</v>
      </c>
      <c r="M2335" s="36">
        <v>5.0</v>
      </c>
      <c r="N2335" s="36"/>
      <c r="O2335" s="36"/>
      <c r="P2335" s="37"/>
      <c r="Q2335" s="36"/>
      <c r="R2335" s="36">
        <v>900.0</v>
      </c>
      <c r="S2335" s="36" t="s">
        <v>35</v>
      </c>
      <c r="T2335" s="28" t="s">
        <v>11595</v>
      </c>
      <c r="U2335" s="38" t="str">
        <f>HYPERLINK("https://www.ncbi.nlm.nih.gov/pubmed/17625032","PubMed")</f>
        <v>PubMed</v>
      </c>
      <c r="V2335" s="30"/>
      <c r="W2335" s="49"/>
      <c r="X2335" s="49"/>
      <c r="Y2335" s="35"/>
      <c r="Z2335" s="35"/>
      <c r="AA2335" s="35"/>
      <c r="AB2335" s="35"/>
      <c r="AC2335" s="35"/>
      <c r="AD2335" s="35"/>
      <c r="AE2335" s="35"/>
      <c r="AF2335" s="35"/>
      <c r="AG2335" s="35"/>
      <c r="AH2335" s="35"/>
      <c r="AI2335" s="35"/>
      <c r="AJ2335" s="35"/>
      <c r="AK2335" s="35"/>
      <c r="AL2335" s="35"/>
    </row>
    <row r="2336">
      <c r="A2336" s="55"/>
      <c r="B2336" s="19" t="s">
        <v>11370</v>
      </c>
      <c r="C2336" s="20" t="s">
        <v>11457</v>
      </c>
      <c r="D2336" s="47"/>
      <c r="E2336" s="22" t="s">
        <v>11596</v>
      </c>
      <c r="F2336" s="22" t="s">
        <v>6571</v>
      </c>
      <c r="G2336" s="23">
        <v>2003.0</v>
      </c>
      <c r="H2336" s="22" t="s">
        <v>91</v>
      </c>
      <c r="I2336" s="24" t="s">
        <v>11597</v>
      </c>
      <c r="J2336" s="22" t="s">
        <v>11598</v>
      </c>
      <c r="K2336" s="22" t="s">
        <v>294</v>
      </c>
      <c r="L2336" s="36" t="s">
        <v>9259</v>
      </c>
      <c r="M2336" s="36" t="s">
        <v>11599</v>
      </c>
      <c r="N2336" s="36"/>
      <c r="O2336" s="36"/>
      <c r="P2336" s="37" t="s">
        <v>254</v>
      </c>
      <c r="Q2336" s="36"/>
      <c r="R2336" s="36"/>
      <c r="S2336" s="36" t="s">
        <v>4746</v>
      </c>
      <c r="T2336" s="42" t="s">
        <v>11600</v>
      </c>
      <c r="U2336" s="38" t="str">
        <f>HYPERLINK("https://www.ncbi.nlm.nih.gov/pubmed/14505199","PubMed")</f>
        <v>PubMed</v>
      </c>
      <c r="V2336" s="30"/>
      <c r="W2336" s="49"/>
      <c r="X2336" s="49"/>
      <c r="Y2336" s="35"/>
      <c r="Z2336" s="35"/>
      <c r="AA2336" s="35"/>
      <c r="AB2336" s="35"/>
      <c r="AC2336" s="35"/>
      <c r="AD2336" s="35"/>
      <c r="AE2336" s="35"/>
      <c r="AF2336" s="35"/>
      <c r="AG2336" s="35"/>
      <c r="AH2336" s="35"/>
      <c r="AI2336" s="35"/>
      <c r="AJ2336" s="35"/>
      <c r="AK2336" s="35"/>
      <c r="AL2336" s="35"/>
    </row>
    <row r="2337">
      <c r="A2337" s="55"/>
      <c r="B2337" s="19" t="s">
        <v>11370</v>
      </c>
      <c r="C2337" s="20" t="s">
        <v>11457</v>
      </c>
      <c r="D2337" s="47"/>
      <c r="E2337" s="22" t="s">
        <v>11601</v>
      </c>
      <c r="F2337" s="22" t="s">
        <v>6074</v>
      </c>
      <c r="G2337" s="23">
        <v>2002.0</v>
      </c>
      <c r="H2337" s="22" t="s">
        <v>11602</v>
      </c>
      <c r="I2337" s="24" t="s">
        <v>11603</v>
      </c>
      <c r="J2337" s="22" t="s">
        <v>11604</v>
      </c>
      <c r="K2337" s="22"/>
      <c r="L2337" s="36">
        <v>810.0</v>
      </c>
      <c r="M2337" s="36">
        <v>60.0</v>
      </c>
      <c r="N2337" s="36"/>
      <c r="O2337" s="36"/>
      <c r="P2337" s="37"/>
      <c r="Q2337" s="36"/>
      <c r="R2337" s="36">
        <v>360.0</v>
      </c>
      <c r="S2337" s="36" t="s">
        <v>8418</v>
      </c>
      <c r="T2337" s="41" t="s">
        <v>11605</v>
      </c>
      <c r="U2337" s="38" t="str">
        <f>HYPERLINK("https://www.ncbi.nlm.nih.gov/pubmed/11981384","PubMed")</f>
        <v>PubMed</v>
      </c>
      <c r="V2337" s="30"/>
      <c r="W2337" s="49"/>
      <c r="X2337" s="49"/>
      <c r="Y2337" s="35"/>
      <c r="Z2337" s="35"/>
      <c r="AA2337" s="35"/>
      <c r="AB2337" s="35"/>
      <c r="AC2337" s="35"/>
      <c r="AD2337" s="35"/>
      <c r="AE2337" s="35"/>
      <c r="AF2337" s="35"/>
      <c r="AG2337" s="35"/>
      <c r="AH2337" s="35"/>
      <c r="AI2337" s="35"/>
      <c r="AJ2337" s="35"/>
      <c r="AK2337" s="35"/>
      <c r="AL2337" s="35"/>
    </row>
    <row r="2338">
      <c r="A2338" s="55"/>
      <c r="B2338" s="19" t="s">
        <v>11370</v>
      </c>
      <c r="C2338" s="20" t="s">
        <v>11457</v>
      </c>
      <c r="D2338" s="47"/>
      <c r="E2338" s="22" t="s">
        <v>11579</v>
      </c>
      <c r="F2338" s="22" t="s">
        <v>11580</v>
      </c>
      <c r="G2338" s="23">
        <v>2001.0</v>
      </c>
      <c r="H2338" s="22" t="s">
        <v>11606</v>
      </c>
      <c r="I2338" s="24" t="s">
        <v>11607</v>
      </c>
      <c r="J2338" s="22" t="s">
        <v>11608</v>
      </c>
      <c r="K2338" s="22"/>
      <c r="L2338" s="36">
        <v>830.0</v>
      </c>
      <c r="M2338" s="36"/>
      <c r="N2338" s="36"/>
      <c r="O2338" s="36"/>
      <c r="P2338" s="37"/>
      <c r="Q2338" s="36"/>
      <c r="R2338" s="36">
        <v>600.0</v>
      </c>
      <c r="S2338" s="36" t="s">
        <v>11609</v>
      </c>
      <c r="T2338" s="28" t="s">
        <v>11610</v>
      </c>
      <c r="U2338" s="38" t="str">
        <f>HYPERLINK("https://www.ncbi.nlm.nih.gov/pubmed/11677752","PubMed")</f>
        <v>PubMed</v>
      </c>
      <c r="V2338" s="30" t="s">
        <v>11611</v>
      </c>
      <c r="W2338" s="49"/>
      <c r="X2338" s="49"/>
      <c r="Y2338" s="35"/>
      <c r="Z2338" s="35"/>
      <c r="AA2338" s="35"/>
      <c r="AB2338" s="35"/>
      <c r="AC2338" s="35"/>
      <c r="AD2338" s="35"/>
      <c r="AE2338" s="35"/>
      <c r="AF2338" s="35"/>
      <c r="AG2338" s="35"/>
      <c r="AH2338" s="35"/>
      <c r="AI2338" s="35"/>
      <c r="AJ2338" s="35"/>
      <c r="AK2338" s="35"/>
      <c r="AL2338" s="35"/>
    </row>
    <row r="2339">
      <c r="A2339" s="55"/>
      <c r="B2339" s="19" t="s">
        <v>11370</v>
      </c>
      <c r="C2339" s="20" t="s">
        <v>11457</v>
      </c>
      <c r="D2339" s="47"/>
      <c r="E2339" s="22" t="s">
        <v>11612</v>
      </c>
      <c r="F2339" s="22" t="s">
        <v>3864</v>
      </c>
      <c r="G2339" s="23">
        <v>1999.0</v>
      </c>
      <c r="H2339" s="22" t="s">
        <v>11613</v>
      </c>
      <c r="I2339" s="24" t="s">
        <v>11614</v>
      </c>
      <c r="J2339" s="22" t="s">
        <v>11615</v>
      </c>
      <c r="K2339" s="22"/>
      <c r="L2339" s="36"/>
      <c r="M2339" s="36"/>
      <c r="N2339" s="36"/>
      <c r="O2339" s="36"/>
      <c r="P2339" s="37"/>
      <c r="Q2339" s="36"/>
      <c r="R2339" s="36"/>
      <c r="S2339" s="36"/>
      <c r="T2339" s="41" t="s">
        <v>11616</v>
      </c>
      <c r="U2339" s="38" t="str">
        <f>HYPERLINK("https://www.ncbi.nlm.nih.gov/pubmed/10481503","PubMed")</f>
        <v>PubMed</v>
      </c>
      <c r="V2339" s="30"/>
      <c r="W2339" s="49"/>
      <c r="X2339" s="49"/>
      <c r="Y2339" s="35"/>
      <c r="Z2339" s="35"/>
      <c r="AA2339" s="35"/>
      <c r="AB2339" s="35"/>
      <c r="AC2339" s="35"/>
      <c r="AD2339" s="35"/>
      <c r="AE2339" s="35"/>
      <c r="AF2339" s="35"/>
      <c r="AG2339" s="35"/>
      <c r="AH2339" s="35"/>
      <c r="AI2339" s="35"/>
      <c r="AJ2339" s="35"/>
      <c r="AK2339" s="35"/>
      <c r="AL2339" s="35"/>
    </row>
    <row r="2340">
      <c r="A2340" s="55"/>
      <c r="B2340" s="19" t="s">
        <v>11370</v>
      </c>
      <c r="C2340" s="20" t="s">
        <v>11457</v>
      </c>
      <c r="D2340" s="47"/>
      <c r="E2340" s="22" t="s">
        <v>11617</v>
      </c>
      <c r="F2340" s="22" t="s">
        <v>5630</v>
      </c>
      <c r="G2340" s="23">
        <v>1999.0</v>
      </c>
      <c r="H2340" s="22" t="s">
        <v>11618</v>
      </c>
      <c r="I2340" s="24" t="s">
        <v>11619</v>
      </c>
      <c r="J2340" s="22" t="s">
        <v>11620</v>
      </c>
      <c r="K2340" s="22"/>
      <c r="L2340" s="36">
        <v>830.0</v>
      </c>
      <c r="M2340" s="36">
        <v>50.0</v>
      </c>
      <c r="N2340" s="36"/>
      <c r="O2340" s="36">
        <v>30.0</v>
      </c>
      <c r="P2340" s="37"/>
      <c r="Q2340" s="36"/>
      <c r="R2340" s="36">
        <v>600.0</v>
      </c>
      <c r="S2340" s="36" t="s">
        <v>4708</v>
      </c>
      <c r="T2340" s="41" t="s">
        <v>11621</v>
      </c>
      <c r="U2340" s="38" t="str">
        <f>HYPERLINK("https://www.ncbi.nlm.nih.gov/pubmed/10472473","PubMed")</f>
        <v>PubMed</v>
      </c>
      <c r="V2340" s="30"/>
      <c r="W2340" s="49"/>
      <c r="X2340" s="49"/>
      <c r="Y2340" s="35"/>
      <c r="Z2340" s="35"/>
      <c r="AA2340" s="35"/>
      <c r="AB2340" s="35"/>
      <c r="AC2340" s="35"/>
      <c r="AD2340" s="35"/>
      <c r="AE2340" s="35"/>
      <c r="AF2340" s="35"/>
      <c r="AG2340" s="35"/>
      <c r="AH2340" s="35"/>
      <c r="AI2340" s="35"/>
      <c r="AJ2340" s="35"/>
      <c r="AK2340" s="35"/>
      <c r="AL2340" s="35"/>
    </row>
    <row r="2341">
      <c r="A2341" s="55"/>
      <c r="B2341" s="19" t="s">
        <v>11370</v>
      </c>
      <c r="C2341" s="20" t="s">
        <v>11457</v>
      </c>
      <c r="D2341" s="47"/>
      <c r="E2341" s="22" t="s">
        <v>11622</v>
      </c>
      <c r="F2341" s="22" t="s">
        <v>5552</v>
      </c>
      <c r="G2341" s="23">
        <v>1997.0</v>
      </c>
      <c r="H2341" s="22" t="s">
        <v>11623</v>
      </c>
      <c r="I2341" s="24" t="s">
        <v>11624</v>
      </c>
      <c r="J2341" s="22" t="s">
        <v>11625</v>
      </c>
      <c r="K2341" s="22"/>
      <c r="L2341" s="36">
        <v>830.0</v>
      </c>
      <c r="M2341" s="36">
        <v>40.0</v>
      </c>
      <c r="N2341" s="36"/>
      <c r="O2341" s="36"/>
      <c r="P2341" s="37"/>
      <c r="Q2341" s="36"/>
      <c r="R2341" s="36">
        <v>540.0</v>
      </c>
      <c r="S2341" s="36" t="s">
        <v>11626</v>
      </c>
      <c r="T2341" s="28" t="s">
        <v>11627</v>
      </c>
      <c r="U2341" s="38" t="str">
        <f>HYPERLINK("https://www.ncbi.nlm.nih.gov/pubmed/9148726","PubMed")</f>
        <v>PubMed</v>
      </c>
      <c r="V2341" s="30"/>
      <c r="W2341" s="49"/>
      <c r="X2341" s="49"/>
      <c r="Y2341" s="35"/>
      <c r="Z2341" s="35"/>
      <c r="AA2341" s="35"/>
      <c r="AB2341" s="35"/>
      <c r="AC2341" s="35"/>
      <c r="AD2341" s="35"/>
      <c r="AE2341" s="35"/>
      <c r="AF2341" s="35"/>
      <c r="AG2341" s="35"/>
      <c r="AH2341" s="35"/>
      <c r="AI2341" s="35"/>
      <c r="AJ2341" s="35"/>
      <c r="AK2341" s="35"/>
      <c r="AL2341" s="35"/>
    </row>
    <row r="2342">
      <c r="A2342" s="55"/>
      <c r="B2342" s="19" t="s">
        <v>11370</v>
      </c>
      <c r="C2342" s="20" t="s">
        <v>11457</v>
      </c>
      <c r="D2342" s="47"/>
      <c r="E2342" s="22" t="s">
        <v>11628</v>
      </c>
      <c r="F2342" s="22" t="s">
        <v>11629</v>
      </c>
      <c r="G2342" s="23">
        <v>1995.0</v>
      </c>
      <c r="H2342" s="22" t="s">
        <v>11630</v>
      </c>
      <c r="I2342" s="24" t="s">
        <v>11631</v>
      </c>
      <c r="J2342" s="22" t="s">
        <v>11632</v>
      </c>
      <c r="K2342" s="22" t="s">
        <v>10183</v>
      </c>
      <c r="L2342" s="36" t="s">
        <v>11633</v>
      </c>
      <c r="M2342" s="36"/>
      <c r="N2342" s="36"/>
      <c r="O2342" s="36"/>
      <c r="P2342" s="37"/>
      <c r="Q2342" s="36"/>
      <c r="R2342" s="36"/>
      <c r="S2342" s="36"/>
      <c r="T2342" s="28"/>
      <c r="U2342" s="29" t="s">
        <v>61</v>
      </c>
      <c r="V2342" s="30"/>
      <c r="W2342" s="49"/>
      <c r="X2342" s="49"/>
      <c r="Y2342" s="35"/>
      <c r="Z2342" s="35"/>
      <c r="AA2342" s="35"/>
      <c r="AB2342" s="35"/>
      <c r="AC2342" s="35"/>
      <c r="AD2342" s="35"/>
      <c r="AE2342" s="35"/>
      <c r="AF2342" s="35"/>
      <c r="AG2342" s="35"/>
      <c r="AH2342" s="35"/>
      <c r="AI2342" s="35"/>
      <c r="AJ2342" s="35"/>
      <c r="AK2342" s="35"/>
      <c r="AL2342" s="35"/>
    </row>
    <row r="2343">
      <c r="A2343" s="55"/>
      <c r="B2343" s="19" t="s">
        <v>11370</v>
      </c>
      <c r="C2343" s="20" t="s">
        <v>11457</v>
      </c>
      <c r="D2343" s="47"/>
      <c r="E2343" s="22" t="s">
        <v>11634</v>
      </c>
      <c r="F2343" s="22" t="s">
        <v>11635</v>
      </c>
      <c r="G2343" s="23">
        <v>1993.0</v>
      </c>
      <c r="H2343" s="22" t="s">
        <v>292</v>
      </c>
      <c r="I2343" s="24" t="s">
        <v>11636</v>
      </c>
      <c r="J2343" s="22" t="s">
        <v>11637</v>
      </c>
      <c r="K2343" s="22"/>
      <c r="L2343" s="36" t="s">
        <v>4922</v>
      </c>
      <c r="M2343" s="36" t="s">
        <v>11638</v>
      </c>
      <c r="N2343" s="36"/>
      <c r="O2343" s="36"/>
      <c r="P2343" s="37"/>
      <c r="Q2343" s="36"/>
      <c r="R2343" s="36">
        <v>480.0</v>
      </c>
      <c r="S2343" s="36" t="s">
        <v>11639</v>
      </c>
      <c r="T2343" s="28" t="s">
        <v>11640</v>
      </c>
      <c r="U2343" s="38" t="str">
        <f>HYPERLINK("https://www.jstage.jst.go.jp/article/islsm/5/3/5_93-SC-01/_article/-char/en","J-STAGE")</f>
        <v>J-STAGE</v>
      </c>
      <c r="V2343" s="30"/>
      <c r="W2343" s="49"/>
      <c r="X2343" s="49"/>
      <c r="Y2343" s="35"/>
      <c r="Z2343" s="35"/>
      <c r="AA2343" s="35"/>
      <c r="AB2343" s="35"/>
      <c r="AC2343" s="35"/>
      <c r="AD2343" s="35"/>
      <c r="AE2343" s="35"/>
      <c r="AF2343" s="35"/>
      <c r="AG2343" s="35"/>
      <c r="AH2343" s="35"/>
      <c r="AI2343" s="35"/>
      <c r="AJ2343" s="35"/>
      <c r="AK2343" s="35"/>
      <c r="AL2343" s="35"/>
    </row>
    <row r="2344">
      <c r="A2344" s="55"/>
      <c r="B2344" s="19" t="s">
        <v>11370</v>
      </c>
      <c r="C2344" s="20" t="s">
        <v>11641</v>
      </c>
      <c r="D2344" s="47"/>
      <c r="E2344" s="22" t="s">
        <v>11642</v>
      </c>
      <c r="F2344" s="22" t="s">
        <v>323</v>
      </c>
      <c r="G2344" s="23">
        <v>2013.0</v>
      </c>
      <c r="H2344" s="22" t="s">
        <v>11461</v>
      </c>
      <c r="I2344" s="24" t="s">
        <v>11643</v>
      </c>
      <c r="J2344" s="22" t="s">
        <v>9864</v>
      </c>
      <c r="K2344" s="22"/>
      <c r="L2344" s="36" t="s">
        <v>11644</v>
      </c>
      <c r="M2344" s="36" t="s">
        <v>11645</v>
      </c>
      <c r="N2344" s="36"/>
      <c r="O2344" s="36"/>
      <c r="P2344" s="37" t="s">
        <v>11646</v>
      </c>
      <c r="Q2344" s="36" t="s">
        <v>11647</v>
      </c>
      <c r="R2344" s="36">
        <v>60.0</v>
      </c>
      <c r="S2344" s="36"/>
      <c r="T2344" s="28" t="s">
        <v>11648</v>
      </c>
      <c r="U2344" s="38" t="str">
        <f>HYPERLINK("https://www.ncbi.nlm.nih.gov/pubmed/23425439","PubMed")</f>
        <v>PubMed</v>
      </c>
      <c r="V2344" s="30"/>
      <c r="W2344" s="49"/>
      <c r="X2344" s="49"/>
      <c r="Y2344" s="35"/>
      <c r="Z2344" s="35"/>
      <c r="AA2344" s="35"/>
      <c r="AB2344" s="35"/>
      <c r="AC2344" s="35"/>
      <c r="AD2344" s="35"/>
      <c r="AE2344" s="35"/>
      <c r="AF2344" s="35"/>
      <c r="AG2344" s="35"/>
      <c r="AH2344" s="35"/>
      <c r="AI2344" s="35"/>
      <c r="AJ2344" s="35"/>
      <c r="AK2344" s="35"/>
      <c r="AL2344" s="35"/>
    </row>
    <row r="2345">
      <c r="A2345" s="55"/>
      <c r="B2345" s="19" t="s">
        <v>11370</v>
      </c>
      <c r="C2345" s="20" t="s">
        <v>11649</v>
      </c>
      <c r="D2345" s="47"/>
      <c r="E2345" s="22" t="s">
        <v>493</v>
      </c>
      <c r="F2345" s="22" t="s">
        <v>1905</v>
      </c>
      <c r="G2345" s="23">
        <v>2017.0</v>
      </c>
      <c r="H2345" s="22" t="s">
        <v>1025</v>
      </c>
      <c r="I2345" s="24" t="s">
        <v>11650</v>
      </c>
      <c r="J2345" s="22" t="s">
        <v>55</v>
      </c>
      <c r="K2345" s="22" t="s">
        <v>11651</v>
      </c>
      <c r="L2345" s="36"/>
      <c r="M2345" s="36"/>
      <c r="N2345" s="36"/>
      <c r="O2345" s="36"/>
      <c r="P2345" s="37"/>
      <c r="Q2345" s="36"/>
      <c r="R2345" s="36"/>
      <c r="S2345" s="36"/>
      <c r="T2345" s="28" t="s">
        <v>11652</v>
      </c>
      <c r="U2345" s="38" t="str">
        <f>HYPERLINK("https://www.ncbi.nlm.nih.gov/pubmed/28853245","PubMed")</f>
        <v>PubMed</v>
      </c>
      <c r="V2345" s="30"/>
      <c r="W2345" s="49"/>
      <c r="X2345" s="49"/>
      <c r="Y2345" s="35"/>
      <c r="Z2345" s="35"/>
      <c r="AA2345" s="35"/>
      <c r="AB2345" s="35"/>
      <c r="AC2345" s="35"/>
      <c r="AD2345" s="35"/>
      <c r="AE2345" s="35"/>
      <c r="AF2345" s="35"/>
      <c r="AG2345" s="35"/>
      <c r="AH2345" s="35"/>
      <c r="AI2345" s="35"/>
      <c r="AJ2345" s="35"/>
      <c r="AK2345" s="35"/>
      <c r="AL2345" s="35"/>
    </row>
    <row r="2346">
      <c r="A2346" s="55"/>
      <c r="B2346" s="19" t="s">
        <v>11370</v>
      </c>
      <c r="C2346" s="20"/>
      <c r="D2346" s="47"/>
      <c r="E2346" s="22" t="s">
        <v>11653</v>
      </c>
      <c r="F2346" s="22" t="s">
        <v>2407</v>
      </c>
      <c r="G2346" s="23">
        <v>2016.0</v>
      </c>
      <c r="H2346" s="22" t="s">
        <v>42</v>
      </c>
      <c r="I2346" s="24" t="s">
        <v>11654</v>
      </c>
      <c r="J2346" s="22" t="s">
        <v>31</v>
      </c>
      <c r="K2346" s="22" t="s">
        <v>11655</v>
      </c>
      <c r="L2346" s="36">
        <v>810.0</v>
      </c>
      <c r="M2346" s="36"/>
      <c r="N2346" s="36" t="s">
        <v>1069</v>
      </c>
      <c r="O2346" s="36"/>
      <c r="P2346" s="37" t="s">
        <v>2555</v>
      </c>
      <c r="Q2346" s="36">
        <v>3.0</v>
      </c>
      <c r="R2346" s="36">
        <v>100.0</v>
      </c>
      <c r="S2346" s="36">
        <v>1.0</v>
      </c>
      <c r="T2346" s="28" t="s">
        <v>11656</v>
      </c>
      <c r="U2346" s="38" t="str">
        <f>HYPERLINK("https://www.ncbi.nlm.nih.gov/pubmed/26790619","PubMed")</f>
        <v>PubMed</v>
      </c>
      <c r="V2346" s="30"/>
      <c r="W2346" s="49"/>
      <c r="X2346" s="49"/>
      <c r="Y2346" s="35"/>
      <c r="Z2346" s="35"/>
      <c r="AA2346" s="35"/>
      <c r="AB2346" s="35"/>
      <c r="AC2346" s="35"/>
      <c r="AD2346" s="35"/>
      <c r="AE2346" s="35"/>
      <c r="AF2346" s="35"/>
      <c r="AG2346" s="35"/>
      <c r="AH2346" s="35"/>
      <c r="AI2346" s="35"/>
      <c r="AJ2346" s="35"/>
      <c r="AK2346" s="35"/>
      <c r="AL2346" s="35"/>
    </row>
    <row r="2347">
      <c r="A2347" s="55" t="s">
        <v>181</v>
      </c>
      <c r="B2347" s="19" t="s">
        <v>11370</v>
      </c>
      <c r="C2347" s="20"/>
      <c r="D2347" s="47"/>
      <c r="E2347" s="22" t="s">
        <v>5718</v>
      </c>
      <c r="F2347" s="22" t="s">
        <v>11372</v>
      </c>
      <c r="G2347" s="23">
        <v>2012.0</v>
      </c>
      <c r="H2347" s="22" t="s">
        <v>91</v>
      </c>
      <c r="I2347" s="24" t="s">
        <v>11657</v>
      </c>
      <c r="J2347" s="22" t="s">
        <v>31</v>
      </c>
      <c r="K2347" s="22" t="s">
        <v>11658</v>
      </c>
      <c r="L2347" s="36">
        <v>810.0</v>
      </c>
      <c r="M2347" s="36"/>
      <c r="N2347" s="36" t="s">
        <v>8939</v>
      </c>
      <c r="O2347" s="36"/>
      <c r="P2347" s="37" t="s">
        <v>11659</v>
      </c>
      <c r="Q2347" s="36"/>
      <c r="R2347" s="36">
        <v>3600.0</v>
      </c>
      <c r="S2347" s="36">
        <v>6.0</v>
      </c>
      <c r="T2347" s="28" t="s">
        <v>11660</v>
      </c>
      <c r="U2347" s="38" t="str">
        <f>HYPERLINK("https://www.ncbi.nlm.nih.gov/pubmed/22138884","PubMed")</f>
        <v>PubMed</v>
      </c>
      <c r="V2347" s="30"/>
      <c r="W2347" s="49"/>
      <c r="X2347" s="49"/>
      <c r="Y2347" s="35"/>
      <c r="Z2347" s="35"/>
      <c r="AA2347" s="35"/>
      <c r="AB2347" s="35"/>
      <c r="AC2347" s="35"/>
      <c r="AD2347" s="35"/>
      <c r="AE2347" s="35"/>
      <c r="AF2347" s="35"/>
      <c r="AG2347" s="35"/>
      <c r="AH2347" s="35"/>
      <c r="AI2347" s="35"/>
      <c r="AJ2347" s="35"/>
      <c r="AK2347" s="35"/>
      <c r="AL2347" s="35"/>
    </row>
    <row r="2348">
      <c r="A2348" s="147"/>
      <c r="B2348" s="157" t="s">
        <v>11661</v>
      </c>
      <c r="C2348" s="158" t="s">
        <v>11662</v>
      </c>
      <c r="D2348" s="159"/>
      <c r="E2348" s="56" t="s">
        <v>11663</v>
      </c>
      <c r="F2348" s="22" t="s">
        <v>3681</v>
      </c>
      <c r="G2348" s="57">
        <v>2022.0</v>
      </c>
      <c r="H2348" s="22" t="s">
        <v>11664</v>
      </c>
      <c r="I2348" s="58" t="s">
        <v>11665</v>
      </c>
      <c r="J2348" s="22" t="s">
        <v>55</v>
      </c>
      <c r="K2348" s="22" t="s">
        <v>157</v>
      </c>
      <c r="L2348" s="36">
        <v>650.0</v>
      </c>
      <c r="M2348" s="36"/>
      <c r="N2348" s="36" t="s">
        <v>1897</v>
      </c>
      <c r="O2348" s="36"/>
      <c r="P2348" s="37" t="s">
        <v>1704</v>
      </c>
      <c r="Q2348" s="36" t="s">
        <v>11666</v>
      </c>
      <c r="R2348" s="36"/>
      <c r="S2348" s="36"/>
      <c r="T2348" s="63" t="s">
        <v>11667</v>
      </c>
      <c r="U2348" s="60" t="s">
        <v>6709</v>
      </c>
      <c r="V2348" s="30"/>
      <c r="W2348" s="156"/>
      <c r="X2348" s="156"/>
      <c r="Y2348" s="35"/>
      <c r="Z2348" s="35"/>
      <c r="AA2348" s="35"/>
      <c r="AB2348" s="35"/>
      <c r="AC2348" s="35"/>
      <c r="AD2348" s="35"/>
      <c r="AE2348" s="35"/>
      <c r="AF2348" s="35"/>
      <c r="AG2348" s="35"/>
      <c r="AH2348" s="35"/>
      <c r="AI2348" s="35"/>
      <c r="AJ2348" s="35"/>
      <c r="AK2348" s="35"/>
      <c r="AL2348" s="35"/>
    </row>
    <row r="2349">
      <c r="A2349" s="147"/>
      <c r="B2349" s="157" t="s">
        <v>11661</v>
      </c>
      <c r="C2349" s="158" t="s">
        <v>11668</v>
      </c>
      <c r="D2349" s="159"/>
      <c r="E2349" s="56" t="s">
        <v>11669</v>
      </c>
      <c r="F2349" s="22" t="s">
        <v>11670</v>
      </c>
      <c r="G2349" s="57">
        <v>2021.0</v>
      </c>
      <c r="H2349" s="22" t="s">
        <v>11671</v>
      </c>
      <c r="I2349" s="58" t="s">
        <v>11672</v>
      </c>
      <c r="J2349" s="22" t="s">
        <v>11673</v>
      </c>
      <c r="K2349" s="22" t="s">
        <v>56</v>
      </c>
      <c r="L2349" s="36" t="s">
        <v>11674</v>
      </c>
      <c r="M2349" s="36" t="s">
        <v>11675</v>
      </c>
      <c r="N2349" s="36" t="s">
        <v>58</v>
      </c>
      <c r="O2349" s="36" t="s">
        <v>58</v>
      </c>
      <c r="P2349" s="37" t="s">
        <v>58</v>
      </c>
      <c r="Q2349" s="36" t="s">
        <v>58</v>
      </c>
      <c r="R2349" s="36">
        <v>600.0</v>
      </c>
      <c r="S2349" s="36" t="s">
        <v>2099</v>
      </c>
      <c r="T2349" s="63" t="s">
        <v>11676</v>
      </c>
      <c r="U2349" s="64" t="s">
        <v>61</v>
      </c>
      <c r="V2349" s="30"/>
      <c r="W2349" s="156"/>
      <c r="X2349" s="156"/>
      <c r="Y2349" s="35"/>
      <c r="Z2349" s="35"/>
      <c r="AA2349" s="35"/>
      <c r="AB2349" s="35"/>
      <c r="AC2349" s="35"/>
      <c r="AD2349" s="35"/>
      <c r="AE2349" s="35"/>
      <c r="AF2349" s="35"/>
      <c r="AG2349" s="35"/>
      <c r="AH2349" s="35"/>
      <c r="AI2349" s="35"/>
      <c r="AJ2349" s="35"/>
      <c r="AK2349" s="35"/>
      <c r="AL2349" s="35"/>
    </row>
    <row r="2350">
      <c r="A2350" s="147"/>
      <c r="B2350" s="157" t="s">
        <v>11661</v>
      </c>
      <c r="C2350" s="158" t="s">
        <v>11668</v>
      </c>
      <c r="D2350" s="159"/>
      <c r="E2350" s="56" t="s">
        <v>626</v>
      </c>
      <c r="F2350" s="22" t="s">
        <v>313</v>
      </c>
      <c r="G2350" s="57">
        <v>2019.0</v>
      </c>
      <c r="H2350" s="22" t="s">
        <v>11677</v>
      </c>
      <c r="I2350" s="58" t="s">
        <v>11678</v>
      </c>
      <c r="J2350" s="22" t="s">
        <v>55</v>
      </c>
      <c r="K2350" s="22" t="s">
        <v>157</v>
      </c>
      <c r="L2350" s="36">
        <v>610.0</v>
      </c>
      <c r="M2350" s="36"/>
      <c r="N2350" s="36" t="s">
        <v>4561</v>
      </c>
      <c r="O2350" s="36"/>
      <c r="P2350" s="37" t="s">
        <v>269</v>
      </c>
      <c r="Q2350" s="36"/>
      <c r="R2350" s="36">
        <v>6300.0</v>
      </c>
      <c r="S2350" s="36"/>
      <c r="T2350" s="63" t="s">
        <v>11679</v>
      </c>
      <c r="U2350" s="161" t="str">
        <f>HYPERLINK("https://www.ncbi.nlm.nih.gov/pubmed/31104349","PubMed")</f>
        <v>PubMed</v>
      </c>
      <c r="V2350" s="30"/>
      <c r="W2350" s="156"/>
      <c r="X2350" s="156"/>
      <c r="Y2350" s="35"/>
      <c r="Z2350" s="35"/>
      <c r="AA2350" s="35"/>
      <c r="AB2350" s="35"/>
      <c r="AC2350" s="35"/>
      <c r="AD2350" s="35"/>
      <c r="AE2350" s="35"/>
      <c r="AF2350" s="35"/>
      <c r="AG2350" s="35"/>
      <c r="AH2350" s="35"/>
      <c r="AI2350" s="35"/>
      <c r="AJ2350" s="35"/>
      <c r="AK2350" s="35"/>
      <c r="AL2350" s="35"/>
    </row>
    <row r="2351">
      <c r="A2351" s="147"/>
      <c r="B2351" s="157" t="s">
        <v>11661</v>
      </c>
      <c r="C2351" s="158" t="s">
        <v>11668</v>
      </c>
      <c r="D2351" s="159"/>
      <c r="E2351" s="56" t="s">
        <v>626</v>
      </c>
      <c r="F2351" s="22" t="s">
        <v>313</v>
      </c>
      <c r="G2351" s="57">
        <v>2019.0</v>
      </c>
      <c r="H2351" s="22" t="s">
        <v>2276</v>
      </c>
      <c r="I2351" s="58" t="s">
        <v>11680</v>
      </c>
      <c r="J2351" s="22" t="s">
        <v>55</v>
      </c>
      <c r="K2351" s="22" t="s">
        <v>157</v>
      </c>
      <c r="L2351" s="36">
        <v>610.0</v>
      </c>
      <c r="M2351" s="36"/>
      <c r="N2351" s="36" t="s">
        <v>4561</v>
      </c>
      <c r="O2351" s="36"/>
      <c r="P2351" s="37" t="s">
        <v>269</v>
      </c>
      <c r="Q2351" s="36"/>
      <c r="R2351" s="36"/>
      <c r="S2351" s="36"/>
      <c r="T2351" s="63" t="s">
        <v>11681</v>
      </c>
      <c r="U2351" s="161" t="str">
        <f>HYPERLINK("https://www.ncbi.nlm.nih.gov/pubmed/31287006","PubMed")</f>
        <v>PubMed</v>
      </c>
      <c r="V2351" s="30"/>
      <c r="W2351" s="156"/>
      <c r="X2351" s="156"/>
      <c r="Y2351" s="35"/>
      <c r="Z2351" s="35"/>
      <c r="AA2351" s="35"/>
      <c r="AB2351" s="35"/>
      <c r="AC2351" s="35"/>
      <c r="AD2351" s="35"/>
      <c r="AE2351" s="35"/>
      <c r="AF2351" s="35"/>
      <c r="AG2351" s="35"/>
      <c r="AH2351" s="35"/>
      <c r="AI2351" s="35"/>
      <c r="AJ2351" s="35"/>
      <c r="AK2351" s="35"/>
      <c r="AL2351" s="35"/>
    </row>
    <row r="2352">
      <c r="A2352" s="147"/>
      <c r="B2352" s="157" t="s">
        <v>11661</v>
      </c>
      <c r="C2352" s="158" t="s">
        <v>11682</v>
      </c>
      <c r="D2352" s="159"/>
      <c r="E2352" s="56" t="s">
        <v>11683</v>
      </c>
      <c r="F2352" s="22" t="s">
        <v>11684</v>
      </c>
      <c r="G2352" s="57">
        <v>2019.0</v>
      </c>
      <c r="H2352" s="22" t="s">
        <v>91</v>
      </c>
      <c r="I2352" s="58" t="s">
        <v>11685</v>
      </c>
      <c r="J2352" s="22" t="s">
        <v>11686</v>
      </c>
      <c r="K2352" s="22" t="s">
        <v>11687</v>
      </c>
      <c r="L2352" s="36">
        <v>850.0</v>
      </c>
      <c r="M2352" s="36">
        <v>75.0</v>
      </c>
      <c r="N2352" s="36" t="s">
        <v>11688</v>
      </c>
      <c r="O2352" s="36"/>
      <c r="P2352" s="37" t="s">
        <v>11689</v>
      </c>
      <c r="Q2352" s="36"/>
      <c r="R2352" s="36" t="s">
        <v>11690</v>
      </c>
      <c r="S2352" s="36">
        <v>1.0</v>
      </c>
      <c r="T2352" s="41" t="s">
        <v>11691</v>
      </c>
      <c r="U2352" s="161" t="str">
        <f>HYPERLINK("https://www.ncbi.nlm.nih.gov/pubmed/31203569","PubMed")</f>
        <v>PubMed</v>
      </c>
      <c r="V2352" s="30"/>
      <c r="W2352" s="156"/>
      <c r="X2352" s="156"/>
      <c r="Y2352" s="35"/>
      <c r="Z2352" s="35"/>
      <c r="AA2352" s="35"/>
      <c r="AB2352" s="35"/>
      <c r="AC2352" s="35"/>
      <c r="AD2352" s="35"/>
      <c r="AE2352" s="35"/>
      <c r="AF2352" s="35"/>
      <c r="AG2352" s="35"/>
      <c r="AH2352" s="35"/>
      <c r="AI2352" s="35"/>
      <c r="AJ2352" s="35"/>
      <c r="AK2352" s="35"/>
      <c r="AL2352" s="35"/>
    </row>
    <row r="2353">
      <c r="A2353" s="147"/>
      <c r="B2353" s="157" t="s">
        <v>11661</v>
      </c>
      <c r="C2353" s="158" t="s">
        <v>11692</v>
      </c>
      <c r="D2353" s="159"/>
      <c r="E2353" s="56" t="s">
        <v>3159</v>
      </c>
      <c r="F2353" s="22" t="s">
        <v>2196</v>
      </c>
      <c r="G2353" s="57">
        <v>2006.0</v>
      </c>
      <c r="H2353" s="22" t="s">
        <v>91</v>
      </c>
      <c r="I2353" s="58" t="s">
        <v>11693</v>
      </c>
      <c r="J2353" s="22" t="s">
        <v>253</v>
      </c>
      <c r="K2353" s="22" t="s">
        <v>2686</v>
      </c>
      <c r="L2353" s="36" t="s">
        <v>11694</v>
      </c>
      <c r="M2353" s="36"/>
      <c r="N2353" s="36"/>
      <c r="O2353" s="36"/>
      <c r="P2353" s="37"/>
      <c r="Q2353" s="36"/>
      <c r="R2353" s="36"/>
      <c r="S2353" s="36"/>
      <c r="T2353" s="74" t="s">
        <v>11695</v>
      </c>
      <c r="U2353" s="161" t="str">
        <f>HYPERLINK("https://www.ncbi.nlm.nih.gov/pubmed/16683181","PubMed")</f>
        <v>PubMed</v>
      </c>
      <c r="V2353" s="30"/>
      <c r="W2353" s="156"/>
      <c r="X2353" s="156"/>
      <c r="Y2353" s="35"/>
      <c r="Z2353" s="35"/>
      <c r="AA2353" s="35"/>
      <c r="AB2353" s="35"/>
      <c r="AC2353" s="35"/>
      <c r="AD2353" s="35"/>
      <c r="AE2353" s="35"/>
      <c r="AF2353" s="35"/>
      <c r="AG2353" s="35"/>
      <c r="AH2353" s="35"/>
      <c r="AI2353" s="35"/>
      <c r="AJ2353" s="35"/>
      <c r="AK2353" s="35"/>
      <c r="AL2353" s="35"/>
    </row>
    <row r="2354">
      <c r="A2354" s="147"/>
      <c r="B2354" s="157" t="s">
        <v>11661</v>
      </c>
      <c r="C2354" s="158" t="s">
        <v>11696</v>
      </c>
      <c r="D2354" s="159"/>
      <c r="E2354" s="56" t="s">
        <v>1402</v>
      </c>
      <c r="F2354" s="22" t="s">
        <v>797</v>
      </c>
      <c r="G2354" s="57">
        <v>2018.0</v>
      </c>
      <c r="H2354" s="56" t="s">
        <v>658</v>
      </c>
      <c r="I2354" s="58" t="s">
        <v>11697</v>
      </c>
      <c r="J2354" s="22" t="s">
        <v>11698</v>
      </c>
      <c r="K2354" s="22" t="s">
        <v>11699</v>
      </c>
      <c r="L2354" s="36">
        <v>850.0</v>
      </c>
      <c r="M2354" s="36">
        <v>200.0</v>
      </c>
      <c r="N2354" s="36"/>
      <c r="O2354" s="36" t="s">
        <v>11700</v>
      </c>
      <c r="P2354" s="37"/>
      <c r="Q2354" s="36"/>
      <c r="R2354" s="36"/>
      <c r="S2354" s="36" t="s">
        <v>11701</v>
      </c>
      <c r="T2354" s="71" t="s">
        <v>11702</v>
      </c>
      <c r="U2354" s="161" t="str">
        <f>HYPERLINK("https://www.ncbi.nlm.nih.gov/pubmed/29466116","PubMed")</f>
        <v>PubMed</v>
      </c>
      <c r="V2354" s="30"/>
      <c r="W2354" s="156"/>
      <c r="X2354" s="156"/>
      <c r="Y2354" s="35"/>
      <c r="Z2354" s="35"/>
      <c r="AA2354" s="35"/>
      <c r="AB2354" s="35"/>
      <c r="AC2354" s="35"/>
      <c r="AD2354" s="35"/>
      <c r="AE2354" s="35"/>
      <c r="AF2354" s="35"/>
      <c r="AG2354" s="35"/>
      <c r="AH2354" s="35"/>
      <c r="AI2354" s="35"/>
      <c r="AJ2354" s="35"/>
      <c r="AK2354" s="35"/>
      <c r="AL2354" s="35"/>
    </row>
    <row r="2355">
      <c r="A2355" s="147"/>
      <c r="B2355" s="157" t="s">
        <v>11661</v>
      </c>
      <c r="C2355" s="158" t="s">
        <v>11703</v>
      </c>
      <c r="D2355" s="159"/>
      <c r="E2355" s="56" t="s">
        <v>9295</v>
      </c>
      <c r="F2355" s="22" t="s">
        <v>11704</v>
      </c>
      <c r="G2355" s="57">
        <v>2021.0</v>
      </c>
      <c r="H2355" s="56" t="s">
        <v>91</v>
      </c>
      <c r="I2355" s="58" t="s">
        <v>11705</v>
      </c>
      <c r="J2355" s="22" t="s">
        <v>11706</v>
      </c>
      <c r="K2355" s="22" t="s">
        <v>10183</v>
      </c>
      <c r="L2355" s="36" t="s">
        <v>11707</v>
      </c>
      <c r="M2355" s="36" t="s">
        <v>11708</v>
      </c>
      <c r="N2355" s="36"/>
      <c r="O2355" s="36"/>
      <c r="P2355" s="37" t="s">
        <v>11709</v>
      </c>
      <c r="Q2355" s="36"/>
      <c r="R2355" s="36" t="s">
        <v>11710</v>
      </c>
      <c r="S2355" s="36" t="s">
        <v>11711</v>
      </c>
      <c r="T2355" s="63" t="s">
        <v>11712</v>
      </c>
      <c r="U2355" s="64" t="s">
        <v>61</v>
      </c>
      <c r="V2355" s="30"/>
      <c r="W2355" s="156"/>
      <c r="X2355" s="156"/>
      <c r="Y2355" s="35"/>
      <c r="Z2355" s="35"/>
      <c r="AA2355" s="35"/>
      <c r="AB2355" s="35"/>
      <c r="AC2355" s="35"/>
      <c r="AD2355" s="35"/>
      <c r="AE2355" s="35"/>
      <c r="AF2355" s="35"/>
      <c r="AG2355" s="35"/>
      <c r="AH2355" s="35"/>
      <c r="AI2355" s="35"/>
      <c r="AJ2355" s="35"/>
      <c r="AK2355" s="35"/>
      <c r="AL2355" s="35"/>
    </row>
    <row r="2356">
      <c r="A2356" s="147" t="s">
        <v>181</v>
      </c>
      <c r="B2356" s="157" t="s">
        <v>11661</v>
      </c>
      <c r="C2356" s="158" t="s">
        <v>11703</v>
      </c>
      <c r="D2356" s="159"/>
      <c r="E2356" s="56" t="s">
        <v>11713</v>
      </c>
      <c r="F2356" s="22" t="s">
        <v>11704</v>
      </c>
      <c r="G2356" s="57">
        <v>2014.0</v>
      </c>
      <c r="H2356" s="56" t="s">
        <v>147</v>
      </c>
      <c r="I2356" s="58" t="s">
        <v>11714</v>
      </c>
      <c r="J2356" s="22" t="s">
        <v>11715</v>
      </c>
      <c r="K2356" s="22"/>
      <c r="L2356" s="36">
        <v>810.0</v>
      </c>
      <c r="M2356" s="36">
        <v>500.0</v>
      </c>
      <c r="N2356" s="36"/>
      <c r="O2356" s="36"/>
      <c r="P2356" s="37" t="s">
        <v>82</v>
      </c>
      <c r="Q2356" s="36" t="s">
        <v>675</v>
      </c>
      <c r="R2356" s="36"/>
      <c r="S2356" s="36" t="s">
        <v>6403</v>
      </c>
      <c r="T2356" s="63" t="s">
        <v>11716</v>
      </c>
      <c r="U2356" s="161" t="str">
        <f>HYPERLINK("https://www.ncbi.nlm.nih.gov/pubmed/25653805","PubMed")</f>
        <v>PubMed</v>
      </c>
      <c r="V2356" s="30"/>
      <c r="W2356" s="156"/>
      <c r="X2356" s="156"/>
      <c r="Y2356" s="35"/>
      <c r="Z2356" s="35"/>
      <c r="AA2356" s="35"/>
      <c r="AB2356" s="35"/>
      <c r="AC2356" s="35"/>
      <c r="AD2356" s="35"/>
      <c r="AE2356" s="35"/>
      <c r="AF2356" s="35"/>
      <c r="AG2356" s="35"/>
      <c r="AH2356" s="35"/>
      <c r="AI2356" s="35"/>
      <c r="AJ2356" s="35"/>
      <c r="AK2356" s="35"/>
      <c r="AL2356" s="35"/>
    </row>
    <row r="2357">
      <c r="A2357" s="147"/>
      <c r="B2357" s="157" t="s">
        <v>11717</v>
      </c>
      <c r="C2357" s="158" t="s">
        <v>11718</v>
      </c>
      <c r="D2357" s="159"/>
      <c r="E2357" s="56" t="s">
        <v>11719</v>
      </c>
      <c r="F2357" s="22" t="s">
        <v>11720</v>
      </c>
      <c r="G2357" s="57">
        <v>2018.0</v>
      </c>
      <c r="H2357" s="56" t="s">
        <v>2181</v>
      </c>
      <c r="I2357" s="58" t="s">
        <v>11721</v>
      </c>
      <c r="J2357" s="22" t="s">
        <v>11722</v>
      </c>
      <c r="K2357" s="22" t="s">
        <v>11723</v>
      </c>
      <c r="L2357" s="36" t="s">
        <v>11724</v>
      </c>
      <c r="M2357" s="36"/>
      <c r="N2357" s="36" t="s">
        <v>11725</v>
      </c>
      <c r="O2357" s="36"/>
      <c r="P2357" s="37" t="s">
        <v>2555</v>
      </c>
      <c r="Q2357" s="36"/>
      <c r="R2357" s="36"/>
      <c r="S2357" s="36">
        <v>1.0</v>
      </c>
      <c r="T2357" s="63" t="s">
        <v>11726</v>
      </c>
      <c r="U2357" s="161" t="str">
        <f>HYPERLINK("https://www.ncbi.nlm.nih.gov/pubmed/30446721","PubMed")</f>
        <v>PubMed</v>
      </c>
      <c r="V2357" s="30"/>
      <c r="W2357" s="156"/>
      <c r="X2357" s="156"/>
      <c r="Y2357" s="35"/>
      <c r="Z2357" s="35"/>
      <c r="AA2357" s="35"/>
      <c r="AB2357" s="35"/>
      <c r="AC2357" s="35"/>
      <c r="AD2357" s="35"/>
      <c r="AE2357" s="35"/>
      <c r="AF2357" s="35"/>
      <c r="AG2357" s="35"/>
      <c r="AH2357" s="35"/>
      <c r="AI2357" s="35"/>
      <c r="AJ2357" s="35"/>
      <c r="AK2357" s="35"/>
      <c r="AL2357" s="35"/>
    </row>
    <row r="2358">
      <c r="A2358" s="1"/>
      <c r="B2358" s="19" t="s">
        <v>11717</v>
      </c>
      <c r="C2358" s="158" t="s">
        <v>11727</v>
      </c>
      <c r="D2358" s="159"/>
      <c r="E2358" s="22" t="s">
        <v>11728</v>
      </c>
      <c r="F2358" s="22" t="s">
        <v>797</v>
      </c>
      <c r="G2358" s="23">
        <v>2024.0</v>
      </c>
      <c r="H2358" s="22" t="s">
        <v>207</v>
      </c>
      <c r="I2358" s="24" t="s">
        <v>11729</v>
      </c>
      <c r="J2358" s="22" t="s">
        <v>31</v>
      </c>
      <c r="K2358" s="22"/>
      <c r="L2358" s="36">
        <v>850.0</v>
      </c>
      <c r="M2358" s="36"/>
      <c r="N2358" s="36"/>
      <c r="O2358" s="129"/>
      <c r="P2358" s="37" t="s">
        <v>2555</v>
      </c>
      <c r="Q2358" s="36"/>
      <c r="R2358" s="36"/>
      <c r="S2358" s="36"/>
      <c r="T2358" s="28" t="s">
        <v>11730</v>
      </c>
      <c r="U2358" s="38" t="s">
        <v>61</v>
      </c>
      <c r="V2358" s="30"/>
      <c r="W2358" s="49"/>
      <c r="X2358" s="49"/>
      <c r="Y2358" s="35"/>
      <c r="Z2358" s="35"/>
      <c r="AA2358" s="35"/>
      <c r="AB2358" s="35"/>
      <c r="AC2358" s="35"/>
      <c r="AD2358" s="35"/>
      <c r="AE2358" s="35"/>
      <c r="AF2358" s="35"/>
      <c r="AG2358" s="35"/>
      <c r="AH2358" s="35"/>
      <c r="AI2358" s="35"/>
      <c r="AJ2358" s="35"/>
      <c r="AK2358" s="35"/>
      <c r="AL2358" s="35"/>
    </row>
    <row r="2359">
      <c r="A2359" s="1"/>
      <c r="B2359" s="19" t="s">
        <v>11717</v>
      </c>
      <c r="C2359" s="158" t="s">
        <v>11727</v>
      </c>
      <c r="D2359" s="159"/>
      <c r="E2359" s="22" t="s">
        <v>2187</v>
      </c>
      <c r="F2359" s="22" t="s">
        <v>11731</v>
      </c>
      <c r="G2359" s="23">
        <v>2022.0</v>
      </c>
      <c r="H2359" s="22" t="s">
        <v>251</v>
      </c>
      <c r="I2359" s="24" t="s">
        <v>11732</v>
      </c>
      <c r="J2359" s="22" t="s">
        <v>31</v>
      </c>
      <c r="K2359" s="22" t="s">
        <v>157</v>
      </c>
      <c r="L2359" s="36">
        <v>630.0</v>
      </c>
      <c r="M2359" s="36"/>
      <c r="N2359" s="36"/>
      <c r="O2359" s="129"/>
      <c r="P2359" s="37"/>
      <c r="Q2359" s="36"/>
      <c r="R2359" s="36"/>
      <c r="S2359" s="36"/>
      <c r="T2359" s="28" t="s">
        <v>11733</v>
      </c>
      <c r="U2359" s="38" t="s">
        <v>61</v>
      </c>
      <c r="V2359" s="30"/>
      <c r="W2359" s="49"/>
      <c r="X2359" s="49"/>
      <c r="Y2359" s="35"/>
      <c r="Z2359" s="35"/>
      <c r="AA2359" s="35"/>
      <c r="AB2359" s="35"/>
      <c r="AC2359" s="35"/>
      <c r="AD2359" s="35"/>
      <c r="AE2359" s="35"/>
      <c r="AF2359" s="35"/>
      <c r="AG2359" s="35"/>
      <c r="AH2359" s="35"/>
      <c r="AI2359" s="35"/>
      <c r="AJ2359" s="35"/>
      <c r="AK2359" s="35"/>
      <c r="AL2359" s="35"/>
    </row>
    <row r="2360">
      <c r="A2360" s="1"/>
      <c r="B2360" s="19" t="s">
        <v>11717</v>
      </c>
      <c r="C2360" s="158" t="s">
        <v>11727</v>
      </c>
      <c r="D2360" s="159"/>
      <c r="E2360" s="22" t="s">
        <v>2316</v>
      </c>
      <c r="F2360" s="22" t="s">
        <v>1173</v>
      </c>
      <c r="G2360" s="23">
        <v>2009.0</v>
      </c>
      <c r="H2360" s="22" t="s">
        <v>6154</v>
      </c>
      <c r="I2360" s="24" t="s">
        <v>11734</v>
      </c>
      <c r="J2360" s="22" t="s">
        <v>31</v>
      </c>
      <c r="K2360" s="22"/>
      <c r="L2360" s="36"/>
      <c r="M2360" s="36"/>
      <c r="N2360" s="36"/>
      <c r="O2360" s="129"/>
      <c r="P2360" s="37"/>
      <c r="Q2360" s="36"/>
      <c r="R2360" s="36"/>
      <c r="S2360" s="36"/>
      <c r="T2360" s="28" t="s">
        <v>11735</v>
      </c>
      <c r="U2360" s="38" t="str">
        <f>HYPERLINK("https://www.ncbi.nlm.nih.gov/pubmed/18930064","PubMed")</f>
        <v>PubMed</v>
      </c>
      <c r="V2360" s="30"/>
      <c r="W2360" s="49"/>
      <c r="X2360" s="49"/>
      <c r="Y2360" s="35"/>
      <c r="Z2360" s="35"/>
      <c r="AA2360" s="35"/>
      <c r="AB2360" s="35"/>
      <c r="AC2360" s="35"/>
      <c r="AD2360" s="35"/>
      <c r="AE2360" s="35"/>
      <c r="AF2360" s="35"/>
      <c r="AG2360" s="35"/>
      <c r="AH2360" s="35"/>
      <c r="AI2360" s="35"/>
      <c r="AJ2360" s="35"/>
      <c r="AK2360" s="35"/>
      <c r="AL2360" s="35"/>
    </row>
    <row r="2361">
      <c r="A2361" s="1"/>
      <c r="B2361" s="19" t="s">
        <v>11717</v>
      </c>
      <c r="C2361" s="158" t="s">
        <v>11736</v>
      </c>
      <c r="D2361" s="159"/>
      <c r="E2361" s="22" t="s">
        <v>1921</v>
      </c>
      <c r="F2361" s="22" t="s">
        <v>5227</v>
      </c>
      <c r="G2361" s="23">
        <v>1997.0</v>
      </c>
      <c r="H2361" s="22" t="s">
        <v>53</v>
      </c>
      <c r="I2361" s="24" t="s">
        <v>11737</v>
      </c>
      <c r="J2361" s="22" t="s">
        <v>9004</v>
      </c>
      <c r="K2361" s="22"/>
      <c r="L2361" s="36">
        <v>660.0</v>
      </c>
      <c r="M2361" s="36"/>
      <c r="N2361" s="36"/>
      <c r="O2361" s="129"/>
      <c r="P2361" s="37" t="s">
        <v>11738</v>
      </c>
      <c r="Q2361" s="36"/>
      <c r="R2361" s="36"/>
      <c r="S2361" s="36"/>
      <c r="T2361" s="28" t="s">
        <v>11739</v>
      </c>
      <c r="U2361" s="38" t="str">
        <f>HYPERLINK("https://www.ncbi.nlm.nih.gov/pubmed/9138262","PubMed")</f>
        <v>PubMed</v>
      </c>
      <c r="V2361" s="30"/>
      <c r="W2361" s="49"/>
      <c r="X2361" s="49"/>
      <c r="Y2361" s="35"/>
      <c r="Z2361" s="35"/>
      <c r="AA2361" s="35"/>
      <c r="AB2361" s="35"/>
      <c r="AC2361" s="35"/>
      <c r="AD2361" s="35"/>
      <c r="AE2361" s="35"/>
      <c r="AF2361" s="35"/>
      <c r="AG2361" s="35"/>
      <c r="AH2361" s="35"/>
      <c r="AI2361" s="35"/>
      <c r="AJ2361" s="35"/>
      <c r="AK2361" s="35"/>
      <c r="AL2361" s="35"/>
    </row>
    <row r="2362">
      <c r="A2362" s="1"/>
      <c r="B2362" s="19" t="s">
        <v>11717</v>
      </c>
      <c r="C2362" s="158" t="s">
        <v>11740</v>
      </c>
      <c r="D2362" s="159"/>
      <c r="E2362" s="22" t="s">
        <v>11741</v>
      </c>
      <c r="F2362" s="22" t="s">
        <v>1603</v>
      </c>
      <c r="G2362" s="23">
        <v>2012.0</v>
      </c>
      <c r="H2362" s="22" t="s">
        <v>11742</v>
      </c>
      <c r="I2362" s="24" t="s">
        <v>11743</v>
      </c>
      <c r="J2362" s="22" t="s">
        <v>31</v>
      </c>
      <c r="K2362" s="22" t="s">
        <v>11744</v>
      </c>
      <c r="L2362" s="36" t="s">
        <v>11745</v>
      </c>
      <c r="M2362" s="36"/>
      <c r="N2362" s="36"/>
      <c r="O2362" s="129"/>
      <c r="P2362" s="37" t="s">
        <v>11746</v>
      </c>
      <c r="Q2362" s="36"/>
      <c r="R2362" s="36"/>
      <c r="S2362" s="36"/>
      <c r="T2362" s="28" t="s">
        <v>11747</v>
      </c>
      <c r="U2362" s="38" t="str">
        <f>HYPERLINK("https://www.ncbi.nlm.nih.gov/pubmed/22381453","PubMed")</f>
        <v>PubMed</v>
      </c>
      <c r="V2362" s="30"/>
      <c r="W2362" s="49"/>
      <c r="X2362" s="49"/>
      <c r="Y2362" s="35"/>
      <c r="Z2362" s="35"/>
      <c r="AA2362" s="35"/>
      <c r="AB2362" s="35"/>
      <c r="AC2362" s="35"/>
      <c r="AD2362" s="35"/>
      <c r="AE2362" s="35"/>
      <c r="AF2362" s="35"/>
      <c r="AG2362" s="35"/>
      <c r="AH2362" s="35"/>
      <c r="AI2362" s="35"/>
      <c r="AJ2362" s="35"/>
      <c r="AK2362" s="35"/>
      <c r="AL2362" s="35"/>
    </row>
    <row r="2363">
      <c r="A2363" s="1"/>
      <c r="B2363" s="19" t="s">
        <v>11717</v>
      </c>
      <c r="C2363" s="158" t="s">
        <v>11740</v>
      </c>
      <c r="D2363" s="159"/>
      <c r="E2363" s="22" t="s">
        <v>11741</v>
      </c>
      <c r="F2363" s="22" t="s">
        <v>1603</v>
      </c>
      <c r="G2363" s="23">
        <v>2012.0</v>
      </c>
      <c r="H2363" s="22" t="s">
        <v>53</v>
      </c>
      <c r="I2363" s="24" t="s">
        <v>11748</v>
      </c>
      <c r="J2363" s="22" t="s">
        <v>31</v>
      </c>
      <c r="K2363" s="22"/>
      <c r="L2363" s="36">
        <v>680.0</v>
      </c>
      <c r="M2363" s="36"/>
      <c r="N2363" s="36"/>
      <c r="O2363" s="129"/>
      <c r="P2363" s="37"/>
      <c r="Q2363" s="36"/>
      <c r="R2363" s="36"/>
      <c r="S2363" s="36"/>
      <c r="T2363" s="28" t="s">
        <v>11749</v>
      </c>
      <c r="U2363" s="38" t="str">
        <f>HYPERLINK("https://www.ncbi.nlm.nih.gov/pubmed/23007916","PubMed")</f>
        <v>PubMed</v>
      </c>
      <c r="V2363" s="30"/>
      <c r="W2363" s="49"/>
      <c r="X2363" s="49"/>
      <c r="Y2363" s="35"/>
      <c r="Z2363" s="35"/>
      <c r="AA2363" s="35"/>
      <c r="AB2363" s="35"/>
      <c r="AC2363" s="35"/>
      <c r="AD2363" s="35"/>
      <c r="AE2363" s="35"/>
      <c r="AF2363" s="35"/>
      <c r="AG2363" s="35"/>
      <c r="AH2363" s="35"/>
      <c r="AI2363" s="35"/>
      <c r="AJ2363" s="35"/>
      <c r="AK2363" s="35"/>
      <c r="AL2363" s="35"/>
    </row>
    <row r="2364">
      <c r="A2364" s="1"/>
      <c r="B2364" s="19" t="s">
        <v>11717</v>
      </c>
      <c r="C2364" s="158" t="s">
        <v>11750</v>
      </c>
      <c r="D2364" s="159"/>
      <c r="E2364" s="22" t="s">
        <v>11751</v>
      </c>
      <c r="F2364" s="22" t="s">
        <v>2407</v>
      </c>
      <c r="G2364" s="23">
        <v>2022.0</v>
      </c>
      <c r="H2364" s="22" t="s">
        <v>53</v>
      </c>
      <c r="I2364" s="24" t="s">
        <v>11752</v>
      </c>
      <c r="J2364" s="22" t="s">
        <v>3694</v>
      </c>
      <c r="K2364" s="22"/>
      <c r="L2364" s="36"/>
      <c r="M2364" s="36"/>
      <c r="N2364" s="36"/>
      <c r="O2364" s="129"/>
      <c r="P2364" s="37"/>
      <c r="Q2364" s="36"/>
      <c r="R2364" s="36"/>
      <c r="S2364" s="36"/>
      <c r="T2364" s="28" t="s">
        <v>11753</v>
      </c>
      <c r="U2364" s="38" t="s">
        <v>61</v>
      </c>
      <c r="V2364" s="30"/>
      <c r="W2364" s="49"/>
      <c r="X2364" s="49"/>
      <c r="Y2364" s="35"/>
      <c r="Z2364" s="35"/>
      <c r="AA2364" s="35"/>
      <c r="AB2364" s="35"/>
      <c r="AC2364" s="35"/>
      <c r="AD2364" s="35"/>
      <c r="AE2364" s="35"/>
      <c r="AF2364" s="35"/>
      <c r="AG2364" s="35"/>
      <c r="AH2364" s="35"/>
      <c r="AI2364" s="35"/>
      <c r="AJ2364" s="35"/>
      <c r="AK2364" s="35"/>
      <c r="AL2364" s="35"/>
    </row>
    <row r="2365">
      <c r="A2365" s="1"/>
      <c r="B2365" s="19" t="s">
        <v>11717</v>
      </c>
      <c r="C2365" s="158" t="s">
        <v>11750</v>
      </c>
      <c r="D2365" s="159"/>
      <c r="E2365" s="22" t="s">
        <v>11754</v>
      </c>
      <c r="F2365" s="22" t="s">
        <v>2407</v>
      </c>
      <c r="G2365" s="23">
        <v>2019.0</v>
      </c>
      <c r="H2365" s="22" t="s">
        <v>6832</v>
      </c>
      <c r="I2365" s="24" t="s">
        <v>11755</v>
      </c>
      <c r="J2365" s="22" t="s">
        <v>55</v>
      </c>
      <c r="K2365" s="22"/>
      <c r="L2365" s="36" t="s">
        <v>11756</v>
      </c>
      <c r="M2365" s="36"/>
      <c r="N2365" s="36"/>
      <c r="O2365" s="129"/>
      <c r="P2365" s="37"/>
      <c r="Q2365" s="36"/>
      <c r="R2365" s="36"/>
      <c r="S2365" s="36"/>
      <c r="T2365" s="28" t="s">
        <v>11757</v>
      </c>
      <c r="U2365" s="38" t="s">
        <v>61</v>
      </c>
      <c r="V2365" s="30"/>
      <c r="W2365" s="49"/>
      <c r="X2365" s="49"/>
      <c r="Y2365" s="35"/>
      <c r="Z2365" s="35"/>
      <c r="AA2365" s="35"/>
      <c r="AB2365" s="35"/>
      <c r="AC2365" s="35"/>
      <c r="AD2365" s="35"/>
      <c r="AE2365" s="35"/>
      <c r="AF2365" s="35"/>
      <c r="AG2365" s="35"/>
      <c r="AH2365" s="35"/>
      <c r="AI2365" s="35"/>
      <c r="AJ2365" s="35"/>
      <c r="AK2365" s="35"/>
      <c r="AL2365" s="35"/>
    </row>
    <row r="2366">
      <c r="A2366" s="1"/>
      <c r="B2366" s="19" t="s">
        <v>11717</v>
      </c>
      <c r="C2366" s="158" t="s">
        <v>73</v>
      </c>
      <c r="D2366" s="159"/>
      <c r="E2366" s="22" t="s">
        <v>11758</v>
      </c>
      <c r="F2366" s="22" t="s">
        <v>1173</v>
      </c>
      <c r="G2366" s="23">
        <v>1999.0</v>
      </c>
      <c r="H2366" s="22" t="s">
        <v>11759</v>
      </c>
      <c r="I2366" s="24" t="s">
        <v>11760</v>
      </c>
      <c r="J2366" s="22" t="s">
        <v>31</v>
      </c>
      <c r="K2366" s="22" t="s">
        <v>1112</v>
      </c>
      <c r="L2366" s="36">
        <v>633.0</v>
      </c>
      <c r="M2366" s="36"/>
      <c r="N2366" s="36"/>
      <c r="O2366" s="129"/>
      <c r="P2366" s="37"/>
      <c r="Q2366" s="36"/>
      <c r="R2366" s="36"/>
      <c r="S2366" s="36"/>
      <c r="T2366" s="28" t="s">
        <v>11761</v>
      </c>
      <c r="U2366" s="38" t="str">
        <f>HYPERLINK("https://www.ncbi.nlm.nih.gov/pubmed/11272371","PubMed")</f>
        <v>PubMed</v>
      </c>
      <c r="V2366" s="30"/>
      <c r="W2366" s="49"/>
      <c r="X2366" s="49"/>
      <c r="Y2366" s="35"/>
      <c r="Z2366" s="35"/>
      <c r="AA2366" s="35"/>
      <c r="AB2366" s="35"/>
      <c r="AC2366" s="35"/>
      <c r="AD2366" s="35"/>
      <c r="AE2366" s="35"/>
      <c r="AF2366" s="35"/>
      <c r="AG2366" s="35"/>
      <c r="AH2366" s="35"/>
      <c r="AI2366" s="35"/>
      <c r="AJ2366" s="35"/>
      <c r="AK2366" s="35"/>
      <c r="AL2366" s="35"/>
    </row>
    <row r="2367">
      <c r="A2367" s="1"/>
      <c r="B2367" s="19" t="s">
        <v>11717</v>
      </c>
      <c r="C2367" s="158" t="s">
        <v>11762</v>
      </c>
      <c r="D2367" s="159"/>
      <c r="E2367" s="22" t="s">
        <v>2167</v>
      </c>
      <c r="F2367" s="22" t="s">
        <v>323</v>
      </c>
      <c r="G2367" s="23">
        <v>2024.0</v>
      </c>
      <c r="H2367" s="22" t="s">
        <v>1485</v>
      </c>
      <c r="I2367" s="24" t="s">
        <v>11763</v>
      </c>
      <c r="J2367" s="22" t="s">
        <v>10915</v>
      </c>
      <c r="K2367" s="22"/>
      <c r="L2367" s="36" t="s">
        <v>11764</v>
      </c>
      <c r="M2367" s="36"/>
      <c r="N2367" s="36"/>
      <c r="O2367" s="129"/>
      <c r="P2367" s="37"/>
      <c r="Q2367" s="36"/>
      <c r="R2367" s="36"/>
      <c r="S2367" s="36">
        <v>15.0</v>
      </c>
      <c r="T2367" s="42" t="s">
        <v>11765</v>
      </c>
      <c r="U2367" s="38" t="s">
        <v>61</v>
      </c>
      <c r="V2367" s="30"/>
      <c r="W2367" s="49"/>
      <c r="X2367" s="49"/>
      <c r="Y2367" s="35"/>
      <c r="Z2367" s="35"/>
      <c r="AA2367" s="35"/>
      <c r="AB2367" s="35"/>
      <c r="AC2367" s="35"/>
      <c r="AD2367" s="35"/>
      <c r="AE2367" s="35"/>
      <c r="AF2367" s="35"/>
      <c r="AG2367" s="35"/>
      <c r="AH2367" s="35"/>
      <c r="AI2367" s="35"/>
      <c r="AJ2367" s="35"/>
      <c r="AK2367" s="35"/>
      <c r="AL2367" s="35"/>
    </row>
    <row r="2368">
      <c r="A2368" s="1"/>
      <c r="B2368" s="19" t="s">
        <v>11717</v>
      </c>
      <c r="C2368" s="158" t="s">
        <v>11762</v>
      </c>
      <c r="D2368" s="159"/>
      <c r="E2368" s="22" t="s">
        <v>11766</v>
      </c>
      <c r="F2368" s="22" t="s">
        <v>1943</v>
      </c>
      <c r="G2368" s="23">
        <v>2023.0</v>
      </c>
      <c r="H2368" s="22" t="s">
        <v>11767</v>
      </c>
      <c r="I2368" s="24" t="s">
        <v>11768</v>
      </c>
      <c r="J2368" s="22" t="s">
        <v>11769</v>
      </c>
      <c r="K2368" s="22" t="s">
        <v>2686</v>
      </c>
      <c r="L2368" s="36">
        <v>905.0</v>
      </c>
      <c r="M2368" s="36" t="s">
        <v>11770</v>
      </c>
      <c r="N2368" s="36"/>
      <c r="O2368" s="129"/>
      <c r="P2368" s="37" t="s">
        <v>11771</v>
      </c>
      <c r="Q2368" s="36" t="s">
        <v>4833</v>
      </c>
      <c r="R2368" s="36"/>
      <c r="S2368" s="36" t="s">
        <v>1514</v>
      </c>
      <c r="T2368" s="28" t="s">
        <v>11772</v>
      </c>
      <c r="U2368" s="38" t="s">
        <v>61</v>
      </c>
      <c r="V2368" s="30"/>
      <c r="W2368" s="49"/>
      <c r="X2368" s="49"/>
      <c r="Y2368" s="35"/>
      <c r="Z2368" s="35"/>
      <c r="AA2368" s="35"/>
      <c r="AB2368" s="35"/>
      <c r="AC2368" s="35"/>
      <c r="AD2368" s="35"/>
      <c r="AE2368" s="35"/>
      <c r="AF2368" s="35"/>
      <c r="AG2368" s="35"/>
      <c r="AH2368" s="35"/>
      <c r="AI2368" s="35"/>
      <c r="AJ2368" s="35"/>
      <c r="AK2368" s="35"/>
      <c r="AL2368" s="35"/>
    </row>
    <row r="2369">
      <c r="A2369" s="1"/>
      <c r="B2369" s="19" t="s">
        <v>11717</v>
      </c>
      <c r="C2369" s="158" t="s">
        <v>11762</v>
      </c>
      <c r="D2369" s="159"/>
      <c r="E2369" s="22" t="s">
        <v>2316</v>
      </c>
      <c r="F2369" s="22" t="s">
        <v>5416</v>
      </c>
      <c r="G2369" s="23">
        <v>2021.0</v>
      </c>
      <c r="H2369" s="22" t="s">
        <v>11773</v>
      </c>
      <c r="I2369" s="24" t="s">
        <v>11774</v>
      </c>
      <c r="J2369" s="22" t="s">
        <v>44</v>
      </c>
      <c r="K2369" s="22" t="s">
        <v>157</v>
      </c>
      <c r="L2369" s="36">
        <v>630.0</v>
      </c>
      <c r="M2369" s="36"/>
      <c r="N2369" s="36" t="s">
        <v>11775</v>
      </c>
      <c r="O2369" s="129"/>
      <c r="P2369" s="37"/>
      <c r="Q2369" s="36"/>
      <c r="R2369" s="36">
        <v>600.0</v>
      </c>
      <c r="S2369" s="36"/>
      <c r="T2369" s="28" t="s">
        <v>11776</v>
      </c>
      <c r="U2369" s="29" t="s">
        <v>61</v>
      </c>
      <c r="V2369" s="30"/>
      <c r="W2369" s="49"/>
      <c r="X2369" s="49"/>
      <c r="Y2369" s="35"/>
      <c r="Z2369" s="35"/>
      <c r="AA2369" s="35"/>
      <c r="AB2369" s="35"/>
      <c r="AC2369" s="35"/>
      <c r="AD2369" s="35"/>
      <c r="AE2369" s="35"/>
      <c r="AF2369" s="35"/>
      <c r="AG2369" s="35"/>
      <c r="AH2369" s="35"/>
      <c r="AI2369" s="35"/>
      <c r="AJ2369" s="35"/>
      <c r="AK2369" s="35"/>
      <c r="AL2369" s="35"/>
    </row>
    <row r="2370">
      <c r="A2370" s="278"/>
      <c r="B2370" s="19" t="s">
        <v>11717</v>
      </c>
      <c r="C2370" s="158" t="s">
        <v>11762</v>
      </c>
      <c r="D2370" s="159"/>
      <c r="E2370" s="22" t="s">
        <v>11777</v>
      </c>
      <c r="F2370" s="22" t="s">
        <v>797</v>
      </c>
      <c r="G2370" s="23">
        <v>2020.0</v>
      </c>
      <c r="H2370" s="22" t="s">
        <v>11778</v>
      </c>
      <c r="I2370" s="24" t="s">
        <v>11779</v>
      </c>
      <c r="J2370" s="22" t="s">
        <v>55</v>
      </c>
      <c r="K2370" s="22"/>
      <c r="L2370" s="36">
        <v>850.0</v>
      </c>
      <c r="M2370" s="36">
        <v>50.0</v>
      </c>
      <c r="N2370" s="36"/>
      <c r="O2370" s="36" t="s">
        <v>11780</v>
      </c>
      <c r="P2370" s="37" t="s">
        <v>5401</v>
      </c>
      <c r="Q2370" s="36" t="s">
        <v>9358</v>
      </c>
      <c r="R2370" s="36" t="s">
        <v>11781</v>
      </c>
      <c r="S2370" s="36" t="s">
        <v>11782</v>
      </c>
      <c r="T2370" s="41" t="s">
        <v>11783</v>
      </c>
      <c r="U2370" s="29" t="s">
        <v>61</v>
      </c>
      <c r="V2370" s="30"/>
      <c r="W2370" s="49"/>
      <c r="X2370" s="49"/>
      <c r="Y2370" s="35"/>
      <c r="Z2370" s="35"/>
      <c r="AA2370" s="35"/>
      <c r="AB2370" s="35"/>
      <c r="AC2370" s="35"/>
      <c r="AD2370" s="35"/>
      <c r="AE2370" s="35"/>
      <c r="AF2370" s="35"/>
      <c r="AG2370" s="35"/>
      <c r="AH2370" s="35"/>
      <c r="AI2370" s="35"/>
      <c r="AJ2370" s="35"/>
      <c r="AK2370" s="35"/>
      <c r="AL2370" s="35"/>
    </row>
    <row r="2371">
      <c r="A2371" s="278" t="s">
        <v>38</v>
      </c>
      <c r="B2371" s="19" t="s">
        <v>11717</v>
      </c>
      <c r="C2371" s="158" t="s">
        <v>11762</v>
      </c>
      <c r="D2371" s="159"/>
      <c r="E2371" s="22" t="s">
        <v>11784</v>
      </c>
      <c r="F2371" s="22" t="s">
        <v>41</v>
      </c>
      <c r="G2371" s="23">
        <v>2019.0</v>
      </c>
      <c r="H2371" s="22" t="s">
        <v>2181</v>
      </c>
      <c r="I2371" s="24" t="s">
        <v>11785</v>
      </c>
      <c r="J2371" s="22" t="s">
        <v>55</v>
      </c>
      <c r="K2371" s="22" t="s">
        <v>11786</v>
      </c>
      <c r="L2371" s="36">
        <v>830.0</v>
      </c>
      <c r="M2371" s="36">
        <v>100.0</v>
      </c>
      <c r="N2371" s="36"/>
      <c r="O2371" s="36">
        <v>20.0</v>
      </c>
      <c r="P2371" s="37" t="s">
        <v>11787</v>
      </c>
      <c r="Q2371" s="36" t="s">
        <v>280</v>
      </c>
      <c r="R2371" s="36" t="s">
        <v>11788</v>
      </c>
      <c r="S2371" s="36"/>
      <c r="T2371" s="28" t="s">
        <v>11789</v>
      </c>
      <c r="U2371" s="38" t="str">
        <f>HYPERLINK("https://www.ncbi.nlm.nih.gov/pubmed/31263132","PubMed")</f>
        <v>PubMed</v>
      </c>
      <c r="V2371" s="30"/>
      <c r="W2371" s="49"/>
      <c r="X2371" s="49"/>
      <c r="Y2371" s="35"/>
      <c r="Z2371" s="35"/>
      <c r="AA2371" s="35"/>
      <c r="AB2371" s="35"/>
      <c r="AC2371" s="35"/>
      <c r="AD2371" s="35"/>
      <c r="AE2371" s="35"/>
      <c r="AF2371" s="35"/>
      <c r="AG2371" s="35"/>
      <c r="AH2371" s="35"/>
      <c r="AI2371" s="35"/>
      <c r="AJ2371" s="35"/>
      <c r="AK2371" s="35"/>
      <c r="AL2371" s="35"/>
    </row>
    <row r="2372">
      <c r="A2372" s="1"/>
      <c r="B2372" s="19" t="s">
        <v>11717</v>
      </c>
      <c r="C2372" s="158" t="s">
        <v>11762</v>
      </c>
      <c r="D2372" s="159"/>
      <c r="E2372" s="22" t="s">
        <v>11790</v>
      </c>
      <c r="F2372" s="22" t="s">
        <v>797</v>
      </c>
      <c r="G2372" s="23">
        <v>2018.0</v>
      </c>
      <c r="H2372" s="22" t="s">
        <v>91</v>
      </c>
      <c r="I2372" s="24" t="s">
        <v>11791</v>
      </c>
      <c r="J2372" s="22" t="s">
        <v>11792</v>
      </c>
      <c r="K2372" s="22" t="s">
        <v>11793</v>
      </c>
      <c r="L2372" s="36">
        <v>850.0</v>
      </c>
      <c r="M2372" s="36" t="s">
        <v>11794</v>
      </c>
      <c r="N2372" s="36"/>
      <c r="O2372" s="36" t="s">
        <v>11795</v>
      </c>
      <c r="P2372" s="37"/>
      <c r="Q2372" s="36"/>
      <c r="R2372" s="36"/>
      <c r="S2372" s="36" t="s">
        <v>11701</v>
      </c>
      <c r="T2372" s="41" t="s">
        <v>11796</v>
      </c>
      <c r="U2372" s="38" t="str">
        <f>HYPERLINK("https://www.ncbi.nlm.nih.gov/pubmed/30264179","PubMed")</f>
        <v>PubMed</v>
      </c>
      <c r="V2372" s="30" t="s">
        <v>11797</v>
      </c>
      <c r="W2372" s="49"/>
      <c r="X2372" s="49"/>
      <c r="Y2372" s="35"/>
      <c r="Z2372" s="35"/>
      <c r="AA2372" s="35"/>
      <c r="AB2372" s="35"/>
      <c r="AC2372" s="35"/>
      <c r="AD2372" s="35"/>
      <c r="AE2372" s="35"/>
      <c r="AF2372" s="35"/>
      <c r="AG2372" s="35"/>
      <c r="AH2372" s="35"/>
      <c r="AI2372" s="35"/>
      <c r="AJ2372" s="35"/>
      <c r="AK2372" s="35"/>
      <c r="AL2372" s="35"/>
    </row>
    <row r="2373">
      <c r="A2373" s="1" t="s">
        <v>2983</v>
      </c>
      <c r="B2373" s="19" t="s">
        <v>11717</v>
      </c>
      <c r="C2373" s="158" t="s">
        <v>11762</v>
      </c>
      <c r="D2373" s="159"/>
      <c r="E2373" s="22" t="s">
        <v>11798</v>
      </c>
      <c r="F2373" s="22" t="s">
        <v>797</v>
      </c>
      <c r="G2373" s="23" t="s">
        <v>11799</v>
      </c>
      <c r="H2373" s="22" t="s">
        <v>91</v>
      </c>
      <c r="I2373" s="24" t="s">
        <v>11800</v>
      </c>
      <c r="J2373" s="22" t="s">
        <v>55</v>
      </c>
      <c r="K2373" s="22"/>
      <c r="L2373" s="36">
        <v>850.0</v>
      </c>
      <c r="M2373" s="36">
        <v>300.0</v>
      </c>
      <c r="N2373" s="36" t="s">
        <v>11801</v>
      </c>
      <c r="O2373" s="129">
        <v>42590.0</v>
      </c>
      <c r="P2373" s="37" t="s">
        <v>11802</v>
      </c>
      <c r="Q2373" s="36" t="s">
        <v>11803</v>
      </c>
      <c r="R2373" s="36">
        <v>29.0</v>
      </c>
      <c r="S2373" s="36">
        <v>32.0</v>
      </c>
      <c r="T2373" s="42" t="s">
        <v>11804</v>
      </c>
      <c r="U2373" s="38" t="str">
        <f>HYPERLINK("https://www.ncbi.nlm.nih.gov/pubmed/27858257","PubMed")</f>
        <v>PubMed</v>
      </c>
      <c r="V2373" s="30"/>
      <c r="W2373" s="49"/>
      <c r="X2373" s="49"/>
      <c r="Y2373" s="35"/>
      <c r="Z2373" s="35"/>
      <c r="AA2373" s="35"/>
      <c r="AB2373" s="35"/>
      <c r="AC2373" s="35"/>
      <c r="AD2373" s="35"/>
      <c r="AE2373" s="35"/>
      <c r="AF2373" s="35"/>
      <c r="AG2373" s="35"/>
      <c r="AH2373" s="35"/>
      <c r="AI2373" s="35"/>
      <c r="AJ2373" s="35"/>
      <c r="AK2373" s="35"/>
      <c r="AL2373" s="35"/>
    </row>
    <row r="2374">
      <c r="A2374" s="1"/>
      <c r="B2374" s="19" t="s">
        <v>11717</v>
      </c>
      <c r="C2374" s="158" t="s">
        <v>11762</v>
      </c>
      <c r="D2374" s="159"/>
      <c r="E2374" s="22" t="s">
        <v>11805</v>
      </c>
      <c r="F2374" s="22" t="s">
        <v>400</v>
      </c>
      <c r="G2374" s="23">
        <v>2016.0</v>
      </c>
      <c r="H2374" s="22" t="s">
        <v>91</v>
      </c>
      <c r="I2374" s="24" t="s">
        <v>11806</v>
      </c>
      <c r="J2374" s="22" t="s">
        <v>11807</v>
      </c>
      <c r="K2374" s="22" t="s">
        <v>11762</v>
      </c>
      <c r="L2374" s="36">
        <v>808.0</v>
      </c>
      <c r="M2374" s="36">
        <v>100.0</v>
      </c>
      <c r="N2374" s="36"/>
      <c r="O2374" s="36" t="s">
        <v>11808</v>
      </c>
      <c r="P2374" s="37" t="s">
        <v>11771</v>
      </c>
      <c r="Q2374" s="36"/>
      <c r="R2374" s="36">
        <v>280.0</v>
      </c>
      <c r="S2374" s="36">
        <v>1.0</v>
      </c>
      <c r="T2374" s="42" t="s">
        <v>11809</v>
      </c>
      <c r="U2374" s="38" t="str">
        <f>HYPERLINK("http://www.ncbi.nlm.nih.gov/pubmed/27250713","PubMed")</f>
        <v>PubMed</v>
      </c>
      <c r="V2374" s="30" t="s">
        <v>11810</v>
      </c>
      <c r="W2374" s="49"/>
      <c r="X2374" s="49"/>
      <c r="Y2374" s="35"/>
      <c r="Z2374" s="35"/>
      <c r="AA2374" s="35"/>
      <c r="AB2374" s="35"/>
      <c r="AC2374" s="35"/>
      <c r="AD2374" s="35"/>
      <c r="AE2374" s="35"/>
      <c r="AF2374" s="35"/>
      <c r="AG2374" s="35"/>
      <c r="AH2374" s="35"/>
      <c r="AI2374" s="35"/>
      <c r="AJ2374" s="35"/>
      <c r="AK2374" s="35"/>
      <c r="AL2374" s="35"/>
    </row>
    <row r="2375">
      <c r="A2375" s="1"/>
      <c r="B2375" s="19" t="s">
        <v>11717</v>
      </c>
      <c r="C2375" s="158" t="s">
        <v>11762</v>
      </c>
      <c r="D2375" s="159"/>
      <c r="E2375" s="22" t="s">
        <v>11777</v>
      </c>
      <c r="F2375" s="22" t="s">
        <v>797</v>
      </c>
      <c r="G2375" s="23">
        <v>2016.0</v>
      </c>
      <c r="H2375" s="22" t="s">
        <v>91</v>
      </c>
      <c r="I2375" s="24" t="s">
        <v>11811</v>
      </c>
      <c r="J2375" s="22" t="s">
        <v>55</v>
      </c>
      <c r="K2375" s="22" t="s">
        <v>157</v>
      </c>
      <c r="L2375" s="36">
        <v>850.0</v>
      </c>
      <c r="M2375" s="36">
        <v>50.0</v>
      </c>
      <c r="N2375" s="36" t="s">
        <v>93</v>
      </c>
      <c r="O2375" s="36">
        <v>6.0</v>
      </c>
      <c r="P2375" s="37" t="s">
        <v>5401</v>
      </c>
      <c r="Q2375" s="36" t="s">
        <v>9358</v>
      </c>
      <c r="R2375" s="36" t="s">
        <v>420</v>
      </c>
      <c r="S2375" s="36">
        <v>40.0</v>
      </c>
      <c r="T2375" s="42" t="s">
        <v>11812</v>
      </c>
      <c r="U2375" s="38" t="str">
        <f>HYPERLINK("https://www.ncbi.nlm.nih.gov/pubmed/27059227","PubMed")</f>
        <v>PubMed</v>
      </c>
      <c r="V2375" s="30"/>
      <c r="W2375" s="49"/>
      <c r="X2375" s="49"/>
      <c r="Y2375" s="35"/>
      <c r="Z2375" s="35"/>
      <c r="AA2375" s="35"/>
      <c r="AB2375" s="35"/>
      <c r="AC2375" s="35"/>
      <c r="AD2375" s="35"/>
      <c r="AE2375" s="35"/>
      <c r="AF2375" s="35"/>
      <c r="AG2375" s="35"/>
      <c r="AH2375" s="35"/>
      <c r="AI2375" s="35"/>
      <c r="AJ2375" s="35"/>
      <c r="AK2375" s="35"/>
      <c r="AL2375" s="35"/>
    </row>
    <row r="2376">
      <c r="A2376" s="89"/>
      <c r="B2376" s="157" t="s">
        <v>11661</v>
      </c>
      <c r="C2376" s="158" t="s">
        <v>11762</v>
      </c>
      <c r="D2376" s="159"/>
      <c r="E2376" s="56" t="s">
        <v>11813</v>
      </c>
      <c r="F2376" s="22" t="s">
        <v>797</v>
      </c>
      <c r="G2376" s="57">
        <v>2014.0</v>
      </c>
      <c r="H2376" s="56" t="s">
        <v>91</v>
      </c>
      <c r="I2376" s="58" t="s">
        <v>11814</v>
      </c>
      <c r="J2376" s="22" t="s">
        <v>55</v>
      </c>
      <c r="K2376" s="22" t="s">
        <v>11815</v>
      </c>
      <c r="L2376" s="36">
        <v>660.0</v>
      </c>
      <c r="M2376" s="36">
        <v>20.0</v>
      </c>
      <c r="N2376" s="36" t="s">
        <v>11816</v>
      </c>
      <c r="O2376" s="36" t="s">
        <v>11817</v>
      </c>
      <c r="P2376" s="37" t="s">
        <v>5543</v>
      </c>
      <c r="Q2376" s="36" t="s">
        <v>11818</v>
      </c>
      <c r="R2376" s="36" t="s">
        <v>11819</v>
      </c>
      <c r="S2376" s="36">
        <v>10.0</v>
      </c>
      <c r="T2376" s="63" t="s">
        <v>11820</v>
      </c>
      <c r="U2376" s="161" t="str">
        <f>HYPERLINK("https://www.ncbi.nlm.nih.gov/pubmed/24906481","PubMed")</f>
        <v>PubMed</v>
      </c>
      <c r="V2376" s="50"/>
      <c r="W2376" s="156"/>
      <c r="X2376" s="156"/>
      <c r="Y2376" s="35"/>
      <c r="Z2376" s="35"/>
      <c r="AA2376" s="35"/>
      <c r="AB2376" s="35"/>
      <c r="AC2376" s="35"/>
      <c r="AD2376" s="35"/>
      <c r="AE2376" s="35"/>
      <c r="AF2376" s="35"/>
      <c r="AG2376" s="35"/>
      <c r="AH2376" s="35"/>
      <c r="AI2376" s="35"/>
      <c r="AJ2376" s="35"/>
      <c r="AK2376" s="35"/>
      <c r="AL2376" s="35"/>
    </row>
    <row r="2377">
      <c r="A2377" s="89"/>
      <c r="B2377" s="157" t="s">
        <v>11661</v>
      </c>
      <c r="C2377" s="158" t="s">
        <v>11762</v>
      </c>
      <c r="D2377" s="159"/>
      <c r="E2377" s="56" t="s">
        <v>11798</v>
      </c>
      <c r="F2377" s="22" t="s">
        <v>797</v>
      </c>
      <c r="G2377" s="57">
        <v>2013.0</v>
      </c>
      <c r="H2377" s="56" t="s">
        <v>91</v>
      </c>
      <c r="I2377" s="58" t="s">
        <v>11821</v>
      </c>
      <c r="J2377" s="22" t="s">
        <v>55</v>
      </c>
      <c r="K2377" s="22" t="s">
        <v>11762</v>
      </c>
      <c r="L2377" s="36">
        <v>660.0</v>
      </c>
      <c r="M2377" s="36">
        <v>20.0</v>
      </c>
      <c r="N2377" s="36" t="s">
        <v>11816</v>
      </c>
      <c r="O2377" s="36"/>
      <c r="P2377" s="37" t="s">
        <v>5543</v>
      </c>
      <c r="Q2377" s="36" t="s">
        <v>9307</v>
      </c>
      <c r="R2377" s="36" t="s">
        <v>11822</v>
      </c>
      <c r="S2377" s="36">
        <v>10.0</v>
      </c>
      <c r="T2377" s="63" t="s">
        <v>11823</v>
      </c>
      <c r="U2377" s="161" t="str">
        <f>HYPERLINK("https://www.ncbi.nlm.nih.gov/pubmed/22936461","PubMed")</f>
        <v>PubMed</v>
      </c>
      <c r="V2377" s="50"/>
      <c r="W2377" s="156"/>
      <c r="X2377" s="156"/>
      <c r="Y2377" s="35"/>
      <c r="Z2377" s="35"/>
      <c r="AA2377" s="35"/>
      <c r="AB2377" s="35"/>
      <c r="AC2377" s="35"/>
      <c r="AD2377" s="35"/>
      <c r="AE2377" s="35"/>
      <c r="AF2377" s="35"/>
      <c r="AG2377" s="35"/>
      <c r="AH2377" s="35"/>
      <c r="AI2377" s="35"/>
      <c r="AJ2377" s="35"/>
      <c r="AK2377" s="35"/>
      <c r="AL2377" s="35"/>
    </row>
    <row r="2378">
      <c r="A2378" s="89"/>
      <c r="B2378" s="157" t="s">
        <v>11717</v>
      </c>
      <c r="C2378" s="158" t="s">
        <v>11824</v>
      </c>
      <c r="D2378" s="159"/>
      <c r="E2378" s="56" t="s">
        <v>10106</v>
      </c>
      <c r="F2378" s="22" t="s">
        <v>224</v>
      </c>
      <c r="G2378" s="57">
        <v>2013.0</v>
      </c>
      <c r="H2378" s="56" t="s">
        <v>300</v>
      </c>
      <c r="I2378" s="58" t="s">
        <v>11825</v>
      </c>
      <c r="J2378" s="22" t="s">
        <v>55</v>
      </c>
      <c r="K2378" s="22" t="s">
        <v>11826</v>
      </c>
      <c r="L2378" s="36">
        <v>658.0</v>
      </c>
      <c r="M2378" s="36">
        <v>50.0</v>
      </c>
      <c r="N2378" s="36"/>
      <c r="O2378" s="36"/>
      <c r="P2378" s="37"/>
      <c r="Q2378" s="36"/>
      <c r="R2378" s="36"/>
      <c r="S2378" s="36"/>
      <c r="T2378" s="74" t="s">
        <v>11827</v>
      </c>
      <c r="U2378" s="64" t="s">
        <v>61</v>
      </c>
      <c r="V2378" s="50"/>
      <c r="W2378" s="156"/>
      <c r="X2378" s="156"/>
      <c r="Y2378" s="35"/>
      <c r="Z2378" s="35"/>
      <c r="AA2378" s="35"/>
      <c r="AB2378" s="35"/>
      <c r="AC2378" s="35"/>
      <c r="AD2378" s="35"/>
      <c r="AE2378" s="35"/>
      <c r="AF2378" s="35"/>
      <c r="AG2378" s="35"/>
      <c r="AH2378" s="35"/>
      <c r="AI2378" s="35"/>
      <c r="AJ2378" s="35"/>
      <c r="AK2378" s="35"/>
      <c r="AL2378" s="35"/>
    </row>
    <row r="2379">
      <c r="A2379" s="89"/>
      <c r="B2379" s="19" t="s">
        <v>11717</v>
      </c>
      <c r="C2379" s="158" t="s">
        <v>6175</v>
      </c>
      <c r="D2379" s="159"/>
      <c r="E2379" s="56" t="s">
        <v>11828</v>
      </c>
      <c r="F2379" s="22" t="s">
        <v>41</v>
      </c>
      <c r="G2379" s="57">
        <v>2024.0</v>
      </c>
      <c r="H2379" s="56" t="s">
        <v>4975</v>
      </c>
      <c r="I2379" s="58" t="s">
        <v>11829</v>
      </c>
      <c r="J2379" s="22" t="s">
        <v>55</v>
      </c>
      <c r="K2379" s="22" t="s">
        <v>1240</v>
      </c>
      <c r="L2379" s="36">
        <v>830.0</v>
      </c>
      <c r="M2379" s="36"/>
      <c r="N2379" s="36"/>
      <c r="O2379" s="36" t="s">
        <v>1731</v>
      </c>
      <c r="P2379" s="37"/>
      <c r="Q2379" s="36"/>
      <c r="R2379" s="36"/>
      <c r="S2379" s="36" t="s">
        <v>11830</v>
      </c>
      <c r="T2379" s="63" t="s">
        <v>11831</v>
      </c>
      <c r="U2379" s="60" t="s">
        <v>61</v>
      </c>
      <c r="V2379" s="50"/>
      <c r="W2379" s="156"/>
      <c r="X2379" s="156"/>
      <c r="Y2379" s="35"/>
      <c r="Z2379" s="35"/>
      <c r="AA2379" s="35"/>
      <c r="AB2379" s="35"/>
      <c r="AC2379" s="35"/>
      <c r="AD2379" s="35"/>
      <c r="AE2379" s="35"/>
      <c r="AF2379" s="35"/>
      <c r="AG2379" s="35"/>
      <c r="AH2379" s="35"/>
      <c r="AI2379" s="35"/>
      <c r="AJ2379" s="35"/>
      <c r="AK2379" s="35"/>
      <c r="AL2379" s="35"/>
    </row>
    <row r="2380">
      <c r="A2380" s="89"/>
      <c r="B2380" s="19" t="s">
        <v>11717</v>
      </c>
      <c r="C2380" s="158" t="s">
        <v>6175</v>
      </c>
      <c r="D2380" s="159"/>
      <c r="E2380" s="56" t="s">
        <v>2187</v>
      </c>
      <c r="F2380" s="22" t="s">
        <v>5416</v>
      </c>
      <c r="G2380" s="57">
        <v>2022.0</v>
      </c>
      <c r="H2380" s="56" t="s">
        <v>11832</v>
      </c>
      <c r="I2380" s="58" t="s">
        <v>11833</v>
      </c>
      <c r="J2380" s="22" t="s">
        <v>209</v>
      </c>
      <c r="K2380" s="22" t="s">
        <v>1684</v>
      </c>
      <c r="L2380" s="36" t="s">
        <v>11834</v>
      </c>
      <c r="M2380" s="36"/>
      <c r="N2380" s="36" t="s">
        <v>4128</v>
      </c>
      <c r="O2380" s="36"/>
      <c r="P2380" s="37"/>
      <c r="Q2380" s="36"/>
      <c r="R2380" s="36">
        <v>600.0</v>
      </c>
      <c r="S2380" s="36" t="s">
        <v>35</v>
      </c>
      <c r="T2380" s="63" t="s">
        <v>11835</v>
      </c>
      <c r="U2380" s="64" t="s">
        <v>61</v>
      </c>
      <c r="V2380" s="50"/>
      <c r="W2380" s="156"/>
      <c r="X2380" s="156"/>
      <c r="Y2380" s="35"/>
      <c r="Z2380" s="35"/>
      <c r="AA2380" s="35"/>
      <c r="AB2380" s="35"/>
      <c r="AC2380" s="35"/>
      <c r="AD2380" s="35"/>
      <c r="AE2380" s="35"/>
      <c r="AF2380" s="35"/>
      <c r="AG2380" s="35"/>
      <c r="AH2380" s="35"/>
      <c r="AI2380" s="35"/>
      <c r="AJ2380" s="35"/>
      <c r="AK2380" s="35"/>
      <c r="AL2380" s="35"/>
    </row>
    <row r="2381">
      <c r="A2381" s="89"/>
      <c r="B2381" s="19" t="s">
        <v>11717</v>
      </c>
      <c r="C2381" s="158" t="s">
        <v>6175</v>
      </c>
      <c r="D2381" s="159"/>
      <c r="E2381" s="56" t="s">
        <v>2187</v>
      </c>
      <c r="F2381" s="22" t="s">
        <v>5416</v>
      </c>
      <c r="G2381" s="57">
        <v>2021.0</v>
      </c>
      <c r="H2381" s="56" t="s">
        <v>3347</v>
      </c>
      <c r="I2381" s="58" t="s">
        <v>11836</v>
      </c>
      <c r="J2381" s="22" t="s">
        <v>125</v>
      </c>
      <c r="K2381" s="22"/>
      <c r="L2381" s="43" t="s">
        <v>11837</v>
      </c>
      <c r="M2381" s="44"/>
      <c r="N2381" s="44"/>
      <c r="O2381" s="44"/>
      <c r="P2381" s="44"/>
      <c r="Q2381" s="44"/>
      <c r="R2381" s="44"/>
      <c r="S2381" s="44"/>
      <c r="T2381" s="45"/>
      <c r="U2381" s="64" t="s">
        <v>61</v>
      </c>
      <c r="V2381" s="50"/>
      <c r="W2381" s="156"/>
      <c r="X2381" s="156"/>
      <c r="Y2381" s="35"/>
      <c r="Z2381" s="35"/>
      <c r="AA2381" s="35"/>
      <c r="AB2381" s="35"/>
      <c r="AC2381" s="35"/>
      <c r="AD2381" s="35"/>
      <c r="AE2381" s="35"/>
      <c r="AF2381" s="35"/>
      <c r="AG2381" s="35"/>
      <c r="AH2381" s="35"/>
      <c r="AI2381" s="35"/>
      <c r="AJ2381" s="35"/>
      <c r="AK2381" s="35"/>
      <c r="AL2381" s="35"/>
    </row>
    <row r="2382">
      <c r="A2382" s="89"/>
      <c r="B2382" s="75" t="s">
        <v>11717</v>
      </c>
      <c r="C2382" s="158" t="s">
        <v>6175</v>
      </c>
      <c r="D2382" s="159"/>
      <c r="E2382" s="56" t="s">
        <v>11838</v>
      </c>
      <c r="F2382" s="22" t="s">
        <v>41</v>
      </c>
      <c r="G2382" s="57">
        <v>2022.0</v>
      </c>
      <c r="H2382" s="56" t="s">
        <v>53</v>
      </c>
      <c r="I2382" s="58" t="s">
        <v>11839</v>
      </c>
      <c r="J2382" s="22" t="s">
        <v>55</v>
      </c>
      <c r="K2382" s="22"/>
      <c r="L2382" s="36">
        <v>660.0</v>
      </c>
      <c r="M2382" s="36">
        <v>15.0</v>
      </c>
      <c r="N2382" s="36"/>
      <c r="O2382" s="36"/>
      <c r="P2382" s="37" t="s">
        <v>11840</v>
      </c>
      <c r="Q2382" s="36"/>
      <c r="R2382" s="36">
        <v>60.0</v>
      </c>
      <c r="S2382" s="36"/>
      <c r="T2382" s="63" t="s">
        <v>11841</v>
      </c>
      <c r="U2382" s="64" t="s">
        <v>61</v>
      </c>
      <c r="V2382" s="50"/>
      <c r="W2382" s="156"/>
      <c r="X2382" s="156"/>
      <c r="Y2382" s="35"/>
      <c r="Z2382" s="35"/>
      <c r="AA2382" s="35"/>
      <c r="AB2382" s="35"/>
      <c r="AC2382" s="35"/>
      <c r="AD2382" s="35"/>
      <c r="AE2382" s="35"/>
      <c r="AF2382" s="35"/>
      <c r="AG2382" s="35"/>
      <c r="AH2382" s="35"/>
      <c r="AI2382" s="35"/>
      <c r="AJ2382" s="35"/>
      <c r="AK2382" s="35"/>
      <c r="AL2382" s="35"/>
    </row>
    <row r="2383">
      <c r="A2383" s="89"/>
      <c r="B2383" s="19" t="s">
        <v>11717</v>
      </c>
      <c r="C2383" s="158" t="s">
        <v>6175</v>
      </c>
      <c r="D2383" s="159"/>
      <c r="E2383" s="56" t="s">
        <v>11838</v>
      </c>
      <c r="F2383" s="22" t="s">
        <v>41</v>
      </c>
      <c r="G2383" s="57">
        <v>2021.0</v>
      </c>
      <c r="H2383" s="56" t="s">
        <v>53</v>
      </c>
      <c r="I2383" s="58" t="s">
        <v>11842</v>
      </c>
      <c r="J2383" s="22" t="s">
        <v>55</v>
      </c>
      <c r="K2383" s="22"/>
      <c r="L2383" s="36">
        <v>660.0</v>
      </c>
      <c r="M2383" s="36">
        <v>15.0</v>
      </c>
      <c r="N2383" s="36"/>
      <c r="O2383" s="36" t="s">
        <v>1704</v>
      </c>
      <c r="P2383" s="37"/>
      <c r="Q2383" s="36"/>
      <c r="R2383" s="36"/>
      <c r="S2383" s="36"/>
      <c r="T2383" s="63" t="s">
        <v>11843</v>
      </c>
      <c r="U2383" s="64" t="s">
        <v>61</v>
      </c>
      <c r="V2383" s="50"/>
      <c r="W2383" s="156"/>
      <c r="X2383" s="156"/>
      <c r="Y2383" s="35"/>
      <c r="Z2383" s="35"/>
      <c r="AA2383" s="35"/>
      <c r="AB2383" s="35"/>
      <c r="AC2383" s="35"/>
      <c r="AD2383" s="35"/>
      <c r="AE2383" s="35"/>
      <c r="AF2383" s="35"/>
      <c r="AG2383" s="35"/>
      <c r="AH2383" s="35"/>
      <c r="AI2383" s="35"/>
      <c r="AJ2383" s="35"/>
      <c r="AK2383" s="35"/>
      <c r="AL2383" s="35"/>
    </row>
    <row r="2384">
      <c r="A2384" s="89"/>
      <c r="B2384" s="19" t="s">
        <v>11717</v>
      </c>
      <c r="C2384" s="158" t="s">
        <v>6175</v>
      </c>
      <c r="D2384" s="159"/>
      <c r="E2384" s="56" t="s">
        <v>11844</v>
      </c>
      <c r="F2384" s="22" t="s">
        <v>4623</v>
      </c>
      <c r="G2384" s="57">
        <v>2018.0</v>
      </c>
      <c r="H2384" s="56" t="s">
        <v>11845</v>
      </c>
      <c r="I2384" s="58" t="s">
        <v>11846</v>
      </c>
      <c r="J2384" s="22" t="s">
        <v>11847</v>
      </c>
      <c r="K2384" s="22" t="s">
        <v>11848</v>
      </c>
      <c r="L2384" s="36">
        <v>808.0</v>
      </c>
      <c r="M2384" s="36">
        <v>900.0</v>
      </c>
      <c r="N2384" s="36" t="s">
        <v>5323</v>
      </c>
      <c r="O2384" s="36"/>
      <c r="P2384" s="37" t="s">
        <v>2555</v>
      </c>
      <c r="Q2384" s="36"/>
      <c r="R2384" s="36">
        <v>100.0</v>
      </c>
      <c r="S2384" s="36" t="s">
        <v>11849</v>
      </c>
      <c r="T2384" s="74" t="s">
        <v>11850</v>
      </c>
      <c r="U2384" s="161" t="str">
        <f>HYPERLINK("https://www.ncbi.nlm.nih.gov/pubmed/29999208","PubMed")</f>
        <v>PubMed</v>
      </c>
      <c r="V2384" s="50"/>
      <c r="W2384" s="156"/>
      <c r="X2384" s="156"/>
      <c r="Y2384" s="35"/>
      <c r="Z2384" s="35"/>
      <c r="AA2384" s="35"/>
      <c r="AB2384" s="35"/>
      <c r="AC2384" s="35"/>
      <c r="AD2384" s="35"/>
      <c r="AE2384" s="35"/>
      <c r="AF2384" s="35"/>
      <c r="AG2384" s="35"/>
      <c r="AH2384" s="35"/>
      <c r="AI2384" s="35"/>
      <c r="AJ2384" s="35"/>
      <c r="AK2384" s="35"/>
      <c r="AL2384" s="35"/>
    </row>
    <row r="2385">
      <c r="A2385" s="133"/>
      <c r="B2385" s="19" t="s">
        <v>11717</v>
      </c>
      <c r="C2385" s="158" t="s">
        <v>6175</v>
      </c>
      <c r="D2385" s="159"/>
      <c r="E2385" s="22" t="s">
        <v>3980</v>
      </c>
      <c r="F2385" s="22" t="s">
        <v>2698</v>
      </c>
      <c r="G2385" s="23">
        <v>2017.0</v>
      </c>
      <c r="H2385" s="22" t="s">
        <v>2181</v>
      </c>
      <c r="I2385" s="24" t="s">
        <v>11851</v>
      </c>
      <c r="J2385" s="22" t="s">
        <v>11852</v>
      </c>
      <c r="K2385" s="22" t="s">
        <v>4071</v>
      </c>
      <c r="L2385" s="105" t="s">
        <v>11853</v>
      </c>
      <c r="M2385" s="44"/>
      <c r="N2385" s="44"/>
      <c r="O2385" s="44"/>
      <c r="P2385" s="44"/>
      <c r="Q2385" s="44"/>
      <c r="R2385" s="44"/>
      <c r="S2385" s="44"/>
      <c r="T2385" s="45"/>
      <c r="U2385" s="38" t="str">
        <f>HYPERLINK("https://www.ncbi.nlm.nih.gov/pubmed/28181487","PubMed")</f>
        <v>PubMed</v>
      </c>
      <c r="V2385" s="30"/>
      <c r="W2385" s="49"/>
      <c r="X2385" s="49"/>
      <c r="Y2385" s="35"/>
      <c r="Z2385" s="35"/>
      <c r="AA2385" s="35"/>
      <c r="AB2385" s="35"/>
      <c r="AC2385" s="35"/>
      <c r="AD2385" s="35"/>
      <c r="AE2385" s="35"/>
      <c r="AF2385" s="35"/>
      <c r="AG2385" s="35"/>
      <c r="AH2385" s="35"/>
      <c r="AI2385" s="35"/>
      <c r="AJ2385" s="35"/>
      <c r="AK2385" s="35"/>
      <c r="AL2385" s="35"/>
    </row>
    <row r="2386">
      <c r="A2386" s="133"/>
      <c r="B2386" s="19" t="s">
        <v>11717</v>
      </c>
      <c r="C2386" s="158" t="s">
        <v>6175</v>
      </c>
      <c r="D2386" s="159"/>
      <c r="E2386" s="22" t="s">
        <v>11854</v>
      </c>
      <c r="F2386" s="22" t="s">
        <v>1943</v>
      </c>
      <c r="G2386" s="23">
        <v>2017.0</v>
      </c>
      <c r="H2386" s="56" t="s">
        <v>91</v>
      </c>
      <c r="I2386" s="24" t="s">
        <v>11855</v>
      </c>
      <c r="J2386" s="22" t="s">
        <v>125</v>
      </c>
      <c r="K2386" s="22"/>
      <c r="L2386" s="43" t="s">
        <v>11856</v>
      </c>
      <c r="M2386" s="44"/>
      <c r="N2386" s="44"/>
      <c r="O2386" s="44"/>
      <c r="P2386" s="44"/>
      <c r="Q2386" s="44"/>
      <c r="R2386" s="44"/>
      <c r="S2386" s="44"/>
      <c r="T2386" s="45"/>
      <c r="U2386" s="38" t="str">
        <f>HYPERLINK("https://www.ncbi.nlm.nih.gov/pubmed/28681086","PubMed")</f>
        <v>PubMed</v>
      </c>
      <c r="V2386" s="30"/>
      <c r="W2386" s="49"/>
      <c r="X2386" s="49"/>
      <c r="Y2386" s="35"/>
      <c r="Z2386" s="35"/>
      <c r="AA2386" s="35"/>
      <c r="AB2386" s="35"/>
      <c r="AC2386" s="35"/>
      <c r="AD2386" s="35"/>
      <c r="AE2386" s="35"/>
      <c r="AF2386" s="35"/>
      <c r="AG2386" s="35"/>
      <c r="AH2386" s="35"/>
      <c r="AI2386" s="35"/>
      <c r="AJ2386" s="35"/>
      <c r="AK2386" s="35"/>
      <c r="AL2386" s="35"/>
    </row>
    <row r="2387">
      <c r="A2387" s="133"/>
      <c r="B2387" s="19" t="s">
        <v>11717</v>
      </c>
      <c r="C2387" s="158" t="s">
        <v>6175</v>
      </c>
      <c r="D2387" s="159"/>
      <c r="E2387" s="22" t="s">
        <v>11857</v>
      </c>
      <c r="F2387" s="22" t="s">
        <v>41</v>
      </c>
      <c r="G2387" s="23">
        <v>2017.0</v>
      </c>
      <c r="H2387" s="22" t="s">
        <v>452</v>
      </c>
      <c r="I2387" s="24" t="s">
        <v>11858</v>
      </c>
      <c r="J2387" s="22" t="s">
        <v>55</v>
      </c>
      <c r="K2387" s="22"/>
      <c r="L2387" s="36">
        <v>660.0</v>
      </c>
      <c r="M2387" s="36">
        <v>15.0</v>
      </c>
      <c r="N2387" s="36" t="s">
        <v>11859</v>
      </c>
      <c r="O2387" s="129">
        <v>42736.0</v>
      </c>
      <c r="P2387" s="37" t="s">
        <v>11860</v>
      </c>
      <c r="Q2387" s="36" t="s">
        <v>830</v>
      </c>
      <c r="R2387" s="36">
        <v>73.0</v>
      </c>
      <c r="S2387" s="36">
        <v>2.0</v>
      </c>
      <c r="T2387" s="41" t="s">
        <v>11861</v>
      </c>
      <c r="U2387" s="38" t="str">
        <f>HYPERLINK("http://journal.frontiersin.org/article/10.3389/fphys.2017.00023/full","Frontiers")</f>
        <v>Frontiers</v>
      </c>
      <c r="V2387" s="30"/>
      <c r="W2387" s="49"/>
      <c r="X2387" s="49"/>
      <c r="Y2387" s="35"/>
      <c r="Z2387" s="35"/>
      <c r="AA2387" s="35"/>
      <c r="AB2387" s="35"/>
      <c r="AC2387" s="35"/>
      <c r="AD2387" s="35"/>
      <c r="AE2387" s="35"/>
      <c r="AF2387" s="35"/>
      <c r="AG2387" s="35"/>
      <c r="AH2387" s="35"/>
      <c r="AI2387" s="35"/>
      <c r="AJ2387" s="35"/>
      <c r="AK2387" s="35"/>
      <c r="AL2387" s="35"/>
    </row>
    <row r="2388">
      <c r="A2388" s="133" t="s">
        <v>2</v>
      </c>
      <c r="B2388" s="19" t="s">
        <v>11717</v>
      </c>
      <c r="C2388" s="158" t="s">
        <v>6175</v>
      </c>
      <c r="D2388" s="159"/>
      <c r="E2388" s="22" t="s">
        <v>11862</v>
      </c>
      <c r="F2388" s="22" t="s">
        <v>1310</v>
      </c>
      <c r="G2388" s="23">
        <v>2016.0</v>
      </c>
      <c r="H2388" s="22" t="s">
        <v>658</v>
      </c>
      <c r="I2388" s="24" t="s">
        <v>11863</v>
      </c>
      <c r="J2388" s="22" t="s">
        <v>3694</v>
      </c>
      <c r="K2388" s="22" t="s">
        <v>11864</v>
      </c>
      <c r="L2388" s="36">
        <v>808.0</v>
      </c>
      <c r="M2388" s="36"/>
      <c r="N2388" s="36" t="s">
        <v>11865</v>
      </c>
      <c r="O2388" s="36"/>
      <c r="P2388" s="37" t="s">
        <v>11866</v>
      </c>
      <c r="Q2388" s="36" t="s">
        <v>7766</v>
      </c>
      <c r="R2388" s="36">
        <v>100.0</v>
      </c>
      <c r="S2388" s="36">
        <v>3.0</v>
      </c>
      <c r="T2388" s="28" t="s">
        <v>11867</v>
      </c>
      <c r="U2388" s="38" t="str">
        <f>HYPERLINK("https://www.ncbi.nlm.nih.gov/pubmed/26741110","PubMed")</f>
        <v>PubMed</v>
      </c>
      <c r="V2388" s="30"/>
      <c r="W2388" s="49"/>
      <c r="X2388" s="49"/>
      <c r="Y2388" s="35"/>
      <c r="Z2388" s="35"/>
      <c r="AA2388" s="35"/>
      <c r="AB2388" s="35"/>
      <c r="AC2388" s="35"/>
      <c r="AD2388" s="35"/>
      <c r="AE2388" s="35"/>
      <c r="AF2388" s="35"/>
      <c r="AG2388" s="35"/>
      <c r="AH2388" s="35"/>
      <c r="AI2388" s="35"/>
      <c r="AJ2388" s="35"/>
      <c r="AK2388" s="35"/>
      <c r="AL2388" s="35"/>
    </row>
    <row r="2389">
      <c r="A2389" s="89"/>
      <c r="B2389" s="157" t="s">
        <v>11661</v>
      </c>
      <c r="C2389" s="158" t="s">
        <v>6175</v>
      </c>
      <c r="D2389" s="159"/>
      <c r="E2389" s="56" t="s">
        <v>11868</v>
      </c>
      <c r="F2389" s="22" t="s">
        <v>41</v>
      </c>
      <c r="G2389" s="57">
        <v>2016.0</v>
      </c>
      <c r="H2389" s="56" t="s">
        <v>4283</v>
      </c>
      <c r="I2389" s="58" t="s">
        <v>11869</v>
      </c>
      <c r="J2389" s="22" t="s">
        <v>649</v>
      </c>
      <c r="K2389" s="22" t="s">
        <v>11870</v>
      </c>
      <c r="L2389" s="148" t="s">
        <v>11871</v>
      </c>
      <c r="M2389" s="44"/>
      <c r="N2389" s="44"/>
      <c r="O2389" s="44"/>
      <c r="P2389" s="44"/>
      <c r="Q2389" s="44"/>
      <c r="R2389" s="44"/>
      <c r="S2389" s="44"/>
      <c r="T2389" s="45"/>
      <c r="U2389" s="161" t="str">
        <f>HYPERLINK("https://www.ncbi.nlm.nih.gov/pubmed/26930372","PubMed")</f>
        <v>PubMed</v>
      </c>
      <c r="V2389" s="50"/>
      <c r="W2389" s="156"/>
      <c r="X2389" s="156"/>
      <c r="Y2389" s="35"/>
      <c r="Z2389" s="35"/>
      <c r="AA2389" s="35"/>
      <c r="AB2389" s="35"/>
      <c r="AC2389" s="35"/>
      <c r="AD2389" s="35"/>
      <c r="AE2389" s="35"/>
      <c r="AF2389" s="35"/>
      <c r="AG2389" s="35"/>
      <c r="AH2389" s="35"/>
      <c r="AI2389" s="35"/>
      <c r="AJ2389" s="35"/>
      <c r="AK2389" s="35"/>
      <c r="AL2389" s="35"/>
    </row>
    <row r="2390">
      <c r="A2390" s="89"/>
      <c r="B2390" s="157" t="s">
        <v>11661</v>
      </c>
      <c r="C2390" s="158" t="s">
        <v>6175</v>
      </c>
      <c r="D2390" s="159"/>
      <c r="E2390" s="56" t="s">
        <v>2955</v>
      </c>
      <c r="F2390" s="22" t="s">
        <v>1173</v>
      </c>
      <c r="G2390" s="57">
        <v>2014.0</v>
      </c>
      <c r="H2390" s="56" t="s">
        <v>658</v>
      </c>
      <c r="I2390" s="58" t="s">
        <v>11872</v>
      </c>
      <c r="J2390" s="22" t="s">
        <v>55</v>
      </c>
      <c r="K2390" s="22" t="s">
        <v>11873</v>
      </c>
      <c r="L2390" s="36">
        <v>670.0</v>
      </c>
      <c r="M2390" s="36"/>
      <c r="N2390" s="36" t="s">
        <v>11874</v>
      </c>
      <c r="O2390" s="36"/>
      <c r="P2390" s="37" t="s">
        <v>2886</v>
      </c>
      <c r="Q2390" s="36"/>
      <c r="R2390" s="36">
        <v>600.0</v>
      </c>
      <c r="S2390" s="36"/>
      <c r="T2390" s="63" t="s">
        <v>11875</v>
      </c>
      <c r="U2390" s="161" t="str">
        <f>HYPERLINK("https://www.ncbi.nlm.nih.gov/pubmed/25093393","PubMed")</f>
        <v>PubMed</v>
      </c>
      <c r="V2390" s="50"/>
      <c r="W2390" s="156"/>
      <c r="X2390" s="156"/>
      <c r="Y2390" s="35"/>
      <c r="Z2390" s="35"/>
      <c r="AA2390" s="35"/>
      <c r="AB2390" s="35"/>
      <c r="AC2390" s="35"/>
      <c r="AD2390" s="35"/>
      <c r="AE2390" s="35"/>
      <c r="AF2390" s="35"/>
      <c r="AG2390" s="35"/>
      <c r="AH2390" s="35"/>
      <c r="AI2390" s="35"/>
      <c r="AJ2390" s="35"/>
      <c r="AK2390" s="35"/>
      <c r="AL2390" s="35"/>
    </row>
    <row r="2391">
      <c r="A2391" s="147"/>
      <c r="B2391" s="157" t="s">
        <v>11661</v>
      </c>
      <c r="C2391" s="158" t="s">
        <v>6175</v>
      </c>
      <c r="D2391" s="159"/>
      <c r="E2391" s="56" t="s">
        <v>11876</v>
      </c>
      <c r="F2391" s="22" t="s">
        <v>2052</v>
      </c>
      <c r="G2391" s="57">
        <v>2014.0</v>
      </c>
      <c r="H2391" s="56" t="s">
        <v>452</v>
      </c>
      <c r="I2391" s="58" t="s">
        <v>11877</v>
      </c>
      <c r="J2391" s="22" t="s">
        <v>3887</v>
      </c>
      <c r="K2391" s="22"/>
      <c r="L2391" s="43" t="s">
        <v>11878</v>
      </c>
      <c r="M2391" s="44"/>
      <c r="N2391" s="44"/>
      <c r="O2391" s="44"/>
      <c r="P2391" s="44"/>
      <c r="Q2391" s="44"/>
      <c r="R2391" s="44"/>
      <c r="S2391" s="44"/>
      <c r="T2391" s="45"/>
      <c r="U2391" s="161" t="str">
        <f>HYPERLINK("https://www.ncbi.nlm.nih.gov/pubmed/25452731","PubMed")</f>
        <v>PubMed</v>
      </c>
      <c r="V2391" s="30"/>
      <c r="W2391" s="156"/>
      <c r="X2391" s="156"/>
      <c r="Y2391" s="35"/>
      <c r="Z2391" s="35"/>
      <c r="AA2391" s="35"/>
      <c r="AB2391" s="35"/>
      <c r="AC2391" s="35"/>
      <c r="AD2391" s="35"/>
      <c r="AE2391" s="35"/>
      <c r="AF2391" s="35"/>
      <c r="AG2391" s="35"/>
      <c r="AH2391" s="35"/>
      <c r="AI2391" s="35"/>
      <c r="AJ2391" s="35"/>
      <c r="AK2391" s="35"/>
      <c r="AL2391" s="35"/>
    </row>
    <row r="2392">
      <c r="A2392" s="147"/>
      <c r="B2392" s="157" t="s">
        <v>11661</v>
      </c>
      <c r="C2392" s="158" t="s">
        <v>6175</v>
      </c>
      <c r="D2392" s="159"/>
      <c r="E2392" s="56" t="s">
        <v>5344</v>
      </c>
      <c r="F2392" s="22" t="s">
        <v>1173</v>
      </c>
      <c r="G2392" s="57">
        <v>2014.0</v>
      </c>
      <c r="H2392" s="56" t="s">
        <v>452</v>
      </c>
      <c r="I2392" s="58" t="s">
        <v>11879</v>
      </c>
      <c r="J2392" s="22" t="s">
        <v>44</v>
      </c>
      <c r="K2392" s="22" t="s">
        <v>11880</v>
      </c>
      <c r="L2392" s="36">
        <v>670.0</v>
      </c>
      <c r="M2392" s="36"/>
      <c r="N2392" s="36" t="s">
        <v>7904</v>
      </c>
      <c r="O2392" s="36"/>
      <c r="P2392" s="37"/>
      <c r="Q2392" s="36"/>
      <c r="R2392" s="36">
        <v>300.0</v>
      </c>
      <c r="S2392" s="36"/>
      <c r="T2392" s="63" t="s">
        <v>11881</v>
      </c>
      <c r="U2392" s="161" t="str">
        <f>HYPERLINK("https://www.ncbi.nlm.nih.gov/pubmed/25202275","PubMed")</f>
        <v>PubMed</v>
      </c>
      <c r="V2392" s="30"/>
      <c r="W2392" s="156"/>
      <c r="X2392" s="156"/>
      <c r="Y2392" s="35"/>
      <c r="Z2392" s="35"/>
      <c r="AA2392" s="35"/>
      <c r="AB2392" s="35"/>
      <c r="AC2392" s="35"/>
      <c r="AD2392" s="35"/>
      <c r="AE2392" s="35"/>
      <c r="AF2392" s="35"/>
      <c r="AG2392" s="35"/>
      <c r="AH2392" s="35"/>
      <c r="AI2392" s="35"/>
      <c r="AJ2392" s="35"/>
      <c r="AK2392" s="35"/>
      <c r="AL2392" s="35"/>
    </row>
    <row r="2393">
      <c r="A2393" s="89"/>
      <c r="B2393" s="157" t="s">
        <v>11661</v>
      </c>
      <c r="C2393" s="158" t="s">
        <v>6175</v>
      </c>
      <c r="D2393" s="159"/>
      <c r="E2393" s="56" t="s">
        <v>11857</v>
      </c>
      <c r="F2393" s="22" t="s">
        <v>41</v>
      </c>
      <c r="G2393" s="57">
        <v>2014.0</v>
      </c>
      <c r="H2393" s="56" t="s">
        <v>627</v>
      </c>
      <c r="I2393" s="58" t="s">
        <v>11882</v>
      </c>
      <c r="J2393" s="22" t="s">
        <v>55</v>
      </c>
      <c r="K2393" s="22" t="s">
        <v>11870</v>
      </c>
      <c r="L2393" s="36">
        <v>660.0</v>
      </c>
      <c r="M2393" s="36">
        <v>15.0</v>
      </c>
      <c r="N2393" s="36"/>
      <c r="O2393" s="129">
        <v>42370.0</v>
      </c>
      <c r="P2393" s="37" t="s">
        <v>11840</v>
      </c>
      <c r="Q2393" s="36" t="s">
        <v>4833</v>
      </c>
      <c r="R2393" s="36">
        <v>60.0</v>
      </c>
      <c r="S2393" s="36">
        <v>1.0</v>
      </c>
      <c r="T2393" s="63" t="s">
        <v>11883</v>
      </c>
      <c r="U2393" s="161" t="str">
        <f>HYPERLINK("https://www.ncbi.nlm.nih.gov/pubmed/24991808","PubMed")</f>
        <v>PubMed</v>
      </c>
      <c r="V2393" s="30"/>
      <c r="W2393" s="156"/>
      <c r="X2393" s="156"/>
      <c r="Y2393" s="35"/>
      <c r="Z2393" s="35"/>
      <c r="AA2393" s="35"/>
      <c r="AB2393" s="35"/>
      <c r="AC2393" s="35"/>
      <c r="AD2393" s="35"/>
      <c r="AE2393" s="35"/>
      <c r="AF2393" s="35"/>
      <c r="AG2393" s="35"/>
      <c r="AH2393" s="35"/>
      <c r="AI2393" s="35"/>
      <c r="AJ2393" s="35"/>
      <c r="AK2393" s="35"/>
      <c r="AL2393" s="35"/>
    </row>
    <row r="2394">
      <c r="A2394" s="89"/>
      <c r="B2394" s="157" t="s">
        <v>11661</v>
      </c>
      <c r="C2394" s="158" t="s">
        <v>6175</v>
      </c>
      <c r="D2394" s="159"/>
      <c r="E2394" s="56" t="s">
        <v>2338</v>
      </c>
      <c r="F2394" s="22" t="s">
        <v>11884</v>
      </c>
      <c r="G2394" s="57">
        <v>2013.0</v>
      </c>
      <c r="H2394" s="56" t="s">
        <v>658</v>
      </c>
      <c r="I2394" s="58" t="s">
        <v>11885</v>
      </c>
      <c r="J2394" s="22" t="s">
        <v>55</v>
      </c>
      <c r="K2394" s="22" t="s">
        <v>11870</v>
      </c>
      <c r="L2394" s="36">
        <v>635.0</v>
      </c>
      <c r="M2394" s="36">
        <v>6.0</v>
      </c>
      <c r="N2394" s="36" t="s">
        <v>11886</v>
      </c>
      <c r="O2394" s="36"/>
      <c r="P2394" s="37" t="s">
        <v>11887</v>
      </c>
      <c r="Q2394" s="36"/>
      <c r="R2394" s="36">
        <v>125.0</v>
      </c>
      <c r="S2394" s="36">
        <v>1.0</v>
      </c>
      <c r="T2394" s="63" t="s">
        <v>11888</v>
      </c>
      <c r="U2394" s="161" t="str">
        <f>HYPERLINK("https://www.ncbi.nlm.nih.gov/pubmed/24047222","PubMed")</f>
        <v>PubMed</v>
      </c>
      <c r="V2394" s="30"/>
      <c r="W2394" s="156"/>
      <c r="X2394" s="156"/>
      <c r="Y2394" s="35"/>
      <c r="Z2394" s="35"/>
      <c r="AA2394" s="35"/>
      <c r="AB2394" s="35"/>
      <c r="AC2394" s="35"/>
      <c r="AD2394" s="35"/>
      <c r="AE2394" s="35"/>
      <c r="AF2394" s="35"/>
      <c r="AG2394" s="35"/>
      <c r="AH2394" s="35"/>
      <c r="AI2394" s="35"/>
      <c r="AJ2394" s="35"/>
      <c r="AK2394" s="35"/>
      <c r="AL2394" s="35"/>
    </row>
    <row r="2395">
      <c r="A2395" s="89"/>
      <c r="B2395" s="157" t="s">
        <v>11661</v>
      </c>
      <c r="C2395" s="158" t="s">
        <v>6175</v>
      </c>
      <c r="D2395" s="159"/>
      <c r="E2395" s="56" t="s">
        <v>2338</v>
      </c>
      <c r="F2395" s="22" t="s">
        <v>11889</v>
      </c>
      <c r="G2395" s="57">
        <v>2011.0</v>
      </c>
      <c r="H2395" s="56" t="s">
        <v>658</v>
      </c>
      <c r="I2395" s="58" t="s">
        <v>11890</v>
      </c>
      <c r="J2395" s="22" t="s">
        <v>55</v>
      </c>
      <c r="K2395" s="22" t="s">
        <v>11870</v>
      </c>
      <c r="L2395" s="36">
        <v>635.0</v>
      </c>
      <c r="M2395" s="36">
        <v>5.0</v>
      </c>
      <c r="N2395" s="36" t="s">
        <v>4004</v>
      </c>
      <c r="O2395" s="36" t="s">
        <v>102</v>
      </c>
      <c r="P2395" s="37" t="s">
        <v>2555</v>
      </c>
      <c r="Q2395" s="36" t="s">
        <v>729</v>
      </c>
      <c r="R2395" s="36">
        <v>150.0</v>
      </c>
      <c r="S2395" s="36">
        <v>1.0</v>
      </c>
      <c r="T2395" s="74" t="s">
        <v>11891</v>
      </c>
      <c r="U2395" s="161" t="str">
        <f>HYPERLINK("https://www.ncbi.nlm.nih.gov/pubmed/21348574","PubMed")</f>
        <v>PubMed</v>
      </c>
      <c r="V2395" s="30"/>
      <c r="W2395" s="156"/>
      <c r="X2395" s="156"/>
      <c r="Y2395" s="35"/>
      <c r="Z2395" s="35"/>
      <c r="AA2395" s="35"/>
      <c r="AB2395" s="35"/>
      <c r="AC2395" s="35"/>
      <c r="AD2395" s="35"/>
      <c r="AE2395" s="35"/>
      <c r="AF2395" s="35"/>
      <c r="AG2395" s="35"/>
      <c r="AH2395" s="35"/>
      <c r="AI2395" s="35"/>
      <c r="AJ2395" s="35"/>
      <c r="AK2395" s="35"/>
      <c r="AL2395" s="35"/>
    </row>
    <row r="2396">
      <c r="A2396" s="133"/>
      <c r="B2396" s="157" t="s">
        <v>11661</v>
      </c>
      <c r="C2396" s="158" t="s">
        <v>6175</v>
      </c>
      <c r="D2396" s="159"/>
      <c r="E2396" s="56" t="s">
        <v>11892</v>
      </c>
      <c r="F2396" s="22" t="s">
        <v>3681</v>
      </c>
      <c r="G2396" s="57">
        <v>2011.0</v>
      </c>
      <c r="H2396" s="56" t="s">
        <v>207</v>
      </c>
      <c r="I2396" s="58" t="s">
        <v>11893</v>
      </c>
      <c r="J2396" s="22" t="s">
        <v>11894</v>
      </c>
      <c r="K2396" s="22"/>
      <c r="L2396" s="36">
        <v>633.0</v>
      </c>
      <c r="M2396" s="36"/>
      <c r="N2396" s="36"/>
      <c r="O2396" s="36"/>
      <c r="P2396" s="37"/>
      <c r="Q2396" s="36"/>
      <c r="R2396" s="36"/>
      <c r="S2396" s="36"/>
      <c r="T2396" s="63" t="s">
        <v>11895</v>
      </c>
      <c r="U2396" s="161" t="str">
        <f>HYPERLINK("https://www.ncbi.nlm.nih.gov/pubmed/21852147","PubMed")</f>
        <v>PubMed</v>
      </c>
      <c r="V2396" s="30"/>
      <c r="W2396" s="156"/>
      <c r="X2396" s="156"/>
      <c r="Y2396" s="35"/>
      <c r="Z2396" s="35"/>
      <c r="AA2396" s="35"/>
      <c r="AB2396" s="35"/>
      <c r="AC2396" s="35"/>
      <c r="AD2396" s="35"/>
      <c r="AE2396" s="35"/>
      <c r="AF2396" s="35"/>
      <c r="AG2396" s="35"/>
      <c r="AH2396" s="35"/>
      <c r="AI2396" s="35"/>
      <c r="AJ2396" s="35"/>
      <c r="AK2396" s="35"/>
      <c r="AL2396" s="35"/>
    </row>
    <row r="2397">
      <c r="A2397" s="133" t="s">
        <v>2</v>
      </c>
      <c r="B2397" s="157" t="s">
        <v>11661</v>
      </c>
      <c r="C2397" s="158" t="s">
        <v>6175</v>
      </c>
      <c r="D2397" s="159"/>
      <c r="E2397" s="56" t="s">
        <v>11896</v>
      </c>
      <c r="F2397" s="22" t="s">
        <v>1310</v>
      </c>
      <c r="G2397" s="57">
        <v>2011.0</v>
      </c>
      <c r="H2397" s="56" t="s">
        <v>53</v>
      </c>
      <c r="I2397" s="58" t="s">
        <v>11897</v>
      </c>
      <c r="J2397" s="22" t="s">
        <v>55</v>
      </c>
      <c r="K2397" s="22" t="s">
        <v>11898</v>
      </c>
      <c r="L2397" s="36">
        <v>804.0</v>
      </c>
      <c r="M2397" s="36" t="s">
        <v>2554</v>
      </c>
      <c r="N2397" s="36"/>
      <c r="O2397" s="36"/>
      <c r="P2397" s="37" t="s">
        <v>2555</v>
      </c>
      <c r="Q2397" s="36" t="s">
        <v>11899</v>
      </c>
      <c r="R2397" s="36">
        <v>100.0</v>
      </c>
      <c r="S2397" s="36">
        <v>1.0</v>
      </c>
      <c r="T2397" s="63" t="s">
        <v>11900</v>
      </c>
      <c r="U2397" s="161" t="str">
        <f t="shared" ref="U2397:U2398" si="1">HYPERLINK("https://www.ncbi.nlm.nih.gov/pubmed/21674545","PubMed")</f>
        <v>PubMed</v>
      </c>
      <c r="V2397" s="30"/>
      <c r="W2397" s="156"/>
      <c r="X2397" s="156"/>
      <c r="Y2397" s="35"/>
      <c r="Z2397" s="35"/>
      <c r="AA2397" s="35"/>
      <c r="AB2397" s="35"/>
      <c r="AC2397" s="35"/>
      <c r="AD2397" s="35"/>
      <c r="AE2397" s="35"/>
      <c r="AF2397" s="35"/>
      <c r="AG2397" s="35"/>
      <c r="AH2397" s="35"/>
      <c r="AI2397" s="35"/>
      <c r="AJ2397" s="35"/>
      <c r="AK2397" s="35"/>
      <c r="AL2397" s="35"/>
    </row>
    <row r="2398">
      <c r="A2398" s="89"/>
      <c r="B2398" s="157" t="s">
        <v>11661</v>
      </c>
      <c r="C2398" s="158" t="s">
        <v>6175</v>
      </c>
      <c r="D2398" s="159"/>
      <c r="E2398" s="56" t="s">
        <v>2316</v>
      </c>
      <c r="F2398" s="22" t="s">
        <v>11889</v>
      </c>
      <c r="G2398" s="57">
        <v>2010.0</v>
      </c>
      <c r="H2398" s="56" t="s">
        <v>6265</v>
      </c>
      <c r="I2398" s="58" t="s">
        <v>11901</v>
      </c>
      <c r="J2398" s="22" t="s">
        <v>55</v>
      </c>
      <c r="K2398" s="22" t="s">
        <v>11870</v>
      </c>
      <c r="L2398" s="36">
        <v>804.0</v>
      </c>
      <c r="M2398" s="36" t="s">
        <v>2554</v>
      </c>
      <c r="N2398" s="36"/>
      <c r="O2398" s="36"/>
      <c r="P2398" s="37" t="s">
        <v>2555</v>
      </c>
      <c r="Q2398" s="36" t="s">
        <v>11899</v>
      </c>
      <c r="R2398" s="36">
        <v>100.0</v>
      </c>
      <c r="S2398" s="36">
        <v>1.0</v>
      </c>
      <c r="T2398" s="63" t="s">
        <v>11902</v>
      </c>
      <c r="U2398" s="161" t="str">
        <f t="shared" si="1"/>
        <v>PubMed</v>
      </c>
      <c r="V2398" s="30"/>
      <c r="W2398" s="156"/>
      <c r="X2398" s="156"/>
      <c r="Y2398" s="35"/>
      <c r="Z2398" s="35"/>
      <c r="AA2398" s="35"/>
      <c r="AB2398" s="35"/>
      <c r="AC2398" s="35"/>
      <c r="AD2398" s="35"/>
      <c r="AE2398" s="35"/>
      <c r="AF2398" s="35"/>
      <c r="AG2398" s="35"/>
      <c r="AH2398" s="35"/>
      <c r="AI2398" s="35"/>
      <c r="AJ2398" s="35"/>
      <c r="AK2398" s="35"/>
      <c r="AL2398" s="35"/>
    </row>
    <row r="2399">
      <c r="A2399" s="89"/>
      <c r="B2399" s="157" t="s">
        <v>11661</v>
      </c>
      <c r="C2399" s="158" t="s">
        <v>6175</v>
      </c>
      <c r="D2399" s="159"/>
      <c r="E2399" s="56" t="s">
        <v>6153</v>
      </c>
      <c r="F2399" s="22" t="s">
        <v>1173</v>
      </c>
      <c r="G2399" s="57">
        <v>2009.0</v>
      </c>
      <c r="H2399" s="56" t="s">
        <v>6154</v>
      </c>
      <c r="I2399" s="58" t="s">
        <v>11903</v>
      </c>
      <c r="J2399" s="22" t="s">
        <v>253</v>
      </c>
      <c r="K2399" s="22" t="s">
        <v>11904</v>
      </c>
      <c r="L2399" s="36">
        <v>670.0</v>
      </c>
      <c r="M2399" s="36"/>
      <c r="N2399" s="36" t="s">
        <v>11905</v>
      </c>
      <c r="O2399" s="36" t="s">
        <v>11906</v>
      </c>
      <c r="P2399" s="37"/>
      <c r="Q2399" s="36"/>
      <c r="R2399" s="36"/>
      <c r="S2399" s="36"/>
      <c r="T2399" s="63" t="s">
        <v>11907</v>
      </c>
      <c r="U2399" s="161" t="str">
        <f>HYPERLINK("https://www.ncbi.nlm.nih.gov/pubmed/19328206","PubMed")</f>
        <v>PubMed</v>
      </c>
      <c r="V2399" s="30"/>
      <c r="W2399" s="156"/>
      <c r="X2399" s="156"/>
      <c r="Y2399" s="35"/>
      <c r="Z2399" s="35"/>
      <c r="AA2399" s="35"/>
      <c r="AB2399" s="35"/>
      <c r="AC2399" s="35"/>
      <c r="AD2399" s="35"/>
      <c r="AE2399" s="35"/>
      <c r="AF2399" s="35"/>
      <c r="AG2399" s="35"/>
      <c r="AH2399" s="35"/>
      <c r="AI2399" s="35"/>
      <c r="AJ2399" s="35"/>
      <c r="AK2399" s="35"/>
      <c r="AL2399" s="35"/>
    </row>
    <row r="2400">
      <c r="A2400" s="89"/>
      <c r="B2400" s="157" t="s">
        <v>11661</v>
      </c>
      <c r="C2400" s="158" t="s">
        <v>6175</v>
      </c>
      <c r="D2400" s="159"/>
      <c r="E2400" s="56" t="s">
        <v>11896</v>
      </c>
      <c r="F2400" s="22" t="s">
        <v>1310</v>
      </c>
      <c r="G2400" s="57">
        <v>2009.0</v>
      </c>
      <c r="H2400" s="56" t="s">
        <v>658</v>
      </c>
      <c r="I2400" s="58" t="s">
        <v>11908</v>
      </c>
      <c r="J2400" s="22" t="s">
        <v>55</v>
      </c>
      <c r="K2400" s="22" t="s">
        <v>11909</v>
      </c>
      <c r="L2400" s="36" t="s">
        <v>11910</v>
      </c>
      <c r="M2400" s="36" t="s">
        <v>1729</v>
      </c>
      <c r="N2400" s="36"/>
      <c r="O2400" s="36"/>
      <c r="P2400" s="37" t="s">
        <v>2555</v>
      </c>
      <c r="Q2400" s="36" t="s">
        <v>11911</v>
      </c>
      <c r="R2400" s="36">
        <v>20.0</v>
      </c>
      <c r="S2400" s="36">
        <v>1.0</v>
      </c>
      <c r="T2400" s="63" t="s">
        <v>11912</v>
      </c>
      <c r="U2400" s="161" t="str">
        <f>HYPERLINK("https://www.ncbi.nlm.nih.gov/pubmed/19382832","PubMed")</f>
        <v>PubMed</v>
      </c>
      <c r="V2400" s="30"/>
      <c r="W2400" s="156"/>
      <c r="X2400" s="156"/>
      <c r="Y2400" s="35"/>
      <c r="Z2400" s="35"/>
      <c r="AA2400" s="35"/>
      <c r="AB2400" s="35"/>
      <c r="AC2400" s="35"/>
      <c r="AD2400" s="35"/>
      <c r="AE2400" s="35"/>
      <c r="AF2400" s="35"/>
      <c r="AG2400" s="35"/>
      <c r="AH2400" s="35"/>
      <c r="AI2400" s="35"/>
      <c r="AJ2400" s="35"/>
      <c r="AK2400" s="35"/>
      <c r="AL2400" s="35"/>
    </row>
    <row r="2401">
      <c r="A2401" s="89"/>
      <c r="B2401" s="157" t="s">
        <v>11661</v>
      </c>
      <c r="C2401" s="158" t="s">
        <v>6175</v>
      </c>
      <c r="D2401" s="159"/>
      <c r="E2401" s="56" t="s">
        <v>11913</v>
      </c>
      <c r="F2401" s="22" t="s">
        <v>11914</v>
      </c>
      <c r="G2401" s="57">
        <v>2008.0</v>
      </c>
      <c r="H2401" s="56" t="s">
        <v>3065</v>
      </c>
      <c r="I2401" s="58" t="s">
        <v>11915</v>
      </c>
      <c r="J2401" s="22" t="s">
        <v>55</v>
      </c>
      <c r="K2401" s="22"/>
      <c r="L2401" s="36" t="s">
        <v>11916</v>
      </c>
      <c r="M2401" s="36" t="s">
        <v>11917</v>
      </c>
      <c r="N2401" s="36"/>
      <c r="O2401" s="36"/>
      <c r="P2401" s="37"/>
      <c r="Q2401" s="36" t="s">
        <v>11918</v>
      </c>
      <c r="R2401" s="36" t="s">
        <v>11919</v>
      </c>
      <c r="S2401" s="36"/>
      <c r="T2401" s="63" t="s">
        <v>11920</v>
      </c>
      <c r="U2401" s="161" t="str">
        <f>HYPERLINK("https://www.ncbi.nlm.nih.gov/pubmed/19145284","PubMed")</f>
        <v>PubMed</v>
      </c>
      <c r="V2401" s="30"/>
      <c r="W2401" s="156"/>
      <c r="X2401" s="156"/>
      <c r="Y2401" s="35"/>
      <c r="Z2401" s="35"/>
      <c r="AA2401" s="35"/>
      <c r="AB2401" s="35"/>
      <c r="AC2401" s="35"/>
      <c r="AD2401" s="35"/>
      <c r="AE2401" s="35"/>
      <c r="AF2401" s="35"/>
      <c r="AG2401" s="35"/>
      <c r="AH2401" s="35"/>
      <c r="AI2401" s="35"/>
      <c r="AJ2401" s="35"/>
      <c r="AK2401" s="35"/>
      <c r="AL2401" s="35"/>
    </row>
    <row r="2402">
      <c r="A2402" s="89"/>
      <c r="B2402" s="157" t="s">
        <v>11661</v>
      </c>
      <c r="C2402" s="158" t="s">
        <v>6175</v>
      </c>
      <c r="D2402" s="159"/>
      <c r="E2402" s="56" t="s">
        <v>11896</v>
      </c>
      <c r="F2402" s="22" t="s">
        <v>1310</v>
      </c>
      <c r="G2402" s="57">
        <v>2006.0</v>
      </c>
      <c r="H2402" s="56" t="s">
        <v>53</v>
      </c>
      <c r="I2402" s="58" t="s">
        <v>11921</v>
      </c>
      <c r="J2402" s="22" t="s">
        <v>55</v>
      </c>
      <c r="K2402" s="22" t="s">
        <v>11922</v>
      </c>
      <c r="L2402" s="36">
        <v>804.0</v>
      </c>
      <c r="M2402" s="36"/>
      <c r="N2402" s="36" t="s">
        <v>11923</v>
      </c>
      <c r="O2402" s="36"/>
      <c r="P2402" s="37" t="s">
        <v>11887</v>
      </c>
      <c r="Q2402" s="36" t="s">
        <v>11924</v>
      </c>
      <c r="R2402" s="36">
        <v>120.0</v>
      </c>
      <c r="S2402" s="36">
        <v>1.0</v>
      </c>
      <c r="T2402" s="63" t="s">
        <v>11925</v>
      </c>
      <c r="U2402" s="161" t="str">
        <f>HYPERLINK("https://www.ncbi.nlm.nih.gov/pubmed/16800001","PubMed")</f>
        <v>PubMed</v>
      </c>
      <c r="V2402" s="30"/>
      <c r="W2402" s="156"/>
      <c r="X2402" s="156"/>
      <c r="Y2402" s="35"/>
      <c r="Z2402" s="35"/>
      <c r="AA2402" s="35"/>
      <c r="AB2402" s="35"/>
      <c r="AC2402" s="35"/>
      <c r="AD2402" s="35"/>
      <c r="AE2402" s="35"/>
      <c r="AF2402" s="35"/>
      <c r="AG2402" s="35"/>
      <c r="AH2402" s="35"/>
      <c r="AI2402" s="35"/>
      <c r="AJ2402" s="35"/>
      <c r="AK2402" s="35"/>
      <c r="AL2402" s="35"/>
    </row>
    <row r="2403">
      <c r="A2403" s="55" t="s">
        <v>2</v>
      </c>
      <c r="B2403" s="157" t="s">
        <v>11661</v>
      </c>
      <c r="C2403" s="158" t="s">
        <v>6175</v>
      </c>
      <c r="D2403" s="159"/>
      <c r="E2403" s="56" t="s">
        <v>1300</v>
      </c>
      <c r="F2403" s="22" t="s">
        <v>1310</v>
      </c>
      <c r="G2403" s="57">
        <v>2001.0</v>
      </c>
      <c r="H2403" s="56" t="s">
        <v>53</v>
      </c>
      <c r="I2403" s="58" t="s">
        <v>11926</v>
      </c>
      <c r="J2403" s="22" t="s">
        <v>55</v>
      </c>
      <c r="K2403" s="22" t="s">
        <v>11870</v>
      </c>
      <c r="L2403" s="36">
        <v>804.0</v>
      </c>
      <c r="M2403" s="36">
        <v>38.0</v>
      </c>
      <c r="N2403" s="36" t="s">
        <v>5632</v>
      </c>
      <c r="O2403" s="36"/>
      <c r="P2403" s="37" t="s">
        <v>11927</v>
      </c>
      <c r="Q2403" s="36" t="s">
        <v>11928</v>
      </c>
      <c r="R2403" s="36">
        <v>60.0</v>
      </c>
      <c r="S2403" s="36" t="s">
        <v>11929</v>
      </c>
      <c r="T2403" s="63" t="s">
        <v>11930</v>
      </c>
      <c r="U2403" s="212" t="s">
        <v>61</v>
      </c>
      <c r="V2403" s="50"/>
      <c r="W2403" s="156"/>
      <c r="X2403" s="156"/>
      <c r="Y2403" s="35"/>
      <c r="Z2403" s="35"/>
      <c r="AA2403" s="35"/>
      <c r="AB2403" s="35"/>
      <c r="AC2403" s="35"/>
      <c r="AD2403" s="35"/>
      <c r="AE2403" s="35"/>
      <c r="AF2403" s="35"/>
      <c r="AG2403" s="35"/>
      <c r="AH2403" s="35"/>
      <c r="AI2403" s="35"/>
      <c r="AJ2403" s="35"/>
      <c r="AK2403" s="35"/>
      <c r="AL2403" s="35"/>
    </row>
    <row r="2404">
      <c r="A2404" s="89"/>
      <c r="B2404" s="157" t="s">
        <v>11661</v>
      </c>
      <c r="C2404" s="158" t="s">
        <v>6175</v>
      </c>
      <c r="D2404" s="159"/>
      <c r="E2404" s="56" t="s">
        <v>2551</v>
      </c>
      <c r="F2404" s="22" t="s">
        <v>1310</v>
      </c>
      <c r="G2404" s="57">
        <v>2001.0</v>
      </c>
      <c r="H2404" s="56" t="s">
        <v>53</v>
      </c>
      <c r="I2404" s="58" t="s">
        <v>11931</v>
      </c>
      <c r="J2404" s="22" t="s">
        <v>11932</v>
      </c>
      <c r="K2404" s="22" t="s">
        <v>11870</v>
      </c>
      <c r="L2404" s="36" t="s">
        <v>11933</v>
      </c>
      <c r="M2404" s="36" t="s">
        <v>11934</v>
      </c>
      <c r="N2404" s="36" t="s">
        <v>1897</v>
      </c>
      <c r="O2404" s="36"/>
      <c r="P2404" s="37"/>
      <c r="Q2404" s="36" t="s">
        <v>11935</v>
      </c>
      <c r="R2404" s="36"/>
      <c r="S2404" s="36"/>
      <c r="T2404" s="73" t="s">
        <v>11936</v>
      </c>
      <c r="U2404" s="212" t="s">
        <v>61</v>
      </c>
      <c r="V2404" s="50"/>
      <c r="W2404" s="49"/>
      <c r="X2404" s="49"/>
      <c r="Y2404" s="35"/>
      <c r="Z2404" s="35"/>
      <c r="AA2404" s="35"/>
      <c r="AB2404" s="35"/>
      <c r="AC2404" s="35"/>
      <c r="AD2404" s="35"/>
      <c r="AE2404" s="35"/>
      <c r="AF2404" s="35"/>
      <c r="AG2404" s="35"/>
      <c r="AH2404" s="35"/>
      <c r="AI2404" s="35"/>
      <c r="AJ2404" s="35"/>
      <c r="AK2404" s="35"/>
      <c r="AL2404" s="35"/>
    </row>
    <row r="2405">
      <c r="A2405" s="89"/>
      <c r="B2405" s="157" t="s">
        <v>11661</v>
      </c>
      <c r="C2405" s="158" t="s">
        <v>6175</v>
      </c>
      <c r="D2405" s="159"/>
      <c r="E2405" s="56" t="s">
        <v>2551</v>
      </c>
      <c r="F2405" s="22" t="s">
        <v>1310</v>
      </c>
      <c r="G2405" s="57">
        <v>2001.0</v>
      </c>
      <c r="H2405" s="56" t="s">
        <v>3034</v>
      </c>
      <c r="I2405" s="58" t="s">
        <v>11937</v>
      </c>
      <c r="J2405" s="22" t="s">
        <v>11932</v>
      </c>
      <c r="K2405" s="22" t="s">
        <v>11870</v>
      </c>
      <c r="L2405" s="36">
        <v>803.0</v>
      </c>
      <c r="M2405" s="36"/>
      <c r="N2405" s="36"/>
      <c r="O2405" s="36"/>
      <c r="P2405" s="37"/>
      <c r="Q2405" s="36"/>
      <c r="R2405" s="36"/>
      <c r="S2405" s="36"/>
      <c r="T2405" s="73" t="s">
        <v>11938</v>
      </c>
      <c r="U2405" s="212" t="s">
        <v>61</v>
      </c>
      <c r="V2405" s="279"/>
      <c r="W2405" s="49"/>
      <c r="X2405" s="49"/>
      <c r="Y2405" s="35"/>
      <c r="Z2405" s="35"/>
      <c r="AA2405" s="35"/>
      <c r="AB2405" s="35"/>
      <c r="AC2405" s="35"/>
      <c r="AD2405" s="35"/>
      <c r="AE2405" s="35"/>
      <c r="AF2405" s="35"/>
      <c r="AG2405" s="35"/>
      <c r="AH2405" s="35"/>
      <c r="AI2405" s="35"/>
      <c r="AJ2405" s="35"/>
      <c r="AK2405" s="35"/>
      <c r="AL2405" s="35"/>
    </row>
    <row r="2406">
      <c r="A2406" s="89"/>
      <c r="B2406" s="157" t="s">
        <v>11661</v>
      </c>
      <c r="C2406" s="158" t="s">
        <v>6175</v>
      </c>
      <c r="D2406" s="159"/>
      <c r="E2406" s="56" t="s">
        <v>11939</v>
      </c>
      <c r="F2406" s="22" t="s">
        <v>1310</v>
      </c>
      <c r="G2406" s="57">
        <v>2001.0</v>
      </c>
      <c r="H2406" s="56" t="s">
        <v>11940</v>
      </c>
      <c r="I2406" s="58" t="s">
        <v>11941</v>
      </c>
      <c r="J2406" s="22" t="s">
        <v>55</v>
      </c>
      <c r="K2406" s="22" t="s">
        <v>11870</v>
      </c>
      <c r="L2406" s="36"/>
      <c r="M2406" s="36"/>
      <c r="N2406" s="36"/>
      <c r="O2406" s="36"/>
      <c r="P2406" s="37"/>
      <c r="Q2406" s="36"/>
      <c r="R2406" s="36"/>
      <c r="S2406" s="36"/>
      <c r="T2406" s="28" t="s">
        <v>11942</v>
      </c>
      <c r="U2406" s="212" t="s">
        <v>61</v>
      </c>
      <c r="V2406" s="50"/>
      <c r="W2406" s="156"/>
      <c r="X2406" s="156"/>
      <c r="Y2406" s="35"/>
      <c r="Z2406" s="35"/>
      <c r="AA2406" s="35"/>
      <c r="AB2406" s="35"/>
      <c r="AC2406" s="35"/>
      <c r="AD2406" s="35"/>
      <c r="AE2406" s="35"/>
      <c r="AF2406" s="35"/>
      <c r="AG2406" s="35"/>
      <c r="AH2406" s="35"/>
      <c r="AI2406" s="35"/>
      <c r="AJ2406" s="35"/>
      <c r="AK2406" s="35"/>
      <c r="AL2406" s="35"/>
    </row>
    <row r="2407">
      <c r="A2407" s="89"/>
      <c r="B2407" s="157" t="s">
        <v>11661</v>
      </c>
      <c r="C2407" s="158" t="s">
        <v>6175</v>
      </c>
      <c r="D2407" s="159"/>
      <c r="E2407" s="56" t="s">
        <v>11663</v>
      </c>
      <c r="F2407" s="22" t="s">
        <v>3681</v>
      </c>
      <c r="G2407" s="57">
        <v>2001.0</v>
      </c>
      <c r="H2407" s="56" t="s">
        <v>3065</v>
      </c>
      <c r="I2407" s="58" t="s">
        <v>11943</v>
      </c>
      <c r="J2407" s="22" t="s">
        <v>11894</v>
      </c>
      <c r="K2407" s="22"/>
      <c r="L2407" s="36"/>
      <c r="M2407" s="36"/>
      <c r="N2407" s="36"/>
      <c r="O2407" s="36"/>
      <c r="P2407" s="37"/>
      <c r="Q2407" s="36"/>
      <c r="R2407" s="36"/>
      <c r="S2407" s="36"/>
      <c r="T2407" s="28" t="s">
        <v>11944</v>
      </c>
      <c r="U2407" s="64" t="str">
        <f>HYPERLINK("https://www.ncbi.nlm.nih.gov/pubmed/11550016","PubMed")</f>
        <v>PubMed</v>
      </c>
      <c r="V2407" s="50"/>
      <c r="W2407" s="156"/>
      <c r="X2407" s="156"/>
      <c r="Y2407" s="35"/>
      <c r="Z2407" s="35"/>
      <c r="AA2407" s="35"/>
      <c r="AB2407" s="35"/>
      <c r="AC2407" s="35"/>
      <c r="AD2407" s="35"/>
      <c r="AE2407" s="35"/>
      <c r="AF2407" s="35"/>
      <c r="AG2407" s="35"/>
      <c r="AH2407" s="35"/>
      <c r="AI2407" s="35"/>
      <c r="AJ2407" s="35"/>
      <c r="AK2407" s="35"/>
      <c r="AL2407" s="35"/>
    </row>
    <row r="2408">
      <c r="A2408" s="89"/>
      <c r="B2408" s="157" t="s">
        <v>11661</v>
      </c>
      <c r="C2408" s="158" t="s">
        <v>6175</v>
      </c>
      <c r="D2408" s="159"/>
      <c r="E2408" s="56" t="s">
        <v>11945</v>
      </c>
      <c r="F2408" s="22" t="s">
        <v>11946</v>
      </c>
      <c r="G2408" s="57">
        <v>2000.0</v>
      </c>
      <c r="H2408" s="56" t="s">
        <v>53</v>
      </c>
      <c r="I2408" s="58" t="s">
        <v>11947</v>
      </c>
      <c r="J2408" s="22" t="s">
        <v>55</v>
      </c>
      <c r="K2408" s="22" t="s">
        <v>11870</v>
      </c>
      <c r="L2408" s="36">
        <v>780.0</v>
      </c>
      <c r="M2408" s="36"/>
      <c r="N2408" s="36"/>
      <c r="O2408" s="36"/>
      <c r="P2408" s="37"/>
      <c r="Q2408" s="36"/>
      <c r="R2408" s="36"/>
      <c r="S2408" s="36"/>
      <c r="T2408" s="63" t="s">
        <v>11948</v>
      </c>
      <c r="U2408" s="161" t="str">
        <f>HYPERLINK("https://www.ncbi.nlm.nih.gov/pubmed/10918290","PubMed")</f>
        <v>PubMed</v>
      </c>
      <c r="V2408" s="30"/>
      <c r="W2408" s="156"/>
      <c r="X2408" s="156"/>
      <c r="Y2408" s="35"/>
      <c r="Z2408" s="35"/>
      <c r="AA2408" s="35"/>
      <c r="AB2408" s="35"/>
      <c r="AC2408" s="35"/>
      <c r="AD2408" s="35"/>
      <c r="AE2408" s="35"/>
      <c r="AF2408" s="35"/>
      <c r="AG2408" s="35"/>
      <c r="AH2408" s="35"/>
      <c r="AI2408" s="35"/>
      <c r="AJ2408" s="35"/>
      <c r="AK2408" s="35"/>
      <c r="AL2408" s="35"/>
    </row>
    <row r="2409">
      <c r="A2409" s="89"/>
      <c r="B2409" s="157" t="s">
        <v>11661</v>
      </c>
      <c r="C2409" s="158" t="s">
        <v>6175</v>
      </c>
      <c r="D2409" s="159"/>
      <c r="E2409" s="56" t="s">
        <v>11949</v>
      </c>
      <c r="F2409" s="22" t="s">
        <v>11946</v>
      </c>
      <c r="G2409" s="57">
        <v>1999.0</v>
      </c>
      <c r="H2409" s="56" t="s">
        <v>53</v>
      </c>
      <c r="I2409" s="58" t="s">
        <v>11950</v>
      </c>
      <c r="J2409" s="22" t="s">
        <v>55</v>
      </c>
      <c r="K2409" s="22" t="s">
        <v>11951</v>
      </c>
      <c r="L2409" s="36" t="s">
        <v>11952</v>
      </c>
      <c r="M2409" s="36"/>
      <c r="N2409" s="36"/>
      <c r="O2409" s="36"/>
      <c r="P2409" s="37"/>
      <c r="Q2409" s="36"/>
      <c r="R2409" s="36"/>
      <c r="S2409" s="36"/>
      <c r="T2409" s="63" t="s">
        <v>11953</v>
      </c>
      <c r="U2409" s="161" t="str">
        <f>HYPERLINK("https://www.ncbi.nlm.nih.gov/pubmed/10495295","PubMed")</f>
        <v>PubMed</v>
      </c>
      <c r="V2409" s="30" t="s">
        <v>11954</v>
      </c>
      <c r="W2409" s="156"/>
      <c r="X2409" s="156"/>
      <c r="Y2409" s="35"/>
      <c r="Z2409" s="35"/>
      <c r="AA2409" s="35"/>
      <c r="AB2409" s="35"/>
      <c r="AC2409" s="35"/>
      <c r="AD2409" s="35"/>
      <c r="AE2409" s="35"/>
      <c r="AF2409" s="35"/>
      <c r="AG2409" s="35"/>
      <c r="AH2409" s="35"/>
      <c r="AI2409" s="35"/>
      <c r="AJ2409" s="35"/>
      <c r="AK2409" s="35"/>
      <c r="AL2409" s="35"/>
    </row>
    <row r="2410">
      <c r="A2410" s="89"/>
      <c r="B2410" s="157" t="s">
        <v>11661</v>
      </c>
      <c r="C2410" s="158" t="s">
        <v>6175</v>
      </c>
      <c r="D2410" s="159"/>
      <c r="E2410" s="56" t="s">
        <v>6202</v>
      </c>
      <c r="F2410" s="22" t="s">
        <v>11955</v>
      </c>
      <c r="G2410" s="57">
        <v>1990.0</v>
      </c>
      <c r="H2410" s="56" t="s">
        <v>11956</v>
      </c>
      <c r="I2410" s="58" t="s">
        <v>11957</v>
      </c>
      <c r="J2410" s="22" t="s">
        <v>11958</v>
      </c>
      <c r="K2410" s="22" t="s">
        <v>2815</v>
      </c>
      <c r="L2410" s="36">
        <v>633.0</v>
      </c>
      <c r="M2410" s="36"/>
      <c r="N2410" s="36"/>
      <c r="O2410" s="36"/>
      <c r="P2410" s="37"/>
      <c r="Q2410" s="36"/>
      <c r="R2410" s="36"/>
      <c r="S2410" s="36"/>
      <c r="T2410" s="63" t="s">
        <v>11959</v>
      </c>
      <c r="U2410" s="64" t="s">
        <v>61</v>
      </c>
      <c r="V2410" s="30"/>
      <c r="W2410" s="156"/>
      <c r="X2410" s="156"/>
      <c r="Y2410" s="35"/>
      <c r="Z2410" s="35"/>
      <c r="AA2410" s="35"/>
      <c r="AB2410" s="35"/>
      <c r="AC2410" s="35"/>
      <c r="AD2410" s="35"/>
      <c r="AE2410" s="35"/>
      <c r="AF2410" s="35"/>
      <c r="AG2410" s="35"/>
      <c r="AH2410" s="35"/>
      <c r="AI2410" s="35"/>
      <c r="AJ2410" s="35"/>
      <c r="AK2410" s="35"/>
      <c r="AL2410" s="35"/>
    </row>
    <row r="2411">
      <c r="A2411" s="89"/>
      <c r="B2411" s="157" t="s">
        <v>11661</v>
      </c>
      <c r="C2411" s="158" t="s">
        <v>6175</v>
      </c>
      <c r="D2411" s="159"/>
      <c r="E2411" s="56" t="s">
        <v>6202</v>
      </c>
      <c r="F2411" s="22"/>
      <c r="G2411" s="57">
        <v>1988.0</v>
      </c>
      <c r="H2411" s="56" t="s">
        <v>11960</v>
      </c>
      <c r="I2411" s="58" t="s">
        <v>11961</v>
      </c>
      <c r="J2411" s="22" t="s">
        <v>11962</v>
      </c>
      <c r="K2411" s="22"/>
      <c r="L2411" s="36">
        <v>633.0</v>
      </c>
      <c r="M2411" s="183">
        <v>43192.0</v>
      </c>
      <c r="N2411" s="36"/>
      <c r="O2411" s="36"/>
      <c r="P2411" s="37"/>
      <c r="Q2411" s="36"/>
      <c r="R2411" s="36">
        <v>1500.0</v>
      </c>
      <c r="S2411" s="36" t="s">
        <v>11963</v>
      </c>
      <c r="T2411" s="63" t="s">
        <v>11964</v>
      </c>
      <c r="U2411" s="161" t="str">
        <f>HYPERLINK("https://www.ncbi.nlm.nih.gov/pubmed/2463392","PubMed")</f>
        <v>PubMed</v>
      </c>
      <c r="V2411" s="30"/>
      <c r="W2411" s="156"/>
      <c r="X2411" s="156"/>
      <c r="Y2411" s="35"/>
      <c r="Z2411" s="35"/>
      <c r="AA2411" s="35"/>
      <c r="AB2411" s="35"/>
      <c r="AC2411" s="35"/>
      <c r="AD2411" s="35"/>
      <c r="AE2411" s="35"/>
      <c r="AF2411" s="35"/>
      <c r="AG2411" s="35"/>
      <c r="AH2411" s="35"/>
      <c r="AI2411" s="35"/>
      <c r="AJ2411" s="35"/>
      <c r="AK2411" s="35"/>
      <c r="AL2411" s="35"/>
    </row>
    <row r="2412">
      <c r="A2412" s="89"/>
      <c r="B2412" s="157" t="s">
        <v>11661</v>
      </c>
      <c r="C2412" s="158" t="s">
        <v>11965</v>
      </c>
      <c r="D2412" s="159"/>
      <c r="E2412" s="56" t="s">
        <v>11966</v>
      </c>
      <c r="F2412" s="22" t="s">
        <v>3681</v>
      </c>
      <c r="G2412" s="57">
        <v>2018.0</v>
      </c>
      <c r="H2412" s="56" t="s">
        <v>3065</v>
      </c>
      <c r="I2412" s="58" t="s">
        <v>11967</v>
      </c>
      <c r="J2412" s="22" t="s">
        <v>55</v>
      </c>
      <c r="K2412" s="22" t="s">
        <v>11968</v>
      </c>
      <c r="L2412" s="36" t="s">
        <v>11969</v>
      </c>
      <c r="M2412" s="36"/>
      <c r="N2412" s="36"/>
      <c r="O2412" s="36"/>
      <c r="P2412" s="37"/>
      <c r="Q2412" s="36"/>
      <c r="R2412" s="36"/>
      <c r="S2412" s="36"/>
      <c r="T2412" s="83" t="s">
        <v>11970</v>
      </c>
      <c r="U2412" s="161" t="str">
        <f>HYPERLINK("https://www.ncbi.nlm.nih.gov/pubmed/29998437","PubMed")</f>
        <v>PubMed</v>
      </c>
      <c r="V2412" s="30"/>
      <c r="W2412" s="156"/>
      <c r="X2412" s="156"/>
      <c r="Y2412" s="35"/>
      <c r="Z2412" s="35"/>
      <c r="AA2412" s="35"/>
      <c r="AB2412" s="35"/>
      <c r="AC2412" s="35"/>
      <c r="AD2412" s="35"/>
      <c r="AE2412" s="35"/>
      <c r="AF2412" s="35"/>
      <c r="AG2412" s="35"/>
      <c r="AH2412" s="35"/>
      <c r="AI2412" s="35"/>
      <c r="AJ2412" s="35"/>
      <c r="AK2412" s="35"/>
      <c r="AL2412" s="35"/>
    </row>
    <row r="2413">
      <c r="A2413" s="89"/>
      <c r="B2413" s="157" t="s">
        <v>11661</v>
      </c>
      <c r="C2413" s="158" t="s">
        <v>11971</v>
      </c>
      <c r="D2413" s="159"/>
      <c r="E2413" s="56" t="s">
        <v>2316</v>
      </c>
      <c r="F2413" s="22" t="s">
        <v>224</v>
      </c>
      <c r="G2413" s="57">
        <v>2004.0</v>
      </c>
      <c r="H2413" s="56" t="s">
        <v>11972</v>
      </c>
      <c r="I2413" s="58" t="s">
        <v>11973</v>
      </c>
      <c r="J2413" s="22" t="s">
        <v>55</v>
      </c>
      <c r="K2413" s="22"/>
      <c r="L2413" s="36">
        <v>633.0</v>
      </c>
      <c r="M2413" s="36"/>
      <c r="N2413" s="36" t="s">
        <v>1897</v>
      </c>
      <c r="O2413" s="36"/>
      <c r="P2413" s="37" t="s">
        <v>11974</v>
      </c>
      <c r="Q2413" s="36"/>
      <c r="R2413" s="36"/>
      <c r="S2413" s="36"/>
      <c r="T2413" s="83" t="s">
        <v>11975</v>
      </c>
      <c r="U2413" s="161" t="str">
        <f>HYPERLINK("https://www.ncbi.nlm.nih.gov/pubmed/15498368","PubMed")</f>
        <v>PubMed</v>
      </c>
      <c r="V2413" s="30"/>
      <c r="W2413" s="156"/>
      <c r="X2413" s="156"/>
      <c r="Y2413" s="35"/>
      <c r="Z2413" s="35"/>
      <c r="AA2413" s="35"/>
      <c r="AB2413" s="35"/>
      <c r="AC2413" s="35"/>
      <c r="AD2413" s="35"/>
      <c r="AE2413" s="35"/>
      <c r="AF2413" s="35"/>
      <c r="AG2413" s="35"/>
      <c r="AH2413" s="35"/>
      <c r="AI2413" s="35"/>
      <c r="AJ2413" s="35"/>
      <c r="AK2413" s="35"/>
      <c r="AL2413" s="35"/>
    </row>
    <row r="2414">
      <c r="A2414" s="89"/>
      <c r="B2414" s="157" t="s">
        <v>11661</v>
      </c>
      <c r="C2414" s="158" t="s">
        <v>11976</v>
      </c>
      <c r="D2414" s="159"/>
      <c r="E2414" s="56" t="s">
        <v>11966</v>
      </c>
      <c r="F2414" s="22" t="s">
        <v>3681</v>
      </c>
      <c r="G2414" s="57">
        <v>2015.0</v>
      </c>
      <c r="H2414" s="56" t="s">
        <v>3065</v>
      </c>
      <c r="I2414" s="58" t="s">
        <v>11977</v>
      </c>
      <c r="J2414" s="22" t="s">
        <v>55</v>
      </c>
      <c r="K2414" s="22"/>
      <c r="L2414" s="36" t="s">
        <v>11978</v>
      </c>
      <c r="M2414" s="36"/>
      <c r="N2414" s="36" t="s">
        <v>1897</v>
      </c>
      <c r="O2414" s="36"/>
      <c r="P2414" s="37"/>
      <c r="Q2414" s="36"/>
      <c r="R2414" s="36"/>
      <c r="S2414" s="36"/>
      <c r="T2414" s="83" t="s">
        <v>11979</v>
      </c>
      <c r="U2414" s="161" t="str">
        <f>HYPERLINK("https://www.ncbi.nlm.nih.gov/pubmed/26028233","PubMed")</f>
        <v>PubMed</v>
      </c>
      <c r="V2414" s="30"/>
      <c r="W2414" s="156"/>
      <c r="X2414" s="156"/>
      <c r="Y2414" s="35"/>
      <c r="Z2414" s="35"/>
      <c r="AA2414" s="35"/>
      <c r="AB2414" s="35"/>
      <c r="AC2414" s="35"/>
      <c r="AD2414" s="35"/>
      <c r="AE2414" s="35"/>
      <c r="AF2414" s="35"/>
      <c r="AG2414" s="35"/>
      <c r="AH2414" s="35"/>
      <c r="AI2414" s="35"/>
      <c r="AJ2414" s="35"/>
      <c r="AK2414" s="35"/>
      <c r="AL2414" s="35"/>
    </row>
    <row r="2415">
      <c r="A2415" s="1"/>
      <c r="B2415" s="19" t="s">
        <v>11717</v>
      </c>
      <c r="C2415" s="20" t="s">
        <v>2036</v>
      </c>
      <c r="D2415" s="47"/>
      <c r="E2415" s="22" t="s">
        <v>11980</v>
      </c>
      <c r="F2415" s="22" t="s">
        <v>2143</v>
      </c>
      <c r="G2415" s="23">
        <v>2023.0</v>
      </c>
      <c r="H2415" s="22" t="s">
        <v>2375</v>
      </c>
      <c r="I2415" s="24" t="s">
        <v>11981</v>
      </c>
      <c r="J2415" s="22" t="s">
        <v>125</v>
      </c>
      <c r="K2415" s="22"/>
      <c r="L2415" s="105" t="s">
        <v>11982</v>
      </c>
      <c r="M2415" s="44"/>
      <c r="N2415" s="44"/>
      <c r="O2415" s="44"/>
      <c r="P2415" s="44"/>
      <c r="Q2415" s="44"/>
      <c r="R2415" s="44"/>
      <c r="S2415" s="44"/>
      <c r="T2415" s="45"/>
      <c r="U2415" s="38" t="s">
        <v>61</v>
      </c>
      <c r="V2415" s="30"/>
      <c r="W2415" s="49"/>
      <c r="X2415" s="49"/>
      <c r="Y2415" s="35"/>
      <c r="Z2415" s="35"/>
      <c r="AA2415" s="35"/>
      <c r="AB2415" s="35"/>
      <c r="AC2415" s="35"/>
      <c r="AD2415" s="35"/>
      <c r="AE2415" s="35"/>
      <c r="AF2415" s="35"/>
      <c r="AG2415" s="35"/>
      <c r="AH2415" s="35"/>
      <c r="AI2415" s="35"/>
      <c r="AJ2415" s="35"/>
      <c r="AK2415" s="35"/>
      <c r="AL2415" s="35"/>
    </row>
    <row r="2416">
      <c r="A2416" s="1"/>
      <c r="B2416" s="19" t="s">
        <v>11717</v>
      </c>
      <c r="C2416" s="20" t="s">
        <v>2036</v>
      </c>
      <c r="D2416" s="47"/>
      <c r="E2416" s="22" t="s">
        <v>11983</v>
      </c>
      <c r="F2416" s="22" t="s">
        <v>224</v>
      </c>
      <c r="G2416" s="23">
        <v>2016.0</v>
      </c>
      <c r="H2416" s="22" t="s">
        <v>658</v>
      </c>
      <c r="I2416" s="24" t="s">
        <v>11984</v>
      </c>
      <c r="J2416" s="22" t="s">
        <v>125</v>
      </c>
      <c r="K2416" s="22"/>
      <c r="L2416" s="105" t="s">
        <v>11985</v>
      </c>
      <c r="M2416" s="44"/>
      <c r="N2416" s="44"/>
      <c r="O2416" s="44"/>
      <c r="P2416" s="44"/>
      <c r="Q2416" s="44"/>
      <c r="R2416" s="44"/>
      <c r="S2416" s="44"/>
      <c r="T2416" s="45"/>
      <c r="U2416" s="38" t="str">
        <f>HYPERLINK("https://www.ncbi.nlm.nih.gov/pubmed/27627137","PubMed")</f>
        <v>PubMed</v>
      </c>
      <c r="V2416" s="30"/>
      <c r="W2416" s="49"/>
      <c r="X2416" s="49"/>
      <c r="Y2416" s="35"/>
      <c r="Z2416" s="35"/>
      <c r="AA2416" s="35"/>
      <c r="AB2416" s="35"/>
      <c r="AC2416" s="35"/>
      <c r="AD2416" s="35"/>
      <c r="AE2416" s="35"/>
      <c r="AF2416" s="35"/>
      <c r="AG2416" s="35"/>
      <c r="AH2416" s="35"/>
      <c r="AI2416" s="35"/>
      <c r="AJ2416" s="35"/>
      <c r="AK2416" s="35"/>
      <c r="AL2416" s="35"/>
    </row>
    <row r="2417">
      <c r="A2417" s="89"/>
      <c r="B2417" s="157" t="s">
        <v>11661</v>
      </c>
      <c r="C2417" s="158" t="s">
        <v>11986</v>
      </c>
      <c r="D2417" s="159"/>
      <c r="E2417" s="56" t="s">
        <v>11987</v>
      </c>
      <c r="F2417" s="22" t="s">
        <v>2076</v>
      </c>
      <c r="G2417" s="57">
        <v>2007.0</v>
      </c>
      <c r="H2417" s="56" t="s">
        <v>11988</v>
      </c>
      <c r="I2417" s="58" t="s">
        <v>11989</v>
      </c>
      <c r="J2417" s="22" t="s">
        <v>11990</v>
      </c>
      <c r="K2417" s="22"/>
      <c r="L2417" s="36">
        <v>633.0</v>
      </c>
      <c r="M2417" s="36"/>
      <c r="N2417" s="36"/>
      <c r="O2417" s="36"/>
      <c r="P2417" s="37"/>
      <c r="Q2417" s="36"/>
      <c r="R2417" s="36">
        <v>900.0</v>
      </c>
      <c r="S2417" s="36" t="s">
        <v>11991</v>
      </c>
      <c r="T2417" s="83" t="s">
        <v>11992</v>
      </c>
      <c r="U2417" s="161" t="str">
        <f>HYPERLINK("https://www.ncbi.nlm.nih.gov/pubmed/17295156","PubMed")</f>
        <v>PubMed</v>
      </c>
      <c r="V2417" s="30"/>
      <c r="W2417" s="156"/>
      <c r="X2417" s="156"/>
      <c r="Y2417" s="35"/>
      <c r="Z2417" s="35"/>
      <c r="AA2417" s="35"/>
      <c r="AB2417" s="35"/>
      <c r="AC2417" s="35"/>
      <c r="AD2417" s="35"/>
      <c r="AE2417" s="35"/>
      <c r="AF2417" s="35"/>
      <c r="AG2417" s="35"/>
      <c r="AH2417" s="35"/>
      <c r="AI2417" s="35"/>
      <c r="AJ2417" s="35"/>
      <c r="AK2417" s="35"/>
      <c r="AL2417" s="35"/>
    </row>
    <row r="2418">
      <c r="A2418" s="89"/>
      <c r="B2418" s="157" t="s">
        <v>11661</v>
      </c>
      <c r="C2418" s="158" t="s">
        <v>11986</v>
      </c>
      <c r="D2418" s="159"/>
      <c r="E2418" s="56" t="s">
        <v>11993</v>
      </c>
      <c r="F2418" s="22" t="s">
        <v>11994</v>
      </c>
      <c r="G2418" s="57">
        <v>2005.0</v>
      </c>
      <c r="H2418" s="56" t="s">
        <v>11995</v>
      </c>
      <c r="I2418" s="58" t="s">
        <v>11996</v>
      </c>
      <c r="J2418" s="22" t="s">
        <v>125</v>
      </c>
      <c r="K2418" s="22"/>
      <c r="L2418" s="101" t="s">
        <v>11997</v>
      </c>
      <c r="M2418" s="44"/>
      <c r="N2418" s="44"/>
      <c r="O2418" s="44"/>
      <c r="P2418" s="44"/>
      <c r="Q2418" s="44"/>
      <c r="R2418" s="44"/>
      <c r="S2418" s="44"/>
      <c r="T2418" s="45"/>
      <c r="U2418" s="161" t="str">
        <f>HYPERLINK("https://www.ncbi.nlm.nih.gov/pubmed/15998818","PubMed")</f>
        <v>PubMed</v>
      </c>
      <c r="V2418" s="30"/>
      <c r="W2418" s="156"/>
      <c r="X2418" s="156"/>
      <c r="Y2418" s="35"/>
      <c r="Z2418" s="35"/>
      <c r="AA2418" s="35"/>
      <c r="AB2418" s="35"/>
      <c r="AC2418" s="35"/>
      <c r="AD2418" s="35"/>
      <c r="AE2418" s="35"/>
      <c r="AF2418" s="35"/>
      <c r="AG2418" s="35"/>
      <c r="AH2418" s="35"/>
      <c r="AI2418" s="35"/>
      <c r="AJ2418" s="35"/>
      <c r="AK2418" s="35"/>
      <c r="AL2418" s="35"/>
    </row>
    <row r="2419">
      <c r="A2419" s="147"/>
      <c r="B2419" s="157" t="s">
        <v>11661</v>
      </c>
      <c r="C2419" s="158" t="s">
        <v>11986</v>
      </c>
      <c r="D2419" s="159"/>
      <c r="E2419" s="56" t="s">
        <v>11998</v>
      </c>
      <c r="F2419" s="22" t="s">
        <v>748</v>
      </c>
      <c r="G2419" s="23">
        <v>1992.0</v>
      </c>
      <c r="H2419" s="22" t="s">
        <v>11960</v>
      </c>
      <c r="I2419" s="58" t="s">
        <v>11999</v>
      </c>
      <c r="J2419" s="22" t="s">
        <v>12000</v>
      </c>
      <c r="K2419" s="22" t="s">
        <v>9298</v>
      </c>
      <c r="L2419" s="36">
        <v>633.0</v>
      </c>
      <c r="M2419" s="36"/>
      <c r="N2419" s="36"/>
      <c r="O2419" s="36"/>
      <c r="P2419" s="37"/>
      <c r="Q2419" s="36"/>
      <c r="R2419" s="36"/>
      <c r="S2419" s="36"/>
      <c r="T2419" s="63" t="s">
        <v>12001</v>
      </c>
      <c r="U2419" s="161" t="str">
        <f>HYPERLINK("https://www.ncbi.nlm.nih.gov/pubmed/1487878","PubMed")</f>
        <v>PubMed</v>
      </c>
      <c r="V2419" s="30"/>
      <c r="W2419" s="156"/>
      <c r="X2419" s="156"/>
      <c r="Y2419" s="35"/>
      <c r="Z2419" s="35"/>
      <c r="AA2419" s="35"/>
      <c r="AB2419" s="35"/>
      <c r="AC2419" s="35"/>
      <c r="AD2419" s="35"/>
      <c r="AE2419" s="35"/>
      <c r="AF2419" s="35"/>
      <c r="AG2419" s="35"/>
      <c r="AH2419" s="35"/>
      <c r="AI2419" s="35"/>
      <c r="AJ2419" s="35"/>
      <c r="AK2419" s="35"/>
      <c r="AL2419" s="35"/>
    </row>
    <row r="2420">
      <c r="A2420" s="147"/>
      <c r="B2420" s="75" t="s">
        <v>11661</v>
      </c>
      <c r="C2420" s="158" t="s">
        <v>12002</v>
      </c>
      <c r="D2420" s="159"/>
      <c r="E2420" s="56" t="s">
        <v>12003</v>
      </c>
      <c r="F2420" s="22" t="s">
        <v>12004</v>
      </c>
      <c r="G2420" s="23">
        <v>2022.0</v>
      </c>
      <c r="H2420" s="22" t="s">
        <v>4455</v>
      </c>
      <c r="I2420" s="58" t="s">
        <v>12005</v>
      </c>
      <c r="J2420" s="22" t="s">
        <v>8456</v>
      </c>
      <c r="K2420" s="22"/>
      <c r="L2420" s="280" t="s">
        <v>3447</v>
      </c>
      <c r="M2420" s="280"/>
      <c r="N2420" s="280"/>
      <c r="O2420" s="280"/>
      <c r="P2420" s="281"/>
      <c r="Q2420" s="280"/>
      <c r="R2420" s="280"/>
      <c r="S2420" s="36"/>
      <c r="T2420" s="63" t="s">
        <v>12006</v>
      </c>
      <c r="U2420" s="60" t="s">
        <v>61</v>
      </c>
      <c r="V2420" s="30" t="s">
        <v>12007</v>
      </c>
      <c r="W2420" s="156"/>
      <c r="X2420" s="156"/>
      <c r="Y2420" s="35"/>
      <c r="Z2420" s="35"/>
      <c r="AA2420" s="35"/>
      <c r="AB2420" s="35"/>
      <c r="AC2420" s="35"/>
      <c r="AD2420" s="35"/>
      <c r="AE2420" s="35"/>
      <c r="AF2420" s="35"/>
      <c r="AG2420" s="35"/>
      <c r="AH2420" s="35"/>
      <c r="AI2420" s="35"/>
      <c r="AJ2420" s="35"/>
      <c r="AK2420" s="35"/>
      <c r="AL2420" s="35"/>
    </row>
    <row r="2421">
      <c r="A2421" s="89"/>
      <c r="B2421" s="75" t="s">
        <v>11661</v>
      </c>
      <c r="C2421" s="77" t="s">
        <v>12008</v>
      </c>
      <c r="D2421" s="112"/>
      <c r="E2421" s="218" t="s">
        <v>12009</v>
      </c>
      <c r="F2421" s="115" t="s">
        <v>291</v>
      </c>
      <c r="G2421" s="23">
        <v>2000.0</v>
      </c>
      <c r="H2421" s="218" t="s">
        <v>12010</v>
      </c>
      <c r="I2421" s="220" t="s">
        <v>12011</v>
      </c>
      <c r="J2421" s="113" t="s">
        <v>44</v>
      </c>
      <c r="K2421" s="121"/>
      <c r="L2421" s="118"/>
      <c r="M2421" s="118"/>
      <c r="N2421" s="118"/>
      <c r="O2421" s="118"/>
      <c r="P2421" s="119"/>
      <c r="Q2421" s="118"/>
      <c r="R2421" s="118"/>
      <c r="S2421" s="37">
        <v>2.0</v>
      </c>
      <c r="T2421" s="282" t="s">
        <v>12012</v>
      </c>
      <c r="U2421" s="283" t="str">
        <f>HYPERLINK("https://www.ncbi.nlm.nih.gov/pubmed/11099165","PubMed")</f>
        <v>PubMed</v>
      </c>
      <c r="V2421" s="30"/>
      <c r="W2421" s="156"/>
      <c r="X2421" s="156"/>
      <c r="Y2421" s="35"/>
      <c r="Z2421" s="35"/>
      <c r="AA2421" s="35"/>
      <c r="AB2421" s="35"/>
      <c r="AC2421" s="35"/>
      <c r="AD2421" s="35"/>
      <c r="AE2421" s="35"/>
      <c r="AF2421" s="35"/>
      <c r="AG2421" s="35"/>
      <c r="AH2421" s="35"/>
      <c r="AI2421" s="35"/>
      <c r="AJ2421" s="35"/>
      <c r="AK2421" s="35"/>
      <c r="AL2421" s="35"/>
    </row>
    <row r="2422">
      <c r="A2422" s="89"/>
      <c r="B2422" s="157" t="s">
        <v>11661</v>
      </c>
      <c r="C2422" s="158" t="s">
        <v>12013</v>
      </c>
      <c r="D2422" s="159"/>
      <c r="E2422" s="56" t="s">
        <v>12014</v>
      </c>
      <c r="F2422" s="22" t="s">
        <v>7245</v>
      </c>
      <c r="G2422" s="23">
        <v>2005.0</v>
      </c>
      <c r="H2422" s="56" t="s">
        <v>12015</v>
      </c>
      <c r="I2422" s="58" t="s">
        <v>12016</v>
      </c>
      <c r="J2422" s="22" t="s">
        <v>55</v>
      </c>
      <c r="K2422" s="22"/>
      <c r="L2422" s="36">
        <v>634.0</v>
      </c>
      <c r="M2422" s="36"/>
      <c r="N2422" s="36"/>
      <c r="O2422" s="36"/>
      <c r="P2422" s="37"/>
      <c r="Q2422" s="36"/>
      <c r="R2422" s="36"/>
      <c r="S2422" s="36"/>
      <c r="T2422" s="83" t="s">
        <v>12017</v>
      </c>
      <c r="U2422" s="161" t="str">
        <f>HYPERLINK("https://www.ncbi.nlm.nih.gov/pubmed/15808696","PubMed")</f>
        <v>PubMed</v>
      </c>
      <c r="V2422" s="30"/>
      <c r="W2422" s="156"/>
      <c r="X2422" s="156"/>
      <c r="Y2422" s="35"/>
      <c r="Z2422" s="35"/>
      <c r="AA2422" s="35"/>
      <c r="AB2422" s="35"/>
      <c r="AC2422" s="35"/>
      <c r="AD2422" s="35"/>
      <c r="AE2422" s="35"/>
      <c r="AF2422" s="35"/>
      <c r="AG2422" s="35"/>
      <c r="AH2422" s="35"/>
      <c r="AI2422" s="35"/>
      <c r="AJ2422" s="35"/>
      <c r="AK2422" s="35"/>
      <c r="AL2422" s="35"/>
    </row>
    <row r="2423">
      <c r="A2423" s="1"/>
      <c r="B2423" s="19" t="s">
        <v>12018</v>
      </c>
      <c r="C2423" s="20" t="s">
        <v>12019</v>
      </c>
      <c r="D2423" s="47"/>
      <c r="E2423" s="22" t="s">
        <v>12020</v>
      </c>
      <c r="F2423" s="22" t="s">
        <v>12021</v>
      </c>
      <c r="G2423" s="23">
        <v>2014.0</v>
      </c>
      <c r="H2423" s="22" t="s">
        <v>12022</v>
      </c>
      <c r="I2423" s="24" t="s">
        <v>12023</v>
      </c>
      <c r="J2423" s="22" t="s">
        <v>31</v>
      </c>
      <c r="K2423" s="22" t="s">
        <v>5613</v>
      </c>
      <c r="L2423" s="36">
        <v>633.0</v>
      </c>
      <c r="M2423" s="36"/>
      <c r="N2423" s="36"/>
      <c r="O2423" s="36"/>
      <c r="P2423" s="37"/>
      <c r="Q2423" s="36"/>
      <c r="R2423" s="36"/>
      <c r="S2423" s="36"/>
      <c r="T2423" s="28" t="s">
        <v>12024</v>
      </c>
      <c r="U2423" s="38" t="str">
        <f>HYPERLINK("https://www.ncbi.nlm.nih.gov/pubmed/23943087","PubMed")</f>
        <v>PubMed</v>
      </c>
      <c r="V2423" s="50"/>
      <c r="W2423" s="49"/>
      <c r="X2423" s="49"/>
      <c r="Y2423" s="35"/>
      <c r="Z2423" s="35"/>
      <c r="AA2423" s="35"/>
      <c r="AB2423" s="35"/>
      <c r="AC2423" s="35"/>
      <c r="AD2423" s="35"/>
      <c r="AE2423" s="35"/>
      <c r="AF2423" s="35"/>
      <c r="AG2423" s="35"/>
      <c r="AH2423" s="35"/>
      <c r="AI2423" s="35"/>
      <c r="AJ2423" s="35"/>
      <c r="AK2423" s="35"/>
      <c r="AL2423" s="35"/>
    </row>
    <row r="2424">
      <c r="A2424" s="55" t="s">
        <v>181</v>
      </c>
      <c r="B2424" s="19" t="s">
        <v>12018</v>
      </c>
      <c r="C2424" s="20" t="s">
        <v>12025</v>
      </c>
      <c r="D2424" s="47"/>
      <c r="E2424" s="22" t="s">
        <v>12026</v>
      </c>
      <c r="F2424" s="22" t="s">
        <v>12027</v>
      </c>
      <c r="G2424" s="23">
        <v>2019.0</v>
      </c>
      <c r="H2424" s="22" t="s">
        <v>2479</v>
      </c>
      <c r="I2424" s="24" t="s">
        <v>12028</v>
      </c>
      <c r="J2424" s="22" t="s">
        <v>44</v>
      </c>
      <c r="K2424" s="22"/>
      <c r="L2424" s="36">
        <v>1270.0</v>
      </c>
      <c r="M2424" s="36"/>
      <c r="N2424" s="36"/>
      <c r="O2424" s="36"/>
      <c r="P2424" s="37"/>
      <c r="Q2424" s="36"/>
      <c r="R2424" s="36"/>
      <c r="S2424" s="36"/>
      <c r="T2424" s="42" t="s">
        <v>12029</v>
      </c>
      <c r="U2424" s="38" t="str">
        <f>HYPERLINK("https://www.ncbi.nlm.nih.gov/pubmed/31453009","PubMed")</f>
        <v>PubMed</v>
      </c>
      <c r="V2424" s="50"/>
      <c r="W2424" s="49"/>
      <c r="X2424" s="49"/>
      <c r="Y2424" s="35"/>
      <c r="Z2424" s="35"/>
      <c r="AA2424" s="35"/>
      <c r="AB2424" s="35"/>
      <c r="AC2424" s="35"/>
      <c r="AD2424" s="35"/>
      <c r="AE2424" s="35"/>
      <c r="AF2424" s="35"/>
      <c r="AG2424" s="35"/>
      <c r="AH2424" s="35"/>
      <c r="AI2424" s="35"/>
      <c r="AJ2424" s="35"/>
      <c r="AK2424" s="35"/>
      <c r="AL2424" s="35"/>
    </row>
    <row r="2425">
      <c r="A2425" s="1"/>
      <c r="B2425" s="19" t="s">
        <v>12018</v>
      </c>
      <c r="C2425" s="20" t="s">
        <v>12030</v>
      </c>
      <c r="D2425" s="47"/>
      <c r="E2425" s="22" t="s">
        <v>1904</v>
      </c>
      <c r="F2425" s="22" t="s">
        <v>1622</v>
      </c>
      <c r="G2425" s="23">
        <v>2007.0</v>
      </c>
      <c r="H2425" s="22" t="s">
        <v>53</v>
      </c>
      <c r="I2425" s="24" t="s">
        <v>12031</v>
      </c>
      <c r="J2425" s="22" t="s">
        <v>31</v>
      </c>
      <c r="K2425" s="22" t="s">
        <v>12032</v>
      </c>
      <c r="L2425" s="36">
        <v>635.0</v>
      </c>
      <c r="M2425" s="36"/>
      <c r="N2425" s="36"/>
      <c r="O2425" s="36"/>
      <c r="P2425" s="37"/>
      <c r="Q2425" s="36"/>
      <c r="R2425" s="36"/>
      <c r="S2425" s="36"/>
      <c r="T2425" s="28" t="s">
        <v>12033</v>
      </c>
      <c r="U2425" s="38" t="str">
        <f>HYPERLINK("https://www.ncbi.nlm.nih.gov/pubmed/17868110","PubMed")</f>
        <v>PubMed</v>
      </c>
      <c r="V2425" s="50"/>
      <c r="W2425" s="49"/>
      <c r="X2425" s="49"/>
      <c r="Y2425" s="35"/>
      <c r="Z2425" s="35"/>
      <c r="AA2425" s="35"/>
      <c r="AB2425" s="35"/>
      <c r="AC2425" s="35"/>
      <c r="AD2425" s="35"/>
      <c r="AE2425" s="35"/>
      <c r="AF2425" s="35"/>
      <c r="AG2425" s="35"/>
      <c r="AH2425" s="35"/>
      <c r="AI2425" s="35"/>
      <c r="AJ2425" s="35"/>
      <c r="AK2425" s="35"/>
      <c r="AL2425" s="35"/>
    </row>
    <row r="2426">
      <c r="A2426" s="1"/>
      <c r="B2426" s="19" t="s">
        <v>12018</v>
      </c>
      <c r="C2426" s="20" t="s">
        <v>12034</v>
      </c>
      <c r="D2426" s="47"/>
      <c r="E2426" s="22" t="s">
        <v>12035</v>
      </c>
      <c r="F2426" s="22" t="s">
        <v>1499</v>
      </c>
      <c r="G2426" s="23">
        <v>2017.0</v>
      </c>
      <c r="H2426" s="22" t="s">
        <v>658</v>
      </c>
      <c r="I2426" s="24" t="s">
        <v>12036</v>
      </c>
      <c r="J2426" s="22" t="s">
        <v>31</v>
      </c>
      <c r="K2426" s="22" t="s">
        <v>12037</v>
      </c>
      <c r="L2426" s="36">
        <v>460.0</v>
      </c>
      <c r="M2426" s="36"/>
      <c r="N2426" s="36"/>
      <c r="O2426" s="36"/>
      <c r="P2426" s="37" t="s">
        <v>12038</v>
      </c>
      <c r="Q2426" s="36"/>
      <c r="R2426" s="36"/>
      <c r="S2426" s="36"/>
      <c r="T2426" s="41" t="s">
        <v>12039</v>
      </c>
      <c r="U2426" s="38" t="str">
        <f>HYPERLINK("https://www.ncbi.nlm.nih.gov/pubmed/28621565","PubMed")</f>
        <v>PubMed</v>
      </c>
      <c r="V2426" s="50"/>
      <c r="W2426" s="49"/>
      <c r="X2426" s="49"/>
      <c r="Y2426" s="35"/>
      <c r="Z2426" s="35"/>
      <c r="AA2426" s="35"/>
      <c r="AB2426" s="35"/>
      <c r="AC2426" s="35"/>
      <c r="AD2426" s="35"/>
      <c r="AE2426" s="35"/>
      <c r="AF2426" s="35"/>
      <c r="AG2426" s="35"/>
      <c r="AH2426" s="35"/>
      <c r="AI2426" s="35"/>
      <c r="AJ2426" s="35"/>
      <c r="AK2426" s="35"/>
      <c r="AL2426" s="35"/>
    </row>
    <row r="2427">
      <c r="A2427" s="1"/>
      <c r="B2427" s="19" t="s">
        <v>12018</v>
      </c>
      <c r="C2427" s="20" t="s">
        <v>12034</v>
      </c>
      <c r="D2427" s="47"/>
      <c r="E2427" s="22" t="s">
        <v>2195</v>
      </c>
      <c r="F2427" s="22" t="s">
        <v>2407</v>
      </c>
      <c r="G2427" s="23">
        <v>2011.0</v>
      </c>
      <c r="H2427" s="22" t="s">
        <v>658</v>
      </c>
      <c r="I2427" s="24" t="s">
        <v>12040</v>
      </c>
      <c r="J2427" s="22" t="s">
        <v>31</v>
      </c>
      <c r="K2427" s="22"/>
      <c r="L2427" s="36">
        <v>810.0</v>
      </c>
      <c r="M2427" s="36"/>
      <c r="N2427" s="36" t="s">
        <v>12041</v>
      </c>
      <c r="O2427" s="36"/>
      <c r="P2427" s="37" t="s">
        <v>12042</v>
      </c>
      <c r="Q2427" s="36"/>
      <c r="R2427" s="36"/>
      <c r="S2427" s="36"/>
      <c r="T2427" s="28" t="s">
        <v>12043</v>
      </c>
      <c r="U2427" s="38" t="str">
        <f>HYPERLINK("https://www.ncbi.nlm.nih.gov/pubmed/21214383","PubMed")</f>
        <v>PubMed</v>
      </c>
      <c r="V2427" s="50"/>
      <c r="W2427" s="49"/>
      <c r="X2427" s="49"/>
      <c r="Y2427" s="35"/>
      <c r="Z2427" s="35"/>
      <c r="AA2427" s="35"/>
      <c r="AB2427" s="35"/>
      <c r="AC2427" s="35"/>
      <c r="AD2427" s="35"/>
      <c r="AE2427" s="35"/>
      <c r="AF2427" s="35"/>
      <c r="AG2427" s="35"/>
      <c r="AH2427" s="35"/>
      <c r="AI2427" s="35"/>
      <c r="AJ2427" s="35"/>
      <c r="AK2427" s="35"/>
      <c r="AL2427" s="35"/>
    </row>
    <row r="2428">
      <c r="A2428" s="40" t="s">
        <v>2</v>
      </c>
      <c r="B2428" s="19" t="s">
        <v>12018</v>
      </c>
      <c r="C2428" s="20" t="s">
        <v>12044</v>
      </c>
      <c r="D2428" s="47"/>
      <c r="E2428" s="22" t="s">
        <v>12045</v>
      </c>
      <c r="F2428" s="22" t="s">
        <v>12046</v>
      </c>
      <c r="G2428" s="23">
        <v>2023.0</v>
      </c>
      <c r="H2428" s="22" t="s">
        <v>2122</v>
      </c>
      <c r="I2428" s="24" t="s">
        <v>12047</v>
      </c>
      <c r="J2428" s="22" t="s">
        <v>44</v>
      </c>
      <c r="K2428" s="22" t="s">
        <v>12048</v>
      </c>
      <c r="L2428" s="36"/>
      <c r="M2428" s="36"/>
      <c r="N2428" s="36"/>
      <c r="O2428" s="36"/>
      <c r="P2428" s="37"/>
      <c r="Q2428" s="36"/>
      <c r="R2428" s="36">
        <v>1800.0</v>
      </c>
      <c r="S2428" s="36" t="s">
        <v>3478</v>
      </c>
      <c r="T2428" s="28" t="s">
        <v>12049</v>
      </c>
      <c r="U2428" s="38" t="s">
        <v>61</v>
      </c>
      <c r="V2428" s="50"/>
      <c r="W2428" s="49"/>
      <c r="X2428" s="49"/>
      <c r="Y2428" s="35"/>
      <c r="Z2428" s="35"/>
      <c r="AA2428" s="35"/>
      <c r="AB2428" s="35"/>
      <c r="AC2428" s="35"/>
      <c r="AD2428" s="35"/>
      <c r="AE2428" s="35"/>
      <c r="AF2428" s="35"/>
      <c r="AG2428" s="35"/>
      <c r="AH2428" s="35"/>
      <c r="AI2428" s="35"/>
      <c r="AJ2428" s="35"/>
      <c r="AK2428" s="35"/>
      <c r="AL2428" s="35"/>
    </row>
    <row r="2429">
      <c r="A2429" s="1"/>
      <c r="B2429" s="19" t="s">
        <v>12018</v>
      </c>
      <c r="C2429" s="20" t="s">
        <v>12044</v>
      </c>
      <c r="D2429" s="47"/>
      <c r="E2429" s="22" t="s">
        <v>12050</v>
      </c>
      <c r="F2429" s="22" t="s">
        <v>12051</v>
      </c>
      <c r="G2429" s="23">
        <v>2022.0</v>
      </c>
      <c r="H2429" s="22" t="s">
        <v>12052</v>
      </c>
      <c r="I2429" s="24" t="s">
        <v>12053</v>
      </c>
      <c r="J2429" s="22" t="s">
        <v>209</v>
      </c>
      <c r="K2429" s="22" t="s">
        <v>12054</v>
      </c>
      <c r="L2429" s="36">
        <v>630.0</v>
      </c>
      <c r="M2429" s="36"/>
      <c r="N2429" s="36" t="s">
        <v>12055</v>
      </c>
      <c r="O2429" s="36"/>
      <c r="P2429" s="37"/>
      <c r="Q2429" s="36"/>
      <c r="R2429" s="36">
        <v>600.0</v>
      </c>
      <c r="S2429" s="36" t="s">
        <v>12056</v>
      </c>
      <c r="T2429" s="28" t="s">
        <v>12057</v>
      </c>
      <c r="U2429" s="38" t="s">
        <v>61</v>
      </c>
      <c r="V2429" s="50"/>
      <c r="W2429" s="49"/>
      <c r="X2429" s="49"/>
      <c r="Y2429" s="35"/>
      <c r="Z2429" s="35"/>
      <c r="AA2429" s="35"/>
      <c r="AB2429" s="35"/>
      <c r="AC2429" s="35"/>
      <c r="AD2429" s="35"/>
      <c r="AE2429" s="35"/>
      <c r="AF2429" s="35"/>
      <c r="AG2429" s="35"/>
      <c r="AH2429" s="35"/>
      <c r="AI2429" s="35"/>
      <c r="AJ2429" s="35"/>
      <c r="AK2429" s="35"/>
      <c r="AL2429" s="35"/>
    </row>
    <row r="2430">
      <c r="A2430" s="1"/>
      <c r="B2430" s="19" t="s">
        <v>12018</v>
      </c>
      <c r="C2430" s="20" t="s">
        <v>12044</v>
      </c>
      <c r="D2430" s="47"/>
      <c r="E2430" s="22" t="s">
        <v>12058</v>
      </c>
      <c r="F2430" s="22" t="s">
        <v>2152</v>
      </c>
      <c r="G2430" s="23">
        <v>2021.0</v>
      </c>
      <c r="H2430" s="22" t="s">
        <v>12059</v>
      </c>
      <c r="I2430" s="24" t="s">
        <v>12060</v>
      </c>
      <c r="J2430" s="22" t="s">
        <v>31</v>
      </c>
      <c r="K2430" s="22" t="s">
        <v>1112</v>
      </c>
      <c r="L2430" s="36">
        <v>720.0</v>
      </c>
      <c r="M2430" s="36"/>
      <c r="N2430" s="36"/>
      <c r="O2430" s="36"/>
      <c r="P2430" s="37"/>
      <c r="Q2430" s="36"/>
      <c r="R2430" s="36"/>
      <c r="S2430" s="36"/>
      <c r="T2430" s="28" t="s">
        <v>12061</v>
      </c>
      <c r="U2430" s="29" t="s">
        <v>61</v>
      </c>
      <c r="V2430" s="50"/>
      <c r="W2430" s="49"/>
      <c r="X2430" s="49"/>
      <c r="Y2430" s="35"/>
      <c r="Z2430" s="35"/>
      <c r="AA2430" s="35"/>
      <c r="AB2430" s="35"/>
      <c r="AC2430" s="35"/>
      <c r="AD2430" s="35"/>
      <c r="AE2430" s="35"/>
      <c r="AF2430" s="35"/>
      <c r="AG2430" s="35"/>
      <c r="AH2430" s="35"/>
      <c r="AI2430" s="35"/>
      <c r="AJ2430" s="35"/>
      <c r="AK2430" s="35"/>
      <c r="AL2430" s="35"/>
    </row>
    <row r="2431">
      <c r="A2431" s="1"/>
      <c r="B2431" s="19" t="s">
        <v>12018</v>
      </c>
      <c r="C2431" s="20" t="s">
        <v>12044</v>
      </c>
      <c r="D2431" s="47"/>
      <c r="E2431" s="22" t="s">
        <v>1080</v>
      </c>
      <c r="F2431" s="22" t="s">
        <v>4448</v>
      </c>
      <c r="G2431" s="23">
        <v>2020.0</v>
      </c>
      <c r="H2431" s="22" t="s">
        <v>5420</v>
      </c>
      <c r="I2431" s="24" t="s">
        <v>12062</v>
      </c>
      <c r="J2431" s="22" t="s">
        <v>31</v>
      </c>
      <c r="K2431" s="22" t="s">
        <v>12063</v>
      </c>
      <c r="L2431" s="36" t="s">
        <v>5422</v>
      </c>
      <c r="M2431" s="36"/>
      <c r="N2431" s="36"/>
      <c r="O2431" s="36" t="s">
        <v>12064</v>
      </c>
      <c r="P2431" s="37"/>
      <c r="Q2431" s="36"/>
      <c r="R2431" s="36"/>
      <c r="S2431" s="36"/>
      <c r="T2431" s="28" t="s">
        <v>12065</v>
      </c>
      <c r="U2431" s="38" t="str">
        <f>HYPERLINK("https://www.ncbi.nlm.nih.gov/pubmed/32293153","PubMed")</f>
        <v>PubMed</v>
      </c>
      <c r="V2431" s="50"/>
      <c r="W2431" s="49"/>
      <c r="X2431" s="49"/>
      <c r="Y2431" s="35"/>
      <c r="Z2431" s="35"/>
      <c r="AA2431" s="35"/>
      <c r="AB2431" s="35"/>
      <c r="AC2431" s="35"/>
      <c r="AD2431" s="35"/>
      <c r="AE2431" s="35"/>
      <c r="AF2431" s="35"/>
      <c r="AG2431" s="35"/>
      <c r="AH2431" s="35"/>
      <c r="AI2431" s="35"/>
      <c r="AJ2431" s="35"/>
      <c r="AK2431" s="35"/>
      <c r="AL2431" s="35"/>
    </row>
    <row r="2432">
      <c r="A2432" s="1"/>
      <c r="B2432" s="19" t="s">
        <v>12018</v>
      </c>
      <c r="C2432" s="20" t="s">
        <v>12044</v>
      </c>
      <c r="D2432" s="47"/>
      <c r="E2432" s="22" t="s">
        <v>5730</v>
      </c>
      <c r="F2432" s="22" t="s">
        <v>308</v>
      </c>
      <c r="G2432" s="23">
        <v>2018.0</v>
      </c>
      <c r="H2432" s="22" t="s">
        <v>4975</v>
      </c>
      <c r="I2432" s="24" t="s">
        <v>12066</v>
      </c>
      <c r="J2432" s="22" t="s">
        <v>31</v>
      </c>
      <c r="K2432" s="22"/>
      <c r="L2432" s="36"/>
      <c r="M2432" s="36"/>
      <c r="N2432" s="36"/>
      <c r="O2432" s="36"/>
      <c r="P2432" s="37"/>
      <c r="Q2432" s="36"/>
      <c r="R2432" s="36"/>
      <c r="S2432" s="36"/>
      <c r="T2432" s="28" t="s">
        <v>12067</v>
      </c>
      <c r="U2432" s="38" t="str">
        <f>HYPERLINK("https://www.ncbi.nlm.nih.gov/pubmed/29265380","PubMed")</f>
        <v>PubMed</v>
      </c>
      <c r="V2432" s="50"/>
      <c r="W2432" s="49"/>
      <c r="X2432" s="49"/>
      <c r="Y2432" s="35"/>
      <c r="Z2432" s="35"/>
      <c r="AA2432" s="35"/>
      <c r="AB2432" s="35"/>
      <c r="AC2432" s="35"/>
      <c r="AD2432" s="35"/>
      <c r="AE2432" s="35"/>
      <c r="AF2432" s="35"/>
      <c r="AG2432" s="35"/>
      <c r="AH2432" s="35"/>
      <c r="AI2432" s="35"/>
      <c r="AJ2432" s="35"/>
      <c r="AK2432" s="35"/>
      <c r="AL2432" s="35"/>
    </row>
    <row r="2433">
      <c r="A2433" s="1"/>
      <c r="B2433" s="19" t="s">
        <v>12018</v>
      </c>
      <c r="C2433" s="20" t="s">
        <v>12044</v>
      </c>
      <c r="D2433" s="47"/>
      <c r="E2433" s="22" t="s">
        <v>2275</v>
      </c>
      <c r="F2433" s="22" t="s">
        <v>12068</v>
      </c>
      <c r="G2433" s="23">
        <v>2013.0</v>
      </c>
      <c r="H2433" s="22" t="s">
        <v>627</v>
      </c>
      <c r="I2433" s="24" t="s">
        <v>12069</v>
      </c>
      <c r="J2433" s="22" t="s">
        <v>31</v>
      </c>
      <c r="K2433" s="22"/>
      <c r="L2433" s="36">
        <v>660.0</v>
      </c>
      <c r="M2433" s="36"/>
      <c r="N2433" s="36"/>
      <c r="O2433" s="36"/>
      <c r="P2433" s="37"/>
      <c r="Q2433" s="36"/>
      <c r="R2433" s="36"/>
      <c r="S2433" s="36"/>
      <c r="T2433" s="28" t="s">
        <v>12070</v>
      </c>
      <c r="U2433" s="29" t="s">
        <v>61</v>
      </c>
      <c r="V2433" s="50"/>
      <c r="W2433" s="49"/>
      <c r="X2433" s="49"/>
      <c r="Y2433" s="35"/>
      <c r="Z2433" s="35"/>
      <c r="AA2433" s="35"/>
      <c r="AB2433" s="35"/>
      <c r="AC2433" s="35"/>
      <c r="AD2433" s="35"/>
      <c r="AE2433" s="35"/>
      <c r="AF2433" s="35"/>
      <c r="AG2433" s="35"/>
      <c r="AH2433" s="35"/>
      <c r="AI2433" s="35"/>
      <c r="AJ2433" s="35"/>
      <c r="AK2433" s="35"/>
      <c r="AL2433" s="35"/>
    </row>
    <row r="2434">
      <c r="A2434" s="1"/>
      <c r="B2434" s="19" t="s">
        <v>12018</v>
      </c>
      <c r="C2434" s="20" t="s">
        <v>12044</v>
      </c>
      <c r="D2434" s="47"/>
      <c r="E2434" s="22" t="s">
        <v>1904</v>
      </c>
      <c r="F2434" s="22" t="s">
        <v>2196</v>
      </c>
      <c r="G2434" s="23">
        <v>2013.0</v>
      </c>
      <c r="H2434" s="22" t="s">
        <v>4975</v>
      </c>
      <c r="I2434" s="24" t="s">
        <v>12071</v>
      </c>
      <c r="J2434" s="22" t="s">
        <v>31</v>
      </c>
      <c r="K2434" s="22" t="s">
        <v>157</v>
      </c>
      <c r="L2434" s="36">
        <v>635.0</v>
      </c>
      <c r="M2434" s="36"/>
      <c r="N2434" s="36" t="s">
        <v>1897</v>
      </c>
      <c r="O2434" s="36"/>
      <c r="P2434" s="37" t="s">
        <v>2886</v>
      </c>
      <c r="Q2434" s="36"/>
      <c r="R2434" s="36">
        <v>3600.0</v>
      </c>
      <c r="S2434" s="36"/>
      <c r="T2434" s="28" t="s">
        <v>12072</v>
      </c>
      <c r="U2434" s="38" t="str">
        <f>HYPERLINK("https://www.ncbi.nlm.nih.gov/pubmed/22892019","PubMed")</f>
        <v>PubMed</v>
      </c>
      <c r="V2434" s="50"/>
      <c r="W2434" s="49"/>
      <c r="X2434" s="49"/>
      <c r="Y2434" s="35"/>
      <c r="Z2434" s="35"/>
      <c r="AA2434" s="35"/>
      <c r="AB2434" s="35"/>
      <c r="AC2434" s="35"/>
      <c r="AD2434" s="35"/>
      <c r="AE2434" s="35"/>
      <c r="AF2434" s="35"/>
      <c r="AG2434" s="35"/>
      <c r="AH2434" s="35"/>
      <c r="AI2434" s="35"/>
      <c r="AJ2434" s="35"/>
      <c r="AK2434" s="35"/>
      <c r="AL2434" s="35"/>
    </row>
    <row r="2435">
      <c r="A2435" s="1"/>
      <c r="B2435" s="19" t="s">
        <v>12018</v>
      </c>
      <c r="C2435" s="20" t="s">
        <v>12044</v>
      </c>
      <c r="D2435" s="47"/>
      <c r="E2435" s="22" t="s">
        <v>7184</v>
      </c>
      <c r="F2435" s="22" t="s">
        <v>1622</v>
      </c>
      <c r="G2435" s="23">
        <v>2013.0</v>
      </c>
      <c r="H2435" s="22" t="s">
        <v>91</v>
      </c>
      <c r="I2435" s="24" t="s">
        <v>12073</v>
      </c>
      <c r="J2435" s="22" t="s">
        <v>31</v>
      </c>
      <c r="K2435" s="22" t="s">
        <v>157</v>
      </c>
      <c r="L2435" s="36">
        <v>635.0</v>
      </c>
      <c r="M2435" s="36"/>
      <c r="N2435" s="36"/>
      <c r="O2435" s="36"/>
      <c r="P2435" s="37"/>
      <c r="Q2435" s="36"/>
      <c r="R2435" s="36"/>
      <c r="S2435" s="36"/>
      <c r="T2435" s="28" t="s">
        <v>12074</v>
      </c>
      <c r="U2435" s="38" t="str">
        <f>HYPERLINK("https://www.ncbi.nlm.nih.gov/pubmed/22699799","PubMed")</f>
        <v>PubMed</v>
      </c>
      <c r="V2435" s="50"/>
      <c r="W2435" s="49"/>
      <c r="X2435" s="49"/>
      <c r="Y2435" s="35"/>
      <c r="Z2435" s="35"/>
      <c r="AA2435" s="35"/>
      <c r="AB2435" s="35"/>
      <c r="AC2435" s="35"/>
      <c r="AD2435" s="35"/>
      <c r="AE2435" s="35"/>
      <c r="AF2435" s="35"/>
      <c r="AG2435" s="35"/>
      <c r="AH2435" s="35"/>
      <c r="AI2435" s="35"/>
      <c r="AJ2435" s="35"/>
      <c r="AK2435" s="35"/>
      <c r="AL2435" s="35"/>
    </row>
    <row r="2436">
      <c r="A2436" s="1"/>
      <c r="B2436" s="19" t="s">
        <v>12018</v>
      </c>
      <c r="C2436" s="20" t="s">
        <v>12044</v>
      </c>
      <c r="D2436" s="47"/>
      <c r="E2436" s="22" t="s">
        <v>6425</v>
      </c>
      <c r="F2436" s="22" t="s">
        <v>12075</v>
      </c>
      <c r="G2436" s="23">
        <v>1997.0</v>
      </c>
      <c r="H2436" s="22" t="s">
        <v>4283</v>
      </c>
      <c r="I2436" s="24" t="s">
        <v>12076</v>
      </c>
      <c r="J2436" s="22" t="s">
        <v>253</v>
      </c>
      <c r="K2436" s="22"/>
      <c r="L2436" s="36" t="s">
        <v>12077</v>
      </c>
      <c r="M2436" s="36"/>
      <c r="N2436" s="36"/>
      <c r="O2436" s="36"/>
      <c r="P2436" s="37"/>
      <c r="Q2436" s="36"/>
      <c r="R2436" s="36"/>
      <c r="S2436" s="36"/>
      <c r="T2436" s="42" t="s">
        <v>12078</v>
      </c>
      <c r="U2436" s="38" t="str">
        <f>HYPERLINK("https://www.ncbi.nlm.nih.gov/pubmed/9129122","PubMed")</f>
        <v>PubMed</v>
      </c>
      <c r="V2436" s="50"/>
      <c r="W2436" s="49"/>
      <c r="X2436" s="49"/>
      <c r="Y2436" s="35"/>
      <c r="Z2436" s="35"/>
      <c r="AA2436" s="35"/>
      <c r="AB2436" s="35"/>
      <c r="AC2436" s="35"/>
      <c r="AD2436" s="35"/>
      <c r="AE2436" s="35"/>
      <c r="AF2436" s="35"/>
      <c r="AG2436" s="35"/>
      <c r="AH2436" s="35"/>
      <c r="AI2436" s="35"/>
      <c r="AJ2436" s="35"/>
      <c r="AK2436" s="35"/>
      <c r="AL2436" s="35"/>
    </row>
    <row r="2437">
      <c r="A2437" s="1"/>
      <c r="B2437" s="19" t="s">
        <v>12018</v>
      </c>
      <c r="C2437" s="20" t="s">
        <v>12044</v>
      </c>
      <c r="D2437" s="47"/>
      <c r="E2437" s="22" t="s">
        <v>12079</v>
      </c>
      <c r="F2437" s="22" t="s">
        <v>1416</v>
      </c>
      <c r="G2437" s="23">
        <v>1993.0</v>
      </c>
      <c r="H2437" s="22" t="s">
        <v>292</v>
      </c>
      <c r="I2437" s="24" t="s">
        <v>12080</v>
      </c>
      <c r="J2437" s="22" t="s">
        <v>202</v>
      </c>
      <c r="K2437" s="22"/>
      <c r="L2437" s="43"/>
      <c r="M2437" s="44"/>
      <c r="N2437" s="44"/>
      <c r="O2437" s="44"/>
      <c r="P2437" s="44"/>
      <c r="Q2437" s="44"/>
      <c r="R2437" s="44"/>
      <c r="S2437" s="44"/>
      <c r="T2437" s="45"/>
      <c r="U2437" s="38" t="str">
        <f>HYPERLINK("https://www.jstage.jst.go.jp/browse/islsm/5/3/_contents/-char/en","J-STAGE")</f>
        <v>J-STAGE</v>
      </c>
      <c r="V2437" s="50"/>
      <c r="W2437" s="49"/>
      <c r="X2437" s="49"/>
      <c r="Y2437" s="35"/>
      <c r="Z2437" s="35"/>
      <c r="AA2437" s="35"/>
      <c r="AB2437" s="35"/>
      <c r="AC2437" s="35"/>
      <c r="AD2437" s="35"/>
      <c r="AE2437" s="35"/>
      <c r="AF2437" s="35"/>
      <c r="AG2437" s="35"/>
      <c r="AH2437" s="35"/>
      <c r="AI2437" s="35"/>
      <c r="AJ2437" s="35"/>
      <c r="AK2437" s="35"/>
      <c r="AL2437" s="35"/>
    </row>
    <row r="2438">
      <c r="A2438" s="1"/>
      <c r="B2438" s="19" t="s">
        <v>12018</v>
      </c>
      <c r="C2438" s="20" t="s">
        <v>5260</v>
      </c>
      <c r="D2438" s="47"/>
      <c r="E2438" s="22" t="s">
        <v>12081</v>
      </c>
      <c r="F2438" s="22" t="s">
        <v>7076</v>
      </c>
      <c r="G2438" s="23">
        <v>2021.0</v>
      </c>
      <c r="H2438" s="22" t="s">
        <v>191</v>
      </c>
      <c r="I2438" s="24" t="s">
        <v>12082</v>
      </c>
      <c r="J2438" s="22" t="s">
        <v>31</v>
      </c>
      <c r="K2438" s="22"/>
      <c r="L2438" s="36" t="s">
        <v>4503</v>
      </c>
      <c r="M2438" s="36"/>
      <c r="N2438" s="36"/>
      <c r="O2438" s="36"/>
      <c r="P2438" s="37"/>
      <c r="Q2438" s="36"/>
      <c r="R2438" s="36"/>
      <c r="S2438" s="36"/>
      <c r="T2438" s="28" t="s">
        <v>12083</v>
      </c>
      <c r="U2438" s="29" t="s">
        <v>61</v>
      </c>
      <c r="V2438" s="50"/>
      <c r="W2438" s="49"/>
      <c r="X2438" s="49"/>
      <c r="Y2438" s="35"/>
      <c r="Z2438" s="35"/>
      <c r="AA2438" s="35"/>
      <c r="AB2438" s="35"/>
      <c r="AC2438" s="35"/>
      <c r="AD2438" s="35"/>
      <c r="AE2438" s="35"/>
      <c r="AF2438" s="35"/>
      <c r="AG2438" s="35"/>
      <c r="AH2438" s="35"/>
      <c r="AI2438" s="35"/>
      <c r="AJ2438" s="35"/>
      <c r="AK2438" s="35"/>
      <c r="AL2438" s="35"/>
    </row>
    <row r="2439">
      <c r="A2439" s="1"/>
      <c r="B2439" s="19" t="s">
        <v>12018</v>
      </c>
      <c r="C2439" s="20" t="s">
        <v>5260</v>
      </c>
      <c r="D2439" s="47"/>
      <c r="E2439" s="22" t="s">
        <v>12084</v>
      </c>
      <c r="F2439" s="22" t="s">
        <v>1822</v>
      </c>
      <c r="G2439" s="23">
        <v>2000.0</v>
      </c>
      <c r="H2439" s="22" t="s">
        <v>12085</v>
      </c>
      <c r="I2439" s="24" t="s">
        <v>12086</v>
      </c>
      <c r="J2439" s="22" t="s">
        <v>31</v>
      </c>
      <c r="K2439" s="22" t="s">
        <v>1112</v>
      </c>
      <c r="L2439" s="36">
        <v>830.0</v>
      </c>
      <c r="M2439" s="36"/>
      <c r="N2439" s="36"/>
      <c r="O2439" s="36"/>
      <c r="P2439" s="37" t="s">
        <v>12087</v>
      </c>
      <c r="Q2439" s="36"/>
      <c r="R2439" s="36" t="s">
        <v>7807</v>
      </c>
      <c r="S2439" s="36"/>
      <c r="T2439" s="28" t="s">
        <v>12088</v>
      </c>
      <c r="U2439" s="38" t="str">
        <f>HYPERLINK("https://www.ncbi.nlm.nih.gov/pubmed/10706474","PubMed")</f>
        <v>PubMed</v>
      </c>
      <c r="V2439" s="50"/>
      <c r="W2439" s="49"/>
      <c r="X2439" s="49"/>
      <c r="Y2439" s="35"/>
      <c r="Z2439" s="35"/>
      <c r="AA2439" s="35"/>
      <c r="AB2439" s="35"/>
      <c r="AC2439" s="35"/>
      <c r="AD2439" s="35"/>
      <c r="AE2439" s="35"/>
      <c r="AF2439" s="35"/>
      <c r="AG2439" s="35"/>
      <c r="AH2439" s="35"/>
      <c r="AI2439" s="35"/>
      <c r="AJ2439" s="35"/>
      <c r="AK2439" s="35"/>
      <c r="AL2439" s="35"/>
    </row>
    <row r="2440">
      <c r="A2440" s="1"/>
      <c r="B2440" s="19" t="s">
        <v>12018</v>
      </c>
      <c r="C2440" s="20" t="s">
        <v>12089</v>
      </c>
      <c r="D2440" s="47"/>
      <c r="E2440" s="22" t="s">
        <v>12090</v>
      </c>
      <c r="F2440" s="22" t="s">
        <v>3040</v>
      </c>
      <c r="G2440" s="23">
        <v>2015.0</v>
      </c>
      <c r="H2440" s="22" t="s">
        <v>5215</v>
      </c>
      <c r="I2440" s="24" t="s">
        <v>12091</v>
      </c>
      <c r="J2440" s="22" t="s">
        <v>7547</v>
      </c>
      <c r="K2440" s="22" t="s">
        <v>157</v>
      </c>
      <c r="L2440" s="36" t="s">
        <v>12092</v>
      </c>
      <c r="M2440" s="36"/>
      <c r="N2440" s="36" t="s">
        <v>7964</v>
      </c>
      <c r="O2440" s="36"/>
      <c r="P2440" s="37"/>
      <c r="Q2440" s="36"/>
      <c r="R2440" s="36">
        <v>900.0</v>
      </c>
      <c r="S2440" s="36">
        <v>7.0</v>
      </c>
      <c r="T2440" s="28" t="s">
        <v>12093</v>
      </c>
      <c r="U2440" s="38" t="str">
        <f>HYPERLINK("https://www.ncbi.nlm.nih.gov/pubmed/25266806","PubMed")</f>
        <v>PubMed</v>
      </c>
      <c r="V2440" s="50"/>
      <c r="W2440" s="49"/>
      <c r="X2440" s="49"/>
      <c r="Y2440" s="35"/>
      <c r="Z2440" s="35"/>
      <c r="AA2440" s="35"/>
      <c r="AB2440" s="35"/>
      <c r="AC2440" s="35"/>
      <c r="AD2440" s="35"/>
      <c r="AE2440" s="35"/>
      <c r="AF2440" s="35"/>
      <c r="AG2440" s="35"/>
      <c r="AH2440" s="35"/>
      <c r="AI2440" s="35"/>
      <c r="AJ2440" s="35"/>
      <c r="AK2440" s="35"/>
      <c r="AL2440" s="35"/>
    </row>
    <row r="2441">
      <c r="A2441" s="1"/>
      <c r="B2441" s="19" t="s">
        <v>12018</v>
      </c>
      <c r="C2441" s="20" t="s">
        <v>12094</v>
      </c>
      <c r="D2441" s="47"/>
      <c r="E2441" s="22" t="s">
        <v>12095</v>
      </c>
      <c r="F2441" s="22" t="s">
        <v>1576</v>
      </c>
      <c r="G2441" s="23">
        <v>2024.0</v>
      </c>
      <c r="H2441" s="22" t="s">
        <v>12096</v>
      </c>
      <c r="I2441" s="24" t="s">
        <v>12097</v>
      </c>
      <c r="J2441" s="22" t="s">
        <v>31</v>
      </c>
      <c r="K2441" s="22"/>
      <c r="L2441" s="36" t="s">
        <v>5357</v>
      </c>
      <c r="M2441" s="36"/>
      <c r="N2441" s="36"/>
      <c r="O2441" s="36"/>
      <c r="P2441" s="37"/>
      <c r="Q2441" s="36"/>
      <c r="R2441" s="36"/>
      <c r="S2441" s="36"/>
      <c r="T2441" s="42" t="s">
        <v>12098</v>
      </c>
      <c r="U2441" s="38" t="s">
        <v>61</v>
      </c>
      <c r="V2441" s="50"/>
      <c r="W2441" s="49"/>
      <c r="X2441" s="49"/>
      <c r="Y2441" s="35"/>
      <c r="Z2441" s="35"/>
      <c r="AA2441" s="35"/>
      <c r="AB2441" s="35"/>
      <c r="AC2441" s="35"/>
      <c r="AD2441" s="35"/>
      <c r="AE2441" s="35"/>
      <c r="AF2441" s="35"/>
      <c r="AG2441" s="35"/>
      <c r="AH2441" s="35"/>
      <c r="AI2441" s="35"/>
      <c r="AJ2441" s="35"/>
      <c r="AK2441" s="35"/>
      <c r="AL2441" s="35"/>
    </row>
    <row r="2442">
      <c r="A2442" s="1"/>
      <c r="B2442" s="19" t="s">
        <v>12018</v>
      </c>
      <c r="C2442" s="20" t="s">
        <v>12094</v>
      </c>
      <c r="D2442" s="47"/>
      <c r="E2442" s="22" t="s">
        <v>12099</v>
      </c>
      <c r="F2442" s="22" t="s">
        <v>12100</v>
      </c>
      <c r="G2442" s="23">
        <v>2023.0</v>
      </c>
      <c r="H2442" s="22" t="s">
        <v>4473</v>
      </c>
      <c r="I2442" s="24" t="s">
        <v>12101</v>
      </c>
      <c r="J2442" s="22" t="s">
        <v>31</v>
      </c>
      <c r="K2442" s="22" t="s">
        <v>6802</v>
      </c>
      <c r="L2442" s="36" t="s">
        <v>12102</v>
      </c>
      <c r="M2442" s="36"/>
      <c r="N2442" s="36"/>
      <c r="O2442" s="36"/>
      <c r="P2442" s="37"/>
      <c r="Q2442" s="36"/>
      <c r="R2442" s="36"/>
      <c r="S2442" s="36"/>
      <c r="T2442" s="28" t="s">
        <v>12103</v>
      </c>
      <c r="U2442" s="38" t="s">
        <v>61</v>
      </c>
      <c r="V2442" s="50"/>
      <c r="W2442" s="49"/>
      <c r="X2442" s="49"/>
      <c r="Y2442" s="35"/>
      <c r="Z2442" s="35"/>
      <c r="AA2442" s="35"/>
      <c r="AB2442" s="35"/>
      <c r="AC2442" s="35"/>
      <c r="AD2442" s="35"/>
      <c r="AE2442" s="35"/>
      <c r="AF2442" s="35"/>
      <c r="AG2442" s="35"/>
      <c r="AH2442" s="35"/>
      <c r="AI2442" s="35"/>
      <c r="AJ2442" s="35"/>
      <c r="AK2442" s="35"/>
      <c r="AL2442" s="35"/>
    </row>
    <row r="2443">
      <c r="A2443" s="1"/>
      <c r="B2443" s="19" t="s">
        <v>12018</v>
      </c>
      <c r="C2443" s="20" t="s">
        <v>12104</v>
      </c>
      <c r="D2443" s="47"/>
      <c r="E2443" s="22" t="s">
        <v>12105</v>
      </c>
      <c r="F2443" s="22" t="s">
        <v>41</v>
      </c>
      <c r="G2443" s="23">
        <v>2021.0</v>
      </c>
      <c r="H2443" s="22" t="s">
        <v>42</v>
      </c>
      <c r="I2443" s="24" t="s">
        <v>12106</v>
      </c>
      <c r="J2443" s="22" t="s">
        <v>31</v>
      </c>
      <c r="K2443" s="22"/>
      <c r="L2443" s="36"/>
      <c r="M2443" s="36"/>
      <c r="N2443" s="36"/>
      <c r="O2443" s="36"/>
      <c r="P2443" s="37"/>
      <c r="Q2443" s="36"/>
      <c r="R2443" s="36"/>
      <c r="S2443" s="36"/>
      <c r="T2443" s="28" t="s">
        <v>12107</v>
      </c>
      <c r="U2443" s="29" t="s">
        <v>61</v>
      </c>
      <c r="V2443" s="50"/>
      <c r="W2443" s="49"/>
      <c r="X2443" s="49"/>
      <c r="Y2443" s="35"/>
      <c r="Z2443" s="35"/>
      <c r="AA2443" s="35"/>
      <c r="AB2443" s="35"/>
      <c r="AC2443" s="35"/>
      <c r="AD2443" s="35"/>
      <c r="AE2443" s="35"/>
      <c r="AF2443" s="35"/>
      <c r="AG2443" s="35"/>
      <c r="AH2443" s="35"/>
      <c r="AI2443" s="35"/>
      <c r="AJ2443" s="35"/>
      <c r="AK2443" s="35"/>
      <c r="AL2443" s="35"/>
    </row>
    <row r="2444">
      <c r="A2444" s="1"/>
      <c r="B2444" s="19" t="s">
        <v>12018</v>
      </c>
      <c r="C2444" s="20" t="s">
        <v>12104</v>
      </c>
      <c r="D2444" s="47"/>
      <c r="E2444" s="22" t="s">
        <v>12108</v>
      </c>
      <c r="F2444" s="22" t="s">
        <v>12109</v>
      </c>
      <c r="G2444" s="23">
        <v>2004.0</v>
      </c>
      <c r="H2444" s="22" t="s">
        <v>658</v>
      </c>
      <c r="I2444" s="24" t="s">
        <v>12110</v>
      </c>
      <c r="J2444" s="22" t="s">
        <v>31</v>
      </c>
      <c r="K2444" s="22" t="s">
        <v>56</v>
      </c>
      <c r="L2444" s="36" t="s">
        <v>5367</v>
      </c>
      <c r="M2444" s="36"/>
      <c r="N2444" s="36"/>
      <c r="O2444" s="36"/>
      <c r="P2444" s="37" t="s">
        <v>12111</v>
      </c>
      <c r="Q2444" s="36"/>
      <c r="R2444" s="36"/>
      <c r="S2444" s="36"/>
      <c r="T2444" s="28" t="s">
        <v>12112</v>
      </c>
      <c r="U2444" s="38" t="str">
        <f>HYPERLINK("https://www.ncbi.nlm.nih.gov/pubmed/15315734","PubMed")</f>
        <v>PubMed</v>
      </c>
      <c r="V2444" s="50"/>
      <c r="W2444" s="49"/>
      <c r="X2444" s="49"/>
      <c r="Y2444" s="35"/>
      <c r="Z2444" s="35"/>
      <c r="AA2444" s="35"/>
      <c r="AB2444" s="35"/>
      <c r="AC2444" s="35"/>
      <c r="AD2444" s="35"/>
      <c r="AE2444" s="35"/>
      <c r="AF2444" s="35"/>
      <c r="AG2444" s="35"/>
      <c r="AH2444" s="35"/>
      <c r="AI2444" s="35"/>
      <c r="AJ2444" s="35"/>
      <c r="AK2444" s="35"/>
      <c r="AL2444" s="35"/>
    </row>
    <row r="2445">
      <c r="A2445" s="1"/>
      <c r="B2445" s="19" t="s">
        <v>12018</v>
      </c>
      <c r="C2445" s="20" t="s">
        <v>12104</v>
      </c>
      <c r="D2445" s="47"/>
      <c r="E2445" s="22" t="s">
        <v>12113</v>
      </c>
      <c r="F2445" s="22" t="s">
        <v>2346</v>
      </c>
      <c r="G2445" s="23">
        <v>2001.0</v>
      </c>
      <c r="H2445" s="22" t="s">
        <v>3065</v>
      </c>
      <c r="I2445" s="24" t="s">
        <v>12114</v>
      </c>
      <c r="J2445" s="22" t="s">
        <v>31</v>
      </c>
      <c r="K2445" s="22" t="s">
        <v>12115</v>
      </c>
      <c r="L2445" s="36" t="s">
        <v>1773</v>
      </c>
      <c r="M2445" s="36"/>
      <c r="N2445" s="36"/>
      <c r="O2445" s="36"/>
      <c r="P2445" s="37"/>
      <c r="Q2445" s="36"/>
      <c r="R2445" s="36"/>
      <c r="S2445" s="36"/>
      <c r="T2445" s="28" t="s">
        <v>12116</v>
      </c>
      <c r="U2445" s="38" t="str">
        <f>HYPERLINK("https://www.ncbi.nlm.nih.gov/pubmed/11427908","PubMed")</f>
        <v>PubMed</v>
      </c>
      <c r="V2445" s="50"/>
      <c r="W2445" s="49"/>
      <c r="X2445" s="49"/>
      <c r="Y2445" s="35"/>
      <c r="Z2445" s="35"/>
      <c r="AA2445" s="35"/>
      <c r="AB2445" s="35"/>
      <c r="AC2445" s="35"/>
      <c r="AD2445" s="35"/>
      <c r="AE2445" s="35"/>
      <c r="AF2445" s="35"/>
      <c r="AG2445" s="35"/>
      <c r="AH2445" s="35"/>
      <c r="AI2445" s="35"/>
      <c r="AJ2445" s="35"/>
      <c r="AK2445" s="35"/>
      <c r="AL2445" s="35"/>
    </row>
    <row r="2446">
      <c r="A2446" s="1"/>
      <c r="B2446" s="19" t="s">
        <v>12018</v>
      </c>
      <c r="C2446" s="20" t="s">
        <v>5102</v>
      </c>
      <c r="D2446" s="47"/>
      <c r="E2446" s="22" t="s">
        <v>6718</v>
      </c>
      <c r="F2446" s="22" t="s">
        <v>6719</v>
      </c>
      <c r="G2446" s="23" t="s">
        <v>90</v>
      </c>
      <c r="H2446" s="22" t="s">
        <v>91</v>
      </c>
      <c r="I2446" s="24" t="s">
        <v>12117</v>
      </c>
      <c r="J2446" s="22" t="s">
        <v>31</v>
      </c>
      <c r="K2446" s="22" t="s">
        <v>12118</v>
      </c>
      <c r="L2446" s="36" t="s">
        <v>12119</v>
      </c>
      <c r="M2446" s="36"/>
      <c r="N2446" s="36" t="s">
        <v>1069</v>
      </c>
      <c r="O2446" s="36"/>
      <c r="P2446" s="37" t="s">
        <v>12120</v>
      </c>
      <c r="Q2446" s="36"/>
      <c r="R2446" s="36"/>
      <c r="S2446" s="36"/>
      <c r="T2446" s="42" t="s">
        <v>12121</v>
      </c>
      <c r="U2446" s="38" t="str">
        <f>HYPERLINK("https://www.ncbi.nlm.nih.gov/pubmed/28044209","PubMed")</f>
        <v>PubMed</v>
      </c>
      <c r="V2446" s="50"/>
      <c r="W2446" s="49"/>
      <c r="X2446" s="49"/>
      <c r="Y2446" s="35"/>
      <c r="Z2446" s="35"/>
      <c r="AA2446" s="35"/>
      <c r="AB2446" s="35"/>
      <c r="AC2446" s="35"/>
      <c r="AD2446" s="35"/>
      <c r="AE2446" s="35"/>
      <c r="AF2446" s="35"/>
      <c r="AG2446" s="35"/>
      <c r="AH2446" s="35"/>
      <c r="AI2446" s="35"/>
      <c r="AJ2446" s="35"/>
      <c r="AK2446" s="35"/>
      <c r="AL2446" s="35"/>
    </row>
    <row r="2447">
      <c r="A2447" s="1"/>
      <c r="B2447" s="19" t="s">
        <v>12018</v>
      </c>
      <c r="C2447" s="20" t="s">
        <v>5102</v>
      </c>
      <c r="D2447" s="47"/>
      <c r="E2447" s="22" t="s">
        <v>12122</v>
      </c>
      <c r="F2447" s="22" t="s">
        <v>6828</v>
      </c>
      <c r="G2447" s="23">
        <v>2012.0</v>
      </c>
      <c r="H2447" s="22" t="s">
        <v>7329</v>
      </c>
      <c r="I2447" s="24" t="s">
        <v>12123</v>
      </c>
      <c r="J2447" s="22" t="s">
        <v>31</v>
      </c>
      <c r="K2447" s="22" t="s">
        <v>1684</v>
      </c>
      <c r="L2447" s="36" t="s">
        <v>12124</v>
      </c>
      <c r="M2447" s="36"/>
      <c r="N2447" s="36"/>
      <c r="O2447" s="36"/>
      <c r="P2447" s="37"/>
      <c r="Q2447" s="36"/>
      <c r="R2447" s="36"/>
      <c r="S2447" s="36"/>
      <c r="T2447" s="28" t="s">
        <v>12125</v>
      </c>
      <c r="U2447" s="38" t="str">
        <f>HYPERLINK("https://www.ncbi.nlm.nih.gov/pubmed/22104195/","PubMed")</f>
        <v>PubMed</v>
      </c>
      <c r="V2447" s="50"/>
      <c r="W2447" s="49"/>
      <c r="X2447" s="49"/>
      <c r="Y2447" s="35"/>
      <c r="Z2447" s="35"/>
      <c r="AA2447" s="35"/>
      <c r="AB2447" s="35"/>
      <c r="AC2447" s="35"/>
      <c r="AD2447" s="35"/>
      <c r="AE2447" s="35"/>
      <c r="AF2447" s="35"/>
      <c r="AG2447" s="35"/>
      <c r="AH2447" s="35"/>
      <c r="AI2447" s="35"/>
      <c r="AJ2447" s="35"/>
      <c r="AK2447" s="35"/>
      <c r="AL2447" s="35"/>
    </row>
    <row r="2448">
      <c r="A2448" s="1"/>
      <c r="B2448" s="19" t="s">
        <v>12018</v>
      </c>
      <c r="C2448" s="20" t="s">
        <v>5102</v>
      </c>
      <c r="D2448" s="47"/>
      <c r="E2448" s="22" t="s">
        <v>12126</v>
      </c>
      <c r="F2448" s="22" t="s">
        <v>748</v>
      </c>
      <c r="G2448" s="23">
        <v>2009.0</v>
      </c>
      <c r="H2448" s="22" t="s">
        <v>12127</v>
      </c>
      <c r="I2448" s="24" t="s">
        <v>12128</v>
      </c>
      <c r="J2448" s="22" t="s">
        <v>31</v>
      </c>
      <c r="K2448" s="22" t="s">
        <v>4071</v>
      </c>
      <c r="L2448" s="36">
        <v>633.0</v>
      </c>
      <c r="M2448" s="36"/>
      <c r="N2448" s="36"/>
      <c r="O2448" s="36"/>
      <c r="P2448" s="37"/>
      <c r="Q2448" s="36"/>
      <c r="R2448" s="36"/>
      <c r="S2448" s="36"/>
      <c r="T2448" s="28" t="s">
        <v>12129</v>
      </c>
      <c r="U2448" s="38" t="str">
        <f>HYPERLINK("https://www.ncbi.nlm.nih.gov/pubmed/20143624","PubMed")</f>
        <v>PubMed</v>
      </c>
      <c r="V2448" s="50"/>
      <c r="W2448" s="49"/>
      <c r="X2448" s="49"/>
      <c r="Y2448" s="35"/>
      <c r="Z2448" s="35"/>
      <c r="AA2448" s="35"/>
      <c r="AB2448" s="35"/>
      <c r="AC2448" s="35"/>
      <c r="AD2448" s="35"/>
      <c r="AE2448" s="35"/>
      <c r="AF2448" s="35"/>
      <c r="AG2448" s="35"/>
      <c r="AH2448" s="35"/>
      <c r="AI2448" s="35"/>
      <c r="AJ2448" s="35"/>
      <c r="AK2448" s="35"/>
      <c r="AL2448" s="35"/>
    </row>
    <row r="2449">
      <c r="A2449" s="1"/>
      <c r="B2449" s="19" t="s">
        <v>12018</v>
      </c>
      <c r="C2449" s="20" t="s">
        <v>5102</v>
      </c>
      <c r="D2449" s="47"/>
      <c r="E2449" s="22" t="s">
        <v>1904</v>
      </c>
      <c r="F2449" s="22" t="s">
        <v>299</v>
      </c>
      <c r="G2449" s="23">
        <v>2009.0</v>
      </c>
      <c r="H2449" s="22" t="s">
        <v>658</v>
      </c>
      <c r="I2449" s="24" t="s">
        <v>12130</v>
      </c>
      <c r="J2449" s="22" t="s">
        <v>55</v>
      </c>
      <c r="K2449" s="22" t="s">
        <v>157</v>
      </c>
      <c r="L2449" s="36" t="s">
        <v>12131</v>
      </c>
      <c r="M2449" s="36"/>
      <c r="N2449" s="36"/>
      <c r="O2449" s="36"/>
      <c r="P2449" s="37"/>
      <c r="Q2449" s="36"/>
      <c r="R2449" s="36"/>
      <c r="S2449" s="36"/>
      <c r="T2449" s="28" t="s">
        <v>12132</v>
      </c>
      <c r="U2449" s="38" t="str">
        <f>HYPERLINK("https://www.ncbi.nlm.nih.gov/pubmed/19715464","PubMed")</f>
        <v>PubMed</v>
      </c>
      <c r="V2449" s="50"/>
      <c r="W2449" s="49"/>
      <c r="X2449" s="49"/>
      <c r="Y2449" s="35"/>
      <c r="Z2449" s="35"/>
      <c r="AA2449" s="35"/>
      <c r="AB2449" s="35"/>
      <c r="AC2449" s="35"/>
      <c r="AD2449" s="35"/>
      <c r="AE2449" s="35"/>
      <c r="AF2449" s="35"/>
      <c r="AG2449" s="35"/>
      <c r="AH2449" s="35"/>
      <c r="AI2449" s="35"/>
      <c r="AJ2449" s="35"/>
      <c r="AK2449" s="35"/>
      <c r="AL2449" s="35"/>
    </row>
    <row r="2450">
      <c r="A2450" s="1"/>
      <c r="B2450" s="19" t="s">
        <v>12018</v>
      </c>
      <c r="C2450" s="20" t="s">
        <v>5102</v>
      </c>
      <c r="D2450" s="47"/>
      <c r="E2450" s="22" t="s">
        <v>1904</v>
      </c>
      <c r="F2450" s="22" t="s">
        <v>299</v>
      </c>
      <c r="G2450" s="23">
        <v>2008.0</v>
      </c>
      <c r="H2450" s="22" t="s">
        <v>658</v>
      </c>
      <c r="I2450" s="24" t="s">
        <v>12133</v>
      </c>
      <c r="J2450" s="22" t="s">
        <v>12134</v>
      </c>
      <c r="K2450" s="22" t="s">
        <v>56</v>
      </c>
      <c r="L2450" s="36" t="s">
        <v>12135</v>
      </c>
      <c r="M2450" s="36"/>
      <c r="N2450" s="36"/>
      <c r="O2450" s="36"/>
      <c r="P2450" s="37"/>
      <c r="Q2450" s="36" t="s">
        <v>12136</v>
      </c>
      <c r="R2450" s="36"/>
      <c r="S2450" s="36" t="s">
        <v>12137</v>
      </c>
      <c r="T2450" s="42" t="s">
        <v>12138</v>
      </c>
      <c r="U2450" s="38" t="str">
        <f>HYPERLINK("https://www.ncbi.nlm.nih.gov/pubmed/18647093","PubMed")</f>
        <v>PubMed</v>
      </c>
      <c r="V2450" s="30" t="s">
        <v>12139</v>
      </c>
      <c r="W2450" s="49"/>
      <c r="X2450" s="49"/>
      <c r="Y2450" s="35"/>
      <c r="Z2450" s="35"/>
      <c r="AA2450" s="35"/>
      <c r="AB2450" s="35"/>
      <c r="AC2450" s="35"/>
      <c r="AD2450" s="35"/>
      <c r="AE2450" s="35"/>
      <c r="AF2450" s="35"/>
      <c r="AG2450" s="35"/>
      <c r="AH2450" s="35"/>
      <c r="AI2450" s="35"/>
      <c r="AJ2450" s="35"/>
      <c r="AK2450" s="35"/>
      <c r="AL2450" s="35"/>
    </row>
    <row r="2451">
      <c r="A2451" s="1"/>
      <c r="B2451" s="19" t="s">
        <v>12018</v>
      </c>
      <c r="C2451" s="20" t="s">
        <v>5102</v>
      </c>
      <c r="D2451" s="47"/>
      <c r="E2451" s="22" t="s">
        <v>12140</v>
      </c>
      <c r="F2451" s="22" t="s">
        <v>12141</v>
      </c>
      <c r="G2451" s="23">
        <v>2001.0</v>
      </c>
      <c r="H2451" s="22" t="s">
        <v>5844</v>
      </c>
      <c r="I2451" s="24" t="s">
        <v>12142</v>
      </c>
      <c r="J2451" s="22" t="s">
        <v>31</v>
      </c>
      <c r="K2451" s="22" t="s">
        <v>12143</v>
      </c>
      <c r="L2451" s="36">
        <v>633.0</v>
      </c>
      <c r="M2451" s="36"/>
      <c r="N2451" s="36"/>
      <c r="O2451" s="36"/>
      <c r="P2451" s="37" t="s">
        <v>12144</v>
      </c>
      <c r="Q2451" s="36"/>
      <c r="R2451" s="36"/>
      <c r="S2451" s="36"/>
      <c r="T2451" s="28" t="s">
        <v>12145</v>
      </c>
      <c r="U2451" s="38" t="str">
        <f>HYPERLINK("https://www.ncbi.nlm.nih.gov/pubmed/11357714","PubMed")</f>
        <v>PubMed</v>
      </c>
      <c r="V2451" s="50"/>
      <c r="W2451" s="49"/>
      <c r="X2451" s="49"/>
      <c r="Y2451" s="35"/>
      <c r="Z2451" s="35"/>
      <c r="AA2451" s="35"/>
      <c r="AB2451" s="35"/>
      <c r="AC2451" s="35"/>
      <c r="AD2451" s="35"/>
      <c r="AE2451" s="35"/>
      <c r="AF2451" s="35"/>
      <c r="AG2451" s="35"/>
      <c r="AH2451" s="35"/>
      <c r="AI2451" s="35"/>
      <c r="AJ2451" s="35"/>
      <c r="AK2451" s="35"/>
      <c r="AL2451" s="35"/>
    </row>
    <row r="2452">
      <c r="A2452" s="1"/>
      <c r="B2452" s="19" t="s">
        <v>12018</v>
      </c>
      <c r="C2452" s="20" t="s">
        <v>5102</v>
      </c>
      <c r="D2452" s="47"/>
      <c r="E2452" s="22" t="s">
        <v>12146</v>
      </c>
      <c r="F2452" s="22" t="s">
        <v>4645</v>
      </c>
      <c r="G2452" s="23">
        <v>2001.0</v>
      </c>
      <c r="H2452" s="22" t="s">
        <v>12147</v>
      </c>
      <c r="I2452" s="24" t="s">
        <v>12148</v>
      </c>
      <c r="J2452" s="22" t="s">
        <v>31</v>
      </c>
      <c r="K2452" s="22" t="s">
        <v>12149</v>
      </c>
      <c r="L2452" s="36" t="s">
        <v>12150</v>
      </c>
      <c r="M2452" s="36"/>
      <c r="N2452" s="36"/>
      <c r="O2452" s="36"/>
      <c r="P2452" s="37"/>
      <c r="Q2452" s="36"/>
      <c r="R2452" s="36"/>
      <c r="S2452" s="36"/>
      <c r="T2452" s="41" t="s">
        <v>12151</v>
      </c>
      <c r="U2452" s="38" t="str">
        <f>HYPERLINK("https://www.ncbi.nlm.nih.gov/pubmed/11330673","PubMed")</f>
        <v>PubMed</v>
      </c>
      <c r="V2452" s="50"/>
      <c r="W2452" s="49"/>
      <c r="X2452" s="49"/>
      <c r="Y2452" s="35"/>
      <c r="Z2452" s="35"/>
      <c r="AA2452" s="35"/>
      <c r="AB2452" s="35"/>
      <c r="AC2452" s="35"/>
      <c r="AD2452" s="35"/>
      <c r="AE2452" s="35"/>
      <c r="AF2452" s="35"/>
      <c r="AG2452" s="35"/>
      <c r="AH2452" s="35"/>
      <c r="AI2452" s="35"/>
      <c r="AJ2452" s="35"/>
      <c r="AK2452" s="35"/>
      <c r="AL2452" s="35"/>
    </row>
    <row r="2453">
      <c r="A2453" s="1"/>
      <c r="B2453" s="19" t="s">
        <v>12018</v>
      </c>
      <c r="C2453" s="20" t="s">
        <v>5102</v>
      </c>
      <c r="D2453" s="47"/>
      <c r="E2453" s="22" t="s">
        <v>12152</v>
      </c>
      <c r="F2453" s="22" t="s">
        <v>217</v>
      </c>
      <c r="G2453" s="23">
        <v>2000.0</v>
      </c>
      <c r="H2453" s="22" t="s">
        <v>91</v>
      </c>
      <c r="I2453" s="24" t="s">
        <v>12153</v>
      </c>
      <c r="J2453" s="22" t="s">
        <v>209</v>
      </c>
      <c r="K2453" s="22" t="s">
        <v>12154</v>
      </c>
      <c r="L2453" s="36" t="s">
        <v>12155</v>
      </c>
      <c r="M2453" s="36"/>
      <c r="N2453" s="36"/>
      <c r="O2453" s="36"/>
      <c r="P2453" s="37"/>
      <c r="Q2453" s="36"/>
      <c r="R2453" s="36"/>
      <c r="S2453" s="36"/>
      <c r="T2453" s="28" t="s">
        <v>12156</v>
      </c>
      <c r="U2453" s="38" t="str">
        <f>HYPERLINK("https://link.springer.com/article/10.1007/PL00011318","Springer")</f>
        <v>Springer</v>
      </c>
      <c r="V2453" s="50"/>
      <c r="W2453" s="49"/>
      <c r="X2453" s="49"/>
      <c r="Y2453" s="35"/>
      <c r="Z2453" s="35"/>
      <c r="AA2453" s="35"/>
      <c r="AB2453" s="35"/>
      <c r="AC2453" s="35"/>
      <c r="AD2453" s="35"/>
      <c r="AE2453" s="35"/>
      <c r="AF2453" s="35"/>
      <c r="AG2453" s="35"/>
      <c r="AH2453" s="35"/>
      <c r="AI2453" s="35"/>
      <c r="AJ2453" s="35"/>
      <c r="AK2453" s="35"/>
      <c r="AL2453" s="35"/>
    </row>
    <row r="2454">
      <c r="A2454" s="1"/>
      <c r="B2454" s="19" t="s">
        <v>12018</v>
      </c>
      <c r="C2454" s="20" t="s">
        <v>5102</v>
      </c>
      <c r="D2454" s="47"/>
      <c r="E2454" s="22" t="s">
        <v>12157</v>
      </c>
      <c r="F2454" s="22" t="s">
        <v>5227</v>
      </c>
      <c r="G2454" s="23">
        <v>2000.0</v>
      </c>
      <c r="H2454" s="22" t="s">
        <v>53</v>
      </c>
      <c r="I2454" s="24" t="s">
        <v>12158</v>
      </c>
      <c r="J2454" s="22" t="s">
        <v>31</v>
      </c>
      <c r="K2454" s="22" t="s">
        <v>12159</v>
      </c>
      <c r="L2454" s="36">
        <v>660.0</v>
      </c>
      <c r="M2454" s="36"/>
      <c r="N2454" s="36"/>
      <c r="O2454" s="36"/>
      <c r="P2454" s="37" t="s">
        <v>12160</v>
      </c>
      <c r="Q2454" s="36"/>
      <c r="R2454" s="36"/>
      <c r="S2454" s="36"/>
      <c r="T2454" s="28" t="s">
        <v>12161</v>
      </c>
      <c r="U2454" s="38" t="str">
        <f>HYPERLINK("https://www.ncbi.nlm.nih.gov/pubmed/11013387","PubMed")</f>
        <v>PubMed</v>
      </c>
      <c r="V2454" s="50"/>
      <c r="W2454" s="49"/>
      <c r="X2454" s="49"/>
      <c r="Y2454" s="35"/>
      <c r="Z2454" s="35"/>
      <c r="AA2454" s="35"/>
      <c r="AB2454" s="35"/>
      <c r="AC2454" s="35"/>
      <c r="AD2454" s="35"/>
      <c r="AE2454" s="35"/>
      <c r="AF2454" s="35"/>
      <c r="AG2454" s="35"/>
      <c r="AH2454" s="35"/>
      <c r="AI2454" s="35"/>
      <c r="AJ2454" s="35"/>
      <c r="AK2454" s="35"/>
      <c r="AL2454" s="35"/>
    </row>
    <row r="2455">
      <c r="A2455" s="1"/>
      <c r="B2455" s="19" t="s">
        <v>12018</v>
      </c>
      <c r="C2455" s="20" t="s">
        <v>5102</v>
      </c>
      <c r="D2455" s="47"/>
      <c r="E2455" s="22" t="s">
        <v>12162</v>
      </c>
      <c r="F2455" s="22" t="s">
        <v>12163</v>
      </c>
      <c r="G2455" s="23">
        <v>1989.0</v>
      </c>
      <c r="H2455" s="22" t="s">
        <v>12164</v>
      </c>
      <c r="I2455" s="24" t="s">
        <v>12165</v>
      </c>
      <c r="J2455" s="22" t="s">
        <v>31</v>
      </c>
      <c r="K2455" s="22" t="s">
        <v>1848</v>
      </c>
      <c r="L2455" s="36"/>
      <c r="M2455" s="36"/>
      <c r="N2455" s="36"/>
      <c r="O2455" s="36"/>
      <c r="P2455" s="37"/>
      <c r="Q2455" s="36"/>
      <c r="R2455" s="36"/>
      <c r="S2455" s="36"/>
      <c r="T2455" s="28" t="s">
        <v>12166</v>
      </c>
      <c r="U2455" s="38" t="str">
        <f>HYPERLINK("https://www.ncbi.nlm.nih.gov/pubmed/2591126","PubMed")</f>
        <v>PubMed</v>
      </c>
      <c r="V2455" s="50"/>
      <c r="W2455" s="49"/>
      <c r="X2455" s="49"/>
      <c r="Y2455" s="35"/>
      <c r="Z2455" s="35"/>
      <c r="AA2455" s="35"/>
      <c r="AB2455" s="35"/>
      <c r="AC2455" s="35"/>
      <c r="AD2455" s="35"/>
      <c r="AE2455" s="35"/>
      <c r="AF2455" s="35"/>
      <c r="AG2455" s="35"/>
      <c r="AH2455" s="35"/>
      <c r="AI2455" s="35"/>
      <c r="AJ2455" s="35"/>
      <c r="AK2455" s="35"/>
      <c r="AL2455" s="35"/>
    </row>
    <row r="2456">
      <c r="A2456" s="1"/>
      <c r="B2456" s="19" t="s">
        <v>12018</v>
      </c>
      <c r="C2456" s="20" t="s">
        <v>5102</v>
      </c>
      <c r="D2456" s="47"/>
      <c r="E2456" s="22" t="s">
        <v>12167</v>
      </c>
      <c r="F2456" s="22" t="s">
        <v>3243</v>
      </c>
      <c r="G2456" s="23">
        <v>1987.0</v>
      </c>
      <c r="H2456" s="22" t="s">
        <v>53</v>
      </c>
      <c r="I2456" s="24" t="s">
        <v>12168</v>
      </c>
      <c r="J2456" s="22" t="s">
        <v>31</v>
      </c>
      <c r="K2456" s="22"/>
      <c r="L2456" s="36">
        <v>633.0</v>
      </c>
      <c r="M2456" s="36" t="s">
        <v>12169</v>
      </c>
      <c r="N2456" s="36" t="s">
        <v>12170</v>
      </c>
      <c r="O2456" s="36"/>
      <c r="P2456" s="37"/>
      <c r="Q2456" s="36" t="s">
        <v>12171</v>
      </c>
      <c r="R2456" s="36" t="s">
        <v>1829</v>
      </c>
      <c r="S2456" s="36"/>
      <c r="T2456" s="41" t="s">
        <v>12172</v>
      </c>
      <c r="U2456" s="38" t="str">
        <f>HYPERLINK("https://www.ncbi.nlm.nih.gov/pubmed/3573927","PubMed")</f>
        <v>PubMed</v>
      </c>
      <c r="V2456" s="50"/>
      <c r="W2456" s="49"/>
      <c r="X2456" s="49"/>
      <c r="Y2456" s="35"/>
      <c r="Z2456" s="35"/>
      <c r="AA2456" s="35"/>
      <c r="AB2456" s="35"/>
      <c r="AC2456" s="35"/>
      <c r="AD2456" s="35"/>
      <c r="AE2456" s="35"/>
      <c r="AF2456" s="35"/>
      <c r="AG2456" s="35"/>
      <c r="AH2456" s="35"/>
      <c r="AI2456" s="35"/>
      <c r="AJ2456" s="35"/>
      <c r="AK2456" s="35"/>
      <c r="AL2456" s="35"/>
    </row>
    <row r="2457">
      <c r="A2457" s="1"/>
      <c r="B2457" s="19" t="s">
        <v>12018</v>
      </c>
      <c r="C2457" s="20" t="s">
        <v>12173</v>
      </c>
      <c r="D2457" s="47"/>
      <c r="E2457" s="22" t="s">
        <v>12174</v>
      </c>
      <c r="F2457" s="22" t="s">
        <v>12175</v>
      </c>
      <c r="G2457" s="23">
        <v>2017.0</v>
      </c>
      <c r="H2457" s="22" t="s">
        <v>42</v>
      </c>
      <c r="I2457" s="24" t="s">
        <v>12176</v>
      </c>
      <c r="J2457" s="22" t="s">
        <v>2036</v>
      </c>
      <c r="K2457" s="22"/>
      <c r="L2457" s="284"/>
      <c r="M2457" s="44"/>
      <c r="N2457" s="44"/>
      <c r="O2457" s="44"/>
      <c r="P2457" s="44"/>
      <c r="Q2457" s="44"/>
      <c r="R2457" s="44"/>
      <c r="S2457" s="44"/>
      <c r="T2457" s="45"/>
      <c r="U2457" s="38" t="str">
        <f>HYPERLINK("https://www.ncbi.nlm.nih.gov/pubmed/29227581","PubMed")</f>
        <v>PubMed</v>
      </c>
      <c r="V2457" s="50"/>
      <c r="W2457" s="49"/>
      <c r="X2457" s="49"/>
      <c r="Y2457" s="35"/>
      <c r="Z2457" s="35"/>
      <c r="AA2457" s="35"/>
      <c r="AB2457" s="35"/>
      <c r="AC2457" s="35"/>
      <c r="AD2457" s="35"/>
      <c r="AE2457" s="35"/>
      <c r="AF2457" s="35"/>
      <c r="AG2457" s="35"/>
      <c r="AH2457" s="35"/>
      <c r="AI2457" s="35"/>
      <c r="AJ2457" s="35"/>
      <c r="AK2457" s="35"/>
      <c r="AL2457" s="35"/>
    </row>
    <row r="2458">
      <c r="A2458" s="1"/>
      <c r="B2458" s="19" t="s">
        <v>12018</v>
      </c>
      <c r="C2458" s="20" t="s">
        <v>12177</v>
      </c>
      <c r="D2458" s="47"/>
      <c r="E2458" s="22" t="s">
        <v>714</v>
      </c>
      <c r="F2458" s="22" t="s">
        <v>41</v>
      </c>
      <c r="G2458" s="23">
        <v>2015.0</v>
      </c>
      <c r="H2458" s="22" t="s">
        <v>207</v>
      </c>
      <c r="I2458" s="24" t="s">
        <v>12178</v>
      </c>
      <c r="J2458" s="22" t="s">
        <v>31</v>
      </c>
      <c r="K2458" s="22" t="s">
        <v>294</v>
      </c>
      <c r="L2458" s="36" t="s">
        <v>1804</v>
      </c>
      <c r="M2458" s="36" t="s">
        <v>12179</v>
      </c>
      <c r="N2458" s="36"/>
      <c r="O2458" s="36"/>
      <c r="P2458" s="37" t="s">
        <v>12180</v>
      </c>
      <c r="Q2458" s="36"/>
      <c r="R2458" s="36" t="s">
        <v>12181</v>
      </c>
      <c r="S2458" s="36"/>
      <c r="T2458" s="28" t="s">
        <v>12182</v>
      </c>
      <c r="U2458" s="38" t="str">
        <f>HYPERLINK("https://www.ncbi.nlm.nih.gov/pubmed/26519828","PubMed")</f>
        <v>PubMed</v>
      </c>
      <c r="V2458" s="50"/>
      <c r="W2458" s="49"/>
      <c r="X2458" s="49"/>
      <c r="Y2458" s="35"/>
      <c r="Z2458" s="35"/>
      <c r="AA2458" s="35"/>
      <c r="AB2458" s="35"/>
      <c r="AC2458" s="35"/>
      <c r="AD2458" s="35"/>
      <c r="AE2458" s="35"/>
      <c r="AF2458" s="35"/>
      <c r="AG2458" s="35"/>
      <c r="AH2458" s="35"/>
      <c r="AI2458" s="35"/>
      <c r="AJ2458" s="35"/>
      <c r="AK2458" s="35"/>
      <c r="AL2458" s="35"/>
    </row>
    <row r="2459">
      <c r="A2459" s="1"/>
      <c r="B2459" s="19" t="s">
        <v>12018</v>
      </c>
      <c r="C2459" s="20" t="s">
        <v>12183</v>
      </c>
      <c r="D2459" s="47"/>
      <c r="E2459" s="22" t="s">
        <v>12184</v>
      </c>
      <c r="F2459" s="22" t="s">
        <v>41</v>
      </c>
      <c r="G2459" s="23">
        <v>2014.0</v>
      </c>
      <c r="H2459" s="22" t="s">
        <v>207</v>
      </c>
      <c r="I2459" s="24" t="s">
        <v>12185</v>
      </c>
      <c r="J2459" s="22" t="s">
        <v>31</v>
      </c>
      <c r="K2459" s="22"/>
      <c r="L2459" s="36"/>
      <c r="M2459" s="36"/>
      <c r="N2459" s="36"/>
      <c r="O2459" s="36"/>
      <c r="P2459" s="37"/>
      <c r="Q2459" s="36"/>
      <c r="R2459" s="36"/>
      <c r="S2459" s="36"/>
      <c r="T2459" s="28" t="s">
        <v>12186</v>
      </c>
      <c r="U2459" s="38" t="str">
        <f>HYPERLINK("https://www.ncbi.nlm.nih.gov/pubmed/24419178","PubMed")</f>
        <v>PubMed</v>
      </c>
      <c r="V2459" s="50"/>
      <c r="W2459" s="49"/>
      <c r="X2459" s="49"/>
      <c r="Y2459" s="35"/>
      <c r="Z2459" s="35"/>
      <c r="AA2459" s="35"/>
      <c r="AB2459" s="35"/>
      <c r="AC2459" s="35"/>
      <c r="AD2459" s="35"/>
      <c r="AE2459" s="35"/>
      <c r="AF2459" s="35"/>
      <c r="AG2459" s="35"/>
      <c r="AH2459" s="35"/>
      <c r="AI2459" s="35"/>
      <c r="AJ2459" s="35"/>
      <c r="AK2459" s="35"/>
      <c r="AL2459" s="35"/>
    </row>
    <row r="2460">
      <c r="A2460" s="1"/>
      <c r="B2460" s="19" t="s">
        <v>12018</v>
      </c>
      <c r="C2460" s="20" t="s">
        <v>12183</v>
      </c>
      <c r="D2460" s="47"/>
      <c r="E2460" s="22" t="s">
        <v>5713</v>
      </c>
      <c r="F2460" s="22" t="s">
        <v>41</v>
      </c>
      <c r="G2460" s="23">
        <v>2010.0</v>
      </c>
      <c r="H2460" s="22" t="s">
        <v>658</v>
      </c>
      <c r="I2460" s="24" t="s">
        <v>12187</v>
      </c>
      <c r="J2460" s="22" t="s">
        <v>31</v>
      </c>
      <c r="K2460" s="22"/>
      <c r="L2460" s="36">
        <v>660.0</v>
      </c>
      <c r="M2460" s="36">
        <v>30.0</v>
      </c>
      <c r="N2460" s="36"/>
      <c r="O2460" s="36"/>
      <c r="P2460" s="37" t="s">
        <v>2366</v>
      </c>
      <c r="Q2460" s="36" t="s">
        <v>4833</v>
      </c>
      <c r="R2460" s="36">
        <v>252.0</v>
      </c>
      <c r="S2460" s="36"/>
      <c r="T2460" s="98" t="s">
        <v>12188</v>
      </c>
      <c r="U2460" s="38" t="str">
        <f>HYPERLINK("https://www.ncbi.nlm.nih.gov/pubmed/21142721","PubMed")</f>
        <v>PubMed</v>
      </c>
      <c r="V2460" s="50"/>
      <c r="W2460" s="49"/>
      <c r="X2460" s="49"/>
      <c r="Y2460" s="35"/>
      <c r="Z2460" s="35"/>
      <c r="AA2460" s="35"/>
      <c r="AB2460" s="35"/>
      <c r="AC2460" s="35"/>
      <c r="AD2460" s="35"/>
      <c r="AE2460" s="35"/>
      <c r="AF2460" s="35"/>
      <c r="AG2460" s="35"/>
      <c r="AH2460" s="35"/>
      <c r="AI2460" s="35"/>
      <c r="AJ2460" s="35"/>
      <c r="AK2460" s="35"/>
      <c r="AL2460" s="35"/>
    </row>
    <row r="2461">
      <c r="A2461" s="1"/>
      <c r="B2461" s="19" t="s">
        <v>12018</v>
      </c>
      <c r="C2461" s="20" t="s">
        <v>12183</v>
      </c>
      <c r="D2461" s="47"/>
      <c r="E2461" s="22" t="s">
        <v>12189</v>
      </c>
      <c r="F2461" s="22" t="s">
        <v>1398</v>
      </c>
      <c r="G2461" s="23">
        <v>1999.0</v>
      </c>
      <c r="H2461" s="22" t="s">
        <v>292</v>
      </c>
      <c r="I2461" s="24" t="s">
        <v>12190</v>
      </c>
      <c r="J2461" s="22" t="s">
        <v>31</v>
      </c>
      <c r="K2461" s="22"/>
      <c r="L2461" s="36">
        <v>830.0</v>
      </c>
      <c r="M2461" s="36" t="s">
        <v>12191</v>
      </c>
      <c r="N2461" s="36"/>
      <c r="O2461" s="36"/>
      <c r="P2461" s="37"/>
      <c r="Q2461" s="36"/>
      <c r="R2461" s="36" t="s">
        <v>12192</v>
      </c>
      <c r="S2461" s="36"/>
      <c r="T2461" s="28" t="s">
        <v>12193</v>
      </c>
      <c r="U2461" s="38" t="str">
        <f>HYPERLINK("https://www.jstage.jst.go.jp/article/islsm/11/3/11_3_119/_article","J-STAGE")</f>
        <v>J-STAGE</v>
      </c>
      <c r="V2461" s="50"/>
      <c r="W2461" s="49"/>
      <c r="X2461" s="49"/>
      <c r="Y2461" s="35"/>
      <c r="Z2461" s="35"/>
      <c r="AA2461" s="35"/>
      <c r="AB2461" s="35"/>
      <c r="AC2461" s="35"/>
      <c r="AD2461" s="35"/>
      <c r="AE2461" s="35"/>
      <c r="AF2461" s="35"/>
      <c r="AG2461" s="35"/>
      <c r="AH2461" s="35"/>
      <c r="AI2461" s="35"/>
      <c r="AJ2461" s="35"/>
      <c r="AK2461" s="35"/>
      <c r="AL2461" s="35"/>
    </row>
    <row r="2462">
      <c r="A2462" s="1"/>
      <c r="B2462" s="19" t="s">
        <v>12018</v>
      </c>
      <c r="C2462" s="20" t="s">
        <v>12194</v>
      </c>
      <c r="D2462" s="47"/>
      <c r="E2462" s="22" t="s">
        <v>2243</v>
      </c>
      <c r="F2462" s="22" t="s">
        <v>2175</v>
      </c>
      <c r="G2462" s="23">
        <v>2023.0</v>
      </c>
      <c r="H2462" s="22" t="s">
        <v>91</v>
      </c>
      <c r="I2462" s="24" t="s">
        <v>12195</v>
      </c>
      <c r="J2462" s="22" t="s">
        <v>31</v>
      </c>
      <c r="K2462" s="22"/>
      <c r="L2462" s="36">
        <v>980.0</v>
      </c>
      <c r="M2462" s="36"/>
      <c r="N2462" s="36"/>
      <c r="O2462" s="36"/>
      <c r="P2462" s="37" t="s">
        <v>12196</v>
      </c>
      <c r="Q2462" s="36"/>
      <c r="R2462" s="36"/>
      <c r="S2462" s="36"/>
      <c r="T2462" s="28" t="s">
        <v>12197</v>
      </c>
      <c r="U2462" s="38" t="s">
        <v>61</v>
      </c>
      <c r="V2462" s="50"/>
      <c r="W2462" s="49"/>
      <c r="X2462" s="49"/>
      <c r="Y2462" s="35"/>
      <c r="Z2462" s="35"/>
      <c r="AA2462" s="35"/>
      <c r="AB2462" s="35"/>
      <c r="AC2462" s="35"/>
      <c r="AD2462" s="35"/>
      <c r="AE2462" s="35"/>
      <c r="AF2462" s="35"/>
      <c r="AG2462" s="35"/>
      <c r="AH2462" s="35"/>
      <c r="AI2462" s="35"/>
      <c r="AJ2462" s="35"/>
      <c r="AK2462" s="35"/>
      <c r="AL2462" s="35"/>
    </row>
    <row r="2463">
      <c r="A2463" s="1"/>
      <c r="B2463" s="19" t="s">
        <v>12018</v>
      </c>
      <c r="C2463" s="20" t="s">
        <v>12194</v>
      </c>
      <c r="D2463" s="47"/>
      <c r="E2463" s="22" t="s">
        <v>4490</v>
      </c>
      <c r="F2463" s="22" t="s">
        <v>494</v>
      </c>
      <c r="G2463" s="23">
        <v>2021.0</v>
      </c>
      <c r="H2463" s="22" t="s">
        <v>5032</v>
      </c>
      <c r="I2463" s="24" t="s">
        <v>12198</v>
      </c>
      <c r="J2463" s="22" t="s">
        <v>6020</v>
      </c>
      <c r="K2463" s="22" t="s">
        <v>12199</v>
      </c>
      <c r="L2463" s="36" t="s">
        <v>6637</v>
      </c>
      <c r="M2463" s="36"/>
      <c r="N2463" s="36"/>
      <c r="O2463" s="36"/>
      <c r="P2463" s="37" t="s">
        <v>12200</v>
      </c>
      <c r="Q2463" s="36"/>
      <c r="R2463" s="36"/>
      <c r="S2463" s="36"/>
      <c r="T2463" s="28" t="s">
        <v>12201</v>
      </c>
      <c r="U2463" s="29" t="s">
        <v>61</v>
      </c>
      <c r="V2463" s="50"/>
      <c r="W2463" s="49"/>
      <c r="X2463" s="49"/>
      <c r="Y2463" s="35"/>
      <c r="Z2463" s="35"/>
      <c r="AA2463" s="35"/>
      <c r="AB2463" s="35"/>
      <c r="AC2463" s="35"/>
      <c r="AD2463" s="35"/>
      <c r="AE2463" s="35"/>
      <c r="AF2463" s="35"/>
      <c r="AG2463" s="35"/>
      <c r="AH2463" s="35"/>
      <c r="AI2463" s="35"/>
      <c r="AJ2463" s="35"/>
      <c r="AK2463" s="35"/>
      <c r="AL2463" s="35"/>
    </row>
    <row r="2464">
      <c r="A2464" s="1"/>
      <c r="B2464" s="19" t="s">
        <v>12018</v>
      </c>
      <c r="C2464" s="20" t="s">
        <v>12194</v>
      </c>
      <c r="D2464" s="47"/>
      <c r="E2464" s="22" t="s">
        <v>12202</v>
      </c>
      <c r="F2464" s="22" t="s">
        <v>2175</v>
      </c>
      <c r="G2464" s="23">
        <v>2021.0</v>
      </c>
      <c r="H2464" s="22" t="s">
        <v>4975</v>
      </c>
      <c r="I2464" s="24" t="s">
        <v>12203</v>
      </c>
      <c r="J2464" s="22" t="s">
        <v>31</v>
      </c>
      <c r="K2464" s="22" t="s">
        <v>1240</v>
      </c>
      <c r="L2464" s="36" t="s">
        <v>6116</v>
      </c>
      <c r="M2464" s="36"/>
      <c r="N2464" s="36"/>
      <c r="O2464" s="36"/>
      <c r="P2464" s="37"/>
      <c r="Q2464" s="36"/>
      <c r="R2464" s="36"/>
      <c r="S2464" s="36"/>
      <c r="T2464" s="28" t="s">
        <v>12204</v>
      </c>
      <c r="U2464" s="29" t="s">
        <v>61</v>
      </c>
      <c r="V2464" s="50"/>
      <c r="W2464" s="49"/>
      <c r="X2464" s="49"/>
      <c r="Y2464" s="35"/>
      <c r="Z2464" s="35"/>
      <c r="AA2464" s="35"/>
      <c r="AB2464" s="35"/>
      <c r="AC2464" s="35"/>
      <c r="AD2464" s="35"/>
      <c r="AE2464" s="35"/>
      <c r="AF2464" s="35"/>
      <c r="AG2464" s="35"/>
      <c r="AH2464" s="35"/>
      <c r="AI2464" s="35"/>
      <c r="AJ2464" s="35"/>
      <c r="AK2464" s="35"/>
      <c r="AL2464" s="35"/>
    </row>
    <row r="2465">
      <c r="A2465" s="1"/>
      <c r="B2465" s="19" t="s">
        <v>12018</v>
      </c>
      <c r="C2465" s="20" t="s">
        <v>12194</v>
      </c>
      <c r="D2465" s="47"/>
      <c r="E2465" s="22" t="s">
        <v>444</v>
      </c>
      <c r="F2465" s="22" t="s">
        <v>12205</v>
      </c>
      <c r="G2465" s="23">
        <v>2021.0</v>
      </c>
      <c r="H2465" s="22" t="s">
        <v>5684</v>
      </c>
      <c r="I2465" s="24" t="s">
        <v>12206</v>
      </c>
      <c r="J2465" s="22" t="s">
        <v>31</v>
      </c>
      <c r="K2465" s="22" t="s">
        <v>12207</v>
      </c>
      <c r="L2465" s="36">
        <v>945.0</v>
      </c>
      <c r="M2465" s="36"/>
      <c r="N2465" s="36"/>
      <c r="O2465" s="36"/>
      <c r="P2465" s="37"/>
      <c r="Q2465" s="36"/>
      <c r="R2465" s="36"/>
      <c r="S2465" s="36"/>
      <c r="T2465" s="28" t="s">
        <v>12208</v>
      </c>
      <c r="U2465" s="29" t="s">
        <v>61</v>
      </c>
      <c r="V2465" s="50"/>
      <c r="W2465" s="49"/>
      <c r="X2465" s="49"/>
      <c r="Y2465" s="35"/>
      <c r="Z2465" s="35"/>
      <c r="AA2465" s="35"/>
      <c r="AB2465" s="35"/>
      <c r="AC2465" s="35"/>
      <c r="AD2465" s="35"/>
      <c r="AE2465" s="35"/>
      <c r="AF2465" s="35"/>
      <c r="AG2465" s="35"/>
      <c r="AH2465" s="35"/>
      <c r="AI2465" s="35"/>
      <c r="AJ2465" s="35"/>
      <c r="AK2465" s="35"/>
      <c r="AL2465" s="35"/>
    </row>
    <row r="2466">
      <c r="A2466" s="1"/>
      <c r="B2466" s="19" t="s">
        <v>12018</v>
      </c>
      <c r="C2466" s="20" t="s">
        <v>12194</v>
      </c>
      <c r="D2466" s="47"/>
      <c r="E2466" s="22" t="s">
        <v>1689</v>
      </c>
      <c r="F2466" s="22" t="s">
        <v>7062</v>
      </c>
      <c r="G2466" s="23">
        <v>2020.0</v>
      </c>
      <c r="H2466" s="22" t="s">
        <v>91</v>
      </c>
      <c r="I2466" s="24" t="s">
        <v>12209</v>
      </c>
      <c r="J2466" s="22" t="s">
        <v>31</v>
      </c>
      <c r="K2466" s="22" t="s">
        <v>12210</v>
      </c>
      <c r="L2466" s="36">
        <v>810.0</v>
      </c>
      <c r="M2466" s="36"/>
      <c r="N2466" s="36" t="s">
        <v>5674</v>
      </c>
      <c r="O2466" s="36"/>
      <c r="P2466" s="37"/>
      <c r="Q2466" s="36"/>
      <c r="R2466" s="36"/>
      <c r="S2466" s="36"/>
      <c r="T2466" s="28" t="s">
        <v>12211</v>
      </c>
      <c r="U2466" s="38" t="str">
        <f>HYPERLINK("https://www.ncbi.nlm.nih.gov/pubmed/32065300","PubMed")</f>
        <v>PubMed</v>
      </c>
      <c r="V2466" s="50"/>
      <c r="W2466" s="49"/>
      <c r="X2466" s="49"/>
      <c r="Y2466" s="35"/>
      <c r="Z2466" s="35"/>
      <c r="AA2466" s="35"/>
      <c r="AB2466" s="35"/>
      <c r="AC2466" s="35"/>
      <c r="AD2466" s="35"/>
      <c r="AE2466" s="35"/>
      <c r="AF2466" s="35"/>
      <c r="AG2466" s="35"/>
      <c r="AH2466" s="35"/>
      <c r="AI2466" s="35"/>
      <c r="AJ2466" s="35"/>
      <c r="AK2466" s="35"/>
      <c r="AL2466" s="35"/>
    </row>
    <row r="2467">
      <c r="A2467" s="1"/>
      <c r="B2467" s="19" t="s">
        <v>12018</v>
      </c>
      <c r="C2467" s="20" t="s">
        <v>12194</v>
      </c>
      <c r="D2467" s="47"/>
      <c r="E2467" s="22" t="s">
        <v>2316</v>
      </c>
      <c r="F2467" s="22" t="s">
        <v>3301</v>
      </c>
      <c r="G2467" s="23">
        <v>2019.0</v>
      </c>
      <c r="H2467" s="22" t="s">
        <v>6265</v>
      </c>
      <c r="I2467" s="24" t="s">
        <v>12212</v>
      </c>
      <c r="J2467" s="22" t="s">
        <v>31</v>
      </c>
      <c r="K2467" s="22"/>
      <c r="L2467" s="36">
        <v>810.0</v>
      </c>
      <c r="M2467" s="36"/>
      <c r="N2467" s="36"/>
      <c r="O2467" s="36"/>
      <c r="P2467" s="37"/>
      <c r="Q2467" s="36"/>
      <c r="R2467" s="36"/>
      <c r="S2467" s="36"/>
      <c r="T2467" s="28" t="s">
        <v>12213</v>
      </c>
      <c r="U2467" s="38" t="str">
        <f>HYPERLINK("https://www.ncbi.nlm.nih.gov/pubmed/31667932","PubMed")</f>
        <v>PubMed</v>
      </c>
      <c r="V2467" s="50"/>
      <c r="W2467" s="49"/>
      <c r="X2467" s="49"/>
      <c r="Y2467" s="35"/>
      <c r="Z2467" s="35"/>
      <c r="AA2467" s="35"/>
      <c r="AB2467" s="35"/>
      <c r="AC2467" s="35"/>
      <c r="AD2467" s="35"/>
      <c r="AE2467" s="35"/>
      <c r="AF2467" s="35"/>
      <c r="AG2467" s="35"/>
      <c r="AH2467" s="35"/>
      <c r="AI2467" s="35"/>
      <c r="AJ2467" s="35"/>
      <c r="AK2467" s="35"/>
      <c r="AL2467" s="35"/>
    </row>
    <row r="2468">
      <c r="A2468" s="1"/>
      <c r="B2468" s="19" t="s">
        <v>12018</v>
      </c>
      <c r="C2468" s="20" t="s">
        <v>12194</v>
      </c>
      <c r="D2468" s="47"/>
      <c r="E2468" s="22" t="s">
        <v>12214</v>
      </c>
      <c r="F2468" s="22" t="s">
        <v>41</v>
      </c>
      <c r="G2468" s="23">
        <v>2019.0</v>
      </c>
      <c r="H2468" s="22" t="s">
        <v>91</v>
      </c>
      <c r="I2468" s="24" t="s">
        <v>12215</v>
      </c>
      <c r="J2468" s="22" t="s">
        <v>31</v>
      </c>
      <c r="K2468" s="22" t="s">
        <v>294</v>
      </c>
      <c r="L2468" s="36" t="s">
        <v>1750</v>
      </c>
      <c r="M2468" s="36"/>
      <c r="N2468" s="36"/>
      <c r="O2468" s="36"/>
      <c r="P2468" s="37"/>
      <c r="Q2468" s="36"/>
      <c r="R2468" s="36"/>
      <c r="S2468" s="36"/>
      <c r="T2468" s="42" t="s">
        <v>12216</v>
      </c>
      <c r="U2468" s="38" t="str">
        <f>HYPERLINK("https://www.ncbi.nlm.nih.gov/pubmed/31152259","PubMed")</f>
        <v>PubMed</v>
      </c>
      <c r="V2468" s="50"/>
      <c r="W2468" s="49"/>
      <c r="X2468" s="49"/>
      <c r="Y2468" s="35"/>
      <c r="Z2468" s="35"/>
      <c r="AA2468" s="35"/>
      <c r="AB2468" s="35"/>
      <c r="AC2468" s="35"/>
      <c r="AD2468" s="35"/>
      <c r="AE2468" s="35"/>
      <c r="AF2468" s="35"/>
      <c r="AG2468" s="35"/>
      <c r="AH2468" s="35"/>
      <c r="AI2468" s="35"/>
      <c r="AJ2468" s="35"/>
      <c r="AK2468" s="35"/>
      <c r="AL2468" s="35"/>
    </row>
    <row r="2469">
      <c r="A2469" s="1"/>
      <c r="B2469" s="19" t="s">
        <v>12018</v>
      </c>
      <c r="C2469" s="20" t="s">
        <v>12194</v>
      </c>
      <c r="D2469" s="47"/>
      <c r="E2469" s="22" t="s">
        <v>312</v>
      </c>
      <c r="F2469" s="22" t="s">
        <v>65</v>
      </c>
      <c r="G2469" s="23">
        <v>2016.0</v>
      </c>
      <c r="H2469" s="22" t="s">
        <v>6040</v>
      </c>
      <c r="I2469" s="24" t="s">
        <v>12217</v>
      </c>
      <c r="J2469" s="22" t="s">
        <v>209</v>
      </c>
      <c r="K2469" s="22" t="s">
        <v>12218</v>
      </c>
      <c r="L2469" s="36" t="s">
        <v>12219</v>
      </c>
      <c r="M2469" s="36"/>
      <c r="N2469" s="36" t="s">
        <v>12220</v>
      </c>
      <c r="O2469" s="36"/>
      <c r="P2469" s="37" t="s">
        <v>12221</v>
      </c>
      <c r="Q2469" s="36"/>
      <c r="R2469" s="36" t="s">
        <v>12222</v>
      </c>
      <c r="S2469" s="36"/>
      <c r="T2469" s="28" t="s">
        <v>12223</v>
      </c>
      <c r="U2469" s="38" t="str">
        <f>HYPERLINK("https://www.ncbi.nlm.nih.gov/pubmed/27345261","PubMed")</f>
        <v>PubMed</v>
      </c>
      <c r="V2469" s="50"/>
      <c r="W2469" s="49"/>
      <c r="X2469" s="49"/>
      <c r="Y2469" s="35"/>
      <c r="Z2469" s="35"/>
      <c r="AA2469" s="35"/>
      <c r="AB2469" s="35"/>
      <c r="AC2469" s="35"/>
      <c r="AD2469" s="35"/>
      <c r="AE2469" s="35"/>
      <c r="AF2469" s="35"/>
      <c r="AG2469" s="35"/>
      <c r="AH2469" s="35"/>
      <c r="AI2469" s="35"/>
      <c r="AJ2469" s="35"/>
      <c r="AK2469" s="35"/>
      <c r="AL2469" s="35"/>
    </row>
    <row r="2470">
      <c r="A2470" s="1"/>
      <c r="B2470" s="19" t="s">
        <v>12018</v>
      </c>
      <c r="C2470" s="20" t="s">
        <v>12194</v>
      </c>
      <c r="D2470" s="47"/>
      <c r="E2470" s="22" t="s">
        <v>12184</v>
      </c>
      <c r="F2470" s="22" t="s">
        <v>41</v>
      </c>
      <c r="G2470" s="23">
        <v>2014.0</v>
      </c>
      <c r="H2470" s="22" t="s">
        <v>12224</v>
      </c>
      <c r="I2470" s="24" t="s">
        <v>12225</v>
      </c>
      <c r="J2470" s="22" t="s">
        <v>31</v>
      </c>
      <c r="K2470" s="22" t="s">
        <v>12226</v>
      </c>
      <c r="L2470" s="36" t="s">
        <v>1750</v>
      </c>
      <c r="M2470" s="36" t="s">
        <v>12227</v>
      </c>
      <c r="N2470" s="36" t="s">
        <v>12228</v>
      </c>
      <c r="O2470" s="36"/>
      <c r="P2470" s="37"/>
      <c r="Q2470" s="36"/>
      <c r="R2470" s="36"/>
      <c r="S2470" s="36"/>
      <c r="T2470" s="42" t="s">
        <v>12229</v>
      </c>
      <c r="U2470" s="38" t="str">
        <f>HYPERLINK("https://www.ncbi.nlm.nih.gov/pubmed/25076002","PubMed")</f>
        <v>PubMed</v>
      </c>
      <c r="V2470" s="50"/>
      <c r="W2470" s="49"/>
      <c r="X2470" s="49"/>
      <c r="Y2470" s="35"/>
      <c r="Z2470" s="35"/>
      <c r="AA2470" s="35"/>
      <c r="AB2470" s="35"/>
      <c r="AC2470" s="35"/>
      <c r="AD2470" s="35"/>
      <c r="AE2470" s="35"/>
      <c r="AF2470" s="35"/>
      <c r="AG2470" s="35"/>
      <c r="AH2470" s="35"/>
      <c r="AI2470" s="35"/>
      <c r="AJ2470" s="35"/>
      <c r="AK2470" s="35"/>
      <c r="AL2470" s="35"/>
    </row>
    <row r="2471">
      <c r="A2471" s="1"/>
      <c r="B2471" s="19" t="s">
        <v>12018</v>
      </c>
      <c r="C2471" s="20" t="s">
        <v>12194</v>
      </c>
      <c r="D2471" s="47"/>
      <c r="E2471" s="22" t="s">
        <v>5311</v>
      </c>
      <c r="F2471" s="22" t="s">
        <v>5312</v>
      </c>
      <c r="G2471" s="23">
        <v>2008.0</v>
      </c>
      <c r="H2471" s="22" t="s">
        <v>53</v>
      </c>
      <c r="I2471" s="24" t="s">
        <v>12230</v>
      </c>
      <c r="J2471" s="22" t="s">
        <v>31</v>
      </c>
      <c r="K2471" s="22"/>
      <c r="L2471" s="36">
        <v>780.0</v>
      </c>
      <c r="M2471" s="36"/>
      <c r="N2471" s="36" t="s">
        <v>5674</v>
      </c>
      <c r="O2471" s="36"/>
      <c r="P2471" s="37" t="s">
        <v>6095</v>
      </c>
      <c r="Q2471" s="36"/>
      <c r="R2471" s="36"/>
      <c r="S2471" s="36"/>
      <c r="T2471" s="28" t="s">
        <v>12231</v>
      </c>
      <c r="U2471" s="38" t="str">
        <f>HYPERLINK("https://www.ncbi.nlm.nih.gov/pubmed/18563774","PubMed")</f>
        <v>PubMed</v>
      </c>
      <c r="V2471" s="50"/>
      <c r="W2471" s="49"/>
      <c r="X2471" s="49"/>
      <c r="Y2471" s="35"/>
      <c r="Z2471" s="35"/>
      <c r="AA2471" s="35"/>
      <c r="AB2471" s="35"/>
      <c r="AC2471" s="35"/>
      <c r="AD2471" s="35"/>
      <c r="AE2471" s="35"/>
      <c r="AF2471" s="35"/>
      <c r="AG2471" s="35"/>
      <c r="AH2471" s="35"/>
      <c r="AI2471" s="35"/>
      <c r="AJ2471" s="35"/>
      <c r="AK2471" s="35"/>
      <c r="AL2471" s="35"/>
    </row>
    <row r="2472">
      <c r="A2472" s="1"/>
      <c r="B2472" s="19" t="s">
        <v>12018</v>
      </c>
      <c r="C2472" s="20" t="s">
        <v>12194</v>
      </c>
      <c r="D2472" s="47"/>
      <c r="E2472" s="22" t="s">
        <v>12140</v>
      </c>
      <c r="F2472" s="22" t="s">
        <v>12141</v>
      </c>
      <c r="G2472" s="23">
        <v>2003.0</v>
      </c>
      <c r="H2472" s="22" t="s">
        <v>3950</v>
      </c>
      <c r="I2472" s="24" t="s">
        <v>12232</v>
      </c>
      <c r="J2472" s="22" t="s">
        <v>31</v>
      </c>
      <c r="K2472" s="22"/>
      <c r="L2472" s="36">
        <v>633.0</v>
      </c>
      <c r="M2472" s="36"/>
      <c r="N2472" s="36"/>
      <c r="O2472" s="36"/>
      <c r="P2472" s="37"/>
      <c r="Q2472" s="36"/>
      <c r="R2472" s="36"/>
      <c r="S2472" s="36"/>
      <c r="T2472" s="28" t="s">
        <v>12233</v>
      </c>
      <c r="U2472" s="38" t="str">
        <f>HYPERLINK("https://www.ncbi.nlm.nih.gov/pubmed/14521221","PubMed")</f>
        <v>PubMed</v>
      </c>
      <c r="V2472" s="50"/>
      <c r="W2472" s="49"/>
      <c r="X2472" s="49"/>
      <c r="Y2472" s="35"/>
      <c r="Z2472" s="35"/>
      <c r="AA2472" s="35"/>
      <c r="AB2472" s="35"/>
      <c r="AC2472" s="35"/>
      <c r="AD2472" s="35"/>
      <c r="AE2472" s="35"/>
      <c r="AF2472" s="35"/>
      <c r="AG2472" s="35"/>
      <c r="AH2472" s="35"/>
      <c r="AI2472" s="35"/>
      <c r="AJ2472" s="35"/>
      <c r="AK2472" s="35"/>
      <c r="AL2472" s="35"/>
    </row>
    <row r="2473">
      <c r="A2473" s="1"/>
      <c r="B2473" s="19" t="s">
        <v>12018</v>
      </c>
      <c r="C2473" s="20" t="s">
        <v>12194</v>
      </c>
      <c r="D2473" s="47"/>
      <c r="E2473" s="22" t="s">
        <v>5222</v>
      </c>
      <c r="F2473" s="22" t="s">
        <v>5223</v>
      </c>
      <c r="G2473" s="23">
        <v>1992.0</v>
      </c>
      <c r="H2473" s="22" t="s">
        <v>292</v>
      </c>
      <c r="I2473" s="24" t="s">
        <v>12234</v>
      </c>
      <c r="J2473" s="22" t="s">
        <v>31</v>
      </c>
      <c r="K2473" s="22" t="s">
        <v>12235</v>
      </c>
      <c r="L2473" s="36" t="s">
        <v>8957</v>
      </c>
      <c r="M2473" s="36"/>
      <c r="N2473" s="36"/>
      <c r="O2473" s="36"/>
      <c r="P2473" s="37" t="s">
        <v>12236</v>
      </c>
      <c r="Q2473" s="36"/>
      <c r="R2473" s="36" t="s">
        <v>1064</v>
      </c>
      <c r="S2473" s="36"/>
      <c r="T2473" s="28" t="s">
        <v>12237</v>
      </c>
      <c r="U2473" s="38" t="str">
        <f>HYPERLINK("https://www.jstage.jst.go.jp/article/islsm/4/1/4_92-OR-02/_article/-char/en","J-STAGE")</f>
        <v>J-STAGE</v>
      </c>
      <c r="V2473" s="50"/>
      <c r="W2473" s="49"/>
      <c r="X2473" s="49"/>
      <c r="Y2473" s="35"/>
      <c r="Z2473" s="35"/>
      <c r="AA2473" s="35"/>
      <c r="AB2473" s="35"/>
      <c r="AC2473" s="35"/>
      <c r="AD2473" s="35"/>
      <c r="AE2473" s="35"/>
      <c r="AF2473" s="35"/>
      <c r="AG2473" s="35"/>
      <c r="AH2473" s="35"/>
      <c r="AI2473" s="35"/>
      <c r="AJ2473" s="35"/>
      <c r="AK2473" s="35"/>
      <c r="AL2473" s="35"/>
    </row>
    <row r="2474">
      <c r="A2474" s="1"/>
      <c r="B2474" s="19" t="s">
        <v>12018</v>
      </c>
      <c r="C2474" s="20" t="s">
        <v>12194</v>
      </c>
      <c r="D2474" s="47"/>
      <c r="E2474" s="22" t="s">
        <v>3300</v>
      </c>
      <c r="F2474" s="22" t="s">
        <v>12238</v>
      </c>
      <c r="G2474" s="23">
        <v>1992.0</v>
      </c>
      <c r="H2474" s="22" t="s">
        <v>292</v>
      </c>
      <c r="I2474" s="24" t="s">
        <v>12239</v>
      </c>
      <c r="J2474" s="22" t="s">
        <v>209</v>
      </c>
      <c r="K2474" s="22"/>
      <c r="L2474" s="36">
        <v>633.0</v>
      </c>
      <c r="M2474" s="36"/>
      <c r="N2474" s="36"/>
      <c r="O2474" s="36"/>
      <c r="P2474" s="37" t="s">
        <v>12240</v>
      </c>
      <c r="Q2474" s="36"/>
      <c r="R2474" s="36"/>
      <c r="S2474" s="36"/>
      <c r="T2474" s="28" t="s">
        <v>12241</v>
      </c>
      <c r="U2474" s="38" t="str">
        <f>HYPERLINK("https://www.jstage.jst.go.jp/article/islsm/4/2/4_92-OR-04/_article/-char/en","J-STAGE")</f>
        <v>J-STAGE</v>
      </c>
      <c r="V2474" s="50"/>
      <c r="W2474" s="49"/>
      <c r="X2474" s="49"/>
      <c r="Y2474" s="35"/>
      <c r="Z2474" s="35"/>
      <c r="AA2474" s="35"/>
      <c r="AB2474" s="35"/>
      <c r="AC2474" s="35"/>
      <c r="AD2474" s="35"/>
      <c r="AE2474" s="35"/>
      <c r="AF2474" s="35"/>
      <c r="AG2474" s="35"/>
      <c r="AH2474" s="35"/>
      <c r="AI2474" s="35"/>
      <c r="AJ2474" s="35"/>
      <c r="AK2474" s="35"/>
      <c r="AL2474" s="35"/>
    </row>
    <row r="2475">
      <c r="A2475" s="1"/>
      <c r="B2475" s="19" t="s">
        <v>12018</v>
      </c>
      <c r="C2475" s="20" t="s">
        <v>12194</v>
      </c>
      <c r="D2475" s="47"/>
      <c r="E2475" s="22" t="s">
        <v>5222</v>
      </c>
      <c r="F2475" s="22" t="s">
        <v>5223</v>
      </c>
      <c r="G2475" s="23">
        <v>1991.0</v>
      </c>
      <c r="H2475" s="22" t="s">
        <v>292</v>
      </c>
      <c r="I2475" s="24" t="s">
        <v>12242</v>
      </c>
      <c r="J2475" s="22" t="s">
        <v>31</v>
      </c>
      <c r="K2475" s="22"/>
      <c r="L2475" s="36"/>
      <c r="M2475" s="36"/>
      <c r="N2475" s="36"/>
      <c r="O2475" s="36"/>
      <c r="P2475" s="37"/>
      <c r="Q2475" s="36"/>
      <c r="R2475" s="36"/>
      <c r="S2475" s="36"/>
      <c r="T2475" s="42" t="s">
        <v>12243</v>
      </c>
      <c r="U2475" s="38" t="str">
        <f>HYPERLINK("https://www.jstage.jst.go.jp/article/islsm/3/3/3_91-OR-15/_article","J-STAGE")</f>
        <v>J-STAGE</v>
      </c>
      <c r="V2475" s="50"/>
      <c r="W2475" s="49"/>
      <c r="X2475" s="49"/>
      <c r="Y2475" s="35"/>
      <c r="Z2475" s="35"/>
      <c r="AA2475" s="35"/>
      <c r="AB2475" s="35"/>
      <c r="AC2475" s="35"/>
      <c r="AD2475" s="35"/>
      <c r="AE2475" s="35"/>
      <c r="AF2475" s="35"/>
      <c r="AG2475" s="35"/>
      <c r="AH2475" s="35"/>
      <c r="AI2475" s="35"/>
      <c r="AJ2475" s="35"/>
      <c r="AK2475" s="35"/>
      <c r="AL2475" s="35"/>
    </row>
    <row r="2476">
      <c r="A2476" s="1"/>
      <c r="B2476" s="19" t="s">
        <v>12018</v>
      </c>
      <c r="C2476" s="20" t="s">
        <v>12194</v>
      </c>
      <c r="D2476" s="47"/>
      <c r="E2476" s="22" t="s">
        <v>5222</v>
      </c>
      <c r="F2476" s="22" t="s">
        <v>5223</v>
      </c>
      <c r="G2476" s="23">
        <v>1990.0</v>
      </c>
      <c r="H2476" s="22" t="s">
        <v>292</v>
      </c>
      <c r="I2476" s="24" t="s">
        <v>12244</v>
      </c>
      <c r="J2476" s="22" t="s">
        <v>31</v>
      </c>
      <c r="K2476" s="22" t="s">
        <v>758</v>
      </c>
      <c r="L2476" s="36">
        <v>660.0</v>
      </c>
      <c r="M2476" s="36"/>
      <c r="N2476" s="36" t="s">
        <v>80</v>
      </c>
      <c r="O2476" s="36"/>
      <c r="P2476" s="37" t="s">
        <v>12245</v>
      </c>
      <c r="Q2476" s="36"/>
      <c r="R2476" s="36"/>
      <c r="S2476" s="36"/>
      <c r="T2476" s="42" t="s">
        <v>12246</v>
      </c>
      <c r="U2476" s="38" t="str">
        <f>HYPERLINK("https://www.jstage.jst.go.jp/article/islsm/2/3/2_90-OR-07/_article","J-STAGE")</f>
        <v>J-STAGE</v>
      </c>
      <c r="V2476" s="50"/>
      <c r="W2476" s="49"/>
      <c r="X2476" s="49"/>
      <c r="Y2476" s="35"/>
      <c r="Z2476" s="35"/>
      <c r="AA2476" s="35"/>
      <c r="AB2476" s="35"/>
      <c r="AC2476" s="35"/>
      <c r="AD2476" s="35"/>
      <c r="AE2476" s="35"/>
      <c r="AF2476" s="35"/>
      <c r="AG2476" s="35"/>
      <c r="AH2476" s="35"/>
      <c r="AI2476" s="35"/>
      <c r="AJ2476" s="35"/>
      <c r="AK2476" s="35"/>
      <c r="AL2476" s="35"/>
    </row>
    <row r="2477">
      <c r="A2477" s="1"/>
      <c r="B2477" s="19" t="s">
        <v>12018</v>
      </c>
      <c r="C2477" s="20" t="s">
        <v>12194</v>
      </c>
      <c r="D2477" s="47"/>
      <c r="E2477" s="22" t="s">
        <v>12247</v>
      </c>
      <c r="F2477" s="22" t="s">
        <v>5223</v>
      </c>
      <c r="G2477" s="23">
        <v>1989.0</v>
      </c>
      <c r="H2477" s="22" t="s">
        <v>53</v>
      </c>
      <c r="I2477" s="24" t="s">
        <v>12248</v>
      </c>
      <c r="J2477" s="22" t="s">
        <v>31</v>
      </c>
      <c r="K2477" s="22" t="s">
        <v>12249</v>
      </c>
      <c r="L2477" s="36" t="s">
        <v>12250</v>
      </c>
      <c r="M2477" s="36"/>
      <c r="N2477" s="36"/>
      <c r="O2477" s="36"/>
      <c r="P2477" s="37"/>
      <c r="Q2477" s="36"/>
      <c r="R2477" s="36"/>
      <c r="S2477" s="36"/>
      <c r="T2477" s="28" t="s">
        <v>12251</v>
      </c>
      <c r="U2477" s="38" t="str">
        <f>HYPERLINK("https://www.ncbi.nlm.nih.gov/pubmed/2811573","PubMed")</f>
        <v>PubMed</v>
      </c>
      <c r="V2477" s="50"/>
      <c r="W2477" s="49"/>
      <c r="X2477" s="49"/>
      <c r="Y2477" s="35"/>
      <c r="Z2477" s="35"/>
      <c r="AA2477" s="35"/>
      <c r="AB2477" s="35"/>
      <c r="AC2477" s="35"/>
      <c r="AD2477" s="35"/>
      <c r="AE2477" s="35"/>
      <c r="AF2477" s="35"/>
      <c r="AG2477" s="35"/>
      <c r="AH2477" s="35"/>
      <c r="AI2477" s="35"/>
      <c r="AJ2477" s="35"/>
      <c r="AK2477" s="35"/>
      <c r="AL2477" s="35"/>
    </row>
    <row r="2478">
      <c r="A2478" s="1"/>
      <c r="B2478" s="19" t="s">
        <v>12018</v>
      </c>
      <c r="C2478" s="20" t="s">
        <v>12252</v>
      </c>
      <c r="D2478" s="47"/>
      <c r="E2478" s="22" t="s">
        <v>12253</v>
      </c>
      <c r="F2478" s="22" t="s">
        <v>183</v>
      </c>
      <c r="G2478" s="23">
        <v>2023.0</v>
      </c>
      <c r="H2478" s="22" t="s">
        <v>91</v>
      </c>
      <c r="I2478" s="24" t="s">
        <v>12254</v>
      </c>
      <c r="J2478" s="22" t="s">
        <v>55</v>
      </c>
      <c r="K2478" s="22"/>
      <c r="L2478" s="36" t="s">
        <v>12255</v>
      </c>
      <c r="M2478" s="36"/>
      <c r="N2478" s="36"/>
      <c r="O2478" s="36"/>
      <c r="P2478" s="37"/>
      <c r="Q2478" s="36"/>
      <c r="R2478" s="36"/>
      <c r="S2478" s="36"/>
      <c r="T2478" s="28" t="s">
        <v>12256</v>
      </c>
      <c r="U2478" s="38" t="s">
        <v>61</v>
      </c>
      <c r="V2478" s="30"/>
      <c r="W2478" s="49"/>
      <c r="X2478" s="49"/>
      <c r="Y2478" s="35"/>
      <c r="Z2478" s="35"/>
      <c r="AA2478" s="35"/>
      <c r="AB2478" s="35"/>
      <c r="AC2478" s="35"/>
      <c r="AD2478" s="35"/>
      <c r="AE2478" s="35"/>
      <c r="AF2478" s="35"/>
      <c r="AG2478" s="35"/>
      <c r="AH2478" s="35"/>
      <c r="AI2478" s="35"/>
      <c r="AJ2478" s="35"/>
      <c r="AK2478" s="35"/>
      <c r="AL2478" s="35"/>
    </row>
    <row r="2479">
      <c r="A2479" s="1"/>
      <c r="B2479" s="19" t="s">
        <v>12018</v>
      </c>
      <c r="C2479" s="20" t="s">
        <v>12252</v>
      </c>
      <c r="D2479" s="47"/>
      <c r="E2479" s="22" t="s">
        <v>12257</v>
      </c>
      <c r="F2479" s="22" t="s">
        <v>1973</v>
      </c>
      <c r="G2479" s="23">
        <v>2019.0</v>
      </c>
      <c r="H2479" s="22" t="s">
        <v>77</v>
      </c>
      <c r="I2479" s="24" t="s">
        <v>12258</v>
      </c>
      <c r="J2479" s="22" t="s">
        <v>55</v>
      </c>
      <c r="K2479" s="22" t="s">
        <v>607</v>
      </c>
      <c r="L2479" s="36">
        <v>890.0</v>
      </c>
      <c r="M2479" s="36"/>
      <c r="N2479" s="36"/>
      <c r="O2479" s="36"/>
      <c r="P2479" s="37"/>
      <c r="Q2479" s="36"/>
      <c r="R2479" s="36"/>
      <c r="S2479" s="36"/>
      <c r="T2479" s="28" t="s">
        <v>12259</v>
      </c>
      <c r="U2479" s="38" t="str">
        <f>HYPERLINK("https://www.ncbi.nlm.nih.gov/pubmed/31589095","PubMed")</f>
        <v>PubMed</v>
      </c>
      <c r="V2479" s="30" t="s">
        <v>12260</v>
      </c>
      <c r="W2479" s="49"/>
      <c r="X2479" s="49"/>
      <c r="Y2479" s="35"/>
      <c r="Z2479" s="35"/>
      <c r="AA2479" s="35"/>
      <c r="AB2479" s="35"/>
      <c r="AC2479" s="35"/>
      <c r="AD2479" s="35"/>
      <c r="AE2479" s="35"/>
      <c r="AF2479" s="35"/>
      <c r="AG2479" s="35"/>
      <c r="AH2479" s="35"/>
      <c r="AI2479" s="35"/>
      <c r="AJ2479" s="35"/>
      <c r="AK2479" s="35"/>
      <c r="AL2479" s="35"/>
    </row>
    <row r="2480">
      <c r="A2480" s="1"/>
      <c r="B2480" s="19" t="s">
        <v>12018</v>
      </c>
      <c r="C2480" s="20" t="s">
        <v>12252</v>
      </c>
      <c r="D2480" s="47"/>
      <c r="E2480" s="22" t="s">
        <v>626</v>
      </c>
      <c r="F2480" s="22" t="s">
        <v>12261</v>
      </c>
      <c r="G2480" s="23">
        <v>2014.0</v>
      </c>
      <c r="H2480" s="22" t="s">
        <v>2392</v>
      </c>
      <c r="I2480" s="24" t="s">
        <v>12262</v>
      </c>
      <c r="J2480" s="22" t="s">
        <v>2036</v>
      </c>
      <c r="K2480" s="22" t="s">
        <v>4071</v>
      </c>
      <c r="L2480" s="43" t="s">
        <v>12263</v>
      </c>
      <c r="M2480" s="44"/>
      <c r="N2480" s="44"/>
      <c r="O2480" s="44"/>
      <c r="P2480" s="44"/>
      <c r="Q2480" s="44"/>
      <c r="R2480" s="44"/>
      <c r="S2480" s="44"/>
      <c r="T2480" s="45"/>
      <c r="U2480" s="38" t="str">
        <f>HYPERLINK("https://www.ncbi.nlm.nih.gov/pubmed/24971848","PubMed")</f>
        <v>PubMed</v>
      </c>
      <c r="V2480" s="50"/>
      <c r="W2480" s="49"/>
      <c r="X2480" s="49"/>
      <c r="Y2480" s="35"/>
      <c r="Z2480" s="35"/>
      <c r="AA2480" s="35"/>
      <c r="AB2480" s="35"/>
      <c r="AC2480" s="35"/>
      <c r="AD2480" s="35"/>
      <c r="AE2480" s="35"/>
      <c r="AF2480" s="35"/>
      <c r="AG2480" s="35"/>
      <c r="AH2480" s="35"/>
      <c r="AI2480" s="35"/>
      <c r="AJ2480" s="35"/>
      <c r="AK2480" s="35"/>
      <c r="AL2480" s="35"/>
    </row>
    <row r="2481">
      <c r="A2481" s="1"/>
      <c r="B2481" s="19" t="s">
        <v>12018</v>
      </c>
      <c r="C2481" s="20" t="s">
        <v>12252</v>
      </c>
      <c r="D2481" s="47"/>
      <c r="E2481" s="22" t="s">
        <v>12264</v>
      </c>
      <c r="F2481" s="22" t="s">
        <v>183</v>
      </c>
      <c r="G2481" s="23">
        <v>2011.0</v>
      </c>
      <c r="H2481" s="22" t="s">
        <v>658</v>
      </c>
      <c r="I2481" s="24" t="s">
        <v>12265</v>
      </c>
      <c r="J2481" s="22" t="s">
        <v>55</v>
      </c>
      <c r="K2481" s="22" t="s">
        <v>1684</v>
      </c>
      <c r="L2481" s="36" t="s">
        <v>12266</v>
      </c>
      <c r="M2481" s="36"/>
      <c r="N2481" s="36"/>
      <c r="O2481" s="36"/>
      <c r="P2481" s="37" t="s">
        <v>12267</v>
      </c>
      <c r="Q2481" s="36"/>
      <c r="R2481" s="36">
        <v>73.0</v>
      </c>
      <c r="S2481" s="36"/>
      <c r="T2481" s="42" t="s">
        <v>12268</v>
      </c>
      <c r="U2481" s="38" t="str">
        <f>HYPERLINK("https://www.ncbi.nlm.nih.gov/pubmed/21790272","PubMed")</f>
        <v>PubMed</v>
      </c>
      <c r="V2481" s="50"/>
      <c r="W2481" s="49"/>
      <c r="X2481" s="49"/>
      <c r="Y2481" s="35"/>
      <c r="Z2481" s="35"/>
      <c r="AA2481" s="35"/>
      <c r="AB2481" s="35"/>
      <c r="AC2481" s="35"/>
      <c r="AD2481" s="35"/>
      <c r="AE2481" s="35"/>
      <c r="AF2481" s="35"/>
      <c r="AG2481" s="35"/>
      <c r="AH2481" s="35"/>
      <c r="AI2481" s="35"/>
      <c r="AJ2481" s="35"/>
      <c r="AK2481" s="35"/>
      <c r="AL2481" s="35"/>
    </row>
    <row r="2482">
      <c r="A2482" s="1"/>
      <c r="B2482" s="19" t="s">
        <v>12018</v>
      </c>
      <c r="C2482" s="20" t="s">
        <v>12252</v>
      </c>
      <c r="D2482" s="47"/>
      <c r="E2482" s="22" t="s">
        <v>2275</v>
      </c>
      <c r="F2482" s="22" t="s">
        <v>2196</v>
      </c>
      <c r="G2482" s="23">
        <v>2010.0</v>
      </c>
      <c r="H2482" s="22" t="s">
        <v>53</v>
      </c>
      <c r="I2482" s="24" t="s">
        <v>12269</v>
      </c>
      <c r="J2482" s="22" t="s">
        <v>31</v>
      </c>
      <c r="K2482" s="22" t="s">
        <v>9894</v>
      </c>
      <c r="L2482" s="36" t="s">
        <v>12270</v>
      </c>
      <c r="M2482" s="36"/>
      <c r="N2482" s="36"/>
      <c r="O2482" s="36"/>
      <c r="P2482" s="37"/>
      <c r="Q2482" s="36"/>
      <c r="R2482" s="36"/>
      <c r="S2482" s="36"/>
      <c r="T2482" s="28" t="s">
        <v>12271</v>
      </c>
      <c r="U2482" s="38" t="str">
        <f>HYPERLINK("https://www.ncbi.nlm.nih.gov/pubmed/20662027","PubMed")</f>
        <v>PubMed</v>
      </c>
      <c r="V2482" s="50"/>
      <c r="W2482" s="49"/>
      <c r="X2482" s="49"/>
      <c r="Y2482" s="35"/>
      <c r="Z2482" s="35"/>
      <c r="AA2482" s="35"/>
      <c r="AB2482" s="35"/>
      <c r="AC2482" s="35"/>
      <c r="AD2482" s="35"/>
      <c r="AE2482" s="35"/>
      <c r="AF2482" s="35"/>
      <c r="AG2482" s="35"/>
      <c r="AH2482" s="35"/>
      <c r="AI2482" s="35"/>
      <c r="AJ2482" s="35"/>
      <c r="AK2482" s="35"/>
      <c r="AL2482" s="35"/>
    </row>
    <row r="2483">
      <c r="A2483" s="1"/>
      <c r="B2483" s="19" t="s">
        <v>12018</v>
      </c>
      <c r="C2483" s="20" t="s">
        <v>12252</v>
      </c>
      <c r="D2483" s="47"/>
      <c r="E2483" s="22" t="s">
        <v>9014</v>
      </c>
      <c r="F2483" s="22" t="s">
        <v>1416</v>
      </c>
      <c r="G2483" s="23">
        <v>2008.0</v>
      </c>
      <c r="H2483" s="22" t="s">
        <v>292</v>
      </c>
      <c r="I2483" s="24" t="s">
        <v>12272</v>
      </c>
      <c r="J2483" s="22" t="s">
        <v>12273</v>
      </c>
      <c r="K2483" s="22" t="s">
        <v>157</v>
      </c>
      <c r="L2483" s="36">
        <v>830.0</v>
      </c>
      <c r="M2483" s="36"/>
      <c r="N2483" s="36"/>
      <c r="O2483" s="36"/>
      <c r="P2483" s="37" t="s">
        <v>5069</v>
      </c>
      <c r="Q2483" s="36"/>
      <c r="R2483" s="36">
        <v>1200.0</v>
      </c>
      <c r="S2483" s="36">
        <v>1.0</v>
      </c>
      <c r="T2483" s="28" t="s">
        <v>12274</v>
      </c>
      <c r="U2483" s="38" t="str">
        <f>HYPERLINK("https://www.jstage.jst.go.jp/article/islsm/17/3/17_3_141/_article/-char/ja/","J-STAGE")</f>
        <v>J-STAGE</v>
      </c>
      <c r="V2483" s="50"/>
      <c r="W2483" s="49"/>
      <c r="X2483" s="49"/>
      <c r="Y2483" s="35"/>
      <c r="Z2483" s="35"/>
      <c r="AA2483" s="35"/>
      <c r="AB2483" s="35"/>
      <c r="AC2483" s="35"/>
      <c r="AD2483" s="35"/>
      <c r="AE2483" s="35"/>
      <c r="AF2483" s="35"/>
      <c r="AG2483" s="35"/>
      <c r="AH2483" s="35"/>
      <c r="AI2483" s="35"/>
      <c r="AJ2483" s="35"/>
      <c r="AK2483" s="35"/>
      <c r="AL2483" s="35"/>
    </row>
    <row r="2484">
      <c r="A2484" s="1"/>
      <c r="B2484" s="19" t="s">
        <v>12018</v>
      </c>
      <c r="C2484" s="20" t="s">
        <v>12252</v>
      </c>
      <c r="D2484" s="47"/>
      <c r="E2484" s="22" t="s">
        <v>12275</v>
      </c>
      <c r="F2484" s="22" t="s">
        <v>5223</v>
      </c>
      <c r="G2484" s="23">
        <v>1996.0</v>
      </c>
      <c r="H2484" s="22" t="s">
        <v>53</v>
      </c>
      <c r="I2484" s="24" t="s">
        <v>12276</v>
      </c>
      <c r="J2484" s="22" t="s">
        <v>55</v>
      </c>
      <c r="K2484" s="22" t="s">
        <v>1413</v>
      </c>
      <c r="L2484" s="36">
        <v>820.0</v>
      </c>
      <c r="M2484" s="36"/>
      <c r="N2484" s="36" t="s">
        <v>12277</v>
      </c>
      <c r="O2484" s="36"/>
      <c r="P2484" s="37" t="s">
        <v>12278</v>
      </c>
      <c r="Q2484" s="36"/>
      <c r="R2484" s="36">
        <v>27.0</v>
      </c>
      <c r="S2484" s="36"/>
      <c r="T2484" s="42" t="s">
        <v>12279</v>
      </c>
      <c r="U2484" s="38" t="str">
        <f>HYPERLINK("https://www.ncbi.nlm.nih.gov/pubmed/8983003","PubMed")</f>
        <v>PubMed</v>
      </c>
      <c r="V2484" s="50"/>
      <c r="W2484" s="49"/>
      <c r="X2484" s="49"/>
      <c r="Y2484" s="35"/>
      <c r="Z2484" s="35"/>
      <c r="AA2484" s="35"/>
      <c r="AB2484" s="35"/>
      <c r="AC2484" s="35"/>
      <c r="AD2484" s="35"/>
      <c r="AE2484" s="35"/>
      <c r="AF2484" s="35"/>
      <c r="AG2484" s="35"/>
      <c r="AH2484" s="35"/>
      <c r="AI2484" s="35"/>
      <c r="AJ2484" s="35"/>
      <c r="AK2484" s="35"/>
      <c r="AL2484" s="35"/>
    </row>
    <row r="2485">
      <c r="A2485" s="1"/>
      <c r="B2485" s="19" t="s">
        <v>12018</v>
      </c>
      <c r="C2485" s="20" t="s">
        <v>12252</v>
      </c>
      <c r="D2485" s="47"/>
      <c r="E2485" s="22" t="s">
        <v>12275</v>
      </c>
      <c r="F2485" s="22" t="s">
        <v>5223</v>
      </c>
      <c r="G2485" s="23">
        <v>1990.0</v>
      </c>
      <c r="H2485" s="22" t="s">
        <v>53</v>
      </c>
      <c r="I2485" s="24" t="s">
        <v>12280</v>
      </c>
      <c r="J2485" s="22" t="s">
        <v>55</v>
      </c>
      <c r="K2485" s="22" t="s">
        <v>294</v>
      </c>
      <c r="L2485" s="36" t="s">
        <v>12281</v>
      </c>
      <c r="M2485" s="36"/>
      <c r="N2485" s="36"/>
      <c r="O2485" s="36"/>
      <c r="P2485" s="37"/>
      <c r="Q2485" s="36"/>
      <c r="R2485" s="36"/>
      <c r="S2485" s="36"/>
      <c r="T2485" s="28" t="s">
        <v>12282</v>
      </c>
      <c r="U2485" s="38" t="str">
        <f>HYPERLINK("https://www.ncbi.nlm.nih.gov/pubmed/2263155","PubMed")</f>
        <v>PubMed</v>
      </c>
      <c r="V2485" s="50"/>
      <c r="W2485" s="49"/>
      <c r="X2485" s="49"/>
      <c r="Y2485" s="35"/>
      <c r="Z2485" s="35"/>
      <c r="AA2485" s="35"/>
      <c r="AB2485" s="35"/>
      <c r="AC2485" s="35"/>
      <c r="AD2485" s="35"/>
      <c r="AE2485" s="35"/>
      <c r="AF2485" s="35"/>
      <c r="AG2485" s="35"/>
      <c r="AH2485" s="35"/>
      <c r="AI2485" s="35"/>
      <c r="AJ2485" s="35"/>
      <c r="AK2485" s="35"/>
      <c r="AL2485" s="35"/>
    </row>
    <row r="2486">
      <c r="A2486" s="1"/>
      <c r="B2486" s="19" t="s">
        <v>12018</v>
      </c>
      <c r="C2486" s="20" t="s">
        <v>12252</v>
      </c>
      <c r="D2486" s="47"/>
      <c r="E2486" s="22" t="s">
        <v>8831</v>
      </c>
      <c r="F2486" s="22" t="s">
        <v>7973</v>
      </c>
      <c r="G2486" s="23">
        <v>1989.0</v>
      </c>
      <c r="H2486" s="22" t="s">
        <v>292</v>
      </c>
      <c r="I2486" s="24" t="s">
        <v>12283</v>
      </c>
      <c r="J2486" s="22" t="s">
        <v>44</v>
      </c>
      <c r="K2486" s="22"/>
      <c r="L2486" s="36">
        <v>633.0</v>
      </c>
      <c r="M2486" s="36" t="s">
        <v>12284</v>
      </c>
      <c r="N2486" s="36"/>
      <c r="O2486" s="36"/>
      <c r="P2486" s="37"/>
      <c r="Q2486" s="36"/>
      <c r="R2486" s="36"/>
      <c r="S2486" s="36"/>
      <c r="T2486" s="28" t="s">
        <v>12285</v>
      </c>
      <c r="U2486" s="38" t="str">
        <f>HYPERLINK("https://www.jstage.jst.go.jp/article/islsm/1/1/1_89-OR-03/_article/-char/en","J-STAGE")</f>
        <v>J-STAGE</v>
      </c>
      <c r="V2486" s="50"/>
      <c r="W2486" s="49"/>
      <c r="X2486" s="49"/>
      <c r="Y2486" s="35"/>
      <c r="Z2486" s="35"/>
      <c r="AA2486" s="35"/>
      <c r="AB2486" s="35"/>
      <c r="AC2486" s="35"/>
      <c r="AD2486" s="35"/>
      <c r="AE2486" s="35"/>
      <c r="AF2486" s="35"/>
      <c r="AG2486" s="35"/>
      <c r="AH2486" s="35"/>
      <c r="AI2486" s="35"/>
      <c r="AJ2486" s="35"/>
      <c r="AK2486" s="35"/>
      <c r="AL2486" s="35"/>
    </row>
    <row r="2487">
      <c r="A2487" s="1"/>
      <c r="B2487" s="19" t="s">
        <v>12018</v>
      </c>
      <c r="C2487" s="20" t="s">
        <v>12286</v>
      </c>
      <c r="D2487" s="47"/>
      <c r="E2487" s="22" t="s">
        <v>12287</v>
      </c>
      <c r="F2487" s="22" t="s">
        <v>41</v>
      </c>
      <c r="G2487" s="23">
        <v>2013.0</v>
      </c>
      <c r="H2487" s="22" t="s">
        <v>91</v>
      </c>
      <c r="I2487" s="24" t="s">
        <v>12288</v>
      </c>
      <c r="J2487" s="22" t="s">
        <v>44</v>
      </c>
      <c r="K2487" s="22"/>
      <c r="L2487" s="36">
        <v>780.0</v>
      </c>
      <c r="M2487" s="36">
        <v>20.0</v>
      </c>
      <c r="N2487" s="36"/>
      <c r="O2487" s="36"/>
      <c r="P2487" s="37" t="s">
        <v>95</v>
      </c>
      <c r="Q2487" s="36" t="s">
        <v>830</v>
      </c>
      <c r="R2487" s="36"/>
      <c r="S2487" s="36"/>
      <c r="T2487" s="28" t="s">
        <v>12289</v>
      </c>
      <c r="U2487" s="38" t="str">
        <f>HYPERLINK("https://www.ncbi.nlm.nih.gov/pubmed/22415574","PubMed")</f>
        <v>PubMed</v>
      </c>
      <c r="V2487" s="50"/>
      <c r="W2487" s="49"/>
      <c r="X2487" s="49"/>
      <c r="Y2487" s="35"/>
      <c r="Z2487" s="35"/>
      <c r="AA2487" s="35"/>
      <c r="AB2487" s="35"/>
      <c r="AC2487" s="35"/>
      <c r="AD2487" s="35"/>
      <c r="AE2487" s="35"/>
      <c r="AF2487" s="35"/>
      <c r="AG2487" s="35"/>
      <c r="AH2487" s="35"/>
      <c r="AI2487" s="35"/>
      <c r="AJ2487" s="35"/>
      <c r="AK2487" s="35"/>
      <c r="AL2487" s="35"/>
    </row>
    <row r="2488">
      <c r="A2488" s="1"/>
      <c r="B2488" s="19" t="s">
        <v>12018</v>
      </c>
      <c r="C2488" s="20" t="s">
        <v>12290</v>
      </c>
      <c r="D2488" s="47"/>
      <c r="E2488" s="22" t="s">
        <v>12214</v>
      </c>
      <c r="F2488" s="22" t="s">
        <v>41</v>
      </c>
      <c r="G2488" s="23">
        <v>2024.0</v>
      </c>
      <c r="H2488" s="22" t="s">
        <v>207</v>
      </c>
      <c r="I2488" s="24" t="s">
        <v>12291</v>
      </c>
      <c r="J2488" s="22" t="s">
        <v>31</v>
      </c>
      <c r="K2488" s="22"/>
      <c r="L2488" s="36">
        <v>590.0</v>
      </c>
      <c r="M2488" s="36"/>
      <c r="N2488" s="36"/>
      <c r="O2488" s="36"/>
      <c r="P2488" s="37"/>
      <c r="Q2488" s="36"/>
      <c r="R2488" s="36"/>
      <c r="S2488" s="36"/>
      <c r="T2488" s="28" t="s">
        <v>12292</v>
      </c>
      <c r="U2488" s="38" t="s">
        <v>61</v>
      </c>
      <c r="V2488" s="30"/>
      <c r="W2488" s="49"/>
      <c r="X2488" s="49"/>
      <c r="Y2488" s="35"/>
      <c r="Z2488" s="35"/>
      <c r="AA2488" s="35"/>
      <c r="AB2488" s="35"/>
      <c r="AC2488" s="35"/>
      <c r="AD2488" s="35"/>
      <c r="AE2488" s="35"/>
      <c r="AF2488" s="35"/>
      <c r="AG2488" s="35"/>
      <c r="AH2488" s="35"/>
      <c r="AI2488" s="35"/>
      <c r="AJ2488" s="35"/>
      <c r="AK2488" s="35"/>
      <c r="AL2488" s="35"/>
    </row>
    <row r="2489">
      <c r="A2489" s="1"/>
      <c r="B2489" s="19" t="s">
        <v>12018</v>
      </c>
      <c r="C2489" s="20" t="s">
        <v>12290</v>
      </c>
      <c r="D2489" s="47"/>
      <c r="E2489" s="22" t="s">
        <v>9731</v>
      </c>
      <c r="F2489" s="22" t="s">
        <v>12293</v>
      </c>
      <c r="G2489" s="23">
        <v>2020.0</v>
      </c>
      <c r="H2489" s="22" t="s">
        <v>91</v>
      </c>
      <c r="I2489" s="24" t="s">
        <v>12294</v>
      </c>
      <c r="J2489" s="22" t="s">
        <v>31</v>
      </c>
      <c r="K2489" s="22"/>
      <c r="L2489" s="36" t="s">
        <v>12295</v>
      </c>
      <c r="M2489" s="36"/>
      <c r="N2489" s="36"/>
      <c r="O2489" s="36"/>
      <c r="P2489" s="37" t="s">
        <v>12296</v>
      </c>
      <c r="Q2489" s="36"/>
      <c r="R2489" s="36"/>
      <c r="S2489" s="36"/>
      <c r="T2489" s="42" t="s">
        <v>12297</v>
      </c>
      <c r="U2489" s="29" t="s">
        <v>61</v>
      </c>
      <c r="V2489" s="30"/>
      <c r="W2489" s="49"/>
      <c r="X2489" s="49"/>
      <c r="Y2489" s="35"/>
      <c r="Z2489" s="35"/>
      <c r="AA2489" s="35"/>
      <c r="AB2489" s="35"/>
      <c r="AC2489" s="35"/>
      <c r="AD2489" s="35"/>
      <c r="AE2489" s="35"/>
      <c r="AF2489" s="35"/>
      <c r="AG2489" s="35"/>
      <c r="AH2489" s="35"/>
      <c r="AI2489" s="35"/>
      <c r="AJ2489" s="35"/>
      <c r="AK2489" s="35"/>
      <c r="AL2489" s="35"/>
    </row>
    <row r="2490">
      <c r="A2490" s="1"/>
      <c r="B2490" s="19" t="s">
        <v>12018</v>
      </c>
      <c r="C2490" s="20" t="s">
        <v>12290</v>
      </c>
      <c r="D2490" s="47"/>
      <c r="E2490" s="22" t="s">
        <v>12298</v>
      </c>
      <c r="F2490" s="22" t="s">
        <v>3466</v>
      </c>
      <c r="G2490" s="23">
        <v>2019.0</v>
      </c>
      <c r="H2490" s="22" t="s">
        <v>42</v>
      </c>
      <c r="I2490" s="24" t="s">
        <v>12299</v>
      </c>
      <c r="J2490" s="22" t="s">
        <v>31</v>
      </c>
      <c r="K2490" s="22" t="s">
        <v>12300</v>
      </c>
      <c r="L2490" s="36" t="s">
        <v>12301</v>
      </c>
      <c r="M2490" s="36"/>
      <c r="N2490" s="36"/>
      <c r="O2490" s="36"/>
      <c r="P2490" s="37"/>
      <c r="Q2490" s="36"/>
      <c r="R2490" s="36"/>
      <c r="S2490" s="36"/>
      <c r="T2490" s="28" t="s">
        <v>12302</v>
      </c>
      <c r="U2490" s="38" t="str">
        <f>HYPERLINK("https://www.ncbi.nlm.nih.gov/pubmed/31816155","PubMed")</f>
        <v>PubMed</v>
      </c>
      <c r="V2490" s="30" t="s">
        <v>12303</v>
      </c>
      <c r="W2490" s="49"/>
      <c r="X2490" s="49"/>
      <c r="Y2490" s="35"/>
      <c r="Z2490" s="35"/>
      <c r="AA2490" s="35"/>
      <c r="AB2490" s="35"/>
      <c r="AC2490" s="35"/>
      <c r="AD2490" s="35"/>
      <c r="AE2490" s="35"/>
      <c r="AF2490" s="35"/>
      <c r="AG2490" s="35"/>
      <c r="AH2490" s="35"/>
      <c r="AI2490" s="35"/>
      <c r="AJ2490" s="35"/>
      <c r="AK2490" s="35"/>
      <c r="AL2490" s="35"/>
    </row>
    <row r="2491">
      <c r="A2491" s="1"/>
      <c r="B2491" s="19" t="s">
        <v>12018</v>
      </c>
      <c r="C2491" s="20" t="s">
        <v>12290</v>
      </c>
      <c r="D2491" s="47"/>
      <c r="E2491" s="22" t="s">
        <v>12304</v>
      </c>
      <c r="F2491" s="22" t="s">
        <v>9400</v>
      </c>
      <c r="G2491" s="23">
        <v>2016.0</v>
      </c>
      <c r="H2491" s="22" t="s">
        <v>7511</v>
      </c>
      <c r="I2491" s="24" t="s">
        <v>12305</v>
      </c>
      <c r="J2491" s="22" t="s">
        <v>31</v>
      </c>
      <c r="K2491" s="22" t="s">
        <v>157</v>
      </c>
      <c r="L2491" s="36">
        <v>880.0</v>
      </c>
      <c r="M2491" s="36"/>
      <c r="N2491" s="36"/>
      <c r="O2491" s="36"/>
      <c r="P2491" s="37"/>
      <c r="Q2491" s="36"/>
      <c r="R2491" s="36"/>
      <c r="S2491" s="36"/>
      <c r="T2491" s="28" t="s">
        <v>12306</v>
      </c>
      <c r="U2491" s="38" t="str">
        <f>HYPERLINK("https://www.ncbi.nlm.nih.gov/pubmed/28078845","PubMed")</f>
        <v>PubMed</v>
      </c>
      <c r="V2491" s="50"/>
      <c r="W2491" s="49"/>
      <c r="X2491" s="49"/>
      <c r="Y2491" s="35"/>
      <c r="Z2491" s="35"/>
      <c r="AA2491" s="35"/>
      <c r="AB2491" s="35"/>
      <c r="AC2491" s="35"/>
      <c r="AD2491" s="35"/>
      <c r="AE2491" s="35"/>
      <c r="AF2491" s="35"/>
      <c r="AG2491" s="35"/>
      <c r="AH2491" s="35"/>
      <c r="AI2491" s="35"/>
      <c r="AJ2491" s="35"/>
      <c r="AK2491" s="35"/>
      <c r="AL2491" s="35"/>
    </row>
    <row r="2492">
      <c r="A2492" s="1"/>
      <c r="B2492" s="19" t="s">
        <v>12018</v>
      </c>
      <c r="C2492" s="20" t="s">
        <v>12290</v>
      </c>
      <c r="D2492" s="47"/>
      <c r="E2492" s="22" t="s">
        <v>2195</v>
      </c>
      <c r="F2492" s="22" t="s">
        <v>494</v>
      </c>
      <c r="G2492" s="23">
        <v>2014.0</v>
      </c>
      <c r="H2492" s="22" t="s">
        <v>12307</v>
      </c>
      <c r="I2492" s="24" t="s">
        <v>12308</v>
      </c>
      <c r="J2492" s="22" t="s">
        <v>31</v>
      </c>
      <c r="K2492" s="22" t="s">
        <v>12309</v>
      </c>
      <c r="L2492" s="36">
        <v>660.0</v>
      </c>
      <c r="M2492" s="36"/>
      <c r="N2492" s="36"/>
      <c r="O2492" s="36"/>
      <c r="P2492" s="37"/>
      <c r="Q2492" s="36"/>
      <c r="R2492" s="36"/>
      <c r="S2492" s="36"/>
      <c r="T2492" s="42" t="s">
        <v>12310</v>
      </c>
      <c r="U2492" s="38" t="str">
        <f>HYPERLINK("https://www.ncbi.nlm.nih.gov/pubmed/24692853","PubMed")</f>
        <v>PubMed</v>
      </c>
      <c r="V2492" s="50"/>
      <c r="W2492" s="49"/>
      <c r="X2492" s="49"/>
      <c r="Y2492" s="35"/>
      <c r="Z2492" s="35"/>
      <c r="AA2492" s="35"/>
      <c r="AB2492" s="35"/>
      <c r="AC2492" s="35"/>
      <c r="AD2492" s="35"/>
      <c r="AE2492" s="35"/>
      <c r="AF2492" s="35"/>
      <c r="AG2492" s="35"/>
      <c r="AH2492" s="35"/>
      <c r="AI2492" s="35"/>
      <c r="AJ2492" s="35"/>
      <c r="AK2492" s="35"/>
      <c r="AL2492" s="35"/>
    </row>
    <row r="2493">
      <c r="A2493" s="1"/>
      <c r="B2493" s="19" t="s">
        <v>12018</v>
      </c>
      <c r="C2493" s="20" t="s">
        <v>12311</v>
      </c>
      <c r="D2493" s="47"/>
      <c r="E2493" s="22" t="s">
        <v>12312</v>
      </c>
      <c r="F2493" s="22" t="s">
        <v>605</v>
      </c>
      <c r="G2493" s="23">
        <v>2006.0</v>
      </c>
      <c r="H2493" s="22" t="s">
        <v>207</v>
      </c>
      <c r="I2493" s="24" t="s">
        <v>12313</v>
      </c>
      <c r="J2493" s="22" t="s">
        <v>31</v>
      </c>
      <c r="K2493" s="22"/>
      <c r="L2493" s="36">
        <v>633.0</v>
      </c>
      <c r="M2493" s="36"/>
      <c r="N2493" s="36"/>
      <c r="O2493" s="36"/>
      <c r="P2493" s="37"/>
      <c r="Q2493" s="36"/>
      <c r="R2493" s="36"/>
      <c r="S2493" s="36"/>
      <c r="T2493" s="28" t="s">
        <v>12314</v>
      </c>
      <c r="U2493" s="38" t="str">
        <f>HYPERLINK("https://www.ncbi.nlm.nih.gov/pubmed/16388963","PubMed")</f>
        <v>PubMed</v>
      </c>
      <c r="V2493" s="50"/>
      <c r="W2493" s="49"/>
      <c r="X2493" s="49"/>
      <c r="Y2493" s="35"/>
      <c r="Z2493" s="35"/>
      <c r="AA2493" s="35"/>
      <c r="AB2493" s="35"/>
      <c r="AC2493" s="35"/>
      <c r="AD2493" s="35"/>
      <c r="AE2493" s="35"/>
      <c r="AF2493" s="35"/>
      <c r="AG2493" s="35"/>
      <c r="AH2493" s="35"/>
      <c r="AI2493" s="35"/>
      <c r="AJ2493" s="35"/>
      <c r="AK2493" s="35"/>
      <c r="AL2493" s="35"/>
    </row>
    <row r="2494">
      <c r="A2494" s="1"/>
      <c r="B2494" s="19" t="s">
        <v>12018</v>
      </c>
      <c r="C2494" s="20" t="s">
        <v>12311</v>
      </c>
      <c r="D2494" s="47"/>
      <c r="E2494" s="22" t="s">
        <v>12315</v>
      </c>
      <c r="F2494" s="22" t="s">
        <v>1437</v>
      </c>
      <c r="G2494" s="23">
        <v>1993.0</v>
      </c>
      <c r="H2494" s="22" t="s">
        <v>7420</v>
      </c>
      <c r="I2494" s="24" t="s">
        <v>12316</v>
      </c>
      <c r="J2494" s="22" t="s">
        <v>31</v>
      </c>
      <c r="K2494" s="22"/>
      <c r="L2494" s="36"/>
      <c r="M2494" s="36"/>
      <c r="N2494" s="36"/>
      <c r="O2494" s="36"/>
      <c r="P2494" s="37"/>
      <c r="Q2494" s="36"/>
      <c r="R2494" s="36"/>
      <c r="S2494" s="36"/>
      <c r="T2494" s="42" t="s">
        <v>12317</v>
      </c>
      <c r="U2494" s="38" t="str">
        <f>HYPERLINK("https://www.ncbi.nlm.nih.gov/pubmed/7908841","PubMed")</f>
        <v>PubMed</v>
      </c>
      <c r="V2494" s="50"/>
      <c r="W2494" s="49"/>
      <c r="X2494" s="49"/>
      <c r="Y2494" s="35"/>
      <c r="Z2494" s="35"/>
      <c r="AA2494" s="35"/>
      <c r="AB2494" s="35"/>
      <c r="AC2494" s="35"/>
      <c r="AD2494" s="35"/>
      <c r="AE2494" s="35"/>
      <c r="AF2494" s="35"/>
      <c r="AG2494" s="35"/>
      <c r="AH2494" s="35"/>
      <c r="AI2494" s="35"/>
      <c r="AJ2494" s="35"/>
      <c r="AK2494" s="35"/>
      <c r="AL2494" s="35"/>
    </row>
    <row r="2495">
      <c r="A2495" s="1"/>
      <c r="B2495" s="19" t="s">
        <v>12018</v>
      </c>
      <c r="C2495" s="20" t="s">
        <v>12311</v>
      </c>
      <c r="D2495" s="47"/>
      <c r="E2495" s="22" t="s">
        <v>12315</v>
      </c>
      <c r="F2495" s="22" t="s">
        <v>1437</v>
      </c>
      <c r="G2495" s="23">
        <v>1992.0</v>
      </c>
      <c r="H2495" s="22" t="s">
        <v>207</v>
      </c>
      <c r="I2495" s="24" t="s">
        <v>12318</v>
      </c>
      <c r="J2495" s="22" t="s">
        <v>31</v>
      </c>
      <c r="K2495" s="22"/>
      <c r="L2495" s="36">
        <v>633.0</v>
      </c>
      <c r="M2495" s="36"/>
      <c r="N2495" s="36"/>
      <c r="O2495" s="36"/>
      <c r="P2495" s="37"/>
      <c r="Q2495" s="36"/>
      <c r="R2495" s="36"/>
      <c r="S2495" s="36"/>
      <c r="T2495" s="42" t="s">
        <v>12319</v>
      </c>
      <c r="U2495" s="38" t="str">
        <f>HYPERLINK("https://www.ncbi.nlm.nih.gov/pubmed/1479476","PubMed")</f>
        <v>PubMed</v>
      </c>
      <c r="V2495" s="50"/>
      <c r="W2495" s="49"/>
      <c r="X2495" s="49"/>
      <c r="Y2495" s="35"/>
      <c r="Z2495" s="35"/>
      <c r="AA2495" s="35"/>
      <c r="AB2495" s="35"/>
      <c r="AC2495" s="35"/>
      <c r="AD2495" s="35"/>
      <c r="AE2495" s="35"/>
      <c r="AF2495" s="35"/>
      <c r="AG2495" s="35"/>
      <c r="AH2495" s="35"/>
      <c r="AI2495" s="35"/>
      <c r="AJ2495" s="35"/>
      <c r="AK2495" s="35"/>
      <c r="AL2495" s="35"/>
    </row>
    <row r="2496">
      <c r="A2496" s="1"/>
      <c r="B2496" s="19" t="s">
        <v>12018</v>
      </c>
      <c r="C2496" s="20" t="s">
        <v>12320</v>
      </c>
      <c r="D2496" s="47"/>
      <c r="E2496" s="22" t="s">
        <v>12321</v>
      </c>
      <c r="F2496" s="22" t="s">
        <v>5289</v>
      </c>
      <c r="G2496" s="23">
        <v>2018.0</v>
      </c>
      <c r="H2496" s="22" t="s">
        <v>91</v>
      </c>
      <c r="I2496" s="24" t="s">
        <v>12322</v>
      </c>
      <c r="J2496" s="22" t="s">
        <v>31</v>
      </c>
      <c r="K2496" s="22"/>
      <c r="L2496" s="36">
        <v>980.0</v>
      </c>
      <c r="M2496" s="36"/>
      <c r="N2496" s="36"/>
      <c r="O2496" s="36"/>
      <c r="P2496" s="37"/>
      <c r="Q2496" s="36"/>
      <c r="R2496" s="36"/>
      <c r="S2496" s="36"/>
      <c r="T2496" s="30" t="s">
        <v>12323</v>
      </c>
      <c r="U2496" s="29" t="s">
        <v>61</v>
      </c>
      <c r="V2496" s="50"/>
      <c r="W2496" s="49"/>
      <c r="X2496" s="49"/>
      <c r="Y2496" s="35"/>
      <c r="Z2496" s="35"/>
      <c r="AA2496" s="35"/>
      <c r="AB2496" s="35"/>
      <c r="AC2496" s="35"/>
      <c r="AD2496" s="35"/>
      <c r="AE2496" s="35"/>
      <c r="AF2496" s="35"/>
      <c r="AG2496" s="35"/>
      <c r="AH2496" s="35"/>
      <c r="AI2496" s="35"/>
      <c r="AJ2496" s="35"/>
      <c r="AK2496" s="35"/>
      <c r="AL2496" s="35"/>
    </row>
    <row r="2497">
      <c r="A2497" s="1"/>
      <c r="B2497" s="19" t="s">
        <v>12018</v>
      </c>
      <c r="C2497" s="20" t="s">
        <v>12320</v>
      </c>
      <c r="D2497" s="47"/>
      <c r="E2497" s="22" t="s">
        <v>12324</v>
      </c>
      <c r="F2497" s="22" t="s">
        <v>12325</v>
      </c>
      <c r="G2497" s="23">
        <v>2016.0</v>
      </c>
      <c r="H2497" s="22" t="s">
        <v>42</v>
      </c>
      <c r="I2497" s="24" t="s">
        <v>12326</v>
      </c>
      <c r="J2497" s="22" t="s">
        <v>31</v>
      </c>
      <c r="K2497" s="22"/>
      <c r="L2497" s="36"/>
      <c r="M2497" s="36"/>
      <c r="N2497" s="36"/>
      <c r="O2497" s="36"/>
      <c r="P2497" s="37"/>
      <c r="Q2497" s="36"/>
      <c r="R2497" s="36"/>
      <c r="S2497" s="36"/>
      <c r="T2497" s="50"/>
      <c r="U2497" s="38" t="str">
        <f>HYPERLINK("http://www.ncbi.nlm.nih.gov/pubmed/27243910","PubMed")</f>
        <v>PubMed</v>
      </c>
      <c r="V2497" s="50"/>
      <c r="W2497" s="49"/>
      <c r="X2497" s="49"/>
      <c r="Y2497" s="35"/>
      <c r="Z2497" s="35"/>
      <c r="AA2497" s="35"/>
      <c r="AB2497" s="35"/>
      <c r="AC2497" s="35"/>
      <c r="AD2497" s="35"/>
      <c r="AE2497" s="35"/>
      <c r="AF2497" s="35"/>
      <c r="AG2497" s="35"/>
      <c r="AH2497" s="35"/>
      <c r="AI2497" s="35"/>
      <c r="AJ2497" s="35"/>
      <c r="AK2497" s="35"/>
      <c r="AL2497" s="35"/>
    </row>
    <row r="2498">
      <c r="A2498" s="1"/>
      <c r="B2498" s="19" t="s">
        <v>12018</v>
      </c>
      <c r="C2498" s="20" t="s">
        <v>12320</v>
      </c>
      <c r="D2498" s="47"/>
      <c r="E2498" s="22" t="s">
        <v>12327</v>
      </c>
      <c r="F2498" s="22" t="s">
        <v>12328</v>
      </c>
      <c r="G2498" s="23">
        <v>2010.0</v>
      </c>
      <c r="H2498" s="22" t="s">
        <v>3065</v>
      </c>
      <c r="I2498" s="24" t="s">
        <v>12329</v>
      </c>
      <c r="J2498" s="22" t="s">
        <v>31</v>
      </c>
      <c r="K2498" s="22"/>
      <c r="L2498" s="36"/>
      <c r="M2498" s="36"/>
      <c r="N2498" s="36"/>
      <c r="O2498" s="36"/>
      <c r="P2498" s="37"/>
      <c r="Q2498" s="36"/>
      <c r="R2498" s="36"/>
      <c r="S2498" s="36"/>
      <c r="T2498" s="28" t="s">
        <v>12330</v>
      </c>
      <c r="U2498" s="38" t="str">
        <f>HYPERLINK("https://www.ncbi.nlm.nih.gov/pubmed/21240378","PubMed")</f>
        <v>PubMed</v>
      </c>
      <c r="V2498" s="50"/>
      <c r="W2498" s="49"/>
      <c r="X2498" s="49"/>
      <c r="Y2498" s="35"/>
      <c r="Z2498" s="35"/>
      <c r="AA2498" s="35"/>
      <c r="AB2498" s="35"/>
      <c r="AC2498" s="35"/>
      <c r="AD2498" s="35"/>
      <c r="AE2498" s="35"/>
      <c r="AF2498" s="35"/>
      <c r="AG2498" s="35"/>
      <c r="AH2498" s="35"/>
      <c r="AI2498" s="35"/>
      <c r="AJ2498" s="35"/>
      <c r="AK2498" s="35"/>
      <c r="AL2498" s="35"/>
    </row>
    <row r="2499">
      <c r="A2499" s="1"/>
      <c r="B2499" s="19" t="s">
        <v>12018</v>
      </c>
      <c r="C2499" s="20" t="s">
        <v>12320</v>
      </c>
      <c r="D2499" s="47"/>
      <c r="E2499" s="22" t="s">
        <v>12331</v>
      </c>
      <c r="F2499" s="22" t="s">
        <v>12332</v>
      </c>
      <c r="G2499" s="23">
        <v>1993.0</v>
      </c>
      <c r="H2499" s="22" t="s">
        <v>292</v>
      </c>
      <c r="I2499" s="24" t="s">
        <v>12333</v>
      </c>
      <c r="J2499" s="22" t="s">
        <v>31</v>
      </c>
      <c r="K2499" s="22"/>
      <c r="L2499" s="36">
        <v>830.0</v>
      </c>
      <c r="M2499" s="36">
        <v>60.0</v>
      </c>
      <c r="N2499" s="36"/>
      <c r="O2499" s="36"/>
      <c r="P2499" s="37"/>
      <c r="Q2499" s="36"/>
      <c r="R2499" s="36"/>
      <c r="S2499" s="36"/>
      <c r="T2499" s="28" t="s">
        <v>12334</v>
      </c>
      <c r="U2499" s="38" t="str">
        <f>HYPERLINK("https://www.jstage.jst.go.jp/article/islsm/5/3/5_93-OR-12/_article/-char/en","J-STAGE")</f>
        <v>J-STAGE</v>
      </c>
      <c r="V2499" s="50"/>
      <c r="W2499" s="49"/>
      <c r="X2499" s="49"/>
      <c r="Y2499" s="35"/>
      <c r="Z2499" s="35"/>
      <c r="AA2499" s="35"/>
      <c r="AB2499" s="35"/>
      <c r="AC2499" s="35"/>
      <c r="AD2499" s="35"/>
      <c r="AE2499" s="35"/>
      <c r="AF2499" s="35"/>
      <c r="AG2499" s="35"/>
      <c r="AH2499" s="35"/>
      <c r="AI2499" s="35"/>
      <c r="AJ2499" s="35"/>
      <c r="AK2499" s="35"/>
      <c r="AL2499" s="35"/>
    </row>
    <row r="2500">
      <c r="A2500" s="1"/>
      <c r="B2500" s="19" t="s">
        <v>12018</v>
      </c>
      <c r="C2500" s="20" t="s">
        <v>12335</v>
      </c>
      <c r="D2500" s="47"/>
      <c r="E2500" s="22" t="s">
        <v>5384</v>
      </c>
      <c r="F2500" s="22" t="s">
        <v>2445</v>
      </c>
      <c r="G2500" s="23">
        <v>2009.0</v>
      </c>
      <c r="H2500" s="22" t="s">
        <v>53</v>
      </c>
      <c r="I2500" s="24" t="s">
        <v>12336</v>
      </c>
      <c r="J2500" s="22" t="s">
        <v>44</v>
      </c>
      <c r="K2500" s="22" t="s">
        <v>12337</v>
      </c>
      <c r="L2500" s="36" t="s">
        <v>12338</v>
      </c>
      <c r="M2500" s="36"/>
      <c r="N2500" s="36"/>
      <c r="O2500" s="36"/>
      <c r="P2500" s="37" t="s">
        <v>432</v>
      </c>
      <c r="Q2500" s="36"/>
      <c r="R2500" s="36"/>
      <c r="S2500" s="36"/>
      <c r="T2500" s="42" t="s">
        <v>12339</v>
      </c>
      <c r="U2500" s="38" t="str">
        <f>HYPERLINK("https://www.ncbi.nlm.nih.gov/pubmed/19291752","PubMed")</f>
        <v>PubMed</v>
      </c>
      <c r="V2500" s="50"/>
      <c r="W2500" s="49"/>
      <c r="X2500" s="49"/>
      <c r="Y2500" s="35"/>
      <c r="Z2500" s="35"/>
      <c r="AA2500" s="35"/>
      <c r="AB2500" s="35"/>
      <c r="AC2500" s="35"/>
      <c r="AD2500" s="35"/>
      <c r="AE2500" s="35"/>
      <c r="AF2500" s="35"/>
      <c r="AG2500" s="35"/>
      <c r="AH2500" s="35"/>
      <c r="AI2500" s="35"/>
      <c r="AJ2500" s="35"/>
      <c r="AK2500" s="35"/>
      <c r="AL2500" s="35"/>
    </row>
    <row r="2501">
      <c r="A2501" s="1"/>
      <c r="B2501" s="19" t="s">
        <v>12018</v>
      </c>
      <c r="C2501" s="20" t="s">
        <v>12340</v>
      </c>
      <c r="D2501" s="47"/>
      <c r="E2501" s="22" t="s">
        <v>3890</v>
      </c>
      <c r="F2501" s="22" t="s">
        <v>313</v>
      </c>
      <c r="G2501" s="23">
        <v>2020.0</v>
      </c>
      <c r="H2501" s="22" t="s">
        <v>200</v>
      </c>
      <c r="I2501" s="24" t="s">
        <v>12341</v>
      </c>
      <c r="J2501" s="22" t="s">
        <v>44</v>
      </c>
      <c r="K2501" s="22" t="s">
        <v>12342</v>
      </c>
      <c r="L2501" s="36"/>
      <c r="M2501" s="36"/>
      <c r="N2501" s="36"/>
      <c r="O2501" s="36"/>
      <c r="P2501" s="37"/>
      <c r="Q2501" s="36"/>
      <c r="R2501" s="36"/>
      <c r="S2501" s="36"/>
      <c r="T2501" s="41" t="s">
        <v>12343</v>
      </c>
      <c r="U2501" s="38" t="s">
        <v>61</v>
      </c>
      <c r="V2501" s="50"/>
      <c r="W2501" s="49"/>
      <c r="X2501" s="49"/>
      <c r="Y2501" s="35"/>
      <c r="Z2501" s="35"/>
      <c r="AA2501" s="35"/>
      <c r="AB2501" s="35"/>
      <c r="AC2501" s="35"/>
      <c r="AD2501" s="35"/>
      <c r="AE2501" s="35"/>
      <c r="AF2501" s="35"/>
      <c r="AG2501" s="35"/>
      <c r="AH2501" s="35"/>
      <c r="AI2501" s="35"/>
      <c r="AJ2501" s="35"/>
      <c r="AK2501" s="35"/>
      <c r="AL2501" s="35"/>
    </row>
    <row r="2502">
      <c r="A2502" s="1"/>
      <c r="B2502" s="19" t="s">
        <v>12018</v>
      </c>
      <c r="C2502" s="20" t="s">
        <v>12340</v>
      </c>
      <c r="D2502" s="47"/>
      <c r="E2502" s="22" t="s">
        <v>5226</v>
      </c>
      <c r="F2502" s="22" t="s">
        <v>5227</v>
      </c>
      <c r="G2502" s="23">
        <v>1997.0</v>
      </c>
      <c r="H2502" s="22" t="s">
        <v>53</v>
      </c>
      <c r="I2502" s="24" t="s">
        <v>12344</v>
      </c>
      <c r="J2502" s="22" t="s">
        <v>55</v>
      </c>
      <c r="K2502" s="22"/>
      <c r="L2502" s="36">
        <v>630.0</v>
      </c>
      <c r="M2502" s="36"/>
      <c r="N2502" s="36" t="s">
        <v>821</v>
      </c>
      <c r="O2502" s="36"/>
      <c r="P2502" s="37" t="s">
        <v>432</v>
      </c>
      <c r="Q2502" s="36" t="s">
        <v>12345</v>
      </c>
      <c r="R2502" s="36"/>
      <c r="S2502" s="36"/>
      <c r="T2502" s="28" t="s">
        <v>12346</v>
      </c>
      <c r="U2502" s="38" t="str">
        <f>HYPERLINK("https://www.ncbi.nlm.nih.gov/pubmed/9291083","PubMed")</f>
        <v>PubMed</v>
      </c>
      <c r="V2502" s="50"/>
      <c r="W2502" s="49"/>
      <c r="X2502" s="49"/>
      <c r="Y2502" s="35"/>
      <c r="Z2502" s="35"/>
      <c r="AA2502" s="35"/>
      <c r="AB2502" s="35"/>
      <c r="AC2502" s="35"/>
      <c r="AD2502" s="35"/>
      <c r="AE2502" s="35"/>
      <c r="AF2502" s="35"/>
      <c r="AG2502" s="35"/>
      <c r="AH2502" s="35"/>
      <c r="AI2502" s="35"/>
      <c r="AJ2502" s="35"/>
      <c r="AK2502" s="35"/>
      <c r="AL2502" s="35"/>
    </row>
    <row r="2503">
      <c r="A2503" s="1"/>
      <c r="B2503" s="19" t="s">
        <v>12018</v>
      </c>
      <c r="C2503" s="20" t="s">
        <v>12347</v>
      </c>
      <c r="D2503" s="47"/>
      <c r="E2503" s="22" t="s">
        <v>12287</v>
      </c>
      <c r="F2503" s="22" t="s">
        <v>41</v>
      </c>
      <c r="G2503" s="23">
        <v>2010.0</v>
      </c>
      <c r="H2503" s="22" t="s">
        <v>53</v>
      </c>
      <c r="I2503" s="24" t="s">
        <v>12348</v>
      </c>
      <c r="J2503" s="22" t="s">
        <v>44</v>
      </c>
      <c r="K2503" s="22"/>
      <c r="L2503" s="36">
        <v>780.0</v>
      </c>
      <c r="M2503" s="36">
        <v>20.0</v>
      </c>
      <c r="N2503" s="36"/>
      <c r="O2503" s="36" t="s">
        <v>12349</v>
      </c>
      <c r="P2503" s="37" t="s">
        <v>95</v>
      </c>
      <c r="Q2503" s="36"/>
      <c r="R2503" s="36">
        <v>60.0</v>
      </c>
      <c r="S2503" s="36"/>
      <c r="T2503" s="41" t="s">
        <v>12350</v>
      </c>
      <c r="U2503" s="38" t="str">
        <f>HYPERLINK("https://www.ncbi.nlm.nih.gov/pubmed/20662036","PubMed")</f>
        <v>PubMed</v>
      </c>
      <c r="V2503" s="50"/>
      <c r="W2503" s="49"/>
      <c r="X2503" s="49"/>
      <c r="Y2503" s="35"/>
      <c r="Z2503" s="35"/>
      <c r="AA2503" s="35"/>
      <c r="AB2503" s="35"/>
      <c r="AC2503" s="35"/>
      <c r="AD2503" s="35"/>
      <c r="AE2503" s="35"/>
      <c r="AF2503" s="35"/>
      <c r="AG2503" s="35"/>
      <c r="AH2503" s="35"/>
      <c r="AI2503" s="35"/>
      <c r="AJ2503" s="35"/>
      <c r="AK2503" s="35"/>
      <c r="AL2503" s="35"/>
    </row>
    <row r="2504">
      <c r="A2504" s="1"/>
      <c r="B2504" s="19" t="s">
        <v>12018</v>
      </c>
      <c r="C2504" s="20" t="s">
        <v>12347</v>
      </c>
      <c r="D2504" s="47"/>
      <c r="E2504" s="22" t="s">
        <v>5109</v>
      </c>
      <c r="F2504" s="22" t="s">
        <v>5110</v>
      </c>
      <c r="G2504" s="23">
        <v>1993.0</v>
      </c>
      <c r="H2504" s="22" t="s">
        <v>53</v>
      </c>
      <c r="I2504" s="24" t="s">
        <v>12351</v>
      </c>
      <c r="J2504" s="22" t="s">
        <v>31</v>
      </c>
      <c r="K2504" s="22"/>
      <c r="L2504" s="36" t="s">
        <v>12352</v>
      </c>
      <c r="M2504" s="36"/>
      <c r="N2504" s="36"/>
      <c r="O2504" s="36"/>
      <c r="P2504" s="37"/>
      <c r="Q2504" s="36"/>
      <c r="R2504" s="36"/>
      <c r="S2504" s="36"/>
      <c r="T2504" s="28" t="s">
        <v>12353</v>
      </c>
      <c r="U2504" s="38" t="str">
        <f>HYPERLINK("https://www.ncbi.nlm.nih.gov/pubmed/8366746","PubMed")</f>
        <v>PubMed</v>
      </c>
      <c r="V2504" s="50"/>
      <c r="W2504" s="49"/>
      <c r="X2504" s="49"/>
      <c r="Y2504" s="35"/>
      <c r="Z2504" s="35"/>
      <c r="AA2504" s="35"/>
      <c r="AB2504" s="35"/>
      <c r="AC2504" s="35"/>
      <c r="AD2504" s="35"/>
      <c r="AE2504" s="35"/>
      <c r="AF2504" s="35"/>
      <c r="AG2504" s="35"/>
      <c r="AH2504" s="35"/>
      <c r="AI2504" s="35"/>
      <c r="AJ2504" s="35"/>
      <c r="AK2504" s="35"/>
      <c r="AL2504" s="35"/>
    </row>
    <row r="2505">
      <c r="A2505" s="1"/>
      <c r="B2505" s="19" t="s">
        <v>12018</v>
      </c>
      <c r="C2505" s="20" t="s">
        <v>12347</v>
      </c>
      <c r="D2505" s="47"/>
      <c r="E2505" s="22" t="s">
        <v>5109</v>
      </c>
      <c r="F2505" s="22" t="s">
        <v>5110</v>
      </c>
      <c r="G2505" s="23">
        <v>1989.0</v>
      </c>
      <c r="H2505" s="22" t="s">
        <v>53</v>
      </c>
      <c r="I2505" s="24" t="s">
        <v>12354</v>
      </c>
      <c r="J2505" s="22" t="s">
        <v>31</v>
      </c>
      <c r="K2505" s="22" t="s">
        <v>12355</v>
      </c>
      <c r="L2505" s="36">
        <v>633.0</v>
      </c>
      <c r="M2505" s="36"/>
      <c r="N2505" s="36" t="s">
        <v>12356</v>
      </c>
      <c r="O2505" s="36"/>
      <c r="P2505" s="37"/>
      <c r="Q2505" s="36"/>
      <c r="R2505" s="36"/>
      <c r="S2505" s="36"/>
      <c r="T2505" s="28" t="s">
        <v>12357</v>
      </c>
      <c r="U2505" s="38" t="str">
        <f>HYPERLINK("https://www.ncbi.nlm.nih.gov/pubmed/2601552","PubMed")</f>
        <v>PubMed</v>
      </c>
      <c r="V2505" s="50"/>
      <c r="W2505" s="49"/>
      <c r="X2505" s="49"/>
      <c r="Y2505" s="35"/>
      <c r="Z2505" s="35"/>
      <c r="AA2505" s="35"/>
      <c r="AB2505" s="35"/>
      <c r="AC2505" s="35"/>
      <c r="AD2505" s="35"/>
      <c r="AE2505" s="35"/>
      <c r="AF2505" s="35"/>
      <c r="AG2505" s="35"/>
      <c r="AH2505" s="35"/>
      <c r="AI2505" s="35"/>
      <c r="AJ2505" s="35"/>
      <c r="AK2505" s="35"/>
      <c r="AL2505" s="35"/>
    </row>
    <row r="2506">
      <c r="A2506" s="1"/>
      <c r="B2506" s="19" t="s">
        <v>12018</v>
      </c>
      <c r="C2506" s="20" t="s">
        <v>1331</v>
      </c>
      <c r="D2506" s="47"/>
      <c r="E2506" s="22" t="s">
        <v>6264</v>
      </c>
      <c r="F2506" s="22" t="s">
        <v>224</v>
      </c>
      <c r="G2506" s="23">
        <v>2017.0</v>
      </c>
      <c r="H2506" s="22" t="s">
        <v>627</v>
      </c>
      <c r="I2506" s="24" t="s">
        <v>12358</v>
      </c>
      <c r="J2506" s="22" t="s">
        <v>31</v>
      </c>
      <c r="K2506" s="22" t="s">
        <v>12359</v>
      </c>
      <c r="L2506" s="36">
        <v>660.0</v>
      </c>
      <c r="M2506" s="36"/>
      <c r="N2506" s="36"/>
      <c r="O2506" s="36"/>
      <c r="P2506" s="37" t="s">
        <v>12360</v>
      </c>
      <c r="Q2506" s="36"/>
      <c r="R2506" s="36"/>
      <c r="S2506" s="36"/>
      <c r="T2506" s="28" t="s">
        <v>12361</v>
      </c>
      <c r="U2506" s="38" t="str">
        <f>HYPERLINK("https://www.ncbi.nlm.nih.gov/pubmed/28594941","PubMed")</f>
        <v>PubMed</v>
      </c>
      <c r="V2506" s="50"/>
      <c r="W2506" s="49"/>
      <c r="X2506" s="49"/>
      <c r="Y2506" s="35"/>
      <c r="Z2506" s="35"/>
      <c r="AA2506" s="35"/>
      <c r="AB2506" s="35"/>
      <c r="AC2506" s="35"/>
      <c r="AD2506" s="35"/>
      <c r="AE2506" s="35"/>
      <c r="AF2506" s="35"/>
      <c r="AG2506" s="35"/>
      <c r="AH2506" s="35"/>
      <c r="AI2506" s="35"/>
      <c r="AJ2506" s="35"/>
      <c r="AK2506" s="35"/>
      <c r="AL2506" s="35"/>
    </row>
    <row r="2507">
      <c r="A2507" s="1"/>
      <c r="B2507" s="19" t="s">
        <v>12018</v>
      </c>
      <c r="C2507" s="20" t="s">
        <v>12362</v>
      </c>
      <c r="D2507" s="47"/>
      <c r="E2507" s="22" t="s">
        <v>12287</v>
      </c>
      <c r="F2507" s="22" t="s">
        <v>41</v>
      </c>
      <c r="G2507" s="23">
        <v>2013.0</v>
      </c>
      <c r="H2507" s="22" t="s">
        <v>91</v>
      </c>
      <c r="I2507" s="24" t="s">
        <v>12363</v>
      </c>
      <c r="J2507" s="22" t="s">
        <v>44</v>
      </c>
      <c r="K2507" s="22" t="s">
        <v>12364</v>
      </c>
      <c r="L2507" s="36">
        <v>780.0</v>
      </c>
      <c r="M2507" s="36">
        <v>20.0</v>
      </c>
      <c r="N2507" s="36"/>
      <c r="O2507" s="36"/>
      <c r="P2507" s="37" t="s">
        <v>95</v>
      </c>
      <c r="Q2507" s="36"/>
      <c r="R2507" s="36"/>
      <c r="S2507" s="36"/>
      <c r="T2507" s="42" t="s">
        <v>12365</v>
      </c>
      <c r="U2507" s="38" t="str">
        <f>HYPERLINK("https://www.ncbi.nlm.nih.gov/pubmed/23179306","PubMed")</f>
        <v>PubMed</v>
      </c>
      <c r="V2507" s="50"/>
      <c r="W2507" s="49"/>
      <c r="X2507" s="49"/>
      <c r="Y2507" s="35"/>
      <c r="Z2507" s="35"/>
      <c r="AA2507" s="35"/>
      <c r="AB2507" s="35"/>
      <c r="AC2507" s="35"/>
      <c r="AD2507" s="35"/>
      <c r="AE2507" s="35"/>
      <c r="AF2507" s="35"/>
      <c r="AG2507" s="35"/>
      <c r="AH2507" s="35"/>
      <c r="AI2507" s="35"/>
      <c r="AJ2507" s="35"/>
      <c r="AK2507" s="35"/>
      <c r="AL2507" s="35"/>
    </row>
    <row r="2508">
      <c r="A2508" s="1" t="s">
        <v>2</v>
      </c>
      <c r="B2508" s="19" t="s">
        <v>12018</v>
      </c>
      <c r="C2508" s="20" t="s">
        <v>12362</v>
      </c>
      <c r="D2508" s="47"/>
      <c r="E2508" s="22" t="s">
        <v>12366</v>
      </c>
      <c r="F2508" s="22" t="s">
        <v>3064</v>
      </c>
      <c r="G2508" s="23">
        <v>2006.0</v>
      </c>
      <c r="H2508" s="22" t="s">
        <v>658</v>
      </c>
      <c r="I2508" s="24" t="s">
        <v>12367</v>
      </c>
      <c r="J2508" s="22" t="s">
        <v>12368</v>
      </c>
      <c r="K2508" s="22" t="s">
        <v>12369</v>
      </c>
      <c r="L2508" s="36" t="s">
        <v>4772</v>
      </c>
      <c r="M2508" s="36"/>
      <c r="N2508" s="36" t="s">
        <v>3587</v>
      </c>
      <c r="O2508" s="36"/>
      <c r="P2508" s="37" t="s">
        <v>12370</v>
      </c>
      <c r="Q2508" s="36"/>
      <c r="R2508" s="36">
        <v>300.0</v>
      </c>
      <c r="S2508" s="36" t="s">
        <v>3125</v>
      </c>
      <c r="T2508" s="28" t="s">
        <v>12371</v>
      </c>
      <c r="U2508" s="38" t="str">
        <f>HYPERLINK("https://www.ncbi.nlm.nih.gov/pubmed/16706691","PubMed")</f>
        <v>PubMed</v>
      </c>
      <c r="V2508" s="50"/>
      <c r="W2508" s="49"/>
      <c r="X2508" s="49"/>
      <c r="Y2508" s="35"/>
      <c r="Z2508" s="35"/>
      <c r="AA2508" s="35"/>
      <c r="AB2508" s="35"/>
      <c r="AC2508" s="35"/>
      <c r="AD2508" s="35"/>
      <c r="AE2508" s="35"/>
      <c r="AF2508" s="35"/>
      <c r="AG2508" s="35"/>
      <c r="AH2508" s="35"/>
      <c r="AI2508" s="35"/>
      <c r="AJ2508" s="35"/>
      <c r="AK2508" s="35"/>
      <c r="AL2508" s="35"/>
    </row>
    <row r="2509">
      <c r="A2509" s="133"/>
      <c r="B2509" s="19" t="s">
        <v>12018</v>
      </c>
      <c r="C2509" s="20" t="s">
        <v>12372</v>
      </c>
      <c r="D2509" s="47"/>
      <c r="E2509" s="22" t="s">
        <v>4476</v>
      </c>
      <c r="F2509" s="22" t="s">
        <v>2962</v>
      </c>
      <c r="G2509" s="23">
        <v>2021.0</v>
      </c>
      <c r="H2509" s="22" t="s">
        <v>12373</v>
      </c>
      <c r="I2509" s="24" t="s">
        <v>12374</v>
      </c>
      <c r="J2509" s="22" t="s">
        <v>44</v>
      </c>
      <c r="K2509" s="22" t="s">
        <v>12375</v>
      </c>
      <c r="L2509" s="36">
        <v>1064.0</v>
      </c>
      <c r="M2509" s="36"/>
      <c r="N2509" s="36">
        <v>5.0</v>
      </c>
      <c r="O2509" s="36"/>
      <c r="P2509" s="37"/>
      <c r="Q2509" s="36" t="s">
        <v>12376</v>
      </c>
      <c r="R2509" s="36">
        <v>60.0</v>
      </c>
      <c r="S2509" s="36"/>
      <c r="T2509" s="28" t="s">
        <v>12377</v>
      </c>
      <c r="U2509" s="29" t="s">
        <v>61</v>
      </c>
      <c r="V2509" s="50"/>
      <c r="W2509" s="49"/>
      <c r="X2509" s="49"/>
      <c r="Y2509" s="35"/>
      <c r="Z2509" s="35"/>
      <c r="AA2509" s="35"/>
      <c r="AB2509" s="35"/>
      <c r="AC2509" s="35"/>
      <c r="AD2509" s="35"/>
      <c r="AE2509" s="35"/>
      <c r="AF2509" s="35"/>
      <c r="AG2509" s="35"/>
      <c r="AH2509" s="35"/>
      <c r="AI2509" s="35"/>
      <c r="AJ2509" s="35"/>
      <c r="AK2509" s="35"/>
      <c r="AL2509" s="35"/>
    </row>
    <row r="2510">
      <c r="A2510" s="133"/>
      <c r="B2510" s="19" t="s">
        <v>12018</v>
      </c>
      <c r="C2510" s="20" t="s">
        <v>12378</v>
      </c>
      <c r="D2510" s="47"/>
      <c r="E2510" s="22" t="s">
        <v>12122</v>
      </c>
      <c r="F2510" s="22" t="s">
        <v>12379</v>
      </c>
      <c r="G2510" s="23">
        <v>2012.0</v>
      </c>
      <c r="H2510" s="22" t="s">
        <v>7329</v>
      </c>
      <c r="I2510" s="24" t="s">
        <v>12380</v>
      </c>
      <c r="J2510" s="22" t="s">
        <v>31</v>
      </c>
      <c r="K2510" s="22" t="s">
        <v>1684</v>
      </c>
      <c r="L2510" s="36" t="s">
        <v>12381</v>
      </c>
      <c r="M2510" s="36"/>
      <c r="N2510" s="36"/>
      <c r="O2510" s="36"/>
      <c r="P2510" s="37" t="s">
        <v>12382</v>
      </c>
      <c r="Q2510" s="36"/>
      <c r="R2510" s="36"/>
      <c r="S2510" s="36"/>
      <c r="T2510" s="28" t="s">
        <v>12383</v>
      </c>
      <c r="U2510" s="29" t="s">
        <v>61</v>
      </c>
      <c r="V2510" s="50"/>
      <c r="W2510" s="49"/>
      <c r="X2510" s="49"/>
      <c r="Y2510" s="35"/>
      <c r="Z2510" s="35"/>
      <c r="AA2510" s="35"/>
      <c r="AB2510" s="35"/>
      <c r="AC2510" s="35"/>
      <c r="AD2510" s="35"/>
      <c r="AE2510" s="35"/>
      <c r="AF2510" s="35"/>
      <c r="AG2510" s="35"/>
      <c r="AH2510" s="35"/>
      <c r="AI2510" s="35"/>
      <c r="AJ2510" s="35"/>
      <c r="AK2510" s="35"/>
      <c r="AL2510" s="35"/>
    </row>
    <row r="2511">
      <c r="A2511" s="133"/>
      <c r="B2511" s="19" t="s">
        <v>12018</v>
      </c>
      <c r="C2511" s="20" t="s">
        <v>12372</v>
      </c>
      <c r="D2511" s="47"/>
      <c r="E2511" s="22" t="s">
        <v>12384</v>
      </c>
      <c r="F2511" s="22" t="s">
        <v>2962</v>
      </c>
      <c r="G2511" s="23">
        <v>2017.0</v>
      </c>
      <c r="H2511" s="22" t="s">
        <v>12385</v>
      </c>
      <c r="I2511" s="24" t="s">
        <v>12386</v>
      </c>
      <c r="J2511" s="22" t="s">
        <v>44</v>
      </c>
      <c r="K2511" s="22" t="s">
        <v>12387</v>
      </c>
      <c r="L2511" s="36" t="s">
        <v>12388</v>
      </c>
      <c r="M2511" s="36"/>
      <c r="N2511" s="36"/>
      <c r="O2511" s="36"/>
      <c r="P2511" s="37"/>
      <c r="Q2511" s="36"/>
      <c r="R2511" s="36"/>
      <c r="S2511" s="36"/>
      <c r="T2511" s="28" t="s">
        <v>12389</v>
      </c>
      <c r="U2511" s="38" t="str">
        <f>HYPERLINK("https://www.ncbi.nlm.nih.gov/pubmed/28365253","PubMed")</f>
        <v>PubMed</v>
      </c>
      <c r="V2511" s="50"/>
      <c r="W2511" s="49"/>
      <c r="X2511" s="49"/>
      <c r="Y2511" s="35"/>
      <c r="Z2511" s="35"/>
      <c r="AA2511" s="35"/>
      <c r="AB2511" s="35"/>
      <c r="AC2511" s="35"/>
      <c r="AD2511" s="35"/>
      <c r="AE2511" s="35"/>
      <c r="AF2511" s="35"/>
      <c r="AG2511" s="35"/>
      <c r="AH2511" s="35"/>
      <c r="AI2511" s="35"/>
      <c r="AJ2511" s="35"/>
      <c r="AK2511" s="35"/>
      <c r="AL2511" s="35"/>
    </row>
    <row r="2512">
      <c r="A2512" s="133"/>
      <c r="B2512" s="19" t="s">
        <v>12018</v>
      </c>
      <c r="C2512" s="20" t="s">
        <v>12372</v>
      </c>
      <c r="D2512" s="47"/>
      <c r="E2512" s="22" t="s">
        <v>4486</v>
      </c>
      <c r="F2512" s="22" t="s">
        <v>2962</v>
      </c>
      <c r="G2512" s="23">
        <v>2017.0</v>
      </c>
      <c r="H2512" s="22" t="s">
        <v>12390</v>
      </c>
      <c r="I2512" s="24" t="s">
        <v>12391</v>
      </c>
      <c r="J2512" s="22" t="s">
        <v>44</v>
      </c>
      <c r="K2512" s="22"/>
      <c r="L2512" s="36">
        <v>1064.0</v>
      </c>
      <c r="M2512" s="36"/>
      <c r="N2512" s="36">
        <v>5.0</v>
      </c>
      <c r="O2512" s="36"/>
      <c r="P2512" s="37"/>
      <c r="Q2512" s="36"/>
      <c r="R2512" s="36"/>
      <c r="S2512" s="36"/>
      <c r="T2512" s="28" t="s">
        <v>12392</v>
      </c>
      <c r="U2512" s="38" t="str">
        <f>HYPERLINK("https://www.ncbi.nlm.nih.gov/pubmed/28710250","PubMed")</f>
        <v>PubMed</v>
      </c>
      <c r="V2512" s="50"/>
      <c r="W2512" s="49"/>
      <c r="X2512" s="49"/>
      <c r="Y2512" s="35"/>
      <c r="Z2512" s="35"/>
      <c r="AA2512" s="35"/>
      <c r="AB2512" s="35"/>
      <c r="AC2512" s="35"/>
      <c r="AD2512" s="35"/>
      <c r="AE2512" s="35"/>
      <c r="AF2512" s="35"/>
      <c r="AG2512" s="35"/>
      <c r="AH2512" s="35"/>
      <c r="AI2512" s="35"/>
      <c r="AJ2512" s="35"/>
      <c r="AK2512" s="35"/>
      <c r="AL2512" s="35"/>
    </row>
    <row r="2513">
      <c r="A2513" s="133"/>
      <c r="B2513" s="19" t="s">
        <v>12018</v>
      </c>
      <c r="C2513" s="20" t="s">
        <v>12372</v>
      </c>
      <c r="D2513" s="47"/>
      <c r="E2513" s="22" t="s">
        <v>5316</v>
      </c>
      <c r="F2513" s="22" t="s">
        <v>2962</v>
      </c>
      <c r="G2513" s="23">
        <v>2014.0</v>
      </c>
      <c r="H2513" s="22" t="s">
        <v>12393</v>
      </c>
      <c r="I2513" s="24" t="s">
        <v>12394</v>
      </c>
      <c r="J2513" s="22" t="s">
        <v>125</v>
      </c>
      <c r="K2513" s="22"/>
      <c r="L2513" s="43" t="s">
        <v>12395</v>
      </c>
      <c r="M2513" s="44"/>
      <c r="N2513" s="44"/>
      <c r="O2513" s="44"/>
      <c r="P2513" s="44"/>
      <c r="Q2513" s="44"/>
      <c r="R2513" s="44"/>
      <c r="S2513" s="44"/>
      <c r="T2513" s="45"/>
      <c r="U2513" s="38" t="str">
        <f>HYPERLINK("https://www.ncbi.nlm.nih.gov/pubmed/25424797","PubMed")</f>
        <v>PubMed</v>
      </c>
      <c r="V2513" s="50"/>
      <c r="W2513" s="49"/>
      <c r="X2513" s="49"/>
      <c r="Y2513" s="35"/>
      <c r="Z2513" s="35"/>
      <c r="AA2513" s="35"/>
      <c r="AB2513" s="35"/>
      <c r="AC2513" s="35"/>
      <c r="AD2513" s="35"/>
      <c r="AE2513" s="35"/>
      <c r="AF2513" s="35"/>
      <c r="AG2513" s="35"/>
      <c r="AH2513" s="35"/>
      <c r="AI2513" s="35"/>
      <c r="AJ2513" s="35"/>
      <c r="AK2513" s="35"/>
      <c r="AL2513" s="35"/>
    </row>
    <row r="2514">
      <c r="A2514" s="133" t="s">
        <v>2</v>
      </c>
      <c r="B2514" s="19" t="s">
        <v>12018</v>
      </c>
      <c r="C2514" s="20" t="s">
        <v>12372</v>
      </c>
      <c r="D2514" s="47"/>
      <c r="E2514" s="22" t="s">
        <v>5316</v>
      </c>
      <c r="F2514" s="22" t="s">
        <v>2962</v>
      </c>
      <c r="G2514" s="23">
        <v>2013.0</v>
      </c>
      <c r="H2514" s="22" t="s">
        <v>627</v>
      </c>
      <c r="I2514" s="24" t="s">
        <v>12396</v>
      </c>
      <c r="J2514" s="22" t="s">
        <v>44</v>
      </c>
      <c r="K2514" s="22"/>
      <c r="L2514" s="36">
        <v>1064.0</v>
      </c>
      <c r="M2514" s="36"/>
      <c r="N2514" s="36" t="s">
        <v>12397</v>
      </c>
      <c r="O2514" s="36"/>
      <c r="P2514" s="37"/>
      <c r="Q2514" s="36" t="s">
        <v>9358</v>
      </c>
      <c r="R2514" s="36" t="s">
        <v>12398</v>
      </c>
      <c r="S2514" s="36"/>
      <c r="T2514" s="28" t="s">
        <v>12399</v>
      </c>
      <c r="U2514" s="38" t="str">
        <f>HYPERLINK("https://www.ncbi.nlm.nih.gov/pubmed/24349390","PubMed")</f>
        <v>PubMed</v>
      </c>
      <c r="V2514" s="50"/>
      <c r="W2514" s="49"/>
      <c r="X2514" s="49"/>
      <c r="Y2514" s="35"/>
      <c r="Z2514" s="35"/>
      <c r="AA2514" s="35"/>
      <c r="AB2514" s="35"/>
      <c r="AC2514" s="35"/>
      <c r="AD2514" s="35"/>
      <c r="AE2514" s="35"/>
      <c r="AF2514" s="35"/>
      <c r="AG2514" s="35"/>
      <c r="AH2514" s="35"/>
      <c r="AI2514" s="35"/>
      <c r="AJ2514" s="35"/>
      <c r="AK2514" s="35"/>
      <c r="AL2514" s="35"/>
    </row>
    <row r="2515">
      <c r="A2515" s="1"/>
      <c r="B2515" s="19" t="s">
        <v>12018</v>
      </c>
      <c r="C2515" s="20"/>
      <c r="D2515" s="47"/>
      <c r="E2515" s="22" t="s">
        <v>6310</v>
      </c>
      <c r="F2515" s="22" t="s">
        <v>12400</v>
      </c>
      <c r="G2515" s="23">
        <v>2019.0</v>
      </c>
      <c r="H2515" s="22" t="s">
        <v>3902</v>
      </c>
      <c r="I2515" s="24" t="s">
        <v>12401</v>
      </c>
      <c r="J2515" s="22" t="s">
        <v>125</v>
      </c>
      <c r="K2515" s="22"/>
      <c r="L2515" s="105" t="s">
        <v>12402</v>
      </c>
      <c r="M2515" s="44"/>
      <c r="N2515" s="44"/>
      <c r="O2515" s="44"/>
      <c r="P2515" s="44"/>
      <c r="Q2515" s="44"/>
      <c r="R2515" s="44"/>
      <c r="S2515" s="44"/>
      <c r="T2515" s="45"/>
      <c r="U2515" s="38" t="str">
        <f>HYPERLINK("https://www.ncbi.nlm.nih.gov/pubmed/31170016","PubMed")</f>
        <v>PubMed</v>
      </c>
      <c r="V2515" s="50"/>
      <c r="W2515" s="49"/>
      <c r="X2515" s="49"/>
      <c r="Y2515" s="35"/>
      <c r="Z2515" s="35"/>
      <c r="AA2515" s="35"/>
      <c r="AB2515" s="35"/>
      <c r="AC2515" s="35"/>
      <c r="AD2515" s="35"/>
      <c r="AE2515" s="35"/>
      <c r="AF2515" s="35"/>
      <c r="AG2515" s="35"/>
      <c r="AH2515" s="35"/>
      <c r="AI2515" s="35"/>
      <c r="AJ2515" s="35"/>
      <c r="AK2515" s="35"/>
      <c r="AL2515" s="35"/>
    </row>
    <row r="2516">
      <c r="A2516" s="1"/>
      <c r="B2516" s="19" t="s">
        <v>12018</v>
      </c>
      <c r="C2516" s="20"/>
      <c r="D2516" s="47"/>
      <c r="E2516" s="22" t="s">
        <v>12403</v>
      </c>
      <c r="F2516" s="22" t="s">
        <v>183</v>
      </c>
      <c r="G2516" s="23">
        <v>2012.0</v>
      </c>
      <c r="H2516" s="22" t="s">
        <v>207</v>
      </c>
      <c r="I2516" s="24" t="s">
        <v>12404</v>
      </c>
      <c r="J2516" s="22" t="s">
        <v>55</v>
      </c>
      <c r="K2516" s="22"/>
      <c r="L2516" s="36">
        <v>670.0</v>
      </c>
      <c r="M2516" s="36">
        <v>9.0</v>
      </c>
      <c r="N2516" s="36">
        <v>0.0</v>
      </c>
      <c r="O2516" s="36"/>
      <c r="P2516" s="37"/>
      <c r="Q2516" s="36"/>
      <c r="R2516" s="36"/>
      <c r="S2516" s="36"/>
      <c r="T2516" s="42" t="s">
        <v>12405</v>
      </c>
      <c r="U2516" s="38" t="str">
        <f>HYPERLINK("https://www.ncbi.nlm.nih.gov/pubmed/22959586","PubMed")</f>
        <v>PubMed</v>
      </c>
      <c r="V2516" s="50"/>
      <c r="W2516" s="49"/>
      <c r="X2516" s="49"/>
      <c r="Y2516" s="35"/>
      <c r="Z2516" s="35"/>
      <c r="AA2516" s="35"/>
      <c r="AB2516" s="35"/>
      <c r="AC2516" s="35"/>
      <c r="AD2516" s="35"/>
      <c r="AE2516" s="35"/>
      <c r="AF2516" s="35"/>
      <c r="AG2516" s="35"/>
      <c r="AH2516" s="35"/>
      <c r="AI2516" s="35"/>
      <c r="AJ2516" s="35"/>
      <c r="AK2516" s="35"/>
      <c r="AL2516" s="35"/>
    </row>
    <row r="2517">
      <c r="A2517" s="1"/>
      <c r="B2517" s="19" t="s">
        <v>12018</v>
      </c>
      <c r="C2517" s="20"/>
      <c r="D2517" s="47"/>
      <c r="E2517" s="22" t="s">
        <v>493</v>
      </c>
      <c r="F2517" s="22" t="s">
        <v>299</v>
      </c>
      <c r="G2517" s="23">
        <v>2011.0</v>
      </c>
      <c r="H2517" s="22" t="s">
        <v>207</v>
      </c>
      <c r="I2517" s="24" t="s">
        <v>12406</v>
      </c>
      <c r="J2517" s="22" t="s">
        <v>44</v>
      </c>
      <c r="K2517" s="22" t="s">
        <v>157</v>
      </c>
      <c r="L2517" s="36">
        <v>1072.0</v>
      </c>
      <c r="M2517" s="36"/>
      <c r="N2517" s="36"/>
      <c r="O2517" s="36"/>
      <c r="P2517" s="37"/>
      <c r="Q2517" s="36"/>
      <c r="R2517" s="36"/>
      <c r="S2517" s="36"/>
      <c r="T2517" s="28" t="s">
        <v>12407</v>
      </c>
      <c r="U2517" s="38" t="str">
        <f>HYPERLINK("https://www.ncbi.nlm.nih.gov/pubmed/21955546","PubMed")</f>
        <v>PubMed</v>
      </c>
      <c r="V2517" s="50"/>
      <c r="W2517" s="49"/>
      <c r="X2517" s="49"/>
      <c r="Y2517" s="35"/>
      <c r="Z2517" s="35"/>
      <c r="AA2517" s="35"/>
      <c r="AB2517" s="35"/>
      <c r="AC2517" s="35"/>
      <c r="AD2517" s="35"/>
      <c r="AE2517" s="35"/>
      <c r="AF2517" s="35"/>
      <c r="AG2517" s="35"/>
      <c r="AH2517" s="35"/>
      <c r="AI2517" s="35"/>
      <c r="AJ2517" s="35"/>
      <c r="AK2517" s="35"/>
      <c r="AL2517" s="35"/>
    </row>
    <row r="2518">
      <c r="A2518" s="1"/>
      <c r="B2518" s="19" t="s">
        <v>12018</v>
      </c>
      <c r="C2518" s="20"/>
      <c r="D2518" s="47"/>
      <c r="E2518" s="22" t="s">
        <v>12408</v>
      </c>
      <c r="F2518" s="22" t="s">
        <v>6278</v>
      </c>
      <c r="G2518" s="23">
        <v>2006.0</v>
      </c>
      <c r="H2518" s="22" t="s">
        <v>3292</v>
      </c>
      <c r="I2518" s="24" t="s">
        <v>12409</v>
      </c>
      <c r="J2518" s="22" t="s">
        <v>44</v>
      </c>
      <c r="K2518" s="22"/>
      <c r="L2518" s="36">
        <v>633.0</v>
      </c>
      <c r="M2518" s="36"/>
      <c r="N2518" s="36" t="s">
        <v>6712</v>
      </c>
      <c r="O2518" s="36"/>
      <c r="P2518" s="37"/>
      <c r="Q2518" s="36"/>
      <c r="R2518" s="36"/>
      <c r="S2518" s="36"/>
      <c r="T2518" s="42" t="s">
        <v>12410</v>
      </c>
      <c r="U2518" s="38" t="str">
        <f>HYPERLINK("oodle.helsinki.fi/course/view.php?id=16483","PubMed")</f>
        <v>PubMed</v>
      </c>
      <c r="V2518" s="50"/>
      <c r="W2518" s="49"/>
      <c r="X2518" s="49"/>
      <c r="Y2518" s="35"/>
      <c r="Z2518" s="35"/>
      <c r="AA2518" s="35"/>
      <c r="AB2518" s="35"/>
      <c r="AC2518" s="35"/>
      <c r="AD2518" s="35"/>
      <c r="AE2518" s="35"/>
      <c r="AF2518" s="35"/>
      <c r="AG2518" s="35"/>
      <c r="AH2518" s="35"/>
      <c r="AI2518" s="35"/>
      <c r="AJ2518" s="35"/>
      <c r="AK2518" s="35"/>
      <c r="AL2518" s="35"/>
    </row>
    <row r="2519">
      <c r="A2519" s="1"/>
      <c r="B2519" s="19" t="s">
        <v>12411</v>
      </c>
      <c r="C2519" s="20" t="s">
        <v>12412</v>
      </c>
      <c r="D2519" s="47"/>
      <c r="E2519" s="22" t="s">
        <v>12413</v>
      </c>
      <c r="F2519" s="22" t="s">
        <v>12414</v>
      </c>
      <c r="G2519" s="23">
        <v>2017.0</v>
      </c>
      <c r="H2519" s="22" t="s">
        <v>12415</v>
      </c>
      <c r="I2519" s="24" t="s">
        <v>12416</v>
      </c>
      <c r="J2519" s="22" t="s">
        <v>2273</v>
      </c>
      <c r="K2519" s="22" t="s">
        <v>56</v>
      </c>
      <c r="L2519" s="36" t="s">
        <v>4772</v>
      </c>
      <c r="M2519" s="36"/>
      <c r="N2519" s="36"/>
      <c r="O2519" s="36"/>
      <c r="P2519" s="37"/>
      <c r="Q2519" s="36"/>
      <c r="R2519" s="36" t="s">
        <v>12417</v>
      </c>
      <c r="S2519" s="36"/>
      <c r="T2519" s="28" t="s">
        <v>12418</v>
      </c>
      <c r="U2519" s="38" t="str">
        <f>HYPERLINK("https://www.ncbi.nlm.nih.gov/pubmed/29188066","PubMed")</f>
        <v>PubMed</v>
      </c>
      <c r="V2519" s="30"/>
      <c r="W2519" s="49"/>
      <c r="X2519" s="49"/>
      <c r="Y2519" s="35"/>
      <c r="Z2519" s="35"/>
      <c r="AA2519" s="35"/>
      <c r="AB2519" s="35"/>
      <c r="AC2519" s="35"/>
      <c r="AD2519" s="35"/>
      <c r="AE2519" s="35"/>
      <c r="AF2519" s="35"/>
      <c r="AG2519" s="35"/>
      <c r="AH2519" s="35"/>
      <c r="AI2519" s="35"/>
      <c r="AJ2519" s="35"/>
      <c r="AK2519" s="35"/>
      <c r="AL2519" s="35"/>
    </row>
    <row r="2520">
      <c r="A2520" s="1"/>
      <c r="B2520" s="19" t="s">
        <v>12411</v>
      </c>
      <c r="C2520" s="20" t="s">
        <v>12419</v>
      </c>
      <c r="D2520" s="47"/>
      <c r="E2520" s="22" t="s">
        <v>12420</v>
      </c>
      <c r="F2520" s="22" t="s">
        <v>12421</v>
      </c>
      <c r="G2520" s="23">
        <v>2022.0</v>
      </c>
      <c r="H2520" s="22" t="s">
        <v>207</v>
      </c>
      <c r="I2520" s="24" t="s">
        <v>12422</v>
      </c>
      <c r="J2520" s="22" t="s">
        <v>31</v>
      </c>
      <c r="K2520" s="22" t="s">
        <v>56</v>
      </c>
      <c r="L2520" s="36"/>
      <c r="M2520" s="36"/>
      <c r="N2520" s="36"/>
      <c r="O2520" s="36"/>
      <c r="P2520" s="37"/>
      <c r="Q2520" s="36"/>
      <c r="R2520" s="36"/>
      <c r="S2520" s="36"/>
      <c r="T2520" s="28" t="s">
        <v>12423</v>
      </c>
      <c r="U2520" s="38" t="s">
        <v>61</v>
      </c>
      <c r="V2520" s="30"/>
      <c r="W2520" s="49"/>
      <c r="X2520" s="49"/>
      <c r="Y2520" s="35"/>
      <c r="Z2520" s="35"/>
      <c r="AA2520" s="35"/>
      <c r="AB2520" s="35"/>
      <c r="AC2520" s="35"/>
      <c r="AD2520" s="35"/>
      <c r="AE2520" s="35"/>
      <c r="AF2520" s="35"/>
      <c r="AG2520" s="35"/>
      <c r="AH2520" s="35"/>
      <c r="AI2520" s="35"/>
      <c r="AJ2520" s="35"/>
      <c r="AK2520" s="35"/>
      <c r="AL2520" s="35"/>
    </row>
    <row r="2521">
      <c r="A2521" s="1"/>
      <c r="B2521" s="19" t="s">
        <v>12411</v>
      </c>
      <c r="C2521" s="20" t="s">
        <v>12419</v>
      </c>
      <c r="D2521" s="47"/>
      <c r="E2521" s="22" t="s">
        <v>12424</v>
      </c>
      <c r="F2521" s="22" t="s">
        <v>12425</v>
      </c>
      <c r="G2521" s="23">
        <v>2022.0</v>
      </c>
      <c r="H2521" s="22" t="s">
        <v>53</v>
      </c>
      <c r="I2521" s="24" t="s">
        <v>12426</v>
      </c>
      <c r="J2521" s="22" t="s">
        <v>55</v>
      </c>
      <c r="K2521" s="22" t="s">
        <v>12427</v>
      </c>
      <c r="L2521" s="36"/>
      <c r="M2521" s="36"/>
      <c r="N2521" s="36"/>
      <c r="O2521" s="36"/>
      <c r="P2521" s="37"/>
      <c r="Q2521" s="36"/>
      <c r="R2521" s="36"/>
      <c r="S2521" s="36"/>
      <c r="T2521" s="28" t="s">
        <v>12428</v>
      </c>
      <c r="U2521" s="29" t="s">
        <v>61</v>
      </c>
      <c r="V2521" s="30"/>
      <c r="W2521" s="49"/>
      <c r="X2521" s="49"/>
      <c r="Y2521" s="35"/>
      <c r="Z2521" s="35"/>
      <c r="AA2521" s="35"/>
      <c r="AB2521" s="35"/>
      <c r="AC2521" s="35"/>
      <c r="AD2521" s="35"/>
      <c r="AE2521" s="35"/>
      <c r="AF2521" s="35"/>
      <c r="AG2521" s="35"/>
      <c r="AH2521" s="35"/>
      <c r="AI2521" s="35"/>
      <c r="AJ2521" s="35"/>
      <c r="AK2521" s="35"/>
      <c r="AL2521" s="35"/>
    </row>
    <row r="2522">
      <c r="A2522" s="1"/>
      <c r="B2522" s="19" t="s">
        <v>12411</v>
      </c>
      <c r="C2522" s="20" t="s">
        <v>12419</v>
      </c>
      <c r="D2522" s="47"/>
      <c r="E2522" s="22" t="s">
        <v>12429</v>
      </c>
      <c r="F2522" s="22" t="s">
        <v>323</v>
      </c>
      <c r="G2522" s="23">
        <v>2021.0</v>
      </c>
      <c r="H2522" s="22" t="s">
        <v>91</v>
      </c>
      <c r="I2522" s="24" t="s">
        <v>12430</v>
      </c>
      <c r="J2522" s="22" t="s">
        <v>55</v>
      </c>
      <c r="K2522" s="22" t="s">
        <v>12431</v>
      </c>
      <c r="L2522" s="36">
        <v>890.0</v>
      </c>
      <c r="M2522" s="36"/>
      <c r="N2522" s="36"/>
      <c r="O2522" s="36"/>
      <c r="P2522" s="37"/>
      <c r="Q2522" s="36"/>
      <c r="R2522" s="36"/>
      <c r="S2522" s="36"/>
      <c r="T2522" s="28" t="s">
        <v>12432</v>
      </c>
      <c r="U2522" s="29" t="s">
        <v>61</v>
      </c>
      <c r="V2522" s="30"/>
      <c r="W2522" s="49"/>
      <c r="X2522" s="49"/>
      <c r="Y2522" s="35"/>
      <c r="Z2522" s="35"/>
      <c r="AA2522" s="35"/>
      <c r="AB2522" s="35"/>
      <c r="AC2522" s="35"/>
      <c r="AD2522" s="35"/>
      <c r="AE2522" s="35"/>
      <c r="AF2522" s="35"/>
      <c r="AG2522" s="35"/>
      <c r="AH2522" s="35"/>
      <c r="AI2522" s="35"/>
      <c r="AJ2522" s="35"/>
      <c r="AK2522" s="35"/>
      <c r="AL2522" s="35"/>
    </row>
    <row r="2523">
      <c r="A2523" s="1"/>
      <c r="B2523" s="19" t="s">
        <v>12411</v>
      </c>
      <c r="C2523" s="20" t="s">
        <v>12419</v>
      </c>
      <c r="D2523" s="47"/>
      <c r="E2523" s="22" t="s">
        <v>12433</v>
      </c>
      <c r="F2523" s="22" t="s">
        <v>323</v>
      </c>
      <c r="G2523" s="23">
        <v>2020.0</v>
      </c>
      <c r="H2523" s="22" t="s">
        <v>12434</v>
      </c>
      <c r="I2523" s="24" t="s">
        <v>12435</v>
      </c>
      <c r="J2523" s="22" t="s">
        <v>55</v>
      </c>
      <c r="K2523" s="22" t="s">
        <v>12431</v>
      </c>
      <c r="L2523" s="36">
        <v>890.0</v>
      </c>
      <c r="M2523" s="36"/>
      <c r="N2523" s="36"/>
      <c r="O2523" s="36"/>
      <c r="P2523" s="37"/>
      <c r="Q2523" s="36"/>
      <c r="R2523" s="36"/>
      <c r="S2523" s="36"/>
      <c r="T2523" s="28" t="s">
        <v>12436</v>
      </c>
      <c r="U2523" s="38" t="str">
        <f>HYPERLINK("https://www.ncbi.nlm.nih.gov/pubmed/32098898","PubMed")</f>
        <v>PubMed</v>
      </c>
      <c r="V2523" s="30"/>
      <c r="W2523" s="49"/>
      <c r="X2523" s="49"/>
      <c r="Y2523" s="35"/>
      <c r="Z2523" s="35"/>
      <c r="AA2523" s="35"/>
      <c r="AB2523" s="35"/>
      <c r="AC2523" s="35"/>
      <c r="AD2523" s="35"/>
      <c r="AE2523" s="35"/>
      <c r="AF2523" s="35"/>
      <c r="AG2523" s="35"/>
      <c r="AH2523" s="35"/>
      <c r="AI2523" s="35"/>
      <c r="AJ2523" s="35"/>
      <c r="AK2523" s="35"/>
      <c r="AL2523" s="35"/>
    </row>
    <row r="2524">
      <c r="A2524" s="1"/>
      <c r="B2524" s="19" t="s">
        <v>12411</v>
      </c>
      <c r="C2524" s="20" t="s">
        <v>12419</v>
      </c>
      <c r="D2524" s="47"/>
      <c r="E2524" s="22" t="s">
        <v>12437</v>
      </c>
      <c r="F2524" s="22" t="s">
        <v>323</v>
      </c>
      <c r="G2524" s="23">
        <v>2020.0</v>
      </c>
      <c r="H2524" s="22" t="s">
        <v>2181</v>
      </c>
      <c r="I2524" s="24" t="s">
        <v>12438</v>
      </c>
      <c r="J2524" s="22" t="s">
        <v>55</v>
      </c>
      <c r="K2524" s="22" t="s">
        <v>12431</v>
      </c>
      <c r="L2524" s="36">
        <v>890.0</v>
      </c>
      <c r="M2524" s="36"/>
      <c r="N2524" s="36" t="s">
        <v>1975</v>
      </c>
      <c r="O2524" s="36"/>
      <c r="P2524" s="37" t="s">
        <v>12439</v>
      </c>
      <c r="Q2524" s="36"/>
      <c r="R2524" s="36"/>
      <c r="S2524" s="36"/>
      <c r="T2524" s="28" t="s">
        <v>12440</v>
      </c>
      <c r="U2524" s="38" t="str">
        <f>HYPERLINK("https://www.ncbi.nlm.nih.gov/pubmed/31988386","PubMed")</f>
        <v>PubMed</v>
      </c>
      <c r="V2524" s="30"/>
      <c r="W2524" s="49"/>
      <c r="X2524" s="49"/>
      <c r="Y2524" s="35"/>
      <c r="Z2524" s="35"/>
      <c r="AA2524" s="35"/>
      <c r="AB2524" s="35"/>
      <c r="AC2524" s="35"/>
      <c r="AD2524" s="35"/>
      <c r="AE2524" s="35"/>
      <c r="AF2524" s="35"/>
      <c r="AG2524" s="35"/>
      <c r="AH2524" s="35"/>
      <c r="AI2524" s="35"/>
      <c r="AJ2524" s="35"/>
      <c r="AK2524" s="35"/>
      <c r="AL2524" s="35"/>
    </row>
    <row r="2525">
      <c r="A2525" s="1"/>
      <c r="B2525" s="19" t="s">
        <v>12411</v>
      </c>
      <c r="C2525" s="20" t="s">
        <v>12419</v>
      </c>
      <c r="D2525" s="47"/>
      <c r="E2525" s="22" t="s">
        <v>12420</v>
      </c>
      <c r="F2525" s="22" t="s">
        <v>12421</v>
      </c>
      <c r="G2525" s="23">
        <v>2018.0</v>
      </c>
      <c r="H2525" s="22" t="s">
        <v>12441</v>
      </c>
      <c r="I2525" s="24" t="s">
        <v>12442</v>
      </c>
      <c r="J2525" s="22" t="s">
        <v>31</v>
      </c>
      <c r="K2525" s="22" t="s">
        <v>56</v>
      </c>
      <c r="L2525" s="36" t="s">
        <v>5966</v>
      </c>
      <c r="M2525" s="36"/>
      <c r="N2525" s="36"/>
      <c r="O2525" s="36"/>
      <c r="P2525" s="37"/>
      <c r="Q2525" s="36"/>
      <c r="R2525" s="36"/>
      <c r="S2525" s="36"/>
      <c r="T2525" s="28" t="s">
        <v>12443</v>
      </c>
      <c r="U2525" s="29" t="s">
        <v>61</v>
      </c>
      <c r="V2525" s="30"/>
      <c r="W2525" s="49"/>
      <c r="X2525" s="49"/>
      <c r="Y2525" s="35"/>
      <c r="Z2525" s="35"/>
      <c r="AA2525" s="35"/>
      <c r="AB2525" s="35"/>
      <c r="AC2525" s="35"/>
      <c r="AD2525" s="35"/>
      <c r="AE2525" s="35"/>
      <c r="AF2525" s="35"/>
      <c r="AG2525" s="35"/>
      <c r="AH2525" s="35"/>
      <c r="AI2525" s="35"/>
      <c r="AJ2525" s="35"/>
      <c r="AK2525" s="35"/>
      <c r="AL2525" s="35"/>
    </row>
    <row r="2526">
      <c r="A2526" s="1"/>
      <c r="B2526" s="19" t="s">
        <v>12411</v>
      </c>
      <c r="C2526" s="20" t="s">
        <v>12419</v>
      </c>
      <c r="D2526" s="47"/>
      <c r="E2526" s="22" t="s">
        <v>12257</v>
      </c>
      <c r="F2526" s="22" t="s">
        <v>1973</v>
      </c>
      <c r="G2526" s="23">
        <v>2018.0</v>
      </c>
      <c r="H2526" s="22" t="s">
        <v>9113</v>
      </c>
      <c r="I2526" s="24" t="s">
        <v>12444</v>
      </c>
      <c r="J2526" s="22" t="s">
        <v>55</v>
      </c>
      <c r="K2526" s="22" t="s">
        <v>607</v>
      </c>
      <c r="L2526" s="36">
        <v>890.0</v>
      </c>
      <c r="M2526" s="36"/>
      <c r="N2526" s="36"/>
      <c r="O2526" s="36"/>
      <c r="P2526" s="37" t="s">
        <v>267</v>
      </c>
      <c r="Q2526" s="36"/>
      <c r="R2526" s="36"/>
      <c r="S2526" s="36"/>
      <c r="T2526" s="28" t="s">
        <v>12445</v>
      </c>
      <c r="U2526" s="38" t="str">
        <f>HYPERLINK("https://www.ncbi.nlm.nih.gov/pubmed/29574990","PubMed")</f>
        <v>PubMed</v>
      </c>
      <c r="V2526" s="30"/>
      <c r="W2526" s="49"/>
      <c r="X2526" s="49"/>
      <c r="Y2526" s="35"/>
      <c r="Z2526" s="35"/>
      <c r="AA2526" s="35"/>
      <c r="AB2526" s="35"/>
      <c r="AC2526" s="35"/>
      <c r="AD2526" s="35"/>
      <c r="AE2526" s="35"/>
      <c r="AF2526" s="35"/>
      <c r="AG2526" s="35"/>
      <c r="AH2526" s="35"/>
      <c r="AI2526" s="35"/>
      <c r="AJ2526" s="35"/>
      <c r="AK2526" s="35"/>
      <c r="AL2526" s="35"/>
    </row>
    <row r="2527">
      <c r="A2527" s="1"/>
      <c r="B2527" s="19" t="s">
        <v>12411</v>
      </c>
      <c r="C2527" s="20" t="s">
        <v>12419</v>
      </c>
      <c r="D2527" s="47"/>
      <c r="E2527" s="22" t="s">
        <v>12446</v>
      </c>
      <c r="F2527" s="22" t="s">
        <v>993</v>
      </c>
      <c r="G2527" s="23">
        <v>2015.0</v>
      </c>
      <c r="H2527" s="22" t="s">
        <v>12447</v>
      </c>
      <c r="I2527" s="24" t="s">
        <v>12448</v>
      </c>
      <c r="J2527" s="22" t="s">
        <v>31</v>
      </c>
      <c r="K2527" s="22"/>
      <c r="L2527" s="36"/>
      <c r="M2527" s="36"/>
      <c r="N2527" s="36"/>
      <c r="O2527" s="36"/>
      <c r="P2527" s="37" t="s">
        <v>12449</v>
      </c>
      <c r="Q2527" s="36"/>
      <c r="R2527" s="36"/>
      <c r="S2527" s="36"/>
      <c r="T2527" s="28" t="s">
        <v>12450</v>
      </c>
      <c r="U2527" s="38" t="str">
        <f>HYPERLINK("https://www.ncbi.nlm.nih.gov/pubmed/26445339","PubMed")</f>
        <v>PubMed</v>
      </c>
      <c r="V2527" s="30"/>
      <c r="W2527" s="49"/>
      <c r="X2527" s="49"/>
      <c r="Y2527" s="35"/>
      <c r="Z2527" s="35"/>
      <c r="AA2527" s="35"/>
      <c r="AB2527" s="35"/>
      <c r="AC2527" s="35"/>
      <c r="AD2527" s="35"/>
      <c r="AE2527" s="35"/>
      <c r="AF2527" s="35"/>
      <c r="AG2527" s="35"/>
      <c r="AH2527" s="35"/>
      <c r="AI2527" s="35"/>
      <c r="AJ2527" s="35"/>
      <c r="AK2527" s="35"/>
      <c r="AL2527" s="35"/>
    </row>
    <row r="2528">
      <c r="A2528" s="1"/>
      <c r="B2528" s="19" t="s">
        <v>12411</v>
      </c>
      <c r="C2528" s="20" t="s">
        <v>12419</v>
      </c>
      <c r="D2528" s="47"/>
      <c r="E2528" s="22" t="s">
        <v>12451</v>
      </c>
      <c r="F2528" s="22" t="s">
        <v>2742</v>
      </c>
      <c r="G2528" s="23">
        <v>2014.0</v>
      </c>
      <c r="H2528" s="22" t="s">
        <v>12452</v>
      </c>
      <c r="I2528" s="24" t="s">
        <v>12453</v>
      </c>
      <c r="J2528" s="22" t="s">
        <v>31</v>
      </c>
      <c r="K2528" s="22"/>
      <c r="L2528" s="36" t="s">
        <v>12454</v>
      </c>
      <c r="M2528" s="36"/>
      <c r="N2528" s="36"/>
      <c r="O2528" s="36"/>
      <c r="P2528" s="37" t="s">
        <v>12455</v>
      </c>
      <c r="Q2528" s="36"/>
      <c r="R2528" s="36"/>
      <c r="S2528" s="36"/>
      <c r="T2528" s="28" t="s">
        <v>12456</v>
      </c>
      <c r="U2528" s="29" t="s">
        <v>61</v>
      </c>
      <c r="V2528" s="30" t="s">
        <v>12457</v>
      </c>
      <c r="W2528" s="49"/>
      <c r="X2528" s="49"/>
      <c r="Y2528" s="35"/>
      <c r="Z2528" s="35"/>
      <c r="AA2528" s="35"/>
      <c r="AB2528" s="35"/>
      <c r="AC2528" s="35"/>
      <c r="AD2528" s="35"/>
      <c r="AE2528" s="35"/>
      <c r="AF2528" s="35"/>
      <c r="AG2528" s="35"/>
      <c r="AH2528" s="35"/>
      <c r="AI2528" s="35"/>
      <c r="AJ2528" s="35"/>
      <c r="AK2528" s="35"/>
      <c r="AL2528" s="35"/>
    </row>
    <row r="2529">
      <c r="A2529" s="1"/>
      <c r="B2529" s="19" t="s">
        <v>12411</v>
      </c>
      <c r="C2529" s="20" t="s">
        <v>12419</v>
      </c>
      <c r="D2529" s="47"/>
      <c r="E2529" s="22" t="s">
        <v>88</v>
      </c>
      <c r="F2529" s="22" t="s">
        <v>12458</v>
      </c>
      <c r="G2529" s="23">
        <v>2013.0</v>
      </c>
      <c r="H2529" s="22" t="s">
        <v>12459</v>
      </c>
      <c r="I2529" s="24" t="s">
        <v>12460</v>
      </c>
      <c r="J2529" s="22" t="s">
        <v>55</v>
      </c>
      <c r="K2529" s="22"/>
      <c r="L2529" s="36">
        <v>658.0</v>
      </c>
      <c r="M2529" s="36"/>
      <c r="N2529" s="36"/>
      <c r="O2529" s="36"/>
      <c r="P2529" s="37" t="s">
        <v>432</v>
      </c>
      <c r="Q2529" s="36"/>
      <c r="R2529" s="36"/>
      <c r="S2529" s="36">
        <v>3.0</v>
      </c>
      <c r="T2529" s="28" t="s">
        <v>12461</v>
      </c>
      <c r="U2529" s="38" t="str">
        <f>HYPERLINK("https://www.ncbi.nlm.nih.gov/pubmed/23539003","PubMed")</f>
        <v>PubMed</v>
      </c>
      <c r="V2529" s="30"/>
      <c r="W2529" s="49"/>
      <c r="X2529" s="49"/>
      <c r="Y2529" s="35"/>
      <c r="Z2529" s="35"/>
      <c r="AA2529" s="35"/>
      <c r="AB2529" s="35"/>
      <c r="AC2529" s="35"/>
      <c r="AD2529" s="35"/>
      <c r="AE2529" s="35"/>
      <c r="AF2529" s="35"/>
      <c r="AG2529" s="35"/>
      <c r="AH2529" s="35"/>
      <c r="AI2529" s="35"/>
      <c r="AJ2529" s="35"/>
      <c r="AK2529" s="35"/>
      <c r="AL2529" s="35"/>
    </row>
    <row r="2530">
      <c r="A2530" s="1"/>
      <c r="B2530" s="19" t="s">
        <v>12411</v>
      </c>
      <c r="C2530" s="20" t="s">
        <v>12419</v>
      </c>
      <c r="D2530" s="47"/>
      <c r="E2530" s="22" t="s">
        <v>10681</v>
      </c>
      <c r="F2530" s="22" t="s">
        <v>993</v>
      </c>
      <c r="G2530" s="23">
        <v>2012.0</v>
      </c>
      <c r="H2530" s="22" t="s">
        <v>91</v>
      </c>
      <c r="I2530" s="24" t="s">
        <v>12462</v>
      </c>
      <c r="J2530" s="22" t="s">
        <v>31</v>
      </c>
      <c r="K2530" s="22" t="s">
        <v>1413</v>
      </c>
      <c r="L2530" s="36"/>
      <c r="M2530" s="36"/>
      <c r="N2530" s="36"/>
      <c r="O2530" s="36"/>
      <c r="P2530" s="37"/>
      <c r="Q2530" s="36"/>
      <c r="R2530" s="36"/>
      <c r="S2530" s="36"/>
      <c r="T2530" s="42" t="s">
        <v>12463</v>
      </c>
      <c r="U2530" s="38" t="str">
        <f>HYPERLINK("https://www.ncbi.nlm.nih.gov/pubmed/21556926","PubMed")</f>
        <v>PubMed</v>
      </c>
      <c r="V2530" s="30"/>
      <c r="W2530" s="49"/>
      <c r="X2530" s="49"/>
      <c r="Y2530" s="35"/>
      <c r="Z2530" s="35"/>
      <c r="AA2530" s="35"/>
      <c r="AB2530" s="35"/>
      <c r="AC2530" s="35"/>
      <c r="AD2530" s="35"/>
      <c r="AE2530" s="35"/>
      <c r="AF2530" s="35"/>
      <c r="AG2530" s="35"/>
      <c r="AH2530" s="35"/>
      <c r="AI2530" s="35"/>
      <c r="AJ2530" s="35"/>
      <c r="AK2530" s="35"/>
      <c r="AL2530" s="35"/>
    </row>
    <row r="2531">
      <c r="A2531" s="1"/>
      <c r="B2531" s="19" t="s">
        <v>12411</v>
      </c>
      <c r="C2531" s="20" t="s">
        <v>12419</v>
      </c>
      <c r="D2531" s="47"/>
      <c r="E2531" s="22" t="s">
        <v>12464</v>
      </c>
      <c r="F2531" s="22" t="s">
        <v>12421</v>
      </c>
      <c r="G2531" s="23">
        <v>2014.0</v>
      </c>
      <c r="H2531" s="22" t="s">
        <v>627</v>
      </c>
      <c r="I2531" s="24" t="s">
        <v>12465</v>
      </c>
      <c r="J2531" s="22" t="s">
        <v>31</v>
      </c>
      <c r="K2531" s="22" t="s">
        <v>12466</v>
      </c>
      <c r="L2531" s="36" t="s">
        <v>5966</v>
      </c>
      <c r="M2531" s="36"/>
      <c r="N2531" s="36" t="s">
        <v>12467</v>
      </c>
      <c r="O2531" s="36"/>
      <c r="P2531" s="37"/>
      <c r="Q2531" s="36"/>
      <c r="R2531" s="36"/>
      <c r="S2531" s="36"/>
      <c r="T2531" s="28" t="s">
        <v>12468</v>
      </c>
      <c r="U2531" s="38" t="str">
        <f>HYPERLINK("https://www.ncbi.nlm.nih.gov/pubmed/25019934","PubMed")</f>
        <v>PubMed</v>
      </c>
      <c r="V2531" s="30"/>
      <c r="W2531" s="49"/>
      <c r="X2531" s="49"/>
      <c r="Y2531" s="35"/>
      <c r="Z2531" s="35"/>
      <c r="AA2531" s="35"/>
      <c r="AB2531" s="35"/>
      <c r="AC2531" s="35"/>
      <c r="AD2531" s="35"/>
      <c r="AE2531" s="35"/>
      <c r="AF2531" s="35"/>
      <c r="AG2531" s="35"/>
      <c r="AH2531" s="35"/>
      <c r="AI2531" s="35"/>
      <c r="AJ2531" s="35"/>
      <c r="AK2531" s="35"/>
      <c r="AL2531" s="35"/>
    </row>
    <row r="2532">
      <c r="A2532" s="1"/>
      <c r="B2532" s="19" t="s">
        <v>12411</v>
      </c>
      <c r="C2532" s="20" t="s">
        <v>12419</v>
      </c>
      <c r="D2532" s="47"/>
      <c r="E2532" s="22" t="s">
        <v>1425</v>
      </c>
      <c r="F2532" s="22" t="s">
        <v>1426</v>
      </c>
      <c r="G2532" s="23">
        <v>2011.0</v>
      </c>
      <c r="H2532" s="22" t="s">
        <v>292</v>
      </c>
      <c r="I2532" s="24" t="s">
        <v>12469</v>
      </c>
      <c r="J2532" s="22" t="s">
        <v>125</v>
      </c>
      <c r="K2532" s="22"/>
      <c r="L2532" s="105" t="s">
        <v>12470</v>
      </c>
      <c r="M2532" s="44"/>
      <c r="N2532" s="44"/>
      <c r="O2532" s="44"/>
      <c r="P2532" s="44"/>
      <c r="Q2532" s="44"/>
      <c r="R2532" s="44"/>
      <c r="S2532" s="44"/>
      <c r="T2532" s="45"/>
      <c r="U2532" s="38" t="str">
        <f>HYPERLINK("https://www.ncbi.nlm.nih.gov/pubmed/24155508","PubMed")</f>
        <v>PubMed</v>
      </c>
      <c r="V2532" s="30"/>
      <c r="W2532" s="49"/>
      <c r="X2532" s="49"/>
      <c r="Y2532" s="35"/>
      <c r="Z2532" s="35"/>
      <c r="AA2532" s="35"/>
      <c r="AB2532" s="35"/>
      <c r="AC2532" s="35"/>
      <c r="AD2532" s="35"/>
      <c r="AE2532" s="35"/>
      <c r="AF2532" s="35"/>
      <c r="AG2532" s="35"/>
      <c r="AH2532" s="35"/>
      <c r="AI2532" s="35"/>
      <c r="AJ2532" s="35"/>
      <c r="AK2532" s="35"/>
      <c r="AL2532" s="35"/>
    </row>
    <row r="2533">
      <c r="A2533" s="1"/>
      <c r="B2533" s="19" t="s">
        <v>12411</v>
      </c>
      <c r="C2533" s="20" t="s">
        <v>12419</v>
      </c>
      <c r="D2533" s="47"/>
      <c r="E2533" s="22" t="s">
        <v>12471</v>
      </c>
      <c r="F2533" s="22" t="s">
        <v>1426</v>
      </c>
      <c r="G2533" s="23">
        <v>2010.0</v>
      </c>
      <c r="H2533" s="22" t="s">
        <v>53</v>
      </c>
      <c r="I2533" s="24" t="s">
        <v>12472</v>
      </c>
      <c r="J2533" s="22" t="s">
        <v>31</v>
      </c>
      <c r="K2533" s="22" t="s">
        <v>12473</v>
      </c>
      <c r="L2533" s="36" t="s">
        <v>12474</v>
      </c>
      <c r="M2533" s="36"/>
      <c r="N2533" s="36"/>
      <c r="O2533" s="36"/>
      <c r="P2533" s="37"/>
      <c r="Q2533" s="36"/>
      <c r="R2533" s="36" t="s">
        <v>12475</v>
      </c>
      <c r="S2533" s="36"/>
      <c r="T2533" s="28" t="s">
        <v>12476</v>
      </c>
      <c r="U2533" s="38" t="str">
        <f>HYPERLINK("https://www.ncbi.nlm.nih.gov/pubmed/20662022","PubMed")</f>
        <v>PubMed</v>
      </c>
      <c r="V2533" s="30"/>
      <c r="W2533" s="49"/>
      <c r="X2533" s="49"/>
      <c r="Y2533" s="35"/>
      <c r="Z2533" s="35"/>
      <c r="AA2533" s="35"/>
      <c r="AB2533" s="35"/>
      <c r="AC2533" s="35"/>
      <c r="AD2533" s="35"/>
      <c r="AE2533" s="35"/>
      <c r="AF2533" s="35"/>
      <c r="AG2533" s="35"/>
      <c r="AH2533" s="35"/>
      <c r="AI2533" s="35"/>
      <c r="AJ2533" s="35"/>
      <c r="AK2533" s="35"/>
      <c r="AL2533" s="35"/>
    </row>
    <row r="2534">
      <c r="A2534" s="1"/>
      <c r="B2534" s="19" t="s">
        <v>12411</v>
      </c>
      <c r="C2534" s="20" t="s">
        <v>12419</v>
      </c>
      <c r="D2534" s="47"/>
      <c r="E2534" s="22" t="s">
        <v>12471</v>
      </c>
      <c r="F2534" s="22" t="s">
        <v>1426</v>
      </c>
      <c r="G2534" s="23">
        <v>2008.0</v>
      </c>
      <c r="H2534" s="22" t="s">
        <v>53</v>
      </c>
      <c r="I2534" s="24" t="s">
        <v>12477</v>
      </c>
      <c r="J2534" s="22" t="s">
        <v>31</v>
      </c>
      <c r="K2534" s="22" t="s">
        <v>56</v>
      </c>
      <c r="L2534" s="36" t="s">
        <v>5367</v>
      </c>
      <c r="M2534" s="36"/>
      <c r="N2534" s="36"/>
      <c r="O2534" s="36"/>
      <c r="P2534" s="37" t="s">
        <v>279</v>
      </c>
      <c r="Q2534" s="36"/>
      <c r="R2534" s="36"/>
      <c r="S2534" s="36"/>
      <c r="T2534" s="28" t="s">
        <v>12478</v>
      </c>
      <c r="U2534" s="38" t="str">
        <f>HYPERLINK("https://www.ncbi.nlm.nih.gov/pubmed/18727022","PubMed")</f>
        <v>PubMed</v>
      </c>
      <c r="V2534" s="30"/>
      <c r="W2534" s="49"/>
      <c r="X2534" s="49"/>
      <c r="Y2534" s="35"/>
      <c r="Z2534" s="35"/>
      <c r="AA2534" s="35"/>
      <c r="AB2534" s="35"/>
      <c r="AC2534" s="35"/>
      <c r="AD2534" s="35"/>
      <c r="AE2534" s="35"/>
      <c r="AF2534" s="35"/>
      <c r="AG2534" s="35"/>
      <c r="AH2534" s="35"/>
      <c r="AI2534" s="35"/>
      <c r="AJ2534" s="35"/>
      <c r="AK2534" s="35"/>
      <c r="AL2534" s="35"/>
    </row>
    <row r="2535">
      <c r="A2535" s="1"/>
      <c r="B2535" s="19" t="s">
        <v>12411</v>
      </c>
      <c r="C2535" s="20" t="s">
        <v>12479</v>
      </c>
      <c r="D2535" s="47"/>
      <c r="E2535" s="22" t="s">
        <v>8190</v>
      </c>
      <c r="F2535" s="22" t="s">
        <v>1576</v>
      </c>
      <c r="G2535" s="23">
        <v>2023.0</v>
      </c>
      <c r="H2535" s="22" t="s">
        <v>77</v>
      </c>
      <c r="I2535" s="24" t="s">
        <v>12480</v>
      </c>
      <c r="J2535" s="22" t="s">
        <v>12481</v>
      </c>
      <c r="K2535" s="22"/>
      <c r="L2535" s="36">
        <v>660.0</v>
      </c>
      <c r="M2535" s="36">
        <v>100.0</v>
      </c>
      <c r="N2535" s="36" t="s">
        <v>12482</v>
      </c>
      <c r="O2535" s="36" t="s">
        <v>12483</v>
      </c>
      <c r="P2535" s="37" t="s">
        <v>12484</v>
      </c>
      <c r="Q2535" s="36" t="s">
        <v>12485</v>
      </c>
      <c r="R2535" s="36" t="s">
        <v>58</v>
      </c>
      <c r="S2535" s="36" t="s">
        <v>6403</v>
      </c>
      <c r="T2535" s="28" t="s">
        <v>12486</v>
      </c>
      <c r="U2535" s="38" t="s">
        <v>61</v>
      </c>
      <c r="V2535" s="30"/>
      <c r="W2535" s="49"/>
      <c r="X2535" s="49"/>
      <c r="Y2535" s="35"/>
      <c r="Z2535" s="35"/>
      <c r="AA2535" s="35"/>
      <c r="AB2535" s="35"/>
      <c r="AC2535" s="35"/>
      <c r="AD2535" s="35"/>
      <c r="AE2535" s="35"/>
      <c r="AF2535" s="35"/>
      <c r="AG2535" s="35"/>
      <c r="AH2535" s="35"/>
      <c r="AI2535" s="35"/>
      <c r="AJ2535" s="35"/>
      <c r="AK2535" s="35"/>
      <c r="AL2535" s="35"/>
    </row>
    <row r="2536">
      <c r="A2536" s="1"/>
      <c r="B2536" s="19" t="s">
        <v>12411</v>
      </c>
      <c r="C2536" s="20" t="s">
        <v>12487</v>
      </c>
      <c r="D2536" s="47"/>
      <c r="E2536" s="22" t="s">
        <v>835</v>
      </c>
      <c r="F2536" s="22" t="s">
        <v>41</v>
      </c>
      <c r="G2536" s="23">
        <v>2023.0</v>
      </c>
      <c r="H2536" s="22" t="s">
        <v>91</v>
      </c>
      <c r="I2536" s="24" t="s">
        <v>12488</v>
      </c>
      <c r="J2536" s="22" t="s">
        <v>12489</v>
      </c>
      <c r="K2536" s="22" t="s">
        <v>12490</v>
      </c>
      <c r="L2536" s="36" t="s">
        <v>12491</v>
      </c>
      <c r="M2536" s="36" t="s">
        <v>12492</v>
      </c>
      <c r="N2536" s="48" t="s">
        <v>12493</v>
      </c>
      <c r="O2536" s="36" t="s">
        <v>12494</v>
      </c>
      <c r="P2536" s="37" t="s">
        <v>12495</v>
      </c>
      <c r="Q2536" s="36" t="s">
        <v>12496</v>
      </c>
      <c r="R2536" s="36"/>
      <c r="S2536" s="36" t="s">
        <v>2099</v>
      </c>
      <c r="T2536" s="41" t="s">
        <v>12497</v>
      </c>
      <c r="U2536" s="38" t="s">
        <v>61</v>
      </c>
      <c r="V2536" s="30"/>
      <c r="W2536" s="49"/>
      <c r="X2536" s="49"/>
      <c r="Y2536" s="35"/>
      <c r="Z2536" s="35"/>
      <c r="AA2536" s="35"/>
      <c r="AB2536" s="35"/>
      <c r="AC2536" s="35"/>
      <c r="AD2536" s="35"/>
      <c r="AE2536" s="35"/>
      <c r="AF2536" s="35"/>
      <c r="AG2536" s="35"/>
      <c r="AH2536" s="35"/>
      <c r="AI2536" s="35"/>
      <c r="AJ2536" s="35"/>
      <c r="AK2536" s="35"/>
      <c r="AL2536" s="35"/>
    </row>
    <row r="2537">
      <c r="A2537" s="40"/>
      <c r="B2537" s="19" t="s">
        <v>12411</v>
      </c>
      <c r="C2537" s="20" t="s">
        <v>12487</v>
      </c>
      <c r="D2537" s="47"/>
      <c r="E2537" s="22" t="s">
        <v>2275</v>
      </c>
      <c r="F2537" s="22" t="s">
        <v>65</v>
      </c>
      <c r="G2537" s="23">
        <v>2023.0</v>
      </c>
      <c r="H2537" s="22" t="s">
        <v>12498</v>
      </c>
      <c r="I2537" s="24" t="s">
        <v>12499</v>
      </c>
      <c r="J2537" s="22" t="s">
        <v>2157</v>
      </c>
      <c r="K2537" s="22"/>
      <c r="L2537" s="43"/>
      <c r="M2537" s="44"/>
      <c r="N2537" s="44"/>
      <c r="O2537" s="44"/>
      <c r="P2537" s="44"/>
      <c r="Q2537" s="44"/>
      <c r="R2537" s="44"/>
      <c r="S2537" s="44"/>
      <c r="T2537" s="45"/>
      <c r="U2537" s="38" t="s">
        <v>61</v>
      </c>
      <c r="V2537" s="30"/>
      <c r="W2537" s="49"/>
      <c r="X2537" s="49"/>
      <c r="Y2537" s="35"/>
      <c r="Z2537" s="35"/>
      <c r="AA2537" s="35"/>
      <c r="AB2537" s="35"/>
      <c r="AC2537" s="35"/>
      <c r="AD2537" s="35"/>
      <c r="AE2537" s="35"/>
      <c r="AF2537" s="35"/>
      <c r="AG2537" s="35"/>
      <c r="AH2537" s="35"/>
      <c r="AI2537" s="35"/>
      <c r="AJ2537" s="35"/>
      <c r="AK2537" s="35"/>
      <c r="AL2537" s="35"/>
    </row>
    <row r="2538">
      <c r="A2538" s="40" t="s">
        <v>181</v>
      </c>
      <c r="B2538" s="19" t="s">
        <v>12411</v>
      </c>
      <c r="C2538" s="20" t="s">
        <v>12487</v>
      </c>
      <c r="D2538" s="47"/>
      <c r="E2538" s="22" t="s">
        <v>12500</v>
      </c>
      <c r="F2538" s="22" t="s">
        <v>12501</v>
      </c>
      <c r="G2538" s="23">
        <v>2023.0</v>
      </c>
      <c r="H2538" s="22" t="s">
        <v>12502</v>
      </c>
      <c r="I2538" s="24" t="s">
        <v>12503</v>
      </c>
      <c r="J2538" s="22" t="s">
        <v>12504</v>
      </c>
      <c r="K2538" s="22"/>
      <c r="L2538" s="36" t="s">
        <v>12505</v>
      </c>
      <c r="M2538" s="36">
        <v>1000.0</v>
      </c>
      <c r="N2538" s="36"/>
      <c r="O2538" s="36"/>
      <c r="P2538" s="37"/>
      <c r="Q2538" s="36" t="s">
        <v>12506</v>
      </c>
      <c r="R2538" s="36">
        <v>360.0</v>
      </c>
      <c r="S2538" s="36"/>
      <c r="T2538" s="28" t="s">
        <v>12507</v>
      </c>
      <c r="U2538" s="38" t="s">
        <v>61</v>
      </c>
      <c r="V2538" s="30" t="s">
        <v>12508</v>
      </c>
      <c r="W2538" s="49"/>
      <c r="X2538" s="49"/>
      <c r="Y2538" s="35"/>
      <c r="Z2538" s="35"/>
      <c r="AA2538" s="35"/>
      <c r="AB2538" s="35"/>
      <c r="AC2538" s="35"/>
      <c r="AD2538" s="35"/>
      <c r="AE2538" s="35"/>
      <c r="AF2538" s="35"/>
      <c r="AG2538" s="35"/>
      <c r="AH2538" s="35"/>
      <c r="AI2538" s="35"/>
      <c r="AJ2538" s="35"/>
      <c r="AK2538" s="35"/>
      <c r="AL2538" s="35"/>
    </row>
    <row r="2539">
      <c r="A2539" s="40"/>
      <c r="B2539" s="19" t="s">
        <v>12411</v>
      </c>
      <c r="C2539" s="20" t="s">
        <v>12487</v>
      </c>
      <c r="D2539" s="47"/>
      <c r="E2539" s="22" t="s">
        <v>12509</v>
      </c>
      <c r="F2539" s="22" t="s">
        <v>2161</v>
      </c>
      <c r="G2539" s="23">
        <v>2023.0</v>
      </c>
      <c r="H2539" s="22" t="s">
        <v>42</v>
      </c>
      <c r="I2539" s="24" t="s">
        <v>12510</v>
      </c>
      <c r="J2539" s="22" t="s">
        <v>12511</v>
      </c>
      <c r="K2539" s="22" t="s">
        <v>12512</v>
      </c>
      <c r="L2539" s="36" t="s">
        <v>12513</v>
      </c>
      <c r="M2539" s="36"/>
      <c r="N2539" s="36"/>
      <c r="O2539" s="36"/>
      <c r="P2539" s="37"/>
      <c r="Q2539" s="36"/>
      <c r="R2539" s="36"/>
      <c r="S2539" s="36" t="s">
        <v>4905</v>
      </c>
      <c r="T2539" s="28" t="s">
        <v>12514</v>
      </c>
      <c r="U2539" s="38" t="s">
        <v>61</v>
      </c>
      <c r="V2539" s="30"/>
      <c r="W2539" s="49"/>
      <c r="X2539" s="49"/>
      <c r="Y2539" s="35"/>
      <c r="Z2539" s="35"/>
      <c r="AA2539" s="35"/>
      <c r="AB2539" s="35"/>
      <c r="AC2539" s="35"/>
      <c r="AD2539" s="35"/>
      <c r="AE2539" s="35"/>
      <c r="AF2539" s="35"/>
      <c r="AG2539" s="35"/>
      <c r="AH2539" s="35"/>
      <c r="AI2539" s="35"/>
      <c r="AJ2539" s="35"/>
      <c r="AK2539" s="35"/>
      <c r="AL2539" s="35"/>
    </row>
    <row r="2540">
      <c r="A2540" s="40"/>
      <c r="B2540" s="19" t="s">
        <v>12411</v>
      </c>
      <c r="C2540" s="20" t="s">
        <v>12487</v>
      </c>
      <c r="D2540" s="47"/>
      <c r="E2540" s="22" t="s">
        <v>10615</v>
      </c>
      <c r="F2540" s="22" t="s">
        <v>41</v>
      </c>
      <c r="G2540" s="23">
        <v>2022.0</v>
      </c>
      <c r="H2540" s="22" t="s">
        <v>12515</v>
      </c>
      <c r="I2540" s="24" t="s">
        <v>12516</v>
      </c>
      <c r="J2540" s="22" t="s">
        <v>2141</v>
      </c>
      <c r="K2540" s="22"/>
      <c r="L2540" s="197"/>
      <c r="M2540" s="197"/>
      <c r="N2540" s="197"/>
      <c r="O2540" s="203"/>
      <c r="P2540" s="198"/>
      <c r="Q2540" s="197"/>
      <c r="R2540" s="197"/>
      <c r="S2540" s="197"/>
      <c r="T2540" s="185"/>
      <c r="U2540" s="38" t="s">
        <v>61</v>
      </c>
      <c r="V2540" s="30"/>
      <c r="W2540" s="49"/>
      <c r="X2540" s="49"/>
      <c r="Y2540" s="35"/>
      <c r="Z2540" s="35"/>
      <c r="AA2540" s="35"/>
      <c r="AB2540" s="35"/>
      <c r="AC2540" s="35"/>
      <c r="AD2540" s="35"/>
      <c r="AE2540" s="35"/>
      <c r="AF2540" s="35"/>
      <c r="AG2540" s="35"/>
      <c r="AH2540" s="35"/>
      <c r="AI2540" s="35"/>
      <c r="AJ2540" s="35"/>
      <c r="AK2540" s="35"/>
      <c r="AL2540" s="35"/>
    </row>
    <row r="2541">
      <c r="A2541" s="39"/>
      <c r="B2541" s="19" t="s">
        <v>12411</v>
      </c>
      <c r="C2541" s="20" t="s">
        <v>12517</v>
      </c>
      <c r="D2541" s="47"/>
      <c r="E2541" s="22" t="s">
        <v>1904</v>
      </c>
      <c r="F2541" s="22" t="s">
        <v>2445</v>
      </c>
      <c r="G2541" s="23">
        <v>2024.0</v>
      </c>
      <c r="H2541" s="22" t="s">
        <v>77</v>
      </c>
      <c r="I2541" s="24" t="s">
        <v>12518</v>
      </c>
      <c r="J2541" s="22" t="s">
        <v>12519</v>
      </c>
      <c r="K2541" s="22"/>
      <c r="L2541" s="52" t="s">
        <v>12520</v>
      </c>
      <c r="M2541" s="52"/>
      <c r="N2541" s="52"/>
      <c r="O2541" s="52"/>
      <c r="P2541" s="52"/>
      <c r="Q2541" s="52"/>
      <c r="R2541" s="52">
        <v>1200.0</v>
      </c>
      <c r="S2541" s="52" t="s">
        <v>12521</v>
      </c>
      <c r="T2541" s="42" t="s">
        <v>12522</v>
      </c>
      <c r="U2541" s="38" t="s">
        <v>61</v>
      </c>
      <c r="V2541" s="30"/>
      <c r="W2541" s="49"/>
      <c r="X2541" s="49"/>
      <c r="Y2541" s="35"/>
      <c r="Z2541" s="35"/>
      <c r="AA2541" s="35"/>
      <c r="AB2541" s="35"/>
      <c r="AC2541" s="35"/>
      <c r="AD2541" s="35"/>
      <c r="AE2541" s="35"/>
      <c r="AF2541" s="35"/>
      <c r="AG2541" s="35"/>
      <c r="AH2541" s="35"/>
      <c r="AI2541" s="35"/>
      <c r="AJ2541" s="35"/>
      <c r="AK2541" s="35"/>
      <c r="AL2541" s="35"/>
    </row>
    <row r="2542">
      <c r="A2542" s="39"/>
      <c r="B2542" s="19" t="s">
        <v>12411</v>
      </c>
      <c r="C2542" s="20" t="s">
        <v>12517</v>
      </c>
      <c r="D2542" s="47"/>
      <c r="E2542" s="22" t="s">
        <v>12523</v>
      </c>
      <c r="F2542" s="22" t="s">
        <v>12524</v>
      </c>
      <c r="G2542" s="23">
        <v>2023.0</v>
      </c>
      <c r="H2542" s="22" t="s">
        <v>42</v>
      </c>
      <c r="I2542" s="24" t="s">
        <v>12525</v>
      </c>
      <c r="J2542" s="22" t="s">
        <v>31</v>
      </c>
      <c r="K2542" s="22"/>
      <c r="L2542" s="52">
        <v>640.0</v>
      </c>
      <c r="M2542" s="52"/>
      <c r="N2542" s="52"/>
      <c r="O2542" s="52"/>
      <c r="P2542" s="52" t="s">
        <v>12526</v>
      </c>
      <c r="Q2542" s="52"/>
      <c r="R2542" s="52"/>
      <c r="S2542" s="52"/>
      <c r="T2542" s="28" t="s">
        <v>12527</v>
      </c>
      <c r="U2542" s="38" t="s">
        <v>61</v>
      </c>
      <c r="V2542" s="30"/>
      <c r="W2542" s="49"/>
      <c r="X2542" s="49"/>
      <c r="Y2542" s="35"/>
      <c r="Z2542" s="35"/>
      <c r="AA2542" s="35"/>
      <c r="AB2542" s="35"/>
      <c r="AC2542" s="35"/>
      <c r="AD2542" s="35"/>
      <c r="AE2542" s="35"/>
      <c r="AF2542" s="35"/>
      <c r="AG2542" s="35"/>
      <c r="AH2542" s="35"/>
      <c r="AI2542" s="35"/>
      <c r="AJ2542" s="35"/>
      <c r="AK2542" s="35"/>
      <c r="AL2542" s="35"/>
    </row>
    <row r="2543">
      <c r="A2543" s="39"/>
      <c r="B2543" s="19" t="s">
        <v>12411</v>
      </c>
      <c r="C2543" s="20" t="s">
        <v>12517</v>
      </c>
      <c r="D2543" s="47"/>
      <c r="E2543" s="22" t="s">
        <v>12528</v>
      </c>
      <c r="F2543" s="22" t="s">
        <v>4411</v>
      </c>
      <c r="G2543" s="23">
        <v>2022.0</v>
      </c>
      <c r="H2543" s="22" t="s">
        <v>12529</v>
      </c>
      <c r="I2543" s="24" t="s">
        <v>12530</v>
      </c>
      <c r="J2543" s="23" t="s">
        <v>12531</v>
      </c>
      <c r="K2543" s="22" t="s">
        <v>12532</v>
      </c>
      <c r="L2543" s="52">
        <v>425.0</v>
      </c>
      <c r="M2543" s="52"/>
      <c r="N2543" s="52"/>
      <c r="O2543" s="52"/>
      <c r="P2543" s="52">
        <v>60.0</v>
      </c>
      <c r="Q2543" s="52"/>
      <c r="R2543" s="52"/>
      <c r="S2543" s="52" t="s">
        <v>9441</v>
      </c>
      <c r="T2543" s="28" t="s">
        <v>12533</v>
      </c>
      <c r="U2543" s="38" t="s">
        <v>61</v>
      </c>
      <c r="V2543" s="30"/>
      <c r="W2543" s="49"/>
      <c r="X2543" s="49"/>
      <c r="Y2543" s="35"/>
      <c r="Z2543" s="35"/>
      <c r="AA2543" s="35"/>
      <c r="AB2543" s="35"/>
      <c r="AC2543" s="35"/>
      <c r="AD2543" s="35"/>
      <c r="AE2543" s="35"/>
      <c r="AF2543" s="35"/>
      <c r="AG2543" s="35"/>
      <c r="AH2543" s="35"/>
      <c r="AI2543" s="35"/>
      <c r="AJ2543" s="35"/>
      <c r="AK2543" s="35"/>
      <c r="AL2543" s="35"/>
    </row>
    <row r="2544">
      <c r="A2544" s="39"/>
      <c r="B2544" s="19" t="s">
        <v>12411</v>
      </c>
      <c r="C2544" s="20" t="s">
        <v>12517</v>
      </c>
      <c r="D2544" s="47"/>
      <c r="E2544" s="22" t="s">
        <v>12058</v>
      </c>
      <c r="F2544" s="22" t="s">
        <v>2152</v>
      </c>
      <c r="G2544" s="23">
        <v>2023.0</v>
      </c>
      <c r="H2544" s="22" t="s">
        <v>4473</v>
      </c>
      <c r="I2544" s="24" t="s">
        <v>12534</v>
      </c>
      <c r="J2544" s="22" t="s">
        <v>31</v>
      </c>
      <c r="K2544" s="22" t="s">
        <v>157</v>
      </c>
      <c r="L2544" s="52">
        <v>730.0</v>
      </c>
      <c r="M2544" s="52"/>
      <c r="N2544" s="52"/>
      <c r="O2544" s="52"/>
      <c r="P2544" s="52"/>
      <c r="Q2544" s="52"/>
      <c r="R2544" s="52"/>
      <c r="S2544" s="52"/>
      <c r="T2544" s="28" t="s">
        <v>12535</v>
      </c>
      <c r="U2544" s="38" t="s">
        <v>61</v>
      </c>
      <c r="V2544" s="30"/>
      <c r="W2544" s="49"/>
      <c r="X2544" s="49"/>
      <c r="Y2544" s="35"/>
      <c r="Z2544" s="35"/>
      <c r="AA2544" s="35"/>
      <c r="AB2544" s="35"/>
      <c r="AC2544" s="35"/>
      <c r="AD2544" s="35"/>
      <c r="AE2544" s="35"/>
      <c r="AF2544" s="35"/>
      <c r="AG2544" s="35"/>
      <c r="AH2544" s="35"/>
      <c r="AI2544" s="35"/>
      <c r="AJ2544" s="35"/>
      <c r="AK2544" s="35"/>
      <c r="AL2544" s="35"/>
    </row>
    <row r="2545">
      <c r="A2545" s="39"/>
      <c r="B2545" s="19" t="s">
        <v>12411</v>
      </c>
      <c r="C2545" s="20" t="s">
        <v>12517</v>
      </c>
      <c r="D2545" s="47"/>
      <c r="E2545" s="22" t="s">
        <v>12536</v>
      </c>
      <c r="F2545" s="22" t="s">
        <v>12537</v>
      </c>
      <c r="G2545" s="23">
        <v>2023.0</v>
      </c>
      <c r="H2545" s="22" t="s">
        <v>77</v>
      </c>
      <c r="I2545" s="24" t="s">
        <v>12538</v>
      </c>
      <c r="J2545" s="23" t="s">
        <v>12539</v>
      </c>
      <c r="K2545" s="22"/>
      <c r="L2545" s="52"/>
      <c r="M2545" s="52"/>
      <c r="N2545" s="52"/>
      <c r="O2545" s="52"/>
      <c r="P2545" s="52"/>
      <c r="Q2545" s="52"/>
      <c r="R2545" s="52"/>
      <c r="S2545" s="52">
        <v>5.0</v>
      </c>
      <c r="T2545" s="28" t="s">
        <v>12540</v>
      </c>
      <c r="U2545" s="38" t="s">
        <v>61</v>
      </c>
      <c r="V2545" s="30"/>
      <c r="W2545" s="49"/>
      <c r="X2545" s="49"/>
      <c r="Y2545" s="35"/>
      <c r="Z2545" s="35"/>
      <c r="AA2545" s="35"/>
      <c r="AB2545" s="35"/>
      <c r="AC2545" s="35"/>
      <c r="AD2545" s="35"/>
      <c r="AE2545" s="35"/>
      <c r="AF2545" s="35"/>
      <c r="AG2545" s="35"/>
      <c r="AH2545" s="35"/>
      <c r="AI2545" s="35"/>
      <c r="AJ2545" s="35"/>
      <c r="AK2545" s="35"/>
      <c r="AL2545" s="35"/>
    </row>
    <row r="2546">
      <c r="A2546" s="39"/>
      <c r="B2546" s="19" t="s">
        <v>12411</v>
      </c>
      <c r="C2546" s="20" t="s">
        <v>12517</v>
      </c>
      <c r="D2546" s="47"/>
      <c r="E2546" s="22" t="s">
        <v>1008</v>
      </c>
      <c r="F2546" s="22" t="s">
        <v>490</v>
      </c>
      <c r="G2546" s="23">
        <v>2023.0</v>
      </c>
      <c r="H2546" s="22" t="s">
        <v>348</v>
      </c>
      <c r="I2546" s="24" t="s">
        <v>12541</v>
      </c>
      <c r="J2546" s="23" t="s">
        <v>3101</v>
      </c>
      <c r="K2546" s="22"/>
      <c r="L2546" s="52">
        <v>660.0</v>
      </c>
      <c r="M2546" s="52">
        <v>100.0</v>
      </c>
      <c r="N2546" s="52"/>
      <c r="O2546" s="52"/>
      <c r="P2546" s="52">
        <v>2.0</v>
      </c>
      <c r="Q2546" s="52"/>
      <c r="R2546" s="52"/>
      <c r="S2546" s="52"/>
      <c r="T2546" s="28" t="s">
        <v>12542</v>
      </c>
      <c r="U2546" s="38" t="s">
        <v>61</v>
      </c>
      <c r="V2546" s="30"/>
      <c r="W2546" s="49"/>
      <c r="X2546" s="49"/>
      <c r="Y2546" s="35"/>
      <c r="Z2546" s="35"/>
      <c r="AA2546" s="35"/>
      <c r="AB2546" s="35"/>
      <c r="AC2546" s="35"/>
      <c r="AD2546" s="35"/>
      <c r="AE2546" s="35"/>
      <c r="AF2546" s="35"/>
      <c r="AG2546" s="35"/>
      <c r="AH2546" s="35"/>
      <c r="AI2546" s="35"/>
      <c r="AJ2546" s="35"/>
      <c r="AK2546" s="35"/>
      <c r="AL2546" s="35"/>
    </row>
    <row r="2547">
      <c r="A2547" s="39"/>
      <c r="B2547" s="19" t="s">
        <v>12411</v>
      </c>
      <c r="C2547" s="20" t="s">
        <v>12517</v>
      </c>
      <c r="D2547" s="47"/>
      <c r="E2547" s="22" t="s">
        <v>12543</v>
      </c>
      <c r="F2547" s="22" t="s">
        <v>41</v>
      </c>
      <c r="G2547" s="23">
        <v>2023.0</v>
      </c>
      <c r="H2547" s="22" t="s">
        <v>42</v>
      </c>
      <c r="I2547" s="24" t="s">
        <v>12544</v>
      </c>
      <c r="J2547" s="22" t="s">
        <v>12545</v>
      </c>
      <c r="K2547" s="22" t="s">
        <v>294</v>
      </c>
      <c r="L2547" s="52" t="s">
        <v>11473</v>
      </c>
      <c r="M2547" s="52">
        <v>100.0</v>
      </c>
      <c r="N2547" s="52"/>
      <c r="O2547" s="52" t="s">
        <v>12546</v>
      </c>
      <c r="P2547" s="52"/>
      <c r="Q2547" s="52"/>
      <c r="R2547" s="52"/>
      <c r="S2547" s="52">
        <v>12.0</v>
      </c>
      <c r="T2547" s="28" t="s">
        <v>12547</v>
      </c>
      <c r="U2547" s="38" t="s">
        <v>61</v>
      </c>
      <c r="V2547" s="30" t="s">
        <v>174</v>
      </c>
      <c r="W2547" s="49"/>
      <c r="X2547" s="49"/>
      <c r="Y2547" s="35"/>
      <c r="Z2547" s="35"/>
      <c r="AA2547" s="35"/>
      <c r="AB2547" s="35"/>
      <c r="AC2547" s="35"/>
      <c r="AD2547" s="35"/>
      <c r="AE2547" s="35"/>
      <c r="AF2547" s="35"/>
      <c r="AG2547" s="35"/>
      <c r="AH2547" s="35"/>
      <c r="AI2547" s="35"/>
      <c r="AJ2547" s="35"/>
      <c r="AK2547" s="35"/>
      <c r="AL2547" s="35"/>
    </row>
    <row r="2548">
      <c r="A2548" s="39" t="s">
        <v>2</v>
      </c>
      <c r="B2548" s="19" t="s">
        <v>12411</v>
      </c>
      <c r="C2548" s="20" t="s">
        <v>12517</v>
      </c>
      <c r="D2548" s="47"/>
      <c r="E2548" s="22" t="s">
        <v>1101</v>
      </c>
      <c r="F2548" s="22" t="s">
        <v>12548</v>
      </c>
      <c r="G2548" s="23">
        <v>2023.0</v>
      </c>
      <c r="H2548" s="22" t="s">
        <v>207</v>
      </c>
      <c r="I2548" s="24" t="s">
        <v>12549</v>
      </c>
      <c r="J2548" s="22" t="s">
        <v>12550</v>
      </c>
      <c r="K2548" s="22" t="s">
        <v>12551</v>
      </c>
      <c r="L2548" s="52">
        <v>940.0</v>
      </c>
      <c r="M2548" s="52">
        <v>6000.0</v>
      </c>
      <c r="N2548" s="52" t="s">
        <v>12552</v>
      </c>
      <c r="O2548" s="52">
        <v>5400.0</v>
      </c>
      <c r="P2548" s="52" t="s">
        <v>12553</v>
      </c>
      <c r="Q2548" s="52" t="s">
        <v>12554</v>
      </c>
      <c r="R2548" s="52">
        <v>900.0</v>
      </c>
      <c r="S2548" s="52" t="s">
        <v>35</v>
      </c>
      <c r="T2548" s="28" t="s">
        <v>12555</v>
      </c>
      <c r="U2548" s="38" t="s">
        <v>61</v>
      </c>
      <c r="V2548" s="30"/>
      <c r="W2548" s="49"/>
      <c r="X2548" s="49"/>
      <c r="Y2548" s="35"/>
      <c r="Z2548" s="35"/>
      <c r="AA2548" s="35"/>
      <c r="AB2548" s="35"/>
      <c r="AC2548" s="35"/>
      <c r="AD2548" s="35"/>
      <c r="AE2548" s="35"/>
      <c r="AF2548" s="35"/>
      <c r="AG2548" s="35"/>
      <c r="AH2548" s="35"/>
      <c r="AI2548" s="35"/>
      <c r="AJ2548" s="35"/>
      <c r="AK2548" s="35"/>
      <c r="AL2548" s="35"/>
    </row>
    <row r="2549">
      <c r="A2549" s="1"/>
      <c r="B2549" s="19" t="s">
        <v>12411</v>
      </c>
      <c r="C2549" s="20" t="s">
        <v>12517</v>
      </c>
      <c r="D2549" s="47"/>
      <c r="E2549" s="22" t="s">
        <v>5053</v>
      </c>
      <c r="F2549" s="22" t="s">
        <v>7853</v>
      </c>
      <c r="G2549" s="23">
        <v>2022.0</v>
      </c>
      <c r="H2549" s="22" t="s">
        <v>42</v>
      </c>
      <c r="I2549" s="24" t="s">
        <v>12556</v>
      </c>
      <c r="J2549" s="22" t="s">
        <v>31</v>
      </c>
      <c r="K2549" s="22"/>
      <c r="L2549" s="208" t="s">
        <v>12557</v>
      </c>
      <c r="M2549" s="209"/>
      <c r="N2549" s="209"/>
      <c r="O2549" s="209"/>
      <c r="P2549" s="209"/>
      <c r="Q2549" s="209"/>
      <c r="R2549" s="209"/>
      <c r="S2549" s="209"/>
      <c r="T2549" s="28" t="s">
        <v>12558</v>
      </c>
      <c r="U2549" s="38" t="s">
        <v>61</v>
      </c>
      <c r="V2549" s="30" t="s">
        <v>174</v>
      </c>
      <c r="W2549" s="49"/>
      <c r="X2549" s="49"/>
      <c r="Y2549" s="35"/>
      <c r="Z2549" s="35"/>
      <c r="AA2549" s="35"/>
      <c r="AB2549" s="35"/>
      <c r="AC2549" s="35"/>
      <c r="AD2549" s="35"/>
      <c r="AE2549" s="35"/>
      <c r="AF2549" s="35"/>
      <c r="AG2549" s="35"/>
      <c r="AH2549" s="35"/>
      <c r="AI2549" s="35"/>
      <c r="AJ2549" s="35"/>
      <c r="AK2549" s="35"/>
      <c r="AL2549" s="35"/>
    </row>
    <row r="2550">
      <c r="A2550" s="40" t="s">
        <v>38</v>
      </c>
      <c r="B2550" s="19" t="s">
        <v>12411</v>
      </c>
      <c r="C2550" s="20" t="s">
        <v>12517</v>
      </c>
      <c r="D2550" s="47"/>
      <c r="E2550" s="22" t="s">
        <v>12559</v>
      </c>
      <c r="F2550" s="22" t="s">
        <v>12560</v>
      </c>
      <c r="G2550" s="23">
        <v>2022.0</v>
      </c>
      <c r="H2550" s="22" t="s">
        <v>4473</v>
      </c>
      <c r="I2550" s="24" t="s">
        <v>12561</v>
      </c>
      <c r="J2550" s="22" t="s">
        <v>12562</v>
      </c>
      <c r="K2550" s="22" t="s">
        <v>12563</v>
      </c>
      <c r="L2550" s="52">
        <v>660.0</v>
      </c>
      <c r="M2550" s="52" t="s">
        <v>12564</v>
      </c>
      <c r="N2550" s="52"/>
      <c r="O2550" s="200"/>
      <c r="P2550" s="189" t="s">
        <v>552</v>
      </c>
      <c r="Q2550" s="52" t="s">
        <v>12565</v>
      </c>
      <c r="R2550" s="52">
        <v>300.0</v>
      </c>
      <c r="S2550" s="52" t="s">
        <v>12566</v>
      </c>
      <c r="T2550" s="28" t="s">
        <v>12567</v>
      </c>
      <c r="U2550" s="38" t="s">
        <v>61</v>
      </c>
      <c r="V2550" s="30"/>
      <c r="W2550" s="49"/>
      <c r="X2550" s="49"/>
      <c r="Y2550" s="35"/>
      <c r="Z2550" s="35"/>
      <c r="AA2550" s="35"/>
      <c r="AB2550" s="35"/>
      <c r="AC2550" s="35"/>
      <c r="AD2550" s="35"/>
      <c r="AE2550" s="35"/>
      <c r="AF2550" s="35"/>
      <c r="AG2550" s="35"/>
      <c r="AH2550" s="35"/>
      <c r="AI2550" s="35"/>
      <c r="AJ2550" s="35"/>
      <c r="AK2550" s="35"/>
      <c r="AL2550" s="35"/>
    </row>
    <row r="2551">
      <c r="A2551" s="40"/>
      <c r="B2551" s="19" t="s">
        <v>12411</v>
      </c>
      <c r="C2551" s="20" t="s">
        <v>12517</v>
      </c>
      <c r="D2551" s="47"/>
      <c r="E2551" s="22" t="s">
        <v>12568</v>
      </c>
      <c r="F2551" s="22" t="s">
        <v>41</v>
      </c>
      <c r="G2551" s="23">
        <v>2022.0</v>
      </c>
      <c r="H2551" s="22" t="s">
        <v>77</v>
      </c>
      <c r="I2551" s="24" t="s">
        <v>12569</v>
      </c>
      <c r="J2551" s="22" t="s">
        <v>12570</v>
      </c>
      <c r="K2551" s="22" t="s">
        <v>157</v>
      </c>
      <c r="L2551" s="52">
        <v>660.0</v>
      </c>
      <c r="M2551" s="52" t="s">
        <v>12571</v>
      </c>
      <c r="N2551" s="52" t="s">
        <v>1897</v>
      </c>
      <c r="O2551" s="200">
        <v>44626.0</v>
      </c>
      <c r="P2551" s="189" t="s">
        <v>12572</v>
      </c>
      <c r="Q2551" s="52" t="s">
        <v>12573</v>
      </c>
      <c r="R2551" s="52">
        <v>420.0</v>
      </c>
      <c r="S2551" s="52" t="s">
        <v>35</v>
      </c>
      <c r="T2551" s="28" t="s">
        <v>12574</v>
      </c>
      <c r="U2551" s="38" t="s">
        <v>61</v>
      </c>
      <c r="V2551" s="30" t="s">
        <v>12575</v>
      </c>
      <c r="W2551" s="49"/>
      <c r="X2551" s="49"/>
      <c r="Y2551" s="35"/>
      <c r="Z2551" s="35"/>
      <c r="AA2551" s="35"/>
      <c r="AB2551" s="35"/>
      <c r="AC2551" s="35"/>
      <c r="AD2551" s="35"/>
      <c r="AE2551" s="35"/>
      <c r="AF2551" s="35"/>
      <c r="AG2551" s="35"/>
      <c r="AH2551" s="35"/>
      <c r="AI2551" s="35"/>
      <c r="AJ2551" s="35"/>
      <c r="AK2551" s="35"/>
      <c r="AL2551" s="35"/>
    </row>
    <row r="2552">
      <c r="A2552" s="40" t="s">
        <v>38</v>
      </c>
      <c r="B2552" s="19" t="s">
        <v>12411</v>
      </c>
      <c r="C2552" s="20" t="s">
        <v>12517</v>
      </c>
      <c r="D2552" s="47"/>
      <c r="E2552" s="22" t="s">
        <v>12576</v>
      </c>
      <c r="F2552" s="22" t="s">
        <v>323</v>
      </c>
      <c r="G2552" s="23">
        <v>2022.0</v>
      </c>
      <c r="H2552" s="22" t="s">
        <v>12052</v>
      </c>
      <c r="I2552" s="24" t="s">
        <v>12577</v>
      </c>
      <c r="J2552" s="22" t="s">
        <v>12578</v>
      </c>
      <c r="K2552" s="22" t="s">
        <v>4044</v>
      </c>
      <c r="L2552" s="52" t="s">
        <v>12579</v>
      </c>
      <c r="M2552" s="52"/>
      <c r="N2552" s="52" t="s">
        <v>1814</v>
      </c>
      <c r="O2552" s="52"/>
      <c r="P2552" s="189" t="s">
        <v>12580</v>
      </c>
      <c r="Q2552" s="52"/>
      <c r="R2552" s="52">
        <v>300.0</v>
      </c>
      <c r="S2552" s="52" t="s">
        <v>6308</v>
      </c>
      <c r="T2552" s="28" t="s">
        <v>12581</v>
      </c>
      <c r="U2552" s="29" t="s">
        <v>61</v>
      </c>
      <c r="V2552" s="30"/>
      <c r="W2552" s="49"/>
      <c r="X2552" s="49"/>
      <c r="Y2552" s="35"/>
      <c r="Z2552" s="35"/>
      <c r="AA2552" s="35"/>
      <c r="AB2552" s="35"/>
      <c r="AC2552" s="35"/>
      <c r="AD2552" s="35"/>
      <c r="AE2552" s="35"/>
      <c r="AF2552" s="35"/>
      <c r="AG2552" s="35"/>
      <c r="AH2552" s="35"/>
      <c r="AI2552" s="35"/>
      <c r="AJ2552" s="35"/>
      <c r="AK2552" s="35"/>
      <c r="AL2552" s="35"/>
    </row>
    <row r="2553">
      <c r="A2553" s="1"/>
      <c r="B2553" s="19" t="s">
        <v>12411</v>
      </c>
      <c r="C2553" s="20" t="s">
        <v>12517</v>
      </c>
      <c r="D2553" s="47"/>
      <c r="E2553" s="22" t="s">
        <v>10573</v>
      </c>
      <c r="F2553" s="22" t="s">
        <v>274</v>
      </c>
      <c r="G2553" s="23">
        <v>2022.0</v>
      </c>
      <c r="H2553" s="22" t="s">
        <v>42</v>
      </c>
      <c r="I2553" s="24" t="s">
        <v>12582</v>
      </c>
      <c r="J2553" s="22" t="s">
        <v>12583</v>
      </c>
      <c r="K2553" s="22"/>
      <c r="L2553" s="52"/>
      <c r="M2553" s="52"/>
      <c r="N2553" s="52"/>
      <c r="O2553" s="52"/>
      <c r="P2553" s="189"/>
      <c r="Q2553" s="52"/>
      <c r="R2553" s="52"/>
      <c r="S2553" s="52">
        <v>10.0</v>
      </c>
      <c r="T2553" s="28" t="s">
        <v>12584</v>
      </c>
      <c r="U2553" s="29" t="s">
        <v>61</v>
      </c>
      <c r="V2553" s="30" t="s">
        <v>174</v>
      </c>
      <c r="W2553" s="49"/>
      <c r="X2553" s="49"/>
      <c r="Y2553" s="35"/>
      <c r="Z2553" s="35"/>
      <c r="AA2553" s="35"/>
      <c r="AB2553" s="35"/>
      <c r="AC2553" s="35"/>
      <c r="AD2553" s="35"/>
      <c r="AE2553" s="35"/>
      <c r="AF2553" s="35"/>
      <c r="AG2553" s="35"/>
      <c r="AH2553" s="35"/>
      <c r="AI2553" s="35"/>
      <c r="AJ2553" s="35"/>
      <c r="AK2553" s="35"/>
      <c r="AL2553" s="35"/>
    </row>
    <row r="2554">
      <c r="A2554" s="1"/>
      <c r="B2554" s="19" t="s">
        <v>12411</v>
      </c>
      <c r="C2554" s="20" t="s">
        <v>12517</v>
      </c>
      <c r="D2554" s="47"/>
      <c r="E2554" s="22" t="s">
        <v>12585</v>
      </c>
      <c r="F2554" s="22" t="s">
        <v>1465</v>
      </c>
      <c r="G2554" s="23">
        <v>2021.0</v>
      </c>
      <c r="H2554" s="22" t="s">
        <v>3523</v>
      </c>
      <c r="I2554" s="24" t="s">
        <v>12586</v>
      </c>
      <c r="J2554" s="22" t="s">
        <v>12587</v>
      </c>
      <c r="K2554" s="22"/>
      <c r="L2554" s="52" t="s">
        <v>12588</v>
      </c>
      <c r="M2554" s="52"/>
      <c r="N2554" s="52"/>
      <c r="O2554" s="52" t="s">
        <v>12589</v>
      </c>
      <c r="P2554" s="189"/>
      <c r="Q2554" s="52" t="s">
        <v>12590</v>
      </c>
      <c r="R2554" s="52" t="s">
        <v>12591</v>
      </c>
      <c r="S2554" s="52" t="s">
        <v>12592</v>
      </c>
      <c r="T2554" s="28" t="s">
        <v>12593</v>
      </c>
      <c r="U2554" s="29" t="s">
        <v>61</v>
      </c>
      <c r="V2554" s="30" t="s">
        <v>12594</v>
      </c>
      <c r="W2554" s="49"/>
      <c r="X2554" s="49"/>
      <c r="Y2554" s="35"/>
      <c r="Z2554" s="35"/>
      <c r="AA2554" s="35"/>
      <c r="AB2554" s="35"/>
      <c r="AC2554" s="35"/>
      <c r="AD2554" s="35"/>
      <c r="AE2554" s="35"/>
      <c r="AF2554" s="35"/>
      <c r="AG2554" s="35"/>
      <c r="AH2554" s="35"/>
      <c r="AI2554" s="35"/>
      <c r="AJ2554" s="35"/>
      <c r="AK2554" s="35"/>
      <c r="AL2554" s="35"/>
    </row>
    <row r="2555">
      <c r="A2555" s="18"/>
      <c r="B2555" s="19" t="s">
        <v>12411</v>
      </c>
      <c r="C2555" s="20" t="s">
        <v>12517</v>
      </c>
      <c r="D2555" s="47"/>
      <c r="E2555" s="22" t="s">
        <v>10615</v>
      </c>
      <c r="F2555" s="22" t="s">
        <v>41</v>
      </c>
      <c r="G2555" s="23">
        <v>2021.0</v>
      </c>
      <c r="H2555" s="22" t="s">
        <v>1485</v>
      </c>
      <c r="I2555" s="24" t="s">
        <v>12595</v>
      </c>
      <c r="J2555" s="22" t="s">
        <v>12596</v>
      </c>
      <c r="K2555" s="22"/>
      <c r="L2555" s="52">
        <v>660.0</v>
      </c>
      <c r="M2555" s="52">
        <v>100.0</v>
      </c>
      <c r="N2555" s="52"/>
      <c r="O2555" s="52" t="s">
        <v>12597</v>
      </c>
      <c r="P2555" s="189"/>
      <c r="Q2555" s="52"/>
      <c r="R2555" s="52"/>
      <c r="S2555" s="52" t="s">
        <v>12598</v>
      </c>
      <c r="T2555" s="42" t="s">
        <v>12599</v>
      </c>
      <c r="U2555" s="29" t="s">
        <v>61</v>
      </c>
      <c r="V2555" s="30"/>
      <c r="W2555" s="49"/>
      <c r="X2555" s="49"/>
      <c r="Y2555" s="35"/>
      <c r="Z2555" s="35"/>
      <c r="AA2555" s="35"/>
      <c r="AB2555" s="35"/>
      <c r="AC2555" s="35"/>
      <c r="AD2555" s="35"/>
      <c r="AE2555" s="35"/>
      <c r="AF2555" s="35"/>
      <c r="AG2555" s="35"/>
      <c r="AH2555" s="35"/>
      <c r="AI2555" s="35"/>
      <c r="AJ2555" s="35"/>
      <c r="AK2555" s="35"/>
      <c r="AL2555" s="35"/>
    </row>
    <row r="2556">
      <c r="A2556" s="18"/>
      <c r="B2556" s="19" t="s">
        <v>12411</v>
      </c>
      <c r="C2556" s="20" t="s">
        <v>12517</v>
      </c>
      <c r="D2556" s="47"/>
      <c r="E2556" s="22" t="s">
        <v>5561</v>
      </c>
      <c r="F2556" s="22" t="s">
        <v>41</v>
      </c>
      <c r="G2556" s="23">
        <v>2021.0</v>
      </c>
      <c r="H2556" s="22" t="s">
        <v>91</v>
      </c>
      <c r="I2556" s="24" t="s">
        <v>12600</v>
      </c>
      <c r="J2556" s="22" t="s">
        <v>12601</v>
      </c>
      <c r="K2556" s="22"/>
      <c r="L2556" s="52">
        <v>660.0</v>
      </c>
      <c r="M2556" s="52">
        <v>100.0</v>
      </c>
      <c r="N2556" s="52"/>
      <c r="O2556" s="52" t="s">
        <v>12602</v>
      </c>
      <c r="P2556" s="189" t="s">
        <v>12603</v>
      </c>
      <c r="Q2556" s="52" t="s">
        <v>12604</v>
      </c>
      <c r="R2556" s="52" t="s">
        <v>12605</v>
      </c>
      <c r="S2556" s="285"/>
      <c r="T2556" s="28" t="s">
        <v>12606</v>
      </c>
      <c r="U2556" s="29" t="s">
        <v>61</v>
      </c>
      <c r="V2556" s="30" t="s">
        <v>12607</v>
      </c>
      <c r="W2556" s="49"/>
      <c r="X2556" s="49"/>
      <c r="Y2556" s="35"/>
      <c r="Z2556" s="35"/>
      <c r="AA2556" s="35"/>
      <c r="AB2556" s="35"/>
      <c r="AC2556" s="35"/>
      <c r="AD2556" s="35"/>
      <c r="AE2556" s="35"/>
      <c r="AF2556" s="35"/>
      <c r="AG2556" s="35"/>
      <c r="AH2556" s="35"/>
      <c r="AI2556" s="35"/>
      <c r="AJ2556" s="35"/>
      <c r="AK2556" s="35"/>
      <c r="AL2556" s="35"/>
    </row>
    <row r="2557">
      <c r="A2557" s="18"/>
      <c r="B2557" s="19" t="s">
        <v>12411</v>
      </c>
      <c r="C2557" s="20" t="s">
        <v>12517</v>
      </c>
      <c r="D2557" s="47"/>
      <c r="E2557" s="22" t="s">
        <v>11386</v>
      </c>
      <c r="F2557" s="22" t="s">
        <v>12608</v>
      </c>
      <c r="G2557" s="23">
        <v>2021.0</v>
      </c>
      <c r="H2557" s="22" t="s">
        <v>42</v>
      </c>
      <c r="I2557" s="24" t="s">
        <v>12609</v>
      </c>
      <c r="J2557" s="22" t="s">
        <v>12610</v>
      </c>
      <c r="K2557" s="22" t="s">
        <v>157</v>
      </c>
      <c r="L2557" s="52" t="s">
        <v>12611</v>
      </c>
      <c r="M2557" s="52"/>
      <c r="N2557" s="52" t="s">
        <v>5774</v>
      </c>
      <c r="O2557" s="52"/>
      <c r="P2557" s="189" t="s">
        <v>1529</v>
      </c>
      <c r="Q2557" s="52"/>
      <c r="R2557" s="52">
        <v>5040.0</v>
      </c>
      <c r="S2557" s="52" t="s">
        <v>12612</v>
      </c>
      <c r="T2557" s="28" t="s">
        <v>12613</v>
      </c>
      <c r="U2557" s="29" t="s">
        <v>61</v>
      </c>
      <c r="V2557" s="30" t="s">
        <v>12614</v>
      </c>
      <c r="W2557" s="49"/>
      <c r="X2557" s="49"/>
      <c r="Y2557" s="35"/>
      <c r="Z2557" s="35"/>
      <c r="AA2557" s="35"/>
      <c r="AB2557" s="35"/>
      <c r="AC2557" s="35"/>
      <c r="AD2557" s="35"/>
      <c r="AE2557" s="35"/>
      <c r="AF2557" s="35"/>
      <c r="AG2557" s="35"/>
      <c r="AH2557" s="35"/>
      <c r="AI2557" s="35"/>
      <c r="AJ2557" s="35"/>
      <c r="AK2557" s="35"/>
      <c r="AL2557" s="35"/>
    </row>
    <row r="2558">
      <c r="A2558" s="18"/>
      <c r="B2558" s="19" t="s">
        <v>12411</v>
      </c>
      <c r="C2558" s="20" t="s">
        <v>12517</v>
      </c>
      <c r="D2558" s="47"/>
      <c r="E2558" s="22" t="s">
        <v>12615</v>
      </c>
      <c r="F2558" s="22" t="s">
        <v>8256</v>
      </c>
      <c r="G2558" s="23">
        <v>2021.0</v>
      </c>
      <c r="H2558" s="22" t="s">
        <v>7041</v>
      </c>
      <c r="I2558" s="24" t="s">
        <v>12616</v>
      </c>
      <c r="J2558" s="22" t="s">
        <v>12617</v>
      </c>
      <c r="K2558" s="22" t="s">
        <v>157</v>
      </c>
      <c r="L2558" s="52" t="s">
        <v>12618</v>
      </c>
      <c r="M2558" s="52"/>
      <c r="N2558" s="52"/>
      <c r="O2558" s="52">
        <v>50000.0</v>
      </c>
      <c r="P2558" s="189"/>
      <c r="Q2558" s="52" t="s">
        <v>12619</v>
      </c>
      <c r="R2558" s="52"/>
      <c r="S2558" s="285">
        <v>44901.0</v>
      </c>
      <c r="T2558" s="28" t="s">
        <v>12620</v>
      </c>
      <c r="U2558" s="29" t="s">
        <v>61</v>
      </c>
      <c r="V2558" s="30"/>
      <c r="W2558" s="49"/>
      <c r="X2558" s="49"/>
      <c r="Y2558" s="35"/>
      <c r="Z2558" s="35"/>
      <c r="AA2558" s="35"/>
      <c r="AB2558" s="35"/>
      <c r="AC2558" s="35"/>
      <c r="AD2558" s="35"/>
      <c r="AE2558" s="35"/>
      <c r="AF2558" s="35"/>
      <c r="AG2558" s="35"/>
      <c r="AH2558" s="35"/>
      <c r="AI2558" s="35"/>
      <c r="AJ2558" s="35"/>
      <c r="AK2558" s="35"/>
      <c r="AL2558" s="35"/>
    </row>
    <row r="2559">
      <c r="A2559" s="18"/>
      <c r="B2559" s="19" t="s">
        <v>12411</v>
      </c>
      <c r="C2559" s="20" t="s">
        <v>12517</v>
      </c>
      <c r="D2559" s="47"/>
      <c r="E2559" s="22" t="s">
        <v>12621</v>
      </c>
      <c r="F2559" s="22" t="s">
        <v>12622</v>
      </c>
      <c r="G2559" s="23">
        <v>2021.0</v>
      </c>
      <c r="H2559" s="22" t="s">
        <v>12623</v>
      </c>
      <c r="I2559" s="24" t="s">
        <v>12624</v>
      </c>
      <c r="J2559" s="22" t="s">
        <v>12625</v>
      </c>
      <c r="K2559" s="22"/>
      <c r="L2559" s="52" t="s">
        <v>12588</v>
      </c>
      <c r="M2559" s="52"/>
      <c r="N2559" s="52" t="s">
        <v>12626</v>
      </c>
      <c r="O2559" s="52" t="s">
        <v>12627</v>
      </c>
      <c r="P2559" s="189" t="s">
        <v>5068</v>
      </c>
      <c r="Q2559" s="52" t="s">
        <v>12628</v>
      </c>
      <c r="R2559" s="52">
        <v>480.0</v>
      </c>
      <c r="S2559" s="52" t="s">
        <v>12629</v>
      </c>
      <c r="T2559" s="42" t="s">
        <v>12630</v>
      </c>
      <c r="U2559" s="29" t="s">
        <v>61</v>
      </c>
      <c r="V2559" s="30"/>
      <c r="W2559" s="49"/>
      <c r="X2559" s="49"/>
      <c r="Y2559" s="35"/>
      <c r="Z2559" s="35"/>
      <c r="AA2559" s="35"/>
      <c r="AB2559" s="35"/>
      <c r="AC2559" s="35"/>
      <c r="AD2559" s="35"/>
      <c r="AE2559" s="35"/>
      <c r="AF2559" s="35"/>
      <c r="AG2559" s="35"/>
      <c r="AH2559" s="35"/>
      <c r="AI2559" s="35"/>
      <c r="AJ2559" s="35"/>
      <c r="AK2559" s="35"/>
      <c r="AL2559" s="35"/>
    </row>
    <row r="2560">
      <c r="A2560" s="18" t="s">
        <v>38</v>
      </c>
      <c r="B2560" s="19" t="s">
        <v>12411</v>
      </c>
      <c r="C2560" s="20" t="s">
        <v>12517</v>
      </c>
      <c r="D2560" s="47"/>
      <c r="E2560" s="22" t="s">
        <v>835</v>
      </c>
      <c r="F2560" s="22" t="s">
        <v>41</v>
      </c>
      <c r="G2560" s="23">
        <v>2021.0</v>
      </c>
      <c r="H2560" s="22" t="s">
        <v>1485</v>
      </c>
      <c r="I2560" s="24" t="s">
        <v>12631</v>
      </c>
      <c r="J2560" s="22" t="s">
        <v>12632</v>
      </c>
      <c r="K2560" s="22"/>
      <c r="L2560" s="52">
        <v>660.0</v>
      </c>
      <c r="M2560" s="52">
        <v>100.0</v>
      </c>
      <c r="N2560" s="52"/>
      <c r="O2560" s="52">
        <v>18.0</v>
      </c>
      <c r="P2560" s="189"/>
      <c r="Q2560" s="52"/>
      <c r="R2560" s="52" t="s">
        <v>12633</v>
      </c>
      <c r="S2560" s="285">
        <v>44474.0</v>
      </c>
      <c r="T2560" s="28" t="s">
        <v>12634</v>
      </c>
      <c r="U2560" s="29" t="s">
        <v>61</v>
      </c>
      <c r="V2560" s="30"/>
      <c r="W2560" s="49"/>
      <c r="X2560" s="49"/>
      <c r="Y2560" s="35"/>
      <c r="Z2560" s="35"/>
      <c r="AA2560" s="35"/>
      <c r="AB2560" s="35"/>
      <c r="AC2560" s="35"/>
      <c r="AD2560" s="35"/>
      <c r="AE2560" s="35"/>
      <c r="AF2560" s="35"/>
      <c r="AG2560" s="35"/>
      <c r="AH2560" s="35"/>
      <c r="AI2560" s="35"/>
      <c r="AJ2560" s="35"/>
      <c r="AK2560" s="35"/>
      <c r="AL2560" s="35"/>
    </row>
    <row r="2561">
      <c r="A2561" s="1"/>
      <c r="B2561" s="19" t="s">
        <v>12411</v>
      </c>
      <c r="C2561" s="20" t="s">
        <v>12517</v>
      </c>
      <c r="D2561" s="47"/>
      <c r="E2561" s="22" t="s">
        <v>12635</v>
      </c>
      <c r="F2561" s="22" t="s">
        <v>2152</v>
      </c>
      <c r="G2561" s="23">
        <v>2021.0</v>
      </c>
      <c r="H2561" s="22" t="s">
        <v>12059</v>
      </c>
      <c r="I2561" s="24" t="s">
        <v>12636</v>
      </c>
      <c r="J2561" s="22" t="s">
        <v>31</v>
      </c>
      <c r="K2561" s="22" t="s">
        <v>12637</v>
      </c>
      <c r="L2561" s="52">
        <v>720.0</v>
      </c>
      <c r="M2561" s="52"/>
      <c r="N2561" s="52"/>
      <c r="O2561" s="52"/>
      <c r="P2561" s="189"/>
      <c r="Q2561" s="52"/>
      <c r="R2561" s="52"/>
      <c r="S2561" s="52"/>
      <c r="T2561" s="28" t="s">
        <v>12638</v>
      </c>
      <c r="U2561" s="29" t="s">
        <v>61</v>
      </c>
      <c r="V2561" s="30"/>
      <c r="W2561" s="49"/>
      <c r="X2561" s="49"/>
      <c r="Y2561" s="35"/>
      <c r="Z2561" s="35"/>
      <c r="AA2561" s="35"/>
      <c r="AB2561" s="35"/>
      <c r="AC2561" s="35"/>
      <c r="AD2561" s="35"/>
      <c r="AE2561" s="35"/>
      <c r="AF2561" s="35"/>
      <c r="AG2561" s="35"/>
      <c r="AH2561" s="35"/>
      <c r="AI2561" s="35"/>
      <c r="AJ2561" s="35"/>
      <c r="AK2561" s="35"/>
      <c r="AL2561" s="35"/>
    </row>
    <row r="2562">
      <c r="A2562" s="40" t="s">
        <v>2</v>
      </c>
      <c r="B2562" s="19" t="s">
        <v>12411</v>
      </c>
      <c r="C2562" s="20" t="s">
        <v>12517</v>
      </c>
      <c r="D2562" s="47"/>
      <c r="E2562" s="22" t="s">
        <v>12639</v>
      </c>
      <c r="F2562" s="22" t="s">
        <v>12640</v>
      </c>
      <c r="G2562" s="23">
        <v>2021.0</v>
      </c>
      <c r="H2562" s="22" t="s">
        <v>12623</v>
      </c>
      <c r="I2562" s="24" t="s">
        <v>12641</v>
      </c>
      <c r="J2562" s="22" t="s">
        <v>12642</v>
      </c>
      <c r="K2562" s="22"/>
      <c r="L2562" s="52" t="s">
        <v>4503</v>
      </c>
      <c r="M2562" s="52" t="s">
        <v>12643</v>
      </c>
      <c r="N2562" s="52" t="s">
        <v>12644</v>
      </c>
      <c r="O2562" s="52">
        <v>3590.0</v>
      </c>
      <c r="P2562" s="189" t="s">
        <v>12645</v>
      </c>
      <c r="Q2562" s="52" t="s">
        <v>12646</v>
      </c>
      <c r="R2562" s="52">
        <v>1680.0</v>
      </c>
      <c r="S2562" s="52" t="s">
        <v>7612</v>
      </c>
      <c r="T2562" s="28" t="s">
        <v>12647</v>
      </c>
      <c r="U2562" s="29" t="s">
        <v>61</v>
      </c>
      <c r="V2562" s="30"/>
      <c r="W2562" s="49"/>
      <c r="X2562" s="49"/>
      <c r="Y2562" s="35"/>
      <c r="Z2562" s="35"/>
      <c r="AA2562" s="35"/>
      <c r="AB2562" s="35"/>
      <c r="AC2562" s="35"/>
      <c r="AD2562" s="35"/>
      <c r="AE2562" s="35"/>
      <c r="AF2562" s="35"/>
      <c r="AG2562" s="35"/>
      <c r="AH2562" s="35"/>
      <c r="AI2562" s="35"/>
      <c r="AJ2562" s="35"/>
      <c r="AK2562" s="35"/>
      <c r="AL2562" s="35"/>
    </row>
    <row r="2563">
      <c r="A2563" s="1"/>
      <c r="B2563" s="19" t="s">
        <v>12411</v>
      </c>
      <c r="C2563" s="20" t="s">
        <v>12517</v>
      </c>
      <c r="D2563" s="47"/>
      <c r="E2563" s="22" t="s">
        <v>5053</v>
      </c>
      <c r="F2563" s="22" t="s">
        <v>7853</v>
      </c>
      <c r="G2563" s="23">
        <v>2021.0</v>
      </c>
      <c r="H2563" s="22" t="s">
        <v>42</v>
      </c>
      <c r="I2563" s="24" t="s">
        <v>12648</v>
      </c>
      <c r="J2563" s="22" t="s">
        <v>31</v>
      </c>
      <c r="K2563" s="22"/>
      <c r="L2563" s="208" t="s">
        <v>12649</v>
      </c>
      <c r="M2563" s="209"/>
      <c r="N2563" s="209"/>
      <c r="O2563" s="209"/>
      <c r="P2563" s="209"/>
      <c r="Q2563" s="209"/>
      <c r="R2563" s="209"/>
      <c r="S2563" s="209"/>
      <c r="T2563" s="28" t="s">
        <v>12650</v>
      </c>
      <c r="U2563" s="29" t="s">
        <v>61</v>
      </c>
      <c r="V2563" s="30"/>
      <c r="W2563" s="49"/>
      <c r="X2563" s="49"/>
      <c r="Y2563" s="35"/>
      <c r="Z2563" s="35"/>
      <c r="AA2563" s="35"/>
      <c r="AB2563" s="35"/>
      <c r="AC2563" s="35"/>
      <c r="AD2563" s="35"/>
      <c r="AE2563" s="35"/>
      <c r="AF2563" s="35"/>
      <c r="AG2563" s="35"/>
      <c r="AH2563" s="35"/>
      <c r="AI2563" s="35"/>
      <c r="AJ2563" s="35"/>
      <c r="AK2563" s="35"/>
      <c r="AL2563" s="35"/>
    </row>
    <row r="2564">
      <c r="A2564" s="18" t="s">
        <v>2</v>
      </c>
      <c r="B2564" s="19" t="s">
        <v>12411</v>
      </c>
      <c r="C2564" s="20" t="s">
        <v>12517</v>
      </c>
      <c r="D2564" s="47"/>
      <c r="E2564" s="22" t="s">
        <v>12651</v>
      </c>
      <c r="F2564" s="22" t="s">
        <v>12652</v>
      </c>
      <c r="G2564" s="23">
        <v>2020.0</v>
      </c>
      <c r="H2564" s="22" t="s">
        <v>12653</v>
      </c>
      <c r="I2564" s="24" t="s">
        <v>12654</v>
      </c>
      <c r="J2564" s="22" t="s">
        <v>12655</v>
      </c>
      <c r="K2564" s="22"/>
      <c r="L2564" s="36" t="s">
        <v>4503</v>
      </c>
      <c r="M2564" s="36"/>
      <c r="N2564" s="36"/>
      <c r="O2564" s="36">
        <v>3600.0</v>
      </c>
      <c r="P2564" s="37" t="s">
        <v>8585</v>
      </c>
      <c r="Q2564" s="52" t="s">
        <v>12646</v>
      </c>
      <c r="R2564" s="36">
        <v>1680.0</v>
      </c>
      <c r="S2564" s="36" t="s">
        <v>7612</v>
      </c>
      <c r="T2564" s="28" t="s">
        <v>12656</v>
      </c>
      <c r="U2564" s="29" t="s">
        <v>61</v>
      </c>
      <c r="V2564" s="30"/>
      <c r="W2564" s="49"/>
      <c r="X2564" s="49"/>
      <c r="Y2564" s="35"/>
      <c r="Z2564" s="35"/>
      <c r="AA2564" s="35"/>
      <c r="AB2564" s="35"/>
      <c r="AC2564" s="35"/>
      <c r="AD2564" s="35"/>
      <c r="AE2564" s="35"/>
      <c r="AF2564" s="35"/>
      <c r="AG2564" s="35"/>
      <c r="AH2564" s="35"/>
      <c r="AI2564" s="35"/>
      <c r="AJ2564" s="35"/>
      <c r="AK2564" s="35"/>
      <c r="AL2564" s="35"/>
    </row>
    <row r="2565">
      <c r="A2565" s="1" t="s">
        <v>38</v>
      </c>
      <c r="B2565" s="19" t="s">
        <v>12411</v>
      </c>
      <c r="C2565" s="20" t="s">
        <v>12517</v>
      </c>
      <c r="D2565" s="47"/>
      <c r="E2565" s="22" t="s">
        <v>12651</v>
      </c>
      <c r="F2565" s="22" t="s">
        <v>12652</v>
      </c>
      <c r="G2565" s="23">
        <v>2020.0</v>
      </c>
      <c r="H2565" s="22" t="s">
        <v>12657</v>
      </c>
      <c r="I2565" s="24" t="s">
        <v>12658</v>
      </c>
      <c r="J2565" s="22" t="s">
        <v>12659</v>
      </c>
      <c r="K2565" s="22"/>
      <c r="L2565" s="236" t="s">
        <v>4503</v>
      </c>
      <c r="M2565" s="246"/>
      <c r="N2565" s="246"/>
      <c r="O2565" s="246">
        <v>3600.0</v>
      </c>
      <c r="P2565" s="246" t="s">
        <v>8585</v>
      </c>
      <c r="Q2565" s="246"/>
      <c r="R2565" s="246">
        <v>1680.0</v>
      </c>
      <c r="S2565" s="246" t="s">
        <v>7612</v>
      </c>
      <c r="T2565" s="247" t="s">
        <v>12660</v>
      </c>
      <c r="U2565" s="29" t="s">
        <v>61</v>
      </c>
      <c r="V2565" s="30"/>
      <c r="W2565" s="49"/>
      <c r="X2565" s="49"/>
      <c r="Y2565" s="35"/>
      <c r="Z2565" s="35"/>
      <c r="AA2565" s="35"/>
      <c r="AB2565" s="35"/>
      <c r="AC2565" s="35"/>
      <c r="AD2565" s="35"/>
      <c r="AE2565" s="35"/>
      <c r="AF2565" s="35"/>
      <c r="AG2565" s="35"/>
      <c r="AH2565" s="35"/>
      <c r="AI2565" s="35"/>
      <c r="AJ2565" s="35"/>
      <c r="AK2565" s="35"/>
      <c r="AL2565" s="35"/>
    </row>
    <row r="2566">
      <c r="A2566" s="1"/>
      <c r="B2566" s="19" t="s">
        <v>12411</v>
      </c>
      <c r="C2566" s="20" t="s">
        <v>12661</v>
      </c>
      <c r="D2566" s="47"/>
      <c r="E2566" s="22" t="s">
        <v>2233</v>
      </c>
      <c r="F2566" s="22" t="s">
        <v>10600</v>
      </c>
      <c r="G2566" s="23">
        <v>2022.0</v>
      </c>
      <c r="H2566" s="22" t="s">
        <v>2483</v>
      </c>
      <c r="I2566" s="24" t="s">
        <v>12662</v>
      </c>
      <c r="J2566" s="22" t="s">
        <v>125</v>
      </c>
      <c r="K2566" s="22"/>
      <c r="L2566" s="173" t="s">
        <v>12663</v>
      </c>
      <c r="U2566" s="38" t="s">
        <v>2453</v>
      </c>
      <c r="V2566" s="30"/>
      <c r="W2566" s="49"/>
      <c r="X2566" s="49"/>
      <c r="Y2566" s="35"/>
      <c r="Z2566" s="35"/>
      <c r="AA2566" s="35"/>
      <c r="AB2566" s="35"/>
      <c r="AC2566" s="35"/>
      <c r="AD2566" s="35"/>
      <c r="AE2566" s="35"/>
      <c r="AF2566" s="35"/>
      <c r="AG2566" s="35"/>
      <c r="AH2566" s="35"/>
      <c r="AI2566" s="35"/>
      <c r="AJ2566" s="35"/>
      <c r="AK2566" s="35"/>
      <c r="AL2566" s="35"/>
    </row>
    <row r="2567">
      <c r="A2567" s="1"/>
      <c r="B2567" s="19" t="s">
        <v>12411</v>
      </c>
      <c r="C2567" s="20" t="s">
        <v>12661</v>
      </c>
      <c r="D2567" s="47"/>
      <c r="E2567" s="22" t="s">
        <v>12664</v>
      </c>
      <c r="F2567" s="22" t="s">
        <v>12665</v>
      </c>
      <c r="G2567" s="23">
        <v>2022.0</v>
      </c>
      <c r="H2567" s="22" t="s">
        <v>348</v>
      </c>
      <c r="I2567" s="24" t="s">
        <v>12666</v>
      </c>
      <c r="J2567" s="22" t="s">
        <v>125</v>
      </c>
      <c r="K2567" s="22"/>
      <c r="L2567" s="173" t="s">
        <v>12667</v>
      </c>
      <c r="U2567" s="29" t="s">
        <v>61</v>
      </c>
      <c r="V2567" s="30"/>
      <c r="W2567" s="49"/>
      <c r="X2567" s="49"/>
      <c r="Y2567" s="35"/>
      <c r="Z2567" s="35"/>
      <c r="AA2567" s="35"/>
      <c r="AB2567" s="35"/>
      <c r="AC2567" s="35"/>
      <c r="AD2567" s="35"/>
      <c r="AE2567" s="35"/>
      <c r="AF2567" s="35"/>
      <c r="AG2567" s="35"/>
      <c r="AH2567" s="35"/>
      <c r="AI2567" s="35"/>
      <c r="AJ2567" s="35"/>
      <c r="AK2567" s="35"/>
      <c r="AL2567" s="35"/>
    </row>
    <row r="2568">
      <c r="A2568" s="1"/>
      <c r="B2568" s="19" t="s">
        <v>12411</v>
      </c>
      <c r="C2568" s="20" t="s">
        <v>12661</v>
      </c>
      <c r="D2568" s="47"/>
      <c r="E2568" s="22" t="s">
        <v>12668</v>
      </c>
      <c r="F2568" s="22" t="s">
        <v>241</v>
      </c>
      <c r="G2568" s="23">
        <v>2021.0</v>
      </c>
      <c r="H2568" s="22" t="s">
        <v>3523</v>
      </c>
      <c r="I2568" s="24" t="s">
        <v>12669</v>
      </c>
      <c r="J2568" s="22" t="s">
        <v>649</v>
      </c>
      <c r="K2568" s="22"/>
      <c r="L2568" s="173" t="s">
        <v>12670</v>
      </c>
      <c r="U2568" s="29" t="s">
        <v>61</v>
      </c>
      <c r="V2568" s="30"/>
      <c r="W2568" s="49"/>
      <c r="X2568" s="49"/>
      <c r="Y2568" s="35"/>
      <c r="Z2568" s="35"/>
      <c r="AA2568" s="35"/>
      <c r="AB2568" s="35"/>
      <c r="AC2568" s="35"/>
      <c r="AD2568" s="35"/>
      <c r="AE2568" s="35"/>
      <c r="AF2568" s="35"/>
      <c r="AG2568" s="35"/>
      <c r="AH2568" s="35"/>
      <c r="AI2568" s="35"/>
      <c r="AJ2568" s="35"/>
      <c r="AK2568" s="35"/>
      <c r="AL2568" s="35"/>
    </row>
    <row r="2569">
      <c r="A2569" s="1"/>
      <c r="B2569" s="19" t="s">
        <v>12411</v>
      </c>
      <c r="C2569" s="20" t="s">
        <v>12661</v>
      </c>
      <c r="D2569" s="47"/>
      <c r="E2569" s="22" t="s">
        <v>539</v>
      </c>
      <c r="F2569" s="22" t="s">
        <v>540</v>
      </c>
      <c r="G2569" s="23">
        <v>2021.0</v>
      </c>
      <c r="H2569" s="22" t="s">
        <v>12623</v>
      </c>
      <c r="I2569" s="24" t="s">
        <v>12671</v>
      </c>
      <c r="J2569" s="22" t="s">
        <v>125</v>
      </c>
      <c r="K2569" s="22"/>
      <c r="L2569" s="173" t="s">
        <v>12672</v>
      </c>
      <c r="U2569" s="29" t="s">
        <v>61</v>
      </c>
      <c r="V2569" s="30"/>
      <c r="W2569" s="49"/>
      <c r="X2569" s="49"/>
      <c r="Y2569" s="35"/>
      <c r="Z2569" s="35"/>
      <c r="AA2569" s="35"/>
      <c r="AB2569" s="35"/>
      <c r="AC2569" s="35"/>
      <c r="AD2569" s="35"/>
      <c r="AE2569" s="35"/>
      <c r="AF2569" s="35"/>
      <c r="AG2569" s="35"/>
      <c r="AH2569" s="35"/>
      <c r="AI2569" s="35"/>
      <c r="AJ2569" s="35"/>
      <c r="AK2569" s="35"/>
      <c r="AL2569" s="35"/>
    </row>
    <row r="2570">
      <c r="A2570" s="1"/>
      <c r="B2570" s="19" t="s">
        <v>12411</v>
      </c>
      <c r="C2570" s="20" t="s">
        <v>12661</v>
      </c>
      <c r="D2570" s="47"/>
      <c r="E2570" s="22" t="s">
        <v>12673</v>
      </c>
      <c r="F2570" s="22" t="s">
        <v>323</v>
      </c>
      <c r="G2570" s="23">
        <v>2021.0</v>
      </c>
      <c r="H2570" s="22" t="s">
        <v>77</v>
      </c>
      <c r="I2570" s="24" t="s">
        <v>12674</v>
      </c>
      <c r="J2570" s="22" t="s">
        <v>3289</v>
      </c>
      <c r="K2570" s="22"/>
      <c r="L2570" s="202"/>
      <c r="U2570" s="29" t="s">
        <v>61</v>
      </c>
      <c r="V2570" s="30"/>
      <c r="W2570" s="49"/>
      <c r="X2570" s="49"/>
      <c r="Y2570" s="35"/>
      <c r="Z2570" s="35"/>
      <c r="AA2570" s="35"/>
      <c r="AB2570" s="35"/>
      <c r="AC2570" s="35"/>
      <c r="AD2570" s="35"/>
      <c r="AE2570" s="35"/>
      <c r="AF2570" s="35"/>
      <c r="AG2570" s="35"/>
      <c r="AH2570" s="35"/>
      <c r="AI2570" s="35"/>
      <c r="AJ2570" s="35"/>
      <c r="AK2570" s="35"/>
      <c r="AL2570" s="35"/>
    </row>
    <row r="2571">
      <c r="A2571" s="1"/>
      <c r="B2571" s="19" t="s">
        <v>12411</v>
      </c>
      <c r="C2571" s="20" t="s">
        <v>12661</v>
      </c>
      <c r="D2571" s="47"/>
      <c r="E2571" s="22" t="s">
        <v>12675</v>
      </c>
      <c r="F2571" s="22" t="s">
        <v>12676</v>
      </c>
      <c r="G2571" s="23">
        <v>2021.0</v>
      </c>
      <c r="H2571" s="22" t="s">
        <v>2483</v>
      </c>
      <c r="I2571" s="24" t="s">
        <v>12677</v>
      </c>
      <c r="J2571" s="22" t="s">
        <v>125</v>
      </c>
      <c r="K2571" s="22"/>
      <c r="L2571" s="196" t="s">
        <v>12678</v>
      </c>
      <c r="U2571" s="29" t="s">
        <v>2453</v>
      </c>
      <c r="V2571" s="30"/>
      <c r="W2571" s="49"/>
      <c r="X2571" s="49"/>
      <c r="Y2571" s="35"/>
      <c r="Z2571" s="35"/>
      <c r="AA2571" s="35"/>
      <c r="AB2571" s="35"/>
      <c r="AC2571" s="35"/>
      <c r="AD2571" s="35"/>
      <c r="AE2571" s="35"/>
      <c r="AF2571" s="35"/>
      <c r="AG2571" s="35"/>
      <c r="AH2571" s="35"/>
      <c r="AI2571" s="35"/>
      <c r="AJ2571" s="35"/>
      <c r="AK2571" s="35"/>
      <c r="AL2571" s="35"/>
    </row>
    <row r="2572">
      <c r="A2572" s="1"/>
      <c r="B2572" s="19" t="s">
        <v>12411</v>
      </c>
      <c r="C2572" s="20" t="s">
        <v>12661</v>
      </c>
      <c r="D2572" s="47"/>
      <c r="E2572" s="22" t="s">
        <v>12679</v>
      </c>
      <c r="F2572" s="22" t="s">
        <v>12680</v>
      </c>
      <c r="G2572" s="23">
        <v>2021.0</v>
      </c>
      <c r="H2572" s="22" t="s">
        <v>12681</v>
      </c>
      <c r="I2572" s="24" t="s">
        <v>12682</v>
      </c>
      <c r="J2572" s="22" t="s">
        <v>125</v>
      </c>
      <c r="K2572" s="22"/>
      <c r="L2572" s="132" t="s">
        <v>12683</v>
      </c>
      <c r="U2572" s="29" t="s">
        <v>61</v>
      </c>
      <c r="V2572" s="30"/>
      <c r="W2572" s="49"/>
      <c r="X2572" s="49"/>
      <c r="Y2572" s="35"/>
      <c r="Z2572" s="35"/>
      <c r="AA2572" s="35"/>
      <c r="AB2572" s="35"/>
      <c r="AC2572" s="35"/>
      <c r="AD2572" s="35"/>
      <c r="AE2572" s="35"/>
      <c r="AF2572" s="35"/>
      <c r="AG2572" s="35"/>
      <c r="AH2572" s="35"/>
      <c r="AI2572" s="35"/>
      <c r="AJ2572" s="35"/>
      <c r="AK2572" s="35"/>
      <c r="AL2572" s="35"/>
    </row>
    <row r="2573">
      <c r="A2573" s="1"/>
      <c r="B2573" s="19" t="s">
        <v>12411</v>
      </c>
      <c r="C2573" s="20" t="s">
        <v>12661</v>
      </c>
      <c r="D2573" s="47"/>
      <c r="E2573" s="22" t="s">
        <v>12684</v>
      </c>
      <c r="F2573" s="22" t="s">
        <v>323</v>
      </c>
      <c r="G2573" s="23">
        <v>2020.0</v>
      </c>
      <c r="H2573" s="22" t="s">
        <v>147</v>
      </c>
      <c r="I2573" s="24" t="s">
        <v>12685</v>
      </c>
      <c r="J2573" s="22" t="s">
        <v>125</v>
      </c>
      <c r="K2573" s="22"/>
      <c r="L2573" s="173" t="s">
        <v>12686</v>
      </c>
      <c r="U2573" s="29" t="s">
        <v>61</v>
      </c>
      <c r="V2573" s="30"/>
      <c r="W2573" s="49"/>
      <c r="X2573" s="49"/>
      <c r="Y2573" s="35"/>
      <c r="Z2573" s="35"/>
      <c r="AA2573" s="35"/>
      <c r="AB2573" s="35"/>
      <c r="AC2573" s="35"/>
      <c r="AD2573" s="35"/>
      <c r="AE2573" s="35"/>
      <c r="AF2573" s="35"/>
      <c r="AG2573" s="35"/>
      <c r="AH2573" s="35"/>
      <c r="AI2573" s="35"/>
      <c r="AJ2573" s="35"/>
      <c r="AK2573" s="35"/>
      <c r="AL2573" s="35"/>
    </row>
    <row r="2574">
      <c r="A2574" s="1"/>
      <c r="B2574" s="19" t="s">
        <v>12411</v>
      </c>
      <c r="C2574" s="20" t="s">
        <v>12661</v>
      </c>
      <c r="D2574" s="47"/>
      <c r="E2574" s="22" t="s">
        <v>3980</v>
      </c>
      <c r="F2574" s="22" t="s">
        <v>1862</v>
      </c>
      <c r="G2574" s="23">
        <v>2020.0</v>
      </c>
      <c r="H2574" s="22" t="s">
        <v>2415</v>
      </c>
      <c r="I2574" s="24" t="s">
        <v>12687</v>
      </c>
      <c r="J2574" s="22" t="s">
        <v>125</v>
      </c>
      <c r="K2574" s="22"/>
      <c r="L2574" s="173" t="s">
        <v>12688</v>
      </c>
      <c r="U2574" s="29" t="s">
        <v>61</v>
      </c>
      <c r="V2574" s="30"/>
      <c r="W2574" s="49"/>
      <c r="X2574" s="49"/>
      <c r="Y2574" s="35"/>
      <c r="Z2574" s="35"/>
      <c r="AA2574" s="35"/>
      <c r="AB2574" s="35"/>
      <c r="AC2574" s="35"/>
      <c r="AD2574" s="35"/>
      <c r="AE2574" s="35"/>
      <c r="AF2574" s="35"/>
      <c r="AG2574" s="35"/>
      <c r="AH2574" s="35"/>
      <c r="AI2574" s="35"/>
      <c r="AJ2574" s="35"/>
      <c r="AK2574" s="35"/>
      <c r="AL2574" s="35"/>
    </row>
    <row r="2575">
      <c r="A2575" s="1"/>
      <c r="B2575" s="19" t="s">
        <v>12411</v>
      </c>
      <c r="C2575" s="20" t="s">
        <v>12661</v>
      </c>
      <c r="D2575" s="47"/>
      <c r="E2575" s="22" t="s">
        <v>12689</v>
      </c>
      <c r="F2575" s="22" t="s">
        <v>1930</v>
      </c>
      <c r="G2575" s="23">
        <v>2020.0</v>
      </c>
      <c r="H2575" s="22" t="s">
        <v>91</v>
      </c>
      <c r="I2575" s="24" t="s">
        <v>12690</v>
      </c>
      <c r="J2575" s="22" t="s">
        <v>125</v>
      </c>
      <c r="K2575" s="22"/>
      <c r="L2575" s="173" t="s">
        <v>12691</v>
      </c>
      <c r="U2575" s="29" t="s">
        <v>61</v>
      </c>
      <c r="V2575" s="30"/>
      <c r="W2575" s="49"/>
      <c r="X2575" s="49"/>
      <c r="Y2575" s="35"/>
      <c r="Z2575" s="35"/>
      <c r="AA2575" s="35"/>
      <c r="AB2575" s="35"/>
      <c r="AC2575" s="35"/>
      <c r="AD2575" s="35"/>
      <c r="AE2575" s="35"/>
      <c r="AF2575" s="35"/>
      <c r="AG2575" s="35"/>
      <c r="AH2575" s="35"/>
      <c r="AI2575" s="35"/>
      <c r="AJ2575" s="35"/>
      <c r="AK2575" s="35"/>
      <c r="AL2575" s="35"/>
    </row>
    <row r="2576">
      <c r="A2576" s="1"/>
      <c r="B2576" s="19" t="s">
        <v>12411</v>
      </c>
      <c r="C2576" s="20" t="s">
        <v>12661</v>
      </c>
      <c r="D2576" s="47"/>
      <c r="E2576" s="22" t="s">
        <v>12692</v>
      </c>
      <c r="F2576" s="22" t="s">
        <v>12693</v>
      </c>
      <c r="G2576" s="23">
        <v>2020.0</v>
      </c>
      <c r="H2576" s="22" t="s">
        <v>207</v>
      </c>
      <c r="I2576" s="24" t="s">
        <v>12694</v>
      </c>
      <c r="J2576" s="22" t="s">
        <v>125</v>
      </c>
      <c r="K2576" s="22"/>
      <c r="L2576" s="173" t="s">
        <v>12695</v>
      </c>
      <c r="U2576" s="29" t="s">
        <v>61</v>
      </c>
      <c r="V2576" s="30"/>
      <c r="W2576" s="49"/>
      <c r="X2576" s="49"/>
      <c r="Y2576" s="35"/>
      <c r="Z2576" s="35"/>
      <c r="AA2576" s="35"/>
      <c r="AB2576" s="35"/>
      <c r="AC2576" s="35"/>
      <c r="AD2576" s="35"/>
      <c r="AE2576" s="35"/>
      <c r="AF2576" s="35"/>
      <c r="AG2576" s="35"/>
      <c r="AH2576" s="35"/>
      <c r="AI2576" s="35"/>
      <c r="AJ2576" s="35"/>
      <c r="AK2576" s="35"/>
      <c r="AL2576" s="35"/>
    </row>
    <row r="2577">
      <c r="A2577" s="1"/>
      <c r="B2577" s="75" t="s">
        <v>12411</v>
      </c>
      <c r="C2577" s="20" t="s">
        <v>12661</v>
      </c>
      <c r="D2577" s="47"/>
      <c r="E2577" s="22" t="s">
        <v>12696</v>
      </c>
      <c r="F2577" s="22" t="s">
        <v>41</v>
      </c>
      <c r="G2577" s="23">
        <v>2020.0</v>
      </c>
      <c r="H2577" s="22" t="s">
        <v>207</v>
      </c>
      <c r="I2577" s="24" t="s">
        <v>12697</v>
      </c>
      <c r="J2577" s="22"/>
      <c r="K2577" s="22"/>
      <c r="L2577" s="173" t="s">
        <v>12698</v>
      </c>
      <c r="U2577" s="29" t="s">
        <v>61</v>
      </c>
      <c r="V2577" s="30"/>
      <c r="W2577" s="49"/>
      <c r="X2577" s="49"/>
      <c r="Y2577" s="35"/>
      <c r="Z2577" s="35"/>
      <c r="AA2577" s="35"/>
      <c r="AB2577" s="35"/>
      <c r="AC2577" s="35"/>
      <c r="AD2577" s="35"/>
      <c r="AE2577" s="35"/>
      <c r="AF2577" s="35"/>
      <c r="AG2577" s="35"/>
      <c r="AH2577" s="35"/>
      <c r="AI2577" s="35"/>
      <c r="AJ2577" s="35"/>
      <c r="AK2577" s="35"/>
      <c r="AL2577" s="35"/>
    </row>
    <row r="2578">
      <c r="A2578" s="1"/>
      <c r="B2578" s="75" t="s">
        <v>12411</v>
      </c>
      <c r="C2578" s="20" t="s">
        <v>12661</v>
      </c>
      <c r="D2578" s="47"/>
      <c r="E2578" s="22" t="s">
        <v>539</v>
      </c>
      <c r="F2578" s="22" t="s">
        <v>540</v>
      </c>
      <c r="G2578" s="23">
        <v>2020.0</v>
      </c>
      <c r="H2578" s="22" t="s">
        <v>4473</v>
      </c>
      <c r="I2578" s="24" t="s">
        <v>12699</v>
      </c>
      <c r="J2578" s="22" t="s">
        <v>125</v>
      </c>
      <c r="K2578" s="22"/>
      <c r="L2578" s="173" t="s">
        <v>12700</v>
      </c>
      <c r="U2578" s="29" t="s">
        <v>61</v>
      </c>
      <c r="V2578" s="30"/>
      <c r="W2578" s="49"/>
      <c r="X2578" s="49"/>
      <c r="Y2578" s="35"/>
      <c r="Z2578" s="35"/>
      <c r="AA2578" s="35"/>
      <c r="AB2578" s="35"/>
      <c r="AC2578" s="35"/>
      <c r="AD2578" s="35"/>
      <c r="AE2578" s="35"/>
      <c r="AF2578" s="35"/>
      <c r="AG2578" s="35"/>
      <c r="AH2578" s="35"/>
      <c r="AI2578" s="35"/>
      <c r="AJ2578" s="35"/>
      <c r="AK2578" s="35"/>
      <c r="AL2578" s="35"/>
    </row>
    <row r="2579">
      <c r="A2579" s="1"/>
      <c r="B2579" s="75" t="s">
        <v>12411</v>
      </c>
      <c r="C2579" s="20" t="s">
        <v>12661</v>
      </c>
      <c r="D2579" s="47"/>
      <c r="E2579" s="22" t="s">
        <v>12701</v>
      </c>
      <c r="F2579" s="22" t="s">
        <v>7945</v>
      </c>
      <c r="G2579" s="23">
        <v>2020.0</v>
      </c>
      <c r="H2579" s="22" t="s">
        <v>77</v>
      </c>
      <c r="I2579" s="24" t="s">
        <v>12702</v>
      </c>
      <c r="J2579" s="22" t="s">
        <v>202</v>
      </c>
      <c r="K2579" s="22"/>
      <c r="L2579" s="173"/>
      <c r="U2579" s="29" t="s">
        <v>61</v>
      </c>
      <c r="V2579" s="30"/>
      <c r="W2579" s="49"/>
      <c r="X2579" s="49"/>
      <c r="Y2579" s="35"/>
      <c r="Z2579" s="35"/>
      <c r="AA2579" s="35"/>
      <c r="AB2579" s="35"/>
      <c r="AC2579" s="35"/>
      <c r="AD2579" s="35"/>
      <c r="AE2579" s="35"/>
      <c r="AF2579" s="35"/>
      <c r="AG2579" s="35"/>
      <c r="AH2579" s="35"/>
      <c r="AI2579" s="35"/>
      <c r="AJ2579" s="35"/>
      <c r="AK2579" s="35"/>
      <c r="AL2579" s="35"/>
    </row>
    <row r="2580">
      <c r="A2580" s="1"/>
      <c r="B2580" s="75" t="s">
        <v>12411</v>
      </c>
      <c r="C2580" s="20" t="s">
        <v>12661</v>
      </c>
      <c r="D2580" s="47"/>
      <c r="E2580" s="22" t="s">
        <v>12703</v>
      </c>
      <c r="F2580" s="22" t="s">
        <v>323</v>
      </c>
      <c r="G2580" s="23">
        <v>2020.0</v>
      </c>
      <c r="H2580" s="22" t="s">
        <v>12704</v>
      </c>
      <c r="I2580" s="24" t="s">
        <v>12705</v>
      </c>
      <c r="J2580" s="22" t="s">
        <v>649</v>
      </c>
      <c r="K2580" s="22"/>
      <c r="L2580" s="105" t="s">
        <v>12706</v>
      </c>
      <c r="M2580" s="44"/>
      <c r="N2580" s="44"/>
      <c r="O2580" s="44"/>
      <c r="P2580" s="44"/>
      <c r="Q2580" s="44"/>
      <c r="R2580" s="44"/>
      <c r="S2580" s="44"/>
      <c r="T2580" s="45"/>
      <c r="U2580" s="29" t="s">
        <v>61</v>
      </c>
      <c r="V2580" s="30"/>
      <c r="W2580" s="49"/>
      <c r="X2580" s="49"/>
      <c r="Y2580" s="35"/>
      <c r="Z2580" s="35"/>
      <c r="AA2580" s="35"/>
      <c r="AB2580" s="35"/>
      <c r="AC2580" s="35"/>
      <c r="AD2580" s="35"/>
      <c r="AE2580" s="35"/>
      <c r="AF2580" s="35"/>
      <c r="AG2580" s="35"/>
      <c r="AH2580" s="35"/>
      <c r="AI2580" s="35"/>
      <c r="AJ2580" s="35"/>
      <c r="AK2580" s="35"/>
      <c r="AL2580" s="35"/>
    </row>
    <row r="2581">
      <c r="A2581" s="1"/>
      <c r="B2581" s="19" t="s">
        <v>12411</v>
      </c>
      <c r="C2581" s="20" t="s">
        <v>12661</v>
      </c>
      <c r="D2581" s="47"/>
      <c r="E2581" s="22" t="s">
        <v>12707</v>
      </c>
      <c r="F2581" s="22" t="s">
        <v>12708</v>
      </c>
      <c r="G2581" s="23">
        <v>2020.0</v>
      </c>
      <c r="H2581" s="22" t="s">
        <v>12653</v>
      </c>
      <c r="I2581" s="24" t="s">
        <v>12709</v>
      </c>
      <c r="J2581" s="22" t="s">
        <v>125</v>
      </c>
      <c r="K2581" s="22"/>
      <c r="L2581" s="105" t="s">
        <v>12710</v>
      </c>
      <c r="M2581" s="44"/>
      <c r="N2581" s="44"/>
      <c r="O2581" s="44"/>
      <c r="P2581" s="44"/>
      <c r="Q2581" s="44"/>
      <c r="R2581" s="44"/>
      <c r="S2581" s="44"/>
      <c r="T2581" s="45"/>
      <c r="U2581" s="29" t="s">
        <v>61</v>
      </c>
      <c r="V2581" s="30"/>
      <c r="W2581" s="49"/>
      <c r="X2581" s="49"/>
      <c r="Y2581" s="35"/>
      <c r="Z2581" s="35"/>
      <c r="AA2581" s="35"/>
      <c r="AB2581" s="35"/>
      <c r="AC2581" s="35"/>
      <c r="AD2581" s="35"/>
      <c r="AE2581" s="35"/>
      <c r="AF2581" s="35"/>
      <c r="AG2581" s="35"/>
      <c r="AH2581" s="35"/>
      <c r="AI2581" s="35"/>
      <c r="AJ2581" s="35"/>
      <c r="AK2581" s="35"/>
      <c r="AL2581" s="35"/>
    </row>
    <row r="2582">
      <c r="A2582" s="1"/>
      <c r="B2582" s="19" t="s">
        <v>12411</v>
      </c>
      <c r="C2582" s="20" t="s">
        <v>12661</v>
      </c>
      <c r="D2582" s="47"/>
      <c r="E2582" s="22" t="s">
        <v>714</v>
      </c>
      <c r="F2582" s="22" t="s">
        <v>41</v>
      </c>
      <c r="G2582" s="23">
        <v>2020.0</v>
      </c>
      <c r="H2582" s="22" t="s">
        <v>77</v>
      </c>
      <c r="I2582" s="24" t="s">
        <v>12711</v>
      </c>
      <c r="J2582" s="22" t="s">
        <v>12712</v>
      </c>
      <c r="K2582" s="22"/>
      <c r="L2582" s="105" t="s">
        <v>12713</v>
      </c>
      <c r="M2582" s="44"/>
      <c r="N2582" s="44"/>
      <c r="O2582" s="44"/>
      <c r="P2582" s="44"/>
      <c r="Q2582" s="44"/>
      <c r="R2582" s="44"/>
      <c r="S2582" s="44"/>
      <c r="T2582" s="45"/>
      <c r="U2582" s="29" t="s">
        <v>61</v>
      </c>
      <c r="V2582" s="30"/>
      <c r="W2582" s="49"/>
      <c r="X2582" s="49"/>
      <c r="Y2582" s="35"/>
      <c r="Z2582" s="35"/>
      <c r="AA2582" s="35"/>
      <c r="AB2582" s="35"/>
      <c r="AC2582" s="35"/>
      <c r="AD2582" s="35"/>
      <c r="AE2582" s="35"/>
      <c r="AF2582" s="35"/>
      <c r="AG2582" s="35"/>
      <c r="AH2582" s="35"/>
      <c r="AI2582" s="35"/>
      <c r="AJ2582" s="35"/>
      <c r="AK2582" s="35"/>
      <c r="AL2582" s="35"/>
    </row>
    <row r="2583">
      <c r="A2583" s="1"/>
      <c r="B2583" s="19" t="s">
        <v>12411</v>
      </c>
      <c r="C2583" s="20" t="s">
        <v>12661</v>
      </c>
      <c r="D2583" s="47"/>
      <c r="E2583" s="22" t="s">
        <v>12714</v>
      </c>
      <c r="F2583" s="22" t="s">
        <v>4436</v>
      </c>
      <c r="G2583" s="23">
        <v>2020.0</v>
      </c>
      <c r="H2583" s="22" t="s">
        <v>207</v>
      </c>
      <c r="I2583" s="24" t="s">
        <v>12715</v>
      </c>
      <c r="J2583" s="22" t="s">
        <v>125</v>
      </c>
      <c r="K2583" s="22"/>
      <c r="L2583" s="43" t="s">
        <v>12716</v>
      </c>
      <c r="M2583" s="44"/>
      <c r="N2583" s="44"/>
      <c r="O2583" s="44"/>
      <c r="P2583" s="44"/>
      <c r="Q2583" s="44"/>
      <c r="R2583" s="44"/>
      <c r="S2583" s="44"/>
      <c r="T2583" s="45"/>
      <c r="U2583" s="38" t="str">
        <f>HYPERLINK("https://www.ncbi.nlm.nih.gov/pubmed/32388486","PubMed")</f>
        <v>PubMed</v>
      </c>
      <c r="V2583" s="30"/>
      <c r="W2583" s="49"/>
      <c r="X2583" s="49"/>
      <c r="Y2583" s="35"/>
      <c r="Z2583" s="35"/>
      <c r="AA2583" s="35"/>
      <c r="AB2583" s="35"/>
      <c r="AC2583" s="35"/>
      <c r="AD2583" s="35"/>
      <c r="AE2583" s="35"/>
      <c r="AF2583" s="35"/>
      <c r="AG2583" s="35"/>
      <c r="AH2583" s="35"/>
      <c r="AI2583" s="35"/>
      <c r="AJ2583" s="35"/>
      <c r="AK2583" s="35"/>
      <c r="AL2583" s="35"/>
    </row>
    <row r="2584">
      <c r="A2584" s="1"/>
      <c r="B2584" s="19" t="s">
        <v>12411</v>
      </c>
      <c r="C2584" s="20" t="s">
        <v>12661</v>
      </c>
      <c r="D2584" s="47"/>
      <c r="E2584" s="22" t="s">
        <v>12717</v>
      </c>
      <c r="F2584" s="22" t="s">
        <v>122</v>
      </c>
      <c r="G2584" s="23">
        <v>2020.0</v>
      </c>
      <c r="H2584" s="22" t="s">
        <v>77</v>
      </c>
      <c r="I2584" s="24" t="s">
        <v>12718</v>
      </c>
      <c r="J2584" s="22" t="s">
        <v>8962</v>
      </c>
      <c r="K2584" s="22"/>
      <c r="L2584" s="167" t="s">
        <v>12719</v>
      </c>
      <c r="M2584" s="44"/>
      <c r="N2584" s="44"/>
      <c r="O2584" s="44"/>
      <c r="P2584" s="44"/>
      <c r="Q2584" s="44"/>
      <c r="R2584" s="44"/>
      <c r="S2584" s="44"/>
      <c r="T2584" s="45"/>
      <c r="U2584" s="38" t="str">
        <f>HYPERLINK("https://www.ncbi.nlm.nih.gov/pubmed/32330404","PubMed")</f>
        <v>PubMed</v>
      </c>
      <c r="V2584" s="30"/>
      <c r="W2584" s="49"/>
      <c r="X2584" s="49"/>
      <c r="Y2584" s="35"/>
      <c r="Z2584" s="35"/>
      <c r="AA2584" s="35"/>
      <c r="AB2584" s="35"/>
      <c r="AC2584" s="35"/>
      <c r="AD2584" s="35"/>
      <c r="AE2584" s="35"/>
      <c r="AF2584" s="35"/>
      <c r="AG2584" s="35"/>
      <c r="AH2584" s="35"/>
      <c r="AI2584" s="35"/>
      <c r="AJ2584" s="35"/>
      <c r="AK2584" s="35"/>
      <c r="AL2584" s="35"/>
    </row>
    <row r="2585">
      <c r="A2585" s="1"/>
      <c r="B2585" s="19" t="s">
        <v>12411</v>
      </c>
      <c r="C2585" s="20" t="s">
        <v>12661</v>
      </c>
      <c r="D2585" s="47"/>
      <c r="E2585" s="22" t="s">
        <v>12720</v>
      </c>
      <c r="F2585" s="22" t="s">
        <v>323</v>
      </c>
      <c r="G2585" s="23">
        <v>2020.0</v>
      </c>
      <c r="H2585" s="22" t="s">
        <v>77</v>
      </c>
      <c r="I2585" s="24" t="s">
        <v>12721</v>
      </c>
      <c r="J2585" s="22" t="s">
        <v>3289</v>
      </c>
      <c r="K2585" s="22"/>
      <c r="L2585" s="167"/>
      <c r="M2585" s="44"/>
      <c r="N2585" s="44"/>
      <c r="O2585" s="44"/>
      <c r="P2585" s="44"/>
      <c r="Q2585" s="44"/>
      <c r="R2585" s="44"/>
      <c r="S2585" s="44"/>
      <c r="T2585" s="45"/>
      <c r="U2585" s="38" t="str">
        <f>HYPERLINK("https://www.ncbi.nlm.nih.gov/pubmed/32326830","PubMed")</f>
        <v>PubMed</v>
      </c>
      <c r="V2585" s="30"/>
      <c r="W2585" s="49"/>
      <c r="X2585" s="49"/>
      <c r="Y2585" s="35"/>
      <c r="Z2585" s="35"/>
      <c r="AA2585" s="35"/>
      <c r="AB2585" s="35"/>
      <c r="AC2585" s="35"/>
      <c r="AD2585" s="35"/>
      <c r="AE2585" s="35"/>
      <c r="AF2585" s="35"/>
      <c r="AG2585" s="35"/>
      <c r="AH2585" s="35"/>
      <c r="AI2585" s="35"/>
      <c r="AJ2585" s="35"/>
      <c r="AK2585" s="35"/>
      <c r="AL2585" s="35"/>
    </row>
    <row r="2586">
      <c r="A2586" s="1"/>
      <c r="B2586" s="19" t="s">
        <v>12411</v>
      </c>
      <c r="C2586" s="20" t="s">
        <v>12722</v>
      </c>
      <c r="D2586" s="47"/>
      <c r="E2586" s="22" t="s">
        <v>12723</v>
      </c>
      <c r="F2586" s="22" t="s">
        <v>12293</v>
      </c>
      <c r="G2586" s="23">
        <v>2024.0</v>
      </c>
      <c r="H2586" s="22" t="s">
        <v>3950</v>
      </c>
      <c r="I2586" s="24" t="s">
        <v>12724</v>
      </c>
      <c r="J2586" s="22" t="s">
        <v>44</v>
      </c>
      <c r="K2586" s="22"/>
      <c r="L2586" s="36"/>
      <c r="M2586" s="36"/>
      <c r="N2586" s="36"/>
      <c r="O2586" s="36"/>
      <c r="P2586" s="37"/>
      <c r="Q2586" s="36"/>
      <c r="R2586" s="36"/>
      <c r="S2586" s="36"/>
      <c r="T2586" s="28" t="s">
        <v>12725</v>
      </c>
      <c r="U2586" s="38" t="s">
        <v>61</v>
      </c>
      <c r="V2586" s="30"/>
      <c r="W2586" s="49"/>
      <c r="X2586" s="49"/>
      <c r="Y2586" s="35"/>
      <c r="Z2586" s="35"/>
      <c r="AA2586" s="35"/>
      <c r="AB2586" s="35"/>
      <c r="AC2586" s="35"/>
      <c r="AD2586" s="35"/>
      <c r="AE2586" s="35"/>
      <c r="AF2586" s="35"/>
      <c r="AG2586" s="35"/>
      <c r="AH2586" s="35"/>
      <c r="AI2586" s="35"/>
      <c r="AJ2586" s="35"/>
      <c r="AK2586" s="35"/>
      <c r="AL2586" s="35"/>
    </row>
    <row r="2587">
      <c r="A2587" s="1"/>
      <c r="B2587" s="19" t="s">
        <v>12411</v>
      </c>
      <c r="C2587" s="20" t="s">
        <v>12722</v>
      </c>
      <c r="D2587" s="47"/>
      <c r="E2587" s="22" t="s">
        <v>12726</v>
      </c>
      <c r="F2587" s="22" t="s">
        <v>12727</v>
      </c>
      <c r="G2587" s="23">
        <v>2014.0</v>
      </c>
      <c r="H2587" s="22" t="s">
        <v>658</v>
      </c>
      <c r="I2587" s="24" t="s">
        <v>12728</v>
      </c>
      <c r="J2587" s="22" t="s">
        <v>209</v>
      </c>
      <c r="K2587" s="22" t="s">
        <v>12729</v>
      </c>
      <c r="L2587" s="36" t="s">
        <v>1206</v>
      </c>
      <c r="M2587" s="36"/>
      <c r="N2587" s="36"/>
      <c r="O2587" s="36"/>
      <c r="P2587" s="37"/>
      <c r="Q2587" s="36"/>
      <c r="R2587" s="36"/>
      <c r="S2587" s="36"/>
      <c r="T2587" s="28" t="s">
        <v>12730</v>
      </c>
      <c r="U2587" s="38" t="str">
        <f>HYPERLINK("http://www.ncbi.nlm.nih.gov/pubmed/24905928","PubMed")</f>
        <v>PubMed</v>
      </c>
      <c r="V2587" s="30"/>
      <c r="W2587" s="49"/>
      <c r="X2587" s="49"/>
      <c r="Y2587" s="35"/>
      <c r="Z2587" s="35"/>
      <c r="AA2587" s="35"/>
      <c r="AB2587" s="35"/>
      <c r="AC2587" s="35"/>
      <c r="AD2587" s="35"/>
      <c r="AE2587" s="35"/>
      <c r="AF2587" s="35"/>
      <c r="AG2587" s="35"/>
      <c r="AH2587" s="35"/>
      <c r="AI2587" s="35"/>
      <c r="AJ2587" s="35"/>
      <c r="AK2587" s="35"/>
      <c r="AL2587" s="35"/>
    </row>
    <row r="2588">
      <c r="A2588" s="1"/>
      <c r="B2588" s="19" t="s">
        <v>12411</v>
      </c>
      <c r="C2588" s="20" t="s">
        <v>12722</v>
      </c>
      <c r="D2588" s="47"/>
      <c r="E2588" s="22" t="s">
        <v>12731</v>
      </c>
      <c r="F2588" s="22" t="s">
        <v>12732</v>
      </c>
      <c r="G2588" s="23">
        <v>2010.0</v>
      </c>
      <c r="H2588" s="22" t="s">
        <v>4975</v>
      </c>
      <c r="I2588" s="24" t="s">
        <v>12733</v>
      </c>
      <c r="J2588" s="22" t="s">
        <v>44</v>
      </c>
      <c r="K2588" s="22"/>
      <c r="L2588" s="36"/>
      <c r="M2588" s="36"/>
      <c r="N2588" s="36"/>
      <c r="O2588" s="36"/>
      <c r="P2588" s="37"/>
      <c r="Q2588" s="36"/>
      <c r="R2588" s="36"/>
      <c r="S2588" s="36"/>
      <c r="T2588" s="28" t="s">
        <v>12734</v>
      </c>
      <c r="U2588" s="38" t="str">
        <f>HYPERLINK("https://www.ncbi.nlm.nih.gov/pubmed/20408980","PubMed")</f>
        <v>PubMed</v>
      </c>
      <c r="V2588" s="30"/>
      <c r="W2588" s="49"/>
      <c r="X2588" s="49"/>
      <c r="Y2588" s="35"/>
      <c r="Z2588" s="35"/>
      <c r="AA2588" s="35"/>
      <c r="AB2588" s="35"/>
      <c r="AC2588" s="35"/>
      <c r="AD2588" s="35"/>
      <c r="AE2588" s="35"/>
      <c r="AF2588" s="35"/>
      <c r="AG2588" s="35"/>
      <c r="AH2588" s="35"/>
      <c r="AI2588" s="35"/>
      <c r="AJ2588" s="35"/>
      <c r="AK2588" s="35"/>
      <c r="AL2588" s="35"/>
    </row>
    <row r="2589">
      <c r="A2589" s="1"/>
      <c r="B2589" s="19" t="s">
        <v>12411</v>
      </c>
      <c r="C2589" s="20" t="s">
        <v>12722</v>
      </c>
      <c r="D2589" s="47"/>
      <c r="E2589" s="22" t="s">
        <v>7700</v>
      </c>
      <c r="F2589" s="22" t="s">
        <v>237</v>
      </c>
      <c r="G2589" s="23">
        <v>2009.0</v>
      </c>
      <c r="H2589" s="22" t="s">
        <v>4975</v>
      </c>
      <c r="I2589" s="24" t="s">
        <v>12735</v>
      </c>
      <c r="J2589" s="22" t="s">
        <v>44</v>
      </c>
      <c r="K2589" s="22" t="s">
        <v>12736</v>
      </c>
      <c r="L2589" s="36">
        <v>633.0</v>
      </c>
      <c r="M2589" s="36">
        <v>5.0</v>
      </c>
      <c r="N2589" s="36"/>
      <c r="O2589" s="36"/>
      <c r="P2589" s="37" t="s">
        <v>8975</v>
      </c>
      <c r="Q2589" s="36" t="s">
        <v>6653</v>
      </c>
      <c r="R2589" s="36">
        <v>75.0</v>
      </c>
      <c r="S2589" s="36">
        <v>3.0</v>
      </c>
      <c r="T2589" s="28" t="s">
        <v>12737</v>
      </c>
      <c r="U2589" s="38" t="str">
        <f>HYPERLINK("https://www.ncbi.nlm.nih.gov/pubmed/18764901","PubMed")</f>
        <v>PubMed</v>
      </c>
      <c r="V2589" s="30"/>
      <c r="W2589" s="49"/>
      <c r="X2589" s="49"/>
      <c r="Y2589" s="35"/>
      <c r="Z2589" s="35"/>
      <c r="AA2589" s="35"/>
      <c r="AB2589" s="35"/>
      <c r="AC2589" s="35"/>
      <c r="AD2589" s="35"/>
      <c r="AE2589" s="35"/>
      <c r="AF2589" s="35"/>
      <c r="AG2589" s="35"/>
      <c r="AH2589" s="35"/>
      <c r="AI2589" s="35"/>
      <c r="AJ2589" s="35"/>
      <c r="AK2589" s="35"/>
      <c r="AL2589" s="35"/>
    </row>
    <row r="2590">
      <c r="A2590" s="1"/>
      <c r="B2590" s="19" t="s">
        <v>12411</v>
      </c>
      <c r="C2590" s="20" t="s">
        <v>12722</v>
      </c>
      <c r="D2590" s="47"/>
      <c r="E2590" s="22" t="s">
        <v>7700</v>
      </c>
      <c r="F2590" s="22" t="s">
        <v>237</v>
      </c>
      <c r="G2590" s="23">
        <v>2006.0</v>
      </c>
      <c r="H2590" s="22" t="s">
        <v>207</v>
      </c>
      <c r="I2590" s="24" t="s">
        <v>12738</v>
      </c>
      <c r="J2590" s="22" t="s">
        <v>44</v>
      </c>
      <c r="K2590" s="22" t="s">
        <v>12736</v>
      </c>
      <c r="L2590" s="36">
        <v>633.0</v>
      </c>
      <c r="M2590" s="36">
        <v>3.0</v>
      </c>
      <c r="N2590" s="36"/>
      <c r="O2590" s="36"/>
      <c r="P2590" s="37" t="s">
        <v>969</v>
      </c>
      <c r="Q2590" s="36"/>
      <c r="R2590" s="36"/>
      <c r="S2590" s="36">
        <v>3.0</v>
      </c>
      <c r="T2590" s="28" t="s">
        <v>12739</v>
      </c>
      <c r="U2590" s="38" t="str">
        <f>HYPERLINK("https://www.ncbi.nlm.nih.gov/pubmed/16624570","PubMed")</f>
        <v>PubMed</v>
      </c>
      <c r="V2590" s="30"/>
      <c r="W2590" s="49"/>
      <c r="X2590" s="49"/>
      <c r="Y2590" s="35"/>
      <c r="Z2590" s="35"/>
      <c r="AA2590" s="35"/>
      <c r="AB2590" s="35"/>
      <c r="AC2590" s="35"/>
      <c r="AD2590" s="35"/>
      <c r="AE2590" s="35"/>
      <c r="AF2590" s="35"/>
      <c r="AG2590" s="35"/>
      <c r="AH2590" s="35"/>
      <c r="AI2590" s="35"/>
      <c r="AJ2590" s="35"/>
      <c r="AK2590" s="35"/>
      <c r="AL2590" s="35"/>
    </row>
    <row r="2591">
      <c r="A2591" s="1"/>
      <c r="B2591" s="19" t="s">
        <v>12411</v>
      </c>
      <c r="C2591" s="20" t="s">
        <v>12740</v>
      </c>
      <c r="D2591" s="47"/>
      <c r="E2591" s="22" t="s">
        <v>12741</v>
      </c>
      <c r="F2591" s="22" t="s">
        <v>12742</v>
      </c>
      <c r="G2591" s="23">
        <v>2020.0</v>
      </c>
      <c r="H2591" s="22" t="s">
        <v>7056</v>
      </c>
      <c r="I2591" s="24" t="s">
        <v>12743</v>
      </c>
      <c r="J2591" s="22" t="s">
        <v>12744</v>
      </c>
      <c r="K2591" s="22"/>
      <c r="L2591" s="36">
        <v>635.0</v>
      </c>
      <c r="M2591" s="36">
        <v>300.0</v>
      </c>
      <c r="N2591" s="36"/>
      <c r="O2591" s="36"/>
      <c r="P2591" s="37" t="s">
        <v>2733</v>
      </c>
      <c r="Q2591" s="36"/>
      <c r="R2591" s="36"/>
      <c r="S2591" s="36" t="s">
        <v>8418</v>
      </c>
      <c r="T2591" s="28" t="s">
        <v>12745</v>
      </c>
      <c r="U2591" s="29" t="s">
        <v>61</v>
      </c>
      <c r="V2591" s="30"/>
      <c r="W2591" s="49"/>
      <c r="X2591" s="49"/>
      <c r="Y2591" s="35"/>
      <c r="Z2591" s="35"/>
      <c r="AA2591" s="35"/>
      <c r="AB2591" s="35"/>
      <c r="AC2591" s="35"/>
      <c r="AD2591" s="35"/>
      <c r="AE2591" s="35"/>
      <c r="AF2591" s="35"/>
      <c r="AG2591" s="35"/>
      <c r="AH2591" s="35"/>
      <c r="AI2591" s="35"/>
      <c r="AJ2591" s="35"/>
      <c r="AK2591" s="35"/>
      <c r="AL2591" s="35"/>
    </row>
    <row r="2592">
      <c r="A2592" s="1"/>
      <c r="B2592" s="19" t="s">
        <v>12411</v>
      </c>
      <c r="C2592" s="20" t="s">
        <v>12746</v>
      </c>
      <c r="D2592" s="47"/>
      <c r="E2592" s="22" t="s">
        <v>3822</v>
      </c>
      <c r="F2592" s="22" t="s">
        <v>5783</v>
      </c>
      <c r="G2592" s="23">
        <v>2023.0</v>
      </c>
      <c r="H2592" s="22" t="s">
        <v>91</v>
      </c>
      <c r="I2592" s="24" t="s">
        <v>12747</v>
      </c>
      <c r="J2592" s="22" t="s">
        <v>12748</v>
      </c>
      <c r="K2592" s="22"/>
      <c r="L2592" s="36">
        <v>904.0</v>
      </c>
      <c r="M2592" s="36">
        <v>70.0</v>
      </c>
      <c r="N2592" s="36"/>
      <c r="O2592" s="36"/>
      <c r="P2592" s="37"/>
      <c r="Q2592" s="36"/>
      <c r="R2592" s="36" t="s">
        <v>12749</v>
      </c>
      <c r="S2592" s="36" t="s">
        <v>4905</v>
      </c>
      <c r="T2592" s="28" t="s">
        <v>12750</v>
      </c>
      <c r="U2592" s="38" t="s">
        <v>61</v>
      </c>
      <c r="V2592" s="30"/>
      <c r="W2592" s="49"/>
      <c r="X2592" s="49"/>
      <c r="Y2592" s="35"/>
      <c r="Z2592" s="35"/>
      <c r="AA2592" s="35"/>
      <c r="AB2592" s="35"/>
      <c r="AC2592" s="35"/>
      <c r="AD2592" s="35"/>
      <c r="AE2592" s="35"/>
      <c r="AF2592" s="35"/>
      <c r="AG2592" s="35"/>
      <c r="AH2592" s="35"/>
      <c r="AI2592" s="35"/>
      <c r="AJ2592" s="35"/>
      <c r="AK2592" s="35"/>
      <c r="AL2592" s="35"/>
    </row>
    <row r="2593">
      <c r="A2593" s="1"/>
      <c r="B2593" s="19" t="s">
        <v>12411</v>
      </c>
      <c r="C2593" s="20" t="s">
        <v>12751</v>
      </c>
      <c r="D2593" s="47"/>
      <c r="E2593" s="22" t="s">
        <v>7545</v>
      </c>
      <c r="F2593" s="22" t="s">
        <v>1034</v>
      </c>
      <c r="G2593" s="23">
        <v>2023.0</v>
      </c>
      <c r="H2593" s="22" t="s">
        <v>1485</v>
      </c>
      <c r="I2593" s="24" t="s">
        <v>12752</v>
      </c>
      <c r="J2593" s="22" t="s">
        <v>2273</v>
      </c>
      <c r="K2593" s="22" t="s">
        <v>12753</v>
      </c>
      <c r="L2593" s="36"/>
      <c r="M2593" s="36"/>
      <c r="N2593" s="36"/>
      <c r="O2593" s="36"/>
      <c r="P2593" s="37"/>
      <c r="Q2593" s="36"/>
      <c r="R2593" s="36"/>
      <c r="S2593" s="36"/>
      <c r="T2593" s="28" t="s">
        <v>12754</v>
      </c>
      <c r="U2593" s="38" t="s">
        <v>61</v>
      </c>
      <c r="V2593" s="30"/>
      <c r="W2593" s="49"/>
      <c r="X2593" s="49"/>
      <c r="Y2593" s="35"/>
      <c r="Z2593" s="35"/>
      <c r="AA2593" s="35"/>
      <c r="AB2593" s="35"/>
      <c r="AC2593" s="35"/>
      <c r="AD2593" s="35"/>
      <c r="AE2593" s="35"/>
      <c r="AF2593" s="35"/>
      <c r="AG2593" s="35"/>
      <c r="AH2593" s="35"/>
      <c r="AI2593" s="35"/>
      <c r="AJ2593" s="35"/>
      <c r="AK2593" s="35"/>
      <c r="AL2593" s="35"/>
    </row>
    <row r="2594">
      <c r="A2594" s="1" t="s">
        <v>2</v>
      </c>
      <c r="B2594" s="19" t="s">
        <v>12411</v>
      </c>
      <c r="C2594" s="20" t="s">
        <v>2036</v>
      </c>
      <c r="D2594" s="47"/>
      <c r="E2594" s="22" t="s">
        <v>12755</v>
      </c>
      <c r="F2594" s="22" t="s">
        <v>12756</v>
      </c>
      <c r="G2594" s="23">
        <v>2015.0</v>
      </c>
      <c r="H2594" s="22" t="s">
        <v>12757</v>
      </c>
      <c r="I2594" s="24" t="s">
        <v>12758</v>
      </c>
      <c r="J2594" s="22" t="s">
        <v>125</v>
      </c>
      <c r="K2594" s="22"/>
      <c r="L2594" s="43" t="s">
        <v>12759</v>
      </c>
      <c r="M2594" s="44"/>
      <c r="N2594" s="44"/>
      <c r="O2594" s="44"/>
      <c r="P2594" s="44"/>
      <c r="Q2594" s="44"/>
      <c r="R2594" s="44"/>
      <c r="S2594" s="44"/>
      <c r="T2594" s="45"/>
      <c r="U2594" s="38" t="str">
        <f>HYPERLINK("https://www.ncbi.nlm.nih.gov/pubmed/25689537","PubMed")</f>
        <v>PubMed</v>
      </c>
      <c r="V2594" s="30"/>
      <c r="W2594" s="49"/>
      <c r="X2594" s="49"/>
      <c r="Y2594" s="35"/>
      <c r="Z2594" s="35"/>
      <c r="AA2594" s="35"/>
      <c r="AB2594" s="35"/>
      <c r="AC2594" s="35"/>
      <c r="AD2594" s="35"/>
      <c r="AE2594" s="35"/>
      <c r="AF2594" s="35"/>
      <c r="AG2594" s="35"/>
      <c r="AH2594" s="35"/>
      <c r="AI2594" s="35"/>
      <c r="AJ2594" s="35"/>
      <c r="AK2594" s="35"/>
      <c r="AL2594" s="35"/>
    </row>
    <row r="2595">
      <c r="A2595" s="1"/>
      <c r="B2595" s="19" t="s">
        <v>12411</v>
      </c>
      <c r="C2595" s="20" t="s">
        <v>12760</v>
      </c>
      <c r="D2595" s="47"/>
      <c r="E2595" s="22" t="s">
        <v>12761</v>
      </c>
      <c r="F2595" s="22" t="s">
        <v>12762</v>
      </c>
      <c r="G2595" s="23">
        <v>2020.0</v>
      </c>
      <c r="H2595" s="22" t="s">
        <v>77</v>
      </c>
      <c r="I2595" s="24" t="s">
        <v>12763</v>
      </c>
      <c r="J2595" s="22" t="s">
        <v>55</v>
      </c>
      <c r="K2595" s="22"/>
      <c r="L2595" s="36">
        <v>660.0</v>
      </c>
      <c r="M2595" s="36"/>
      <c r="N2595" s="36"/>
      <c r="O2595" s="36"/>
      <c r="P2595" s="37"/>
      <c r="Q2595" s="36"/>
      <c r="R2595" s="36">
        <v>2100.0</v>
      </c>
      <c r="S2595" s="36">
        <v>7.0</v>
      </c>
      <c r="T2595" s="28" t="s">
        <v>12764</v>
      </c>
      <c r="U2595" s="29" t="s">
        <v>61</v>
      </c>
      <c r="V2595" s="30"/>
      <c r="W2595" s="49"/>
      <c r="X2595" s="49"/>
      <c r="Y2595" s="35"/>
      <c r="Z2595" s="35"/>
      <c r="AA2595" s="35"/>
      <c r="AB2595" s="35"/>
      <c r="AC2595" s="35"/>
      <c r="AD2595" s="35"/>
      <c r="AE2595" s="35"/>
      <c r="AF2595" s="35"/>
      <c r="AG2595" s="35"/>
      <c r="AH2595" s="35"/>
      <c r="AI2595" s="35"/>
      <c r="AJ2595" s="35"/>
      <c r="AK2595" s="35"/>
      <c r="AL2595" s="35"/>
    </row>
    <row r="2596">
      <c r="A2596" s="1"/>
      <c r="B2596" s="19" t="s">
        <v>12411</v>
      </c>
      <c r="C2596" s="20" t="s">
        <v>12760</v>
      </c>
      <c r="D2596" s="47"/>
      <c r="E2596" s="22" t="s">
        <v>4286</v>
      </c>
      <c r="F2596" s="22" t="s">
        <v>2437</v>
      </c>
      <c r="G2596" s="23">
        <v>2012.0</v>
      </c>
      <c r="H2596" s="22" t="s">
        <v>91</v>
      </c>
      <c r="I2596" s="24" t="s">
        <v>12765</v>
      </c>
      <c r="J2596" s="22" t="s">
        <v>253</v>
      </c>
      <c r="K2596" s="22" t="s">
        <v>12766</v>
      </c>
      <c r="L2596" s="36">
        <v>632.0</v>
      </c>
      <c r="M2596" s="36">
        <v>10.0</v>
      </c>
      <c r="N2596" s="36"/>
      <c r="O2596" s="36"/>
      <c r="P2596" s="37" t="s">
        <v>12767</v>
      </c>
      <c r="Q2596" s="36" t="s">
        <v>2891</v>
      </c>
      <c r="R2596" s="36"/>
      <c r="S2596" s="36"/>
      <c r="T2596" s="28" t="s">
        <v>12768</v>
      </c>
      <c r="U2596" s="38" t="str">
        <f>HYPERLINK("https://www.ncbi.nlm.nih.gov/pubmed/21948400","PubMed")</f>
        <v>PubMed</v>
      </c>
      <c r="V2596" s="30"/>
      <c r="W2596" s="49"/>
      <c r="X2596" s="49"/>
      <c r="Y2596" s="35"/>
      <c r="Z2596" s="35"/>
      <c r="AA2596" s="35"/>
      <c r="AB2596" s="35"/>
      <c r="AC2596" s="35"/>
      <c r="AD2596" s="35"/>
      <c r="AE2596" s="35"/>
      <c r="AF2596" s="35"/>
      <c r="AG2596" s="35"/>
      <c r="AH2596" s="35"/>
      <c r="AI2596" s="35"/>
      <c r="AJ2596" s="35"/>
      <c r="AK2596" s="35"/>
      <c r="AL2596" s="35"/>
    </row>
    <row r="2597">
      <c r="A2597" s="1"/>
      <c r="B2597" s="19" t="s">
        <v>12411</v>
      </c>
      <c r="C2597" s="20" t="s">
        <v>12769</v>
      </c>
      <c r="D2597" s="47"/>
      <c r="E2597" s="22" t="s">
        <v>12770</v>
      </c>
      <c r="F2597" s="22" t="s">
        <v>2346</v>
      </c>
      <c r="G2597" s="23">
        <v>2006.0</v>
      </c>
      <c r="H2597" s="22" t="s">
        <v>9459</v>
      </c>
      <c r="I2597" s="24" t="s">
        <v>12771</v>
      </c>
      <c r="J2597" s="22" t="s">
        <v>1078</v>
      </c>
      <c r="K2597" s="22"/>
      <c r="L2597" s="238" t="s">
        <v>12772</v>
      </c>
      <c r="M2597" s="44"/>
      <c r="N2597" s="44"/>
      <c r="O2597" s="44"/>
      <c r="P2597" s="44"/>
      <c r="Q2597" s="44"/>
      <c r="R2597" s="44"/>
      <c r="S2597" s="44"/>
      <c r="T2597" s="45"/>
      <c r="U2597" s="38" t="str">
        <f>HYPERLINK("https://www.ncbi.nlm.nih.gov/pubmed/16625582","PubMed")</f>
        <v>PubMed</v>
      </c>
      <c r="V2597" s="30"/>
      <c r="W2597" s="49"/>
      <c r="X2597" s="49"/>
      <c r="Y2597" s="35"/>
      <c r="Z2597" s="35"/>
      <c r="AA2597" s="35"/>
      <c r="AB2597" s="35"/>
      <c r="AC2597" s="35"/>
      <c r="AD2597" s="35"/>
      <c r="AE2597" s="35"/>
      <c r="AF2597" s="35"/>
      <c r="AG2597" s="35"/>
      <c r="AH2597" s="35"/>
      <c r="AI2597" s="35"/>
      <c r="AJ2597" s="35"/>
      <c r="AK2597" s="35"/>
      <c r="AL2597" s="35"/>
    </row>
    <row r="2598">
      <c r="A2598" s="1"/>
      <c r="B2598" s="19" t="s">
        <v>12411</v>
      </c>
      <c r="C2598" s="20" t="s">
        <v>12769</v>
      </c>
      <c r="D2598" s="47"/>
      <c r="E2598" s="22" t="s">
        <v>12770</v>
      </c>
      <c r="F2598" s="22" t="s">
        <v>2346</v>
      </c>
      <c r="G2598" s="23">
        <v>2002.0</v>
      </c>
      <c r="H2598" s="22" t="s">
        <v>9459</v>
      </c>
      <c r="I2598" s="24" t="s">
        <v>12771</v>
      </c>
      <c r="J2598" s="22" t="s">
        <v>1078</v>
      </c>
      <c r="K2598" s="22"/>
      <c r="L2598" s="238" t="s">
        <v>12773</v>
      </c>
      <c r="M2598" s="44"/>
      <c r="N2598" s="44"/>
      <c r="O2598" s="44"/>
      <c r="P2598" s="44"/>
      <c r="Q2598" s="44"/>
      <c r="R2598" s="44"/>
      <c r="S2598" s="44"/>
      <c r="T2598" s="45"/>
      <c r="U2598" s="38" t="str">
        <f>HYPERLINK("https://www.ncbi.nlm.nih.gov/pubmed/12137698","PubMed")</f>
        <v>PubMed</v>
      </c>
      <c r="V2598" s="30"/>
      <c r="W2598" s="49"/>
      <c r="X2598" s="49"/>
      <c r="Y2598" s="35"/>
      <c r="Z2598" s="35"/>
      <c r="AA2598" s="35"/>
      <c r="AB2598" s="35"/>
      <c r="AC2598" s="35"/>
      <c r="AD2598" s="35"/>
      <c r="AE2598" s="35"/>
      <c r="AF2598" s="35"/>
      <c r="AG2598" s="35"/>
      <c r="AH2598" s="35"/>
      <c r="AI2598" s="35"/>
      <c r="AJ2598" s="35"/>
      <c r="AK2598" s="35"/>
      <c r="AL2598" s="35"/>
    </row>
    <row r="2599">
      <c r="A2599" s="1"/>
      <c r="B2599" s="19" t="s">
        <v>12411</v>
      </c>
      <c r="C2599" s="20" t="s">
        <v>12774</v>
      </c>
      <c r="D2599" s="47"/>
      <c r="E2599" s="22" t="s">
        <v>12775</v>
      </c>
      <c r="F2599" s="22" t="s">
        <v>2346</v>
      </c>
      <c r="G2599" s="23">
        <v>2021.0</v>
      </c>
      <c r="H2599" s="22" t="s">
        <v>147</v>
      </c>
      <c r="I2599" s="24" t="s">
        <v>12776</v>
      </c>
      <c r="J2599" s="22" t="s">
        <v>125</v>
      </c>
      <c r="K2599" s="22"/>
      <c r="L2599" s="43" t="s">
        <v>12777</v>
      </c>
      <c r="M2599" s="44"/>
      <c r="N2599" s="44"/>
      <c r="O2599" s="44"/>
      <c r="P2599" s="44"/>
      <c r="Q2599" s="44"/>
      <c r="R2599" s="44"/>
      <c r="S2599" s="44"/>
      <c r="T2599" s="45"/>
      <c r="U2599" s="29" t="s">
        <v>61</v>
      </c>
      <c r="V2599" s="30"/>
      <c r="W2599" s="49"/>
      <c r="X2599" s="49"/>
      <c r="Y2599" s="35"/>
      <c r="Z2599" s="35"/>
      <c r="AA2599" s="35"/>
      <c r="AB2599" s="35"/>
      <c r="AC2599" s="35"/>
      <c r="AD2599" s="35"/>
      <c r="AE2599" s="35"/>
      <c r="AF2599" s="35"/>
      <c r="AG2599" s="35"/>
      <c r="AH2599" s="35"/>
      <c r="AI2599" s="35"/>
      <c r="AJ2599" s="35"/>
      <c r="AK2599" s="35"/>
      <c r="AL2599" s="35"/>
    </row>
    <row r="2600">
      <c r="A2600" s="1"/>
      <c r="B2600" s="19" t="s">
        <v>12411</v>
      </c>
      <c r="C2600" s="20" t="s">
        <v>12778</v>
      </c>
      <c r="D2600" s="47"/>
      <c r="E2600" s="22" t="s">
        <v>12779</v>
      </c>
      <c r="F2600" s="22" t="s">
        <v>12524</v>
      </c>
      <c r="G2600" s="23">
        <v>2021.0</v>
      </c>
      <c r="H2600" s="22" t="s">
        <v>12780</v>
      </c>
      <c r="I2600" s="24" t="s">
        <v>12781</v>
      </c>
      <c r="J2600" s="22" t="s">
        <v>31</v>
      </c>
      <c r="K2600" s="22"/>
      <c r="L2600" s="36">
        <v>640.0</v>
      </c>
      <c r="M2600" s="36"/>
      <c r="N2600" s="36"/>
      <c r="O2600" s="36"/>
      <c r="P2600" s="37" t="s">
        <v>12526</v>
      </c>
      <c r="Q2600" s="36"/>
      <c r="R2600" s="36"/>
      <c r="S2600" s="36"/>
      <c r="T2600" s="42" t="s">
        <v>12782</v>
      </c>
      <c r="U2600" s="29" t="s">
        <v>61</v>
      </c>
      <c r="V2600" s="30"/>
      <c r="W2600" s="49"/>
      <c r="X2600" s="49"/>
      <c r="Y2600" s="35"/>
      <c r="Z2600" s="35"/>
      <c r="AA2600" s="35"/>
      <c r="AB2600" s="35"/>
      <c r="AC2600" s="35"/>
      <c r="AD2600" s="35"/>
      <c r="AE2600" s="35"/>
      <c r="AF2600" s="35"/>
      <c r="AG2600" s="35"/>
      <c r="AH2600" s="35"/>
      <c r="AI2600" s="35"/>
      <c r="AJ2600" s="35"/>
      <c r="AK2600" s="35"/>
      <c r="AL2600" s="35"/>
    </row>
    <row r="2601">
      <c r="A2601" s="1"/>
      <c r="B2601" s="19" t="s">
        <v>12411</v>
      </c>
      <c r="C2601" s="20" t="s">
        <v>12783</v>
      </c>
      <c r="D2601" s="47"/>
      <c r="E2601" s="22" t="s">
        <v>12779</v>
      </c>
      <c r="F2601" s="22" t="s">
        <v>12524</v>
      </c>
      <c r="G2601" s="23" t="s">
        <v>90</v>
      </c>
      <c r="H2601" s="22" t="s">
        <v>42</v>
      </c>
      <c r="I2601" s="24" t="s">
        <v>12784</v>
      </c>
      <c r="J2601" s="22" t="s">
        <v>31</v>
      </c>
      <c r="K2601" s="22"/>
      <c r="L2601" s="36">
        <v>660.0</v>
      </c>
      <c r="M2601" s="36"/>
      <c r="N2601" s="36"/>
      <c r="O2601" s="36"/>
      <c r="P2601" s="37" t="s">
        <v>12785</v>
      </c>
      <c r="Q2601" s="36"/>
      <c r="R2601" s="36"/>
      <c r="S2601" s="36"/>
      <c r="T2601" s="42" t="s">
        <v>12786</v>
      </c>
      <c r="U2601" s="38" t="str">
        <f>HYPERLINK("https://www.ncbi.nlm.nih.gov/pubmed/28128530","PubMed")</f>
        <v>PubMed</v>
      </c>
      <c r="V2601" s="30"/>
      <c r="W2601" s="49"/>
      <c r="X2601" s="49"/>
      <c r="Y2601" s="35"/>
      <c r="Z2601" s="35"/>
      <c r="AA2601" s="35"/>
      <c r="AB2601" s="35"/>
      <c r="AC2601" s="35"/>
      <c r="AD2601" s="35"/>
      <c r="AE2601" s="35"/>
      <c r="AF2601" s="35"/>
      <c r="AG2601" s="35"/>
      <c r="AH2601" s="35"/>
      <c r="AI2601" s="35"/>
      <c r="AJ2601" s="35"/>
      <c r="AK2601" s="35"/>
      <c r="AL2601" s="35"/>
    </row>
    <row r="2602">
      <c r="A2602" s="1"/>
      <c r="B2602" s="19" t="s">
        <v>12411</v>
      </c>
      <c r="C2602" s="20" t="s">
        <v>12787</v>
      </c>
      <c r="D2602" s="47"/>
      <c r="E2602" s="22" t="s">
        <v>5053</v>
      </c>
      <c r="F2602" s="22" t="s">
        <v>7853</v>
      </c>
      <c r="G2602" s="23">
        <v>2018.0</v>
      </c>
      <c r="H2602" s="22" t="s">
        <v>91</v>
      </c>
      <c r="I2602" s="24" t="s">
        <v>12788</v>
      </c>
      <c r="J2602" s="22" t="s">
        <v>31</v>
      </c>
      <c r="K2602" s="22" t="s">
        <v>294</v>
      </c>
      <c r="L2602" s="36" t="s">
        <v>7858</v>
      </c>
      <c r="M2602" s="36"/>
      <c r="N2602" s="36" t="s">
        <v>12789</v>
      </c>
      <c r="O2602" s="36"/>
      <c r="P2602" s="37" t="s">
        <v>6214</v>
      </c>
      <c r="Q2602" s="36"/>
      <c r="R2602" s="36"/>
      <c r="S2602" s="36"/>
      <c r="T2602" s="28" t="s">
        <v>12790</v>
      </c>
      <c r="U2602" s="38" t="str">
        <f>HYPERLINK("https://www.ncbi.nlm.nih.gov/pubmed/29971518","PubMed")</f>
        <v>PubMed</v>
      </c>
      <c r="V2602" s="30"/>
      <c r="W2602" s="49"/>
      <c r="X2602" s="49"/>
      <c r="Y2602" s="35"/>
      <c r="Z2602" s="35"/>
      <c r="AA2602" s="35"/>
      <c r="AB2602" s="35"/>
      <c r="AC2602" s="35"/>
      <c r="AD2602" s="35"/>
      <c r="AE2602" s="35"/>
      <c r="AF2602" s="35"/>
      <c r="AG2602" s="35"/>
      <c r="AH2602" s="35"/>
      <c r="AI2602" s="35"/>
      <c r="AJ2602" s="35"/>
      <c r="AK2602" s="35"/>
      <c r="AL2602" s="35"/>
    </row>
    <row r="2603">
      <c r="A2603" s="1"/>
      <c r="B2603" s="19" t="s">
        <v>39</v>
      </c>
      <c r="C2603" s="20" t="s">
        <v>12791</v>
      </c>
      <c r="D2603" s="47"/>
      <c r="E2603" s="22" t="s">
        <v>12792</v>
      </c>
      <c r="F2603" s="22" t="s">
        <v>12793</v>
      </c>
      <c r="G2603" s="23">
        <v>1992.0</v>
      </c>
      <c r="H2603" s="22" t="s">
        <v>53</v>
      </c>
      <c r="I2603" s="24" t="s">
        <v>12794</v>
      </c>
      <c r="J2603" s="22" t="s">
        <v>55</v>
      </c>
      <c r="K2603" s="22" t="s">
        <v>12795</v>
      </c>
      <c r="L2603" s="36">
        <v>780.0</v>
      </c>
      <c r="M2603" s="36">
        <v>10.0</v>
      </c>
      <c r="N2603" s="36"/>
      <c r="O2603" s="36"/>
      <c r="P2603" s="37" t="s">
        <v>12796</v>
      </c>
      <c r="Q2603" s="36" t="s">
        <v>12797</v>
      </c>
      <c r="R2603" s="36" t="s">
        <v>3744</v>
      </c>
      <c r="S2603" s="36"/>
      <c r="T2603" s="28" t="s">
        <v>12798</v>
      </c>
      <c r="U2603" s="38" t="str">
        <f>HYPERLINK("https://www.ncbi.nlm.nih.gov/pubmed/1495372","PubMed")</f>
        <v>PubMed</v>
      </c>
      <c r="V2603" s="30"/>
      <c r="W2603" s="49"/>
      <c r="X2603" s="49"/>
      <c r="Y2603" s="35"/>
      <c r="Z2603" s="35"/>
      <c r="AA2603" s="35"/>
      <c r="AB2603" s="35"/>
      <c r="AC2603" s="35"/>
      <c r="AD2603" s="35"/>
      <c r="AE2603" s="35"/>
      <c r="AF2603" s="35"/>
      <c r="AG2603" s="35"/>
      <c r="AH2603" s="35"/>
      <c r="AI2603" s="35"/>
      <c r="AJ2603" s="35"/>
      <c r="AK2603" s="35"/>
      <c r="AL2603" s="35"/>
    </row>
    <row r="2604">
      <c r="A2604" s="1"/>
      <c r="B2604" s="19" t="s">
        <v>12799</v>
      </c>
      <c r="C2604" s="20" t="s">
        <v>9234</v>
      </c>
      <c r="D2604" s="47"/>
      <c r="E2604" s="22" t="s">
        <v>9232</v>
      </c>
      <c r="F2604" s="22" t="s">
        <v>5223</v>
      </c>
      <c r="G2604" s="23">
        <v>2021.0</v>
      </c>
      <c r="H2604" s="22" t="s">
        <v>627</v>
      </c>
      <c r="I2604" s="24" t="s">
        <v>12800</v>
      </c>
      <c r="J2604" s="22" t="s">
        <v>9234</v>
      </c>
      <c r="K2604" s="22" t="s">
        <v>12801</v>
      </c>
      <c r="L2604" s="36">
        <v>670.0</v>
      </c>
      <c r="M2604" s="36"/>
      <c r="N2604" s="36"/>
      <c r="O2604" s="36"/>
      <c r="P2604" s="37"/>
      <c r="Q2604" s="36"/>
      <c r="R2604" s="36"/>
      <c r="S2604" s="36"/>
      <c r="T2604" s="28" t="s">
        <v>12802</v>
      </c>
      <c r="U2604" s="29" t="s">
        <v>61</v>
      </c>
      <c r="V2604" s="30"/>
      <c r="W2604" s="49"/>
      <c r="X2604" s="49"/>
      <c r="Y2604" s="35"/>
      <c r="Z2604" s="35"/>
      <c r="AA2604" s="35"/>
      <c r="AB2604" s="35"/>
      <c r="AC2604" s="35"/>
      <c r="AD2604" s="35"/>
      <c r="AE2604" s="35"/>
      <c r="AF2604" s="35"/>
      <c r="AG2604" s="35"/>
      <c r="AH2604" s="35"/>
      <c r="AI2604" s="35"/>
      <c r="AJ2604" s="35"/>
      <c r="AK2604" s="35"/>
      <c r="AL2604" s="35"/>
    </row>
    <row r="2605">
      <c r="A2605" s="1"/>
      <c r="B2605" s="19" t="s">
        <v>12799</v>
      </c>
      <c r="C2605" s="20" t="s">
        <v>9234</v>
      </c>
      <c r="D2605" s="47"/>
      <c r="E2605" s="22" t="s">
        <v>9232</v>
      </c>
      <c r="F2605" s="22" t="s">
        <v>5223</v>
      </c>
      <c r="G2605" s="23">
        <v>2016.0</v>
      </c>
      <c r="H2605" s="22" t="s">
        <v>627</v>
      </c>
      <c r="I2605" s="24" t="s">
        <v>12803</v>
      </c>
      <c r="J2605" s="22" t="s">
        <v>9234</v>
      </c>
      <c r="K2605" s="22" t="s">
        <v>12801</v>
      </c>
      <c r="L2605" s="36">
        <v>670.0</v>
      </c>
      <c r="M2605" s="36"/>
      <c r="N2605" s="36"/>
      <c r="O2605" s="36"/>
      <c r="P2605" s="37"/>
      <c r="Q2605" s="36"/>
      <c r="R2605" s="36"/>
      <c r="S2605" s="36"/>
      <c r="T2605" s="28" t="s">
        <v>12804</v>
      </c>
      <c r="U2605" s="38" t="str">
        <f>HYPERLINK("https://www.ncbi.nlm.nih.gov/pubmed/27846310","PubMed")</f>
        <v>PubMed</v>
      </c>
      <c r="V2605" s="30"/>
      <c r="W2605" s="49"/>
      <c r="X2605" s="49"/>
      <c r="Y2605" s="35"/>
      <c r="Z2605" s="35"/>
      <c r="AA2605" s="35"/>
      <c r="AB2605" s="35"/>
      <c r="AC2605" s="35"/>
      <c r="AD2605" s="35"/>
      <c r="AE2605" s="35"/>
      <c r="AF2605" s="35"/>
      <c r="AG2605" s="35"/>
      <c r="AH2605" s="35"/>
      <c r="AI2605" s="35"/>
      <c r="AJ2605" s="35"/>
      <c r="AK2605" s="35"/>
      <c r="AL2605" s="35"/>
    </row>
    <row r="2606">
      <c r="A2606" s="1" t="s">
        <v>2</v>
      </c>
      <c r="B2606" s="19" t="s">
        <v>12799</v>
      </c>
      <c r="C2606" s="20" t="s">
        <v>2823</v>
      </c>
      <c r="D2606" s="47"/>
      <c r="E2606" s="22" t="s">
        <v>9470</v>
      </c>
      <c r="F2606" s="22" t="s">
        <v>5223</v>
      </c>
      <c r="G2606" s="23">
        <v>2022.0</v>
      </c>
      <c r="H2606" s="22" t="s">
        <v>42</v>
      </c>
      <c r="I2606" s="24" t="s">
        <v>12805</v>
      </c>
      <c r="J2606" s="22" t="s">
        <v>2823</v>
      </c>
      <c r="K2606" s="22" t="s">
        <v>12806</v>
      </c>
      <c r="L2606" s="36">
        <v>670.0</v>
      </c>
      <c r="M2606" s="36"/>
      <c r="N2606" s="36" t="s">
        <v>3587</v>
      </c>
      <c r="O2606" s="36"/>
      <c r="P2606" s="37"/>
      <c r="Q2606" s="36"/>
      <c r="R2606" s="36">
        <v>900.0</v>
      </c>
      <c r="S2606" s="36" t="s">
        <v>35</v>
      </c>
      <c r="T2606" s="28" t="s">
        <v>12807</v>
      </c>
      <c r="U2606" s="29" t="s">
        <v>61</v>
      </c>
      <c r="V2606" s="30"/>
      <c r="W2606" s="49"/>
      <c r="X2606" s="49"/>
      <c r="Y2606" s="35"/>
      <c r="Z2606" s="35"/>
      <c r="AA2606" s="35"/>
      <c r="AB2606" s="35"/>
      <c r="AC2606" s="35"/>
      <c r="AD2606" s="35"/>
      <c r="AE2606" s="35"/>
      <c r="AF2606" s="35"/>
      <c r="AG2606" s="35"/>
      <c r="AH2606" s="35"/>
      <c r="AI2606" s="35"/>
      <c r="AJ2606" s="35"/>
      <c r="AK2606" s="35"/>
      <c r="AL2606" s="35"/>
    </row>
    <row r="2607">
      <c r="A2607" s="18" t="s">
        <v>2</v>
      </c>
      <c r="B2607" s="19" t="s">
        <v>12799</v>
      </c>
      <c r="C2607" s="20" t="s">
        <v>2823</v>
      </c>
      <c r="D2607" s="47"/>
      <c r="E2607" s="22" t="s">
        <v>12808</v>
      </c>
      <c r="F2607" s="22" t="s">
        <v>5223</v>
      </c>
      <c r="G2607" s="23">
        <v>2018.0</v>
      </c>
      <c r="H2607" s="22" t="s">
        <v>2541</v>
      </c>
      <c r="I2607" s="24" t="s">
        <v>12809</v>
      </c>
      <c r="J2607" s="22" t="s">
        <v>2823</v>
      </c>
      <c r="K2607" s="22" t="s">
        <v>12810</v>
      </c>
      <c r="L2607" s="36">
        <v>670.0</v>
      </c>
      <c r="M2607" s="36"/>
      <c r="N2607" s="36" t="s">
        <v>3587</v>
      </c>
      <c r="O2607" s="36"/>
      <c r="P2607" s="37"/>
      <c r="Q2607" s="36"/>
      <c r="R2607" s="36">
        <v>5400.0</v>
      </c>
      <c r="S2607" s="36">
        <v>1.0</v>
      </c>
      <c r="T2607" s="28" t="s">
        <v>12811</v>
      </c>
      <c r="U2607" s="38" t="str">
        <f>HYPERLINK("https://www.ncbi.nlm.nih.gov/pubmed/30007163","PubMed")</f>
        <v>PubMed</v>
      </c>
      <c r="V2607" s="30"/>
      <c r="W2607" s="49"/>
      <c r="X2607" s="49"/>
      <c r="Y2607" s="35"/>
      <c r="Z2607" s="35"/>
      <c r="AA2607" s="35"/>
      <c r="AB2607" s="35"/>
      <c r="AC2607" s="35"/>
      <c r="AD2607" s="35"/>
      <c r="AE2607" s="35"/>
      <c r="AF2607" s="35"/>
      <c r="AG2607" s="35"/>
      <c r="AH2607" s="35"/>
      <c r="AI2607" s="35"/>
      <c r="AJ2607" s="35"/>
      <c r="AK2607" s="35"/>
      <c r="AL2607" s="35"/>
    </row>
    <row r="2608">
      <c r="A2608" s="1" t="s">
        <v>2</v>
      </c>
      <c r="B2608" s="19" t="s">
        <v>12799</v>
      </c>
      <c r="C2608" s="20" t="s">
        <v>2823</v>
      </c>
      <c r="D2608" s="47"/>
      <c r="E2608" s="22" t="s">
        <v>12808</v>
      </c>
      <c r="F2608" s="22" t="s">
        <v>5223</v>
      </c>
      <c r="G2608" s="23">
        <v>2017.0</v>
      </c>
      <c r="H2608" s="22" t="s">
        <v>2541</v>
      </c>
      <c r="I2608" s="24" t="s">
        <v>12812</v>
      </c>
      <c r="J2608" s="22" t="s">
        <v>2823</v>
      </c>
      <c r="K2608" s="22" t="s">
        <v>12813</v>
      </c>
      <c r="L2608" s="36">
        <v>670.0</v>
      </c>
      <c r="M2608" s="36"/>
      <c r="N2608" s="36" t="s">
        <v>3587</v>
      </c>
      <c r="O2608" s="36"/>
      <c r="P2608" s="37"/>
      <c r="Q2608" s="36"/>
      <c r="R2608" s="36">
        <v>1200.0</v>
      </c>
      <c r="S2608" s="36">
        <v>7.0</v>
      </c>
      <c r="T2608" s="28" t="s">
        <v>12814</v>
      </c>
      <c r="U2608" s="38" t="str">
        <f>HYPERLINK("https://www.ncbi.nlm.nih.gov/pubmed/28917665","PubMed")</f>
        <v>PubMed</v>
      </c>
      <c r="V2608" s="30"/>
      <c r="W2608" s="49"/>
      <c r="X2608" s="49"/>
      <c r="Y2608" s="35"/>
      <c r="Z2608" s="35"/>
      <c r="AA2608" s="35"/>
      <c r="AB2608" s="35"/>
      <c r="AC2608" s="35"/>
      <c r="AD2608" s="35"/>
      <c r="AE2608" s="35"/>
      <c r="AF2608" s="35"/>
      <c r="AG2608" s="35"/>
      <c r="AH2608" s="35"/>
      <c r="AI2608" s="35"/>
      <c r="AJ2608" s="35"/>
      <c r="AK2608" s="35"/>
      <c r="AL2608" s="35"/>
    </row>
    <row r="2609">
      <c r="A2609" s="1" t="s">
        <v>2</v>
      </c>
      <c r="B2609" s="19" t="s">
        <v>12799</v>
      </c>
      <c r="C2609" s="20" t="s">
        <v>2823</v>
      </c>
      <c r="D2609" s="47"/>
      <c r="E2609" s="22" t="s">
        <v>9517</v>
      </c>
      <c r="F2609" s="22" t="s">
        <v>5223</v>
      </c>
      <c r="G2609" s="23">
        <v>2015.0</v>
      </c>
      <c r="H2609" s="22" t="s">
        <v>12815</v>
      </c>
      <c r="I2609" s="24" t="s">
        <v>12816</v>
      </c>
      <c r="J2609" s="22" t="s">
        <v>2823</v>
      </c>
      <c r="K2609" s="22" t="s">
        <v>157</v>
      </c>
      <c r="L2609" s="36">
        <v>670.0</v>
      </c>
      <c r="M2609" s="36"/>
      <c r="N2609" s="36"/>
      <c r="O2609" s="36"/>
      <c r="P2609" s="37"/>
      <c r="Q2609" s="36"/>
      <c r="R2609" s="36"/>
      <c r="S2609" s="36"/>
      <c r="T2609" s="28" t="s">
        <v>12817</v>
      </c>
      <c r="U2609" s="38" t="str">
        <f>HYPERLINK("https://www.ncbi.nlm.nih.gov/pubmed/25788488","PubMed")</f>
        <v>PubMed</v>
      </c>
      <c r="V2609" s="30"/>
      <c r="W2609" s="49"/>
      <c r="X2609" s="49"/>
      <c r="Y2609" s="35"/>
      <c r="Z2609" s="35"/>
      <c r="AA2609" s="35"/>
      <c r="AB2609" s="35"/>
      <c r="AC2609" s="35"/>
      <c r="AD2609" s="35"/>
      <c r="AE2609" s="35"/>
      <c r="AF2609" s="35"/>
      <c r="AG2609" s="35"/>
      <c r="AH2609" s="35"/>
      <c r="AI2609" s="35"/>
      <c r="AJ2609" s="35"/>
      <c r="AK2609" s="35"/>
      <c r="AL2609" s="35"/>
    </row>
    <row r="2610">
      <c r="A2610" s="1"/>
      <c r="B2610" s="19" t="s">
        <v>12799</v>
      </c>
      <c r="C2610" s="20" t="s">
        <v>12818</v>
      </c>
      <c r="D2610" s="47"/>
      <c r="E2610" s="22" t="s">
        <v>12819</v>
      </c>
      <c r="F2610" s="22" t="s">
        <v>12820</v>
      </c>
      <c r="G2610" s="23">
        <v>2022.0</v>
      </c>
      <c r="H2610" s="22" t="s">
        <v>77</v>
      </c>
      <c r="I2610" s="24" t="s">
        <v>12821</v>
      </c>
      <c r="J2610" s="22" t="s">
        <v>12818</v>
      </c>
      <c r="K2610" s="22" t="s">
        <v>157</v>
      </c>
      <c r="L2610" s="36">
        <v>670.0</v>
      </c>
      <c r="M2610" s="36"/>
      <c r="N2610" s="36"/>
      <c r="O2610" s="36"/>
      <c r="P2610" s="37"/>
      <c r="Q2610" s="36"/>
      <c r="R2610" s="36"/>
      <c r="S2610" s="36"/>
      <c r="T2610" s="28" t="s">
        <v>12822</v>
      </c>
      <c r="U2610" s="38" t="s">
        <v>61</v>
      </c>
      <c r="V2610" s="30"/>
      <c r="W2610" s="49"/>
      <c r="X2610" s="49"/>
      <c r="Y2610" s="35"/>
      <c r="Z2610" s="35"/>
      <c r="AA2610" s="35"/>
      <c r="AB2610" s="35"/>
      <c r="AC2610" s="35"/>
      <c r="AD2610" s="35"/>
      <c r="AE2610" s="35"/>
      <c r="AF2610" s="35"/>
      <c r="AG2610" s="35"/>
      <c r="AH2610" s="35"/>
      <c r="AI2610" s="35"/>
      <c r="AJ2610" s="35"/>
      <c r="AK2610" s="35"/>
      <c r="AL2610" s="35"/>
    </row>
    <row r="2611">
      <c r="A2611" s="40"/>
      <c r="B2611" s="19" t="s">
        <v>6229</v>
      </c>
      <c r="C2611" s="20" t="s">
        <v>12823</v>
      </c>
      <c r="D2611" s="47"/>
      <c r="E2611" s="22" t="s">
        <v>12824</v>
      </c>
      <c r="F2611" s="22" t="s">
        <v>358</v>
      </c>
      <c r="G2611" s="23">
        <v>2024.0</v>
      </c>
      <c r="H2611" s="22" t="s">
        <v>91</v>
      </c>
      <c r="I2611" s="24" t="s">
        <v>12825</v>
      </c>
      <c r="J2611" s="22" t="s">
        <v>649</v>
      </c>
      <c r="K2611" s="22"/>
      <c r="L2611" s="105" t="s">
        <v>12826</v>
      </c>
      <c r="M2611" s="44"/>
      <c r="N2611" s="44"/>
      <c r="O2611" s="44"/>
      <c r="P2611" s="44"/>
      <c r="Q2611" s="44"/>
      <c r="R2611" s="44"/>
      <c r="S2611" s="44"/>
      <c r="T2611" s="45"/>
      <c r="U2611" s="38" t="s">
        <v>61</v>
      </c>
      <c r="V2611" s="30"/>
      <c r="W2611" s="49"/>
      <c r="X2611" s="49"/>
      <c r="Y2611" s="35"/>
      <c r="Z2611" s="35"/>
      <c r="AA2611" s="35"/>
      <c r="AB2611" s="35"/>
      <c r="AC2611" s="35"/>
      <c r="AD2611" s="35"/>
      <c r="AE2611" s="35"/>
      <c r="AF2611" s="35"/>
      <c r="AG2611" s="35"/>
      <c r="AH2611" s="35"/>
      <c r="AI2611" s="35"/>
      <c r="AJ2611" s="35"/>
      <c r="AK2611" s="35"/>
      <c r="AL2611" s="35"/>
    </row>
    <row r="2612">
      <c r="A2612" s="1"/>
      <c r="B2612" s="19" t="s">
        <v>6229</v>
      </c>
      <c r="C2612" s="20" t="s">
        <v>4400</v>
      </c>
      <c r="D2612" s="47"/>
      <c r="E2612" s="22" t="s">
        <v>12827</v>
      </c>
      <c r="F2612" s="22" t="s">
        <v>224</v>
      </c>
      <c r="G2612" s="23">
        <v>2010.0</v>
      </c>
      <c r="H2612" s="22" t="s">
        <v>12828</v>
      </c>
      <c r="I2612" s="24" t="s">
        <v>12829</v>
      </c>
      <c r="J2612" s="22" t="s">
        <v>12830</v>
      </c>
      <c r="K2612" s="22"/>
      <c r="L2612" s="36">
        <v>633.0</v>
      </c>
      <c r="M2612" s="36"/>
      <c r="N2612" s="36"/>
      <c r="O2612" s="36"/>
      <c r="P2612" s="37"/>
      <c r="Q2612" s="36"/>
      <c r="R2612" s="36"/>
      <c r="S2612" s="36"/>
      <c r="T2612" s="28" t="s">
        <v>12831</v>
      </c>
      <c r="U2612" s="29" t="s">
        <v>61</v>
      </c>
      <c r="V2612" s="30"/>
      <c r="W2612" s="49"/>
      <c r="X2612" s="49"/>
      <c r="Y2612" s="35"/>
      <c r="Z2612" s="35"/>
      <c r="AA2612" s="35"/>
      <c r="AB2612" s="35"/>
      <c r="AC2612" s="35"/>
      <c r="AD2612" s="35"/>
      <c r="AE2612" s="35"/>
      <c r="AF2612" s="35"/>
      <c r="AG2612" s="35"/>
      <c r="AH2612" s="35"/>
      <c r="AI2612" s="35"/>
      <c r="AJ2612" s="35"/>
      <c r="AK2612" s="35"/>
      <c r="AL2612" s="35"/>
    </row>
    <row r="2613">
      <c r="A2613" s="40"/>
      <c r="B2613" s="19" t="s">
        <v>6229</v>
      </c>
      <c r="C2613" s="20" t="s">
        <v>2036</v>
      </c>
      <c r="D2613" s="47"/>
      <c r="E2613" s="22" t="s">
        <v>12832</v>
      </c>
      <c r="F2613" s="22" t="s">
        <v>1576</v>
      </c>
      <c r="G2613" s="23">
        <v>2020.0</v>
      </c>
      <c r="H2613" s="22" t="s">
        <v>91</v>
      </c>
      <c r="I2613" s="24" t="s">
        <v>12833</v>
      </c>
      <c r="J2613" s="22" t="s">
        <v>125</v>
      </c>
      <c r="K2613" s="22"/>
      <c r="L2613" s="167" t="s">
        <v>12834</v>
      </c>
      <c r="M2613" s="44"/>
      <c r="N2613" s="44"/>
      <c r="O2613" s="44"/>
      <c r="P2613" s="44"/>
      <c r="Q2613" s="44"/>
      <c r="R2613" s="44"/>
      <c r="S2613" s="44"/>
      <c r="T2613" s="45"/>
      <c r="U2613" s="29" t="s">
        <v>61</v>
      </c>
      <c r="V2613" s="30"/>
      <c r="W2613" s="49"/>
      <c r="X2613" s="49"/>
      <c r="Y2613" s="35"/>
      <c r="Z2613" s="35"/>
      <c r="AA2613" s="35"/>
      <c r="AB2613" s="35"/>
      <c r="AC2613" s="35"/>
      <c r="AD2613" s="35"/>
      <c r="AE2613" s="35"/>
      <c r="AF2613" s="35"/>
      <c r="AG2613" s="35"/>
      <c r="AH2613" s="35"/>
      <c r="AI2613" s="35"/>
      <c r="AJ2613" s="35"/>
      <c r="AK2613" s="35"/>
      <c r="AL2613" s="35"/>
    </row>
    <row r="2614">
      <c r="A2614" s="40"/>
      <c r="B2614" s="19" t="s">
        <v>6229</v>
      </c>
      <c r="C2614" s="20" t="s">
        <v>2036</v>
      </c>
      <c r="D2614" s="47"/>
      <c r="E2614" s="22" t="s">
        <v>12835</v>
      </c>
      <c r="F2614" s="22" t="s">
        <v>12836</v>
      </c>
      <c r="G2614" s="23">
        <v>2015.0</v>
      </c>
      <c r="H2614" s="22" t="s">
        <v>292</v>
      </c>
      <c r="I2614" s="24" t="s">
        <v>12837</v>
      </c>
      <c r="J2614" s="22" t="s">
        <v>125</v>
      </c>
      <c r="K2614" s="22"/>
      <c r="L2614" s="105" t="s">
        <v>12838</v>
      </c>
      <c r="M2614" s="44"/>
      <c r="N2614" s="44"/>
      <c r="O2614" s="44"/>
      <c r="P2614" s="44"/>
      <c r="Q2614" s="44"/>
      <c r="R2614" s="44"/>
      <c r="S2614" s="44"/>
      <c r="T2614" s="45"/>
      <c r="U2614" s="29" t="s">
        <v>61</v>
      </c>
      <c r="V2614" s="30"/>
      <c r="W2614" s="49"/>
      <c r="X2614" s="49"/>
      <c r="Y2614" s="35"/>
      <c r="Z2614" s="35"/>
      <c r="AA2614" s="35"/>
      <c r="AB2614" s="35"/>
      <c r="AC2614" s="35"/>
      <c r="AD2614" s="35"/>
      <c r="AE2614" s="35"/>
      <c r="AF2614" s="35"/>
      <c r="AG2614" s="35"/>
      <c r="AH2614" s="35"/>
      <c r="AI2614" s="35"/>
      <c r="AJ2614" s="35"/>
      <c r="AK2614" s="35"/>
      <c r="AL2614" s="35"/>
    </row>
    <row r="2615">
      <c r="A2615" s="1"/>
      <c r="B2615" s="19" t="s">
        <v>6229</v>
      </c>
      <c r="C2615" s="20" t="s">
        <v>2036</v>
      </c>
      <c r="D2615" s="47"/>
      <c r="E2615" s="22" t="s">
        <v>12839</v>
      </c>
      <c r="F2615" s="22" t="s">
        <v>323</v>
      </c>
      <c r="G2615" s="23">
        <v>2015.0</v>
      </c>
      <c r="H2615" s="22" t="s">
        <v>147</v>
      </c>
      <c r="I2615" s="24" t="s">
        <v>12840</v>
      </c>
      <c r="J2615" s="22" t="s">
        <v>125</v>
      </c>
      <c r="K2615" s="22"/>
      <c r="L2615" s="43" t="s">
        <v>12841</v>
      </c>
      <c r="M2615" s="44"/>
      <c r="N2615" s="44"/>
      <c r="O2615" s="44"/>
      <c r="P2615" s="44"/>
      <c r="Q2615" s="44"/>
      <c r="R2615" s="44"/>
      <c r="S2615" s="44"/>
      <c r="T2615" s="45"/>
      <c r="U2615" s="29" t="s">
        <v>61</v>
      </c>
      <c r="V2615" s="30"/>
      <c r="W2615" s="49"/>
      <c r="X2615" s="49"/>
      <c r="Y2615" s="35"/>
      <c r="Z2615" s="35"/>
      <c r="AA2615" s="35"/>
      <c r="AB2615" s="35"/>
      <c r="AC2615" s="35"/>
      <c r="AD2615" s="35"/>
      <c r="AE2615" s="35"/>
      <c r="AF2615" s="35"/>
      <c r="AG2615" s="35"/>
      <c r="AH2615" s="35"/>
      <c r="AI2615" s="35"/>
      <c r="AJ2615" s="35"/>
      <c r="AK2615" s="35"/>
      <c r="AL2615" s="35"/>
    </row>
    <row r="2616">
      <c r="A2616" s="40"/>
      <c r="B2616" s="19" t="s">
        <v>6229</v>
      </c>
      <c r="C2616" s="20" t="s">
        <v>4441</v>
      </c>
      <c r="D2616" s="47"/>
      <c r="E2616" s="22" t="s">
        <v>2338</v>
      </c>
      <c r="F2616" s="22" t="s">
        <v>1508</v>
      </c>
      <c r="G2616" s="23">
        <v>2017.0</v>
      </c>
      <c r="H2616" s="22" t="s">
        <v>3828</v>
      </c>
      <c r="I2616" s="24" t="s">
        <v>12842</v>
      </c>
      <c r="J2616" s="22" t="s">
        <v>12843</v>
      </c>
      <c r="K2616" s="22" t="s">
        <v>12844</v>
      </c>
      <c r="L2616" s="36">
        <v>633.0</v>
      </c>
      <c r="M2616" s="129"/>
      <c r="N2616" s="37"/>
      <c r="O2616" s="36" t="s">
        <v>3871</v>
      </c>
      <c r="P2616" s="37"/>
      <c r="Q2616" s="36"/>
      <c r="R2616" s="36">
        <v>3600.0</v>
      </c>
      <c r="S2616" s="36" t="s">
        <v>10290</v>
      </c>
      <c r="T2616" s="28" t="s">
        <v>12845</v>
      </c>
      <c r="U2616" s="38" t="str">
        <f>HYPERLINK("https://www.ncbi.nlm.nih.gov/pubmed/28079797","PubMed")</f>
        <v>PubMed</v>
      </c>
      <c r="V2616" s="30"/>
      <c r="W2616" s="49"/>
      <c r="X2616" s="49"/>
      <c r="Y2616" s="35"/>
      <c r="Z2616" s="35"/>
      <c r="AA2616" s="35"/>
      <c r="AB2616" s="35"/>
      <c r="AC2616" s="35"/>
      <c r="AD2616" s="35"/>
      <c r="AE2616" s="35"/>
      <c r="AF2616" s="35"/>
      <c r="AG2616" s="35"/>
      <c r="AH2616" s="35"/>
      <c r="AI2616" s="35"/>
      <c r="AJ2616" s="35"/>
      <c r="AK2616" s="35"/>
      <c r="AL2616" s="35"/>
    </row>
    <row r="2617">
      <c r="A2617" s="40"/>
      <c r="B2617" s="19" t="s">
        <v>6229</v>
      </c>
      <c r="C2617" s="20"/>
      <c r="D2617" s="47"/>
      <c r="E2617" s="22" t="s">
        <v>12846</v>
      </c>
      <c r="F2617" s="22" t="s">
        <v>323</v>
      </c>
      <c r="G2617" s="23">
        <v>2015.0</v>
      </c>
      <c r="H2617" s="22" t="s">
        <v>91</v>
      </c>
      <c r="I2617" s="24" t="s">
        <v>12847</v>
      </c>
      <c r="J2617" s="22" t="s">
        <v>12848</v>
      </c>
      <c r="K2617" s="22" t="s">
        <v>771</v>
      </c>
      <c r="L2617" s="36" t="s">
        <v>12849</v>
      </c>
      <c r="M2617" s="36" t="s">
        <v>12850</v>
      </c>
      <c r="N2617" s="37"/>
      <c r="O2617" s="129"/>
      <c r="P2617" s="37"/>
      <c r="Q2617" s="36" t="s">
        <v>12851</v>
      </c>
      <c r="R2617" s="36">
        <v>1800.0</v>
      </c>
      <c r="S2617" s="36" t="s">
        <v>12852</v>
      </c>
      <c r="T2617" s="28" t="s">
        <v>12853</v>
      </c>
      <c r="U2617" s="38" t="str">
        <f>HYPERLINK("https://www.ncbi.nlm.nih.gov/pubmed/25304768","PubMed")</f>
        <v>PubMed</v>
      </c>
      <c r="V2617" s="30"/>
      <c r="W2617" s="49"/>
      <c r="X2617" s="49"/>
      <c r="Y2617" s="35"/>
      <c r="Z2617" s="35"/>
      <c r="AA2617" s="35"/>
      <c r="AB2617" s="35"/>
      <c r="AC2617" s="35"/>
      <c r="AD2617" s="35"/>
      <c r="AE2617" s="35"/>
      <c r="AF2617" s="35"/>
      <c r="AG2617" s="35"/>
      <c r="AH2617" s="35"/>
      <c r="AI2617" s="35"/>
      <c r="AJ2617" s="35"/>
      <c r="AK2617" s="35"/>
      <c r="AL2617" s="35"/>
    </row>
    <row r="2618">
      <c r="A2618" s="40"/>
      <c r="B2618" s="19" t="s">
        <v>6229</v>
      </c>
      <c r="C2618" s="20"/>
      <c r="D2618" s="47"/>
      <c r="E2618" s="22" t="s">
        <v>11713</v>
      </c>
      <c r="F2618" s="22" t="s">
        <v>323</v>
      </c>
      <c r="G2618" s="23">
        <v>2013.0</v>
      </c>
      <c r="H2618" s="22" t="s">
        <v>91</v>
      </c>
      <c r="I2618" s="24" t="s">
        <v>12854</v>
      </c>
      <c r="J2618" s="22" t="s">
        <v>12855</v>
      </c>
      <c r="K2618" s="22" t="s">
        <v>1725</v>
      </c>
      <c r="L2618" s="36">
        <v>405.0</v>
      </c>
      <c r="M2618" s="129">
        <v>42856.0</v>
      </c>
      <c r="N2618" s="37"/>
      <c r="O2618" s="129"/>
      <c r="P2618" s="37"/>
      <c r="Q2618" s="36"/>
      <c r="R2618" s="36">
        <v>1800.0</v>
      </c>
      <c r="S2618" s="36">
        <v>1.0</v>
      </c>
      <c r="T2618" s="42" t="s">
        <v>12856</v>
      </c>
      <c r="U2618" s="38" t="str">
        <f>HYPERLINK("https://www.ncbi.nlm.nih.gov/pubmed/23358875","PubMed")</f>
        <v>PubMed</v>
      </c>
      <c r="V2618" s="30"/>
      <c r="W2618" s="49"/>
      <c r="X2618" s="49"/>
      <c r="Y2618" s="35"/>
      <c r="Z2618" s="35"/>
      <c r="AA2618" s="35"/>
      <c r="AB2618" s="35"/>
      <c r="AC2618" s="35"/>
      <c r="AD2618" s="35"/>
      <c r="AE2618" s="35"/>
      <c r="AF2618" s="35"/>
      <c r="AG2618" s="35"/>
      <c r="AH2618" s="35"/>
      <c r="AI2618" s="35"/>
      <c r="AJ2618" s="35"/>
      <c r="AK2618" s="35"/>
      <c r="AL2618" s="35"/>
    </row>
    <row r="2619">
      <c r="A2619" s="1"/>
      <c r="B2619" s="19" t="s">
        <v>12857</v>
      </c>
      <c r="C2619" s="20" t="s">
        <v>12858</v>
      </c>
      <c r="D2619" s="47"/>
      <c r="E2619" s="22" t="s">
        <v>12859</v>
      </c>
      <c r="F2619" s="22" t="s">
        <v>5425</v>
      </c>
      <c r="G2619" s="23">
        <v>2019.0</v>
      </c>
      <c r="H2619" s="22" t="s">
        <v>91</v>
      </c>
      <c r="I2619" s="24" t="s">
        <v>12860</v>
      </c>
      <c r="J2619" s="22" t="s">
        <v>44</v>
      </c>
      <c r="K2619" s="22"/>
      <c r="L2619" s="36">
        <v>830.0</v>
      </c>
      <c r="M2619" s="36">
        <v>10.0</v>
      </c>
      <c r="N2619" s="36"/>
      <c r="O2619" s="36"/>
      <c r="P2619" s="37" t="s">
        <v>4987</v>
      </c>
      <c r="Q2619" s="36"/>
      <c r="R2619" s="36"/>
      <c r="S2619" s="36"/>
      <c r="T2619" s="41" t="s">
        <v>12861</v>
      </c>
      <c r="U2619" s="38" t="str">
        <f>HYPERLINK("https://www.ncbi.nlm.nih.gov/pubmed/31420795","PubMed")</f>
        <v>PubMed</v>
      </c>
      <c r="V2619" s="50"/>
      <c r="W2619" s="49"/>
      <c r="X2619" s="49"/>
      <c r="Y2619" s="35"/>
      <c r="Z2619" s="35"/>
      <c r="AA2619" s="35"/>
      <c r="AB2619" s="35"/>
      <c r="AC2619" s="35"/>
      <c r="AD2619" s="35"/>
      <c r="AE2619" s="35"/>
      <c r="AF2619" s="35"/>
      <c r="AG2619" s="35"/>
      <c r="AH2619" s="35"/>
      <c r="AI2619" s="35"/>
      <c r="AJ2619" s="35"/>
      <c r="AK2619" s="35"/>
      <c r="AL2619" s="35"/>
    </row>
    <row r="2620">
      <c r="A2620" s="1"/>
      <c r="B2620" s="19" t="s">
        <v>12857</v>
      </c>
      <c r="C2620" s="20" t="s">
        <v>12862</v>
      </c>
      <c r="D2620" s="47"/>
      <c r="E2620" s="22" t="s">
        <v>1369</v>
      </c>
      <c r="F2620" s="22" t="s">
        <v>12863</v>
      </c>
      <c r="G2620" s="23">
        <v>2019.0</v>
      </c>
      <c r="H2620" s="22" t="s">
        <v>1076</v>
      </c>
      <c r="I2620" s="24" t="s">
        <v>12864</v>
      </c>
      <c r="J2620" s="22" t="s">
        <v>12865</v>
      </c>
      <c r="K2620" s="22" t="s">
        <v>12866</v>
      </c>
      <c r="L2620" s="36" t="s">
        <v>12867</v>
      </c>
      <c r="M2620" s="36"/>
      <c r="N2620" s="36"/>
      <c r="O2620" s="36"/>
      <c r="P2620" s="37"/>
      <c r="Q2620" s="36"/>
      <c r="R2620" s="36">
        <v>1200.0</v>
      </c>
      <c r="S2620" s="36" t="s">
        <v>12868</v>
      </c>
      <c r="T2620" s="42" t="s">
        <v>12869</v>
      </c>
      <c r="U2620" s="38" t="str">
        <f>HYPERLINK("https://www.ncbi.nlm.nih.gov/pubmed/31533751","PubMed")</f>
        <v>PubMed</v>
      </c>
      <c r="V2620" s="50"/>
      <c r="W2620" s="49"/>
      <c r="X2620" s="49"/>
      <c r="Y2620" s="35"/>
      <c r="Z2620" s="35"/>
      <c r="AA2620" s="35"/>
      <c r="AB2620" s="35"/>
      <c r="AC2620" s="35"/>
      <c r="AD2620" s="35"/>
      <c r="AE2620" s="35"/>
      <c r="AF2620" s="35"/>
      <c r="AG2620" s="35"/>
      <c r="AH2620" s="35"/>
      <c r="AI2620" s="35"/>
      <c r="AJ2620" s="35"/>
      <c r="AK2620" s="35"/>
      <c r="AL2620" s="35"/>
    </row>
    <row r="2621">
      <c r="A2621" s="1"/>
      <c r="B2621" s="19" t="s">
        <v>12857</v>
      </c>
      <c r="C2621" s="20" t="s">
        <v>12862</v>
      </c>
      <c r="D2621" s="47"/>
      <c r="E2621" s="22" t="s">
        <v>4900</v>
      </c>
      <c r="F2621" s="22" t="s">
        <v>12693</v>
      </c>
      <c r="G2621" s="23">
        <v>2016.0</v>
      </c>
      <c r="H2621" s="22" t="s">
        <v>91</v>
      </c>
      <c r="I2621" s="24" t="s">
        <v>12870</v>
      </c>
      <c r="J2621" s="22" t="s">
        <v>12871</v>
      </c>
      <c r="K2621" s="22"/>
      <c r="L2621" s="36">
        <v>820.0</v>
      </c>
      <c r="M2621" s="36">
        <v>30.0</v>
      </c>
      <c r="N2621" s="36" t="s">
        <v>8949</v>
      </c>
      <c r="O2621" s="36" t="s">
        <v>12872</v>
      </c>
      <c r="P2621" s="37"/>
      <c r="Q2621" s="36" t="s">
        <v>840</v>
      </c>
      <c r="R2621" s="36" t="s">
        <v>12873</v>
      </c>
      <c r="S2621" s="36" t="s">
        <v>12874</v>
      </c>
      <c r="T2621" s="28" t="s">
        <v>12875</v>
      </c>
      <c r="U2621" s="38" t="str">
        <f>HYPERLINK("https://www.ncbi.nlm.nih.gov/pubmed/26796709","PubMed")</f>
        <v>PubMed</v>
      </c>
      <c r="V2621" s="50"/>
      <c r="W2621" s="49"/>
      <c r="X2621" s="49"/>
      <c r="Y2621" s="35"/>
      <c r="Z2621" s="35"/>
      <c r="AA2621" s="35"/>
      <c r="AB2621" s="35"/>
      <c r="AC2621" s="35"/>
      <c r="AD2621" s="35"/>
      <c r="AE2621" s="35"/>
      <c r="AF2621" s="35"/>
      <c r="AG2621" s="35"/>
      <c r="AH2621" s="35"/>
      <c r="AI2621" s="35"/>
      <c r="AJ2621" s="35"/>
      <c r="AK2621" s="35"/>
      <c r="AL2621" s="35"/>
    </row>
    <row r="2622">
      <c r="A2622" s="1"/>
      <c r="B2622" s="19" t="s">
        <v>12857</v>
      </c>
      <c r="C2622" s="20" t="s">
        <v>12876</v>
      </c>
      <c r="D2622" s="47"/>
      <c r="E2622" s="22" t="s">
        <v>12877</v>
      </c>
      <c r="F2622" s="22" t="s">
        <v>41</v>
      </c>
      <c r="G2622" s="23">
        <v>2024.0</v>
      </c>
      <c r="H2622" s="22" t="s">
        <v>309</v>
      </c>
      <c r="I2622" s="24" t="s">
        <v>12878</v>
      </c>
      <c r="J2622" s="22" t="s">
        <v>55</v>
      </c>
      <c r="K2622" s="22"/>
      <c r="L2622" s="280">
        <v>808.0</v>
      </c>
      <c r="M2622" s="280">
        <v>25.0</v>
      </c>
      <c r="N2622" s="280"/>
      <c r="O2622" s="280" t="s">
        <v>12879</v>
      </c>
      <c r="P2622" s="281" t="s">
        <v>287</v>
      </c>
      <c r="Q2622" s="280" t="s">
        <v>12880</v>
      </c>
      <c r="R2622" s="280">
        <v>33.0</v>
      </c>
      <c r="S2622" s="280"/>
      <c r="T2622" s="28" t="s">
        <v>12881</v>
      </c>
      <c r="U2622" s="38" t="s">
        <v>61</v>
      </c>
      <c r="V2622" s="50"/>
      <c r="W2622" s="49"/>
      <c r="X2622" s="49"/>
      <c r="Y2622" s="35"/>
      <c r="Z2622" s="35"/>
      <c r="AA2622" s="35"/>
      <c r="AB2622" s="35"/>
      <c r="AC2622" s="35"/>
      <c r="AD2622" s="35"/>
      <c r="AE2622" s="35"/>
      <c r="AF2622" s="35"/>
      <c r="AG2622" s="35"/>
      <c r="AH2622" s="35"/>
      <c r="AI2622" s="35"/>
      <c r="AJ2622" s="35"/>
      <c r="AK2622" s="35"/>
      <c r="AL2622" s="35"/>
    </row>
    <row r="2623">
      <c r="A2623" s="1"/>
      <c r="B2623" s="19" t="s">
        <v>12857</v>
      </c>
      <c r="C2623" s="20" t="s">
        <v>12876</v>
      </c>
      <c r="D2623" s="112"/>
      <c r="E2623" s="115" t="s">
        <v>12882</v>
      </c>
      <c r="F2623" s="115" t="s">
        <v>2175</v>
      </c>
      <c r="G2623" s="23">
        <v>2023.0</v>
      </c>
      <c r="H2623" s="115" t="s">
        <v>348</v>
      </c>
      <c r="I2623" s="120" t="s">
        <v>12883</v>
      </c>
      <c r="J2623" s="115" t="s">
        <v>125</v>
      </c>
      <c r="K2623" s="121"/>
      <c r="L2623" s="286" t="s">
        <v>12884</v>
      </c>
      <c r="M2623" s="44"/>
      <c r="N2623" s="44"/>
      <c r="O2623" s="44"/>
      <c r="P2623" s="44"/>
      <c r="Q2623" s="44"/>
      <c r="R2623" s="44"/>
      <c r="S2623" s="44"/>
      <c r="T2623" s="45"/>
      <c r="U2623" s="123" t="s">
        <v>61</v>
      </c>
      <c r="V2623" s="50"/>
      <c r="W2623" s="49"/>
      <c r="X2623" s="49"/>
      <c r="Y2623" s="35"/>
      <c r="Z2623" s="35"/>
      <c r="AA2623" s="35"/>
      <c r="AB2623" s="35"/>
      <c r="AC2623" s="35"/>
      <c r="AD2623" s="35"/>
      <c r="AE2623" s="35"/>
      <c r="AF2623" s="35"/>
      <c r="AG2623" s="35"/>
      <c r="AH2623" s="35"/>
      <c r="AI2623" s="35"/>
      <c r="AJ2623" s="35"/>
      <c r="AK2623" s="35"/>
      <c r="AL2623" s="35"/>
    </row>
    <row r="2624">
      <c r="A2624" s="1"/>
      <c r="B2624" s="19" t="s">
        <v>12857</v>
      </c>
      <c r="C2624" s="20" t="s">
        <v>12876</v>
      </c>
      <c r="D2624" s="47"/>
      <c r="E2624" s="22" t="s">
        <v>12885</v>
      </c>
      <c r="F2624" s="22" t="s">
        <v>408</v>
      </c>
      <c r="G2624" s="23">
        <v>2022.0</v>
      </c>
      <c r="H2624" s="22" t="s">
        <v>4705</v>
      </c>
      <c r="I2624" s="24" t="s">
        <v>12886</v>
      </c>
      <c r="J2624" s="22" t="s">
        <v>55</v>
      </c>
      <c r="K2624" s="22"/>
      <c r="L2624" s="36">
        <v>905.0</v>
      </c>
      <c r="M2624" s="36">
        <v>17.0</v>
      </c>
      <c r="N2624" s="36"/>
      <c r="O2624" s="36"/>
      <c r="P2624" s="37" t="s">
        <v>2555</v>
      </c>
      <c r="Q2624" s="36" t="s">
        <v>12887</v>
      </c>
      <c r="R2624" s="36">
        <v>60.0</v>
      </c>
      <c r="S2624" s="36"/>
      <c r="T2624" s="28" t="s">
        <v>12888</v>
      </c>
      <c r="U2624" s="38" t="s">
        <v>61</v>
      </c>
      <c r="V2624" s="50"/>
      <c r="W2624" s="49"/>
      <c r="X2624" s="49"/>
      <c r="Y2624" s="35"/>
      <c r="Z2624" s="35"/>
      <c r="AA2624" s="35"/>
      <c r="AB2624" s="35"/>
      <c r="AC2624" s="35"/>
      <c r="AD2624" s="35"/>
      <c r="AE2624" s="35"/>
      <c r="AF2624" s="35"/>
      <c r="AG2624" s="35"/>
      <c r="AH2624" s="35"/>
      <c r="AI2624" s="35"/>
      <c r="AJ2624" s="35"/>
      <c r="AK2624" s="35"/>
      <c r="AL2624" s="35"/>
    </row>
    <row r="2625">
      <c r="A2625" s="1"/>
      <c r="B2625" s="19" t="s">
        <v>12857</v>
      </c>
      <c r="C2625" s="20" t="s">
        <v>12876</v>
      </c>
      <c r="D2625" s="47"/>
      <c r="E2625" s="22" t="s">
        <v>12889</v>
      </c>
      <c r="F2625" s="22" t="s">
        <v>12890</v>
      </c>
      <c r="G2625" s="23">
        <v>2022.0</v>
      </c>
      <c r="H2625" s="22" t="s">
        <v>12891</v>
      </c>
      <c r="I2625" s="24" t="s">
        <v>12892</v>
      </c>
      <c r="J2625" s="22" t="s">
        <v>55</v>
      </c>
      <c r="K2625" s="22"/>
      <c r="L2625" s="36">
        <v>660.0</v>
      </c>
      <c r="M2625" s="36"/>
      <c r="N2625" s="36"/>
      <c r="O2625" s="36"/>
      <c r="P2625" s="37" t="s">
        <v>432</v>
      </c>
      <c r="Q2625" s="36"/>
      <c r="R2625" s="36"/>
      <c r="S2625" s="36"/>
      <c r="T2625" s="28" t="s">
        <v>12893</v>
      </c>
      <c r="U2625" s="38" t="s">
        <v>61</v>
      </c>
      <c r="V2625" s="50"/>
      <c r="W2625" s="49"/>
      <c r="X2625" s="49"/>
      <c r="Y2625" s="35"/>
      <c r="Z2625" s="35"/>
      <c r="AA2625" s="35"/>
      <c r="AB2625" s="35"/>
      <c r="AC2625" s="35"/>
      <c r="AD2625" s="35"/>
      <c r="AE2625" s="35"/>
      <c r="AF2625" s="35"/>
      <c r="AG2625" s="35"/>
      <c r="AH2625" s="35"/>
      <c r="AI2625" s="35"/>
      <c r="AJ2625" s="35"/>
      <c r="AK2625" s="35"/>
      <c r="AL2625" s="35"/>
    </row>
    <row r="2626">
      <c r="A2626" s="1"/>
      <c r="B2626" s="19" t="s">
        <v>12857</v>
      </c>
      <c r="C2626" s="20" t="s">
        <v>12876</v>
      </c>
      <c r="D2626" s="47"/>
      <c r="E2626" s="22" t="s">
        <v>12894</v>
      </c>
      <c r="F2626" s="22" t="s">
        <v>389</v>
      </c>
      <c r="G2626" s="23">
        <v>2022.0</v>
      </c>
      <c r="H2626" s="22" t="s">
        <v>91</v>
      </c>
      <c r="I2626" s="24" t="s">
        <v>12895</v>
      </c>
      <c r="J2626" s="22" t="s">
        <v>44</v>
      </c>
      <c r="K2626" s="22"/>
      <c r="L2626" s="36">
        <v>830.0</v>
      </c>
      <c r="M2626" s="36"/>
      <c r="N2626" s="36"/>
      <c r="O2626" s="36"/>
      <c r="P2626" s="37" t="s">
        <v>4987</v>
      </c>
      <c r="Q2626" s="36"/>
      <c r="R2626" s="36"/>
      <c r="S2626" s="36"/>
      <c r="T2626" s="28" t="s">
        <v>12896</v>
      </c>
      <c r="U2626" s="38" t="s">
        <v>61</v>
      </c>
      <c r="V2626" s="50"/>
      <c r="W2626" s="49"/>
      <c r="X2626" s="49"/>
      <c r="Y2626" s="35"/>
      <c r="Z2626" s="35"/>
      <c r="AA2626" s="35"/>
      <c r="AB2626" s="35"/>
      <c r="AC2626" s="35"/>
      <c r="AD2626" s="35"/>
      <c r="AE2626" s="35"/>
      <c r="AF2626" s="35"/>
      <c r="AG2626" s="35"/>
      <c r="AH2626" s="35"/>
      <c r="AI2626" s="35"/>
      <c r="AJ2626" s="35"/>
      <c r="AK2626" s="35"/>
      <c r="AL2626" s="35"/>
    </row>
    <row r="2627">
      <c r="A2627" s="1"/>
      <c r="B2627" s="19" t="s">
        <v>12857</v>
      </c>
      <c r="C2627" s="20" t="s">
        <v>12876</v>
      </c>
      <c r="D2627" s="47"/>
      <c r="E2627" s="22" t="s">
        <v>12897</v>
      </c>
      <c r="F2627" s="22" t="s">
        <v>12898</v>
      </c>
      <c r="G2627" s="23">
        <v>2020.0</v>
      </c>
      <c r="H2627" s="22" t="s">
        <v>91</v>
      </c>
      <c r="I2627" s="24" t="s">
        <v>12899</v>
      </c>
      <c r="J2627" s="22" t="s">
        <v>55</v>
      </c>
      <c r="K2627" s="22"/>
      <c r="L2627" s="36">
        <v>670.0</v>
      </c>
      <c r="M2627" s="36"/>
      <c r="N2627" s="36"/>
      <c r="O2627" s="36"/>
      <c r="P2627" s="37"/>
      <c r="Q2627" s="36"/>
      <c r="R2627" s="36"/>
      <c r="S2627" s="36"/>
      <c r="T2627" s="28" t="s">
        <v>12900</v>
      </c>
      <c r="U2627" s="29" t="s">
        <v>61</v>
      </c>
      <c r="V2627" s="50"/>
      <c r="W2627" s="49"/>
      <c r="X2627" s="49"/>
      <c r="Y2627" s="35"/>
      <c r="Z2627" s="35"/>
      <c r="AA2627" s="35"/>
      <c r="AB2627" s="35"/>
      <c r="AC2627" s="35"/>
      <c r="AD2627" s="35"/>
      <c r="AE2627" s="35"/>
      <c r="AF2627" s="35"/>
      <c r="AG2627" s="35"/>
      <c r="AH2627" s="35"/>
      <c r="AI2627" s="35"/>
      <c r="AJ2627" s="35"/>
      <c r="AK2627" s="35"/>
      <c r="AL2627" s="35"/>
    </row>
    <row r="2628">
      <c r="A2628" s="1"/>
      <c r="B2628" s="19" t="s">
        <v>12857</v>
      </c>
      <c r="C2628" s="20" t="s">
        <v>12876</v>
      </c>
      <c r="D2628" s="47"/>
      <c r="E2628" s="22" t="s">
        <v>12901</v>
      </c>
      <c r="F2628" s="22" t="s">
        <v>12898</v>
      </c>
      <c r="G2628" s="23">
        <v>2019.0</v>
      </c>
      <c r="H2628" s="22" t="s">
        <v>91</v>
      </c>
      <c r="I2628" s="24" t="s">
        <v>12902</v>
      </c>
      <c r="J2628" s="22" t="s">
        <v>55</v>
      </c>
      <c r="K2628" s="22"/>
      <c r="L2628" s="36">
        <v>830.0</v>
      </c>
      <c r="M2628" s="36">
        <v>40.0</v>
      </c>
      <c r="N2628" s="36"/>
      <c r="O2628" s="36" t="s">
        <v>12903</v>
      </c>
      <c r="P2628" s="37" t="s">
        <v>2886</v>
      </c>
      <c r="Q2628" s="36"/>
      <c r="R2628" s="36"/>
      <c r="S2628" s="36" t="s">
        <v>12904</v>
      </c>
      <c r="T2628" s="28" t="s">
        <v>12905</v>
      </c>
      <c r="U2628" s="38" t="str">
        <f>HYPERLINK("https://www.ncbi.nlm.nih.gov/pubmed/30762197","PubMed")</f>
        <v>PubMed</v>
      </c>
      <c r="V2628" s="50"/>
      <c r="W2628" s="49"/>
      <c r="X2628" s="49"/>
      <c r="Y2628" s="35"/>
      <c r="Z2628" s="35"/>
      <c r="AA2628" s="35"/>
      <c r="AB2628" s="35"/>
      <c r="AC2628" s="35"/>
      <c r="AD2628" s="35"/>
      <c r="AE2628" s="35"/>
      <c r="AF2628" s="35"/>
      <c r="AG2628" s="35"/>
      <c r="AH2628" s="35"/>
      <c r="AI2628" s="35"/>
      <c r="AJ2628" s="35"/>
      <c r="AK2628" s="35"/>
      <c r="AL2628" s="35"/>
    </row>
    <row r="2629">
      <c r="A2629" s="1"/>
      <c r="B2629" s="19" t="s">
        <v>12857</v>
      </c>
      <c r="C2629" s="20" t="s">
        <v>12876</v>
      </c>
      <c r="D2629" s="47"/>
      <c r="E2629" s="22" t="s">
        <v>12894</v>
      </c>
      <c r="F2629" s="22" t="s">
        <v>5425</v>
      </c>
      <c r="G2629" s="23">
        <v>2018.0</v>
      </c>
      <c r="H2629" s="22" t="s">
        <v>42</v>
      </c>
      <c r="I2629" s="24" t="s">
        <v>12906</v>
      </c>
      <c r="J2629" s="22" t="s">
        <v>44</v>
      </c>
      <c r="K2629" s="22" t="s">
        <v>12907</v>
      </c>
      <c r="L2629" s="36">
        <v>830.0</v>
      </c>
      <c r="M2629" s="36">
        <v>10.0</v>
      </c>
      <c r="N2629" s="36" t="s">
        <v>267</v>
      </c>
      <c r="O2629" s="36" t="s">
        <v>12908</v>
      </c>
      <c r="P2629" s="37" t="s">
        <v>4987</v>
      </c>
      <c r="Q2629" s="36" t="s">
        <v>963</v>
      </c>
      <c r="R2629" s="36"/>
      <c r="S2629" s="36"/>
      <c r="T2629" s="28" t="s">
        <v>12909</v>
      </c>
      <c r="U2629" s="38" t="str">
        <f>HYPERLINK("https://www.ncbi.nlm.nih.gov/pubmed/30203577","PubMed")</f>
        <v>PubMed</v>
      </c>
      <c r="V2629" s="50"/>
      <c r="W2629" s="49"/>
      <c r="X2629" s="49"/>
      <c r="Y2629" s="35"/>
      <c r="Z2629" s="35"/>
      <c r="AA2629" s="35"/>
      <c r="AB2629" s="35"/>
      <c r="AC2629" s="35"/>
      <c r="AD2629" s="35"/>
      <c r="AE2629" s="35"/>
      <c r="AF2629" s="35"/>
      <c r="AG2629" s="35"/>
      <c r="AH2629" s="35"/>
      <c r="AI2629" s="35"/>
      <c r="AJ2629" s="35"/>
      <c r="AK2629" s="35"/>
      <c r="AL2629" s="35"/>
    </row>
    <row r="2630">
      <c r="A2630" s="1"/>
      <c r="B2630" s="19" t="s">
        <v>12857</v>
      </c>
      <c r="C2630" s="20" t="s">
        <v>12876</v>
      </c>
      <c r="D2630" s="47"/>
      <c r="E2630" s="22" t="s">
        <v>12910</v>
      </c>
      <c r="F2630" s="22" t="s">
        <v>2445</v>
      </c>
      <c r="G2630" s="23">
        <v>2017.0</v>
      </c>
      <c r="H2630" s="22" t="s">
        <v>207</v>
      </c>
      <c r="I2630" s="24" t="s">
        <v>12911</v>
      </c>
      <c r="J2630" s="22" t="s">
        <v>44</v>
      </c>
      <c r="K2630" s="22" t="s">
        <v>12912</v>
      </c>
      <c r="L2630" s="36" t="s">
        <v>12913</v>
      </c>
      <c r="M2630" s="129"/>
      <c r="N2630" s="36" t="s">
        <v>12914</v>
      </c>
      <c r="O2630" s="129"/>
      <c r="P2630" s="37" t="s">
        <v>12915</v>
      </c>
      <c r="Q2630" s="36"/>
      <c r="R2630" s="36" t="s">
        <v>12916</v>
      </c>
      <c r="S2630" s="36" t="s">
        <v>12917</v>
      </c>
      <c r="T2630" s="42" t="s">
        <v>12918</v>
      </c>
      <c r="U2630" s="38" t="str">
        <f>HYPERLINK("https://www.ncbi.nlm.nih.gov/pubmed/28772237","PubMed")</f>
        <v>PubMed</v>
      </c>
      <c r="V2630" s="50"/>
      <c r="W2630" s="49"/>
      <c r="X2630" s="49"/>
      <c r="Y2630" s="35"/>
      <c r="Z2630" s="35"/>
      <c r="AA2630" s="35"/>
      <c r="AB2630" s="35"/>
      <c r="AC2630" s="35"/>
      <c r="AD2630" s="35"/>
      <c r="AE2630" s="35"/>
      <c r="AF2630" s="35"/>
      <c r="AG2630" s="35"/>
      <c r="AH2630" s="35"/>
      <c r="AI2630" s="35"/>
      <c r="AJ2630" s="35"/>
      <c r="AK2630" s="35"/>
      <c r="AL2630" s="35"/>
    </row>
    <row r="2631">
      <c r="A2631" s="1"/>
      <c r="B2631" s="19" t="s">
        <v>12857</v>
      </c>
      <c r="C2631" s="20" t="s">
        <v>12876</v>
      </c>
      <c r="D2631" s="47"/>
      <c r="E2631" s="22" t="s">
        <v>12919</v>
      </c>
      <c r="F2631" s="22" t="s">
        <v>530</v>
      </c>
      <c r="G2631" s="23">
        <v>2018.0</v>
      </c>
      <c r="H2631" s="22" t="s">
        <v>91</v>
      </c>
      <c r="I2631" s="24" t="s">
        <v>12920</v>
      </c>
      <c r="J2631" s="22" t="s">
        <v>55</v>
      </c>
      <c r="K2631" s="22"/>
      <c r="L2631" s="36">
        <v>808.0</v>
      </c>
      <c r="M2631" s="36">
        <v>50.0</v>
      </c>
      <c r="N2631" s="129">
        <v>43282.0</v>
      </c>
      <c r="O2631" s="36" t="s">
        <v>12921</v>
      </c>
      <c r="P2631" s="37" t="s">
        <v>1529</v>
      </c>
      <c r="Q2631" s="36" t="s">
        <v>12922</v>
      </c>
      <c r="R2631" s="36" t="s">
        <v>12923</v>
      </c>
      <c r="S2631" s="36"/>
      <c r="T2631" s="28" t="s">
        <v>12924</v>
      </c>
      <c r="U2631" s="38" t="str">
        <f>HYPERLINK("https://www.ncbi.nlm.nih.gov/pubmed/29797102","PubMed")</f>
        <v>PubMed</v>
      </c>
      <c r="V2631" s="50"/>
      <c r="W2631" s="49"/>
      <c r="X2631" s="49"/>
      <c r="Y2631" s="35"/>
      <c r="Z2631" s="35"/>
      <c r="AA2631" s="35"/>
      <c r="AB2631" s="35"/>
      <c r="AC2631" s="35"/>
      <c r="AD2631" s="35"/>
      <c r="AE2631" s="35"/>
      <c r="AF2631" s="35"/>
      <c r="AG2631" s="35"/>
      <c r="AH2631" s="35"/>
      <c r="AI2631" s="35"/>
      <c r="AJ2631" s="35"/>
      <c r="AK2631" s="35"/>
      <c r="AL2631" s="35"/>
    </row>
    <row r="2632">
      <c r="A2632" s="1"/>
      <c r="B2632" s="19" t="s">
        <v>12857</v>
      </c>
      <c r="C2632" s="20" t="s">
        <v>12876</v>
      </c>
      <c r="D2632" s="47"/>
      <c r="E2632" s="22" t="s">
        <v>12925</v>
      </c>
      <c r="F2632" s="22" t="s">
        <v>41</v>
      </c>
      <c r="G2632" s="23" t="s">
        <v>90</v>
      </c>
      <c r="H2632" s="22" t="s">
        <v>91</v>
      </c>
      <c r="I2632" s="24" t="s">
        <v>12926</v>
      </c>
      <c r="J2632" s="22" t="s">
        <v>44</v>
      </c>
      <c r="K2632" s="22" t="s">
        <v>294</v>
      </c>
      <c r="L2632" s="36" t="s">
        <v>12913</v>
      </c>
      <c r="M2632" s="129">
        <v>42864.0</v>
      </c>
      <c r="N2632" s="36" t="s">
        <v>1018</v>
      </c>
      <c r="O2632" s="129">
        <v>42979.0</v>
      </c>
      <c r="P2632" s="37" t="s">
        <v>432</v>
      </c>
      <c r="Q2632" s="36" t="s">
        <v>12927</v>
      </c>
      <c r="R2632" s="36">
        <v>200.0</v>
      </c>
      <c r="S2632" s="36"/>
      <c r="T2632" s="42" t="s">
        <v>12928</v>
      </c>
      <c r="U2632" s="38" t="str">
        <f>HYPERLINK("https://www.ncbi.nlm.nih.gov/pubmed/28560473","PubMed")</f>
        <v>PubMed</v>
      </c>
      <c r="V2632" s="50"/>
      <c r="W2632" s="49"/>
      <c r="X2632" s="49"/>
      <c r="Y2632" s="35"/>
      <c r="Z2632" s="35"/>
      <c r="AA2632" s="35"/>
      <c r="AB2632" s="35"/>
      <c r="AC2632" s="35"/>
      <c r="AD2632" s="35"/>
      <c r="AE2632" s="35"/>
      <c r="AF2632" s="35"/>
      <c r="AG2632" s="35"/>
      <c r="AH2632" s="35"/>
      <c r="AI2632" s="35"/>
      <c r="AJ2632" s="35"/>
      <c r="AK2632" s="35"/>
      <c r="AL2632" s="35"/>
    </row>
    <row r="2633">
      <c r="A2633" s="1"/>
      <c r="B2633" s="19" t="s">
        <v>12857</v>
      </c>
      <c r="C2633" s="20" t="s">
        <v>12876</v>
      </c>
      <c r="D2633" s="47"/>
      <c r="E2633" s="22" t="s">
        <v>12894</v>
      </c>
      <c r="F2633" s="22" t="s">
        <v>389</v>
      </c>
      <c r="G2633" s="23" t="s">
        <v>90</v>
      </c>
      <c r="H2633" s="22" t="s">
        <v>91</v>
      </c>
      <c r="I2633" s="24" t="s">
        <v>12929</v>
      </c>
      <c r="J2633" s="22" t="s">
        <v>55</v>
      </c>
      <c r="K2633" s="22" t="s">
        <v>12930</v>
      </c>
      <c r="L2633" s="36">
        <v>830.0</v>
      </c>
      <c r="M2633" s="36">
        <v>10.0</v>
      </c>
      <c r="N2633" s="36" t="s">
        <v>267</v>
      </c>
      <c r="O2633" s="36"/>
      <c r="P2633" s="37" t="s">
        <v>4987</v>
      </c>
      <c r="Q2633" s="36"/>
      <c r="R2633" s="36"/>
      <c r="S2633" s="36"/>
      <c r="T2633" s="28" t="s">
        <v>12931</v>
      </c>
      <c r="U2633" s="38" t="str">
        <f>HYPERLINK("https://www.ncbi.nlm.nih.gov/pubmed/28382433","PubMed")</f>
        <v>PubMed</v>
      </c>
      <c r="V2633" s="50"/>
      <c r="W2633" s="49"/>
      <c r="X2633" s="49"/>
      <c r="Y2633" s="35"/>
      <c r="Z2633" s="35"/>
      <c r="AA2633" s="35"/>
      <c r="AB2633" s="35"/>
      <c r="AC2633" s="35"/>
      <c r="AD2633" s="35"/>
      <c r="AE2633" s="35"/>
      <c r="AF2633" s="35"/>
      <c r="AG2633" s="35"/>
      <c r="AH2633" s="35"/>
      <c r="AI2633" s="35"/>
      <c r="AJ2633" s="35"/>
      <c r="AK2633" s="35"/>
      <c r="AL2633" s="35"/>
    </row>
    <row r="2634">
      <c r="A2634" s="1"/>
      <c r="B2634" s="19" t="s">
        <v>12857</v>
      </c>
      <c r="C2634" s="20" t="s">
        <v>12876</v>
      </c>
      <c r="D2634" s="47"/>
      <c r="E2634" s="22" t="s">
        <v>12932</v>
      </c>
      <c r="F2634" s="22" t="s">
        <v>1508</v>
      </c>
      <c r="G2634" s="23">
        <v>2014.0</v>
      </c>
      <c r="H2634" s="22" t="s">
        <v>658</v>
      </c>
      <c r="I2634" s="24" t="s">
        <v>12933</v>
      </c>
      <c r="J2634" s="22" t="s">
        <v>55</v>
      </c>
      <c r="K2634" s="22" t="s">
        <v>1240</v>
      </c>
      <c r="L2634" s="36">
        <v>780.0</v>
      </c>
      <c r="M2634" s="36" t="s">
        <v>12934</v>
      </c>
      <c r="N2634" s="36"/>
      <c r="O2634" s="36"/>
      <c r="P2634" s="37" t="s">
        <v>12935</v>
      </c>
      <c r="Q2634" s="36"/>
      <c r="R2634" s="36" t="s">
        <v>12936</v>
      </c>
      <c r="S2634" s="36" t="s">
        <v>12937</v>
      </c>
      <c r="T2634" s="28" t="s">
        <v>12938</v>
      </c>
      <c r="U2634" s="38" t="str">
        <f>HYPERLINK("https://www.ncbi.nlm.nih.gov/pubmed/25394331","PubMed")</f>
        <v>PubMed</v>
      </c>
      <c r="V2634" s="30"/>
      <c r="W2634" s="49"/>
      <c r="X2634" s="49"/>
      <c r="Y2634" s="35"/>
      <c r="Z2634" s="35"/>
      <c r="AA2634" s="35"/>
      <c r="AB2634" s="35"/>
      <c r="AC2634" s="35"/>
      <c r="AD2634" s="35"/>
      <c r="AE2634" s="35"/>
      <c r="AF2634" s="35"/>
      <c r="AG2634" s="35"/>
      <c r="AH2634" s="35"/>
      <c r="AI2634" s="35"/>
      <c r="AJ2634" s="35"/>
      <c r="AK2634" s="35"/>
      <c r="AL2634" s="35"/>
    </row>
    <row r="2635">
      <c r="A2635" s="1"/>
      <c r="B2635" s="19" t="s">
        <v>12857</v>
      </c>
      <c r="C2635" s="20" t="s">
        <v>12876</v>
      </c>
      <c r="D2635" s="47"/>
      <c r="E2635" s="22" t="s">
        <v>11868</v>
      </c>
      <c r="F2635" s="22" t="s">
        <v>41</v>
      </c>
      <c r="G2635" s="23">
        <v>2014.0</v>
      </c>
      <c r="H2635" s="22" t="s">
        <v>91</v>
      </c>
      <c r="I2635" s="24" t="s">
        <v>12939</v>
      </c>
      <c r="J2635" s="22" t="s">
        <v>55</v>
      </c>
      <c r="K2635" s="22" t="s">
        <v>12940</v>
      </c>
      <c r="L2635" s="36">
        <v>660.0</v>
      </c>
      <c r="M2635" s="36">
        <v>10.0</v>
      </c>
      <c r="N2635" s="36"/>
      <c r="O2635" s="36"/>
      <c r="P2635" s="37" t="s">
        <v>7500</v>
      </c>
      <c r="Q2635" s="36" t="s">
        <v>830</v>
      </c>
      <c r="R2635" s="36">
        <v>10.0</v>
      </c>
      <c r="S2635" s="36"/>
      <c r="T2635" s="28" t="s">
        <v>12941</v>
      </c>
      <c r="U2635" s="38" t="str">
        <f>HYPERLINK("https://www.ncbi.nlm.nih.gov/pubmed/23933663","PubMed")</f>
        <v>PubMed</v>
      </c>
      <c r="V2635" s="30" t="s">
        <v>12942</v>
      </c>
      <c r="W2635" s="49"/>
      <c r="X2635" s="49"/>
      <c r="Y2635" s="35"/>
      <c r="Z2635" s="35"/>
      <c r="AA2635" s="35"/>
      <c r="AB2635" s="35"/>
      <c r="AC2635" s="35"/>
      <c r="AD2635" s="35"/>
      <c r="AE2635" s="35"/>
      <c r="AF2635" s="35"/>
      <c r="AG2635" s="35"/>
      <c r="AH2635" s="35"/>
      <c r="AI2635" s="35"/>
      <c r="AJ2635" s="35"/>
      <c r="AK2635" s="35"/>
      <c r="AL2635" s="35"/>
    </row>
    <row r="2636">
      <c r="A2636" s="1"/>
      <c r="B2636" s="19" t="s">
        <v>12857</v>
      </c>
      <c r="C2636" s="20" t="s">
        <v>12876</v>
      </c>
      <c r="D2636" s="47"/>
      <c r="E2636" s="22" t="s">
        <v>12943</v>
      </c>
      <c r="F2636" s="22" t="s">
        <v>41</v>
      </c>
      <c r="G2636" s="23">
        <v>2012.0</v>
      </c>
      <c r="H2636" s="22" t="s">
        <v>91</v>
      </c>
      <c r="I2636" s="24" t="s">
        <v>12944</v>
      </c>
      <c r="J2636" s="22" t="s">
        <v>55</v>
      </c>
      <c r="K2636" s="22" t="s">
        <v>12945</v>
      </c>
      <c r="L2636" s="36">
        <v>810.0</v>
      </c>
      <c r="M2636" s="36">
        <v>100.0</v>
      </c>
      <c r="N2636" s="36">
        <v>5.0</v>
      </c>
      <c r="O2636" s="36" t="s">
        <v>12946</v>
      </c>
      <c r="P2636" s="37" t="s">
        <v>12947</v>
      </c>
      <c r="Q2636" s="36" t="s">
        <v>280</v>
      </c>
      <c r="R2636" s="36" t="s">
        <v>12948</v>
      </c>
      <c r="S2636" s="36">
        <v>1.0</v>
      </c>
      <c r="T2636" s="28" t="s">
        <v>12949</v>
      </c>
      <c r="U2636" s="38" t="str">
        <f>HYPERLINK("https://www.ncbi.nlm.nih.gov/pubmed/21484455","PubMed")</f>
        <v>PubMed</v>
      </c>
      <c r="V2636" s="50"/>
      <c r="W2636" s="49"/>
      <c r="X2636" s="49"/>
      <c r="Y2636" s="35"/>
      <c r="Z2636" s="35"/>
      <c r="AA2636" s="35"/>
      <c r="AB2636" s="35"/>
      <c r="AC2636" s="35"/>
      <c r="AD2636" s="35"/>
      <c r="AE2636" s="35"/>
      <c r="AF2636" s="35"/>
      <c r="AG2636" s="35"/>
      <c r="AH2636" s="35"/>
      <c r="AI2636" s="35"/>
      <c r="AJ2636" s="35"/>
      <c r="AK2636" s="35"/>
      <c r="AL2636" s="35"/>
    </row>
    <row r="2637">
      <c r="A2637" s="1"/>
      <c r="B2637" s="19" t="s">
        <v>12857</v>
      </c>
      <c r="C2637" s="20" t="s">
        <v>12876</v>
      </c>
      <c r="D2637" s="47"/>
      <c r="E2637" s="22" t="s">
        <v>12950</v>
      </c>
      <c r="F2637" s="22" t="s">
        <v>510</v>
      </c>
      <c r="G2637" s="23">
        <v>2010.0</v>
      </c>
      <c r="H2637" s="57" t="s">
        <v>658</v>
      </c>
      <c r="I2637" s="24" t="s">
        <v>12951</v>
      </c>
      <c r="J2637" s="22" t="s">
        <v>55</v>
      </c>
      <c r="K2637" s="22" t="s">
        <v>12952</v>
      </c>
      <c r="L2637" s="36" t="s">
        <v>12953</v>
      </c>
      <c r="M2637" s="36" t="s">
        <v>12954</v>
      </c>
      <c r="N2637" s="36"/>
      <c r="O2637" s="36"/>
      <c r="P2637" s="37" t="s">
        <v>12955</v>
      </c>
      <c r="Q2637" s="36" t="s">
        <v>12956</v>
      </c>
      <c r="R2637" s="36" t="s">
        <v>12957</v>
      </c>
      <c r="S2637" s="36"/>
      <c r="T2637" s="28" t="s">
        <v>12958</v>
      </c>
      <c r="U2637" s="38" t="str">
        <f>HYPERLINK("https://www.ncbi.nlm.nih.gov/pubmed/19780633","PubMed")</f>
        <v>PubMed</v>
      </c>
      <c r="V2637" s="110"/>
      <c r="W2637" s="49"/>
      <c r="X2637" s="49"/>
      <c r="Y2637" s="35"/>
      <c r="Z2637" s="35"/>
      <c r="AA2637" s="35"/>
      <c r="AB2637" s="35"/>
      <c r="AC2637" s="35"/>
      <c r="AD2637" s="35"/>
      <c r="AE2637" s="35"/>
      <c r="AF2637" s="35"/>
      <c r="AG2637" s="35"/>
      <c r="AH2637" s="35"/>
      <c r="AI2637" s="35"/>
      <c r="AJ2637" s="35"/>
      <c r="AK2637" s="35"/>
      <c r="AL2637" s="35"/>
    </row>
    <row r="2638">
      <c r="A2638" s="1" t="s">
        <v>2</v>
      </c>
      <c r="B2638" s="19" t="s">
        <v>12857</v>
      </c>
      <c r="C2638" s="20" t="s">
        <v>12876</v>
      </c>
      <c r="D2638" s="47"/>
      <c r="E2638" s="22" t="s">
        <v>12959</v>
      </c>
      <c r="F2638" s="22" t="s">
        <v>2407</v>
      </c>
      <c r="G2638" s="23">
        <v>2007.0</v>
      </c>
      <c r="H2638" s="57" t="s">
        <v>53</v>
      </c>
      <c r="I2638" s="24" t="s">
        <v>12960</v>
      </c>
      <c r="J2638" s="22" t="s">
        <v>55</v>
      </c>
      <c r="K2638" s="22" t="s">
        <v>12961</v>
      </c>
      <c r="L2638" s="36">
        <v>810.0</v>
      </c>
      <c r="M2638" s="36"/>
      <c r="N2638" s="36" t="s">
        <v>12962</v>
      </c>
      <c r="O2638" s="36"/>
      <c r="P2638" s="37" t="s">
        <v>4987</v>
      </c>
      <c r="Q2638" s="36"/>
      <c r="R2638" s="36"/>
      <c r="S2638" s="36">
        <v>5.0</v>
      </c>
      <c r="T2638" s="28" t="s">
        <v>12963</v>
      </c>
      <c r="U2638" s="38" t="str">
        <f>HYPERLINK("http://www.ncbi.nlm.nih.gov/pubmed/17659584","PubMed")</f>
        <v>PubMed</v>
      </c>
      <c r="V2638" s="110"/>
      <c r="W2638" s="49"/>
      <c r="X2638" s="49"/>
      <c r="Y2638" s="35"/>
      <c r="Z2638" s="35"/>
      <c r="AA2638" s="35"/>
      <c r="AB2638" s="35"/>
      <c r="AC2638" s="35"/>
      <c r="AD2638" s="35"/>
      <c r="AE2638" s="35"/>
      <c r="AF2638" s="35"/>
      <c r="AG2638" s="35"/>
      <c r="AH2638" s="35"/>
      <c r="AI2638" s="35"/>
      <c r="AJ2638" s="35"/>
      <c r="AK2638" s="35"/>
      <c r="AL2638" s="35"/>
    </row>
    <row r="2639">
      <c r="A2639" s="1"/>
      <c r="B2639" s="19" t="s">
        <v>12857</v>
      </c>
      <c r="C2639" s="20" t="s">
        <v>12876</v>
      </c>
      <c r="D2639" s="47"/>
      <c r="E2639" s="22" t="s">
        <v>12964</v>
      </c>
      <c r="F2639" s="22" t="s">
        <v>12965</v>
      </c>
      <c r="G2639" s="23">
        <v>2000.0</v>
      </c>
      <c r="H2639" s="57" t="s">
        <v>6673</v>
      </c>
      <c r="I2639" s="24" t="s">
        <v>12966</v>
      </c>
      <c r="J2639" s="22" t="s">
        <v>1078</v>
      </c>
      <c r="K2639" s="22"/>
      <c r="L2639" s="105" t="s">
        <v>12967</v>
      </c>
      <c r="M2639" s="44"/>
      <c r="N2639" s="44"/>
      <c r="O2639" s="44"/>
      <c r="P2639" s="44"/>
      <c r="Q2639" s="44"/>
      <c r="R2639" s="44"/>
      <c r="S2639" s="44"/>
      <c r="T2639" s="45"/>
      <c r="U2639" s="38" t="str">
        <f>HYPERLINK("https://www.ncbi.nlm.nih.gov/pubmed/10955339","PubMed")</f>
        <v>PubMed</v>
      </c>
      <c r="V2639" s="110"/>
      <c r="W2639" s="49"/>
      <c r="X2639" s="49"/>
      <c r="Y2639" s="35"/>
      <c r="Z2639" s="35"/>
      <c r="AA2639" s="35"/>
      <c r="AB2639" s="35"/>
      <c r="AC2639" s="35"/>
      <c r="AD2639" s="35"/>
      <c r="AE2639" s="35"/>
      <c r="AF2639" s="35"/>
      <c r="AG2639" s="35"/>
      <c r="AH2639" s="35"/>
      <c r="AI2639" s="35"/>
      <c r="AJ2639" s="35"/>
      <c r="AK2639" s="35"/>
      <c r="AL2639" s="35"/>
    </row>
    <row r="2640">
      <c r="A2640" s="1"/>
      <c r="B2640" s="19" t="s">
        <v>12857</v>
      </c>
      <c r="C2640" s="20" t="s">
        <v>12876</v>
      </c>
      <c r="D2640" s="47"/>
      <c r="E2640" s="22" t="s">
        <v>12968</v>
      </c>
      <c r="F2640" s="22" t="s">
        <v>12969</v>
      </c>
      <c r="G2640" s="23">
        <v>1997.0</v>
      </c>
      <c r="H2640" s="57" t="s">
        <v>12164</v>
      </c>
      <c r="I2640" s="24" t="s">
        <v>12970</v>
      </c>
      <c r="J2640" s="22" t="s">
        <v>55</v>
      </c>
      <c r="K2640" s="22"/>
      <c r="L2640" s="287"/>
      <c r="M2640" s="287"/>
      <c r="N2640" s="287"/>
      <c r="O2640" s="287"/>
      <c r="P2640" s="287"/>
      <c r="Q2640" s="287"/>
      <c r="R2640" s="287"/>
      <c r="S2640" s="287"/>
      <c r="T2640" s="104" t="s">
        <v>12971</v>
      </c>
      <c r="U2640" s="29" t="s">
        <v>61</v>
      </c>
      <c r="V2640" s="110"/>
      <c r="W2640" s="49"/>
      <c r="X2640" s="49"/>
      <c r="Y2640" s="35"/>
      <c r="Z2640" s="35"/>
      <c r="AA2640" s="35"/>
      <c r="AB2640" s="35"/>
      <c r="AC2640" s="35"/>
      <c r="AD2640" s="35"/>
      <c r="AE2640" s="35"/>
      <c r="AF2640" s="35"/>
      <c r="AG2640" s="35"/>
      <c r="AH2640" s="35"/>
      <c r="AI2640" s="35"/>
      <c r="AJ2640" s="35"/>
      <c r="AK2640" s="35"/>
      <c r="AL2640" s="35"/>
    </row>
    <row r="2641">
      <c r="A2641" s="1"/>
      <c r="B2641" s="19" t="s">
        <v>12857</v>
      </c>
      <c r="C2641" s="20" t="s">
        <v>12972</v>
      </c>
      <c r="D2641" s="47"/>
      <c r="E2641" s="22" t="s">
        <v>12973</v>
      </c>
      <c r="F2641" s="22" t="s">
        <v>12974</v>
      </c>
      <c r="G2641" s="23">
        <v>2021.0</v>
      </c>
      <c r="H2641" s="22" t="s">
        <v>91</v>
      </c>
      <c r="I2641" s="24" t="s">
        <v>12975</v>
      </c>
      <c r="J2641" s="22" t="s">
        <v>12976</v>
      </c>
      <c r="K2641" s="22" t="s">
        <v>12977</v>
      </c>
      <c r="L2641" s="36">
        <v>903.0</v>
      </c>
      <c r="M2641" s="36">
        <v>50.0</v>
      </c>
      <c r="N2641" s="36" t="s">
        <v>93</v>
      </c>
      <c r="O2641" s="36" t="s">
        <v>12978</v>
      </c>
      <c r="P2641" s="37" t="s">
        <v>704</v>
      </c>
      <c r="Q2641" s="36" t="s">
        <v>12979</v>
      </c>
      <c r="R2641" s="36">
        <v>480.0</v>
      </c>
      <c r="S2641" s="36" t="s">
        <v>12980</v>
      </c>
      <c r="T2641" s="28" t="s">
        <v>12981</v>
      </c>
      <c r="U2641" s="29" t="s">
        <v>61</v>
      </c>
      <c r="V2641" s="50"/>
      <c r="W2641" s="49"/>
      <c r="X2641" s="49"/>
      <c r="Y2641" s="35"/>
      <c r="Z2641" s="35"/>
      <c r="AA2641" s="35"/>
      <c r="AB2641" s="35"/>
      <c r="AC2641" s="35"/>
      <c r="AD2641" s="35"/>
      <c r="AE2641" s="35"/>
      <c r="AF2641" s="35"/>
      <c r="AG2641" s="35"/>
      <c r="AH2641" s="35"/>
      <c r="AI2641" s="35"/>
      <c r="AJ2641" s="35"/>
      <c r="AK2641" s="35"/>
      <c r="AL2641" s="35"/>
    </row>
    <row r="2642">
      <c r="A2642" s="18" t="s">
        <v>38</v>
      </c>
      <c r="B2642" s="19" t="s">
        <v>12857</v>
      </c>
      <c r="C2642" s="20" t="s">
        <v>12972</v>
      </c>
      <c r="D2642" s="47"/>
      <c r="E2642" s="22" t="s">
        <v>2233</v>
      </c>
      <c r="F2642" s="22" t="s">
        <v>10600</v>
      </c>
      <c r="G2642" s="23">
        <v>2014.0</v>
      </c>
      <c r="H2642" s="57" t="s">
        <v>1000</v>
      </c>
      <c r="I2642" s="24" t="s">
        <v>12982</v>
      </c>
      <c r="J2642" s="22" t="s">
        <v>12983</v>
      </c>
      <c r="K2642" s="22" t="s">
        <v>12984</v>
      </c>
      <c r="L2642" s="36" t="s">
        <v>12985</v>
      </c>
      <c r="M2642" s="36" t="s">
        <v>12986</v>
      </c>
      <c r="N2642" s="36" t="s">
        <v>58</v>
      </c>
      <c r="O2642" s="36" t="s">
        <v>58</v>
      </c>
      <c r="P2642" s="37" t="s">
        <v>58</v>
      </c>
      <c r="Q2642" s="36" t="s">
        <v>58</v>
      </c>
      <c r="R2642" s="36">
        <v>1200.0</v>
      </c>
      <c r="S2642" s="36" t="s">
        <v>12987</v>
      </c>
      <c r="T2642" s="28" t="s">
        <v>12988</v>
      </c>
      <c r="U2642" s="38" t="str">
        <f>HYPERLINK("https://www.hindawi.com/journals/ijp/2014/130417/","PubMed")</f>
        <v>PubMed</v>
      </c>
      <c r="V2642" s="110"/>
      <c r="W2642" s="49"/>
      <c r="X2642" s="49"/>
      <c r="Y2642" s="35"/>
      <c r="Z2642" s="35"/>
      <c r="AA2642" s="35"/>
      <c r="AB2642" s="35"/>
      <c r="AC2642" s="35"/>
      <c r="AD2642" s="35"/>
      <c r="AE2642" s="35"/>
      <c r="AF2642" s="35"/>
      <c r="AG2642" s="35"/>
      <c r="AH2642" s="35"/>
      <c r="AI2642" s="35"/>
      <c r="AJ2642" s="35"/>
      <c r="AK2642" s="35"/>
      <c r="AL2642" s="35"/>
    </row>
    <row r="2643">
      <c r="A2643" s="1"/>
      <c r="B2643" s="19" t="s">
        <v>12857</v>
      </c>
      <c r="C2643" s="20" t="s">
        <v>12972</v>
      </c>
      <c r="D2643" s="47"/>
      <c r="E2643" s="22" t="s">
        <v>12989</v>
      </c>
      <c r="F2643" s="22" t="s">
        <v>10600</v>
      </c>
      <c r="G2643" s="23">
        <v>2014.0</v>
      </c>
      <c r="H2643" s="57" t="s">
        <v>12990</v>
      </c>
      <c r="I2643" s="24" t="s">
        <v>12991</v>
      </c>
      <c r="J2643" s="22" t="s">
        <v>12992</v>
      </c>
      <c r="K2643" s="22" t="s">
        <v>2815</v>
      </c>
      <c r="L2643" s="36" t="s">
        <v>12993</v>
      </c>
      <c r="M2643" s="36"/>
      <c r="N2643" s="36"/>
      <c r="O2643" s="36"/>
      <c r="P2643" s="37"/>
      <c r="Q2643" s="36"/>
      <c r="R2643" s="36" t="s">
        <v>12994</v>
      </c>
      <c r="S2643" s="36" t="s">
        <v>12995</v>
      </c>
      <c r="T2643" s="28" t="s">
        <v>12996</v>
      </c>
      <c r="U2643" s="29" t="s">
        <v>61</v>
      </c>
      <c r="V2643" s="110"/>
      <c r="W2643" s="49"/>
      <c r="X2643" s="49"/>
      <c r="Y2643" s="35"/>
      <c r="Z2643" s="35"/>
      <c r="AA2643" s="35"/>
      <c r="AB2643" s="35"/>
      <c r="AC2643" s="35"/>
      <c r="AD2643" s="35"/>
      <c r="AE2643" s="35"/>
      <c r="AF2643" s="35"/>
      <c r="AG2643" s="35"/>
      <c r="AH2643" s="35"/>
      <c r="AI2643" s="35"/>
      <c r="AJ2643" s="35"/>
      <c r="AK2643" s="35"/>
      <c r="AL2643" s="35"/>
    </row>
    <row r="2644">
      <c r="A2644" s="18" t="s">
        <v>38</v>
      </c>
      <c r="B2644" s="19" t="s">
        <v>12857</v>
      </c>
      <c r="C2644" s="20" t="s">
        <v>12972</v>
      </c>
      <c r="D2644" s="47"/>
      <c r="E2644" s="22" t="s">
        <v>12989</v>
      </c>
      <c r="F2644" s="22" t="s">
        <v>10600</v>
      </c>
      <c r="G2644" s="23">
        <v>2013.0</v>
      </c>
      <c r="H2644" s="57" t="s">
        <v>300</v>
      </c>
      <c r="I2644" s="24" t="s">
        <v>12997</v>
      </c>
      <c r="J2644" s="22" t="s">
        <v>12998</v>
      </c>
      <c r="K2644" s="22"/>
      <c r="L2644" s="36" t="s">
        <v>12999</v>
      </c>
      <c r="M2644" s="36">
        <v>5.0</v>
      </c>
      <c r="N2644" s="36" t="s">
        <v>58</v>
      </c>
      <c r="O2644" s="36" t="s">
        <v>58</v>
      </c>
      <c r="P2644" s="37" t="s">
        <v>58</v>
      </c>
      <c r="Q2644" s="36" t="s">
        <v>58</v>
      </c>
      <c r="R2644" s="36">
        <v>1800.0</v>
      </c>
      <c r="S2644" s="36" t="s">
        <v>13000</v>
      </c>
      <c r="T2644" s="28" t="s">
        <v>13001</v>
      </c>
      <c r="U2644" s="29" t="s">
        <v>61</v>
      </c>
      <c r="V2644" s="110"/>
      <c r="W2644" s="49"/>
      <c r="X2644" s="49"/>
      <c r="Y2644" s="35"/>
      <c r="Z2644" s="35"/>
      <c r="AA2644" s="35"/>
      <c r="AB2644" s="35"/>
      <c r="AC2644" s="35"/>
      <c r="AD2644" s="35"/>
      <c r="AE2644" s="35"/>
      <c r="AF2644" s="35"/>
      <c r="AG2644" s="35"/>
      <c r="AH2644" s="35"/>
      <c r="AI2644" s="35"/>
      <c r="AJ2644" s="35"/>
      <c r="AK2644" s="35"/>
      <c r="AL2644" s="35"/>
    </row>
    <row r="2645">
      <c r="A2645" s="1"/>
      <c r="B2645" s="19" t="s">
        <v>12857</v>
      </c>
      <c r="C2645" s="20" t="s">
        <v>13002</v>
      </c>
      <c r="D2645" s="47"/>
      <c r="E2645" s="22" t="s">
        <v>13003</v>
      </c>
      <c r="F2645" s="22" t="s">
        <v>1714</v>
      </c>
      <c r="G2645" s="23">
        <v>2018.0</v>
      </c>
      <c r="H2645" s="57" t="s">
        <v>39</v>
      </c>
      <c r="I2645" s="24" t="s">
        <v>13004</v>
      </c>
      <c r="J2645" s="22" t="s">
        <v>55</v>
      </c>
      <c r="K2645" s="22"/>
      <c r="L2645" s="36">
        <v>830.0</v>
      </c>
      <c r="M2645" s="36">
        <v>150.0</v>
      </c>
      <c r="N2645" s="36">
        <v>5.0</v>
      </c>
      <c r="O2645" s="36"/>
      <c r="P2645" s="37"/>
      <c r="Q2645" s="36"/>
      <c r="R2645" s="36" t="s">
        <v>13005</v>
      </c>
      <c r="S2645" s="36"/>
      <c r="T2645" s="28" t="s">
        <v>13006</v>
      </c>
      <c r="U2645" s="38" t="str">
        <f>HYPERLINK("https://www.ncbi.nlm.nih.gov/pubmed/30506108","PubMed")</f>
        <v>PubMed</v>
      </c>
      <c r="V2645" s="110"/>
      <c r="W2645" s="49"/>
      <c r="X2645" s="49"/>
      <c r="Y2645" s="35"/>
      <c r="Z2645" s="35"/>
      <c r="AA2645" s="35"/>
      <c r="AB2645" s="35"/>
      <c r="AC2645" s="35"/>
      <c r="AD2645" s="35"/>
      <c r="AE2645" s="35"/>
      <c r="AF2645" s="35"/>
      <c r="AG2645" s="35"/>
      <c r="AH2645" s="35"/>
      <c r="AI2645" s="35"/>
      <c r="AJ2645" s="35"/>
      <c r="AK2645" s="35"/>
      <c r="AL2645" s="35"/>
    </row>
    <row r="2646">
      <c r="A2646" s="1"/>
      <c r="B2646" s="75" t="s">
        <v>12857</v>
      </c>
      <c r="C2646" s="76" t="s">
        <v>13007</v>
      </c>
      <c r="D2646" s="47"/>
      <c r="E2646" s="22" t="s">
        <v>13008</v>
      </c>
      <c r="F2646" s="22" t="s">
        <v>41</v>
      </c>
      <c r="G2646" s="23">
        <v>2010.0</v>
      </c>
      <c r="H2646" s="57" t="s">
        <v>658</v>
      </c>
      <c r="I2646" s="24" t="s">
        <v>13009</v>
      </c>
      <c r="J2646" s="22" t="s">
        <v>55</v>
      </c>
      <c r="K2646" s="22"/>
      <c r="L2646" s="36">
        <v>830.0</v>
      </c>
      <c r="M2646" s="36"/>
      <c r="N2646" s="36"/>
      <c r="O2646" s="36"/>
      <c r="P2646" s="37" t="s">
        <v>13010</v>
      </c>
      <c r="Q2646" s="36"/>
      <c r="R2646" s="36"/>
      <c r="S2646" s="36"/>
      <c r="T2646" s="42" t="s">
        <v>13011</v>
      </c>
      <c r="U2646" s="29" t="s">
        <v>61</v>
      </c>
      <c r="V2646" s="110"/>
      <c r="W2646" s="49"/>
      <c r="X2646" s="49"/>
      <c r="Y2646" s="35"/>
      <c r="Z2646" s="35"/>
      <c r="AA2646" s="35"/>
      <c r="AB2646" s="35"/>
      <c r="AC2646" s="35"/>
      <c r="AD2646" s="35"/>
      <c r="AE2646" s="35"/>
      <c r="AF2646" s="35"/>
      <c r="AG2646" s="35"/>
      <c r="AH2646" s="35"/>
      <c r="AI2646" s="35"/>
      <c r="AJ2646" s="35"/>
      <c r="AK2646" s="35"/>
      <c r="AL2646" s="35"/>
    </row>
    <row r="2647">
      <c r="A2647" s="1"/>
      <c r="B2647" s="75" t="s">
        <v>12857</v>
      </c>
      <c r="C2647" s="77" t="s">
        <v>13012</v>
      </c>
      <c r="D2647" s="47"/>
      <c r="E2647" s="22" t="s">
        <v>1921</v>
      </c>
      <c r="F2647" s="22" t="s">
        <v>65</v>
      </c>
      <c r="G2647" s="23">
        <v>2023.0</v>
      </c>
      <c r="H2647" s="57" t="s">
        <v>42</v>
      </c>
      <c r="I2647" s="24" t="s">
        <v>13013</v>
      </c>
      <c r="J2647" s="22" t="s">
        <v>13014</v>
      </c>
      <c r="K2647" s="22"/>
      <c r="L2647" s="36">
        <v>1064.0</v>
      </c>
      <c r="M2647" s="36"/>
      <c r="N2647" s="36"/>
      <c r="O2647" s="36"/>
      <c r="P2647" s="37"/>
      <c r="Q2647" s="36"/>
      <c r="R2647" s="36"/>
      <c r="S2647" s="36"/>
      <c r="T2647" s="28" t="s">
        <v>13015</v>
      </c>
      <c r="U2647" s="38" t="s">
        <v>61</v>
      </c>
      <c r="V2647" s="110"/>
      <c r="W2647" s="49"/>
      <c r="X2647" s="49"/>
      <c r="Y2647" s="35"/>
      <c r="Z2647" s="35"/>
      <c r="AA2647" s="35"/>
      <c r="AB2647" s="35"/>
      <c r="AC2647" s="35"/>
      <c r="AD2647" s="35"/>
      <c r="AE2647" s="35"/>
      <c r="AF2647" s="35"/>
      <c r="AG2647" s="35"/>
      <c r="AH2647" s="35"/>
      <c r="AI2647" s="35"/>
      <c r="AJ2647" s="35"/>
      <c r="AK2647" s="35"/>
      <c r="AL2647" s="35"/>
    </row>
    <row r="2648">
      <c r="A2648" s="1"/>
      <c r="B2648" s="75" t="s">
        <v>12857</v>
      </c>
      <c r="C2648" s="77" t="s">
        <v>13012</v>
      </c>
      <c r="D2648" s="47"/>
      <c r="E2648" s="22" t="s">
        <v>13016</v>
      </c>
      <c r="F2648" s="22" t="s">
        <v>1714</v>
      </c>
      <c r="G2648" s="23">
        <v>2021.0</v>
      </c>
      <c r="H2648" s="57" t="s">
        <v>91</v>
      </c>
      <c r="I2648" s="24" t="s">
        <v>13017</v>
      </c>
      <c r="J2648" s="22" t="s">
        <v>31</v>
      </c>
      <c r="K2648" s="22"/>
      <c r="L2648" s="36">
        <v>910.0</v>
      </c>
      <c r="M2648" s="36"/>
      <c r="N2648" s="36"/>
      <c r="O2648" s="36"/>
      <c r="P2648" s="37" t="s">
        <v>70</v>
      </c>
      <c r="Q2648" s="36"/>
      <c r="R2648" s="36"/>
      <c r="S2648" s="36"/>
      <c r="T2648" s="28" t="s">
        <v>13018</v>
      </c>
      <c r="U2648" s="29" t="s">
        <v>61</v>
      </c>
      <c r="V2648" s="110"/>
      <c r="W2648" s="49"/>
      <c r="X2648" s="49"/>
      <c r="Y2648" s="35"/>
      <c r="Z2648" s="35"/>
      <c r="AA2648" s="35"/>
      <c r="AB2648" s="35"/>
      <c r="AC2648" s="35"/>
      <c r="AD2648" s="35"/>
      <c r="AE2648" s="35"/>
      <c r="AF2648" s="35"/>
      <c r="AG2648" s="35"/>
      <c r="AH2648" s="35"/>
      <c r="AI2648" s="35"/>
      <c r="AJ2648" s="35"/>
      <c r="AK2648" s="35"/>
      <c r="AL2648" s="35"/>
    </row>
    <row r="2649">
      <c r="A2649" s="1"/>
      <c r="B2649" s="75" t="s">
        <v>12857</v>
      </c>
      <c r="C2649" s="77" t="s">
        <v>13012</v>
      </c>
      <c r="D2649" s="47"/>
      <c r="E2649" s="22" t="s">
        <v>13016</v>
      </c>
      <c r="F2649" s="22" t="s">
        <v>1714</v>
      </c>
      <c r="G2649" s="23">
        <v>2020.0</v>
      </c>
      <c r="H2649" s="57" t="s">
        <v>3963</v>
      </c>
      <c r="I2649" s="24" t="s">
        <v>13019</v>
      </c>
      <c r="J2649" s="22" t="s">
        <v>31</v>
      </c>
      <c r="K2649" s="22"/>
      <c r="L2649" s="36">
        <v>910.0</v>
      </c>
      <c r="M2649" s="36"/>
      <c r="N2649" s="36"/>
      <c r="O2649" s="36"/>
      <c r="P2649" s="37" t="s">
        <v>4190</v>
      </c>
      <c r="Q2649" s="36"/>
      <c r="R2649" s="36"/>
      <c r="S2649" s="36"/>
      <c r="T2649" s="28" t="s">
        <v>13020</v>
      </c>
      <c r="U2649" s="38" t="str">
        <f>HYPERLINK("https://www.ncbi.nlm.nih.gov/pubmed/32213810","PubMed")</f>
        <v>PubMed</v>
      </c>
      <c r="V2649" s="110"/>
      <c r="W2649" s="49"/>
      <c r="X2649" s="49"/>
      <c r="Y2649" s="35"/>
      <c r="Z2649" s="35"/>
      <c r="AA2649" s="35"/>
      <c r="AB2649" s="35"/>
      <c r="AC2649" s="35"/>
      <c r="AD2649" s="35"/>
      <c r="AE2649" s="35"/>
      <c r="AF2649" s="35"/>
      <c r="AG2649" s="35"/>
      <c r="AH2649" s="35"/>
      <c r="AI2649" s="35"/>
      <c r="AJ2649" s="35"/>
      <c r="AK2649" s="35"/>
      <c r="AL2649" s="35"/>
    </row>
    <row r="2650">
      <c r="A2650" s="1"/>
      <c r="B2650" s="75" t="s">
        <v>12857</v>
      </c>
      <c r="C2650" s="77" t="s">
        <v>13012</v>
      </c>
      <c r="D2650" s="47"/>
      <c r="E2650" s="22" t="s">
        <v>2338</v>
      </c>
      <c r="F2650" s="22" t="s">
        <v>65</v>
      </c>
      <c r="G2650" s="23">
        <v>2020.0</v>
      </c>
      <c r="H2650" s="57" t="s">
        <v>13021</v>
      </c>
      <c r="I2650" s="24" t="s">
        <v>13022</v>
      </c>
      <c r="J2650" s="22" t="s">
        <v>31</v>
      </c>
      <c r="K2650" s="22" t="s">
        <v>1827</v>
      </c>
      <c r="L2650" s="36">
        <v>633.0</v>
      </c>
      <c r="M2650" s="36">
        <v>12.0</v>
      </c>
      <c r="N2650" s="36"/>
      <c r="O2650" s="36"/>
      <c r="P2650" s="37"/>
      <c r="Q2650" s="36" t="s">
        <v>13023</v>
      </c>
      <c r="R2650" s="36" t="s">
        <v>13024</v>
      </c>
      <c r="S2650" s="128">
        <v>44621.0</v>
      </c>
      <c r="T2650" s="28" t="s">
        <v>13025</v>
      </c>
      <c r="U2650" s="29" t="s">
        <v>61</v>
      </c>
      <c r="V2650" s="110"/>
      <c r="W2650" s="49"/>
      <c r="X2650" s="49"/>
      <c r="Y2650" s="35"/>
      <c r="Z2650" s="35"/>
      <c r="AA2650" s="35"/>
      <c r="AB2650" s="35"/>
      <c r="AC2650" s="35"/>
      <c r="AD2650" s="35"/>
      <c r="AE2650" s="35"/>
      <c r="AF2650" s="35"/>
      <c r="AG2650" s="35"/>
      <c r="AH2650" s="35"/>
      <c r="AI2650" s="35"/>
      <c r="AJ2650" s="35"/>
      <c r="AK2650" s="35"/>
      <c r="AL2650" s="35"/>
    </row>
    <row r="2651">
      <c r="A2651" s="1"/>
      <c r="B2651" s="75" t="s">
        <v>12857</v>
      </c>
      <c r="C2651" s="77" t="s">
        <v>13012</v>
      </c>
      <c r="D2651" s="47"/>
      <c r="E2651" s="22" t="s">
        <v>13026</v>
      </c>
      <c r="F2651" s="22" t="s">
        <v>52</v>
      </c>
      <c r="G2651" s="23">
        <v>2019.0</v>
      </c>
      <c r="H2651" s="57" t="s">
        <v>77</v>
      </c>
      <c r="I2651" s="24" t="s">
        <v>13027</v>
      </c>
      <c r="J2651" s="22" t="s">
        <v>3289</v>
      </c>
      <c r="K2651" s="22"/>
      <c r="L2651" s="43" t="s">
        <v>13028</v>
      </c>
      <c r="M2651" s="44"/>
      <c r="N2651" s="44"/>
      <c r="O2651" s="44"/>
      <c r="P2651" s="44"/>
      <c r="Q2651" s="44"/>
      <c r="R2651" s="44"/>
      <c r="S2651" s="44"/>
      <c r="T2651" s="45"/>
      <c r="U2651" s="38" t="str">
        <f>HYPERLINK("https://www.ncbi.nlm.nih.gov/pubmed/31584321","PubMed")</f>
        <v>PubMed</v>
      </c>
      <c r="V2651" s="110"/>
      <c r="W2651" s="49"/>
      <c r="X2651" s="49"/>
      <c r="Y2651" s="35"/>
      <c r="Z2651" s="35"/>
      <c r="AA2651" s="35"/>
      <c r="AB2651" s="35"/>
      <c r="AC2651" s="35"/>
      <c r="AD2651" s="35"/>
      <c r="AE2651" s="35"/>
      <c r="AF2651" s="35"/>
      <c r="AG2651" s="35"/>
      <c r="AH2651" s="35"/>
      <c r="AI2651" s="35"/>
      <c r="AJ2651" s="35"/>
      <c r="AK2651" s="35"/>
      <c r="AL2651" s="35"/>
    </row>
    <row r="2652">
      <c r="A2652" s="1"/>
      <c r="B2652" s="75" t="s">
        <v>12857</v>
      </c>
      <c r="C2652" s="77" t="s">
        <v>13012</v>
      </c>
      <c r="D2652" s="47"/>
      <c r="E2652" s="22" t="s">
        <v>13029</v>
      </c>
      <c r="F2652" s="22" t="s">
        <v>2346</v>
      </c>
      <c r="G2652" s="23">
        <v>2018.0</v>
      </c>
      <c r="H2652" s="57" t="s">
        <v>9550</v>
      </c>
      <c r="I2652" s="24" t="s">
        <v>13030</v>
      </c>
      <c r="J2652" s="22" t="s">
        <v>31</v>
      </c>
      <c r="K2652" s="22"/>
      <c r="L2652" s="36" t="s">
        <v>13031</v>
      </c>
      <c r="M2652" s="36"/>
      <c r="N2652" s="36"/>
      <c r="O2652" s="36"/>
      <c r="P2652" s="37"/>
      <c r="Q2652" s="36"/>
      <c r="R2652" s="36"/>
      <c r="S2652" s="36"/>
      <c r="T2652" s="28" t="s">
        <v>13032</v>
      </c>
      <c r="U2652" s="29" t="s">
        <v>2360</v>
      </c>
      <c r="V2652" s="110"/>
      <c r="W2652" s="49"/>
      <c r="X2652" s="49"/>
      <c r="Y2652" s="35"/>
      <c r="Z2652" s="35"/>
      <c r="AA2652" s="35"/>
      <c r="AB2652" s="35"/>
      <c r="AC2652" s="35"/>
      <c r="AD2652" s="35"/>
      <c r="AE2652" s="35"/>
      <c r="AF2652" s="35"/>
      <c r="AG2652" s="35"/>
      <c r="AH2652" s="35"/>
      <c r="AI2652" s="35"/>
      <c r="AJ2652" s="35"/>
      <c r="AK2652" s="35"/>
      <c r="AL2652" s="35"/>
    </row>
    <row r="2653">
      <c r="A2653" s="1"/>
      <c r="B2653" s="75" t="s">
        <v>12857</v>
      </c>
      <c r="C2653" s="77" t="s">
        <v>13012</v>
      </c>
      <c r="D2653" s="47"/>
      <c r="E2653" s="22" t="s">
        <v>13033</v>
      </c>
      <c r="F2653" s="22" t="s">
        <v>230</v>
      </c>
      <c r="G2653" s="23">
        <v>2012.0</v>
      </c>
      <c r="H2653" s="57" t="s">
        <v>7511</v>
      </c>
      <c r="I2653" s="24" t="s">
        <v>13034</v>
      </c>
      <c r="J2653" s="22" t="s">
        <v>13035</v>
      </c>
      <c r="K2653" s="22"/>
      <c r="L2653" s="36">
        <v>1064.0</v>
      </c>
      <c r="M2653" s="36" t="s">
        <v>58</v>
      </c>
      <c r="N2653" s="36" t="s">
        <v>58</v>
      </c>
      <c r="O2653" s="36">
        <v>3000.0</v>
      </c>
      <c r="P2653" s="37" t="s">
        <v>58</v>
      </c>
      <c r="Q2653" s="36" t="s">
        <v>58</v>
      </c>
      <c r="R2653" s="36" t="s">
        <v>58</v>
      </c>
      <c r="S2653" s="36" t="s">
        <v>4708</v>
      </c>
      <c r="T2653" s="28" t="s">
        <v>13036</v>
      </c>
      <c r="U2653" s="38" t="str">
        <f>HYPERLINK("https://www.ncbi.nlm.nih.gov/pubmed/23241120","PubMed")</f>
        <v>PubMed</v>
      </c>
      <c r="V2653" s="110"/>
      <c r="W2653" s="49"/>
      <c r="X2653" s="49"/>
      <c r="Y2653" s="35"/>
      <c r="Z2653" s="35"/>
      <c r="AA2653" s="35"/>
      <c r="AB2653" s="35"/>
      <c r="AC2653" s="35"/>
      <c r="AD2653" s="35"/>
      <c r="AE2653" s="35"/>
      <c r="AF2653" s="35"/>
      <c r="AG2653" s="35"/>
      <c r="AH2653" s="35"/>
      <c r="AI2653" s="35"/>
      <c r="AJ2653" s="35"/>
      <c r="AK2653" s="35"/>
      <c r="AL2653" s="35"/>
    </row>
    <row r="2654">
      <c r="A2654" s="1"/>
      <c r="B2654" s="19" t="s">
        <v>12857</v>
      </c>
      <c r="C2654" s="20" t="s">
        <v>13012</v>
      </c>
      <c r="D2654" s="47"/>
      <c r="E2654" s="22" t="s">
        <v>13037</v>
      </c>
      <c r="F2654" s="22" t="s">
        <v>5752</v>
      </c>
      <c r="G2654" s="23">
        <v>2009.0</v>
      </c>
      <c r="H2654" s="57" t="s">
        <v>53</v>
      </c>
      <c r="I2654" s="24" t="s">
        <v>13038</v>
      </c>
      <c r="J2654" s="22" t="s">
        <v>31</v>
      </c>
      <c r="K2654" s="22"/>
      <c r="L2654" s="36">
        <v>1320.0</v>
      </c>
      <c r="M2654" s="36"/>
      <c r="N2654" s="36"/>
      <c r="O2654" s="36"/>
      <c r="P2654" s="37"/>
      <c r="Q2654" s="36"/>
      <c r="R2654" s="36"/>
      <c r="S2654" s="36"/>
      <c r="T2654" s="42" t="s">
        <v>13039</v>
      </c>
      <c r="U2654" s="38" t="str">
        <f>HYPERLINK("https://www.ncbi.nlm.nih.gov/pubmed/19639619","PubMed")</f>
        <v>PubMed</v>
      </c>
      <c r="V2654" s="110"/>
      <c r="W2654" s="49"/>
      <c r="X2654" s="49"/>
      <c r="Y2654" s="35"/>
      <c r="Z2654" s="35"/>
      <c r="AA2654" s="35"/>
      <c r="AB2654" s="35"/>
      <c r="AC2654" s="35"/>
      <c r="AD2654" s="35"/>
      <c r="AE2654" s="35"/>
      <c r="AF2654" s="35"/>
      <c r="AG2654" s="35"/>
      <c r="AH2654" s="35"/>
      <c r="AI2654" s="35"/>
      <c r="AJ2654" s="35"/>
      <c r="AK2654" s="35"/>
      <c r="AL2654" s="35"/>
    </row>
    <row r="2655">
      <c r="A2655" s="1"/>
      <c r="B2655" s="19" t="s">
        <v>12857</v>
      </c>
      <c r="C2655" s="20" t="s">
        <v>13012</v>
      </c>
      <c r="D2655" s="47"/>
      <c r="E2655" s="22" t="s">
        <v>13040</v>
      </c>
      <c r="F2655" s="22" t="s">
        <v>2445</v>
      </c>
      <c r="G2655" s="23">
        <v>2007.0</v>
      </c>
      <c r="H2655" s="57" t="s">
        <v>53</v>
      </c>
      <c r="I2655" s="24" t="s">
        <v>13041</v>
      </c>
      <c r="J2655" s="22" t="s">
        <v>31</v>
      </c>
      <c r="K2655" s="22" t="s">
        <v>1112</v>
      </c>
      <c r="L2655" s="36">
        <v>650.0</v>
      </c>
      <c r="M2655" s="36"/>
      <c r="N2655" s="36"/>
      <c r="O2655" s="36"/>
      <c r="P2655" s="37" t="s">
        <v>13042</v>
      </c>
      <c r="Q2655" s="36"/>
      <c r="R2655" s="36"/>
      <c r="S2655" s="36">
        <v>28.0</v>
      </c>
      <c r="T2655" s="28" t="s">
        <v>13043</v>
      </c>
      <c r="U2655" s="38" t="str">
        <f>HYPERLINK("https://www.ncbi.nlm.nih.gov/pubmed/17252579","PubMed")</f>
        <v>PubMed</v>
      </c>
      <c r="V2655" s="110"/>
      <c r="W2655" s="49"/>
      <c r="X2655" s="49"/>
      <c r="Y2655" s="35"/>
      <c r="Z2655" s="35"/>
      <c r="AA2655" s="35"/>
      <c r="AB2655" s="35"/>
      <c r="AC2655" s="35"/>
      <c r="AD2655" s="35"/>
      <c r="AE2655" s="35"/>
      <c r="AF2655" s="35"/>
      <c r="AG2655" s="35"/>
      <c r="AH2655" s="35"/>
      <c r="AI2655" s="35"/>
      <c r="AJ2655" s="35"/>
      <c r="AK2655" s="35"/>
      <c r="AL2655" s="35"/>
    </row>
    <row r="2656">
      <c r="A2656" s="1"/>
      <c r="B2656" s="19" t="s">
        <v>12857</v>
      </c>
      <c r="C2656" s="20" t="s">
        <v>13012</v>
      </c>
      <c r="D2656" s="47"/>
      <c r="E2656" s="22" t="s">
        <v>1110</v>
      </c>
      <c r="F2656" s="22" t="s">
        <v>323</v>
      </c>
      <c r="G2656" s="23">
        <v>2007.0</v>
      </c>
      <c r="H2656" s="57" t="s">
        <v>207</v>
      </c>
      <c r="I2656" s="24" t="s">
        <v>13044</v>
      </c>
      <c r="J2656" s="22" t="s">
        <v>253</v>
      </c>
      <c r="K2656" s="22"/>
      <c r="L2656" s="36">
        <v>633.0</v>
      </c>
      <c r="M2656" s="36"/>
      <c r="N2656" s="36"/>
      <c r="O2656" s="36"/>
      <c r="P2656" s="37" t="s">
        <v>2934</v>
      </c>
      <c r="Q2656" s="36"/>
      <c r="R2656" s="36">
        <v>1320.0</v>
      </c>
      <c r="S2656" s="36">
        <v>21.0</v>
      </c>
      <c r="T2656" s="28" t="s">
        <v>13045</v>
      </c>
      <c r="U2656" s="38" t="str">
        <f>HYPERLINK("https://www.ncbi.nlm.nih.gov/pubmed/17407820","PubMed")</f>
        <v>PubMed</v>
      </c>
      <c r="V2656" s="110"/>
      <c r="W2656" s="49"/>
      <c r="X2656" s="49"/>
      <c r="Y2656" s="35"/>
      <c r="Z2656" s="35"/>
      <c r="AA2656" s="35"/>
      <c r="AB2656" s="35"/>
      <c r="AC2656" s="35"/>
      <c r="AD2656" s="35"/>
      <c r="AE2656" s="35"/>
      <c r="AF2656" s="35"/>
      <c r="AG2656" s="35"/>
      <c r="AH2656" s="35"/>
      <c r="AI2656" s="35"/>
      <c r="AJ2656" s="35"/>
      <c r="AK2656" s="35"/>
      <c r="AL2656" s="35"/>
    </row>
    <row r="2657">
      <c r="A2657" s="1"/>
      <c r="B2657" s="19" t="s">
        <v>12857</v>
      </c>
      <c r="C2657" s="20" t="s">
        <v>13012</v>
      </c>
      <c r="D2657" s="47"/>
      <c r="E2657" s="22" t="s">
        <v>13046</v>
      </c>
      <c r="F2657" s="22" t="s">
        <v>230</v>
      </c>
      <c r="G2657" s="23">
        <v>2001.0</v>
      </c>
      <c r="H2657" s="57" t="s">
        <v>10229</v>
      </c>
      <c r="I2657" s="24" t="s">
        <v>13047</v>
      </c>
      <c r="J2657" s="22" t="s">
        <v>31</v>
      </c>
      <c r="K2657" s="22"/>
      <c r="L2657" s="36">
        <v>780.0</v>
      </c>
      <c r="M2657" s="36" t="s">
        <v>13048</v>
      </c>
      <c r="N2657" s="36"/>
      <c r="O2657" s="36"/>
      <c r="P2657" s="37"/>
      <c r="Q2657" s="36"/>
      <c r="R2657" s="36"/>
      <c r="S2657" s="36"/>
      <c r="T2657" s="28" t="s">
        <v>13049</v>
      </c>
      <c r="U2657" s="38" t="str">
        <f>HYPERLINK("https://www.ncbi.nlm.nih.gov/pubmed/11293815","PubMed")</f>
        <v>PubMed</v>
      </c>
      <c r="V2657" s="110" t="s">
        <v>13050</v>
      </c>
      <c r="W2657" s="49"/>
      <c r="X2657" s="49"/>
      <c r="Y2657" s="35"/>
      <c r="Z2657" s="35"/>
      <c r="AA2657" s="35"/>
      <c r="AB2657" s="35"/>
      <c r="AC2657" s="35"/>
      <c r="AD2657" s="35"/>
      <c r="AE2657" s="35"/>
      <c r="AF2657" s="35"/>
      <c r="AG2657" s="35"/>
      <c r="AH2657" s="35"/>
      <c r="AI2657" s="35"/>
      <c r="AJ2657" s="35"/>
      <c r="AK2657" s="35"/>
      <c r="AL2657" s="35"/>
    </row>
    <row r="2658">
      <c r="A2658" s="1"/>
      <c r="B2658" s="19" t="s">
        <v>12857</v>
      </c>
      <c r="C2658" s="20" t="s">
        <v>13012</v>
      </c>
      <c r="D2658" s="47"/>
      <c r="E2658" s="22" t="s">
        <v>1886</v>
      </c>
      <c r="F2658" s="22" t="s">
        <v>230</v>
      </c>
      <c r="G2658" s="23">
        <v>2000.0</v>
      </c>
      <c r="H2658" s="57" t="s">
        <v>1883</v>
      </c>
      <c r="I2658" s="24" t="s">
        <v>13051</v>
      </c>
      <c r="J2658" s="22" t="s">
        <v>31</v>
      </c>
      <c r="K2658" s="22" t="s">
        <v>1413</v>
      </c>
      <c r="L2658" s="36">
        <v>780.0</v>
      </c>
      <c r="M2658" s="36" t="s">
        <v>13048</v>
      </c>
      <c r="N2658" s="36"/>
      <c r="O2658" s="36">
        <v>300.0</v>
      </c>
      <c r="P2658" s="37"/>
      <c r="Q2658" s="36"/>
      <c r="R2658" s="36"/>
      <c r="S2658" s="36"/>
      <c r="T2658" s="28" t="s">
        <v>13052</v>
      </c>
      <c r="U2658" s="38" t="str">
        <f>HYPERLINK("https://www.ncbi.nlm.nih.gov/pubmed/10728586","PubMed")</f>
        <v>PubMed</v>
      </c>
      <c r="V2658" s="110"/>
      <c r="W2658" s="49"/>
      <c r="X2658" s="49"/>
      <c r="Y2658" s="35"/>
      <c r="Z2658" s="35"/>
      <c r="AA2658" s="35"/>
      <c r="AB2658" s="35"/>
      <c r="AC2658" s="35"/>
      <c r="AD2658" s="35"/>
      <c r="AE2658" s="35"/>
      <c r="AF2658" s="35"/>
      <c r="AG2658" s="35"/>
      <c r="AH2658" s="35"/>
      <c r="AI2658" s="35"/>
      <c r="AJ2658" s="35"/>
      <c r="AK2658" s="35"/>
      <c r="AL2658" s="35"/>
    </row>
    <row r="2659">
      <c r="A2659" s="1"/>
      <c r="B2659" s="19" t="s">
        <v>12857</v>
      </c>
      <c r="C2659" s="20" t="s">
        <v>13012</v>
      </c>
      <c r="D2659" s="47"/>
      <c r="E2659" s="22" t="s">
        <v>1295</v>
      </c>
      <c r="F2659" s="22" t="s">
        <v>230</v>
      </c>
      <c r="G2659" s="23">
        <v>2000.0</v>
      </c>
      <c r="H2659" s="57" t="s">
        <v>1883</v>
      </c>
      <c r="I2659" s="24" t="s">
        <v>13053</v>
      </c>
      <c r="J2659" s="22" t="s">
        <v>253</v>
      </c>
      <c r="K2659" s="22"/>
      <c r="L2659" s="36">
        <v>780.0</v>
      </c>
      <c r="M2659" s="36">
        <v>1000.0</v>
      </c>
      <c r="N2659" s="36"/>
      <c r="O2659" s="36"/>
      <c r="P2659" s="37" t="s">
        <v>1600</v>
      </c>
      <c r="Q2659" s="36"/>
      <c r="R2659" s="36">
        <v>600.0</v>
      </c>
      <c r="S2659" s="36"/>
      <c r="T2659" s="42" t="s">
        <v>13054</v>
      </c>
      <c r="U2659" s="38" t="str">
        <f>HYPERLINK("https://www.ncbi.nlm.nih.gov/pubmed/11009116","PubMed")</f>
        <v>PubMed</v>
      </c>
      <c r="V2659" s="110"/>
      <c r="W2659" s="49"/>
      <c r="X2659" s="49"/>
      <c r="Y2659" s="35"/>
      <c r="Z2659" s="35"/>
      <c r="AA2659" s="35"/>
      <c r="AB2659" s="35"/>
      <c r="AC2659" s="35"/>
      <c r="AD2659" s="35"/>
      <c r="AE2659" s="35"/>
      <c r="AF2659" s="35"/>
      <c r="AG2659" s="35"/>
      <c r="AH2659" s="35"/>
      <c r="AI2659" s="35"/>
      <c r="AJ2659" s="35"/>
      <c r="AK2659" s="35"/>
      <c r="AL2659" s="35"/>
    </row>
    <row r="2660">
      <c r="A2660" s="1"/>
      <c r="B2660" s="19" t="s">
        <v>12857</v>
      </c>
      <c r="C2660" s="20" t="s">
        <v>13012</v>
      </c>
      <c r="D2660" s="47"/>
      <c r="E2660" s="22" t="s">
        <v>1295</v>
      </c>
      <c r="F2660" s="22" t="s">
        <v>230</v>
      </c>
      <c r="G2660" s="23">
        <v>1999.0</v>
      </c>
      <c r="H2660" s="57" t="s">
        <v>13055</v>
      </c>
      <c r="I2660" s="24" t="s">
        <v>13056</v>
      </c>
      <c r="J2660" s="22" t="s">
        <v>31</v>
      </c>
      <c r="K2660" s="22"/>
      <c r="L2660" s="36">
        <v>780.0</v>
      </c>
      <c r="M2660" s="36" t="s">
        <v>13057</v>
      </c>
      <c r="N2660" s="36"/>
      <c r="O2660" s="36"/>
      <c r="P2660" s="37"/>
      <c r="Q2660" s="36"/>
      <c r="R2660" s="36"/>
      <c r="S2660" s="36"/>
      <c r="T2660" s="28" t="s">
        <v>13058</v>
      </c>
      <c r="U2660" s="38" t="str">
        <f>HYPERLINK("https://www.ncbi.nlm.nih.gov/pubmed/11402811","PubMed")</f>
        <v>PubMed</v>
      </c>
      <c r="V2660" s="110"/>
      <c r="W2660" s="49"/>
      <c r="X2660" s="49"/>
      <c r="Y2660" s="35"/>
      <c r="Z2660" s="35"/>
      <c r="AA2660" s="35"/>
      <c r="AB2660" s="35"/>
      <c r="AC2660" s="35"/>
      <c r="AD2660" s="35"/>
      <c r="AE2660" s="35"/>
      <c r="AF2660" s="35"/>
      <c r="AG2660" s="35"/>
      <c r="AH2660" s="35"/>
      <c r="AI2660" s="35"/>
      <c r="AJ2660" s="35"/>
      <c r="AK2660" s="35"/>
      <c r="AL2660" s="35"/>
    </row>
    <row r="2661">
      <c r="A2661" s="1"/>
      <c r="B2661" s="19" t="s">
        <v>12857</v>
      </c>
      <c r="C2661" s="20" t="s">
        <v>13012</v>
      </c>
      <c r="D2661" s="47"/>
      <c r="E2661" s="22" t="s">
        <v>1886</v>
      </c>
      <c r="F2661" s="22" t="s">
        <v>230</v>
      </c>
      <c r="G2661" s="23">
        <v>1998.0</v>
      </c>
      <c r="H2661" s="57" t="s">
        <v>1883</v>
      </c>
      <c r="I2661" s="24" t="s">
        <v>13059</v>
      </c>
      <c r="J2661" s="22" t="s">
        <v>31</v>
      </c>
      <c r="K2661" s="22"/>
      <c r="L2661" s="36">
        <v>780.0</v>
      </c>
      <c r="M2661" s="36">
        <v>3000.0</v>
      </c>
      <c r="N2661" s="36"/>
      <c r="O2661" s="36"/>
      <c r="P2661" s="37"/>
      <c r="Q2661" s="36"/>
      <c r="R2661" s="36"/>
      <c r="S2661" s="36"/>
      <c r="T2661" s="28" t="s">
        <v>13060</v>
      </c>
      <c r="U2661" s="38" t="str">
        <f>HYPERLINK("https://www.ncbi.nlm.nih.gov/pubmed/9663341","PubMed")</f>
        <v>PubMed</v>
      </c>
      <c r="V2661" s="110"/>
      <c r="W2661" s="49"/>
      <c r="X2661" s="49"/>
      <c r="Y2661" s="35"/>
      <c r="Z2661" s="35"/>
      <c r="AA2661" s="35"/>
      <c r="AB2661" s="35"/>
      <c r="AC2661" s="35"/>
      <c r="AD2661" s="35"/>
      <c r="AE2661" s="35"/>
      <c r="AF2661" s="35"/>
      <c r="AG2661" s="35"/>
      <c r="AH2661" s="35"/>
      <c r="AI2661" s="35"/>
      <c r="AJ2661" s="35"/>
      <c r="AK2661" s="35"/>
      <c r="AL2661" s="35"/>
    </row>
    <row r="2662">
      <c r="A2662" s="1"/>
      <c r="B2662" s="19" t="s">
        <v>12857</v>
      </c>
      <c r="C2662" s="20" t="s">
        <v>13012</v>
      </c>
      <c r="D2662" s="47"/>
      <c r="E2662" s="22" t="s">
        <v>13061</v>
      </c>
      <c r="F2662" s="22" t="s">
        <v>2052</v>
      </c>
      <c r="G2662" s="23">
        <v>1992.0</v>
      </c>
      <c r="H2662" s="57" t="s">
        <v>13062</v>
      </c>
      <c r="I2662" s="24" t="s">
        <v>13063</v>
      </c>
      <c r="J2662" s="22" t="s">
        <v>31</v>
      </c>
      <c r="K2662" s="22"/>
      <c r="L2662" s="36">
        <v>1064.0</v>
      </c>
      <c r="M2662" s="36"/>
      <c r="N2662" s="36"/>
      <c r="O2662" s="36"/>
      <c r="P2662" s="37"/>
      <c r="Q2662" s="36"/>
      <c r="R2662" s="36"/>
      <c r="S2662" s="36"/>
      <c r="T2662" s="28" t="s">
        <v>13064</v>
      </c>
      <c r="U2662" s="29" t="s">
        <v>61</v>
      </c>
      <c r="V2662" s="110"/>
      <c r="W2662" s="49"/>
      <c r="X2662" s="49"/>
      <c r="Y2662" s="35"/>
      <c r="Z2662" s="35"/>
      <c r="AA2662" s="35"/>
      <c r="AB2662" s="35"/>
      <c r="AC2662" s="35"/>
      <c r="AD2662" s="35"/>
      <c r="AE2662" s="35"/>
      <c r="AF2662" s="35"/>
      <c r="AG2662" s="35"/>
      <c r="AH2662" s="35"/>
      <c r="AI2662" s="35"/>
      <c r="AJ2662" s="35"/>
      <c r="AK2662" s="35"/>
      <c r="AL2662" s="35"/>
    </row>
    <row r="2663">
      <c r="A2663" s="1"/>
      <c r="B2663" s="19" t="s">
        <v>12857</v>
      </c>
      <c r="C2663" s="20" t="s">
        <v>13012</v>
      </c>
      <c r="D2663" s="47"/>
      <c r="E2663" s="22" t="s">
        <v>13065</v>
      </c>
      <c r="F2663" s="22" t="s">
        <v>13066</v>
      </c>
      <c r="G2663" s="23">
        <v>1985.0</v>
      </c>
      <c r="H2663" s="57" t="s">
        <v>53</v>
      </c>
      <c r="I2663" s="24" t="s">
        <v>13067</v>
      </c>
      <c r="J2663" s="22" t="s">
        <v>9864</v>
      </c>
      <c r="K2663" s="22" t="s">
        <v>1240</v>
      </c>
      <c r="L2663" s="36" t="s">
        <v>13068</v>
      </c>
      <c r="M2663" s="36"/>
      <c r="N2663" s="36"/>
      <c r="O2663" s="36"/>
      <c r="P2663" s="37"/>
      <c r="Q2663" s="36"/>
      <c r="R2663" s="36">
        <v>5.0</v>
      </c>
      <c r="S2663" s="36"/>
      <c r="T2663" s="28" t="s">
        <v>13069</v>
      </c>
      <c r="U2663" s="38" t="str">
        <f>HYPERLINK("https://www.ncbi.nlm.nih.gov/pubmed/4088000","PubMed")</f>
        <v>PubMed</v>
      </c>
      <c r="V2663" s="110"/>
      <c r="W2663" s="49"/>
      <c r="X2663" s="49"/>
      <c r="Y2663" s="35"/>
      <c r="Z2663" s="35"/>
      <c r="AA2663" s="35"/>
      <c r="AB2663" s="35"/>
      <c r="AC2663" s="35"/>
      <c r="AD2663" s="35"/>
      <c r="AE2663" s="35"/>
      <c r="AF2663" s="35"/>
      <c r="AG2663" s="35"/>
      <c r="AH2663" s="35"/>
      <c r="AI2663" s="35"/>
      <c r="AJ2663" s="35"/>
      <c r="AK2663" s="35"/>
      <c r="AL2663" s="35"/>
    </row>
    <row r="2664">
      <c r="A2664" s="1"/>
      <c r="B2664" s="19" t="s">
        <v>12857</v>
      </c>
      <c r="C2664" s="20" t="s">
        <v>13070</v>
      </c>
      <c r="D2664" s="47"/>
      <c r="E2664" s="22" t="s">
        <v>13071</v>
      </c>
      <c r="F2664" s="22" t="s">
        <v>7531</v>
      </c>
      <c r="G2664" s="23">
        <v>1991.0</v>
      </c>
      <c r="H2664" s="57" t="s">
        <v>13072</v>
      </c>
      <c r="I2664" s="24" t="s">
        <v>13073</v>
      </c>
      <c r="J2664" s="22" t="s">
        <v>13074</v>
      </c>
      <c r="K2664" s="22" t="s">
        <v>13075</v>
      </c>
      <c r="L2664" s="36">
        <v>904.0</v>
      </c>
      <c r="M2664" s="36">
        <v>17.0</v>
      </c>
      <c r="N2664" s="36" t="s">
        <v>58</v>
      </c>
      <c r="O2664" s="36" t="s">
        <v>58</v>
      </c>
      <c r="P2664" s="37" t="s">
        <v>58</v>
      </c>
      <c r="Q2664" s="36" t="s">
        <v>58</v>
      </c>
      <c r="R2664" s="36" t="s">
        <v>13076</v>
      </c>
      <c r="S2664" s="36" t="s">
        <v>13077</v>
      </c>
      <c r="T2664" s="41" t="s">
        <v>13078</v>
      </c>
      <c r="U2664" s="38" t="str">
        <f>HYPERLINK("https://www.ncbi.nlm.nih.gov/pubmed/1809720","PubMed")</f>
        <v>PubMed</v>
      </c>
      <c r="V2664" s="110"/>
      <c r="W2664" s="49"/>
      <c r="X2664" s="49"/>
      <c r="Y2664" s="35"/>
      <c r="Z2664" s="35"/>
      <c r="AA2664" s="35"/>
      <c r="AB2664" s="35"/>
      <c r="AC2664" s="35"/>
      <c r="AD2664" s="35"/>
      <c r="AE2664" s="35"/>
      <c r="AF2664" s="35"/>
      <c r="AG2664" s="35"/>
      <c r="AH2664" s="35"/>
      <c r="AI2664" s="35"/>
      <c r="AJ2664" s="35"/>
      <c r="AK2664" s="35"/>
      <c r="AL2664" s="35"/>
    </row>
    <row r="2665">
      <c r="A2665" s="1"/>
      <c r="B2665" s="19" t="s">
        <v>12857</v>
      </c>
      <c r="C2665" s="20" t="s">
        <v>13079</v>
      </c>
      <c r="D2665" s="47"/>
      <c r="E2665" s="22" t="s">
        <v>13080</v>
      </c>
      <c r="F2665" s="22" t="s">
        <v>13081</v>
      </c>
      <c r="G2665" s="23">
        <v>2010.0</v>
      </c>
      <c r="H2665" s="57" t="s">
        <v>658</v>
      </c>
      <c r="I2665" s="24" t="s">
        <v>13082</v>
      </c>
      <c r="J2665" s="22" t="s">
        <v>55</v>
      </c>
      <c r="K2665" s="22" t="s">
        <v>13083</v>
      </c>
      <c r="L2665" s="36">
        <v>633.0</v>
      </c>
      <c r="M2665" s="36"/>
      <c r="N2665" s="36"/>
      <c r="O2665" s="36"/>
      <c r="P2665" s="37" t="s">
        <v>70</v>
      </c>
      <c r="Q2665" s="36"/>
      <c r="R2665" s="36"/>
      <c r="S2665" s="36"/>
      <c r="T2665" s="28" t="s">
        <v>13084</v>
      </c>
      <c r="U2665" s="38" t="str">
        <f>HYPERLINK("https://www.ncbi.nlm.nih.gov/pubmed/19743930","PubMed")</f>
        <v>PubMed</v>
      </c>
      <c r="V2665" s="110"/>
      <c r="W2665" s="49"/>
      <c r="X2665" s="49"/>
      <c r="Y2665" s="35"/>
      <c r="Z2665" s="35"/>
      <c r="AA2665" s="35"/>
      <c r="AB2665" s="35"/>
      <c r="AC2665" s="35"/>
      <c r="AD2665" s="35"/>
      <c r="AE2665" s="35"/>
      <c r="AF2665" s="35"/>
      <c r="AG2665" s="35"/>
      <c r="AH2665" s="35"/>
      <c r="AI2665" s="35"/>
      <c r="AJ2665" s="35"/>
      <c r="AK2665" s="35"/>
      <c r="AL2665" s="35"/>
    </row>
    <row r="2666">
      <c r="A2666" s="1"/>
      <c r="B2666" s="19" t="s">
        <v>12857</v>
      </c>
      <c r="C2666" s="20" t="s">
        <v>13079</v>
      </c>
      <c r="D2666" s="47"/>
      <c r="E2666" s="22" t="s">
        <v>13080</v>
      </c>
      <c r="F2666" s="22" t="s">
        <v>13081</v>
      </c>
      <c r="G2666" s="23">
        <v>2009.0</v>
      </c>
      <c r="H2666" s="22" t="s">
        <v>658</v>
      </c>
      <c r="I2666" s="24" t="s">
        <v>13085</v>
      </c>
      <c r="J2666" s="22" t="s">
        <v>55</v>
      </c>
      <c r="K2666" s="22" t="s">
        <v>13086</v>
      </c>
      <c r="L2666" s="36">
        <v>633.0</v>
      </c>
      <c r="M2666" s="36"/>
      <c r="N2666" s="36"/>
      <c r="O2666" s="36"/>
      <c r="P2666" s="37" t="s">
        <v>70</v>
      </c>
      <c r="Q2666" s="36"/>
      <c r="R2666" s="36"/>
      <c r="S2666" s="36" t="s">
        <v>13087</v>
      </c>
      <c r="T2666" s="28" t="s">
        <v>13088</v>
      </c>
      <c r="U2666" s="215"/>
      <c r="V2666" s="30"/>
      <c r="W2666" s="49"/>
      <c r="X2666" s="49"/>
      <c r="Y2666" s="35"/>
      <c r="Z2666" s="35"/>
      <c r="AA2666" s="35"/>
      <c r="AB2666" s="35"/>
      <c r="AC2666" s="35"/>
      <c r="AD2666" s="35"/>
      <c r="AE2666" s="35"/>
      <c r="AF2666" s="35"/>
      <c r="AG2666" s="35"/>
      <c r="AH2666" s="35"/>
      <c r="AI2666" s="35"/>
      <c r="AJ2666" s="35"/>
      <c r="AK2666" s="35"/>
      <c r="AL2666" s="35"/>
    </row>
    <row r="2667">
      <c r="A2667" s="1"/>
      <c r="B2667" s="19" t="s">
        <v>12857</v>
      </c>
      <c r="C2667" s="20" t="s">
        <v>13089</v>
      </c>
      <c r="D2667" s="47"/>
      <c r="E2667" s="22" t="s">
        <v>13090</v>
      </c>
      <c r="F2667" s="22" t="s">
        <v>13091</v>
      </c>
      <c r="G2667" s="23">
        <v>2006.0</v>
      </c>
      <c r="H2667" s="22" t="s">
        <v>658</v>
      </c>
      <c r="I2667" s="24" t="s">
        <v>13092</v>
      </c>
      <c r="J2667" s="22" t="s">
        <v>13093</v>
      </c>
      <c r="K2667" s="22" t="s">
        <v>13094</v>
      </c>
      <c r="L2667" s="36" t="s">
        <v>13095</v>
      </c>
      <c r="M2667" s="36" t="s">
        <v>13096</v>
      </c>
      <c r="N2667" s="36"/>
      <c r="O2667" s="36"/>
      <c r="P2667" s="37" t="s">
        <v>13097</v>
      </c>
      <c r="Q2667" s="36" t="s">
        <v>13098</v>
      </c>
      <c r="R2667" s="36" t="s">
        <v>13099</v>
      </c>
      <c r="S2667" s="36" t="s">
        <v>13100</v>
      </c>
      <c r="T2667" s="28" t="s">
        <v>13101</v>
      </c>
      <c r="U2667" s="38" t="str">
        <f>HYPERLINK("https://www.ncbi.nlm.nih.gov/pubmed/16706692","PubMed")</f>
        <v>PubMed</v>
      </c>
      <c r="V2667" s="30"/>
      <c r="W2667" s="49"/>
      <c r="X2667" s="49"/>
      <c r="Y2667" s="35"/>
      <c r="Z2667" s="35"/>
      <c r="AA2667" s="35"/>
      <c r="AB2667" s="35"/>
      <c r="AC2667" s="35"/>
      <c r="AD2667" s="35"/>
      <c r="AE2667" s="35"/>
      <c r="AF2667" s="35"/>
      <c r="AG2667" s="35"/>
      <c r="AH2667" s="35"/>
      <c r="AI2667" s="35"/>
      <c r="AJ2667" s="35"/>
      <c r="AK2667" s="35"/>
      <c r="AL2667" s="35"/>
    </row>
    <row r="2668">
      <c r="A2668" s="1"/>
      <c r="B2668" s="19" t="s">
        <v>12857</v>
      </c>
      <c r="C2668" s="20" t="s">
        <v>13089</v>
      </c>
      <c r="D2668" s="47"/>
      <c r="E2668" s="22" t="s">
        <v>13102</v>
      </c>
      <c r="F2668" s="22" t="s">
        <v>13081</v>
      </c>
      <c r="G2668" s="23">
        <v>2003.0</v>
      </c>
      <c r="H2668" s="22" t="s">
        <v>1289</v>
      </c>
      <c r="I2668" s="24" t="s">
        <v>13103</v>
      </c>
      <c r="J2668" s="22" t="s">
        <v>55</v>
      </c>
      <c r="K2668" s="22"/>
      <c r="L2668" s="36">
        <v>633.0</v>
      </c>
      <c r="M2668" s="36">
        <v>6.0</v>
      </c>
      <c r="N2668" s="36"/>
      <c r="O2668" s="36"/>
      <c r="P2668" s="37"/>
      <c r="Q2668" s="36"/>
      <c r="R2668" s="36"/>
      <c r="S2668" s="36"/>
      <c r="T2668" s="28" t="s">
        <v>13104</v>
      </c>
      <c r="U2668" s="38" t="str">
        <f>HYPERLINK("https://www.ncbi.nlm.nih.gov/pubmed/12737650","PubMed")</f>
        <v>PubMed</v>
      </c>
      <c r="V2668" s="30"/>
      <c r="W2668" s="49"/>
      <c r="X2668" s="49"/>
      <c r="Y2668" s="35"/>
      <c r="Z2668" s="35"/>
      <c r="AA2668" s="35"/>
      <c r="AB2668" s="35"/>
      <c r="AC2668" s="35"/>
      <c r="AD2668" s="35"/>
      <c r="AE2668" s="35"/>
      <c r="AF2668" s="35"/>
      <c r="AG2668" s="35"/>
      <c r="AH2668" s="35"/>
      <c r="AI2668" s="35"/>
      <c r="AJ2668" s="35"/>
      <c r="AK2668" s="35"/>
      <c r="AL2668" s="35"/>
    </row>
    <row r="2669">
      <c r="A2669" s="1"/>
      <c r="B2669" s="19" t="s">
        <v>12857</v>
      </c>
      <c r="C2669" s="20" t="s">
        <v>13105</v>
      </c>
      <c r="D2669" s="47"/>
      <c r="E2669" s="22" t="s">
        <v>13106</v>
      </c>
      <c r="F2669" s="22" t="s">
        <v>3351</v>
      </c>
      <c r="G2669" s="23">
        <v>2023.0</v>
      </c>
      <c r="H2669" s="22" t="s">
        <v>207</v>
      </c>
      <c r="I2669" s="24" t="s">
        <v>13107</v>
      </c>
      <c r="J2669" s="22" t="s">
        <v>55</v>
      </c>
      <c r="K2669" s="22"/>
      <c r="L2669" s="36"/>
      <c r="M2669" s="36"/>
      <c r="N2669" s="36"/>
      <c r="O2669" s="36"/>
      <c r="P2669" s="37"/>
      <c r="Q2669" s="36"/>
      <c r="R2669" s="36"/>
      <c r="S2669" s="36"/>
      <c r="T2669" s="28" t="s">
        <v>13108</v>
      </c>
      <c r="U2669" s="38" t="s">
        <v>61</v>
      </c>
      <c r="V2669" s="30" t="s">
        <v>174</v>
      </c>
      <c r="W2669" s="49"/>
      <c r="X2669" s="49"/>
      <c r="Y2669" s="35"/>
      <c r="Z2669" s="35"/>
      <c r="AA2669" s="35"/>
      <c r="AB2669" s="35"/>
      <c r="AC2669" s="35"/>
      <c r="AD2669" s="35"/>
      <c r="AE2669" s="35"/>
      <c r="AF2669" s="35"/>
      <c r="AG2669" s="35"/>
      <c r="AH2669" s="35"/>
      <c r="AI2669" s="35"/>
      <c r="AJ2669" s="35"/>
      <c r="AK2669" s="35"/>
      <c r="AL2669" s="35"/>
    </row>
    <row r="2670">
      <c r="A2670" s="1"/>
      <c r="B2670" s="19" t="s">
        <v>12857</v>
      </c>
      <c r="C2670" s="20" t="s">
        <v>13109</v>
      </c>
      <c r="D2670" s="47"/>
      <c r="E2670" s="22" t="s">
        <v>13110</v>
      </c>
      <c r="F2670" s="22" t="s">
        <v>5223</v>
      </c>
      <c r="G2670" s="23">
        <v>1992.0</v>
      </c>
      <c r="H2670" s="22" t="s">
        <v>292</v>
      </c>
      <c r="I2670" s="24" t="s">
        <v>13111</v>
      </c>
      <c r="J2670" s="22" t="s">
        <v>55</v>
      </c>
      <c r="K2670" s="22" t="s">
        <v>10426</v>
      </c>
      <c r="L2670" s="36">
        <v>820.0</v>
      </c>
      <c r="M2670" s="36"/>
      <c r="N2670" s="36"/>
      <c r="O2670" s="36"/>
      <c r="P2670" s="37" t="s">
        <v>432</v>
      </c>
      <c r="Q2670" s="36"/>
      <c r="R2670" s="36"/>
      <c r="S2670" s="36" t="s">
        <v>867</v>
      </c>
      <c r="T2670" s="28" t="s">
        <v>13112</v>
      </c>
      <c r="U2670" s="38" t="str">
        <f>HYPERLINK("https://www.jstage.jst.go.jp/article/islsm/4/2/4_92-OR-05/_article/-char/en","PubMed")</f>
        <v>PubMed</v>
      </c>
      <c r="V2670" s="30"/>
      <c r="W2670" s="49"/>
      <c r="X2670" s="49"/>
      <c r="Y2670" s="35"/>
      <c r="Z2670" s="35"/>
      <c r="AA2670" s="35"/>
      <c r="AB2670" s="35"/>
      <c r="AC2670" s="35"/>
      <c r="AD2670" s="35"/>
      <c r="AE2670" s="35"/>
      <c r="AF2670" s="35"/>
      <c r="AG2670" s="35"/>
      <c r="AH2670" s="35"/>
      <c r="AI2670" s="35"/>
      <c r="AJ2670" s="35"/>
      <c r="AK2670" s="35"/>
      <c r="AL2670" s="35"/>
    </row>
    <row r="2671">
      <c r="A2671" s="39"/>
      <c r="B2671" s="19" t="s">
        <v>12857</v>
      </c>
      <c r="C2671" s="20" t="s">
        <v>13113</v>
      </c>
      <c r="D2671" s="47"/>
      <c r="E2671" s="22" t="s">
        <v>13114</v>
      </c>
      <c r="F2671" s="22" t="s">
        <v>332</v>
      </c>
      <c r="G2671" s="23" t="s">
        <v>11799</v>
      </c>
      <c r="H2671" s="22" t="s">
        <v>13115</v>
      </c>
      <c r="I2671" s="24" t="s">
        <v>13116</v>
      </c>
      <c r="J2671" s="22" t="s">
        <v>13117</v>
      </c>
      <c r="K2671" s="22"/>
      <c r="L2671" s="36">
        <v>1064.0</v>
      </c>
      <c r="M2671" s="36"/>
      <c r="N2671" s="36"/>
      <c r="O2671" s="36">
        <v>1500.0</v>
      </c>
      <c r="P2671" s="37"/>
      <c r="Q2671" s="36"/>
      <c r="R2671" s="36">
        <v>480.0</v>
      </c>
      <c r="S2671" s="36" t="s">
        <v>1961</v>
      </c>
      <c r="T2671" s="28" t="s">
        <v>13118</v>
      </c>
      <c r="U2671" s="38" t="str">
        <f>HYPERLINK("https://www.ncbi.nlm.nih.gov/pubmed/27976591","PubMed")</f>
        <v>PubMed</v>
      </c>
      <c r="V2671" s="30"/>
      <c r="W2671" s="49"/>
      <c r="X2671" s="49"/>
      <c r="Y2671" s="35"/>
      <c r="Z2671" s="35"/>
      <c r="AA2671" s="35"/>
      <c r="AB2671" s="35"/>
      <c r="AC2671" s="35"/>
      <c r="AD2671" s="35"/>
      <c r="AE2671" s="35"/>
      <c r="AF2671" s="35"/>
      <c r="AG2671" s="35"/>
      <c r="AH2671" s="35"/>
      <c r="AI2671" s="35"/>
      <c r="AJ2671" s="35"/>
      <c r="AK2671" s="35"/>
      <c r="AL2671" s="35"/>
    </row>
    <row r="2672">
      <c r="A2672" s="39"/>
      <c r="B2672" s="19" t="s">
        <v>12857</v>
      </c>
      <c r="C2672" s="20" t="s">
        <v>13119</v>
      </c>
      <c r="D2672" s="47"/>
      <c r="E2672" s="22" t="s">
        <v>13120</v>
      </c>
      <c r="F2672" s="22" t="s">
        <v>13121</v>
      </c>
      <c r="G2672" s="23">
        <v>1997.0</v>
      </c>
      <c r="H2672" s="22" t="s">
        <v>53</v>
      </c>
      <c r="I2672" s="24" t="s">
        <v>13122</v>
      </c>
      <c r="J2672" s="22" t="s">
        <v>55</v>
      </c>
      <c r="K2672" s="22"/>
      <c r="L2672" s="36">
        <v>810.0</v>
      </c>
      <c r="M2672" s="36"/>
      <c r="N2672" s="36" t="s">
        <v>13123</v>
      </c>
      <c r="O2672" s="36"/>
      <c r="P2672" s="37"/>
      <c r="Q2672" s="36"/>
      <c r="R2672" s="36"/>
      <c r="S2672" s="36">
        <v>6.0</v>
      </c>
      <c r="T2672" s="28" t="s">
        <v>13124</v>
      </c>
      <c r="U2672" s="38" t="str">
        <f>HYPERLINK("https://www.ncbi.nlm.nih.gov/pubmed/9365959","PubMed")</f>
        <v>PubMed</v>
      </c>
      <c r="V2672" s="30"/>
      <c r="W2672" s="49"/>
      <c r="X2672" s="49"/>
      <c r="Y2672" s="35"/>
      <c r="Z2672" s="35"/>
      <c r="AA2672" s="35"/>
      <c r="AB2672" s="35"/>
      <c r="AC2672" s="35"/>
      <c r="AD2672" s="35"/>
      <c r="AE2672" s="35"/>
      <c r="AF2672" s="35"/>
      <c r="AG2672" s="35"/>
      <c r="AH2672" s="35"/>
      <c r="AI2672" s="35"/>
      <c r="AJ2672" s="35"/>
      <c r="AK2672" s="35"/>
      <c r="AL2672" s="35"/>
    </row>
    <row r="2673">
      <c r="A2673" s="39" t="s">
        <v>2</v>
      </c>
      <c r="B2673" s="19" t="s">
        <v>12857</v>
      </c>
      <c r="C2673" s="20" t="s">
        <v>13125</v>
      </c>
      <c r="D2673" s="47"/>
      <c r="E2673" s="22" t="s">
        <v>13126</v>
      </c>
      <c r="F2673" s="22" t="s">
        <v>13127</v>
      </c>
      <c r="G2673" s="23">
        <v>2013.0</v>
      </c>
      <c r="H2673" s="22" t="s">
        <v>91</v>
      </c>
      <c r="I2673" s="24" t="s">
        <v>13128</v>
      </c>
      <c r="J2673" s="22" t="s">
        <v>13129</v>
      </c>
      <c r="K2673" s="22"/>
      <c r="L2673" s="36">
        <v>904.0</v>
      </c>
      <c r="M2673" s="36">
        <v>240.0</v>
      </c>
      <c r="N2673" s="36" t="s">
        <v>8744</v>
      </c>
      <c r="O2673" s="36" t="s">
        <v>13130</v>
      </c>
      <c r="P2673" s="37"/>
      <c r="Q2673" s="36" t="s">
        <v>13131</v>
      </c>
      <c r="R2673" s="36" t="s">
        <v>13132</v>
      </c>
      <c r="S2673" s="36" t="s">
        <v>13133</v>
      </c>
      <c r="T2673" s="28" t="s">
        <v>13134</v>
      </c>
      <c r="U2673" s="38" t="str">
        <f>HYPERLINK("https://www.ncbi.nlm.nih.gov/pubmed/23093133","PubMed")</f>
        <v>PubMed</v>
      </c>
      <c r="V2673" s="30"/>
      <c r="W2673" s="49"/>
      <c r="X2673" s="49"/>
      <c r="Y2673" s="35"/>
      <c r="Z2673" s="35"/>
      <c r="AA2673" s="35"/>
      <c r="AB2673" s="35"/>
      <c r="AC2673" s="35"/>
      <c r="AD2673" s="35"/>
      <c r="AE2673" s="35"/>
      <c r="AF2673" s="35"/>
      <c r="AG2673" s="35"/>
      <c r="AH2673" s="35"/>
      <c r="AI2673" s="35"/>
      <c r="AJ2673" s="35"/>
      <c r="AK2673" s="35"/>
      <c r="AL2673" s="35"/>
    </row>
    <row r="2674">
      <c r="A2674" s="39" t="s">
        <v>181</v>
      </c>
      <c r="B2674" s="75" t="s">
        <v>12857</v>
      </c>
      <c r="C2674" s="76" t="s">
        <v>13135</v>
      </c>
      <c r="D2674" s="47"/>
      <c r="E2674" s="22" t="s">
        <v>13136</v>
      </c>
      <c r="F2674" s="22" t="s">
        <v>13137</v>
      </c>
      <c r="G2674" s="23">
        <v>2024.0</v>
      </c>
      <c r="H2674" s="22" t="s">
        <v>2375</v>
      </c>
      <c r="I2674" s="24" t="s">
        <v>13138</v>
      </c>
      <c r="J2674" s="22" t="s">
        <v>13139</v>
      </c>
      <c r="K2674" s="22"/>
      <c r="L2674" s="36">
        <v>830.0</v>
      </c>
      <c r="M2674" s="36"/>
      <c r="N2674" s="36"/>
      <c r="O2674" s="36"/>
      <c r="P2674" s="37" t="s">
        <v>254</v>
      </c>
      <c r="Q2674" s="36"/>
      <c r="R2674" s="36"/>
      <c r="S2674" s="36"/>
      <c r="T2674" s="41" t="s">
        <v>13140</v>
      </c>
      <c r="U2674" s="38" t="s">
        <v>61</v>
      </c>
      <c r="V2674" s="30" t="s">
        <v>13141</v>
      </c>
      <c r="W2674" s="49"/>
      <c r="X2674" s="49"/>
      <c r="Y2674" s="35"/>
      <c r="Z2674" s="35"/>
      <c r="AA2674" s="35"/>
      <c r="AB2674" s="35"/>
      <c r="AC2674" s="35"/>
      <c r="AD2674" s="35"/>
      <c r="AE2674" s="35"/>
      <c r="AF2674" s="35"/>
      <c r="AG2674" s="35"/>
      <c r="AH2674" s="35"/>
      <c r="AI2674" s="35"/>
      <c r="AJ2674" s="35"/>
      <c r="AK2674" s="35"/>
      <c r="AL2674" s="35"/>
    </row>
    <row r="2675">
      <c r="A2675" s="39"/>
      <c r="B2675" s="75" t="s">
        <v>12857</v>
      </c>
      <c r="C2675" s="77" t="s">
        <v>13142</v>
      </c>
      <c r="D2675" s="47"/>
      <c r="E2675" s="22" t="s">
        <v>856</v>
      </c>
      <c r="F2675" s="22" t="s">
        <v>2250</v>
      </c>
      <c r="G2675" s="23">
        <v>2024.0</v>
      </c>
      <c r="H2675" s="22" t="s">
        <v>13143</v>
      </c>
      <c r="I2675" s="24" t="s">
        <v>13144</v>
      </c>
      <c r="J2675" s="22" t="s">
        <v>1078</v>
      </c>
      <c r="K2675" s="22"/>
      <c r="L2675" s="195" t="s">
        <v>13145</v>
      </c>
      <c r="M2675" s="44"/>
      <c r="N2675" s="44"/>
      <c r="O2675" s="44"/>
      <c r="P2675" s="44"/>
      <c r="Q2675" s="44"/>
      <c r="R2675" s="44"/>
      <c r="S2675" s="44"/>
      <c r="T2675" s="45"/>
      <c r="U2675" s="38" t="s">
        <v>61</v>
      </c>
      <c r="V2675" s="30"/>
      <c r="W2675" s="49"/>
      <c r="X2675" s="49"/>
      <c r="Y2675" s="35"/>
      <c r="Z2675" s="35"/>
      <c r="AA2675" s="35"/>
      <c r="AB2675" s="35"/>
      <c r="AC2675" s="35"/>
      <c r="AD2675" s="35"/>
      <c r="AE2675" s="35"/>
      <c r="AF2675" s="35"/>
      <c r="AG2675" s="35"/>
      <c r="AH2675" s="35"/>
      <c r="AI2675" s="35"/>
      <c r="AJ2675" s="35"/>
      <c r="AK2675" s="35"/>
      <c r="AL2675" s="35"/>
    </row>
    <row r="2676">
      <c r="A2676" s="39"/>
      <c r="B2676" s="75" t="s">
        <v>12857</v>
      </c>
      <c r="C2676" s="77" t="s">
        <v>13142</v>
      </c>
      <c r="D2676" s="47"/>
      <c r="E2676" s="22" t="s">
        <v>13146</v>
      </c>
      <c r="F2676" s="22" t="s">
        <v>697</v>
      </c>
      <c r="G2676" s="23">
        <v>2024.0</v>
      </c>
      <c r="H2676" s="22" t="s">
        <v>13147</v>
      </c>
      <c r="I2676" s="24" t="s">
        <v>13148</v>
      </c>
      <c r="J2676" s="22" t="s">
        <v>9864</v>
      </c>
      <c r="K2676" s="22"/>
      <c r="L2676" s="36"/>
      <c r="M2676" s="36"/>
      <c r="N2676" s="36"/>
      <c r="O2676" s="36"/>
      <c r="P2676" s="37"/>
      <c r="Q2676" s="36"/>
      <c r="R2676" s="36"/>
      <c r="S2676" s="36"/>
      <c r="T2676" s="28" t="s">
        <v>13149</v>
      </c>
      <c r="U2676" s="38" t="s">
        <v>61</v>
      </c>
      <c r="V2676" s="30" t="s">
        <v>174</v>
      </c>
      <c r="W2676" s="49"/>
      <c r="X2676" s="49"/>
      <c r="Y2676" s="35"/>
      <c r="Z2676" s="35"/>
      <c r="AA2676" s="35"/>
      <c r="AB2676" s="35"/>
      <c r="AC2676" s="35"/>
      <c r="AD2676" s="35"/>
      <c r="AE2676" s="35"/>
      <c r="AF2676" s="35"/>
      <c r="AG2676" s="35"/>
      <c r="AH2676" s="35"/>
      <c r="AI2676" s="35"/>
      <c r="AJ2676" s="35"/>
      <c r="AK2676" s="35"/>
      <c r="AL2676" s="35"/>
    </row>
    <row r="2677">
      <c r="A2677" s="39"/>
      <c r="B2677" s="75" t="s">
        <v>12857</v>
      </c>
      <c r="C2677" s="77" t="s">
        <v>13142</v>
      </c>
      <c r="D2677" s="47"/>
      <c r="E2677" s="22" t="s">
        <v>13150</v>
      </c>
      <c r="F2677" s="22" t="s">
        <v>13151</v>
      </c>
      <c r="G2677" s="23">
        <v>2023.0</v>
      </c>
      <c r="H2677" s="22" t="s">
        <v>13152</v>
      </c>
      <c r="I2677" s="24" t="s">
        <v>13153</v>
      </c>
      <c r="J2677" s="22" t="s">
        <v>13154</v>
      </c>
      <c r="K2677" s="22"/>
      <c r="L2677" s="36">
        <v>904.0</v>
      </c>
      <c r="M2677" s="36"/>
      <c r="N2677" s="36"/>
      <c r="O2677" s="36"/>
      <c r="P2677" s="37" t="s">
        <v>254</v>
      </c>
      <c r="Q2677" s="36"/>
      <c r="R2677" s="36"/>
      <c r="S2677" s="36" t="s">
        <v>4708</v>
      </c>
      <c r="T2677" s="28" t="s">
        <v>13155</v>
      </c>
      <c r="U2677" s="38" t="s">
        <v>61</v>
      </c>
      <c r="V2677" s="30"/>
      <c r="W2677" s="49"/>
      <c r="X2677" s="49"/>
      <c r="Y2677" s="35"/>
      <c r="Z2677" s="35"/>
      <c r="AA2677" s="35"/>
      <c r="AB2677" s="35"/>
      <c r="AC2677" s="35"/>
      <c r="AD2677" s="35"/>
      <c r="AE2677" s="35"/>
      <c r="AF2677" s="35"/>
      <c r="AG2677" s="35"/>
      <c r="AH2677" s="35"/>
      <c r="AI2677" s="35"/>
      <c r="AJ2677" s="35"/>
      <c r="AK2677" s="35"/>
      <c r="AL2677" s="35"/>
    </row>
    <row r="2678">
      <c r="A2678" s="39"/>
      <c r="B2678" s="75" t="s">
        <v>12857</v>
      </c>
      <c r="C2678" s="77" t="s">
        <v>13142</v>
      </c>
      <c r="D2678" s="47"/>
      <c r="E2678" s="22" t="s">
        <v>13156</v>
      </c>
      <c r="F2678" s="22" t="s">
        <v>224</v>
      </c>
      <c r="G2678" s="23">
        <v>2023.0</v>
      </c>
      <c r="H2678" s="22" t="s">
        <v>1667</v>
      </c>
      <c r="I2678" s="24" t="s">
        <v>13157</v>
      </c>
      <c r="J2678" s="22" t="s">
        <v>125</v>
      </c>
      <c r="K2678" s="22"/>
      <c r="L2678" s="105" t="s">
        <v>13158</v>
      </c>
      <c r="M2678" s="44"/>
      <c r="N2678" s="44"/>
      <c r="O2678" s="44"/>
      <c r="P2678" s="44"/>
      <c r="Q2678" s="44"/>
      <c r="R2678" s="44"/>
      <c r="S2678" s="44"/>
      <c r="T2678" s="45"/>
      <c r="U2678" s="38" t="s">
        <v>61</v>
      </c>
      <c r="V2678" s="30"/>
      <c r="W2678" s="49"/>
      <c r="X2678" s="49"/>
      <c r="Y2678" s="35"/>
      <c r="Z2678" s="35"/>
      <c r="AA2678" s="35"/>
      <c r="AB2678" s="35"/>
      <c r="AC2678" s="35"/>
      <c r="AD2678" s="35"/>
      <c r="AE2678" s="35"/>
      <c r="AF2678" s="35"/>
      <c r="AG2678" s="35"/>
      <c r="AH2678" s="35"/>
      <c r="AI2678" s="35"/>
      <c r="AJ2678" s="35"/>
      <c r="AK2678" s="35"/>
      <c r="AL2678" s="35"/>
    </row>
    <row r="2679">
      <c r="A2679" s="39"/>
      <c r="B2679" s="75" t="s">
        <v>12857</v>
      </c>
      <c r="C2679" s="77" t="s">
        <v>13142</v>
      </c>
      <c r="D2679" s="47"/>
      <c r="E2679" s="22" t="s">
        <v>13156</v>
      </c>
      <c r="F2679" s="22" t="s">
        <v>224</v>
      </c>
      <c r="G2679" s="23">
        <v>2023.0</v>
      </c>
      <c r="H2679" s="22" t="s">
        <v>1667</v>
      </c>
      <c r="I2679" s="24" t="s">
        <v>13159</v>
      </c>
      <c r="J2679" s="22" t="s">
        <v>125</v>
      </c>
      <c r="K2679" s="22"/>
      <c r="L2679" s="105" t="s">
        <v>13160</v>
      </c>
      <c r="M2679" s="44"/>
      <c r="N2679" s="44"/>
      <c r="O2679" s="44"/>
      <c r="P2679" s="44"/>
      <c r="Q2679" s="44"/>
      <c r="R2679" s="44"/>
      <c r="S2679" s="44"/>
      <c r="T2679" s="45"/>
      <c r="U2679" s="38" t="s">
        <v>61</v>
      </c>
      <c r="V2679" s="30"/>
      <c r="W2679" s="49"/>
      <c r="X2679" s="49"/>
      <c r="Y2679" s="35"/>
      <c r="Z2679" s="35"/>
      <c r="AA2679" s="35"/>
      <c r="AB2679" s="35"/>
      <c r="AC2679" s="35"/>
      <c r="AD2679" s="35"/>
      <c r="AE2679" s="35"/>
      <c r="AF2679" s="35"/>
      <c r="AG2679" s="35"/>
      <c r="AH2679" s="35"/>
      <c r="AI2679" s="35"/>
      <c r="AJ2679" s="35"/>
      <c r="AK2679" s="35"/>
      <c r="AL2679" s="35"/>
    </row>
    <row r="2680">
      <c r="A2680" s="39"/>
      <c r="B2680" s="75" t="s">
        <v>12857</v>
      </c>
      <c r="C2680" s="77" t="s">
        <v>13142</v>
      </c>
      <c r="D2680" s="47"/>
      <c r="E2680" s="22" t="s">
        <v>13161</v>
      </c>
      <c r="F2680" s="22" t="s">
        <v>13162</v>
      </c>
      <c r="G2680" s="23">
        <v>2023.0</v>
      </c>
      <c r="H2680" s="22" t="s">
        <v>91</v>
      </c>
      <c r="I2680" s="24" t="s">
        <v>13163</v>
      </c>
      <c r="J2680" s="22" t="s">
        <v>13164</v>
      </c>
      <c r="K2680" s="22" t="s">
        <v>13165</v>
      </c>
      <c r="L2680" s="36">
        <v>1064.0</v>
      </c>
      <c r="M2680" s="36">
        <v>10000.0</v>
      </c>
      <c r="N2680" s="36" t="s">
        <v>58</v>
      </c>
      <c r="O2680" s="36" t="s">
        <v>58</v>
      </c>
      <c r="P2680" s="37" t="s">
        <v>2848</v>
      </c>
      <c r="Q2680" s="36" t="s">
        <v>58</v>
      </c>
      <c r="R2680" s="36" t="s">
        <v>13166</v>
      </c>
      <c r="S2680" s="36" t="s">
        <v>8476</v>
      </c>
      <c r="T2680" s="41" t="s">
        <v>13167</v>
      </c>
      <c r="U2680" s="38" t="s">
        <v>61</v>
      </c>
      <c r="V2680" s="30"/>
      <c r="W2680" s="49"/>
      <c r="X2680" s="49"/>
      <c r="Y2680" s="35"/>
      <c r="Z2680" s="35"/>
      <c r="AA2680" s="35"/>
      <c r="AB2680" s="35"/>
      <c r="AC2680" s="35"/>
      <c r="AD2680" s="35"/>
      <c r="AE2680" s="35"/>
      <c r="AF2680" s="35"/>
      <c r="AG2680" s="35"/>
      <c r="AH2680" s="35"/>
      <c r="AI2680" s="35"/>
      <c r="AJ2680" s="35"/>
      <c r="AK2680" s="35"/>
      <c r="AL2680" s="35"/>
    </row>
    <row r="2681">
      <c r="A2681" s="39"/>
      <c r="B2681" s="75" t="s">
        <v>12857</v>
      </c>
      <c r="C2681" s="77" t="s">
        <v>13142</v>
      </c>
      <c r="D2681" s="47"/>
      <c r="E2681" s="22" t="s">
        <v>13168</v>
      </c>
      <c r="F2681" s="22" t="s">
        <v>274</v>
      </c>
      <c r="G2681" s="23">
        <v>2023.0</v>
      </c>
      <c r="H2681" s="22" t="s">
        <v>12224</v>
      </c>
      <c r="I2681" s="24" t="s">
        <v>13169</v>
      </c>
      <c r="J2681" s="22" t="s">
        <v>13170</v>
      </c>
      <c r="K2681" s="22" t="s">
        <v>13171</v>
      </c>
      <c r="L2681" s="36">
        <v>808.0</v>
      </c>
      <c r="M2681" s="36">
        <v>100.0</v>
      </c>
      <c r="N2681" s="36" t="s">
        <v>13172</v>
      </c>
      <c r="O2681" s="36" t="s">
        <v>13173</v>
      </c>
      <c r="P2681" s="37" t="s">
        <v>58</v>
      </c>
      <c r="Q2681" s="36" t="s">
        <v>13174</v>
      </c>
      <c r="R2681" s="36" t="s">
        <v>58</v>
      </c>
      <c r="S2681" s="36" t="s">
        <v>6552</v>
      </c>
      <c r="T2681" s="41" t="s">
        <v>13175</v>
      </c>
      <c r="U2681" s="38" t="s">
        <v>61</v>
      </c>
      <c r="V2681" s="30" t="s">
        <v>13176</v>
      </c>
      <c r="W2681" s="49"/>
      <c r="X2681" s="49"/>
      <c r="Y2681" s="35"/>
      <c r="Z2681" s="35"/>
      <c r="AA2681" s="35"/>
      <c r="AB2681" s="35"/>
      <c r="AC2681" s="35"/>
      <c r="AD2681" s="35"/>
      <c r="AE2681" s="35"/>
      <c r="AF2681" s="35"/>
      <c r="AG2681" s="35"/>
      <c r="AH2681" s="35"/>
      <c r="AI2681" s="35"/>
      <c r="AJ2681" s="35"/>
      <c r="AK2681" s="35"/>
      <c r="AL2681" s="35"/>
    </row>
    <row r="2682">
      <c r="A2682" s="39"/>
      <c r="B2682" s="75" t="s">
        <v>12857</v>
      </c>
      <c r="C2682" s="77" t="s">
        <v>13142</v>
      </c>
      <c r="D2682" s="47"/>
      <c r="E2682" s="22" t="s">
        <v>13177</v>
      </c>
      <c r="F2682" s="22" t="s">
        <v>4697</v>
      </c>
      <c r="G2682" s="23">
        <v>2023.0</v>
      </c>
      <c r="H2682" s="22" t="s">
        <v>3523</v>
      </c>
      <c r="I2682" s="24" t="s">
        <v>13178</v>
      </c>
      <c r="J2682" s="22" t="s">
        <v>13179</v>
      </c>
      <c r="K2682" s="22" t="s">
        <v>13180</v>
      </c>
      <c r="L2682" s="36" t="s">
        <v>13181</v>
      </c>
      <c r="M2682" s="36" t="s">
        <v>13182</v>
      </c>
      <c r="N2682" s="36"/>
      <c r="O2682" s="36" t="s">
        <v>13183</v>
      </c>
      <c r="P2682" s="37" t="s">
        <v>13184</v>
      </c>
      <c r="Q2682" s="36"/>
      <c r="R2682" s="36"/>
      <c r="S2682" s="36" t="s">
        <v>13185</v>
      </c>
      <c r="T2682" s="28" t="s">
        <v>13186</v>
      </c>
      <c r="U2682" s="38" t="s">
        <v>61</v>
      </c>
      <c r="V2682" s="30"/>
      <c r="W2682" s="49"/>
      <c r="X2682" s="49"/>
      <c r="Y2682" s="35"/>
      <c r="Z2682" s="35"/>
      <c r="AA2682" s="35"/>
      <c r="AB2682" s="35"/>
      <c r="AC2682" s="35"/>
      <c r="AD2682" s="35"/>
      <c r="AE2682" s="35"/>
      <c r="AF2682" s="35"/>
      <c r="AG2682" s="35"/>
      <c r="AH2682" s="35"/>
      <c r="AI2682" s="35"/>
      <c r="AJ2682" s="35"/>
      <c r="AK2682" s="35"/>
      <c r="AL2682" s="35"/>
    </row>
    <row r="2683">
      <c r="A2683" s="18"/>
      <c r="B2683" s="75" t="s">
        <v>12857</v>
      </c>
      <c r="C2683" s="77" t="s">
        <v>13142</v>
      </c>
      <c r="D2683" s="47"/>
      <c r="E2683" s="22" t="s">
        <v>1689</v>
      </c>
      <c r="F2683" s="22" t="s">
        <v>217</v>
      </c>
      <c r="G2683" s="23">
        <v>2023.0</v>
      </c>
      <c r="H2683" s="22" t="s">
        <v>4783</v>
      </c>
      <c r="I2683" s="24" t="s">
        <v>13187</v>
      </c>
      <c r="J2683" s="22" t="s">
        <v>1078</v>
      </c>
      <c r="K2683" s="22"/>
      <c r="L2683" s="105" t="s">
        <v>13188</v>
      </c>
      <c r="M2683" s="44"/>
      <c r="N2683" s="44"/>
      <c r="O2683" s="44"/>
      <c r="P2683" s="44"/>
      <c r="Q2683" s="44"/>
      <c r="R2683" s="44"/>
      <c r="S2683" s="44"/>
      <c r="T2683" s="45"/>
      <c r="U2683" s="38" t="s">
        <v>61</v>
      </c>
      <c r="V2683" s="30"/>
      <c r="W2683" s="49"/>
      <c r="X2683" s="49"/>
      <c r="Y2683" s="35"/>
      <c r="Z2683" s="35"/>
      <c r="AA2683" s="35"/>
      <c r="AB2683" s="35"/>
      <c r="AC2683" s="35"/>
      <c r="AD2683" s="35"/>
      <c r="AE2683" s="35"/>
      <c r="AF2683" s="35"/>
      <c r="AG2683" s="35"/>
      <c r="AH2683" s="35"/>
      <c r="AI2683" s="35"/>
      <c r="AJ2683" s="35"/>
      <c r="AK2683" s="35"/>
      <c r="AL2683" s="35"/>
    </row>
    <row r="2684">
      <c r="A2684" s="40" t="s">
        <v>181</v>
      </c>
      <c r="B2684" s="75" t="s">
        <v>12857</v>
      </c>
      <c r="C2684" s="77" t="s">
        <v>13142</v>
      </c>
      <c r="D2684" s="47"/>
      <c r="E2684" s="22" t="s">
        <v>13189</v>
      </c>
      <c r="F2684" s="22" t="s">
        <v>1677</v>
      </c>
      <c r="G2684" s="23">
        <v>2023.0</v>
      </c>
      <c r="H2684" s="22" t="s">
        <v>13190</v>
      </c>
      <c r="I2684" s="24" t="s">
        <v>13191</v>
      </c>
      <c r="J2684" s="22" t="s">
        <v>13192</v>
      </c>
      <c r="K2684" s="22" t="s">
        <v>13193</v>
      </c>
      <c r="L2684" s="36"/>
      <c r="M2684" s="36"/>
      <c r="N2684" s="36"/>
      <c r="O2684" s="36"/>
      <c r="P2684" s="37" t="s">
        <v>70</v>
      </c>
      <c r="Q2684" s="36"/>
      <c r="R2684" s="36">
        <v>900.0</v>
      </c>
      <c r="S2684" s="36" t="s">
        <v>4387</v>
      </c>
      <c r="T2684" s="42" t="s">
        <v>13194</v>
      </c>
      <c r="U2684" s="38" t="s">
        <v>61</v>
      </c>
      <c r="V2684" s="30" t="s">
        <v>13195</v>
      </c>
      <c r="W2684" s="49"/>
      <c r="X2684" s="49"/>
      <c r="Y2684" s="35"/>
      <c r="Z2684" s="35"/>
      <c r="AA2684" s="35"/>
      <c r="AB2684" s="35"/>
      <c r="AC2684" s="35"/>
      <c r="AD2684" s="35"/>
      <c r="AE2684" s="35"/>
      <c r="AF2684" s="35"/>
      <c r="AG2684" s="35"/>
      <c r="AH2684" s="35"/>
      <c r="AI2684" s="35"/>
      <c r="AJ2684" s="35"/>
      <c r="AK2684" s="35"/>
      <c r="AL2684" s="35"/>
    </row>
    <row r="2685">
      <c r="A2685" s="18" t="s">
        <v>38</v>
      </c>
      <c r="B2685" s="75" t="s">
        <v>12857</v>
      </c>
      <c r="C2685" s="77" t="s">
        <v>13142</v>
      </c>
      <c r="D2685" s="47"/>
      <c r="E2685" s="22" t="s">
        <v>13196</v>
      </c>
      <c r="F2685" s="22" t="s">
        <v>13197</v>
      </c>
      <c r="G2685" s="23">
        <v>2022.0</v>
      </c>
      <c r="H2685" s="22" t="s">
        <v>13021</v>
      </c>
      <c r="I2685" s="24" t="s">
        <v>13198</v>
      </c>
      <c r="J2685" s="22" t="s">
        <v>125</v>
      </c>
      <c r="K2685" s="22"/>
      <c r="L2685" s="105" t="s">
        <v>13199</v>
      </c>
      <c r="M2685" s="44"/>
      <c r="N2685" s="44"/>
      <c r="O2685" s="44"/>
      <c r="P2685" s="44"/>
      <c r="Q2685" s="44"/>
      <c r="R2685" s="44"/>
      <c r="S2685" s="44"/>
      <c r="T2685" s="45"/>
      <c r="U2685" s="38" t="s">
        <v>61</v>
      </c>
      <c r="V2685" s="30"/>
      <c r="W2685" s="49"/>
      <c r="X2685" s="49"/>
      <c r="Y2685" s="35"/>
      <c r="Z2685" s="35"/>
      <c r="AA2685" s="35"/>
      <c r="AB2685" s="35"/>
      <c r="AC2685" s="35"/>
      <c r="AD2685" s="35"/>
      <c r="AE2685" s="35"/>
      <c r="AF2685" s="35"/>
      <c r="AG2685" s="35"/>
      <c r="AH2685" s="35"/>
      <c r="AI2685" s="35"/>
      <c r="AJ2685" s="35"/>
      <c r="AK2685" s="35"/>
      <c r="AL2685" s="35"/>
    </row>
    <row r="2686">
      <c r="A2686" s="39"/>
      <c r="B2686" s="75" t="s">
        <v>12857</v>
      </c>
      <c r="C2686" s="77" t="s">
        <v>13142</v>
      </c>
      <c r="D2686" s="47"/>
      <c r="E2686" s="22" t="s">
        <v>2195</v>
      </c>
      <c r="F2686" s="22" t="s">
        <v>3522</v>
      </c>
      <c r="G2686" s="23">
        <v>2022.0</v>
      </c>
      <c r="H2686" s="22" t="s">
        <v>960</v>
      </c>
      <c r="I2686" s="24" t="s">
        <v>13200</v>
      </c>
      <c r="J2686" s="22" t="s">
        <v>13201</v>
      </c>
      <c r="K2686" s="22"/>
      <c r="L2686" s="36" t="s">
        <v>13202</v>
      </c>
      <c r="M2686" s="36" t="s">
        <v>13203</v>
      </c>
      <c r="N2686" s="36"/>
      <c r="O2686" s="36"/>
      <c r="P2686" s="37"/>
      <c r="Q2686" s="36"/>
      <c r="R2686" s="36" t="s">
        <v>13204</v>
      </c>
      <c r="S2686" s="36" t="s">
        <v>13205</v>
      </c>
      <c r="T2686" s="28" t="s">
        <v>13206</v>
      </c>
      <c r="U2686" s="38" t="s">
        <v>61</v>
      </c>
      <c r="V2686" s="30" t="s">
        <v>13207</v>
      </c>
      <c r="W2686" s="49"/>
      <c r="X2686" s="49"/>
      <c r="Y2686" s="35"/>
      <c r="Z2686" s="35"/>
      <c r="AA2686" s="35"/>
      <c r="AB2686" s="35"/>
      <c r="AC2686" s="35"/>
      <c r="AD2686" s="35"/>
      <c r="AE2686" s="35"/>
      <c r="AF2686" s="35"/>
      <c r="AG2686" s="35"/>
      <c r="AH2686" s="35"/>
      <c r="AI2686" s="35"/>
      <c r="AJ2686" s="35"/>
      <c r="AK2686" s="35"/>
      <c r="AL2686" s="35"/>
    </row>
    <row r="2687">
      <c r="A2687" s="39"/>
      <c r="B2687" s="75" t="s">
        <v>12857</v>
      </c>
      <c r="C2687" s="77" t="s">
        <v>13142</v>
      </c>
      <c r="D2687" s="47"/>
      <c r="E2687" s="22" t="s">
        <v>13208</v>
      </c>
      <c r="F2687" s="22" t="s">
        <v>6233</v>
      </c>
      <c r="G2687" s="23">
        <v>2022.0</v>
      </c>
      <c r="H2687" s="22" t="s">
        <v>13209</v>
      </c>
      <c r="I2687" s="24" t="s">
        <v>13210</v>
      </c>
      <c r="J2687" s="22" t="s">
        <v>1078</v>
      </c>
      <c r="K2687" s="22"/>
      <c r="L2687" s="105" t="s">
        <v>13211</v>
      </c>
      <c r="M2687" s="44"/>
      <c r="N2687" s="44"/>
      <c r="O2687" s="44"/>
      <c r="P2687" s="44"/>
      <c r="Q2687" s="44"/>
      <c r="R2687" s="44"/>
      <c r="S2687" s="44"/>
      <c r="T2687" s="45"/>
      <c r="U2687" s="38" t="s">
        <v>61</v>
      </c>
      <c r="V2687" s="30"/>
      <c r="W2687" s="49"/>
      <c r="X2687" s="49"/>
      <c r="Y2687" s="35"/>
      <c r="Z2687" s="35"/>
      <c r="AA2687" s="35"/>
      <c r="AB2687" s="35"/>
      <c r="AC2687" s="35"/>
      <c r="AD2687" s="35"/>
      <c r="AE2687" s="35"/>
      <c r="AF2687" s="35"/>
      <c r="AG2687" s="35"/>
      <c r="AH2687" s="35"/>
      <c r="AI2687" s="35"/>
      <c r="AJ2687" s="35"/>
      <c r="AK2687" s="35"/>
      <c r="AL2687" s="35"/>
    </row>
    <row r="2688">
      <c r="A2688" s="39"/>
      <c r="B2688" s="75" t="s">
        <v>12857</v>
      </c>
      <c r="C2688" s="77" t="s">
        <v>13142</v>
      </c>
      <c r="D2688" s="47"/>
      <c r="E2688" s="22" t="s">
        <v>13212</v>
      </c>
      <c r="F2688" s="22" t="s">
        <v>3916</v>
      </c>
      <c r="G2688" s="23">
        <v>2023.0</v>
      </c>
      <c r="H2688" s="22" t="s">
        <v>2181</v>
      </c>
      <c r="I2688" s="24" t="s">
        <v>13213</v>
      </c>
      <c r="J2688" s="22" t="s">
        <v>13214</v>
      </c>
      <c r="K2688" s="22"/>
      <c r="L2688" s="36" t="s">
        <v>112</v>
      </c>
      <c r="M2688" s="36"/>
      <c r="N2688" s="36"/>
      <c r="O2688" s="36"/>
      <c r="P2688" s="37"/>
      <c r="Q2688" s="36"/>
      <c r="R2688" s="36"/>
      <c r="S2688" s="36"/>
      <c r="T2688" s="28" t="s">
        <v>13215</v>
      </c>
      <c r="U2688" s="38" t="s">
        <v>61</v>
      </c>
      <c r="V2688" s="30"/>
      <c r="W2688" s="49"/>
      <c r="X2688" s="49"/>
      <c r="Y2688" s="35"/>
      <c r="Z2688" s="35"/>
      <c r="AA2688" s="35"/>
      <c r="AB2688" s="35"/>
      <c r="AC2688" s="35"/>
      <c r="AD2688" s="35"/>
      <c r="AE2688" s="35"/>
      <c r="AF2688" s="35"/>
      <c r="AG2688" s="35"/>
      <c r="AH2688" s="35"/>
      <c r="AI2688" s="35"/>
      <c r="AJ2688" s="35"/>
      <c r="AK2688" s="35"/>
      <c r="AL2688" s="35"/>
    </row>
    <row r="2689">
      <c r="A2689" s="39" t="s">
        <v>2</v>
      </c>
      <c r="B2689" s="75" t="s">
        <v>12857</v>
      </c>
      <c r="C2689" s="77" t="s">
        <v>13142</v>
      </c>
      <c r="D2689" s="47"/>
      <c r="E2689" s="22" t="s">
        <v>992</v>
      </c>
      <c r="F2689" s="22" t="s">
        <v>41</v>
      </c>
      <c r="G2689" s="23">
        <v>2022.0</v>
      </c>
      <c r="H2689" s="22" t="s">
        <v>77</v>
      </c>
      <c r="I2689" s="24" t="s">
        <v>13216</v>
      </c>
      <c r="J2689" s="22" t="s">
        <v>13217</v>
      </c>
      <c r="K2689" s="22" t="s">
        <v>13218</v>
      </c>
      <c r="L2689" s="36">
        <v>850.0</v>
      </c>
      <c r="M2689" s="36"/>
      <c r="N2689" s="36"/>
      <c r="O2689" s="36" t="s">
        <v>13219</v>
      </c>
      <c r="P2689" s="37"/>
      <c r="Q2689" s="36"/>
      <c r="R2689" s="36"/>
      <c r="S2689" s="36" t="s">
        <v>7333</v>
      </c>
      <c r="T2689" s="28" t="s">
        <v>13220</v>
      </c>
      <c r="U2689" s="38" t="s">
        <v>61</v>
      </c>
      <c r="V2689" s="30"/>
      <c r="W2689" s="49"/>
      <c r="X2689" s="49"/>
      <c r="Y2689" s="35"/>
      <c r="Z2689" s="35"/>
      <c r="AA2689" s="35"/>
      <c r="AB2689" s="35"/>
      <c r="AC2689" s="35"/>
      <c r="AD2689" s="35"/>
      <c r="AE2689" s="35"/>
      <c r="AF2689" s="35"/>
      <c r="AG2689" s="35"/>
      <c r="AH2689" s="35"/>
      <c r="AI2689" s="35"/>
      <c r="AJ2689" s="35"/>
      <c r="AK2689" s="35"/>
      <c r="AL2689" s="35"/>
    </row>
    <row r="2690">
      <c r="A2690" s="39"/>
      <c r="B2690" s="75" t="s">
        <v>12857</v>
      </c>
      <c r="C2690" s="77" t="s">
        <v>13142</v>
      </c>
      <c r="D2690" s="47"/>
      <c r="E2690" s="22" t="s">
        <v>13221</v>
      </c>
      <c r="F2690" s="22" t="s">
        <v>2214</v>
      </c>
      <c r="G2690" s="23">
        <v>2022.0</v>
      </c>
      <c r="H2690" s="22" t="s">
        <v>13222</v>
      </c>
      <c r="I2690" s="24" t="s">
        <v>13223</v>
      </c>
      <c r="J2690" s="22" t="s">
        <v>13224</v>
      </c>
      <c r="K2690" s="22"/>
      <c r="L2690" s="36" t="s">
        <v>4503</v>
      </c>
      <c r="M2690" s="36" t="s">
        <v>58</v>
      </c>
      <c r="N2690" s="36" t="s">
        <v>58</v>
      </c>
      <c r="O2690" s="36" t="s">
        <v>13225</v>
      </c>
      <c r="P2690" s="37" t="s">
        <v>13226</v>
      </c>
      <c r="Q2690" s="36" t="s">
        <v>13227</v>
      </c>
      <c r="R2690" s="36">
        <v>480.0</v>
      </c>
      <c r="S2690" s="36" t="s">
        <v>13228</v>
      </c>
      <c r="T2690" s="42" t="s">
        <v>13229</v>
      </c>
      <c r="U2690" s="38" t="s">
        <v>61</v>
      </c>
      <c r="V2690" s="30" t="s">
        <v>13230</v>
      </c>
      <c r="W2690" s="49"/>
      <c r="X2690" s="49"/>
      <c r="Y2690" s="35"/>
      <c r="Z2690" s="35"/>
      <c r="AA2690" s="35"/>
      <c r="AB2690" s="35"/>
      <c r="AC2690" s="35"/>
      <c r="AD2690" s="35"/>
      <c r="AE2690" s="35"/>
      <c r="AF2690" s="35"/>
      <c r="AG2690" s="35"/>
      <c r="AH2690" s="35"/>
      <c r="AI2690" s="35"/>
      <c r="AJ2690" s="35"/>
      <c r="AK2690" s="35"/>
      <c r="AL2690" s="35"/>
    </row>
    <row r="2691">
      <c r="A2691" s="39"/>
      <c r="B2691" s="75" t="s">
        <v>12857</v>
      </c>
      <c r="C2691" s="77" t="s">
        <v>13142</v>
      </c>
      <c r="D2691" s="47"/>
      <c r="E2691" s="22" t="s">
        <v>13231</v>
      </c>
      <c r="F2691" s="22" t="s">
        <v>1465</v>
      </c>
      <c r="G2691" s="23">
        <v>2022.0</v>
      </c>
      <c r="H2691" s="22" t="s">
        <v>3963</v>
      </c>
      <c r="I2691" s="24" t="s">
        <v>13232</v>
      </c>
      <c r="J2691" s="22" t="s">
        <v>13233</v>
      </c>
      <c r="K2691" s="22"/>
      <c r="L2691" s="36">
        <v>904.0</v>
      </c>
      <c r="M2691" s="36">
        <v>60.0</v>
      </c>
      <c r="N2691" s="36"/>
      <c r="O2691" s="36" t="s">
        <v>13234</v>
      </c>
      <c r="P2691" s="37"/>
      <c r="Q2691" s="36"/>
      <c r="R2691" s="36"/>
      <c r="S2691" s="36" t="s">
        <v>8476</v>
      </c>
      <c r="T2691" s="41" t="s">
        <v>13235</v>
      </c>
      <c r="U2691" s="29" t="s">
        <v>61</v>
      </c>
      <c r="V2691" s="30"/>
      <c r="W2691" s="49"/>
      <c r="X2691" s="49"/>
      <c r="Y2691" s="35"/>
      <c r="Z2691" s="35"/>
      <c r="AA2691" s="35"/>
      <c r="AB2691" s="35"/>
      <c r="AC2691" s="35"/>
      <c r="AD2691" s="35"/>
      <c r="AE2691" s="35"/>
      <c r="AF2691" s="35"/>
      <c r="AG2691" s="35"/>
      <c r="AH2691" s="35"/>
      <c r="AI2691" s="35"/>
      <c r="AJ2691" s="35"/>
      <c r="AK2691" s="35"/>
      <c r="AL2691" s="35"/>
    </row>
    <row r="2692">
      <c r="A2692" s="39"/>
      <c r="B2692" s="75" t="s">
        <v>12857</v>
      </c>
      <c r="C2692" s="77" t="s">
        <v>13142</v>
      </c>
      <c r="D2692" s="47"/>
      <c r="E2692" s="22" t="s">
        <v>1517</v>
      </c>
      <c r="F2692" s="22" t="s">
        <v>41</v>
      </c>
      <c r="G2692" s="23">
        <v>2021.0</v>
      </c>
      <c r="H2692" s="22" t="s">
        <v>91</v>
      </c>
      <c r="I2692" s="24" t="s">
        <v>13236</v>
      </c>
      <c r="J2692" s="22" t="s">
        <v>55</v>
      </c>
      <c r="K2692" s="22"/>
      <c r="L2692" s="36">
        <v>808.0</v>
      </c>
      <c r="M2692" s="36"/>
      <c r="N2692" s="36"/>
      <c r="O2692" s="36" t="s">
        <v>13237</v>
      </c>
      <c r="P2692" s="37"/>
      <c r="Q2692" s="36"/>
      <c r="R2692" s="36"/>
      <c r="S2692" s="36"/>
      <c r="T2692" s="28" t="s">
        <v>13238</v>
      </c>
      <c r="U2692" s="29" t="s">
        <v>61</v>
      </c>
      <c r="V2692" s="30"/>
      <c r="W2692" s="49"/>
      <c r="X2692" s="49"/>
      <c r="Y2692" s="35"/>
      <c r="Z2692" s="35"/>
      <c r="AA2692" s="35"/>
      <c r="AB2692" s="35"/>
      <c r="AC2692" s="35"/>
      <c r="AD2692" s="35"/>
      <c r="AE2692" s="35"/>
      <c r="AF2692" s="35"/>
      <c r="AG2692" s="35"/>
      <c r="AH2692" s="35"/>
      <c r="AI2692" s="35"/>
      <c r="AJ2692" s="35"/>
      <c r="AK2692" s="35"/>
      <c r="AL2692" s="35"/>
    </row>
    <row r="2693">
      <c r="A2693" s="39"/>
      <c r="B2693" s="75" t="s">
        <v>12857</v>
      </c>
      <c r="C2693" s="77" t="s">
        <v>13142</v>
      </c>
      <c r="D2693" s="47"/>
      <c r="E2693" s="22" t="s">
        <v>13177</v>
      </c>
      <c r="F2693" s="22" t="s">
        <v>4697</v>
      </c>
      <c r="G2693" s="23">
        <v>2021.0</v>
      </c>
      <c r="H2693" s="22" t="s">
        <v>4733</v>
      </c>
      <c r="I2693" s="24" t="s">
        <v>13239</v>
      </c>
      <c r="J2693" s="22" t="s">
        <v>1078</v>
      </c>
      <c r="K2693" s="22"/>
      <c r="L2693" s="105" t="s">
        <v>13240</v>
      </c>
      <c r="M2693" s="44"/>
      <c r="N2693" s="44"/>
      <c r="O2693" s="44"/>
      <c r="P2693" s="44"/>
      <c r="Q2693" s="44"/>
      <c r="R2693" s="44"/>
      <c r="S2693" s="44"/>
      <c r="T2693" s="45"/>
      <c r="U2693" s="29" t="s">
        <v>61</v>
      </c>
      <c r="V2693" s="30"/>
      <c r="W2693" s="49"/>
      <c r="X2693" s="49"/>
      <c r="Y2693" s="35"/>
      <c r="Z2693" s="35"/>
      <c r="AA2693" s="35"/>
      <c r="AB2693" s="35"/>
      <c r="AC2693" s="35"/>
      <c r="AD2693" s="35"/>
      <c r="AE2693" s="35"/>
      <c r="AF2693" s="35"/>
      <c r="AG2693" s="35"/>
      <c r="AH2693" s="35"/>
      <c r="AI2693" s="35"/>
      <c r="AJ2693" s="35"/>
      <c r="AK2693" s="35"/>
      <c r="AL2693" s="35"/>
    </row>
    <row r="2694">
      <c r="A2694" s="39"/>
      <c r="B2694" s="75" t="s">
        <v>12857</v>
      </c>
      <c r="C2694" s="77" t="s">
        <v>13142</v>
      </c>
      <c r="D2694" s="47"/>
      <c r="E2694" s="22" t="s">
        <v>13241</v>
      </c>
      <c r="F2694" s="22" t="s">
        <v>530</v>
      </c>
      <c r="G2694" s="23">
        <v>2021.0</v>
      </c>
      <c r="H2694" s="22" t="s">
        <v>13242</v>
      </c>
      <c r="I2694" s="24" t="s">
        <v>13243</v>
      </c>
      <c r="J2694" s="22" t="s">
        <v>13244</v>
      </c>
      <c r="K2694" s="22"/>
      <c r="L2694" s="36">
        <v>808.0</v>
      </c>
      <c r="M2694" s="36">
        <v>100.0</v>
      </c>
      <c r="N2694" s="36">
        <v>2.0</v>
      </c>
      <c r="O2694" s="36" t="s">
        <v>13245</v>
      </c>
      <c r="P2694" s="37" t="s">
        <v>11771</v>
      </c>
      <c r="Q2694" s="36" t="s">
        <v>13246</v>
      </c>
      <c r="R2694" s="36" t="s">
        <v>13247</v>
      </c>
      <c r="S2694" s="36" t="s">
        <v>2680</v>
      </c>
      <c r="T2694" s="28" t="s">
        <v>13248</v>
      </c>
      <c r="U2694" s="29" t="s">
        <v>61</v>
      </c>
      <c r="V2694" s="30"/>
      <c r="W2694" s="49"/>
      <c r="X2694" s="49"/>
      <c r="Y2694" s="35"/>
      <c r="Z2694" s="35"/>
      <c r="AA2694" s="35"/>
      <c r="AB2694" s="35"/>
      <c r="AC2694" s="35"/>
      <c r="AD2694" s="35"/>
      <c r="AE2694" s="35"/>
      <c r="AF2694" s="35"/>
      <c r="AG2694" s="35"/>
      <c r="AH2694" s="35"/>
      <c r="AI2694" s="35"/>
      <c r="AJ2694" s="35"/>
      <c r="AK2694" s="35"/>
      <c r="AL2694" s="35"/>
    </row>
    <row r="2695">
      <c r="A2695" s="39"/>
      <c r="B2695" s="75" t="s">
        <v>12857</v>
      </c>
      <c r="C2695" s="77" t="s">
        <v>13142</v>
      </c>
      <c r="D2695" s="47"/>
      <c r="E2695" s="22" t="s">
        <v>13249</v>
      </c>
      <c r="F2695" s="22" t="s">
        <v>1046</v>
      </c>
      <c r="G2695" s="23">
        <v>2021.0</v>
      </c>
      <c r="H2695" s="22" t="s">
        <v>147</v>
      </c>
      <c r="I2695" s="24" t="s">
        <v>13250</v>
      </c>
      <c r="J2695" s="22" t="s">
        <v>13251</v>
      </c>
      <c r="K2695" s="22" t="s">
        <v>13252</v>
      </c>
      <c r="L2695" s="36">
        <v>980.0</v>
      </c>
      <c r="M2695" s="36"/>
      <c r="N2695" s="36"/>
      <c r="O2695" s="36" t="s">
        <v>962</v>
      </c>
      <c r="P2695" s="37"/>
      <c r="Q2695" s="36" t="s">
        <v>13253</v>
      </c>
      <c r="R2695" s="36" t="s">
        <v>13254</v>
      </c>
      <c r="S2695" s="36" t="s">
        <v>4905</v>
      </c>
      <c r="T2695" s="42" t="s">
        <v>13255</v>
      </c>
      <c r="U2695" s="29" t="s">
        <v>61</v>
      </c>
      <c r="V2695" s="30"/>
      <c r="W2695" s="49"/>
      <c r="X2695" s="49"/>
      <c r="Y2695" s="35"/>
      <c r="Z2695" s="35"/>
      <c r="AA2695" s="35"/>
      <c r="AB2695" s="35"/>
      <c r="AC2695" s="35"/>
      <c r="AD2695" s="35"/>
      <c r="AE2695" s="35"/>
      <c r="AF2695" s="35"/>
      <c r="AG2695" s="35"/>
      <c r="AH2695" s="35"/>
      <c r="AI2695" s="35"/>
      <c r="AJ2695" s="35"/>
      <c r="AK2695" s="35"/>
      <c r="AL2695" s="35"/>
    </row>
    <row r="2696">
      <c r="A2696" s="39"/>
      <c r="B2696" s="75" t="s">
        <v>12857</v>
      </c>
      <c r="C2696" s="77" t="s">
        <v>13142</v>
      </c>
      <c r="D2696" s="47"/>
      <c r="E2696" s="22" t="s">
        <v>13256</v>
      </c>
      <c r="F2696" s="22" t="s">
        <v>41</v>
      </c>
      <c r="G2696" s="23">
        <v>2021.0</v>
      </c>
      <c r="H2696" s="22" t="s">
        <v>13257</v>
      </c>
      <c r="I2696" s="24" t="s">
        <v>13258</v>
      </c>
      <c r="J2696" s="22" t="s">
        <v>13259</v>
      </c>
      <c r="K2696" s="22" t="s">
        <v>10183</v>
      </c>
      <c r="L2696" s="36">
        <v>904.0</v>
      </c>
      <c r="M2696" s="36">
        <v>40.0</v>
      </c>
      <c r="N2696" s="36"/>
      <c r="O2696" s="36" t="s">
        <v>13260</v>
      </c>
      <c r="P2696" s="37"/>
      <c r="Q2696" s="36" t="s">
        <v>13261</v>
      </c>
      <c r="R2696" s="36">
        <v>675.0</v>
      </c>
      <c r="S2696" s="36" t="s">
        <v>4905</v>
      </c>
      <c r="T2696" s="28" t="s">
        <v>13262</v>
      </c>
      <c r="U2696" s="29" t="s">
        <v>61</v>
      </c>
      <c r="V2696" s="30"/>
      <c r="W2696" s="49"/>
      <c r="X2696" s="49"/>
      <c r="Y2696" s="35"/>
      <c r="Z2696" s="35"/>
      <c r="AA2696" s="35"/>
      <c r="AB2696" s="35"/>
      <c r="AC2696" s="35"/>
      <c r="AD2696" s="35"/>
      <c r="AE2696" s="35"/>
      <c r="AF2696" s="35"/>
      <c r="AG2696" s="35"/>
      <c r="AH2696" s="35"/>
      <c r="AI2696" s="35"/>
      <c r="AJ2696" s="35"/>
      <c r="AK2696" s="35"/>
      <c r="AL2696" s="35"/>
    </row>
    <row r="2697">
      <c r="A2697" s="39"/>
      <c r="B2697" s="75" t="s">
        <v>12857</v>
      </c>
      <c r="C2697" s="77" t="s">
        <v>13142</v>
      </c>
      <c r="D2697" s="47"/>
      <c r="E2697" s="22" t="s">
        <v>13231</v>
      </c>
      <c r="F2697" s="22" t="s">
        <v>1465</v>
      </c>
      <c r="G2697" s="23">
        <v>2021.0</v>
      </c>
      <c r="H2697" s="22" t="s">
        <v>13263</v>
      </c>
      <c r="I2697" s="24" t="s">
        <v>13264</v>
      </c>
      <c r="J2697" s="22" t="s">
        <v>2141</v>
      </c>
      <c r="K2697" s="22"/>
      <c r="L2697" s="168"/>
      <c r="M2697" s="168"/>
      <c r="N2697" s="168"/>
      <c r="O2697" s="168"/>
      <c r="P2697" s="169"/>
      <c r="Q2697" s="168"/>
      <c r="R2697" s="168"/>
      <c r="S2697" s="168"/>
      <c r="T2697" s="185" t="s">
        <v>13265</v>
      </c>
      <c r="U2697" s="29" t="s">
        <v>61</v>
      </c>
      <c r="V2697" s="30"/>
      <c r="W2697" s="49"/>
      <c r="X2697" s="49"/>
      <c r="Y2697" s="35"/>
      <c r="Z2697" s="35"/>
      <c r="AA2697" s="35"/>
      <c r="AB2697" s="35"/>
      <c r="AC2697" s="35"/>
      <c r="AD2697" s="35"/>
      <c r="AE2697" s="35"/>
      <c r="AF2697" s="35"/>
      <c r="AG2697" s="35"/>
      <c r="AH2697" s="35"/>
      <c r="AI2697" s="35"/>
      <c r="AJ2697" s="35"/>
      <c r="AK2697" s="35"/>
      <c r="AL2697" s="35"/>
    </row>
    <row r="2698">
      <c r="A2698" s="39"/>
      <c r="B2698" s="75" t="s">
        <v>12857</v>
      </c>
      <c r="C2698" s="77" t="s">
        <v>13142</v>
      </c>
      <c r="D2698" s="47"/>
      <c r="E2698" s="22" t="s">
        <v>13241</v>
      </c>
      <c r="F2698" s="22" t="s">
        <v>530</v>
      </c>
      <c r="G2698" s="23">
        <v>2021.0</v>
      </c>
      <c r="H2698" s="22" t="s">
        <v>91</v>
      </c>
      <c r="I2698" s="24" t="s">
        <v>13266</v>
      </c>
      <c r="J2698" s="22" t="s">
        <v>649</v>
      </c>
      <c r="K2698" s="22"/>
      <c r="L2698" s="167" t="s">
        <v>13267</v>
      </c>
      <c r="M2698" s="44"/>
      <c r="N2698" s="44"/>
      <c r="O2698" s="44"/>
      <c r="P2698" s="44"/>
      <c r="Q2698" s="44"/>
      <c r="R2698" s="44"/>
      <c r="S2698" s="44"/>
      <c r="T2698" s="45"/>
      <c r="U2698" s="29" t="s">
        <v>61</v>
      </c>
      <c r="V2698" s="30"/>
      <c r="W2698" s="49"/>
      <c r="X2698" s="49"/>
      <c r="Y2698" s="35"/>
      <c r="Z2698" s="35"/>
      <c r="AA2698" s="35"/>
      <c r="AB2698" s="35"/>
      <c r="AC2698" s="35"/>
      <c r="AD2698" s="35"/>
      <c r="AE2698" s="35"/>
      <c r="AF2698" s="35"/>
      <c r="AG2698" s="35"/>
      <c r="AH2698" s="35"/>
      <c r="AI2698" s="35"/>
      <c r="AJ2698" s="35"/>
      <c r="AK2698" s="35"/>
      <c r="AL2698" s="35"/>
    </row>
    <row r="2699">
      <c r="A2699" s="39"/>
      <c r="B2699" s="75" t="s">
        <v>12857</v>
      </c>
      <c r="C2699" s="76" t="s">
        <v>13268</v>
      </c>
      <c r="D2699" s="47"/>
      <c r="E2699" s="22" t="s">
        <v>13269</v>
      </c>
      <c r="F2699" s="22" t="s">
        <v>323</v>
      </c>
      <c r="G2699" s="23">
        <v>2021.0</v>
      </c>
      <c r="H2699" s="22" t="s">
        <v>91</v>
      </c>
      <c r="I2699" s="24" t="s">
        <v>13270</v>
      </c>
      <c r="J2699" s="22" t="s">
        <v>31</v>
      </c>
      <c r="K2699" s="22"/>
      <c r="L2699" s="94">
        <v>660.0</v>
      </c>
      <c r="M2699" s="94"/>
      <c r="N2699" s="94"/>
      <c r="O2699" s="94"/>
      <c r="P2699" s="95" t="s">
        <v>969</v>
      </c>
      <c r="Q2699" s="94"/>
      <c r="R2699" s="94">
        <v>90.0</v>
      </c>
      <c r="S2699" s="94"/>
      <c r="T2699" s="42" t="s">
        <v>13271</v>
      </c>
      <c r="U2699" s="29" t="s">
        <v>61</v>
      </c>
      <c r="V2699" s="30"/>
      <c r="W2699" s="49"/>
      <c r="X2699" s="49"/>
      <c r="Y2699" s="35"/>
      <c r="Z2699" s="35"/>
      <c r="AA2699" s="35"/>
      <c r="AB2699" s="35"/>
      <c r="AC2699" s="35"/>
      <c r="AD2699" s="35"/>
      <c r="AE2699" s="35"/>
      <c r="AF2699" s="35"/>
      <c r="AG2699" s="35"/>
      <c r="AH2699" s="35"/>
      <c r="AI2699" s="35"/>
      <c r="AJ2699" s="35"/>
      <c r="AK2699" s="35"/>
      <c r="AL2699" s="35"/>
    </row>
    <row r="2700">
      <c r="A2700" s="39"/>
      <c r="B2700" s="75" t="s">
        <v>12857</v>
      </c>
      <c r="C2700" s="77" t="s">
        <v>13142</v>
      </c>
      <c r="D2700" s="47"/>
      <c r="E2700" s="22" t="s">
        <v>13272</v>
      </c>
      <c r="F2700" s="22" t="s">
        <v>13273</v>
      </c>
      <c r="G2700" s="23">
        <v>2021.0</v>
      </c>
      <c r="H2700" s="22" t="s">
        <v>91</v>
      </c>
      <c r="I2700" s="24" t="s">
        <v>13274</v>
      </c>
      <c r="J2700" s="22" t="s">
        <v>55</v>
      </c>
      <c r="K2700" s="22" t="s">
        <v>13275</v>
      </c>
      <c r="L2700" s="94">
        <v>904.0</v>
      </c>
      <c r="M2700" s="94"/>
      <c r="N2700" s="94"/>
      <c r="O2700" s="94"/>
      <c r="P2700" s="95" t="s">
        <v>2886</v>
      </c>
      <c r="Q2700" s="94"/>
      <c r="R2700" s="94"/>
      <c r="S2700" s="94"/>
      <c r="T2700" s="28" t="s">
        <v>13276</v>
      </c>
      <c r="U2700" s="29" t="s">
        <v>61</v>
      </c>
      <c r="V2700" s="30"/>
      <c r="W2700" s="49"/>
      <c r="X2700" s="49"/>
      <c r="Y2700" s="35"/>
      <c r="Z2700" s="35"/>
      <c r="AA2700" s="35"/>
      <c r="AB2700" s="35"/>
      <c r="AC2700" s="35"/>
      <c r="AD2700" s="35"/>
      <c r="AE2700" s="35"/>
      <c r="AF2700" s="35"/>
      <c r="AG2700" s="35"/>
      <c r="AH2700" s="35"/>
      <c r="AI2700" s="35"/>
      <c r="AJ2700" s="35"/>
      <c r="AK2700" s="35"/>
      <c r="AL2700" s="35"/>
    </row>
    <row r="2701">
      <c r="A2701" s="39"/>
      <c r="B2701" s="75" t="s">
        <v>12857</v>
      </c>
      <c r="C2701" s="77" t="s">
        <v>13142</v>
      </c>
      <c r="D2701" s="47"/>
      <c r="E2701" s="22" t="s">
        <v>109</v>
      </c>
      <c r="F2701" s="22" t="s">
        <v>89</v>
      </c>
      <c r="G2701" s="23">
        <v>2021.0</v>
      </c>
      <c r="H2701" s="22" t="s">
        <v>77</v>
      </c>
      <c r="I2701" s="24" t="s">
        <v>13277</v>
      </c>
      <c r="J2701" s="22" t="s">
        <v>55</v>
      </c>
      <c r="K2701" s="22" t="s">
        <v>157</v>
      </c>
      <c r="L2701" s="94">
        <v>630.0</v>
      </c>
      <c r="M2701" s="94">
        <v>300.0</v>
      </c>
      <c r="N2701" s="94" t="s">
        <v>2165</v>
      </c>
      <c r="O2701" s="94"/>
      <c r="P2701" s="95" t="s">
        <v>2395</v>
      </c>
      <c r="Q2701" s="94"/>
      <c r="R2701" s="94">
        <v>30.0</v>
      </c>
      <c r="S2701" s="94"/>
      <c r="T2701" s="28" t="s">
        <v>13278</v>
      </c>
      <c r="U2701" s="29" t="s">
        <v>61</v>
      </c>
      <c r="V2701" s="30"/>
      <c r="W2701" s="49"/>
      <c r="X2701" s="49"/>
      <c r="Y2701" s="35"/>
      <c r="Z2701" s="35"/>
      <c r="AA2701" s="35"/>
      <c r="AB2701" s="35"/>
      <c r="AC2701" s="35"/>
      <c r="AD2701" s="35"/>
      <c r="AE2701" s="35"/>
      <c r="AF2701" s="35"/>
      <c r="AG2701" s="35"/>
      <c r="AH2701" s="35"/>
      <c r="AI2701" s="35"/>
      <c r="AJ2701" s="35"/>
      <c r="AK2701" s="35"/>
      <c r="AL2701" s="35"/>
    </row>
    <row r="2702">
      <c r="A2702" s="39"/>
      <c r="B2702" s="75" t="s">
        <v>12857</v>
      </c>
      <c r="C2702" s="77" t="s">
        <v>13142</v>
      </c>
      <c r="D2702" s="47"/>
      <c r="E2702" s="22" t="s">
        <v>13279</v>
      </c>
      <c r="F2702" s="22" t="s">
        <v>1465</v>
      </c>
      <c r="G2702" s="23">
        <v>2021.0</v>
      </c>
      <c r="H2702" s="22" t="s">
        <v>3012</v>
      </c>
      <c r="I2702" s="24" t="s">
        <v>13280</v>
      </c>
      <c r="J2702" s="22" t="s">
        <v>8962</v>
      </c>
      <c r="K2702" s="22"/>
      <c r="L2702" s="185" t="s">
        <v>13281</v>
      </c>
      <c r="U2702" s="29" t="s">
        <v>61</v>
      </c>
      <c r="V2702" s="30"/>
      <c r="W2702" s="49"/>
      <c r="X2702" s="49"/>
      <c r="Y2702" s="35"/>
      <c r="Z2702" s="35"/>
      <c r="AA2702" s="35"/>
      <c r="AB2702" s="35"/>
      <c r="AC2702" s="35"/>
      <c r="AD2702" s="35"/>
      <c r="AE2702" s="35"/>
      <c r="AF2702" s="35"/>
      <c r="AG2702" s="35"/>
      <c r="AH2702" s="35"/>
      <c r="AI2702" s="35"/>
      <c r="AJ2702" s="35"/>
      <c r="AK2702" s="35"/>
      <c r="AL2702" s="35"/>
    </row>
    <row r="2703">
      <c r="A2703" s="39"/>
      <c r="B2703" s="75" t="s">
        <v>12857</v>
      </c>
      <c r="C2703" s="77" t="s">
        <v>13142</v>
      </c>
      <c r="D2703" s="47"/>
      <c r="E2703" s="22" t="s">
        <v>223</v>
      </c>
      <c r="F2703" s="22" t="s">
        <v>206</v>
      </c>
      <c r="G2703" s="23">
        <v>2021.0</v>
      </c>
      <c r="H2703" s="22" t="s">
        <v>13282</v>
      </c>
      <c r="I2703" s="24" t="s">
        <v>13283</v>
      </c>
      <c r="J2703" s="22" t="s">
        <v>13284</v>
      </c>
      <c r="K2703" s="22" t="s">
        <v>13285</v>
      </c>
      <c r="L2703" s="94">
        <v>808.0</v>
      </c>
      <c r="M2703" s="94" t="s">
        <v>7729</v>
      </c>
      <c r="N2703" s="94"/>
      <c r="O2703" s="94" t="s">
        <v>13286</v>
      </c>
      <c r="P2703" s="95"/>
      <c r="Q2703" s="94"/>
      <c r="R2703" s="94" t="s">
        <v>12605</v>
      </c>
      <c r="S2703" s="94" t="s">
        <v>6308</v>
      </c>
      <c r="T2703" s="132" t="s">
        <v>13287</v>
      </c>
      <c r="U2703" s="29" t="s">
        <v>61</v>
      </c>
      <c r="V2703" s="30"/>
      <c r="W2703" s="49"/>
      <c r="X2703" s="49"/>
      <c r="Y2703" s="35"/>
      <c r="Z2703" s="35"/>
      <c r="AA2703" s="35"/>
      <c r="AB2703" s="35"/>
      <c r="AC2703" s="35"/>
      <c r="AD2703" s="35"/>
      <c r="AE2703" s="35"/>
      <c r="AF2703" s="35"/>
      <c r="AG2703" s="35"/>
      <c r="AH2703" s="35"/>
      <c r="AI2703" s="35"/>
      <c r="AJ2703" s="35"/>
      <c r="AK2703" s="35"/>
      <c r="AL2703" s="35"/>
    </row>
    <row r="2704">
      <c r="A2704" s="39"/>
      <c r="B2704" s="75" t="s">
        <v>12857</v>
      </c>
      <c r="C2704" s="77" t="s">
        <v>13142</v>
      </c>
      <c r="D2704" s="47"/>
      <c r="E2704" s="22" t="s">
        <v>1689</v>
      </c>
      <c r="F2704" s="22" t="s">
        <v>10116</v>
      </c>
      <c r="G2704" s="23">
        <v>2021.0</v>
      </c>
      <c r="H2704" s="22" t="s">
        <v>12515</v>
      </c>
      <c r="I2704" s="24" t="s">
        <v>13288</v>
      </c>
      <c r="J2704" s="22" t="s">
        <v>2141</v>
      </c>
      <c r="K2704" s="22"/>
      <c r="L2704" s="168"/>
      <c r="M2704" s="168"/>
      <c r="N2704" s="168"/>
      <c r="O2704" s="168"/>
      <c r="P2704" s="169"/>
      <c r="Q2704" s="168"/>
      <c r="R2704" s="168"/>
      <c r="S2704" s="168"/>
      <c r="T2704" s="185" t="s">
        <v>13289</v>
      </c>
      <c r="U2704" s="29" t="s">
        <v>61</v>
      </c>
      <c r="V2704" s="30"/>
      <c r="W2704" s="49"/>
      <c r="X2704" s="49"/>
      <c r="Y2704" s="35"/>
      <c r="Z2704" s="35"/>
      <c r="AA2704" s="35"/>
      <c r="AB2704" s="35"/>
      <c r="AC2704" s="35"/>
      <c r="AD2704" s="35"/>
      <c r="AE2704" s="35"/>
      <c r="AF2704" s="35"/>
      <c r="AG2704" s="35"/>
      <c r="AH2704" s="35"/>
      <c r="AI2704" s="35"/>
      <c r="AJ2704" s="35"/>
      <c r="AK2704" s="35"/>
      <c r="AL2704" s="35"/>
    </row>
    <row r="2705">
      <c r="A2705" s="39"/>
      <c r="B2705" s="75" t="s">
        <v>12857</v>
      </c>
      <c r="C2705" s="77" t="s">
        <v>13142</v>
      </c>
      <c r="D2705" s="47"/>
      <c r="E2705" s="22" t="s">
        <v>13290</v>
      </c>
      <c r="F2705" s="22" t="s">
        <v>11512</v>
      </c>
      <c r="G2705" s="23">
        <v>2020.0</v>
      </c>
      <c r="H2705" s="22" t="s">
        <v>4862</v>
      </c>
      <c r="I2705" s="24" t="s">
        <v>13291</v>
      </c>
      <c r="J2705" s="22" t="s">
        <v>13292</v>
      </c>
      <c r="K2705" s="22"/>
      <c r="L2705" s="36">
        <v>1064.0</v>
      </c>
      <c r="M2705" s="36"/>
      <c r="N2705" s="36"/>
      <c r="O2705" s="36" t="s">
        <v>13293</v>
      </c>
      <c r="P2705" s="37" t="s">
        <v>13294</v>
      </c>
      <c r="Q2705" s="36"/>
      <c r="R2705" s="36"/>
      <c r="S2705" s="36" t="s">
        <v>1514</v>
      </c>
      <c r="T2705" s="28" t="s">
        <v>13295</v>
      </c>
      <c r="U2705" s="29" t="s">
        <v>61</v>
      </c>
      <c r="V2705" s="30"/>
      <c r="W2705" s="49"/>
      <c r="X2705" s="49"/>
      <c r="Y2705" s="35"/>
      <c r="Z2705" s="35"/>
      <c r="AA2705" s="35"/>
      <c r="AB2705" s="35"/>
      <c r="AC2705" s="35"/>
      <c r="AD2705" s="35"/>
      <c r="AE2705" s="35"/>
      <c r="AF2705" s="35"/>
      <c r="AG2705" s="35"/>
      <c r="AH2705" s="35"/>
      <c r="AI2705" s="35"/>
      <c r="AJ2705" s="35"/>
      <c r="AK2705" s="35"/>
      <c r="AL2705" s="35"/>
    </row>
    <row r="2706">
      <c r="A2706" s="39"/>
      <c r="B2706" s="75" t="s">
        <v>12857</v>
      </c>
      <c r="C2706" s="77" t="s">
        <v>13142</v>
      </c>
      <c r="D2706" s="47"/>
      <c r="E2706" s="22" t="s">
        <v>3617</v>
      </c>
      <c r="F2706" s="22" t="s">
        <v>13296</v>
      </c>
      <c r="G2706" s="23">
        <v>2020.0</v>
      </c>
      <c r="H2706" s="22" t="s">
        <v>13297</v>
      </c>
      <c r="I2706" s="24" t="s">
        <v>13298</v>
      </c>
      <c r="J2706" s="22" t="s">
        <v>1078</v>
      </c>
      <c r="K2706" s="22"/>
      <c r="L2706" s="43" t="s">
        <v>13299</v>
      </c>
      <c r="M2706" s="44"/>
      <c r="N2706" s="44"/>
      <c r="O2706" s="44"/>
      <c r="P2706" s="44"/>
      <c r="Q2706" s="44"/>
      <c r="R2706" s="44"/>
      <c r="S2706" s="44"/>
      <c r="T2706" s="45"/>
      <c r="U2706" s="29" t="s">
        <v>61</v>
      </c>
      <c r="V2706" s="30"/>
      <c r="W2706" s="49"/>
      <c r="X2706" s="49"/>
      <c r="Y2706" s="35"/>
      <c r="Z2706" s="35"/>
      <c r="AA2706" s="35"/>
      <c r="AB2706" s="35"/>
      <c r="AC2706" s="35"/>
      <c r="AD2706" s="35"/>
      <c r="AE2706" s="35"/>
      <c r="AF2706" s="35"/>
      <c r="AG2706" s="35"/>
      <c r="AH2706" s="35"/>
      <c r="AI2706" s="35"/>
      <c r="AJ2706" s="35"/>
      <c r="AK2706" s="35"/>
      <c r="AL2706" s="35"/>
    </row>
    <row r="2707">
      <c r="A2707" s="39"/>
      <c r="B2707" s="75" t="s">
        <v>12857</v>
      </c>
      <c r="C2707" s="77" t="s">
        <v>13142</v>
      </c>
      <c r="D2707" s="47"/>
      <c r="E2707" s="22" t="s">
        <v>4490</v>
      </c>
      <c r="F2707" s="22" t="s">
        <v>1508</v>
      </c>
      <c r="G2707" s="23">
        <v>2020.0</v>
      </c>
      <c r="H2707" s="22" t="s">
        <v>300</v>
      </c>
      <c r="I2707" s="24" t="s">
        <v>13300</v>
      </c>
      <c r="J2707" s="22" t="s">
        <v>13301</v>
      </c>
      <c r="K2707" s="22"/>
      <c r="L2707" s="36" t="s">
        <v>13302</v>
      </c>
      <c r="M2707" s="36" t="s">
        <v>13303</v>
      </c>
      <c r="N2707" s="36" t="s">
        <v>58</v>
      </c>
      <c r="O2707" s="36" t="s">
        <v>13304</v>
      </c>
      <c r="P2707" s="37" t="s">
        <v>58</v>
      </c>
      <c r="Q2707" s="36" t="s">
        <v>58</v>
      </c>
      <c r="R2707" s="36">
        <v>1500.0</v>
      </c>
      <c r="S2707" s="36" t="s">
        <v>4905</v>
      </c>
      <c r="T2707" s="28" t="s">
        <v>13305</v>
      </c>
      <c r="U2707" s="29" t="s">
        <v>61</v>
      </c>
      <c r="V2707" s="30" t="s">
        <v>13306</v>
      </c>
      <c r="W2707" s="49"/>
      <c r="X2707" s="49"/>
      <c r="Y2707" s="35"/>
      <c r="Z2707" s="35"/>
      <c r="AA2707" s="35"/>
      <c r="AB2707" s="35"/>
      <c r="AC2707" s="35"/>
      <c r="AD2707" s="35"/>
      <c r="AE2707" s="35"/>
      <c r="AF2707" s="35"/>
      <c r="AG2707" s="35"/>
      <c r="AH2707" s="35"/>
      <c r="AI2707" s="35"/>
      <c r="AJ2707" s="35"/>
      <c r="AK2707" s="35"/>
      <c r="AL2707" s="35"/>
    </row>
    <row r="2708">
      <c r="A2708" s="39"/>
      <c r="B2708" s="75" t="s">
        <v>12857</v>
      </c>
      <c r="C2708" s="77" t="s">
        <v>13142</v>
      </c>
      <c r="D2708" s="47"/>
      <c r="E2708" s="22" t="s">
        <v>13307</v>
      </c>
      <c r="F2708" s="22" t="s">
        <v>13308</v>
      </c>
      <c r="G2708" s="23">
        <v>2020.0</v>
      </c>
      <c r="H2708" s="22" t="s">
        <v>91</v>
      </c>
      <c r="I2708" s="24" t="s">
        <v>13309</v>
      </c>
      <c r="J2708" s="22" t="s">
        <v>1078</v>
      </c>
      <c r="K2708" s="22"/>
      <c r="L2708" s="43" t="s">
        <v>13310</v>
      </c>
      <c r="M2708" s="44"/>
      <c r="N2708" s="44"/>
      <c r="O2708" s="44"/>
      <c r="P2708" s="44"/>
      <c r="Q2708" s="44"/>
      <c r="R2708" s="44"/>
      <c r="S2708" s="44"/>
      <c r="T2708" s="45"/>
      <c r="U2708" s="29" t="s">
        <v>61</v>
      </c>
      <c r="V2708" s="30"/>
      <c r="W2708" s="49"/>
      <c r="X2708" s="49"/>
      <c r="Y2708" s="35"/>
      <c r="Z2708" s="35"/>
      <c r="AA2708" s="35"/>
      <c r="AB2708" s="35"/>
      <c r="AC2708" s="35"/>
      <c r="AD2708" s="35"/>
      <c r="AE2708" s="35"/>
      <c r="AF2708" s="35"/>
      <c r="AG2708" s="35"/>
      <c r="AH2708" s="35"/>
      <c r="AI2708" s="35"/>
      <c r="AJ2708" s="35"/>
      <c r="AK2708" s="35"/>
      <c r="AL2708" s="35"/>
    </row>
    <row r="2709">
      <c r="A2709" s="39"/>
      <c r="B2709" s="75" t="s">
        <v>12857</v>
      </c>
      <c r="C2709" s="77" t="s">
        <v>13142</v>
      </c>
      <c r="D2709" s="47"/>
      <c r="E2709" s="22" t="s">
        <v>13311</v>
      </c>
      <c r="F2709" s="22" t="s">
        <v>13312</v>
      </c>
      <c r="G2709" s="23">
        <v>2020.0</v>
      </c>
      <c r="H2709" s="22" t="s">
        <v>91</v>
      </c>
      <c r="I2709" s="24" t="s">
        <v>13313</v>
      </c>
      <c r="J2709" s="22" t="s">
        <v>125</v>
      </c>
      <c r="K2709" s="22"/>
      <c r="L2709" s="105" t="s">
        <v>13314</v>
      </c>
      <c r="M2709" s="44"/>
      <c r="N2709" s="44"/>
      <c r="O2709" s="44"/>
      <c r="P2709" s="44"/>
      <c r="Q2709" s="44"/>
      <c r="R2709" s="44"/>
      <c r="S2709" s="44"/>
      <c r="T2709" s="45"/>
      <c r="U2709" s="29" t="s">
        <v>61</v>
      </c>
      <c r="V2709" s="30"/>
      <c r="W2709" s="49"/>
      <c r="X2709" s="49"/>
      <c r="Y2709" s="35"/>
      <c r="Z2709" s="35"/>
      <c r="AA2709" s="35"/>
      <c r="AB2709" s="35"/>
      <c r="AC2709" s="35"/>
      <c r="AD2709" s="35"/>
      <c r="AE2709" s="35"/>
      <c r="AF2709" s="35"/>
      <c r="AG2709" s="35"/>
      <c r="AH2709" s="35"/>
      <c r="AI2709" s="35"/>
      <c r="AJ2709" s="35"/>
      <c r="AK2709" s="35"/>
      <c r="AL2709" s="35"/>
    </row>
    <row r="2710">
      <c r="A2710" s="39"/>
      <c r="B2710" s="75" t="s">
        <v>12857</v>
      </c>
      <c r="C2710" s="77" t="s">
        <v>13142</v>
      </c>
      <c r="D2710" s="47"/>
      <c r="E2710" s="22" t="s">
        <v>13315</v>
      </c>
      <c r="F2710" s="22" t="s">
        <v>1891</v>
      </c>
      <c r="G2710" s="23">
        <v>2020.0</v>
      </c>
      <c r="H2710" s="22" t="s">
        <v>13316</v>
      </c>
      <c r="I2710" s="24" t="s">
        <v>13317</v>
      </c>
      <c r="J2710" s="22" t="s">
        <v>125</v>
      </c>
      <c r="K2710" s="22"/>
      <c r="L2710" s="167" t="s">
        <v>13318</v>
      </c>
      <c r="M2710" s="44"/>
      <c r="N2710" s="44"/>
      <c r="O2710" s="44"/>
      <c r="P2710" s="44"/>
      <c r="Q2710" s="44"/>
      <c r="R2710" s="44"/>
      <c r="S2710" s="44"/>
      <c r="T2710" s="45"/>
      <c r="U2710" s="29" t="s">
        <v>61</v>
      </c>
      <c r="V2710" s="30"/>
      <c r="W2710" s="49"/>
      <c r="X2710" s="49"/>
      <c r="Y2710" s="35"/>
      <c r="Z2710" s="35"/>
      <c r="AA2710" s="35"/>
      <c r="AB2710" s="35"/>
      <c r="AC2710" s="35"/>
      <c r="AD2710" s="35"/>
      <c r="AE2710" s="35"/>
      <c r="AF2710" s="35"/>
      <c r="AG2710" s="35"/>
      <c r="AH2710" s="35"/>
      <c r="AI2710" s="35"/>
      <c r="AJ2710" s="35"/>
      <c r="AK2710" s="35"/>
      <c r="AL2710" s="35"/>
    </row>
    <row r="2711">
      <c r="A2711" s="39"/>
      <c r="B2711" s="75" t="s">
        <v>12857</v>
      </c>
      <c r="C2711" s="77" t="s">
        <v>13142</v>
      </c>
      <c r="D2711" s="47"/>
      <c r="E2711" s="22" t="s">
        <v>13168</v>
      </c>
      <c r="F2711" s="22" t="s">
        <v>41</v>
      </c>
      <c r="G2711" s="23">
        <v>2020.0</v>
      </c>
      <c r="H2711" s="22" t="s">
        <v>6911</v>
      </c>
      <c r="I2711" s="24" t="s">
        <v>13319</v>
      </c>
      <c r="J2711" s="22" t="s">
        <v>2141</v>
      </c>
      <c r="K2711" s="22"/>
      <c r="L2711" s="168"/>
      <c r="M2711" s="168"/>
      <c r="N2711" s="168"/>
      <c r="O2711" s="168"/>
      <c r="P2711" s="169"/>
      <c r="Q2711" s="168"/>
      <c r="R2711" s="168"/>
      <c r="S2711" s="168"/>
      <c r="T2711" s="185"/>
      <c r="U2711" s="29" t="s">
        <v>61</v>
      </c>
      <c r="V2711" s="30"/>
      <c r="W2711" s="49"/>
      <c r="X2711" s="49"/>
      <c r="Y2711" s="35"/>
      <c r="Z2711" s="35"/>
      <c r="AA2711" s="35"/>
      <c r="AB2711" s="35"/>
      <c r="AC2711" s="35"/>
      <c r="AD2711" s="35"/>
      <c r="AE2711" s="35"/>
      <c r="AF2711" s="35"/>
      <c r="AG2711" s="35"/>
      <c r="AH2711" s="35"/>
      <c r="AI2711" s="35"/>
      <c r="AJ2711" s="35"/>
      <c r="AK2711" s="35"/>
      <c r="AL2711" s="35"/>
    </row>
    <row r="2712">
      <c r="A2712" s="39"/>
      <c r="B2712" s="19" t="s">
        <v>12857</v>
      </c>
      <c r="C2712" s="20" t="s">
        <v>13142</v>
      </c>
      <c r="D2712" s="47"/>
      <c r="E2712" s="22" t="s">
        <v>13320</v>
      </c>
      <c r="F2712" s="22" t="s">
        <v>2635</v>
      </c>
      <c r="G2712" s="23">
        <v>2020.0</v>
      </c>
      <c r="H2712" s="22" t="s">
        <v>2335</v>
      </c>
      <c r="I2712" s="24" t="s">
        <v>13321</v>
      </c>
      <c r="J2712" s="22" t="s">
        <v>2049</v>
      </c>
      <c r="K2712" s="22"/>
      <c r="L2712" s="36">
        <v>808.0</v>
      </c>
      <c r="M2712" s="36"/>
      <c r="N2712" s="36"/>
      <c r="O2712" s="36"/>
      <c r="P2712" s="37"/>
      <c r="Q2712" s="36"/>
      <c r="R2712" s="36"/>
      <c r="S2712" s="36"/>
      <c r="T2712" s="28" t="s">
        <v>13322</v>
      </c>
      <c r="U2712" s="29" t="s">
        <v>61</v>
      </c>
      <c r="V2712" s="30"/>
      <c r="W2712" s="49"/>
      <c r="X2712" s="49"/>
      <c r="Y2712" s="35"/>
      <c r="Z2712" s="35"/>
      <c r="AA2712" s="35"/>
      <c r="AB2712" s="35"/>
      <c r="AC2712" s="35"/>
      <c r="AD2712" s="35"/>
      <c r="AE2712" s="35"/>
      <c r="AF2712" s="35"/>
      <c r="AG2712" s="35"/>
      <c r="AH2712" s="35"/>
      <c r="AI2712" s="35"/>
      <c r="AJ2712" s="35"/>
      <c r="AK2712" s="35"/>
      <c r="AL2712" s="35"/>
    </row>
    <row r="2713">
      <c r="A2713" s="39"/>
      <c r="B2713" s="19" t="s">
        <v>12857</v>
      </c>
      <c r="C2713" s="20" t="s">
        <v>13142</v>
      </c>
      <c r="D2713" s="47"/>
      <c r="E2713" s="22" t="s">
        <v>13323</v>
      </c>
      <c r="F2713" s="22" t="s">
        <v>41</v>
      </c>
      <c r="G2713" s="23">
        <v>2020.0</v>
      </c>
      <c r="H2713" s="22" t="s">
        <v>3012</v>
      </c>
      <c r="I2713" s="24" t="s">
        <v>13324</v>
      </c>
      <c r="J2713" s="22" t="s">
        <v>13325</v>
      </c>
      <c r="K2713" s="22"/>
      <c r="L2713" s="36">
        <v>904.0</v>
      </c>
      <c r="M2713" s="36">
        <v>40.0</v>
      </c>
      <c r="N2713" s="36" t="s">
        <v>58</v>
      </c>
      <c r="O2713" s="36" t="s">
        <v>58</v>
      </c>
      <c r="P2713" s="37" t="s">
        <v>13326</v>
      </c>
      <c r="Q2713" s="36" t="s">
        <v>13327</v>
      </c>
      <c r="R2713" s="36" t="s">
        <v>58</v>
      </c>
      <c r="S2713" s="36" t="s">
        <v>6552</v>
      </c>
      <c r="T2713" s="41" t="s">
        <v>13328</v>
      </c>
      <c r="U2713" s="38" t="str">
        <f>HYPERLINK("https://www.ncbi.nlm.nih.gov/pubmed/32312265","PubMed")</f>
        <v>PubMed</v>
      </c>
      <c r="V2713" s="30"/>
      <c r="W2713" s="49"/>
      <c r="X2713" s="49"/>
      <c r="Y2713" s="35"/>
      <c r="Z2713" s="35"/>
      <c r="AA2713" s="35"/>
      <c r="AB2713" s="35"/>
      <c r="AC2713" s="35"/>
      <c r="AD2713" s="35"/>
      <c r="AE2713" s="35"/>
      <c r="AF2713" s="35"/>
      <c r="AG2713" s="35"/>
      <c r="AH2713" s="35"/>
      <c r="AI2713" s="35"/>
      <c r="AJ2713" s="35"/>
      <c r="AK2713" s="35"/>
      <c r="AL2713" s="35"/>
    </row>
    <row r="2714">
      <c r="A2714" s="39"/>
      <c r="B2714" s="19" t="s">
        <v>12857</v>
      </c>
      <c r="C2714" s="20" t="s">
        <v>13142</v>
      </c>
      <c r="D2714" s="47"/>
      <c r="E2714" s="22" t="s">
        <v>13329</v>
      </c>
      <c r="F2714" s="22" t="s">
        <v>13330</v>
      </c>
      <c r="G2714" s="23">
        <v>2020.0</v>
      </c>
      <c r="H2714" s="22" t="s">
        <v>13331</v>
      </c>
      <c r="I2714" s="24" t="s">
        <v>13332</v>
      </c>
      <c r="J2714" s="22" t="s">
        <v>13333</v>
      </c>
      <c r="K2714" s="22" t="s">
        <v>56</v>
      </c>
      <c r="L2714" s="36" t="s">
        <v>4772</v>
      </c>
      <c r="M2714" s="36"/>
      <c r="N2714" s="36"/>
      <c r="O2714" s="36"/>
      <c r="P2714" s="37"/>
      <c r="Q2714" s="36"/>
      <c r="R2714" s="36" t="s">
        <v>13334</v>
      </c>
      <c r="S2714" s="36" t="s">
        <v>1514</v>
      </c>
      <c r="T2714" s="28" t="s">
        <v>13335</v>
      </c>
      <c r="U2714" s="38" t="str">
        <f>HYPERLINK("https://www.ncbi.nlm.nih.gov/pubmed/32074648","PubMed")</f>
        <v>PubMed</v>
      </c>
      <c r="V2714" s="30"/>
      <c r="W2714" s="49"/>
      <c r="X2714" s="49"/>
      <c r="Y2714" s="35"/>
      <c r="Z2714" s="35"/>
      <c r="AA2714" s="35"/>
      <c r="AB2714" s="35"/>
      <c r="AC2714" s="35"/>
      <c r="AD2714" s="35"/>
      <c r="AE2714" s="35"/>
      <c r="AF2714" s="35"/>
      <c r="AG2714" s="35"/>
      <c r="AH2714" s="35"/>
      <c r="AI2714" s="35"/>
      <c r="AJ2714" s="35"/>
      <c r="AK2714" s="35"/>
      <c r="AL2714" s="35"/>
    </row>
    <row r="2715">
      <c r="A2715" s="39"/>
      <c r="B2715" s="19" t="s">
        <v>12857</v>
      </c>
      <c r="C2715" s="20" t="s">
        <v>13336</v>
      </c>
      <c r="D2715" s="47"/>
      <c r="E2715" s="22" t="s">
        <v>13241</v>
      </c>
      <c r="F2715" s="22" t="s">
        <v>530</v>
      </c>
      <c r="G2715" s="23">
        <v>2020.0</v>
      </c>
      <c r="H2715" s="22" t="s">
        <v>91</v>
      </c>
      <c r="I2715" s="24" t="s">
        <v>13337</v>
      </c>
      <c r="J2715" s="22" t="s">
        <v>13338</v>
      </c>
      <c r="K2715" s="22"/>
      <c r="L2715" s="36">
        <v>808.0</v>
      </c>
      <c r="M2715" s="36">
        <v>100.0</v>
      </c>
      <c r="N2715" s="36" t="s">
        <v>58</v>
      </c>
      <c r="O2715" s="36" t="s">
        <v>13339</v>
      </c>
      <c r="P2715" s="37" t="s">
        <v>11771</v>
      </c>
      <c r="Q2715" s="36" t="s">
        <v>58</v>
      </c>
      <c r="R2715" s="36" t="s">
        <v>58</v>
      </c>
      <c r="S2715" s="36" t="s">
        <v>2680</v>
      </c>
      <c r="T2715" s="41" t="s">
        <v>13340</v>
      </c>
      <c r="U2715" s="38" t="str">
        <f>HYPERLINK("https://www.ncbi.nlm.nih.gov/pubmed/32157582","PubMed")</f>
        <v>PubMed</v>
      </c>
      <c r="V2715" s="30"/>
      <c r="W2715" s="49"/>
      <c r="X2715" s="49"/>
      <c r="Y2715" s="35"/>
      <c r="Z2715" s="35"/>
      <c r="AA2715" s="35"/>
      <c r="AB2715" s="35"/>
      <c r="AC2715" s="35"/>
      <c r="AD2715" s="35"/>
      <c r="AE2715" s="35"/>
      <c r="AF2715" s="35"/>
      <c r="AG2715" s="35"/>
      <c r="AH2715" s="35"/>
      <c r="AI2715" s="35"/>
      <c r="AJ2715" s="35"/>
      <c r="AK2715" s="35"/>
      <c r="AL2715" s="35"/>
    </row>
    <row r="2716">
      <c r="A2716" s="39"/>
      <c r="B2716" s="19" t="s">
        <v>12857</v>
      </c>
      <c r="C2716" s="20" t="s">
        <v>13336</v>
      </c>
      <c r="D2716" s="47"/>
      <c r="E2716" s="22" t="s">
        <v>13341</v>
      </c>
      <c r="F2716" s="22" t="s">
        <v>41</v>
      </c>
      <c r="G2716" s="23">
        <v>2020.0</v>
      </c>
      <c r="H2716" s="22" t="s">
        <v>6606</v>
      </c>
      <c r="I2716" s="24" t="s">
        <v>13342</v>
      </c>
      <c r="J2716" s="22" t="s">
        <v>55</v>
      </c>
      <c r="K2716" s="22" t="s">
        <v>157</v>
      </c>
      <c r="L2716" s="36">
        <v>850.0</v>
      </c>
      <c r="M2716" s="36">
        <v>200.0</v>
      </c>
      <c r="N2716" s="36"/>
      <c r="O2716" s="36">
        <v>6.0</v>
      </c>
      <c r="P2716" s="37"/>
      <c r="Q2716" s="36"/>
      <c r="R2716" s="36"/>
      <c r="S2716" s="36"/>
      <c r="T2716" s="28" t="s">
        <v>13343</v>
      </c>
      <c r="U2716" s="38" t="str">
        <f>HYPERLINK("https://www.ncbi.nlm.nih.gov/pubmed/32167952","PubMed")</f>
        <v>PubMed</v>
      </c>
      <c r="V2716" s="30"/>
      <c r="W2716" s="49"/>
      <c r="X2716" s="49"/>
      <c r="Y2716" s="35"/>
      <c r="Z2716" s="35"/>
      <c r="AA2716" s="35"/>
      <c r="AB2716" s="35"/>
      <c r="AC2716" s="35"/>
      <c r="AD2716" s="35"/>
      <c r="AE2716" s="35"/>
      <c r="AF2716" s="35"/>
      <c r="AG2716" s="35"/>
      <c r="AH2716" s="35"/>
      <c r="AI2716" s="35"/>
      <c r="AJ2716" s="35"/>
      <c r="AK2716" s="35"/>
      <c r="AL2716" s="35"/>
    </row>
    <row r="2717">
      <c r="A2717" s="1"/>
      <c r="B2717" s="19" t="s">
        <v>12857</v>
      </c>
      <c r="C2717" s="20" t="s">
        <v>13336</v>
      </c>
      <c r="D2717" s="47"/>
      <c r="E2717" s="22" t="s">
        <v>13344</v>
      </c>
      <c r="F2717" s="22" t="s">
        <v>2196</v>
      </c>
      <c r="G2717" s="23">
        <v>2019.0</v>
      </c>
      <c r="H2717" s="22" t="s">
        <v>91</v>
      </c>
      <c r="I2717" s="24" t="s">
        <v>13345</v>
      </c>
      <c r="J2717" s="22" t="s">
        <v>13346</v>
      </c>
      <c r="K2717" s="22"/>
      <c r="L2717" s="288" t="s">
        <v>13347</v>
      </c>
      <c r="M2717" s="44"/>
      <c r="N2717" s="44"/>
      <c r="O2717" s="44"/>
      <c r="P2717" s="44"/>
      <c r="Q2717" s="44"/>
      <c r="R2717" s="44"/>
      <c r="S2717" s="44"/>
      <c r="T2717" s="45"/>
      <c r="U2717" s="38" t="str">
        <f>HYPERLINK("https://www.ncbi.nlm.nih.gov/pubmed/31845042","PubMed")</f>
        <v>PubMed</v>
      </c>
      <c r="V2717" s="30"/>
      <c r="W2717" s="49"/>
      <c r="X2717" s="49"/>
      <c r="Y2717" s="35"/>
      <c r="Z2717" s="35"/>
      <c r="AA2717" s="35"/>
      <c r="AB2717" s="35"/>
      <c r="AC2717" s="35"/>
      <c r="AD2717" s="35"/>
      <c r="AE2717" s="35"/>
      <c r="AF2717" s="35"/>
      <c r="AG2717" s="35"/>
      <c r="AH2717" s="35"/>
      <c r="AI2717" s="35"/>
      <c r="AJ2717" s="35"/>
      <c r="AK2717" s="35"/>
      <c r="AL2717" s="35"/>
    </row>
    <row r="2718">
      <c r="A2718" s="1" t="s">
        <v>2</v>
      </c>
      <c r="B2718" s="19" t="s">
        <v>12857</v>
      </c>
      <c r="C2718" s="20" t="s">
        <v>13336</v>
      </c>
      <c r="D2718" s="47"/>
      <c r="E2718" s="22" t="s">
        <v>13231</v>
      </c>
      <c r="F2718" s="22" t="s">
        <v>1465</v>
      </c>
      <c r="G2718" s="23">
        <v>2019.0</v>
      </c>
      <c r="H2718" s="22" t="s">
        <v>6911</v>
      </c>
      <c r="I2718" s="24" t="s">
        <v>13348</v>
      </c>
      <c r="J2718" s="22" t="s">
        <v>1078</v>
      </c>
      <c r="K2718" s="22"/>
      <c r="L2718" s="288" t="s">
        <v>13349</v>
      </c>
      <c r="M2718" s="44"/>
      <c r="N2718" s="44"/>
      <c r="O2718" s="44"/>
      <c r="P2718" s="44"/>
      <c r="Q2718" s="44"/>
      <c r="R2718" s="44"/>
      <c r="S2718" s="44"/>
      <c r="T2718" s="45"/>
      <c r="U2718" s="38" t="str">
        <f>HYPERLINK("https://www.ncbi.nlm.nih.gov/pubmed/31662383","PubMed")</f>
        <v>PubMed</v>
      </c>
      <c r="V2718" s="30"/>
      <c r="W2718" s="49"/>
      <c r="X2718" s="49"/>
      <c r="Y2718" s="35"/>
      <c r="Z2718" s="35"/>
      <c r="AA2718" s="35"/>
      <c r="AB2718" s="35"/>
      <c r="AC2718" s="35"/>
      <c r="AD2718" s="35"/>
      <c r="AE2718" s="35"/>
      <c r="AF2718" s="35"/>
      <c r="AG2718" s="35"/>
      <c r="AH2718" s="35"/>
      <c r="AI2718" s="35"/>
      <c r="AJ2718" s="35"/>
      <c r="AK2718" s="35"/>
      <c r="AL2718" s="35"/>
    </row>
    <row r="2719">
      <c r="A2719" s="39"/>
      <c r="B2719" s="19" t="s">
        <v>12857</v>
      </c>
      <c r="C2719" s="20" t="s">
        <v>13336</v>
      </c>
      <c r="D2719" s="47"/>
      <c r="E2719" s="22" t="s">
        <v>13350</v>
      </c>
      <c r="F2719" s="22" t="s">
        <v>797</v>
      </c>
      <c r="G2719" s="23">
        <v>2019.0</v>
      </c>
      <c r="H2719" s="22" t="s">
        <v>13012</v>
      </c>
      <c r="I2719" s="24" t="s">
        <v>13351</v>
      </c>
      <c r="J2719" s="22" t="s">
        <v>55</v>
      </c>
      <c r="K2719" s="22"/>
      <c r="L2719" s="36">
        <v>850.0</v>
      </c>
      <c r="M2719" s="36">
        <v>100.0</v>
      </c>
      <c r="N2719" s="36" t="s">
        <v>13352</v>
      </c>
      <c r="O2719" s="36" t="s">
        <v>13353</v>
      </c>
      <c r="P2719" s="37" t="s">
        <v>13354</v>
      </c>
      <c r="Q2719" s="36" t="s">
        <v>105</v>
      </c>
      <c r="R2719" s="36" t="s">
        <v>13355</v>
      </c>
      <c r="S2719" s="36"/>
      <c r="T2719" s="28" t="s">
        <v>13356</v>
      </c>
      <c r="U2719" s="38" t="str">
        <f>HYPERLINK("https://www.ncbi.nlm.nih.gov/pubmed/31569995","PubMed")</f>
        <v>PubMed</v>
      </c>
      <c r="V2719" s="30"/>
      <c r="W2719" s="49"/>
      <c r="X2719" s="49"/>
      <c r="Y2719" s="35"/>
      <c r="Z2719" s="35"/>
      <c r="AA2719" s="35"/>
      <c r="AB2719" s="35"/>
      <c r="AC2719" s="35"/>
      <c r="AD2719" s="35"/>
      <c r="AE2719" s="35"/>
      <c r="AF2719" s="35"/>
      <c r="AG2719" s="35"/>
      <c r="AH2719" s="35"/>
      <c r="AI2719" s="35"/>
      <c r="AJ2719" s="35"/>
      <c r="AK2719" s="35"/>
      <c r="AL2719" s="35"/>
    </row>
    <row r="2720">
      <c r="A2720" s="39"/>
      <c r="B2720" s="19" t="s">
        <v>12857</v>
      </c>
      <c r="C2720" s="20" t="s">
        <v>13336</v>
      </c>
      <c r="D2720" s="47"/>
      <c r="E2720" s="22" t="s">
        <v>13272</v>
      </c>
      <c r="F2720" s="22" t="s">
        <v>5124</v>
      </c>
      <c r="G2720" s="23">
        <v>2019.0</v>
      </c>
      <c r="H2720" s="22" t="s">
        <v>42</v>
      </c>
      <c r="I2720" s="24" t="s">
        <v>13357</v>
      </c>
      <c r="J2720" s="22" t="s">
        <v>55</v>
      </c>
      <c r="K2720" s="22" t="s">
        <v>1112</v>
      </c>
      <c r="L2720" s="36">
        <v>904.0</v>
      </c>
      <c r="M2720" s="36"/>
      <c r="N2720" s="36"/>
      <c r="O2720" s="36"/>
      <c r="P2720" s="37" t="s">
        <v>589</v>
      </c>
      <c r="Q2720" s="36"/>
      <c r="R2720" s="36"/>
      <c r="S2720" s="36"/>
      <c r="T2720" s="28" t="s">
        <v>13358</v>
      </c>
      <c r="U2720" s="38" t="str">
        <f>HYPERLINK("https://www.ncbi.nlm.nih.gov/pubmed/31568634","PubMed")</f>
        <v>PubMed</v>
      </c>
      <c r="V2720" s="30"/>
      <c r="W2720" s="49"/>
      <c r="X2720" s="49"/>
      <c r="Y2720" s="35"/>
      <c r="Z2720" s="35"/>
      <c r="AA2720" s="35"/>
      <c r="AB2720" s="35"/>
      <c r="AC2720" s="35"/>
      <c r="AD2720" s="35"/>
      <c r="AE2720" s="35"/>
      <c r="AF2720" s="35"/>
      <c r="AG2720" s="35"/>
      <c r="AH2720" s="35"/>
      <c r="AI2720" s="35"/>
      <c r="AJ2720" s="35"/>
      <c r="AK2720" s="35"/>
      <c r="AL2720" s="35"/>
    </row>
    <row r="2721">
      <c r="A2721" s="39"/>
      <c r="B2721" s="19" t="s">
        <v>12857</v>
      </c>
      <c r="C2721" s="20" t="s">
        <v>13336</v>
      </c>
      <c r="D2721" s="47"/>
      <c r="E2721" s="22" t="s">
        <v>1689</v>
      </c>
      <c r="F2721" s="22" t="s">
        <v>494</v>
      </c>
      <c r="G2721" s="23">
        <v>2019.0</v>
      </c>
      <c r="H2721" s="22" t="s">
        <v>8986</v>
      </c>
      <c r="I2721" s="24" t="s">
        <v>13359</v>
      </c>
      <c r="J2721" s="22" t="s">
        <v>13360</v>
      </c>
      <c r="K2721" s="22"/>
      <c r="L2721" s="36">
        <v>808.0</v>
      </c>
      <c r="M2721" s="36">
        <v>1800.0</v>
      </c>
      <c r="N2721" s="36" t="s">
        <v>414</v>
      </c>
      <c r="O2721" s="36" t="s">
        <v>13361</v>
      </c>
      <c r="P2721" s="37" t="s">
        <v>58</v>
      </c>
      <c r="Q2721" s="36" t="s">
        <v>58</v>
      </c>
      <c r="R2721" s="36">
        <v>1800.0</v>
      </c>
      <c r="S2721" s="36">
        <v>1.0</v>
      </c>
      <c r="T2721" s="28" t="s">
        <v>13362</v>
      </c>
      <c r="U2721" s="38" t="str">
        <f>HYPERLINK("https://www.ncbi.nlm.nih.gov/pubmed/31390143","PubMed")</f>
        <v>PubMed</v>
      </c>
      <c r="V2721" s="30"/>
      <c r="W2721" s="49"/>
      <c r="X2721" s="49"/>
      <c r="Y2721" s="35"/>
      <c r="Z2721" s="35"/>
      <c r="AA2721" s="35"/>
      <c r="AB2721" s="35"/>
      <c r="AC2721" s="35"/>
      <c r="AD2721" s="35"/>
      <c r="AE2721" s="35"/>
      <c r="AF2721" s="35"/>
      <c r="AG2721" s="35"/>
      <c r="AH2721" s="35"/>
      <c r="AI2721" s="35"/>
      <c r="AJ2721" s="35"/>
      <c r="AK2721" s="35"/>
      <c r="AL2721" s="35"/>
    </row>
    <row r="2722">
      <c r="A2722" s="39"/>
      <c r="B2722" s="19" t="s">
        <v>12857</v>
      </c>
      <c r="C2722" s="20" t="s">
        <v>13336</v>
      </c>
      <c r="D2722" s="47"/>
      <c r="E2722" s="22" t="s">
        <v>2305</v>
      </c>
      <c r="F2722" s="22" t="s">
        <v>323</v>
      </c>
      <c r="G2722" s="23">
        <v>2019.0</v>
      </c>
      <c r="H2722" s="22" t="s">
        <v>91</v>
      </c>
      <c r="I2722" s="24" t="s">
        <v>13363</v>
      </c>
      <c r="J2722" s="22" t="s">
        <v>13364</v>
      </c>
      <c r="K2722" s="22" t="s">
        <v>13365</v>
      </c>
      <c r="L2722" s="36">
        <v>1064.0</v>
      </c>
      <c r="M2722" s="36"/>
      <c r="N2722" s="36"/>
      <c r="O2722" s="36">
        <v>2400.0</v>
      </c>
      <c r="P2722" s="37" t="s">
        <v>1028</v>
      </c>
      <c r="Q2722" s="36"/>
      <c r="R2722" s="36"/>
      <c r="S2722" s="36" t="s">
        <v>4905</v>
      </c>
      <c r="T2722" s="28" t="s">
        <v>13366</v>
      </c>
      <c r="U2722" s="38" t="str">
        <f>HYPERLINK("https://www.ncbi.nlm.nih.gov/pubmed/30178432","PubMed")</f>
        <v>PubMed</v>
      </c>
      <c r="V2722" s="30"/>
      <c r="W2722" s="49"/>
      <c r="X2722" s="49"/>
      <c r="Y2722" s="35"/>
      <c r="Z2722" s="35"/>
      <c r="AA2722" s="35"/>
      <c r="AB2722" s="35"/>
      <c r="AC2722" s="35"/>
      <c r="AD2722" s="35"/>
      <c r="AE2722" s="35"/>
      <c r="AF2722" s="35"/>
      <c r="AG2722" s="35"/>
      <c r="AH2722" s="35"/>
      <c r="AI2722" s="35"/>
      <c r="AJ2722" s="35"/>
      <c r="AK2722" s="35"/>
      <c r="AL2722" s="35"/>
    </row>
    <row r="2723">
      <c r="A2723" s="39"/>
      <c r="B2723" s="19" t="s">
        <v>12857</v>
      </c>
      <c r="C2723" s="20" t="s">
        <v>13142</v>
      </c>
      <c r="D2723" s="47"/>
      <c r="E2723" s="22" t="s">
        <v>13367</v>
      </c>
      <c r="F2723" s="22" t="s">
        <v>13368</v>
      </c>
      <c r="G2723" s="23">
        <v>2019.0</v>
      </c>
      <c r="H2723" s="22" t="s">
        <v>3048</v>
      </c>
      <c r="I2723" s="24" t="s">
        <v>13369</v>
      </c>
      <c r="J2723" s="22" t="s">
        <v>13370</v>
      </c>
      <c r="K2723" s="22" t="s">
        <v>13371</v>
      </c>
      <c r="L2723" s="36" t="s">
        <v>13372</v>
      </c>
      <c r="M2723" s="36" t="s">
        <v>13373</v>
      </c>
      <c r="N2723" s="36" t="s">
        <v>58</v>
      </c>
      <c r="O2723" s="36" t="s">
        <v>58</v>
      </c>
      <c r="P2723" s="37" t="s">
        <v>58</v>
      </c>
      <c r="Q2723" s="36" t="s">
        <v>58</v>
      </c>
      <c r="R2723" s="36" t="s">
        <v>13374</v>
      </c>
      <c r="S2723" s="36">
        <v>1.0</v>
      </c>
      <c r="T2723" s="42" t="s">
        <v>13375</v>
      </c>
      <c r="U2723" s="38" t="str">
        <f>HYPERLINK("https://www.ncbi.nlm.nih.gov/pubmed/31315168","PubMed")</f>
        <v>PubMed</v>
      </c>
      <c r="V2723" s="30"/>
      <c r="W2723" s="49"/>
      <c r="X2723" s="49"/>
      <c r="Y2723" s="35"/>
      <c r="Z2723" s="35"/>
      <c r="AA2723" s="35"/>
      <c r="AB2723" s="35"/>
      <c r="AC2723" s="35"/>
      <c r="AD2723" s="35"/>
      <c r="AE2723" s="35"/>
      <c r="AF2723" s="35"/>
      <c r="AG2723" s="35"/>
      <c r="AH2723" s="35"/>
      <c r="AI2723" s="35"/>
      <c r="AJ2723" s="35"/>
      <c r="AK2723" s="35"/>
      <c r="AL2723" s="35"/>
    </row>
    <row r="2724">
      <c r="A2724" s="39"/>
      <c r="B2724" s="19" t="s">
        <v>12857</v>
      </c>
      <c r="C2724" s="20" t="s">
        <v>13336</v>
      </c>
      <c r="D2724" s="47"/>
      <c r="E2724" s="22" t="s">
        <v>13241</v>
      </c>
      <c r="F2724" s="22" t="s">
        <v>530</v>
      </c>
      <c r="G2724" s="23">
        <v>2019.0</v>
      </c>
      <c r="H2724" s="22" t="s">
        <v>91</v>
      </c>
      <c r="I2724" s="24" t="s">
        <v>13376</v>
      </c>
      <c r="J2724" s="22" t="s">
        <v>13377</v>
      </c>
      <c r="K2724" s="22"/>
      <c r="L2724" s="36">
        <v>808.0</v>
      </c>
      <c r="M2724" s="36">
        <v>100.0</v>
      </c>
      <c r="N2724" s="36">
        <v>2.0</v>
      </c>
      <c r="O2724" s="36" t="s">
        <v>13378</v>
      </c>
      <c r="P2724" s="37" t="s">
        <v>11771</v>
      </c>
      <c r="Q2724" s="36" t="s">
        <v>963</v>
      </c>
      <c r="R2724" s="36" t="s">
        <v>13379</v>
      </c>
      <c r="S2724" s="36" t="s">
        <v>2680</v>
      </c>
      <c r="T2724" s="42" t="s">
        <v>13380</v>
      </c>
      <c r="U2724" s="38" t="str">
        <f>HYPERLINK("https://www.ncbi.nlm.nih.gov/pubmed/31144070","PubMed")</f>
        <v>PubMed</v>
      </c>
      <c r="V2724" s="30"/>
      <c r="W2724" s="49"/>
      <c r="X2724" s="49"/>
      <c r="Y2724" s="35"/>
      <c r="Z2724" s="35"/>
      <c r="AA2724" s="35"/>
      <c r="AB2724" s="35"/>
      <c r="AC2724" s="35"/>
      <c r="AD2724" s="35"/>
      <c r="AE2724" s="35"/>
      <c r="AF2724" s="35"/>
      <c r="AG2724" s="35"/>
      <c r="AH2724" s="35"/>
      <c r="AI2724" s="35"/>
      <c r="AJ2724" s="35"/>
      <c r="AK2724" s="35"/>
      <c r="AL2724" s="35"/>
    </row>
    <row r="2725">
      <c r="A2725" s="39"/>
      <c r="B2725" s="19" t="s">
        <v>12857</v>
      </c>
      <c r="C2725" s="20" t="s">
        <v>13336</v>
      </c>
      <c r="D2725" s="47"/>
      <c r="E2725" s="22" t="s">
        <v>13381</v>
      </c>
      <c r="F2725" s="22" t="s">
        <v>13382</v>
      </c>
      <c r="G2725" s="23">
        <v>2018.0</v>
      </c>
      <c r="H2725" s="22" t="s">
        <v>13383</v>
      </c>
      <c r="I2725" s="24" t="s">
        <v>13384</v>
      </c>
      <c r="J2725" s="22" t="s">
        <v>13385</v>
      </c>
      <c r="K2725" s="22" t="s">
        <v>56</v>
      </c>
      <c r="L2725" s="36" t="s">
        <v>13386</v>
      </c>
      <c r="M2725" s="36" t="s">
        <v>13387</v>
      </c>
      <c r="N2725" s="36" t="s">
        <v>58</v>
      </c>
      <c r="O2725" s="36" t="s">
        <v>58</v>
      </c>
      <c r="P2725" s="37" t="s">
        <v>58</v>
      </c>
      <c r="Q2725" s="36" t="s">
        <v>58</v>
      </c>
      <c r="R2725" s="36" t="s">
        <v>58</v>
      </c>
      <c r="S2725" s="36" t="s">
        <v>13388</v>
      </c>
      <c r="T2725" s="28" t="s">
        <v>13389</v>
      </c>
      <c r="U2725" s="38" t="str">
        <f>HYPERLINK("http://journalajrimps.com/index.php/AJRIMPS/article/view/21874","JournalAJRiMPS")</f>
        <v>JournalAJRiMPS</v>
      </c>
      <c r="V2725" s="30"/>
      <c r="W2725" s="49"/>
      <c r="X2725" s="49"/>
      <c r="Y2725" s="35"/>
      <c r="Z2725" s="35"/>
      <c r="AA2725" s="35"/>
      <c r="AB2725" s="35"/>
      <c r="AC2725" s="35"/>
      <c r="AD2725" s="35"/>
      <c r="AE2725" s="35"/>
      <c r="AF2725" s="35"/>
      <c r="AG2725" s="35"/>
      <c r="AH2725" s="35"/>
      <c r="AI2725" s="35"/>
      <c r="AJ2725" s="35"/>
      <c r="AK2725" s="35"/>
      <c r="AL2725" s="35"/>
    </row>
    <row r="2726">
      <c r="A2726" s="39"/>
      <c r="B2726" s="19" t="s">
        <v>12857</v>
      </c>
      <c r="C2726" s="20" t="s">
        <v>13336</v>
      </c>
      <c r="D2726" s="47"/>
      <c r="E2726" s="22" t="s">
        <v>13390</v>
      </c>
      <c r="F2726" s="22" t="s">
        <v>358</v>
      </c>
      <c r="G2726" s="23">
        <v>2018.0</v>
      </c>
      <c r="H2726" s="22" t="s">
        <v>13115</v>
      </c>
      <c r="I2726" s="24" t="s">
        <v>13391</v>
      </c>
      <c r="J2726" s="22" t="s">
        <v>13392</v>
      </c>
      <c r="K2726" s="22"/>
      <c r="L2726" s="36">
        <v>808.0</v>
      </c>
      <c r="M2726" s="36">
        <v>100.0</v>
      </c>
      <c r="N2726" s="36" t="s">
        <v>58</v>
      </c>
      <c r="O2726" s="36" t="s">
        <v>13393</v>
      </c>
      <c r="P2726" s="37" t="s">
        <v>454</v>
      </c>
      <c r="Q2726" s="36" t="s">
        <v>280</v>
      </c>
      <c r="R2726" s="36" t="s">
        <v>13394</v>
      </c>
      <c r="S2726" s="36" t="s">
        <v>13395</v>
      </c>
      <c r="T2726" s="42" t="s">
        <v>13396</v>
      </c>
      <c r="U2726" s="38" t="str">
        <f>HYPERLINK("https://www.ncbi.nlm.nih.gov/pubmed/30324827","PubMed")</f>
        <v>PubMed</v>
      </c>
      <c r="V2726" s="30"/>
      <c r="W2726" s="49"/>
      <c r="X2726" s="49"/>
      <c r="Y2726" s="35"/>
      <c r="Z2726" s="35"/>
      <c r="AA2726" s="35"/>
      <c r="AB2726" s="35"/>
      <c r="AC2726" s="35"/>
      <c r="AD2726" s="35"/>
      <c r="AE2726" s="35"/>
      <c r="AF2726" s="35"/>
      <c r="AG2726" s="35"/>
      <c r="AH2726" s="35"/>
      <c r="AI2726" s="35"/>
      <c r="AJ2726" s="35"/>
      <c r="AK2726" s="35"/>
      <c r="AL2726" s="35"/>
    </row>
    <row r="2727">
      <c r="A2727" s="39"/>
      <c r="B2727" s="19" t="s">
        <v>12857</v>
      </c>
      <c r="C2727" s="20" t="s">
        <v>13397</v>
      </c>
      <c r="D2727" s="47"/>
      <c r="E2727" s="22" t="s">
        <v>13398</v>
      </c>
      <c r="F2727" s="22" t="s">
        <v>1943</v>
      </c>
      <c r="G2727" s="23">
        <v>2018.0</v>
      </c>
      <c r="H2727" s="22" t="s">
        <v>13399</v>
      </c>
      <c r="I2727" s="24" t="s">
        <v>13400</v>
      </c>
      <c r="J2727" s="22" t="s">
        <v>55</v>
      </c>
      <c r="K2727" s="22"/>
      <c r="L2727" s="36">
        <v>940.0</v>
      </c>
      <c r="M2727" s="36">
        <v>200.0</v>
      </c>
      <c r="N2727" s="36"/>
      <c r="O2727" s="36">
        <v>4.0</v>
      </c>
      <c r="P2727" s="37"/>
      <c r="Q2727" s="36" t="s">
        <v>13401</v>
      </c>
      <c r="R2727" s="36" t="s">
        <v>13402</v>
      </c>
      <c r="S2727" s="36"/>
      <c r="T2727" s="28" t="s">
        <v>13403</v>
      </c>
      <c r="U2727" s="38" t="str">
        <f>HYPERLINK("https://www.ncbi.nlm.nih.gov/pubmed/30648360","PubMed")</f>
        <v>PubMed</v>
      </c>
      <c r="V2727" s="30" t="s">
        <v>13404</v>
      </c>
      <c r="W2727" s="49"/>
      <c r="X2727" s="49"/>
      <c r="Y2727" s="35"/>
      <c r="Z2727" s="35"/>
      <c r="AA2727" s="35"/>
      <c r="AB2727" s="35"/>
      <c r="AC2727" s="35"/>
      <c r="AD2727" s="35"/>
      <c r="AE2727" s="35"/>
      <c r="AF2727" s="35"/>
      <c r="AG2727" s="35"/>
      <c r="AH2727" s="35"/>
      <c r="AI2727" s="35"/>
      <c r="AJ2727" s="35"/>
      <c r="AK2727" s="35"/>
      <c r="AL2727" s="35"/>
    </row>
    <row r="2728">
      <c r="A2728" s="39"/>
      <c r="B2728" s="19" t="s">
        <v>12857</v>
      </c>
      <c r="C2728" s="20" t="s">
        <v>13405</v>
      </c>
      <c r="D2728" s="47"/>
      <c r="E2728" s="22" t="s">
        <v>13406</v>
      </c>
      <c r="F2728" s="22" t="s">
        <v>13407</v>
      </c>
      <c r="G2728" s="23">
        <v>2018.0</v>
      </c>
      <c r="H2728" s="22" t="s">
        <v>13408</v>
      </c>
      <c r="I2728" s="24" t="s">
        <v>13409</v>
      </c>
      <c r="J2728" s="22" t="s">
        <v>2049</v>
      </c>
      <c r="K2728" s="22"/>
      <c r="L2728" s="36"/>
      <c r="M2728" s="36"/>
      <c r="N2728" s="36"/>
      <c r="O2728" s="36"/>
      <c r="P2728" s="37" t="s">
        <v>13410</v>
      </c>
      <c r="Q2728" s="36"/>
      <c r="R2728" s="36"/>
      <c r="S2728" s="36"/>
      <c r="T2728" s="28" t="s">
        <v>13411</v>
      </c>
      <c r="U2728" s="38" t="str">
        <f>HYPERLINK("https://www.ncbi.nlm.nih.gov/pubmed/30197438","PubMed")</f>
        <v>PubMed</v>
      </c>
      <c r="V2728" s="30"/>
      <c r="W2728" s="49"/>
      <c r="X2728" s="49"/>
      <c r="Y2728" s="35"/>
      <c r="Z2728" s="35"/>
      <c r="AA2728" s="35"/>
      <c r="AB2728" s="35"/>
      <c r="AC2728" s="35"/>
      <c r="AD2728" s="35"/>
      <c r="AE2728" s="35"/>
      <c r="AF2728" s="35"/>
      <c r="AG2728" s="35"/>
      <c r="AH2728" s="35"/>
      <c r="AI2728" s="35"/>
      <c r="AJ2728" s="35"/>
      <c r="AK2728" s="35"/>
      <c r="AL2728" s="35"/>
    </row>
    <row r="2729">
      <c r="A2729" s="39"/>
      <c r="B2729" s="19" t="s">
        <v>12857</v>
      </c>
      <c r="C2729" s="20" t="s">
        <v>13336</v>
      </c>
      <c r="D2729" s="47"/>
      <c r="E2729" s="22" t="s">
        <v>13256</v>
      </c>
      <c r="F2729" s="22" t="s">
        <v>41</v>
      </c>
      <c r="G2729" s="23">
        <v>2018.0</v>
      </c>
      <c r="H2729" s="22" t="s">
        <v>13412</v>
      </c>
      <c r="I2729" s="24" t="s">
        <v>13413</v>
      </c>
      <c r="J2729" s="22" t="s">
        <v>2141</v>
      </c>
      <c r="K2729" s="22"/>
      <c r="L2729" s="168"/>
      <c r="M2729" s="168"/>
      <c r="N2729" s="168"/>
      <c r="O2729" s="168"/>
      <c r="P2729" s="169"/>
      <c r="Q2729" s="168"/>
      <c r="R2729" s="168"/>
      <c r="S2729" s="168"/>
      <c r="T2729" s="185" t="s">
        <v>13414</v>
      </c>
      <c r="U2729" s="38" t="str">
        <f>HYPERLINK("https://www.ncbi.nlm.nih.gov/pubmed/29722602","PubMed")</f>
        <v>PubMed</v>
      </c>
      <c r="V2729" s="30"/>
      <c r="W2729" s="49"/>
      <c r="X2729" s="49"/>
      <c r="Y2729" s="35"/>
      <c r="Z2729" s="35"/>
      <c r="AA2729" s="35"/>
      <c r="AB2729" s="35"/>
      <c r="AC2729" s="35"/>
      <c r="AD2729" s="35"/>
      <c r="AE2729" s="35"/>
      <c r="AF2729" s="35"/>
      <c r="AG2729" s="35"/>
      <c r="AH2729" s="35"/>
      <c r="AI2729" s="35"/>
      <c r="AJ2729" s="35"/>
      <c r="AK2729" s="35"/>
      <c r="AL2729" s="35"/>
    </row>
    <row r="2730">
      <c r="A2730" s="39"/>
      <c r="B2730" s="19" t="s">
        <v>12857</v>
      </c>
      <c r="C2730" s="20" t="s">
        <v>13336</v>
      </c>
      <c r="D2730" s="47"/>
      <c r="E2730" s="22" t="s">
        <v>13323</v>
      </c>
      <c r="F2730" s="22" t="s">
        <v>41</v>
      </c>
      <c r="G2730" s="23">
        <v>2018.0</v>
      </c>
      <c r="H2730" s="22" t="s">
        <v>53</v>
      </c>
      <c r="I2730" s="24" t="s">
        <v>13415</v>
      </c>
      <c r="J2730" s="22" t="s">
        <v>13416</v>
      </c>
      <c r="K2730" s="22" t="s">
        <v>13417</v>
      </c>
      <c r="L2730" s="36" t="s">
        <v>13418</v>
      </c>
      <c r="M2730" s="36"/>
      <c r="N2730" s="36"/>
      <c r="O2730" s="36" t="s">
        <v>13419</v>
      </c>
      <c r="P2730" s="37"/>
      <c r="Q2730" s="36" t="s">
        <v>13420</v>
      </c>
      <c r="R2730" s="36" t="s">
        <v>13421</v>
      </c>
      <c r="S2730" s="36" t="s">
        <v>7333</v>
      </c>
      <c r="T2730" s="28" t="s">
        <v>13422</v>
      </c>
      <c r="U2730" s="38" t="str">
        <f>HYPERLINK("https://www.ncbi.nlm.nih.gov/pubmed/29733117","PubMed")</f>
        <v>PubMed</v>
      </c>
      <c r="V2730" s="30" t="s">
        <v>13423</v>
      </c>
      <c r="W2730" s="49"/>
      <c r="X2730" s="49"/>
      <c r="Y2730" s="35"/>
      <c r="Z2730" s="35"/>
      <c r="AA2730" s="35"/>
      <c r="AB2730" s="35"/>
      <c r="AC2730" s="35"/>
      <c r="AD2730" s="35"/>
      <c r="AE2730" s="35"/>
      <c r="AF2730" s="35"/>
      <c r="AG2730" s="35"/>
      <c r="AH2730" s="35"/>
      <c r="AI2730" s="35"/>
      <c r="AJ2730" s="35"/>
      <c r="AK2730" s="35"/>
      <c r="AL2730" s="35"/>
    </row>
    <row r="2731">
      <c r="A2731" s="39"/>
      <c r="B2731" s="19" t="s">
        <v>12857</v>
      </c>
      <c r="C2731" s="20" t="s">
        <v>13142</v>
      </c>
      <c r="D2731" s="47"/>
      <c r="E2731" s="22" t="s">
        <v>13424</v>
      </c>
      <c r="F2731" s="22" t="s">
        <v>13425</v>
      </c>
      <c r="G2731" s="23">
        <v>2018.0</v>
      </c>
      <c r="H2731" s="22" t="s">
        <v>13426</v>
      </c>
      <c r="I2731" s="24" t="s">
        <v>13427</v>
      </c>
      <c r="J2731" s="22" t="s">
        <v>2141</v>
      </c>
      <c r="K2731" s="22"/>
      <c r="L2731" s="168"/>
      <c r="M2731" s="168"/>
      <c r="N2731" s="168"/>
      <c r="O2731" s="168"/>
      <c r="P2731" s="169"/>
      <c r="Q2731" s="168"/>
      <c r="R2731" s="168"/>
      <c r="S2731" s="168"/>
      <c r="T2731" s="185" t="s">
        <v>13428</v>
      </c>
      <c r="U2731" s="38" t="str">
        <f>HYPERLINK("https://www.ncbi.nlm.nih.gov/pubmed/29520953","PubMed")</f>
        <v>PubMed</v>
      </c>
      <c r="V2731" s="30"/>
      <c r="W2731" s="49"/>
      <c r="X2731" s="49"/>
      <c r="Y2731" s="35"/>
      <c r="Z2731" s="35"/>
      <c r="AA2731" s="35"/>
      <c r="AB2731" s="35"/>
      <c r="AC2731" s="35"/>
      <c r="AD2731" s="35"/>
      <c r="AE2731" s="35"/>
      <c r="AF2731" s="35"/>
      <c r="AG2731" s="35"/>
      <c r="AH2731" s="35"/>
      <c r="AI2731" s="35"/>
      <c r="AJ2731" s="35"/>
      <c r="AK2731" s="35"/>
      <c r="AL2731" s="35"/>
    </row>
    <row r="2732">
      <c r="A2732" s="39"/>
      <c r="B2732" s="19" t="s">
        <v>12857</v>
      </c>
      <c r="C2732" s="20" t="s">
        <v>13336</v>
      </c>
      <c r="D2732" s="47"/>
      <c r="E2732" s="22" t="s">
        <v>13429</v>
      </c>
      <c r="F2732" s="22" t="s">
        <v>41</v>
      </c>
      <c r="G2732" s="23">
        <v>2018.0</v>
      </c>
      <c r="H2732" s="22" t="s">
        <v>91</v>
      </c>
      <c r="I2732" s="24" t="s">
        <v>13430</v>
      </c>
      <c r="J2732" s="22" t="s">
        <v>55</v>
      </c>
      <c r="K2732" s="22"/>
      <c r="L2732" s="36">
        <v>808.0</v>
      </c>
      <c r="M2732" s="36">
        <v>50.0</v>
      </c>
      <c r="N2732" s="36"/>
      <c r="O2732" s="36">
        <v>42.0</v>
      </c>
      <c r="P2732" s="37" t="s">
        <v>13431</v>
      </c>
      <c r="Q2732" s="36" t="s">
        <v>280</v>
      </c>
      <c r="R2732" s="36"/>
      <c r="S2732" s="36"/>
      <c r="T2732" s="28" t="s">
        <v>13432</v>
      </c>
      <c r="U2732" s="38" t="str">
        <f>HYPERLINK("https://www.ncbi.nlm.nih.gov/pubmed/29520686","PubMed")</f>
        <v>PubMed</v>
      </c>
      <c r="V2732" s="30"/>
      <c r="W2732" s="49"/>
      <c r="X2732" s="49"/>
      <c r="Y2732" s="35"/>
      <c r="Z2732" s="35"/>
      <c r="AA2732" s="35"/>
      <c r="AB2732" s="35"/>
      <c r="AC2732" s="35"/>
      <c r="AD2732" s="35"/>
      <c r="AE2732" s="35"/>
      <c r="AF2732" s="35"/>
      <c r="AG2732" s="35"/>
      <c r="AH2732" s="35"/>
      <c r="AI2732" s="35"/>
      <c r="AJ2732" s="35"/>
      <c r="AK2732" s="35"/>
      <c r="AL2732" s="35"/>
    </row>
    <row r="2733">
      <c r="A2733" s="39"/>
      <c r="B2733" s="19" t="s">
        <v>12857</v>
      </c>
      <c r="C2733" s="20" t="s">
        <v>13336</v>
      </c>
      <c r="D2733" s="47"/>
      <c r="E2733" s="22" t="s">
        <v>4396</v>
      </c>
      <c r="F2733" s="22" t="s">
        <v>274</v>
      </c>
      <c r="G2733" s="23">
        <v>2018.0</v>
      </c>
      <c r="H2733" s="22" t="s">
        <v>4764</v>
      </c>
      <c r="I2733" s="24" t="s">
        <v>13433</v>
      </c>
      <c r="J2733" s="22" t="s">
        <v>13434</v>
      </c>
      <c r="K2733" s="22"/>
      <c r="L2733" s="36">
        <v>808.0</v>
      </c>
      <c r="M2733" s="36" t="s">
        <v>13435</v>
      </c>
      <c r="N2733" s="36" t="s">
        <v>58</v>
      </c>
      <c r="O2733" s="36" t="s">
        <v>13436</v>
      </c>
      <c r="P2733" s="37" t="s">
        <v>13437</v>
      </c>
      <c r="Q2733" s="36" t="s">
        <v>58</v>
      </c>
      <c r="R2733" s="36" t="s">
        <v>13438</v>
      </c>
      <c r="S2733" s="36" t="s">
        <v>13439</v>
      </c>
      <c r="T2733" s="28" t="s">
        <v>13440</v>
      </c>
      <c r="U2733" s="38" t="str">
        <f>HYPERLINK("https://www.ncbi.nlm.nih.gov/pubmed/29480363","PubMed")</f>
        <v>PubMed</v>
      </c>
      <c r="V2733" s="30"/>
      <c r="W2733" s="49"/>
      <c r="X2733" s="49"/>
      <c r="Y2733" s="35"/>
      <c r="Z2733" s="35"/>
      <c r="AA2733" s="35"/>
      <c r="AB2733" s="35"/>
      <c r="AC2733" s="35"/>
      <c r="AD2733" s="35"/>
      <c r="AE2733" s="35"/>
      <c r="AF2733" s="35"/>
      <c r="AG2733" s="35"/>
      <c r="AH2733" s="35"/>
      <c r="AI2733" s="35"/>
      <c r="AJ2733" s="35"/>
      <c r="AK2733" s="35"/>
      <c r="AL2733" s="35"/>
    </row>
    <row r="2734">
      <c r="A2734" s="149"/>
      <c r="B2734" s="19" t="s">
        <v>12857</v>
      </c>
      <c r="C2734" s="20" t="s">
        <v>13336</v>
      </c>
      <c r="D2734" s="47"/>
      <c r="E2734" s="22" t="s">
        <v>13441</v>
      </c>
      <c r="F2734" s="22" t="s">
        <v>13442</v>
      </c>
      <c r="G2734" s="23">
        <v>2018.0</v>
      </c>
      <c r="H2734" s="22" t="s">
        <v>658</v>
      </c>
      <c r="I2734" s="24" t="s">
        <v>13443</v>
      </c>
      <c r="J2734" s="22" t="s">
        <v>649</v>
      </c>
      <c r="K2734" s="22" t="s">
        <v>13444</v>
      </c>
      <c r="L2734" s="43" t="s">
        <v>13445</v>
      </c>
      <c r="M2734" s="44"/>
      <c r="N2734" s="44"/>
      <c r="O2734" s="44"/>
      <c r="P2734" s="44"/>
      <c r="Q2734" s="44"/>
      <c r="R2734" s="44"/>
      <c r="S2734" s="44"/>
      <c r="T2734" s="45"/>
      <c r="U2734" s="38" t="str">
        <f>HYPERLINK("https://www.ncbi.nlm.nih.gov/pubmed/29688827","PubMed")</f>
        <v>PubMed</v>
      </c>
      <c r="V2734" s="50"/>
      <c r="W2734" s="49"/>
      <c r="X2734" s="49"/>
      <c r="Y2734" s="35"/>
      <c r="Z2734" s="35"/>
      <c r="AA2734" s="35"/>
      <c r="AB2734" s="35"/>
      <c r="AC2734" s="35"/>
      <c r="AD2734" s="35"/>
      <c r="AE2734" s="35"/>
      <c r="AF2734" s="35"/>
      <c r="AG2734" s="35"/>
      <c r="AH2734" s="35"/>
      <c r="AI2734" s="35"/>
      <c r="AJ2734" s="35"/>
      <c r="AK2734" s="35"/>
      <c r="AL2734" s="35"/>
    </row>
    <row r="2735">
      <c r="A2735" s="149"/>
      <c r="B2735" s="19" t="s">
        <v>12857</v>
      </c>
      <c r="C2735" s="20" t="s">
        <v>13336</v>
      </c>
      <c r="D2735" s="47"/>
      <c r="E2735" s="22" t="s">
        <v>4736</v>
      </c>
      <c r="F2735" s="22" t="s">
        <v>323</v>
      </c>
      <c r="G2735" s="23">
        <v>2017.0</v>
      </c>
      <c r="H2735" s="22" t="s">
        <v>147</v>
      </c>
      <c r="I2735" s="24" t="s">
        <v>13446</v>
      </c>
      <c r="J2735" s="22" t="s">
        <v>1078</v>
      </c>
      <c r="K2735" s="22"/>
      <c r="L2735" s="43" t="s">
        <v>13447</v>
      </c>
      <c r="M2735" s="44"/>
      <c r="N2735" s="44"/>
      <c r="O2735" s="44"/>
      <c r="P2735" s="44"/>
      <c r="Q2735" s="44"/>
      <c r="R2735" s="44"/>
      <c r="S2735" s="44"/>
      <c r="T2735" s="45"/>
      <c r="U2735" s="38" t="str">
        <f>HYPERLINK("https://www.ncbi.nlm.nih.gov/pubmed/29071029","PubMed")</f>
        <v>PubMed</v>
      </c>
      <c r="V2735" s="50"/>
      <c r="W2735" s="49"/>
      <c r="X2735" s="49"/>
      <c r="Y2735" s="35"/>
      <c r="Z2735" s="35"/>
      <c r="AA2735" s="35"/>
      <c r="AB2735" s="35"/>
      <c r="AC2735" s="35"/>
      <c r="AD2735" s="35"/>
      <c r="AE2735" s="35"/>
      <c r="AF2735" s="35"/>
      <c r="AG2735" s="35"/>
      <c r="AH2735" s="35"/>
      <c r="AI2735" s="35"/>
      <c r="AJ2735" s="35"/>
      <c r="AK2735" s="35"/>
      <c r="AL2735" s="35"/>
    </row>
    <row r="2736">
      <c r="A2736" s="149"/>
      <c r="B2736" s="19" t="s">
        <v>12857</v>
      </c>
      <c r="C2736" s="20" t="s">
        <v>13142</v>
      </c>
      <c r="D2736" s="47"/>
      <c r="E2736" s="22" t="s">
        <v>13448</v>
      </c>
      <c r="F2736" s="22" t="s">
        <v>13449</v>
      </c>
      <c r="G2736" s="23">
        <v>2017.0</v>
      </c>
      <c r="H2736" s="22" t="s">
        <v>13450</v>
      </c>
      <c r="I2736" s="24" t="s">
        <v>13451</v>
      </c>
      <c r="J2736" s="22" t="s">
        <v>125</v>
      </c>
      <c r="K2736" s="22"/>
      <c r="L2736" s="43" t="s">
        <v>13452</v>
      </c>
      <c r="M2736" s="44"/>
      <c r="N2736" s="44"/>
      <c r="O2736" s="44"/>
      <c r="P2736" s="44"/>
      <c r="Q2736" s="44"/>
      <c r="R2736" s="44"/>
      <c r="S2736" s="44"/>
      <c r="T2736" s="45"/>
      <c r="U2736" s="38" t="str">
        <f>HYPERLINK("https://www.ncbi.nlm.nih.gov/pubmed/29696113","PubMed")</f>
        <v>PubMed</v>
      </c>
      <c r="V2736" s="50"/>
      <c r="W2736" s="49"/>
      <c r="X2736" s="49"/>
      <c r="Y2736" s="35"/>
      <c r="Z2736" s="35"/>
      <c r="AA2736" s="35"/>
      <c r="AB2736" s="35"/>
      <c r="AC2736" s="35"/>
      <c r="AD2736" s="35"/>
      <c r="AE2736" s="35"/>
      <c r="AF2736" s="35"/>
      <c r="AG2736" s="35"/>
      <c r="AH2736" s="35"/>
      <c r="AI2736" s="35"/>
      <c r="AJ2736" s="35"/>
      <c r="AK2736" s="35"/>
      <c r="AL2736" s="35"/>
    </row>
    <row r="2737">
      <c r="A2737" s="149"/>
      <c r="B2737" s="19" t="s">
        <v>12857</v>
      </c>
      <c r="C2737" s="20" t="s">
        <v>13336</v>
      </c>
      <c r="D2737" s="47"/>
      <c r="E2737" s="22" t="s">
        <v>13453</v>
      </c>
      <c r="F2737" s="22" t="s">
        <v>530</v>
      </c>
      <c r="G2737" s="23" t="s">
        <v>90</v>
      </c>
      <c r="H2737" s="22" t="s">
        <v>91</v>
      </c>
      <c r="I2737" s="24" t="s">
        <v>13454</v>
      </c>
      <c r="J2737" s="22" t="s">
        <v>55</v>
      </c>
      <c r="K2737" s="22" t="s">
        <v>13455</v>
      </c>
      <c r="L2737" s="36">
        <v>808.0</v>
      </c>
      <c r="M2737" s="36">
        <v>50.0</v>
      </c>
      <c r="N2737" s="129">
        <v>42917.0</v>
      </c>
      <c r="O2737" s="36" t="s">
        <v>13456</v>
      </c>
      <c r="P2737" s="37" t="s">
        <v>1529</v>
      </c>
      <c r="Q2737" s="36" t="s">
        <v>280</v>
      </c>
      <c r="R2737" s="36">
        <v>28.0</v>
      </c>
      <c r="S2737" s="36">
        <v>29.0</v>
      </c>
      <c r="T2737" s="28" t="s">
        <v>13457</v>
      </c>
      <c r="U2737" s="38" t="str">
        <f>HYPERLINK("https://www.ncbi.nlm.nih.gov/pubmed/29196833","PubMed")</f>
        <v>PubMed</v>
      </c>
      <c r="V2737" s="50"/>
      <c r="W2737" s="49"/>
      <c r="X2737" s="49"/>
      <c r="Y2737" s="35"/>
      <c r="Z2737" s="35"/>
      <c r="AA2737" s="35"/>
      <c r="AB2737" s="35"/>
      <c r="AC2737" s="35"/>
      <c r="AD2737" s="35"/>
      <c r="AE2737" s="35"/>
      <c r="AF2737" s="35"/>
      <c r="AG2737" s="35"/>
      <c r="AH2737" s="35"/>
      <c r="AI2737" s="35"/>
      <c r="AJ2737" s="35"/>
      <c r="AK2737" s="35"/>
      <c r="AL2737" s="35"/>
    </row>
    <row r="2738">
      <c r="A2738" s="149"/>
      <c r="B2738" s="19" t="s">
        <v>12857</v>
      </c>
      <c r="C2738" s="20" t="s">
        <v>13336</v>
      </c>
      <c r="D2738" s="47"/>
      <c r="E2738" s="22" t="s">
        <v>13458</v>
      </c>
      <c r="F2738" s="22" t="s">
        <v>41</v>
      </c>
      <c r="G2738" s="23">
        <v>2017.0</v>
      </c>
      <c r="H2738" s="22" t="s">
        <v>13257</v>
      </c>
      <c r="I2738" s="24" t="s">
        <v>13459</v>
      </c>
      <c r="J2738" s="22" t="s">
        <v>13460</v>
      </c>
      <c r="K2738" s="22" t="s">
        <v>13461</v>
      </c>
      <c r="L2738" s="36">
        <v>904.0</v>
      </c>
      <c r="M2738" s="36">
        <v>60.0</v>
      </c>
      <c r="N2738" s="36"/>
      <c r="O2738" s="36" t="s">
        <v>13462</v>
      </c>
      <c r="P2738" s="37"/>
      <c r="Q2738" s="36" t="s">
        <v>83</v>
      </c>
      <c r="R2738" s="36" t="s">
        <v>13463</v>
      </c>
      <c r="S2738" s="36" t="s">
        <v>4701</v>
      </c>
      <c r="T2738" s="28" t="s">
        <v>13464</v>
      </c>
      <c r="U2738" s="38" t="str">
        <f>HYPERLINK("https://www.ncbi.nlm.nih.gov/pubmed/28776408","PubMed")</f>
        <v>PubMed</v>
      </c>
      <c r="V2738" s="50"/>
      <c r="W2738" s="49"/>
      <c r="X2738" s="49"/>
      <c r="Y2738" s="35"/>
      <c r="Z2738" s="35"/>
      <c r="AA2738" s="35"/>
      <c r="AB2738" s="35"/>
      <c r="AC2738" s="35"/>
      <c r="AD2738" s="35"/>
      <c r="AE2738" s="35"/>
      <c r="AF2738" s="35"/>
      <c r="AG2738" s="35"/>
      <c r="AH2738" s="35"/>
      <c r="AI2738" s="35"/>
      <c r="AJ2738" s="35"/>
      <c r="AK2738" s="35"/>
      <c r="AL2738" s="35"/>
    </row>
    <row r="2739">
      <c r="A2739" s="149"/>
      <c r="B2739" s="19" t="s">
        <v>12857</v>
      </c>
      <c r="C2739" s="20" t="s">
        <v>13336</v>
      </c>
      <c r="D2739" s="47"/>
      <c r="E2739" s="22" t="s">
        <v>1948</v>
      </c>
      <c r="F2739" s="22" t="s">
        <v>1949</v>
      </c>
      <c r="G2739" s="23">
        <v>2017.0</v>
      </c>
      <c r="H2739" s="22" t="s">
        <v>91</v>
      </c>
      <c r="I2739" s="24" t="s">
        <v>13465</v>
      </c>
      <c r="J2739" s="22" t="s">
        <v>13466</v>
      </c>
      <c r="K2739" s="22" t="s">
        <v>13467</v>
      </c>
      <c r="L2739" s="36">
        <v>1064.0</v>
      </c>
      <c r="M2739" s="36">
        <v>10500.0</v>
      </c>
      <c r="N2739" s="36"/>
      <c r="O2739" s="36" t="s">
        <v>13468</v>
      </c>
      <c r="P2739" s="37" t="s">
        <v>13469</v>
      </c>
      <c r="Q2739" s="36" t="s">
        <v>13470</v>
      </c>
      <c r="R2739" s="36">
        <v>420.0</v>
      </c>
      <c r="S2739" s="36" t="s">
        <v>2688</v>
      </c>
      <c r="T2739" s="28" t="s">
        <v>13471</v>
      </c>
      <c r="U2739" s="38" t="str">
        <f>HYPERLINK("https://www.ncbi.nlm.nih.gov/pubmed/28078503","PubMed")</f>
        <v>PubMed</v>
      </c>
      <c r="V2739" s="50"/>
      <c r="W2739" s="49"/>
      <c r="X2739" s="49"/>
      <c r="Y2739" s="35"/>
      <c r="Z2739" s="35"/>
      <c r="AA2739" s="35"/>
      <c r="AB2739" s="35"/>
      <c r="AC2739" s="35"/>
      <c r="AD2739" s="35"/>
      <c r="AE2739" s="35"/>
      <c r="AF2739" s="35"/>
      <c r="AG2739" s="35"/>
      <c r="AH2739" s="35"/>
      <c r="AI2739" s="35"/>
      <c r="AJ2739" s="35"/>
      <c r="AK2739" s="35"/>
      <c r="AL2739" s="35"/>
    </row>
    <row r="2740">
      <c r="A2740" s="18" t="s">
        <v>2</v>
      </c>
      <c r="B2740" s="19" t="s">
        <v>12857</v>
      </c>
      <c r="C2740" s="20" t="s">
        <v>13336</v>
      </c>
      <c r="D2740" s="47"/>
      <c r="E2740" s="22" t="s">
        <v>13472</v>
      </c>
      <c r="F2740" s="22" t="s">
        <v>12974</v>
      </c>
      <c r="G2740" s="23">
        <v>2017.0</v>
      </c>
      <c r="H2740" s="22" t="s">
        <v>91</v>
      </c>
      <c r="I2740" s="24" t="s">
        <v>13473</v>
      </c>
      <c r="J2740" s="22" t="s">
        <v>13474</v>
      </c>
      <c r="K2740" s="22"/>
      <c r="L2740" s="36">
        <v>905.0</v>
      </c>
      <c r="M2740" s="36">
        <v>25.0</v>
      </c>
      <c r="N2740" s="36"/>
      <c r="O2740" s="36">
        <v>12.0</v>
      </c>
      <c r="P2740" s="37"/>
      <c r="Q2740" s="36" t="s">
        <v>13475</v>
      </c>
      <c r="R2740" s="36">
        <v>480.0</v>
      </c>
      <c r="S2740" s="36" t="s">
        <v>4905</v>
      </c>
      <c r="T2740" s="28" t="s">
        <v>13476</v>
      </c>
      <c r="U2740" s="38" t="str">
        <f>HYPERLINK("https://www.ncbi.nlm.nih.gov/pubmed/27913970","PubMed")</f>
        <v>PubMed</v>
      </c>
      <c r="V2740" s="50"/>
      <c r="W2740" s="49"/>
      <c r="X2740" s="49"/>
      <c r="Y2740" s="35"/>
      <c r="Z2740" s="35"/>
      <c r="AA2740" s="35"/>
      <c r="AB2740" s="35"/>
      <c r="AC2740" s="35"/>
      <c r="AD2740" s="35"/>
      <c r="AE2740" s="35"/>
      <c r="AF2740" s="35"/>
      <c r="AG2740" s="35"/>
      <c r="AH2740" s="35"/>
      <c r="AI2740" s="35"/>
      <c r="AJ2740" s="35"/>
      <c r="AK2740" s="35"/>
      <c r="AL2740" s="35"/>
    </row>
    <row r="2741">
      <c r="A2741" s="1"/>
      <c r="B2741" s="19" t="s">
        <v>12857</v>
      </c>
      <c r="C2741" s="20" t="s">
        <v>13336</v>
      </c>
      <c r="D2741" s="47"/>
      <c r="E2741" s="22" t="s">
        <v>388</v>
      </c>
      <c r="F2741" s="22" t="s">
        <v>41</v>
      </c>
      <c r="G2741" s="23">
        <v>2017.0</v>
      </c>
      <c r="H2741" s="22" t="s">
        <v>91</v>
      </c>
      <c r="I2741" s="24" t="s">
        <v>13477</v>
      </c>
      <c r="J2741" s="22" t="s">
        <v>55</v>
      </c>
      <c r="K2741" s="22" t="s">
        <v>13478</v>
      </c>
      <c r="L2741" s="36">
        <v>808.0</v>
      </c>
      <c r="M2741" s="36">
        <v>50.0</v>
      </c>
      <c r="N2741" s="36" t="s">
        <v>3824</v>
      </c>
      <c r="O2741" s="36" t="s">
        <v>13479</v>
      </c>
      <c r="P2741" s="37" t="s">
        <v>4386</v>
      </c>
      <c r="Q2741" s="36"/>
      <c r="R2741" s="36"/>
      <c r="S2741" s="36"/>
      <c r="T2741" s="28" t="s">
        <v>13480</v>
      </c>
      <c r="U2741" s="38" t="str">
        <f>HYPERLINK("https://www.ncbi.nlm.nih.gov/pubmed/27726041","PubMed")</f>
        <v>PubMed</v>
      </c>
      <c r="V2741" s="50"/>
      <c r="W2741" s="49"/>
      <c r="X2741" s="49"/>
      <c r="Y2741" s="35"/>
      <c r="Z2741" s="35"/>
      <c r="AA2741" s="35"/>
      <c r="AB2741" s="35"/>
      <c r="AC2741" s="35"/>
      <c r="AD2741" s="35"/>
      <c r="AE2741" s="35"/>
      <c r="AF2741" s="35"/>
      <c r="AG2741" s="35"/>
      <c r="AH2741" s="35"/>
      <c r="AI2741" s="35"/>
      <c r="AJ2741" s="35"/>
      <c r="AK2741" s="35"/>
      <c r="AL2741" s="35"/>
    </row>
    <row r="2742">
      <c r="A2742" s="149"/>
      <c r="B2742" s="19" t="s">
        <v>12857</v>
      </c>
      <c r="C2742" s="20" t="s">
        <v>13481</v>
      </c>
      <c r="D2742" s="47"/>
      <c r="E2742" s="22" t="s">
        <v>13482</v>
      </c>
      <c r="F2742" s="22" t="s">
        <v>5270</v>
      </c>
      <c r="G2742" s="23">
        <v>2016.0</v>
      </c>
      <c r="H2742" s="22" t="s">
        <v>53</v>
      </c>
      <c r="I2742" s="24" t="s">
        <v>13483</v>
      </c>
      <c r="J2742" s="22" t="s">
        <v>13484</v>
      </c>
      <c r="K2742" s="22" t="s">
        <v>13485</v>
      </c>
      <c r="L2742" s="36" t="s">
        <v>13486</v>
      </c>
      <c r="M2742" s="36" t="s">
        <v>13487</v>
      </c>
      <c r="N2742" s="36">
        <v>25.0</v>
      </c>
      <c r="O2742" s="36"/>
      <c r="P2742" s="37"/>
      <c r="Q2742" s="36" t="s">
        <v>13488</v>
      </c>
      <c r="R2742" s="36">
        <v>1200.0</v>
      </c>
      <c r="S2742" s="36" t="s">
        <v>13489</v>
      </c>
      <c r="T2742" s="28" t="s">
        <v>13490</v>
      </c>
      <c r="U2742" s="38" t="str">
        <f>HYPERLINK("https://www.ncbi.nlm.nih.gov/pubmed/26833862","PubMed")</f>
        <v>PubMed</v>
      </c>
      <c r="V2742" s="50"/>
      <c r="W2742" s="49"/>
      <c r="X2742" s="49"/>
      <c r="Y2742" s="35"/>
      <c r="Z2742" s="35"/>
      <c r="AA2742" s="35"/>
      <c r="AB2742" s="35"/>
      <c r="AC2742" s="35"/>
      <c r="AD2742" s="35"/>
      <c r="AE2742" s="35"/>
      <c r="AF2742" s="35"/>
      <c r="AG2742" s="35"/>
      <c r="AH2742" s="35"/>
      <c r="AI2742" s="35"/>
      <c r="AJ2742" s="35"/>
      <c r="AK2742" s="35"/>
      <c r="AL2742" s="35"/>
    </row>
    <row r="2743">
      <c r="A2743" s="149"/>
      <c r="B2743" s="19" t="s">
        <v>12857</v>
      </c>
      <c r="C2743" s="20" t="s">
        <v>13336</v>
      </c>
      <c r="D2743" s="47"/>
      <c r="E2743" s="22" t="s">
        <v>13491</v>
      </c>
      <c r="F2743" s="22" t="s">
        <v>13492</v>
      </c>
      <c r="G2743" s="23">
        <v>2016.0</v>
      </c>
      <c r="H2743" s="22" t="s">
        <v>13222</v>
      </c>
      <c r="I2743" s="24" t="s">
        <v>13493</v>
      </c>
      <c r="J2743" s="22" t="s">
        <v>13494</v>
      </c>
      <c r="K2743" s="22"/>
      <c r="L2743" s="36">
        <v>1064.0</v>
      </c>
      <c r="M2743" s="36" t="s">
        <v>58</v>
      </c>
      <c r="N2743" s="36" t="s">
        <v>58</v>
      </c>
      <c r="O2743" s="36" t="s">
        <v>13495</v>
      </c>
      <c r="P2743" s="37" t="s">
        <v>13496</v>
      </c>
      <c r="Q2743" s="36" t="s">
        <v>13497</v>
      </c>
      <c r="R2743" s="36">
        <v>120.0</v>
      </c>
      <c r="S2743" s="36" t="s">
        <v>35</v>
      </c>
      <c r="T2743" s="28" t="s">
        <v>13498</v>
      </c>
      <c r="U2743" s="38" t="str">
        <f>HYPERLINK("https://www.ncbi.nlm.nih.gov/pubmed/28096711","PubMed")</f>
        <v>PubMed</v>
      </c>
      <c r="V2743" s="50"/>
      <c r="W2743" s="49"/>
      <c r="X2743" s="49"/>
      <c r="Y2743" s="35"/>
      <c r="Z2743" s="35"/>
      <c r="AA2743" s="35"/>
      <c r="AB2743" s="35"/>
      <c r="AC2743" s="35"/>
      <c r="AD2743" s="35"/>
      <c r="AE2743" s="35"/>
      <c r="AF2743" s="35"/>
      <c r="AG2743" s="35"/>
      <c r="AH2743" s="35"/>
      <c r="AI2743" s="35"/>
      <c r="AJ2743" s="35"/>
      <c r="AK2743" s="35"/>
      <c r="AL2743" s="35"/>
    </row>
    <row r="2744">
      <c r="A2744" s="149" t="s">
        <v>181</v>
      </c>
      <c r="B2744" s="19" t="s">
        <v>12857</v>
      </c>
      <c r="C2744" s="20" t="s">
        <v>13336</v>
      </c>
      <c r="D2744" s="47"/>
      <c r="E2744" s="22" t="s">
        <v>1080</v>
      </c>
      <c r="F2744" s="22" t="s">
        <v>4266</v>
      </c>
      <c r="G2744" s="23">
        <v>2016.0</v>
      </c>
      <c r="H2744" s="22" t="s">
        <v>1958</v>
      </c>
      <c r="I2744" s="24" t="s">
        <v>13499</v>
      </c>
      <c r="J2744" s="22" t="s">
        <v>13500</v>
      </c>
      <c r="K2744" s="22"/>
      <c r="L2744" s="36" t="s">
        <v>58</v>
      </c>
      <c r="M2744" s="36" t="s">
        <v>58</v>
      </c>
      <c r="N2744" s="36" t="s">
        <v>58</v>
      </c>
      <c r="O2744" s="36" t="s">
        <v>58</v>
      </c>
      <c r="P2744" s="37" t="s">
        <v>671</v>
      </c>
      <c r="Q2744" s="36" t="s">
        <v>58</v>
      </c>
      <c r="R2744" s="36">
        <v>300.0</v>
      </c>
      <c r="S2744" s="36" t="s">
        <v>4905</v>
      </c>
      <c r="T2744" s="28" t="s">
        <v>13501</v>
      </c>
      <c r="U2744" s="38" t="str">
        <f>HYPERLINK("https://www.ncbi.nlm.nih.gov/pubmed/27942148","PubMed")</f>
        <v>PubMed</v>
      </c>
      <c r="V2744" s="50"/>
      <c r="W2744" s="49"/>
      <c r="X2744" s="49"/>
      <c r="Y2744" s="35"/>
      <c r="Z2744" s="35"/>
      <c r="AA2744" s="35"/>
      <c r="AB2744" s="35"/>
      <c r="AC2744" s="35"/>
      <c r="AD2744" s="35"/>
      <c r="AE2744" s="35"/>
      <c r="AF2744" s="35"/>
      <c r="AG2744" s="35"/>
      <c r="AH2744" s="35"/>
      <c r="AI2744" s="35"/>
      <c r="AJ2744" s="35"/>
      <c r="AK2744" s="35"/>
      <c r="AL2744" s="35"/>
    </row>
    <row r="2745">
      <c r="A2745" s="18"/>
      <c r="B2745" s="19" t="s">
        <v>12857</v>
      </c>
      <c r="C2745" s="20" t="s">
        <v>13336</v>
      </c>
      <c r="D2745" s="47"/>
      <c r="E2745" s="22" t="s">
        <v>12919</v>
      </c>
      <c r="F2745" s="22" t="s">
        <v>530</v>
      </c>
      <c r="G2745" s="23">
        <v>2016.0</v>
      </c>
      <c r="H2745" s="22" t="s">
        <v>13502</v>
      </c>
      <c r="I2745" s="24" t="s">
        <v>13503</v>
      </c>
      <c r="J2745" s="22" t="s">
        <v>55</v>
      </c>
      <c r="K2745" s="22"/>
      <c r="L2745" s="36">
        <v>808.0</v>
      </c>
      <c r="M2745" s="36">
        <v>50.0</v>
      </c>
      <c r="N2745" s="129">
        <v>42917.0</v>
      </c>
      <c r="O2745" s="36" t="s">
        <v>13504</v>
      </c>
      <c r="P2745" s="37" t="s">
        <v>1529</v>
      </c>
      <c r="Q2745" s="36" t="s">
        <v>280</v>
      </c>
      <c r="R2745" s="36">
        <v>28.0</v>
      </c>
      <c r="S2745" s="36">
        <v>24.0</v>
      </c>
      <c r="T2745" s="28" t="s">
        <v>13505</v>
      </c>
      <c r="U2745" s="38" t="str">
        <f>HYPERLINK("https://www.ncbi.nlm.nih.gov/pubmed/26254236","PubMed")</f>
        <v>PubMed</v>
      </c>
      <c r="V2745" s="50"/>
      <c r="W2745" s="49"/>
      <c r="X2745" s="49"/>
      <c r="Y2745" s="35"/>
      <c r="Z2745" s="35"/>
      <c r="AA2745" s="35"/>
      <c r="AB2745" s="35"/>
      <c r="AC2745" s="35"/>
      <c r="AD2745" s="35"/>
      <c r="AE2745" s="35"/>
      <c r="AF2745" s="35"/>
      <c r="AG2745" s="35"/>
      <c r="AH2745" s="35"/>
      <c r="AI2745" s="35"/>
      <c r="AJ2745" s="35"/>
      <c r="AK2745" s="35"/>
      <c r="AL2745" s="35"/>
    </row>
    <row r="2746">
      <c r="A2746" s="18"/>
      <c r="B2746" s="19" t="s">
        <v>12857</v>
      </c>
      <c r="C2746" s="20" t="s">
        <v>13336</v>
      </c>
      <c r="D2746" s="47"/>
      <c r="E2746" s="22" t="s">
        <v>10038</v>
      </c>
      <c r="F2746" s="22" t="s">
        <v>13506</v>
      </c>
      <c r="G2746" s="23">
        <v>2016.0</v>
      </c>
      <c r="H2746" s="22" t="s">
        <v>147</v>
      </c>
      <c r="I2746" s="24" t="s">
        <v>13507</v>
      </c>
      <c r="J2746" s="22" t="s">
        <v>13508</v>
      </c>
      <c r="K2746" s="22"/>
      <c r="L2746" s="36" t="s">
        <v>13509</v>
      </c>
      <c r="M2746" s="36" t="s">
        <v>13510</v>
      </c>
      <c r="N2746" s="36" t="s">
        <v>58</v>
      </c>
      <c r="O2746" s="36" t="s">
        <v>13511</v>
      </c>
      <c r="P2746" s="37" t="s">
        <v>13512</v>
      </c>
      <c r="Q2746" s="36" t="s">
        <v>13513</v>
      </c>
      <c r="R2746" s="36" t="s">
        <v>13514</v>
      </c>
      <c r="S2746" s="36" t="s">
        <v>2680</v>
      </c>
      <c r="T2746" s="42" t="s">
        <v>13515</v>
      </c>
      <c r="U2746" s="38" t="str">
        <f>HYPERLINK("https://www.ncbi.nlm.nih.gov/pubmed/27330707","PubMed")</f>
        <v>PubMed</v>
      </c>
      <c r="V2746" s="50"/>
      <c r="W2746" s="49"/>
      <c r="X2746" s="49"/>
      <c r="Y2746" s="35"/>
      <c r="Z2746" s="35"/>
      <c r="AA2746" s="35"/>
      <c r="AB2746" s="35"/>
      <c r="AC2746" s="35"/>
      <c r="AD2746" s="35"/>
      <c r="AE2746" s="35"/>
      <c r="AF2746" s="35"/>
      <c r="AG2746" s="35"/>
      <c r="AH2746" s="35"/>
      <c r="AI2746" s="35"/>
      <c r="AJ2746" s="35"/>
      <c r="AK2746" s="35"/>
      <c r="AL2746" s="35"/>
    </row>
    <row r="2747">
      <c r="A2747" s="1"/>
      <c r="B2747" s="19" t="s">
        <v>12857</v>
      </c>
      <c r="C2747" s="20" t="s">
        <v>13336</v>
      </c>
      <c r="D2747" s="47"/>
      <c r="E2747" s="22" t="s">
        <v>12585</v>
      </c>
      <c r="F2747" s="22" t="s">
        <v>41</v>
      </c>
      <c r="G2747" s="23">
        <v>2016.0</v>
      </c>
      <c r="H2747" s="22" t="s">
        <v>1025</v>
      </c>
      <c r="I2747" s="24" t="s">
        <v>13516</v>
      </c>
      <c r="J2747" s="22" t="s">
        <v>55</v>
      </c>
      <c r="K2747" s="22" t="s">
        <v>13517</v>
      </c>
      <c r="L2747" s="36">
        <v>830.0</v>
      </c>
      <c r="M2747" s="36">
        <v>100.0</v>
      </c>
      <c r="N2747" s="36" t="s">
        <v>12484</v>
      </c>
      <c r="O2747" s="36" t="s">
        <v>13518</v>
      </c>
      <c r="P2747" s="37" t="s">
        <v>13519</v>
      </c>
      <c r="Q2747" s="36" t="s">
        <v>13520</v>
      </c>
      <c r="R2747" s="36" t="s">
        <v>13521</v>
      </c>
      <c r="S2747" s="36" t="s">
        <v>6552</v>
      </c>
      <c r="T2747" s="28" t="s">
        <v>13522</v>
      </c>
      <c r="U2747" s="38" t="str">
        <f>HYPERLINK("https://www.ncbi.nlm.nih.gov/pubmed/27752702","PubMed")</f>
        <v>PubMed</v>
      </c>
      <c r="V2747" s="50"/>
      <c r="W2747" s="49"/>
      <c r="X2747" s="49"/>
      <c r="Y2747" s="35"/>
      <c r="Z2747" s="35"/>
      <c r="AA2747" s="35"/>
      <c r="AB2747" s="35"/>
      <c r="AC2747" s="35"/>
      <c r="AD2747" s="35"/>
      <c r="AE2747" s="35"/>
      <c r="AF2747" s="35"/>
      <c r="AG2747" s="35"/>
      <c r="AH2747" s="35"/>
      <c r="AI2747" s="35"/>
      <c r="AJ2747" s="35"/>
      <c r="AK2747" s="35"/>
      <c r="AL2747" s="35"/>
    </row>
    <row r="2748">
      <c r="A2748" s="1"/>
      <c r="B2748" s="19" t="s">
        <v>12857</v>
      </c>
      <c r="C2748" s="20" t="s">
        <v>13336</v>
      </c>
      <c r="D2748" s="47"/>
      <c r="E2748" s="22" t="s">
        <v>12585</v>
      </c>
      <c r="F2748" s="22" t="s">
        <v>41</v>
      </c>
      <c r="G2748" s="23">
        <v>2016.0</v>
      </c>
      <c r="H2748" s="22" t="s">
        <v>91</v>
      </c>
      <c r="I2748" s="24" t="s">
        <v>13523</v>
      </c>
      <c r="J2748" s="22" t="s">
        <v>55</v>
      </c>
      <c r="K2748" s="22" t="s">
        <v>13524</v>
      </c>
      <c r="L2748" s="36">
        <v>830.0</v>
      </c>
      <c r="M2748" s="36">
        <v>100.0</v>
      </c>
      <c r="N2748" s="36">
        <v>3.57</v>
      </c>
      <c r="O2748" s="36" t="s">
        <v>13518</v>
      </c>
      <c r="P2748" s="37" t="s">
        <v>13519</v>
      </c>
      <c r="Q2748" s="36" t="s">
        <v>13520</v>
      </c>
      <c r="R2748" s="36" t="s">
        <v>13521</v>
      </c>
      <c r="S2748" s="36" t="s">
        <v>6552</v>
      </c>
      <c r="T2748" s="28" t="s">
        <v>13525</v>
      </c>
      <c r="U2748" s="38" t="str">
        <f>HYPERLINK("https://www.ncbi.nlm.nih.gov/pubmed/27726040","PubMed")</f>
        <v>PubMed</v>
      </c>
      <c r="V2748" s="50"/>
      <c r="W2748" s="49"/>
      <c r="X2748" s="49"/>
      <c r="Y2748" s="35"/>
      <c r="Z2748" s="35"/>
      <c r="AA2748" s="35"/>
      <c r="AB2748" s="35"/>
      <c r="AC2748" s="35"/>
      <c r="AD2748" s="35"/>
      <c r="AE2748" s="35"/>
      <c r="AF2748" s="35"/>
      <c r="AG2748" s="35"/>
      <c r="AH2748" s="35"/>
      <c r="AI2748" s="35"/>
      <c r="AJ2748" s="35"/>
      <c r="AK2748" s="35"/>
      <c r="AL2748" s="35"/>
    </row>
    <row r="2749">
      <c r="A2749" s="1"/>
      <c r="B2749" s="19" t="s">
        <v>12857</v>
      </c>
      <c r="C2749" s="20" t="s">
        <v>13481</v>
      </c>
      <c r="D2749" s="47"/>
      <c r="E2749" s="22" t="s">
        <v>4396</v>
      </c>
      <c r="F2749" s="22" t="s">
        <v>274</v>
      </c>
      <c r="G2749" s="23">
        <v>2015.0</v>
      </c>
      <c r="H2749" s="22" t="s">
        <v>91</v>
      </c>
      <c r="I2749" s="24" t="s">
        <v>13526</v>
      </c>
      <c r="J2749" s="22" t="s">
        <v>13527</v>
      </c>
      <c r="K2749" s="22"/>
      <c r="L2749" s="36">
        <v>808.0</v>
      </c>
      <c r="M2749" s="36">
        <v>400.0</v>
      </c>
      <c r="N2749" s="36" t="s">
        <v>13528</v>
      </c>
      <c r="O2749" s="36" t="s">
        <v>13529</v>
      </c>
      <c r="P2749" s="37" t="s">
        <v>13437</v>
      </c>
      <c r="Q2749" s="36" t="s">
        <v>58</v>
      </c>
      <c r="R2749" s="36" t="s">
        <v>13530</v>
      </c>
      <c r="S2749" s="36" t="s">
        <v>13531</v>
      </c>
      <c r="T2749" s="28" t="s">
        <v>13532</v>
      </c>
      <c r="U2749" s="38" t="str">
        <f>HYPERLINK("https://www.ncbi.nlm.nih.gov/pubmed/25239030","PubMed")</f>
        <v>PubMed</v>
      </c>
      <c r="V2749" s="50"/>
      <c r="W2749" s="49"/>
      <c r="X2749" s="49"/>
      <c r="Y2749" s="35"/>
      <c r="Z2749" s="35"/>
      <c r="AA2749" s="35"/>
      <c r="AB2749" s="35"/>
      <c r="AC2749" s="35"/>
      <c r="AD2749" s="35"/>
      <c r="AE2749" s="35"/>
      <c r="AF2749" s="35"/>
      <c r="AG2749" s="35"/>
      <c r="AH2749" s="35"/>
      <c r="AI2749" s="35"/>
      <c r="AJ2749" s="35"/>
      <c r="AK2749" s="35"/>
      <c r="AL2749" s="35"/>
    </row>
    <row r="2750">
      <c r="A2750" s="1"/>
      <c r="B2750" s="19" t="s">
        <v>12857</v>
      </c>
      <c r="C2750" s="20" t="s">
        <v>13336</v>
      </c>
      <c r="D2750" s="47"/>
      <c r="E2750" s="22" t="s">
        <v>12919</v>
      </c>
      <c r="F2750" s="22" t="s">
        <v>41</v>
      </c>
      <c r="G2750" s="23">
        <v>2015.0</v>
      </c>
      <c r="H2750" s="22" t="s">
        <v>6606</v>
      </c>
      <c r="I2750" s="24" t="s">
        <v>13533</v>
      </c>
      <c r="J2750" s="22" t="s">
        <v>55</v>
      </c>
      <c r="K2750" s="22"/>
      <c r="L2750" s="36">
        <v>808.0</v>
      </c>
      <c r="M2750" s="36">
        <v>50.0</v>
      </c>
      <c r="N2750" s="129">
        <v>43282.0</v>
      </c>
      <c r="O2750" s="36" t="s">
        <v>13534</v>
      </c>
      <c r="P2750" s="37" t="s">
        <v>1529</v>
      </c>
      <c r="Q2750" s="36" t="s">
        <v>280</v>
      </c>
      <c r="R2750" s="36">
        <v>28.0</v>
      </c>
      <c r="S2750" s="36">
        <v>24.0</v>
      </c>
      <c r="T2750" s="28" t="s">
        <v>13535</v>
      </c>
      <c r="U2750" s="38" t="str">
        <f>HYPERLINK("https://www.ncbi.nlm.nih.gov/pubmed/25299541","PubMed")</f>
        <v>PubMed</v>
      </c>
      <c r="V2750" s="50"/>
      <c r="W2750" s="49"/>
      <c r="X2750" s="49"/>
      <c r="Y2750" s="35"/>
      <c r="Z2750" s="35"/>
      <c r="AA2750" s="35"/>
      <c r="AB2750" s="35"/>
      <c r="AC2750" s="35"/>
      <c r="AD2750" s="35"/>
      <c r="AE2750" s="35"/>
      <c r="AF2750" s="35"/>
      <c r="AG2750" s="35"/>
      <c r="AH2750" s="35"/>
      <c r="AI2750" s="35"/>
      <c r="AJ2750" s="35"/>
      <c r="AK2750" s="35"/>
      <c r="AL2750" s="35"/>
    </row>
    <row r="2751">
      <c r="A2751" s="1"/>
      <c r="B2751" s="19" t="s">
        <v>12857</v>
      </c>
      <c r="C2751" s="20" t="s">
        <v>13336</v>
      </c>
      <c r="D2751" s="47"/>
      <c r="E2751" s="22" t="s">
        <v>12287</v>
      </c>
      <c r="F2751" s="22" t="s">
        <v>41</v>
      </c>
      <c r="G2751" s="23">
        <v>2015.0</v>
      </c>
      <c r="H2751" s="22" t="s">
        <v>857</v>
      </c>
      <c r="I2751" s="24" t="s">
        <v>13536</v>
      </c>
      <c r="J2751" s="22" t="s">
        <v>13537</v>
      </c>
      <c r="K2751" s="22"/>
      <c r="L2751" s="36">
        <v>904.0</v>
      </c>
      <c r="M2751" s="36">
        <v>60.0</v>
      </c>
      <c r="N2751" s="36" t="s">
        <v>58</v>
      </c>
      <c r="O2751" s="36" t="s">
        <v>4671</v>
      </c>
      <c r="P2751" s="37" t="s">
        <v>4671</v>
      </c>
      <c r="Q2751" s="36" t="s">
        <v>840</v>
      </c>
      <c r="R2751" s="36" t="s">
        <v>13538</v>
      </c>
      <c r="S2751" s="36" t="s">
        <v>8476</v>
      </c>
      <c r="T2751" s="28" t="s">
        <v>13539</v>
      </c>
      <c r="U2751" s="38" t="str">
        <f>HYPERLINK("https://www.ncbi.nlm.nih.gov/pubmed/27027049","PubMed")</f>
        <v>PubMed</v>
      </c>
      <c r="V2751" s="50"/>
      <c r="W2751" s="49"/>
      <c r="X2751" s="49"/>
      <c r="Y2751" s="35"/>
      <c r="Z2751" s="35"/>
      <c r="AA2751" s="35"/>
      <c r="AB2751" s="35"/>
      <c r="AC2751" s="35"/>
      <c r="AD2751" s="35"/>
      <c r="AE2751" s="35"/>
      <c r="AF2751" s="35"/>
      <c r="AG2751" s="35"/>
      <c r="AH2751" s="35"/>
      <c r="AI2751" s="35"/>
      <c r="AJ2751" s="35"/>
      <c r="AK2751" s="35"/>
      <c r="AL2751" s="35"/>
    </row>
    <row r="2752">
      <c r="A2752" s="207"/>
      <c r="B2752" s="19" t="s">
        <v>12857</v>
      </c>
      <c r="C2752" s="20" t="s">
        <v>13336</v>
      </c>
      <c r="D2752" s="47"/>
      <c r="E2752" s="22" t="s">
        <v>223</v>
      </c>
      <c r="F2752" s="22" t="s">
        <v>2801</v>
      </c>
      <c r="G2752" s="23">
        <v>2015.0</v>
      </c>
      <c r="H2752" s="22" t="s">
        <v>13502</v>
      </c>
      <c r="I2752" s="24" t="s">
        <v>13540</v>
      </c>
      <c r="J2752" s="22" t="s">
        <v>1078</v>
      </c>
      <c r="K2752" s="22"/>
      <c r="L2752" s="241" t="s">
        <v>13541</v>
      </c>
      <c r="M2752" s="44"/>
      <c r="N2752" s="44"/>
      <c r="O2752" s="44"/>
      <c r="P2752" s="44"/>
      <c r="Q2752" s="44"/>
      <c r="R2752" s="44"/>
      <c r="S2752" s="44"/>
      <c r="T2752" s="45"/>
      <c r="U2752" s="38" t="str">
        <f>HYPERLINK("https://www.ncbi.nlm.nih.gov/pubmed/25914044","PubMed")</f>
        <v>PubMed</v>
      </c>
      <c r="V2752" s="50"/>
      <c r="W2752" s="130" t="str">
        <f>HYPERLINK("http://www.sciencedirect.com/science/article/pii/S1063458416303521","Comment")</f>
        <v>Comment</v>
      </c>
      <c r="X2752" s="130" t="str">
        <f>HYPERLINK("http://www.sciencedirect.com/science/article/pii/S1063458416303533","Reply")</f>
        <v>Reply</v>
      </c>
      <c r="Y2752" s="35"/>
      <c r="Z2752" s="35"/>
      <c r="AA2752" s="35"/>
      <c r="AB2752" s="35"/>
      <c r="AC2752" s="35"/>
      <c r="AD2752" s="35"/>
      <c r="AE2752" s="35"/>
      <c r="AF2752" s="35"/>
      <c r="AG2752" s="35"/>
      <c r="AH2752" s="35"/>
      <c r="AI2752" s="35"/>
      <c r="AJ2752" s="35"/>
      <c r="AK2752" s="35"/>
      <c r="AL2752" s="35"/>
    </row>
    <row r="2753">
      <c r="A2753" s="207"/>
      <c r="B2753" s="19" t="s">
        <v>12857</v>
      </c>
      <c r="C2753" s="20" t="s">
        <v>13336</v>
      </c>
      <c r="D2753" s="47"/>
      <c r="E2753" s="22" t="s">
        <v>13542</v>
      </c>
      <c r="F2753" s="22" t="s">
        <v>52</v>
      </c>
      <c r="G2753" s="23">
        <v>2015.0</v>
      </c>
      <c r="H2753" s="22" t="s">
        <v>658</v>
      </c>
      <c r="I2753" s="24" t="s">
        <v>13543</v>
      </c>
      <c r="J2753" s="22" t="s">
        <v>3289</v>
      </c>
      <c r="K2753" s="22"/>
      <c r="L2753" s="195" t="s">
        <v>13544</v>
      </c>
      <c r="M2753" s="44"/>
      <c r="N2753" s="44"/>
      <c r="O2753" s="44"/>
      <c r="P2753" s="44"/>
      <c r="Q2753" s="44"/>
      <c r="R2753" s="44"/>
      <c r="S2753" s="44"/>
      <c r="T2753" s="45"/>
      <c r="U2753" s="38" t="str">
        <f>HYPERLINK("https://www.ncbi.nlm.nih.gov/pubmed/25719755","PubMed")</f>
        <v>PubMed</v>
      </c>
      <c r="V2753" s="50"/>
      <c r="W2753" s="49"/>
      <c r="X2753" s="49"/>
      <c r="Y2753" s="35"/>
      <c r="Z2753" s="35"/>
      <c r="AA2753" s="35"/>
      <c r="AB2753" s="35"/>
      <c r="AC2753" s="35"/>
      <c r="AD2753" s="35"/>
      <c r="AE2753" s="35"/>
      <c r="AF2753" s="35"/>
      <c r="AG2753" s="35"/>
      <c r="AH2753" s="35"/>
      <c r="AI2753" s="35"/>
      <c r="AJ2753" s="35"/>
      <c r="AK2753" s="35"/>
      <c r="AL2753" s="35"/>
    </row>
    <row r="2754">
      <c r="A2754" s="18"/>
      <c r="B2754" s="19" t="s">
        <v>12857</v>
      </c>
      <c r="C2754" s="20" t="s">
        <v>13336</v>
      </c>
      <c r="D2754" s="47"/>
      <c r="E2754" s="22" t="s">
        <v>13545</v>
      </c>
      <c r="F2754" s="22" t="s">
        <v>1943</v>
      </c>
      <c r="G2754" s="23">
        <v>2014.0</v>
      </c>
      <c r="H2754" s="22" t="s">
        <v>147</v>
      </c>
      <c r="I2754" s="24" t="s">
        <v>13546</v>
      </c>
      <c r="J2754" s="22" t="s">
        <v>13547</v>
      </c>
      <c r="K2754" s="22" t="s">
        <v>13548</v>
      </c>
      <c r="L2754" s="36" t="s">
        <v>13549</v>
      </c>
      <c r="M2754" s="36" t="s">
        <v>13550</v>
      </c>
      <c r="N2754" s="36" t="s">
        <v>13551</v>
      </c>
      <c r="O2754" s="36" t="s">
        <v>13552</v>
      </c>
      <c r="P2754" s="37" t="s">
        <v>13553</v>
      </c>
      <c r="Q2754" s="36" t="s">
        <v>13554</v>
      </c>
      <c r="R2754" s="36" t="s">
        <v>13555</v>
      </c>
      <c r="S2754" s="36" t="s">
        <v>2688</v>
      </c>
      <c r="T2754" s="28" t="s">
        <v>13556</v>
      </c>
      <c r="U2754" s="38" t="str">
        <f>HYPERLINK("https://www.ncbi.nlm.nih.gov/pubmed/25653818","PubMed")</f>
        <v>PubMed</v>
      </c>
      <c r="V2754" s="50"/>
      <c r="W2754" s="49"/>
      <c r="X2754" s="49"/>
      <c r="Y2754" s="35"/>
      <c r="Z2754" s="35"/>
      <c r="AA2754" s="35"/>
      <c r="AB2754" s="35"/>
      <c r="AC2754" s="35"/>
      <c r="AD2754" s="35"/>
      <c r="AE2754" s="35"/>
      <c r="AF2754" s="35"/>
      <c r="AG2754" s="35"/>
      <c r="AH2754" s="35"/>
      <c r="AI2754" s="35"/>
      <c r="AJ2754" s="35"/>
      <c r="AK2754" s="35"/>
      <c r="AL2754" s="35"/>
    </row>
    <row r="2755">
      <c r="A2755" s="18"/>
      <c r="B2755" s="19" t="s">
        <v>12857</v>
      </c>
      <c r="C2755" s="20" t="s">
        <v>13336</v>
      </c>
      <c r="D2755" s="47"/>
      <c r="E2755" s="22" t="s">
        <v>1535</v>
      </c>
      <c r="F2755" s="22" t="s">
        <v>13557</v>
      </c>
      <c r="G2755" s="23">
        <v>2014.0</v>
      </c>
      <c r="H2755" s="22" t="s">
        <v>4975</v>
      </c>
      <c r="I2755" s="24" t="s">
        <v>13558</v>
      </c>
      <c r="J2755" s="22" t="s">
        <v>55</v>
      </c>
      <c r="K2755" s="22" t="s">
        <v>13559</v>
      </c>
      <c r="L2755" s="36">
        <v>850.0</v>
      </c>
      <c r="M2755" s="36" t="s">
        <v>13560</v>
      </c>
      <c r="N2755" s="36"/>
      <c r="O2755" s="36"/>
      <c r="P2755" s="37" t="s">
        <v>13561</v>
      </c>
      <c r="Q2755" s="36" t="s">
        <v>13562</v>
      </c>
      <c r="R2755" s="36">
        <v>60.0</v>
      </c>
      <c r="S2755" s="36"/>
      <c r="T2755" s="28" t="s">
        <v>13563</v>
      </c>
      <c r="U2755" s="38" t="str">
        <f>HYPERLINK("https://www.ncbi.nlm.nih.gov/pubmed/24962501","PubMed")</f>
        <v>PubMed</v>
      </c>
      <c r="V2755" s="50"/>
      <c r="W2755" s="49"/>
      <c r="X2755" s="49"/>
      <c r="Y2755" s="35"/>
      <c r="Z2755" s="35"/>
      <c r="AA2755" s="35"/>
      <c r="AB2755" s="35"/>
      <c r="AC2755" s="35"/>
      <c r="AD2755" s="35"/>
      <c r="AE2755" s="35"/>
      <c r="AF2755" s="35"/>
      <c r="AG2755" s="35"/>
      <c r="AH2755" s="35"/>
      <c r="AI2755" s="35"/>
      <c r="AJ2755" s="35"/>
      <c r="AK2755" s="35"/>
      <c r="AL2755" s="35"/>
    </row>
    <row r="2756">
      <c r="A2756" s="18"/>
      <c r="B2756" s="19" t="s">
        <v>12857</v>
      </c>
      <c r="C2756" s="20" t="s">
        <v>13336</v>
      </c>
      <c r="D2756" s="47"/>
      <c r="E2756" s="22" t="s">
        <v>13564</v>
      </c>
      <c r="F2756" s="22" t="s">
        <v>1046</v>
      </c>
      <c r="G2756" s="23">
        <v>2014.0</v>
      </c>
      <c r="H2756" s="22" t="s">
        <v>91</v>
      </c>
      <c r="I2756" s="24" t="s">
        <v>13565</v>
      </c>
      <c r="J2756" s="22" t="s">
        <v>13566</v>
      </c>
      <c r="K2756" s="22" t="s">
        <v>1112</v>
      </c>
      <c r="L2756" s="36" t="s">
        <v>13567</v>
      </c>
      <c r="M2756" s="36" t="s">
        <v>13568</v>
      </c>
      <c r="N2756" s="36" t="s">
        <v>13569</v>
      </c>
      <c r="O2756" s="36"/>
      <c r="P2756" s="37" t="s">
        <v>13570</v>
      </c>
      <c r="Q2756" s="36" t="s">
        <v>13571</v>
      </c>
      <c r="R2756" s="36" t="s">
        <v>58</v>
      </c>
      <c r="S2756" s="36" t="s">
        <v>4905</v>
      </c>
      <c r="T2756" s="28" t="s">
        <v>13572</v>
      </c>
      <c r="U2756" s="38" t="str">
        <f>HYPERLINK("https://www.ncbi.nlm.nih.gov/pubmed/24733283","PubMed")</f>
        <v>PubMed</v>
      </c>
      <c r="V2756" s="50"/>
      <c r="W2756" s="49"/>
      <c r="X2756" s="49"/>
      <c r="Y2756" s="35"/>
      <c r="Z2756" s="35"/>
      <c r="AA2756" s="35"/>
      <c r="AB2756" s="35"/>
      <c r="AC2756" s="35"/>
      <c r="AD2756" s="35"/>
      <c r="AE2756" s="35"/>
      <c r="AF2756" s="35"/>
      <c r="AG2756" s="35"/>
      <c r="AH2756" s="35"/>
      <c r="AI2756" s="35"/>
      <c r="AJ2756" s="35"/>
      <c r="AK2756" s="35"/>
      <c r="AL2756" s="35"/>
    </row>
    <row r="2757">
      <c r="A2757" s="18" t="s">
        <v>2</v>
      </c>
      <c r="B2757" s="19" t="s">
        <v>12857</v>
      </c>
      <c r="C2757" s="20" t="s">
        <v>13336</v>
      </c>
      <c r="D2757" s="47"/>
      <c r="E2757" s="22" t="s">
        <v>543</v>
      </c>
      <c r="F2757" s="22" t="s">
        <v>41</v>
      </c>
      <c r="G2757" s="23">
        <v>2014.0</v>
      </c>
      <c r="H2757" s="22" t="s">
        <v>91</v>
      </c>
      <c r="I2757" s="24" t="s">
        <v>13573</v>
      </c>
      <c r="J2757" s="22" t="s">
        <v>55</v>
      </c>
      <c r="K2757" s="22" t="s">
        <v>13574</v>
      </c>
      <c r="L2757" s="36">
        <v>808.0</v>
      </c>
      <c r="M2757" s="36" t="s">
        <v>6213</v>
      </c>
      <c r="N2757" s="36" t="s">
        <v>13575</v>
      </c>
      <c r="O2757" s="36" t="s">
        <v>13576</v>
      </c>
      <c r="P2757" s="37" t="s">
        <v>13577</v>
      </c>
      <c r="Q2757" s="36" t="s">
        <v>280</v>
      </c>
      <c r="R2757" s="36" t="s">
        <v>13578</v>
      </c>
      <c r="S2757" s="36" t="s">
        <v>13579</v>
      </c>
      <c r="T2757" s="28" t="s">
        <v>13580</v>
      </c>
      <c r="U2757" s="38" t="str">
        <f>HYPERLINK("https://www.ncbi.nlm.nih.gov/pubmed/23990219","PubMed")</f>
        <v>PubMed</v>
      </c>
      <c r="V2757" s="50"/>
      <c r="W2757" s="49"/>
      <c r="X2757" s="49"/>
      <c r="Y2757" s="35"/>
      <c r="Z2757" s="35"/>
      <c r="AA2757" s="35"/>
      <c r="AB2757" s="35"/>
      <c r="AC2757" s="35"/>
      <c r="AD2757" s="35"/>
      <c r="AE2757" s="35"/>
      <c r="AF2757" s="35"/>
      <c r="AG2757" s="35"/>
      <c r="AH2757" s="35"/>
      <c r="AI2757" s="35"/>
      <c r="AJ2757" s="35"/>
      <c r="AK2757" s="35"/>
      <c r="AL2757" s="35"/>
    </row>
    <row r="2758">
      <c r="A2758" s="207"/>
      <c r="B2758" s="19" t="s">
        <v>12857</v>
      </c>
      <c r="C2758" s="20" t="s">
        <v>13336</v>
      </c>
      <c r="D2758" s="47"/>
      <c r="E2758" s="22" t="s">
        <v>13581</v>
      </c>
      <c r="F2758" s="22" t="s">
        <v>1949</v>
      </c>
      <c r="G2758" s="23">
        <v>2014.0</v>
      </c>
      <c r="H2758" s="22" t="s">
        <v>91</v>
      </c>
      <c r="I2758" s="24" t="s">
        <v>13582</v>
      </c>
      <c r="J2758" s="22" t="s">
        <v>13583</v>
      </c>
      <c r="K2758" s="22" t="s">
        <v>13584</v>
      </c>
      <c r="L2758" s="36" t="s">
        <v>13181</v>
      </c>
      <c r="M2758" s="36" t="s">
        <v>13585</v>
      </c>
      <c r="N2758" s="36"/>
      <c r="O2758" s="36" t="s">
        <v>13586</v>
      </c>
      <c r="P2758" s="37" t="s">
        <v>1529</v>
      </c>
      <c r="Q2758" s="36"/>
      <c r="R2758" s="36" t="s">
        <v>13587</v>
      </c>
      <c r="S2758" s="36" t="s">
        <v>2688</v>
      </c>
      <c r="T2758" s="28" t="s">
        <v>13588</v>
      </c>
      <c r="U2758" s="38" t="str">
        <f>HYPERLINK("https://www.ncbi.nlm.nih.gov/pubmed/24487957","PubMed")</f>
        <v>PubMed</v>
      </c>
      <c r="V2758" s="50"/>
      <c r="W2758" s="49"/>
      <c r="X2758" s="49"/>
      <c r="Y2758" s="35"/>
      <c r="Z2758" s="35"/>
      <c r="AA2758" s="35"/>
      <c r="AB2758" s="35"/>
      <c r="AC2758" s="35"/>
      <c r="AD2758" s="35"/>
      <c r="AE2758" s="35"/>
      <c r="AF2758" s="35"/>
      <c r="AG2758" s="35"/>
      <c r="AH2758" s="35"/>
      <c r="AI2758" s="35"/>
      <c r="AJ2758" s="35"/>
      <c r="AK2758" s="35"/>
      <c r="AL2758" s="35"/>
    </row>
    <row r="2759">
      <c r="A2759" s="207"/>
      <c r="B2759" s="19" t="s">
        <v>12857</v>
      </c>
      <c r="C2759" s="20" t="s">
        <v>13336</v>
      </c>
      <c r="D2759" s="47"/>
      <c r="E2759" s="22" t="s">
        <v>626</v>
      </c>
      <c r="F2759" s="22" t="s">
        <v>2801</v>
      </c>
      <c r="G2759" s="23">
        <v>2014.0</v>
      </c>
      <c r="H2759" s="22" t="s">
        <v>91</v>
      </c>
      <c r="I2759" s="24" t="s">
        <v>13589</v>
      </c>
      <c r="J2759" s="22" t="s">
        <v>253</v>
      </c>
      <c r="K2759" s="22"/>
      <c r="L2759" s="36">
        <v>830.0</v>
      </c>
      <c r="M2759" s="36"/>
      <c r="N2759" s="36"/>
      <c r="O2759" s="36"/>
      <c r="P2759" s="37" t="s">
        <v>671</v>
      </c>
      <c r="Q2759" s="36"/>
      <c r="R2759" s="36"/>
      <c r="S2759" s="36">
        <v>24.0</v>
      </c>
      <c r="T2759" s="28" t="s">
        <v>13590</v>
      </c>
      <c r="U2759" s="38" t="str">
        <f>HYPERLINK("https://www.ncbi.nlm.nih.gov/pubmed/24890034","PubMed")</f>
        <v>PubMed</v>
      </c>
      <c r="V2759" s="50"/>
      <c r="W2759" s="49"/>
      <c r="X2759" s="49"/>
      <c r="Y2759" s="35"/>
      <c r="Z2759" s="35"/>
      <c r="AA2759" s="35"/>
      <c r="AB2759" s="35"/>
      <c r="AC2759" s="35"/>
      <c r="AD2759" s="35"/>
      <c r="AE2759" s="35"/>
      <c r="AF2759" s="35"/>
      <c r="AG2759" s="35"/>
      <c r="AH2759" s="35"/>
      <c r="AI2759" s="35"/>
      <c r="AJ2759" s="35"/>
      <c r="AK2759" s="35"/>
      <c r="AL2759" s="35"/>
    </row>
    <row r="2760">
      <c r="A2760" s="207"/>
      <c r="B2760" s="19" t="s">
        <v>12857</v>
      </c>
      <c r="C2760" s="20" t="s">
        <v>13336</v>
      </c>
      <c r="D2760" s="47"/>
      <c r="E2760" s="22" t="s">
        <v>13591</v>
      </c>
      <c r="F2760" s="22" t="s">
        <v>13592</v>
      </c>
      <c r="G2760" s="23">
        <v>2014.0</v>
      </c>
      <c r="H2760" s="22" t="s">
        <v>53</v>
      </c>
      <c r="I2760" s="24" t="s">
        <v>13593</v>
      </c>
      <c r="J2760" s="22" t="s">
        <v>6818</v>
      </c>
      <c r="K2760" s="22"/>
      <c r="L2760" s="36" t="s">
        <v>13594</v>
      </c>
      <c r="M2760" s="36"/>
      <c r="N2760" s="36"/>
      <c r="O2760" s="36"/>
      <c r="P2760" s="37"/>
      <c r="Q2760" s="36"/>
      <c r="R2760" s="36"/>
      <c r="S2760" s="36"/>
      <c r="T2760" s="28" t="s">
        <v>13595</v>
      </c>
      <c r="U2760" s="38" t="str">
        <f>HYPERLINK("https://www.ncbi.nlm.nih.gov/pubmed/24909318","PubMed")</f>
        <v>PubMed</v>
      </c>
      <c r="V2760" s="50"/>
      <c r="W2760" s="49"/>
      <c r="X2760" s="49"/>
      <c r="Y2760" s="35"/>
      <c r="Z2760" s="35"/>
      <c r="AA2760" s="35"/>
      <c r="AB2760" s="35"/>
      <c r="AC2760" s="35"/>
      <c r="AD2760" s="35"/>
      <c r="AE2760" s="35"/>
      <c r="AF2760" s="35"/>
      <c r="AG2760" s="35"/>
      <c r="AH2760" s="35"/>
      <c r="AI2760" s="35"/>
      <c r="AJ2760" s="35"/>
      <c r="AK2760" s="35"/>
      <c r="AL2760" s="35"/>
    </row>
    <row r="2761">
      <c r="A2761" s="207"/>
      <c r="B2761" s="19" t="s">
        <v>12857</v>
      </c>
      <c r="C2761" s="20" t="s">
        <v>13336</v>
      </c>
      <c r="D2761" s="47"/>
      <c r="E2761" s="22" t="s">
        <v>493</v>
      </c>
      <c r="F2761" s="22" t="s">
        <v>6269</v>
      </c>
      <c r="G2761" s="23">
        <v>2014.0</v>
      </c>
      <c r="H2761" s="22" t="s">
        <v>13596</v>
      </c>
      <c r="I2761" s="24" t="s">
        <v>13597</v>
      </c>
      <c r="J2761" s="22" t="s">
        <v>253</v>
      </c>
      <c r="K2761" s="22" t="s">
        <v>294</v>
      </c>
      <c r="L2761" s="36" t="s">
        <v>13598</v>
      </c>
      <c r="M2761" s="36"/>
      <c r="N2761" s="36"/>
      <c r="O2761" s="36"/>
      <c r="P2761" s="37"/>
      <c r="Q2761" s="36"/>
      <c r="R2761" s="36"/>
      <c r="S2761" s="36"/>
      <c r="T2761" s="28" t="s">
        <v>13599</v>
      </c>
      <c r="U2761" s="38" t="str">
        <f>HYPERLINK("https://www.ncbi.nlm.nih.gov/pubmed/25398806","PubMed")</f>
        <v>PubMed</v>
      </c>
      <c r="V2761" s="50"/>
      <c r="W2761" s="49"/>
      <c r="X2761" s="49"/>
      <c r="Y2761" s="35"/>
      <c r="Z2761" s="35"/>
      <c r="AA2761" s="35"/>
      <c r="AB2761" s="35"/>
      <c r="AC2761" s="35"/>
      <c r="AD2761" s="35"/>
      <c r="AE2761" s="35"/>
      <c r="AF2761" s="35"/>
      <c r="AG2761" s="35"/>
      <c r="AH2761" s="35"/>
      <c r="AI2761" s="35"/>
      <c r="AJ2761" s="35"/>
      <c r="AK2761" s="35"/>
      <c r="AL2761" s="35"/>
    </row>
    <row r="2762">
      <c r="A2762" s="207"/>
      <c r="B2762" s="19" t="s">
        <v>12857</v>
      </c>
      <c r="C2762" s="20" t="s">
        <v>13336</v>
      </c>
      <c r="D2762" s="47"/>
      <c r="E2762" s="22" t="s">
        <v>13600</v>
      </c>
      <c r="F2762" s="22" t="s">
        <v>13601</v>
      </c>
      <c r="G2762" s="23">
        <v>2014.0</v>
      </c>
      <c r="H2762" s="22" t="s">
        <v>4733</v>
      </c>
      <c r="I2762" s="24" t="s">
        <v>13602</v>
      </c>
      <c r="J2762" s="22" t="s">
        <v>13603</v>
      </c>
      <c r="K2762" s="22" t="s">
        <v>13604</v>
      </c>
      <c r="L2762" s="36">
        <v>830.0</v>
      </c>
      <c r="M2762" s="36">
        <v>30.0</v>
      </c>
      <c r="N2762" s="36"/>
      <c r="O2762" s="36" t="s">
        <v>13605</v>
      </c>
      <c r="P2762" s="37"/>
      <c r="Q2762" s="36" t="s">
        <v>12922</v>
      </c>
      <c r="R2762" s="36" t="s">
        <v>13379</v>
      </c>
      <c r="S2762" s="36" t="s">
        <v>13606</v>
      </c>
      <c r="T2762" s="28" t="s">
        <v>13607</v>
      </c>
      <c r="U2762" s="38" t="str">
        <f>HYPERLINK("https://www.ncbi.nlm.nih.gov/pubmed/24418801","PubMed")</f>
        <v>PubMed</v>
      </c>
      <c r="V2762" s="50"/>
      <c r="W2762" s="49"/>
      <c r="X2762" s="49"/>
      <c r="Y2762" s="35"/>
      <c r="Z2762" s="35"/>
      <c r="AA2762" s="35"/>
      <c r="AB2762" s="35"/>
      <c r="AC2762" s="35"/>
      <c r="AD2762" s="35"/>
      <c r="AE2762" s="35"/>
      <c r="AF2762" s="35"/>
      <c r="AG2762" s="35"/>
      <c r="AH2762" s="35"/>
      <c r="AI2762" s="35"/>
      <c r="AJ2762" s="35"/>
      <c r="AK2762" s="35"/>
      <c r="AL2762" s="35"/>
    </row>
    <row r="2763">
      <c r="A2763" s="207"/>
      <c r="B2763" s="19" t="s">
        <v>12857</v>
      </c>
      <c r="C2763" s="20" t="s">
        <v>13336</v>
      </c>
      <c r="D2763" s="47"/>
      <c r="E2763" s="22" t="s">
        <v>13608</v>
      </c>
      <c r="F2763" s="22" t="s">
        <v>41</v>
      </c>
      <c r="G2763" s="23">
        <v>2014.0</v>
      </c>
      <c r="H2763" s="22" t="s">
        <v>91</v>
      </c>
      <c r="I2763" s="24" t="s">
        <v>13609</v>
      </c>
      <c r="J2763" s="22" t="s">
        <v>55</v>
      </c>
      <c r="K2763" s="22" t="s">
        <v>13610</v>
      </c>
      <c r="L2763" s="36">
        <v>808.0</v>
      </c>
      <c r="M2763" s="36">
        <v>50.0</v>
      </c>
      <c r="N2763" s="36" t="s">
        <v>13611</v>
      </c>
      <c r="O2763" s="36" t="s">
        <v>1307</v>
      </c>
      <c r="P2763" s="37" t="s">
        <v>13612</v>
      </c>
      <c r="Q2763" s="36" t="s">
        <v>280</v>
      </c>
      <c r="R2763" s="36" t="s">
        <v>13613</v>
      </c>
      <c r="S2763" s="36">
        <v>1.0</v>
      </c>
      <c r="T2763" s="28" t="s">
        <v>13614</v>
      </c>
      <c r="U2763" s="38" t="str">
        <f>HYPERLINK("https://www.ncbi.nlm.nih.gov/pubmed/24173911","PubMed")</f>
        <v>PubMed</v>
      </c>
      <c r="V2763" s="50"/>
      <c r="W2763" s="49"/>
      <c r="X2763" s="49"/>
      <c r="Y2763" s="35"/>
      <c r="Z2763" s="35"/>
      <c r="AA2763" s="35"/>
      <c r="AB2763" s="35"/>
      <c r="AC2763" s="35"/>
      <c r="AD2763" s="35"/>
      <c r="AE2763" s="35"/>
      <c r="AF2763" s="35"/>
      <c r="AG2763" s="35"/>
      <c r="AH2763" s="35"/>
      <c r="AI2763" s="35"/>
      <c r="AJ2763" s="35"/>
      <c r="AK2763" s="35"/>
      <c r="AL2763" s="35"/>
    </row>
    <row r="2764">
      <c r="A2764" s="207" t="s">
        <v>2</v>
      </c>
      <c r="B2764" s="19" t="s">
        <v>12857</v>
      </c>
      <c r="C2764" s="20" t="s">
        <v>13336</v>
      </c>
      <c r="D2764" s="47"/>
      <c r="E2764" s="22" t="s">
        <v>543</v>
      </c>
      <c r="F2764" s="22" t="s">
        <v>41</v>
      </c>
      <c r="G2764" s="23">
        <v>2013.0</v>
      </c>
      <c r="H2764" s="22" t="s">
        <v>13615</v>
      </c>
      <c r="I2764" s="24" t="s">
        <v>13616</v>
      </c>
      <c r="J2764" s="22" t="s">
        <v>55</v>
      </c>
      <c r="K2764" s="22" t="s">
        <v>13610</v>
      </c>
      <c r="L2764" s="36">
        <v>808.0</v>
      </c>
      <c r="M2764" s="36" t="s">
        <v>6213</v>
      </c>
      <c r="N2764" s="36" t="s">
        <v>13617</v>
      </c>
      <c r="O2764" s="36">
        <v>4.0</v>
      </c>
      <c r="P2764" s="37" t="s">
        <v>13618</v>
      </c>
      <c r="Q2764" s="36" t="s">
        <v>280</v>
      </c>
      <c r="R2764" s="36" t="s">
        <v>13619</v>
      </c>
      <c r="S2764" s="36">
        <v>1.0</v>
      </c>
      <c r="T2764" s="28" t="s">
        <v>13620</v>
      </c>
      <c r="U2764" s="38" t="str">
        <f>HYPERLINK("https://www.ncbi.nlm.nih.gov/pubmed/24028507","PubMed")</f>
        <v>PubMed</v>
      </c>
      <c r="V2764" s="50"/>
      <c r="W2764" s="49"/>
      <c r="X2764" s="49"/>
      <c r="Y2764" s="35"/>
      <c r="Z2764" s="35"/>
      <c r="AA2764" s="35"/>
      <c r="AB2764" s="35"/>
      <c r="AC2764" s="35"/>
      <c r="AD2764" s="35"/>
      <c r="AE2764" s="35"/>
      <c r="AF2764" s="35"/>
      <c r="AG2764" s="35"/>
      <c r="AH2764" s="35"/>
      <c r="AI2764" s="35"/>
      <c r="AJ2764" s="35"/>
      <c r="AK2764" s="35"/>
      <c r="AL2764" s="35"/>
    </row>
    <row r="2765">
      <c r="A2765" s="207"/>
      <c r="B2765" s="19" t="s">
        <v>12857</v>
      </c>
      <c r="C2765" s="20" t="s">
        <v>13336</v>
      </c>
      <c r="D2765" s="47"/>
      <c r="E2765" s="22" t="s">
        <v>13458</v>
      </c>
      <c r="F2765" s="22" t="s">
        <v>41</v>
      </c>
      <c r="G2765" s="23">
        <v>2012.0</v>
      </c>
      <c r="H2765" s="22" t="s">
        <v>13257</v>
      </c>
      <c r="I2765" s="24" t="s">
        <v>13621</v>
      </c>
      <c r="J2765" s="22" t="s">
        <v>13622</v>
      </c>
      <c r="K2765" s="22"/>
      <c r="L2765" s="36">
        <v>904.0</v>
      </c>
      <c r="M2765" s="36">
        <v>60.0</v>
      </c>
      <c r="N2765" s="36"/>
      <c r="O2765" s="36" t="s">
        <v>13462</v>
      </c>
      <c r="P2765" s="37"/>
      <c r="Q2765" s="36" t="s">
        <v>83</v>
      </c>
      <c r="R2765" s="36" t="s">
        <v>13463</v>
      </c>
      <c r="S2765" s="36" t="s">
        <v>4701</v>
      </c>
      <c r="T2765" s="28" t="s">
        <v>13623</v>
      </c>
      <c r="U2765" s="38" t="str">
        <f>HYPERLINK("https://www.ncbi.nlm.nih.gov/pubmed/22169831","PubMed")</f>
        <v>PubMed</v>
      </c>
      <c r="V2765" s="50"/>
      <c r="W2765" s="49"/>
      <c r="X2765" s="49"/>
      <c r="Y2765" s="35"/>
      <c r="Z2765" s="35"/>
      <c r="AA2765" s="35"/>
      <c r="AB2765" s="35"/>
      <c r="AC2765" s="35"/>
      <c r="AD2765" s="35"/>
      <c r="AE2765" s="35"/>
      <c r="AF2765" s="35"/>
      <c r="AG2765" s="35"/>
      <c r="AH2765" s="35"/>
      <c r="AI2765" s="35"/>
      <c r="AJ2765" s="35"/>
      <c r="AK2765" s="35"/>
      <c r="AL2765" s="35"/>
    </row>
    <row r="2766">
      <c r="A2766" s="207"/>
      <c r="B2766" s="19" t="s">
        <v>12857</v>
      </c>
      <c r="C2766" s="20" t="s">
        <v>13336</v>
      </c>
      <c r="D2766" s="47"/>
      <c r="E2766" s="22" t="s">
        <v>13624</v>
      </c>
      <c r="F2766" s="22" t="s">
        <v>13625</v>
      </c>
      <c r="G2766" s="23">
        <v>2012.0</v>
      </c>
      <c r="H2766" s="22" t="s">
        <v>13626</v>
      </c>
      <c r="I2766" s="24" t="s">
        <v>13627</v>
      </c>
      <c r="J2766" s="22" t="s">
        <v>13628</v>
      </c>
      <c r="K2766" s="22"/>
      <c r="L2766" s="36" t="s">
        <v>13629</v>
      </c>
      <c r="M2766" s="36" t="s">
        <v>13630</v>
      </c>
      <c r="N2766" s="36" t="s">
        <v>13631</v>
      </c>
      <c r="O2766" s="36" t="s">
        <v>13632</v>
      </c>
      <c r="P2766" s="37" t="s">
        <v>13633</v>
      </c>
      <c r="Q2766" s="36" t="s">
        <v>58</v>
      </c>
      <c r="R2766" s="36" t="s">
        <v>58</v>
      </c>
      <c r="S2766" s="36" t="s">
        <v>1514</v>
      </c>
      <c r="T2766" s="54" t="s">
        <v>13634</v>
      </c>
      <c r="U2766" s="38" t="str">
        <f>HYPERLINK("https://www.ncbi.nlm.nih.gov/pubmed/22764339","PubMed")</f>
        <v>PubMed</v>
      </c>
      <c r="V2766" s="50"/>
      <c r="W2766" s="49"/>
      <c r="X2766" s="49"/>
      <c r="Y2766" s="35"/>
      <c r="Z2766" s="35"/>
      <c r="AA2766" s="35"/>
      <c r="AB2766" s="35"/>
      <c r="AC2766" s="35"/>
      <c r="AD2766" s="35"/>
      <c r="AE2766" s="35"/>
      <c r="AF2766" s="35"/>
      <c r="AG2766" s="35"/>
      <c r="AH2766" s="35"/>
      <c r="AI2766" s="35"/>
      <c r="AJ2766" s="35"/>
      <c r="AK2766" s="35"/>
      <c r="AL2766" s="35"/>
    </row>
    <row r="2767">
      <c r="A2767" s="207"/>
      <c r="B2767" s="19" t="s">
        <v>12857</v>
      </c>
      <c r="C2767" s="20" t="s">
        <v>13336</v>
      </c>
      <c r="D2767" s="47"/>
      <c r="E2767" s="22" t="s">
        <v>13635</v>
      </c>
      <c r="F2767" s="22" t="s">
        <v>1034</v>
      </c>
      <c r="G2767" s="23">
        <v>2012.0</v>
      </c>
      <c r="H2767" s="22" t="s">
        <v>4975</v>
      </c>
      <c r="I2767" s="24" t="s">
        <v>13636</v>
      </c>
      <c r="J2767" s="22" t="s">
        <v>55</v>
      </c>
      <c r="K2767" s="22" t="s">
        <v>294</v>
      </c>
      <c r="L2767" s="36" t="s">
        <v>5357</v>
      </c>
      <c r="M2767" s="36" t="s">
        <v>403</v>
      </c>
      <c r="N2767" s="36" t="s">
        <v>13637</v>
      </c>
      <c r="O2767" s="36"/>
      <c r="P2767" s="37"/>
      <c r="Q2767" s="36"/>
      <c r="R2767" s="36"/>
      <c r="S2767" s="36"/>
      <c r="T2767" s="54" t="s">
        <v>13638</v>
      </c>
      <c r="U2767" s="29" t="s">
        <v>61</v>
      </c>
      <c r="V2767" s="50"/>
      <c r="W2767" s="49"/>
      <c r="X2767" s="49"/>
      <c r="Y2767" s="35"/>
      <c r="Z2767" s="35"/>
      <c r="AA2767" s="35"/>
      <c r="AB2767" s="35"/>
      <c r="AC2767" s="35"/>
      <c r="AD2767" s="35"/>
      <c r="AE2767" s="35"/>
      <c r="AF2767" s="35"/>
      <c r="AG2767" s="35"/>
      <c r="AH2767" s="35"/>
      <c r="AI2767" s="35"/>
      <c r="AJ2767" s="35"/>
      <c r="AK2767" s="35"/>
      <c r="AL2767" s="35"/>
    </row>
    <row r="2768">
      <c r="A2768" s="207"/>
      <c r="B2768" s="19" t="s">
        <v>12857</v>
      </c>
      <c r="C2768" s="20" t="s">
        <v>13336</v>
      </c>
      <c r="D2768" s="47"/>
      <c r="E2768" s="22" t="s">
        <v>2783</v>
      </c>
      <c r="F2768" s="22" t="s">
        <v>2801</v>
      </c>
      <c r="G2768" s="23">
        <v>2012.0</v>
      </c>
      <c r="H2768" s="22" t="s">
        <v>4764</v>
      </c>
      <c r="I2768" s="24" t="s">
        <v>13639</v>
      </c>
      <c r="J2768" s="22" t="s">
        <v>253</v>
      </c>
      <c r="K2768" s="22"/>
      <c r="L2768" s="36">
        <v>810.0</v>
      </c>
      <c r="M2768" s="36"/>
      <c r="N2768" s="36"/>
      <c r="O2768" s="36"/>
      <c r="P2768" s="37"/>
      <c r="Q2768" s="36"/>
      <c r="R2768" s="36"/>
      <c r="S2768" s="36">
        <v>10.0</v>
      </c>
      <c r="T2768" s="54" t="s">
        <v>13640</v>
      </c>
      <c r="U2768" s="29" t="s">
        <v>61</v>
      </c>
      <c r="V2768" s="50"/>
      <c r="W2768" s="49"/>
      <c r="X2768" s="49"/>
      <c r="Y2768" s="35"/>
      <c r="Z2768" s="35"/>
      <c r="AA2768" s="35"/>
      <c r="AB2768" s="35"/>
      <c r="AC2768" s="35"/>
      <c r="AD2768" s="35"/>
      <c r="AE2768" s="35"/>
      <c r="AF2768" s="35"/>
      <c r="AG2768" s="35"/>
      <c r="AH2768" s="35"/>
      <c r="AI2768" s="35"/>
      <c r="AJ2768" s="35"/>
      <c r="AK2768" s="35"/>
      <c r="AL2768" s="35"/>
    </row>
    <row r="2769">
      <c r="A2769" s="149" t="s">
        <v>181</v>
      </c>
      <c r="B2769" s="19" t="s">
        <v>12857</v>
      </c>
      <c r="C2769" s="20" t="s">
        <v>13336</v>
      </c>
      <c r="D2769" s="47"/>
      <c r="E2769" s="22" t="s">
        <v>12932</v>
      </c>
      <c r="F2769" s="22" t="s">
        <v>206</v>
      </c>
      <c r="G2769" s="23">
        <v>2012.0</v>
      </c>
      <c r="H2769" s="22" t="s">
        <v>13641</v>
      </c>
      <c r="I2769" s="24" t="s">
        <v>13642</v>
      </c>
      <c r="J2769" s="22" t="s">
        <v>13643</v>
      </c>
      <c r="K2769" s="22" t="s">
        <v>6556</v>
      </c>
      <c r="L2769" s="36">
        <v>890.0</v>
      </c>
      <c r="M2769" s="36">
        <v>6240.0</v>
      </c>
      <c r="N2769" s="36"/>
      <c r="O2769" s="36"/>
      <c r="P2769" s="37" t="s">
        <v>13644</v>
      </c>
      <c r="Q2769" s="36"/>
      <c r="R2769" s="36">
        <v>2400.0</v>
      </c>
      <c r="S2769" s="36" t="s">
        <v>2302</v>
      </c>
      <c r="T2769" s="103" t="s">
        <v>13645</v>
      </c>
      <c r="U2769" s="38" t="str">
        <f>HYPERLINK("https://www.ncbi.nlm.nih.gov/pubmed/22960644","PubMed")</f>
        <v>PubMed</v>
      </c>
      <c r="V2769" s="50"/>
      <c r="W2769" s="49"/>
      <c r="X2769" s="49"/>
      <c r="Y2769" s="35"/>
      <c r="Z2769" s="35"/>
      <c r="AA2769" s="35"/>
      <c r="AB2769" s="35"/>
      <c r="AC2769" s="35"/>
      <c r="AD2769" s="35"/>
      <c r="AE2769" s="35"/>
      <c r="AF2769" s="35"/>
      <c r="AG2769" s="35"/>
      <c r="AH2769" s="35"/>
      <c r="AI2769" s="35"/>
      <c r="AJ2769" s="35"/>
      <c r="AK2769" s="35"/>
      <c r="AL2769" s="35"/>
    </row>
    <row r="2770">
      <c r="A2770" s="207"/>
      <c r="B2770" s="19" t="s">
        <v>12857</v>
      </c>
      <c r="C2770" s="20" t="s">
        <v>13336</v>
      </c>
      <c r="D2770" s="47"/>
      <c r="E2770" s="22" t="s">
        <v>12932</v>
      </c>
      <c r="F2770" s="22" t="s">
        <v>206</v>
      </c>
      <c r="G2770" s="23">
        <v>2012.0</v>
      </c>
      <c r="H2770" s="22" t="s">
        <v>4783</v>
      </c>
      <c r="I2770" s="24" t="s">
        <v>13646</v>
      </c>
      <c r="J2770" s="22" t="s">
        <v>13647</v>
      </c>
      <c r="K2770" s="22" t="s">
        <v>6556</v>
      </c>
      <c r="L2770" s="36">
        <v>890.0</v>
      </c>
      <c r="M2770" s="36">
        <v>6240.0</v>
      </c>
      <c r="N2770" s="36"/>
      <c r="O2770" s="36"/>
      <c r="P2770" s="37" t="s">
        <v>13648</v>
      </c>
      <c r="Q2770" s="36"/>
      <c r="R2770" s="36">
        <v>2400.0</v>
      </c>
      <c r="S2770" s="36" t="s">
        <v>2302</v>
      </c>
      <c r="T2770" s="103" t="s">
        <v>13649</v>
      </c>
      <c r="U2770" s="38" t="str">
        <f>HYPERLINK("https://www.ncbi.nlm.nih.gov/pubmed/22459700","PubMed")</f>
        <v>PubMed</v>
      </c>
      <c r="V2770" s="50"/>
      <c r="W2770" s="49"/>
      <c r="X2770" s="49"/>
      <c r="Y2770" s="35"/>
      <c r="Z2770" s="35"/>
      <c r="AA2770" s="35"/>
      <c r="AB2770" s="35"/>
      <c r="AC2770" s="35"/>
      <c r="AD2770" s="35"/>
      <c r="AE2770" s="35"/>
      <c r="AF2770" s="35"/>
      <c r="AG2770" s="35"/>
      <c r="AH2770" s="35"/>
      <c r="AI2770" s="35"/>
      <c r="AJ2770" s="35"/>
      <c r="AK2770" s="35"/>
      <c r="AL2770" s="35"/>
    </row>
    <row r="2771">
      <c r="A2771" s="207"/>
      <c r="B2771" s="19" t="s">
        <v>12857</v>
      </c>
      <c r="C2771" s="20" t="s">
        <v>13336</v>
      </c>
      <c r="D2771" s="47"/>
      <c r="E2771" s="22" t="s">
        <v>13650</v>
      </c>
      <c r="F2771" s="22" t="s">
        <v>4606</v>
      </c>
      <c r="G2771" s="23">
        <v>2011.0</v>
      </c>
      <c r="H2771" s="22" t="s">
        <v>10229</v>
      </c>
      <c r="I2771" s="24" t="s">
        <v>13651</v>
      </c>
      <c r="J2771" s="22" t="s">
        <v>253</v>
      </c>
      <c r="K2771" s="22" t="s">
        <v>157</v>
      </c>
      <c r="L2771" s="36" t="s">
        <v>13652</v>
      </c>
      <c r="M2771" s="36"/>
      <c r="N2771" s="36"/>
      <c r="O2771" s="36" t="s">
        <v>13653</v>
      </c>
      <c r="P2771" s="37" t="s">
        <v>6551</v>
      </c>
      <c r="Q2771" s="36" t="s">
        <v>13654</v>
      </c>
      <c r="R2771" s="36">
        <v>600.0</v>
      </c>
      <c r="S2771" s="36">
        <v>25.0</v>
      </c>
      <c r="T2771" s="54" t="s">
        <v>13655</v>
      </c>
      <c r="U2771" s="38" t="str">
        <f>HYPERLINK("https://www.ncbi.nlm.nih.gov/pubmed/21658899","PubMed")</f>
        <v>PubMed</v>
      </c>
      <c r="V2771" s="50"/>
      <c r="W2771" s="49"/>
      <c r="X2771" s="49"/>
      <c r="Y2771" s="35"/>
      <c r="Z2771" s="35"/>
      <c r="AA2771" s="35"/>
      <c r="AB2771" s="35"/>
      <c r="AC2771" s="35"/>
      <c r="AD2771" s="35"/>
      <c r="AE2771" s="35"/>
      <c r="AF2771" s="35"/>
      <c r="AG2771" s="35"/>
      <c r="AH2771" s="35"/>
      <c r="AI2771" s="35"/>
      <c r="AJ2771" s="35"/>
      <c r="AK2771" s="35"/>
      <c r="AL2771" s="35"/>
    </row>
    <row r="2772">
      <c r="A2772" s="207"/>
      <c r="B2772" s="19" t="s">
        <v>12857</v>
      </c>
      <c r="C2772" s="20" t="s">
        <v>13336</v>
      </c>
      <c r="D2772" s="47"/>
      <c r="E2772" s="22" t="s">
        <v>13656</v>
      </c>
      <c r="F2772" s="22" t="s">
        <v>2270</v>
      </c>
      <c r="G2772" s="23">
        <v>2011.0</v>
      </c>
      <c r="H2772" s="22" t="s">
        <v>13657</v>
      </c>
      <c r="I2772" s="24" t="s">
        <v>13658</v>
      </c>
      <c r="J2772" s="22" t="s">
        <v>253</v>
      </c>
      <c r="K2772" s="22"/>
      <c r="L2772" s="36" t="s">
        <v>13068</v>
      </c>
      <c r="M2772" s="36"/>
      <c r="N2772" s="36"/>
      <c r="O2772" s="36"/>
      <c r="P2772" s="37"/>
      <c r="Q2772" s="36"/>
      <c r="R2772" s="36"/>
      <c r="S2772" s="36"/>
      <c r="T2772" s="54" t="s">
        <v>13659</v>
      </c>
      <c r="U2772" s="38" t="str">
        <f>HYPERLINK("https://www.ncbi.nlm.nih.gov/pubmed/22220431","PubMed")</f>
        <v>PubMed</v>
      </c>
      <c r="V2772" s="50"/>
      <c r="W2772" s="49"/>
      <c r="X2772" s="49"/>
      <c r="Y2772" s="35"/>
      <c r="Z2772" s="35"/>
      <c r="AA2772" s="35"/>
      <c r="AB2772" s="35"/>
      <c r="AC2772" s="35"/>
      <c r="AD2772" s="35"/>
      <c r="AE2772" s="35"/>
      <c r="AF2772" s="35"/>
      <c r="AG2772" s="35"/>
      <c r="AH2772" s="35"/>
      <c r="AI2772" s="35"/>
      <c r="AJ2772" s="35"/>
      <c r="AK2772" s="35"/>
      <c r="AL2772" s="35"/>
    </row>
    <row r="2773">
      <c r="A2773" s="207"/>
      <c r="B2773" s="19" t="s">
        <v>12857</v>
      </c>
      <c r="C2773" s="20" t="s">
        <v>13336</v>
      </c>
      <c r="D2773" s="47"/>
      <c r="E2773" s="22" t="s">
        <v>13660</v>
      </c>
      <c r="F2773" s="22" t="s">
        <v>13661</v>
      </c>
      <c r="G2773" s="23">
        <v>2009.0</v>
      </c>
      <c r="H2773" s="22" t="s">
        <v>658</v>
      </c>
      <c r="I2773" s="24" t="s">
        <v>13662</v>
      </c>
      <c r="J2773" s="22" t="s">
        <v>13663</v>
      </c>
      <c r="K2773" s="22"/>
      <c r="L2773" s="36">
        <v>830.0</v>
      </c>
      <c r="M2773" s="36">
        <v>50.0</v>
      </c>
      <c r="N2773" s="36">
        <v>10.0</v>
      </c>
      <c r="O2773" s="36" t="s">
        <v>13664</v>
      </c>
      <c r="P2773" s="37"/>
      <c r="Q2773" s="36" t="s">
        <v>13665</v>
      </c>
      <c r="R2773" s="36"/>
      <c r="S2773" s="36" t="s">
        <v>2099</v>
      </c>
      <c r="T2773" s="54" t="s">
        <v>13666</v>
      </c>
      <c r="U2773" s="38" t="str">
        <f>HYPERLINK("https://www.ncbi.nlm.nih.gov/pubmed/19530911","PubMed")</f>
        <v>PubMed</v>
      </c>
      <c r="V2773" s="50"/>
      <c r="W2773" s="49"/>
      <c r="X2773" s="49"/>
      <c r="Y2773" s="35"/>
      <c r="Z2773" s="35"/>
      <c r="AA2773" s="35"/>
      <c r="AB2773" s="35"/>
      <c r="AC2773" s="35"/>
      <c r="AD2773" s="35"/>
      <c r="AE2773" s="35"/>
      <c r="AF2773" s="35"/>
      <c r="AG2773" s="35"/>
      <c r="AH2773" s="35"/>
      <c r="AI2773" s="35"/>
      <c r="AJ2773" s="35"/>
      <c r="AK2773" s="35"/>
      <c r="AL2773" s="35"/>
    </row>
    <row r="2774">
      <c r="A2774" s="207"/>
      <c r="B2774" s="19" t="s">
        <v>12857</v>
      </c>
      <c r="C2774" s="20" t="s">
        <v>13336</v>
      </c>
      <c r="D2774" s="47"/>
      <c r="E2774" s="22" t="s">
        <v>13667</v>
      </c>
      <c r="F2774" s="22" t="s">
        <v>1465</v>
      </c>
      <c r="G2774" s="23">
        <v>2007.0</v>
      </c>
      <c r="H2774" s="22" t="s">
        <v>3012</v>
      </c>
      <c r="I2774" s="24" t="s">
        <v>13668</v>
      </c>
      <c r="J2774" s="22" t="s">
        <v>1078</v>
      </c>
      <c r="K2774" s="22"/>
      <c r="L2774" s="105" t="s">
        <v>13669</v>
      </c>
      <c r="M2774" s="44"/>
      <c r="N2774" s="44"/>
      <c r="O2774" s="44"/>
      <c r="P2774" s="44"/>
      <c r="Q2774" s="44"/>
      <c r="R2774" s="44"/>
      <c r="S2774" s="44"/>
      <c r="T2774" s="45"/>
      <c r="U2774" s="38" t="str">
        <f>HYPERLINK("https://www.ncbi.nlm.nih.gov/pubmed/17587446","PubMed")</f>
        <v>PubMed</v>
      </c>
      <c r="V2774" s="50"/>
      <c r="W2774" s="49"/>
      <c r="X2774" s="49"/>
      <c r="Y2774" s="35"/>
      <c r="Z2774" s="35"/>
      <c r="AA2774" s="35"/>
      <c r="AB2774" s="35"/>
      <c r="AC2774" s="35"/>
      <c r="AD2774" s="35"/>
      <c r="AE2774" s="35"/>
      <c r="AF2774" s="35"/>
      <c r="AG2774" s="35"/>
      <c r="AH2774" s="35"/>
      <c r="AI2774" s="35"/>
      <c r="AJ2774" s="35"/>
      <c r="AK2774" s="35"/>
      <c r="AL2774" s="35"/>
    </row>
    <row r="2775">
      <c r="A2775" s="207"/>
      <c r="B2775" s="19" t="s">
        <v>12857</v>
      </c>
      <c r="C2775" s="20" t="s">
        <v>13336</v>
      </c>
      <c r="D2775" s="47"/>
      <c r="E2775" s="22" t="s">
        <v>2783</v>
      </c>
      <c r="F2775" s="22" t="s">
        <v>3916</v>
      </c>
      <c r="G2775" s="23">
        <v>2006.0</v>
      </c>
      <c r="H2775" s="22" t="s">
        <v>13502</v>
      </c>
      <c r="I2775" s="24" t="s">
        <v>13670</v>
      </c>
      <c r="J2775" s="22" t="s">
        <v>55</v>
      </c>
      <c r="K2775" s="22"/>
      <c r="L2775" s="36">
        <v>633.0</v>
      </c>
      <c r="M2775" s="36"/>
      <c r="N2775" s="36"/>
      <c r="O2775" s="36"/>
      <c r="P2775" s="37"/>
      <c r="Q2775" s="36"/>
      <c r="R2775" s="36"/>
      <c r="S2775" s="36"/>
      <c r="T2775" s="137" t="s">
        <v>13671</v>
      </c>
      <c r="U2775" s="38" t="str">
        <f>HYPERLINK("https://www.ncbi.nlm.nih.gov/pubmed/16359876","PubMed")</f>
        <v>PubMed</v>
      </c>
      <c r="V2775" s="50"/>
      <c r="W2775" s="49"/>
      <c r="X2775" s="49"/>
      <c r="Y2775" s="35"/>
      <c r="Z2775" s="35"/>
      <c r="AA2775" s="35"/>
      <c r="AB2775" s="35"/>
      <c r="AC2775" s="35"/>
      <c r="AD2775" s="35"/>
      <c r="AE2775" s="35"/>
      <c r="AF2775" s="35"/>
      <c r="AG2775" s="35"/>
      <c r="AH2775" s="35"/>
      <c r="AI2775" s="35"/>
      <c r="AJ2775" s="35"/>
      <c r="AK2775" s="35"/>
      <c r="AL2775" s="35"/>
    </row>
    <row r="2776">
      <c r="A2776" s="207"/>
      <c r="B2776" s="19" t="s">
        <v>12857</v>
      </c>
      <c r="C2776" s="20" t="s">
        <v>13336</v>
      </c>
      <c r="D2776" s="47"/>
      <c r="E2776" s="22" t="s">
        <v>13672</v>
      </c>
      <c r="F2776" s="22" t="s">
        <v>4763</v>
      </c>
      <c r="G2776" s="23">
        <v>2007.0</v>
      </c>
      <c r="H2776" s="22" t="s">
        <v>658</v>
      </c>
      <c r="I2776" s="24" t="s">
        <v>13673</v>
      </c>
      <c r="J2776" s="22" t="s">
        <v>13674</v>
      </c>
      <c r="K2776" s="22"/>
      <c r="L2776" s="36">
        <v>904.0</v>
      </c>
      <c r="M2776" s="36">
        <v>4.0</v>
      </c>
      <c r="N2776" s="36" t="s">
        <v>2554</v>
      </c>
      <c r="O2776" s="36" t="s">
        <v>11659</v>
      </c>
      <c r="P2776" s="37"/>
      <c r="Q2776" s="36" t="s">
        <v>901</v>
      </c>
      <c r="R2776" s="36" t="s">
        <v>13675</v>
      </c>
      <c r="S2776" s="36" t="s">
        <v>1514</v>
      </c>
      <c r="T2776" s="222" t="s">
        <v>13676</v>
      </c>
      <c r="U2776" s="38" t="str">
        <f>HYPERLINK("https://www.ncbi.nlm.nih.gov/pubmed/17352632","PubMed")</f>
        <v>PubMed</v>
      </c>
      <c r="V2776" s="50"/>
      <c r="W2776" s="49"/>
      <c r="X2776" s="49"/>
      <c r="Y2776" s="35"/>
      <c r="Z2776" s="35"/>
      <c r="AA2776" s="35"/>
      <c r="AB2776" s="35"/>
      <c r="AC2776" s="35"/>
      <c r="AD2776" s="35"/>
      <c r="AE2776" s="35"/>
      <c r="AF2776" s="35"/>
      <c r="AG2776" s="35"/>
      <c r="AH2776" s="35"/>
      <c r="AI2776" s="35"/>
      <c r="AJ2776" s="35"/>
      <c r="AK2776" s="35"/>
      <c r="AL2776" s="35"/>
    </row>
    <row r="2777">
      <c r="A2777" s="207"/>
      <c r="B2777" s="19" t="s">
        <v>12857</v>
      </c>
      <c r="C2777" s="20" t="s">
        <v>13481</v>
      </c>
      <c r="D2777" s="47"/>
      <c r="E2777" s="22" t="s">
        <v>12964</v>
      </c>
      <c r="F2777" s="22" t="s">
        <v>13677</v>
      </c>
      <c r="G2777" s="23">
        <v>2005.0</v>
      </c>
      <c r="H2777" s="22" t="s">
        <v>53</v>
      </c>
      <c r="I2777" s="24" t="s">
        <v>13678</v>
      </c>
      <c r="J2777" s="22" t="s">
        <v>13679</v>
      </c>
      <c r="K2777" s="22"/>
      <c r="L2777" s="36">
        <v>860.0</v>
      </c>
      <c r="M2777" s="36">
        <v>60.0</v>
      </c>
      <c r="N2777" s="36">
        <v>3.0</v>
      </c>
      <c r="O2777" s="36" t="s">
        <v>13680</v>
      </c>
      <c r="P2777" s="37" t="s">
        <v>969</v>
      </c>
      <c r="Q2777" s="36" t="s">
        <v>4912</v>
      </c>
      <c r="R2777" s="36"/>
      <c r="S2777" s="36" t="s">
        <v>3280</v>
      </c>
      <c r="T2777" s="237" t="s">
        <v>13681</v>
      </c>
      <c r="U2777" s="38" t="str">
        <f>HYPERLINK("https://www.ncbi.nlm.nih.gov/pubmed/15704096","PubMed")</f>
        <v>PubMed</v>
      </c>
      <c r="V2777" s="50"/>
      <c r="W2777" s="130" t="str">
        <f>HYPERLINK("https://www.ncbi.nlm.nih.gov/pubmed/16568446","Comment")</f>
        <v>Comment</v>
      </c>
      <c r="X2777" s="49"/>
      <c r="Y2777" s="35"/>
      <c r="Z2777" s="35"/>
      <c r="AA2777" s="35"/>
      <c r="AB2777" s="35"/>
      <c r="AC2777" s="35"/>
      <c r="AD2777" s="35"/>
      <c r="AE2777" s="35"/>
      <c r="AF2777" s="35"/>
      <c r="AG2777" s="35"/>
      <c r="AH2777" s="35"/>
      <c r="AI2777" s="35"/>
      <c r="AJ2777" s="35"/>
      <c r="AK2777" s="35"/>
      <c r="AL2777" s="35"/>
    </row>
    <row r="2778">
      <c r="A2778" s="207"/>
      <c r="B2778" s="19" t="s">
        <v>12857</v>
      </c>
      <c r="C2778" s="20" t="s">
        <v>13142</v>
      </c>
      <c r="D2778" s="47"/>
      <c r="E2778" s="22" t="s">
        <v>13667</v>
      </c>
      <c r="F2778" s="22" t="s">
        <v>1465</v>
      </c>
      <c r="G2778" s="23">
        <v>2005.0</v>
      </c>
      <c r="H2778" s="22" t="s">
        <v>658</v>
      </c>
      <c r="I2778" s="24" t="s">
        <v>13682</v>
      </c>
      <c r="J2778" s="22" t="s">
        <v>13683</v>
      </c>
      <c r="K2778" s="22"/>
      <c r="L2778" s="105" t="s">
        <v>13684</v>
      </c>
      <c r="M2778" s="44"/>
      <c r="N2778" s="44"/>
      <c r="O2778" s="44"/>
      <c r="P2778" s="44"/>
      <c r="Q2778" s="44"/>
      <c r="R2778" s="44"/>
      <c r="S2778" s="44"/>
      <c r="T2778" s="45"/>
      <c r="U2778" s="38" t="str">
        <f>HYPERLINK("https://www.ncbi.nlm.nih.gov/pubmed/16262573","PubMed")</f>
        <v>PubMed</v>
      </c>
      <c r="V2778" s="50"/>
      <c r="W2778" s="49"/>
      <c r="X2778" s="49"/>
      <c r="Y2778" s="35"/>
      <c r="Z2778" s="35"/>
      <c r="AA2778" s="35"/>
      <c r="AB2778" s="35"/>
      <c r="AC2778" s="35"/>
      <c r="AD2778" s="35"/>
      <c r="AE2778" s="35"/>
      <c r="AF2778" s="35"/>
      <c r="AG2778" s="35"/>
      <c r="AH2778" s="35"/>
      <c r="AI2778" s="35"/>
      <c r="AJ2778" s="35"/>
      <c r="AK2778" s="35"/>
      <c r="AL2778" s="35"/>
    </row>
    <row r="2779">
      <c r="A2779" s="191"/>
      <c r="B2779" s="19" t="s">
        <v>12857</v>
      </c>
      <c r="C2779" s="20" t="s">
        <v>13336</v>
      </c>
      <c r="D2779" s="47"/>
      <c r="E2779" s="22" t="s">
        <v>2783</v>
      </c>
      <c r="F2779" s="22" t="s">
        <v>494</v>
      </c>
      <c r="G2779" s="23">
        <v>2004.0</v>
      </c>
      <c r="H2779" s="22" t="s">
        <v>6606</v>
      </c>
      <c r="I2779" s="24" t="s">
        <v>13685</v>
      </c>
      <c r="J2779" s="22" t="s">
        <v>55</v>
      </c>
      <c r="K2779" s="22"/>
      <c r="L2779" s="36">
        <v>633.0</v>
      </c>
      <c r="M2779" s="36"/>
      <c r="N2779" s="36"/>
      <c r="O2779" s="36"/>
      <c r="P2779" s="37"/>
      <c r="Q2779" s="36"/>
      <c r="R2779" s="36"/>
      <c r="S2779" s="36"/>
      <c r="T2779" s="54" t="s">
        <v>13686</v>
      </c>
      <c r="U2779" s="38" t="str">
        <f>HYPERLINK("https://www.ncbi.nlm.nih.gov/pubmed/15385784","PubMed")</f>
        <v>PubMed</v>
      </c>
      <c r="V2779" s="50"/>
      <c r="W2779" s="49"/>
      <c r="X2779" s="49"/>
      <c r="Y2779" s="35"/>
      <c r="Z2779" s="35"/>
      <c r="AA2779" s="35"/>
      <c r="AB2779" s="35"/>
      <c r="AC2779" s="35"/>
      <c r="AD2779" s="35"/>
      <c r="AE2779" s="35"/>
      <c r="AF2779" s="35"/>
      <c r="AG2779" s="35"/>
      <c r="AH2779" s="35"/>
      <c r="AI2779" s="35"/>
      <c r="AJ2779" s="35"/>
      <c r="AK2779" s="35"/>
      <c r="AL2779" s="35"/>
    </row>
    <row r="2780">
      <c r="A2780" s="191" t="s">
        <v>181</v>
      </c>
      <c r="B2780" s="19" t="s">
        <v>12857</v>
      </c>
      <c r="C2780" s="20" t="s">
        <v>13336</v>
      </c>
      <c r="D2780" s="47"/>
      <c r="E2780" s="22" t="s">
        <v>2498</v>
      </c>
      <c r="F2780" s="22" t="s">
        <v>1622</v>
      </c>
      <c r="G2780" s="23">
        <v>2004.0</v>
      </c>
      <c r="H2780" s="22" t="s">
        <v>13596</v>
      </c>
      <c r="I2780" s="24" t="s">
        <v>13687</v>
      </c>
      <c r="J2780" s="22" t="s">
        <v>253</v>
      </c>
      <c r="K2780" s="22"/>
      <c r="L2780" s="36"/>
      <c r="M2780" s="36"/>
      <c r="N2780" s="36"/>
      <c r="O2780" s="36"/>
      <c r="P2780" s="37"/>
      <c r="Q2780" s="36"/>
      <c r="R2780" s="36">
        <v>300.0</v>
      </c>
      <c r="S2780" s="36">
        <v>28.0</v>
      </c>
      <c r="T2780" s="54" t="s">
        <v>13688</v>
      </c>
      <c r="U2780" s="38" t="str">
        <f>HYPERLINK("https://www.ncbi.nlm.nih.gov/pubmed/15523898","PubMed")</f>
        <v>PubMed</v>
      </c>
      <c r="V2780" s="50"/>
      <c r="W2780" s="49"/>
      <c r="X2780" s="49"/>
      <c r="Y2780" s="35"/>
      <c r="Z2780" s="35"/>
      <c r="AA2780" s="35"/>
      <c r="AB2780" s="35"/>
      <c r="AC2780" s="35"/>
      <c r="AD2780" s="35"/>
      <c r="AE2780" s="35"/>
      <c r="AF2780" s="35"/>
      <c r="AG2780" s="35"/>
      <c r="AH2780" s="35"/>
      <c r="AI2780" s="35"/>
      <c r="AJ2780" s="35"/>
      <c r="AK2780" s="35"/>
      <c r="AL2780" s="35"/>
    </row>
    <row r="2781">
      <c r="A2781" s="191"/>
      <c r="B2781" s="19" t="s">
        <v>12857</v>
      </c>
      <c r="C2781" s="20" t="s">
        <v>13336</v>
      </c>
      <c r="D2781" s="47"/>
      <c r="E2781" s="22" t="s">
        <v>4848</v>
      </c>
      <c r="F2781" s="22" t="s">
        <v>4849</v>
      </c>
      <c r="G2781" s="23">
        <v>2004.0</v>
      </c>
      <c r="H2781" s="22" t="s">
        <v>4881</v>
      </c>
      <c r="I2781" s="24" t="s">
        <v>13689</v>
      </c>
      <c r="J2781" s="22" t="s">
        <v>13690</v>
      </c>
      <c r="K2781" s="22"/>
      <c r="L2781" s="36">
        <v>830.0</v>
      </c>
      <c r="M2781" s="36">
        <v>50.0</v>
      </c>
      <c r="N2781" s="36" t="s">
        <v>58</v>
      </c>
      <c r="O2781" s="36" t="s">
        <v>13691</v>
      </c>
      <c r="P2781" s="37" t="s">
        <v>58</v>
      </c>
      <c r="Q2781" s="36" t="s">
        <v>58</v>
      </c>
      <c r="R2781" s="36" t="s">
        <v>58</v>
      </c>
      <c r="S2781" s="36" t="s">
        <v>1514</v>
      </c>
      <c r="T2781" s="103" t="s">
        <v>13692</v>
      </c>
      <c r="U2781" s="38" t="str">
        <f>HYPERLINK("https://www.ncbi.nlm.nih.gov/pubmed/15243853","PubMed")</f>
        <v>PubMed</v>
      </c>
      <c r="V2781" s="50"/>
      <c r="W2781" s="49"/>
      <c r="X2781" s="49"/>
      <c r="Y2781" s="35"/>
      <c r="Z2781" s="35"/>
      <c r="AA2781" s="35"/>
      <c r="AB2781" s="35"/>
      <c r="AC2781" s="35"/>
      <c r="AD2781" s="35"/>
      <c r="AE2781" s="35"/>
      <c r="AF2781" s="35"/>
      <c r="AG2781" s="35"/>
      <c r="AH2781" s="35"/>
      <c r="AI2781" s="35"/>
      <c r="AJ2781" s="35"/>
      <c r="AK2781" s="35"/>
      <c r="AL2781" s="35"/>
    </row>
    <row r="2782">
      <c r="A2782" s="191"/>
      <c r="B2782" s="19" t="s">
        <v>12857</v>
      </c>
      <c r="C2782" s="20" t="s">
        <v>13336</v>
      </c>
      <c r="D2782" s="47"/>
      <c r="E2782" s="22" t="s">
        <v>13693</v>
      </c>
      <c r="F2782" s="22" t="s">
        <v>13694</v>
      </c>
      <c r="G2782" s="23">
        <v>2003.0</v>
      </c>
      <c r="H2782" s="22" t="s">
        <v>53</v>
      </c>
      <c r="I2782" s="24" t="s">
        <v>13695</v>
      </c>
      <c r="J2782" s="22" t="s">
        <v>13696</v>
      </c>
      <c r="K2782" s="22" t="s">
        <v>13697</v>
      </c>
      <c r="L2782" s="36">
        <v>904.0</v>
      </c>
      <c r="M2782" s="129">
        <v>42777.0</v>
      </c>
      <c r="N2782" s="36"/>
      <c r="O2782" s="36" t="s">
        <v>5209</v>
      </c>
      <c r="P2782" s="37"/>
      <c r="Q2782" s="36" t="s">
        <v>13698</v>
      </c>
      <c r="R2782" s="36" t="s">
        <v>13699</v>
      </c>
      <c r="S2782" s="36" t="s">
        <v>7333</v>
      </c>
      <c r="T2782" s="54" t="s">
        <v>13700</v>
      </c>
      <c r="U2782" s="38" t="str">
        <f>HYPERLINK("https://www.ncbi.nlm.nih.gov/pubmed/14677160","PubMed")</f>
        <v>PubMed</v>
      </c>
      <c r="V2782" s="50"/>
      <c r="W2782" s="49"/>
      <c r="X2782" s="49"/>
      <c r="Y2782" s="35"/>
      <c r="Z2782" s="35"/>
      <c r="AA2782" s="35"/>
      <c r="AB2782" s="35"/>
      <c r="AC2782" s="35"/>
      <c r="AD2782" s="35"/>
      <c r="AE2782" s="35"/>
      <c r="AF2782" s="35"/>
      <c r="AG2782" s="35"/>
      <c r="AH2782" s="35"/>
      <c r="AI2782" s="35"/>
      <c r="AJ2782" s="35"/>
      <c r="AK2782" s="35"/>
      <c r="AL2782" s="35"/>
    </row>
    <row r="2783">
      <c r="A2783" s="191"/>
      <c r="B2783" s="19" t="s">
        <v>12857</v>
      </c>
      <c r="C2783" s="20" t="s">
        <v>13701</v>
      </c>
      <c r="D2783" s="47"/>
      <c r="E2783" s="22" t="s">
        <v>13702</v>
      </c>
      <c r="F2783" s="22" t="s">
        <v>540</v>
      </c>
      <c r="G2783" s="23">
        <v>2003.0</v>
      </c>
      <c r="H2783" s="22" t="s">
        <v>9380</v>
      </c>
      <c r="I2783" s="24" t="s">
        <v>13703</v>
      </c>
      <c r="J2783" s="22" t="s">
        <v>13704</v>
      </c>
      <c r="K2783" s="22"/>
      <c r="L2783" s="36" t="s">
        <v>11820</v>
      </c>
      <c r="M2783" s="36" t="s">
        <v>11820</v>
      </c>
      <c r="N2783" s="36" t="s">
        <v>11820</v>
      </c>
      <c r="O2783" s="36" t="s">
        <v>11820</v>
      </c>
      <c r="P2783" s="36" t="s">
        <v>11820</v>
      </c>
      <c r="Q2783" s="36" t="s">
        <v>11820</v>
      </c>
      <c r="R2783" s="36" t="s">
        <v>11820</v>
      </c>
      <c r="S2783" s="36" t="s">
        <v>11820</v>
      </c>
      <c r="T2783" s="54" t="s">
        <v>13705</v>
      </c>
      <c r="U2783" s="38" t="str">
        <f>HYPERLINK("https://www.ncbi.nlm.nih.gov/pubmed/15244318","PubMed")</f>
        <v>PubMed</v>
      </c>
      <c r="V2783" s="50"/>
      <c r="W2783" s="49"/>
      <c r="X2783" s="49"/>
      <c r="Y2783" s="35"/>
      <c r="Z2783" s="35"/>
      <c r="AA2783" s="35"/>
      <c r="AB2783" s="35"/>
      <c r="AC2783" s="35"/>
      <c r="AD2783" s="35"/>
      <c r="AE2783" s="35"/>
      <c r="AF2783" s="35"/>
      <c r="AG2783" s="35"/>
      <c r="AH2783" s="35"/>
      <c r="AI2783" s="35"/>
      <c r="AJ2783" s="35"/>
      <c r="AK2783" s="35"/>
      <c r="AL2783" s="35"/>
    </row>
    <row r="2784">
      <c r="A2784" s="191"/>
      <c r="B2784" s="19" t="s">
        <v>12857</v>
      </c>
      <c r="C2784" s="20" t="s">
        <v>13701</v>
      </c>
      <c r="D2784" s="47"/>
      <c r="E2784" s="22" t="s">
        <v>13706</v>
      </c>
      <c r="F2784" s="22" t="s">
        <v>12969</v>
      </c>
      <c r="G2784" s="23">
        <v>2001.0</v>
      </c>
      <c r="H2784" s="22" t="s">
        <v>4862</v>
      </c>
      <c r="I2784" s="24" t="s">
        <v>13707</v>
      </c>
      <c r="J2784" s="22" t="s">
        <v>13708</v>
      </c>
      <c r="K2784" s="22"/>
      <c r="L2784" s="36">
        <v>830.0</v>
      </c>
      <c r="M2784" s="36">
        <v>50.0</v>
      </c>
      <c r="N2784" s="36" t="s">
        <v>58</v>
      </c>
      <c r="O2784" s="36" t="s">
        <v>13709</v>
      </c>
      <c r="P2784" s="37" t="s">
        <v>58</v>
      </c>
      <c r="Q2784" s="36" t="s">
        <v>13710</v>
      </c>
      <c r="R2784" s="36">
        <v>180.0</v>
      </c>
      <c r="S2784" s="36" t="s">
        <v>10290</v>
      </c>
      <c r="T2784" s="54" t="s">
        <v>13711</v>
      </c>
      <c r="U2784" s="38" t="str">
        <f>HYPERLINK("https://www.ncbi.nlm.nih.gov/pubmed/11434469","PubMed")</f>
        <v>PubMed</v>
      </c>
      <c r="V2784" s="50"/>
      <c r="W2784" s="49"/>
      <c r="X2784" s="49"/>
      <c r="Y2784" s="35"/>
      <c r="Z2784" s="35"/>
      <c r="AA2784" s="35"/>
      <c r="AB2784" s="35"/>
      <c r="AC2784" s="35"/>
      <c r="AD2784" s="35"/>
      <c r="AE2784" s="35"/>
      <c r="AF2784" s="35"/>
      <c r="AG2784" s="35"/>
      <c r="AH2784" s="35"/>
      <c r="AI2784" s="35"/>
      <c r="AJ2784" s="35"/>
      <c r="AK2784" s="35"/>
      <c r="AL2784" s="35"/>
    </row>
    <row r="2785">
      <c r="A2785" s="191"/>
      <c r="B2785" s="19" t="s">
        <v>12857</v>
      </c>
      <c r="C2785" s="20" t="s">
        <v>13701</v>
      </c>
      <c r="D2785" s="47"/>
      <c r="E2785" s="22" t="s">
        <v>13712</v>
      </c>
      <c r="F2785" s="22" t="s">
        <v>540</v>
      </c>
      <c r="G2785" s="23">
        <v>2000.0</v>
      </c>
      <c r="H2785" s="22" t="s">
        <v>13713</v>
      </c>
      <c r="I2785" s="24" t="s">
        <v>13714</v>
      </c>
      <c r="J2785" s="22" t="s">
        <v>13715</v>
      </c>
      <c r="K2785" s="22" t="s">
        <v>13716</v>
      </c>
      <c r="L2785" s="36"/>
      <c r="M2785" s="129"/>
      <c r="N2785" s="36"/>
      <c r="O2785" s="36"/>
      <c r="P2785" s="37"/>
      <c r="Q2785" s="36"/>
      <c r="R2785" s="36"/>
      <c r="S2785" s="36"/>
      <c r="T2785" s="54" t="s">
        <v>13717</v>
      </c>
      <c r="U2785" s="38" t="str">
        <f>HYPERLINK("https://www.ncbi.nlm.nih.gov/pubmed/11146897","PubMed")</f>
        <v>PubMed</v>
      </c>
      <c r="V2785" s="50"/>
      <c r="W2785" s="49"/>
      <c r="X2785" s="49"/>
      <c r="Y2785" s="35"/>
      <c r="Z2785" s="35"/>
      <c r="AA2785" s="35"/>
      <c r="AB2785" s="35"/>
      <c r="AC2785" s="35"/>
      <c r="AD2785" s="35"/>
      <c r="AE2785" s="35"/>
      <c r="AF2785" s="35"/>
      <c r="AG2785" s="35"/>
      <c r="AH2785" s="35"/>
      <c r="AI2785" s="35"/>
      <c r="AJ2785" s="35"/>
      <c r="AK2785" s="35"/>
      <c r="AL2785" s="35"/>
    </row>
    <row r="2786">
      <c r="A2786" s="191"/>
      <c r="B2786" s="19" t="s">
        <v>12857</v>
      </c>
      <c r="C2786" s="20" t="s">
        <v>13142</v>
      </c>
      <c r="D2786" s="47"/>
      <c r="E2786" s="22" t="s">
        <v>13718</v>
      </c>
      <c r="F2786" s="22" t="s">
        <v>2445</v>
      </c>
      <c r="G2786" s="23">
        <v>1999.0</v>
      </c>
      <c r="H2786" s="22" t="s">
        <v>13426</v>
      </c>
      <c r="I2786" s="24" t="s">
        <v>13719</v>
      </c>
      <c r="J2786" s="22" t="s">
        <v>2036</v>
      </c>
      <c r="K2786" s="22"/>
      <c r="L2786" s="102" t="s">
        <v>13720</v>
      </c>
      <c r="U2786" s="38" t="str">
        <f>HYPERLINK("https://www.ncbi.nlm.nih.gov/pubmed/10444763","PubMed")</f>
        <v>PubMed</v>
      </c>
      <c r="V2786" s="50"/>
      <c r="W2786" s="49"/>
      <c r="X2786" s="49"/>
      <c r="Y2786" s="35"/>
      <c r="Z2786" s="35"/>
      <c r="AA2786" s="35"/>
      <c r="AB2786" s="35"/>
      <c r="AC2786" s="35"/>
      <c r="AD2786" s="35"/>
      <c r="AE2786" s="35"/>
      <c r="AF2786" s="35"/>
      <c r="AG2786" s="35"/>
      <c r="AH2786" s="35"/>
      <c r="AI2786" s="35"/>
      <c r="AJ2786" s="35"/>
      <c r="AK2786" s="35"/>
      <c r="AL2786" s="35"/>
    </row>
    <row r="2787">
      <c r="A2787" s="191"/>
      <c r="B2787" s="19" t="s">
        <v>12857</v>
      </c>
      <c r="C2787" s="20" t="s">
        <v>13336</v>
      </c>
      <c r="D2787" s="47"/>
      <c r="E2787" s="22" t="s">
        <v>13721</v>
      </c>
      <c r="F2787" s="22" t="s">
        <v>7531</v>
      </c>
      <c r="G2787" s="23">
        <v>1994.0</v>
      </c>
      <c r="H2787" s="22" t="s">
        <v>13722</v>
      </c>
      <c r="I2787" s="24" t="s">
        <v>13723</v>
      </c>
      <c r="J2787" s="22" t="s">
        <v>13724</v>
      </c>
      <c r="K2787" s="22"/>
      <c r="L2787" s="36">
        <v>830.0</v>
      </c>
      <c r="M2787" s="36">
        <v>25.0</v>
      </c>
      <c r="N2787" s="36" t="s">
        <v>58</v>
      </c>
      <c r="O2787" s="129">
        <v>43242.0</v>
      </c>
      <c r="P2787" s="37" t="s">
        <v>58</v>
      </c>
      <c r="Q2787" s="36" t="s">
        <v>13725</v>
      </c>
      <c r="R2787" s="36">
        <v>900.0</v>
      </c>
      <c r="S2787" s="36" t="s">
        <v>8476</v>
      </c>
      <c r="T2787" s="102" t="s">
        <v>13726</v>
      </c>
      <c r="U2787" s="38" t="str">
        <f>HYPERLINK("https://www.ncbi.nlm.nih.gov/pubmed/7801065","PubMed")</f>
        <v>PubMed</v>
      </c>
      <c r="V2787" s="50"/>
      <c r="W2787" s="49"/>
      <c r="X2787" s="49"/>
      <c r="Y2787" s="35"/>
      <c r="Z2787" s="35"/>
      <c r="AA2787" s="35"/>
      <c r="AB2787" s="35"/>
      <c r="AC2787" s="35"/>
      <c r="AD2787" s="35"/>
      <c r="AE2787" s="35"/>
      <c r="AF2787" s="35"/>
      <c r="AG2787" s="35"/>
      <c r="AH2787" s="35"/>
      <c r="AI2787" s="35"/>
      <c r="AJ2787" s="35"/>
      <c r="AK2787" s="35"/>
      <c r="AL2787" s="35"/>
    </row>
    <row r="2788">
      <c r="A2788" s="191"/>
      <c r="B2788" s="19" t="s">
        <v>12857</v>
      </c>
      <c r="C2788" s="20" t="s">
        <v>13336</v>
      </c>
      <c r="D2788" s="47"/>
      <c r="E2788" s="22" t="s">
        <v>13727</v>
      </c>
      <c r="F2788" s="22" t="s">
        <v>13728</v>
      </c>
      <c r="G2788" s="23">
        <v>1992.0</v>
      </c>
      <c r="H2788" s="22" t="s">
        <v>13729</v>
      </c>
      <c r="I2788" s="24" t="s">
        <v>13730</v>
      </c>
      <c r="J2788" s="22" t="s">
        <v>13731</v>
      </c>
      <c r="K2788" s="22" t="s">
        <v>13732</v>
      </c>
      <c r="L2788" s="36" t="s">
        <v>6537</v>
      </c>
      <c r="M2788" s="36" t="s">
        <v>13733</v>
      </c>
      <c r="N2788" s="36"/>
      <c r="O2788" s="36" t="s">
        <v>13734</v>
      </c>
      <c r="P2788" s="37" t="s">
        <v>13735</v>
      </c>
      <c r="Q2788" s="36" t="s">
        <v>13736</v>
      </c>
      <c r="R2788" s="36">
        <v>900.0</v>
      </c>
      <c r="S2788" s="36" t="s">
        <v>13737</v>
      </c>
      <c r="T2788" s="54" t="s">
        <v>13738</v>
      </c>
      <c r="U2788" s="38" t="str">
        <f>HYPERLINK("https://www.ncbi.nlm.nih.gov/pubmed/1727843","PubMed")</f>
        <v>PubMed</v>
      </c>
      <c r="V2788" s="224"/>
      <c r="W2788" s="49"/>
      <c r="X2788" s="49"/>
      <c r="Y2788" s="35"/>
      <c r="Z2788" s="35"/>
      <c r="AA2788" s="35"/>
      <c r="AB2788" s="35"/>
      <c r="AC2788" s="35"/>
      <c r="AD2788" s="35"/>
      <c r="AE2788" s="35"/>
      <c r="AF2788" s="35"/>
      <c r="AG2788" s="35"/>
      <c r="AH2788" s="35"/>
      <c r="AI2788" s="35"/>
      <c r="AJ2788" s="35"/>
      <c r="AK2788" s="35"/>
      <c r="AL2788" s="35"/>
    </row>
    <row r="2789">
      <c r="A2789" s="191" t="s">
        <v>181</v>
      </c>
      <c r="B2789" s="19" t="s">
        <v>12857</v>
      </c>
      <c r="C2789" s="20" t="s">
        <v>13336</v>
      </c>
      <c r="D2789" s="47"/>
      <c r="E2789" s="22" t="s">
        <v>8831</v>
      </c>
      <c r="F2789" s="22" t="s">
        <v>1398</v>
      </c>
      <c r="G2789" s="23">
        <v>1991.0</v>
      </c>
      <c r="H2789" s="22" t="s">
        <v>292</v>
      </c>
      <c r="I2789" s="24" t="s">
        <v>13739</v>
      </c>
      <c r="J2789" s="22" t="s">
        <v>13740</v>
      </c>
      <c r="K2789" s="22"/>
      <c r="L2789" s="36">
        <v>830.0</v>
      </c>
      <c r="M2789" s="36">
        <v>60.0</v>
      </c>
      <c r="N2789" s="36" t="s">
        <v>13741</v>
      </c>
      <c r="O2789" s="36" t="s">
        <v>58</v>
      </c>
      <c r="P2789" s="37" t="s">
        <v>2886</v>
      </c>
      <c r="Q2789" s="36" t="s">
        <v>13742</v>
      </c>
      <c r="R2789" s="36" t="s">
        <v>2804</v>
      </c>
      <c r="S2789" s="36" t="s">
        <v>13743</v>
      </c>
      <c r="T2789" s="54" t="s">
        <v>13744</v>
      </c>
      <c r="U2789" s="38" t="str">
        <f>HYPERLINK("https://www.jstage.jst.go.jp/article/islsm/3/4/3_91-OR-20/_article/-char/en","J-STAGE")</f>
        <v>J-STAGE</v>
      </c>
      <c r="V2789" s="50"/>
      <c r="W2789" s="49"/>
      <c r="X2789" s="49"/>
      <c r="Y2789" s="35"/>
      <c r="Z2789" s="35"/>
      <c r="AA2789" s="35"/>
      <c r="AB2789" s="35"/>
      <c r="AC2789" s="35"/>
      <c r="AD2789" s="35"/>
      <c r="AE2789" s="35"/>
      <c r="AF2789" s="35"/>
      <c r="AG2789" s="35"/>
      <c r="AH2789" s="35"/>
      <c r="AI2789" s="35"/>
      <c r="AJ2789" s="35"/>
      <c r="AK2789" s="35"/>
      <c r="AL2789" s="35"/>
    </row>
    <row r="2790">
      <c r="A2790" s="191"/>
      <c r="B2790" s="19" t="s">
        <v>12857</v>
      </c>
      <c r="C2790" s="20" t="s">
        <v>13481</v>
      </c>
      <c r="D2790" s="47"/>
      <c r="E2790" s="22" t="s">
        <v>13745</v>
      </c>
      <c r="F2790" s="22" t="s">
        <v>5649</v>
      </c>
      <c r="G2790" s="23">
        <v>1987.0</v>
      </c>
      <c r="H2790" s="22" t="s">
        <v>4783</v>
      </c>
      <c r="I2790" s="24" t="s">
        <v>13746</v>
      </c>
      <c r="J2790" s="22" t="s">
        <v>13747</v>
      </c>
      <c r="K2790" s="22"/>
      <c r="L2790" s="36">
        <v>633.0</v>
      </c>
      <c r="M2790" s="36" t="s">
        <v>1704</v>
      </c>
      <c r="N2790" s="36" t="s">
        <v>1773</v>
      </c>
      <c r="O2790" s="36" t="s">
        <v>1773</v>
      </c>
      <c r="P2790" s="36" t="s">
        <v>1773</v>
      </c>
      <c r="Q2790" s="36" t="s">
        <v>1773</v>
      </c>
      <c r="R2790" s="36" t="s">
        <v>13748</v>
      </c>
      <c r="S2790" s="36" t="s">
        <v>8476</v>
      </c>
      <c r="T2790" s="103" t="s">
        <v>13749</v>
      </c>
      <c r="U2790" s="38" t="str">
        <f>HYPERLINK("https://www.ncbi.nlm.nih.gov/pubmed/3314790","PubMed")</f>
        <v>PubMed</v>
      </c>
      <c r="V2790" s="50"/>
      <c r="W2790" s="49"/>
      <c r="X2790" s="49"/>
      <c r="Y2790" s="35"/>
      <c r="Z2790" s="35"/>
      <c r="AA2790" s="35"/>
      <c r="AB2790" s="35"/>
      <c r="AC2790" s="35"/>
      <c r="AD2790" s="35"/>
      <c r="AE2790" s="35"/>
      <c r="AF2790" s="35"/>
      <c r="AG2790" s="35"/>
      <c r="AH2790" s="35"/>
      <c r="AI2790" s="35"/>
      <c r="AJ2790" s="35"/>
      <c r="AK2790" s="35"/>
      <c r="AL2790" s="35"/>
    </row>
    <row r="2791">
      <c r="A2791" s="39"/>
      <c r="B2791" s="75" t="s">
        <v>12857</v>
      </c>
      <c r="C2791" s="76" t="s">
        <v>13397</v>
      </c>
      <c r="D2791" s="47"/>
      <c r="E2791" s="22" t="s">
        <v>13750</v>
      </c>
      <c r="F2791" s="22" t="s">
        <v>13751</v>
      </c>
      <c r="G2791" s="23">
        <v>2021.0</v>
      </c>
      <c r="H2791" s="22" t="s">
        <v>13752</v>
      </c>
      <c r="I2791" s="24" t="s">
        <v>13753</v>
      </c>
      <c r="J2791" s="22" t="s">
        <v>13754</v>
      </c>
      <c r="K2791" s="22" t="s">
        <v>13755</v>
      </c>
      <c r="L2791" s="94">
        <v>810.0</v>
      </c>
      <c r="M2791" s="94">
        <v>1500.0</v>
      </c>
      <c r="N2791" s="94" t="s">
        <v>58</v>
      </c>
      <c r="O2791" s="94" t="s">
        <v>58</v>
      </c>
      <c r="P2791" s="95" t="s">
        <v>58</v>
      </c>
      <c r="Q2791" s="94" t="s">
        <v>13756</v>
      </c>
      <c r="R2791" s="94" t="s">
        <v>13757</v>
      </c>
      <c r="S2791" s="94" t="s">
        <v>909</v>
      </c>
      <c r="T2791" s="42" t="s">
        <v>13758</v>
      </c>
      <c r="U2791" s="29" t="s">
        <v>61</v>
      </c>
      <c r="V2791" s="30"/>
      <c r="W2791" s="49"/>
      <c r="X2791" s="49"/>
      <c r="Y2791" s="35"/>
      <c r="Z2791" s="35"/>
      <c r="AA2791" s="35"/>
      <c r="AB2791" s="35"/>
      <c r="AC2791" s="35"/>
      <c r="AD2791" s="35"/>
      <c r="AE2791" s="35"/>
      <c r="AF2791" s="35"/>
      <c r="AG2791" s="35"/>
      <c r="AH2791" s="35"/>
      <c r="AI2791" s="35"/>
      <c r="AJ2791" s="35"/>
      <c r="AK2791" s="35"/>
      <c r="AL2791" s="35"/>
    </row>
    <row r="2792">
      <c r="A2792" s="191"/>
      <c r="B2792" s="19" t="s">
        <v>12857</v>
      </c>
      <c r="C2792" s="20" t="s">
        <v>13759</v>
      </c>
      <c r="D2792" s="47"/>
      <c r="E2792" s="22" t="s">
        <v>13090</v>
      </c>
      <c r="F2792" s="22" t="s">
        <v>13091</v>
      </c>
      <c r="G2792" s="23">
        <v>1995.0</v>
      </c>
      <c r="H2792" s="22" t="s">
        <v>292</v>
      </c>
      <c r="I2792" s="24" t="s">
        <v>13760</v>
      </c>
      <c r="J2792" s="22" t="s">
        <v>13761</v>
      </c>
      <c r="K2792" s="22"/>
      <c r="L2792" s="36">
        <v>904.0</v>
      </c>
      <c r="M2792" s="36">
        <v>40.0</v>
      </c>
      <c r="N2792" s="36" t="s">
        <v>58</v>
      </c>
      <c r="O2792" s="36" t="s">
        <v>58</v>
      </c>
      <c r="P2792" s="37" t="s">
        <v>13762</v>
      </c>
      <c r="Q2792" s="36" t="s">
        <v>58</v>
      </c>
      <c r="R2792" s="36" t="s">
        <v>58</v>
      </c>
      <c r="S2792" s="36" t="s">
        <v>1514</v>
      </c>
      <c r="T2792" s="54" t="s">
        <v>13763</v>
      </c>
      <c r="U2792" s="38" t="str">
        <f>HYPERLINK("https://www.jstage.jst.go.jp/article/islsm/7/2/7_95-OR-11/_article","J-STAGE")</f>
        <v>J-STAGE</v>
      </c>
      <c r="V2792" s="50"/>
      <c r="W2792" s="49"/>
      <c r="X2792" s="49"/>
      <c r="Y2792" s="35"/>
      <c r="Z2792" s="35"/>
      <c r="AA2792" s="35"/>
      <c r="AB2792" s="35"/>
      <c r="AC2792" s="35"/>
      <c r="AD2792" s="35"/>
      <c r="AE2792" s="35"/>
      <c r="AF2792" s="35"/>
      <c r="AG2792" s="35"/>
      <c r="AH2792" s="35"/>
      <c r="AI2792" s="35"/>
      <c r="AJ2792" s="35"/>
      <c r="AK2792" s="35"/>
      <c r="AL2792" s="35"/>
    </row>
    <row r="2793">
      <c r="A2793" s="1"/>
      <c r="B2793" s="19" t="s">
        <v>12857</v>
      </c>
      <c r="C2793" s="20" t="s">
        <v>2036</v>
      </c>
      <c r="D2793" s="47"/>
      <c r="E2793" s="22" t="s">
        <v>13106</v>
      </c>
      <c r="F2793" s="22" t="s">
        <v>12890</v>
      </c>
      <c r="G2793" s="23">
        <v>2021.0</v>
      </c>
      <c r="H2793" s="22" t="s">
        <v>91</v>
      </c>
      <c r="I2793" s="24" t="s">
        <v>13764</v>
      </c>
      <c r="J2793" s="22" t="s">
        <v>125</v>
      </c>
      <c r="K2793" s="22"/>
      <c r="L2793" s="195" t="s">
        <v>13765</v>
      </c>
      <c r="M2793" s="44"/>
      <c r="N2793" s="44"/>
      <c r="O2793" s="44"/>
      <c r="P2793" s="44"/>
      <c r="Q2793" s="44"/>
      <c r="R2793" s="44"/>
      <c r="S2793" s="44"/>
      <c r="T2793" s="45"/>
      <c r="U2793" s="29" t="s">
        <v>61</v>
      </c>
      <c r="V2793" s="30"/>
      <c r="W2793" s="49"/>
      <c r="X2793" s="49"/>
      <c r="Y2793" s="35"/>
      <c r="Z2793" s="35"/>
      <c r="AA2793" s="35"/>
      <c r="AB2793" s="35"/>
      <c r="AC2793" s="35"/>
      <c r="AD2793" s="35"/>
      <c r="AE2793" s="35"/>
      <c r="AF2793" s="35"/>
      <c r="AG2793" s="35"/>
      <c r="AH2793" s="35"/>
      <c r="AI2793" s="35"/>
      <c r="AJ2793" s="35"/>
      <c r="AK2793" s="35"/>
      <c r="AL2793" s="35"/>
    </row>
    <row r="2794">
      <c r="A2794" s="1"/>
      <c r="B2794" s="19" t="s">
        <v>12857</v>
      </c>
      <c r="C2794" s="20" t="s">
        <v>2036</v>
      </c>
      <c r="D2794" s="47"/>
      <c r="E2794" s="22" t="s">
        <v>13766</v>
      </c>
      <c r="F2794" s="22" t="s">
        <v>2535</v>
      </c>
      <c r="G2794" s="23">
        <v>2019.0</v>
      </c>
      <c r="H2794" s="22" t="s">
        <v>77</v>
      </c>
      <c r="I2794" s="24" t="s">
        <v>13767</v>
      </c>
      <c r="J2794" s="22" t="s">
        <v>125</v>
      </c>
      <c r="K2794" s="22"/>
      <c r="L2794" s="43" t="s">
        <v>13768</v>
      </c>
      <c r="M2794" s="44"/>
      <c r="N2794" s="44"/>
      <c r="O2794" s="44"/>
      <c r="P2794" s="44"/>
      <c r="Q2794" s="44"/>
      <c r="R2794" s="44"/>
      <c r="S2794" s="44"/>
      <c r="T2794" s="45"/>
      <c r="U2794" s="38" t="str">
        <f>HYPERLINK("https://www.ncbi.nlm.nih.gov/pubmed/31265376","PubMed")</f>
        <v>PubMed</v>
      </c>
      <c r="V2794" s="30"/>
      <c r="W2794" s="49"/>
      <c r="X2794" s="49"/>
      <c r="Y2794" s="35"/>
      <c r="Z2794" s="35"/>
      <c r="AA2794" s="35"/>
      <c r="AB2794" s="35"/>
      <c r="AC2794" s="35"/>
      <c r="AD2794" s="35"/>
      <c r="AE2794" s="35"/>
      <c r="AF2794" s="35"/>
      <c r="AG2794" s="35"/>
      <c r="AH2794" s="35"/>
      <c r="AI2794" s="35"/>
      <c r="AJ2794" s="35"/>
      <c r="AK2794" s="35"/>
      <c r="AL2794" s="35"/>
    </row>
    <row r="2795">
      <c r="A2795" s="1"/>
      <c r="B2795" s="19" t="s">
        <v>12857</v>
      </c>
      <c r="C2795" s="20" t="s">
        <v>13769</v>
      </c>
      <c r="D2795" s="47"/>
      <c r="E2795" s="22" t="s">
        <v>13770</v>
      </c>
      <c r="F2795" s="22" t="s">
        <v>5416</v>
      </c>
      <c r="G2795" s="23">
        <v>2023.0</v>
      </c>
      <c r="H2795" s="22" t="s">
        <v>207</v>
      </c>
      <c r="I2795" s="24" t="s">
        <v>13771</v>
      </c>
      <c r="J2795" s="22" t="s">
        <v>209</v>
      </c>
      <c r="K2795" s="22" t="s">
        <v>157</v>
      </c>
      <c r="L2795" s="36">
        <v>630.0</v>
      </c>
      <c r="M2795" s="36"/>
      <c r="N2795" s="36"/>
      <c r="O2795" s="36"/>
      <c r="P2795" s="37"/>
      <c r="Q2795" s="36"/>
      <c r="R2795" s="36"/>
      <c r="S2795" s="36"/>
      <c r="T2795" s="28" t="s">
        <v>13772</v>
      </c>
      <c r="U2795" s="38" t="s">
        <v>61</v>
      </c>
      <c r="V2795" s="30"/>
      <c r="W2795" s="49"/>
      <c r="X2795" s="49"/>
      <c r="Y2795" s="35"/>
      <c r="Z2795" s="35"/>
      <c r="AA2795" s="35"/>
      <c r="AB2795" s="35"/>
      <c r="AC2795" s="35"/>
      <c r="AD2795" s="35"/>
      <c r="AE2795" s="35"/>
      <c r="AF2795" s="35"/>
      <c r="AG2795" s="35"/>
      <c r="AH2795" s="35"/>
      <c r="AI2795" s="35"/>
      <c r="AJ2795" s="35"/>
      <c r="AK2795" s="35"/>
      <c r="AL2795" s="35"/>
    </row>
    <row r="2796">
      <c r="A2796" s="1"/>
      <c r="B2796" s="19" t="s">
        <v>12857</v>
      </c>
      <c r="C2796" s="20" t="s">
        <v>13769</v>
      </c>
      <c r="D2796" s="47"/>
      <c r="E2796" s="22" t="s">
        <v>3617</v>
      </c>
      <c r="F2796" s="22" t="s">
        <v>5416</v>
      </c>
      <c r="G2796" s="23">
        <v>2023.0</v>
      </c>
      <c r="H2796" s="22" t="s">
        <v>3950</v>
      </c>
      <c r="I2796" s="24" t="s">
        <v>13773</v>
      </c>
      <c r="J2796" s="22" t="s">
        <v>209</v>
      </c>
      <c r="K2796" s="22" t="s">
        <v>157</v>
      </c>
      <c r="L2796" s="36">
        <v>630.0</v>
      </c>
      <c r="M2796" s="36"/>
      <c r="N2796" s="36"/>
      <c r="O2796" s="36"/>
      <c r="P2796" s="37"/>
      <c r="Q2796" s="36"/>
      <c r="R2796" s="36"/>
      <c r="S2796" s="36"/>
      <c r="T2796" s="28" t="s">
        <v>13774</v>
      </c>
      <c r="U2796" s="38" t="s">
        <v>61</v>
      </c>
      <c r="V2796" s="30"/>
      <c r="W2796" s="49"/>
      <c r="X2796" s="49"/>
      <c r="Y2796" s="35"/>
      <c r="Z2796" s="35"/>
      <c r="AA2796" s="35"/>
      <c r="AB2796" s="35"/>
      <c r="AC2796" s="35"/>
      <c r="AD2796" s="35"/>
      <c r="AE2796" s="35"/>
      <c r="AF2796" s="35"/>
      <c r="AG2796" s="35"/>
      <c r="AH2796" s="35"/>
      <c r="AI2796" s="35"/>
      <c r="AJ2796" s="35"/>
      <c r="AK2796" s="35"/>
      <c r="AL2796" s="35"/>
    </row>
    <row r="2797">
      <c r="A2797" s="1"/>
      <c r="B2797" s="19" t="s">
        <v>12857</v>
      </c>
      <c r="C2797" s="20" t="s">
        <v>13769</v>
      </c>
      <c r="D2797" s="47"/>
      <c r="E2797" s="22" t="s">
        <v>13775</v>
      </c>
      <c r="F2797" s="22" t="s">
        <v>13776</v>
      </c>
      <c r="G2797" s="23">
        <v>2023.0</v>
      </c>
      <c r="H2797" s="22" t="s">
        <v>627</v>
      </c>
      <c r="I2797" s="24" t="s">
        <v>13777</v>
      </c>
      <c r="J2797" s="22" t="s">
        <v>1078</v>
      </c>
      <c r="K2797" s="22"/>
      <c r="L2797" s="241" t="s">
        <v>13778</v>
      </c>
      <c r="M2797" s="44"/>
      <c r="N2797" s="44"/>
      <c r="O2797" s="44"/>
      <c r="P2797" s="44"/>
      <c r="Q2797" s="44"/>
      <c r="R2797" s="44"/>
      <c r="S2797" s="44"/>
      <c r="T2797" s="45"/>
      <c r="U2797" s="38" t="s">
        <v>61</v>
      </c>
      <c r="V2797" s="30"/>
      <c r="W2797" s="49"/>
      <c r="X2797" s="49"/>
      <c r="Y2797" s="35"/>
      <c r="Z2797" s="35"/>
      <c r="AA2797" s="35"/>
      <c r="AB2797" s="35"/>
      <c r="AC2797" s="35"/>
      <c r="AD2797" s="35"/>
      <c r="AE2797" s="35"/>
      <c r="AF2797" s="35"/>
      <c r="AG2797" s="35"/>
      <c r="AH2797" s="35"/>
      <c r="AI2797" s="35"/>
      <c r="AJ2797" s="35"/>
      <c r="AK2797" s="35"/>
      <c r="AL2797" s="35"/>
    </row>
    <row r="2798">
      <c r="A2798" s="1"/>
      <c r="B2798" s="19" t="s">
        <v>12857</v>
      </c>
      <c r="C2798" s="20" t="s">
        <v>13769</v>
      </c>
      <c r="D2798" s="47"/>
      <c r="E2798" s="22" t="s">
        <v>5150</v>
      </c>
      <c r="F2798" s="22" t="s">
        <v>1649</v>
      </c>
      <c r="G2798" s="23">
        <v>2023.0</v>
      </c>
      <c r="H2798" s="22" t="s">
        <v>12052</v>
      </c>
      <c r="I2798" s="24" t="s">
        <v>13779</v>
      </c>
      <c r="J2798" s="22" t="s">
        <v>44</v>
      </c>
      <c r="K2798" s="22" t="s">
        <v>13780</v>
      </c>
      <c r="L2798" s="36">
        <v>610.0</v>
      </c>
      <c r="M2798" s="36"/>
      <c r="N2798" s="36" t="s">
        <v>5323</v>
      </c>
      <c r="O2798" s="36"/>
      <c r="P2798" s="37"/>
      <c r="Q2798" s="36"/>
      <c r="R2798" s="36">
        <v>2400.0</v>
      </c>
      <c r="S2798" s="36" t="s">
        <v>13781</v>
      </c>
      <c r="T2798" s="28" t="s">
        <v>13782</v>
      </c>
      <c r="U2798" s="38" t="s">
        <v>61</v>
      </c>
      <c r="V2798" s="30"/>
      <c r="W2798" s="49"/>
      <c r="X2798" s="49"/>
      <c r="Y2798" s="35"/>
      <c r="Z2798" s="35"/>
      <c r="AA2798" s="35"/>
      <c r="AB2798" s="35"/>
      <c r="AC2798" s="35"/>
      <c r="AD2798" s="35"/>
      <c r="AE2798" s="35"/>
      <c r="AF2798" s="35"/>
      <c r="AG2798" s="35"/>
      <c r="AH2798" s="35"/>
      <c r="AI2798" s="35"/>
      <c r="AJ2798" s="35"/>
      <c r="AK2798" s="35"/>
      <c r="AL2798" s="35"/>
    </row>
    <row r="2799">
      <c r="A2799" s="1"/>
      <c r="B2799" s="19" t="s">
        <v>12857</v>
      </c>
      <c r="C2799" s="20" t="s">
        <v>13769</v>
      </c>
      <c r="D2799" s="47"/>
      <c r="E2799" s="22" t="s">
        <v>3617</v>
      </c>
      <c r="F2799" s="22" t="s">
        <v>5416</v>
      </c>
      <c r="G2799" s="23">
        <v>2023.0</v>
      </c>
      <c r="H2799" s="22" t="s">
        <v>3950</v>
      </c>
      <c r="I2799" s="24" t="s">
        <v>13773</v>
      </c>
      <c r="J2799" s="22" t="s">
        <v>44</v>
      </c>
      <c r="K2799" s="22" t="s">
        <v>157</v>
      </c>
      <c r="L2799" s="36">
        <v>630.0</v>
      </c>
      <c r="M2799" s="36"/>
      <c r="N2799" s="36"/>
      <c r="O2799" s="36"/>
      <c r="P2799" s="37"/>
      <c r="Q2799" s="36"/>
      <c r="R2799" s="36"/>
      <c r="S2799" s="36"/>
      <c r="T2799" s="28" t="s">
        <v>13783</v>
      </c>
      <c r="U2799" s="38" t="s">
        <v>61</v>
      </c>
      <c r="V2799" s="30"/>
      <c r="W2799" s="49"/>
      <c r="X2799" s="49"/>
      <c r="Y2799" s="35"/>
      <c r="Z2799" s="35"/>
      <c r="AA2799" s="35"/>
      <c r="AB2799" s="35"/>
      <c r="AC2799" s="35"/>
      <c r="AD2799" s="35"/>
      <c r="AE2799" s="35"/>
      <c r="AF2799" s="35"/>
      <c r="AG2799" s="35"/>
      <c r="AH2799" s="35"/>
      <c r="AI2799" s="35"/>
      <c r="AJ2799" s="35"/>
      <c r="AK2799" s="35"/>
      <c r="AL2799" s="35"/>
    </row>
    <row r="2800" ht="21.0" customHeight="1">
      <c r="A2800" s="1"/>
      <c r="B2800" s="19" t="s">
        <v>12857</v>
      </c>
      <c r="C2800" s="20" t="s">
        <v>13769</v>
      </c>
      <c r="D2800" s="47"/>
      <c r="E2800" s="22" t="s">
        <v>3815</v>
      </c>
      <c r="F2800" s="22" t="s">
        <v>323</v>
      </c>
      <c r="G2800" s="23">
        <v>2022.0</v>
      </c>
      <c r="H2800" s="22" t="s">
        <v>147</v>
      </c>
      <c r="I2800" s="24" t="s">
        <v>13784</v>
      </c>
      <c r="J2800" s="22" t="s">
        <v>125</v>
      </c>
      <c r="K2800" s="22"/>
      <c r="L2800" s="105" t="s">
        <v>13785</v>
      </c>
      <c r="M2800" s="44"/>
      <c r="N2800" s="44"/>
      <c r="O2800" s="44"/>
      <c r="P2800" s="44"/>
      <c r="Q2800" s="44"/>
      <c r="R2800" s="44"/>
      <c r="S2800" s="44"/>
      <c r="T2800" s="45"/>
      <c r="U2800" s="38" t="s">
        <v>61</v>
      </c>
      <c r="V2800" s="30"/>
      <c r="W2800" s="49"/>
      <c r="X2800" s="49"/>
      <c r="Y2800" s="35"/>
      <c r="Z2800" s="35"/>
      <c r="AA2800" s="35"/>
      <c r="AB2800" s="35"/>
      <c r="AC2800" s="35"/>
      <c r="AD2800" s="35"/>
      <c r="AE2800" s="35"/>
      <c r="AF2800" s="35"/>
      <c r="AG2800" s="35"/>
      <c r="AH2800" s="35"/>
      <c r="AI2800" s="35"/>
      <c r="AJ2800" s="35"/>
      <c r="AK2800" s="35"/>
      <c r="AL2800" s="35"/>
    </row>
    <row r="2801">
      <c r="A2801" s="1"/>
      <c r="B2801" s="19" t="s">
        <v>12857</v>
      </c>
      <c r="C2801" s="20" t="s">
        <v>13769</v>
      </c>
      <c r="D2801" s="47"/>
      <c r="E2801" s="22" t="s">
        <v>12889</v>
      </c>
      <c r="F2801" s="22" t="s">
        <v>12890</v>
      </c>
      <c r="G2801" s="23">
        <v>2022.0</v>
      </c>
      <c r="H2801" s="22" t="s">
        <v>13786</v>
      </c>
      <c r="I2801" s="24" t="s">
        <v>13787</v>
      </c>
      <c r="J2801" s="22" t="s">
        <v>55</v>
      </c>
      <c r="K2801" s="22" t="s">
        <v>3259</v>
      </c>
      <c r="L2801" s="36"/>
      <c r="M2801" s="36"/>
      <c r="N2801" s="36"/>
      <c r="O2801" s="36"/>
      <c r="P2801" s="37"/>
      <c r="Q2801" s="36"/>
      <c r="R2801" s="36"/>
      <c r="S2801" s="36"/>
      <c r="T2801" s="28" t="s">
        <v>13788</v>
      </c>
      <c r="U2801" s="38" t="s">
        <v>61</v>
      </c>
      <c r="V2801" s="30"/>
      <c r="W2801" s="49"/>
      <c r="X2801" s="49"/>
      <c r="Y2801" s="35"/>
      <c r="Z2801" s="35"/>
      <c r="AA2801" s="35"/>
      <c r="AB2801" s="35"/>
      <c r="AC2801" s="35"/>
      <c r="AD2801" s="35"/>
      <c r="AE2801" s="35"/>
      <c r="AF2801" s="35"/>
      <c r="AG2801" s="35"/>
      <c r="AH2801" s="35"/>
      <c r="AI2801" s="35"/>
      <c r="AJ2801" s="35"/>
      <c r="AK2801" s="35"/>
      <c r="AL2801" s="35"/>
    </row>
    <row r="2802">
      <c r="A2802" s="1"/>
      <c r="B2802" s="19" t="s">
        <v>12857</v>
      </c>
      <c r="C2802" s="20" t="s">
        <v>13769</v>
      </c>
      <c r="D2802" s="47"/>
      <c r="E2802" s="22" t="s">
        <v>3831</v>
      </c>
      <c r="F2802" s="22" t="s">
        <v>966</v>
      </c>
      <c r="G2802" s="23">
        <v>2021.0</v>
      </c>
      <c r="H2802" s="22" t="s">
        <v>147</v>
      </c>
      <c r="I2802" s="24" t="s">
        <v>13789</v>
      </c>
      <c r="J2802" s="22" t="s">
        <v>55</v>
      </c>
      <c r="K2802" s="22"/>
      <c r="L2802" s="36">
        <v>808.0</v>
      </c>
      <c r="M2802" s="36">
        <v>25.0</v>
      </c>
      <c r="N2802" s="36"/>
      <c r="O2802" s="36" t="s">
        <v>12879</v>
      </c>
      <c r="P2802" s="37" t="s">
        <v>480</v>
      </c>
      <c r="Q2802" s="36"/>
      <c r="R2802" s="36"/>
      <c r="S2802" s="36">
        <v>1.0</v>
      </c>
      <c r="T2802" s="28" t="s">
        <v>13790</v>
      </c>
      <c r="U2802" s="29" t="s">
        <v>61</v>
      </c>
      <c r="V2802" s="30"/>
      <c r="W2802" s="49"/>
      <c r="X2802" s="49"/>
      <c r="Y2802" s="35"/>
      <c r="Z2802" s="35"/>
      <c r="AA2802" s="35"/>
      <c r="AB2802" s="35"/>
      <c r="AC2802" s="35"/>
      <c r="AD2802" s="35"/>
      <c r="AE2802" s="35"/>
      <c r="AF2802" s="35"/>
      <c r="AG2802" s="35"/>
      <c r="AH2802" s="35"/>
      <c r="AI2802" s="35"/>
      <c r="AJ2802" s="35"/>
      <c r="AK2802" s="35"/>
      <c r="AL2802" s="35"/>
    </row>
    <row r="2803">
      <c r="A2803" s="1"/>
      <c r="B2803" s="19" t="s">
        <v>12857</v>
      </c>
      <c r="C2803" s="20" t="s">
        <v>13769</v>
      </c>
      <c r="D2803" s="47"/>
      <c r="E2803" s="22" t="s">
        <v>8908</v>
      </c>
      <c r="F2803" s="22" t="s">
        <v>12890</v>
      </c>
      <c r="G2803" s="23">
        <v>2019.0</v>
      </c>
      <c r="H2803" s="22" t="s">
        <v>91</v>
      </c>
      <c r="I2803" s="24" t="s">
        <v>13791</v>
      </c>
      <c r="J2803" s="22" t="s">
        <v>55</v>
      </c>
      <c r="K2803" s="22"/>
      <c r="L2803" s="36">
        <v>660.0</v>
      </c>
      <c r="M2803" s="36">
        <v>30.0</v>
      </c>
      <c r="N2803" s="36"/>
      <c r="O2803" s="36" t="s">
        <v>13792</v>
      </c>
      <c r="P2803" s="37" t="s">
        <v>432</v>
      </c>
      <c r="Q2803" s="36" t="s">
        <v>13793</v>
      </c>
      <c r="R2803" s="36" t="s">
        <v>831</v>
      </c>
      <c r="S2803" s="36"/>
      <c r="T2803" s="42" t="s">
        <v>13794</v>
      </c>
      <c r="U2803" s="38" t="str">
        <f>HYPERLINK("https://www.ncbi.nlm.nih.gov/pubmed/31729609","PubMed")</f>
        <v>PubMed</v>
      </c>
      <c r="V2803" s="30"/>
      <c r="W2803" s="49"/>
      <c r="X2803" s="49"/>
      <c r="Y2803" s="35"/>
      <c r="Z2803" s="35"/>
      <c r="AA2803" s="35"/>
      <c r="AB2803" s="35"/>
      <c r="AC2803" s="35"/>
      <c r="AD2803" s="35"/>
      <c r="AE2803" s="35"/>
      <c r="AF2803" s="35"/>
      <c r="AG2803" s="35"/>
      <c r="AH2803" s="35"/>
      <c r="AI2803" s="35"/>
      <c r="AJ2803" s="35"/>
      <c r="AK2803" s="35"/>
      <c r="AL2803" s="35"/>
    </row>
    <row r="2804">
      <c r="A2804" s="1"/>
      <c r="B2804" s="19" t="s">
        <v>12857</v>
      </c>
      <c r="C2804" s="20" t="s">
        <v>13769</v>
      </c>
      <c r="D2804" s="47"/>
      <c r="E2804" s="22" t="s">
        <v>13795</v>
      </c>
      <c r="F2804" s="22" t="s">
        <v>332</v>
      </c>
      <c r="G2804" s="23">
        <v>2018.0</v>
      </c>
      <c r="H2804" s="22" t="s">
        <v>658</v>
      </c>
      <c r="I2804" s="24" t="s">
        <v>13796</v>
      </c>
      <c r="J2804" s="22" t="s">
        <v>13797</v>
      </c>
      <c r="K2804" s="22" t="s">
        <v>12977</v>
      </c>
      <c r="L2804" s="36">
        <v>1064.0</v>
      </c>
      <c r="M2804" s="36">
        <v>10500.0</v>
      </c>
      <c r="N2804" s="36" t="s">
        <v>58</v>
      </c>
      <c r="O2804" s="36" t="s">
        <v>13798</v>
      </c>
      <c r="P2804" s="37" t="s">
        <v>95</v>
      </c>
      <c r="Q2804" s="36" t="s">
        <v>13799</v>
      </c>
      <c r="R2804" s="36" t="s">
        <v>13800</v>
      </c>
      <c r="S2804" s="36" t="s">
        <v>4905</v>
      </c>
      <c r="T2804" s="28" t="s">
        <v>13801</v>
      </c>
      <c r="U2804" s="38" t="str">
        <f>HYPERLINK("https://www.ncbi.nlm.nih.gov/pubmed/30016193","PubMed")</f>
        <v>PubMed</v>
      </c>
      <c r="V2804" s="30" t="s">
        <v>13802</v>
      </c>
      <c r="W2804" s="49"/>
      <c r="X2804" s="49"/>
      <c r="Y2804" s="35"/>
      <c r="Z2804" s="35"/>
      <c r="AA2804" s="35"/>
      <c r="AB2804" s="35"/>
      <c r="AC2804" s="35"/>
      <c r="AD2804" s="35"/>
      <c r="AE2804" s="35"/>
      <c r="AF2804" s="35"/>
      <c r="AG2804" s="35"/>
      <c r="AH2804" s="35"/>
      <c r="AI2804" s="35"/>
      <c r="AJ2804" s="35"/>
      <c r="AK2804" s="35"/>
      <c r="AL2804" s="35"/>
    </row>
    <row r="2805">
      <c r="A2805" s="1"/>
      <c r="B2805" s="19" t="s">
        <v>12857</v>
      </c>
      <c r="C2805" s="20" t="s">
        <v>13769</v>
      </c>
      <c r="D2805" s="47"/>
      <c r="E2805" s="22" t="s">
        <v>2850</v>
      </c>
      <c r="F2805" s="22" t="s">
        <v>41</v>
      </c>
      <c r="G2805" s="23">
        <v>2017.0</v>
      </c>
      <c r="H2805" s="22" t="s">
        <v>91</v>
      </c>
      <c r="I2805" s="24" t="s">
        <v>13803</v>
      </c>
      <c r="J2805" s="22" t="s">
        <v>55</v>
      </c>
      <c r="K2805" s="22" t="s">
        <v>13804</v>
      </c>
      <c r="L2805" s="36">
        <v>808.0</v>
      </c>
      <c r="M2805" s="36">
        <v>50.0</v>
      </c>
      <c r="N2805" s="36" t="s">
        <v>3824</v>
      </c>
      <c r="O2805" s="36" t="s">
        <v>13805</v>
      </c>
      <c r="P2805" s="37" t="s">
        <v>13612</v>
      </c>
      <c r="Q2805" s="36" t="s">
        <v>280</v>
      </c>
      <c r="R2805" s="36" t="s">
        <v>13806</v>
      </c>
      <c r="S2805" s="36">
        <v>15.0</v>
      </c>
      <c r="T2805" s="28" t="s">
        <v>13807</v>
      </c>
      <c r="U2805" s="38" t="str">
        <f>HYPERLINK("https://www.ncbi.nlm.nih.gov/pubmed/28429194","PubMed")</f>
        <v>PubMed</v>
      </c>
      <c r="V2805" s="50"/>
      <c r="W2805" s="49"/>
      <c r="X2805" s="49"/>
      <c r="Y2805" s="35"/>
      <c r="Z2805" s="35"/>
      <c r="AA2805" s="35"/>
      <c r="AB2805" s="35"/>
      <c r="AC2805" s="35"/>
      <c r="AD2805" s="35"/>
      <c r="AE2805" s="35"/>
      <c r="AF2805" s="35"/>
      <c r="AG2805" s="35"/>
      <c r="AH2805" s="35"/>
      <c r="AI2805" s="35"/>
      <c r="AJ2805" s="35"/>
      <c r="AK2805" s="35"/>
      <c r="AL2805" s="35"/>
    </row>
    <row r="2806">
      <c r="A2806" s="1"/>
      <c r="B2806" s="19" t="s">
        <v>12857</v>
      </c>
      <c r="C2806" s="20" t="s">
        <v>13769</v>
      </c>
      <c r="D2806" s="47"/>
      <c r="E2806" s="22" t="s">
        <v>13808</v>
      </c>
      <c r="F2806" s="22" t="s">
        <v>1416</v>
      </c>
      <c r="G2806" s="23">
        <v>2014.0</v>
      </c>
      <c r="H2806" s="22" t="s">
        <v>292</v>
      </c>
      <c r="I2806" s="24" t="s">
        <v>13809</v>
      </c>
      <c r="J2806" s="22" t="s">
        <v>31</v>
      </c>
      <c r="K2806" s="22"/>
      <c r="L2806" s="36"/>
      <c r="M2806" s="36"/>
      <c r="N2806" s="36"/>
      <c r="O2806" s="36"/>
      <c r="P2806" s="37"/>
      <c r="Q2806" s="36"/>
      <c r="R2806" s="36"/>
      <c r="S2806" s="36"/>
      <c r="T2806" s="28" t="s">
        <v>13810</v>
      </c>
      <c r="U2806" s="38" t="str">
        <f>HYPERLINK("https://www.ncbi.nlm.nih.gov/pubmed/25071309","PubMed")</f>
        <v>PubMed</v>
      </c>
      <c r="V2806" s="50"/>
      <c r="W2806" s="49"/>
      <c r="X2806" s="49"/>
      <c r="Y2806" s="35"/>
      <c r="Z2806" s="35"/>
      <c r="AA2806" s="35"/>
      <c r="AB2806" s="35"/>
      <c r="AC2806" s="35"/>
      <c r="AD2806" s="35"/>
      <c r="AE2806" s="35"/>
      <c r="AF2806" s="35"/>
      <c r="AG2806" s="35"/>
      <c r="AH2806" s="35"/>
      <c r="AI2806" s="35"/>
      <c r="AJ2806" s="35"/>
      <c r="AK2806" s="35"/>
      <c r="AL2806" s="35"/>
    </row>
    <row r="2807">
      <c r="A2807" s="18" t="s">
        <v>38</v>
      </c>
      <c r="B2807" s="19" t="s">
        <v>12857</v>
      </c>
      <c r="C2807" s="20" t="s">
        <v>13769</v>
      </c>
      <c r="D2807" s="47"/>
      <c r="E2807" s="22" t="s">
        <v>13811</v>
      </c>
      <c r="F2807" s="22" t="s">
        <v>1411</v>
      </c>
      <c r="G2807" s="23">
        <v>2014.0</v>
      </c>
      <c r="H2807" s="22" t="s">
        <v>292</v>
      </c>
      <c r="I2807" s="24" t="s">
        <v>13812</v>
      </c>
      <c r="J2807" s="22" t="s">
        <v>44</v>
      </c>
      <c r="K2807" s="22" t="s">
        <v>13813</v>
      </c>
      <c r="L2807" s="36" t="s">
        <v>13814</v>
      </c>
      <c r="M2807" s="36"/>
      <c r="N2807" s="36"/>
      <c r="O2807" s="36"/>
      <c r="P2807" s="37" t="s">
        <v>5278</v>
      </c>
      <c r="Q2807" s="36"/>
      <c r="R2807" s="36" t="s">
        <v>13815</v>
      </c>
      <c r="S2807" s="36" t="s">
        <v>13816</v>
      </c>
      <c r="T2807" s="28" t="s">
        <v>13817</v>
      </c>
      <c r="U2807" s="38" t="str">
        <f>HYPERLINK("https://www.ncbi.nlm.nih.gov/pubmed/25368445","PubMed")</f>
        <v>PubMed</v>
      </c>
      <c r="V2807" s="50"/>
      <c r="W2807" s="49"/>
      <c r="X2807" s="49"/>
      <c r="Y2807" s="35"/>
      <c r="Z2807" s="35"/>
      <c r="AA2807" s="35"/>
      <c r="AB2807" s="35"/>
      <c r="AC2807" s="35"/>
      <c r="AD2807" s="35"/>
      <c r="AE2807" s="35"/>
      <c r="AF2807" s="35"/>
      <c r="AG2807" s="35"/>
      <c r="AH2807" s="35"/>
      <c r="AI2807" s="35"/>
      <c r="AJ2807" s="35"/>
      <c r="AK2807" s="35"/>
      <c r="AL2807" s="35"/>
    </row>
    <row r="2808">
      <c r="A2808" s="1" t="s">
        <v>2</v>
      </c>
      <c r="B2808" s="19" t="s">
        <v>12857</v>
      </c>
      <c r="C2808" s="20" t="s">
        <v>13769</v>
      </c>
      <c r="D2808" s="47"/>
      <c r="E2808" s="22" t="s">
        <v>543</v>
      </c>
      <c r="F2808" s="22" t="s">
        <v>41</v>
      </c>
      <c r="G2808" s="23">
        <v>2013.0</v>
      </c>
      <c r="H2808" s="22" t="s">
        <v>91</v>
      </c>
      <c r="I2808" s="24" t="s">
        <v>13818</v>
      </c>
      <c r="J2808" s="22" t="s">
        <v>55</v>
      </c>
      <c r="K2808" s="22" t="s">
        <v>13804</v>
      </c>
      <c r="L2808" s="36">
        <v>780.0</v>
      </c>
      <c r="M2808" s="36">
        <v>22.0</v>
      </c>
      <c r="N2808" s="36" t="s">
        <v>13819</v>
      </c>
      <c r="O2808" s="36" t="s">
        <v>13820</v>
      </c>
      <c r="P2808" s="37" t="s">
        <v>2860</v>
      </c>
      <c r="Q2808" s="36" t="s">
        <v>13821</v>
      </c>
      <c r="R2808" s="36">
        <v>75.0</v>
      </c>
      <c r="S2808" s="36" t="s">
        <v>13822</v>
      </c>
      <c r="T2808" s="28" t="s">
        <v>13823</v>
      </c>
      <c r="U2808" s="38" t="str">
        <f>HYPERLINK("https://www.ncbi.nlm.nih.gov/pubmed/22538842","PubMed")</f>
        <v>PubMed</v>
      </c>
      <c r="V2808" s="50"/>
      <c r="W2808" s="49"/>
      <c r="X2808" s="49"/>
      <c r="Y2808" s="35"/>
      <c r="Z2808" s="35"/>
      <c r="AA2808" s="35"/>
      <c r="AB2808" s="35"/>
      <c r="AC2808" s="35"/>
      <c r="AD2808" s="35"/>
      <c r="AE2808" s="35"/>
      <c r="AF2808" s="35"/>
      <c r="AG2808" s="35"/>
      <c r="AH2808" s="35"/>
      <c r="AI2808" s="35"/>
      <c r="AJ2808" s="35"/>
      <c r="AK2808" s="35"/>
      <c r="AL2808" s="35"/>
    </row>
    <row r="2809">
      <c r="A2809" s="1"/>
      <c r="B2809" s="19" t="s">
        <v>12857</v>
      </c>
      <c r="C2809" s="20" t="s">
        <v>13769</v>
      </c>
      <c r="D2809" s="47"/>
      <c r="E2809" s="22" t="s">
        <v>13824</v>
      </c>
      <c r="F2809" s="22" t="s">
        <v>1822</v>
      </c>
      <c r="G2809" s="23">
        <v>2012.0</v>
      </c>
      <c r="H2809" s="22" t="s">
        <v>292</v>
      </c>
      <c r="I2809" s="24" t="s">
        <v>13825</v>
      </c>
      <c r="J2809" s="22" t="s">
        <v>55</v>
      </c>
      <c r="K2809" s="22" t="s">
        <v>13826</v>
      </c>
      <c r="L2809" s="36">
        <v>840.0</v>
      </c>
      <c r="M2809" s="36"/>
      <c r="N2809" s="36" t="s">
        <v>6101</v>
      </c>
      <c r="O2809" s="36"/>
      <c r="P2809" s="37" t="s">
        <v>269</v>
      </c>
      <c r="Q2809" s="36"/>
      <c r="R2809" s="36">
        <v>500.0</v>
      </c>
      <c r="S2809" s="36">
        <v>6.0</v>
      </c>
      <c r="T2809" s="28" t="s">
        <v>13827</v>
      </c>
      <c r="U2809" s="38" t="str">
        <f>HYPERLINK("https://www.ncbi.nlm.nih.gov/pubmed/24511187","PubMed")</f>
        <v>PubMed</v>
      </c>
      <c r="V2809" s="50"/>
      <c r="W2809" s="49"/>
      <c r="X2809" s="49"/>
      <c r="Y2809" s="35"/>
      <c r="Z2809" s="35"/>
      <c r="AA2809" s="35"/>
      <c r="AB2809" s="35"/>
      <c r="AC2809" s="35"/>
      <c r="AD2809" s="35"/>
      <c r="AE2809" s="35"/>
      <c r="AF2809" s="35"/>
      <c r="AG2809" s="35"/>
      <c r="AH2809" s="35"/>
      <c r="AI2809" s="35"/>
      <c r="AJ2809" s="35"/>
      <c r="AK2809" s="35"/>
      <c r="AL2809" s="35"/>
    </row>
    <row r="2810">
      <c r="A2810" s="1"/>
      <c r="B2810" s="19" t="s">
        <v>12857</v>
      </c>
      <c r="C2810" s="20" t="s">
        <v>13769</v>
      </c>
      <c r="D2810" s="47"/>
      <c r="E2810" s="22" t="s">
        <v>13828</v>
      </c>
      <c r="F2810" s="22" t="s">
        <v>13592</v>
      </c>
      <c r="G2810" s="23">
        <v>2011.0</v>
      </c>
      <c r="H2810" s="22" t="s">
        <v>13143</v>
      </c>
      <c r="I2810" s="24" t="s">
        <v>13829</v>
      </c>
      <c r="J2810" s="22" t="s">
        <v>6818</v>
      </c>
      <c r="K2810" s="22"/>
      <c r="L2810" s="36">
        <v>809.0</v>
      </c>
      <c r="M2810" s="36">
        <v>448.0</v>
      </c>
      <c r="N2810" s="36"/>
      <c r="O2810" s="36" t="s">
        <v>13830</v>
      </c>
      <c r="P2810" s="37"/>
      <c r="Q2810" s="36"/>
      <c r="R2810" s="36"/>
      <c r="S2810" s="36"/>
      <c r="T2810" s="28" t="s">
        <v>13831</v>
      </c>
      <c r="U2810" s="29" t="s">
        <v>61</v>
      </c>
      <c r="V2810" s="50"/>
      <c r="W2810" s="49"/>
      <c r="X2810" s="49"/>
      <c r="Y2810" s="35"/>
      <c r="Z2810" s="35"/>
      <c r="AA2810" s="35"/>
      <c r="AB2810" s="35"/>
      <c r="AC2810" s="35"/>
      <c r="AD2810" s="35"/>
      <c r="AE2810" s="35"/>
      <c r="AF2810" s="35"/>
      <c r="AG2810" s="35"/>
      <c r="AH2810" s="35"/>
      <c r="AI2810" s="35"/>
      <c r="AJ2810" s="35"/>
      <c r="AK2810" s="35"/>
      <c r="AL2810" s="35"/>
    </row>
    <row r="2811">
      <c r="A2811" s="1"/>
      <c r="B2811" s="19" t="s">
        <v>12857</v>
      </c>
      <c r="C2811" s="20" t="s">
        <v>13769</v>
      </c>
      <c r="D2811" s="47"/>
      <c r="E2811" s="22" t="s">
        <v>2316</v>
      </c>
      <c r="F2811" s="22" t="s">
        <v>1411</v>
      </c>
      <c r="G2811" s="23">
        <v>2011.0</v>
      </c>
      <c r="H2811" s="22" t="s">
        <v>292</v>
      </c>
      <c r="I2811" s="24" t="s">
        <v>13832</v>
      </c>
      <c r="J2811" s="22" t="s">
        <v>55</v>
      </c>
      <c r="K2811" s="22" t="s">
        <v>13804</v>
      </c>
      <c r="L2811" s="36">
        <v>830.0</v>
      </c>
      <c r="M2811" s="36"/>
      <c r="N2811" s="36"/>
      <c r="O2811" s="36"/>
      <c r="P2811" s="37" t="s">
        <v>432</v>
      </c>
      <c r="Q2811" s="36"/>
      <c r="R2811" s="36">
        <v>500.0</v>
      </c>
      <c r="S2811" s="36"/>
      <c r="T2811" s="28" t="s">
        <v>13833</v>
      </c>
      <c r="U2811" s="38" t="str">
        <f>HYPERLINK("https://www.ncbi.nlm.nih.gov/pubmed/24155514","PubMed")</f>
        <v>PubMed</v>
      </c>
      <c r="V2811" s="50"/>
      <c r="W2811" s="49"/>
      <c r="X2811" s="49"/>
      <c r="Y2811" s="35"/>
      <c r="Z2811" s="35"/>
      <c r="AA2811" s="35"/>
      <c r="AB2811" s="35"/>
      <c r="AC2811" s="35"/>
      <c r="AD2811" s="35"/>
      <c r="AE2811" s="35"/>
      <c r="AF2811" s="35"/>
      <c r="AG2811" s="35"/>
      <c r="AH2811" s="35"/>
      <c r="AI2811" s="35"/>
      <c r="AJ2811" s="35"/>
      <c r="AK2811" s="35"/>
      <c r="AL2811" s="35"/>
    </row>
    <row r="2812">
      <c r="A2812" s="1"/>
      <c r="B2812" s="19" t="s">
        <v>12857</v>
      </c>
      <c r="C2812" s="20" t="s">
        <v>13769</v>
      </c>
      <c r="D2812" s="47"/>
      <c r="E2812" s="22" t="s">
        <v>13834</v>
      </c>
      <c r="F2812" s="22" t="s">
        <v>1411</v>
      </c>
      <c r="G2812" s="23">
        <v>2011.0</v>
      </c>
      <c r="H2812" s="22" t="s">
        <v>292</v>
      </c>
      <c r="I2812" s="24" t="s">
        <v>13835</v>
      </c>
      <c r="J2812" s="22" t="s">
        <v>55</v>
      </c>
      <c r="K2812" s="22" t="s">
        <v>13836</v>
      </c>
      <c r="L2812" s="36" t="s">
        <v>3447</v>
      </c>
      <c r="M2812" s="36"/>
      <c r="N2812" s="36"/>
      <c r="O2812" s="36"/>
      <c r="P2812" s="37"/>
      <c r="Q2812" s="36"/>
      <c r="R2812" s="36"/>
      <c r="S2812" s="36"/>
      <c r="T2812" s="28" t="s">
        <v>13837</v>
      </c>
      <c r="U2812" s="38" t="str">
        <f>HYPERLINK("https://www.ncbi.nlm.nih.gov/pubmed/24155540","PubMed")</f>
        <v>PubMed</v>
      </c>
      <c r="V2812" s="50"/>
      <c r="W2812" s="49"/>
      <c r="X2812" s="49"/>
      <c r="Y2812" s="35"/>
      <c r="Z2812" s="35"/>
      <c r="AA2812" s="35"/>
      <c r="AB2812" s="35"/>
      <c r="AC2812" s="35"/>
      <c r="AD2812" s="35"/>
      <c r="AE2812" s="35"/>
      <c r="AF2812" s="35"/>
      <c r="AG2812" s="35"/>
      <c r="AH2812" s="35"/>
      <c r="AI2812" s="35"/>
      <c r="AJ2812" s="35"/>
      <c r="AK2812" s="35"/>
      <c r="AL2812" s="35"/>
    </row>
    <row r="2813">
      <c r="A2813" s="1"/>
      <c r="B2813" s="19" t="s">
        <v>12857</v>
      </c>
      <c r="C2813" s="20" t="s">
        <v>13769</v>
      </c>
      <c r="D2813" s="47"/>
      <c r="E2813" s="22" t="s">
        <v>2316</v>
      </c>
      <c r="F2813" s="22" t="s">
        <v>1411</v>
      </c>
      <c r="G2813" s="23">
        <v>2011.0</v>
      </c>
      <c r="H2813" s="22" t="s">
        <v>91</v>
      </c>
      <c r="I2813" s="24" t="s">
        <v>13838</v>
      </c>
      <c r="J2813" s="22" t="s">
        <v>55</v>
      </c>
      <c r="K2813" s="22" t="s">
        <v>13804</v>
      </c>
      <c r="L2813" s="36">
        <v>830.0</v>
      </c>
      <c r="M2813" s="36"/>
      <c r="N2813" s="36"/>
      <c r="O2813" s="36"/>
      <c r="P2813" s="37"/>
      <c r="Q2813" s="36"/>
      <c r="R2813" s="36"/>
      <c r="S2813" s="36"/>
      <c r="T2813" s="28" t="s">
        <v>13839</v>
      </c>
      <c r="U2813" s="38" t="str">
        <f>HYPERLINK("https://www.ncbi.nlm.nih.gov/pubmed/21541773","PubMed")</f>
        <v>PubMed</v>
      </c>
      <c r="V2813" s="50"/>
      <c r="W2813" s="49"/>
      <c r="X2813" s="49"/>
      <c r="Y2813" s="35"/>
      <c r="Z2813" s="35"/>
      <c r="AA2813" s="35"/>
      <c r="AB2813" s="35"/>
      <c r="AC2813" s="35"/>
      <c r="AD2813" s="35"/>
      <c r="AE2813" s="35"/>
      <c r="AF2813" s="35"/>
      <c r="AG2813" s="35"/>
      <c r="AH2813" s="35"/>
      <c r="AI2813" s="35"/>
      <c r="AJ2813" s="35"/>
      <c r="AK2813" s="35"/>
      <c r="AL2813" s="35"/>
    </row>
    <row r="2814">
      <c r="A2814" s="1"/>
      <c r="B2814" s="19" t="s">
        <v>12857</v>
      </c>
      <c r="C2814" s="20" t="s">
        <v>13769</v>
      </c>
      <c r="D2814" s="47"/>
      <c r="E2814" s="22" t="s">
        <v>13840</v>
      </c>
      <c r="F2814" s="22" t="s">
        <v>41</v>
      </c>
      <c r="G2814" s="23">
        <v>2010.0</v>
      </c>
      <c r="H2814" s="22" t="s">
        <v>4862</v>
      </c>
      <c r="I2814" s="24" t="s">
        <v>13841</v>
      </c>
      <c r="J2814" s="22" t="s">
        <v>13842</v>
      </c>
      <c r="K2814" s="22" t="s">
        <v>13843</v>
      </c>
      <c r="L2814" s="36">
        <v>785.0</v>
      </c>
      <c r="M2814" s="36">
        <v>70.0</v>
      </c>
      <c r="N2814" s="36" t="s">
        <v>58</v>
      </c>
      <c r="O2814" s="36" t="s">
        <v>58</v>
      </c>
      <c r="P2814" s="37" t="s">
        <v>13844</v>
      </c>
      <c r="Q2814" s="36" t="s">
        <v>13845</v>
      </c>
      <c r="R2814" s="36" t="s">
        <v>58</v>
      </c>
      <c r="S2814" s="36" t="s">
        <v>13846</v>
      </c>
      <c r="T2814" s="41" t="s">
        <v>13847</v>
      </c>
      <c r="U2814" s="38" t="str">
        <f>HYPERLINK("https://www.ncbi.nlm.nih.gov/pubmed/20082104","PubMed")</f>
        <v>PubMed</v>
      </c>
      <c r="V2814" s="50"/>
      <c r="W2814" s="130" t="str">
        <f>HYPERLINK("https://www.ncbi.nlm.nih.gov/pubmed/20532578","Comment")</f>
        <v>Comment</v>
      </c>
      <c r="X2814" s="49"/>
      <c r="Y2814" s="35"/>
      <c r="Z2814" s="35"/>
      <c r="AA2814" s="35"/>
      <c r="AB2814" s="35"/>
      <c r="AC2814" s="35"/>
      <c r="AD2814" s="35"/>
      <c r="AE2814" s="35"/>
      <c r="AF2814" s="35"/>
      <c r="AG2814" s="35"/>
      <c r="AH2814" s="35"/>
      <c r="AI2814" s="35"/>
      <c r="AJ2814" s="35"/>
      <c r="AK2814" s="35"/>
      <c r="AL2814" s="35"/>
    </row>
    <row r="2815">
      <c r="A2815" s="1"/>
      <c r="B2815" s="19" t="s">
        <v>12857</v>
      </c>
      <c r="C2815" s="20" t="s">
        <v>13769</v>
      </c>
      <c r="D2815" s="47"/>
      <c r="E2815" s="22" t="s">
        <v>13848</v>
      </c>
      <c r="F2815" s="22" t="s">
        <v>2407</v>
      </c>
      <c r="G2815" s="23">
        <v>2009.0</v>
      </c>
      <c r="H2815" s="22" t="s">
        <v>53</v>
      </c>
      <c r="I2815" s="24" t="s">
        <v>13849</v>
      </c>
      <c r="J2815" s="22" t="s">
        <v>31</v>
      </c>
      <c r="K2815" s="22" t="s">
        <v>13850</v>
      </c>
      <c r="L2815" s="36">
        <v>810.0</v>
      </c>
      <c r="M2815" s="36"/>
      <c r="N2815" s="36"/>
      <c r="O2815" s="36"/>
      <c r="P2815" s="37"/>
      <c r="Q2815" s="36"/>
      <c r="R2815" s="36"/>
      <c r="S2815" s="36"/>
      <c r="T2815" s="28" t="s">
        <v>13851</v>
      </c>
      <c r="U2815" s="38" t="str">
        <f>HYPERLINK("https://www.ncbi.nlm.nih.gov/pubmed/19347944","PubMed")</f>
        <v>PubMed</v>
      </c>
      <c r="V2815" s="50"/>
      <c r="W2815" s="49"/>
      <c r="X2815" s="49"/>
      <c r="Y2815" s="35"/>
      <c r="Z2815" s="35"/>
      <c r="AA2815" s="35"/>
      <c r="AB2815" s="35"/>
      <c r="AC2815" s="35"/>
      <c r="AD2815" s="35"/>
      <c r="AE2815" s="35"/>
      <c r="AF2815" s="35"/>
      <c r="AG2815" s="35"/>
      <c r="AH2815" s="35"/>
      <c r="AI2815" s="35"/>
      <c r="AJ2815" s="35"/>
      <c r="AK2815" s="35"/>
      <c r="AL2815" s="35"/>
    </row>
    <row r="2816">
      <c r="A2816" s="1"/>
      <c r="B2816" s="19" t="s">
        <v>12857</v>
      </c>
      <c r="C2816" s="20" t="s">
        <v>13769</v>
      </c>
      <c r="D2816" s="47"/>
      <c r="E2816" s="22" t="s">
        <v>13852</v>
      </c>
      <c r="F2816" s="22" t="s">
        <v>13853</v>
      </c>
      <c r="G2816" s="23">
        <v>1999.0</v>
      </c>
      <c r="H2816" s="22" t="s">
        <v>292</v>
      </c>
      <c r="I2816" s="24" t="s">
        <v>13854</v>
      </c>
      <c r="J2816" s="22" t="s">
        <v>13855</v>
      </c>
      <c r="K2816" s="22" t="s">
        <v>13856</v>
      </c>
      <c r="L2816" s="36">
        <v>830.0</v>
      </c>
      <c r="M2816" s="36">
        <v>200.0</v>
      </c>
      <c r="N2816" s="36"/>
      <c r="O2816" s="36"/>
      <c r="P2816" s="37" t="s">
        <v>13857</v>
      </c>
      <c r="Q2816" s="36"/>
      <c r="R2816" s="36"/>
      <c r="S2816" s="36" t="s">
        <v>13858</v>
      </c>
      <c r="T2816" s="28" t="s">
        <v>13859</v>
      </c>
      <c r="U2816" s="38" t="str">
        <f>HYPERLINK("https://www.jstage.jst.go.jp/article/islsm/11/2/11_2_79/_article/-char/en","J-STAGE")</f>
        <v>J-STAGE</v>
      </c>
      <c r="V2816" s="50"/>
      <c r="W2816" s="49"/>
      <c r="X2816" s="49"/>
      <c r="Y2816" s="35"/>
      <c r="Z2816" s="35"/>
      <c r="AA2816" s="35"/>
      <c r="AB2816" s="35"/>
      <c r="AC2816" s="35"/>
      <c r="AD2816" s="35"/>
      <c r="AE2816" s="35"/>
      <c r="AF2816" s="35"/>
      <c r="AG2816" s="35"/>
      <c r="AH2816" s="35"/>
      <c r="AI2816" s="35"/>
      <c r="AJ2816" s="35"/>
      <c r="AK2816" s="35"/>
      <c r="AL2816" s="35"/>
    </row>
    <row r="2817">
      <c r="A2817" s="1"/>
      <c r="B2817" s="19" t="s">
        <v>12857</v>
      </c>
      <c r="C2817" s="20" t="s">
        <v>13769</v>
      </c>
      <c r="D2817" s="47"/>
      <c r="E2817" s="22" t="s">
        <v>13860</v>
      </c>
      <c r="F2817" s="22" t="s">
        <v>13861</v>
      </c>
      <c r="G2817" s="23">
        <v>1998.0</v>
      </c>
      <c r="H2817" s="22" t="s">
        <v>13862</v>
      </c>
      <c r="I2817" s="24" t="s">
        <v>13863</v>
      </c>
      <c r="J2817" s="22" t="s">
        <v>13864</v>
      </c>
      <c r="K2817" s="22"/>
      <c r="L2817" s="36" t="s">
        <v>58</v>
      </c>
      <c r="M2817" s="36" t="s">
        <v>58</v>
      </c>
      <c r="N2817" s="36" t="s">
        <v>58</v>
      </c>
      <c r="O2817" s="36" t="s">
        <v>58</v>
      </c>
      <c r="P2817" s="37" t="s">
        <v>58</v>
      </c>
      <c r="Q2817" s="36" t="s">
        <v>58</v>
      </c>
      <c r="R2817" s="36" t="s">
        <v>58</v>
      </c>
      <c r="S2817" s="36"/>
      <c r="T2817" s="28" t="s">
        <v>13865</v>
      </c>
      <c r="U2817" s="29" t="s">
        <v>61</v>
      </c>
      <c r="V2817" s="50"/>
      <c r="W2817" s="49"/>
      <c r="X2817" s="49"/>
      <c r="Y2817" s="35"/>
      <c r="Z2817" s="35"/>
      <c r="AA2817" s="35"/>
      <c r="AB2817" s="35"/>
      <c r="AC2817" s="35"/>
      <c r="AD2817" s="35"/>
      <c r="AE2817" s="35"/>
      <c r="AF2817" s="35"/>
      <c r="AG2817" s="35"/>
      <c r="AH2817" s="35"/>
      <c r="AI2817" s="35"/>
      <c r="AJ2817" s="35"/>
      <c r="AK2817" s="35"/>
      <c r="AL2817" s="35"/>
    </row>
    <row r="2818">
      <c r="A2818" s="1"/>
      <c r="B2818" s="19" t="s">
        <v>12857</v>
      </c>
      <c r="C2818" s="20" t="s">
        <v>13769</v>
      </c>
      <c r="D2818" s="47"/>
      <c r="E2818" s="22" t="s">
        <v>13866</v>
      </c>
      <c r="F2818" s="22" t="s">
        <v>13867</v>
      </c>
      <c r="G2818" s="23">
        <v>1996.0</v>
      </c>
      <c r="H2818" s="22" t="s">
        <v>4733</v>
      </c>
      <c r="I2818" s="24" t="s">
        <v>13868</v>
      </c>
      <c r="J2818" s="22" t="s">
        <v>13869</v>
      </c>
      <c r="K2818" s="22"/>
      <c r="L2818" s="36" t="s">
        <v>13870</v>
      </c>
      <c r="M2818" s="36">
        <v>940.0</v>
      </c>
      <c r="N2818" s="36" t="s">
        <v>58</v>
      </c>
      <c r="O2818" s="36" t="s">
        <v>58</v>
      </c>
      <c r="P2818" s="37" t="s">
        <v>13871</v>
      </c>
      <c r="Q2818" s="36" t="s">
        <v>13872</v>
      </c>
      <c r="R2818" s="36">
        <v>240.0</v>
      </c>
      <c r="S2818" s="36" t="s">
        <v>2099</v>
      </c>
      <c r="T2818" s="41" t="s">
        <v>13873</v>
      </c>
      <c r="U2818" s="38" t="str">
        <f>HYPERLINK("https://www.sciencedirect.com/science/article/pii/S0031940605668666","ScienceDirect")</f>
        <v>ScienceDirect</v>
      </c>
      <c r="V2818" s="50"/>
      <c r="W2818" s="49"/>
      <c r="X2818" s="49"/>
      <c r="Y2818" s="35"/>
      <c r="Z2818" s="35"/>
      <c r="AA2818" s="35"/>
      <c r="AB2818" s="35"/>
      <c r="AC2818" s="35"/>
      <c r="AD2818" s="35"/>
      <c r="AE2818" s="35"/>
      <c r="AF2818" s="35"/>
      <c r="AG2818" s="35"/>
      <c r="AH2818" s="35"/>
      <c r="AI2818" s="35"/>
      <c r="AJ2818" s="35"/>
      <c r="AK2818" s="35"/>
      <c r="AL2818" s="35"/>
    </row>
    <row r="2819">
      <c r="A2819" s="1" t="s">
        <v>2</v>
      </c>
      <c r="B2819" s="19" t="s">
        <v>12857</v>
      </c>
      <c r="C2819" s="20" t="s">
        <v>13769</v>
      </c>
      <c r="D2819" s="47"/>
      <c r="E2819" s="22" t="s">
        <v>13874</v>
      </c>
      <c r="F2819" s="22" t="s">
        <v>8378</v>
      </c>
      <c r="G2819" s="23">
        <v>1994.0</v>
      </c>
      <c r="H2819" s="22" t="s">
        <v>13875</v>
      </c>
      <c r="I2819" s="24" t="s">
        <v>13876</v>
      </c>
      <c r="J2819" s="22" t="s">
        <v>13877</v>
      </c>
      <c r="K2819" s="22" t="s">
        <v>13878</v>
      </c>
      <c r="L2819" s="36" t="s">
        <v>13879</v>
      </c>
      <c r="M2819" s="36" t="s">
        <v>13880</v>
      </c>
      <c r="N2819" s="36" t="s">
        <v>13881</v>
      </c>
      <c r="O2819" s="36" t="s">
        <v>13882</v>
      </c>
      <c r="P2819" s="37" t="s">
        <v>13883</v>
      </c>
      <c r="Q2819" s="36" t="s">
        <v>13884</v>
      </c>
      <c r="R2819" s="36" t="s">
        <v>13885</v>
      </c>
      <c r="S2819" s="36" t="s">
        <v>4905</v>
      </c>
      <c r="T2819" s="41" t="s">
        <v>13886</v>
      </c>
      <c r="U2819" s="38" t="str">
        <f>HYPERLINK("http://www.ncbi.nlm.nih.gov/pubmed/8162479","PubMed")</f>
        <v>PubMed</v>
      </c>
      <c r="V2819" s="50"/>
      <c r="W2819" s="49"/>
      <c r="X2819" s="49"/>
      <c r="Y2819" s="35"/>
      <c r="Z2819" s="35"/>
      <c r="AA2819" s="35"/>
      <c r="AB2819" s="35"/>
      <c r="AC2819" s="35"/>
      <c r="AD2819" s="35"/>
      <c r="AE2819" s="35"/>
      <c r="AF2819" s="35"/>
      <c r="AG2819" s="35"/>
      <c r="AH2819" s="35"/>
      <c r="AI2819" s="35"/>
      <c r="AJ2819" s="35"/>
      <c r="AK2819" s="35"/>
      <c r="AL2819" s="35"/>
    </row>
    <row r="2820">
      <c r="A2820" s="1"/>
      <c r="B2820" s="19" t="s">
        <v>12857</v>
      </c>
      <c r="C2820" s="20" t="s">
        <v>13769</v>
      </c>
      <c r="D2820" s="47"/>
      <c r="E2820" s="22" t="s">
        <v>13887</v>
      </c>
      <c r="F2820" s="22" t="s">
        <v>13888</v>
      </c>
      <c r="G2820" s="23">
        <v>1994.0</v>
      </c>
      <c r="H2820" s="22" t="s">
        <v>53</v>
      </c>
      <c r="I2820" s="24" t="s">
        <v>13889</v>
      </c>
      <c r="J2820" s="22" t="s">
        <v>13890</v>
      </c>
      <c r="K2820" s="22"/>
      <c r="L2820" s="36">
        <v>790.0</v>
      </c>
      <c r="M2820" s="36">
        <v>10.0</v>
      </c>
      <c r="N2820" s="36" t="s">
        <v>58</v>
      </c>
      <c r="O2820" s="36" t="s">
        <v>58</v>
      </c>
      <c r="P2820" s="37" t="s">
        <v>58</v>
      </c>
      <c r="Q2820" s="36" t="s">
        <v>13891</v>
      </c>
      <c r="R2820" s="36">
        <v>480.0</v>
      </c>
      <c r="S2820" s="36" t="s">
        <v>13892</v>
      </c>
      <c r="T2820" s="28" t="s">
        <v>13893</v>
      </c>
      <c r="U2820" s="38" t="str">
        <f>HYPERLINK("https://www.ncbi.nlm.nih.gov/pubmed/7830475","PubMed")</f>
        <v>PubMed</v>
      </c>
      <c r="V2820" s="50"/>
      <c r="W2820" s="49"/>
      <c r="X2820" s="49"/>
      <c r="Y2820" s="35"/>
      <c r="Z2820" s="35"/>
      <c r="AA2820" s="35"/>
      <c r="AB2820" s="35"/>
      <c r="AC2820" s="35"/>
      <c r="AD2820" s="35"/>
      <c r="AE2820" s="35"/>
      <c r="AF2820" s="35"/>
      <c r="AG2820" s="35"/>
      <c r="AH2820" s="35"/>
      <c r="AI2820" s="35"/>
      <c r="AJ2820" s="35"/>
      <c r="AK2820" s="35"/>
      <c r="AL2820" s="35"/>
    </row>
    <row r="2821">
      <c r="A2821" s="1"/>
      <c r="B2821" s="19" t="s">
        <v>12857</v>
      </c>
      <c r="C2821" s="20" t="s">
        <v>13769</v>
      </c>
      <c r="D2821" s="47"/>
      <c r="E2821" s="22" t="s">
        <v>13894</v>
      </c>
      <c r="F2821" s="22" t="s">
        <v>7531</v>
      </c>
      <c r="G2821" s="23">
        <v>1994.0</v>
      </c>
      <c r="H2821" s="22" t="s">
        <v>13862</v>
      </c>
      <c r="I2821" s="24" t="s">
        <v>13895</v>
      </c>
      <c r="J2821" s="22" t="s">
        <v>13896</v>
      </c>
      <c r="K2821" s="22"/>
      <c r="L2821" s="36">
        <v>830.0</v>
      </c>
      <c r="M2821" s="36">
        <v>21.0</v>
      </c>
      <c r="N2821" s="36"/>
      <c r="O2821" s="36" t="s">
        <v>13897</v>
      </c>
      <c r="P2821" s="37"/>
      <c r="Q2821" s="36" t="s">
        <v>13898</v>
      </c>
      <c r="R2821" s="36"/>
      <c r="S2821" s="36" t="s">
        <v>13899</v>
      </c>
      <c r="T2821" s="41" t="s">
        <v>13900</v>
      </c>
      <c r="U2821" s="38" t="str">
        <f>HYPERLINK("https://www.ncbi.nlm.nih.gov/pubmed/8016587","PubMed")</f>
        <v>PubMed</v>
      </c>
      <c r="V2821" s="50"/>
      <c r="W2821" s="49"/>
      <c r="X2821" s="49"/>
      <c r="Y2821" s="35"/>
      <c r="Z2821" s="35"/>
      <c r="AA2821" s="35"/>
      <c r="AB2821" s="35"/>
      <c r="AC2821" s="35"/>
      <c r="AD2821" s="35"/>
      <c r="AE2821" s="35"/>
      <c r="AF2821" s="35"/>
      <c r="AG2821" s="35"/>
      <c r="AH2821" s="35"/>
      <c r="AI2821" s="35"/>
      <c r="AJ2821" s="35"/>
      <c r="AK2821" s="35"/>
      <c r="AL2821" s="35"/>
    </row>
    <row r="2822">
      <c r="A2822" s="1"/>
      <c r="B2822" s="19" t="s">
        <v>12857</v>
      </c>
      <c r="C2822" s="20" t="s">
        <v>13769</v>
      </c>
      <c r="D2822" s="47"/>
      <c r="E2822" s="22" t="s">
        <v>13901</v>
      </c>
      <c r="F2822" s="22" t="s">
        <v>1862</v>
      </c>
      <c r="G2822" s="23">
        <v>1993.0</v>
      </c>
      <c r="H2822" s="22" t="s">
        <v>13902</v>
      </c>
      <c r="I2822" s="24" t="s">
        <v>13903</v>
      </c>
      <c r="J2822" s="22" t="s">
        <v>13904</v>
      </c>
      <c r="K2822" s="22"/>
      <c r="L2822" s="36">
        <v>820.0</v>
      </c>
      <c r="M2822" s="36">
        <v>50.0</v>
      </c>
      <c r="N2822" s="36" t="s">
        <v>58</v>
      </c>
      <c r="O2822" s="36" t="s">
        <v>58</v>
      </c>
      <c r="P2822" s="37" t="s">
        <v>13905</v>
      </c>
      <c r="Q2822" s="36" t="s">
        <v>6625</v>
      </c>
      <c r="R2822" s="36" t="s">
        <v>13906</v>
      </c>
      <c r="S2822" s="36" t="s">
        <v>4905</v>
      </c>
      <c r="T2822" s="41" t="s">
        <v>13907</v>
      </c>
      <c r="U2822" s="38" t="str">
        <f>HYPERLINK("https://www.ncbi.nlm.nih.gov/pubmed/8257205","PubMed")</f>
        <v>PubMed</v>
      </c>
      <c r="V2822" s="50"/>
      <c r="W2822" s="49"/>
      <c r="X2822" s="49"/>
      <c r="Y2822" s="35"/>
      <c r="Z2822" s="35"/>
      <c r="AA2822" s="35"/>
      <c r="AB2822" s="35"/>
      <c r="AC2822" s="35"/>
      <c r="AD2822" s="35"/>
      <c r="AE2822" s="35"/>
      <c r="AF2822" s="35"/>
      <c r="AG2822" s="35"/>
      <c r="AH2822" s="35"/>
      <c r="AI2822" s="35"/>
      <c r="AJ2822" s="35"/>
      <c r="AK2822" s="35"/>
      <c r="AL2822" s="35"/>
    </row>
    <row r="2823">
      <c r="A2823" s="191"/>
      <c r="B2823" s="19" t="s">
        <v>12857</v>
      </c>
      <c r="C2823" s="20" t="s">
        <v>13769</v>
      </c>
      <c r="D2823" s="47"/>
      <c r="E2823" s="22" t="s">
        <v>13908</v>
      </c>
      <c r="F2823" s="22" t="s">
        <v>6785</v>
      </c>
      <c r="G2823" s="23">
        <v>1991.0</v>
      </c>
      <c r="H2823" s="22" t="s">
        <v>292</v>
      </c>
      <c r="I2823" s="24" t="s">
        <v>13909</v>
      </c>
      <c r="J2823" s="22" t="s">
        <v>13910</v>
      </c>
      <c r="K2823" s="22"/>
      <c r="L2823" s="36">
        <v>830.0</v>
      </c>
      <c r="M2823" s="36">
        <v>60.0</v>
      </c>
      <c r="N2823" s="36" t="s">
        <v>58</v>
      </c>
      <c r="O2823" s="36" t="s">
        <v>58</v>
      </c>
      <c r="P2823" s="37" t="s">
        <v>58</v>
      </c>
      <c r="Q2823" s="36" t="s">
        <v>58</v>
      </c>
      <c r="R2823" s="36" t="s">
        <v>13911</v>
      </c>
      <c r="S2823" s="36"/>
      <c r="T2823" s="54" t="s">
        <v>13912</v>
      </c>
      <c r="U2823" s="38" t="str">
        <f>HYPERLINK("https://www.jstage.jst.go.jp/article/islsm/3/2/3_91-OR-11/_article/-char/en","J-STAGE")</f>
        <v>J-STAGE</v>
      </c>
      <c r="V2823" s="50"/>
      <c r="W2823" s="49"/>
      <c r="X2823" s="49"/>
      <c r="Y2823" s="35"/>
      <c r="Z2823" s="35"/>
      <c r="AA2823" s="35"/>
      <c r="AB2823" s="35"/>
      <c r="AC2823" s="35"/>
      <c r="AD2823" s="35"/>
      <c r="AE2823" s="35"/>
      <c r="AF2823" s="35"/>
      <c r="AG2823" s="35"/>
      <c r="AH2823" s="35"/>
      <c r="AI2823" s="35"/>
      <c r="AJ2823" s="35"/>
      <c r="AK2823" s="35"/>
      <c r="AL2823" s="35"/>
    </row>
    <row r="2824">
      <c r="A2824" s="191"/>
      <c r="B2824" s="19" t="s">
        <v>12857</v>
      </c>
      <c r="C2824" s="20" t="s">
        <v>13769</v>
      </c>
      <c r="D2824" s="47"/>
      <c r="E2824" s="22" t="s">
        <v>13913</v>
      </c>
      <c r="F2824" s="22" t="s">
        <v>7531</v>
      </c>
      <c r="G2824" s="23">
        <v>1989.0</v>
      </c>
      <c r="H2824" s="22" t="s">
        <v>91</v>
      </c>
      <c r="I2824" s="24" t="s">
        <v>13914</v>
      </c>
      <c r="J2824" s="22" t="s">
        <v>7186</v>
      </c>
      <c r="K2824" s="22"/>
      <c r="L2824" s="36">
        <v>820.0</v>
      </c>
      <c r="M2824" s="36">
        <v>15.0</v>
      </c>
      <c r="N2824" s="36" t="s">
        <v>58</v>
      </c>
      <c r="O2824" s="36" t="s">
        <v>58</v>
      </c>
      <c r="P2824" s="37" t="s">
        <v>13915</v>
      </c>
      <c r="Q2824" s="36" t="s">
        <v>3419</v>
      </c>
      <c r="R2824" s="36" t="s">
        <v>12591</v>
      </c>
      <c r="S2824" s="36" t="s">
        <v>4905</v>
      </c>
      <c r="T2824" s="54" t="s">
        <v>13916</v>
      </c>
      <c r="U2824" s="38" t="str">
        <f>HYPERLINK("https://link.springer.com/article/10.1007/BF02032435","Springer")</f>
        <v>Springer</v>
      </c>
      <c r="V2824" s="50"/>
      <c r="W2824" s="49"/>
      <c r="X2824" s="49"/>
      <c r="Y2824" s="35"/>
      <c r="Z2824" s="35"/>
      <c r="AA2824" s="35"/>
      <c r="AB2824" s="35"/>
      <c r="AC2824" s="35"/>
      <c r="AD2824" s="35"/>
      <c r="AE2824" s="35"/>
      <c r="AF2824" s="35"/>
      <c r="AG2824" s="35"/>
      <c r="AH2824" s="35"/>
      <c r="AI2824" s="35"/>
      <c r="AJ2824" s="35"/>
      <c r="AK2824" s="35"/>
      <c r="AL2824" s="35"/>
    </row>
    <row r="2825">
      <c r="A2825" s="191"/>
      <c r="B2825" s="19" t="s">
        <v>12857</v>
      </c>
      <c r="C2825" s="20" t="s">
        <v>13769</v>
      </c>
      <c r="D2825" s="47"/>
      <c r="E2825" s="22" t="s">
        <v>13917</v>
      </c>
      <c r="F2825" s="22" t="s">
        <v>13918</v>
      </c>
      <c r="G2825" s="23">
        <v>1988.0</v>
      </c>
      <c r="H2825" s="22" t="s">
        <v>13919</v>
      </c>
      <c r="I2825" s="24" t="s">
        <v>13920</v>
      </c>
      <c r="J2825" s="22" t="s">
        <v>13921</v>
      </c>
      <c r="K2825" s="22"/>
      <c r="L2825" s="36">
        <v>633.0</v>
      </c>
      <c r="M2825" s="129">
        <v>43228.0</v>
      </c>
      <c r="N2825" s="36" t="s">
        <v>58</v>
      </c>
      <c r="O2825" s="36" t="s">
        <v>58</v>
      </c>
      <c r="P2825" s="37" t="s">
        <v>58</v>
      </c>
      <c r="Q2825" s="36" t="s">
        <v>13922</v>
      </c>
      <c r="R2825" s="36">
        <v>900.0</v>
      </c>
      <c r="S2825" s="36" t="s">
        <v>8311</v>
      </c>
      <c r="T2825" s="54" t="s">
        <v>13923</v>
      </c>
      <c r="U2825" s="38" t="str">
        <f>HYPERLINK("https://link.springer.com/chapter/10.1007/978-3-642-72870-9_184","Springer")</f>
        <v>Springer</v>
      </c>
      <c r="V2825" s="50"/>
      <c r="W2825" s="49"/>
      <c r="X2825" s="49"/>
      <c r="Y2825" s="35"/>
      <c r="Z2825" s="35"/>
      <c r="AA2825" s="35"/>
      <c r="AB2825" s="35"/>
      <c r="AC2825" s="35"/>
      <c r="AD2825" s="35"/>
      <c r="AE2825" s="35"/>
      <c r="AF2825" s="35"/>
      <c r="AG2825" s="35"/>
      <c r="AH2825" s="35"/>
      <c r="AI2825" s="35"/>
      <c r="AJ2825" s="35"/>
      <c r="AK2825" s="35"/>
      <c r="AL2825" s="35"/>
    </row>
    <row r="2826">
      <c r="A2826" s="191"/>
      <c r="B2826" s="19" t="s">
        <v>12857</v>
      </c>
      <c r="C2826" s="20" t="s">
        <v>13769</v>
      </c>
      <c r="D2826" s="47"/>
      <c r="E2826" s="22" t="s">
        <v>13924</v>
      </c>
      <c r="F2826" s="22" t="s">
        <v>13925</v>
      </c>
      <c r="G2826" s="23">
        <v>1987.0</v>
      </c>
      <c r="H2826" s="22" t="s">
        <v>13862</v>
      </c>
      <c r="I2826" s="24" t="s">
        <v>13926</v>
      </c>
      <c r="J2826" s="22" t="s">
        <v>13927</v>
      </c>
      <c r="K2826" s="22"/>
      <c r="L2826" s="36">
        <v>633.0</v>
      </c>
      <c r="M2826" s="36">
        <v>10.0</v>
      </c>
      <c r="N2826" s="36" t="s">
        <v>58</v>
      </c>
      <c r="O2826" s="36" t="s">
        <v>58</v>
      </c>
      <c r="P2826" s="37" t="s">
        <v>82</v>
      </c>
      <c r="Q2826" s="36" t="s">
        <v>13928</v>
      </c>
      <c r="R2826" s="36">
        <v>300.0</v>
      </c>
      <c r="S2826" s="36" t="s">
        <v>8476</v>
      </c>
      <c r="T2826" s="102" t="s">
        <v>13929</v>
      </c>
      <c r="U2826" s="38" t="str">
        <f>HYPERLINK("https://www.ncbi.nlm.nih.gov/pubmed/3629205","PubMed")</f>
        <v>PubMed</v>
      </c>
      <c r="V2826" s="50"/>
      <c r="W2826" s="49"/>
      <c r="X2826" s="49"/>
      <c r="Y2826" s="35"/>
      <c r="Z2826" s="35"/>
      <c r="AA2826" s="35"/>
      <c r="AB2826" s="35"/>
      <c r="AC2826" s="35"/>
      <c r="AD2826" s="35"/>
      <c r="AE2826" s="35"/>
      <c r="AF2826" s="35"/>
      <c r="AG2826" s="35"/>
      <c r="AH2826" s="35"/>
      <c r="AI2826" s="35"/>
      <c r="AJ2826" s="35"/>
      <c r="AK2826" s="35"/>
      <c r="AL2826" s="35"/>
    </row>
    <row r="2827">
      <c r="A2827" s="191"/>
      <c r="B2827" s="19" t="s">
        <v>12857</v>
      </c>
      <c r="C2827" s="20" t="s">
        <v>13769</v>
      </c>
      <c r="D2827" s="47"/>
      <c r="E2827" s="22" t="s">
        <v>13930</v>
      </c>
      <c r="F2827" s="22" t="s">
        <v>5303</v>
      </c>
      <c r="G2827" s="23">
        <v>1980.0</v>
      </c>
      <c r="H2827" s="22" t="s">
        <v>53</v>
      </c>
      <c r="I2827" s="24" t="s">
        <v>13931</v>
      </c>
      <c r="J2827" s="22" t="s">
        <v>13932</v>
      </c>
      <c r="K2827" s="22" t="s">
        <v>13933</v>
      </c>
      <c r="L2827" s="36">
        <v>1060.0</v>
      </c>
      <c r="M2827" s="36" t="s">
        <v>58</v>
      </c>
      <c r="N2827" s="36" t="s">
        <v>58</v>
      </c>
      <c r="O2827" s="36" t="s">
        <v>58</v>
      </c>
      <c r="P2827" s="37" t="s">
        <v>5401</v>
      </c>
      <c r="Q2827" s="36" t="s">
        <v>58</v>
      </c>
      <c r="R2827" s="36" t="s">
        <v>13934</v>
      </c>
      <c r="S2827" s="36" t="s">
        <v>7132</v>
      </c>
      <c r="T2827" s="54" t="s">
        <v>13935</v>
      </c>
      <c r="U2827" s="38" t="str">
        <f>HYPERLINK("https://www.ncbi.nlm.nih.gov/pubmed/7038361","PubMed")</f>
        <v>PubMed</v>
      </c>
      <c r="V2827" s="50"/>
      <c r="W2827" s="49"/>
      <c r="X2827" s="49"/>
      <c r="Y2827" s="35"/>
      <c r="Z2827" s="35"/>
      <c r="AA2827" s="35"/>
      <c r="AB2827" s="35"/>
      <c r="AC2827" s="35"/>
      <c r="AD2827" s="35"/>
      <c r="AE2827" s="35"/>
      <c r="AF2827" s="35"/>
      <c r="AG2827" s="35"/>
      <c r="AH2827" s="35"/>
      <c r="AI2827" s="35"/>
      <c r="AJ2827" s="35"/>
      <c r="AK2827" s="35"/>
      <c r="AL2827" s="35"/>
    </row>
    <row r="2828">
      <c r="A2828" s="191"/>
      <c r="B2828" s="19" t="s">
        <v>12857</v>
      </c>
      <c r="C2828" s="20" t="s">
        <v>13769</v>
      </c>
      <c r="D2828" s="47"/>
      <c r="E2828" s="22" t="s">
        <v>13936</v>
      </c>
      <c r="F2828" s="22" t="s">
        <v>2346</v>
      </c>
      <c r="G2828" s="23">
        <v>2001.0</v>
      </c>
      <c r="H2828" s="22" t="s">
        <v>13937</v>
      </c>
      <c r="I2828" s="24" t="s">
        <v>13938</v>
      </c>
      <c r="J2828" s="22" t="s">
        <v>13939</v>
      </c>
      <c r="K2828" s="22" t="s">
        <v>13940</v>
      </c>
      <c r="L2828" s="36">
        <v>633.0</v>
      </c>
      <c r="M2828" s="36" t="s">
        <v>58</v>
      </c>
      <c r="N2828" s="36" t="s">
        <v>1975</v>
      </c>
      <c r="O2828" s="36" t="s">
        <v>58</v>
      </c>
      <c r="P2828" s="37" t="s">
        <v>58</v>
      </c>
      <c r="Q2828" s="36" t="s">
        <v>58</v>
      </c>
      <c r="R2828" s="36">
        <v>1200.0</v>
      </c>
      <c r="S2828" s="36" t="s">
        <v>13941</v>
      </c>
      <c r="T2828" s="54" t="s">
        <v>13942</v>
      </c>
      <c r="U2828" s="29" t="s">
        <v>61</v>
      </c>
      <c r="V2828" s="50"/>
      <c r="W2828" s="49"/>
      <c r="X2828" s="49"/>
      <c r="Y2828" s="35"/>
      <c r="Z2828" s="35"/>
      <c r="AA2828" s="35"/>
      <c r="AB2828" s="35"/>
      <c r="AC2828" s="35"/>
      <c r="AD2828" s="35"/>
      <c r="AE2828" s="35"/>
      <c r="AF2828" s="35"/>
      <c r="AG2828" s="35"/>
      <c r="AH2828" s="35"/>
      <c r="AI2828" s="35"/>
      <c r="AJ2828" s="35"/>
      <c r="AK2828" s="35"/>
      <c r="AL2828" s="35"/>
    </row>
    <row r="2829">
      <c r="A2829" s="191"/>
      <c r="B2829" s="19" t="s">
        <v>12857</v>
      </c>
      <c r="C2829" s="20" t="s">
        <v>13943</v>
      </c>
      <c r="D2829" s="47"/>
      <c r="E2829" s="22" t="s">
        <v>8046</v>
      </c>
      <c r="F2829" s="22" t="s">
        <v>13944</v>
      </c>
      <c r="G2829" s="23">
        <v>2014.0</v>
      </c>
      <c r="H2829" s="22" t="s">
        <v>1025</v>
      </c>
      <c r="I2829" s="24" t="s">
        <v>13945</v>
      </c>
      <c r="J2829" s="22" t="s">
        <v>13946</v>
      </c>
      <c r="K2829" s="22"/>
      <c r="L2829" s="36">
        <v>940.0</v>
      </c>
      <c r="M2829" s="36" t="s">
        <v>58</v>
      </c>
      <c r="N2829" s="36" t="s">
        <v>4039</v>
      </c>
      <c r="O2829" s="36" t="s">
        <v>58</v>
      </c>
      <c r="P2829" s="37" t="s">
        <v>13947</v>
      </c>
      <c r="Q2829" s="36" t="s">
        <v>13948</v>
      </c>
      <c r="R2829" s="36" t="s">
        <v>13949</v>
      </c>
      <c r="S2829" s="36" t="s">
        <v>13950</v>
      </c>
      <c r="T2829" s="54" t="s">
        <v>13951</v>
      </c>
      <c r="U2829" s="38" t="str">
        <f>HYPERLINK("https://www.ncbi.nlm.nih.gov/pubmed/25393970","PubMed")</f>
        <v>PubMed</v>
      </c>
      <c r="V2829" s="50"/>
      <c r="W2829" s="49"/>
      <c r="X2829" s="49"/>
      <c r="Y2829" s="35"/>
      <c r="Z2829" s="35"/>
      <c r="AA2829" s="35"/>
      <c r="AB2829" s="35"/>
      <c r="AC2829" s="35"/>
      <c r="AD2829" s="35"/>
      <c r="AE2829" s="35"/>
      <c r="AF2829" s="35"/>
      <c r="AG2829" s="35"/>
      <c r="AH2829" s="35"/>
      <c r="AI2829" s="35"/>
      <c r="AJ2829" s="35"/>
      <c r="AK2829" s="35"/>
      <c r="AL2829" s="35"/>
    </row>
    <row r="2830">
      <c r="A2830" s="1"/>
      <c r="B2830" s="19" t="s">
        <v>12857</v>
      </c>
      <c r="C2830" s="20" t="s">
        <v>13952</v>
      </c>
      <c r="D2830" s="47"/>
      <c r="E2830" s="22" t="s">
        <v>13953</v>
      </c>
      <c r="F2830" s="22" t="s">
        <v>12890</v>
      </c>
      <c r="G2830" s="23">
        <v>2013.0</v>
      </c>
      <c r="H2830" s="22" t="s">
        <v>13954</v>
      </c>
      <c r="I2830" s="24" t="s">
        <v>13955</v>
      </c>
      <c r="J2830" s="22" t="s">
        <v>55</v>
      </c>
      <c r="K2830" s="22"/>
      <c r="L2830" s="36">
        <v>660.0</v>
      </c>
      <c r="M2830" s="36"/>
      <c r="N2830" s="36"/>
      <c r="O2830" s="36"/>
      <c r="P2830" s="37" t="s">
        <v>269</v>
      </c>
      <c r="Q2830" s="36"/>
      <c r="R2830" s="36"/>
      <c r="S2830" s="36"/>
      <c r="T2830" s="41" t="s">
        <v>13956</v>
      </c>
      <c r="U2830" s="38" t="str">
        <f>HYPERLINK("https://www.ncbi.nlm.nih.gov/pubmed/23997964","PubMed")</f>
        <v>PubMed</v>
      </c>
      <c r="V2830" s="50"/>
      <c r="W2830" s="49"/>
      <c r="X2830" s="49"/>
      <c r="Y2830" s="35"/>
      <c r="Z2830" s="35"/>
      <c r="AA2830" s="35"/>
      <c r="AB2830" s="35"/>
      <c r="AC2830" s="35"/>
      <c r="AD2830" s="35"/>
      <c r="AE2830" s="35"/>
      <c r="AF2830" s="35"/>
      <c r="AG2830" s="35"/>
      <c r="AH2830" s="35"/>
      <c r="AI2830" s="35"/>
      <c r="AJ2830" s="35"/>
      <c r="AK2830" s="35"/>
      <c r="AL2830" s="35"/>
    </row>
    <row r="2831">
      <c r="A2831" s="1"/>
      <c r="B2831" s="19" t="s">
        <v>12857</v>
      </c>
      <c r="C2831" s="20" t="s">
        <v>13957</v>
      </c>
      <c r="D2831" s="47"/>
      <c r="E2831" s="22" t="s">
        <v>13958</v>
      </c>
      <c r="F2831" s="22" t="s">
        <v>332</v>
      </c>
      <c r="G2831" s="23">
        <v>2020.0</v>
      </c>
      <c r="H2831" s="22" t="s">
        <v>13257</v>
      </c>
      <c r="I2831" s="24" t="s">
        <v>13959</v>
      </c>
      <c r="J2831" s="22" t="s">
        <v>13960</v>
      </c>
      <c r="K2831" s="22" t="s">
        <v>13961</v>
      </c>
      <c r="L2831" s="36">
        <v>1064.0</v>
      </c>
      <c r="M2831" s="36" t="s">
        <v>58</v>
      </c>
      <c r="N2831" s="36" t="s">
        <v>58</v>
      </c>
      <c r="O2831" s="36" t="s">
        <v>13962</v>
      </c>
      <c r="P2831" s="37" t="s">
        <v>58</v>
      </c>
      <c r="Q2831" s="36" t="s">
        <v>13963</v>
      </c>
      <c r="R2831" s="36" t="s">
        <v>13964</v>
      </c>
      <c r="S2831" s="36" t="s">
        <v>6552</v>
      </c>
      <c r="T2831" s="28" t="s">
        <v>13965</v>
      </c>
      <c r="U2831" s="29" t="s">
        <v>61</v>
      </c>
      <c r="V2831" s="50"/>
      <c r="W2831" s="49"/>
      <c r="X2831" s="49"/>
      <c r="Y2831" s="35"/>
      <c r="Z2831" s="35"/>
      <c r="AA2831" s="35"/>
      <c r="AB2831" s="35"/>
      <c r="AC2831" s="35"/>
      <c r="AD2831" s="35"/>
      <c r="AE2831" s="35"/>
      <c r="AF2831" s="35"/>
      <c r="AG2831" s="35"/>
      <c r="AH2831" s="35"/>
      <c r="AI2831" s="35"/>
      <c r="AJ2831" s="35"/>
      <c r="AK2831" s="35"/>
      <c r="AL2831" s="35"/>
    </row>
    <row r="2832">
      <c r="A2832" s="1" t="s">
        <v>2</v>
      </c>
      <c r="B2832" s="19" t="s">
        <v>12857</v>
      </c>
      <c r="C2832" s="20"/>
      <c r="D2832" s="47"/>
      <c r="E2832" s="22" t="s">
        <v>13667</v>
      </c>
      <c r="F2832" s="22" t="s">
        <v>1465</v>
      </c>
      <c r="G2832" s="23">
        <v>2003.0</v>
      </c>
      <c r="H2832" s="22" t="s">
        <v>4916</v>
      </c>
      <c r="I2832" s="24" t="s">
        <v>13966</v>
      </c>
      <c r="J2832" s="22" t="s">
        <v>649</v>
      </c>
      <c r="K2832" s="22"/>
      <c r="L2832" s="43" t="s">
        <v>13967</v>
      </c>
      <c r="M2832" s="44"/>
      <c r="N2832" s="44"/>
      <c r="O2832" s="44"/>
      <c r="P2832" s="44"/>
      <c r="Q2832" s="44"/>
      <c r="R2832" s="44"/>
      <c r="S2832" s="44"/>
      <c r="T2832" s="45"/>
      <c r="U2832" s="38" t="str">
        <f>HYPERLINK("https://www.ncbi.nlm.nih.gov/pubmed/12775206","PubMed")</f>
        <v>PubMed</v>
      </c>
      <c r="V2832" s="50"/>
      <c r="W2832" s="49"/>
      <c r="X2832" s="49"/>
      <c r="Y2832" s="35"/>
      <c r="Z2832" s="35"/>
      <c r="AA2832" s="35"/>
      <c r="AB2832" s="35"/>
      <c r="AC2832" s="35"/>
      <c r="AD2832" s="35"/>
      <c r="AE2832" s="35"/>
      <c r="AF2832" s="35"/>
      <c r="AG2832" s="35"/>
      <c r="AH2832" s="35"/>
      <c r="AI2832" s="35"/>
      <c r="AJ2832" s="35"/>
      <c r="AK2832" s="35"/>
      <c r="AL2832" s="35"/>
    </row>
    <row r="2833">
      <c r="A2833" s="1"/>
      <c r="B2833" s="19" t="s">
        <v>12857</v>
      </c>
      <c r="C2833" s="20"/>
      <c r="D2833" s="47"/>
      <c r="E2833" s="22" t="s">
        <v>13968</v>
      </c>
      <c r="F2833" s="22" t="s">
        <v>13121</v>
      </c>
      <c r="G2833" s="23">
        <v>1998.0</v>
      </c>
      <c r="H2833" s="22" t="s">
        <v>53</v>
      </c>
      <c r="I2833" s="24" t="s">
        <v>13969</v>
      </c>
      <c r="J2833" s="22" t="s">
        <v>55</v>
      </c>
      <c r="K2833" s="22"/>
      <c r="L2833" s="36">
        <v>810.0</v>
      </c>
      <c r="M2833" s="36" t="s">
        <v>13970</v>
      </c>
      <c r="N2833" s="36" t="s">
        <v>13123</v>
      </c>
      <c r="O2833" s="36"/>
      <c r="P2833" s="37"/>
      <c r="Q2833" s="36"/>
      <c r="R2833" s="36"/>
      <c r="S2833" s="36"/>
      <c r="T2833" s="41" t="s">
        <v>13971</v>
      </c>
      <c r="U2833" s="38" t="str">
        <f>HYPERLINK("https://www.ncbi.nlm.nih.gov/pubmed/9484700","PubMed")</f>
        <v>PubMed</v>
      </c>
      <c r="V2833" s="50"/>
      <c r="W2833" s="49"/>
      <c r="X2833" s="49"/>
      <c r="Y2833" s="35"/>
      <c r="Z2833" s="35"/>
      <c r="AA2833" s="35"/>
      <c r="AB2833" s="35"/>
      <c r="AC2833" s="35"/>
      <c r="AD2833" s="35"/>
      <c r="AE2833" s="35"/>
      <c r="AF2833" s="35"/>
      <c r="AG2833" s="35"/>
      <c r="AH2833" s="35"/>
      <c r="AI2833" s="35"/>
      <c r="AJ2833" s="35"/>
      <c r="AK2833" s="35"/>
      <c r="AL2833" s="35"/>
    </row>
    <row r="2834">
      <c r="A2834" s="1"/>
      <c r="B2834" s="19" t="s">
        <v>13972</v>
      </c>
      <c r="C2834" s="20" t="s">
        <v>13973</v>
      </c>
      <c r="D2834" s="47"/>
      <c r="E2834" s="22" t="s">
        <v>13974</v>
      </c>
      <c r="F2834" s="22" t="s">
        <v>5227</v>
      </c>
      <c r="G2834" s="23">
        <v>2023.0</v>
      </c>
      <c r="H2834" s="22" t="s">
        <v>13975</v>
      </c>
      <c r="I2834" s="24" t="s">
        <v>13976</v>
      </c>
      <c r="J2834" s="22" t="s">
        <v>55</v>
      </c>
      <c r="K2834" s="22" t="s">
        <v>13977</v>
      </c>
      <c r="L2834" s="36">
        <v>670.0</v>
      </c>
      <c r="M2834" s="36" t="s">
        <v>58</v>
      </c>
      <c r="N2834" s="36" t="s">
        <v>58</v>
      </c>
      <c r="O2834" s="36" t="s">
        <v>58</v>
      </c>
      <c r="P2834" s="37" t="s">
        <v>480</v>
      </c>
      <c r="Q2834" s="36" t="s">
        <v>58</v>
      </c>
      <c r="R2834" s="36" t="s">
        <v>13978</v>
      </c>
      <c r="S2834" s="36" t="s">
        <v>13979</v>
      </c>
      <c r="T2834" s="28" t="s">
        <v>13980</v>
      </c>
      <c r="U2834" s="38" t="s">
        <v>61</v>
      </c>
      <c r="V2834" s="30" t="s">
        <v>13981</v>
      </c>
      <c r="W2834" s="49"/>
      <c r="X2834" s="49"/>
      <c r="Y2834" s="35"/>
      <c r="Z2834" s="35"/>
      <c r="AA2834" s="35"/>
      <c r="AB2834" s="35"/>
      <c r="AC2834" s="35"/>
      <c r="AD2834" s="35"/>
      <c r="AE2834" s="35"/>
      <c r="AF2834" s="35"/>
      <c r="AG2834" s="35"/>
      <c r="AH2834" s="35"/>
      <c r="AI2834" s="35"/>
      <c r="AJ2834" s="35"/>
      <c r="AK2834" s="35"/>
      <c r="AL2834" s="35"/>
    </row>
    <row r="2835">
      <c r="A2835" s="1"/>
      <c r="B2835" s="19" t="s">
        <v>13972</v>
      </c>
      <c r="C2835" s="20" t="s">
        <v>13973</v>
      </c>
      <c r="D2835" s="47"/>
      <c r="E2835" s="22" t="s">
        <v>2167</v>
      </c>
      <c r="F2835" s="22" t="s">
        <v>323</v>
      </c>
      <c r="G2835" s="23">
        <v>2021.0</v>
      </c>
      <c r="H2835" s="22" t="s">
        <v>147</v>
      </c>
      <c r="I2835" s="24" t="s">
        <v>13982</v>
      </c>
      <c r="J2835" s="22" t="s">
        <v>13983</v>
      </c>
      <c r="K2835" s="22" t="s">
        <v>13984</v>
      </c>
      <c r="L2835" s="36">
        <v>405.0</v>
      </c>
      <c r="M2835" s="129">
        <v>44682.0</v>
      </c>
      <c r="N2835" s="36" t="s">
        <v>58</v>
      </c>
      <c r="O2835" s="36" t="s">
        <v>58</v>
      </c>
      <c r="P2835" s="37" t="s">
        <v>58</v>
      </c>
      <c r="Q2835" s="36" t="s">
        <v>58</v>
      </c>
      <c r="R2835" s="36">
        <v>1800.0</v>
      </c>
      <c r="S2835" s="36" t="s">
        <v>363</v>
      </c>
      <c r="T2835" s="28" t="s">
        <v>13985</v>
      </c>
      <c r="U2835" s="29" t="s">
        <v>61</v>
      </c>
      <c r="V2835" s="50"/>
      <c r="W2835" s="49"/>
      <c r="X2835" s="49"/>
      <c r="Y2835" s="35"/>
      <c r="Z2835" s="35"/>
      <c r="AA2835" s="35"/>
      <c r="AB2835" s="35"/>
      <c r="AC2835" s="35"/>
      <c r="AD2835" s="35"/>
      <c r="AE2835" s="35"/>
      <c r="AF2835" s="35"/>
      <c r="AG2835" s="35"/>
      <c r="AH2835" s="35"/>
      <c r="AI2835" s="35"/>
      <c r="AJ2835" s="35"/>
      <c r="AK2835" s="35"/>
      <c r="AL2835" s="35"/>
    </row>
    <row r="2836">
      <c r="A2836" s="1"/>
      <c r="B2836" s="19" t="s">
        <v>13972</v>
      </c>
      <c r="C2836" s="20" t="s">
        <v>13986</v>
      </c>
      <c r="D2836" s="47"/>
      <c r="E2836" s="22" t="s">
        <v>13987</v>
      </c>
      <c r="F2836" s="22" t="s">
        <v>1862</v>
      </c>
      <c r="G2836" s="23">
        <v>2022.0</v>
      </c>
      <c r="H2836" s="22" t="s">
        <v>348</v>
      </c>
      <c r="I2836" s="24" t="s">
        <v>13988</v>
      </c>
      <c r="J2836" s="22" t="s">
        <v>125</v>
      </c>
      <c r="K2836" s="22"/>
      <c r="L2836" s="43" t="s">
        <v>13989</v>
      </c>
      <c r="M2836" s="44"/>
      <c r="N2836" s="44"/>
      <c r="O2836" s="44"/>
      <c r="P2836" s="44"/>
      <c r="Q2836" s="44"/>
      <c r="R2836" s="44"/>
      <c r="S2836" s="44"/>
      <c r="T2836" s="45"/>
      <c r="U2836" s="38" t="s">
        <v>61</v>
      </c>
      <c r="V2836" s="50"/>
      <c r="W2836" s="49"/>
      <c r="X2836" s="49"/>
      <c r="Y2836" s="35"/>
      <c r="Z2836" s="35"/>
      <c r="AA2836" s="35"/>
      <c r="AB2836" s="35"/>
      <c r="AC2836" s="35"/>
      <c r="AD2836" s="35"/>
      <c r="AE2836" s="35"/>
      <c r="AF2836" s="35"/>
      <c r="AG2836" s="35"/>
      <c r="AH2836" s="35"/>
      <c r="AI2836" s="35"/>
      <c r="AJ2836" s="35"/>
      <c r="AK2836" s="35"/>
      <c r="AL2836" s="35"/>
    </row>
    <row r="2837">
      <c r="A2837" s="1"/>
      <c r="B2837" s="19" t="s">
        <v>13972</v>
      </c>
      <c r="C2837" s="20" t="s">
        <v>13986</v>
      </c>
      <c r="D2837" s="47"/>
      <c r="E2837" s="22" t="s">
        <v>13990</v>
      </c>
      <c r="F2837" s="22" t="s">
        <v>797</v>
      </c>
      <c r="G2837" s="23">
        <v>2020.0</v>
      </c>
      <c r="H2837" s="22" t="s">
        <v>91</v>
      </c>
      <c r="I2837" s="24" t="s">
        <v>13991</v>
      </c>
      <c r="J2837" s="22" t="s">
        <v>13992</v>
      </c>
      <c r="K2837" s="22"/>
      <c r="L2837" s="36">
        <v>810.0</v>
      </c>
      <c r="M2837" s="36" t="s">
        <v>13993</v>
      </c>
      <c r="N2837" s="36" t="s">
        <v>13994</v>
      </c>
      <c r="O2837" s="36" t="s">
        <v>13995</v>
      </c>
      <c r="P2837" s="37" t="s">
        <v>13996</v>
      </c>
      <c r="Q2837" s="36" t="s">
        <v>13997</v>
      </c>
      <c r="R2837" s="36" t="s">
        <v>3744</v>
      </c>
      <c r="S2837" s="36" t="s">
        <v>6552</v>
      </c>
      <c r="T2837" s="28" t="s">
        <v>13998</v>
      </c>
      <c r="U2837" s="38" t="str">
        <f>HYPERLINK("https://www.ncbi.nlm.nih.gov/pubmed/32333337","PubMed")</f>
        <v>PubMed</v>
      </c>
      <c r="V2837" s="50"/>
      <c r="W2837" s="49"/>
      <c r="X2837" s="49"/>
      <c r="Y2837" s="35"/>
      <c r="Z2837" s="35"/>
      <c r="AA2837" s="35"/>
      <c r="AB2837" s="35"/>
      <c r="AC2837" s="35"/>
      <c r="AD2837" s="35"/>
      <c r="AE2837" s="35"/>
      <c r="AF2837" s="35"/>
      <c r="AG2837" s="35"/>
      <c r="AH2837" s="35"/>
      <c r="AI2837" s="35"/>
      <c r="AJ2837" s="35"/>
      <c r="AK2837" s="35"/>
      <c r="AL2837" s="35"/>
    </row>
    <row r="2838">
      <c r="A2838" s="40"/>
      <c r="B2838" s="19" t="s">
        <v>13972</v>
      </c>
      <c r="C2838" s="20" t="s">
        <v>13986</v>
      </c>
      <c r="D2838" s="47"/>
      <c r="E2838" s="22" t="s">
        <v>3976</v>
      </c>
      <c r="F2838" s="22" t="s">
        <v>323</v>
      </c>
      <c r="G2838" s="23">
        <v>2020.0</v>
      </c>
      <c r="H2838" s="22" t="s">
        <v>147</v>
      </c>
      <c r="I2838" s="24" t="s">
        <v>13999</v>
      </c>
      <c r="J2838" s="22" t="s">
        <v>125</v>
      </c>
      <c r="K2838" s="22"/>
      <c r="L2838" s="43" t="s">
        <v>14000</v>
      </c>
      <c r="M2838" s="44"/>
      <c r="N2838" s="44"/>
      <c r="O2838" s="44"/>
      <c r="P2838" s="44"/>
      <c r="Q2838" s="44"/>
      <c r="R2838" s="44"/>
      <c r="S2838" s="44"/>
      <c r="T2838" s="45"/>
      <c r="U2838" s="38" t="str">
        <f>HYPERLINK("https://www.ncbi.nlm.nih.gov/pubmed/32273966","PubMed")</f>
        <v>PubMed</v>
      </c>
      <c r="V2838" s="30"/>
      <c r="W2838" s="34"/>
      <c r="X2838" s="34"/>
      <c r="Y2838" s="35"/>
      <c r="Z2838" s="35"/>
      <c r="AA2838" s="35"/>
      <c r="AB2838" s="35"/>
      <c r="AC2838" s="35"/>
      <c r="AD2838" s="35"/>
      <c r="AE2838" s="35"/>
      <c r="AF2838" s="35"/>
      <c r="AG2838" s="35"/>
      <c r="AH2838" s="35"/>
      <c r="AI2838" s="35"/>
      <c r="AJ2838" s="35"/>
      <c r="AK2838" s="35"/>
      <c r="AL2838" s="35"/>
    </row>
    <row r="2839">
      <c r="A2839" s="40"/>
      <c r="B2839" s="19" t="s">
        <v>13972</v>
      </c>
      <c r="C2839" s="20" t="s">
        <v>14001</v>
      </c>
      <c r="D2839" s="47"/>
      <c r="E2839" s="22" t="s">
        <v>14002</v>
      </c>
      <c r="F2839" s="22" t="s">
        <v>797</v>
      </c>
      <c r="G2839" s="23">
        <v>2018.0</v>
      </c>
      <c r="H2839" s="22" t="s">
        <v>91</v>
      </c>
      <c r="I2839" s="24" t="s">
        <v>14003</v>
      </c>
      <c r="J2839" s="22" t="s">
        <v>14004</v>
      </c>
      <c r="K2839" s="22" t="s">
        <v>1240</v>
      </c>
      <c r="L2839" s="36">
        <v>850.0</v>
      </c>
      <c r="M2839" s="36" t="s">
        <v>14005</v>
      </c>
      <c r="N2839" s="36"/>
      <c r="O2839" s="36" t="s">
        <v>14006</v>
      </c>
      <c r="P2839" s="37"/>
      <c r="Q2839" s="36" t="s">
        <v>14007</v>
      </c>
      <c r="R2839" s="36" t="s">
        <v>14008</v>
      </c>
      <c r="S2839" s="36" t="s">
        <v>14009</v>
      </c>
      <c r="T2839" s="28" t="s">
        <v>14010</v>
      </c>
      <c r="U2839" s="38" t="str">
        <f>HYPERLINK("https://www.ncbi.nlm.nih.gov/pubmed/30056586","PubMed")</f>
        <v>PubMed</v>
      </c>
      <c r="V2839" s="30"/>
      <c r="W2839" s="34"/>
      <c r="X2839" s="34"/>
      <c r="Y2839" s="35"/>
      <c r="Z2839" s="35"/>
      <c r="AA2839" s="35"/>
      <c r="AB2839" s="35"/>
      <c r="AC2839" s="35"/>
      <c r="AD2839" s="35"/>
      <c r="AE2839" s="35"/>
      <c r="AF2839" s="35"/>
      <c r="AG2839" s="35"/>
      <c r="AH2839" s="35"/>
      <c r="AI2839" s="35"/>
      <c r="AJ2839" s="35"/>
      <c r="AK2839" s="35"/>
      <c r="AL2839" s="35"/>
    </row>
    <row r="2840">
      <c r="A2840" s="40" t="s">
        <v>2</v>
      </c>
      <c r="B2840" s="19" t="s">
        <v>13972</v>
      </c>
      <c r="C2840" s="20" t="s">
        <v>14011</v>
      </c>
      <c r="D2840" s="47"/>
      <c r="E2840" s="22" t="s">
        <v>1904</v>
      </c>
      <c r="F2840" s="22" t="s">
        <v>9065</v>
      </c>
      <c r="G2840" s="23">
        <v>2010.0</v>
      </c>
      <c r="H2840" s="22" t="s">
        <v>207</v>
      </c>
      <c r="I2840" s="24" t="s">
        <v>14012</v>
      </c>
      <c r="J2840" s="22" t="s">
        <v>55</v>
      </c>
      <c r="K2840" s="22" t="s">
        <v>157</v>
      </c>
      <c r="L2840" s="36">
        <v>670.0</v>
      </c>
      <c r="M2840" s="36"/>
      <c r="N2840" s="36" t="s">
        <v>9755</v>
      </c>
      <c r="O2840" s="36"/>
      <c r="P2840" s="37" t="s">
        <v>14013</v>
      </c>
      <c r="Q2840" s="36"/>
      <c r="R2840" s="36">
        <v>300.0</v>
      </c>
      <c r="S2840" s="36">
        <v>70.0</v>
      </c>
      <c r="T2840" s="28" t="s">
        <v>14014</v>
      </c>
      <c r="U2840" s="38" t="str">
        <f>HYPERLINK("https://www.ncbi.nlm.nih.gov/pubmed/20356759","PubMed")</f>
        <v>PubMed</v>
      </c>
      <c r="V2840" s="30"/>
      <c r="W2840" s="34"/>
      <c r="X2840" s="34"/>
      <c r="Y2840" s="35"/>
      <c r="Z2840" s="35"/>
      <c r="AA2840" s="35"/>
      <c r="AB2840" s="35"/>
      <c r="AC2840" s="35"/>
      <c r="AD2840" s="35"/>
      <c r="AE2840" s="35"/>
      <c r="AF2840" s="35"/>
      <c r="AG2840" s="35"/>
      <c r="AH2840" s="35"/>
      <c r="AI2840" s="35"/>
      <c r="AJ2840" s="35"/>
      <c r="AK2840" s="35"/>
      <c r="AL2840" s="35"/>
    </row>
    <row r="2841">
      <c r="A2841" s="40"/>
      <c r="B2841" s="19" t="s">
        <v>13972</v>
      </c>
      <c r="C2841" s="20" t="s">
        <v>5250</v>
      </c>
      <c r="D2841" s="47"/>
      <c r="E2841" s="22" t="s">
        <v>14015</v>
      </c>
      <c r="F2841" s="22" t="s">
        <v>2105</v>
      </c>
      <c r="G2841" s="23">
        <v>2016.0</v>
      </c>
      <c r="H2841" s="22" t="s">
        <v>658</v>
      </c>
      <c r="I2841" s="24" t="s">
        <v>14016</v>
      </c>
      <c r="J2841" s="22" t="s">
        <v>44</v>
      </c>
      <c r="K2841" s="22" t="s">
        <v>5440</v>
      </c>
      <c r="L2841" s="36" t="s">
        <v>14017</v>
      </c>
      <c r="M2841" s="36"/>
      <c r="N2841" s="36"/>
      <c r="O2841" s="36"/>
      <c r="P2841" s="37"/>
      <c r="Q2841" s="36"/>
      <c r="R2841" s="36"/>
      <c r="S2841" s="36"/>
      <c r="T2841" s="28" t="s">
        <v>14018</v>
      </c>
      <c r="U2841" s="38" t="str">
        <f>HYPERLINK("https://www.ncbi.nlm.nih.gov/pubmed/27244220","PubMed")</f>
        <v>PubMed</v>
      </c>
      <c r="V2841" s="30"/>
      <c r="W2841" s="34"/>
      <c r="X2841" s="34"/>
      <c r="Y2841" s="35"/>
      <c r="Z2841" s="35"/>
      <c r="AA2841" s="35"/>
      <c r="AB2841" s="35"/>
      <c r="AC2841" s="35"/>
      <c r="AD2841" s="35"/>
      <c r="AE2841" s="35"/>
      <c r="AF2841" s="35"/>
      <c r="AG2841" s="35"/>
      <c r="AH2841" s="35"/>
      <c r="AI2841" s="35"/>
      <c r="AJ2841" s="35"/>
      <c r="AK2841" s="35"/>
      <c r="AL2841" s="35"/>
    </row>
    <row r="2842">
      <c r="A2842" s="40"/>
      <c r="B2842" s="19" t="s">
        <v>13972</v>
      </c>
      <c r="C2842" s="20" t="s">
        <v>5250</v>
      </c>
      <c r="D2842" s="47"/>
      <c r="E2842" s="22" t="s">
        <v>856</v>
      </c>
      <c r="F2842" s="22" t="s">
        <v>389</v>
      </c>
      <c r="G2842" s="23">
        <v>2012.0</v>
      </c>
      <c r="H2842" s="22" t="s">
        <v>658</v>
      </c>
      <c r="I2842" s="24" t="s">
        <v>14019</v>
      </c>
      <c r="J2842" s="22" t="s">
        <v>55</v>
      </c>
      <c r="K2842" s="22" t="s">
        <v>14020</v>
      </c>
      <c r="L2842" s="36">
        <v>780.0</v>
      </c>
      <c r="M2842" s="36">
        <v>30.0</v>
      </c>
      <c r="N2842" s="36" t="s">
        <v>14021</v>
      </c>
      <c r="O2842" s="36"/>
      <c r="P2842" s="37" t="s">
        <v>11840</v>
      </c>
      <c r="Q2842" s="36" t="s">
        <v>1199</v>
      </c>
      <c r="R2842" s="36">
        <v>270.0</v>
      </c>
      <c r="S2842" s="36">
        <v>1.0</v>
      </c>
      <c r="T2842" s="28" t="s">
        <v>14022</v>
      </c>
      <c r="U2842" s="38" t="str">
        <f>HYPERLINK("https://www.ncbi.nlm.nih.gov/pubmed/23134313","PubMed")</f>
        <v>PubMed</v>
      </c>
      <c r="V2842" s="30"/>
      <c r="W2842" s="130" t="str">
        <f>HYPERLINK("https://www.ncbi.nlm.nih.gov/pubmed/23945023","Comment")</f>
        <v>Comment</v>
      </c>
      <c r="X2842" s="130" t="str">
        <f>HYPERLINK("https://www.ncbi.nlm.nih.gov/pubmed/24102169","Reply")</f>
        <v>Reply</v>
      </c>
      <c r="Y2842" s="35"/>
      <c r="Z2842" s="35"/>
      <c r="AA2842" s="35"/>
      <c r="AB2842" s="35"/>
      <c r="AC2842" s="35"/>
      <c r="AD2842" s="35"/>
      <c r="AE2842" s="35"/>
      <c r="AF2842" s="35"/>
      <c r="AG2842" s="35"/>
      <c r="AH2842" s="35"/>
      <c r="AI2842" s="35"/>
      <c r="AJ2842" s="35"/>
      <c r="AK2842" s="35"/>
      <c r="AL2842" s="35"/>
    </row>
    <row r="2843">
      <c r="A2843" s="40" t="s">
        <v>2</v>
      </c>
      <c r="B2843" s="19" t="s">
        <v>13972</v>
      </c>
      <c r="C2843" s="20" t="s">
        <v>14023</v>
      </c>
      <c r="D2843" s="47"/>
      <c r="E2843" s="22" t="s">
        <v>14024</v>
      </c>
      <c r="F2843" s="22" t="s">
        <v>1782</v>
      </c>
      <c r="G2843" s="23">
        <v>2013.0</v>
      </c>
      <c r="H2843" s="22" t="s">
        <v>91</v>
      </c>
      <c r="I2843" s="24" t="s">
        <v>14025</v>
      </c>
      <c r="J2843" s="22" t="s">
        <v>55</v>
      </c>
      <c r="K2843" s="22" t="s">
        <v>14026</v>
      </c>
      <c r="L2843" s="36">
        <v>830.0</v>
      </c>
      <c r="M2843" s="36"/>
      <c r="N2843" s="36" t="s">
        <v>14027</v>
      </c>
      <c r="O2843" s="36">
        <v>500.0</v>
      </c>
      <c r="P2843" s="37" t="s">
        <v>14028</v>
      </c>
      <c r="Q2843" s="36" t="s">
        <v>14029</v>
      </c>
      <c r="R2843" s="36">
        <v>250.0</v>
      </c>
      <c r="S2843" s="36">
        <v>14.0</v>
      </c>
      <c r="T2843" s="28" t="s">
        <v>14030</v>
      </c>
      <c r="U2843" s="38" t="str">
        <f>HYPERLINK("https://www.ncbi.nlm.nih.gov/pubmed/23139073","PubMed")</f>
        <v>PubMed</v>
      </c>
      <c r="V2843" s="30"/>
      <c r="W2843" s="49"/>
      <c r="X2843" s="49"/>
      <c r="Y2843" s="35"/>
      <c r="Z2843" s="35"/>
      <c r="AA2843" s="35"/>
      <c r="AB2843" s="35"/>
      <c r="AC2843" s="35"/>
      <c r="AD2843" s="35"/>
      <c r="AE2843" s="35"/>
      <c r="AF2843" s="35"/>
      <c r="AG2843" s="35"/>
      <c r="AH2843" s="35"/>
      <c r="AI2843" s="35"/>
      <c r="AJ2843" s="35"/>
      <c r="AK2843" s="35"/>
      <c r="AL2843" s="35"/>
    </row>
    <row r="2844">
      <c r="A2844" s="40"/>
      <c r="B2844" s="19" t="s">
        <v>13972</v>
      </c>
      <c r="C2844" s="20" t="s">
        <v>3689</v>
      </c>
      <c r="D2844" s="47"/>
      <c r="E2844" s="22" t="s">
        <v>14031</v>
      </c>
      <c r="F2844" s="22" t="s">
        <v>323</v>
      </c>
      <c r="G2844" s="23">
        <v>2016.0</v>
      </c>
      <c r="H2844" s="22" t="s">
        <v>91</v>
      </c>
      <c r="I2844" s="24" t="s">
        <v>14032</v>
      </c>
      <c r="J2844" s="22" t="s">
        <v>55</v>
      </c>
      <c r="K2844" s="22" t="s">
        <v>607</v>
      </c>
      <c r="L2844" s="36">
        <v>685.0</v>
      </c>
      <c r="M2844" s="36">
        <v>15.0</v>
      </c>
      <c r="N2844" s="36"/>
      <c r="O2844" s="36"/>
      <c r="P2844" s="37" t="s">
        <v>14033</v>
      </c>
      <c r="Q2844" s="36" t="s">
        <v>12922</v>
      </c>
      <c r="R2844" s="36"/>
      <c r="S2844" s="36">
        <v>3.0</v>
      </c>
      <c r="T2844" s="28" t="s">
        <v>14034</v>
      </c>
      <c r="U2844" s="38" t="str">
        <f>HYPERLINK("https://www.ncbi.nlm.nih.gov/pubmed/27624783","PubMed")</f>
        <v>PubMed</v>
      </c>
      <c r="V2844" s="30"/>
      <c r="W2844" s="49"/>
      <c r="X2844" s="49"/>
      <c r="Y2844" s="35"/>
      <c r="Z2844" s="35"/>
      <c r="AA2844" s="35"/>
      <c r="AB2844" s="35"/>
      <c r="AC2844" s="35"/>
      <c r="AD2844" s="35"/>
      <c r="AE2844" s="35"/>
      <c r="AF2844" s="35"/>
      <c r="AG2844" s="35"/>
      <c r="AH2844" s="35"/>
      <c r="AI2844" s="35"/>
      <c r="AJ2844" s="35"/>
      <c r="AK2844" s="35"/>
      <c r="AL2844" s="35"/>
    </row>
    <row r="2845">
      <c r="A2845" s="40"/>
      <c r="B2845" s="19" t="s">
        <v>13972</v>
      </c>
      <c r="C2845" s="20" t="s">
        <v>14035</v>
      </c>
      <c r="D2845" s="47"/>
      <c r="E2845" s="22" t="s">
        <v>14036</v>
      </c>
      <c r="F2845" s="22" t="s">
        <v>224</v>
      </c>
      <c r="G2845" s="23">
        <v>2024.0</v>
      </c>
      <c r="H2845" s="22" t="s">
        <v>14037</v>
      </c>
      <c r="I2845" s="24" t="s">
        <v>14038</v>
      </c>
      <c r="J2845" s="22" t="s">
        <v>2141</v>
      </c>
      <c r="K2845" s="22"/>
      <c r="L2845" s="168"/>
      <c r="M2845" s="168"/>
      <c r="N2845" s="168"/>
      <c r="O2845" s="168"/>
      <c r="P2845" s="169"/>
      <c r="Q2845" s="168"/>
      <c r="R2845" s="168"/>
      <c r="S2845" s="168"/>
      <c r="T2845" s="185"/>
      <c r="U2845" s="38" t="s">
        <v>61</v>
      </c>
      <c r="V2845" s="30"/>
      <c r="W2845" s="49"/>
      <c r="X2845" s="49"/>
      <c r="Y2845" s="35"/>
      <c r="Z2845" s="35"/>
      <c r="AA2845" s="35"/>
      <c r="AB2845" s="35"/>
      <c r="AC2845" s="35"/>
      <c r="AD2845" s="35"/>
      <c r="AE2845" s="35"/>
      <c r="AF2845" s="35"/>
      <c r="AG2845" s="35"/>
      <c r="AH2845" s="35"/>
      <c r="AI2845" s="35"/>
      <c r="AJ2845" s="35"/>
      <c r="AK2845" s="35"/>
      <c r="AL2845" s="35"/>
    </row>
    <row r="2846">
      <c r="A2846" s="1"/>
      <c r="B2846" s="19" t="s">
        <v>13972</v>
      </c>
      <c r="C2846" s="20" t="s">
        <v>14039</v>
      </c>
      <c r="D2846" s="47"/>
      <c r="E2846" s="22" t="s">
        <v>2482</v>
      </c>
      <c r="F2846" s="22" t="s">
        <v>2407</v>
      </c>
      <c r="G2846" s="23">
        <v>2020.0</v>
      </c>
      <c r="H2846" s="22" t="s">
        <v>77</v>
      </c>
      <c r="I2846" s="24" t="s">
        <v>14040</v>
      </c>
      <c r="J2846" s="22" t="s">
        <v>202</v>
      </c>
      <c r="K2846" s="22"/>
      <c r="L2846" s="213" t="s">
        <v>14041</v>
      </c>
      <c r="M2846" s="44"/>
      <c r="N2846" s="44"/>
      <c r="O2846" s="44"/>
      <c r="P2846" s="44"/>
      <c r="Q2846" s="44"/>
      <c r="R2846" s="44"/>
      <c r="S2846" s="44"/>
      <c r="T2846" s="45"/>
      <c r="U2846" s="38" t="str">
        <f>HYPERLINK("https://www.ncbi.nlm.nih.gov/pubmed/32059117","PubMed")</f>
        <v>PubMed</v>
      </c>
      <c r="V2846" s="30"/>
      <c r="W2846" s="49"/>
      <c r="X2846" s="49"/>
      <c r="Y2846" s="35"/>
      <c r="Z2846" s="35"/>
      <c r="AA2846" s="35"/>
      <c r="AB2846" s="35"/>
      <c r="AC2846" s="35"/>
      <c r="AD2846" s="35"/>
      <c r="AE2846" s="35"/>
      <c r="AF2846" s="35"/>
      <c r="AG2846" s="35"/>
      <c r="AH2846" s="35"/>
      <c r="AI2846" s="35"/>
      <c r="AJ2846" s="35"/>
      <c r="AK2846" s="35"/>
      <c r="AL2846" s="35"/>
    </row>
    <row r="2847">
      <c r="A2847" s="1"/>
      <c r="B2847" s="19" t="s">
        <v>13972</v>
      </c>
      <c r="C2847" s="20" t="s">
        <v>14039</v>
      </c>
      <c r="D2847" s="47"/>
      <c r="E2847" s="22" t="s">
        <v>1904</v>
      </c>
      <c r="F2847" s="22" t="s">
        <v>9065</v>
      </c>
      <c r="G2847" s="23">
        <v>2011.0</v>
      </c>
      <c r="H2847" s="22" t="s">
        <v>14042</v>
      </c>
      <c r="I2847" s="24" t="s">
        <v>14043</v>
      </c>
      <c r="J2847" s="22" t="s">
        <v>55</v>
      </c>
      <c r="K2847" s="22" t="s">
        <v>14044</v>
      </c>
      <c r="L2847" s="36" t="s">
        <v>14045</v>
      </c>
      <c r="M2847" s="36"/>
      <c r="N2847" s="106"/>
      <c r="O2847" s="106"/>
      <c r="P2847" s="106"/>
      <c r="Q2847" s="249"/>
      <c r="R2847" s="106"/>
      <c r="S2847" s="106"/>
      <c r="T2847" s="41" t="s">
        <v>14046</v>
      </c>
      <c r="U2847" s="38" t="str">
        <f>HYPERLINK("https://www.ncbi.nlm.nih.gov/pubmed/22470396","PubMed")</f>
        <v>PubMed</v>
      </c>
      <c r="V2847" s="30"/>
      <c r="W2847" s="49"/>
      <c r="X2847" s="49"/>
      <c r="Y2847" s="35"/>
      <c r="Z2847" s="35"/>
      <c r="AA2847" s="35"/>
      <c r="AB2847" s="35"/>
      <c r="AC2847" s="35"/>
      <c r="AD2847" s="35"/>
      <c r="AE2847" s="35"/>
      <c r="AF2847" s="35"/>
      <c r="AG2847" s="35"/>
      <c r="AH2847" s="35"/>
      <c r="AI2847" s="35"/>
      <c r="AJ2847" s="35"/>
      <c r="AK2847" s="35"/>
      <c r="AL2847" s="35"/>
    </row>
    <row r="2848">
      <c r="A2848" s="1"/>
      <c r="B2848" s="19" t="s">
        <v>13972</v>
      </c>
      <c r="C2848" s="20" t="s">
        <v>14047</v>
      </c>
      <c r="D2848" s="47"/>
      <c r="E2848" s="22" t="s">
        <v>14048</v>
      </c>
      <c r="F2848" s="22" t="s">
        <v>1337</v>
      </c>
      <c r="G2848" s="23">
        <v>2013.0</v>
      </c>
      <c r="H2848" s="22" t="s">
        <v>4975</v>
      </c>
      <c r="I2848" s="24" t="s">
        <v>14049</v>
      </c>
      <c r="J2848" s="22" t="s">
        <v>55</v>
      </c>
      <c r="K2848" s="22" t="s">
        <v>14050</v>
      </c>
      <c r="L2848" s="36">
        <v>785.0</v>
      </c>
      <c r="M2848" s="36"/>
      <c r="N2848" s="106"/>
      <c r="O2848" s="106"/>
      <c r="P2848" s="106"/>
      <c r="Q2848" s="249"/>
      <c r="R2848" s="106"/>
      <c r="S2848" s="106"/>
      <c r="T2848" s="28" t="s">
        <v>14051</v>
      </c>
      <c r="U2848" s="38" t="str">
        <f>HYPERLINK("http://www.ncbi.nlm.nih.gov/pubmed/23360312","PubMed")</f>
        <v>PubMed</v>
      </c>
      <c r="V2848" s="30" t="s">
        <v>14052</v>
      </c>
      <c r="W2848" s="49"/>
      <c r="X2848" s="49"/>
      <c r="Y2848" s="35"/>
      <c r="Z2848" s="35"/>
      <c r="AA2848" s="35"/>
      <c r="AB2848" s="35"/>
      <c r="AC2848" s="35"/>
      <c r="AD2848" s="35"/>
      <c r="AE2848" s="35"/>
      <c r="AF2848" s="35"/>
      <c r="AG2848" s="35"/>
      <c r="AH2848" s="35"/>
      <c r="AI2848" s="35"/>
      <c r="AJ2848" s="35"/>
      <c r="AK2848" s="35"/>
      <c r="AL2848" s="35"/>
    </row>
    <row r="2849">
      <c r="A2849" s="1"/>
      <c r="B2849" s="19" t="s">
        <v>13972</v>
      </c>
      <c r="C2849" s="20" t="s">
        <v>14053</v>
      </c>
      <c r="D2849" s="47"/>
      <c r="E2849" s="22" t="s">
        <v>14054</v>
      </c>
      <c r="F2849" s="22" t="s">
        <v>748</v>
      </c>
      <c r="G2849" s="23">
        <v>2006.0</v>
      </c>
      <c r="H2849" s="22" t="s">
        <v>14055</v>
      </c>
      <c r="I2849" s="24" t="s">
        <v>14056</v>
      </c>
      <c r="J2849" s="22" t="s">
        <v>253</v>
      </c>
      <c r="K2849" s="22" t="s">
        <v>14057</v>
      </c>
      <c r="L2849" s="36"/>
      <c r="M2849" s="36"/>
      <c r="N2849" s="106"/>
      <c r="O2849" s="106"/>
      <c r="P2849" s="106"/>
      <c r="Q2849" s="249"/>
      <c r="R2849" s="106"/>
      <c r="S2849" s="106"/>
      <c r="T2849" s="28" t="s">
        <v>14058</v>
      </c>
      <c r="U2849" s="38" t="str">
        <f>HYPERLINK("https://www.ncbi.nlm.nih.gov/pubmed/16889091","PubMed")</f>
        <v>PubMed</v>
      </c>
      <c r="V2849" s="30"/>
      <c r="W2849" s="49"/>
      <c r="X2849" s="49"/>
      <c r="Y2849" s="35"/>
      <c r="Z2849" s="35"/>
      <c r="AA2849" s="35"/>
      <c r="AB2849" s="35"/>
      <c r="AC2849" s="35"/>
      <c r="AD2849" s="35"/>
      <c r="AE2849" s="35"/>
      <c r="AF2849" s="35"/>
      <c r="AG2849" s="35"/>
      <c r="AH2849" s="35"/>
      <c r="AI2849" s="35"/>
      <c r="AJ2849" s="35"/>
      <c r="AK2849" s="35"/>
      <c r="AL2849" s="35"/>
    </row>
    <row r="2850">
      <c r="A2850" s="289"/>
      <c r="B2850" s="19" t="s">
        <v>14059</v>
      </c>
      <c r="C2850" s="20" t="s">
        <v>14060</v>
      </c>
      <c r="D2850" s="47"/>
      <c r="E2850" s="22" t="s">
        <v>14061</v>
      </c>
      <c r="F2850" s="22" t="s">
        <v>14062</v>
      </c>
      <c r="G2850" s="23">
        <v>2014.0</v>
      </c>
      <c r="H2850" s="22" t="s">
        <v>91</v>
      </c>
      <c r="I2850" s="24" t="s">
        <v>14063</v>
      </c>
      <c r="J2850" s="22" t="s">
        <v>55</v>
      </c>
      <c r="K2850" s="22" t="s">
        <v>14064</v>
      </c>
      <c r="L2850" s="36">
        <v>780.0</v>
      </c>
      <c r="M2850" s="36">
        <v>70.0</v>
      </c>
      <c r="N2850" s="36">
        <v>70.0</v>
      </c>
      <c r="O2850" s="129">
        <v>42404.0</v>
      </c>
      <c r="P2850" s="37" t="s">
        <v>14065</v>
      </c>
      <c r="Q2850" s="36" t="s">
        <v>14066</v>
      </c>
      <c r="R2850" s="36" t="s">
        <v>4686</v>
      </c>
      <c r="S2850" s="36">
        <v>4.0</v>
      </c>
      <c r="T2850" s="28" t="s">
        <v>14067</v>
      </c>
      <c r="U2850" s="38" t="str">
        <f>HYPERLINK("https://www.ncbi.nlm.nih.gov/pubmed/23613090","PubMed")</f>
        <v>PubMed</v>
      </c>
      <c r="V2850" s="30"/>
      <c r="W2850" s="49"/>
      <c r="X2850" s="49"/>
      <c r="Y2850" s="35"/>
      <c r="Z2850" s="35"/>
      <c r="AA2850" s="35"/>
      <c r="AB2850" s="35"/>
      <c r="AC2850" s="35"/>
      <c r="AD2850" s="35"/>
      <c r="AE2850" s="35"/>
      <c r="AF2850" s="35"/>
      <c r="AG2850" s="35"/>
      <c r="AH2850" s="35"/>
      <c r="AI2850" s="35"/>
      <c r="AJ2850" s="35"/>
      <c r="AK2850" s="35"/>
      <c r="AL2850" s="35"/>
    </row>
    <row r="2851">
      <c r="A2851" s="133" t="s">
        <v>2</v>
      </c>
      <c r="B2851" s="19" t="s">
        <v>14059</v>
      </c>
      <c r="C2851" s="20" t="s">
        <v>14060</v>
      </c>
      <c r="D2851" s="47"/>
      <c r="E2851" s="22" t="s">
        <v>14061</v>
      </c>
      <c r="F2851" s="22" t="s">
        <v>14062</v>
      </c>
      <c r="G2851" s="23">
        <v>2013.0</v>
      </c>
      <c r="H2851" s="22" t="s">
        <v>207</v>
      </c>
      <c r="I2851" s="24" t="s">
        <v>14068</v>
      </c>
      <c r="J2851" s="22" t="s">
        <v>55</v>
      </c>
      <c r="K2851" s="22" t="s">
        <v>14064</v>
      </c>
      <c r="L2851" s="36" t="s">
        <v>14069</v>
      </c>
      <c r="M2851" s="36" t="s">
        <v>14070</v>
      </c>
      <c r="N2851" s="36" t="s">
        <v>14071</v>
      </c>
      <c r="O2851" s="36" t="s">
        <v>14072</v>
      </c>
      <c r="P2851" s="37" t="s">
        <v>14073</v>
      </c>
      <c r="Q2851" s="36" t="s">
        <v>14074</v>
      </c>
      <c r="R2851" s="36" t="s">
        <v>14075</v>
      </c>
      <c r="S2851" s="36">
        <v>4.0</v>
      </c>
      <c r="T2851" s="28" t="s">
        <v>14076</v>
      </c>
      <c r="U2851" s="38" t="str">
        <f>HYPERLINK("https://www.ncbi.nlm.nih.gov/pubmed/23524249","PubMed")</f>
        <v>PubMed</v>
      </c>
      <c r="V2851" s="30"/>
      <c r="W2851" s="49"/>
      <c r="X2851" s="49"/>
      <c r="Y2851" s="35"/>
      <c r="Z2851" s="35"/>
      <c r="AA2851" s="35"/>
      <c r="AB2851" s="35"/>
      <c r="AC2851" s="35"/>
      <c r="AD2851" s="35"/>
      <c r="AE2851" s="35"/>
      <c r="AF2851" s="35"/>
      <c r="AG2851" s="35"/>
      <c r="AH2851" s="35"/>
      <c r="AI2851" s="35"/>
      <c r="AJ2851" s="35"/>
      <c r="AK2851" s="35"/>
      <c r="AL2851" s="35"/>
    </row>
    <row r="2852">
      <c r="A2852" s="133"/>
      <c r="B2852" s="19" t="s">
        <v>2686</v>
      </c>
      <c r="C2852" s="20" t="s">
        <v>12823</v>
      </c>
      <c r="D2852" s="47"/>
      <c r="E2852" s="22" t="s">
        <v>14077</v>
      </c>
      <c r="F2852" s="22" t="s">
        <v>14078</v>
      </c>
      <c r="G2852" s="23">
        <v>2018.0</v>
      </c>
      <c r="H2852" s="22" t="s">
        <v>14079</v>
      </c>
      <c r="I2852" s="24" t="s">
        <v>14080</v>
      </c>
      <c r="J2852" s="22" t="s">
        <v>55</v>
      </c>
      <c r="K2852" s="22"/>
      <c r="L2852" s="36" t="s">
        <v>302</v>
      </c>
      <c r="M2852" s="36"/>
      <c r="N2852" s="36"/>
      <c r="O2852" s="36"/>
      <c r="P2852" s="37" t="s">
        <v>8665</v>
      </c>
      <c r="Q2852" s="36"/>
      <c r="R2852" s="36"/>
      <c r="S2852" s="36"/>
      <c r="T2852" s="41" t="s">
        <v>14081</v>
      </c>
      <c r="U2852" s="38" t="str">
        <f>HYPERLINK("https://www.ncbi.nlm.nih.gov/pubmed/30671152","PubMed")</f>
        <v>PubMed</v>
      </c>
      <c r="V2852" s="30"/>
      <c r="W2852" s="49"/>
      <c r="X2852" s="49"/>
      <c r="Y2852" s="35"/>
      <c r="Z2852" s="35"/>
      <c r="AA2852" s="35"/>
      <c r="AB2852" s="35"/>
      <c r="AC2852" s="35"/>
      <c r="AD2852" s="35"/>
      <c r="AE2852" s="35"/>
      <c r="AF2852" s="35"/>
      <c r="AG2852" s="35"/>
      <c r="AH2852" s="35"/>
      <c r="AI2852" s="35"/>
      <c r="AJ2852" s="35"/>
      <c r="AK2852" s="35"/>
      <c r="AL2852" s="35"/>
    </row>
    <row r="2853">
      <c r="A2853" s="149" t="s">
        <v>181</v>
      </c>
      <c r="B2853" s="19" t="s">
        <v>2686</v>
      </c>
      <c r="C2853" s="20" t="s">
        <v>14082</v>
      </c>
      <c r="D2853" s="47"/>
      <c r="E2853" s="22" t="s">
        <v>2316</v>
      </c>
      <c r="F2853" s="22" t="s">
        <v>14083</v>
      </c>
      <c r="G2853" s="23">
        <v>2008.0</v>
      </c>
      <c r="H2853" s="22" t="s">
        <v>14084</v>
      </c>
      <c r="I2853" s="24" t="s">
        <v>14085</v>
      </c>
      <c r="J2853" s="22" t="s">
        <v>14086</v>
      </c>
      <c r="K2853" s="22"/>
      <c r="L2853" s="36" t="s">
        <v>58</v>
      </c>
      <c r="M2853" s="36" t="s">
        <v>58</v>
      </c>
      <c r="N2853" s="36" t="s">
        <v>58</v>
      </c>
      <c r="O2853" s="36">
        <v>16.0</v>
      </c>
      <c r="P2853" s="37" t="s">
        <v>58</v>
      </c>
      <c r="Q2853" s="36" t="s">
        <v>58</v>
      </c>
      <c r="R2853" s="36">
        <v>480.0</v>
      </c>
      <c r="S2853" s="36" t="s">
        <v>14087</v>
      </c>
      <c r="T2853" s="54" t="s">
        <v>14088</v>
      </c>
      <c r="U2853" s="29" t="s">
        <v>61</v>
      </c>
      <c r="V2853" s="30"/>
      <c r="W2853" s="49"/>
      <c r="X2853" s="49"/>
      <c r="Y2853" s="35"/>
      <c r="Z2853" s="35"/>
      <c r="AA2853" s="35"/>
      <c r="AB2853" s="35"/>
      <c r="AC2853" s="35"/>
      <c r="AD2853" s="35"/>
      <c r="AE2853" s="35"/>
      <c r="AF2853" s="35"/>
      <c r="AG2853" s="35"/>
      <c r="AH2853" s="35"/>
      <c r="AI2853" s="35"/>
      <c r="AJ2853" s="35"/>
      <c r="AK2853" s="35"/>
      <c r="AL2853" s="35"/>
    </row>
    <row r="2854">
      <c r="A2854" s="149"/>
      <c r="B2854" s="19" t="s">
        <v>2686</v>
      </c>
      <c r="C2854" s="20" t="s">
        <v>14089</v>
      </c>
      <c r="D2854" s="47"/>
      <c r="E2854" s="22" t="s">
        <v>14090</v>
      </c>
      <c r="F2854" s="22" t="s">
        <v>41</v>
      </c>
      <c r="G2854" s="23">
        <v>2023.0</v>
      </c>
      <c r="H2854" s="22" t="s">
        <v>91</v>
      </c>
      <c r="I2854" s="24" t="s">
        <v>14091</v>
      </c>
      <c r="J2854" s="22" t="s">
        <v>649</v>
      </c>
      <c r="K2854" s="22"/>
      <c r="L2854" s="105" t="s">
        <v>14092</v>
      </c>
      <c r="M2854" s="44"/>
      <c r="N2854" s="44"/>
      <c r="O2854" s="44"/>
      <c r="P2854" s="44"/>
      <c r="Q2854" s="44"/>
      <c r="R2854" s="44"/>
      <c r="S2854" s="44"/>
      <c r="T2854" s="45"/>
      <c r="U2854" s="38" t="s">
        <v>61</v>
      </c>
      <c r="V2854" s="30"/>
      <c r="W2854" s="49"/>
      <c r="X2854" s="49"/>
      <c r="Y2854" s="35"/>
      <c r="Z2854" s="35"/>
      <c r="AA2854" s="35"/>
      <c r="AB2854" s="35"/>
      <c r="AC2854" s="35"/>
      <c r="AD2854" s="35"/>
      <c r="AE2854" s="35"/>
      <c r="AF2854" s="35"/>
      <c r="AG2854" s="35"/>
      <c r="AH2854" s="35"/>
      <c r="AI2854" s="35"/>
      <c r="AJ2854" s="35"/>
      <c r="AK2854" s="35"/>
      <c r="AL2854" s="35"/>
    </row>
    <row r="2855">
      <c r="A2855" s="149"/>
      <c r="B2855" s="19" t="s">
        <v>2686</v>
      </c>
      <c r="C2855" s="20" t="s">
        <v>197</v>
      </c>
      <c r="D2855" s="47"/>
      <c r="E2855" s="22" t="s">
        <v>3046</v>
      </c>
      <c r="F2855" s="22" t="s">
        <v>14093</v>
      </c>
      <c r="G2855" s="23">
        <v>2022.0</v>
      </c>
      <c r="H2855" s="22" t="s">
        <v>3523</v>
      </c>
      <c r="I2855" s="24" t="s">
        <v>14094</v>
      </c>
      <c r="J2855" s="22" t="s">
        <v>202</v>
      </c>
      <c r="K2855" s="22"/>
      <c r="L2855" s="43" t="s">
        <v>14095</v>
      </c>
      <c r="M2855" s="44"/>
      <c r="N2855" s="44"/>
      <c r="O2855" s="44"/>
      <c r="P2855" s="44"/>
      <c r="Q2855" s="44"/>
      <c r="R2855" s="44"/>
      <c r="S2855" s="44"/>
      <c r="T2855" s="45"/>
      <c r="U2855" s="38" t="s">
        <v>61</v>
      </c>
      <c r="V2855" s="30"/>
      <c r="W2855" s="49"/>
      <c r="X2855" s="49"/>
      <c r="Y2855" s="35"/>
      <c r="Z2855" s="35"/>
      <c r="AA2855" s="35"/>
      <c r="AB2855" s="35"/>
      <c r="AC2855" s="35"/>
      <c r="AD2855" s="35"/>
      <c r="AE2855" s="35"/>
      <c r="AF2855" s="35"/>
      <c r="AG2855" s="35"/>
      <c r="AH2855" s="35"/>
      <c r="AI2855" s="35"/>
      <c r="AJ2855" s="35"/>
      <c r="AK2855" s="35"/>
      <c r="AL2855" s="35"/>
    </row>
    <row r="2856">
      <c r="A2856" s="133"/>
      <c r="B2856" s="19" t="s">
        <v>2686</v>
      </c>
      <c r="C2856" s="20" t="s">
        <v>14096</v>
      </c>
      <c r="D2856" s="47"/>
      <c r="E2856" s="22" t="s">
        <v>3046</v>
      </c>
      <c r="F2856" s="22" t="s">
        <v>14093</v>
      </c>
      <c r="G2856" s="23">
        <v>2020.0</v>
      </c>
      <c r="H2856" s="22" t="s">
        <v>14079</v>
      </c>
      <c r="I2856" s="24" t="s">
        <v>14097</v>
      </c>
      <c r="J2856" s="22" t="s">
        <v>125</v>
      </c>
      <c r="K2856" s="22"/>
      <c r="L2856" s="43" t="s">
        <v>14098</v>
      </c>
      <c r="M2856" s="44"/>
      <c r="N2856" s="44"/>
      <c r="O2856" s="44"/>
      <c r="P2856" s="44"/>
      <c r="Q2856" s="44"/>
      <c r="R2856" s="44"/>
      <c r="S2856" s="44"/>
      <c r="T2856" s="45"/>
      <c r="U2856" s="29" t="s">
        <v>61</v>
      </c>
      <c r="V2856" s="30"/>
      <c r="W2856" s="49"/>
      <c r="X2856" s="49"/>
      <c r="Y2856" s="35"/>
      <c r="Z2856" s="35"/>
      <c r="AA2856" s="35"/>
      <c r="AB2856" s="35"/>
      <c r="AC2856" s="35"/>
      <c r="AD2856" s="35"/>
      <c r="AE2856" s="35"/>
      <c r="AF2856" s="35"/>
      <c r="AG2856" s="35"/>
      <c r="AH2856" s="35"/>
      <c r="AI2856" s="35"/>
      <c r="AJ2856" s="35"/>
      <c r="AK2856" s="35"/>
      <c r="AL2856" s="35"/>
    </row>
    <row r="2857">
      <c r="A2857" s="133"/>
      <c r="B2857" s="19" t="s">
        <v>2686</v>
      </c>
      <c r="C2857" s="20" t="s">
        <v>14099</v>
      </c>
      <c r="D2857" s="47"/>
      <c r="E2857" s="22" t="s">
        <v>1507</v>
      </c>
      <c r="F2857" s="22" t="s">
        <v>1508</v>
      </c>
      <c r="G2857" s="23">
        <v>2019.0</v>
      </c>
      <c r="H2857" s="22" t="s">
        <v>300</v>
      </c>
      <c r="I2857" s="24" t="s">
        <v>14100</v>
      </c>
      <c r="J2857" s="22" t="s">
        <v>14101</v>
      </c>
      <c r="K2857" s="22" t="s">
        <v>14102</v>
      </c>
      <c r="L2857" s="36">
        <v>830.0</v>
      </c>
      <c r="M2857" s="36">
        <v>60.0</v>
      </c>
      <c r="N2857" s="36" t="s">
        <v>58</v>
      </c>
      <c r="O2857" s="36">
        <v>36.0</v>
      </c>
      <c r="P2857" s="37" t="s">
        <v>1512</v>
      </c>
      <c r="Q2857" s="36" t="s">
        <v>58</v>
      </c>
      <c r="R2857" s="36" t="s">
        <v>14103</v>
      </c>
      <c r="S2857" s="36">
        <v>1.0</v>
      </c>
      <c r="T2857" s="41" t="s">
        <v>14104</v>
      </c>
      <c r="U2857" s="38" t="str">
        <f>HYPERLINK("https://www.ncbi.nlm.nih.gov/pubmed/30755776","PubMed")</f>
        <v>PubMed</v>
      </c>
      <c r="V2857" s="30"/>
      <c r="W2857" s="49"/>
      <c r="X2857" s="49"/>
      <c r="Y2857" s="35"/>
      <c r="Z2857" s="35"/>
      <c r="AA2857" s="35"/>
      <c r="AB2857" s="35"/>
      <c r="AC2857" s="35"/>
      <c r="AD2857" s="35"/>
      <c r="AE2857" s="35"/>
      <c r="AF2857" s="35"/>
      <c r="AG2857" s="35"/>
      <c r="AH2857" s="35"/>
      <c r="AI2857" s="35"/>
      <c r="AJ2857" s="35"/>
      <c r="AK2857" s="35"/>
      <c r="AL2857" s="35"/>
    </row>
    <row r="2858">
      <c r="A2858" s="133"/>
      <c r="B2858" s="19" t="s">
        <v>2686</v>
      </c>
      <c r="C2858" s="20" t="s">
        <v>14105</v>
      </c>
      <c r="D2858" s="47"/>
      <c r="E2858" s="22" t="s">
        <v>3035</v>
      </c>
      <c r="F2858" s="22" t="s">
        <v>3522</v>
      </c>
      <c r="G2858" s="23">
        <v>2010.0</v>
      </c>
      <c r="H2858" s="22" t="s">
        <v>14106</v>
      </c>
      <c r="I2858" s="24" t="s">
        <v>14107</v>
      </c>
      <c r="J2858" s="22" t="s">
        <v>14108</v>
      </c>
      <c r="K2858" s="22" t="s">
        <v>14109</v>
      </c>
      <c r="L2858" s="36"/>
      <c r="M2858" s="36"/>
      <c r="N2858" s="36"/>
      <c r="O2858" s="36" t="s">
        <v>14110</v>
      </c>
      <c r="P2858" s="37"/>
      <c r="Q2858" s="36"/>
      <c r="R2858" s="36"/>
      <c r="S2858" s="36" t="s">
        <v>4905</v>
      </c>
      <c r="T2858" s="28" t="s">
        <v>14111</v>
      </c>
      <c r="U2858" s="38" t="str">
        <f>HYPERLINK("https://www.ncbi.nlm.nih.gov/pubmed/20821818","PubMed")</f>
        <v>PubMed</v>
      </c>
      <c r="V2858" s="30" t="s">
        <v>174</v>
      </c>
      <c r="W2858" s="49"/>
      <c r="X2858" s="49"/>
      <c r="Y2858" s="35"/>
      <c r="Z2858" s="35"/>
      <c r="AA2858" s="35"/>
      <c r="AB2858" s="35"/>
      <c r="AC2858" s="35"/>
      <c r="AD2858" s="35"/>
      <c r="AE2858" s="35"/>
      <c r="AF2858" s="35"/>
      <c r="AG2858" s="35"/>
      <c r="AH2858" s="35"/>
      <c r="AI2858" s="35"/>
      <c r="AJ2858" s="35"/>
      <c r="AK2858" s="35"/>
      <c r="AL2858" s="35"/>
    </row>
    <row r="2859">
      <c r="A2859" s="133"/>
      <c r="B2859" s="19" t="s">
        <v>2686</v>
      </c>
      <c r="C2859" s="20" t="s">
        <v>2036</v>
      </c>
      <c r="D2859" s="47"/>
      <c r="E2859" s="22" t="s">
        <v>2338</v>
      </c>
      <c r="F2859" s="22" t="s">
        <v>14112</v>
      </c>
      <c r="G2859" s="23">
        <v>2021.0</v>
      </c>
      <c r="H2859" s="22" t="s">
        <v>300</v>
      </c>
      <c r="I2859" s="24" t="s">
        <v>14113</v>
      </c>
      <c r="J2859" s="22" t="s">
        <v>125</v>
      </c>
      <c r="K2859" s="22"/>
      <c r="L2859" s="173" t="s">
        <v>14114</v>
      </c>
      <c r="U2859" s="29" t="s">
        <v>61</v>
      </c>
      <c r="V2859" s="30"/>
      <c r="W2859" s="49"/>
      <c r="X2859" s="49"/>
      <c r="Y2859" s="35"/>
      <c r="Z2859" s="35"/>
      <c r="AA2859" s="35"/>
      <c r="AB2859" s="35"/>
      <c r="AC2859" s="35"/>
      <c r="AD2859" s="35"/>
      <c r="AE2859" s="35"/>
      <c r="AF2859" s="35"/>
      <c r="AG2859" s="35"/>
      <c r="AH2859" s="35"/>
      <c r="AI2859" s="35"/>
      <c r="AJ2859" s="35"/>
      <c r="AK2859" s="35"/>
      <c r="AL2859" s="35"/>
    </row>
    <row r="2860">
      <c r="A2860" s="133"/>
      <c r="B2860" s="19" t="s">
        <v>2686</v>
      </c>
      <c r="C2860" s="20" t="s">
        <v>2036</v>
      </c>
      <c r="D2860" s="47"/>
      <c r="E2860" s="22" t="s">
        <v>14115</v>
      </c>
      <c r="F2860" s="22" t="s">
        <v>2346</v>
      </c>
      <c r="G2860" s="23">
        <v>2020.0</v>
      </c>
      <c r="H2860" s="22" t="s">
        <v>147</v>
      </c>
      <c r="I2860" s="24" t="s">
        <v>14116</v>
      </c>
      <c r="J2860" s="22" t="s">
        <v>125</v>
      </c>
      <c r="K2860" s="22"/>
      <c r="L2860" s="105" t="s">
        <v>14117</v>
      </c>
      <c r="M2860" s="44"/>
      <c r="N2860" s="44"/>
      <c r="O2860" s="44"/>
      <c r="P2860" s="44"/>
      <c r="Q2860" s="44"/>
      <c r="R2860" s="44"/>
      <c r="S2860" s="44"/>
      <c r="T2860" s="45"/>
      <c r="U2860" s="29" t="s">
        <v>61</v>
      </c>
      <c r="V2860" s="30"/>
      <c r="W2860" s="49"/>
      <c r="X2860" s="49"/>
      <c r="Y2860" s="35"/>
      <c r="Z2860" s="35"/>
      <c r="AA2860" s="35"/>
      <c r="AB2860" s="35"/>
      <c r="AC2860" s="35"/>
      <c r="AD2860" s="35"/>
      <c r="AE2860" s="35"/>
      <c r="AF2860" s="35"/>
      <c r="AG2860" s="35"/>
      <c r="AH2860" s="35"/>
      <c r="AI2860" s="35"/>
      <c r="AJ2860" s="35"/>
      <c r="AK2860" s="35"/>
      <c r="AL2860" s="35"/>
    </row>
    <row r="2861">
      <c r="A2861" s="18" t="s">
        <v>38</v>
      </c>
      <c r="B2861" s="19" t="s">
        <v>2686</v>
      </c>
      <c r="C2861" s="20" t="s">
        <v>1640</v>
      </c>
      <c r="D2861" s="47"/>
      <c r="E2861" s="22" t="s">
        <v>2195</v>
      </c>
      <c r="F2861" s="22" t="s">
        <v>3522</v>
      </c>
      <c r="G2861" s="23">
        <v>2019.0</v>
      </c>
      <c r="H2861" s="22" t="s">
        <v>300</v>
      </c>
      <c r="I2861" s="24" t="s">
        <v>14118</v>
      </c>
      <c r="J2861" s="22" t="s">
        <v>14119</v>
      </c>
      <c r="K2861" s="22"/>
      <c r="L2861" s="36" t="s">
        <v>58</v>
      </c>
      <c r="M2861" s="36">
        <v>600.0</v>
      </c>
      <c r="N2861" s="36" t="s">
        <v>58</v>
      </c>
      <c r="O2861" s="36">
        <v>540.0</v>
      </c>
      <c r="P2861" s="37" t="s">
        <v>58</v>
      </c>
      <c r="Q2861" s="36" t="s">
        <v>58</v>
      </c>
      <c r="R2861" s="36">
        <v>900.0</v>
      </c>
      <c r="S2861" s="36" t="s">
        <v>7333</v>
      </c>
      <c r="T2861" s="41" t="s">
        <v>14120</v>
      </c>
      <c r="U2861" s="38" t="str">
        <f>HYPERLINK("https://www.ncbi.nlm.nih.gov/pubmed/31312225","PubMed")</f>
        <v>PubMed</v>
      </c>
      <c r="V2861" s="30"/>
      <c r="W2861" s="49"/>
      <c r="X2861" s="49"/>
      <c r="Y2861" s="35"/>
      <c r="Z2861" s="35"/>
      <c r="AA2861" s="35"/>
      <c r="AB2861" s="35"/>
      <c r="AC2861" s="35"/>
      <c r="AD2861" s="35"/>
      <c r="AE2861" s="35"/>
      <c r="AF2861" s="35"/>
      <c r="AG2861" s="35"/>
      <c r="AH2861" s="35"/>
      <c r="AI2861" s="35"/>
      <c r="AJ2861" s="35"/>
      <c r="AK2861" s="35"/>
      <c r="AL2861" s="35"/>
    </row>
    <row r="2862">
      <c r="A2862" s="133"/>
      <c r="B2862" s="19" t="s">
        <v>2686</v>
      </c>
      <c r="C2862" s="20"/>
      <c r="D2862" s="47"/>
      <c r="E2862" s="22" t="s">
        <v>14121</v>
      </c>
      <c r="F2862" s="22" t="s">
        <v>14122</v>
      </c>
      <c r="G2862" s="23">
        <v>1990.0</v>
      </c>
      <c r="H2862" s="22" t="s">
        <v>7020</v>
      </c>
      <c r="I2862" s="24" t="s">
        <v>14123</v>
      </c>
      <c r="J2862" s="22" t="s">
        <v>14124</v>
      </c>
      <c r="K2862" s="22" t="s">
        <v>14125</v>
      </c>
      <c r="L2862" s="36">
        <v>633.0</v>
      </c>
      <c r="M2862" s="36" t="s">
        <v>14126</v>
      </c>
      <c r="N2862" s="36" t="s">
        <v>58</v>
      </c>
      <c r="O2862" s="36" t="s">
        <v>58</v>
      </c>
      <c r="P2862" s="37" t="s">
        <v>58</v>
      </c>
      <c r="Q2862" s="36" t="s">
        <v>58</v>
      </c>
      <c r="R2862" s="36" t="s">
        <v>2804</v>
      </c>
      <c r="S2862" s="36">
        <v>1.0</v>
      </c>
      <c r="T2862" s="41" t="s">
        <v>14127</v>
      </c>
      <c r="U2862" s="38" t="str">
        <f>HYPERLINK("https://www.ncbi.nlm.nih.gov/pubmed/2087329","PubMed")</f>
        <v>PubMed</v>
      </c>
      <c r="V2862" s="30"/>
      <c r="W2862" s="49"/>
      <c r="X2862" s="49"/>
      <c r="Y2862" s="35"/>
      <c r="Z2862" s="35"/>
      <c r="AA2862" s="35"/>
      <c r="AB2862" s="35"/>
      <c r="AC2862" s="35"/>
      <c r="AD2862" s="35"/>
      <c r="AE2862" s="35"/>
      <c r="AF2862" s="35"/>
      <c r="AG2862" s="35"/>
      <c r="AH2862" s="35"/>
      <c r="AI2862" s="35"/>
      <c r="AJ2862" s="35"/>
      <c r="AK2862" s="35"/>
      <c r="AL2862" s="35"/>
    </row>
    <row r="2863">
      <c r="A2863" s="1"/>
      <c r="B2863" s="19" t="s">
        <v>14128</v>
      </c>
      <c r="C2863" s="20"/>
      <c r="D2863" s="47"/>
      <c r="E2863" s="22" t="s">
        <v>14129</v>
      </c>
      <c r="F2863" s="22" t="s">
        <v>6233</v>
      </c>
      <c r="G2863" s="23">
        <v>2019.0</v>
      </c>
      <c r="H2863" s="22" t="s">
        <v>14130</v>
      </c>
      <c r="I2863" s="24" t="s">
        <v>14131</v>
      </c>
      <c r="J2863" s="22" t="s">
        <v>9136</v>
      </c>
      <c r="K2863" s="22"/>
      <c r="L2863" s="36"/>
      <c r="M2863" s="36"/>
      <c r="N2863" s="36"/>
      <c r="O2863" s="36"/>
      <c r="P2863" s="37"/>
      <c r="Q2863" s="36"/>
      <c r="R2863" s="36"/>
      <c r="S2863" s="36"/>
      <c r="T2863" s="185"/>
      <c r="U2863" s="38" t="str">
        <f>HYPERLINK("https://www.hindawi.com/journals/ijo/2019/6023646/","Hindawi")</f>
        <v>Hindawi</v>
      </c>
      <c r="V2863" s="30"/>
      <c r="W2863" s="49"/>
      <c r="X2863" s="49"/>
      <c r="Y2863" s="35"/>
      <c r="Z2863" s="35"/>
      <c r="AA2863" s="35"/>
      <c r="AB2863" s="35"/>
      <c r="AC2863" s="35"/>
      <c r="AD2863" s="35"/>
      <c r="AE2863" s="35"/>
      <c r="AF2863" s="35"/>
      <c r="AG2863" s="35"/>
      <c r="AH2863" s="35"/>
      <c r="AI2863" s="35"/>
      <c r="AJ2863" s="35"/>
      <c r="AK2863" s="35"/>
      <c r="AL2863" s="35"/>
    </row>
    <row r="2864">
      <c r="A2864" s="1"/>
      <c r="B2864" s="19" t="s">
        <v>14128</v>
      </c>
      <c r="C2864" s="20"/>
      <c r="D2864" s="47"/>
      <c r="E2864" s="22" t="s">
        <v>14132</v>
      </c>
      <c r="F2864" s="22" t="s">
        <v>2808</v>
      </c>
      <c r="G2864" s="23">
        <v>2017.0</v>
      </c>
      <c r="H2864" s="22" t="s">
        <v>42</v>
      </c>
      <c r="I2864" s="24" t="s">
        <v>14133</v>
      </c>
      <c r="J2864" s="22" t="s">
        <v>14134</v>
      </c>
      <c r="K2864" s="22" t="s">
        <v>14135</v>
      </c>
      <c r="L2864" s="36" t="s">
        <v>14136</v>
      </c>
      <c r="M2864" s="36"/>
      <c r="N2864" s="36" t="s">
        <v>14137</v>
      </c>
      <c r="O2864" s="36"/>
      <c r="P2864" s="37"/>
      <c r="Q2864" s="36"/>
      <c r="R2864" s="36"/>
      <c r="S2864" s="36"/>
      <c r="T2864" s="42" t="s">
        <v>14138</v>
      </c>
      <c r="U2864" s="38" t="str">
        <f>HYPERLINK("https://www.ncbi.nlm.nih.gov/pubmed/28164460","PubMed")</f>
        <v>PubMed</v>
      </c>
      <c r="V2864" s="30"/>
      <c r="W2864" s="49"/>
      <c r="X2864" s="49"/>
      <c r="Y2864" s="35"/>
      <c r="Z2864" s="35"/>
      <c r="AA2864" s="35"/>
      <c r="AB2864" s="35"/>
      <c r="AC2864" s="35"/>
      <c r="AD2864" s="35"/>
      <c r="AE2864" s="35"/>
      <c r="AF2864" s="35"/>
      <c r="AG2864" s="35"/>
      <c r="AH2864" s="35"/>
      <c r="AI2864" s="35"/>
      <c r="AJ2864" s="35"/>
      <c r="AK2864" s="35"/>
      <c r="AL2864" s="35"/>
    </row>
    <row r="2865">
      <c r="A2865" s="1"/>
      <c r="B2865" s="19" t="s">
        <v>14128</v>
      </c>
      <c r="C2865" s="20"/>
      <c r="D2865" s="47"/>
      <c r="E2865" s="22" t="s">
        <v>1904</v>
      </c>
      <c r="F2865" s="22" t="s">
        <v>14139</v>
      </c>
      <c r="G2865" s="23">
        <v>2015.0</v>
      </c>
      <c r="H2865" s="22" t="s">
        <v>14140</v>
      </c>
      <c r="I2865" s="24" t="s">
        <v>14141</v>
      </c>
      <c r="J2865" s="22"/>
      <c r="K2865" s="22"/>
      <c r="L2865" s="36" t="s">
        <v>14142</v>
      </c>
      <c r="M2865" s="36"/>
      <c r="N2865" s="36"/>
      <c r="O2865" s="36"/>
      <c r="P2865" s="37"/>
      <c r="Q2865" s="36"/>
      <c r="R2865" s="36"/>
      <c r="S2865" s="36"/>
      <c r="T2865" s="28" t="s">
        <v>14143</v>
      </c>
      <c r="U2865" s="38" t="str">
        <f>HYPERLINK("http://www.tandfonline.com/doi/abs/10.1080/15421406.2015.1076297","Taylor&amp;Francis")</f>
        <v>Taylor&amp;Francis</v>
      </c>
      <c r="V2865" s="30"/>
      <c r="W2865" s="49"/>
      <c r="X2865" s="49"/>
      <c r="Y2865" s="35"/>
      <c r="Z2865" s="35"/>
      <c r="AA2865" s="35"/>
      <c r="AB2865" s="35"/>
      <c r="AC2865" s="35"/>
      <c r="AD2865" s="35"/>
      <c r="AE2865" s="35"/>
      <c r="AF2865" s="35"/>
      <c r="AG2865" s="35"/>
      <c r="AH2865" s="35"/>
      <c r="AI2865" s="35"/>
      <c r="AJ2865" s="35"/>
      <c r="AK2865" s="35"/>
      <c r="AL2865" s="35"/>
    </row>
    <row r="2866">
      <c r="A2866" s="1"/>
      <c r="B2866" s="19" t="s">
        <v>14144</v>
      </c>
      <c r="C2866" s="20" t="s">
        <v>14145</v>
      </c>
      <c r="D2866" s="47"/>
      <c r="E2866" s="22" t="s">
        <v>11805</v>
      </c>
      <c r="F2866" s="22" t="s">
        <v>530</v>
      </c>
      <c r="G2866" s="23">
        <v>2014.0</v>
      </c>
      <c r="H2866" s="22" t="s">
        <v>91</v>
      </c>
      <c r="I2866" s="24" t="s">
        <v>14146</v>
      </c>
      <c r="J2866" s="22" t="s">
        <v>55</v>
      </c>
      <c r="K2866" s="22" t="s">
        <v>14147</v>
      </c>
      <c r="L2866" s="36">
        <v>808.0</v>
      </c>
      <c r="M2866" s="36"/>
      <c r="N2866" s="36"/>
      <c r="O2866" s="36"/>
      <c r="P2866" s="37" t="s">
        <v>14148</v>
      </c>
      <c r="Q2866" s="36"/>
      <c r="R2866" s="36"/>
      <c r="S2866" s="36">
        <v>15.0</v>
      </c>
      <c r="T2866" s="28" t="s">
        <v>14149</v>
      </c>
      <c r="U2866" s="38" t="str">
        <f>HYPERLINK("https://www.ncbi.nlm.nih.gov/pubmed/24722775","PubMed")</f>
        <v>PubMed</v>
      </c>
      <c r="V2866" s="30"/>
      <c r="W2866" s="49"/>
      <c r="X2866" s="49"/>
      <c r="Y2866" s="35"/>
      <c r="Z2866" s="35"/>
      <c r="AA2866" s="35"/>
      <c r="AB2866" s="35"/>
      <c r="AC2866" s="35"/>
      <c r="AD2866" s="35"/>
      <c r="AE2866" s="35"/>
      <c r="AF2866" s="35"/>
      <c r="AG2866" s="35"/>
      <c r="AH2866" s="35"/>
      <c r="AI2866" s="35"/>
      <c r="AJ2866" s="35"/>
      <c r="AK2866" s="35"/>
      <c r="AL2866" s="35"/>
    </row>
    <row r="2867">
      <c r="A2867" s="18" t="s">
        <v>38</v>
      </c>
      <c r="B2867" s="19" t="s">
        <v>14144</v>
      </c>
      <c r="C2867" s="20" t="s">
        <v>14145</v>
      </c>
      <c r="D2867" s="47"/>
      <c r="E2867" s="22" t="s">
        <v>8977</v>
      </c>
      <c r="F2867" s="22" t="s">
        <v>299</v>
      </c>
      <c r="G2867" s="23">
        <v>2014.0</v>
      </c>
      <c r="H2867" s="22" t="s">
        <v>91</v>
      </c>
      <c r="I2867" s="24" t="s">
        <v>14150</v>
      </c>
      <c r="J2867" s="22" t="s">
        <v>31</v>
      </c>
      <c r="K2867" s="22" t="s">
        <v>14151</v>
      </c>
      <c r="L2867" s="36" t="s">
        <v>14152</v>
      </c>
      <c r="M2867" s="36"/>
      <c r="N2867" s="36"/>
      <c r="O2867" s="36"/>
      <c r="P2867" s="37" t="s">
        <v>14153</v>
      </c>
      <c r="Q2867" s="36"/>
      <c r="R2867" s="36"/>
      <c r="S2867" s="36"/>
      <c r="T2867" s="28" t="s">
        <v>14154</v>
      </c>
      <c r="U2867" s="38" t="str">
        <f>HYPERLINK("https://www.ncbi.nlm.nih.gov/pubmed/23615758","PubMed")</f>
        <v>PubMed</v>
      </c>
      <c r="V2867" s="30"/>
      <c r="W2867" s="49"/>
      <c r="X2867" s="49"/>
      <c r="Y2867" s="35"/>
      <c r="Z2867" s="35"/>
      <c r="AA2867" s="35"/>
      <c r="AB2867" s="35"/>
      <c r="AC2867" s="35"/>
      <c r="AD2867" s="35"/>
      <c r="AE2867" s="35"/>
      <c r="AF2867" s="35"/>
      <c r="AG2867" s="35"/>
      <c r="AH2867" s="35"/>
      <c r="AI2867" s="35"/>
      <c r="AJ2867" s="35"/>
      <c r="AK2867" s="35"/>
      <c r="AL2867" s="35"/>
    </row>
    <row r="2868">
      <c r="A2868" s="18"/>
      <c r="B2868" s="19" t="s">
        <v>14144</v>
      </c>
      <c r="C2868" s="20" t="s">
        <v>14155</v>
      </c>
      <c r="D2868" s="47"/>
      <c r="E2868" s="22" t="s">
        <v>13003</v>
      </c>
      <c r="F2868" s="22" t="s">
        <v>1714</v>
      </c>
      <c r="G2868" s="23">
        <v>2022.0</v>
      </c>
      <c r="H2868" s="22" t="s">
        <v>6297</v>
      </c>
      <c r="I2868" s="24" t="s">
        <v>14156</v>
      </c>
      <c r="J2868" s="22" t="s">
        <v>55</v>
      </c>
      <c r="K2868" s="22"/>
      <c r="L2868" s="36">
        <v>830.0</v>
      </c>
      <c r="M2868" s="36">
        <v>150.0</v>
      </c>
      <c r="N2868" s="36">
        <v>5.0</v>
      </c>
      <c r="O2868" s="36"/>
      <c r="P2868" s="37"/>
      <c r="Q2868" s="36"/>
      <c r="R2868" s="36">
        <v>120.0</v>
      </c>
      <c r="S2868" s="36" t="s">
        <v>14157</v>
      </c>
      <c r="T2868" s="28" t="s">
        <v>14158</v>
      </c>
      <c r="U2868" s="29" t="s">
        <v>61</v>
      </c>
      <c r="V2868" s="30"/>
      <c r="W2868" s="49"/>
      <c r="X2868" s="49"/>
      <c r="Y2868" s="35"/>
      <c r="Z2868" s="35"/>
      <c r="AA2868" s="35"/>
      <c r="AB2868" s="35"/>
      <c r="AC2868" s="35"/>
      <c r="AD2868" s="35"/>
      <c r="AE2868" s="35"/>
      <c r="AF2868" s="35"/>
      <c r="AG2868" s="35"/>
      <c r="AH2868" s="35"/>
      <c r="AI2868" s="35"/>
      <c r="AJ2868" s="35"/>
      <c r="AK2868" s="35"/>
      <c r="AL2868" s="35"/>
    </row>
    <row r="2869">
      <c r="A2869" s="1"/>
      <c r="B2869" s="19" t="s">
        <v>14144</v>
      </c>
      <c r="C2869" s="20" t="s">
        <v>14159</v>
      </c>
      <c r="D2869" s="47"/>
      <c r="E2869" s="22" t="s">
        <v>14160</v>
      </c>
      <c r="F2869" s="22" t="s">
        <v>1370</v>
      </c>
      <c r="G2869" s="23">
        <v>2008.0</v>
      </c>
      <c r="H2869" s="22" t="s">
        <v>658</v>
      </c>
      <c r="I2869" s="24" t="s">
        <v>14161</v>
      </c>
      <c r="J2869" s="22" t="s">
        <v>55</v>
      </c>
      <c r="K2869" s="22"/>
      <c r="L2869" s="36">
        <v>660.0</v>
      </c>
      <c r="M2869" s="129">
        <v>42955.0</v>
      </c>
      <c r="N2869" s="36" t="s">
        <v>14162</v>
      </c>
      <c r="O2869" s="36"/>
      <c r="P2869" s="37" t="s">
        <v>2070</v>
      </c>
      <c r="Q2869" s="36" t="s">
        <v>14163</v>
      </c>
      <c r="R2869" s="36">
        <v>50.0</v>
      </c>
      <c r="S2869" s="36"/>
      <c r="T2869" s="28" t="s">
        <v>14164</v>
      </c>
      <c r="U2869" s="38" t="str">
        <f>HYPERLINK("https://www.ncbi.nlm.nih.gov/pubmed/18922085","PubMed")</f>
        <v>PubMed</v>
      </c>
      <c r="V2869" s="30"/>
      <c r="W2869" s="49"/>
      <c r="X2869" s="49"/>
      <c r="Y2869" s="35"/>
      <c r="Z2869" s="35"/>
      <c r="AA2869" s="35"/>
      <c r="AB2869" s="35"/>
      <c r="AC2869" s="35"/>
      <c r="AD2869" s="35"/>
      <c r="AE2869" s="35"/>
      <c r="AF2869" s="35"/>
      <c r="AG2869" s="35"/>
      <c r="AH2869" s="35"/>
      <c r="AI2869" s="35"/>
      <c r="AJ2869" s="35"/>
      <c r="AK2869" s="35"/>
      <c r="AL2869" s="35"/>
    </row>
    <row r="2870">
      <c r="A2870" s="1"/>
      <c r="B2870" s="19" t="s">
        <v>14144</v>
      </c>
      <c r="C2870" s="20" t="s">
        <v>14159</v>
      </c>
      <c r="D2870" s="47"/>
      <c r="E2870" s="22" t="s">
        <v>14165</v>
      </c>
      <c r="F2870" s="22" t="s">
        <v>323</v>
      </c>
      <c r="G2870" s="23">
        <v>2007.0</v>
      </c>
      <c r="H2870" s="22" t="s">
        <v>658</v>
      </c>
      <c r="I2870" s="24" t="s">
        <v>14166</v>
      </c>
      <c r="J2870" s="22" t="s">
        <v>55</v>
      </c>
      <c r="K2870" s="22" t="s">
        <v>1112</v>
      </c>
      <c r="L2870" s="36">
        <v>633.0</v>
      </c>
      <c r="M2870" s="36"/>
      <c r="N2870" s="36"/>
      <c r="O2870" s="36"/>
      <c r="P2870" s="37" t="s">
        <v>14167</v>
      </c>
      <c r="Q2870" s="36" t="s">
        <v>14168</v>
      </c>
      <c r="R2870" s="36" t="s">
        <v>14169</v>
      </c>
      <c r="S2870" s="36">
        <v>21.0</v>
      </c>
      <c r="T2870" s="42" t="s">
        <v>14170</v>
      </c>
      <c r="U2870" s="38" t="str">
        <f>HYPERLINK("https://www.ncbi.nlm.nih.gov/pubmed/17603860","PubMed")</f>
        <v>PubMed</v>
      </c>
      <c r="V2870" s="30"/>
      <c r="W2870" s="49"/>
      <c r="X2870" s="49"/>
      <c r="Y2870" s="35"/>
      <c r="Z2870" s="35"/>
      <c r="AA2870" s="35"/>
      <c r="AB2870" s="35"/>
      <c r="AC2870" s="35"/>
      <c r="AD2870" s="35"/>
      <c r="AE2870" s="35"/>
      <c r="AF2870" s="35"/>
      <c r="AG2870" s="35"/>
      <c r="AH2870" s="35"/>
      <c r="AI2870" s="35"/>
      <c r="AJ2870" s="35"/>
      <c r="AK2870" s="35"/>
      <c r="AL2870" s="35"/>
    </row>
    <row r="2871">
      <c r="A2871" s="1"/>
      <c r="B2871" s="19" t="s">
        <v>14144</v>
      </c>
      <c r="C2871" s="20" t="s">
        <v>14159</v>
      </c>
      <c r="D2871" s="47"/>
      <c r="E2871" s="22" t="s">
        <v>1110</v>
      </c>
      <c r="F2871" s="22" t="s">
        <v>323</v>
      </c>
      <c r="G2871" s="23">
        <v>2005.0</v>
      </c>
      <c r="H2871" s="22" t="s">
        <v>658</v>
      </c>
      <c r="I2871" s="24" t="s">
        <v>14171</v>
      </c>
      <c r="J2871" s="22" t="s">
        <v>55</v>
      </c>
      <c r="K2871" s="22" t="s">
        <v>1112</v>
      </c>
      <c r="L2871" s="36">
        <v>633.0</v>
      </c>
      <c r="M2871" s="36">
        <v>10.0</v>
      </c>
      <c r="N2871" s="36"/>
      <c r="O2871" s="36"/>
      <c r="P2871" s="37" t="s">
        <v>14167</v>
      </c>
      <c r="Q2871" s="36" t="s">
        <v>14168</v>
      </c>
      <c r="R2871" s="36" t="s">
        <v>14169</v>
      </c>
      <c r="S2871" s="36">
        <v>21.0</v>
      </c>
      <c r="T2871" s="28" t="s">
        <v>14172</v>
      </c>
      <c r="U2871" s="38" t="str">
        <f>HYPERLINK("https://www.ncbi.nlm.nih.gov/pubmed/16356146","PubMed")</f>
        <v>PubMed</v>
      </c>
      <c r="V2871" s="30"/>
      <c r="W2871" s="49"/>
      <c r="X2871" s="49"/>
      <c r="Y2871" s="35"/>
      <c r="Z2871" s="35"/>
      <c r="AA2871" s="35"/>
      <c r="AB2871" s="35"/>
      <c r="AC2871" s="35"/>
      <c r="AD2871" s="35"/>
      <c r="AE2871" s="35"/>
      <c r="AF2871" s="35"/>
      <c r="AG2871" s="35"/>
      <c r="AH2871" s="35"/>
      <c r="AI2871" s="35"/>
      <c r="AJ2871" s="35"/>
      <c r="AK2871" s="35"/>
      <c r="AL2871" s="35"/>
    </row>
    <row r="2872">
      <c r="A2872" s="1"/>
      <c r="B2872" s="19" t="s">
        <v>14144</v>
      </c>
      <c r="C2872" s="20" t="s">
        <v>14159</v>
      </c>
      <c r="D2872" s="47"/>
      <c r="E2872" s="22" t="s">
        <v>8682</v>
      </c>
      <c r="F2872" s="22" t="s">
        <v>1370</v>
      </c>
      <c r="G2872" s="23">
        <v>2004.0</v>
      </c>
      <c r="H2872" s="22" t="s">
        <v>53</v>
      </c>
      <c r="I2872" s="24" t="s">
        <v>14173</v>
      </c>
      <c r="J2872" s="22" t="s">
        <v>55</v>
      </c>
      <c r="K2872" s="22" t="s">
        <v>14174</v>
      </c>
      <c r="L2872" s="36">
        <v>660.0</v>
      </c>
      <c r="M2872" s="129">
        <v>42590.0</v>
      </c>
      <c r="N2872" s="36"/>
      <c r="O2872" s="36"/>
      <c r="P2872" s="37" t="s">
        <v>14175</v>
      </c>
      <c r="Q2872" s="36"/>
      <c r="R2872" s="36"/>
      <c r="S2872" s="36" t="s">
        <v>14176</v>
      </c>
      <c r="T2872" s="28" t="s">
        <v>14177</v>
      </c>
      <c r="U2872" s="38" t="str">
        <f>HYPERLINK("https://www.ncbi.nlm.nih.gov/pubmed/15022259","PubMed")</f>
        <v>PubMed</v>
      </c>
      <c r="V2872" s="30"/>
      <c r="W2872" s="49"/>
      <c r="X2872" s="49"/>
      <c r="Y2872" s="35"/>
      <c r="Z2872" s="35"/>
      <c r="AA2872" s="35"/>
      <c r="AB2872" s="35"/>
      <c r="AC2872" s="35"/>
      <c r="AD2872" s="35"/>
      <c r="AE2872" s="35"/>
      <c r="AF2872" s="35"/>
      <c r="AG2872" s="35"/>
      <c r="AH2872" s="35"/>
      <c r="AI2872" s="35"/>
      <c r="AJ2872" s="35"/>
      <c r="AK2872" s="35"/>
      <c r="AL2872" s="35"/>
    </row>
    <row r="2873">
      <c r="A2873" s="1"/>
      <c r="B2873" s="19" t="s">
        <v>14144</v>
      </c>
      <c r="C2873" s="20" t="s">
        <v>14159</v>
      </c>
      <c r="D2873" s="47"/>
      <c r="E2873" s="22" t="s">
        <v>14178</v>
      </c>
      <c r="F2873" s="22" t="s">
        <v>1370</v>
      </c>
      <c r="G2873" s="23">
        <v>2003.0</v>
      </c>
      <c r="H2873" s="22" t="s">
        <v>53</v>
      </c>
      <c r="I2873" s="24" t="s">
        <v>14179</v>
      </c>
      <c r="J2873" s="22" t="s">
        <v>55</v>
      </c>
      <c r="K2873" s="22"/>
      <c r="L2873" s="36"/>
      <c r="M2873" s="129"/>
      <c r="N2873" s="36"/>
      <c r="O2873" s="36"/>
      <c r="P2873" s="37"/>
      <c r="Q2873" s="36"/>
      <c r="R2873" s="36"/>
      <c r="S2873" s="36"/>
      <c r="T2873" s="28" t="s">
        <v>14180</v>
      </c>
      <c r="U2873" s="38" t="str">
        <f>HYPERLINK("https://www.ncbi.nlm.nih.gov/pubmed/12696096","PubMed")</f>
        <v>PubMed</v>
      </c>
      <c r="V2873" s="30"/>
      <c r="W2873" s="49"/>
      <c r="X2873" s="49"/>
      <c r="Y2873" s="35"/>
      <c r="Z2873" s="35"/>
      <c r="AA2873" s="35"/>
      <c r="AB2873" s="35"/>
      <c r="AC2873" s="35"/>
      <c r="AD2873" s="35"/>
      <c r="AE2873" s="35"/>
      <c r="AF2873" s="35"/>
      <c r="AG2873" s="35"/>
      <c r="AH2873" s="35"/>
      <c r="AI2873" s="35"/>
      <c r="AJ2873" s="35"/>
      <c r="AK2873" s="35"/>
      <c r="AL2873" s="35"/>
    </row>
    <row r="2874">
      <c r="A2874" s="1"/>
      <c r="B2874" s="19" t="s">
        <v>14144</v>
      </c>
      <c r="C2874" s="20" t="s">
        <v>14159</v>
      </c>
      <c r="D2874" s="47"/>
      <c r="E2874" s="22" t="s">
        <v>14178</v>
      </c>
      <c r="F2874" s="22" t="s">
        <v>1370</v>
      </c>
      <c r="G2874" s="23">
        <v>2002.0</v>
      </c>
      <c r="H2874" s="22" t="s">
        <v>53</v>
      </c>
      <c r="I2874" s="24" t="s">
        <v>14181</v>
      </c>
      <c r="J2874" s="22" t="s">
        <v>55</v>
      </c>
      <c r="K2874" s="22"/>
      <c r="L2874" s="36">
        <v>660.0</v>
      </c>
      <c r="M2874" s="129">
        <v>42590.0</v>
      </c>
      <c r="N2874" s="36"/>
      <c r="O2874" s="36"/>
      <c r="P2874" s="37" t="s">
        <v>14182</v>
      </c>
      <c r="Q2874" s="36"/>
      <c r="R2874" s="36" t="s">
        <v>14183</v>
      </c>
      <c r="S2874" s="36">
        <v>1.0</v>
      </c>
      <c r="T2874" s="41" t="s">
        <v>14184</v>
      </c>
      <c r="U2874" s="38" t="str">
        <f>HYPERLINK("https://www.ncbi.nlm.nih.gov/pubmed/12210592","PubMed")</f>
        <v>PubMed</v>
      </c>
      <c r="V2874" s="30"/>
      <c r="W2874" s="49"/>
      <c r="X2874" s="49"/>
      <c r="Y2874" s="35"/>
      <c r="Z2874" s="35"/>
      <c r="AA2874" s="35"/>
      <c r="AB2874" s="35"/>
      <c r="AC2874" s="35"/>
      <c r="AD2874" s="35"/>
      <c r="AE2874" s="35"/>
      <c r="AF2874" s="35"/>
      <c r="AG2874" s="35"/>
      <c r="AH2874" s="35"/>
      <c r="AI2874" s="35"/>
      <c r="AJ2874" s="35"/>
      <c r="AK2874" s="35"/>
      <c r="AL2874" s="35"/>
    </row>
    <row r="2875">
      <c r="A2875" s="1" t="s">
        <v>2</v>
      </c>
      <c r="B2875" s="19" t="s">
        <v>14185</v>
      </c>
      <c r="C2875" s="20" t="s">
        <v>14186</v>
      </c>
      <c r="D2875" s="47"/>
      <c r="E2875" s="22" t="s">
        <v>14187</v>
      </c>
      <c r="F2875" s="22" t="s">
        <v>8796</v>
      </c>
      <c r="G2875" s="23">
        <v>2019.0</v>
      </c>
      <c r="H2875" s="22" t="s">
        <v>14188</v>
      </c>
      <c r="I2875" s="24" t="s">
        <v>14189</v>
      </c>
      <c r="J2875" s="22" t="s">
        <v>14190</v>
      </c>
      <c r="K2875" s="22"/>
      <c r="L2875" s="43" t="s">
        <v>14191</v>
      </c>
      <c r="M2875" s="44"/>
      <c r="N2875" s="44"/>
      <c r="O2875" s="44"/>
      <c r="P2875" s="44"/>
      <c r="Q2875" s="44"/>
      <c r="R2875" s="44"/>
      <c r="S2875" s="44"/>
      <c r="T2875" s="45"/>
      <c r="U2875" s="38" t="str">
        <f>HYPERLINK("https://journals.sagepub.com/doi/abs/10.1177/1477153519887520","SAGE")</f>
        <v>SAGE</v>
      </c>
      <c r="V2875" s="30"/>
      <c r="W2875" s="49"/>
      <c r="X2875" s="49"/>
      <c r="Y2875" s="35"/>
      <c r="Z2875" s="35"/>
      <c r="AA2875" s="35"/>
      <c r="AB2875" s="35"/>
      <c r="AC2875" s="35"/>
      <c r="AD2875" s="35"/>
      <c r="AE2875" s="35"/>
      <c r="AF2875" s="35"/>
      <c r="AG2875" s="35"/>
      <c r="AH2875" s="35"/>
      <c r="AI2875" s="35"/>
      <c r="AJ2875" s="35"/>
      <c r="AK2875" s="35"/>
      <c r="AL2875" s="35"/>
    </row>
    <row r="2876">
      <c r="A2876" s="1"/>
      <c r="B2876" s="19" t="s">
        <v>14192</v>
      </c>
      <c r="C2876" s="20" t="s">
        <v>14193</v>
      </c>
      <c r="D2876" s="47"/>
      <c r="E2876" s="22" t="s">
        <v>10599</v>
      </c>
      <c r="F2876" s="22" t="s">
        <v>2234</v>
      </c>
      <c r="G2876" s="23">
        <v>2020.0</v>
      </c>
      <c r="H2876" s="22" t="s">
        <v>348</v>
      </c>
      <c r="I2876" s="24" t="s">
        <v>14194</v>
      </c>
      <c r="J2876" s="22" t="s">
        <v>14195</v>
      </c>
      <c r="K2876" s="22"/>
      <c r="L2876" s="213" t="s">
        <v>14196</v>
      </c>
      <c r="M2876" s="44"/>
      <c r="N2876" s="44"/>
      <c r="O2876" s="44"/>
      <c r="P2876" s="44"/>
      <c r="Q2876" s="44"/>
      <c r="R2876" s="44"/>
      <c r="S2876" s="44"/>
      <c r="T2876" s="45"/>
      <c r="U2876" s="29" t="s">
        <v>61</v>
      </c>
      <c r="V2876" s="30"/>
      <c r="W2876" s="49"/>
      <c r="X2876" s="49"/>
      <c r="Y2876" s="35"/>
      <c r="Z2876" s="35"/>
      <c r="AA2876" s="35"/>
      <c r="AB2876" s="35"/>
      <c r="AC2876" s="35"/>
      <c r="AD2876" s="35"/>
      <c r="AE2876" s="35"/>
      <c r="AF2876" s="35"/>
      <c r="AG2876" s="35"/>
      <c r="AH2876" s="35"/>
      <c r="AI2876" s="35"/>
      <c r="AJ2876" s="35"/>
      <c r="AK2876" s="35"/>
      <c r="AL2876" s="35"/>
    </row>
    <row r="2877">
      <c r="A2877" s="1"/>
      <c r="B2877" s="19" t="s">
        <v>14192</v>
      </c>
      <c r="C2877" s="20" t="s">
        <v>9689</v>
      </c>
      <c r="D2877" s="47"/>
      <c r="E2877" s="22" t="s">
        <v>1904</v>
      </c>
      <c r="F2877" s="22" t="s">
        <v>9065</v>
      </c>
      <c r="G2877" s="23">
        <v>2009.0</v>
      </c>
      <c r="H2877" s="22" t="s">
        <v>9066</v>
      </c>
      <c r="I2877" s="24" t="s">
        <v>14197</v>
      </c>
      <c r="J2877" s="22" t="s">
        <v>55</v>
      </c>
      <c r="K2877" s="22" t="s">
        <v>727</v>
      </c>
      <c r="L2877" s="36">
        <v>670.0</v>
      </c>
      <c r="M2877" s="36"/>
      <c r="N2877" s="36" t="s">
        <v>1729</v>
      </c>
      <c r="O2877" s="36"/>
      <c r="P2877" s="37" t="s">
        <v>2395</v>
      </c>
      <c r="Q2877" s="36"/>
      <c r="R2877" s="36">
        <v>300.0</v>
      </c>
      <c r="S2877" s="36" t="s">
        <v>14198</v>
      </c>
      <c r="T2877" s="42" t="s">
        <v>14199</v>
      </c>
      <c r="U2877" s="38" t="str">
        <f>HYPERLINK("https://www.ncbi.nlm.nih.gov/pubmed/19202557","PubMed")</f>
        <v>PubMed</v>
      </c>
      <c r="V2877" s="30"/>
      <c r="W2877" s="49"/>
      <c r="X2877" s="49"/>
      <c r="Y2877" s="35"/>
      <c r="Z2877" s="35"/>
      <c r="AA2877" s="35"/>
      <c r="AB2877" s="35"/>
      <c r="AC2877" s="35"/>
      <c r="AD2877" s="35"/>
      <c r="AE2877" s="35"/>
      <c r="AF2877" s="35"/>
      <c r="AG2877" s="35"/>
      <c r="AH2877" s="35"/>
      <c r="AI2877" s="35"/>
      <c r="AJ2877" s="35"/>
      <c r="AK2877" s="35"/>
      <c r="AL2877" s="35"/>
    </row>
    <row r="2878">
      <c r="A2878" s="1"/>
      <c r="B2878" s="19" t="s">
        <v>14192</v>
      </c>
      <c r="C2878" s="20" t="s">
        <v>14200</v>
      </c>
      <c r="D2878" s="47"/>
      <c r="E2878" s="22" t="s">
        <v>2423</v>
      </c>
      <c r="F2878" s="22" t="s">
        <v>332</v>
      </c>
      <c r="G2878" s="23">
        <v>2021.0</v>
      </c>
      <c r="H2878" s="22" t="s">
        <v>147</v>
      </c>
      <c r="I2878" s="24" t="s">
        <v>14201</v>
      </c>
      <c r="J2878" s="22" t="s">
        <v>14202</v>
      </c>
      <c r="K2878" s="22" t="s">
        <v>14203</v>
      </c>
      <c r="L2878" s="36">
        <v>660.0</v>
      </c>
      <c r="M2878" s="36" t="s">
        <v>14204</v>
      </c>
      <c r="N2878" s="36" t="s">
        <v>14205</v>
      </c>
      <c r="O2878" s="36">
        <v>2600.0</v>
      </c>
      <c r="P2878" s="37" t="s">
        <v>14206</v>
      </c>
      <c r="Q2878" s="36" t="s">
        <v>14207</v>
      </c>
      <c r="R2878" s="36">
        <v>1800.0</v>
      </c>
      <c r="S2878" s="36" t="s">
        <v>8494</v>
      </c>
      <c r="T2878" s="28" t="s">
        <v>14208</v>
      </c>
      <c r="U2878" s="29" t="s">
        <v>61</v>
      </c>
      <c r="V2878" s="30"/>
      <c r="W2878" s="49"/>
      <c r="X2878" s="49"/>
      <c r="Y2878" s="35"/>
      <c r="Z2878" s="35"/>
      <c r="AA2878" s="35"/>
      <c r="AB2878" s="35"/>
      <c r="AC2878" s="35"/>
      <c r="AD2878" s="35"/>
      <c r="AE2878" s="35"/>
      <c r="AF2878" s="35"/>
      <c r="AG2878" s="35"/>
      <c r="AH2878" s="35"/>
      <c r="AI2878" s="35"/>
      <c r="AJ2878" s="35"/>
      <c r="AK2878" s="35"/>
      <c r="AL2878" s="35"/>
    </row>
    <row r="2879">
      <c r="A2879" s="1"/>
      <c r="B2879" s="19" t="s">
        <v>14192</v>
      </c>
      <c r="C2879" s="20" t="s">
        <v>14209</v>
      </c>
      <c r="D2879" s="47"/>
      <c r="E2879" s="22" t="s">
        <v>14210</v>
      </c>
      <c r="F2879" s="22" t="s">
        <v>1943</v>
      </c>
      <c r="G2879" s="23">
        <v>2017.0</v>
      </c>
      <c r="H2879" s="22" t="s">
        <v>14211</v>
      </c>
      <c r="I2879" s="24" t="s">
        <v>14212</v>
      </c>
      <c r="J2879" s="22" t="s">
        <v>44</v>
      </c>
      <c r="K2879" s="22" t="s">
        <v>14213</v>
      </c>
      <c r="L2879" s="36">
        <v>650.0</v>
      </c>
      <c r="M2879" s="36"/>
      <c r="N2879" s="36"/>
      <c r="O2879" s="36"/>
      <c r="P2879" s="37"/>
      <c r="Q2879" s="129"/>
      <c r="R2879" s="36"/>
      <c r="S2879" s="36"/>
      <c r="T2879" s="42" t="s">
        <v>14214</v>
      </c>
      <c r="U2879" s="29" t="s">
        <v>61</v>
      </c>
      <c r="V2879" s="30"/>
      <c r="W2879" s="49"/>
      <c r="X2879" s="49"/>
      <c r="Y2879" s="35"/>
      <c r="Z2879" s="35"/>
      <c r="AA2879" s="35"/>
      <c r="AB2879" s="35"/>
      <c r="AC2879" s="35"/>
      <c r="AD2879" s="35"/>
      <c r="AE2879" s="35"/>
      <c r="AF2879" s="35"/>
      <c r="AG2879" s="35"/>
      <c r="AH2879" s="35"/>
      <c r="AI2879" s="35"/>
      <c r="AJ2879" s="35"/>
      <c r="AK2879" s="35"/>
      <c r="AL2879" s="35"/>
    </row>
    <row r="2880">
      <c r="A2880" s="1"/>
      <c r="B2880" s="19" t="s">
        <v>14192</v>
      </c>
      <c r="C2880" s="20" t="s">
        <v>14215</v>
      </c>
      <c r="D2880" s="47"/>
      <c r="E2880" s="22" t="s">
        <v>14216</v>
      </c>
      <c r="F2880" s="22" t="s">
        <v>2346</v>
      </c>
      <c r="G2880" s="23">
        <v>2012.0</v>
      </c>
      <c r="H2880" s="22" t="s">
        <v>3065</v>
      </c>
      <c r="I2880" s="24" t="s">
        <v>14217</v>
      </c>
      <c r="J2880" s="22" t="s">
        <v>14218</v>
      </c>
      <c r="K2880" s="22" t="s">
        <v>14219</v>
      </c>
      <c r="L2880" s="36"/>
      <c r="M2880" s="36">
        <v>2.0</v>
      </c>
      <c r="N2880" s="36"/>
      <c r="O2880" s="36"/>
      <c r="P2880" s="37"/>
      <c r="Q2880" s="129"/>
      <c r="R2880" s="36">
        <v>900.0</v>
      </c>
      <c r="S2880" s="36" t="s">
        <v>35</v>
      </c>
      <c r="T2880" s="28" t="s">
        <v>14220</v>
      </c>
      <c r="U2880" s="38" t="str">
        <f>HYPERLINK("https://www.ncbi.nlm.nih.gov/pubmed/23113277","PubMed")</f>
        <v>PubMed</v>
      </c>
      <c r="V2880" s="30" t="s">
        <v>14221</v>
      </c>
      <c r="W2880" s="49"/>
      <c r="X2880" s="49"/>
      <c r="Y2880" s="35"/>
      <c r="Z2880" s="35"/>
      <c r="AA2880" s="35"/>
      <c r="AB2880" s="35"/>
      <c r="AC2880" s="35"/>
      <c r="AD2880" s="35"/>
      <c r="AE2880" s="35"/>
      <c r="AF2880" s="35"/>
      <c r="AG2880" s="35"/>
      <c r="AH2880" s="35"/>
      <c r="AI2880" s="35"/>
      <c r="AJ2880" s="35"/>
      <c r="AK2880" s="35"/>
      <c r="AL2880" s="35"/>
    </row>
    <row r="2881">
      <c r="A2881" s="1"/>
      <c r="B2881" s="19" t="s">
        <v>14192</v>
      </c>
      <c r="C2881" s="20" t="s">
        <v>14222</v>
      </c>
      <c r="D2881" s="47"/>
      <c r="E2881" s="22" t="s">
        <v>4410</v>
      </c>
      <c r="F2881" s="22" t="s">
        <v>14223</v>
      </c>
      <c r="G2881" s="23">
        <v>2018.0</v>
      </c>
      <c r="H2881" s="22" t="s">
        <v>14224</v>
      </c>
      <c r="I2881" s="24" t="s">
        <v>14225</v>
      </c>
      <c r="J2881" s="22" t="s">
        <v>31</v>
      </c>
      <c r="K2881" s="22" t="s">
        <v>157</v>
      </c>
      <c r="L2881" s="36">
        <v>635.0</v>
      </c>
      <c r="M2881" s="36"/>
      <c r="N2881" s="36"/>
      <c r="O2881" s="36"/>
      <c r="P2881" s="37"/>
      <c r="Q2881" s="129"/>
      <c r="R2881" s="36"/>
      <c r="S2881" s="36"/>
      <c r="T2881" s="28" t="s">
        <v>14226</v>
      </c>
      <c r="U2881" s="38" t="str">
        <f>HYPERLINK("https://www.ncbi.nlm.nih.gov/pubmed/29710411/","PubMed")</f>
        <v>PubMed</v>
      </c>
      <c r="V2881" s="30"/>
      <c r="W2881" s="49"/>
      <c r="X2881" s="49"/>
      <c r="Y2881" s="35"/>
      <c r="Z2881" s="35"/>
      <c r="AA2881" s="35"/>
      <c r="AB2881" s="35"/>
      <c r="AC2881" s="35"/>
      <c r="AD2881" s="35"/>
      <c r="AE2881" s="35"/>
      <c r="AF2881" s="35"/>
      <c r="AG2881" s="35"/>
      <c r="AH2881" s="35"/>
      <c r="AI2881" s="35"/>
      <c r="AJ2881" s="35"/>
      <c r="AK2881" s="35"/>
      <c r="AL2881" s="35"/>
    </row>
    <row r="2882">
      <c r="A2882" s="1"/>
      <c r="B2882" s="19" t="s">
        <v>14192</v>
      </c>
      <c r="C2882" s="20" t="s">
        <v>14227</v>
      </c>
      <c r="D2882" s="47"/>
      <c r="E2882" s="22" t="s">
        <v>14228</v>
      </c>
      <c r="F2882" s="22" t="s">
        <v>323</v>
      </c>
      <c r="G2882" s="23">
        <v>2014.0</v>
      </c>
      <c r="H2882" s="22" t="s">
        <v>91</v>
      </c>
      <c r="I2882" s="24" t="s">
        <v>14229</v>
      </c>
      <c r="J2882" s="22" t="s">
        <v>55</v>
      </c>
      <c r="K2882" s="22"/>
      <c r="L2882" s="36">
        <v>804.0</v>
      </c>
      <c r="M2882" s="36">
        <v>400.0</v>
      </c>
      <c r="N2882" s="36"/>
      <c r="O2882" s="36"/>
      <c r="P2882" s="37" t="s">
        <v>969</v>
      </c>
      <c r="Q2882" s="129"/>
      <c r="R2882" s="36"/>
      <c r="S2882" s="36"/>
      <c r="T2882" s="28" t="s">
        <v>14230</v>
      </c>
      <c r="U2882" s="38" t="str">
        <f>HYPERLINK("https://www.ncbi.nlm.nih.gov/pubmed/24906482","PubMed")</f>
        <v>PubMed</v>
      </c>
      <c r="V2882" s="30"/>
      <c r="W2882" s="49"/>
      <c r="X2882" s="49"/>
      <c r="Y2882" s="35"/>
      <c r="Z2882" s="35"/>
      <c r="AA2882" s="35"/>
      <c r="AB2882" s="35"/>
      <c r="AC2882" s="35"/>
      <c r="AD2882" s="35"/>
      <c r="AE2882" s="35"/>
      <c r="AF2882" s="35"/>
      <c r="AG2882" s="35"/>
      <c r="AH2882" s="35"/>
      <c r="AI2882" s="35"/>
      <c r="AJ2882" s="35"/>
      <c r="AK2882" s="35"/>
      <c r="AL2882" s="35"/>
    </row>
    <row r="2883">
      <c r="A2883" s="1"/>
      <c r="B2883" s="19" t="s">
        <v>14192</v>
      </c>
      <c r="C2883" s="20" t="s">
        <v>14231</v>
      </c>
      <c r="D2883" s="47"/>
      <c r="E2883" s="22" t="s">
        <v>14232</v>
      </c>
      <c r="F2883" s="22" t="s">
        <v>110</v>
      </c>
      <c r="G2883" s="23">
        <v>2021.0</v>
      </c>
      <c r="H2883" s="22" t="s">
        <v>91</v>
      </c>
      <c r="I2883" s="24" t="s">
        <v>14233</v>
      </c>
      <c r="J2883" s="22" t="s">
        <v>55</v>
      </c>
      <c r="K2883" s="22"/>
      <c r="L2883" s="36">
        <v>880.0</v>
      </c>
      <c r="M2883" s="36">
        <v>100.0</v>
      </c>
      <c r="N2883" s="36"/>
      <c r="O2883" s="36"/>
      <c r="P2883" s="37"/>
      <c r="Q2883" s="129"/>
      <c r="R2883" s="36">
        <v>10.0</v>
      </c>
      <c r="S2883" s="36" t="s">
        <v>14234</v>
      </c>
      <c r="T2883" s="28" t="s">
        <v>14235</v>
      </c>
      <c r="U2883" s="29" t="s">
        <v>61</v>
      </c>
      <c r="V2883" s="30"/>
      <c r="W2883" s="49"/>
      <c r="X2883" s="49"/>
      <c r="Y2883" s="35"/>
      <c r="Z2883" s="35"/>
      <c r="AA2883" s="35"/>
      <c r="AB2883" s="35"/>
      <c r="AC2883" s="35"/>
      <c r="AD2883" s="35"/>
      <c r="AE2883" s="35"/>
      <c r="AF2883" s="35"/>
      <c r="AG2883" s="35"/>
      <c r="AH2883" s="35"/>
      <c r="AI2883" s="35"/>
      <c r="AJ2883" s="35"/>
      <c r="AK2883" s="35"/>
      <c r="AL2883" s="35"/>
    </row>
    <row r="2884">
      <c r="A2884" s="1"/>
      <c r="B2884" s="19" t="s">
        <v>14192</v>
      </c>
      <c r="C2884" s="20" t="s">
        <v>14231</v>
      </c>
      <c r="D2884" s="47"/>
      <c r="E2884" s="22" t="s">
        <v>14236</v>
      </c>
      <c r="F2884" s="22" t="s">
        <v>41</v>
      </c>
      <c r="G2884" s="23">
        <v>2013.0</v>
      </c>
      <c r="H2884" s="22" t="s">
        <v>4975</v>
      </c>
      <c r="I2884" s="24" t="s">
        <v>14237</v>
      </c>
      <c r="J2884" s="22" t="s">
        <v>55</v>
      </c>
      <c r="K2884" s="22" t="s">
        <v>14238</v>
      </c>
      <c r="L2884" s="36">
        <v>830.0</v>
      </c>
      <c r="M2884" s="36">
        <v>35.0</v>
      </c>
      <c r="N2884" s="36"/>
      <c r="O2884" s="36"/>
      <c r="P2884" s="37" t="s">
        <v>14239</v>
      </c>
      <c r="Q2884" s="129"/>
      <c r="R2884" s="36">
        <v>426.0</v>
      </c>
      <c r="S2884" s="36">
        <v>10.0</v>
      </c>
      <c r="T2884" s="28" t="s">
        <v>14240</v>
      </c>
      <c r="U2884" s="38" t="str">
        <f>HYPERLINK("https://www.ncbi.nlm.nih.gov/pubmed/22827550","PubMed")</f>
        <v>PubMed</v>
      </c>
      <c r="V2884" s="30"/>
      <c r="W2884" s="49"/>
      <c r="X2884" s="49"/>
      <c r="Y2884" s="35"/>
      <c r="Z2884" s="35"/>
      <c r="AA2884" s="35"/>
      <c r="AB2884" s="35"/>
      <c r="AC2884" s="35"/>
      <c r="AD2884" s="35"/>
      <c r="AE2884" s="35"/>
      <c r="AF2884" s="35"/>
      <c r="AG2884" s="35"/>
      <c r="AH2884" s="35"/>
      <c r="AI2884" s="35"/>
      <c r="AJ2884" s="35"/>
      <c r="AK2884" s="35"/>
      <c r="AL2884" s="35"/>
    </row>
    <row r="2885">
      <c r="A2885" s="1"/>
      <c r="B2885" s="19" t="s">
        <v>14192</v>
      </c>
      <c r="C2885" s="20" t="s">
        <v>14231</v>
      </c>
      <c r="D2885" s="47"/>
      <c r="E2885" s="22" t="s">
        <v>14241</v>
      </c>
      <c r="F2885" s="22" t="s">
        <v>9002</v>
      </c>
      <c r="G2885" s="23">
        <v>2018.0</v>
      </c>
      <c r="H2885" s="22" t="s">
        <v>10015</v>
      </c>
      <c r="I2885" s="24" t="s">
        <v>14242</v>
      </c>
      <c r="J2885" s="22" t="s">
        <v>55</v>
      </c>
      <c r="K2885" s="22" t="s">
        <v>14243</v>
      </c>
      <c r="L2885" s="36">
        <v>660.0</v>
      </c>
      <c r="M2885" s="36">
        <v>30.0</v>
      </c>
      <c r="N2885" s="36" t="s">
        <v>14244</v>
      </c>
      <c r="O2885" s="36"/>
      <c r="P2885" s="37" t="s">
        <v>11840</v>
      </c>
      <c r="Q2885" s="36" t="s">
        <v>830</v>
      </c>
      <c r="R2885" s="36" t="s">
        <v>14245</v>
      </c>
      <c r="S2885" s="36"/>
      <c r="T2885" s="28" t="s">
        <v>14246</v>
      </c>
      <c r="U2885" s="38" t="str">
        <f>HYPERLINK("https://www.ncbi.nlm.nih.gov/pubmed/29972436","PubMed")</f>
        <v>PubMed</v>
      </c>
      <c r="V2885" s="30"/>
      <c r="W2885" s="49"/>
      <c r="X2885" s="49"/>
      <c r="Y2885" s="35"/>
      <c r="Z2885" s="35"/>
      <c r="AA2885" s="35"/>
      <c r="AB2885" s="35"/>
      <c r="AC2885" s="35"/>
      <c r="AD2885" s="35"/>
      <c r="AE2885" s="35"/>
      <c r="AF2885" s="35"/>
      <c r="AG2885" s="35"/>
      <c r="AH2885" s="35"/>
      <c r="AI2885" s="35"/>
      <c r="AJ2885" s="35"/>
      <c r="AK2885" s="35"/>
      <c r="AL2885" s="35"/>
    </row>
    <row r="2886">
      <c r="A2886" s="1"/>
      <c r="B2886" s="19" t="s">
        <v>14192</v>
      </c>
      <c r="C2886" s="20" t="s">
        <v>14247</v>
      </c>
      <c r="D2886" s="47"/>
      <c r="E2886" s="22" t="s">
        <v>14248</v>
      </c>
      <c r="F2886" s="22"/>
      <c r="G2886" s="23">
        <v>2022.0</v>
      </c>
      <c r="H2886" s="22"/>
      <c r="I2886" s="24" t="s">
        <v>14249</v>
      </c>
      <c r="J2886" s="22" t="s">
        <v>55</v>
      </c>
      <c r="K2886" s="22"/>
      <c r="L2886" s="36">
        <v>800.0</v>
      </c>
      <c r="M2886" s="36"/>
      <c r="N2886" s="36"/>
      <c r="O2886" s="36"/>
      <c r="P2886" s="37" t="s">
        <v>7500</v>
      </c>
      <c r="Q2886" s="36" t="s">
        <v>14250</v>
      </c>
      <c r="R2886" s="36">
        <v>71.0</v>
      </c>
      <c r="S2886" s="36" t="s">
        <v>2688</v>
      </c>
      <c r="T2886" s="28" t="s">
        <v>14251</v>
      </c>
      <c r="U2886" s="38" t="s">
        <v>61</v>
      </c>
      <c r="V2886" s="30"/>
      <c r="W2886" s="49"/>
      <c r="X2886" s="49"/>
      <c r="Y2886" s="35"/>
      <c r="Z2886" s="35"/>
      <c r="AA2886" s="35"/>
      <c r="AB2886" s="35"/>
      <c r="AC2886" s="35"/>
      <c r="AD2886" s="35"/>
      <c r="AE2886" s="35"/>
      <c r="AF2886" s="35"/>
      <c r="AG2886" s="35"/>
      <c r="AH2886" s="35"/>
      <c r="AI2886" s="35"/>
      <c r="AJ2886" s="35"/>
      <c r="AK2886" s="35"/>
      <c r="AL2886" s="35"/>
    </row>
    <row r="2887">
      <c r="A2887" s="1"/>
      <c r="B2887" s="19" t="s">
        <v>14192</v>
      </c>
      <c r="C2887" s="20" t="s">
        <v>14247</v>
      </c>
      <c r="D2887" s="47"/>
      <c r="E2887" s="22" t="s">
        <v>14252</v>
      </c>
      <c r="F2887" s="22" t="s">
        <v>358</v>
      </c>
      <c r="G2887" s="23">
        <v>2019.0</v>
      </c>
      <c r="H2887" s="22" t="s">
        <v>12015</v>
      </c>
      <c r="I2887" s="24" t="s">
        <v>14253</v>
      </c>
      <c r="J2887" s="22" t="s">
        <v>55</v>
      </c>
      <c r="K2887" s="22" t="s">
        <v>4518</v>
      </c>
      <c r="L2887" s="36">
        <v>660.0</v>
      </c>
      <c r="M2887" s="36"/>
      <c r="N2887" s="36"/>
      <c r="O2887" s="36" t="s">
        <v>14254</v>
      </c>
      <c r="P2887" s="37"/>
      <c r="Q2887" s="36"/>
      <c r="R2887" s="36"/>
      <c r="S2887" s="36"/>
      <c r="T2887" s="41" t="s">
        <v>14255</v>
      </c>
      <c r="U2887" s="38" t="str">
        <f>HYPERLINK("https://www.ncbi.nlm.nih.gov/pubmed/31155190","PubMed")</f>
        <v>PubMed</v>
      </c>
      <c r="V2887" s="30"/>
      <c r="W2887" s="49"/>
      <c r="X2887" s="49"/>
      <c r="Y2887" s="35"/>
      <c r="Z2887" s="35"/>
      <c r="AA2887" s="35"/>
      <c r="AB2887" s="35"/>
      <c r="AC2887" s="35"/>
      <c r="AD2887" s="35"/>
      <c r="AE2887" s="35"/>
      <c r="AF2887" s="35"/>
      <c r="AG2887" s="35"/>
      <c r="AH2887" s="35"/>
      <c r="AI2887" s="35"/>
      <c r="AJ2887" s="35"/>
      <c r="AK2887" s="35"/>
      <c r="AL2887" s="35"/>
    </row>
    <row r="2888">
      <c r="A2888" s="1"/>
      <c r="B2888" s="19" t="s">
        <v>14192</v>
      </c>
      <c r="C2888" s="20" t="s">
        <v>14247</v>
      </c>
      <c r="D2888" s="47"/>
      <c r="E2888" s="22" t="s">
        <v>14256</v>
      </c>
      <c r="F2888" s="22" t="s">
        <v>3958</v>
      </c>
      <c r="G2888" s="23">
        <v>2019.0</v>
      </c>
      <c r="H2888" s="22" t="s">
        <v>14257</v>
      </c>
      <c r="I2888" s="24" t="s">
        <v>14258</v>
      </c>
      <c r="J2888" s="22" t="s">
        <v>44</v>
      </c>
      <c r="K2888" s="22" t="s">
        <v>1827</v>
      </c>
      <c r="L2888" s="36">
        <v>650.0</v>
      </c>
      <c r="M2888" s="36">
        <v>17.0</v>
      </c>
      <c r="N2888" s="36"/>
      <c r="O2888" s="36" t="s">
        <v>5627</v>
      </c>
      <c r="P2888" s="37"/>
      <c r="Q2888" s="36"/>
      <c r="R2888" s="36"/>
      <c r="S2888" s="36"/>
      <c r="T2888" s="28" t="s">
        <v>14259</v>
      </c>
      <c r="U2888" s="38" t="str">
        <f>HYPERLINK("https://www.ncbi.nlm.nih.gov/pubmed/31819878","PubMed")</f>
        <v>PubMed</v>
      </c>
      <c r="V2888" s="30"/>
      <c r="W2888" s="49"/>
      <c r="X2888" s="49"/>
      <c r="Y2888" s="35"/>
      <c r="Z2888" s="35"/>
      <c r="AA2888" s="35"/>
      <c r="AB2888" s="35"/>
      <c r="AC2888" s="35"/>
      <c r="AD2888" s="35"/>
      <c r="AE2888" s="35"/>
      <c r="AF2888" s="35"/>
      <c r="AG2888" s="35"/>
      <c r="AH2888" s="35"/>
      <c r="AI2888" s="35"/>
      <c r="AJ2888" s="35"/>
      <c r="AK2888" s="35"/>
      <c r="AL2888" s="35"/>
    </row>
    <row r="2889">
      <c r="A2889" s="40" t="s">
        <v>38</v>
      </c>
      <c r="B2889" s="19" t="s">
        <v>14192</v>
      </c>
      <c r="C2889" s="20" t="s">
        <v>14260</v>
      </c>
      <c r="D2889" s="47"/>
      <c r="E2889" s="22" t="s">
        <v>12253</v>
      </c>
      <c r="F2889" s="22" t="s">
        <v>237</v>
      </c>
      <c r="G2889" s="23">
        <v>2018.0</v>
      </c>
      <c r="H2889" s="22" t="s">
        <v>147</v>
      </c>
      <c r="I2889" s="24" t="s">
        <v>14261</v>
      </c>
      <c r="J2889" s="22" t="s">
        <v>125</v>
      </c>
      <c r="K2889" s="22"/>
      <c r="L2889" s="43" t="s">
        <v>14262</v>
      </c>
      <c r="M2889" s="44"/>
      <c r="N2889" s="44"/>
      <c r="O2889" s="44"/>
      <c r="P2889" s="44"/>
      <c r="Q2889" s="44"/>
      <c r="R2889" s="44"/>
      <c r="S2889" s="44"/>
      <c r="T2889" s="45"/>
      <c r="U2889" s="215"/>
      <c r="V2889" s="30"/>
      <c r="W2889" s="49"/>
      <c r="X2889" s="49"/>
      <c r="Y2889" s="35"/>
      <c r="Z2889" s="35"/>
      <c r="AA2889" s="35"/>
      <c r="AB2889" s="35"/>
      <c r="AC2889" s="35"/>
      <c r="AD2889" s="35"/>
      <c r="AE2889" s="35"/>
      <c r="AF2889" s="35"/>
      <c r="AG2889" s="35"/>
      <c r="AH2889" s="35"/>
      <c r="AI2889" s="35"/>
      <c r="AJ2889" s="35"/>
      <c r="AK2889" s="35"/>
      <c r="AL2889" s="35"/>
    </row>
    <row r="2890">
      <c r="A2890" s="240"/>
      <c r="B2890" s="19" t="s">
        <v>14192</v>
      </c>
      <c r="C2890" s="20" t="s">
        <v>14260</v>
      </c>
      <c r="D2890" s="47"/>
      <c r="E2890" s="22" t="s">
        <v>12253</v>
      </c>
      <c r="F2890" s="22" t="s">
        <v>41</v>
      </c>
      <c r="G2890" s="23">
        <v>2015.0</v>
      </c>
      <c r="H2890" s="22" t="s">
        <v>91</v>
      </c>
      <c r="I2890" s="24" t="s">
        <v>14263</v>
      </c>
      <c r="J2890" s="22" t="s">
        <v>55</v>
      </c>
      <c r="K2890" s="22" t="s">
        <v>14264</v>
      </c>
      <c r="L2890" s="36">
        <v>633.0</v>
      </c>
      <c r="M2890" s="36">
        <v>4.0</v>
      </c>
      <c r="N2890" s="36"/>
      <c r="O2890" s="129">
        <v>42524.0</v>
      </c>
      <c r="P2890" s="37" t="s">
        <v>14265</v>
      </c>
      <c r="Q2890" s="36" t="s">
        <v>14266</v>
      </c>
      <c r="R2890" s="36">
        <v>900.0</v>
      </c>
      <c r="S2890" s="36"/>
      <c r="T2890" s="41" t="s">
        <v>14267</v>
      </c>
      <c r="U2890" s="38" t="str">
        <f>HYPERLINK("https://www.ncbi.nlm.nih.gov/pubmed/24880927","PubMed")</f>
        <v>PubMed</v>
      </c>
      <c r="V2890" s="30"/>
      <c r="W2890" s="49"/>
      <c r="X2890" s="49"/>
      <c r="Y2890" s="35"/>
      <c r="Z2890" s="35"/>
      <c r="AA2890" s="35"/>
      <c r="AB2890" s="35"/>
      <c r="AC2890" s="35"/>
      <c r="AD2890" s="35"/>
      <c r="AE2890" s="35"/>
      <c r="AF2890" s="35"/>
      <c r="AG2890" s="35"/>
      <c r="AH2890" s="35"/>
      <c r="AI2890" s="35"/>
      <c r="AJ2890" s="35"/>
      <c r="AK2890" s="35"/>
      <c r="AL2890" s="35"/>
    </row>
    <row r="2891">
      <c r="A2891" s="1"/>
      <c r="B2891" s="19" t="s">
        <v>14192</v>
      </c>
      <c r="C2891" s="20" t="s">
        <v>14260</v>
      </c>
      <c r="D2891" s="47"/>
      <c r="E2891" s="22" t="s">
        <v>12253</v>
      </c>
      <c r="F2891" s="22" t="s">
        <v>41</v>
      </c>
      <c r="G2891" s="23">
        <v>2013.0</v>
      </c>
      <c r="H2891" s="22" t="s">
        <v>91</v>
      </c>
      <c r="I2891" s="24" t="s">
        <v>14268</v>
      </c>
      <c r="J2891" s="22" t="s">
        <v>55</v>
      </c>
      <c r="K2891" s="22" t="s">
        <v>14269</v>
      </c>
      <c r="L2891" s="36">
        <v>633.0</v>
      </c>
      <c r="M2891" s="129">
        <v>42432.0</v>
      </c>
      <c r="N2891" s="36" t="s">
        <v>14270</v>
      </c>
      <c r="O2891" s="36"/>
      <c r="P2891" s="37"/>
      <c r="Q2891" s="129"/>
      <c r="R2891" s="36">
        <v>900.0</v>
      </c>
      <c r="S2891" s="36"/>
      <c r="T2891" s="28" t="s">
        <v>14271</v>
      </c>
      <c r="U2891" s="38" t="str">
        <f>HYPERLINK("https://www.ncbi.nlm.nih.gov/pubmed/23334786","PubMed")</f>
        <v>PubMed</v>
      </c>
      <c r="V2891" s="30"/>
      <c r="W2891" s="49"/>
      <c r="X2891" s="49"/>
      <c r="Y2891" s="35"/>
      <c r="Z2891" s="35"/>
      <c r="AA2891" s="35"/>
      <c r="AB2891" s="35"/>
      <c r="AC2891" s="35"/>
      <c r="AD2891" s="35"/>
      <c r="AE2891" s="35"/>
      <c r="AF2891" s="35"/>
      <c r="AG2891" s="35"/>
      <c r="AH2891" s="35"/>
      <c r="AI2891" s="35"/>
      <c r="AJ2891" s="35"/>
      <c r="AK2891" s="35"/>
      <c r="AL2891" s="35"/>
    </row>
    <row r="2892">
      <c r="A2892" s="1"/>
      <c r="B2892" s="19" t="s">
        <v>14192</v>
      </c>
      <c r="C2892" s="20" t="s">
        <v>14260</v>
      </c>
      <c r="D2892" s="47"/>
      <c r="E2892" s="22" t="s">
        <v>2551</v>
      </c>
      <c r="F2892" s="22" t="s">
        <v>1310</v>
      </c>
      <c r="G2892" s="23">
        <v>2010.0</v>
      </c>
      <c r="H2892" s="22" t="s">
        <v>658</v>
      </c>
      <c r="I2892" s="24" t="s">
        <v>14272</v>
      </c>
      <c r="J2892" s="22" t="s">
        <v>55</v>
      </c>
      <c r="K2892" s="22" t="s">
        <v>14269</v>
      </c>
      <c r="L2892" s="36" t="s">
        <v>14273</v>
      </c>
      <c r="M2892" s="36" t="s">
        <v>2553</v>
      </c>
      <c r="N2892" s="36" t="s">
        <v>1897</v>
      </c>
      <c r="O2892" s="36"/>
      <c r="P2892" s="37" t="s">
        <v>1468</v>
      </c>
      <c r="Q2892" s="36" t="s">
        <v>11924</v>
      </c>
      <c r="R2892" s="36">
        <v>60.0</v>
      </c>
      <c r="S2892" s="36">
        <v>1.0</v>
      </c>
      <c r="T2892" s="98" t="s">
        <v>14274</v>
      </c>
      <c r="U2892" s="38" t="str">
        <f>HYPERLINK("https://www.ncbi.nlm.nih.gov/pubmed/20932182","PubMed")</f>
        <v>PubMed</v>
      </c>
      <c r="V2892" s="30"/>
      <c r="W2892" s="49"/>
      <c r="X2892" s="49"/>
      <c r="Y2892" s="35"/>
      <c r="Z2892" s="35"/>
      <c r="AA2892" s="35"/>
      <c r="AB2892" s="35"/>
      <c r="AC2892" s="35"/>
      <c r="AD2892" s="35"/>
      <c r="AE2892" s="35"/>
      <c r="AF2892" s="35"/>
      <c r="AG2892" s="35"/>
      <c r="AH2892" s="35"/>
      <c r="AI2892" s="35"/>
      <c r="AJ2892" s="35"/>
      <c r="AK2892" s="35"/>
      <c r="AL2892" s="35"/>
    </row>
    <row r="2893">
      <c r="A2893" s="149"/>
      <c r="B2893" s="19" t="s">
        <v>14192</v>
      </c>
      <c r="C2893" s="20" t="s">
        <v>14260</v>
      </c>
      <c r="D2893" s="47"/>
      <c r="E2893" s="22" t="s">
        <v>14275</v>
      </c>
      <c r="F2893" s="22" t="s">
        <v>1518</v>
      </c>
      <c r="G2893" s="23">
        <v>2007.0</v>
      </c>
      <c r="H2893" s="22" t="s">
        <v>12447</v>
      </c>
      <c r="I2893" s="24" t="s">
        <v>14276</v>
      </c>
      <c r="J2893" s="22" t="s">
        <v>55</v>
      </c>
      <c r="K2893" s="22" t="s">
        <v>14277</v>
      </c>
      <c r="L2893" s="36" t="s">
        <v>14278</v>
      </c>
      <c r="M2893" s="36"/>
      <c r="N2893" s="36"/>
      <c r="O2893" s="36"/>
      <c r="P2893" s="37" t="s">
        <v>14279</v>
      </c>
      <c r="Q2893" s="129"/>
      <c r="R2893" s="36" t="s">
        <v>14280</v>
      </c>
      <c r="S2893" s="36"/>
      <c r="T2893" s="28" t="s">
        <v>14281</v>
      </c>
      <c r="U2893" s="38" t="str">
        <f>HYPERLINK("http://www.scielo.br/scielo.php?script=sci_arttext&amp;pid=S0100-879X2007000800006","SciELO")</f>
        <v>SciELO</v>
      </c>
      <c r="V2893" s="30"/>
      <c r="W2893" s="49"/>
      <c r="X2893" s="49"/>
      <c r="Y2893" s="35"/>
      <c r="Z2893" s="35"/>
      <c r="AA2893" s="35"/>
      <c r="AB2893" s="35"/>
      <c r="AC2893" s="35"/>
      <c r="AD2893" s="35"/>
      <c r="AE2893" s="35"/>
      <c r="AF2893" s="35"/>
      <c r="AG2893" s="35"/>
      <c r="AH2893" s="35"/>
      <c r="AI2893" s="35"/>
      <c r="AJ2893" s="35"/>
      <c r="AK2893" s="35"/>
      <c r="AL2893" s="35"/>
    </row>
    <row r="2894">
      <c r="A2894" s="149" t="s">
        <v>181</v>
      </c>
      <c r="B2894" s="19" t="s">
        <v>14192</v>
      </c>
      <c r="C2894" s="20" t="s">
        <v>14260</v>
      </c>
      <c r="D2894" s="47"/>
      <c r="E2894" s="22" t="s">
        <v>856</v>
      </c>
      <c r="F2894" s="22" t="s">
        <v>358</v>
      </c>
      <c r="G2894" s="23">
        <v>2006.0</v>
      </c>
      <c r="H2894" s="22" t="s">
        <v>309</v>
      </c>
      <c r="I2894" s="24" t="s">
        <v>14282</v>
      </c>
      <c r="J2894" s="22" t="s">
        <v>55</v>
      </c>
      <c r="K2894" s="22" t="s">
        <v>14269</v>
      </c>
      <c r="L2894" s="36">
        <v>660.0</v>
      </c>
      <c r="M2894" s="36">
        <v>30.0</v>
      </c>
      <c r="N2894" s="36"/>
      <c r="O2894" s="36"/>
      <c r="P2894" s="37" t="s">
        <v>11840</v>
      </c>
      <c r="Q2894" s="129"/>
      <c r="R2894" s="36">
        <v>150.0</v>
      </c>
      <c r="S2894" s="36"/>
      <c r="T2894" s="42" t="s">
        <v>14283</v>
      </c>
      <c r="U2894" s="38" t="str">
        <f>HYPERLINK("https://www.ncbi.nlm.nih.gov/pubmed/17013509","PubMed")</f>
        <v>PubMed</v>
      </c>
      <c r="V2894" s="30"/>
      <c r="W2894" s="49"/>
      <c r="X2894" s="49"/>
      <c r="Y2894" s="35"/>
      <c r="Z2894" s="35"/>
      <c r="AA2894" s="35"/>
      <c r="AB2894" s="35"/>
      <c r="AC2894" s="35"/>
      <c r="AD2894" s="35"/>
      <c r="AE2894" s="35"/>
      <c r="AF2894" s="35"/>
      <c r="AG2894" s="35"/>
      <c r="AH2894" s="35"/>
      <c r="AI2894" s="35"/>
      <c r="AJ2894" s="35"/>
      <c r="AK2894" s="35"/>
      <c r="AL2894" s="35"/>
    </row>
    <row r="2895">
      <c r="A2895" s="149" t="s">
        <v>181</v>
      </c>
      <c r="B2895" s="19" t="s">
        <v>14192</v>
      </c>
      <c r="C2895" s="20" t="s">
        <v>14260</v>
      </c>
      <c r="D2895" s="47"/>
      <c r="E2895" s="22" t="s">
        <v>14284</v>
      </c>
      <c r="F2895" s="22" t="s">
        <v>14285</v>
      </c>
      <c r="G2895" s="23">
        <v>2005.0</v>
      </c>
      <c r="H2895" s="22" t="s">
        <v>14286</v>
      </c>
      <c r="I2895" s="24" t="s">
        <v>14287</v>
      </c>
      <c r="J2895" s="22" t="s">
        <v>55</v>
      </c>
      <c r="K2895" s="22" t="s">
        <v>14269</v>
      </c>
      <c r="L2895" s="36">
        <v>590.0</v>
      </c>
      <c r="M2895" s="36"/>
      <c r="N2895" s="36"/>
      <c r="O2895" s="36"/>
      <c r="P2895" s="37" t="s">
        <v>2746</v>
      </c>
      <c r="Q2895" s="129"/>
      <c r="R2895" s="36">
        <v>240.0</v>
      </c>
      <c r="S2895" s="36"/>
      <c r="T2895" s="42" t="s">
        <v>14288</v>
      </c>
      <c r="U2895" s="38" t="str">
        <f>HYPERLINK("https://www.ncbi.nlm.nih.gov/pubmed/15906774","PubMed")</f>
        <v>PubMed</v>
      </c>
      <c r="V2895" s="30"/>
      <c r="W2895" s="49"/>
      <c r="X2895" s="49"/>
      <c r="Y2895" s="35"/>
      <c r="Z2895" s="35"/>
      <c r="AA2895" s="35"/>
      <c r="AB2895" s="35"/>
      <c r="AC2895" s="35"/>
      <c r="AD2895" s="35"/>
      <c r="AE2895" s="35"/>
      <c r="AF2895" s="35"/>
      <c r="AG2895" s="35"/>
      <c r="AH2895" s="35"/>
      <c r="AI2895" s="35"/>
      <c r="AJ2895" s="35"/>
      <c r="AK2895" s="35"/>
      <c r="AL2895" s="35"/>
    </row>
    <row r="2896">
      <c r="A2896" s="1"/>
      <c r="B2896" s="19" t="s">
        <v>14192</v>
      </c>
      <c r="C2896" s="20" t="s">
        <v>14260</v>
      </c>
      <c r="D2896" s="47"/>
      <c r="E2896" s="22" t="s">
        <v>14275</v>
      </c>
      <c r="F2896" s="22" t="s">
        <v>358</v>
      </c>
      <c r="G2896" s="23">
        <v>2003.0</v>
      </c>
      <c r="H2896" s="22" t="s">
        <v>53</v>
      </c>
      <c r="I2896" s="24" t="s">
        <v>14289</v>
      </c>
      <c r="J2896" s="22" t="s">
        <v>55</v>
      </c>
      <c r="K2896" s="22" t="s">
        <v>14290</v>
      </c>
      <c r="L2896" s="36" t="s">
        <v>14291</v>
      </c>
      <c r="M2896" s="36"/>
      <c r="N2896" s="36" t="s">
        <v>3911</v>
      </c>
      <c r="O2896" s="36"/>
      <c r="P2896" s="37"/>
      <c r="Q2896" s="36"/>
      <c r="R2896" s="36"/>
      <c r="S2896" s="36"/>
      <c r="T2896" s="28" t="s">
        <v>14292</v>
      </c>
      <c r="U2896" s="38" t="str">
        <f>HYPERLINK("https://www.ncbi.nlm.nih.gov/pubmed/12516071","PubMed")</f>
        <v>PubMed</v>
      </c>
      <c r="V2896" s="30"/>
      <c r="W2896" s="49"/>
      <c r="X2896" s="49"/>
      <c r="Y2896" s="35"/>
      <c r="Z2896" s="35"/>
      <c r="AA2896" s="35"/>
      <c r="AB2896" s="35"/>
      <c r="AC2896" s="35"/>
      <c r="AD2896" s="35"/>
      <c r="AE2896" s="35"/>
      <c r="AF2896" s="35"/>
      <c r="AG2896" s="35"/>
      <c r="AH2896" s="35"/>
      <c r="AI2896" s="35"/>
      <c r="AJ2896" s="35"/>
      <c r="AK2896" s="35"/>
      <c r="AL2896" s="35"/>
    </row>
    <row r="2897">
      <c r="A2897" s="1"/>
      <c r="B2897" s="19" t="s">
        <v>14192</v>
      </c>
      <c r="C2897" s="20" t="s">
        <v>14260</v>
      </c>
      <c r="D2897" s="47"/>
      <c r="E2897" s="22" t="s">
        <v>14293</v>
      </c>
      <c r="F2897" s="22" t="s">
        <v>274</v>
      </c>
      <c r="G2897" s="23">
        <v>2001.0</v>
      </c>
      <c r="H2897" s="22" t="s">
        <v>53</v>
      </c>
      <c r="I2897" s="24" t="s">
        <v>14294</v>
      </c>
      <c r="J2897" s="22" t="s">
        <v>55</v>
      </c>
      <c r="K2897" s="22" t="s">
        <v>14295</v>
      </c>
      <c r="L2897" s="36">
        <v>590.0</v>
      </c>
      <c r="M2897" s="36"/>
      <c r="N2897" s="36" t="s">
        <v>3911</v>
      </c>
      <c r="O2897" s="36"/>
      <c r="P2897" s="37"/>
      <c r="Q2897" s="36"/>
      <c r="R2897" s="36">
        <v>300.0</v>
      </c>
      <c r="S2897" s="36"/>
      <c r="T2897" s="28" t="s">
        <v>14296</v>
      </c>
      <c r="U2897" s="38" t="str">
        <f>HYPERLINK("https://www.ncbi.nlm.nih.gov/pubmed/11500866","PubMed")</f>
        <v>PubMed</v>
      </c>
      <c r="V2897" s="30"/>
      <c r="W2897" s="49"/>
      <c r="X2897" s="49"/>
      <c r="Y2897" s="35"/>
      <c r="Z2897" s="35"/>
      <c r="AA2897" s="35"/>
      <c r="AB2897" s="35"/>
      <c r="AC2897" s="35"/>
      <c r="AD2897" s="35"/>
      <c r="AE2897" s="35"/>
      <c r="AF2897" s="35"/>
      <c r="AG2897" s="35"/>
      <c r="AH2897" s="35"/>
      <c r="AI2897" s="35"/>
      <c r="AJ2897" s="35"/>
      <c r="AK2897" s="35"/>
      <c r="AL2897" s="35"/>
    </row>
    <row r="2898">
      <c r="A2898" s="1"/>
      <c r="B2898" s="19" t="s">
        <v>14192</v>
      </c>
      <c r="C2898" s="20" t="s">
        <v>14297</v>
      </c>
      <c r="D2898" s="47"/>
      <c r="E2898" s="22" t="s">
        <v>14298</v>
      </c>
      <c r="F2898" s="22" t="s">
        <v>6118</v>
      </c>
      <c r="G2898" s="23">
        <v>2021.0</v>
      </c>
      <c r="H2898" s="22" t="s">
        <v>5009</v>
      </c>
      <c r="I2898" s="24" t="s">
        <v>14299</v>
      </c>
      <c r="J2898" s="22" t="s">
        <v>44</v>
      </c>
      <c r="K2898" s="22"/>
      <c r="L2898" s="36">
        <v>660.0</v>
      </c>
      <c r="M2898" s="36"/>
      <c r="N2898" s="36"/>
      <c r="O2898" s="36"/>
      <c r="P2898" s="37" t="s">
        <v>82</v>
      </c>
      <c r="Q2898" s="36"/>
      <c r="R2898" s="36"/>
      <c r="S2898" s="36"/>
      <c r="T2898" s="28" t="s">
        <v>14300</v>
      </c>
      <c r="U2898" s="29" t="s">
        <v>61</v>
      </c>
      <c r="V2898" s="30"/>
      <c r="W2898" s="49"/>
      <c r="X2898" s="49"/>
      <c r="Y2898" s="35"/>
      <c r="Z2898" s="35"/>
      <c r="AA2898" s="35"/>
      <c r="AB2898" s="35"/>
      <c r="AC2898" s="35"/>
      <c r="AD2898" s="35"/>
      <c r="AE2898" s="35"/>
      <c r="AF2898" s="35"/>
      <c r="AG2898" s="35"/>
      <c r="AH2898" s="35"/>
      <c r="AI2898" s="35"/>
      <c r="AJ2898" s="35"/>
      <c r="AK2898" s="35"/>
      <c r="AL2898" s="35"/>
    </row>
    <row r="2899">
      <c r="A2899" s="1"/>
      <c r="B2899" s="19" t="s">
        <v>14192</v>
      </c>
      <c r="C2899" s="20" t="s">
        <v>14301</v>
      </c>
      <c r="D2899" s="47"/>
      <c r="E2899" s="22" t="s">
        <v>3746</v>
      </c>
      <c r="F2899" s="22" t="s">
        <v>1337</v>
      </c>
      <c r="G2899" s="23">
        <v>2016.0</v>
      </c>
      <c r="H2899" s="22" t="s">
        <v>91</v>
      </c>
      <c r="I2899" s="24" t="s">
        <v>14302</v>
      </c>
      <c r="J2899" s="22" t="s">
        <v>55</v>
      </c>
      <c r="K2899" s="22" t="s">
        <v>14303</v>
      </c>
      <c r="L2899" s="36">
        <v>670.0</v>
      </c>
      <c r="M2899" s="36" t="s">
        <v>1729</v>
      </c>
      <c r="N2899" s="36"/>
      <c r="O2899" s="36"/>
      <c r="P2899" s="37" t="s">
        <v>2395</v>
      </c>
      <c r="Q2899" s="36" t="s">
        <v>2617</v>
      </c>
      <c r="R2899" s="36">
        <v>180.0</v>
      </c>
      <c r="S2899" s="36">
        <v>7.0</v>
      </c>
      <c r="T2899" s="42" t="s">
        <v>14304</v>
      </c>
      <c r="U2899" s="38" t="str">
        <f>HYPERLINK("https://www.ncbi.nlm.nih.gov/pubmed/27488510","PubMed")</f>
        <v>PubMed</v>
      </c>
      <c r="V2899" s="30" t="s">
        <v>14305</v>
      </c>
      <c r="W2899" s="49"/>
      <c r="X2899" s="49"/>
      <c r="Y2899" s="35"/>
      <c r="Z2899" s="35"/>
      <c r="AA2899" s="35"/>
      <c r="AB2899" s="35"/>
      <c r="AC2899" s="35"/>
      <c r="AD2899" s="35"/>
      <c r="AE2899" s="35"/>
      <c r="AF2899" s="35"/>
      <c r="AG2899" s="35"/>
      <c r="AH2899" s="35"/>
      <c r="AI2899" s="35"/>
      <c r="AJ2899" s="35"/>
      <c r="AK2899" s="35"/>
      <c r="AL2899" s="35"/>
    </row>
    <row r="2900">
      <c r="A2900" s="1"/>
      <c r="B2900" s="19" t="s">
        <v>14192</v>
      </c>
      <c r="C2900" s="20" t="s">
        <v>3930</v>
      </c>
      <c r="D2900" s="47"/>
      <c r="E2900" s="22" t="s">
        <v>14306</v>
      </c>
      <c r="F2900" s="22" t="s">
        <v>358</v>
      </c>
      <c r="G2900" s="23">
        <v>2016.0</v>
      </c>
      <c r="H2900" s="22" t="s">
        <v>309</v>
      </c>
      <c r="I2900" s="24" t="s">
        <v>14307</v>
      </c>
      <c r="J2900" s="22" t="s">
        <v>55</v>
      </c>
      <c r="K2900" s="22" t="s">
        <v>14308</v>
      </c>
      <c r="L2900" s="52" t="s">
        <v>14309</v>
      </c>
      <c r="M2900" s="52"/>
      <c r="N2900" s="52"/>
      <c r="O2900" s="52"/>
      <c r="P2900" s="189" t="s">
        <v>14310</v>
      </c>
      <c r="Q2900" s="52"/>
      <c r="R2900" s="52"/>
      <c r="S2900" s="52"/>
      <c r="T2900" s="41" t="s">
        <v>14311</v>
      </c>
      <c r="U2900" s="38" t="str">
        <f>HYPERLINK("https://www.ncbi.nlm.nih.gov/pubmed/27142904","PubMed")</f>
        <v>PubMed</v>
      </c>
      <c r="V2900" s="30"/>
      <c r="W2900" s="49"/>
      <c r="X2900" s="49"/>
      <c r="Y2900" s="35"/>
      <c r="Z2900" s="35"/>
      <c r="AA2900" s="35"/>
      <c r="AB2900" s="35"/>
      <c r="AC2900" s="35"/>
      <c r="AD2900" s="35"/>
      <c r="AE2900" s="35"/>
      <c r="AF2900" s="35"/>
      <c r="AG2900" s="35"/>
      <c r="AH2900" s="35"/>
      <c r="AI2900" s="35"/>
      <c r="AJ2900" s="35"/>
      <c r="AK2900" s="35"/>
      <c r="AL2900" s="35"/>
    </row>
    <row r="2901">
      <c r="A2901" s="39"/>
      <c r="B2901" s="19" t="s">
        <v>14312</v>
      </c>
      <c r="C2901" s="20"/>
      <c r="D2901" s="47"/>
      <c r="E2901" s="22" t="s">
        <v>14313</v>
      </c>
      <c r="F2901" s="22" t="s">
        <v>10609</v>
      </c>
      <c r="G2901" s="23">
        <v>2021.0</v>
      </c>
      <c r="H2901" s="22" t="s">
        <v>4791</v>
      </c>
      <c r="I2901" s="24" t="s">
        <v>14314</v>
      </c>
      <c r="J2901" s="22" t="s">
        <v>125</v>
      </c>
      <c r="K2901" s="22"/>
      <c r="L2901" s="173" t="s">
        <v>14315</v>
      </c>
      <c r="U2901" s="29" t="s">
        <v>61</v>
      </c>
      <c r="V2901" s="50"/>
      <c r="W2901" s="49"/>
      <c r="X2901" s="49"/>
      <c r="Y2901" s="35"/>
      <c r="Z2901" s="35"/>
      <c r="AA2901" s="35"/>
      <c r="AB2901" s="35"/>
      <c r="AC2901" s="35"/>
      <c r="AD2901" s="35"/>
      <c r="AE2901" s="35"/>
      <c r="AF2901" s="35"/>
      <c r="AG2901" s="35"/>
      <c r="AH2901" s="35"/>
      <c r="AI2901" s="35"/>
      <c r="AJ2901" s="35"/>
      <c r="AK2901" s="35"/>
      <c r="AL2901" s="35"/>
    </row>
    <row r="2902">
      <c r="A2902" s="39" t="s">
        <v>2</v>
      </c>
      <c r="B2902" s="19" t="s">
        <v>14312</v>
      </c>
      <c r="C2902" s="20"/>
      <c r="D2902" s="47"/>
      <c r="E2902" s="22" t="s">
        <v>14316</v>
      </c>
      <c r="F2902" s="22" t="s">
        <v>14317</v>
      </c>
      <c r="G2902" s="23">
        <v>2020.0</v>
      </c>
      <c r="H2902" s="22" t="s">
        <v>77</v>
      </c>
      <c r="I2902" s="24" t="s">
        <v>14318</v>
      </c>
      <c r="J2902" s="22" t="s">
        <v>3289</v>
      </c>
      <c r="K2902" s="22"/>
      <c r="L2902" s="173" t="s">
        <v>14319</v>
      </c>
      <c r="U2902" s="38" t="str">
        <f>HYPERLINK("https://www.ncbi.nlm.nih.gov/pubmed/32301672","PubMed")</f>
        <v>PubMed</v>
      </c>
      <c r="V2902" s="50"/>
      <c r="W2902" s="49"/>
      <c r="X2902" s="49"/>
      <c r="Y2902" s="35"/>
      <c r="Z2902" s="35"/>
      <c r="AA2902" s="35"/>
      <c r="AB2902" s="35"/>
      <c r="AC2902" s="35"/>
      <c r="AD2902" s="35"/>
      <c r="AE2902" s="35"/>
      <c r="AF2902" s="35"/>
      <c r="AG2902" s="35"/>
      <c r="AH2902" s="35"/>
      <c r="AI2902" s="35"/>
      <c r="AJ2902" s="35"/>
      <c r="AK2902" s="35"/>
      <c r="AL2902" s="35"/>
    </row>
    <row r="2903">
      <c r="A2903" s="39" t="s">
        <v>2</v>
      </c>
      <c r="B2903" s="19" t="s">
        <v>14312</v>
      </c>
      <c r="C2903" s="20"/>
      <c r="D2903" s="47"/>
      <c r="E2903" s="22" t="s">
        <v>14320</v>
      </c>
      <c r="F2903" s="22" t="s">
        <v>14321</v>
      </c>
      <c r="G2903" s="23">
        <v>2019.0</v>
      </c>
      <c r="H2903" s="22" t="s">
        <v>77</v>
      </c>
      <c r="I2903" s="24" t="s">
        <v>14322</v>
      </c>
      <c r="J2903" s="22" t="s">
        <v>3289</v>
      </c>
      <c r="K2903" s="22"/>
      <c r="L2903" s="173" t="s">
        <v>14323</v>
      </c>
      <c r="U2903" s="38" t="str">
        <f>HYPERLINK("https://www.ncbi.nlm.nih.gov/pubmed/31050944","PubMed")</f>
        <v>PubMed</v>
      </c>
      <c r="V2903" s="50"/>
      <c r="W2903" s="49"/>
      <c r="X2903" s="49"/>
      <c r="Y2903" s="35"/>
      <c r="Z2903" s="35"/>
      <c r="AA2903" s="35"/>
      <c r="AB2903" s="35"/>
      <c r="AC2903" s="35"/>
      <c r="AD2903" s="35"/>
      <c r="AE2903" s="35"/>
      <c r="AF2903" s="35"/>
      <c r="AG2903" s="35"/>
      <c r="AH2903" s="35"/>
      <c r="AI2903" s="35"/>
      <c r="AJ2903" s="35"/>
      <c r="AK2903" s="35"/>
      <c r="AL2903" s="35"/>
    </row>
    <row r="2904">
      <c r="A2904" s="39"/>
      <c r="B2904" s="19" t="s">
        <v>14312</v>
      </c>
      <c r="C2904" s="20"/>
      <c r="D2904" s="47"/>
      <c r="E2904" s="22" t="s">
        <v>14324</v>
      </c>
      <c r="F2904" s="22" t="s">
        <v>14325</v>
      </c>
      <c r="G2904" s="23">
        <v>2018.0</v>
      </c>
      <c r="H2904" s="22" t="s">
        <v>14326</v>
      </c>
      <c r="I2904" s="24" t="s">
        <v>14327</v>
      </c>
      <c r="J2904" s="22" t="s">
        <v>202</v>
      </c>
      <c r="K2904" s="22"/>
      <c r="L2904" s="173" t="s">
        <v>14328</v>
      </c>
      <c r="U2904" s="38" t="str">
        <f>HYPERLINK("https://www.ncbi.nlm.nih.gov/pubmed/30477871","PubMed")</f>
        <v>PubMed</v>
      </c>
      <c r="V2904" s="50"/>
      <c r="W2904" s="49"/>
      <c r="X2904" s="49"/>
      <c r="Y2904" s="35"/>
      <c r="Z2904" s="35"/>
      <c r="AA2904" s="35"/>
      <c r="AB2904" s="35"/>
      <c r="AC2904" s="35"/>
      <c r="AD2904" s="35"/>
      <c r="AE2904" s="35"/>
      <c r="AF2904" s="35"/>
      <c r="AG2904" s="35"/>
      <c r="AH2904" s="35"/>
      <c r="AI2904" s="35"/>
      <c r="AJ2904" s="35"/>
      <c r="AK2904" s="35"/>
      <c r="AL2904" s="35"/>
    </row>
    <row r="2905">
      <c r="A2905" s="39"/>
      <c r="B2905" s="19" t="s">
        <v>14312</v>
      </c>
      <c r="C2905" s="20"/>
      <c r="D2905" s="47"/>
      <c r="E2905" s="22" t="s">
        <v>14329</v>
      </c>
      <c r="F2905" s="22" t="s">
        <v>14330</v>
      </c>
      <c r="G2905" s="23">
        <v>2017.0</v>
      </c>
      <c r="H2905" s="22" t="s">
        <v>658</v>
      </c>
      <c r="I2905" s="24" t="s">
        <v>14331</v>
      </c>
      <c r="J2905" s="22" t="s">
        <v>3289</v>
      </c>
      <c r="K2905" s="96"/>
      <c r="L2905" s="173" t="s">
        <v>14332</v>
      </c>
      <c r="U2905" s="38" t="str">
        <f>HYPERLINK("https://www.ncbi.nlm.nih.gov/pubmed/28783466","PubMed")</f>
        <v>PubMed</v>
      </c>
      <c r="V2905" s="50"/>
      <c r="W2905" s="49"/>
      <c r="X2905" s="49"/>
      <c r="Y2905" s="35"/>
      <c r="Z2905" s="35"/>
      <c r="AA2905" s="35"/>
      <c r="AB2905" s="35"/>
      <c r="AC2905" s="35"/>
      <c r="AD2905" s="35"/>
      <c r="AE2905" s="35"/>
      <c r="AF2905" s="35"/>
      <c r="AG2905" s="35"/>
      <c r="AH2905" s="35"/>
      <c r="AI2905" s="35"/>
      <c r="AJ2905" s="35"/>
      <c r="AK2905" s="35"/>
      <c r="AL2905" s="35"/>
    </row>
    <row r="2906">
      <c r="A2906" s="39"/>
      <c r="B2906" s="19" t="s">
        <v>14312</v>
      </c>
      <c r="C2906" s="20"/>
      <c r="D2906" s="47"/>
      <c r="E2906" s="22" t="s">
        <v>12775</v>
      </c>
      <c r="F2906" s="22" t="s">
        <v>2346</v>
      </c>
      <c r="G2906" s="23">
        <v>2017.0</v>
      </c>
      <c r="H2906" s="22" t="s">
        <v>147</v>
      </c>
      <c r="I2906" s="24" t="s">
        <v>14333</v>
      </c>
      <c r="J2906" s="22" t="s">
        <v>125</v>
      </c>
      <c r="K2906" s="96"/>
      <c r="L2906" s="105" t="s">
        <v>14334</v>
      </c>
      <c r="M2906" s="44"/>
      <c r="N2906" s="44"/>
      <c r="O2906" s="44"/>
      <c r="P2906" s="44"/>
      <c r="Q2906" s="44"/>
      <c r="R2906" s="44"/>
      <c r="S2906" s="44"/>
      <c r="T2906" s="45"/>
      <c r="U2906" s="38" t="str">
        <f>HYPERLINK("https://www.ncbi.nlm.nih.gov/pubmed/28652897","PubMed")</f>
        <v>PubMed</v>
      </c>
      <c r="V2906" s="50"/>
      <c r="W2906" s="49"/>
      <c r="X2906" s="49"/>
      <c r="Y2906" s="35"/>
      <c r="Z2906" s="35"/>
      <c r="AA2906" s="35"/>
      <c r="AB2906" s="35"/>
      <c r="AC2906" s="35"/>
      <c r="AD2906" s="35"/>
      <c r="AE2906" s="35"/>
      <c r="AF2906" s="35"/>
      <c r="AG2906" s="35"/>
      <c r="AH2906" s="35"/>
      <c r="AI2906" s="35"/>
      <c r="AJ2906" s="35"/>
      <c r="AK2906" s="35"/>
      <c r="AL2906" s="35"/>
    </row>
    <row r="2907">
      <c r="A2907" s="39" t="s">
        <v>2</v>
      </c>
      <c r="B2907" s="19" t="s">
        <v>14312</v>
      </c>
      <c r="C2907" s="20"/>
      <c r="D2907" s="47"/>
      <c r="E2907" s="22" t="s">
        <v>14335</v>
      </c>
      <c r="F2907" s="22" t="s">
        <v>3441</v>
      </c>
      <c r="G2907" s="23">
        <v>2015.0</v>
      </c>
      <c r="H2907" s="22" t="s">
        <v>658</v>
      </c>
      <c r="I2907" s="24" t="s">
        <v>14336</v>
      </c>
      <c r="J2907" s="22" t="s">
        <v>202</v>
      </c>
      <c r="K2907" s="96"/>
      <c r="L2907" s="105" t="s">
        <v>14337</v>
      </c>
      <c r="M2907" s="44"/>
      <c r="N2907" s="44"/>
      <c r="O2907" s="44"/>
      <c r="P2907" s="44"/>
      <c r="Q2907" s="44"/>
      <c r="R2907" s="44"/>
      <c r="S2907" s="44"/>
      <c r="T2907" s="45"/>
      <c r="U2907" s="38" t="str">
        <f>HYPERLINK("https://www.ncbi.nlm.nih.gov/pubmed/25844681","PubMed")</f>
        <v>PubMed</v>
      </c>
      <c r="V2907" s="50"/>
      <c r="W2907" s="49"/>
      <c r="X2907" s="49"/>
      <c r="Y2907" s="35"/>
      <c r="Z2907" s="35"/>
      <c r="AA2907" s="35"/>
      <c r="AB2907" s="35"/>
      <c r="AC2907" s="35"/>
      <c r="AD2907" s="35"/>
      <c r="AE2907" s="35"/>
      <c r="AF2907" s="35"/>
      <c r="AG2907" s="35"/>
      <c r="AH2907" s="35"/>
      <c r="AI2907" s="35"/>
      <c r="AJ2907" s="35"/>
      <c r="AK2907" s="35"/>
      <c r="AL2907" s="35"/>
    </row>
    <row r="2908">
      <c r="A2908" s="180"/>
      <c r="B2908" s="19" t="s">
        <v>14312</v>
      </c>
      <c r="C2908" s="20"/>
      <c r="D2908" s="47"/>
      <c r="E2908" s="22" t="s">
        <v>14338</v>
      </c>
      <c r="F2908" s="22" t="s">
        <v>7844</v>
      </c>
      <c r="G2908" s="23">
        <v>2013.0</v>
      </c>
      <c r="H2908" s="22" t="s">
        <v>658</v>
      </c>
      <c r="I2908" s="24" t="s">
        <v>14339</v>
      </c>
      <c r="J2908" s="22" t="s">
        <v>3289</v>
      </c>
      <c r="K2908" s="96"/>
      <c r="L2908" s="105" t="s">
        <v>14340</v>
      </c>
      <c r="M2908" s="44"/>
      <c r="N2908" s="44"/>
      <c r="O2908" s="44"/>
      <c r="P2908" s="44"/>
      <c r="Q2908" s="44"/>
      <c r="R2908" s="44"/>
      <c r="S2908" s="44"/>
      <c r="T2908" s="45"/>
      <c r="U2908" s="38" t="str">
        <f>HYPERLINK("https://www.ncbi.nlm.nih.gov/pubmed/24251929","PubMed")</f>
        <v>PubMed</v>
      </c>
      <c r="V2908" s="50"/>
      <c r="W2908" s="49"/>
      <c r="X2908" s="49"/>
      <c r="Y2908" s="35"/>
      <c r="Z2908" s="35"/>
      <c r="AA2908" s="35"/>
      <c r="AB2908" s="35"/>
      <c r="AC2908" s="35"/>
      <c r="AD2908" s="35"/>
      <c r="AE2908" s="35"/>
      <c r="AF2908" s="35"/>
      <c r="AG2908" s="35"/>
      <c r="AH2908" s="35"/>
      <c r="AI2908" s="35"/>
      <c r="AJ2908" s="35"/>
      <c r="AK2908" s="35"/>
      <c r="AL2908" s="35"/>
    </row>
    <row r="2909">
      <c r="A2909" s="180"/>
      <c r="B2909" s="19" t="s">
        <v>14312</v>
      </c>
      <c r="C2909" s="20"/>
      <c r="D2909" s="47"/>
      <c r="E2909" s="22" t="s">
        <v>14341</v>
      </c>
      <c r="F2909" s="22" t="s">
        <v>2407</v>
      </c>
      <c r="G2909" s="23">
        <v>2012.0</v>
      </c>
      <c r="H2909" s="22" t="s">
        <v>658</v>
      </c>
      <c r="I2909" s="24" t="s">
        <v>14342</v>
      </c>
      <c r="J2909" s="22" t="s">
        <v>202</v>
      </c>
      <c r="K2909" s="96"/>
      <c r="L2909" s="105"/>
      <c r="M2909" s="44"/>
      <c r="N2909" s="44"/>
      <c r="O2909" s="44"/>
      <c r="P2909" s="44"/>
      <c r="Q2909" s="44"/>
      <c r="R2909" s="44"/>
      <c r="S2909" s="44"/>
      <c r="T2909" s="45"/>
      <c r="U2909" s="38" t="str">
        <f>HYPERLINK("https://www.ncbi.nlm.nih.gov/pubmed/22779706","PubMed")</f>
        <v>PubMed</v>
      </c>
      <c r="V2909" s="50"/>
      <c r="W2909" s="49"/>
      <c r="X2909" s="49"/>
      <c r="Y2909" s="35"/>
      <c r="Z2909" s="35"/>
      <c r="AA2909" s="35"/>
      <c r="AB2909" s="35"/>
      <c r="AC2909" s="35"/>
      <c r="AD2909" s="35"/>
      <c r="AE2909" s="35"/>
      <c r="AF2909" s="35"/>
      <c r="AG2909" s="35"/>
      <c r="AH2909" s="35"/>
      <c r="AI2909" s="35"/>
      <c r="AJ2909" s="35"/>
      <c r="AK2909" s="35"/>
      <c r="AL2909" s="35"/>
    </row>
    <row r="2910" ht="27.0" customHeight="1">
      <c r="A2910" s="133"/>
      <c r="B2910" s="19" t="s">
        <v>14312</v>
      </c>
      <c r="C2910" s="20"/>
      <c r="D2910" s="47"/>
      <c r="E2910" s="22" t="s">
        <v>14343</v>
      </c>
      <c r="F2910" s="22" t="s">
        <v>1173</v>
      </c>
      <c r="G2910" s="23">
        <v>2008.0</v>
      </c>
      <c r="H2910" s="22" t="s">
        <v>14344</v>
      </c>
      <c r="I2910" s="24" t="s">
        <v>14345</v>
      </c>
      <c r="J2910" s="22" t="s">
        <v>14346</v>
      </c>
      <c r="K2910" s="22" t="s">
        <v>3935</v>
      </c>
      <c r="L2910" s="43" t="s">
        <v>14347</v>
      </c>
      <c r="M2910" s="44"/>
      <c r="N2910" s="44"/>
      <c r="O2910" s="44"/>
      <c r="P2910" s="44"/>
      <c r="Q2910" s="44"/>
      <c r="R2910" s="44"/>
      <c r="S2910" s="44"/>
      <c r="T2910" s="45"/>
      <c r="U2910" s="38" t="str">
        <f>HYPERLINK("https://www.ncbi.nlm.nih.gov/pubmed/19265872/","PubMed")</f>
        <v>PubMed</v>
      </c>
      <c r="V2910" s="50"/>
      <c r="W2910" s="49"/>
      <c r="X2910" s="49"/>
      <c r="Y2910" s="35"/>
      <c r="Z2910" s="35"/>
      <c r="AA2910" s="35"/>
      <c r="AB2910" s="35"/>
      <c r="AC2910" s="35"/>
      <c r="AD2910" s="35"/>
      <c r="AE2910" s="35"/>
      <c r="AF2910" s="35"/>
      <c r="AG2910" s="35"/>
      <c r="AH2910" s="35"/>
      <c r="AI2910" s="35"/>
      <c r="AJ2910" s="35"/>
      <c r="AK2910" s="35"/>
      <c r="AL2910" s="35"/>
    </row>
    <row r="2911" ht="27.0" customHeight="1">
      <c r="A2911" s="133" t="s">
        <v>2</v>
      </c>
      <c r="B2911" s="19" t="s">
        <v>14312</v>
      </c>
      <c r="C2911" s="20"/>
      <c r="D2911" s="47"/>
      <c r="E2911" s="22" t="s">
        <v>14348</v>
      </c>
      <c r="F2911" s="22" t="s">
        <v>2161</v>
      </c>
      <c r="G2911" s="23">
        <v>2007.0</v>
      </c>
      <c r="H2911" s="22" t="s">
        <v>4975</v>
      </c>
      <c r="I2911" s="24" t="s">
        <v>14349</v>
      </c>
      <c r="J2911" s="22" t="s">
        <v>14350</v>
      </c>
      <c r="K2911" s="96"/>
      <c r="L2911" s="43" t="s">
        <v>14351</v>
      </c>
      <c r="M2911" s="44"/>
      <c r="N2911" s="44"/>
      <c r="O2911" s="44"/>
      <c r="P2911" s="44"/>
      <c r="Q2911" s="44"/>
      <c r="R2911" s="44"/>
      <c r="S2911" s="44"/>
      <c r="T2911" s="45"/>
      <c r="U2911" s="38" t="str">
        <f>HYPERLINK("http://onlinelibrary.wiley.com/doi/10.1111/j.1751-1097.2007.00229.x/full","Wiley")</f>
        <v>Wiley</v>
      </c>
      <c r="V2911" s="50"/>
      <c r="W2911" s="49"/>
      <c r="X2911" s="49"/>
      <c r="Y2911" s="35"/>
      <c r="Z2911" s="35"/>
      <c r="AA2911" s="35"/>
      <c r="AB2911" s="35"/>
      <c r="AC2911" s="35"/>
      <c r="AD2911" s="35"/>
      <c r="AE2911" s="35"/>
      <c r="AF2911" s="35"/>
      <c r="AG2911" s="35"/>
      <c r="AH2911" s="35"/>
      <c r="AI2911" s="35"/>
      <c r="AJ2911" s="35"/>
      <c r="AK2911" s="35"/>
      <c r="AL2911" s="35"/>
    </row>
    <row r="2912" ht="27.0" customHeight="1">
      <c r="A2912" s="133"/>
      <c r="B2912" s="19" t="s">
        <v>14312</v>
      </c>
      <c r="C2912" s="20"/>
      <c r="D2912" s="47"/>
      <c r="E2912" s="22" t="s">
        <v>14352</v>
      </c>
      <c r="F2912" s="22"/>
      <c r="G2912" s="23">
        <v>2006.0</v>
      </c>
      <c r="H2912" s="22" t="s">
        <v>658</v>
      </c>
      <c r="I2912" s="24" t="s">
        <v>14353</v>
      </c>
      <c r="J2912" s="22" t="s">
        <v>14354</v>
      </c>
      <c r="K2912" s="96"/>
      <c r="L2912" s="290"/>
      <c r="M2912" s="44"/>
      <c r="N2912" s="44"/>
      <c r="O2912" s="44"/>
      <c r="P2912" s="44"/>
      <c r="Q2912" s="44"/>
      <c r="R2912" s="44"/>
      <c r="S2912" s="44"/>
      <c r="T2912" s="45"/>
      <c r="U2912" s="38" t="str">
        <f>HYPERLINK("https://www.ncbi.nlm.nih.gov/pubmed/17199478","PubMed")</f>
        <v>PubMed</v>
      </c>
      <c r="V2912" s="50"/>
      <c r="W2912" s="49"/>
      <c r="X2912" s="49"/>
      <c r="Y2912" s="35"/>
      <c r="Z2912" s="35"/>
      <c r="AA2912" s="35"/>
      <c r="AB2912" s="35"/>
      <c r="AC2912" s="35"/>
      <c r="AD2912" s="35"/>
      <c r="AE2912" s="35"/>
      <c r="AF2912" s="35"/>
      <c r="AG2912" s="35"/>
      <c r="AH2912" s="35"/>
      <c r="AI2912" s="35"/>
      <c r="AJ2912" s="35"/>
      <c r="AK2912" s="35"/>
      <c r="AL2912" s="35"/>
    </row>
    <row r="2913" ht="27.0" customHeight="1">
      <c r="A2913" s="133" t="s">
        <v>2</v>
      </c>
      <c r="B2913" s="19" t="s">
        <v>14312</v>
      </c>
      <c r="C2913" s="20"/>
      <c r="D2913" s="47"/>
      <c r="E2913" s="22" t="s">
        <v>14352</v>
      </c>
      <c r="F2913" s="22"/>
      <c r="G2913" s="23">
        <v>2006.0</v>
      </c>
      <c r="H2913" s="22" t="s">
        <v>658</v>
      </c>
      <c r="I2913" s="24" t="s">
        <v>14355</v>
      </c>
      <c r="J2913" s="22" t="s">
        <v>14356</v>
      </c>
      <c r="K2913" s="96"/>
      <c r="L2913" s="213" t="s">
        <v>14357</v>
      </c>
      <c r="M2913" s="44"/>
      <c r="N2913" s="44"/>
      <c r="O2913" s="44"/>
      <c r="P2913" s="44"/>
      <c r="Q2913" s="44"/>
      <c r="R2913" s="44"/>
      <c r="S2913" s="44"/>
      <c r="T2913" s="45"/>
      <c r="U2913" s="38" t="str">
        <f>HYPERLINK("https://www.ncbi.nlm.nih.gov/pubmed/17199479","PubMed")</f>
        <v>PubMed</v>
      </c>
      <c r="V2913" s="50"/>
      <c r="W2913" s="49"/>
      <c r="X2913" s="49"/>
      <c r="Y2913" s="35"/>
      <c r="Z2913" s="35"/>
      <c r="AA2913" s="35"/>
      <c r="AB2913" s="35"/>
      <c r="AC2913" s="35"/>
      <c r="AD2913" s="35"/>
      <c r="AE2913" s="35"/>
      <c r="AF2913" s="35"/>
      <c r="AG2913" s="35"/>
      <c r="AH2913" s="35"/>
      <c r="AI2913" s="35"/>
      <c r="AJ2913" s="35"/>
      <c r="AK2913" s="35"/>
      <c r="AL2913" s="35"/>
    </row>
    <row r="2914">
      <c r="A2914" s="180"/>
      <c r="B2914" s="19" t="s">
        <v>14312</v>
      </c>
      <c r="C2914" s="20"/>
      <c r="D2914" s="47"/>
      <c r="E2914" s="178" t="s">
        <v>14358</v>
      </c>
      <c r="F2914" s="96"/>
      <c r="G2914" s="177">
        <v>2001.0</v>
      </c>
      <c r="H2914" s="178" t="s">
        <v>14359</v>
      </c>
      <c r="I2914" s="179" t="s">
        <v>14360</v>
      </c>
      <c r="J2914" s="22" t="s">
        <v>31</v>
      </c>
      <c r="K2914" s="96"/>
      <c r="L2914" s="36">
        <v>820.0</v>
      </c>
      <c r="M2914" s="107"/>
      <c r="N2914" s="36" t="s">
        <v>14361</v>
      </c>
      <c r="O2914" s="107"/>
      <c r="P2914" s="37" t="s">
        <v>14362</v>
      </c>
      <c r="Q2914" s="107"/>
      <c r="R2914" s="36" t="s">
        <v>14363</v>
      </c>
      <c r="S2914" s="36">
        <v>1.0</v>
      </c>
      <c r="T2914" s="28" t="s">
        <v>14364</v>
      </c>
      <c r="U2914" s="182" t="s">
        <v>61</v>
      </c>
      <c r="V2914" s="50"/>
      <c r="W2914" s="49"/>
      <c r="X2914" s="49"/>
      <c r="Y2914" s="35"/>
      <c r="Z2914" s="35"/>
      <c r="AA2914" s="35"/>
      <c r="AB2914" s="35"/>
      <c r="AC2914" s="35"/>
      <c r="AD2914" s="35"/>
      <c r="AE2914" s="35"/>
      <c r="AF2914" s="35"/>
      <c r="AG2914" s="35"/>
      <c r="AH2914" s="35"/>
      <c r="AI2914" s="35"/>
      <c r="AJ2914" s="35"/>
      <c r="AK2914" s="35"/>
      <c r="AL2914" s="35"/>
    </row>
    <row r="2915" ht="27.0" customHeight="1">
      <c r="A2915" s="133"/>
      <c r="B2915" s="19" t="s">
        <v>14312</v>
      </c>
      <c r="C2915" s="20"/>
      <c r="D2915" s="47"/>
      <c r="E2915" s="22" t="s">
        <v>6425</v>
      </c>
      <c r="F2915" s="22"/>
      <c r="G2915" s="23">
        <v>2000.0</v>
      </c>
      <c r="H2915" s="22" t="s">
        <v>14365</v>
      </c>
      <c r="I2915" s="24" t="s">
        <v>14366</v>
      </c>
      <c r="J2915" s="22" t="s">
        <v>125</v>
      </c>
      <c r="K2915" s="96"/>
      <c r="L2915" s="43" t="s">
        <v>14367</v>
      </c>
      <c r="M2915" s="44"/>
      <c r="N2915" s="44"/>
      <c r="O2915" s="44"/>
      <c r="P2915" s="44"/>
      <c r="Q2915" s="44"/>
      <c r="R2915" s="44"/>
      <c r="S2915" s="44"/>
      <c r="T2915" s="45"/>
      <c r="U2915" s="38" t="str">
        <f>HYPERLINK("https://www.ncbi.nlm.nih.gov/pubmed/10979236","PubMed")</f>
        <v>PubMed</v>
      </c>
      <c r="V2915" s="50"/>
      <c r="W2915" s="49"/>
      <c r="X2915" s="49"/>
      <c r="Y2915" s="35"/>
      <c r="Z2915" s="35"/>
      <c r="AA2915" s="35"/>
      <c r="AB2915" s="35"/>
      <c r="AC2915" s="35"/>
      <c r="AD2915" s="35"/>
      <c r="AE2915" s="35"/>
      <c r="AF2915" s="35"/>
      <c r="AG2915" s="35"/>
      <c r="AH2915" s="35"/>
      <c r="AI2915" s="35"/>
      <c r="AJ2915" s="35"/>
      <c r="AK2915" s="35"/>
      <c r="AL2915" s="35"/>
    </row>
    <row r="2916" ht="27.0" customHeight="1">
      <c r="A2916" s="146"/>
      <c r="B2916" s="19" t="s">
        <v>14312</v>
      </c>
      <c r="C2916" s="20"/>
      <c r="D2916" s="47"/>
      <c r="E2916" s="22" t="s">
        <v>10739</v>
      </c>
      <c r="F2916" s="22" t="s">
        <v>1398</v>
      </c>
      <c r="G2916" s="23">
        <v>2000.0</v>
      </c>
      <c r="H2916" s="22" t="s">
        <v>292</v>
      </c>
      <c r="I2916" s="24" t="s">
        <v>14368</v>
      </c>
      <c r="J2916" s="22" t="s">
        <v>125</v>
      </c>
      <c r="K2916" s="96"/>
      <c r="L2916" s="43" t="s">
        <v>14369</v>
      </c>
      <c r="M2916" s="44"/>
      <c r="N2916" s="44"/>
      <c r="O2916" s="44"/>
      <c r="P2916" s="44"/>
      <c r="Q2916" s="44"/>
      <c r="R2916" s="44"/>
      <c r="S2916" s="44"/>
      <c r="T2916" s="45"/>
      <c r="U2916" s="38" t="str">
        <f>HYPERLINK("https://www.jstage.jst.go.jp/article/islsm/12/1/12_1_42/_article/-char/en","J-STAGE")</f>
        <v>J-STAGE</v>
      </c>
      <c r="V2916" s="50"/>
      <c r="W2916" s="49"/>
      <c r="X2916" s="49"/>
      <c r="Y2916" s="35"/>
      <c r="Z2916" s="35"/>
      <c r="AA2916" s="35"/>
      <c r="AB2916" s="35"/>
      <c r="AC2916" s="35"/>
      <c r="AD2916" s="35"/>
      <c r="AE2916" s="35"/>
      <c r="AF2916" s="35"/>
      <c r="AG2916" s="35"/>
      <c r="AH2916" s="35"/>
      <c r="AI2916" s="35"/>
      <c r="AJ2916" s="35"/>
      <c r="AK2916" s="35"/>
      <c r="AL2916" s="35"/>
    </row>
    <row r="2917" ht="27.0" customHeight="1">
      <c r="A2917" s="133" t="s">
        <v>2</v>
      </c>
      <c r="B2917" s="19" t="s">
        <v>14312</v>
      </c>
      <c r="C2917" s="20"/>
      <c r="D2917" s="47"/>
      <c r="E2917" s="22" t="s">
        <v>14370</v>
      </c>
      <c r="F2917" s="22" t="s">
        <v>14371</v>
      </c>
      <c r="G2917" s="23">
        <v>2000.0</v>
      </c>
      <c r="H2917" s="22" t="s">
        <v>14372</v>
      </c>
      <c r="I2917" s="24" t="s">
        <v>14373</v>
      </c>
      <c r="J2917" s="22" t="s">
        <v>125</v>
      </c>
      <c r="K2917" s="96"/>
      <c r="L2917" s="43" t="s">
        <v>14374</v>
      </c>
      <c r="M2917" s="44"/>
      <c r="N2917" s="44"/>
      <c r="O2917" s="44"/>
      <c r="P2917" s="44"/>
      <c r="Q2917" s="44"/>
      <c r="R2917" s="44"/>
      <c r="S2917" s="44"/>
      <c r="T2917" s="45"/>
      <c r="U2917" s="38" t="str">
        <f>HYPERLINK("https://www.spiedigitallibrary.org/conference-proceedings-of-spie/4166/0000/100-positive-double-blind-studies-enough-or-too-little/10.1117/12.389490.short?SSO=1","SPIE")</f>
        <v>SPIE</v>
      </c>
      <c r="V2917" s="50"/>
      <c r="W2917" s="49"/>
      <c r="X2917" s="49"/>
      <c r="Y2917" s="35"/>
      <c r="Z2917" s="35"/>
      <c r="AA2917" s="35"/>
      <c r="AB2917" s="35"/>
      <c r="AC2917" s="35"/>
      <c r="AD2917" s="35"/>
      <c r="AE2917" s="35"/>
      <c r="AF2917" s="35"/>
      <c r="AG2917" s="35"/>
      <c r="AH2917" s="35"/>
      <c r="AI2917" s="35"/>
      <c r="AJ2917" s="35"/>
      <c r="AK2917" s="35"/>
      <c r="AL2917" s="35"/>
    </row>
    <row r="2918" ht="27.0" customHeight="1">
      <c r="A2918" s="146" t="s">
        <v>2</v>
      </c>
      <c r="B2918" s="19" t="s">
        <v>14312</v>
      </c>
      <c r="C2918" s="20"/>
      <c r="D2918" s="47"/>
      <c r="E2918" s="22" t="s">
        <v>14375</v>
      </c>
      <c r="F2918" s="22"/>
      <c r="G2918" s="23">
        <v>2000.0</v>
      </c>
      <c r="H2918" s="22" t="s">
        <v>292</v>
      </c>
      <c r="I2918" s="24" t="s">
        <v>14376</v>
      </c>
      <c r="J2918" s="22" t="s">
        <v>202</v>
      </c>
      <c r="K2918" s="96"/>
      <c r="L2918" s="43"/>
      <c r="M2918" s="44"/>
      <c r="N2918" s="44"/>
      <c r="O2918" s="44"/>
      <c r="P2918" s="44"/>
      <c r="Q2918" s="44"/>
      <c r="R2918" s="44"/>
      <c r="S2918" s="44"/>
      <c r="T2918" s="45"/>
      <c r="U2918" s="38" t="str">
        <f>HYPERLINK("https://www.jstage.jst.go.jp/article/islsm/12/1/12_1_1/_article/-char/en","J-STAGE")</f>
        <v>J-STAGE</v>
      </c>
      <c r="V2918" s="50"/>
      <c r="W2918" s="49"/>
      <c r="X2918" s="49"/>
      <c r="Y2918" s="35"/>
      <c r="Z2918" s="35"/>
      <c r="AA2918" s="35"/>
      <c r="AB2918" s="35"/>
      <c r="AC2918" s="35"/>
      <c r="AD2918" s="35"/>
      <c r="AE2918" s="35"/>
      <c r="AF2918" s="35"/>
      <c r="AG2918" s="35"/>
      <c r="AH2918" s="35"/>
      <c r="AI2918" s="35"/>
      <c r="AJ2918" s="35"/>
      <c r="AK2918" s="35"/>
      <c r="AL2918" s="35"/>
    </row>
    <row r="2919" ht="27.0" customHeight="1">
      <c r="A2919" s="146"/>
      <c r="B2919" s="19" t="s">
        <v>14312</v>
      </c>
      <c r="C2919" s="20"/>
      <c r="D2919" s="47"/>
      <c r="E2919" s="22" t="s">
        <v>14316</v>
      </c>
      <c r="F2919" s="22"/>
      <c r="G2919" s="23">
        <v>1999.0</v>
      </c>
      <c r="H2919" s="22" t="s">
        <v>292</v>
      </c>
      <c r="I2919" s="24" t="s">
        <v>14377</v>
      </c>
      <c r="J2919" s="22" t="s">
        <v>14378</v>
      </c>
      <c r="K2919" s="96"/>
      <c r="L2919" s="43" t="s">
        <v>14379</v>
      </c>
      <c r="M2919" s="44"/>
      <c r="N2919" s="44"/>
      <c r="O2919" s="44"/>
      <c r="P2919" s="44"/>
      <c r="Q2919" s="44"/>
      <c r="R2919" s="44"/>
      <c r="S2919" s="44"/>
      <c r="T2919" s="45"/>
      <c r="U2919" s="38" t="str">
        <f>HYPERLINK("https://www.jstage.jst.go.jp/article/islsm/11/3/11_3_138/_article/-char/en","J-STAGE")</f>
        <v>J-STAGE</v>
      </c>
      <c r="V2919" s="50"/>
      <c r="W2919" s="49"/>
      <c r="X2919" s="49"/>
      <c r="Y2919" s="35"/>
      <c r="Z2919" s="35"/>
      <c r="AA2919" s="35"/>
      <c r="AB2919" s="35"/>
      <c r="AC2919" s="35"/>
      <c r="AD2919" s="35"/>
      <c r="AE2919" s="35"/>
      <c r="AF2919" s="35"/>
      <c r="AG2919" s="35"/>
      <c r="AH2919" s="35"/>
      <c r="AI2919" s="35"/>
      <c r="AJ2919" s="35"/>
      <c r="AK2919" s="35"/>
      <c r="AL2919" s="35"/>
    </row>
    <row r="2920" ht="27.0" customHeight="1">
      <c r="A2920" s="146"/>
      <c r="B2920" s="19" t="s">
        <v>14312</v>
      </c>
      <c r="C2920" s="20"/>
      <c r="D2920" s="47"/>
      <c r="E2920" s="22" t="s">
        <v>14380</v>
      </c>
      <c r="F2920" s="22" t="s">
        <v>14381</v>
      </c>
      <c r="G2920" s="23">
        <v>1999.0</v>
      </c>
      <c r="H2920" s="22" t="s">
        <v>14382</v>
      </c>
      <c r="I2920" s="24" t="s">
        <v>14383</v>
      </c>
      <c r="J2920" s="22" t="s">
        <v>14384</v>
      </c>
      <c r="K2920" s="96"/>
      <c r="L2920" s="105" t="s">
        <v>14385</v>
      </c>
      <c r="M2920" s="44"/>
      <c r="N2920" s="44"/>
      <c r="O2920" s="44"/>
      <c r="P2920" s="44"/>
      <c r="Q2920" s="44"/>
      <c r="R2920" s="44"/>
      <c r="S2920" s="44"/>
      <c r="T2920" s="45"/>
      <c r="U2920" s="29" t="s">
        <v>61</v>
      </c>
      <c r="V2920" s="50"/>
      <c r="W2920" s="49"/>
      <c r="X2920" s="49"/>
      <c r="Y2920" s="35"/>
      <c r="Z2920" s="35"/>
      <c r="AA2920" s="35"/>
      <c r="AB2920" s="35"/>
      <c r="AC2920" s="35"/>
      <c r="AD2920" s="35"/>
      <c r="AE2920" s="35"/>
      <c r="AF2920" s="35"/>
      <c r="AG2920" s="35"/>
      <c r="AH2920" s="35"/>
      <c r="AI2920" s="35"/>
      <c r="AJ2920" s="35"/>
      <c r="AK2920" s="35"/>
      <c r="AL2920" s="35"/>
    </row>
    <row r="2921" ht="27.0" customHeight="1">
      <c r="A2921" s="146"/>
      <c r="B2921" s="19" t="s">
        <v>14312</v>
      </c>
      <c r="C2921" s="20"/>
      <c r="D2921" s="47"/>
      <c r="E2921" s="22" t="s">
        <v>14343</v>
      </c>
      <c r="F2921" s="22"/>
      <c r="G2921" s="23">
        <v>1999.0</v>
      </c>
      <c r="H2921" s="22" t="s">
        <v>14386</v>
      </c>
      <c r="I2921" s="24" t="s">
        <v>14387</v>
      </c>
      <c r="J2921" s="22" t="s">
        <v>14388</v>
      </c>
      <c r="K2921" s="96"/>
      <c r="L2921" s="107"/>
      <c r="M2921" s="107"/>
      <c r="N2921" s="107"/>
      <c r="O2921" s="107"/>
      <c r="P2921" s="109"/>
      <c r="Q2921" s="107"/>
      <c r="R2921" s="107"/>
      <c r="S2921" s="107"/>
      <c r="T2921" s="28" t="s">
        <v>14389</v>
      </c>
      <c r="U2921" s="38" t="str">
        <f>HYPERLINK("http://aip.scitation.org/doi/abs/10.1063/1.57600","AIP")</f>
        <v>AIP</v>
      </c>
      <c r="V2921" s="50"/>
      <c r="W2921" s="49"/>
      <c r="X2921" s="49"/>
      <c r="Y2921" s="35"/>
      <c r="Z2921" s="35"/>
      <c r="AA2921" s="35"/>
      <c r="AB2921" s="35"/>
      <c r="AC2921" s="35"/>
      <c r="AD2921" s="35"/>
      <c r="AE2921" s="35"/>
      <c r="AF2921" s="35"/>
      <c r="AG2921" s="35"/>
      <c r="AH2921" s="35"/>
      <c r="AI2921" s="35"/>
      <c r="AJ2921" s="35"/>
      <c r="AK2921" s="35"/>
      <c r="AL2921" s="35"/>
    </row>
    <row r="2922" ht="27.0" customHeight="1">
      <c r="A2922" s="133" t="s">
        <v>2</v>
      </c>
      <c r="B2922" s="19" t="s">
        <v>14312</v>
      </c>
      <c r="C2922" s="20"/>
      <c r="D2922" s="47"/>
      <c r="E2922" s="178" t="s">
        <v>14390</v>
      </c>
      <c r="F2922" s="96"/>
      <c r="G2922" s="177">
        <v>1995.0</v>
      </c>
      <c r="H2922" s="178" t="s">
        <v>14391</v>
      </c>
      <c r="I2922" s="179" t="s">
        <v>14392</v>
      </c>
      <c r="J2922" s="96"/>
      <c r="K2922" s="96"/>
      <c r="L2922" s="107"/>
      <c r="M2922" s="107"/>
      <c r="N2922" s="107"/>
      <c r="O2922" s="107"/>
      <c r="P2922" s="109"/>
      <c r="Q2922" s="107"/>
      <c r="R2922" s="107"/>
      <c r="S2922" s="107"/>
      <c r="T2922" s="181" t="s">
        <v>14393</v>
      </c>
      <c r="U2922" s="182" t="s">
        <v>61</v>
      </c>
      <c r="V2922" s="50"/>
      <c r="W2922" s="49"/>
      <c r="X2922" s="49"/>
      <c r="Y2922" s="35"/>
      <c r="Z2922" s="35"/>
      <c r="AA2922" s="35"/>
      <c r="AB2922" s="35"/>
      <c r="AC2922" s="35"/>
      <c r="AD2922" s="35"/>
      <c r="AE2922" s="35"/>
      <c r="AF2922" s="35"/>
      <c r="AG2922" s="35"/>
      <c r="AH2922" s="35"/>
      <c r="AI2922" s="35"/>
      <c r="AJ2922" s="35"/>
      <c r="AK2922" s="35"/>
      <c r="AL2922" s="35"/>
    </row>
    <row r="2923" ht="27.0" customHeight="1">
      <c r="A2923" s="133" t="s">
        <v>2</v>
      </c>
      <c r="B2923" s="19" t="s">
        <v>14312</v>
      </c>
      <c r="C2923" s="20"/>
      <c r="D2923" s="47"/>
      <c r="E2923" s="22" t="s">
        <v>14394</v>
      </c>
      <c r="F2923" s="22" t="s">
        <v>5649</v>
      </c>
      <c r="G2923" s="23">
        <v>1995.0</v>
      </c>
      <c r="H2923" s="22" t="s">
        <v>91</v>
      </c>
      <c r="I2923" s="24" t="s">
        <v>14395</v>
      </c>
      <c r="J2923" s="22" t="s">
        <v>125</v>
      </c>
      <c r="K2923" s="96"/>
      <c r="L2923" s="167" t="s">
        <v>14396</v>
      </c>
      <c r="M2923" s="44"/>
      <c r="N2923" s="44"/>
      <c r="O2923" s="44"/>
      <c r="P2923" s="44"/>
      <c r="Q2923" s="44"/>
      <c r="R2923" s="44"/>
      <c r="S2923" s="44"/>
      <c r="T2923" s="45"/>
      <c r="U2923" s="38" t="str">
        <f>HYPERLINK("https://www.ncbi.nlm.nih.gov/pubmed/7651054","PubMed")</f>
        <v>PubMed</v>
      </c>
      <c r="V2923" s="50"/>
      <c r="W2923" s="49"/>
      <c r="X2923" s="49"/>
      <c r="Y2923" s="35"/>
      <c r="Z2923" s="35"/>
      <c r="AA2923" s="35"/>
      <c r="AB2923" s="35"/>
      <c r="AC2923" s="35"/>
      <c r="AD2923" s="35"/>
      <c r="AE2923" s="35"/>
      <c r="AF2923" s="35"/>
      <c r="AG2923" s="35"/>
      <c r="AH2923" s="35"/>
      <c r="AI2923" s="35"/>
      <c r="AJ2923" s="35"/>
      <c r="AK2923" s="35"/>
      <c r="AL2923" s="35"/>
    </row>
    <row r="2924">
      <c r="A2924" s="1"/>
      <c r="B2924" s="19" t="s">
        <v>14312</v>
      </c>
      <c r="C2924" s="20"/>
      <c r="D2924" s="47"/>
      <c r="E2924" s="22" t="s">
        <v>14397</v>
      </c>
      <c r="F2924" s="22" t="s">
        <v>1416</v>
      </c>
      <c r="G2924" s="23">
        <v>1993.0</v>
      </c>
      <c r="H2924" s="22" t="s">
        <v>14398</v>
      </c>
      <c r="I2924" s="24" t="s">
        <v>14399</v>
      </c>
      <c r="J2924" s="22" t="s">
        <v>125</v>
      </c>
      <c r="K2924" s="22"/>
      <c r="L2924" s="105" t="s">
        <v>14400</v>
      </c>
      <c r="M2924" s="44"/>
      <c r="N2924" s="44"/>
      <c r="O2924" s="44"/>
      <c r="P2924" s="44"/>
      <c r="Q2924" s="44"/>
      <c r="R2924" s="44"/>
      <c r="S2924" s="44"/>
      <c r="T2924" s="45"/>
      <c r="U2924" s="38" t="str">
        <f>HYPERLINK("http://www.ncbi.nlm.nih.gov/pubmed/8126975","PubMed")</f>
        <v>PubMed</v>
      </c>
      <c r="V2924" s="50"/>
      <c r="W2924" s="49"/>
      <c r="X2924" s="49"/>
      <c r="Y2924" s="35"/>
      <c r="Z2924" s="35"/>
      <c r="AA2924" s="35"/>
      <c r="AB2924" s="35"/>
      <c r="AC2924" s="35"/>
      <c r="AD2924" s="35"/>
      <c r="AE2924" s="35"/>
      <c r="AF2924" s="35"/>
      <c r="AG2924" s="35"/>
      <c r="AH2924" s="35"/>
      <c r="AI2924" s="35"/>
      <c r="AJ2924" s="35"/>
      <c r="AK2924" s="35"/>
      <c r="AL2924" s="35"/>
    </row>
    <row r="2925">
      <c r="A2925" s="1"/>
      <c r="B2925" s="19" t="s">
        <v>14312</v>
      </c>
      <c r="C2925" s="20"/>
      <c r="D2925" s="47"/>
      <c r="E2925" s="22" t="s">
        <v>10739</v>
      </c>
      <c r="F2925" s="22" t="s">
        <v>1398</v>
      </c>
      <c r="G2925" s="23">
        <v>1993.0</v>
      </c>
      <c r="H2925" s="22" t="s">
        <v>292</v>
      </c>
      <c r="I2925" s="24" t="s">
        <v>14401</v>
      </c>
      <c r="J2925" s="22" t="s">
        <v>125</v>
      </c>
      <c r="K2925" s="22" t="s">
        <v>4202</v>
      </c>
      <c r="L2925" s="43" t="s">
        <v>14402</v>
      </c>
      <c r="M2925" s="44"/>
      <c r="N2925" s="44"/>
      <c r="O2925" s="44"/>
      <c r="P2925" s="44"/>
      <c r="Q2925" s="44"/>
      <c r="R2925" s="44"/>
      <c r="S2925" s="44"/>
      <c r="T2925" s="45"/>
      <c r="U2925" s="38" t="str">
        <f>HYPERLINK("https://www.jstage.jst.go.jp/article/islsm/5/1/5_93-RE-01/_article/-char/en","J-STAGE")</f>
        <v>J-STAGE</v>
      </c>
      <c r="V2925" s="50"/>
      <c r="W2925" s="49"/>
      <c r="X2925" s="49"/>
      <c r="Y2925" s="35"/>
      <c r="Z2925" s="35"/>
      <c r="AA2925" s="35"/>
      <c r="AB2925" s="35"/>
      <c r="AC2925" s="35"/>
      <c r="AD2925" s="35"/>
      <c r="AE2925" s="35"/>
      <c r="AF2925" s="35"/>
      <c r="AG2925" s="35"/>
      <c r="AH2925" s="35"/>
      <c r="AI2925" s="35"/>
      <c r="AJ2925" s="35"/>
      <c r="AK2925" s="35"/>
      <c r="AL2925" s="35"/>
    </row>
    <row r="2926">
      <c r="A2926" s="1"/>
      <c r="B2926" s="19" t="s">
        <v>14312</v>
      </c>
      <c r="C2926" s="20"/>
      <c r="D2926" s="47"/>
      <c r="E2926" s="22" t="s">
        <v>14403</v>
      </c>
      <c r="F2926" s="22" t="s">
        <v>748</v>
      </c>
      <c r="G2926" s="23">
        <v>1993.0</v>
      </c>
      <c r="H2926" s="22" t="s">
        <v>14404</v>
      </c>
      <c r="I2926" s="24" t="s">
        <v>14405</v>
      </c>
      <c r="J2926" s="22"/>
      <c r="K2926" s="22"/>
      <c r="L2926" s="36">
        <v>633.0</v>
      </c>
      <c r="M2926" s="36"/>
      <c r="N2926" s="36"/>
      <c r="O2926" s="36"/>
      <c r="P2926" s="37"/>
      <c r="Q2926" s="36"/>
      <c r="R2926" s="36"/>
      <c r="S2926" s="36"/>
      <c r="T2926" s="28" t="s">
        <v>14406</v>
      </c>
      <c r="U2926" s="38" t="str">
        <f>HYPERLINK("https://www.ncbi.nlm.nih.gov/pubmed/8316242","PubMed")</f>
        <v>PubMed</v>
      </c>
      <c r="V2926" s="50"/>
      <c r="W2926" s="49"/>
      <c r="X2926" s="49"/>
      <c r="Y2926" s="35"/>
      <c r="Z2926" s="35"/>
      <c r="AA2926" s="35"/>
      <c r="AB2926" s="35"/>
      <c r="AC2926" s="35"/>
      <c r="AD2926" s="35"/>
      <c r="AE2926" s="35"/>
      <c r="AF2926" s="35"/>
      <c r="AG2926" s="35"/>
      <c r="AH2926" s="35"/>
      <c r="AI2926" s="35"/>
      <c r="AJ2926" s="35"/>
      <c r="AK2926" s="35"/>
      <c r="AL2926" s="35"/>
    </row>
    <row r="2927">
      <c r="A2927" s="1"/>
      <c r="B2927" s="19" t="s">
        <v>14312</v>
      </c>
      <c r="C2927" s="20"/>
      <c r="D2927" s="47"/>
      <c r="E2927" s="22" t="s">
        <v>1425</v>
      </c>
      <c r="F2927" s="22" t="s">
        <v>1310</v>
      </c>
      <c r="G2927" s="23">
        <v>1992.0</v>
      </c>
      <c r="H2927" s="22" t="s">
        <v>207</v>
      </c>
      <c r="I2927" s="24" t="s">
        <v>14407</v>
      </c>
      <c r="J2927" s="22" t="s">
        <v>14408</v>
      </c>
      <c r="K2927" s="22" t="s">
        <v>294</v>
      </c>
      <c r="L2927" s="36" t="s">
        <v>14409</v>
      </c>
      <c r="M2927" s="36"/>
      <c r="N2927" s="36"/>
      <c r="O2927" s="36"/>
      <c r="P2927" s="37"/>
      <c r="Q2927" s="36"/>
      <c r="R2927" s="36"/>
      <c r="S2927" s="36"/>
      <c r="T2927" s="28" t="s">
        <v>14410</v>
      </c>
      <c r="U2927" s="38" t="str">
        <f>HYPERLINK("http://www.ncbi.nlm.nih.gov/pubmed/1321905","PubMed")</f>
        <v>PubMed</v>
      </c>
      <c r="V2927" s="50"/>
      <c r="W2927" s="49"/>
      <c r="X2927" s="49"/>
      <c r="Y2927" s="35"/>
      <c r="Z2927" s="35"/>
      <c r="AA2927" s="35"/>
      <c r="AB2927" s="35"/>
      <c r="AC2927" s="35"/>
      <c r="AD2927" s="35"/>
      <c r="AE2927" s="35"/>
      <c r="AF2927" s="35"/>
      <c r="AG2927" s="35"/>
      <c r="AH2927" s="35"/>
      <c r="AI2927" s="35"/>
      <c r="AJ2927" s="35"/>
      <c r="AK2927" s="35"/>
      <c r="AL2927" s="35"/>
    </row>
    <row r="2928">
      <c r="A2928" s="40"/>
      <c r="B2928" s="19" t="s">
        <v>14312</v>
      </c>
      <c r="C2928" s="20"/>
      <c r="D2928" s="47"/>
      <c r="E2928" s="22" t="s">
        <v>14411</v>
      </c>
      <c r="F2928" s="22" t="s">
        <v>4466</v>
      </c>
      <c r="G2928" s="23">
        <v>1991.0</v>
      </c>
      <c r="H2928" s="22" t="s">
        <v>292</v>
      </c>
      <c r="I2928" s="24" t="s">
        <v>14412</v>
      </c>
      <c r="J2928" s="22" t="s">
        <v>8962</v>
      </c>
      <c r="K2928" s="178"/>
      <c r="L2928" s="171" t="s">
        <v>14413</v>
      </c>
      <c r="M2928" s="44"/>
      <c r="N2928" s="44"/>
      <c r="O2928" s="44"/>
      <c r="P2928" s="44"/>
      <c r="Q2928" s="44"/>
      <c r="R2928" s="44"/>
      <c r="S2928" s="44"/>
      <c r="T2928" s="45"/>
      <c r="U2928" s="38" t="str">
        <f>HYPERLINK("https://www.jstage.jst.go.jp/article/islsm/3/4/3_91-LE-01/_article/-char/en","J-STAGE")</f>
        <v>J-STAGE</v>
      </c>
      <c r="V2928" s="50"/>
      <c r="W2928" s="49"/>
      <c r="X2928" s="49"/>
      <c r="Y2928" s="35"/>
      <c r="Z2928" s="35"/>
      <c r="AA2928" s="35"/>
      <c r="AB2928" s="35"/>
      <c r="AC2928" s="35"/>
      <c r="AD2928" s="35"/>
      <c r="AE2928" s="35"/>
      <c r="AF2928" s="35"/>
      <c r="AG2928" s="35"/>
      <c r="AH2928" s="35"/>
      <c r="AI2928" s="35"/>
      <c r="AJ2928" s="35"/>
      <c r="AK2928" s="35"/>
      <c r="AL2928" s="35"/>
    </row>
    <row r="2929">
      <c r="A2929" s="40"/>
      <c r="B2929" s="19" t="s">
        <v>14312</v>
      </c>
      <c r="C2929" s="20"/>
      <c r="D2929" s="47"/>
      <c r="E2929" s="22" t="s">
        <v>14414</v>
      </c>
      <c r="F2929" s="22" t="s">
        <v>7954</v>
      </c>
      <c r="G2929" s="23">
        <v>1991.0</v>
      </c>
      <c r="H2929" s="22" t="s">
        <v>292</v>
      </c>
      <c r="I2929" s="24" t="s">
        <v>14415</v>
      </c>
      <c r="J2929" s="22" t="s">
        <v>14416</v>
      </c>
      <c r="K2929" s="178"/>
      <c r="L2929" s="171" t="s">
        <v>14417</v>
      </c>
      <c r="M2929" s="44"/>
      <c r="N2929" s="44"/>
      <c r="O2929" s="44"/>
      <c r="P2929" s="44"/>
      <c r="Q2929" s="44"/>
      <c r="R2929" s="44"/>
      <c r="S2929" s="44"/>
      <c r="T2929" s="45"/>
      <c r="U2929" s="38" t="str">
        <f>HYPERLINK("https://www.jstage.jst.go.jp/article/islsm/3/1/3_91-NU-01/_article/-char/en","J-STAGE")</f>
        <v>J-STAGE</v>
      </c>
      <c r="V2929" s="50"/>
      <c r="W2929" s="49"/>
      <c r="X2929" s="49"/>
      <c r="Y2929" s="35"/>
      <c r="Z2929" s="35"/>
      <c r="AA2929" s="35"/>
      <c r="AB2929" s="35"/>
      <c r="AC2929" s="35"/>
      <c r="AD2929" s="35"/>
      <c r="AE2929" s="35"/>
      <c r="AF2929" s="35"/>
      <c r="AG2929" s="35"/>
      <c r="AH2929" s="35"/>
      <c r="AI2929" s="35"/>
      <c r="AJ2929" s="35"/>
      <c r="AK2929" s="35"/>
      <c r="AL2929" s="35"/>
    </row>
    <row r="2930">
      <c r="A2930" s="40" t="s">
        <v>181</v>
      </c>
      <c r="B2930" s="19" t="s">
        <v>14312</v>
      </c>
      <c r="C2930" s="20"/>
      <c r="D2930" s="47"/>
      <c r="E2930" s="22" t="s">
        <v>2755</v>
      </c>
      <c r="F2930" s="22" t="s">
        <v>2801</v>
      </c>
      <c r="G2930" s="23">
        <v>1991.0</v>
      </c>
      <c r="H2930" s="22" t="s">
        <v>292</v>
      </c>
      <c r="I2930" s="24" t="s">
        <v>14418</v>
      </c>
      <c r="J2930" s="22" t="s">
        <v>14416</v>
      </c>
      <c r="K2930" s="178"/>
      <c r="L2930" s="171" t="s">
        <v>14419</v>
      </c>
      <c r="M2930" s="44"/>
      <c r="N2930" s="44"/>
      <c r="O2930" s="44"/>
      <c r="P2930" s="44"/>
      <c r="Q2930" s="44"/>
      <c r="R2930" s="44"/>
      <c r="S2930" s="44"/>
      <c r="T2930" s="45"/>
      <c r="U2930" s="38" t="str">
        <f>HYPERLINK("https://www.jstage.jst.go.jp/article/islsm/3/1/3_91-RE-01/_article/-char/en","J-STAGE")</f>
        <v>J-STAGE</v>
      </c>
      <c r="V2930" s="50"/>
      <c r="W2930" s="49"/>
      <c r="X2930" s="49"/>
      <c r="Y2930" s="35"/>
      <c r="Z2930" s="35"/>
      <c r="AA2930" s="35"/>
      <c r="AB2930" s="35"/>
      <c r="AC2930" s="35"/>
      <c r="AD2930" s="35"/>
      <c r="AE2930" s="35"/>
      <c r="AF2930" s="35"/>
      <c r="AG2930" s="35"/>
      <c r="AH2930" s="35"/>
      <c r="AI2930" s="35"/>
      <c r="AJ2930" s="35"/>
      <c r="AK2930" s="35"/>
      <c r="AL2930" s="35"/>
    </row>
    <row r="2931">
      <c r="A2931" s="1" t="s">
        <v>2</v>
      </c>
      <c r="B2931" s="19" t="s">
        <v>14312</v>
      </c>
      <c r="C2931" s="20"/>
      <c r="D2931" s="47"/>
      <c r="E2931" s="22" t="s">
        <v>14420</v>
      </c>
      <c r="F2931" s="22" t="s">
        <v>14421</v>
      </c>
      <c r="G2931" s="23">
        <v>1990.0</v>
      </c>
      <c r="H2931" s="22" t="s">
        <v>292</v>
      </c>
      <c r="I2931" s="24" t="s">
        <v>14422</v>
      </c>
      <c r="J2931" s="22" t="s">
        <v>14423</v>
      </c>
      <c r="K2931" s="178"/>
      <c r="L2931" s="171" t="s">
        <v>14424</v>
      </c>
      <c r="M2931" s="44"/>
      <c r="N2931" s="44"/>
      <c r="O2931" s="44"/>
      <c r="P2931" s="44"/>
      <c r="Q2931" s="44"/>
      <c r="R2931" s="44"/>
      <c r="S2931" s="44"/>
      <c r="T2931" s="45"/>
      <c r="U2931" s="38" t="str">
        <f>HYPERLINK("https://www.jstage.jst.go.jp/article/islsm/2/1/2_90-AB-03/_article/-char/en","J-STAGE")</f>
        <v>J-STAGE</v>
      </c>
      <c r="V2931" s="50"/>
      <c r="W2931" s="49"/>
      <c r="X2931" s="49"/>
      <c r="Y2931" s="35"/>
      <c r="Z2931" s="35"/>
      <c r="AA2931" s="35"/>
      <c r="AB2931" s="35"/>
      <c r="AC2931" s="35"/>
      <c r="AD2931" s="35"/>
      <c r="AE2931" s="35"/>
      <c r="AF2931" s="35"/>
      <c r="AG2931" s="35"/>
      <c r="AH2931" s="35"/>
      <c r="AI2931" s="35"/>
      <c r="AJ2931" s="35"/>
      <c r="AK2931" s="35"/>
      <c r="AL2931" s="35"/>
    </row>
    <row r="2932">
      <c r="A2932" s="133"/>
      <c r="B2932" s="19" t="s">
        <v>14312</v>
      </c>
      <c r="C2932" s="20"/>
      <c r="D2932" s="47"/>
      <c r="E2932" s="22" t="s">
        <v>14394</v>
      </c>
      <c r="F2932" s="22" t="s">
        <v>5649</v>
      </c>
      <c r="G2932" s="23">
        <v>1990.0</v>
      </c>
      <c r="H2932" s="22" t="s">
        <v>14425</v>
      </c>
      <c r="I2932" s="24" t="s">
        <v>14426</v>
      </c>
      <c r="J2932" s="22" t="s">
        <v>125</v>
      </c>
      <c r="K2932" s="178"/>
      <c r="L2932" s="270" t="s">
        <v>14427</v>
      </c>
      <c r="M2932" s="44"/>
      <c r="N2932" s="44"/>
      <c r="O2932" s="44"/>
      <c r="P2932" s="44"/>
      <c r="Q2932" s="44"/>
      <c r="R2932" s="44"/>
      <c r="S2932" s="44"/>
      <c r="T2932" s="45"/>
      <c r="U2932" s="38" t="str">
        <f>HYPERLINK("http://lia.scitation.org/doi/abs/10.2351/1.4745254","LIA")</f>
        <v>LIA</v>
      </c>
      <c r="V2932" s="50"/>
      <c r="W2932" s="49"/>
      <c r="X2932" s="49"/>
      <c r="Y2932" s="35"/>
      <c r="Z2932" s="35"/>
      <c r="AA2932" s="35"/>
      <c r="AB2932" s="35"/>
      <c r="AC2932" s="35"/>
      <c r="AD2932" s="35"/>
      <c r="AE2932" s="35"/>
      <c r="AF2932" s="35"/>
      <c r="AG2932" s="35"/>
      <c r="AH2932" s="35"/>
      <c r="AI2932" s="35"/>
      <c r="AJ2932" s="35"/>
      <c r="AK2932" s="35"/>
      <c r="AL2932" s="35"/>
    </row>
    <row r="2933">
      <c r="A2933" s="133"/>
      <c r="B2933" s="19" t="s">
        <v>14312</v>
      </c>
      <c r="C2933" s="20"/>
      <c r="D2933" s="47"/>
      <c r="E2933" s="22" t="s">
        <v>14428</v>
      </c>
      <c r="F2933" s="22" t="s">
        <v>5312</v>
      </c>
      <c r="G2933" s="23">
        <v>1990.0</v>
      </c>
      <c r="H2933" s="22" t="s">
        <v>7020</v>
      </c>
      <c r="I2933" s="24" t="s">
        <v>14429</v>
      </c>
      <c r="J2933" s="22" t="s">
        <v>3289</v>
      </c>
      <c r="K2933" s="178"/>
      <c r="L2933" s="291" t="s">
        <v>14430</v>
      </c>
      <c r="M2933" s="44"/>
      <c r="N2933" s="44"/>
      <c r="O2933" s="44"/>
      <c r="P2933" s="44"/>
      <c r="Q2933" s="44"/>
      <c r="R2933" s="44"/>
      <c r="S2933" s="44"/>
      <c r="T2933" s="45"/>
      <c r="U2933" s="38" t="str">
        <f>HYPERLINK("https://www.ncbi.nlm.nih.gov/pubmed/2087325","PubMed")</f>
        <v>PubMed</v>
      </c>
      <c r="V2933" s="50"/>
      <c r="W2933" s="49"/>
      <c r="X2933" s="49"/>
      <c r="Y2933" s="35"/>
      <c r="Z2933" s="35"/>
      <c r="AA2933" s="35"/>
      <c r="AB2933" s="35"/>
      <c r="AC2933" s="35"/>
      <c r="AD2933" s="35"/>
      <c r="AE2933" s="35"/>
      <c r="AF2933" s="35"/>
      <c r="AG2933" s="35"/>
      <c r="AH2933" s="35"/>
      <c r="AI2933" s="35"/>
      <c r="AJ2933" s="35"/>
      <c r="AK2933" s="35"/>
      <c r="AL2933" s="35"/>
    </row>
    <row r="2934">
      <c r="A2934" s="133"/>
      <c r="B2934" s="19" t="s">
        <v>14312</v>
      </c>
      <c r="C2934" s="20"/>
      <c r="D2934" s="47"/>
      <c r="E2934" s="22" t="s">
        <v>14431</v>
      </c>
      <c r="F2934" s="22" t="s">
        <v>14432</v>
      </c>
      <c r="G2934" s="23">
        <v>1990.0</v>
      </c>
      <c r="H2934" s="22" t="s">
        <v>292</v>
      </c>
      <c r="I2934" s="24" t="s">
        <v>14433</v>
      </c>
      <c r="J2934" s="22" t="s">
        <v>125</v>
      </c>
      <c r="K2934" s="178"/>
      <c r="L2934" s="270" t="s">
        <v>14434</v>
      </c>
      <c r="M2934" s="44"/>
      <c r="N2934" s="44"/>
      <c r="O2934" s="44"/>
      <c r="P2934" s="44"/>
      <c r="Q2934" s="44"/>
      <c r="R2934" s="44"/>
      <c r="S2934" s="44"/>
      <c r="T2934" s="45"/>
      <c r="U2934" s="38" t="str">
        <f>HYPERLINK("https://www.jstage.jst.go.jp/article/islsm/2/4/2_90-RE-01/_article/-char/en","J-STAGE")</f>
        <v>J-STAGE</v>
      </c>
      <c r="V2934" s="50"/>
      <c r="W2934" s="49"/>
      <c r="X2934" s="49"/>
      <c r="Y2934" s="35"/>
      <c r="Z2934" s="35"/>
      <c r="AA2934" s="35"/>
      <c r="AB2934" s="35"/>
      <c r="AC2934" s="35"/>
      <c r="AD2934" s="35"/>
      <c r="AE2934" s="35"/>
      <c r="AF2934" s="35"/>
      <c r="AG2934" s="35"/>
      <c r="AH2934" s="35"/>
      <c r="AI2934" s="35"/>
      <c r="AJ2934" s="35"/>
      <c r="AK2934" s="35"/>
      <c r="AL2934" s="35"/>
    </row>
    <row r="2935">
      <c r="A2935" s="133" t="s">
        <v>2</v>
      </c>
      <c r="B2935" s="19" t="s">
        <v>14312</v>
      </c>
      <c r="C2935" s="20"/>
      <c r="D2935" s="47"/>
      <c r="E2935" s="22" t="s">
        <v>14435</v>
      </c>
      <c r="F2935" s="22" t="s">
        <v>7318</v>
      </c>
      <c r="G2935" s="23">
        <v>1989.0</v>
      </c>
      <c r="H2935" s="22" t="s">
        <v>91</v>
      </c>
      <c r="I2935" s="24" t="s">
        <v>14436</v>
      </c>
      <c r="J2935" s="22" t="s">
        <v>125</v>
      </c>
      <c r="K2935" s="178"/>
      <c r="L2935" s="171" t="s">
        <v>14437</v>
      </c>
      <c r="M2935" s="44"/>
      <c r="N2935" s="44"/>
      <c r="O2935" s="44"/>
      <c r="P2935" s="44"/>
      <c r="Q2935" s="44"/>
      <c r="R2935" s="44"/>
      <c r="S2935" s="44"/>
      <c r="T2935" s="45"/>
      <c r="U2935" s="38" t="str">
        <f>HYPERLINK("https://link.springer.com/article/10.1007/BF02032427","Springer")</f>
        <v>Springer</v>
      </c>
      <c r="V2935" s="50"/>
      <c r="W2935" s="49"/>
      <c r="X2935" s="49"/>
      <c r="Y2935" s="35"/>
      <c r="Z2935" s="35"/>
      <c r="AA2935" s="35"/>
      <c r="AB2935" s="35"/>
      <c r="AC2935" s="35"/>
      <c r="AD2935" s="35"/>
      <c r="AE2935" s="35"/>
      <c r="AF2935" s="35"/>
      <c r="AG2935" s="35"/>
      <c r="AH2935" s="35"/>
      <c r="AI2935" s="35"/>
      <c r="AJ2935" s="35"/>
      <c r="AK2935" s="35"/>
      <c r="AL2935" s="35"/>
    </row>
    <row r="2936">
      <c r="A2936" s="133" t="s">
        <v>2</v>
      </c>
      <c r="B2936" s="19" t="s">
        <v>14312</v>
      </c>
      <c r="C2936" s="20"/>
      <c r="D2936" s="47"/>
      <c r="E2936" s="22" t="s">
        <v>5109</v>
      </c>
      <c r="F2936" s="22" t="s">
        <v>748</v>
      </c>
      <c r="G2936" s="23">
        <v>1989.0</v>
      </c>
      <c r="H2936" s="22" t="s">
        <v>207</v>
      </c>
      <c r="I2936" s="24" t="s">
        <v>14438</v>
      </c>
      <c r="J2936" s="22" t="s">
        <v>125</v>
      </c>
      <c r="K2936" s="178"/>
      <c r="L2936" s="171" t="s">
        <v>14439</v>
      </c>
      <c r="M2936" s="44"/>
      <c r="N2936" s="44"/>
      <c r="O2936" s="44"/>
      <c r="P2936" s="44"/>
      <c r="Q2936" s="44"/>
      <c r="R2936" s="44"/>
      <c r="S2936" s="44"/>
      <c r="T2936" s="45"/>
      <c r="U2936" s="38" t="str">
        <f>HYPERLINK("https://www.ncbi.nlm.nih.gov/pubmed/2507763","PubMed")</f>
        <v>PubMed</v>
      </c>
      <c r="V2936" s="50"/>
      <c r="W2936" s="49"/>
      <c r="X2936" s="49"/>
      <c r="Y2936" s="35"/>
      <c r="Z2936" s="35"/>
      <c r="AA2936" s="35"/>
      <c r="AB2936" s="35"/>
      <c r="AC2936" s="35"/>
      <c r="AD2936" s="35"/>
      <c r="AE2936" s="35"/>
      <c r="AF2936" s="35"/>
      <c r="AG2936" s="35"/>
      <c r="AH2936" s="35"/>
      <c r="AI2936" s="35"/>
      <c r="AJ2936" s="35"/>
      <c r="AK2936" s="35"/>
      <c r="AL2936" s="35"/>
    </row>
    <row r="2937">
      <c r="A2937" s="133"/>
      <c r="B2937" s="19" t="s">
        <v>14312</v>
      </c>
      <c r="C2937" s="20"/>
      <c r="D2937" s="47"/>
      <c r="E2937" s="22" t="s">
        <v>13745</v>
      </c>
      <c r="F2937" s="22" t="s">
        <v>5649</v>
      </c>
      <c r="G2937" s="23">
        <v>1989.0</v>
      </c>
      <c r="H2937" s="22" t="s">
        <v>53</v>
      </c>
      <c r="I2937" s="24" t="s">
        <v>14440</v>
      </c>
      <c r="J2937" s="22" t="s">
        <v>202</v>
      </c>
      <c r="K2937" s="178"/>
      <c r="L2937" s="270" t="s">
        <v>14441</v>
      </c>
      <c r="M2937" s="44"/>
      <c r="N2937" s="44"/>
      <c r="O2937" s="44"/>
      <c r="P2937" s="44"/>
      <c r="Q2937" s="44"/>
      <c r="R2937" s="44"/>
      <c r="S2937" s="44"/>
      <c r="T2937" s="45"/>
      <c r="U2937" s="38" t="str">
        <f>HYPERLINK("https://www.ncbi.nlm.nih.gov/pubmed/2648091","PubMed")</f>
        <v>PubMed</v>
      </c>
      <c r="V2937" s="50"/>
      <c r="W2937" s="49"/>
      <c r="X2937" s="49"/>
      <c r="Y2937" s="35"/>
      <c r="Z2937" s="35"/>
      <c r="AA2937" s="35"/>
      <c r="AB2937" s="35"/>
      <c r="AC2937" s="35"/>
      <c r="AD2937" s="35"/>
      <c r="AE2937" s="35"/>
      <c r="AF2937" s="35"/>
      <c r="AG2937" s="35"/>
      <c r="AH2937" s="35"/>
      <c r="AI2937" s="35"/>
      <c r="AJ2937" s="35"/>
      <c r="AK2937" s="35"/>
      <c r="AL2937" s="35"/>
    </row>
    <row r="2938">
      <c r="A2938" s="133"/>
      <c r="B2938" s="19" t="s">
        <v>14312</v>
      </c>
      <c r="C2938" s="20"/>
      <c r="D2938" s="47"/>
      <c r="E2938" s="22" t="s">
        <v>14442</v>
      </c>
      <c r="F2938" s="22" t="s">
        <v>1416</v>
      </c>
      <c r="G2938" s="23">
        <v>1988.0</v>
      </c>
      <c r="H2938" s="22" t="s">
        <v>292</v>
      </c>
      <c r="I2938" s="24" t="s">
        <v>14443</v>
      </c>
      <c r="J2938" s="22" t="s">
        <v>202</v>
      </c>
      <c r="K2938" s="178"/>
      <c r="L2938" s="292"/>
      <c r="M2938" s="44"/>
      <c r="N2938" s="44"/>
      <c r="O2938" s="44"/>
      <c r="P2938" s="44"/>
      <c r="Q2938" s="44"/>
      <c r="R2938" s="44"/>
      <c r="S2938" s="44"/>
      <c r="T2938" s="45"/>
      <c r="U2938" s="38" t="str">
        <f>HYPERLINK("https://www.jstage.jst.go.jp/article/islsm/1/0_Pilot_Issue_1/1_1_88-ED-01/_article/-char/en","J-STAGE")</f>
        <v>J-STAGE</v>
      </c>
      <c r="V2938" s="50"/>
      <c r="W2938" s="49"/>
      <c r="X2938" s="49"/>
      <c r="Y2938" s="35"/>
      <c r="Z2938" s="35"/>
      <c r="AA2938" s="35"/>
      <c r="AB2938" s="35"/>
      <c r="AC2938" s="35"/>
      <c r="AD2938" s="35"/>
      <c r="AE2938" s="35"/>
      <c r="AF2938" s="35"/>
      <c r="AG2938" s="35"/>
      <c r="AH2938" s="35"/>
      <c r="AI2938" s="35"/>
      <c r="AJ2938" s="35"/>
      <c r="AK2938" s="35"/>
      <c r="AL2938" s="35"/>
    </row>
    <row r="2939">
      <c r="A2939" s="133"/>
      <c r="B2939" s="19" t="s">
        <v>14312</v>
      </c>
      <c r="C2939" s="20"/>
      <c r="D2939" s="47"/>
      <c r="E2939" s="22" t="s">
        <v>5109</v>
      </c>
      <c r="F2939" s="22" t="s">
        <v>5110</v>
      </c>
      <c r="G2939" s="23">
        <v>1987.0</v>
      </c>
      <c r="H2939" s="22" t="s">
        <v>14444</v>
      </c>
      <c r="I2939" s="24" t="s">
        <v>14445</v>
      </c>
      <c r="J2939" s="22"/>
      <c r="K2939" s="178"/>
      <c r="L2939" s="36">
        <v>633.0</v>
      </c>
      <c r="M2939" s="268"/>
      <c r="N2939" s="268"/>
      <c r="O2939" s="268"/>
      <c r="P2939" s="37"/>
      <c r="Q2939" s="268"/>
      <c r="R2939" s="36"/>
      <c r="S2939" s="268"/>
      <c r="T2939" s="28" t="s">
        <v>14446</v>
      </c>
      <c r="U2939" s="38" t="str">
        <f>HYPERLINK("https://link.springer.com/article/10.1007/BF02451129","Springer")</f>
        <v>Springer</v>
      </c>
      <c r="V2939" s="50"/>
      <c r="W2939" s="49"/>
      <c r="X2939" s="49"/>
      <c r="Y2939" s="35"/>
      <c r="Z2939" s="35"/>
      <c r="AA2939" s="35"/>
      <c r="AB2939" s="35"/>
      <c r="AC2939" s="35"/>
      <c r="AD2939" s="35"/>
      <c r="AE2939" s="35"/>
      <c r="AF2939" s="35"/>
      <c r="AG2939" s="35"/>
      <c r="AH2939" s="35"/>
      <c r="AI2939" s="35"/>
      <c r="AJ2939" s="35"/>
      <c r="AK2939" s="35"/>
      <c r="AL2939" s="35"/>
    </row>
    <row r="2940">
      <c r="A2940" s="133"/>
      <c r="B2940" s="19" t="s">
        <v>14312</v>
      </c>
      <c r="C2940" s="20"/>
      <c r="D2940" s="47"/>
      <c r="E2940" s="22" t="s">
        <v>14447</v>
      </c>
      <c r="F2940" s="22" t="s">
        <v>6571</v>
      </c>
      <c r="G2940" s="23">
        <v>1986.0</v>
      </c>
      <c r="H2940" s="22" t="s">
        <v>14448</v>
      </c>
      <c r="I2940" s="24" t="s">
        <v>14449</v>
      </c>
      <c r="J2940" s="22" t="s">
        <v>125</v>
      </c>
      <c r="K2940" s="178"/>
      <c r="L2940" s="270" t="s">
        <v>14450</v>
      </c>
      <c r="M2940" s="44"/>
      <c r="N2940" s="44"/>
      <c r="O2940" s="44"/>
      <c r="P2940" s="44"/>
      <c r="Q2940" s="44"/>
      <c r="R2940" s="44"/>
      <c r="S2940" s="44"/>
      <c r="T2940" s="45"/>
      <c r="U2940" s="38" t="str">
        <f>HYPERLINK("https://www.karger.com/Article/Abstract/412096","Karger")</f>
        <v>Karger</v>
      </c>
      <c r="V2940" s="50"/>
      <c r="W2940" s="49"/>
      <c r="X2940" s="49"/>
      <c r="Y2940" s="35"/>
      <c r="Z2940" s="35"/>
      <c r="AA2940" s="35"/>
      <c r="AB2940" s="35"/>
      <c r="AC2940" s="35"/>
      <c r="AD2940" s="35"/>
      <c r="AE2940" s="35"/>
      <c r="AF2940" s="35"/>
      <c r="AG2940" s="35"/>
      <c r="AH2940" s="35"/>
      <c r="AI2940" s="35"/>
      <c r="AJ2940" s="35"/>
      <c r="AK2940" s="35"/>
      <c r="AL2940" s="35"/>
    </row>
    <row r="2941">
      <c r="A2941" s="133"/>
      <c r="B2941" s="19" t="s">
        <v>14312</v>
      </c>
      <c r="C2941" s="20"/>
      <c r="D2941" s="47"/>
      <c r="E2941" s="22" t="s">
        <v>13745</v>
      </c>
      <c r="F2941" s="22" t="s">
        <v>5649</v>
      </c>
      <c r="G2941" s="23">
        <v>1986.0</v>
      </c>
      <c r="H2941" s="22" t="s">
        <v>14451</v>
      </c>
      <c r="I2941" s="24" t="s">
        <v>14452</v>
      </c>
      <c r="J2941" s="22" t="s">
        <v>202</v>
      </c>
      <c r="K2941" s="178"/>
      <c r="L2941" s="270" t="s">
        <v>14453</v>
      </c>
      <c r="M2941" s="44"/>
      <c r="N2941" s="44"/>
      <c r="O2941" s="44"/>
      <c r="P2941" s="44"/>
      <c r="Q2941" s="44"/>
      <c r="R2941" s="44"/>
      <c r="S2941" s="44"/>
      <c r="T2941" s="45"/>
      <c r="U2941" s="38" t="str">
        <f>HYPERLINK("https://www.ncbi.nlm.nih.gov/pubmed/3523062","PubMed")</f>
        <v>PubMed</v>
      </c>
      <c r="V2941" s="50"/>
      <c r="W2941" s="49"/>
      <c r="X2941" s="49"/>
      <c r="Y2941" s="35"/>
      <c r="Z2941" s="35"/>
      <c r="AA2941" s="35"/>
      <c r="AB2941" s="35"/>
      <c r="AC2941" s="35"/>
      <c r="AD2941" s="35"/>
      <c r="AE2941" s="35"/>
      <c r="AF2941" s="35"/>
      <c r="AG2941" s="35"/>
      <c r="AH2941" s="35"/>
      <c r="AI2941" s="35"/>
      <c r="AJ2941" s="35"/>
      <c r="AK2941" s="35"/>
      <c r="AL2941" s="35"/>
    </row>
    <row r="2942">
      <c r="A2942" s="242" t="s">
        <v>2</v>
      </c>
      <c r="B2942" s="19" t="s">
        <v>14312</v>
      </c>
      <c r="C2942" s="20"/>
      <c r="D2942" s="47"/>
      <c r="E2942" s="22" t="s">
        <v>14454</v>
      </c>
      <c r="F2942" s="22" t="s">
        <v>2445</v>
      </c>
      <c r="G2942" s="23">
        <v>1986.0</v>
      </c>
      <c r="H2942" s="22" t="s">
        <v>14455</v>
      </c>
      <c r="I2942" s="24" t="s">
        <v>14456</v>
      </c>
      <c r="J2942" s="22" t="s">
        <v>125</v>
      </c>
      <c r="K2942" s="178"/>
      <c r="L2942" s="171" t="s">
        <v>14457</v>
      </c>
      <c r="M2942" s="44"/>
      <c r="N2942" s="44"/>
      <c r="O2942" s="44"/>
      <c r="P2942" s="44"/>
      <c r="Q2942" s="44"/>
      <c r="R2942" s="44"/>
      <c r="S2942" s="44"/>
      <c r="T2942" s="45"/>
      <c r="U2942" s="38" t="str">
        <f>HYPERLINK("https://www.ncbi.nlm.nih.gov/pmc/articles/PMC2484304/","PubMed Central")</f>
        <v>PubMed Central</v>
      </c>
      <c r="V2942" s="50"/>
      <c r="W2942" s="49"/>
      <c r="X2942" s="49"/>
      <c r="Y2942" s="35"/>
      <c r="Z2942" s="35"/>
      <c r="AA2942" s="35"/>
      <c r="AB2942" s="35"/>
      <c r="AC2942" s="35"/>
      <c r="AD2942" s="35"/>
      <c r="AE2942" s="35"/>
      <c r="AF2942" s="35"/>
      <c r="AG2942" s="35"/>
      <c r="AH2942" s="35"/>
      <c r="AI2942" s="35"/>
      <c r="AJ2942" s="35"/>
      <c r="AK2942" s="35"/>
      <c r="AL2942" s="35"/>
    </row>
    <row r="2943">
      <c r="A2943" s="133" t="s">
        <v>2</v>
      </c>
      <c r="B2943" s="19" t="s">
        <v>14312</v>
      </c>
      <c r="C2943" s="20"/>
      <c r="D2943" s="47"/>
      <c r="E2943" s="178" t="s">
        <v>14458</v>
      </c>
      <c r="F2943" s="96"/>
      <c r="G2943" s="177">
        <v>1985.0</v>
      </c>
      <c r="H2943" s="178" t="s">
        <v>53</v>
      </c>
      <c r="I2943" s="179" t="s">
        <v>14459</v>
      </c>
      <c r="J2943" s="22" t="s">
        <v>125</v>
      </c>
      <c r="K2943" s="178"/>
      <c r="L2943" s="293" t="s">
        <v>14460</v>
      </c>
      <c r="M2943" s="44"/>
      <c r="N2943" s="44"/>
      <c r="O2943" s="44"/>
      <c r="P2943" s="44"/>
      <c r="Q2943" s="44"/>
      <c r="R2943" s="44"/>
      <c r="S2943" s="44"/>
      <c r="T2943" s="45"/>
      <c r="U2943" s="38" t="str">
        <f>HYPERLINK("https://www.ncbi.nlm.nih.gov/pubmed/3982191","PubMed")</f>
        <v>PubMed</v>
      </c>
      <c r="V2943" s="50"/>
      <c r="W2943" s="49"/>
      <c r="X2943" s="49"/>
      <c r="Y2943" s="35"/>
      <c r="Z2943" s="35"/>
      <c r="AA2943" s="35"/>
      <c r="AB2943" s="35"/>
      <c r="AC2943" s="35"/>
      <c r="AD2943" s="35"/>
      <c r="AE2943" s="35"/>
      <c r="AF2943" s="35"/>
      <c r="AG2943" s="35"/>
      <c r="AH2943" s="35"/>
      <c r="AI2943" s="35"/>
      <c r="AJ2943" s="35"/>
      <c r="AK2943" s="35"/>
      <c r="AL2943" s="35"/>
    </row>
    <row r="2944">
      <c r="A2944" s="242"/>
      <c r="B2944" s="19" t="s">
        <v>14312</v>
      </c>
      <c r="C2944" s="20"/>
      <c r="D2944" s="47"/>
      <c r="E2944" s="178" t="s">
        <v>14461</v>
      </c>
      <c r="F2944" s="96"/>
      <c r="G2944" s="177">
        <v>1985.0</v>
      </c>
      <c r="H2944" s="178" t="s">
        <v>14462</v>
      </c>
      <c r="I2944" s="179" t="s">
        <v>14463</v>
      </c>
      <c r="J2944" s="178" t="s">
        <v>1773</v>
      </c>
      <c r="K2944" s="22" t="s">
        <v>14464</v>
      </c>
      <c r="L2944" s="268"/>
      <c r="M2944" s="268"/>
      <c r="N2944" s="268"/>
      <c r="O2944" s="268"/>
      <c r="P2944" s="109"/>
      <c r="Q2944" s="268"/>
      <c r="R2944" s="268"/>
      <c r="S2944" s="268"/>
      <c r="T2944" s="181" t="s">
        <v>14465</v>
      </c>
      <c r="U2944" s="182" t="s">
        <v>61</v>
      </c>
      <c r="V2944" s="50"/>
      <c r="W2944" s="49"/>
      <c r="X2944" s="49"/>
      <c r="Y2944" s="35"/>
      <c r="Z2944" s="35"/>
      <c r="AA2944" s="35"/>
      <c r="AB2944" s="35"/>
      <c r="AC2944" s="35"/>
      <c r="AD2944" s="35"/>
      <c r="AE2944" s="35"/>
      <c r="AF2944" s="35"/>
      <c r="AG2944" s="35"/>
      <c r="AH2944" s="35"/>
      <c r="AI2944" s="35"/>
      <c r="AJ2944" s="35"/>
      <c r="AK2944" s="35"/>
      <c r="AL2944" s="35"/>
    </row>
    <row r="2945">
      <c r="A2945" s="242"/>
      <c r="B2945" s="19" t="s">
        <v>14312</v>
      </c>
      <c r="C2945" s="20"/>
      <c r="D2945" s="47"/>
      <c r="E2945" s="22" t="s">
        <v>14466</v>
      </c>
      <c r="F2945" s="22" t="s">
        <v>2604</v>
      </c>
      <c r="G2945" s="177">
        <v>1984.0</v>
      </c>
      <c r="H2945" s="178" t="s">
        <v>14467</v>
      </c>
      <c r="I2945" s="179" t="s">
        <v>14468</v>
      </c>
      <c r="J2945" s="22" t="s">
        <v>31</v>
      </c>
      <c r="K2945" s="178"/>
      <c r="L2945" s="36">
        <v>647.0</v>
      </c>
      <c r="M2945" s="268"/>
      <c r="N2945" s="268"/>
      <c r="O2945" s="268"/>
      <c r="P2945" s="37" t="s">
        <v>14469</v>
      </c>
      <c r="Q2945" s="268"/>
      <c r="R2945" s="36" t="s">
        <v>14470</v>
      </c>
      <c r="S2945" s="268"/>
      <c r="T2945" s="28" t="s">
        <v>14471</v>
      </c>
      <c r="U2945" s="38" t="str">
        <f>HYPERLINK("https://www.ncbi.nlm.nih.gov/pubmed/6721237","PubMed")</f>
        <v>PubMed</v>
      </c>
      <c r="V2945" s="50"/>
      <c r="W2945" s="49"/>
      <c r="X2945" s="49"/>
      <c r="Y2945" s="35"/>
      <c r="Z2945" s="35"/>
      <c r="AA2945" s="35"/>
      <c r="AB2945" s="35"/>
      <c r="AC2945" s="35"/>
      <c r="AD2945" s="35"/>
      <c r="AE2945" s="35"/>
      <c r="AF2945" s="35"/>
      <c r="AG2945" s="35"/>
      <c r="AH2945" s="35"/>
      <c r="AI2945" s="35"/>
      <c r="AJ2945" s="35"/>
      <c r="AK2945" s="35"/>
      <c r="AL2945" s="35"/>
    </row>
    <row r="2946">
      <c r="A2946" s="242" t="s">
        <v>38</v>
      </c>
      <c r="B2946" s="19" t="s">
        <v>14312</v>
      </c>
      <c r="C2946" s="20"/>
      <c r="D2946" s="47"/>
      <c r="E2946" s="22" t="s">
        <v>14472</v>
      </c>
      <c r="F2946" s="22" t="s">
        <v>14473</v>
      </c>
      <c r="G2946" s="23">
        <v>1984.0</v>
      </c>
      <c r="H2946" s="22" t="s">
        <v>14474</v>
      </c>
      <c r="I2946" s="24" t="s">
        <v>14475</v>
      </c>
      <c r="J2946" s="22" t="s">
        <v>125</v>
      </c>
      <c r="K2946" s="22" t="s">
        <v>7020</v>
      </c>
      <c r="L2946" s="43" t="s">
        <v>14476</v>
      </c>
      <c r="M2946" s="44"/>
      <c r="N2946" s="44"/>
      <c r="O2946" s="44"/>
      <c r="P2946" s="44"/>
      <c r="Q2946" s="44"/>
      <c r="R2946" s="44"/>
      <c r="S2946" s="44"/>
      <c r="T2946" s="45"/>
      <c r="U2946" s="38" t="str">
        <f>HYPERLINK("https://www.ncbi.nlm.nih.gov/pubmed/6594391","PubMed")</f>
        <v>PubMed</v>
      </c>
      <c r="V2946" s="50"/>
      <c r="W2946" s="49"/>
      <c r="X2946" s="49"/>
      <c r="Y2946" s="35"/>
      <c r="Z2946" s="35"/>
      <c r="AA2946" s="35"/>
      <c r="AB2946" s="35"/>
      <c r="AC2946" s="35"/>
      <c r="AD2946" s="35"/>
      <c r="AE2946" s="35"/>
      <c r="AF2946" s="35"/>
      <c r="AG2946" s="35"/>
      <c r="AH2946" s="35"/>
      <c r="AI2946" s="35"/>
      <c r="AJ2946" s="35"/>
      <c r="AK2946" s="35"/>
      <c r="AL2946" s="35"/>
    </row>
    <row r="2947">
      <c r="A2947" s="18" t="s">
        <v>2</v>
      </c>
      <c r="B2947" s="19" t="s">
        <v>14312</v>
      </c>
      <c r="C2947" s="20"/>
      <c r="D2947" s="47"/>
      <c r="E2947" s="22" t="s">
        <v>14477</v>
      </c>
      <c r="F2947" s="22" t="s">
        <v>13592</v>
      </c>
      <c r="G2947" s="23">
        <v>1984.0</v>
      </c>
      <c r="H2947" s="22" t="s">
        <v>8350</v>
      </c>
      <c r="I2947" s="24" t="s">
        <v>14478</v>
      </c>
      <c r="J2947" s="22" t="s">
        <v>125</v>
      </c>
      <c r="K2947" s="22" t="s">
        <v>14464</v>
      </c>
      <c r="L2947" s="241" t="s">
        <v>14479</v>
      </c>
      <c r="M2947" s="44"/>
      <c r="N2947" s="44"/>
      <c r="O2947" s="44"/>
      <c r="P2947" s="44"/>
      <c r="Q2947" s="44"/>
      <c r="R2947" s="44"/>
      <c r="S2947" s="44"/>
      <c r="T2947" s="45"/>
      <c r="U2947" s="38" t="str">
        <f>HYPERLINK("https://www.sciencedirect.com/science/article/pii/0030399284900598","ScienceDirect")</f>
        <v>ScienceDirect</v>
      </c>
      <c r="V2947" s="50"/>
      <c r="W2947" s="49"/>
      <c r="X2947" s="49"/>
      <c r="Y2947" s="35"/>
      <c r="Z2947" s="35"/>
      <c r="AA2947" s="35"/>
      <c r="AB2947" s="35"/>
      <c r="AC2947" s="35"/>
      <c r="AD2947" s="35"/>
      <c r="AE2947" s="35"/>
      <c r="AF2947" s="35"/>
      <c r="AG2947" s="35"/>
      <c r="AH2947" s="35"/>
      <c r="AI2947" s="35"/>
      <c r="AJ2947" s="35"/>
      <c r="AK2947" s="35"/>
      <c r="AL2947" s="35"/>
    </row>
    <row r="2948">
      <c r="A2948" s="133"/>
      <c r="B2948" s="19" t="s">
        <v>14312</v>
      </c>
      <c r="C2948" s="20"/>
      <c r="D2948" s="47"/>
      <c r="E2948" s="22" t="s">
        <v>14480</v>
      </c>
      <c r="F2948" s="22"/>
      <c r="G2948" s="23">
        <v>1984.0</v>
      </c>
      <c r="H2948" s="22" t="s">
        <v>53</v>
      </c>
      <c r="I2948" s="24" t="s">
        <v>14481</v>
      </c>
      <c r="J2948" s="22" t="s">
        <v>31</v>
      </c>
      <c r="K2948" s="22"/>
      <c r="L2948" s="36"/>
      <c r="M2948" s="36"/>
      <c r="N2948" s="107"/>
      <c r="O2948" s="107"/>
      <c r="P2948" s="37"/>
      <c r="Q2948" s="107"/>
      <c r="R2948" s="107"/>
      <c r="S2948" s="36">
        <v>4.0</v>
      </c>
      <c r="T2948" s="42" t="s">
        <v>14482</v>
      </c>
      <c r="U2948" s="38" t="str">
        <f>HYPERLINK("https://www.ncbi.nlm.nih.gov/pubmed/6521600","PubMed")</f>
        <v>PubMed</v>
      </c>
      <c r="V2948" s="50"/>
      <c r="W2948" s="49"/>
      <c r="X2948" s="49"/>
      <c r="Y2948" s="35"/>
      <c r="Z2948" s="35"/>
      <c r="AA2948" s="35"/>
      <c r="AB2948" s="35"/>
      <c r="AC2948" s="35"/>
      <c r="AD2948" s="35"/>
      <c r="AE2948" s="35"/>
      <c r="AF2948" s="35"/>
      <c r="AG2948" s="35"/>
      <c r="AH2948" s="35"/>
      <c r="AI2948" s="35"/>
      <c r="AJ2948" s="35"/>
      <c r="AK2948" s="35"/>
      <c r="AL2948" s="35"/>
    </row>
    <row r="2949">
      <c r="A2949" s="133"/>
      <c r="B2949" s="19" t="s">
        <v>14312</v>
      </c>
      <c r="C2949" s="20"/>
      <c r="D2949" s="47"/>
      <c r="E2949" s="22" t="s">
        <v>5242</v>
      </c>
      <c r="F2949" s="22"/>
      <c r="G2949" s="23">
        <v>1984.0</v>
      </c>
      <c r="H2949" s="22" t="s">
        <v>7274</v>
      </c>
      <c r="I2949" s="24" t="s">
        <v>14483</v>
      </c>
      <c r="J2949" s="22" t="s">
        <v>125</v>
      </c>
      <c r="K2949" s="22"/>
      <c r="L2949" s="132" t="s">
        <v>14484</v>
      </c>
      <c r="U2949" s="38" t="str">
        <f>HYPERLINK("https://www.ncbi.nlm.nih.gov/pubmed/6549018","PubMed")</f>
        <v>PubMed</v>
      </c>
      <c r="V2949" s="50"/>
      <c r="W2949" s="49"/>
      <c r="X2949" s="49"/>
      <c r="Y2949" s="35"/>
      <c r="Z2949" s="35"/>
      <c r="AA2949" s="35"/>
      <c r="AB2949" s="35"/>
      <c r="AC2949" s="35"/>
      <c r="AD2949" s="35"/>
      <c r="AE2949" s="35"/>
      <c r="AF2949" s="35"/>
      <c r="AG2949" s="35"/>
      <c r="AH2949" s="35"/>
      <c r="AI2949" s="35"/>
      <c r="AJ2949" s="35"/>
      <c r="AK2949" s="35"/>
      <c r="AL2949" s="35"/>
    </row>
    <row r="2950">
      <c r="A2950" s="133" t="s">
        <v>2</v>
      </c>
      <c r="B2950" s="19" t="s">
        <v>14312</v>
      </c>
      <c r="C2950" s="20"/>
      <c r="D2950" s="47"/>
      <c r="E2950" s="22" t="s">
        <v>14485</v>
      </c>
      <c r="F2950" s="22" t="s">
        <v>14486</v>
      </c>
      <c r="G2950" s="177">
        <v>1984.0</v>
      </c>
      <c r="H2950" s="178" t="s">
        <v>14487</v>
      </c>
      <c r="I2950" s="179" t="s">
        <v>14488</v>
      </c>
      <c r="J2950" s="22" t="s">
        <v>31</v>
      </c>
      <c r="K2950" s="22" t="s">
        <v>14489</v>
      </c>
      <c r="L2950" s="36">
        <v>633.0</v>
      </c>
      <c r="M2950" s="36">
        <v>15.0</v>
      </c>
      <c r="N2950" s="107"/>
      <c r="O2950" s="107"/>
      <c r="P2950" s="37" t="s">
        <v>432</v>
      </c>
      <c r="Q2950" s="107"/>
      <c r="R2950" s="107"/>
      <c r="S2950" s="107"/>
      <c r="T2950" s="28" t="s">
        <v>14490</v>
      </c>
      <c r="U2950" s="38" t="str">
        <f>HYPERLINK("https://www.ncbi.nlm.nih.gov/pubmed/6479342","PubMed")</f>
        <v>PubMed</v>
      </c>
      <c r="V2950" s="50"/>
      <c r="W2950" s="49"/>
      <c r="X2950" s="49"/>
      <c r="Y2950" s="35"/>
      <c r="Z2950" s="35"/>
      <c r="AA2950" s="35"/>
      <c r="AB2950" s="35"/>
      <c r="AC2950" s="35"/>
      <c r="AD2950" s="35"/>
      <c r="AE2950" s="35"/>
      <c r="AF2950" s="35"/>
      <c r="AG2950" s="35"/>
      <c r="AH2950" s="35"/>
      <c r="AI2950" s="35"/>
      <c r="AJ2950" s="35"/>
      <c r="AK2950" s="35"/>
      <c r="AL2950" s="35"/>
    </row>
    <row r="2951">
      <c r="A2951" s="180"/>
      <c r="B2951" s="19" t="s">
        <v>14312</v>
      </c>
      <c r="C2951" s="20"/>
      <c r="D2951" s="47"/>
      <c r="E2951" s="22" t="s">
        <v>5109</v>
      </c>
      <c r="F2951" s="22" t="s">
        <v>748</v>
      </c>
      <c r="G2951" s="177">
        <v>1984.0</v>
      </c>
      <c r="H2951" s="178" t="s">
        <v>4326</v>
      </c>
      <c r="I2951" s="179" t="s">
        <v>14491</v>
      </c>
      <c r="J2951" s="22" t="s">
        <v>14492</v>
      </c>
      <c r="K2951" s="178"/>
      <c r="L2951" s="294"/>
      <c r="M2951" s="294"/>
      <c r="N2951" s="294"/>
      <c r="O2951" s="294"/>
      <c r="P2951" s="194"/>
      <c r="Q2951" s="294"/>
      <c r="R2951" s="294"/>
      <c r="S2951" s="294"/>
      <c r="T2951" s="181" t="s">
        <v>14493</v>
      </c>
      <c r="U2951" s="182" t="s">
        <v>61</v>
      </c>
      <c r="V2951" s="50"/>
      <c r="W2951" s="49"/>
      <c r="X2951" s="49"/>
      <c r="Y2951" s="35"/>
      <c r="Z2951" s="35"/>
      <c r="AA2951" s="35"/>
      <c r="AB2951" s="35"/>
      <c r="AC2951" s="35"/>
      <c r="AD2951" s="35"/>
      <c r="AE2951" s="35"/>
      <c r="AF2951" s="35"/>
      <c r="AG2951" s="35"/>
      <c r="AH2951" s="35"/>
      <c r="AI2951" s="35"/>
      <c r="AJ2951" s="35"/>
      <c r="AK2951" s="35"/>
      <c r="AL2951" s="35"/>
    </row>
    <row r="2952">
      <c r="A2952" s="180"/>
      <c r="B2952" s="19" t="s">
        <v>14312</v>
      </c>
      <c r="C2952" s="20"/>
      <c r="D2952" s="47"/>
      <c r="E2952" s="22" t="s">
        <v>5109</v>
      </c>
      <c r="F2952" s="22" t="s">
        <v>5110</v>
      </c>
      <c r="G2952" s="23">
        <v>1984.0</v>
      </c>
      <c r="H2952" s="22" t="s">
        <v>14444</v>
      </c>
      <c r="I2952" s="24" t="s">
        <v>14494</v>
      </c>
      <c r="J2952" s="22" t="s">
        <v>31</v>
      </c>
      <c r="K2952" s="22" t="s">
        <v>14495</v>
      </c>
      <c r="L2952" s="36" t="s">
        <v>14496</v>
      </c>
      <c r="M2952" s="36"/>
      <c r="N2952" s="107"/>
      <c r="O2952" s="107"/>
      <c r="P2952" s="37"/>
      <c r="Q2952" s="107"/>
      <c r="R2952" s="107"/>
      <c r="S2952" s="107"/>
      <c r="T2952" s="28" t="s">
        <v>14497</v>
      </c>
      <c r="U2952" s="38" t="str">
        <f>HYPERLINK("https://link.springer.com/article/10.1007/BF02457460","Springer")</f>
        <v>Springer</v>
      </c>
      <c r="V2952" s="50"/>
      <c r="W2952" s="49"/>
      <c r="X2952" s="49"/>
      <c r="Y2952" s="35"/>
      <c r="Z2952" s="35"/>
      <c r="AA2952" s="35"/>
      <c r="AB2952" s="35"/>
      <c r="AC2952" s="35"/>
      <c r="AD2952" s="35"/>
      <c r="AE2952" s="35"/>
      <c r="AF2952" s="35"/>
      <c r="AG2952" s="35"/>
      <c r="AH2952" s="35"/>
      <c r="AI2952" s="35"/>
      <c r="AJ2952" s="35"/>
      <c r="AK2952" s="35"/>
      <c r="AL2952" s="35"/>
    </row>
    <row r="2953">
      <c r="A2953" s="180"/>
      <c r="B2953" s="19" t="s">
        <v>14312</v>
      </c>
      <c r="C2953" s="20"/>
      <c r="D2953" s="47"/>
      <c r="E2953" s="22" t="s">
        <v>5109</v>
      </c>
      <c r="F2953" s="22" t="s">
        <v>5110</v>
      </c>
      <c r="G2953" s="23">
        <v>1983.0</v>
      </c>
      <c r="H2953" s="22" t="s">
        <v>14498</v>
      </c>
      <c r="I2953" s="24" t="s">
        <v>14499</v>
      </c>
      <c r="J2953" s="22" t="s">
        <v>31</v>
      </c>
      <c r="K2953" s="22" t="s">
        <v>14495</v>
      </c>
      <c r="L2953" s="36" t="s">
        <v>14500</v>
      </c>
      <c r="M2953" s="36"/>
      <c r="N2953" s="107"/>
      <c r="O2953" s="107"/>
      <c r="P2953" s="37"/>
      <c r="Q2953" s="107"/>
      <c r="R2953" s="107"/>
      <c r="S2953" s="107"/>
      <c r="T2953" s="28" t="s">
        <v>14501</v>
      </c>
      <c r="U2953" s="38" t="str">
        <f>HYPERLINK("http://iopscience.iop.org/article/10.1070/QE1983v013n09ABEH004604/meta","IOP")</f>
        <v>IOP</v>
      </c>
      <c r="V2953" s="50"/>
      <c r="W2953" s="49"/>
      <c r="X2953" s="49"/>
      <c r="Y2953" s="35"/>
      <c r="Z2953" s="35"/>
      <c r="AA2953" s="35"/>
      <c r="AB2953" s="35"/>
      <c r="AC2953" s="35"/>
      <c r="AD2953" s="35"/>
      <c r="AE2953" s="35"/>
      <c r="AF2953" s="35"/>
      <c r="AG2953" s="35"/>
      <c r="AH2953" s="35"/>
      <c r="AI2953" s="35"/>
      <c r="AJ2953" s="35"/>
      <c r="AK2953" s="35"/>
      <c r="AL2953" s="35"/>
    </row>
    <row r="2954">
      <c r="A2954" s="180"/>
      <c r="B2954" s="19" t="s">
        <v>14312</v>
      </c>
      <c r="C2954" s="20"/>
      <c r="D2954" s="47"/>
      <c r="E2954" s="22" t="s">
        <v>5109</v>
      </c>
      <c r="F2954" s="22" t="s">
        <v>5110</v>
      </c>
      <c r="G2954" s="23">
        <v>1982.0</v>
      </c>
      <c r="H2954" s="22" t="s">
        <v>14498</v>
      </c>
      <c r="I2954" s="24" t="s">
        <v>14502</v>
      </c>
      <c r="J2954" s="22" t="s">
        <v>31</v>
      </c>
      <c r="K2954" s="22" t="s">
        <v>14503</v>
      </c>
      <c r="L2954" s="36">
        <v>633.0</v>
      </c>
      <c r="M2954" s="36"/>
      <c r="N2954" s="107"/>
      <c r="O2954" s="107"/>
      <c r="P2954" s="37"/>
      <c r="Q2954" s="107"/>
      <c r="R2954" s="107"/>
      <c r="S2954" s="107"/>
      <c r="T2954" s="28" t="s">
        <v>14504</v>
      </c>
      <c r="U2954" s="38" t="str">
        <f>HYPERLINK("http://iopscience.iop.org/article/10.1070/QE1982v012n09ABEH005967/meta","IOP")</f>
        <v>IOP</v>
      </c>
      <c r="V2954" s="50"/>
      <c r="W2954" s="49"/>
      <c r="X2954" s="49"/>
      <c r="Y2954" s="35"/>
      <c r="Z2954" s="35"/>
      <c r="AA2954" s="35"/>
      <c r="AB2954" s="35"/>
      <c r="AC2954" s="35"/>
      <c r="AD2954" s="35"/>
      <c r="AE2954" s="35"/>
      <c r="AF2954" s="35"/>
      <c r="AG2954" s="35"/>
      <c r="AH2954" s="35"/>
      <c r="AI2954" s="35"/>
      <c r="AJ2954" s="35"/>
      <c r="AK2954" s="35"/>
      <c r="AL2954" s="35"/>
    </row>
    <row r="2955">
      <c r="A2955" s="180"/>
      <c r="B2955" s="19" t="s">
        <v>14312</v>
      </c>
      <c r="C2955" s="20"/>
      <c r="D2955" s="47"/>
      <c r="E2955" s="22" t="s">
        <v>5109</v>
      </c>
      <c r="F2955" s="22" t="s">
        <v>5110</v>
      </c>
      <c r="G2955" s="23">
        <v>1982.0</v>
      </c>
      <c r="H2955" s="22" t="s">
        <v>14444</v>
      </c>
      <c r="I2955" s="24" t="s">
        <v>14505</v>
      </c>
      <c r="J2955" s="22" t="s">
        <v>31</v>
      </c>
      <c r="K2955" s="178"/>
      <c r="L2955" s="36" t="s">
        <v>14506</v>
      </c>
      <c r="M2955" s="36"/>
      <c r="N2955" s="107"/>
      <c r="O2955" s="107"/>
      <c r="P2955" s="37"/>
      <c r="Q2955" s="107"/>
      <c r="R2955" s="107"/>
      <c r="S2955" s="107"/>
      <c r="T2955" s="28" t="s">
        <v>14507</v>
      </c>
      <c r="U2955" s="38" t="str">
        <f>HYPERLINK("https://link.springer.com/article/10.1007/BF02451072","Springer")</f>
        <v>Springer</v>
      </c>
      <c r="V2955" s="50"/>
      <c r="W2955" s="49"/>
      <c r="X2955" s="49"/>
      <c r="Y2955" s="35"/>
      <c r="Z2955" s="35"/>
      <c r="AA2955" s="35"/>
      <c r="AB2955" s="35"/>
      <c r="AC2955" s="35"/>
      <c r="AD2955" s="35"/>
      <c r="AE2955" s="35"/>
      <c r="AF2955" s="35"/>
      <c r="AG2955" s="35"/>
      <c r="AH2955" s="35"/>
      <c r="AI2955" s="35"/>
      <c r="AJ2955" s="35"/>
      <c r="AK2955" s="35"/>
      <c r="AL2955" s="35"/>
    </row>
    <row r="2956">
      <c r="A2956" s="133"/>
      <c r="B2956" s="19" t="s">
        <v>14312</v>
      </c>
      <c r="C2956" s="20"/>
      <c r="D2956" s="47"/>
      <c r="E2956" s="22" t="s">
        <v>14508</v>
      </c>
      <c r="F2956" s="22" t="s">
        <v>5884</v>
      </c>
      <c r="G2956" s="23">
        <v>1980.0</v>
      </c>
      <c r="H2956" s="22" t="s">
        <v>14509</v>
      </c>
      <c r="I2956" s="24" t="s">
        <v>14510</v>
      </c>
      <c r="J2956" s="22" t="s">
        <v>125</v>
      </c>
      <c r="K2956" s="22" t="s">
        <v>14464</v>
      </c>
      <c r="L2956" s="167" t="s">
        <v>14511</v>
      </c>
      <c r="M2956" s="44"/>
      <c r="N2956" s="44"/>
      <c r="O2956" s="44"/>
      <c r="P2956" s="44"/>
      <c r="Q2956" s="44"/>
      <c r="R2956" s="44"/>
      <c r="S2956" s="44"/>
      <c r="T2956" s="45"/>
      <c r="U2956" s="38" t="str">
        <f>HYPERLINK("https://link.springer.com/chapter/10.1007/978-1-4684-8550-9_3","PubMed")</f>
        <v>PubMed</v>
      </c>
      <c r="V2956" s="30"/>
      <c r="W2956" s="49"/>
      <c r="X2956" s="49"/>
      <c r="Y2956" s="35"/>
      <c r="Z2956" s="35"/>
      <c r="AA2956" s="35"/>
      <c r="AB2956" s="35"/>
      <c r="AC2956" s="35"/>
      <c r="AD2956" s="35"/>
      <c r="AE2956" s="35"/>
      <c r="AF2956" s="35"/>
      <c r="AG2956" s="35"/>
      <c r="AH2956" s="35"/>
      <c r="AI2956" s="35"/>
      <c r="AJ2956" s="35"/>
      <c r="AK2956" s="35"/>
      <c r="AL2956" s="35"/>
    </row>
    <row r="2957">
      <c r="A2957" s="133"/>
      <c r="B2957" s="19" t="s">
        <v>14312</v>
      </c>
      <c r="C2957" s="20"/>
      <c r="D2957" s="47"/>
      <c r="E2957" s="22" t="s">
        <v>14512</v>
      </c>
      <c r="F2957" s="22" t="s">
        <v>2152</v>
      </c>
      <c r="G2957" s="23">
        <v>1979.0</v>
      </c>
      <c r="H2957" s="22" t="s">
        <v>14513</v>
      </c>
      <c r="I2957" s="24" t="s">
        <v>14514</v>
      </c>
      <c r="J2957" s="22" t="s">
        <v>31</v>
      </c>
      <c r="K2957" s="22"/>
      <c r="L2957" s="36">
        <v>530.0</v>
      </c>
      <c r="M2957" s="36"/>
      <c r="N2957" s="107"/>
      <c r="O2957" s="107"/>
      <c r="P2957" s="37"/>
      <c r="Q2957" s="107"/>
      <c r="R2957" s="107"/>
      <c r="S2957" s="107"/>
      <c r="T2957" s="28" t="s">
        <v>14515</v>
      </c>
      <c r="U2957" s="38" t="str">
        <f>HYPERLINK("https://www.ncbi.nlm.nih.gov/pubmed/436952","PubMed")</f>
        <v>PubMed</v>
      </c>
      <c r="V2957" s="30" t="s">
        <v>14516</v>
      </c>
      <c r="W2957" s="49"/>
      <c r="X2957" s="49"/>
      <c r="Y2957" s="35"/>
      <c r="Z2957" s="35"/>
      <c r="AA2957" s="35"/>
      <c r="AB2957" s="35"/>
      <c r="AC2957" s="35"/>
      <c r="AD2957" s="35"/>
      <c r="AE2957" s="35"/>
      <c r="AF2957" s="35"/>
      <c r="AG2957" s="35"/>
      <c r="AH2957" s="35"/>
      <c r="AI2957" s="35"/>
      <c r="AJ2957" s="35"/>
      <c r="AK2957" s="35"/>
      <c r="AL2957" s="35"/>
    </row>
    <row r="2958">
      <c r="A2958" s="133" t="s">
        <v>14517</v>
      </c>
      <c r="B2958" s="19" t="s">
        <v>14312</v>
      </c>
      <c r="C2958" s="20"/>
      <c r="D2958" s="47"/>
      <c r="E2958" s="22" t="s">
        <v>14518</v>
      </c>
      <c r="F2958" s="22" t="s">
        <v>14519</v>
      </c>
      <c r="G2958" s="23">
        <v>1977.0</v>
      </c>
      <c r="H2958" s="22" t="s">
        <v>14520</v>
      </c>
      <c r="I2958" s="24" t="s">
        <v>14521</v>
      </c>
      <c r="J2958" s="22" t="s">
        <v>125</v>
      </c>
      <c r="K2958" s="96"/>
      <c r="L2958" s="132" t="s">
        <v>14522</v>
      </c>
      <c r="U2958" s="38" t="str">
        <f>HYPERLINK("https://link.springer.com/chapter/10.1007/978-1-4615-7326-5_1","Springer")</f>
        <v>Springer</v>
      </c>
      <c r="V2958" s="30" t="s">
        <v>14523</v>
      </c>
      <c r="W2958" s="49"/>
      <c r="X2958" s="49"/>
      <c r="Y2958" s="30" t="s">
        <v>14524</v>
      </c>
      <c r="Z2958" s="35"/>
      <c r="AA2958" s="35"/>
      <c r="AB2958" s="35"/>
      <c r="AC2958" s="35"/>
      <c r="AD2958" s="35"/>
      <c r="AE2958" s="35"/>
      <c r="AF2958" s="35"/>
      <c r="AG2958" s="35"/>
      <c r="AH2958" s="35"/>
      <c r="AI2958" s="35"/>
      <c r="AJ2958" s="35"/>
      <c r="AK2958" s="35"/>
      <c r="AL2958" s="35"/>
    </row>
    <row r="2959">
      <c r="A2959" s="180"/>
      <c r="B2959" s="19" t="s">
        <v>14312</v>
      </c>
      <c r="C2959" s="20"/>
      <c r="D2959" s="47"/>
      <c r="E2959" s="22" t="s">
        <v>14525</v>
      </c>
      <c r="F2959" s="22" t="s">
        <v>14526</v>
      </c>
      <c r="G2959" s="177">
        <v>1968.0</v>
      </c>
      <c r="H2959" s="178" t="s">
        <v>14527</v>
      </c>
      <c r="I2959" s="179" t="s">
        <v>14528</v>
      </c>
      <c r="J2959" s="22" t="s">
        <v>14529</v>
      </c>
      <c r="K2959" s="96"/>
      <c r="L2959" s="107"/>
      <c r="M2959" s="107"/>
      <c r="N2959" s="107"/>
      <c r="O2959" s="107"/>
      <c r="P2959" s="109"/>
      <c r="Q2959" s="107"/>
      <c r="R2959" s="107"/>
      <c r="S2959" s="107"/>
      <c r="T2959" s="295"/>
      <c r="U2959" s="38" t="str">
        <f>HYPERLINK("https://www.ncbi.nlm.nih.gov/pubmed/5700805","PubMed")</f>
        <v>PubMed</v>
      </c>
      <c r="V2959" s="50"/>
      <c r="W2959" s="49"/>
      <c r="X2959" s="49"/>
      <c r="Y2959" s="35"/>
      <c r="Z2959" s="35"/>
      <c r="AA2959" s="35"/>
      <c r="AB2959" s="35"/>
      <c r="AC2959" s="35"/>
      <c r="AD2959" s="35"/>
      <c r="AE2959" s="35"/>
      <c r="AF2959" s="35"/>
      <c r="AG2959" s="35"/>
      <c r="AH2959" s="35"/>
      <c r="AI2959" s="35"/>
      <c r="AJ2959" s="35"/>
      <c r="AK2959" s="35"/>
      <c r="AL2959" s="35"/>
    </row>
    <row r="2960">
      <c r="A2960" s="180"/>
      <c r="B2960" s="19" t="s">
        <v>14312</v>
      </c>
      <c r="C2960" s="20"/>
      <c r="D2960" s="47"/>
      <c r="E2960" s="22" t="s">
        <v>14525</v>
      </c>
      <c r="F2960" s="22" t="s">
        <v>14526</v>
      </c>
      <c r="G2960" s="177">
        <v>1968.0</v>
      </c>
      <c r="H2960" s="178" t="s">
        <v>14530</v>
      </c>
      <c r="I2960" s="179" t="s">
        <v>14531</v>
      </c>
      <c r="J2960" s="22" t="s">
        <v>44</v>
      </c>
      <c r="K2960" s="96"/>
      <c r="L2960" s="107"/>
      <c r="M2960" s="107"/>
      <c r="N2960" s="107"/>
      <c r="O2960" s="107"/>
      <c r="P2960" s="109"/>
      <c r="Q2960" s="107"/>
      <c r="R2960" s="107"/>
      <c r="S2960" s="107"/>
      <c r="T2960" s="295"/>
      <c r="U2960" s="38" t="str">
        <f>HYPERLINK("https://www.ncbi.nlm.nih.gov/pubmed/5732466","PubMed")</f>
        <v>PubMed</v>
      </c>
      <c r="V2960" s="50"/>
      <c r="W2960" s="49"/>
      <c r="X2960" s="49"/>
      <c r="Y2960" s="35"/>
      <c r="Z2960" s="35"/>
      <c r="AA2960" s="35"/>
      <c r="AB2960" s="35"/>
      <c r="AC2960" s="35"/>
      <c r="AD2960" s="35"/>
      <c r="AE2960" s="35"/>
      <c r="AF2960" s="35"/>
      <c r="AG2960" s="35"/>
      <c r="AH2960" s="35"/>
      <c r="AI2960" s="35"/>
      <c r="AJ2960" s="35"/>
      <c r="AK2960" s="35"/>
      <c r="AL2960" s="35"/>
    </row>
    <row r="2961">
      <c r="A2961" s="133" t="s">
        <v>2</v>
      </c>
      <c r="B2961" s="19" t="s">
        <v>14312</v>
      </c>
      <c r="C2961" s="20"/>
      <c r="D2961" s="47"/>
      <c r="E2961" s="22" t="s">
        <v>14525</v>
      </c>
      <c r="F2961" s="22" t="s">
        <v>14526</v>
      </c>
      <c r="G2961" s="23">
        <v>1968.0</v>
      </c>
      <c r="H2961" s="22" t="s">
        <v>14532</v>
      </c>
      <c r="I2961" s="24" t="s">
        <v>14533</v>
      </c>
      <c r="J2961" s="22" t="s">
        <v>14534</v>
      </c>
      <c r="K2961" s="96"/>
      <c r="L2961" s="107"/>
      <c r="M2961" s="107"/>
      <c r="N2961" s="107"/>
      <c r="O2961" s="107"/>
      <c r="P2961" s="109"/>
      <c r="Q2961" s="107"/>
      <c r="R2961" s="107"/>
      <c r="S2961" s="107"/>
      <c r="T2961" s="28" t="s">
        <v>14535</v>
      </c>
      <c r="U2961" s="38" t="str">
        <f>HYPERLINK("https://www.ncbi.nlm.nih.gov/pubmed/5758676","PubMed")</f>
        <v>PubMed</v>
      </c>
      <c r="V2961" s="50"/>
      <c r="W2961" s="49"/>
      <c r="X2961" s="49"/>
      <c r="Y2961" s="35"/>
      <c r="Z2961" s="35"/>
      <c r="AA2961" s="35"/>
      <c r="AB2961" s="35"/>
      <c r="AC2961" s="35"/>
      <c r="AD2961" s="35"/>
      <c r="AE2961" s="35"/>
      <c r="AF2961" s="35"/>
      <c r="AG2961" s="35"/>
      <c r="AH2961" s="35"/>
      <c r="AI2961" s="35"/>
      <c r="AJ2961" s="35"/>
      <c r="AK2961" s="35"/>
      <c r="AL2961" s="35"/>
    </row>
    <row r="2962">
      <c r="A2962" s="180"/>
      <c r="B2962" s="19" t="s">
        <v>14312</v>
      </c>
      <c r="C2962" s="20"/>
      <c r="D2962" s="47"/>
      <c r="E2962" s="22" t="s">
        <v>14536</v>
      </c>
      <c r="F2962" s="22" t="s">
        <v>2808</v>
      </c>
      <c r="G2962" s="23">
        <v>1967.0</v>
      </c>
      <c r="H2962" s="22" t="s">
        <v>14537</v>
      </c>
      <c r="I2962" s="24" t="s">
        <v>14538</v>
      </c>
      <c r="J2962" s="22" t="s">
        <v>14539</v>
      </c>
      <c r="K2962" s="96"/>
      <c r="L2962" s="36">
        <v>694.0</v>
      </c>
      <c r="M2962" s="107"/>
      <c r="N2962" s="107"/>
      <c r="O2962" s="107"/>
      <c r="P2962" s="109"/>
      <c r="Q2962" s="107"/>
      <c r="R2962" s="107"/>
      <c r="S2962" s="107"/>
      <c r="T2962" s="28" t="s">
        <v>14540</v>
      </c>
      <c r="U2962" s="38" t="str">
        <f>HYPERLINK("https://www.ncbi.nlm.nih.gov/pubmed/6075423","PubMed")</f>
        <v>PubMed</v>
      </c>
      <c r="V2962" s="50"/>
      <c r="W2962" s="49"/>
      <c r="X2962" s="49"/>
      <c r="Y2962" s="35"/>
      <c r="Z2962" s="35"/>
      <c r="AA2962" s="35"/>
      <c r="AB2962" s="35"/>
      <c r="AC2962" s="35"/>
      <c r="AD2962" s="35"/>
      <c r="AE2962" s="35"/>
      <c r="AF2962" s="35"/>
      <c r="AG2962" s="35"/>
      <c r="AH2962" s="35"/>
      <c r="AI2962" s="35"/>
      <c r="AJ2962" s="35"/>
      <c r="AK2962" s="35"/>
      <c r="AL2962" s="35"/>
    </row>
    <row r="2963">
      <c r="A2963" s="180"/>
      <c r="B2963" s="19" t="s">
        <v>14312</v>
      </c>
      <c r="C2963" s="20"/>
      <c r="D2963" s="47"/>
      <c r="E2963" s="178" t="s">
        <v>14458</v>
      </c>
      <c r="F2963" s="22" t="s">
        <v>14526</v>
      </c>
      <c r="G2963" s="23">
        <v>1966.0</v>
      </c>
      <c r="H2963" s="178" t="s">
        <v>14541</v>
      </c>
      <c r="I2963" s="179" t="s">
        <v>14542</v>
      </c>
      <c r="J2963" s="96"/>
      <c r="K2963" s="96"/>
      <c r="L2963" s="107"/>
      <c r="M2963" s="107"/>
      <c r="N2963" s="107"/>
      <c r="O2963" s="107"/>
      <c r="P2963" s="109"/>
      <c r="Q2963" s="107"/>
      <c r="R2963" s="107"/>
      <c r="S2963" s="107"/>
      <c r="T2963" s="28" t="s">
        <v>14543</v>
      </c>
      <c r="U2963" s="296"/>
      <c r="V2963" s="50"/>
      <c r="W2963" s="49"/>
      <c r="X2963" s="49"/>
      <c r="Y2963" s="35"/>
      <c r="Z2963" s="35"/>
      <c r="AA2963" s="35"/>
      <c r="AB2963" s="35"/>
      <c r="AC2963" s="35"/>
      <c r="AD2963" s="35"/>
      <c r="AE2963" s="35"/>
      <c r="AF2963" s="35"/>
      <c r="AG2963" s="35"/>
      <c r="AH2963" s="35"/>
      <c r="AI2963" s="35"/>
      <c r="AJ2963" s="35"/>
      <c r="AK2963" s="35"/>
      <c r="AL2963" s="35"/>
    </row>
    <row r="2964">
      <c r="A2964" s="180"/>
      <c r="B2964" s="19" t="s">
        <v>14312</v>
      </c>
      <c r="C2964" s="20" t="s">
        <v>14544</v>
      </c>
      <c r="D2964" s="47"/>
      <c r="E2964" s="22" t="s">
        <v>14545</v>
      </c>
      <c r="F2964" s="22" t="s">
        <v>1416</v>
      </c>
      <c r="G2964" s="23">
        <v>1992.0</v>
      </c>
      <c r="H2964" s="22" t="s">
        <v>292</v>
      </c>
      <c r="I2964" s="24" t="s">
        <v>14546</v>
      </c>
      <c r="J2964" s="22" t="s">
        <v>14384</v>
      </c>
      <c r="K2964" s="22"/>
      <c r="L2964" s="105" t="s">
        <v>14547</v>
      </c>
      <c r="M2964" s="44"/>
      <c r="N2964" s="44"/>
      <c r="O2964" s="44"/>
      <c r="P2964" s="44"/>
      <c r="Q2964" s="44"/>
      <c r="R2964" s="44"/>
      <c r="S2964" s="44"/>
      <c r="T2964" s="45"/>
      <c r="U2964" s="38" t="str">
        <f>HYPERLINK("https://www.jstage.jst.go.jp/article/islsm/4/3/4_92-MR-02/_article/-char/en","J-STAGE")</f>
        <v>J-STAGE</v>
      </c>
      <c r="V2964" s="50"/>
      <c r="W2964" s="49"/>
      <c r="X2964" s="49"/>
      <c r="Y2964" s="35"/>
      <c r="Z2964" s="35"/>
      <c r="AA2964" s="35"/>
      <c r="AB2964" s="35"/>
      <c r="AC2964" s="35"/>
      <c r="AD2964" s="35"/>
      <c r="AE2964" s="35"/>
      <c r="AF2964" s="35"/>
      <c r="AG2964" s="35"/>
      <c r="AH2964" s="35"/>
      <c r="AI2964" s="35"/>
      <c r="AJ2964" s="35"/>
      <c r="AK2964" s="35"/>
      <c r="AL2964" s="35"/>
    </row>
    <row r="2965">
      <c r="A2965" s="180"/>
      <c r="B2965" s="19" t="s">
        <v>14312</v>
      </c>
      <c r="C2965" s="20" t="s">
        <v>14544</v>
      </c>
      <c r="D2965" s="47"/>
      <c r="E2965" s="22" t="s">
        <v>14545</v>
      </c>
      <c r="F2965" s="22" t="s">
        <v>1416</v>
      </c>
      <c r="G2965" s="23">
        <v>1991.0</v>
      </c>
      <c r="H2965" s="22" t="s">
        <v>292</v>
      </c>
      <c r="I2965" s="24" t="s">
        <v>14548</v>
      </c>
      <c r="J2965" s="22" t="s">
        <v>14384</v>
      </c>
      <c r="K2965" s="22"/>
      <c r="L2965" s="105" t="s">
        <v>14549</v>
      </c>
      <c r="M2965" s="44"/>
      <c r="N2965" s="44"/>
      <c r="O2965" s="44"/>
      <c r="P2965" s="44"/>
      <c r="Q2965" s="44"/>
      <c r="R2965" s="44"/>
      <c r="S2965" s="44"/>
      <c r="T2965" s="45"/>
      <c r="U2965" s="38" t="str">
        <f>HYPERLINK("https://www.jstage.jst.go.jp/article/islsm/3/4/3_91-MR-02/_article/-char/en","J-STAGE")</f>
        <v>J-STAGE</v>
      </c>
      <c r="V2965" s="50"/>
      <c r="W2965" s="49"/>
      <c r="X2965" s="49"/>
      <c r="Y2965" s="35"/>
      <c r="Z2965" s="35"/>
      <c r="AA2965" s="35"/>
      <c r="AB2965" s="35"/>
      <c r="AC2965" s="35"/>
      <c r="AD2965" s="35"/>
      <c r="AE2965" s="35"/>
      <c r="AF2965" s="35"/>
      <c r="AG2965" s="35"/>
      <c r="AH2965" s="35"/>
      <c r="AI2965" s="35"/>
      <c r="AJ2965" s="35"/>
      <c r="AK2965" s="35"/>
      <c r="AL2965" s="35"/>
    </row>
    <row r="2966">
      <c r="A2966" s="180"/>
      <c r="B2966" s="19" t="s">
        <v>14312</v>
      </c>
      <c r="C2966" s="20" t="s">
        <v>14544</v>
      </c>
      <c r="D2966" s="47"/>
      <c r="E2966" s="22" t="s">
        <v>14545</v>
      </c>
      <c r="F2966" s="22" t="s">
        <v>1416</v>
      </c>
      <c r="G2966" s="23">
        <v>1991.0</v>
      </c>
      <c r="H2966" s="22" t="s">
        <v>292</v>
      </c>
      <c r="I2966" s="24" t="s">
        <v>14550</v>
      </c>
      <c r="J2966" s="22" t="s">
        <v>14384</v>
      </c>
      <c r="K2966" s="22"/>
      <c r="L2966" s="43" t="s">
        <v>14551</v>
      </c>
      <c r="M2966" s="44"/>
      <c r="N2966" s="44"/>
      <c r="O2966" s="44"/>
      <c r="P2966" s="44"/>
      <c r="Q2966" s="44"/>
      <c r="R2966" s="44"/>
      <c r="S2966" s="44"/>
      <c r="T2966" s="45"/>
      <c r="U2966" s="38" t="str">
        <f>HYPERLINK("https://www.jstage.jst.go.jp/article/islsm/3/3/3_91-MR-01/_article/-char/en","J-STAGE")</f>
        <v>J-STAGE</v>
      </c>
      <c r="V2966" s="50"/>
      <c r="W2966" s="49"/>
      <c r="X2966" s="49"/>
      <c r="Y2966" s="35"/>
      <c r="Z2966" s="35"/>
      <c r="AA2966" s="35"/>
      <c r="AB2966" s="35"/>
      <c r="AC2966" s="35"/>
      <c r="AD2966" s="35"/>
      <c r="AE2966" s="35"/>
      <c r="AF2966" s="35"/>
      <c r="AG2966" s="35"/>
      <c r="AH2966" s="35"/>
      <c r="AI2966" s="35"/>
      <c r="AJ2966" s="35"/>
      <c r="AK2966" s="35"/>
      <c r="AL2966" s="35"/>
    </row>
    <row r="2967">
      <c r="A2967" s="180"/>
      <c r="B2967" s="19" t="s">
        <v>14312</v>
      </c>
      <c r="C2967" s="20" t="s">
        <v>14544</v>
      </c>
      <c r="D2967" s="47"/>
      <c r="E2967" s="22" t="s">
        <v>14545</v>
      </c>
      <c r="F2967" s="22" t="s">
        <v>1416</v>
      </c>
      <c r="G2967" s="23">
        <v>1991.0</v>
      </c>
      <c r="H2967" s="22" t="s">
        <v>292</v>
      </c>
      <c r="I2967" s="24" t="s">
        <v>14552</v>
      </c>
      <c r="J2967" s="22" t="s">
        <v>14384</v>
      </c>
      <c r="K2967" s="22" t="s">
        <v>14553</v>
      </c>
      <c r="L2967" s="43" t="s">
        <v>14554</v>
      </c>
      <c r="M2967" s="44"/>
      <c r="N2967" s="44"/>
      <c r="O2967" s="44"/>
      <c r="P2967" s="44"/>
      <c r="Q2967" s="44"/>
      <c r="R2967" s="44"/>
      <c r="S2967" s="44"/>
      <c r="T2967" s="45"/>
      <c r="U2967" s="38" t="str">
        <f>HYPERLINK("https://www.jstage.jst.go.jp/article/islsm/4/1/4_92-MR-01/_article/-char/en","J-STAGE")</f>
        <v>J-STAGE</v>
      </c>
      <c r="V2967" s="50"/>
      <c r="W2967" s="49"/>
      <c r="X2967" s="49"/>
      <c r="Y2967" s="35"/>
      <c r="Z2967" s="35"/>
      <c r="AA2967" s="35"/>
      <c r="AB2967" s="35"/>
      <c r="AC2967" s="35"/>
      <c r="AD2967" s="35"/>
      <c r="AE2967" s="35"/>
      <c r="AF2967" s="35"/>
      <c r="AG2967" s="35"/>
      <c r="AH2967" s="35"/>
      <c r="AI2967" s="35"/>
      <c r="AJ2967" s="35"/>
      <c r="AK2967" s="35"/>
      <c r="AL2967" s="35"/>
    </row>
    <row r="2968">
      <c r="A2968" s="180"/>
      <c r="B2968" s="19" t="s">
        <v>14312</v>
      </c>
      <c r="C2968" s="20" t="s">
        <v>14544</v>
      </c>
      <c r="D2968" s="47"/>
      <c r="E2968" s="22" t="s">
        <v>14545</v>
      </c>
      <c r="F2968" s="22" t="s">
        <v>1416</v>
      </c>
      <c r="G2968" s="23">
        <v>1990.0</v>
      </c>
      <c r="H2968" s="22" t="s">
        <v>292</v>
      </c>
      <c r="I2968" s="24" t="s">
        <v>14555</v>
      </c>
      <c r="J2968" s="22" t="s">
        <v>14384</v>
      </c>
      <c r="K2968" s="96"/>
      <c r="L2968" s="43" t="s">
        <v>14556</v>
      </c>
      <c r="M2968" s="44"/>
      <c r="N2968" s="44"/>
      <c r="O2968" s="44"/>
      <c r="P2968" s="44"/>
      <c r="Q2968" s="44"/>
      <c r="R2968" s="44"/>
      <c r="S2968" s="44"/>
      <c r="T2968" s="45"/>
      <c r="U2968" s="38" t="str">
        <f>HYPERLINK("https://www.jstage.jst.go.jp/article/islsm/2/2/2_90-MR-01/_article/-char/en","J-STAGE")</f>
        <v>J-STAGE</v>
      </c>
      <c r="V2968" s="50"/>
      <c r="W2968" s="49"/>
      <c r="X2968" s="49"/>
      <c r="Y2968" s="35"/>
      <c r="Z2968" s="35"/>
      <c r="AA2968" s="35"/>
      <c r="AB2968" s="35"/>
      <c r="AC2968" s="35"/>
      <c r="AD2968" s="35"/>
      <c r="AE2968" s="35"/>
      <c r="AF2968" s="35"/>
      <c r="AG2968" s="35"/>
      <c r="AH2968" s="35"/>
      <c r="AI2968" s="35"/>
      <c r="AJ2968" s="35"/>
      <c r="AK2968" s="35"/>
      <c r="AL2968" s="35"/>
    </row>
    <row r="2969">
      <c r="A2969" s="180"/>
      <c r="B2969" s="19" t="s">
        <v>14312</v>
      </c>
      <c r="C2969" s="20" t="s">
        <v>14544</v>
      </c>
      <c r="D2969" s="47"/>
      <c r="E2969" s="22" t="s">
        <v>14545</v>
      </c>
      <c r="F2969" s="22" t="s">
        <v>1416</v>
      </c>
      <c r="G2969" s="23">
        <v>1990.0</v>
      </c>
      <c r="H2969" s="22" t="s">
        <v>292</v>
      </c>
      <c r="I2969" s="24" t="s">
        <v>14557</v>
      </c>
      <c r="J2969" s="22" t="s">
        <v>14384</v>
      </c>
      <c r="K2969" s="96"/>
      <c r="L2969" s="43" t="s">
        <v>14558</v>
      </c>
      <c r="M2969" s="44"/>
      <c r="N2969" s="44"/>
      <c r="O2969" s="44"/>
      <c r="P2969" s="44"/>
      <c r="Q2969" s="44"/>
      <c r="R2969" s="44"/>
      <c r="S2969" s="44"/>
      <c r="T2969" s="45"/>
      <c r="U2969" s="38" t="str">
        <f>HYPERLINK("https://www.jstage.jst.go.jp/article/islsm/2/3/2_90-MR-02/_article/-char/en","J-STAGE")</f>
        <v>J-STAGE</v>
      </c>
      <c r="V2969" s="50"/>
      <c r="W2969" s="49"/>
      <c r="X2969" s="49"/>
      <c r="Y2969" s="35"/>
      <c r="Z2969" s="35"/>
      <c r="AA2969" s="35"/>
      <c r="AB2969" s="35"/>
      <c r="AC2969" s="35"/>
      <c r="AD2969" s="35"/>
      <c r="AE2969" s="35"/>
      <c r="AF2969" s="35"/>
      <c r="AG2969" s="35"/>
      <c r="AH2969" s="35"/>
      <c r="AI2969" s="35"/>
      <c r="AJ2969" s="35"/>
      <c r="AK2969" s="35"/>
      <c r="AL2969" s="35"/>
    </row>
    <row r="2970">
      <c r="A2970" s="40"/>
      <c r="B2970" s="19" t="s">
        <v>14312</v>
      </c>
      <c r="C2970" s="20" t="s">
        <v>14559</v>
      </c>
      <c r="D2970" s="47"/>
      <c r="E2970" s="22" t="s">
        <v>10739</v>
      </c>
      <c r="F2970" s="22" t="s">
        <v>1416</v>
      </c>
      <c r="G2970" s="23">
        <v>1993.0</v>
      </c>
      <c r="H2970" s="22" t="s">
        <v>292</v>
      </c>
      <c r="I2970" s="24" t="s">
        <v>14560</v>
      </c>
      <c r="J2970" s="22" t="s">
        <v>202</v>
      </c>
      <c r="K2970" s="22"/>
      <c r="L2970" s="43" t="s">
        <v>14561</v>
      </c>
      <c r="M2970" s="44"/>
      <c r="N2970" s="44"/>
      <c r="O2970" s="44"/>
      <c r="P2970" s="44"/>
      <c r="Q2970" s="44"/>
      <c r="R2970" s="44"/>
      <c r="S2970" s="44"/>
      <c r="T2970" s="45"/>
      <c r="U2970" s="38" t="str">
        <f>HYPERLINK("https://www.jstage.jst.go.jp/article/islsm/5/1/5_93-ED-01/_article/-char/en","J-STAGE")</f>
        <v>J-STAGE</v>
      </c>
      <c r="V2970" s="50"/>
      <c r="W2970" s="49"/>
      <c r="X2970" s="49"/>
      <c r="Y2970" s="35"/>
      <c r="Z2970" s="35"/>
      <c r="AA2970" s="35"/>
      <c r="AB2970" s="35"/>
      <c r="AC2970" s="35"/>
      <c r="AD2970" s="35"/>
      <c r="AE2970" s="35"/>
      <c r="AF2970" s="35"/>
      <c r="AG2970" s="35"/>
      <c r="AH2970" s="35"/>
      <c r="AI2970" s="35"/>
      <c r="AJ2970" s="35"/>
      <c r="AK2970" s="35"/>
      <c r="AL2970" s="35"/>
    </row>
    <row r="2971">
      <c r="A2971" s="40"/>
      <c r="B2971" s="19" t="s">
        <v>14312</v>
      </c>
      <c r="C2971" s="20" t="s">
        <v>14559</v>
      </c>
      <c r="D2971" s="47"/>
      <c r="E2971" s="22" t="s">
        <v>10739</v>
      </c>
      <c r="F2971" s="22" t="s">
        <v>1416</v>
      </c>
      <c r="G2971" s="23">
        <v>1992.0</v>
      </c>
      <c r="H2971" s="22" t="s">
        <v>292</v>
      </c>
      <c r="I2971" s="24" t="s">
        <v>14562</v>
      </c>
      <c r="J2971" s="22" t="s">
        <v>202</v>
      </c>
      <c r="K2971" s="22"/>
      <c r="L2971" s="43"/>
      <c r="M2971" s="44"/>
      <c r="N2971" s="44"/>
      <c r="O2971" s="44"/>
      <c r="P2971" s="44"/>
      <c r="Q2971" s="44"/>
      <c r="R2971" s="44"/>
      <c r="S2971" s="44"/>
      <c r="T2971" s="45"/>
      <c r="U2971" s="38" t="str">
        <f>HYPERLINK("https://www.jstage.jst.go.jp/article/islsm/4/4/4_92-ED-04/_article/-char/en","J-STAGE")</f>
        <v>J-STAGE</v>
      </c>
      <c r="V2971" s="50"/>
      <c r="W2971" s="49"/>
      <c r="X2971" s="49"/>
      <c r="Y2971" s="35"/>
      <c r="Z2971" s="35"/>
      <c r="AA2971" s="35"/>
      <c r="AB2971" s="35"/>
      <c r="AC2971" s="35"/>
      <c r="AD2971" s="35"/>
      <c r="AE2971" s="35"/>
      <c r="AF2971" s="35"/>
      <c r="AG2971" s="35"/>
      <c r="AH2971" s="35"/>
      <c r="AI2971" s="35"/>
      <c r="AJ2971" s="35"/>
      <c r="AK2971" s="35"/>
      <c r="AL2971" s="35"/>
    </row>
    <row r="2972">
      <c r="A2972" s="40"/>
      <c r="B2972" s="19" t="s">
        <v>14312</v>
      </c>
      <c r="C2972" s="20" t="s">
        <v>14559</v>
      </c>
      <c r="D2972" s="47"/>
      <c r="E2972" s="22" t="s">
        <v>10739</v>
      </c>
      <c r="F2972" s="22" t="s">
        <v>1416</v>
      </c>
      <c r="G2972" s="23">
        <v>1992.0</v>
      </c>
      <c r="H2972" s="22" t="s">
        <v>292</v>
      </c>
      <c r="I2972" s="24" t="s">
        <v>14563</v>
      </c>
      <c r="J2972" s="22" t="s">
        <v>202</v>
      </c>
      <c r="K2972" s="22" t="s">
        <v>14464</v>
      </c>
      <c r="L2972" s="43" t="s">
        <v>14564</v>
      </c>
      <c r="M2972" s="44"/>
      <c r="N2972" s="44"/>
      <c r="O2972" s="44"/>
      <c r="P2972" s="44"/>
      <c r="Q2972" s="44"/>
      <c r="R2972" s="44"/>
      <c r="S2972" s="44"/>
      <c r="T2972" s="45"/>
      <c r="U2972" s="38" t="str">
        <f>HYPERLINK("https://www.jstage.jst.go.jp/article/islsm/4/3/4_92-ED-03/_article/-char/en","J-STAGE")</f>
        <v>J-STAGE</v>
      </c>
      <c r="V2972" s="50"/>
      <c r="W2972" s="49"/>
      <c r="X2972" s="49"/>
      <c r="Y2972" s="35"/>
      <c r="Z2972" s="35"/>
      <c r="AA2972" s="35"/>
      <c r="AB2972" s="35"/>
      <c r="AC2972" s="35"/>
      <c r="AD2972" s="35"/>
      <c r="AE2972" s="35"/>
      <c r="AF2972" s="35"/>
      <c r="AG2972" s="35"/>
      <c r="AH2972" s="35"/>
      <c r="AI2972" s="35"/>
      <c r="AJ2972" s="35"/>
      <c r="AK2972" s="35"/>
      <c r="AL2972" s="35"/>
    </row>
    <row r="2973">
      <c r="A2973" s="1"/>
      <c r="B2973" s="19" t="s">
        <v>14312</v>
      </c>
      <c r="C2973" s="20" t="s">
        <v>14559</v>
      </c>
      <c r="D2973" s="47"/>
      <c r="E2973" s="22" t="s">
        <v>10739</v>
      </c>
      <c r="F2973" s="22" t="s">
        <v>1416</v>
      </c>
      <c r="G2973" s="23">
        <v>1991.0</v>
      </c>
      <c r="H2973" s="22" t="s">
        <v>292</v>
      </c>
      <c r="I2973" s="24" t="s">
        <v>14565</v>
      </c>
      <c r="J2973" s="22" t="s">
        <v>202</v>
      </c>
      <c r="K2973" s="22" t="s">
        <v>14566</v>
      </c>
      <c r="L2973" s="173" t="s">
        <v>14567</v>
      </c>
      <c r="U2973" s="38" t="str">
        <f>HYPERLINK("https://www.jstage.jst.go.jp/article/islsm/3/4/3_91-ED-03/_article/-char/en","J-STAGE")</f>
        <v>J-STAGE</v>
      </c>
      <c r="V2973" s="30"/>
      <c r="W2973" s="34"/>
      <c r="X2973" s="31"/>
      <c r="Y2973" s="31"/>
      <c r="Z2973" s="32"/>
      <c r="AA2973" s="31"/>
      <c r="AB2973" s="31"/>
      <c r="AC2973" s="9"/>
      <c r="AD2973" s="31"/>
      <c r="AE2973" s="31"/>
      <c r="AF2973" s="33"/>
      <c r="AG2973" s="34"/>
      <c r="AH2973" s="31"/>
      <c r="AI2973" s="35"/>
      <c r="AJ2973" s="35"/>
      <c r="AK2973" s="35"/>
      <c r="AL2973" s="35"/>
    </row>
    <row r="2974">
      <c r="A2974" s="40"/>
      <c r="B2974" s="19" t="s">
        <v>14312</v>
      </c>
      <c r="C2974" s="20" t="s">
        <v>14559</v>
      </c>
      <c r="D2974" s="47"/>
      <c r="E2974" s="22" t="s">
        <v>10739</v>
      </c>
      <c r="F2974" s="22" t="s">
        <v>1416</v>
      </c>
      <c r="G2974" s="23">
        <v>1991.0</v>
      </c>
      <c r="H2974" s="22" t="s">
        <v>292</v>
      </c>
      <c r="I2974" s="24" t="s">
        <v>14568</v>
      </c>
      <c r="J2974" s="22" t="s">
        <v>202</v>
      </c>
      <c r="K2974" s="178"/>
      <c r="L2974" s="43" t="s">
        <v>14569</v>
      </c>
      <c r="M2974" s="44"/>
      <c r="N2974" s="44"/>
      <c r="O2974" s="44"/>
      <c r="P2974" s="44"/>
      <c r="Q2974" s="44"/>
      <c r="R2974" s="44"/>
      <c r="S2974" s="44"/>
      <c r="T2974" s="45"/>
      <c r="U2974" s="38" t="str">
        <f>HYPERLINK("https://www.jstage.jst.go.jp/article/islsm/4/2/4_92-ED-02/_article/-char/en","J-STAGE")</f>
        <v>J-STAGE</v>
      </c>
      <c r="V2974" s="50"/>
      <c r="W2974" s="49"/>
      <c r="X2974" s="49"/>
      <c r="Y2974" s="35"/>
      <c r="Z2974" s="35"/>
      <c r="AA2974" s="35"/>
      <c r="AB2974" s="35"/>
      <c r="AC2974" s="35"/>
      <c r="AD2974" s="35"/>
      <c r="AE2974" s="35"/>
      <c r="AF2974" s="35"/>
      <c r="AG2974" s="35"/>
      <c r="AH2974" s="35"/>
      <c r="AI2974" s="35"/>
      <c r="AJ2974" s="35"/>
      <c r="AK2974" s="35"/>
      <c r="AL2974" s="35"/>
    </row>
    <row r="2975">
      <c r="A2975" s="40"/>
      <c r="B2975" s="19" t="s">
        <v>14312</v>
      </c>
      <c r="C2975" s="20" t="s">
        <v>14559</v>
      </c>
      <c r="D2975" s="47"/>
      <c r="E2975" s="22" t="s">
        <v>10739</v>
      </c>
      <c r="F2975" s="22" t="s">
        <v>1416</v>
      </c>
      <c r="G2975" s="23">
        <v>1991.0</v>
      </c>
      <c r="H2975" s="22" t="s">
        <v>292</v>
      </c>
      <c r="I2975" s="24" t="s">
        <v>14570</v>
      </c>
      <c r="J2975" s="22" t="s">
        <v>202</v>
      </c>
      <c r="K2975" s="178"/>
      <c r="L2975" s="43" t="s">
        <v>14571</v>
      </c>
      <c r="M2975" s="44"/>
      <c r="N2975" s="44"/>
      <c r="O2975" s="44"/>
      <c r="P2975" s="44"/>
      <c r="Q2975" s="44"/>
      <c r="R2975" s="44"/>
      <c r="S2975" s="44"/>
      <c r="T2975" s="45"/>
      <c r="U2975" s="38" t="str">
        <f>HYPERLINK("https://www.jstage.jst.go.jp/article/islsm/3/3/3_91-ED-02/_article/-char/en","J-STAGE")</f>
        <v>J-STAGE</v>
      </c>
      <c r="V2975" s="50"/>
      <c r="W2975" s="49"/>
      <c r="X2975" s="49"/>
      <c r="Y2975" s="35"/>
      <c r="Z2975" s="35"/>
      <c r="AA2975" s="35"/>
      <c r="AB2975" s="35"/>
      <c r="AC2975" s="35"/>
      <c r="AD2975" s="35"/>
      <c r="AE2975" s="35"/>
      <c r="AF2975" s="35"/>
      <c r="AG2975" s="35"/>
      <c r="AH2975" s="35"/>
      <c r="AI2975" s="35"/>
      <c r="AJ2975" s="35"/>
      <c r="AK2975" s="35"/>
      <c r="AL2975" s="35"/>
    </row>
    <row r="2976">
      <c r="A2976" s="40"/>
      <c r="B2976" s="19" t="s">
        <v>14312</v>
      </c>
      <c r="C2976" s="20" t="s">
        <v>14559</v>
      </c>
      <c r="D2976" s="47"/>
      <c r="E2976" s="22" t="s">
        <v>10739</v>
      </c>
      <c r="F2976" s="22" t="s">
        <v>1416</v>
      </c>
      <c r="G2976" s="23">
        <v>1991.0</v>
      </c>
      <c r="H2976" s="22" t="s">
        <v>292</v>
      </c>
      <c r="I2976" s="24" t="s">
        <v>14572</v>
      </c>
      <c r="J2976" s="22" t="s">
        <v>202</v>
      </c>
      <c r="K2976" s="178"/>
      <c r="L2976" s="171" t="s">
        <v>14573</v>
      </c>
      <c r="M2976" s="44"/>
      <c r="N2976" s="44"/>
      <c r="O2976" s="44"/>
      <c r="P2976" s="44"/>
      <c r="Q2976" s="44"/>
      <c r="R2976" s="44"/>
      <c r="S2976" s="44"/>
      <c r="T2976" s="45"/>
      <c r="U2976" s="38" t="str">
        <f>HYPERLINK("https://www.jstage.jst.go.jp/article/islsm/4/1/4_92-ED-01/_article/-char/en","J-STAGE")</f>
        <v>J-STAGE</v>
      </c>
      <c r="V2976" s="50"/>
      <c r="W2976" s="49"/>
      <c r="X2976" s="49"/>
      <c r="Y2976" s="35"/>
      <c r="Z2976" s="35"/>
      <c r="AA2976" s="35"/>
      <c r="AB2976" s="35"/>
      <c r="AC2976" s="35"/>
      <c r="AD2976" s="35"/>
      <c r="AE2976" s="35"/>
      <c r="AF2976" s="35"/>
      <c r="AG2976" s="35"/>
      <c r="AH2976" s="35"/>
      <c r="AI2976" s="35"/>
      <c r="AJ2976" s="35"/>
      <c r="AK2976" s="35"/>
      <c r="AL2976" s="35"/>
    </row>
    <row r="2977">
      <c r="A2977" s="40"/>
      <c r="B2977" s="19" t="s">
        <v>14312</v>
      </c>
      <c r="C2977" s="20" t="s">
        <v>14574</v>
      </c>
      <c r="D2977" s="47"/>
      <c r="E2977" s="22" t="s">
        <v>14575</v>
      </c>
      <c r="F2977" s="22" t="s">
        <v>5223</v>
      </c>
      <c r="G2977" s="23">
        <v>1992.0</v>
      </c>
      <c r="H2977" s="22" t="s">
        <v>292</v>
      </c>
      <c r="I2977" s="24" t="s">
        <v>14576</v>
      </c>
      <c r="J2977" s="22" t="s">
        <v>7918</v>
      </c>
      <c r="K2977" s="178"/>
      <c r="L2977" s="171"/>
      <c r="M2977" s="44"/>
      <c r="N2977" s="44"/>
      <c r="O2977" s="44"/>
      <c r="P2977" s="44"/>
      <c r="Q2977" s="44"/>
      <c r="R2977" s="44"/>
      <c r="S2977" s="44"/>
      <c r="T2977" s="45"/>
      <c r="U2977" s="38" t="str">
        <f>HYPERLINK("https://www.jstage.jst.go.jp/article/islsm/4/3/4_92-LE-01/_article/-char/en","J-STAGE")</f>
        <v>J-STAGE</v>
      </c>
      <c r="V2977" s="50"/>
      <c r="W2977" s="49"/>
      <c r="X2977" s="49"/>
      <c r="Y2977" s="35"/>
      <c r="Z2977" s="35"/>
      <c r="AA2977" s="35"/>
      <c r="AB2977" s="35"/>
      <c r="AC2977" s="35"/>
      <c r="AD2977" s="35"/>
      <c r="AE2977" s="35"/>
      <c r="AF2977" s="35"/>
      <c r="AG2977" s="35"/>
      <c r="AH2977" s="35"/>
      <c r="AI2977" s="35"/>
      <c r="AJ2977" s="35"/>
      <c r="AK2977" s="35"/>
      <c r="AL2977" s="35"/>
    </row>
    <row r="2978">
      <c r="A2978" s="18"/>
      <c r="B2978" s="19" t="s">
        <v>14577</v>
      </c>
      <c r="C2978" s="20" t="s">
        <v>14578</v>
      </c>
      <c r="D2978" s="47"/>
      <c r="E2978" s="22" t="s">
        <v>14579</v>
      </c>
      <c r="F2978" s="22" t="s">
        <v>2391</v>
      </c>
      <c r="G2978" s="23">
        <v>2024.0</v>
      </c>
      <c r="H2978" s="22" t="s">
        <v>3211</v>
      </c>
      <c r="I2978" s="24" t="s">
        <v>14580</v>
      </c>
      <c r="J2978" s="22" t="s">
        <v>14581</v>
      </c>
      <c r="K2978" s="22"/>
      <c r="L2978" s="36"/>
      <c r="M2978" s="36"/>
      <c r="N2978" s="36"/>
      <c r="O2978" s="36"/>
      <c r="P2978" s="37"/>
      <c r="Q2978" s="36"/>
      <c r="R2978" s="36"/>
      <c r="S2978" s="36"/>
      <c r="T2978" s="28" t="s">
        <v>14582</v>
      </c>
      <c r="U2978" s="38" t="s">
        <v>61</v>
      </c>
      <c r="V2978" s="50"/>
      <c r="W2978" s="49"/>
      <c r="X2978" s="49"/>
      <c r="Y2978" s="35"/>
      <c r="Z2978" s="35"/>
      <c r="AA2978" s="35"/>
      <c r="AB2978" s="35"/>
      <c r="AC2978" s="35"/>
      <c r="AD2978" s="35"/>
      <c r="AE2978" s="35"/>
      <c r="AF2978" s="35"/>
      <c r="AG2978" s="35"/>
      <c r="AH2978" s="35"/>
      <c r="AI2978" s="35"/>
      <c r="AJ2978" s="35"/>
      <c r="AK2978" s="35"/>
      <c r="AL2978" s="35"/>
    </row>
    <row r="2979">
      <c r="A2979" s="18"/>
      <c r="B2979" s="19" t="s">
        <v>14577</v>
      </c>
      <c r="C2979" s="20" t="s">
        <v>14578</v>
      </c>
      <c r="D2979" s="47"/>
      <c r="E2979" s="22" t="s">
        <v>2190</v>
      </c>
      <c r="F2979" s="22" t="s">
        <v>2391</v>
      </c>
      <c r="G2979" s="23">
        <v>2020.0</v>
      </c>
      <c r="H2979" s="22" t="s">
        <v>2479</v>
      </c>
      <c r="I2979" s="24" t="s">
        <v>14583</v>
      </c>
      <c r="J2979" s="22" t="s">
        <v>44</v>
      </c>
      <c r="K2979" s="22"/>
      <c r="L2979" s="36">
        <v>1267.0</v>
      </c>
      <c r="M2979" s="36"/>
      <c r="N2979" s="36"/>
      <c r="O2979" s="36"/>
      <c r="P2979" s="37" t="s">
        <v>14584</v>
      </c>
      <c r="Q2979" s="36"/>
      <c r="R2979" s="36"/>
      <c r="S2979" s="36"/>
      <c r="T2979" s="28" t="s">
        <v>14585</v>
      </c>
      <c r="U2979" s="38" t="str">
        <f>HYPERLINK("https://www.ncbi.nlm.nih.gov/pubmed/32206394","PubMed")</f>
        <v>PubMed</v>
      </c>
      <c r="V2979" s="50"/>
      <c r="W2979" s="49"/>
      <c r="X2979" s="49"/>
      <c r="Y2979" s="35"/>
      <c r="Z2979" s="35"/>
      <c r="AA2979" s="35"/>
      <c r="AB2979" s="35"/>
      <c r="AC2979" s="35"/>
      <c r="AD2979" s="35"/>
      <c r="AE2979" s="35"/>
      <c r="AF2979" s="35"/>
      <c r="AG2979" s="35"/>
      <c r="AH2979" s="35"/>
      <c r="AI2979" s="35"/>
      <c r="AJ2979" s="35"/>
      <c r="AK2979" s="35"/>
      <c r="AL2979" s="35"/>
    </row>
    <row r="2980">
      <c r="A2980" s="18"/>
      <c r="B2980" s="19" t="s">
        <v>14577</v>
      </c>
      <c r="C2980" s="20" t="s">
        <v>14586</v>
      </c>
      <c r="D2980" s="47"/>
      <c r="E2980" s="22" t="s">
        <v>14587</v>
      </c>
      <c r="F2980" s="22" t="s">
        <v>494</v>
      </c>
      <c r="G2980" s="23">
        <v>2023.0</v>
      </c>
      <c r="H2980" s="22" t="s">
        <v>91</v>
      </c>
      <c r="I2980" s="24" t="s">
        <v>14588</v>
      </c>
      <c r="J2980" s="22" t="s">
        <v>1078</v>
      </c>
      <c r="K2980" s="22"/>
      <c r="L2980" s="53" t="s">
        <v>14589</v>
      </c>
      <c r="U2980" s="38" t="s">
        <v>61</v>
      </c>
      <c r="V2980" s="50"/>
      <c r="W2980" s="49"/>
      <c r="X2980" s="49"/>
      <c r="Y2980" s="35"/>
      <c r="Z2980" s="35"/>
      <c r="AA2980" s="35"/>
      <c r="AB2980" s="35"/>
      <c r="AC2980" s="35"/>
      <c r="AD2980" s="35"/>
      <c r="AE2980" s="35"/>
      <c r="AF2980" s="35"/>
      <c r="AG2980" s="35"/>
      <c r="AH2980" s="35"/>
      <c r="AI2980" s="35"/>
      <c r="AJ2980" s="35"/>
      <c r="AK2980" s="35"/>
      <c r="AL2980" s="35"/>
    </row>
    <row r="2981">
      <c r="A2981" s="18"/>
      <c r="B2981" s="19" t="s">
        <v>14577</v>
      </c>
      <c r="C2981" s="20" t="s">
        <v>14586</v>
      </c>
      <c r="D2981" s="47"/>
      <c r="E2981" s="22" t="s">
        <v>14590</v>
      </c>
      <c r="F2981" s="22" t="s">
        <v>323</v>
      </c>
      <c r="G2981" s="23">
        <v>2023.0</v>
      </c>
      <c r="H2981" s="22" t="s">
        <v>14591</v>
      </c>
      <c r="I2981" s="24" t="s">
        <v>14592</v>
      </c>
      <c r="J2981" s="22" t="s">
        <v>14593</v>
      </c>
      <c r="K2981" s="22"/>
      <c r="L2981" s="52">
        <v>658.0</v>
      </c>
      <c r="M2981" s="52">
        <v>100.0</v>
      </c>
      <c r="N2981" s="52"/>
      <c r="O2981" s="52"/>
      <c r="P2981" s="189" t="s">
        <v>269</v>
      </c>
      <c r="Q2981" s="52"/>
      <c r="R2981" s="52"/>
      <c r="S2981" s="52" t="s">
        <v>14594</v>
      </c>
      <c r="T2981" s="28" t="s">
        <v>14595</v>
      </c>
      <c r="U2981" s="38" t="s">
        <v>61</v>
      </c>
      <c r="V2981" s="50"/>
      <c r="W2981" s="49"/>
      <c r="X2981" s="49"/>
      <c r="Y2981" s="35"/>
      <c r="Z2981" s="35"/>
      <c r="AA2981" s="35"/>
      <c r="AB2981" s="35"/>
      <c r="AC2981" s="35"/>
      <c r="AD2981" s="35"/>
      <c r="AE2981" s="35"/>
      <c r="AF2981" s="35"/>
      <c r="AG2981" s="35"/>
      <c r="AH2981" s="35"/>
      <c r="AI2981" s="35"/>
      <c r="AJ2981" s="35"/>
      <c r="AK2981" s="35"/>
      <c r="AL2981" s="35"/>
    </row>
    <row r="2982">
      <c r="A2982" s="18"/>
      <c r="B2982" s="19" t="s">
        <v>14577</v>
      </c>
      <c r="C2982" s="20" t="s">
        <v>14586</v>
      </c>
      <c r="D2982" s="47"/>
      <c r="E2982" s="22" t="s">
        <v>205</v>
      </c>
      <c r="F2982" s="22" t="s">
        <v>4448</v>
      </c>
      <c r="G2982" s="23">
        <v>2023.0</v>
      </c>
      <c r="H2982" s="22" t="s">
        <v>14596</v>
      </c>
      <c r="I2982" s="24" t="s">
        <v>14597</v>
      </c>
      <c r="J2982" s="22" t="s">
        <v>14598</v>
      </c>
      <c r="K2982" s="22"/>
      <c r="L2982" s="52"/>
      <c r="M2982" s="52"/>
      <c r="N2982" s="52"/>
      <c r="O2982" s="52"/>
      <c r="P2982" s="189"/>
      <c r="Q2982" s="52"/>
      <c r="R2982" s="52"/>
      <c r="S2982" s="52"/>
      <c r="T2982" s="28" t="s">
        <v>14599</v>
      </c>
      <c r="U2982" s="38" t="s">
        <v>61</v>
      </c>
      <c r="V2982" s="50"/>
      <c r="W2982" s="49"/>
      <c r="X2982" s="49"/>
      <c r="Y2982" s="35"/>
      <c r="Z2982" s="35"/>
      <c r="AA2982" s="35"/>
      <c r="AB2982" s="35"/>
      <c r="AC2982" s="35"/>
      <c r="AD2982" s="35"/>
      <c r="AE2982" s="35"/>
      <c r="AF2982" s="35"/>
      <c r="AG2982" s="35"/>
      <c r="AH2982" s="35"/>
      <c r="AI2982" s="35"/>
      <c r="AJ2982" s="35"/>
      <c r="AK2982" s="35"/>
      <c r="AL2982" s="35"/>
    </row>
    <row r="2983">
      <c r="A2983" s="18"/>
      <c r="B2983" s="19" t="s">
        <v>14577</v>
      </c>
      <c r="C2983" s="20" t="s">
        <v>14586</v>
      </c>
      <c r="D2983" s="47"/>
      <c r="E2983" s="22" t="s">
        <v>14600</v>
      </c>
      <c r="F2983" s="22" t="s">
        <v>10796</v>
      </c>
      <c r="G2983" s="23">
        <v>2022.0</v>
      </c>
      <c r="H2983" s="22" t="s">
        <v>14601</v>
      </c>
      <c r="I2983" s="24" t="s">
        <v>14602</v>
      </c>
      <c r="J2983" s="22" t="s">
        <v>649</v>
      </c>
      <c r="K2983" s="22"/>
      <c r="L2983" s="53" t="s">
        <v>14603</v>
      </c>
      <c r="U2983" s="38" t="s">
        <v>61</v>
      </c>
      <c r="V2983" s="50"/>
      <c r="W2983" s="49"/>
      <c r="X2983" s="49"/>
      <c r="Y2983" s="35"/>
      <c r="Z2983" s="35"/>
      <c r="AA2983" s="35"/>
      <c r="AB2983" s="35"/>
      <c r="AC2983" s="35"/>
      <c r="AD2983" s="35"/>
      <c r="AE2983" s="35"/>
      <c r="AF2983" s="35"/>
      <c r="AG2983" s="35"/>
      <c r="AH2983" s="35"/>
      <c r="AI2983" s="35"/>
      <c r="AJ2983" s="35"/>
      <c r="AK2983" s="35"/>
      <c r="AL2983" s="35"/>
    </row>
    <row r="2984">
      <c r="A2984" s="18"/>
      <c r="B2984" s="19" t="s">
        <v>14577</v>
      </c>
      <c r="C2984" s="20" t="s">
        <v>14586</v>
      </c>
      <c r="D2984" s="47"/>
      <c r="E2984" s="22" t="s">
        <v>626</v>
      </c>
      <c r="F2984" s="22" t="s">
        <v>14604</v>
      </c>
      <c r="G2984" s="23">
        <v>2021.0</v>
      </c>
      <c r="H2984" s="22" t="s">
        <v>91</v>
      </c>
      <c r="I2984" s="24" t="s">
        <v>14605</v>
      </c>
      <c r="J2984" s="22" t="s">
        <v>14606</v>
      </c>
      <c r="K2984" s="22"/>
      <c r="L2984" s="53" t="s">
        <v>14607</v>
      </c>
      <c r="U2984" s="29" t="s">
        <v>61</v>
      </c>
      <c r="V2984" s="50"/>
      <c r="W2984" s="49"/>
      <c r="X2984" s="49"/>
      <c r="Y2984" s="35"/>
      <c r="Z2984" s="35"/>
      <c r="AA2984" s="35"/>
      <c r="AB2984" s="35"/>
      <c r="AC2984" s="35"/>
      <c r="AD2984" s="35"/>
      <c r="AE2984" s="35"/>
      <c r="AF2984" s="35"/>
      <c r="AG2984" s="35"/>
      <c r="AH2984" s="35"/>
      <c r="AI2984" s="35"/>
      <c r="AJ2984" s="35"/>
      <c r="AK2984" s="35"/>
      <c r="AL2984" s="35"/>
    </row>
    <row r="2985">
      <c r="A2985" s="18"/>
      <c r="B2985" s="19" t="s">
        <v>14577</v>
      </c>
      <c r="C2985" s="20" t="s">
        <v>14586</v>
      </c>
      <c r="D2985" s="47"/>
      <c r="E2985" s="22" t="s">
        <v>205</v>
      </c>
      <c r="F2985" s="22" t="s">
        <v>4448</v>
      </c>
      <c r="G2985" s="23">
        <v>2021.0</v>
      </c>
      <c r="H2985" s="22" t="s">
        <v>14608</v>
      </c>
      <c r="I2985" s="24" t="s">
        <v>14609</v>
      </c>
      <c r="J2985" s="22" t="s">
        <v>14610</v>
      </c>
      <c r="K2985" s="22"/>
      <c r="L2985" s="36">
        <v>904.0</v>
      </c>
      <c r="M2985" s="36">
        <v>5.0</v>
      </c>
      <c r="N2985" s="36" t="s">
        <v>58</v>
      </c>
      <c r="O2985" s="36" t="s">
        <v>58</v>
      </c>
      <c r="P2985" s="37" t="s">
        <v>671</v>
      </c>
      <c r="Q2985" s="36" t="s">
        <v>12376</v>
      </c>
      <c r="R2985" s="36" t="s">
        <v>14611</v>
      </c>
      <c r="S2985" s="36" t="s">
        <v>2688</v>
      </c>
      <c r="T2985" s="28" t="s">
        <v>14612</v>
      </c>
      <c r="U2985" s="29" t="s">
        <v>61</v>
      </c>
      <c r="V2985" s="50"/>
      <c r="W2985" s="49"/>
      <c r="X2985" s="49"/>
      <c r="Y2985" s="35"/>
      <c r="Z2985" s="35"/>
      <c r="AA2985" s="35"/>
      <c r="AB2985" s="35"/>
      <c r="AC2985" s="35"/>
      <c r="AD2985" s="35"/>
      <c r="AE2985" s="35"/>
      <c r="AF2985" s="35"/>
      <c r="AG2985" s="35"/>
      <c r="AH2985" s="35"/>
      <c r="AI2985" s="35"/>
      <c r="AJ2985" s="35"/>
      <c r="AK2985" s="35"/>
      <c r="AL2985" s="35"/>
    </row>
    <row r="2986">
      <c r="A2986" s="18"/>
      <c r="B2986" s="19" t="s">
        <v>14577</v>
      </c>
      <c r="C2986" s="20" t="s">
        <v>14586</v>
      </c>
      <c r="D2986" s="47"/>
      <c r="E2986" s="22" t="s">
        <v>14613</v>
      </c>
      <c r="F2986" s="22" t="s">
        <v>13151</v>
      </c>
      <c r="G2986" s="23">
        <v>2021.0</v>
      </c>
      <c r="H2986" s="22" t="s">
        <v>14614</v>
      </c>
      <c r="I2986" s="24" t="s">
        <v>14615</v>
      </c>
      <c r="J2986" s="22" t="s">
        <v>14616</v>
      </c>
      <c r="K2986" s="22"/>
      <c r="L2986" s="36"/>
      <c r="M2986" s="36"/>
      <c r="N2986" s="36"/>
      <c r="O2986" s="36"/>
      <c r="P2986" s="37"/>
      <c r="Q2986" s="36"/>
      <c r="R2986" s="36"/>
      <c r="S2986" s="36" t="s">
        <v>85</v>
      </c>
      <c r="T2986" s="42" t="s">
        <v>14617</v>
      </c>
      <c r="U2986" s="29" t="s">
        <v>61</v>
      </c>
      <c r="V2986" s="30" t="s">
        <v>174</v>
      </c>
      <c r="W2986" s="49"/>
      <c r="X2986" s="49"/>
      <c r="Y2986" s="35"/>
      <c r="Z2986" s="35"/>
      <c r="AA2986" s="35"/>
      <c r="AB2986" s="35"/>
      <c r="AC2986" s="35"/>
      <c r="AD2986" s="35"/>
      <c r="AE2986" s="35"/>
      <c r="AF2986" s="35"/>
      <c r="AG2986" s="35"/>
      <c r="AH2986" s="35"/>
      <c r="AI2986" s="35"/>
      <c r="AJ2986" s="35"/>
      <c r="AK2986" s="35"/>
      <c r="AL2986" s="35"/>
    </row>
    <row r="2987">
      <c r="A2987" s="18" t="s">
        <v>181</v>
      </c>
      <c r="B2987" s="19" t="s">
        <v>14577</v>
      </c>
      <c r="C2987" s="20" t="s">
        <v>14586</v>
      </c>
      <c r="D2987" s="47"/>
      <c r="E2987" s="22" t="s">
        <v>14618</v>
      </c>
      <c r="F2987" s="22" t="s">
        <v>5973</v>
      </c>
      <c r="G2987" s="23">
        <v>2020.0</v>
      </c>
      <c r="H2987" s="22" t="s">
        <v>14619</v>
      </c>
      <c r="I2987" s="24" t="s">
        <v>14620</v>
      </c>
      <c r="J2987" s="22" t="s">
        <v>14621</v>
      </c>
      <c r="K2987" s="22"/>
      <c r="L2987" s="36" t="s">
        <v>58</v>
      </c>
      <c r="M2987" s="36" t="s">
        <v>58</v>
      </c>
      <c r="N2987" s="36" t="s">
        <v>58</v>
      </c>
      <c r="O2987" s="36" t="s">
        <v>58</v>
      </c>
      <c r="P2987" s="37" t="s">
        <v>102</v>
      </c>
      <c r="Q2987" s="36" t="s">
        <v>58</v>
      </c>
      <c r="R2987" s="36">
        <v>900.0</v>
      </c>
      <c r="S2987" s="36" t="s">
        <v>4905</v>
      </c>
      <c r="T2987" s="28" t="s">
        <v>14622</v>
      </c>
      <c r="U2987" s="29" t="s">
        <v>61</v>
      </c>
      <c r="V2987" s="30" t="s">
        <v>14623</v>
      </c>
      <c r="W2987" s="49"/>
      <c r="X2987" s="49"/>
      <c r="Y2987" s="35"/>
      <c r="Z2987" s="35"/>
      <c r="AA2987" s="35"/>
      <c r="AB2987" s="35"/>
      <c r="AC2987" s="35"/>
      <c r="AD2987" s="35"/>
      <c r="AE2987" s="35"/>
      <c r="AF2987" s="35"/>
      <c r="AG2987" s="35"/>
      <c r="AH2987" s="35"/>
      <c r="AI2987" s="35"/>
      <c r="AJ2987" s="35"/>
      <c r="AK2987" s="35"/>
      <c r="AL2987" s="35"/>
    </row>
    <row r="2988">
      <c r="A2988" s="18" t="s">
        <v>181</v>
      </c>
      <c r="B2988" s="19" t="s">
        <v>14577</v>
      </c>
      <c r="C2988" s="20" t="s">
        <v>14586</v>
      </c>
      <c r="D2988" s="47"/>
      <c r="E2988" s="22" t="s">
        <v>14624</v>
      </c>
      <c r="F2988" s="22" t="s">
        <v>605</v>
      </c>
      <c r="G2988" s="23">
        <v>2020.0</v>
      </c>
      <c r="H2988" s="22" t="s">
        <v>14614</v>
      </c>
      <c r="I2988" s="24" t="s">
        <v>14625</v>
      </c>
      <c r="J2988" s="22" t="s">
        <v>14626</v>
      </c>
      <c r="K2988" s="22"/>
      <c r="L2988" s="36" t="s">
        <v>58</v>
      </c>
      <c r="M2988" s="36" t="s">
        <v>58</v>
      </c>
      <c r="N2988" s="36" t="s">
        <v>58</v>
      </c>
      <c r="O2988" s="36" t="s">
        <v>58</v>
      </c>
      <c r="P2988" s="37" t="s">
        <v>58</v>
      </c>
      <c r="Q2988" s="36" t="s">
        <v>58</v>
      </c>
      <c r="R2988" s="36" t="s">
        <v>58</v>
      </c>
      <c r="S2988" s="36" t="s">
        <v>14627</v>
      </c>
      <c r="T2988" s="42" t="s">
        <v>14628</v>
      </c>
      <c r="U2988" s="38" t="str">
        <f>HYPERLINK("https://www.ncbi.nlm.nih.gov/pubmed/32073990","PubMed")</f>
        <v>PubMed</v>
      </c>
      <c r="V2988" s="30" t="s">
        <v>14629</v>
      </c>
      <c r="W2988" s="49"/>
      <c r="X2988" s="49"/>
      <c r="Y2988" s="35"/>
      <c r="Z2988" s="35"/>
      <c r="AA2988" s="35"/>
      <c r="AB2988" s="35"/>
      <c r="AC2988" s="35"/>
      <c r="AD2988" s="35"/>
      <c r="AE2988" s="35"/>
      <c r="AF2988" s="35"/>
      <c r="AG2988" s="35"/>
      <c r="AH2988" s="35"/>
      <c r="AI2988" s="35"/>
      <c r="AJ2988" s="35"/>
      <c r="AK2988" s="35"/>
      <c r="AL2988" s="35"/>
    </row>
    <row r="2989">
      <c r="A2989" s="18"/>
      <c r="B2989" s="19" t="s">
        <v>14577</v>
      </c>
      <c r="C2989" s="20" t="s">
        <v>14586</v>
      </c>
      <c r="D2989" s="47"/>
      <c r="E2989" s="22" t="s">
        <v>2195</v>
      </c>
      <c r="F2989" s="22" t="s">
        <v>3522</v>
      </c>
      <c r="G2989" s="23">
        <v>2019.0</v>
      </c>
      <c r="H2989" s="22" t="s">
        <v>14630</v>
      </c>
      <c r="I2989" s="24" t="s">
        <v>14631</v>
      </c>
      <c r="J2989" s="22" t="s">
        <v>1078</v>
      </c>
      <c r="K2989" s="22"/>
      <c r="L2989" s="297" t="s">
        <v>14632</v>
      </c>
      <c r="M2989" s="44"/>
      <c r="N2989" s="44"/>
      <c r="O2989" s="44"/>
      <c r="P2989" s="44"/>
      <c r="Q2989" s="44"/>
      <c r="R2989" s="44"/>
      <c r="S2989" s="44"/>
      <c r="T2989" s="45"/>
      <c r="U2989" s="38" t="str">
        <f>HYPERLINK("https://www.ncbi.nlm.nih.gov/pubmed/31780036","PubMed")</f>
        <v>PubMed</v>
      </c>
      <c r="V2989" s="50"/>
      <c r="W2989" s="49"/>
      <c r="X2989" s="49"/>
      <c r="Y2989" s="35"/>
      <c r="Z2989" s="35"/>
      <c r="AA2989" s="35"/>
      <c r="AB2989" s="35"/>
      <c r="AC2989" s="35"/>
      <c r="AD2989" s="35"/>
      <c r="AE2989" s="35"/>
      <c r="AF2989" s="35"/>
      <c r="AG2989" s="35"/>
      <c r="AH2989" s="35"/>
      <c r="AI2989" s="35"/>
      <c r="AJ2989" s="35"/>
      <c r="AK2989" s="35"/>
      <c r="AL2989" s="35"/>
    </row>
    <row r="2990">
      <c r="A2990" s="18" t="s">
        <v>14633</v>
      </c>
      <c r="B2990" s="19" t="s">
        <v>14577</v>
      </c>
      <c r="C2990" s="20" t="s">
        <v>14586</v>
      </c>
      <c r="D2990" s="47"/>
      <c r="E2990" s="22" t="s">
        <v>14634</v>
      </c>
      <c r="F2990" s="22" t="s">
        <v>2052</v>
      </c>
      <c r="G2990" s="23">
        <v>2019.0</v>
      </c>
      <c r="H2990" s="22" t="s">
        <v>91</v>
      </c>
      <c r="I2990" s="24" t="s">
        <v>14635</v>
      </c>
      <c r="J2990" s="22" t="s">
        <v>14636</v>
      </c>
      <c r="K2990" s="22"/>
      <c r="L2990" s="36">
        <v>904.0</v>
      </c>
      <c r="M2990" s="36" t="s">
        <v>58</v>
      </c>
      <c r="N2990" s="36" t="s">
        <v>58</v>
      </c>
      <c r="O2990" s="36" t="s">
        <v>58</v>
      </c>
      <c r="P2990" s="37" t="s">
        <v>671</v>
      </c>
      <c r="Q2990" s="36" t="s">
        <v>58</v>
      </c>
      <c r="R2990" s="36" t="s">
        <v>14637</v>
      </c>
      <c r="S2990" s="36" t="s">
        <v>14638</v>
      </c>
      <c r="T2990" s="28" t="s">
        <v>14639</v>
      </c>
      <c r="U2990" s="38" t="str">
        <f>HYPERLINK("https://www.ncbi.nlm.nih","PubMed")</f>
        <v>PubMed</v>
      </c>
      <c r="V2990" s="50"/>
      <c r="W2990" s="49"/>
      <c r="X2990" s="49"/>
      <c r="Y2990" s="35"/>
      <c r="Z2990" s="35"/>
      <c r="AA2990" s="35"/>
      <c r="AB2990" s="35"/>
      <c r="AC2990" s="35"/>
      <c r="AD2990" s="35"/>
      <c r="AE2990" s="35"/>
      <c r="AF2990" s="35"/>
      <c r="AG2990" s="35"/>
      <c r="AH2990" s="35"/>
      <c r="AI2990" s="35"/>
      <c r="AJ2990" s="35"/>
      <c r="AK2990" s="35"/>
      <c r="AL2990" s="35"/>
    </row>
    <row r="2991">
      <c r="A2991" s="180"/>
      <c r="B2991" s="19" t="s">
        <v>14577</v>
      </c>
      <c r="C2991" s="20" t="s">
        <v>14586</v>
      </c>
      <c r="D2991" s="47"/>
      <c r="E2991" s="22" t="s">
        <v>14640</v>
      </c>
      <c r="F2991" s="22" t="s">
        <v>4582</v>
      </c>
      <c r="G2991" s="23">
        <v>2017.0</v>
      </c>
      <c r="H2991" s="22" t="s">
        <v>53</v>
      </c>
      <c r="I2991" s="24" t="s">
        <v>14641</v>
      </c>
      <c r="J2991" s="22" t="s">
        <v>14642</v>
      </c>
      <c r="K2991" s="22"/>
      <c r="L2991" s="36" t="s">
        <v>14643</v>
      </c>
      <c r="M2991" s="36">
        <v>500.0</v>
      </c>
      <c r="N2991" s="36" t="s">
        <v>414</v>
      </c>
      <c r="O2991" s="36">
        <v>300.0</v>
      </c>
      <c r="P2991" s="37" t="s">
        <v>82</v>
      </c>
      <c r="Q2991" s="36" t="s">
        <v>14644</v>
      </c>
      <c r="R2991" s="36">
        <v>600.0</v>
      </c>
      <c r="S2991" s="36" t="s">
        <v>2688</v>
      </c>
      <c r="T2991" s="28" t="s">
        <v>14645</v>
      </c>
      <c r="U2991" s="38" t="str">
        <f>HYPERLINK("https://www.ncbi.nlm.nih.gov/pubmed/29851090","PubMed")</f>
        <v>PubMed</v>
      </c>
      <c r="V2991" s="50"/>
      <c r="W2991" s="49"/>
      <c r="X2991" s="49"/>
      <c r="Y2991" s="35"/>
      <c r="Z2991" s="35"/>
      <c r="AA2991" s="35"/>
      <c r="AB2991" s="35"/>
      <c r="AC2991" s="35"/>
      <c r="AD2991" s="35"/>
      <c r="AE2991" s="35"/>
      <c r="AF2991" s="35"/>
      <c r="AG2991" s="35"/>
      <c r="AH2991" s="35"/>
      <c r="AI2991" s="35"/>
      <c r="AJ2991" s="35"/>
      <c r="AK2991" s="35"/>
      <c r="AL2991" s="35"/>
    </row>
    <row r="2992">
      <c r="A2992" s="180"/>
      <c r="B2992" s="19" t="s">
        <v>14577</v>
      </c>
      <c r="C2992" s="20" t="s">
        <v>14586</v>
      </c>
      <c r="D2992" s="47"/>
      <c r="E2992" s="22" t="s">
        <v>14640</v>
      </c>
      <c r="F2992" s="22" t="s">
        <v>2065</v>
      </c>
      <c r="G2992" s="23">
        <v>2017.0</v>
      </c>
      <c r="H2992" s="22" t="s">
        <v>14601</v>
      </c>
      <c r="I2992" s="24" t="s">
        <v>14646</v>
      </c>
      <c r="J2992" s="22" t="s">
        <v>649</v>
      </c>
      <c r="K2992" s="22"/>
      <c r="L2992" s="43" t="s">
        <v>14647</v>
      </c>
      <c r="M2992" s="44"/>
      <c r="N2992" s="44"/>
      <c r="O2992" s="44"/>
      <c r="P2992" s="44"/>
      <c r="Q2992" s="44"/>
      <c r="R2992" s="44"/>
      <c r="S2992" s="44"/>
      <c r="T2992" s="45"/>
      <c r="U2992" s="38" t="str">
        <f>HYPERLINK("https://www.ncbi.nlm.nih.gov/pubmed/29216916","PubMed")</f>
        <v>PubMed</v>
      </c>
      <c r="V2992" s="50"/>
      <c r="W2992" s="49"/>
      <c r="X2992" s="49"/>
      <c r="Y2992" s="35"/>
      <c r="Z2992" s="35"/>
      <c r="AA2992" s="35"/>
      <c r="AB2992" s="35"/>
      <c r="AC2992" s="35"/>
      <c r="AD2992" s="35"/>
      <c r="AE2992" s="35"/>
      <c r="AF2992" s="35"/>
      <c r="AG2992" s="35"/>
      <c r="AH2992" s="35"/>
      <c r="AI2992" s="35"/>
      <c r="AJ2992" s="35"/>
      <c r="AK2992" s="35"/>
      <c r="AL2992" s="35"/>
    </row>
    <row r="2993">
      <c r="A2993" s="180"/>
      <c r="B2993" s="19" t="s">
        <v>14577</v>
      </c>
      <c r="C2993" s="20" t="s">
        <v>14586</v>
      </c>
      <c r="D2993" s="47"/>
      <c r="E2993" s="22" t="s">
        <v>1689</v>
      </c>
      <c r="F2993" s="22" t="s">
        <v>2196</v>
      </c>
      <c r="G2993" s="23">
        <v>2017.0</v>
      </c>
      <c r="H2993" s="22" t="s">
        <v>207</v>
      </c>
      <c r="I2993" s="24" t="s">
        <v>14648</v>
      </c>
      <c r="J2993" s="22" t="s">
        <v>14649</v>
      </c>
      <c r="K2993" s="22" t="s">
        <v>14650</v>
      </c>
      <c r="L2993" s="36" t="s">
        <v>14651</v>
      </c>
      <c r="M2993" s="36" t="s">
        <v>58</v>
      </c>
      <c r="N2993" s="36" t="s">
        <v>58</v>
      </c>
      <c r="O2993" s="36" t="s">
        <v>58</v>
      </c>
      <c r="P2993" s="37" t="s">
        <v>58</v>
      </c>
      <c r="Q2993" s="36" t="s">
        <v>58</v>
      </c>
      <c r="R2993" s="36">
        <v>3600.0</v>
      </c>
      <c r="S2993" s="36" t="s">
        <v>85</v>
      </c>
      <c r="T2993" s="28" t="s">
        <v>14652</v>
      </c>
      <c r="U2993" s="38" t="str">
        <f>HYPERLINK("https://www.ncbi.nlm.nih.gov/pubmed/28535427","PubMed")</f>
        <v>PubMed</v>
      </c>
      <c r="V2993" s="50"/>
      <c r="W2993" s="49"/>
      <c r="X2993" s="49"/>
      <c r="Y2993" s="35"/>
      <c r="Z2993" s="35"/>
      <c r="AA2993" s="35"/>
      <c r="AB2993" s="35"/>
      <c r="AC2993" s="35"/>
      <c r="AD2993" s="35"/>
      <c r="AE2993" s="35"/>
      <c r="AF2993" s="35"/>
      <c r="AG2993" s="35"/>
      <c r="AH2993" s="35"/>
      <c r="AI2993" s="35"/>
      <c r="AJ2993" s="35"/>
      <c r="AK2993" s="35"/>
      <c r="AL2993" s="35"/>
    </row>
    <row r="2994">
      <c r="A2994" s="180"/>
      <c r="B2994" s="19" t="s">
        <v>14577</v>
      </c>
      <c r="C2994" s="20" t="s">
        <v>14586</v>
      </c>
      <c r="D2994" s="47"/>
      <c r="E2994" s="22" t="s">
        <v>1689</v>
      </c>
      <c r="F2994" s="22" t="s">
        <v>2196</v>
      </c>
      <c r="G2994" s="23" t="s">
        <v>90</v>
      </c>
      <c r="H2994" s="22" t="s">
        <v>91</v>
      </c>
      <c r="I2994" s="24" t="s">
        <v>14653</v>
      </c>
      <c r="J2994" s="22" t="s">
        <v>14654</v>
      </c>
      <c r="K2994" s="22" t="s">
        <v>14655</v>
      </c>
      <c r="L2994" s="36" t="s">
        <v>14651</v>
      </c>
      <c r="M2994" s="107"/>
      <c r="N2994" s="107"/>
      <c r="O2994" s="107"/>
      <c r="P2994" s="109"/>
      <c r="Q2994" s="107"/>
      <c r="R2994" s="36" t="s">
        <v>14656</v>
      </c>
      <c r="S2994" s="36" t="s">
        <v>85</v>
      </c>
      <c r="T2994" s="28" t="s">
        <v>14657</v>
      </c>
      <c r="U2994" s="38" t="str">
        <f>HYPERLINK("https://www.ncbi.nlm.nih.gov/pubmed/28127644","PubMed")</f>
        <v>PubMed</v>
      </c>
      <c r="V2994" s="50"/>
      <c r="W2994" s="49"/>
      <c r="X2994" s="49"/>
      <c r="Y2994" s="35"/>
      <c r="Z2994" s="35"/>
      <c r="AA2994" s="35"/>
      <c r="AB2994" s="35"/>
      <c r="AC2994" s="35"/>
      <c r="AD2994" s="35"/>
      <c r="AE2994" s="35"/>
      <c r="AF2994" s="35"/>
      <c r="AG2994" s="35"/>
      <c r="AH2994" s="35"/>
      <c r="AI2994" s="35"/>
      <c r="AJ2994" s="35"/>
      <c r="AK2994" s="35"/>
      <c r="AL2994" s="35"/>
    </row>
    <row r="2995">
      <c r="A2995" s="1" t="s">
        <v>2</v>
      </c>
      <c r="B2995" s="19" t="s">
        <v>14577</v>
      </c>
      <c r="C2995" s="20" t="s">
        <v>14586</v>
      </c>
      <c r="D2995" s="47"/>
      <c r="E2995" s="22" t="s">
        <v>14658</v>
      </c>
      <c r="F2995" s="22" t="s">
        <v>14659</v>
      </c>
      <c r="G2995" s="23">
        <v>2016.0</v>
      </c>
      <c r="H2995" s="22" t="s">
        <v>3292</v>
      </c>
      <c r="I2995" s="24" t="s">
        <v>14660</v>
      </c>
      <c r="J2995" s="22" t="s">
        <v>14661</v>
      </c>
      <c r="K2995" s="22" t="s">
        <v>14662</v>
      </c>
      <c r="L2995" s="36">
        <v>980.0</v>
      </c>
      <c r="M2995" s="36">
        <v>640.0</v>
      </c>
      <c r="N2995" s="36" t="s">
        <v>14663</v>
      </c>
      <c r="O2995" s="36">
        <v>384.0</v>
      </c>
      <c r="P2995" s="37" t="s">
        <v>14664</v>
      </c>
      <c r="Q2995" s="36" t="s">
        <v>14665</v>
      </c>
      <c r="R2995" s="36">
        <v>600.0</v>
      </c>
      <c r="S2995" s="36" t="s">
        <v>2099</v>
      </c>
      <c r="T2995" s="103" t="s">
        <v>14666</v>
      </c>
      <c r="U2995" s="38" t="str">
        <f>HYPERLINK("https://www.ncbi.nlm.nih.gov/pubmed/27943450","PubMed")</f>
        <v>PubMed</v>
      </c>
      <c r="V2995" s="30"/>
      <c r="W2995" s="49"/>
      <c r="X2995" s="49"/>
      <c r="Y2995" s="35"/>
      <c r="Z2995" s="35"/>
      <c r="AA2995" s="35"/>
      <c r="AB2995" s="35"/>
      <c r="AC2995" s="35"/>
      <c r="AD2995" s="35"/>
      <c r="AE2995" s="35"/>
      <c r="AF2995" s="35"/>
      <c r="AG2995" s="35"/>
      <c r="AH2995" s="35"/>
      <c r="AI2995" s="35"/>
      <c r="AJ2995" s="35"/>
      <c r="AK2995" s="35"/>
      <c r="AL2995" s="35"/>
    </row>
    <row r="2996">
      <c r="A2996" s="149"/>
      <c r="B2996" s="19" t="s">
        <v>14577</v>
      </c>
      <c r="C2996" s="20" t="s">
        <v>14586</v>
      </c>
      <c r="D2996" s="47"/>
      <c r="E2996" s="22" t="s">
        <v>14667</v>
      </c>
      <c r="F2996" s="22" t="s">
        <v>14668</v>
      </c>
      <c r="G2996" s="23">
        <v>2016.0</v>
      </c>
      <c r="H2996" s="22" t="s">
        <v>91</v>
      </c>
      <c r="I2996" s="24" t="s">
        <v>14669</v>
      </c>
      <c r="J2996" s="22" t="s">
        <v>44</v>
      </c>
      <c r="K2996" s="22"/>
      <c r="L2996" s="36">
        <v>904.0</v>
      </c>
      <c r="M2996" s="36">
        <v>5.0</v>
      </c>
      <c r="N2996" s="36" t="s">
        <v>1018</v>
      </c>
      <c r="O2996" s="36"/>
      <c r="P2996" s="37" t="s">
        <v>671</v>
      </c>
      <c r="Q2996" s="36" t="s">
        <v>14670</v>
      </c>
      <c r="R2996" s="36" t="s">
        <v>14671</v>
      </c>
      <c r="S2996" s="36">
        <v>12.0</v>
      </c>
      <c r="T2996" s="54" t="s">
        <v>14672</v>
      </c>
      <c r="U2996" s="38" t="str">
        <f>HYPERLINK("https://www.ncbi.nlm.nih.gov/pubmed/26714983","PubMed")</f>
        <v>PubMed</v>
      </c>
      <c r="V2996" s="30"/>
      <c r="W2996" s="49"/>
      <c r="X2996" s="49"/>
      <c r="Y2996" s="35"/>
      <c r="Z2996" s="35"/>
      <c r="AA2996" s="35"/>
      <c r="AB2996" s="35"/>
      <c r="AC2996" s="35"/>
      <c r="AD2996" s="35"/>
      <c r="AE2996" s="35"/>
      <c r="AF2996" s="35"/>
      <c r="AG2996" s="35"/>
      <c r="AH2996" s="35"/>
      <c r="AI2996" s="35"/>
      <c r="AJ2996" s="35"/>
      <c r="AK2996" s="35"/>
      <c r="AL2996" s="35"/>
    </row>
    <row r="2997">
      <c r="A2997" s="149"/>
      <c r="B2997" s="19" t="s">
        <v>14577</v>
      </c>
      <c r="C2997" s="20" t="s">
        <v>14586</v>
      </c>
      <c r="D2997" s="47"/>
      <c r="E2997" s="22" t="s">
        <v>14673</v>
      </c>
      <c r="F2997" s="22" t="s">
        <v>2492</v>
      </c>
      <c r="G2997" s="23">
        <v>2015.0</v>
      </c>
      <c r="H2997" s="22" t="s">
        <v>14674</v>
      </c>
      <c r="I2997" s="24" t="s">
        <v>14675</v>
      </c>
      <c r="J2997" s="22" t="s">
        <v>1078</v>
      </c>
      <c r="K2997" s="22"/>
      <c r="L2997" s="105" t="s">
        <v>14676</v>
      </c>
      <c r="M2997" s="44"/>
      <c r="N2997" s="44"/>
      <c r="O2997" s="44"/>
      <c r="P2997" s="44"/>
      <c r="Q2997" s="44"/>
      <c r="R2997" s="44"/>
      <c r="S2997" s="44"/>
      <c r="T2997" s="45"/>
      <c r="U2997" s="38" t="str">
        <f>HYPERLINK("https://www.ncbi.nlm.nih.gov/pubmed/25432632","PubMed")</f>
        <v>PubMed</v>
      </c>
      <c r="V2997" s="30"/>
      <c r="W2997" s="49"/>
      <c r="X2997" s="49"/>
      <c r="Y2997" s="35"/>
      <c r="Z2997" s="35"/>
      <c r="AA2997" s="35"/>
      <c r="AB2997" s="35"/>
      <c r="AC2997" s="35"/>
      <c r="AD2997" s="35"/>
      <c r="AE2997" s="35"/>
      <c r="AF2997" s="35"/>
      <c r="AG2997" s="35"/>
      <c r="AH2997" s="35"/>
      <c r="AI2997" s="35"/>
      <c r="AJ2997" s="35"/>
      <c r="AK2997" s="35"/>
      <c r="AL2997" s="35"/>
    </row>
    <row r="2998">
      <c r="A2998" s="149"/>
      <c r="B2998" s="19" t="s">
        <v>14577</v>
      </c>
      <c r="C2998" s="20" t="s">
        <v>14586</v>
      </c>
      <c r="D2998" s="47"/>
      <c r="E2998" s="22" t="s">
        <v>3256</v>
      </c>
      <c r="F2998" s="22" t="s">
        <v>6828</v>
      </c>
      <c r="G2998" s="23">
        <v>2015.0</v>
      </c>
      <c r="H2998" s="22" t="s">
        <v>1958</v>
      </c>
      <c r="I2998" s="24" t="s">
        <v>14677</v>
      </c>
      <c r="J2998" s="22" t="s">
        <v>2273</v>
      </c>
      <c r="K2998" s="22"/>
      <c r="L2998" s="36"/>
      <c r="M2998" s="36"/>
      <c r="N2998" s="36"/>
      <c r="O2998" s="36"/>
      <c r="P2998" s="37"/>
      <c r="Q2998" s="129"/>
      <c r="R2998" s="36"/>
      <c r="S2998" s="36"/>
      <c r="T2998" s="54"/>
      <c r="U2998" s="38" t="str">
        <f>HYPERLINK("https://www.ncbi.nlm.nih.gov/pubmed/26180372","PubMed")</f>
        <v>PubMed</v>
      </c>
      <c r="V2998" s="30"/>
      <c r="W2998" s="49"/>
      <c r="X2998" s="49"/>
      <c r="Y2998" s="35"/>
      <c r="Z2998" s="35"/>
      <c r="AA2998" s="35"/>
      <c r="AB2998" s="35"/>
      <c r="AC2998" s="35"/>
      <c r="AD2998" s="35"/>
      <c r="AE2998" s="35"/>
      <c r="AF2998" s="35"/>
      <c r="AG2998" s="35"/>
      <c r="AH2998" s="35"/>
      <c r="AI2998" s="35"/>
      <c r="AJ2998" s="35"/>
      <c r="AK2998" s="35"/>
      <c r="AL2998" s="35"/>
    </row>
    <row r="2999">
      <c r="A2999" s="149"/>
      <c r="B2999" s="19" t="s">
        <v>14577</v>
      </c>
      <c r="C2999" s="20" t="s">
        <v>14586</v>
      </c>
      <c r="D2999" s="47"/>
      <c r="E2999" s="22" t="s">
        <v>14678</v>
      </c>
      <c r="F2999" s="22" t="s">
        <v>993</v>
      </c>
      <c r="G2999" s="23">
        <v>2014.0</v>
      </c>
      <c r="H2999" s="22" t="s">
        <v>91</v>
      </c>
      <c r="I2999" s="24" t="s">
        <v>14679</v>
      </c>
      <c r="J2999" s="22" t="s">
        <v>649</v>
      </c>
      <c r="K2999" s="22"/>
      <c r="L2999" s="195" t="s">
        <v>14680</v>
      </c>
      <c r="M2999" s="44"/>
      <c r="N2999" s="44"/>
      <c r="O2999" s="44"/>
      <c r="P2999" s="44"/>
      <c r="Q2999" s="44"/>
      <c r="R2999" s="44"/>
      <c r="S2999" s="44"/>
      <c r="T2999" s="45"/>
      <c r="U2999" s="38" t="str">
        <f>HYPERLINK("https://www.ncbi.nlm.nih.gov/pubmed/23192573","PubMed")</f>
        <v>PubMed</v>
      </c>
      <c r="V2999" s="30"/>
      <c r="W2999" s="49"/>
      <c r="X2999" s="49"/>
      <c r="Y2999" s="35"/>
      <c r="Z2999" s="35"/>
      <c r="AA2999" s="35"/>
      <c r="AB2999" s="35"/>
      <c r="AC2999" s="35"/>
      <c r="AD2999" s="35"/>
      <c r="AE2999" s="35"/>
      <c r="AF2999" s="35"/>
      <c r="AG2999" s="35"/>
      <c r="AH2999" s="35"/>
      <c r="AI2999" s="35"/>
      <c r="AJ2999" s="35"/>
      <c r="AK2999" s="35"/>
      <c r="AL2999" s="35"/>
    </row>
    <row r="3000">
      <c r="A3000" s="149" t="s">
        <v>181</v>
      </c>
      <c r="B3000" s="19" t="s">
        <v>14577</v>
      </c>
      <c r="C3000" s="20" t="s">
        <v>14586</v>
      </c>
      <c r="D3000" s="47"/>
      <c r="E3000" s="22" t="s">
        <v>14681</v>
      </c>
      <c r="F3000" s="22" t="s">
        <v>6995</v>
      </c>
      <c r="G3000" s="23">
        <v>2013.0</v>
      </c>
      <c r="H3000" s="22" t="s">
        <v>14682</v>
      </c>
      <c r="I3000" s="24" t="s">
        <v>14683</v>
      </c>
      <c r="J3000" s="22" t="s">
        <v>14684</v>
      </c>
      <c r="K3000" s="298" t="s">
        <v>14685</v>
      </c>
      <c r="L3000" s="36">
        <v>904.0</v>
      </c>
      <c r="M3000" s="36" t="s">
        <v>58</v>
      </c>
      <c r="N3000" s="36" t="s">
        <v>58</v>
      </c>
      <c r="O3000" s="36" t="s">
        <v>58</v>
      </c>
      <c r="P3000" s="37" t="s">
        <v>58</v>
      </c>
      <c r="Q3000" s="36" t="s">
        <v>58</v>
      </c>
      <c r="R3000" s="36">
        <v>1200.0</v>
      </c>
      <c r="S3000" s="36" t="s">
        <v>14686</v>
      </c>
      <c r="T3000" s="54" t="s">
        <v>14687</v>
      </c>
      <c r="U3000" s="38" t="str">
        <f>HYPERLINK("https://www.ncbi.nlm.nih.gov/pubmed/23803270","PubMed")</f>
        <v>PubMed</v>
      </c>
      <c r="V3000" s="30" t="s">
        <v>14688</v>
      </c>
      <c r="W3000" s="49"/>
      <c r="X3000" s="49"/>
      <c r="Y3000" s="35"/>
      <c r="Z3000" s="35"/>
      <c r="AA3000" s="35"/>
      <c r="AB3000" s="35"/>
      <c r="AC3000" s="35"/>
      <c r="AD3000" s="35"/>
      <c r="AE3000" s="35"/>
      <c r="AF3000" s="35"/>
      <c r="AG3000" s="35"/>
      <c r="AH3000" s="35"/>
      <c r="AI3000" s="35"/>
      <c r="AJ3000" s="35"/>
      <c r="AK3000" s="35"/>
      <c r="AL3000" s="35"/>
    </row>
    <row r="3001">
      <c r="A3001" s="149"/>
      <c r="B3001" s="19" t="s">
        <v>14577</v>
      </c>
      <c r="C3001" s="20" t="s">
        <v>14586</v>
      </c>
      <c r="D3001" s="47"/>
      <c r="E3001" s="22" t="s">
        <v>14689</v>
      </c>
      <c r="F3001" s="22" t="s">
        <v>332</v>
      </c>
      <c r="G3001" s="23">
        <v>2012.0</v>
      </c>
      <c r="H3001" s="22" t="s">
        <v>8177</v>
      </c>
      <c r="I3001" s="24" t="s">
        <v>14690</v>
      </c>
      <c r="J3001" s="22" t="s">
        <v>649</v>
      </c>
      <c r="K3001" s="22"/>
      <c r="L3001" s="105" t="s">
        <v>14691</v>
      </c>
      <c r="M3001" s="44"/>
      <c r="N3001" s="44"/>
      <c r="O3001" s="44"/>
      <c r="P3001" s="44"/>
      <c r="Q3001" s="44"/>
      <c r="R3001" s="44"/>
      <c r="S3001" s="44"/>
      <c r="T3001" s="45"/>
      <c r="U3001" s="38" t="str">
        <f>HYPERLINK("https://www.ncbi.nlm.nih.gov/pubmed/22875413","PubMed")</f>
        <v>PubMed</v>
      </c>
      <c r="V3001" s="30"/>
      <c r="W3001" s="49"/>
      <c r="X3001" s="49"/>
      <c r="Y3001" s="35"/>
      <c r="Z3001" s="35"/>
      <c r="AA3001" s="35"/>
      <c r="AB3001" s="35"/>
      <c r="AC3001" s="35"/>
      <c r="AD3001" s="35"/>
      <c r="AE3001" s="35"/>
      <c r="AF3001" s="35"/>
      <c r="AG3001" s="35"/>
      <c r="AH3001" s="35"/>
      <c r="AI3001" s="35"/>
      <c r="AJ3001" s="35"/>
      <c r="AK3001" s="35"/>
      <c r="AL3001" s="35"/>
    </row>
    <row r="3002">
      <c r="A3002" s="149"/>
      <c r="B3002" s="19" t="s">
        <v>14577</v>
      </c>
      <c r="C3002" s="20" t="s">
        <v>14586</v>
      </c>
      <c r="D3002" s="47"/>
      <c r="E3002" s="22" t="s">
        <v>14692</v>
      </c>
      <c r="F3002" s="22" t="s">
        <v>14693</v>
      </c>
      <c r="G3002" s="23">
        <v>2011.0</v>
      </c>
      <c r="H3002" s="22" t="s">
        <v>14694</v>
      </c>
      <c r="I3002" s="24" t="s">
        <v>14695</v>
      </c>
      <c r="J3002" s="22" t="s">
        <v>14696</v>
      </c>
      <c r="K3002" s="22"/>
      <c r="L3002" s="36">
        <v>904.0</v>
      </c>
      <c r="M3002" s="36">
        <v>5.0</v>
      </c>
      <c r="N3002" s="36" t="s">
        <v>58</v>
      </c>
      <c r="O3002" s="36" t="s">
        <v>58</v>
      </c>
      <c r="P3002" s="37" t="s">
        <v>58</v>
      </c>
      <c r="Q3002" s="36" t="s">
        <v>58</v>
      </c>
      <c r="R3002" s="36" t="s">
        <v>58</v>
      </c>
      <c r="S3002" s="36" t="s">
        <v>58</v>
      </c>
      <c r="T3002" s="42" t="s">
        <v>14697</v>
      </c>
      <c r="U3002" s="38" t="str">
        <f>HYPERLINK("https://www.ncbi.nlm.nih.gov/pubmed/22458118","PubMed")</f>
        <v>PubMed</v>
      </c>
      <c r="V3002" s="30"/>
      <c r="W3002" s="49"/>
      <c r="X3002" s="49"/>
      <c r="Y3002" s="35"/>
      <c r="Z3002" s="35"/>
      <c r="AA3002" s="35"/>
      <c r="AB3002" s="35"/>
      <c r="AC3002" s="35"/>
      <c r="AD3002" s="35"/>
      <c r="AE3002" s="35"/>
      <c r="AF3002" s="35"/>
      <c r="AG3002" s="35"/>
      <c r="AH3002" s="35"/>
      <c r="AI3002" s="35"/>
      <c r="AJ3002" s="35"/>
      <c r="AK3002" s="35"/>
      <c r="AL3002" s="35"/>
    </row>
    <row r="3003">
      <c r="A3003" s="149"/>
      <c r="B3003" s="19" t="s">
        <v>14577</v>
      </c>
      <c r="C3003" s="20" t="s">
        <v>14586</v>
      </c>
      <c r="D3003" s="47"/>
      <c r="E3003" s="22" t="s">
        <v>14698</v>
      </c>
      <c r="F3003" s="22" t="s">
        <v>14699</v>
      </c>
      <c r="G3003" s="23">
        <v>2011.0</v>
      </c>
      <c r="H3003" s="22" t="s">
        <v>8177</v>
      </c>
      <c r="I3003" s="24" t="s">
        <v>14700</v>
      </c>
      <c r="J3003" s="22" t="s">
        <v>14701</v>
      </c>
      <c r="K3003" s="22"/>
      <c r="L3003" s="36">
        <v>904.0</v>
      </c>
      <c r="M3003" s="36" t="s">
        <v>58</v>
      </c>
      <c r="N3003" s="36" t="s">
        <v>58</v>
      </c>
      <c r="O3003" s="36" t="s">
        <v>58</v>
      </c>
      <c r="P3003" s="37" t="s">
        <v>58</v>
      </c>
      <c r="Q3003" s="36" t="s">
        <v>58</v>
      </c>
      <c r="R3003" s="36" t="s">
        <v>58</v>
      </c>
      <c r="S3003" s="36" t="s">
        <v>14702</v>
      </c>
      <c r="T3003" s="28" t="s">
        <v>14703</v>
      </c>
      <c r="U3003" s="38" t="str">
        <f>HYPERLINK("https://www.ncbi.nlm.nih.gov/pubmed/20445997","PubMed")</f>
        <v>PubMed</v>
      </c>
      <c r="V3003" s="30" t="s">
        <v>14704</v>
      </c>
      <c r="W3003" s="49"/>
      <c r="X3003" s="49"/>
      <c r="Y3003" s="35"/>
      <c r="Z3003" s="35"/>
      <c r="AA3003" s="35"/>
      <c r="AB3003" s="35"/>
      <c r="AC3003" s="35"/>
      <c r="AD3003" s="35"/>
      <c r="AE3003" s="35"/>
      <c r="AF3003" s="35"/>
      <c r="AG3003" s="35"/>
      <c r="AH3003" s="35"/>
      <c r="AI3003" s="35"/>
      <c r="AJ3003" s="35"/>
      <c r="AK3003" s="35"/>
      <c r="AL3003" s="35"/>
    </row>
    <row r="3004">
      <c r="A3004" s="149"/>
      <c r="B3004" s="19" t="s">
        <v>14577</v>
      </c>
      <c r="C3004" s="20" t="s">
        <v>14586</v>
      </c>
      <c r="D3004" s="47"/>
      <c r="E3004" s="22" t="s">
        <v>14705</v>
      </c>
      <c r="F3004" s="22" t="s">
        <v>1943</v>
      </c>
      <c r="G3004" s="23">
        <v>2011.0</v>
      </c>
      <c r="H3004" s="22" t="s">
        <v>14706</v>
      </c>
      <c r="I3004" s="24" t="s">
        <v>14707</v>
      </c>
      <c r="J3004" s="22" t="s">
        <v>14708</v>
      </c>
      <c r="K3004" s="22"/>
      <c r="L3004" s="36">
        <v>904.0</v>
      </c>
      <c r="M3004" s="36">
        <v>5.0</v>
      </c>
      <c r="N3004" s="36"/>
      <c r="O3004" s="129">
        <v>42371.0</v>
      </c>
      <c r="P3004" s="37" t="s">
        <v>671</v>
      </c>
      <c r="Q3004" s="36" t="s">
        <v>9358</v>
      </c>
      <c r="R3004" s="36"/>
      <c r="S3004" s="36" t="s">
        <v>1961</v>
      </c>
      <c r="T3004" s="28" t="s">
        <v>14709</v>
      </c>
      <c r="U3004" s="38" t="str">
        <f>HYPERLINK("https://www.ncbi.nlm.nih.gov/pubmed/20538293","PubMed")</f>
        <v>PubMed</v>
      </c>
      <c r="V3004" s="30"/>
      <c r="W3004" s="49"/>
      <c r="X3004" s="49"/>
      <c r="Y3004" s="35"/>
      <c r="Z3004" s="35"/>
      <c r="AA3004" s="35"/>
      <c r="AB3004" s="35"/>
      <c r="AC3004" s="35"/>
      <c r="AD3004" s="35"/>
      <c r="AE3004" s="35"/>
      <c r="AF3004" s="35"/>
      <c r="AG3004" s="35"/>
      <c r="AH3004" s="35"/>
      <c r="AI3004" s="35"/>
      <c r="AJ3004" s="35"/>
      <c r="AK3004" s="35"/>
      <c r="AL3004" s="35"/>
    </row>
    <row r="3005">
      <c r="A3005" s="149"/>
      <c r="B3005" s="19" t="s">
        <v>14577</v>
      </c>
      <c r="C3005" s="20" t="s">
        <v>14586</v>
      </c>
      <c r="D3005" s="47"/>
      <c r="E3005" s="22" t="s">
        <v>14710</v>
      </c>
      <c r="F3005" s="22" t="s">
        <v>14711</v>
      </c>
      <c r="G3005" s="23">
        <v>2009.0</v>
      </c>
      <c r="H3005" s="22" t="s">
        <v>292</v>
      </c>
      <c r="I3005" s="24" t="s">
        <v>14712</v>
      </c>
      <c r="J3005" s="22" t="s">
        <v>14713</v>
      </c>
      <c r="K3005" s="22"/>
      <c r="L3005" s="43" t="s">
        <v>14714</v>
      </c>
      <c r="M3005" s="44"/>
      <c r="N3005" s="44"/>
      <c r="O3005" s="44"/>
      <c r="P3005" s="44"/>
      <c r="Q3005" s="44"/>
      <c r="R3005" s="44"/>
      <c r="S3005" s="44"/>
      <c r="T3005" s="45"/>
      <c r="U3005" s="38" t="str">
        <f>HYPERLINK("https://www.jstage.jst.go.jp/article/islsm/18/2/18_2_103/_article/-char/en","J-STAGE")</f>
        <v>J-STAGE</v>
      </c>
      <c r="V3005" s="30"/>
      <c r="W3005" s="49"/>
      <c r="X3005" s="49"/>
      <c r="Y3005" s="35"/>
      <c r="Z3005" s="35"/>
      <c r="AA3005" s="35"/>
      <c r="AB3005" s="35"/>
      <c r="AC3005" s="35"/>
      <c r="AD3005" s="35"/>
      <c r="AE3005" s="35"/>
      <c r="AF3005" s="35"/>
      <c r="AG3005" s="35"/>
      <c r="AH3005" s="35"/>
      <c r="AI3005" s="35"/>
      <c r="AJ3005" s="35"/>
      <c r="AK3005" s="35"/>
      <c r="AL3005" s="35"/>
    </row>
    <row r="3006">
      <c r="A3006" s="149"/>
      <c r="B3006" s="19" t="s">
        <v>14577</v>
      </c>
      <c r="C3006" s="20" t="s">
        <v>14586</v>
      </c>
      <c r="D3006" s="47"/>
      <c r="E3006" s="22" t="s">
        <v>14715</v>
      </c>
      <c r="F3006" s="22" t="s">
        <v>1370</v>
      </c>
      <c r="G3006" s="23">
        <v>2009.0</v>
      </c>
      <c r="H3006" s="22" t="s">
        <v>658</v>
      </c>
      <c r="I3006" s="24" t="s">
        <v>14716</v>
      </c>
      <c r="J3006" s="22" t="s">
        <v>14717</v>
      </c>
      <c r="K3006" s="22"/>
      <c r="L3006" s="36" t="s">
        <v>8245</v>
      </c>
      <c r="M3006" s="36"/>
      <c r="N3006" s="36"/>
      <c r="O3006" s="129"/>
      <c r="P3006" s="37" t="s">
        <v>269</v>
      </c>
      <c r="Q3006" s="36" t="s">
        <v>14718</v>
      </c>
      <c r="R3006" s="36">
        <v>1200.0</v>
      </c>
      <c r="S3006" s="36" t="s">
        <v>4905</v>
      </c>
      <c r="T3006" s="28" t="s">
        <v>14719</v>
      </c>
      <c r="U3006" s="38" t="str">
        <f>HYPERLINK("https://www.ncbi.nlm.nih.gov/pubmed/19878027","PubMed")</f>
        <v>PubMed</v>
      </c>
      <c r="V3006" s="30"/>
      <c r="W3006" s="49"/>
      <c r="X3006" s="49"/>
      <c r="Y3006" s="35"/>
      <c r="Z3006" s="35"/>
      <c r="AA3006" s="35"/>
      <c r="AB3006" s="35"/>
      <c r="AC3006" s="35"/>
      <c r="AD3006" s="35"/>
      <c r="AE3006" s="35"/>
      <c r="AF3006" s="35"/>
      <c r="AG3006" s="35"/>
      <c r="AH3006" s="35"/>
      <c r="AI3006" s="35"/>
      <c r="AJ3006" s="35"/>
      <c r="AK3006" s="35"/>
      <c r="AL3006" s="35"/>
    </row>
    <row r="3007">
      <c r="A3007" s="149"/>
      <c r="B3007" s="19" t="s">
        <v>14577</v>
      </c>
      <c r="C3007" s="20" t="s">
        <v>14586</v>
      </c>
      <c r="D3007" s="47"/>
      <c r="E3007" s="22" t="s">
        <v>14613</v>
      </c>
      <c r="F3007" s="22" t="s">
        <v>13151</v>
      </c>
      <c r="G3007" s="23">
        <v>2009.0</v>
      </c>
      <c r="H3007" s="22" t="s">
        <v>13257</v>
      </c>
      <c r="I3007" s="24" t="s">
        <v>14720</v>
      </c>
      <c r="J3007" s="22" t="s">
        <v>14721</v>
      </c>
      <c r="K3007" s="22"/>
      <c r="L3007" s="36">
        <v>904.0</v>
      </c>
      <c r="M3007" s="36" t="s">
        <v>58</v>
      </c>
      <c r="N3007" s="36" t="s">
        <v>58</v>
      </c>
      <c r="O3007" s="36" t="s">
        <v>58</v>
      </c>
      <c r="P3007" s="37" t="s">
        <v>671</v>
      </c>
      <c r="Q3007" s="36" t="s">
        <v>58</v>
      </c>
      <c r="R3007" s="36">
        <v>1200.0</v>
      </c>
      <c r="S3007" s="36" t="s">
        <v>4905</v>
      </c>
      <c r="T3007" s="28" t="s">
        <v>14722</v>
      </c>
      <c r="U3007" s="38" t="str">
        <f>HYPERLINK("https://www.ncbi.nlm.nih.gov/pubmed/19164399","PubMed")</f>
        <v>PubMed</v>
      </c>
      <c r="V3007" s="30"/>
      <c r="W3007" s="49"/>
      <c r="X3007" s="49"/>
      <c r="Y3007" s="35"/>
      <c r="Z3007" s="35"/>
      <c r="AA3007" s="35"/>
      <c r="AB3007" s="35"/>
      <c r="AC3007" s="35"/>
      <c r="AD3007" s="35"/>
      <c r="AE3007" s="35"/>
      <c r="AF3007" s="35"/>
      <c r="AG3007" s="35"/>
      <c r="AH3007" s="35"/>
      <c r="AI3007" s="35"/>
      <c r="AJ3007" s="35"/>
      <c r="AK3007" s="35"/>
      <c r="AL3007" s="35"/>
    </row>
    <row r="3008">
      <c r="A3008" s="149"/>
      <c r="B3008" s="19" t="s">
        <v>14577</v>
      </c>
      <c r="C3008" s="20" t="s">
        <v>14586</v>
      </c>
      <c r="D3008" s="47"/>
      <c r="E3008" s="22" t="s">
        <v>14723</v>
      </c>
      <c r="F3008" s="22" t="s">
        <v>323</v>
      </c>
      <c r="G3008" s="23">
        <v>2006.0</v>
      </c>
      <c r="H3008" s="22" t="s">
        <v>91</v>
      </c>
      <c r="I3008" s="24" t="s">
        <v>14724</v>
      </c>
      <c r="J3008" s="22" t="s">
        <v>14725</v>
      </c>
      <c r="K3008" s="22"/>
      <c r="L3008" s="36">
        <v>890.0</v>
      </c>
      <c r="M3008" s="36" t="s">
        <v>1990</v>
      </c>
      <c r="N3008" s="36" t="s">
        <v>58</v>
      </c>
      <c r="O3008" s="36" t="s">
        <v>14726</v>
      </c>
      <c r="P3008" s="37" t="s">
        <v>671</v>
      </c>
      <c r="Q3008" s="36" t="s">
        <v>14727</v>
      </c>
      <c r="R3008" s="36" t="s">
        <v>58</v>
      </c>
      <c r="S3008" s="36" t="s">
        <v>14702</v>
      </c>
      <c r="T3008" s="42" t="s">
        <v>14728</v>
      </c>
      <c r="U3008" s="38" t="str">
        <f>HYPERLINK("https://www.ncbi.nlm.nih.gov/pubmed/16673054","PubMed")</f>
        <v>PubMed</v>
      </c>
      <c r="V3008" s="30"/>
      <c r="W3008" s="49"/>
      <c r="X3008" s="49"/>
      <c r="Y3008" s="35"/>
      <c r="Z3008" s="35"/>
      <c r="AA3008" s="35"/>
      <c r="AB3008" s="35"/>
      <c r="AC3008" s="35"/>
      <c r="AD3008" s="35"/>
      <c r="AE3008" s="35"/>
      <c r="AF3008" s="35"/>
      <c r="AG3008" s="35"/>
      <c r="AH3008" s="35"/>
      <c r="AI3008" s="35"/>
      <c r="AJ3008" s="35"/>
      <c r="AK3008" s="35"/>
      <c r="AL3008" s="35"/>
    </row>
    <row r="3009">
      <c r="A3009" s="149"/>
      <c r="B3009" s="19" t="s">
        <v>14577</v>
      </c>
      <c r="C3009" s="20" t="s">
        <v>14586</v>
      </c>
      <c r="D3009" s="47"/>
      <c r="E3009" s="22" t="s">
        <v>14729</v>
      </c>
      <c r="F3009" s="22" t="s">
        <v>9395</v>
      </c>
      <c r="G3009" s="23">
        <v>2003.0</v>
      </c>
      <c r="H3009" s="22" t="s">
        <v>14730</v>
      </c>
      <c r="I3009" s="24" t="s">
        <v>14731</v>
      </c>
      <c r="J3009" s="22" t="s">
        <v>14732</v>
      </c>
      <c r="K3009" s="22"/>
      <c r="L3009" s="36">
        <v>904.0</v>
      </c>
      <c r="M3009" s="36">
        <v>5.0</v>
      </c>
      <c r="N3009" s="36" t="s">
        <v>58</v>
      </c>
      <c r="O3009" s="36" t="s">
        <v>14733</v>
      </c>
      <c r="P3009" s="37" t="s">
        <v>671</v>
      </c>
      <c r="Q3009" s="36" t="s">
        <v>9358</v>
      </c>
      <c r="R3009" s="36">
        <v>1020.0</v>
      </c>
      <c r="S3009" s="36" t="s">
        <v>14702</v>
      </c>
      <c r="T3009" s="28" t="s">
        <v>14734</v>
      </c>
      <c r="U3009" s="38" t="str">
        <f>HYPERLINK("https://www.ncbi.nlm.nih.gov/pubmed/12973834","PubMed")</f>
        <v>PubMed</v>
      </c>
      <c r="V3009" s="30" t="s">
        <v>14704</v>
      </c>
      <c r="W3009" s="49"/>
      <c r="X3009" s="49"/>
      <c r="Y3009" s="35"/>
      <c r="Z3009" s="35"/>
      <c r="AA3009" s="35"/>
      <c r="AB3009" s="35"/>
      <c r="AC3009" s="35"/>
      <c r="AD3009" s="35"/>
      <c r="AE3009" s="35"/>
      <c r="AF3009" s="35"/>
      <c r="AG3009" s="35"/>
      <c r="AH3009" s="35"/>
      <c r="AI3009" s="35"/>
      <c r="AJ3009" s="35"/>
      <c r="AK3009" s="35"/>
      <c r="AL3009" s="35"/>
    </row>
    <row r="3010">
      <c r="A3010" s="149"/>
      <c r="B3010" s="19" t="s">
        <v>14577</v>
      </c>
      <c r="C3010" s="20" t="s">
        <v>14586</v>
      </c>
      <c r="D3010" s="47"/>
      <c r="E3010" s="22" t="s">
        <v>14735</v>
      </c>
      <c r="F3010" s="22" t="s">
        <v>9395</v>
      </c>
      <c r="G3010" s="23">
        <v>1998.0</v>
      </c>
      <c r="H3010" s="22" t="s">
        <v>14694</v>
      </c>
      <c r="I3010" s="24" t="s">
        <v>14736</v>
      </c>
      <c r="J3010" s="22" t="s">
        <v>14737</v>
      </c>
      <c r="K3010" s="22"/>
      <c r="L3010" s="36" t="s">
        <v>58</v>
      </c>
      <c r="M3010" s="36" t="s">
        <v>58</v>
      </c>
      <c r="N3010" s="36" t="s">
        <v>58</v>
      </c>
      <c r="O3010" s="36" t="s">
        <v>58</v>
      </c>
      <c r="P3010" s="37" t="s">
        <v>58</v>
      </c>
      <c r="Q3010" s="36" t="s">
        <v>58</v>
      </c>
      <c r="R3010" s="36" t="s">
        <v>58</v>
      </c>
      <c r="S3010" s="36" t="s">
        <v>14738</v>
      </c>
      <c r="T3010" s="28" t="s">
        <v>14739</v>
      </c>
      <c r="U3010" s="38" t="str">
        <f>HYPERLINK("https://www.ncbi.nlm.nih.gov/pubmed/9664272","PubMed")</f>
        <v>PubMed</v>
      </c>
      <c r="V3010" s="30"/>
      <c r="W3010" s="49"/>
      <c r="X3010" s="49"/>
      <c r="Y3010" s="35"/>
      <c r="Z3010" s="35"/>
      <c r="AA3010" s="35"/>
      <c r="AB3010" s="35"/>
      <c r="AC3010" s="35"/>
      <c r="AD3010" s="35"/>
      <c r="AE3010" s="35"/>
      <c r="AF3010" s="35"/>
      <c r="AG3010" s="35"/>
      <c r="AH3010" s="35"/>
      <c r="AI3010" s="35"/>
      <c r="AJ3010" s="35"/>
      <c r="AK3010" s="35"/>
      <c r="AL3010" s="35"/>
    </row>
    <row r="3011">
      <c r="A3011" s="40"/>
      <c r="B3011" s="19" t="s">
        <v>4071</v>
      </c>
      <c r="C3011" s="20" t="s">
        <v>6281</v>
      </c>
      <c r="D3011" s="47"/>
      <c r="E3011" s="22" t="s">
        <v>14740</v>
      </c>
      <c r="F3011" s="22" t="s">
        <v>7954</v>
      </c>
      <c r="G3011" s="23">
        <v>2024.0</v>
      </c>
      <c r="H3011" s="22" t="s">
        <v>1537</v>
      </c>
      <c r="I3011" s="24" t="s">
        <v>14741</v>
      </c>
      <c r="J3011" s="22" t="s">
        <v>31</v>
      </c>
      <c r="K3011" s="22"/>
      <c r="L3011" s="36">
        <v>810.0</v>
      </c>
      <c r="M3011" s="36"/>
      <c r="N3011" s="37"/>
      <c r="O3011" s="36"/>
      <c r="P3011" s="37"/>
      <c r="Q3011" s="36"/>
      <c r="R3011" s="36"/>
      <c r="S3011" s="36"/>
      <c r="T3011" s="28" t="s">
        <v>14742</v>
      </c>
      <c r="U3011" s="38" t="s">
        <v>61</v>
      </c>
      <c r="V3011" s="30"/>
      <c r="W3011" s="49"/>
      <c r="X3011" s="49"/>
      <c r="Y3011" s="35"/>
      <c r="Z3011" s="35"/>
      <c r="AA3011" s="35"/>
      <c r="AB3011" s="35"/>
      <c r="AC3011" s="35"/>
      <c r="AD3011" s="35"/>
      <c r="AE3011" s="35"/>
      <c r="AF3011" s="35"/>
      <c r="AG3011" s="35"/>
      <c r="AH3011" s="35"/>
      <c r="AI3011" s="35"/>
      <c r="AJ3011" s="35"/>
      <c r="AK3011" s="35"/>
      <c r="AL3011" s="35"/>
    </row>
    <row r="3012">
      <c r="A3012" s="40"/>
      <c r="B3012" s="19" t="s">
        <v>4071</v>
      </c>
      <c r="C3012" s="20" t="s">
        <v>6281</v>
      </c>
      <c r="D3012" s="47"/>
      <c r="E3012" s="22" t="s">
        <v>14743</v>
      </c>
      <c r="F3012" s="22" t="s">
        <v>41</v>
      </c>
      <c r="G3012" s="23">
        <v>2024.0</v>
      </c>
      <c r="H3012" s="22" t="s">
        <v>4975</v>
      </c>
      <c r="I3012" s="24" t="s">
        <v>14744</v>
      </c>
      <c r="J3012" s="22" t="s">
        <v>31</v>
      </c>
      <c r="K3012" s="22"/>
      <c r="L3012" s="36" t="s">
        <v>14745</v>
      </c>
      <c r="M3012" s="36"/>
      <c r="N3012" s="37"/>
      <c r="O3012" s="36"/>
      <c r="P3012" s="37"/>
      <c r="Q3012" s="36"/>
      <c r="R3012" s="36"/>
      <c r="S3012" s="36"/>
      <c r="T3012" s="28" t="s">
        <v>14746</v>
      </c>
      <c r="U3012" s="38" t="s">
        <v>61</v>
      </c>
      <c r="V3012" s="30"/>
      <c r="W3012" s="49"/>
      <c r="X3012" s="49"/>
      <c r="Y3012" s="35"/>
      <c r="Z3012" s="35"/>
      <c r="AA3012" s="35"/>
      <c r="AB3012" s="35"/>
      <c r="AC3012" s="35"/>
      <c r="AD3012" s="35"/>
      <c r="AE3012" s="35"/>
      <c r="AF3012" s="35"/>
      <c r="AG3012" s="35"/>
      <c r="AH3012" s="35"/>
      <c r="AI3012" s="35"/>
      <c r="AJ3012" s="35"/>
      <c r="AK3012" s="35"/>
      <c r="AL3012" s="35"/>
    </row>
    <row r="3013">
      <c r="A3013" s="149"/>
      <c r="B3013" s="19" t="s">
        <v>4071</v>
      </c>
      <c r="C3013" s="20" t="s">
        <v>6281</v>
      </c>
      <c r="D3013" s="47"/>
      <c r="E3013" s="22" t="s">
        <v>14747</v>
      </c>
      <c r="F3013" s="22" t="s">
        <v>323</v>
      </c>
      <c r="G3013" s="23">
        <v>2018.0</v>
      </c>
      <c r="H3013" s="22" t="s">
        <v>147</v>
      </c>
      <c r="I3013" s="24" t="s">
        <v>14748</v>
      </c>
      <c r="J3013" s="22" t="s">
        <v>31</v>
      </c>
      <c r="K3013" s="22" t="s">
        <v>294</v>
      </c>
      <c r="L3013" s="36" t="s">
        <v>14749</v>
      </c>
      <c r="M3013" s="36"/>
      <c r="N3013" s="36"/>
      <c r="O3013" s="36"/>
      <c r="P3013" s="37"/>
      <c r="Q3013" s="36"/>
      <c r="R3013" s="36"/>
      <c r="S3013" s="36"/>
      <c r="T3013" s="42" t="s">
        <v>14750</v>
      </c>
      <c r="U3013" s="38" t="str">
        <f>HYPERLINK("https://www.ncbi.nlm.nih.gov/pubmed/30809334","PubMed")</f>
        <v>PubMed</v>
      </c>
      <c r="V3013" s="30"/>
      <c r="W3013" s="49"/>
      <c r="X3013" s="49"/>
      <c r="Y3013" s="35"/>
      <c r="Z3013" s="35"/>
      <c r="AA3013" s="35"/>
      <c r="AB3013" s="35"/>
      <c r="AC3013" s="35"/>
      <c r="AD3013" s="35"/>
      <c r="AE3013" s="35"/>
      <c r="AF3013" s="35"/>
      <c r="AG3013" s="35"/>
      <c r="AH3013" s="35"/>
      <c r="AI3013" s="35"/>
      <c r="AJ3013" s="35"/>
      <c r="AK3013" s="35"/>
      <c r="AL3013" s="35"/>
    </row>
    <row r="3014">
      <c r="A3014" s="149"/>
      <c r="B3014" s="19" t="s">
        <v>4071</v>
      </c>
      <c r="C3014" s="20" t="s">
        <v>6281</v>
      </c>
      <c r="D3014" s="47"/>
      <c r="E3014" s="22" t="s">
        <v>14751</v>
      </c>
      <c r="F3014" s="22" t="s">
        <v>1603</v>
      </c>
      <c r="G3014" s="23">
        <v>2014.0</v>
      </c>
      <c r="H3014" s="22" t="s">
        <v>14752</v>
      </c>
      <c r="I3014" s="24" t="s">
        <v>14753</v>
      </c>
      <c r="J3014" s="22" t="s">
        <v>14754</v>
      </c>
      <c r="K3014" s="22"/>
      <c r="L3014" s="36">
        <v>632.0</v>
      </c>
      <c r="M3014" s="36"/>
      <c r="N3014" s="36"/>
      <c r="O3014" s="36"/>
      <c r="P3014" s="37"/>
      <c r="Q3014" s="36"/>
      <c r="R3014" s="36"/>
      <c r="S3014" s="36"/>
      <c r="T3014" s="42" t="s">
        <v>14755</v>
      </c>
      <c r="U3014" s="38" t="str">
        <f>HYPERLINK("https://www.ncbi.nlm.nih.gov/pubmed/25029080","PubMed")</f>
        <v>PubMed</v>
      </c>
      <c r="V3014" s="30"/>
      <c r="W3014" s="49"/>
      <c r="X3014" s="49"/>
      <c r="Y3014" s="35"/>
      <c r="Z3014" s="35"/>
      <c r="AA3014" s="35"/>
      <c r="AB3014" s="35"/>
      <c r="AC3014" s="35"/>
      <c r="AD3014" s="35"/>
      <c r="AE3014" s="35"/>
      <c r="AF3014" s="35"/>
      <c r="AG3014" s="35"/>
      <c r="AH3014" s="35"/>
      <c r="AI3014" s="35"/>
      <c r="AJ3014" s="35"/>
      <c r="AK3014" s="35"/>
      <c r="AL3014" s="35"/>
    </row>
    <row r="3015">
      <c r="A3015" s="149"/>
      <c r="B3015" s="19" t="s">
        <v>4071</v>
      </c>
      <c r="C3015" s="20" t="s">
        <v>6281</v>
      </c>
      <c r="D3015" s="47"/>
      <c r="E3015" s="22" t="s">
        <v>14756</v>
      </c>
      <c r="F3015" s="22" t="s">
        <v>510</v>
      </c>
      <c r="G3015" s="23">
        <v>2010.0</v>
      </c>
      <c r="H3015" s="22" t="s">
        <v>658</v>
      </c>
      <c r="I3015" s="24" t="s">
        <v>14757</v>
      </c>
      <c r="J3015" s="22" t="s">
        <v>31</v>
      </c>
      <c r="K3015" s="22" t="s">
        <v>14758</v>
      </c>
      <c r="L3015" s="36">
        <v>904.0</v>
      </c>
      <c r="M3015" s="36"/>
      <c r="N3015" s="36"/>
      <c r="O3015" s="36"/>
      <c r="P3015" s="37" t="s">
        <v>14759</v>
      </c>
      <c r="Q3015" s="36"/>
      <c r="R3015" s="36"/>
      <c r="S3015" s="36"/>
      <c r="T3015" s="42" t="s">
        <v>14760</v>
      </c>
      <c r="U3015" s="38" t="str">
        <f>HYPERLINK("https://www.ncbi.nlm.nih.gov/pubmed/19857051","PubMed")</f>
        <v>PubMed</v>
      </c>
      <c r="V3015" s="30"/>
      <c r="W3015" s="49"/>
      <c r="X3015" s="49"/>
      <c r="Y3015" s="35"/>
      <c r="Z3015" s="35"/>
      <c r="AA3015" s="35"/>
      <c r="AB3015" s="35"/>
      <c r="AC3015" s="35"/>
      <c r="AD3015" s="35"/>
      <c r="AE3015" s="35"/>
      <c r="AF3015" s="35"/>
      <c r="AG3015" s="35"/>
      <c r="AH3015" s="35"/>
      <c r="AI3015" s="35"/>
      <c r="AJ3015" s="35"/>
      <c r="AK3015" s="35"/>
      <c r="AL3015" s="35"/>
    </row>
    <row r="3016">
      <c r="A3016" s="133"/>
      <c r="B3016" s="19" t="s">
        <v>4071</v>
      </c>
      <c r="C3016" s="20" t="s">
        <v>6281</v>
      </c>
      <c r="D3016" s="47"/>
      <c r="E3016" s="22" t="s">
        <v>14761</v>
      </c>
      <c r="F3016" s="22" t="s">
        <v>6630</v>
      </c>
      <c r="G3016" s="23">
        <v>2010.0</v>
      </c>
      <c r="H3016" s="22" t="s">
        <v>207</v>
      </c>
      <c r="I3016" s="24" t="s">
        <v>14762</v>
      </c>
      <c r="J3016" s="22" t="s">
        <v>31</v>
      </c>
      <c r="K3016" s="22"/>
      <c r="L3016" s="37" t="s">
        <v>14763</v>
      </c>
      <c r="M3016" s="37"/>
      <c r="N3016" s="37"/>
      <c r="O3016" s="37"/>
      <c r="P3016" s="37"/>
      <c r="Q3016" s="299"/>
      <c r="R3016" s="37"/>
      <c r="S3016" s="37"/>
      <c r="T3016" s="42" t="s">
        <v>14764</v>
      </c>
      <c r="U3016" s="38" t="str">
        <f>HYPERLINK("https://www.ncbi.nlm.nih.gov/pubmed/20149676","PubMed")</f>
        <v>PubMed</v>
      </c>
      <c r="V3016" s="30"/>
      <c r="W3016" s="130" t="str">
        <f>HYPERLINK("https://www.ncbi.nlm.nih.gov/pubmed/20206888","Comment")</f>
        <v>Comment</v>
      </c>
      <c r="X3016" s="49"/>
      <c r="Y3016" s="35"/>
      <c r="Z3016" s="35"/>
      <c r="AA3016" s="35"/>
      <c r="AB3016" s="35"/>
      <c r="AC3016" s="35"/>
      <c r="AD3016" s="35"/>
      <c r="AE3016" s="35"/>
      <c r="AF3016" s="35"/>
      <c r="AG3016" s="35"/>
      <c r="AH3016" s="35"/>
      <c r="AI3016" s="35"/>
      <c r="AJ3016" s="35"/>
      <c r="AK3016" s="35"/>
      <c r="AL3016" s="35"/>
    </row>
    <row r="3017">
      <c r="A3017" s="1"/>
      <c r="B3017" s="19" t="s">
        <v>4071</v>
      </c>
      <c r="C3017" s="20" t="s">
        <v>6281</v>
      </c>
      <c r="D3017" s="47"/>
      <c r="E3017" s="22" t="s">
        <v>14765</v>
      </c>
      <c r="F3017" s="22" t="s">
        <v>400</v>
      </c>
      <c r="G3017" s="23">
        <v>2007.0</v>
      </c>
      <c r="H3017" s="22" t="s">
        <v>207</v>
      </c>
      <c r="I3017" s="24" t="s">
        <v>14766</v>
      </c>
      <c r="J3017" s="22" t="s">
        <v>31</v>
      </c>
      <c r="K3017" s="22" t="s">
        <v>14767</v>
      </c>
      <c r="L3017" s="36"/>
      <c r="M3017" s="36"/>
      <c r="N3017" s="36"/>
      <c r="O3017" s="36"/>
      <c r="P3017" s="37"/>
      <c r="Q3017" s="36"/>
      <c r="R3017" s="36"/>
      <c r="S3017" s="36"/>
      <c r="T3017" s="42" t="s">
        <v>14768</v>
      </c>
      <c r="U3017" s="38" t="str">
        <f>HYPERLINK("https://www.ncbi.nlm.nih.gov/pubmed/17804250","PubMed")</f>
        <v>PubMed</v>
      </c>
      <c r="V3017" s="50"/>
      <c r="W3017" s="49"/>
      <c r="X3017" s="49"/>
      <c r="Y3017" s="35"/>
      <c r="Z3017" s="35"/>
      <c r="AA3017" s="35"/>
      <c r="AB3017" s="35"/>
      <c r="AC3017" s="35"/>
      <c r="AD3017" s="35"/>
      <c r="AE3017" s="35"/>
      <c r="AF3017" s="35"/>
      <c r="AG3017" s="35"/>
      <c r="AH3017" s="35"/>
      <c r="AI3017" s="35"/>
      <c r="AJ3017" s="35"/>
      <c r="AK3017" s="35"/>
      <c r="AL3017" s="35"/>
    </row>
    <row r="3018">
      <c r="A3018" s="1"/>
      <c r="B3018" s="19" t="s">
        <v>4071</v>
      </c>
      <c r="C3018" s="20" t="s">
        <v>6281</v>
      </c>
      <c r="D3018" s="47"/>
      <c r="E3018" s="22" t="s">
        <v>14769</v>
      </c>
      <c r="F3018" s="22" t="s">
        <v>14486</v>
      </c>
      <c r="G3018" s="23">
        <v>1993.0</v>
      </c>
      <c r="H3018" s="22" t="s">
        <v>207</v>
      </c>
      <c r="I3018" s="24" t="s">
        <v>14770</v>
      </c>
      <c r="J3018" s="22" t="s">
        <v>31</v>
      </c>
      <c r="K3018" s="22"/>
      <c r="L3018" s="36" t="s">
        <v>14771</v>
      </c>
      <c r="M3018" s="36"/>
      <c r="N3018" s="36"/>
      <c r="O3018" s="36"/>
      <c r="P3018" s="37"/>
      <c r="Q3018" s="36"/>
      <c r="R3018" s="36"/>
      <c r="S3018" s="36"/>
      <c r="T3018" s="42" t="s">
        <v>14772</v>
      </c>
      <c r="U3018" s="38" t="str">
        <f>HYPERLINK("https://www.ncbi.nlm.nih.gov/pubmed/8271111","PubMed")</f>
        <v>PubMed</v>
      </c>
      <c r="V3018" s="50"/>
      <c r="W3018" s="49"/>
      <c r="X3018" s="49"/>
      <c r="Y3018" s="35"/>
      <c r="Z3018" s="35"/>
      <c r="AA3018" s="35"/>
      <c r="AB3018" s="35"/>
      <c r="AC3018" s="35"/>
      <c r="AD3018" s="35"/>
      <c r="AE3018" s="35"/>
      <c r="AF3018" s="35"/>
      <c r="AG3018" s="35"/>
      <c r="AH3018" s="35"/>
      <c r="AI3018" s="35"/>
      <c r="AJ3018" s="35"/>
      <c r="AK3018" s="35"/>
      <c r="AL3018" s="35"/>
    </row>
    <row r="3019">
      <c r="A3019" s="1"/>
      <c r="B3019" s="19" t="s">
        <v>4071</v>
      </c>
      <c r="C3019" s="20" t="s">
        <v>6367</v>
      </c>
      <c r="D3019" s="47"/>
      <c r="E3019" s="22" t="s">
        <v>14773</v>
      </c>
      <c r="F3019" s="22" t="s">
        <v>14774</v>
      </c>
      <c r="G3019" s="23">
        <v>2021.0</v>
      </c>
      <c r="H3019" s="22" t="s">
        <v>77</v>
      </c>
      <c r="I3019" s="24" t="s">
        <v>14775</v>
      </c>
      <c r="J3019" s="22" t="s">
        <v>202</v>
      </c>
      <c r="K3019" s="22"/>
      <c r="L3019" s="300"/>
      <c r="M3019" s="44"/>
      <c r="N3019" s="44"/>
      <c r="O3019" s="44"/>
      <c r="P3019" s="44"/>
      <c r="Q3019" s="44"/>
      <c r="R3019" s="44"/>
      <c r="S3019" s="44"/>
      <c r="T3019" s="45"/>
      <c r="U3019" s="29" t="s">
        <v>61</v>
      </c>
      <c r="V3019" s="30"/>
      <c r="W3019" s="49"/>
      <c r="X3019" s="49"/>
      <c r="Y3019" s="35"/>
      <c r="Z3019" s="35"/>
      <c r="AA3019" s="35"/>
      <c r="AB3019" s="35"/>
      <c r="AC3019" s="35"/>
      <c r="AD3019" s="35"/>
      <c r="AE3019" s="35"/>
      <c r="AF3019" s="35"/>
      <c r="AG3019" s="35"/>
      <c r="AH3019" s="35"/>
      <c r="AI3019" s="35"/>
      <c r="AJ3019" s="35"/>
      <c r="AK3019" s="35"/>
      <c r="AL3019" s="35"/>
    </row>
    <row r="3020">
      <c r="A3020" s="1"/>
      <c r="B3020" s="19" t="s">
        <v>4071</v>
      </c>
      <c r="C3020" s="20" t="s">
        <v>6367</v>
      </c>
      <c r="D3020" s="47"/>
      <c r="E3020" s="22" t="s">
        <v>14776</v>
      </c>
      <c r="F3020" s="22" t="s">
        <v>1386</v>
      </c>
      <c r="G3020" s="23">
        <v>2021.0</v>
      </c>
      <c r="H3020" s="22" t="s">
        <v>77</v>
      </c>
      <c r="I3020" s="24" t="s">
        <v>14777</v>
      </c>
      <c r="J3020" s="22" t="s">
        <v>202</v>
      </c>
      <c r="K3020" s="22"/>
      <c r="L3020" s="300"/>
      <c r="M3020" s="44"/>
      <c r="N3020" s="44"/>
      <c r="O3020" s="44"/>
      <c r="P3020" s="44"/>
      <c r="Q3020" s="44"/>
      <c r="R3020" s="44"/>
      <c r="S3020" s="44"/>
      <c r="T3020" s="45"/>
      <c r="U3020" s="29" t="s">
        <v>61</v>
      </c>
      <c r="V3020" s="30"/>
      <c r="W3020" s="49"/>
      <c r="X3020" s="49"/>
      <c r="Y3020" s="35"/>
      <c r="Z3020" s="35"/>
      <c r="AA3020" s="35"/>
      <c r="AB3020" s="35"/>
      <c r="AC3020" s="35"/>
      <c r="AD3020" s="35"/>
      <c r="AE3020" s="35"/>
      <c r="AF3020" s="35"/>
      <c r="AG3020" s="35"/>
      <c r="AH3020" s="35"/>
      <c r="AI3020" s="35"/>
      <c r="AJ3020" s="35"/>
      <c r="AK3020" s="35"/>
      <c r="AL3020" s="35"/>
    </row>
    <row r="3021">
      <c r="A3021" s="1"/>
      <c r="B3021" s="19" t="s">
        <v>4071</v>
      </c>
      <c r="C3021" s="20" t="s">
        <v>6367</v>
      </c>
      <c r="D3021" s="47"/>
      <c r="E3021" s="22" t="s">
        <v>14778</v>
      </c>
      <c r="F3021" s="22" t="s">
        <v>14779</v>
      </c>
      <c r="G3021" s="23">
        <v>2020.0</v>
      </c>
      <c r="H3021" s="22" t="s">
        <v>77</v>
      </c>
      <c r="I3021" s="24" t="s">
        <v>14780</v>
      </c>
      <c r="J3021" s="22" t="s">
        <v>3289</v>
      </c>
      <c r="K3021" s="22"/>
      <c r="L3021" s="300" t="s">
        <v>14781</v>
      </c>
      <c r="M3021" s="44"/>
      <c r="N3021" s="44"/>
      <c r="O3021" s="44"/>
      <c r="P3021" s="44"/>
      <c r="Q3021" s="44"/>
      <c r="R3021" s="44"/>
      <c r="S3021" s="44"/>
      <c r="T3021" s="45"/>
      <c r="U3021" s="29" t="s">
        <v>61</v>
      </c>
      <c r="V3021" s="30"/>
      <c r="W3021" s="49"/>
      <c r="X3021" s="49"/>
      <c r="Y3021" s="35"/>
      <c r="Z3021" s="35"/>
      <c r="AA3021" s="35"/>
      <c r="AB3021" s="35"/>
      <c r="AC3021" s="35"/>
      <c r="AD3021" s="35"/>
      <c r="AE3021" s="35"/>
      <c r="AF3021" s="35"/>
      <c r="AG3021" s="35"/>
      <c r="AH3021" s="35"/>
      <c r="AI3021" s="35"/>
      <c r="AJ3021" s="35"/>
      <c r="AK3021" s="35"/>
      <c r="AL3021" s="35"/>
    </row>
    <row r="3022">
      <c r="A3022" s="1" t="s">
        <v>2</v>
      </c>
      <c r="B3022" s="19" t="s">
        <v>4071</v>
      </c>
      <c r="C3022" s="20" t="s">
        <v>6367</v>
      </c>
      <c r="D3022" s="47"/>
      <c r="E3022" s="22" t="s">
        <v>2955</v>
      </c>
      <c r="F3022" s="22" t="s">
        <v>1173</v>
      </c>
      <c r="G3022" s="23">
        <v>2018.0</v>
      </c>
      <c r="H3022" s="22" t="s">
        <v>658</v>
      </c>
      <c r="I3022" s="24" t="s">
        <v>14782</v>
      </c>
      <c r="J3022" s="22" t="s">
        <v>3289</v>
      </c>
      <c r="K3022" s="22"/>
      <c r="L3022" s="300" t="s">
        <v>14783</v>
      </c>
      <c r="M3022" s="44"/>
      <c r="N3022" s="44"/>
      <c r="O3022" s="44"/>
      <c r="P3022" s="44"/>
      <c r="Q3022" s="44"/>
      <c r="R3022" s="44"/>
      <c r="S3022" s="44"/>
      <c r="T3022" s="45"/>
      <c r="U3022" s="38" t="str">
        <f>HYPERLINK("https://www.ncbi.nlm.nih.gov/pubmed/30089080","PubMed")</f>
        <v>PubMed</v>
      </c>
      <c r="V3022" s="30"/>
      <c r="W3022" s="49"/>
      <c r="X3022" s="49"/>
      <c r="Y3022" s="35"/>
      <c r="Z3022" s="35"/>
      <c r="AA3022" s="35"/>
      <c r="AB3022" s="35"/>
      <c r="AC3022" s="35"/>
      <c r="AD3022" s="35"/>
      <c r="AE3022" s="35"/>
      <c r="AF3022" s="35"/>
      <c r="AG3022" s="35"/>
      <c r="AH3022" s="35"/>
      <c r="AI3022" s="35"/>
      <c r="AJ3022" s="35"/>
      <c r="AK3022" s="35"/>
      <c r="AL3022" s="35"/>
    </row>
    <row r="3023">
      <c r="A3023" s="1"/>
      <c r="B3023" s="19" t="s">
        <v>4071</v>
      </c>
      <c r="C3023" s="20" t="s">
        <v>6367</v>
      </c>
      <c r="D3023" s="47"/>
      <c r="E3023" s="22" t="s">
        <v>14784</v>
      </c>
      <c r="F3023" s="22" t="s">
        <v>9858</v>
      </c>
      <c r="G3023" s="23">
        <v>2018.0</v>
      </c>
      <c r="H3023" s="22" t="s">
        <v>658</v>
      </c>
      <c r="I3023" s="24" t="s">
        <v>14785</v>
      </c>
      <c r="J3023" s="22" t="s">
        <v>202</v>
      </c>
      <c r="K3023" s="22" t="s">
        <v>14786</v>
      </c>
      <c r="L3023" s="301"/>
      <c r="U3023" s="38" t="str">
        <f>HYPERLINK("https://www.ncbi.nlm.nih.gov/pubmed/29649380","PubMed")</f>
        <v>PubMed</v>
      </c>
      <c r="V3023" s="30"/>
      <c r="W3023" s="49"/>
      <c r="X3023" s="49"/>
      <c r="Y3023" s="35"/>
      <c r="Z3023" s="35"/>
      <c r="AA3023" s="35"/>
      <c r="AB3023" s="35"/>
      <c r="AC3023" s="35"/>
      <c r="AD3023" s="35"/>
      <c r="AE3023" s="35"/>
      <c r="AF3023" s="35"/>
      <c r="AG3023" s="35"/>
      <c r="AH3023" s="35"/>
      <c r="AI3023" s="35"/>
      <c r="AJ3023" s="35"/>
      <c r="AK3023" s="35"/>
      <c r="AL3023" s="35"/>
    </row>
    <row r="3024">
      <c r="A3024" s="1"/>
      <c r="B3024" s="19" t="s">
        <v>4071</v>
      </c>
      <c r="C3024" s="20" t="s">
        <v>6367</v>
      </c>
      <c r="D3024" s="47"/>
      <c r="E3024" s="22" t="s">
        <v>14776</v>
      </c>
      <c r="F3024" s="22" t="s">
        <v>1386</v>
      </c>
      <c r="G3024" s="23">
        <v>2015.0</v>
      </c>
      <c r="H3024" s="22" t="s">
        <v>658</v>
      </c>
      <c r="I3024" s="24" t="s">
        <v>14787</v>
      </c>
      <c r="J3024" s="22" t="s">
        <v>3289</v>
      </c>
      <c r="K3024" s="22"/>
      <c r="L3024" s="300" t="s">
        <v>14788</v>
      </c>
      <c r="M3024" s="44"/>
      <c r="N3024" s="44"/>
      <c r="O3024" s="44"/>
      <c r="P3024" s="44"/>
      <c r="Q3024" s="44"/>
      <c r="R3024" s="44"/>
      <c r="S3024" s="44"/>
      <c r="T3024" s="45"/>
      <c r="U3024" s="38" t="str">
        <f>HYPERLINK("https://www.ncbi.nlm.nih.gov/pubmed/26154721","PubMed")</f>
        <v>PubMed</v>
      </c>
      <c r="V3024" s="30"/>
      <c r="W3024" s="49"/>
      <c r="X3024" s="49"/>
      <c r="Y3024" s="35"/>
      <c r="Z3024" s="35"/>
      <c r="AA3024" s="35"/>
      <c r="AB3024" s="35"/>
      <c r="AC3024" s="35"/>
      <c r="AD3024" s="35"/>
      <c r="AE3024" s="35"/>
      <c r="AF3024" s="35"/>
      <c r="AG3024" s="35"/>
      <c r="AH3024" s="35"/>
      <c r="AI3024" s="35"/>
      <c r="AJ3024" s="35"/>
      <c r="AK3024" s="35"/>
      <c r="AL3024" s="35"/>
    </row>
    <row r="3025">
      <c r="A3025" s="180"/>
      <c r="B3025" s="19" t="s">
        <v>4071</v>
      </c>
      <c r="C3025" s="20" t="s">
        <v>6367</v>
      </c>
      <c r="D3025" s="47"/>
      <c r="E3025" s="22" t="s">
        <v>14789</v>
      </c>
      <c r="F3025" s="22" t="s">
        <v>12109</v>
      </c>
      <c r="G3025" s="23">
        <v>2011.0</v>
      </c>
      <c r="H3025" s="22" t="s">
        <v>658</v>
      </c>
      <c r="I3025" s="24" t="s">
        <v>14790</v>
      </c>
      <c r="J3025" s="22" t="s">
        <v>202</v>
      </c>
      <c r="K3025" s="22" t="s">
        <v>14464</v>
      </c>
      <c r="L3025" s="171" t="s">
        <v>14791</v>
      </c>
      <c r="M3025" s="44"/>
      <c r="N3025" s="44"/>
      <c r="O3025" s="44"/>
      <c r="P3025" s="44"/>
      <c r="Q3025" s="44"/>
      <c r="R3025" s="44"/>
      <c r="S3025" s="44"/>
      <c r="T3025" s="45"/>
      <c r="U3025" s="38" t="str">
        <f>HYPERLINK("https://www.ncbi.nlm.nih.gov/pubmed/21749264","PubMed")</f>
        <v>PubMed</v>
      </c>
      <c r="V3025" s="30"/>
      <c r="W3025" s="49"/>
      <c r="X3025" s="49"/>
      <c r="Y3025" s="35"/>
      <c r="Z3025" s="35"/>
      <c r="AA3025" s="35"/>
      <c r="AB3025" s="35"/>
      <c r="AC3025" s="35"/>
      <c r="AD3025" s="35"/>
      <c r="AE3025" s="35"/>
      <c r="AF3025" s="35"/>
      <c r="AG3025" s="35"/>
      <c r="AH3025" s="35"/>
      <c r="AI3025" s="35"/>
      <c r="AJ3025" s="35"/>
      <c r="AK3025" s="35"/>
      <c r="AL3025" s="35"/>
    </row>
    <row r="3026">
      <c r="A3026" s="180"/>
      <c r="B3026" s="19" t="s">
        <v>4071</v>
      </c>
      <c r="C3026" s="20" t="s">
        <v>6367</v>
      </c>
      <c r="D3026" s="47"/>
      <c r="E3026" s="22" t="s">
        <v>14792</v>
      </c>
      <c r="F3026" s="22" t="s">
        <v>5110</v>
      </c>
      <c r="G3026" s="23">
        <v>2010.0</v>
      </c>
      <c r="H3026" s="22" t="s">
        <v>658</v>
      </c>
      <c r="I3026" s="24" t="s">
        <v>14793</v>
      </c>
      <c r="J3026" s="22" t="s">
        <v>3289</v>
      </c>
      <c r="K3026" s="22"/>
      <c r="L3026" s="171" t="s">
        <v>14794</v>
      </c>
      <c r="M3026" s="44"/>
      <c r="N3026" s="44"/>
      <c r="O3026" s="44"/>
      <c r="P3026" s="44"/>
      <c r="Q3026" s="44"/>
      <c r="R3026" s="44"/>
      <c r="S3026" s="44"/>
      <c r="T3026" s="45"/>
      <c r="U3026" s="38" t="str">
        <f>HYPERLINK("https://www.ncbi.nlm.nih.gov/pubmed/20374017","PubMed")</f>
        <v>PubMed</v>
      </c>
      <c r="V3026" s="30"/>
      <c r="W3026" s="49"/>
      <c r="X3026" s="49"/>
      <c r="Y3026" s="35"/>
      <c r="Z3026" s="35"/>
      <c r="AA3026" s="35"/>
      <c r="AB3026" s="35"/>
      <c r="AC3026" s="35"/>
      <c r="AD3026" s="35"/>
      <c r="AE3026" s="35"/>
      <c r="AF3026" s="35"/>
      <c r="AG3026" s="35"/>
      <c r="AH3026" s="35"/>
      <c r="AI3026" s="35"/>
      <c r="AJ3026" s="35"/>
      <c r="AK3026" s="35"/>
      <c r="AL3026" s="35"/>
    </row>
    <row r="3027">
      <c r="A3027" s="180"/>
      <c r="B3027" s="19" t="s">
        <v>4071</v>
      </c>
      <c r="C3027" s="20" t="s">
        <v>6367</v>
      </c>
      <c r="D3027" s="47"/>
      <c r="E3027" s="22" t="s">
        <v>14375</v>
      </c>
      <c r="F3027" s="22" t="s">
        <v>1173</v>
      </c>
      <c r="G3027" s="23">
        <v>2006.0</v>
      </c>
      <c r="H3027" s="22" t="s">
        <v>658</v>
      </c>
      <c r="I3027" s="24" t="s">
        <v>14795</v>
      </c>
      <c r="J3027" s="22" t="s">
        <v>202</v>
      </c>
      <c r="K3027" s="22" t="s">
        <v>14464</v>
      </c>
      <c r="L3027" s="171" t="s">
        <v>14796</v>
      </c>
      <c r="M3027" s="44"/>
      <c r="N3027" s="44"/>
      <c r="O3027" s="44"/>
      <c r="P3027" s="44"/>
      <c r="Q3027" s="44"/>
      <c r="R3027" s="44"/>
      <c r="S3027" s="44"/>
      <c r="T3027" s="45"/>
      <c r="U3027" s="38" t="str">
        <f>HYPERLINK("https://www.ncbi.nlm.nih.gov/pubmed/16942424","PubMed")</f>
        <v>PubMed</v>
      </c>
      <c r="V3027" s="30"/>
      <c r="W3027" s="49"/>
      <c r="X3027" s="49"/>
      <c r="Y3027" s="35"/>
      <c r="Z3027" s="35"/>
      <c r="AA3027" s="35"/>
      <c r="AB3027" s="35"/>
      <c r="AC3027" s="35"/>
      <c r="AD3027" s="35"/>
      <c r="AE3027" s="35"/>
      <c r="AF3027" s="35"/>
      <c r="AG3027" s="35"/>
      <c r="AH3027" s="35"/>
      <c r="AI3027" s="35"/>
      <c r="AJ3027" s="35"/>
      <c r="AK3027" s="35"/>
      <c r="AL3027" s="35"/>
    </row>
    <row r="3028">
      <c r="A3028" s="180"/>
      <c r="B3028" s="19" t="s">
        <v>4071</v>
      </c>
      <c r="C3028" s="20" t="s">
        <v>6367</v>
      </c>
      <c r="D3028" s="47"/>
      <c r="E3028" s="22" t="s">
        <v>14797</v>
      </c>
      <c r="F3028" s="22" t="s">
        <v>14798</v>
      </c>
      <c r="G3028" s="23">
        <v>1991.0</v>
      </c>
      <c r="H3028" s="22" t="s">
        <v>1289</v>
      </c>
      <c r="I3028" s="24" t="s">
        <v>14799</v>
      </c>
      <c r="J3028" s="22" t="s">
        <v>14800</v>
      </c>
      <c r="K3028" s="22"/>
      <c r="L3028" s="171"/>
      <c r="M3028" s="44"/>
      <c r="N3028" s="44"/>
      <c r="O3028" s="44"/>
      <c r="P3028" s="44"/>
      <c r="Q3028" s="44"/>
      <c r="R3028" s="44"/>
      <c r="S3028" s="44"/>
      <c r="T3028" s="45"/>
      <c r="U3028" s="38" t="str">
        <f>HYPERLINK("http://online.liebertpub.com/doi/abs/10.1089/clm.1991.9.277?journalCode=pho.1","Mary-Ann Liebert")</f>
        <v>Mary-Ann Liebert</v>
      </c>
      <c r="V3028" s="30"/>
      <c r="W3028" s="49"/>
      <c r="X3028" s="49"/>
      <c r="Y3028" s="35"/>
      <c r="Z3028" s="35"/>
      <c r="AA3028" s="35"/>
      <c r="AB3028" s="35"/>
      <c r="AC3028" s="35"/>
      <c r="AD3028" s="35"/>
      <c r="AE3028" s="35"/>
      <c r="AF3028" s="35"/>
      <c r="AG3028" s="35"/>
      <c r="AH3028" s="35"/>
      <c r="AI3028" s="35"/>
      <c r="AJ3028" s="35"/>
      <c r="AK3028" s="35"/>
      <c r="AL3028" s="35"/>
    </row>
    <row r="3029">
      <c r="A3029" s="40"/>
      <c r="B3029" s="19" t="s">
        <v>4071</v>
      </c>
      <c r="C3029" s="20" t="s">
        <v>14801</v>
      </c>
      <c r="D3029" s="47"/>
      <c r="E3029" s="22" t="s">
        <v>14802</v>
      </c>
      <c r="F3029" s="22" t="s">
        <v>14803</v>
      </c>
      <c r="G3029" s="23">
        <v>2024.0</v>
      </c>
      <c r="H3029" s="22" t="s">
        <v>4283</v>
      </c>
      <c r="I3029" s="24" t="s">
        <v>14804</v>
      </c>
      <c r="J3029" s="22" t="s">
        <v>31</v>
      </c>
      <c r="K3029" s="22" t="s">
        <v>14805</v>
      </c>
      <c r="L3029" s="36" t="s">
        <v>14806</v>
      </c>
      <c r="M3029" s="36"/>
      <c r="N3029" s="37"/>
      <c r="O3029" s="36"/>
      <c r="P3029" s="37"/>
      <c r="Q3029" s="36"/>
      <c r="R3029" s="36"/>
      <c r="S3029" s="36"/>
      <c r="T3029" s="28" t="s">
        <v>14807</v>
      </c>
      <c r="U3029" s="38" t="s">
        <v>61</v>
      </c>
      <c r="V3029" s="30"/>
      <c r="W3029" s="49"/>
      <c r="X3029" s="49"/>
      <c r="Y3029" s="35"/>
      <c r="Z3029" s="35"/>
      <c r="AA3029" s="35"/>
      <c r="AB3029" s="35"/>
      <c r="AC3029" s="35"/>
      <c r="AD3029" s="35"/>
      <c r="AE3029" s="35"/>
      <c r="AF3029" s="35"/>
      <c r="AG3029" s="35"/>
      <c r="AH3029" s="35"/>
      <c r="AI3029" s="35"/>
      <c r="AJ3029" s="35"/>
      <c r="AK3029" s="35"/>
      <c r="AL3029" s="35"/>
    </row>
    <row r="3030">
      <c r="A3030" s="40"/>
      <c r="B3030" s="19" t="s">
        <v>4071</v>
      </c>
      <c r="C3030" s="20" t="s">
        <v>14801</v>
      </c>
      <c r="D3030" s="47"/>
      <c r="E3030" s="22" t="s">
        <v>14808</v>
      </c>
      <c r="F3030" s="22" t="s">
        <v>2285</v>
      </c>
      <c r="G3030" s="23">
        <v>2023.0</v>
      </c>
      <c r="H3030" s="22" t="s">
        <v>2392</v>
      </c>
      <c r="I3030" s="24" t="s">
        <v>14809</v>
      </c>
      <c r="J3030" s="22" t="s">
        <v>31</v>
      </c>
      <c r="K3030" s="22"/>
      <c r="L3030" s="36">
        <v>810.0</v>
      </c>
      <c r="M3030" s="36"/>
      <c r="N3030" s="37" t="s">
        <v>5658</v>
      </c>
      <c r="O3030" s="36"/>
      <c r="P3030" s="37" t="s">
        <v>8585</v>
      </c>
      <c r="Q3030" s="36"/>
      <c r="R3030" s="36"/>
      <c r="S3030" s="36"/>
      <c r="T3030" s="28" t="s">
        <v>14810</v>
      </c>
      <c r="U3030" s="38" t="s">
        <v>61</v>
      </c>
      <c r="V3030" s="30"/>
      <c r="W3030" s="49"/>
      <c r="X3030" s="49"/>
      <c r="Y3030" s="35"/>
      <c r="Z3030" s="35"/>
      <c r="AA3030" s="35"/>
      <c r="AB3030" s="35"/>
      <c r="AC3030" s="35"/>
      <c r="AD3030" s="35"/>
      <c r="AE3030" s="35"/>
      <c r="AF3030" s="35"/>
      <c r="AG3030" s="35"/>
      <c r="AH3030" s="35"/>
      <c r="AI3030" s="35"/>
      <c r="AJ3030" s="35"/>
      <c r="AK3030" s="35"/>
      <c r="AL3030" s="35"/>
    </row>
    <row r="3031">
      <c r="A3031" s="40"/>
      <c r="B3031" s="19" t="s">
        <v>4071</v>
      </c>
      <c r="C3031" s="20" t="s">
        <v>14801</v>
      </c>
      <c r="D3031" s="47"/>
      <c r="E3031" s="22" t="s">
        <v>14811</v>
      </c>
      <c r="F3031" s="22" t="s">
        <v>14812</v>
      </c>
      <c r="G3031" s="23">
        <v>2023.0</v>
      </c>
      <c r="H3031" s="22" t="s">
        <v>348</v>
      </c>
      <c r="I3031" s="24" t="s">
        <v>14813</v>
      </c>
      <c r="J3031" s="22" t="s">
        <v>31</v>
      </c>
      <c r="K3031" s="22"/>
      <c r="L3031" s="36">
        <v>810.0</v>
      </c>
      <c r="M3031" s="36"/>
      <c r="N3031" s="37" t="s">
        <v>14814</v>
      </c>
      <c r="O3031" s="36"/>
      <c r="P3031" s="37"/>
      <c r="Q3031" s="36" t="s">
        <v>675</v>
      </c>
      <c r="R3031" s="36" t="s">
        <v>6214</v>
      </c>
      <c r="S3031" s="36"/>
      <c r="T3031" s="28" t="s">
        <v>14815</v>
      </c>
      <c r="U3031" s="38" t="s">
        <v>61</v>
      </c>
      <c r="V3031" s="30"/>
      <c r="W3031" s="49"/>
      <c r="X3031" s="49"/>
      <c r="Y3031" s="35"/>
      <c r="Z3031" s="35"/>
      <c r="AA3031" s="35"/>
      <c r="AB3031" s="35"/>
      <c r="AC3031" s="35"/>
      <c r="AD3031" s="35"/>
      <c r="AE3031" s="35"/>
      <c r="AF3031" s="35"/>
      <c r="AG3031" s="35"/>
      <c r="AH3031" s="35"/>
      <c r="AI3031" s="35"/>
      <c r="AJ3031" s="35"/>
      <c r="AK3031" s="35"/>
      <c r="AL3031" s="35"/>
    </row>
    <row r="3032">
      <c r="A3032" s="40" t="s">
        <v>2</v>
      </c>
      <c r="B3032" s="19" t="s">
        <v>4071</v>
      </c>
      <c r="C3032" s="20" t="s">
        <v>14801</v>
      </c>
      <c r="D3032" s="47"/>
      <c r="E3032" s="22" t="s">
        <v>14816</v>
      </c>
      <c r="F3032" s="22" t="s">
        <v>2208</v>
      </c>
      <c r="G3032" s="23">
        <v>2023.0</v>
      </c>
      <c r="H3032" s="22" t="s">
        <v>4633</v>
      </c>
      <c r="I3032" s="24" t="s">
        <v>14817</v>
      </c>
      <c r="J3032" s="22" t="s">
        <v>31</v>
      </c>
      <c r="K3032" s="22"/>
      <c r="L3032" s="36">
        <v>808.0</v>
      </c>
      <c r="M3032" s="36"/>
      <c r="N3032" s="37"/>
      <c r="O3032" s="36"/>
      <c r="P3032" s="37"/>
      <c r="Q3032" s="36"/>
      <c r="R3032" s="36"/>
      <c r="S3032" s="36"/>
      <c r="T3032" s="28" t="s">
        <v>14818</v>
      </c>
      <c r="U3032" s="38" t="s">
        <v>61</v>
      </c>
      <c r="V3032" s="30"/>
      <c r="W3032" s="49"/>
      <c r="X3032" s="49"/>
      <c r="Y3032" s="35"/>
      <c r="Z3032" s="35"/>
      <c r="AA3032" s="35"/>
      <c r="AB3032" s="35"/>
      <c r="AC3032" s="35"/>
      <c r="AD3032" s="35"/>
      <c r="AE3032" s="35"/>
      <c r="AF3032" s="35"/>
      <c r="AG3032" s="35"/>
      <c r="AH3032" s="35"/>
      <c r="AI3032" s="35"/>
      <c r="AJ3032" s="35"/>
      <c r="AK3032" s="35"/>
      <c r="AL3032" s="35"/>
    </row>
    <row r="3033">
      <c r="A3033" s="40"/>
      <c r="B3033" s="19" t="s">
        <v>4071</v>
      </c>
      <c r="C3033" s="20" t="s">
        <v>14801</v>
      </c>
      <c r="D3033" s="47"/>
      <c r="E3033" s="22" t="s">
        <v>12202</v>
      </c>
      <c r="F3033" s="22" t="s">
        <v>2175</v>
      </c>
      <c r="G3033" s="23">
        <v>2022.0</v>
      </c>
      <c r="H3033" s="22" t="s">
        <v>4975</v>
      </c>
      <c r="I3033" s="24" t="s">
        <v>14819</v>
      </c>
      <c r="J3033" s="22" t="s">
        <v>31</v>
      </c>
      <c r="K3033" s="22"/>
      <c r="L3033" s="36" t="s">
        <v>14820</v>
      </c>
      <c r="M3033" s="36"/>
      <c r="N3033" s="37"/>
      <c r="O3033" s="36"/>
      <c r="P3033" s="37"/>
      <c r="Q3033" s="36"/>
      <c r="R3033" s="36"/>
      <c r="S3033" s="36"/>
      <c r="T3033" s="28" t="s">
        <v>14821</v>
      </c>
      <c r="U3033" s="29" t="s">
        <v>61</v>
      </c>
      <c r="V3033" s="30"/>
      <c r="W3033" s="49"/>
      <c r="X3033" s="49"/>
      <c r="Y3033" s="35"/>
      <c r="Z3033" s="35"/>
      <c r="AA3033" s="35"/>
      <c r="AB3033" s="35"/>
      <c r="AC3033" s="35"/>
      <c r="AD3033" s="35"/>
      <c r="AE3033" s="35"/>
      <c r="AF3033" s="35"/>
      <c r="AG3033" s="35"/>
      <c r="AH3033" s="35"/>
      <c r="AI3033" s="35"/>
      <c r="AJ3033" s="35"/>
      <c r="AK3033" s="35"/>
      <c r="AL3033" s="35"/>
    </row>
    <row r="3034">
      <c r="A3034" s="40"/>
      <c r="B3034" s="19" t="s">
        <v>4071</v>
      </c>
      <c r="C3034" s="20" t="s">
        <v>14801</v>
      </c>
      <c r="D3034" s="47"/>
      <c r="E3034" s="22" t="s">
        <v>6387</v>
      </c>
      <c r="F3034" s="22" t="s">
        <v>1622</v>
      </c>
      <c r="G3034" s="23">
        <v>2022.0</v>
      </c>
      <c r="H3034" s="22" t="s">
        <v>77</v>
      </c>
      <c r="I3034" s="24" t="s">
        <v>14822</v>
      </c>
      <c r="J3034" s="22" t="s">
        <v>55</v>
      </c>
      <c r="K3034" s="22"/>
      <c r="L3034" s="36">
        <v>810.0</v>
      </c>
      <c r="M3034" s="36"/>
      <c r="N3034" s="37" t="s">
        <v>3911</v>
      </c>
      <c r="O3034" s="36"/>
      <c r="P3034" s="37"/>
      <c r="Q3034" s="36"/>
      <c r="R3034" s="36"/>
      <c r="S3034" s="36"/>
      <c r="T3034" s="42" t="s">
        <v>14823</v>
      </c>
      <c r="U3034" s="29" t="s">
        <v>61</v>
      </c>
      <c r="V3034" s="30"/>
      <c r="W3034" s="49"/>
      <c r="X3034" s="49"/>
      <c r="Y3034" s="35"/>
      <c r="Z3034" s="35"/>
      <c r="AA3034" s="35"/>
      <c r="AB3034" s="35"/>
      <c r="AC3034" s="35"/>
      <c r="AD3034" s="35"/>
      <c r="AE3034" s="35"/>
      <c r="AF3034" s="35"/>
      <c r="AG3034" s="35"/>
      <c r="AH3034" s="35"/>
      <c r="AI3034" s="35"/>
      <c r="AJ3034" s="35"/>
      <c r="AK3034" s="35"/>
      <c r="AL3034" s="35"/>
    </row>
    <row r="3035">
      <c r="A3035" s="40"/>
      <c r="B3035" s="19" t="s">
        <v>4071</v>
      </c>
      <c r="C3035" s="20" t="s">
        <v>14801</v>
      </c>
      <c r="D3035" s="47"/>
      <c r="E3035" s="22" t="s">
        <v>3497</v>
      </c>
      <c r="F3035" s="22" t="s">
        <v>28</v>
      </c>
      <c r="G3035" s="23">
        <v>2022.0</v>
      </c>
      <c r="H3035" s="22" t="s">
        <v>3655</v>
      </c>
      <c r="I3035" s="24" t="s">
        <v>14824</v>
      </c>
      <c r="J3035" s="22" t="s">
        <v>14825</v>
      </c>
      <c r="K3035" s="22" t="s">
        <v>14826</v>
      </c>
      <c r="L3035" s="36" t="s">
        <v>14827</v>
      </c>
      <c r="M3035" s="36"/>
      <c r="N3035" s="37" t="s">
        <v>14828</v>
      </c>
      <c r="O3035" s="36"/>
      <c r="P3035" s="37"/>
      <c r="Q3035" s="36"/>
      <c r="R3035" s="36"/>
      <c r="S3035" s="36">
        <v>1.0</v>
      </c>
      <c r="T3035" s="28" t="s">
        <v>14829</v>
      </c>
      <c r="U3035" s="29" t="s">
        <v>61</v>
      </c>
      <c r="V3035" s="30" t="s">
        <v>14830</v>
      </c>
      <c r="W3035" s="49"/>
      <c r="X3035" s="49"/>
      <c r="Y3035" s="35"/>
      <c r="Z3035" s="35"/>
      <c r="AA3035" s="35"/>
      <c r="AB3035" s="35"/>
      <c r="AC3035" s="35"/>
      <c r="AD3035" s="35"/>
      <c r="AE3035" s="35"/>
      <c r="AF3035" s="35"/>
      <c r="AG3035" s="35"/>
      <c r="AH3035" s="35"/>
      <c r="AI3035" s="35"/>
      <c r="AJ3035" s="35"/>
      <c r="AK3035" s="35"/>
      <c r="AL3035" s="35"/>
    </row>
    <row r="3036">
      <c r="A3036" s="40"/>
      <c r="B3036" s="19" t="s">
        <v>4071</v>
      </c>
      <c r="C3036" s="20" t="s">
        <v>14801</v>
      </c>
      <c r="D3036" s="47"/>
      <c r="E3036" s="22" t="s">
        <v>14015</v>
      </c>
      <c r="F3036" s="22" t="s">
        <v>14831</v>
      </c>
      <c r="G3036" s="23">
        <v>2021.0</v>
      </c>
      <c r="H3036" s="22" t="s">
        <v>207</v>
      </c>
      <c r="I3036" s="24" t="s">
        <v>14832</v>
      </c>
      <c r="J3036" s="22" t="s">
        <v>31</v>
      </c>
      <c r="K3036" s="22"/>
      <c r="L3036" s="36" t="s">
        <v>14833</v>
      </c>
      <c r="M3036" s="36"/>
      <c r="N3036" s="37"/>
      <c r="O3036" s="36"/>
      <c r="P3036" s="37"/>
      <c r="Q3036" s="36"/>
      <c r="R3036" s="36"/>
      <c r="S3036" s="36"/>
      <c r="T3036" s="41" t="s">
        <v>14834</v>
      </c>
      <c r="U3036" s="29" t="s">
        <v>61</v>
      </c>
      <c r="V3036" s="50"/>
      <c r="W3036" s="49"/>
      <c r="X3036" s="49"/>
      <c r="Y3036" s="35"/>
      <c r="Z3036" s="35"/>
      <c r="AA3036" s="35"/>
      <c r="AB3036" s="35"/>
      <c r="AC3036" s="35"/>
      <c r="AD3036" s="35"/>
      <c r="AE3036" s="35"/>
      <c r="AF3036" s="35"/>
      <c r="AG3036" s="35"/>
      <c r="AH3036" s="35"/>
      <c r="AI3036" s="35"/>
      <c r="AJ3036" s="35"/>
      <c r="AK3036" s="35"/>
      <c r="AL3036" s="35"/>
    </row>
    <row r="3037">
      <c r="A3037" s="40"/>
      <c r="B3037" s="19" t="s">
        <v>4071</v>
      </c>
      <c r="C3037" s="20" t="s">
        <v>14801</v>
      </c>
      <c r="D3037" s="47"/>
      <c r="E3037" s="22" t="s">
        <v>14835</v>
      </c>
      <c r="F3037" s="22" t="s">
        <v>1173</v>
      </c>
      <c r="G3037" s="23">
        <v>2021.0</v>
      </c>
      <c r="H3037" s="22" t="s">
        <v>77</v>
      </c>
      <c r="I3037" s="24" t="s">
        <v>14836</v>
      </c>
      <c r="J3037" s="22" t="s">
        <v>31</v>
      </c>
      <c r="K3037" s="22"/>
      <c r="L3037" s="36" t="s">
        <v>14837</v>
      </c>
      <c r="M3037" s="36"/>
      <c r="N3037" s="37"/>
      <c r="O3037" s="36"/>
      <c r="P3037" s="37"/>
      <c r="Q3037" s="36"/>
      <c r="R3037" s="36"/>
      <c r="S3037" s="36"/>
      <c r="T3037" s="41" t="s">
        <v>14838</v>
      </c>
      <c r="U3037" s="29" t="s">
        <v>61</v>
      </c>
      <c r="V3037" s="50"/>
      <c r="W3037" s="49"/>
      <c r="X3037" s="49"/>
      <c r="Y3037" s="35"/>
      <c r="Z3037" s="35"/>
      <c r="AA3037" s="35"/>
      <c r="AB3037" s="35"/>
      <c r="AC3037" s="35"/>
      <c r="AD3037" s="35"/>
      <c r="AE3037" s="35"/>
      <c r="AF3037" s="35"/>
      <c r="AG3037" s="35"/>
      <c r="AH3037" s="35"/>
      <c r="AI3037" s="35"/>
      <c r="AJ3037" s="35"/>
      <c r="AK3037" s="35"/>
      <c r="AL3037" s="35"/>
    </row>
    <row r="3038">
      <c r="A3038" s="40"/>
      <c r="B3038" s="19" t="s">
        <v>4071</v>
      </c>
      <c r="C3038" s="20" t="s">
        <v>14801</v>
      </c>
      <c r="D3038" s="47"/>
      <c r="E3038" s="22" t="s">
        <v>14802</v>
      </c>
      <c r="F3038" s="22" t="s">
        <v>14839</v>
      </c>
      <c r="G3038" s="23">
        <v>2021.0</v>
      </c>
      <c r="H3038" s="22" t="s">
        <v>207</v>
      </c>
      <c r="I3038" s="24" t="s">
        <v>14840</v>
      </c>
      <c r="J3038" s="22" t="s">
        <v>31</v>
      </c>
      <c r="K3038" s="22" t="s">
        <v>14841</v>
      </c>
      <c r="L3038" s="36"/>
      <c r="M3038" s="36"/>
      <c r="N3038" s="37"/>
      <c r="O3038" s="36"/>
      <c r="P3038" s="37"/>
      <c r="Q3038" s="36"/>
      <c r="R3038" s="36"/>
      <c r="S3038" s="36"/>
      <c r="T3038" s="28" t="s">
        <v>14842</v>
      </c>
      <c r="U3038" s="29" t="s">
        <v>61</v>
      </c>
      <c r="V3038" s="50"/>
      <c r="W3038" s="49"/>
      <c r="X3038" s="49"/>
      <c r="Y3038" s="35"/>
      <c r="Z3038" s="35"/>
      <c r="AA3038" s="35"/>
      <c r="AB3038" s="35"/>
      <c r="AC3038" s="35"/>
      <c r="AD3038" s="35"/>
      <c r="AE3038" s="35"/>
      <c r="AF3038" s="35"/>
      <c r="AG3038" s="35"/>
      <c r="AH3038" s="35"/>
      <c r="AI3038" s="35"/>
      <c r="AJ3038" s="35"/>
      <c r="AK3038" s="35"/>
      <c r="AL3038" s="35"/>
    </row>
    <row r="3039">
      <c r="A3039" s="40"/>
      <c r="B3039" s="19" t="s">
        <v>4071</v>
      </c>
      <c r="C3039" s="20" t="s">
        <v>14801</v>
      </c>
      <c r="D3039" s="47"/>
      <c r="E3039" s="22" t="s">
        <v>14843</v>
      </c>
      <c r="F3039" s="22" t="s">
        <v>2407</v>
      </c>
      <c r="G3039" s="23">
        <v>2021.0</v>
      </c>
      <c r="H3039" s="22" t="s">
        <v>53</v>
      </c>
      <c r="I3039" s="24" t="s">
        <v>14844</v>
      </c>
      <c r="J3039" s="22" t="s">
        <v>31</v>
      </c>
      <c r="K3039" s="22" t="s">
        <v>14845</v>
      </c>
      <c r="L3039" s="36" t="s">
        <v>14846</v>
      </c>
      <c r="M3039" s="36"/>
      <c r="N3039" s="37"/>
      <c r="O3039" s="36"/>
      <c r="P3039" s="37"/>
      <c r="Q3039" s="36"/>
      <c r="R3039" s="36"/>
      <c r="S3039" s="36"/>
      <c r="T3039" s="28" t="s">
        <v>14847</v>
      </c>
      <c r="U3039" s="29" t="s">
        <v>61</v>
      </c>
      <c r="V3039" s="50"/>
      <c r="W3039" s="49"/>
      <c r="X3039" s="49"/>
      <c r="Y3039" s="35"/>
      <c r="Z3039" s="35"/>
      <c r="AA3039" s="35"/>
      <c r="AB3039" s="35"/>
      <c r="AC3039" s="35"/>
      <c r="AD3039" s="35"/>
      <c r="AE3039" s="35"/>
      <c r="AF3039" s="35"/>
      <c r="AG3039" s="35"/>
      <c r="AH3039" s="35"/>
      <c r="AI3039" s="35"/>
      <c r="AJ3039" s="35"/>
      <c r="AK3039" s="35"/>
      <c r="AL3039" s="35"/>
    </row>
    <row r="3040">
      <c r="A3040" s="40"/>
      <c r="B3040" s="19" t="s">
        <v>4071</v>
      </c>
      <c r="C3040" s="20" t="s">
        <v>14801</v>
      </c>
      <c r="D3040" s="47"/>
      <c r="E3040" s="22" t="s">
        <v>14848</v>
      </c>
      <c r="F3040" s="22" t="s">
        <v>14849</v>
      </c>
      <c r="G3040" s="23">
        <v>2021.0</v>
      </c>
      <c r="H3040" s="22" t="s">
        <v>14850</v>
      </c>
      <c r="I3040" s="24" t="s">
        <v>14851</v>
      </c>
      <c r="J3040" s="22"/>
      <c r="K3040" s="22"/>
      <c r="L3040" s="36" t="s">
        <v>14852</v>
      </c>
      <c r="M3040" s="36"/>
      <c r="N3040" s="37"/>
      <c r="O3040" s="36"/>
      <c r="P3040" s="37"/>
      <c r="Q3040" s="36"/>
      <c r="R3040" s="36"/>
      <c r="S3040" s="36"/>
      <c r="T3040" s="28" t="s">
        <v>14853</v>
      </c>
      <c r="U3040" s="29" t="s">
        <v>8353</v>
      </c>
      <c r="V3040" s="50"/>
      <c r="W3040" s="49"/>
      <c r="X3040" s="49"/>
      <c r="Y3040" s="35"/>
      <c r="Z3040" s="35"/>
      <c r="AA3040" s="35"/>
      <c r="AB3040" s="35"/>
      <c r="AC3040" s="35"/>
      <c r="AD3040" s="35"/>
      <c r="AE3040" s="35"/>
      <c r="AF3040" s="35"/>
      <c r="AG3040" s="35"/>
      <c r="AH3040" s="35"/>
      <c r="AI3040" s="35"/>
      <c r="AJ3040" s="35"/>
      <c r="AK3040" s="35"/>
      <c r="AL3040" s="35"/>
    </row>
    <row r="3041">
      <c r="A3041" s="40"/>
      <c r="B3041" s="19" t="s">
        <v>4071</v>
      </c>
      <c r="C3041" s="20" t="s">
        <v>14801</v>
      </c>
      <c r="D3041" s="47"/>
      <c r="E3041" s="22" t="s">
        <v>12202</v>
      </c>
      <c r="F3041" s="22" t="s">
        <v>2175</v>
      </c>
      <c r="G3041" s="23">
        <v>2021.0</v>
      </c>
      <c r="H3041" s="22" t="s">
        <v>207</v>
      </c>
      <c r="I3041" s="24" t="s">
        <v>14854</v>
      </c>
      <c r="J3041" s="22" t="s">
        <v>31</v>
      </c>
      <c r="K3041" s="22" t="s">
        <v>14855</v>
      </c>
      <c r="L3041" s="36" t="s">
        <v>14856</v>
      </c>
      <c r="M3041" s="36"/>
      <c r="N3041" s="37"/>
      <c r="O3041" s="36"/>
      <c r="P3041" s="37"/>
      <c r="Q3041" s="36"/>
      <c r="R3041" s="36"/>
      <c r="S3041" s="36"/>
      <c r="T3041" s="28" t="s">
        <v>14857</v>
      </c>
      <c r="U3041" s="29" t="s">
        <v>61</v>
      </c>
      <c r="V3041" s="50"/>
      <c r="W3041" s="49"/>
      <c r="X3041" s="49"/>
      <c r="Y3041" s="35"/>
      <c r="Z3041" s="35"/>
      <c r="AA3041" s="35"/>
      <c r="AB3041" s="35"/>
      <c r="AC3041" s="35"/>
      <c r="AD3041" s="35"/>
      <c r="AE3041" s="35"/>
      <c r="AF3041" s="35"/>
      <c r="AG3041" s="35"/>
      <c r="AH3041" s="35"/>
      <c r="AI3041" s="35"/>
      <c r="AJ3041" s="35"/>
      <c r="AK3041" s="35"/>
      <c r="AL3041" s="35"/>
    </row>
    <row r="3042">
      <c r="A3042" s="40"/>
      <c r="B3042" s="19" t="s">
        <v>4071</v>
      </c>
      <c r="C3042" s="20" t="s">
        <v>14801</v>
      </c>
      <c r="D3042" s="47"/>
      <c r="E3042" s="22" t="s">
        <v>5065</v>
      </c>
      <c r="F3042" s="22" t="s">
        <v>14858</v>
      </c>
      <c r="G3042" s="23">
        <v>2021.0</v>
      </c>
      <c r="H3042" s="22" t="s">
        <v>3347</v>
      </c>
      <c r="I3042" s="24" t="s">
        <v>14859</v>
      </c>
      <c r="J3042" s="22" t="s">
        <v>31</v>
      </c>
      <c r="K3042" s="22" t="s">
        <v>14860</v>
      </c>
      <c r="L3042" s="36">
        <v>980.0</v>
      </c>
      <c r="M3042" s="36"/>
      <c r="N3042" s="37"/>
      <c r="O3042" s="36"/>
      <c r="P3042" s="37"/>
      <c r="Q3042" s="36"/>
      <c r="R3042" s="36"/>
      <c r="S3042" s="36"/>
      <c r="T3042" s="42" t="s">
        <v>14861</v>
      </c>
      <c r="U3042" s="29" t="s">
        <v>61</v>
      </c>
      <c r="V3042" s="50"/>
      <c r="W3042" s="49"/>
      <c r="X3042" s="49"/>
      <c r="Y3042" s="35"/>
      <c r="Z3042" s="35"/>
      <c r="AA3042" s="35"/>
      <c r="AB3042" s="35"/>
      <c r="AC3042" s="35"/>
      <c r="AD3042" s="35"/>
      <c r="AE3042" s="35"/>
      <c r="AF3042" s="35"/>
      <c r="AG3042" s="35"/>
      <c r="AH3042" s="35"/>
      <c r="AI3042" s="35"/>
      <c r="AJ3042" s="35"/>
      <c r="AK3042" s="35"/>
      <c r="AL3042" s="35"/>
    </row>
    <row r="3043">
      <c r="A3043" s="40" t="s">
        <v>2</v>
      </c>
      <c r="B3043" s="19" t="s">
        <v>4071</v>
      </c>
      <c r="C3043" s="20" t="s">
        <v>14801</v>
      </c>
      <c r="D3043" s="47"/>
      <c r="E3043" s="22" t="s">
        <v>14862</v>
      </c>
      <c r="F3043" s="22" t="s">
        <v>1862</v>
      </c>
      <c r="G3043" s="23">
        <v>2020.0</v>
      </c>
      <c r="H3043" s="22" t="s">
        <v>207</v>
      </c>
      <c r="I3043" s="24" t="s">
        <v>14863</v>
      </c>
      <c r="J3043" s="22" t="s">
        <v>31</v>
      </c>
      <c r="K3043" s="22" t="s">
        <v>14864</v>
      </c>
      <c r="L3043" s="36">
        <v>670.0</v>
      </c>
      <c r="M3043" s="36"/>
      <c r="N3043" s="37"/>
      <c r="O3043" s="36"/>
      <c r="P3043" s="37"/>
      <c r="Q3043" s="36"/>
      <c r="R3043" s="36"/>
      <c r="S3043" s="36"/>
      <c r="T3043" s="28" t="s">
        <v>14865</v>
      </c>
      <c r="U3043" s="29" t="s">
        <v>61</v>
      </c>
      <c r="V3043" s="50"/>
      <c r="W3043" s="49"/>
      <c r="X3043" s="49"/>
      <c r="Y3043" s="35"/>
      <c r="Z3043" s="35"/>
      <c r="AA3043" s="35"/>
      <c r="AB3043" s="35"/>
      <c r="AC3043" s="35"/>
      <c r="AD3043" s="35"/>
      <c r="AE3043" s="35"/>
      <c r="AF3043" s="35"/>
      <c r="AG3043" s="35"/>
      <c r="AH3043" s="35"/>
      <c r="AI3043" s="35"/>
      <c r="AJ3043" s="35"/>
      <c r="AK3043" s="35"/>
      <c r="AL3043" s="35"/>
    </row>
    <row r="3044">
      <c r="A3044" s="40"/>
      <c r="B3044" s="19" t="s">
        <v>4071</v>
      </c>
      <c r="C3044" s="20" t="s">
        <v>14801</v>
      </c>
      <c r="D3044" s="47"/>
      <c r="E3044" s="22" t="s">
        <v>4595</v>
      </c>
      <c r="F3044" s="22" t="s">
        <v>1905</v>
      </c>
      <c r="G3044" s="23">
        <v>2019.0</v>
      </c>
      <c r="H3044" s="22" t="s">
        <v>42</v>
      </c>
      <c r="I3044" s="24" t="s">
        <v>14866</v>
      </c>
      <c r="J3044" s="22" t="s">
        <v>31</v>
      </c>
      <c r="K3044" s="22" t="s">
        <v>14867</v>
      </c>
      <c r="L3044" s="36">
        <v>660.0</v>
      </c>
      <c r="M3044" s="36"/>
      <c r="N3044" s="37"/>
      <c r="O3044" s="36"/>
      <c r="P3044" s="37"/>
      <c r="Q3044" s="36"/>
      <c r="R3044" s="36"/>
      <c r="S3044" s="36"/>
      <c r="T3044" s="28" t="s">
        <v>14868</v>
      </c>
      <c r="U3044" s="29" t="s">
        <v>61</v>
      </c>
      <c r="V3044" s="50"/>
      <c r="W3044" s="49"/>
      <c r="X3044" s="49"/>
      <c r="Y3044" s="35"/>
      <c r="Z3044" s="35"/>
      <c r="AA3044" s="35"/>
      <c r="AB3044" s="35"/>
      <c r="AC3044" s="35"/>
      <c r="AD3044" s="35"/>
      <c r="AE3044" s="35"/>
      <c r="AF3044" s="35"/>
      <c r="AG3044" s="35"/>
      <c r="AH3044" s="35"/>
      <c r="AI3044" s="35"/>
      <c r="AJ3044" s="35"/>
      <c r="AK3044" s="35"/>
      <c r="AL3044" s="35"/>
    </row>
    <row r="3045">
      <c r="A3045" s="40" t="s">
        <v>2</v>
      </c>
      <c r="B3045" s="19" t="s">
        <v>4071</v>
      </c>
      <c r="C3045" s="20" t="s">
        <v>14801</v>
      </c>
      <c r="D3045" s="47"/>
      <c r="E3045" s="22" t="s">
        <v>14869</v>
      </c>
      <c r="F3045" s="22" t="s">
        <v>540</v>
      </c>
      <c r="G3045" s="23">
        <v>2019.0</v>
      </c>
      <c r="H3045" s="22" t="s">
        <v>42</v>
      </c>
      <c r="I3045" s="24" t="s">
        <v>14870</v>
      </c>
      <c r="J3045" s="22" t="s">
        <v>31</v>
      </c>
      <c r="K3045" s="22"/>
      <c r="L3045" s="36">
        <v>1064.0</v>
      </c>
      <c r="M3045" s="36"/>
      <c r="N3045" s="37" t="s">
        <v>14871</v>
      </c>
      <c r="O3045" s="36"/>
      <c r="P3045" s="37" t="s">
        <v>14872</v>
      </c>
      <c r="Q3045" s="36"/>
      <c r="R3045" s="36"/>
      <c r="S3045" s="36"/>
      <c r="T3045" s="28" t="s">
        <v>14873</v>
      </c>
      <c r="U3045" s="38" t="s">
        <v>61</v>
      </c>
      <c r="V3045" s="30"/>
      <c r="W3045" s="49"/>
      <c r="X3045" s="49"/>
      <c r="Y3045" s="35"/>
      <c r="Z3045" s="35"/>
      <c r="AA3045" s="35"/>
      <c r="AB3045" s="35"/>
      <c r="AC3045" s="35"/>
      <c r="AD3045" s="35"/>
      <c r="AE3045" s="35"/>
      <c r="AF3045" s="35"/>
      <c r="AG3045" s="35"/>
      <c r="AH3045" s="35"/>
      <c r="AI3045" s="35"/>
      <c r="AJ3045" s="35"/>
      <c r="AK3045" s="35"/>
      <c r="AL3045" s="35"/>
    </row>
    <row r="3046">
      <c r="A3046" s="40"/>
      <c r="B3046" s="19" t="s">
        <v>4071</v>
      </c>
      <c r="C3046" s="20" t="s">
        <v>14801</v>
      </c>
      <c r="D3046" s="47"/>
      <c r="E3046" s="22" t="s">
        <v>14874</v>
      </c>
      <c r="F3046" s="22" t="s">
        <v>11580</v>
      </c>
      <c r="G3046" s="23">
        <v>2019.0</v>
      </c>
      <c r="H3046" s="22" t="s">
        <v>14875</v>
      </c>
      <c r="I3046" s="24" t="s">
        <v>14876</v>
      </c>
      <c r="J3046" s="22" t="s">
        <v>31</v>
      </c>
      <c r="K3046" s="22" t="s">
        <v>14877</v>
      </c>
      <c r="L3046" s="36" t="s">
        <v>14878</v>
      </c>
      <c r="M3046" s="36"/>
      <c r="N3046" s="37"/>
      <c r="O3046" s="36"/>
      <c r="P3046" s="37"/>
      <c r="Q3046" s="36"/>
      <c r="R3046" s="36"/>
      <c r="S3046" s="36"/>
      <c r="T3046" s="42" t="s">
        <v>14879</v>
      </c>
      <c r="U3046" s="38" t="str">
        <f>HYPERLINK("https://www.ncbi.nlm.nih.gov/pubmed/31583425","PubMed")</f>
        <v>PubMed</v>
      </c>
      <c r="V3046" s="50"/>
      <c r="W3046" s="49"/>
      <c r="X3046" s="49"/>
      <c r="Y3046" s="35"/>
      <c r="Z3046" s="35"/>
      <c r="AA3046" s="35"/>
      <c r="AB3046" s="35"/>
      <c r="AC3046" s="35"/>
      <c r="AD3046" s="35"/>
      <c r="AE3046" s="35"/>
      <c r="AF3046" s="35"/>
      <c r="AG3046" s="35"/>
      <c r="AH3046" s="35"/>
      <c r="AI3046" s="35"/>
      <c r="AJ3046" s="35"/>
      <c r="AK3046" s="35"/>
      <c r="AL3046" s="35"/>
    </row>
    <row r="3047">
      <c r="A3047" s="40" t="s">
        <v>2</v>
      </c>
      <c r="B3047" s="19" t="s">
        <v>4071</v>
      </c>
      <c r="C3047" s="20" t="s">
        <v>14801</v>
      </c>
      <c r="D3047" s="47"/>
      <c r="E3047" s="22" t="s">
        <v>12808</v>
      </c>
      <c r="F3047" s="22" t="s">
        <v>5223</v>
      </c>
      <c r="G3047" s="23">
        <v>2019.0</v>
      </c>
      <c r="H3047" s="22" t="s">
        <v>2181</v>
      </c>
      <c r="I3047" s="24" t="s">
        <v>14880</v>
      </c>
      <c r="J3047" s="22" t="s">
        <v>2823</v>
      </c>
      <c r="K3047" s="22" t="s">
        <v>12806</v>
      </c>
      <c r="L3047" s="36">
        <v>670.0</v>
      </c>
      <c r="M3047" s="36"/>
      <c r="N3047" s="37" t="s">
        <v>14881</v>
      </c>
      <c r="O3047" s="36"/>
      <c r="P3047" s="37"/>
      <c r="Q3047" s="36"/>
      <c r="R3047" s="36"/>
      <c r="S3047" s="36"/>
      <c r="T3047" s="28" t="s">
        <v>14882</v>
      </c>
      <c r="U3047" s="38" t="str">
        <f>HYPERLINK("https://www.ncbi.nlm.nih.gov/pubmed/31554906","PubMed")</f>
        <v>PubMed</v>
      </c>
      <c r="V3047" s="50"/>
      <c r="W3047" s="49"/>
      <c r="X3047" s="49"/>
      <c r="Y3047" s="35"/>
      <c r="Z3047" s="35"/>
      <c r="AA3047" s="35"/>
      <c r="AB3047" s="35"/>
      <c r="AC3047" s="35"/>
      <c r="AD3047" s="35"/>
      <c r="AE3047" s="35"/>
      <c r="AF3047" s="35"/>
      <c r="AG3047" s="35"/>
      <c r="AH3047" s="35"/>
      <c r="AI3047" s="35"/>
      <c r="AJ3047" s="35"/>
      <c r="AK3047" s="35"/>
      <c r="AL3047" s="35"/>
    </row>
    <row r="3048">
      <c r="A3048" s="1"/>
      <c r="B3048" s="19" t="s">
        <v>4071</v>
      </c>
      <c r="C3048" s="20" t="s">
        <v>14801</v>
      </c>
      <c r="D3048" s="47"/>
      <c r="E3048" s="22" t="s">
        <v>14869</v>
      </c>
      <c r="F3048" s="22" t="s">
        <v>14812</v>
      </c>
      <c r="G3048" s="23">
        <v>2019.0</v>
      </c>
      <c r="H3048" s="22" t="s">
        <v>42</v>
      </c>
      <c r="I3048" s="24" t="s">
        <v>14883</v>
      </c>
      <c r="J3048" s="22" t="s">
        <v>31</v>
      </c>
      <c r="K3048" s="22"/>
      <c r="L3048" s="36"/>
      <c r="M3048" s="36"/>
      <c r="N3048" s="37" t="s">
        <v>14871</v>
      </c>
      <c r="O3048" s="36"/>
      <c r="P3048" s="37" t="s">
        <v>14872</v>
      </c>
      <c r="Q3048" s="36"/>
      <c r="R3048" s="36"/>
      <c r="S3048" s="36"/>
      <c r="T3048" s="28" t="s">
        <v>14884</v>
      </c>
      <c r="U3048" s="38" t="str">
        <f>HYPERLINK("https://www.ncbi.nlm.nih.gov/pubmed/31033186","PubMed")</f>
        <v>PubMed</v>
      </c>
      <c r="V3048" s="50"/>
      <c r="W3048" s="49"/>
      <c r="X3048" s="49"/>
      <c r="Y3048" s="35"/>
      <c r="Z3048" s="35"/>
      <c r="AA3048" s="35"/>
      <c r="AB3048" s="35"/>
      <c r="AC3048" s="35"/>
      <c r="AD3048" s="35"/>
      <c r="AE3048" s="35"/>
      <c r="AF3048" s="35"/>
      <c r="AG3048" s="35"/>
      <c r="AH3048" s="35"/>
      <c r="AI3048" s="35"/>
      <c r="AJ3048" s="35"/>
      <c r="AK3048" s="35"/>
      <c r="AL3048" s="35"/>
    </row>
    <row r="3049">
      <c r="A3049" s="1" t="s">
        <v>2</v>
      </c>
      <c r="B3049" s="19" t="s">
        <v>4071</v>
      </c>
      <c r="C3049" s="20" t="s">
        <v>14801</v>
      </c>
      <c r="D3049" s="47"/>
      <c r="E3049" s="22" t="s">
        <v>14885</v>
      </c>
      <c r="F3049" s="22" t="s">
        <v>14886</v>
      </c>
      <c r="G3049" s="23">
        <v>2019.0</v>
      </c>
      <c r="H3049" s="22" t="s">
        <v>207</v>
      </c>
      <c r="I3049" s="24" t="s">
        <v>14887</v>
      </c>
      <c r="J3049" s="22" t="s">
        <v>31</v>
      </c>
      <c r="K3049" s="22" t="s">
        <v>14888</v>
      </c>
      <c r="L3049" s="36">
        <v>660.0</v>
      </c>
      <c r="M3049" s="36">
        <v>30.0</v>
      </c>
      <c r="N3049" s="36"/>
      <c r="O3049" s="36" t="s">
        <v>14889</v>
      </c>
      <c r="P3049" s="37" t="s">
        <v>14890</v>
      </c>
      <c r="Q3049" s="36" t="s">
        <v>280</v>
      </c>
      <c r="R3049" s="36" t="s">
        <v>14891</v>
      </c>
      <c r="S3049" s="36"/>
      <c r="T3049" s="28" t="s">
        <v>14892</v>
      </c>
      <c r="U3049" s="38" t="str">
        <f>HYPERLINK("https://www.ncbi.nlm.nih.gov/pubmed/30927704","PubMed")</f>
        <v>PubMed</v>
      </c>
      <c r="V3049" s="50"/>
      <c r="W3049" s="49"/>
      <c r="X3049" s="49"/>
      <c r="Y3049" s="35"/>
      <c r="Z3049" s="35"/>
      <c r="AA3049" s="35"/>
      <c r="AB3049" s="35"/>
      <c r="AC3049" s="35"/>
      <c r="AD3049" s="35"/>
      <c r="AE3049" s="35"/>
      <c r="AF3049" s="35"/>
      <c r="AG3049" s="35"/>
      <c r="AH3049" s="35"/>
      <c r="AI3049" s="35"/>
      <c r="AJ3049" s="35"/>
      <c r="AK3049" s="35"/>
      <c r="AL3049" s="35"/>
    </row>
    <row r="3050">
      <c r="A3050" s="191"/>
      <c r="B3050" s="19" t="s">
        <v>4071</v>
      </c>
      <c r="C3050" s="20" t="s">
        <v>14801</v>
      </c>
      <c r="D3050" s="47"/>
      <c r="E3050" s="22" t="s">
        <v>12202</v>
      </c>
      <c r="F3050" s="22" t="s">
        <v>14893</v>
      </c>
      <c r="G3050" s="23">
        <v>2019.0</v>
      </c>
      <c r="H3050" s="22" t="s">
        <v>14894</v>
      </c>
      <c r="I3050" s="24" t="s">
        <v>14895</v>
      </c>
      <c r="J3050" s="22" t="s">
        <v>31</v>
      </c>
      <c r="K3050" s="22" t="s">
        <v>14896</v>
      </c>
      <c r="L3050" s="36" t="s">
        <v>14897</v>
      </c>
      <c r="M3050" s="36"/>
      <c r="N3050" s="36" t="s">
        <v>14898</v>
      </c>
      <c r="O3050" s="36"/>
      <c r="P3050" s="37"/>
      <c r="Q3050" s="36"/>
      <c r="R3050" s="36"/>
      <c r="S3050" s="36"/>
      <c r="T3050" s="28" t="s">
        <v>14899</v>
      </c>
      <c r="U3050" s="38" t="str">
        <f>HYPERLINK("https://www.ncbi.nlm.nih.gov/pubmed/30741423","PubMed")</f>
        <v>PubMed</v>
      </c>
      <c r="V3050" s="50"/>
      <c r="W3050" s="49"/>
      <c r="X3050" s="49"/>
      <c r="Y3050" s="35"/>
      <c r="Z3050" s="35"/>
      <c r="AA3050" s="35"/>
      <c r="AB3050" s="35"/>
      <c r="AC3050" s="35"/>
      <c r="AD3050" s="35"/>
      <c r="AE3050" s="35"/>
      <c r="AF3050" s="35"/>
      <c r="AG3050" s="35"/>
      <c r="AH3050" s="35"/>
      <c r="AI3050" s="35"/>
      <c r="AJ3050" s="35"/>
      <c r="AK3050" s="35"/>
      <c r="AL3050" s="35"/>
    </row>
    <row r="3051">
      <c r="A3051" s="191" t="s">
        <v>14900</v>
      </c>
      <c r="B3051" s="19" t="s">
        <v>4071</v>
      </c>
      <c r="C3051" s="20" t="s">
        <v>14801</v>
      </c>
      <c r="D3051" s="47"/>
      <c r="E3051" s="22" t="s">
        <v>14901</v>
      </c>
      <c r="F3051" s="22" t="s">
        <v>2808</v>
      </c>
      <c r="G3051" s="23">
        <v>2019.0</v>
      </c>
      <c r="H3051" s="22" t="s">
        <v>42</v>
      </c>
      <c r="I3051" s="24" t="s">
        <v>14902</v>
      </c>
      <c r="J3051" s="22" t="s">
        <v>31</v>
      </c>
      <c r="K3051" s="22" t="s">
        <v>14903</v>
      </c>
      <c r="L3051" s="36" t="s">
        <v>14904</v>
      </c>
      <c r="M3051" s="36"/>
      <c r="N3051" s="36"/>
      <c r="O3051" s="36"/>
      <c r="P3051" s="37"/>
      <c r="Q3051" s="36"/>
      <c r="R3051" s="36"/>
      <c r="S3051" s="36"/>
      <c r="T3051" s="28" t="s">
        <v>14905</v>
      </c>
      <c r="U3051" s="38" t="str">
        <f>HYPERLINK("https://www.ncbi.nlm.nih.gov/pubmed/30701682","PubMed")</f>
        <v>PubMed</v>
      </c>
      <c r="V3051" s="50"/>
      <c r="W3051" s="49"/>
      <c r="X3051" s="49"/>
      <c r="Y3051" s="35"/>
      <c r="Z3051" s="35"/>
      <c r="AA3051" s="35"/>
      <c r="AB3051" s="35"/>
      <c r="AC3051" s="35"/>
      <c r="AD3051" s="35"/>
      <c r="AE3051" s="35"/>
      <c r="AF3051" s="35"/>
      <c r="AG3051" s="35"/>
      <c r="AH3051" s="35"/>
      <c r="AI3051" s="35"/>
      <c r="AJ3051" s="35"/>
      <c r="AK3051" s="35"/>
      <c r="AL3051" s="35"/>
    </row>
    <row r="3052">
      <c r="A3052" s="191"/>
      <c r="B3052" s="19" t="s">
        <v>4071</v>
      </c>
      <c r="C3052" s="20" t="s">
        <v>14801</v>
      </c>
      <c r="D3052" s="47"/>
      <c r="E3052" s="22" t="s">
        <v>14906</v>
      </c>
      <c r="F3052" s="22" t="s">
        <v>2346</v>
      </c>
      <c r="G3052" s="23">
        <v>2018.0</v>
      </c>
      <c r="H3052" s="22" t="s">
        <v>14907</v>
      </c>
      <c r="I3052" s="24" t="s">
        <v>14908</v>
      </c>
      <c r="J3052" s="22" t="s">
        <v>31</v>
      </c>
      <c r="K3052" s="22" t="s">
        <v>14909</v>
      </c>
      <c r="L3052" s="36" t="s">
        <v>14910</v>
      </c>
      <c r="M3052" s="36"/>
      <c r="N3052" s="36"/>
      <c r="O3052" s="36"/>
      <c r="P3052" s="37"/>
      <c r="Q3052" s="36"/>
      <c r="R3052" s="36"/>
      <c r="S3052" s="36"/>
      <c r="T3052" s="28" t="s">
        <v>14911</v>
      </c>
      <c r="U3052" s="38" t="str">
        <f>HYPERLINK("https://pfiet.ru/index.php/pfiet/article/view/1549","Pfiet.ru")</f>
        <v>Pfiet.ru</v>
      </c>
      <c r="V3052" s="50"/>
      <c r="W3052" s="49"/>
      <c r="X3052" s="49"/>
      <c r="Y3052" s="35"/>
      <c r="Z3052" s="35"/>
      <c r="AA3052" s="35"/>
      <c r="AB3052" s="35"/>
      <c r="AC3052" s="35"/>
      <c r="AD3052" s="35"/>
      <c r="AE3052" s="35"/>
      <c r="AF3052" s="35"/>
      <c r="AG3052" s="35"/>
      <c r="AH3052" s="35"/>
      <c r="AI3052" s="35"/>
      <c r="AJ3052" s="35"/>
      <c r="AK3052" s="35"/>
      <c r="AL3052" s="35"/>
    </row>
    <row r="3053">
      <c r="A3053" s="191" t="s">
        <v>14912</v>
      </c>
      <c r="B3053" s="19" t="s">
        <v>4071</v>
      </c>
      <c r="C3053" s="20" t="s">
        <v>14801</v>
      </c>
      <c r="D3053" s="47"/>
      <c r="E3053" s="22" t="s">
        <v>6053</v>
      </c>
      <c r="F3053" s="22" t="s">
        <v>1622</v>
      </c>
      <c r="G3053" s="23">
        <v>2018.0</v>
      </c>
      <c r="H3053" s="22" t="s">
        <v>207</v>
      </c>
      <c r="I3053" s="24" t="s">
        <v>14913</v>
      </c>
      <c r="J3053" s="22" t="s">
        <v>31</v>
      </c>
      <c r="K3053" s="22" t="s">
        <v>14914</v>
      </c>
      <c r="L3053" s="36" t="s">
        <v>14915</v>
      </c>
      <c r="M3053" s="36" t="s">
        <v>14916</v>
      </c>
      <c r="N3053" s="36" t="s">
        <v>14917</v>
      </c>
      <c r="O3053" s="36"/>
      <c r="P3053" s="37"/>
      <c r="Q3053" s="36"/>
      <c r="R3053" s="36" t="s">
        <v>14918</v>
      </c>
      <c r="S3053" s="36"/>
      <c r="T3053" s="28" t="s">
        <v>14919</v>
      </c>
      <c r="U3053" s="215"/>
      <c r="V3053" s="50"/>
      <c r="W3053" s="49"/>
      <c r="X3053" s="49"/>
      <c r="Y3053" s="35"/>
      <c r="Z3053" s="35"/>
      <c r="AA3053" s="35"/>
      <c r="AB3053" s="35"/>
      <c r="AC3053" s="35"/>
      <c r="AD3053" s="35"/>
      <c r="AE3053" s="35"/>
      <c r="AF3053" s="35"/>
      <c r="AG3053" s="35"/>
      <c r="AH3053" s="35"/>
      <c r="AI3053" s="35"/>
      <c r="AJ3053" s="35"/>
      <c r="AK3053" s="35"/>
      <c r="AL3053" s="35"/>
    </row>
    <row r="3054">
      <c r="A3054" s="180"/>
      <c r="B3054" s="19" t="s">
        <v>4071</v>
      </c>
      <c r="C3054" s="20" t="s">
        <v>14801</v>
      </c>
      <c r="D3054" s="47"/>
      <c r="E3054" s="22" t="s">
        <v>4410</v>
      </c>
      <c r="F3054" s="22" t="s">
        <v>14223</v>
      </c>
      <c r="G3054" s="23">
        <v>2018.0</v>
      </c>
      <c r="H3054" s="22" t="s">
        <v>14224</v>
      </c>
      <c r="I3054" s="24" t="s">
        <v>14920</v>
      </c>
      <c r="J3054" s="22" t="s">
        <v>31</v>
      </c>
      <c r="K3054" s="22" t="s">
        <v>14921</v>
      </c>
      <c r="L3054" s="36">
        <v>635.0</v>
      </c>
      <c r="M3054" s="249"/>
      <c r="N3054" s="249"/>
      <c r="O3054" s="249"/>
      <c r="P3054" s="249"/>
      <c r="Q3054" s="249"/>
      <c r="R3054" s="249"/>
      <c r="S3054" s="36"/>
      <c r="T3054" s="28" t="s">
        <v>14922</v>
      </c>
      <c r="U3054" s="38" t="str">
        <f>HYPERLINK("https://www.ncbi.nlm.nih.gov/pubmed/29710411","PubMed")</f>
        <v>PubMed</v>
      </c>
      <c r="V3054" s="50"/>
      <c r="W3054" s="49"/>
      <c r="X3054" s="49"/>
      <c r="Y3054" s="35"/>
      <c r="Z3054" s="35"/>
      <c r="AA3054" s="35"/>
      <c r="AB3054" s="35"/>
      <c r="AC3054" s="35"/>
      <c r="AD3054" s="35"/>
      <c r="AE3054" s="35"/>
      <c r="AF3054" s="35"/>
      <c r="AG3054" s="35"/>
      <c r="AH3054" s="35"/>
      <c r="AI3054" s="35"/>
      <c r="AJ3054" s="35"/>
      <c r="AK3054" s="35"/>
      <c r="AL3054" s="35"/>
    </row>
    <row r="3055">
      <c r="A3055" s="191" t="s">
        <v>181</v>
      </c>
      <c r="B3055" s="19" t="s">
        <v>4071</v>
      </c>
      <c r="C3055" s="20" t="s">
        <v>14801</v>
      </c>
      <c r="D3055" s="47"/>
      <c r="E3055" s="22" t="s">
        <v>14923</v>
      </c>
      <c r="F3055" s="22" t="s">
        <v>11580</v>
      </c>
      <c r="G3055" s="23">
        <v>2018.0</v>
      </c>
      <c r="H3055" s="22" t="s">
        <v>2479</v>
      </c>
      <c r="I3055" s="24" t="s">
        <v>14924</v>
      </c>
      <c r="J3055" s="22" t="s">
        <v>31</v>
      </c>
      <c r="K3055" s="22" t="s">
        <v>14925</v>
      </c>
      <c r="L3055" s="36">
        <v>655.0</v>
      </c>
      <c r="M3055" s="36"/>
      <c r="N3055" s="36"/>
      <c r="O3055" s="36"/>
      <c r="P3055" s="37"/>
      <c r="Q3055" s="36"/>
      <c r="R3055" s="36"/>
      <c r="S3055" s="36"/>
      <c r="T3055" s="28" t="s">
        <v>14926</v>
      </c>
      <c r="U3055" s="38" t="str">
        <f>HYPERLINK("https://www.ncbi.nlm.nih.gov/pubmed/29541521","PubMed")</f>
        <v>PubMed</v>
      </c>
      <c r="V3055" s="50"/>
      <c r="W3055" s="49"/>
      <c r="X3055" s="49"/>
      <c r="Y3055" s="35"/>
      <c r="Z3055" s="35"/>
      <c r="AA3055" s="35"/>
      <c r="AB3055" s="35"/>
      <c r="AC3055" s="35"/>
      <c r="AD3055" s="35"/>
      <c r="AE3055" s="35"/>
      <c r="AF3055" s="35"/>
      <c r="AG3055" s="35"/>
      <c r="AH3055" s="35"/>
      <c r="AI3055" s="35"/>
      <c r="AJ3055" s="35"/>
      <c r="AK3055" s="35"/>
      <c r="AL3055" s="35"/>
    </row>
    <row r="3056">
      <c r="A3056" s="1"/>
      <c r="B3056" s="19" t="s">
        <v>4071</v>
      </c>
      <c r="C3056" s="20" t="s">
        <v>14801</v>
      </c>
      <c r="D3056" s="47"/>
      <c r="E3056" s="22" t="s">
        <v>626</v>
      </c>
      <c r="F3056" s="22" t="s">
        <v>28</v>
      </c>
      <c r="G3056" s="23">
        <v>2018.0</v>
      </c>
      <c r="H3056" s="22" t="s">
        <v>3166</v>
      </c>
      <c r="I3056" s="24" t="s">
        <v>14927</v>
      </c>
      <c r="J3056" s="22" t="s">
        <v>3053</v>
      </c>
      <c r="K3056" s="22" t="s">
        <v>14928</v>
      </c>
      <c r="L3056" s="36">
        <v>1064.0</v>
      </c>
      <c r="M3056" s="36"/>
      <c r="N3056" s="36"/>
      <c r="O3056" s="36"/>
      <c r="P3056" s="37"/>
      <c r="Q3056" s="36" t="s">
        <v>3055</v>
      </c>
      <c r="R3056" s="36"/>
      <c r="S3056" s="36"/>
      <c r="T3056" s="28" t="s">
        <v>14929</v>
      </c>
      <c r="U3056" s="38" t="str">
        <f>HYPERLINK("https://www.ncbi.nlm.nih.gov/pubmed/28948191","PubMed")</f>
        <v>PubMed</v>
      </c>
      <c r="V3056" s="50"/>
      <c r="W3056" s="49"/>
      <c r="X3056" s="49"/>
      <c r="Y3056" s="35"/>
      <c r="Z3056" s="35"/>
      <c r="AA3056" s="35"/>
      <c r="AB3056" s="35"/>
      <c r="AC3056" s="35"/>
      <c r="AD3056" s="35"/>
      <c r="AE3056" s="35"/>
      <c r="AF3056" s="35"/>
      <c r="AG3056" s="35"/>
      <c r="AH3056" s="35"/>
      <c r="AI3056" s="35"/>
      <c r="AJ3056" s="35"/>
      <c r="AK3056" s="35"/>
      <c r="AL3056" s="35"/>
    </row>
    <row r="3057">
      <c r="A3057" s="1" t="s">
        <v>14930</v>
      </c>
      <c r="B3057" s="19" t="s">
        <v>4071</v>
      </c>
      <c r="C3057" s="20" t="s">
        <v>14801</v>
      </c>
      <c r="D3057" s="47"/>
      <c r="E3057" s="22" t="s">
        <v>8908</v>
      </c>
      <c r="F3057" s="22" t="s">
        <v>14931</v>
      </c>
      <c r="G3057" s="23">
        <v>2017.0</v>
      </c>
      <c r="H3057" s="22" t="s">
        <v>2505</v>
      </c>
      <c r="I3057" s="24" t="s">
        <v>14932</v>
      </c>
      <c r="J3057" s="22" t="s">
        <v>44</v>
      </c>
      <c r="K3057" s="22" t="s">
        <v>14933</v>
      </c>
      <c r="L3057" s="36">
        <v>660.0</v>
      </c>
      <c r="M3057" s="36">
        <v>30.0</v>
      </c>
      <c r="N3057" s="36"/>
      <c r="O3057" s="36" t="s">
        <v>14934</v>
      </c>
      <c r="P3057" s="37" t="s">
        <v>14935</v>
      </c>
      <c r="Q3057" s="36" t="s">
        <v>14936</v>
      </c>
      <c r="R3057" s="36" t="s">
        <v>14937</v>
      </c>
      <c r="S3057" s="36"/>
      <c r="T3057" s="28" t="s">
        <v>14938</v>
      </c>
      <c r="U3057" s="38" t="str">
        <f>HYPERLINK("https://www.ncbi.nlm.nih.gov/pubmed/28980210","PubMed")</f>
        <v>PubMed</v>
      </c>
      <c r="V3057" s="50"/>
      <c r="W3057" s="49"/>
      <c r="X3057" s="49"/>
      <c r="Y3057" s="35"/>
      <c r="Z3057" s="35"/>
      <c r="AA3057" s="35"/>
      <c r="AB3057" s="35"/>
      <c r="AC3057" s="35"/>
      <c r="AD3057" s="35"/>
      <c r="AE3057" s="35"/>
      <c r="AF3057" s="35"/>
      <c r="AG3057" s="35"/>
      <c r="AH3057" s="35"/>
      <c r="AI3057" s="35"/>
      <c r="AJ3057" s="35"/>
      <c r="AK3057" s="35"/>
      <c r="AL3057" s="35"/>
    </row>
    <row r="3058">
      <c r="A3058" s="1" t="s">
        <v>2</v>
      </c>
      <c r="B3058" s="19" t="s">
        <v>4071</v>
      </c>
      <c r="C3058" s="20" t="s">
        <v>14801</v>
      </c>
      <c r="D3058" s="47"/>
      <c r="E3058" s="22" t="s">
        <v>5071</v>
      </c>
      <c r="F3058" s="22" t="s">
        <v>11142</v>
      </c>
      <c r="G3058" s="23">
        <v>2017.0</v>
      </c>
      <c r="H3058" s="22" t="s">
        <v>2181</v>
      </c>
      <c r="I3058" s="24" t="s">
        <v>14939</v>
      </c>
      <c r="J3058" s="22" t="s">
        <v>31</v>
      </c>
      <c r="K3058" s="22" t="s">
        <v>14940</v>
      </c>
      <c r="L3058" s="36" t="s">
        <v>14941</v>
      </c>
      <c r="M3058" s="36"/>
      <c r="N3058" s="36"/>
      <c r="O3058" s="36"/>
      <c r="P3058" s="37"/>
      <c r="Q3058" s="36"/>
      <c r="R3058" s="36"/>
      <c r="S3058" s="36"/>
      <c r="T3058" s="42" t="s">
        <v>14942</v>
      </c>
      <c r="U3058" s="38" t="str">
        <f>HYPERLINK("https://www.ncbi.nlm.nih.gov/pubmed/28584230","PubMed")</f>
        <v>PubMed</v>
      </c>
      <c r="V3058" s="50"/>
      <c r="W3058" s="49"/>
      <c r="X3058" s="49"/>
      <c r="Y3058" s="35"/>
      <c r="Z3058" s="35"/>
      <c r="AA3058" s="35"/>
      <c r="AB3058" s="35"/>
      <c r="AC3058" s="35"/>
      <c r="AD3058" s="35"/>
      <c r="AE3058" s="35"/>
      <c r="AF3058" s="35"/>
      <c r="AG3058" s="35"/>
      <c r="AH3058" s="35"/>
      <c r="AI3058" s="35"/>
      <c r="AJ3058" s="35"/>
      <c r="AK3058" s="35"/>
      <c r="AL3058" s="35"/>
    </row>
    <row r="3059">
      <c r="A3059" s="1"/>
      <c r="B3059" s="19" t="s">
        <v>4071</v>
      </c>
      <c r="C3059" s="20" t="s">
        <v>14801</v>
      </c>
      <c r="D3059" s="47"/>
      <c r="E3059" s="22" t="s">
        <v>626</v>
      </c>
      <c r="F3059" s="22" t="s">
        <v>14943</v>
      </c>
      <c r="G3059" s="23">
        <v>2017.0</v>
      </c>
      <c r="H3059" s="22" t="s">
        <v>2919</v>
      </c>
      <c r="I3059" s="24" t="s">
        <v>14944</v>
      </c>
      <c r="J3059" s="22" t="s">
        <v>14945</v>
      </c>
      <c r="K3059" s="22" t="s">
        <v>2073</v>
      </c>
      <c r="L3059" s="36">
        <v>1064.0</v>
      </c>
      <c r="M3059" s="36" t="s">
        <v>14946</v>
      </c>
      <c r="N3059" s="36" t="s">
        <v>3054</v>
      </c>
      <c r="O3059" s="36" t="s">
        <v>14947</v>
      </c>
      <c r="P3059" s="37" t="s">
        <v>14948</v>
      </c>
      <c r="Q3059" s="36" t="s">
        <v>3231</v>
      </c>
      <c r="R3059" s="36" t="s">
        <v>14949</v>
      </c>
      <c r="S3059" s="36" t="s">
        <v>14950</v>
      </c>
      <c r="T3059" s="28" t="s">
        <v>14951</v>
      </c>
      <c r="U3059" s="38" t="str">
        <f>HYPERLINK("https://www.ncbi.nlm.nih.gov/pubmed/28178891","PubMed")</f>
        <v>PubMed</v>
      </c>
      <c r="V3059" s="30" t="s">
        <v>14952</v>
      </c>
      <c r="W3059" s="49"/>
      <c r="X3059" s="49"/>
      <c r="Y3059" s="35"/>
      <c r="Z3059" s="35"/>
      <c r="AA3059" s="35"/>
      <c r="AB3059" s="35"/>
      <c r="AC3059" s="35"/>
      <c r="AD3059" s="35"/>
      <c r="AE3059" s="35"/>
      <c r="AF3059" s="35"/>
      <c r="AG3059" s="35"/>
      <c r="AH3059" s="35"/>
      <c r="AI3059" s="35"/>
      <c r="AJ3059" s="35"/>
      <c r="AK3059" s="35"/>
      <c r="AL3059" s="35"/>
    </row>
    <row r="3060">
      <c r="A3060" s="1"/>
      <c r="B3060" s="19" t="s">
        <v>4071</v>
      </c>
      <c r="C3060" s="20" t="s">
        <v>14801</v>
      </c>
      <c r="D3060" s="47"/>
      <c r="E3060" s="22" t="s">
        <v>626</v>
      </c>
      <c r="F3060" s="22" t="s">
        <v>14943</v>
      </c>
      <c r="G3060" s="23">
        <v>2016.0</v>
      </c>
      <c r="H3060" s="22" t="s">
        <v>2181</v>
      </c>
      <c r="I3060" s="24" t="s">
        <v>14953</v>
      </c>
      <c r="J3060" s="22" t="s">
        <v>14945</v>
      </c>
      <c r="K3060" s="22" t="s">
        <v>1112</v>
      </c>
      <c r="L3060" s="36">
        <v>1064.0</v>
      </c>
      <c r="M3060" s="36" t="s">
        <v>14946</v>
      </c>
      <c r="N3060" s="36" t="s">
        <v>3054</v>
      </c>
      <c r="O3060" s="36" t="s">
        <v>14947</v>
      </c>
      <c r="P3060" s="37" t="s">
        <v>14948</v>
      </c>
      <c r="Q3060" s="36" t="s">
        <v>3231</v>
      </c>
      <c r="R3060" s="36" t="s">
        <v>14949</v>
      </c>
      <c r="S3060" s="36" t="s">
        <v>14950</v>
      </c>
      <c r="T3060" s="28" t="s">
        <v>14954</v>
      </c>
      <c r="U3060" s="38" t="str">
        <f>HYPERLINK("http://www.ncbi.nlm.nih.gov/pubmed/27484673","PubMed")</f>
        <v>PubMed</v>
      </c>
      <c r="V3060" s="50"/>
      <c r="W3060" s="49"/>
      <c r="X3060" s="49"/>
      <c r="Y3060" s="35"/>
      <c r="Z3060" s="35"/>
      <c r="AA3060" s="35"/>
      <c r="AB3060" s="35"/>
      <c r="AC3060" s="35"/>
      <c r="AD3060" s="35"/>
      <c r="AE3060" s="35"/>
      <c r="AF3060" s="35"/>
      <c r="AG3060" s="35"/>
      <c r="AH3060" s="35"/>
      <c r="AI3060" s="35"/>
      <c r="AJ3060" s="35"/>
      <c r="AK3060" s="35"/>
      <c r="AL3060" s="35"/>
    </row>
    <row r="3061">
      <c r="A3061" s="1"/>
      <c r="B3061" s="19" t="s">
        <v>4071</v>
      </c>
      <c r="C3061" s="20" t="s">
        <v>14801</v>
      </c>
      <c r="D3061" s="47"/>
      <c r="E3061" s="22" t="s">
        <v>5065</v>
      </c>
      <c r="F3061" s="22" t="s">
        <v>540</v>
      </c>
      <c r="G3061" s="23">
        <v>2016.0</v>
      </c>
      <c r="H3061" s="22" t="s">
        <v>658</v>
      </c>
      <c r="I3061" s="24" t="s">
        <v>14955</v>
      </c>
      <c r="J3061" s="22" t="s">
        <v>31</v>
      </c>
      <c r="K3061" s="22" t="s">
        <v>14956</v>
      </c>
      <c r="L3061" s="36"/>
      <c r="M3061" s="36"/>
      <c r="N3061" s="36"/>
      <c r="O3061" s="36"/>
      <c r="P3061" s="37"/>
      <c r="Q3061" s="36"/>
      <c r="R3061" s="36"/>
      <c r="S3061" s="36"/>
      <c r="T3061" s="28" t="s">
        <v>14957</v>
      </c>
      <c r="U3061" s="38" t="str">
        <f>HYPERLINK("https://www.ncbi.nlm.nih.gov/pubmed/27622977","PubMed")</f>
        <v>PubMed</v>
      </c>
      <c r="V3061" s="50"/>
      <c r="W3061" s="49"/>
      <c r="X3061" s="49"/>
      <c r="Y3061" s="35"/>
      <c r="Z3061" s="35"/>
      <c r="AA3061" s="35"/>
      <c r="AB3061" s="35"/>
      <c r="AC3061" s="35"/>
      <c r="AD3061" s="35"/>
      <c r="AE3061" s="35"/>
      <c r="AF3061" s="35"/>
      <c r="AG3061" s="35"/>
      <c r="AH3061" s="35"/>
      <c r="AI3061" s="35"/>
      <c r="AJ3061" s="35"/>
      <c r="AK3061" s="35"/>
      <c r="AL3061" s="35"/>
    </row>
    <row r="3062">
      <c r="A3062" s="133" t="s">
        <v>2</v>
      </c>
      <c r="B3062" s="19" t="s">
        <v>4071</v>
      </c>
      <c r="C3062" s="20" t="s">
        <v>14801</v>
      </c>
      <c r="D3062" s="47"/>
      <c r="E3062" s="22" t="s">
        <v>626</v>
      </c>
      <c r="F3062" s="22" t="s">
        <v>2407</v>
      </c>
      <c r="G3062" s="23">
        <v>2016.0</v>
      </c>
      <c r="H3062" s="22" t="s">
        <v>14537</v>
      </c>
      <c r="I3062" s="24" t="s">
        <v>14958</v>
      </c>
      <c r="J3062" s="22" t="s">
        <v>31</v>
      </c>
      <c r="K3062" s="22" t="s">
        <v>14959</v>
      </c>
      <c r="L3062" s="36" t="s">
        <v>14960</v>
      </c>
      <c r="M3062" s="36"/>
      <c r="N3062" s="36"/>
      <c r="O3062" s="36"/>
      <c r="P3062" s="37" t="s">
        <v>14961</v>
      </c>
      <c r="Q3062" s="36"/>
      <c r="R3062" s="36"/>
      <c r="S3062" s="36"/>
      <c r="T3062" s="302" t="s">
        <v>14962</v>
      </c>
      <c r="U3062" s="38" t="str">
        <f>HYPERLINK("https://www.ncbi.nlm.nih.gov/pubmed/27751953","PubMed")</f>
        <v>PubMed</v>
      </c>
      <c r="V3062" s="30" t="s">
        <v>14963</v>
      </c>
      <c r="W3062" s="49"/>
      <c r="X3062" s="49"/>
      <c r="Y3062" s="35"/>
      <c r="Z3062" s="35"/>
      <c r="AA3062" s="35"/>
      <c r="AB3062" s="35"/>
      <c r="AC3062" s="35"/>
      <c r="AD3062" s="35"/>
      <c r="AE3062" s="35"/>
      <c r="AF3062" s="35"/>
      <c r="AG3062" s="35"/>
      <c r="AH3062" s="35"/>
      <c r="AI3062" s="35"/>
      <c r="AJ3062" s="35"/>
      <c r="AK3062" s="35"/>
      <c r="AL3062" s="35"/>
    </row>
    <row r="3063">
      <c r="A3063" s="133"/>
      <c r="B3063" s="19" t="s">
        <v>4071</v>
      </c>
      <c r="C3063" s="20" t="s">
        <v>14801</v>
      </c>
      <c r="D3063" s="47"/>
      <c r="E3063" s="22" t="s">
        <v>1767</v>
      </c>
      <c r="F3063" s="22" t="s">
        <v>14964</v>
      </c>
      <c r="G3063" s="23">
        <v>2016.0</v>
      </c>
      <c r="H3063" s="22" t="s">
        <v>14965</v>
      </c>
      <c r="I3063" s="24" t="s">
        <v>14966</v>
      </c>
      <c r="J3063" s="22" t="s">
        <v>31</v>
      </c>
      <c r="K3063" s="22" t="s">
        <v>14967</v>
      </c>
      <c r="L3063" s="36">
        <v>810.0</v>
      </c>
      <c r="M3063" s="36"/>
      <c r="N3063" s="36"/>
      <c r="O3063" s="36"/>
      <c r="P3063" s="37" t="s">
        <v>14968</v>
      </c>
      <c r="Q3063" s="36"/>
      <c r="R3063" s="36">
        <v>300.0</v>
      </c>
      <c r="S3063" s="36"/>
      <c r="T3063" s="302" t="s">
        <v>14969</v>
      </c>
      <c r="U3063" s="38" t="str">
        <f>HYPERLINK("https://www.ncbi.nlm.nih.gov/pubmed/27396269","PubMed")</f>
        <v>PubMed</v>
      </c>
      <c r="V3063" s="30"/>
      <c r="W3063" s="49"/>
      <c r="X3063" s="49"/>
      <c r="Y3063" s="35"/>
      <c r="Z3063" s="35"/>
      <c r="AA3063" s="35"/>
      <c r="AB3063" s="35"/>
      <c r="AC3063" s="35"/>
      <c r="AD3063" s="35"/>
      <c r="AE3063" s="35"/>
      <c r="AF3063" s="35"/>
      <c r="AG3063" s="35"/>
      <c r="AH3063" s="35"/>
      <c r="AI3063" s="35"/>
      <c r="AJ3063" s="35"/>
      <c r="AK3063" s="35"/>
      <c r="AL3063" s="35"/>
    </row>
    <row r="3064">
      <c r="A3064" s="1"/>
      <c r="B3064" s="19" t="s">
        <v>4071</v>
      </c>
      <c r="C3064" s="20" t="s">
        <v>14801</v>
      </c>
      <c r="D3064" s="47"/>
      <c r="E3064" s="22" t="s">
        <v>14835</v>
      </c>
      <c r="F3064" s="22" t="s">
        <v>1173</v>
      </c>
      <c r="G3064" s="23">
        <v>2016.0</v>
      </c>
      <c r="H3064" s="22" t="s">
        <v>658</v>
      </c>
      <c r="I3064" s="24" t="s">
        <v>14970</v>
      </c>
      <c r="J3064" s="22" t="s">
        <v>31</v>
      </c>
      <c r="K3064" s="22" t="s">
        <v>294</v>
      </c>
      <c r="L3064" s="36" t="s">
        <v>14971</v>
      </c>
      <c r="M3064" s="36"/>
      <c r="N3064" s="36"/>
      <c r="O3064" s="36"/>
      <c r="P3064" s="37"/>
      <c r="Q3064" s="36"/>
      <c r="R3064" s="36"/>
      <c r="S3064" s="36"/>
      <c r="T3064" s="41" t="s">
        <v>14972</v>
      </c>
      <c r="U3064" s="38" t="str">
        <f>HYPERLINK("https://www.ncbi.nlm.nih.gov/pubmed/27111566","PubMed")</f>
        <v>PubMed</v>
      </c>
      <c r="V3064" s="50"/>
      <c r="W3064" s="49"/>
      <c r="X3064" s="49"/>
      <c r="Y3064" s="35"/>
      <c r="Z3064" s="35"/>
      <c r="AA3064" s="35"/>
      <c r="AB3064" s="35"/>
      <c r="AC3064" s="35"/>
      <c r="AD3064" s="35"/>
      <c r="AE3064" s="35"/>
      <c r="AF3064" s="35"/>
      <c r="AG3064" s="35"/>
      <c r="AH3064" s="35"/>
      <c r="AI3064" s="35"/>
      <c r="AJ3064" s="35"/>
      <c r="AK3064" s="35"/>
      <c r="AL3064" s="35"/>
    </row>
    <row r="3065">
      <c r="A3065" s="133"/>
      <c r="B3065" s="19" t="s">
        <v>4071</v>
      </c>
      <c r="C3065" s="20" t="s">
        <v>14801</v>
      </c>
      <c r="D3065" s="47"/>
      <c r="E3065" s="22" t="s">
        <v>223</v>
      </c>
      <c r="F3065" s="22" t="s">
        <v>5497</v>
      </c>
      <c r="G3065" s="23">
        <v>2015.0</v>
      </c>
      <c r="H3065" s="22" t="s">
        <v>1025</v>
      </c>
      <c r="I3065" s="24" t="s">
        <v>14973</v>
      </c>
      <c r="J3065" s="22" t="s">
        <v>31</v>
      </c>
      <c r="K3065" s="22" t="s">
        <v>14974</v>
      </c>
      <c r="L3065" s="37" t="s">
        <v>14975</v>
      </c>
      <c r="M3065" s="37"/>
      <c r="N3065" s="37"/>
      <c r="O3065" s="37"/>
      <c r="P3065" s="37"/>
      <c r="Q3065" s="299"/>
      <c r="R3065" s="37"/>
      <c r="S3065" s="37"/>
      <c r="T3065" s="28" t="s">
        <v>14976</v>
      </c>
      <c r="U3065" s="38" t="str">
        <f>HYPERLINK("https://www.ncbi.nlm.nih.gov/pubmed/25611980","PubMed")</f>
        <v>PubMed</v>
      </c>
      <c r="V3065" s="30"/>
      <c r="W3065" s="34"/>
      <c r="X3065" s="49"/>
      <c r="Y3065" s="35"/>
      <c r="Z3065" s="35"/>
      <c r="AA3065" s="35"/>
      <c r="AB3065" s="35"/>
      <c r="AC3065" s="35"/>
      <c r="AD3065" s="35"/>
      <c r="AE3065" s="35"/>
      <c r="AF3065" s="35"/>
      <c r="AG3065" s="35"/>
      <c r="AH3065" s="35"/>
      <c r="AI3065" s="35"/>
      <c r="AJ3065" s="35"/>
      <c r="AK3065" s="35"/>
      <c r="AL3065" s="35"/>
    </row>
    <row r="3066">
      <c r="A3066" s="133"/>
      <c r="B3066" s="19" t="s">
        <v>4071</v>
      </c>
      <c r="C3066" s="20" t="s">
        <v>14801</v>
      </c>
      <c r="D3066" s="47"/>
      <c r="E3066" s="22" t="s">
        <v>14977</v>
      </c>
      <c r="F3066" s="22" t="s">
        <v>1617</v>
      </c>
      <c r="G3066" s="23">
        <v>2015.0</v>
      </c>
      <c r="H3066" s="22" t="s">
        <v>91</v>
      </c>
      <c r="I3066" s="24" t="s">
        <v>14978</v>
      </c>
      <c r="J3066" s="22" t="s">
        <v>31</v>
      </c>
      <c r="K3066" s="22" t="s">
        <v>6281</v>
      </c>
      <c r="L3066" s="37" t="s">
        <v>14979</v>
      </c>
      <c r="M3066" s="37"/>
      <c r="N3066" s="37" t="s">
        <v>6101</v>
      </c>
      <c r="O3066" s="37"/>
      <c r="P3066" s="37"/>
      <c r="Q3066" s="299"/>
      <c r="R3066" s="37"/>
      <c r="S3066" s="37"/>
      <c r="T3066" s="28" t="s">
        <v>14980</v>
      </c>
      <c r="U3066" s="29" t="s">
        <v>61</v>
      </c>
      <c r="V3066" s="30"/>
      <c r="W3066" s="34"/>
      <c r="X3066" s="49"/>
      <c r="Y3066" s="35"/>
      <c r="Z3066" s="35"/>
      <c r="AA3066" s="35"/>
      <c r="AB3066" s="35"/>
      <c r="AC3066" s="35"/>
      <c r="AD3066" s="35"/>
      <c r="AE3066" s="35"/>
      <c r="AF3066" s="35"/>
      <c r="AG3066" s="35"/>
      <c r="AH3066" s="35"/>
      <c r="AI3066" s="35"/>
      <c r="AJ3066" s="35"/>
      <c r="AK3066" s="35"/>
      <c r="AL3066" s="35"/>
    </row>
    <row r="3067">
      <c r="A3067" s="133"/>
      <c r="B3067" s="19" t="s">
        <v>4071</v>
      </c>
      <c r="C3067" s="20" t="s">
        <v>14801</v>
      </c>
      <c r="D3067" s="47"/>
      <c r="E3067" s="22" t="s">
        <v>14981</v>
      </c>
      <c r="F3067" s="22" t="s">
        <v>7607</v>
      </c>
      <c r="G3067" s="23">
        <v>2014.0</v>
      </c>
      <c r="H3067" s="22" t="s">
        <v>9978</v>
      </c>
      <c r="I3067" s="24" t="s">
        <v>14982</v>
      </c>
      <c r="J3067" s="22" t="s">
        <v>44</v>
      </c>
      <c r="K3067" s="22"/>
      <c r="L3067" s="37" t="s">
        <v>14983</v>
      </c>
      <c r="M3067" s="37"/>
      <c r="N3067" s="37"/>
      <c r="O3067" s="37"/>
      <c r="P3067" s="37"/>
      <c r="Q3067" s="299"/>
      <c r="R3067" s="37"/>
      <c r="S3067" s="37"/>
      <c r="T3067" s="28" t="s">
        <v>14984</v>
      </c>
      <c r="U3067" s="38" t="s">
        <v>61</v>
      </c>
      <c r="V3067" s="30"/>
      <c r="W3067" s="34"/>
      <c r="X3067" s="49"/>
      <c r="Y3067" s="35"/>
      <c r="Z3067" s="35"/>
      <c r="AA3067" s="35"/>
      <c r="AB3067" s="35"/>
      <c r="AC3067" s="35"/>
      <c r="AD3067" s="35"/>
      <c r="AE3067" s="35"/>
      <c r="AF3067" s="35"/>
      <c r="AG3067" s="35"/>
      <c r="AH3067" s="35"/>
      <c r="AI3067" s="35"/>
      <c r="AJ3067" s="35"/>
      <c r="AK3067" s="35"/>
      <c r="AL3067" s="35"/>
    </row>
    <row r="3068">
      <c r="A3068" s="133"/>
      <c r="B3068" s="19" t="s">
        <v>4071</v>
      </c>
      <c r="C3068" s="20" t="s">
        <v>14801</v>
      </c>
      <c r="D3068" s="47"/>
      <c r="E3068" s="22" t="s">
        <v>14985</v>
      </c>
      <c r="F3068" s="22" t="s">
        <v>2346</v>
      </c>
      <c r="G3068" s="23">
        <v>2014.0</v>
      </c>
      <c r="H3068" s="22" t="s">
        <v>91</v>
      </c>
      <c r="I3068" s="24" t="s">
        <v>14986</v>
      </c>
      <c r="J3068" s="22" t="s">
        <v>31</v>
      </c>
      <c r="K3068" s="22" t="s">
        <v>14987</v>
      </c>
      <c r="L3068" s="37" t="s">
        <v>14988</v>
      </c>
      <c r="M3068" s="37"/>
      <c r="N3068" s="37"/>
      <c r="O3068" s="37"/>
      <c r="P3068" s="37"/>
      <c r="Q3068" s="299"/>
      <c r="R3068" s="37"/>
      <c r="S3068" s="37"/>
      <c r="T3068" s="28" t="s">
        <v>14989</v>
      </c>
      <c r="U3068" s="38" t="str">
        <f>HYPERLINK("https://www.ncbi.nlm.nih.gov/pubmed/24858235","PubMed")</f>
        <v>PubMed</v>
      </c>
      <c r="V3068" s="30"/>
      <c r="W3068" s="34"/>
      <c r="X3068" s="49"/>
      <c r="Y3068" s="35"/>
      <c r="Z3068" s="35"/>
      <c r="AA3068" s="35"/>
      <c r="AB3068" s="35"/>
      <c r="AC3068" s="35"/>
      <c r="AD3068" s="35"/>
      <c r="AE3068" s="35"/>
      <c r="AF3068" s="35"/>
      <c r="AG3068" s="35"/>
      <c r="AH3068" s="35"/>
      <c r="AI3068" s="35"/>
      <c r="AJ3068" s="35"/>
      <c r="AK3068" s="35"/>
      <c r="AL3068" s="35"/>
    </row>
    <row r="3069">
      <c r="A3069" s="133"/>
      <c r="B3069" s="19" t="s">
        <v>4071</v>
      </c>
      <c r="C3069" s="20" t="s">
        <v>14801</v>
      </c>
      <c r="D3069" s="47"/>
      <c r="E3069" s="22" t="s">
        <v>4212</v>
      </c>
      <c r="F3069" s="22" t="s">
        <v>2196</v>
      </c>
      <c r="G3069" s="23">
        <v>2014.0</v>
      </c>
      <c r="H3069" s="22" t="s">
        <v>1000</v>
      </c>
      <c r="I3069" s="24" t="s">
        <v>14990</v>
      </c>
      <c r="J3069" s="22" t="s">
        <v>31</v>
      </c>
      <c r="K3069" s="22"/>
      <c r="L3069" s="37" t="s">
        <v>14991</v>
      </c>
      <c r="M3069" s="37"/>
      <c r="N3069" s="37" t="s">
        <v>1897</v>
      </c>
      <c r="O3069" s="37"/>
      <c r="P3069" s="37"/>
      <c r="Q3069" s="299"/>
      <c r="R3069" s="37"/>
      <c r="S3069" s="37"/>
      <c r="T3069" s="28" t="s">
        <v>14992</v>
      </c>
      <c r="U3069" s="38" t="str">
        <f>HYPERLINK("https://www.hindawi.com/journals/ijp/2014/898752/","Hindawi")</f>
        <v>Hindawi</v>
      </c>
      <c r="V3069" s="30"/>
      <c r="W3069" s="34"/>
      <c r="X3069" s="49"/>
      <c r="Y3069" s="35"/>
      <c r="Z3069" s="35"/>
      <c r="AA3069" s="35"/>
      <c r="AB3069" s="35"/>
      <c r="AC3069" s="35"/>
      <c r="AD3069" s="35"/>
      <c r="AE3069" s="35"/>
      <c r="AF3069" s="35"/>
      <c r="AG3069" s="35"/>
      <c r="AH3069" s="35"/>
      <c r="AI3069" s="35"/>
      <c r="AJ3069" s="35"/>
      <c r="AK3069" s="35"/>
      <c r="AL3069" s="35"/>
    </row>
    <row r="3070">
      <c r="A3070" s="133"/>
      <c r="B3070" s="19" t="s">
        <v>4071</v>
      </c>
      <c r="C3070" s="20" t="s">
        <v>14801</v>
      </c>
      <c r="D3070" s="47"/>
      <c r="E3070" s="22" t="s">
        <v>14985</v>
      </c>
      <c r="F3070" s="22" t="s">
        <v>2346</v>
      </c>
      <c r="G3070" s="23">
        <v>2013.0</v>
      </c>
      <c r="H3070" s="22" t="s">
        <v>91</v>
      </c>
      <c r="I3070" s="24" t="s">
        <v>14993</v>
      </c>
      <c r="J3070" s="22" t="s">
        <v>55</v>
      </c>
      <c r="K3070" s="22" t="s">
        <v>14994</v>
      </c>
      <c r="L3070" s="37" t="s">
        <v>14995</v>
      </c>
      <c r="M3070" s="37"/>
      <c r="N3070" s="37"/>
      <c r="O3070" s="37"/>
      <c r="P3070" s="37"/>
      <c r="Q3070" s="299"/>
      <c r="R3070" s="37"/>
      <c r="S3070" s="37"/>
      <c r="T3070" s="28" t="s">
        <v>14996</v>
      </c>
      <c r="U3070" s="38" t="str">
        <f>HYPERLINK("https://www.ncbi.nlm.nih.gov/pubmed/22797824","PubMed")</f>
        <v>PubMed</v>
      </c>
      <c r="V3070" s="30"/>
      <c r="W3070" s="34"/>
      <c r="X3070" s="49"/>
      <c r="Y3070" s="35"/>
      <c r="Z3070" s="35"/>
      <c r="AA3070" s="35"/>
      <c r="AB3070" s="35"/>
      <c r="AC3070" s="35"/>
      <c r="AD3070" s="35"/>
      <c r="AE3070" s="35"/>
      <c r="AF3070" s="35"/>
      <c r="AG3070" s="35"/>
      <c r="AH3070" s="35"/>
      <c r="AI3070" s="35"/>
      <c r="AJ3070" s="35"/>
      <c r="AK3070" s="35"/>
      <c r="AL3070" s="35"/>
    </row>
    <row r="3071">
      <c r="A3071" s="18" t="s">
        <v>2</v>
      </c>
      <c r="B3071" s="19" t="s">
        <v>4071</v>
      </c>
      <c r="C3071" s="20" t="s">
        <v>14801</v>
      </c>
      <c r="D3071" s="47"/>
      <c r="E3071" s="22" t="s">
        <v>4966</v>
      </c>
      <c r="F3071" s="22" t="s">
        <v>1386</v>
      </c>
      <c r="G3071" s="23">
        <v>2012.0</v>
      </c>
      <c r="H3071" s="22" t="s">
        <v>53</v>
      </c>
      <c r="I3071" s="24" t="s">
        <v>14997</v>
      </c>
      <c r="J3071" s="22" t="s">
        <v>31</v>
      </c>
      <c r="K3071" s="22" t="s">
        <v>14998</v>
      </c>
      <c r="L3071" s="37" t="s">
        <v>14999</v>
      </c>
      <c r="M3071" s="37"/>
      <c r="N3071" s="37"/>
      <c r="O3071" s="37"/>
      <c r="P3071" s="37" t="s">
        <v>13010</v>
      </c>
      <c r="Q3071" s="299"/>
      <c r="R3071" s="37"/>
      <c r="S3071" s="37"/>
      <c r="T3071" s="28" t="s">
        <v>15000</v>
      </c>
      <c r="U3071" s="38" t="str">
        <f>HYPERLINK("https://www.ncbi.nlm.nih.gov/pubmed/22488690","PubMed")</f>
        <v>PubMed</v>
      </c>
      <c r="V3071" s="30"/>
      <c r="W3071" s="34"/>
      <c r="X3071" s="49"/>
      <c r="Y3071" s="35"/>
      <c r="Z3071" s="35"/>
      <c r="AA3071" s="35"/>
      <c r="AB3071" s="35"/>
      <c r="AC3071" s="35"/>
      <c r="AD3071" s="35"/>
      <c r="AE3071" s="35"/>
      <c r="AF3071" s="35"/>
      <c r="AG3071" s="35"/>
      <c r="AH3071" s="35"/>
      <c r="AI3071" s="35"/>
      <c r="AJ3071" s="35"/>
      <c r="AK3071" s="35"/>
      <c r="AL3071" s="35"/>
    </row>
    <row r="3072">
      <c r="A3072" s="133"/>
      <c r="B3072" s="19" t="s">
        <v>4071</v>
      </c>
      <c r="C3072" s="20" t="s">
        <v>14801</v>
      </c>
      <c r="D3072" s="47"/>
      <c r="E3072" s="22" t="s">
        <v>15001</v>
      </c>
      <c r="F3072" s="22" t="s">
        <v>12109</v>
      </c>
      <c r="G3072" s="23">
        <v>2012.0</v>
      </c>
      <c r="H3072" s="22" t="s">
        <v>658</v>
      </c>
      <c r="I3072" s="24" t="s">
        <v>15002</v>
      </c>
      <c r="J3072" s="22" t="s">
        <v>31</v>
      </c>
      <c r="K3072" s="22" t="s">
        <v>15003</v>
      </c>
      <c r="L3072" s="37" t="s">
        <v>15004</v>
      </c>
      <c r="M3072" s="37"/>
      <c r="N3072" s="37"/>
      <c r="O3072" s="37"/>
      <c r="P3072" s="37"/>
      <c r="Q3072" s="299"/>
      <c r="R3072" s="37"/>
      <c r="S3072" s="37"/>
      <c r="T3072" s="28" t="s">
        <v>15005</v>
      </c>
      <c r="U3072" s="38" t="str">
        <f>HYPERLINK("https://www.ncbi.nlm.nih.gov/pubmed/21967485","PubMed")</f>
        <v>PubMed</v>
      </c>
      <c r="V3072" s="30"/>
      <c r="W3072" s="34"/>
      <c r="X3072" s="49"/>
      <c r="Y3072" s="35"/>
      <c r="Z3072" s="35"/>
      <c r="AA3072" s="35"/>
      <c r="AB3072" s="35"/>
      <c r="AC3072" s="35"/>
      <c r="AD3072" s="35"/>
      <c r="AE3072" s="35"/>
      <c r="AF3072" s="35"/>
      <c r="AG3072" s="35"/>
      <c r="AH3072" s="35"/>
      <c r="AI3072" s="35"/>
      <c r="AJ3072" s="35"/>
      <c r="AK3072" s="35"/>
      <c r="AL3072" s="35"/>
    </row>
    <row r="3073">
      <c r="A3073" s="133"/>
      <c r="B3073" s="19" t="s">
        <v>4071</v>
      </c>
      <c r="C3073" s="20" t="s">
        <v>14801</v>
      </c>
      <c r="D3073" s="47"/>
      <c r="E3073" s="22" t="s">
        <v>15006</v>
      </c>
      <c r="F3073" s="22" t="s">
        <v>15007</v>
      </c>
      <c r="G3073" s="23">
        <v>2011.0</v>
      </c>
      <c r="H3073" s="22" t="s">
        <v>15008</v>
      </c>
      <c r="I3073" s="24" t="s">
        <v>15009</v>
      </c>
      <c r="J3073" s="22" t="s">
        <v>15010</v>
      </c>
      <c r="K3073" s="22"/>
      <c r="L3073" s="37" t="s">
        <v>14763</v>
      </c>
      <c r="M3073" s="37"/>
      <c r="N3073" s="37"/>
      <c r="O3073" s="37"/>
      <c r="P3073" s="37"/>
      <c r="Q3073" s="299"/>
      <c r="R3073" s="37"/>
      <c r="S3073" s="37"/>
      <c r="T3073" s="28" t="s">
        <v>15011</v>
      </c>
      <c r="U3073" s="29" t="s">
        <v>6709</v>
      </c>
      <c r="V3073" s="30"/>
      <c r="W3073" s="34"/>
      <c r="X3073" s="49"/>
      <c r="Y3073" s="35"/>
      <c r="Z3073" s="35"/>
      <c r="AA3073" s="35"/>
      <c r="AB3073" s="35"/>
      <c r="AC3073" s="35"/>
      <c r="AD3073" s="35"/>
      <c r="AE3073" s="35"/>
      <c r="AF3073" s="35"/>
      <c r="AG3073" s="35"/>
      <c r="AH3073" s="35"/>
      <c r="AI3073" s="35"/>
      <c r="AJ3073" s="35"/>
      <c r="AK3073" s="35"/>
      <c r="AL3073" s="35"/>
    </row>
    <row r="3074">
      <c r="A3074" s="133"/>
      <c r="B3074" s="19" t="s">
        <v>4071</v>
      </c>
      <c r="C3074" s="20" t="s">
        <v>14801</v>
      </c>
      <c r="D3074" s="47"/>
      <c r="E3074" s="22" t="s">
        <v>15012</v>
      </c>
      <c r="F3074" s="22" t="s">
        <v>8796</v>
      </c>
      <c r="G3074" s="23">
        <v>2011.0</v>
      </c>
      <c r="H3074" s="22" t="s">
        <v>15013</v>
      </c>
      <c r="I3074" s="24" t="s">
        <v>15014</v>
      </c>
      <c r="J3074" s="22" t="s">
        <v>15015</v>
      </c>
      <c r="K3074" s="22"/>
      <c r="L3074" s="37" t="s">
        <v>15016</v>
      </c>
      <c r="M3074" s="37"/>
      <c r="N3074" s="37"/>
      <c r="O3074" s="37"/>
      <c r="P3074" s="37"/>
      <c r="Q3074" s="299"/>
      <c r="R3074" s="37"/>
      <c r="S3074" s="37"/>
      <c r="T3074" s="28" t="s">
        <v>15017</v>
      </c>
      <c r="U3074" s="29" t="s">
        <v>15018</v>
      </c>
      <c r="V3074" s="30"/>
      <c r="W3074" s="34"/>
      <c r="X3074" s="49"/>
      <c r="Y3074" s="35"/>
      <c r="Z3074" s="35"/>
      <c r="AA3074" s="35"/>
      <c r="AB3074" s="35"/>
      <c r="AC3074" s="35"/>
      <c r="AD3074" s="35"/>
      <c r="AE3074" s="35"/>
      <c r="AF3074" s="35"/>
      <c r="AG3074" s="35"/>
      <c r="AH3074" s="35"/>
      <c r="AI3074" s="35"/>
      <c r="AJ3074" s="35"/>
      <c r="AK3074" s="35"/>
      <c r="AL3074" s="35"/>
    </row>
    <row r="3075">
      <c r="A3075" s="133"/>
      <c r="B3075" s="19" t="s">
        <v>4071</v>
      </c>
      <c r="C3075" s="20" t="s">
        <v>14801</v>
      </c>
      <c r="D3075" s="47"/>
      <c r="E3075" s="22" t="s">
        <v>15019</v>
      </c>
      <c r="F3075" s="22" t="s">
        <v>15020</v>
      </c>
      <c r="G3075" s="23">
        <v>2011.0</v>
      </c>
      <c r="H3075" s="22" t="s">
        <v>207</v>
      </c>
      <c r="I3075" s="24" t="s">
        <v>15021</v>
      </c>
      <c r="J3075" s="22" t="s">
        <v>31</v>
      </c>
      <c r="K3075" s="22" t="s">
        <v>15022</v>
      </c>
      <c r="L3075" s="37" t="s">
        <v>15023</v>
      </c>
      <c r="M3075" s="37"/>
      <c r="N3075" s="37"/>
      <c r="O3075" s="37"/>
      <c r="P3075" s="37"/>
      <c r="Q3075" s="299"/>
      <c r="R3075" s="37"/>
      <c r="S3075" s="37"/>
      <c r="T3075" s="28" t="s">
        <v>15024</v>
      </c>
      <c r="U3075" s="38" t="str">
        <f>HYPERLINK("https://www.ncbi.nlm.nih.gov/pubmed/21237670","PubMed")</f>
        <v>PubMed</v>
      </c>
      <c r="V3075" s="30"/>
      <c r="W3075" s="34"/>
      <c r="X3075" s="49"/>
      <c r="Y3075" s="35"/>
      <c r="Z3075" s="35"/>
      <c r="AA3075" s="35"/>
      <c r="AB3075" s="35"/>
      <c r="AC3075" s="35"/>
      <c r="AD3075" s="35"/>
      <c r="AE3075" s="35"/>
      <c r="AF3075" s="35"/>
      <c r="AG3075" s="35"/>
      <c r="AH3075" s="35"/>
      <c r="AI3075" s="35"/>
      <c r="AJ3075" s="35"/>
      <c r="AK3075" s="35"/>
      <c r="AL3075" s="35"/>
    </row>
    <row r="3076">
      <c r="A3076" s="133"/>
      <c r="B3076" s="19" t="s">
        <v>4071</v>
      </c>
      <c r="C3076" s="20" t="s">
        <v>14801</v>
      </c>
      <c r="D3076" s="47"/>
      <c r="E3076" s="22" t="s">
        <v>1904</v>
      </c>
      <c r="F3076" s="22" t="s">
        <v>1622</v>
      </c>
      <c r="G3076" s="23">
        <v>2009.0</v>
      </c>
      <c r="H3076" s="22" t="s">
        <v>2594</v>
      </c>
      <c r="I3076" s="24" t="s">
        <v>15025</v>
      </c>
      <c r="J3076" s="22" t="s">
        <v>31</v>
      </c>
      <c r="K3076" s="22" t="s">
        <v>15022</v>
      </c>
      <c r="L3076" s="37" t="s">
        <v>15026</v>
      </c>
      <c r="M3076" s="37"/>
      <c r="N3076" s="37"/>
      <c r="O3076" s="37"/>
      <c r="P3076" s="37"/>
      <c r="Q3076" s="299"/>
      <c r="R3076" s="37"/>
      <c r="S3076" s="37"/>
      <c r="T3076" s="28" t="s">
        <v>15027</v>
      </c>
      <c r="U3076" s="38" t="str">
        <f>HYPERLINK("https://www.ncbi.nlm.nih.gov/pubmed/19545621","PubMed")</f>
        <v>PubMed</v>
      </c>
      <c r="V3076" s="30"/>
      <c r="W3076" s="34"/>
      <c r="X3076" s="49"/>
      <c r="Y3076" s="35"/>
      <c r="Z3076" s="35"/>
      <c r="AA3076" s="35"/>
      <c r="AB3076" s="35"/>
      <c r="AC3076" s="35"/>
      <c r="AD3076" s="35"/>
      <c r="AE3076" s="35"/>
      <c r="AF3076" s="35"/>
      <c r="AG3076" s="35"/>
      <c r="AH3076" s="35"/>
      <c r="AI3076" s="35"/>
      <c r="AJ3076" s="35"/>
      <c r="AK3076" s="35"/>
      <c r="AL3076" s="35"/>
    </row>
    <row r="3077">
      <c r="A3077" s="133"/>
      <c r="B3077" s="19" t="s">
        <v>4071</v>
      </c>
      <c r="C3077" s="20" t="s">
        <v>14801</v>
      </c>
      <c r="D3077" s="47"/>
      <c r="E3077" s="22" t="s">
        <v>14335</v>
      </c>
      <c r="F3077" s="22" t="s">
        <v>3441</v>
      </c>
      <c r="G3077" s="23">
        <v>2008.0</v>
      </c>
      <c r="H3077" s="22" t="s">
        <v>15028</v>
      </c>
      <c r="I3077" s="24" t="s">
        <v>15029</v>
      </c>
      <c r="J3077" s="22" t="s">
        <v>31</v>
      </c>
      <c r="K3077" s="22"/>
      <c r="L3077" s="37" t="s">
        <v>15030</v>
      </c>
      <c r="M3077" s="37" t="s">
        <v>15031</v>
      </c>
      <c r="N3077" s="37" t="s">
        <v>15032</v>
      </c>
      <c r="O3077" s="37"/>
      <c r="P3077" s="37" t="s">
        <v>15033</v>
      </c>
      <c r="Q3077" s="299"/>
      <c r="R3077" s="37" t="s">
        <v>15034</v>
      </c>
      <c r="S3077" s="37"/>
      <c r="T3077" s="28" t="s">
        <v>15035</v>
      </c>
      <c r="U3077" s="38" t="str">
        <f>HYPERLINK("http://ieeexplore.ieee.org/document/4451105/?arnumber=4451105","IEEE")</f>
        <v>IEEE</v>
      </c>
      <c r="V3077" s="30" t="s">
        <v>15036</v>
      </c>
      <c r="W3077" s="130" t="str">
        <f>HYPERLINK("http://ieeexplore.ieee.org/document/4481099/","Correction")</f>
        <v>Correction</v>
      </c>
      <c r="X3077" s="49"/>
      <c r="Y3077" s="35"/>
      <c r="Z3077" s="35"/>
      <c r="AA3077" s="35"/>
      <c r="AB3077" s="35"/>
      <c r="AC3077" s="35"/>
      <c r="AD3077" s="35"/>
      <c r="AE3077" s="35"/>
      <c r="AF3077" s="35"/>
      <c r="AG3077" s="35"/>
      <c r="AH3077" s="35"/>
      <c r="AI3077" s="35"/>
      <c r="AJ3077" s="35"/>
      <c r="AK3077" s="35"/>
      <c r="AL3077" s="35"/>
    </row>
    <row r="3078">
      <c r="A3078" s="133"/>
      <c r="B3078" s="19" t="s">
        <v>4071</v>
      </c>
      <c r="C3078" s="20" t="s">
        <v>14801</v>
      </c>
      <c r="D3078" s="47"/>
      <c r="E3078" s="22" t="s">
        <v>5109</v>
      </c>
      <c r="F3078" s="22" t="s">
        <v>5110</v>
      </c>
      <c r="G3078" s="23">
        <v>2008.0</v>
      </c>
      <c r="H3078" s="22" t="s">
        <v>658</v>
      </c>
      <c r="I3078" s="24" t="s">
        <v>15037</v>
      </c>
      <c r="J3078" s="22" t="s">
        <v>31</v>
      </c>
      <c r="K3078" s="22"/>
      <c r="L3078" s="37" t="s">
        <v>14763</v>
      </c>
      <c r="M3078" s="37"/>
      <c r="N3078" s="37"/>
      <c r="O3078" s="37"/>
      <c r="P3078" s="37"/>
      <c r="Q3078" s="299"/>
      <c r="R3078" s="37"/>
      <c r="S3078" s="37"/>
      <c r="T3078" s="28" t="s">
        <v>15038</v>
      </c>
      <c r="U3078" s="38" t="str">
        <f>HYPERLINK("https://www.ncbi.nlm.nih.gov/pubmed/19099388","PubMed")</f>
        <v>PubMed</v>
      </c>
      <c r="V3078" s="30"/>
      <c r="W3078" s="34"/>
      <c r="X3078" s="49"/>
      <c r="Y3078" s="35"/>
      <c r="Z3078" s="35"/>
      <c r="AA3078" s="35"/>
      <c r="AB3078" s="35"/>
      <c r="AC3078" s="35"/>
      <c r="AD3078" s="35"/>
      <c r="AE3078" s="35"/>
      <c r="AF3078" s="35"/>
      <c r="AG3078" s="35"/>
      <c r="AH3078" s="35"/>
      <c r="AI3078" s="35"/>
      <c r="AJ3078" s="35"/>
      <c r="AK3078" s="35"/>
      <c r="AL3078" s="35"/>
    </row>
    <row r="3079">
      <c r="A3079" s="133"/>
      <c r="B3079" s="19" t="s">
        <v>4071</v>
      </c>
      <c r="C3079" s="20" t="s">
        <v>14801</v>
      </c>
      <c r="D3079" s="47"/>
      <c r="E3079" s="22" t="s">
        <v>15012</v>
      </c>
      <c r="F3079" s="22" t="s">
        <v>8092</v>
      </c>
      <c r="G3079" s="23">
        <v>2008.0</v>
      </c>
      <c r="H3079" s="22" t="s">
        <v>15039</v>
      </c>
      <c r="I3079" s="24" t="s">
        <v>15040</v>
      </c>
      <c r="J3079" s="22" t="s">
        <v>15015</v>
      </c>
      <c r="K3079" s="22"/>
      <c r="L3079" s="37" t="s">
        <v>15016</v>
      </c>
      <c r="M3079" s="37"/>
      <c r="N3079" s="37"/>
      <c r="O3079" s="37"/>
      <c r="P3079" s="37"/>
      <c r="Q3079" s="299"/>
      <c r="R3079" s="37"/>
      <c r="S3079" s="37"/>
      <c r="T3079" s="28" t="s">
        <v>15041</v>
      </c>
      <c r="U3079" s="29" t="s">
        <v>15018</v>
      </c>
      <c r="V3079" s="30"/>
      <c r="W3079" s="34"/>
      <c r="X3079" s="49"/>
      <c r="Y3079" s="35"/>
      <c r="Z3079" s="35"/>
      <c r="AA3079" s="35"/>
      <c r="AB3079" s="35"/>
      <c r="AC3079" s="35"/>
      <c r="AD3079" s="35"/>
      <c r="AE3079" s="35"/>
      <c r="AF3079" s="35"/>
      <c r="AG3079" s="35"/>
      <c r="AH3079" s="35"/>
      <c r="AI3079" s="35"/>
      <c r="AJ3079" s="35"/>
      <c r="AK3079" s="35"/>
      <c r="AL3079" s="35"/>
    </row>
    <row r="3080">
      <c r="A3080" s="133"/>
      <c r="B3080" s="19" t="s">
        <v>4071</v>
      </c>
      <c r="C3080" s="20" t="s">
        <v>14801</v>
      </c>
      <c r="D3080" s="47"/>
      <c r="E3080" s="22" t="s">
        <v>15042</v>
      </c>
      <c r="F3080" s="22" t="s">
        <v>5238</v>
      </c>
      <c r="G3080" s="23">
        <v>2007.0</v>
      </c>
      <c r="H3080" s="22" t="s">
        <v>53</v>
      </c>
      <c r="I3080" s="24" t="s">
        <v>15043</v>
      </c>
      <c r="J3080" s="22" t="s">
        <v>31</v>
      </c>
      <c r="K3080" s="22" t="s">
        <v>15044</v>
      </c>
      <c r="L3080" s="37" t="s">
        <v>14763</v>
      </c>
      <c r="M3080" s="37" t="s">
        <v>1028</v>
      </c>
      <c r="N3080" s="37"/>
      <c r="O3080" s="37"/>
      <c r="P3080" s="37" t="s">
        <v>15045</v>
      </c>
      <c r="Q3080" s="299"/>
      <c r="R3080" s="37"/>
      <c r="S3080" s="37"/>
      <c r="T3080" s="28" t="s">
        <v>15046</v>
      </c>
      <c r="U3080" s="38" t="str">
        <f>HYPERLINK("https://www.ncbi.nlm.nih.gov/pubmed/9142686","PubMed")</f>
        <v>PubMed</v>
      </c>
      <c r="V3080" s="30"/>
      <c r="W3080" s="34"/>
      <c r="X3080" s="49"/>
      <c r="Y3080" s="35"/>
      <c r="Z3080" s="35"/>
      <c r="AA3080" s="35"/>
      <c r="AB3080" s="35"/>
      <c r="AC3080" s="35"/>
      <c r="AD3080" s="35"/>
      <c r="AE3080" s="35"/>
      <c r="AF3080" s="35"/>
      <c r="AG3080" s="35"/>
      <c r="AH3080" s="35"/>
      <c r="AI3080" s="35"/>
      <c r="AJ3080" s="35"/>
      <c r="AK3080" s="35"/>
      <c r="AL3080" s="35"/>
    </row>
    <row r="3081">
      <c r="A3081" s="133"/>
      <c r="B3081" s="19" t="s">
        <v>4071</v>
      </c>
      <c r="C3081" s="20" t="s">
        <v>14801</v>
      </c>
      <c r="D3081" s="47"/>
      <c r="E3081" s="22" t="s">
        <v>1425</v>
      </c>
      <c r="F3081" s="22" t="s">
        <v>1426</v>
      </c>
      <c r="G3081" s="23">
        <v>2007.0</v>
      </c>
      <c r="H3081" s="22" t="s">
        <v>91</v>
      </c>
      <c r="I3081" s="24" t="s">
        <v>15047</v>
      </c>
      <c r="J3081" s="22" t="s">
        <v>31</v>
      </c>
      <c r="K3081" s="22" t="s">
        <v>56</v>
      </c>
      <c r="L3081" s="37" t="s">
        <v>5367</v>
      </c>
      <c r="M3081" s="37"/>
      <c r="N3081" s="37"/>
      <c r="O3081" s="37"/>
      <c r="P3081" s="37" t="s">
        <v>15048</v>
      </c>
      <c r="Q3081" s="299"/>
      <c r="R3081" s="37"/>
      <c r="S3081" s="37"/>
      <c r="T3081" s="28" t="s">
        <v>15049</v>
      </c>
      <c r="U3081" s="38" t="str">
        <f>HYPERLINK("https://www.ncbi.nlm.nih.gov/pubmed/17333456","PubMed")</f>
        <v>PubMed</v>
      </c>
      <c r="V3081" s="30"/>
      <c r="W3081" s="34"/>
      <c r="X3081" s="49"/>
      <c r="Y3081" s="35"/>
      <c r="Z3081" s="35"/>
      <c r="AA3081" s="35"/>
      <c r="AB3081" s="35"/>
      <c r="AC3081" s="35"/>
      <c r="AD3081" s="35"/>
      <c r="AE3081" s="35"/>
      <c r="AF3081" s="35"/>
      <c r="AG3081" s="35"/>
      <c r="AH3081" s="35"/>
      <c r="AI3081" s="35"/>
      <c r="AJ3081" s="35"/>
      <c r="AK3081" s="35"/>
      <c r="AL3081" s="35"/>
    </row>
    <row r="3082">
      <c r="A3082" s="133"/>
      <c r="B3082" s="19" t="s">
        <v>4071</v>
      </c>
      <c r="C3082" s="20" t="s">
        <v>14801</v>
      </c>
      <c r="D3082" s="47"/>
      <c r="E3082" s="22" t="s">
        <v>15050</v>
      </c>
      <c r="F3082" s="22" t="s">
        <v>1426</v>
      </c>
      <c r="G3082" s="23">
        <v>2007.0</v>
      </c>
      <c r="H3082" s="22" t="s">
        <v>658</v>
      </c>
      <c r="I3082" s="24" t="s">
        <v>15051</v>
      </c>
      <c r="J3082" s="22" t="s">
        <v>31</v>
      </c>
      <c r="K3082" s="22"/>
      <c r="L3082" s="37"/>
      <c r="M3082" s="37"/>
      <c r="N3082" s="37"/>
      <c r="O3082" s="37"/>
      <c r="P3082" s="37"/>
      <c r="Q3082" s="299"/>
      <c r="R3082" s="37"/>
      <c r="S3082" s="37"/>
      <c r="T3082" s="28" t="s">
        <v>15052</v>
      </c>
      <c r="U3082" s="38" t="str">
        <f>HYPERLINK("https://www.ncbi.nlm.nih.gov/pubmed/17603856","PubMed")</f>
        <v>PubMed</v>
      </c>
      <c r="V3082" s="30"/>
      <c r="W3082" s="34"/>
      <c r="X3082" s="49"/>
      <c r="Y3082" s="35"/>
      <c r="Z3082" s="35"/>
      <c r="AA3082" s="35"/>
      <c r="AB3082" s="35"/>
      <c r="AC3082" s="35"/>
      <c r="AD3082" s="35"/>
      <c r="AE3082" s="35"/>
      <c r="AF3082" s="35"/>
      <c r="AG3082" s="35"/>
      <c r="AH3082" s="35"/>
      <c r="AI3082" s="35"/>
      <c r="AJ3082" s="35"/>
      <c r="AK3082" s="35"/>
      <c r="AL3082" s="35"/>
    </row>
    <row r="3083">
      <c r="A3083" s="1" t="s">
        <v>2</v>
      </c>
      <c r="B3083" s="19" t="s">
        <v>4071</v>
      </c>
      <c r="C3083" s="20" t="s">
        <v>14801</v>
      </c>
      <c r="D3083" s="47"/>
      <c r="E3083" s="22" t="s">
        <v>7913</v>
      </c>
      <c r="F3083" s="22" t="s">
        <v>5270</v>
      </c>
      <c r="G3083" s="23">
        <v>2007.0</v>
      </c>
      <c r="H3083" s="22" t="s">
        <v>2594</v>
      </c>
      <c r="I3083" s="24" t="s">
        <v>15053</v>
      </c>
      <c r="J3083" s="22" t="s">
        <v>31</v>
      </c>
      <c r="K3083" s="22" t="s">
        <v>7876</v>
      </c>
      <c r="L3083" s="37" t="s">
        <v>7422</v>
      </c>
      <c r="M3083" s="37"/>
      <c r="N3083" s="37"/>
      <c r="O3083" s="37"/>
      <c r="P3083" s="37"/>
      <c r="Q3083" s="299"/>
      <c r="R3083" s="37"/>
      <c r="S3083" s="37"/>
      <c r="T3083" s="42" t="s">
        <v>15054</v>
      </c>
      <c r="U3083" s="38" t="str">
        <f>HYPERLINK("https://www.ncbi.nlm.nih.gov/pubmed/17561101","PubMed")</f>
        <v>PubMed</v>
      </c>
      <c r="V3083" s="30"/>
      <c r="W3083" s="130" t="str">
        <f>HYPERLINK("https://www.ncbi.nlm.nih.gov/pubmed/18291117","Comment")</f>
        <v>Comment</v>
      </c>
      <c r="X3083" s="49"/>
      <c r="Y3083" s="35"/>
      <c r="Z3083" s="35"/>
      <c r="AA3083" s="35"/>
      <c r="AB3083" s="35"/>
      <c r="AC3083" s="35"/>
      <c r="AD3083" s="35"/>
      <c r="AE3083" s="35"/>
      <c r="AF3083" s="35"/>
      <c r="AG3083" s="35"/>
      <c r="AH3083" s="35"/>
      <c r="AI3083" s="35"/>
      <c r="AJ3083" s="35"/>
      <c r="AK3083" s="35"/>
      <c r="AL3083" s="35"/>
    </row>
    <row r="3084">
      <c r="A3084" s="133"/>
      <c r="B3084" s="19" t="s">
        <v>4071</v>
      </c>
      <c r="C3084" s="20" t="s">
        <v>14801</v>
      </c>
      <c r="D3084" s="47"/>
      <c r="E3084" s="22" t="s">
        <v>15055</v>
      </c>
      <c r="F3084" s="22" t="s">
        <v>2221</v>
      </c>
      <c r="G3084" s="23">
        <v>2007.0</v>
      </c>
      <c r="H3084" s="22" t="s">
        <v>5130</v>
      </c>
      <c r="I3084" s="24" t="s">
        <v>15056</v>
      </c>
      <c r="J3084" s="22" t="s">
        <v>55</v>
      </c>
      <c r="K3084" s="22" t="s">
        <v>6113</v>
      </c>
      <c r="L3084" s="37" t="s">
        <v>15057</v>
      </c>
      <c r="M3084" s="37" t="s">
        <v>95</v>
      </c>
      <c r="N3084" s="37"/>
      <c r="O3084" s="37"/>
      <c r="P3084" s="37" t="s">
        <v>969</v>
      </c>
      <c r="Q3084" s="299"/>
      <c r="R3084" s="37" t="s">
        <v>1600</v>
      </c>
      <c r="S3084" s="37"/>
      <c r="T3084" s="28" t="s">
        <v>15058</v>
      </c>
      <c r="U3084" s="38" t="str">
        <f>HYPERLINK("https://www.ncbi.nlm.nih.gov/pubmed/18028135","PubMed")</f>
        <v>PubMed</v>
      </c>
      <c r="V3084" s="30"/>
      <c r="W3084" s="34"/>
      <c r="X3084" s="49"/>
      <c r="Y3084" s="35"/>
      <c r="Z3084" s="35"/>
      <c r="AA3084" s="35"/>
      <c r="AB3084" s="35"/>
      <c r="AC3084" s="35"/>
      <c r="AD3084" s="35"/>
      <c r="AE3084" s="35"/>
      <c r="AF3084" s="35"/>
      <c r="AG3084" s="35"/>
      <c r="AH3084" s="35"/>
      <c r="AI3084" s="35"/>
      <c r="AJ3084" s="35"/>
      <c r="AK3084" s="35"/>
      <c r="AL3084" s="35"/>
    </row>
    <row r="3085">
      <c r="A3085" s="180"/>
      <c r="B3085" s="19" t="s">
        <v>4071</v>
      </c>
      <c r="C3085" s="20" t="s">
        <v>14801</v>
      </c>
      <c r="D3085" s="47"/>
      <c r="E3085" s="22" t="s">
        <v>15059</v>
      </c>
      <c r="F3085" s="22" t="s">
        <v>15060</v>
      </c>
      <c r="G3085" s="23">
        <v>2005.0</v>
      </c>
      <c r="H3085" s="22" t="s">
        <v>15061</v>
      </c>
      <c r="I3085" s="24" t="s">
        <v>15062</v>
      </c>
      <c r="J3085" s="22" t="s">
        <v>31</v>
      </c>
      <c r="K3085" s="22" t="s">
        <v>6802</v>
      </c>
      <c r="L3085" s="37" t="s">
        <v>15063</v>
      </c>
      <c r="M3085" s="37" t="s">
        <v>480</v>
      </c>
      <c r="N3085" s="37"/>
      <c r="O3085" s="37"/>
      <c r="P3085" s="37"/>
      <c r="Q3085" s="299"/>
      <c r="R3085" s="37"/>
      <c r="S3085" s="37"/>
      <c r="T3085" s="28" t="s">
        <v>15064</v>
      </c>
      <c r="U3085" s="38" t="str">
        <f>HYPERLINK("https://www.ncbi.nlm.nih.gov/pubmed/16118473","PubMed")</f>
        <v>PubMed</v>
      </c>
      <c r="V3085" s="50"/>
      <c r="W3085" s="49"/>
      <c r="X3085" s="49"/>
      <c r="Y3085" s="35"/>
      <c r="Z3085" s="35"/>
      <c r="AA3085" s="35"/>
      <c r="AB3085" s="35"/>
      <c r="AC3085" s="35"/>
      <c r="AD3085" s="35"/>
      <c r="AE3085" s="35"/>
      <c r="AF3085" s="35"/>
      <c r="AG3085" s="35"/>
      <c r="AH3085" s="35"/>
      <c r="AI3085" s="35"/>
      <c r="AJ3085" s="35"/>
      <c r="AK3085" s="35"/>
      <c r="AL3085" s="35"/>
    </row>
    <row r="3086">
      <c r="A3086" s="180"/>
      <c r="B3086" s="19" t="s">
        <v>4071</v>
      </c>
      <c r="C3086" s="20" t="s">
        <v>14801</v>
      </c>
      <c r="D3086" s="47"/>
      <c r="E3086" s="22" t="s">
        <v>15050</v>
      </c>
      <c r="F3086" s="22" t="s">
        <v>1426</v>
      </c>
      <c r="G3086" s="23">
        <v>2005.0</v>
      </c>
      <c r="H3086" s="22" t="s">
        <v>658</v>
      </c>
      <c r="I3086" s="24" t="s">
        <v>15065</v>
      </c>
      <c r="J3086" s="22" t="s">
        <v>31</v>
      </c>
      <c r="K3086" s="22"/>
      <c r="L3086" s="37" t="s">
        <v>15066</v>
      </c>
      <c r="M3086" s="37"/>
      <c r="N3086" s="37"/>
      <c r="O3086" s="37"/>
      <c r="P3086" s="37"/>
      <c r="Q3086" s="299"/>
      <c r="R3086" s="37"/>
      <c r="S3086" s="37"/>
      <c r="T3086" s="28" t="s">
        <v>15067</v>
      </c>
      <c r="U3086" s="38" t="str">
        <f>HYPERLINK("https://www.ncbi.nlm.nih.gov/pubmed/16196041","PubMed")</f>
        <v>PubMed</v>
      </c>
      <c r="V3086" s="50"/>
      <c r="W3086" s="49"/>
      <c r="X3086" s="49"/>
      <c r="Y3086" s="35"/>
      <c r="Z3086" s="35"/>
      <c r="AA3086" s="35"/>
      <c r="AB3086" s="35"/>
      <c r="AC3086" s="35"/>
      <c r="AD3086" s="35"/>
      <c r="AE3086" s="35"/>
      <c r="AF3086" s="35"/>
      <c r="AG3086" s="35"/>
      <c r="AH3086" s="35"/>
      <c r="AI3086" s="35"/>
      <c r="AJ3086" s="35"/>
      <c r="AK3086" s="35"/>
      <c r="AL3086" s="35"/>
    </row>
    <row r="3087">
      <c r="A3087" s="180"/>
      <c r="B3087" s="19" t="s">
        <v>4071</v>
      </c>
      <c r="C3087" s="20" t="s">
        <v>14801</v>
      </c>
      <c r="D3087" s="47"/>
      <c r="E3087" s="22" t="s">
        <v>5109</v>
      </c>
      <c r="F3087" s="22" t="s">
        <v>5110</v>
      </c>
      <c r="G3087" s="23">
        <v>2005.0</v>
      </c>
      <c r="H3087" s="22" t="s">
        <v>658</v>
      </c>
      <c r="I3087" s="24" t="s">
        <v>15068</v>
      </c>
      <c r="J3087" s="22" t="s">
        <v>31</v>
      </c>
      <c r="K3087" s="22" t="s">
        <v>5116</v>
      </c>
      <c r="L3087" s="37"/>
      <c r="M3087" s="37"/>
      <c r="N3087" s="37"/>
      <c r="O3087" s="37"/>
      <c r="P3087" s="37"/>
      <c r="Q3087" s="299"/>
      <c r="R3087" s="37"/>
      <c r="S3087" s="37"/>
      <c r="T3087" s="28" t="s">
        <v>15069</v>
      </c>
      <c r="U3087" s="38" t="str">
        <f>HYPERLINK("https://www.ncbi.nlm.nih.gov/pubmed/16144476","PubMed")</f>
        <v>PubMed</v>
      </c>
      <c r="V3087" s="50"/>
      <c r="W3087" s="49"/>
      <c r="X3087" s="49"/>
      <c r="Y3087" s="35"/>
      <c r="Z3087" s="35"/>
      <c r="AA3087" s="35"/>
      <c r="AB3087" s="35"/>
      <c r="AC3087" s="35"/>
      <c r="AD3087" s="35"/>
      <c r="AE3087" s="35"/>
      <c r="AF3087" s="35"/>
      <c r="AG3087" s="35"/>
      <c r="AH3087" s="35"/>
      <c r="AI3087" s="35"/>
      <c r="AJ3087" s="35"/>
      <c r="AK3087" s="35"/>
      <c r="AL3087" s="35"/>
    </row>
    <row r="3088">
      <c r="A3088" s="180"/>
      <c r="B3088" s="19" t="s">
        <v>4071</v>
      </c>
      <c r="C3088" s="20" t="s">
        <v>14801</v>
      </c>
      <c r="D3088" s="47"/>
      <c r="E3088" s="22" t="s">
        <v>5109</v>
      </c>
      <c r="F3088" s="22" t="s">
        <v>5110</v>
      </c>
      <c r="G3088" s="23">
        <v>2005.0</v>
      </c>
      <c r="H3088" s="22" t="s">
        <v>207</v>
      </c>
      <c r="I3088" s="24" t="s">
        <v>15070</v>
      </c>
      <c r="J3088" s="22" t="s">
        <v>31</v>
      </c>
      <c r="K3088" s="22" t="s">
        <v>5116</v>
      </c>
      <c r="L3088" s="37"/>
      <c r="M3088" s="37"/>
      <c r="N3088" s="37"/>
      <c r="O3088" s="37"/>
      <c r="P3088" s="37"/>
      <c r="Q3088" s="299"/>
      <c r="R3088" s="37"/>
      <c r="S3088" s="37"/>
      <c r="T3088" s="28" t="s">
        <v>15071</v>
      </c>
      <c r="U3088" s="38" t="str">
        <f>HYPERLINK("https://www.ncbi.nlm.nih.gov/pubmed/16125966","PubMed")</f>
        <v>PubMed</v>
      </c>
      <c r="V3088" s="50"/>
      <c r="W3088" s="49"/>
      <c r="X3088" s="49"/>
      <c r="Y3088" s="35"/>
      <c r="Z3088" s="35"/>
      <c r="AA3088" s="35"/>
      <c r="AB3088" s="35"/>
      <c r="AC3088" s="35"/>
      <c r="AD3088" s="35"/>
      <c r="AE3088" s="35"/>
      <c r="AF3088" s="35"/>
      <c r="AG3088" s="35"/>
      <c r="AH3088" s="35"/>
      <c r="AI3088" s="35"/>
      <c r="AJ3088" s="35"/>
      <c r="AK3088" s="35"/>
      <c r="AL3088" s="35"/>
    </row>
    <row r="3089">
      <c r="A3089" s="180"/>
      <c r="B3089" s="19" t="s">
        <v>4071</v>
      </c>
      <c r="C3089" s="20" t="s">
        <v>14801</v>
      </c>
      <c r="D3089" s="47"/>
      <c r="E3089" s="22" t="s">
        <v>15072</v>
      </c>
      <c r="F3089" s="22" t="s">
        <v>15073</v>
      </c>
      <c r="G3089" s="23">
        <v>2005.0</v>
      </c>
      <c r="H3089" s="22" t="s">
        <v>207</v>
      </c>
      <c r="I3089" s="24" t="s">
        <v>15074</v>
      </c>
      <c r="J3089" s="22" t="s">
        <v>15075</v>
      </c>
      <c r="K3089" s="22" t="s">
        <v>6281</v>
      </c>
      <c r="L3089" s="37" t="s">
        <v>15076</v>
      </c>
      <c r="M3089" s="37" t="s">
        <v>454</v>
      </c>
      <c r="N3089" s="37"/>
      <c r="O3089" s="37"/>
      <c r="P3089" s="37"/>
      <c r="Q3089" s="299"/>
      <c r="R3089" s="37"/>
      <c r="S3089" s="37"/>
      <c r="T3089" s="28" t="s">
        <v>15077</v>
      </c>
      <c r="U3089" s="38" t="str">
        <f>HYPERLINK("https://www.ncbi.nlm.nih.gov/pubmed/16107316","PubMed")</f>
        <v>PubMed</v>
      </c>
      <c r="V3089" s="50"/>
      <c r="W3089" s="49"/>
      <c r="X3089" s="49"/>
      <c r="Y3089" s="35"/>
      <c r="Z3089" s="35"/>
      <c r="AA3089" s="35"/>
      <c r="AB3089" s="35"/>
      <c r="AC3089" s="35"/>
      <c r="AD3089" s="35"/>
      <c r="AE3089" s="35"/>
      <c r="AF3089" s="35"/>
      <c r="AG3089" s="35"/>
      <c r="AH3089" s="35"/>
      <c r="AI3089" s="35"/>
      <c r="AJ3089" s="35"/>
      <c r="AK3089" s="35"/>
      <c r="AL3089" s="35"/>
    </row>
    <row r="3090">
      <c r="A3090" s="180"/>
      <c r="B3090" s="19" t="s">
        <v>4071</v>
      </c>
      <c r="C3090" s="20" t="s">
        <v>14801</v>
      </c>
      <c r="D3090" s="47"/>
      <c r="E3090" s="22" t="s">
        <v>15012</v>
      </c>
      <c r="F3090" s="22" t="s">
        <v>8796</v>
      </c>
      <c r="G3090" s="23">
        <v>2004.0</v>
      </c>
      <c r="H3090" s="22" t="s">
        <v>15078</v>
      </c>
      <c r="I3090" s="24" t="s">
        <v>15079</v>
      </c>
      <c r="J3090" s="22" t="s">
        <v>15015</v>
      </c>
      <c r="K3090" s="22"/>
      <c r="L3090" s="37" t="s">
        <v>15016</v>
      </c>
      <c r="M3090" s="37"/>
      <c r="N3090" s="37"/>
      <c r="O3090" s="37"/>
      <c r="P3090" s="37"/>
      <c r="Q3090" s="299"/>
      <c r="R3090" s="37"/>
      <c r="S3090" s="37"/>
      <c r="T3090" s="28" t="s">
        <v>15080</v>
      </c>
      <c r="U3090" s="29" t="s">
        <v>15018</v>
      </c>
      <c r="V3090" s="50"/>
      <c r="W3090" s="49"/>
      <c r="X3090" s="49"/>
      <c r="Y3090" s="35"/>
      <c r="Z3090" s="35"/>
      <c r="AA3090" s="35"/>
      <c r="AB3090" s="35"/>
      <c r="AC3090" s="35"/>
      <c r="AD3090" s="35"/>
      <c r="AE3090" s="35"/>
      <c r="AF3090" s="35"/>
      <c r="AG3090" s="35"/>
      <c r="AH3090" s="35"/>
      <c r="AI3090" s="35"/>
      <c r="AJ3090" s="35"/>
      <c r="AK3090" s="35"/>
      <c r="AL3090" s="35"/>
    </row>
    <row r="3091">
      <c r="A3091" s="1" t="s">
        <v>2</v>
      </c>
      <c r="B3091" s="19" t="s">
        <v>4071</v>
      </c>
      <c r="C3091" s="20" t="s">
        <v>14801</v>
      </c>
      <c r="D3091" s="47"/>
      <c r="E3091" s="22" t="s">
        <v>15081</v>
      </c>
      <c r="F3091" s="22" t="s">
        <v>5110</v>
      </c>
      <c r="G3091" s="23">
        <v>2004.0</v>
      </c>
      <c r="H3091" s="22" t="s">
        <v>4975</v>
      </c>
      <c r="I3091" s="24" t="s">
        <v>15082</v>
      </c>
      <c r="J3091" s="22" t="s">
        <v>2036</v>
      </c>
      <c r="K3091" s="22"/>
      <c r="T3091" s="171" t="s">
        <v>15083</v>
      </c>
      <c r="U3091" s="38" t="str">
        <f>HYPERLINK("https://www.ncbi.nlm.nih.gov/pubmed/15362946","PubMed")</f>
        <v>PubMed</v>
      </c>
      <c r="V3091" s="50"/>
      <c r="W3091" s="49"/>
      <c r="X3091" s="49"/>
      <c r="Y3091" s="35"/>
      <c r="Z3091" s="35"/>
      <c r="AA3091" s="35"/>
      <c r="AB3091" s="35"/>
      <c r="AC3091" s="35"/>
      <c r="AD3091" s="35"/>
      <c r="AE3091" s="35"/>
      <c r="AF3091" s="35"/>
      <c r="AG3091" s="35"/>
      <c r="AH3091" s="35"/>
      <c r="AI3091" s="35"/>
      <c r="AJ3091" s="35"/>
      <c r="AK3091" s="35"/>
      <c r="AL3091" s="35"/>
    </row>
    <row r="3092">
      <c r="A3092" s="1"/>
      <c r="B3092" s="19" t="s">
        <v>4071</v>
      </c>
      <c r="C3092" s="20" t="s">
        <v>14801</v>
      </c>
      <c r="D3092" s="47"/>
      <c r="E3092" s="22" t="s">
        <v>15084</v>
      </c>
      <c r="F3092" s="22" t="s">
        <v>510</v>
      </c>
      <c r="G3092" s="23">
        <v>2004.0</v>
      </c>
      <c r="H3092" s="22" t="s">
        <v>91</v>
      </c>
      <c r="I3092" s="24" t="s">
        <v>15085</v>
      </c>
      <c r="J3092" s="22" t="s">
        <v>31</v>
      </c>
      <c r="K3092" s="22" t="s">
        <v>15086</v>
      </c>
      <c r="L3092" s="37" t="s">
        <v>15026</v>
      </c>
      <c r="P3092" s="37" t="s">
        <v>414</v>
      </c>
      <c r="R3092" s="37" t="s">
        <v>15087</v>
      </c>
      <c r="T3092" s="28" t="s">
        <v>15088</v>
      </c>
      <c r="U3092" s="38" t="str">
        <f>HYPERLINK("https://www.ncbi.nlm.nih.gov/pubmed/15042424","PubMed")</f>
        <v>PubMed</v>
      </c>
      <c r="V3092" s="50"/>
      <c r="W3092" s="49"/>
      <c r="X3092" s="49"/>
      <c r="Y3092" s="35"/>
      <c r="Z3092" s="35"/>
      <c r="AA3092" s="35"/>
      <c r="AB3092" s="35"/>
      <c r="AC3092" s="35"/>
      <c r="AD3092" s="35"/>
      <c r="AE3092" s="35"/>
      <c r="AF3092" s="35"/>
      <c r="AG3092" s="35"/>
      <c r="AH3092" s="35"/>
      <c r="AI3092" s="35"/>
      <c r="AJ3092" s="35"/>
      <c r="AK3092" s="35"/>
      <c r="AL3092" s="35"/>
    </row>
    <row r="3093">
      <c r="A3093" s="180"/>
      <c r="B3093" s="19" t="s">
        <v>4071</v>
      </c>
      <c r="C3093" s="20" t="s">
        <v>14801</v>
      </c>
      <c r="D3093" s="47"/>
      <c r="E3093" s="22" t="s">
        <v>11169</v>
      </c>
      <c r="F3093" s="22" t="s">
        <v>5227</v>
      </c>
      <c r="G3093" s="23">
        <v>2004.0</v>
      </c>
      <c r="H3093" s="22" t="s">
        <v>658</v>
      </c>
      <c r="I3093" s="24" t="s">
        <v>15089</v>
      </c>
      <c r="J3093" s="22" t="s">
        <v>44</v>
      </c>
      <c r="K3093" s="22" t="s">
        <v>3546</v>
      </c>
      <c r="L3093" s="37"/>
      <c r="M3093" s="37"/>
      <c r="N3093" s="37"/>
      <c r="O3093" s="37"/>
      <c r="P3093" s="37"/>
      <c r="Q3093" s="299"/>
      <c r="R3093" s="37"/>
      <c r="S3093" s="37"/>
      <c r="T3093" s="28" t="s">
        <v>15090</v>
      </c>
      <c r="U3093" s="38" t="str">
        <f>HYPERLINK("https://www.ncbi.nlm.nih.gov/pubmed/15684747","PubMed")</f>
        <v>PubMed</v>
      </c>
      <c r="V3093" s="50"/>
      <c r="W3093" s="49"/>
      <c r="X3093" s="49"/>
      <c r="Y3093" s="35"/>
      <c r="Z3093" s="35"/>
      <c r="AA3093" s="35"/>
      <c r="AB3093" s="35"/>
      <c r="AC3093" s="35"/>
      <c r="AD3093" s="35"/>
      <c r="AE3093" s="35"/>
      <c r="AF3093" s="35"/>
      <c r="AG3093" s="35"/>
      <c r="AH3093" s="35"/>
      <c r="AI3093" s="35"/>
      <c r="AJ3093" s="35"/>
      <c r="AK3093" s="35"/>
      <c r="AL3093" s="35"/>
    </row>
    <row r="3094">
      <c r="A3094" s="180"/>
      <c r="B3094" s="19" t="s">
        <v>4071</v>
      </c>
      <c r="C3094" s="20" t="s">
        <v>14801</v>
      </c>
      <c r="D3094" s="47"/>
      <c r="E3094" s="22" t="s">
        <v>15091</v>
      </c>
      <c r="F3094" s="22" t="s">
        <v>8796</v>
      </c>
      <c r="G3094" s="23">
        <v>2003.0</v>
      </c>
      <c r="H3094" s="22" t="s">
        <v>15092</v>
      </c>
      <c r="I3094" s="24" t="s">
        <v>15093</v>
      </c>
      <c r="J3094" s="22" t="s">
        <v>15015</v>
      </c>
      <c r="K3094" s="22"/>
      <c r="L3094" s="37" t="s">
        <v>15016</v>
      </c>
      <c r="M3094" s="37"/>
      <c r="N3094" s="37"/>
      <c r="O3094" s="37"/>
      <c r="P3094" s="37"/>
      <c r="Q3094" s="299"/>
      <c r="R3094" s="37"/>
      <c r="S3094" s="37"/>
      <c r="T3094" s="28" t="s">
        <v>15094</v>
      </c>
      <c r="U3094" s="29" t="s">
        <v>15018</v>
      </c>
      <c r="V3094" s="50"/>
      <c r="W3094" s="49"/>
      <c r="X3094" s="49"/>
      <c r="Y3094" s="35"/>
      <c r="Z3094" s="35"/>
      <c r="AA3094" s="35"/>
      <c r="AB3094" s="35"/>
      <c r="AC3094" s="35"/>
      <c r="AD3094" s="35"/>
      <c r="AE3094" s="35"/>
      <c r="AF3094" s="35"/>
      <c r="AG3094" s="35"/>
      <c r="AH3094" s="35"/>
      <c r="AI3094" s="35"/>
      <c r="AJ3094" s="35"/>
      <c r="AK3094" s="35"/>
      <c r="AL3094" s="35"/>
    </row>
    <row r="3095">
      <c r="A3095" s="180"/>
      <c r="B3095" s="19" t="s">
        <v>4071</v>
      </c>
      <c r="C3095" s="20" t="s">
        <v>14801</v>
      </c>
      <c r="D3095" s="47"/>
      <c r="E3095" s="22" t="s">
        <v>15001</v>
      </c>
      <c r="F3095" s="22" t="s">
        <v>12109</v>
      </c>
      <c r="G3095" s="23">
        <v>2003.0</v>
      </c>
      <c r="H3095" s="22" t="s">
        <v>5836</v>
      </c>
      <c r="I3095" s="24" t="s">
        <v>15095</v>
      </c>
      <c r="J3095" s="22" t="s">
        <v>31</v>
      </c>
      <c r="K3095" s="22"/>
      <c r="L3095" s="37" t="s">
        <v>5367</v>
      </c>
      <c r="M3095" s="37"/>
      <c r="N3095" s="37" t="s">
        <v>1439</v>
      </c>
      <c r="O3095" s="37"/>
      <c r="P3095" s="37"/>
      <c r="Q3095" s="299"/>
      <c r="R3095" s="37"/>
      <c r="S3095" s="37"/>
      <c r="T3095" s="28" t="s">
        <v>15096</v>
      </c>
      <c r="U3095" s="38" t="str">
        <f>HYPERLINK("https://www.ncbi.nlm.nih.gov/pubmed/12851407","PubMed")</f>
        <v>PubMed</v>
      </c>
      <c r="V3095" s="50"/>
      <c r="W3095" s="49"/>
      <c r="X3095" s="49"/>
      <c r="Y3095" s="35"/>
      <c r="Z3095" s="35"/>
      <c r="AA3095" s="35"/>
      <c r="AB3095" s="35"/>
      <c r="AC3095" s="35"/>
      <c r="AD3095" s="35"/>
      <c r="AE3095" s="35"/>
      <c r="AF3095" s="35"/>
      <c r="AG3095" s="35"/>
      <c r="AH3095" s="35"/>
      <c r="AI3095" s="35"/>
      <c r="AJ3095" s="35"/>
      <c r="AK3095" s="35"/>
      <c r="AL3095" s="35"/>
    </row>
    <row r="3096">
      <c r="A3096" s="1" t="s">
        <v>2</v>
      </c>
      <c r="B3096" s="19" t="s">
        <v>4071</v>
      </c>
      <c r="C3096" s="20" t="s">
        <v>14801</v>
      </c>
      <c r="D3096" s="47"/>
      <c r="E3096" s="22" t="s">
        <v>15097</v>
      </c>
      <c r="F3096" s="22" t="s">
        <v>1617</v>
      </c>
      <c r="G3096" s="23">
        <v>2002.0</v>
      </c>
      <c r="H3096" s="22" t="s">
        <v>3950</v>
      </c>
      <c r="I3096" s="24" t="s">
        <v>15098</v>
      </c>
      <c r="J3096" s="22" t="s">
        <v>31</v>
      </c>
      <c r="K3096" s="22"/>
      <c r="L3096" s="37" t="s">
        <v>15099</v>
      </c>
      <c r="M3096" s="37"/>
      <c r="N3096" s="37"/>
      <c r="O3096" s="37"/>
      <c r="P3096" s="37"/>
      <c r="Q3096" s="299"/>
      <c r="R3096" s="37"/>
      <c r="S3096" s="37"/>
      <c r="T3096" s="28" t="s">
        <v>15100</v>
      </c>
      <c r="U3096" s="38" t="str">
        <f>HYPERLINK("https://www.ncbi.nlm.nih.gov/pubmed/12659495","PubMed")</f>
        <v>PubMed</v>
      </c>
      <c r="V3096" s="50"/>
      <c r="W3096" s="49"/>
      <c r="X3096" s="49"/>
      <c r="Y3096" s="35"/>
      <c r="Z3096" s="35"/>
      <c r="AA3096" s="35"/>
      <c r="AB3096" s="35"/>
      <c r="AC3096" s="35"/>
      <c r="AD3096" s="35"/>
      <c r="AE3096" s="35"/>
      <c r="AF3096" s="35"/>
      <c r="AG3096" s="35"/>
      <c r="AH3096" s="35"/>
      <c r="AI3096" s="35"/>
      <c r="AJ3096" s="35"/>
      <c r="AK3096" s="35"/>
      <c r="AL3096" s="35"/>
    </row>
    <row r="3097">
      <c r="A3097" s="180"/>
      <c r="B3097" s="19" t="s">
        <v>4071</v>
      </c>
      <c r="C3097" s="20" t="s">
        <v>14801</v>
      </c>
      <c r="D3097" s="47"/>
      <c r="E3097" s="22" t="s">
        <v>15101</v>
      </c>
      <c r="F3097" s="22" t="s">
        <v>14486</v>
      </c>
      <c r="G3097" s="23">
        <v>2001.0</v>
      </c>
      <c r="H3097" s="22" t="s">
        <v>53</v>
      </c>
      <c r="I3097" s="24" t="s">
        <v>15102</v>
      </c>
      <c r="J3097" s="22" t="s">
        <v>31</v>
      </c>
      <c r="K3097" s="22" t="s">
        <v>15103</v>
      </c>
      <c r="L3097" s="37" t="s">
        <v>14763</v>
      </c>
      <c r="M3097" s="37"/>
      <c r="N3097" s="37" t="s">
        <v>2309</v>
      </c>
      <c r="O3097" s="37"/>
      <c r="P3097" s="37" t="s">
        <v>8744</v>
      </c>
      <c r="Q3097" s="299"/>
      <c r="R3097" s="37"/>
      <c r="S3097" s="37"/>
      <c r="T3097" s="28" t="s">
        <v>15104</v>
      </c>
      <c r="U3097" s="38" t="str">
        <f>HYPERLINK("https://www.ncbi.nlm.nih.gov/pubmed/11891731","PubMed")</f>
        <v>PubMed</v>
      </c>
      <c r="V3097" s="50"/>
      <c r="W3097" s="49"/>
      <c r="X3097" s="49"/>
      <c r="Y3097" s="35"/>
      <c r="Z3097" s="35"/>
      <c r="AA3097" s="35"/>
      <c r="AB3097" s="35"/>
      <c r="AC3097" s="35"/>
      <c r="AD3097" s="35"/>
      <c r="AE3097" s="35"/>
      <c r="AF3097" s="35"/>
      <c r="AG3097" s="35"/>
      <c r="AH3097" s="35"/>
      <c r="AI3097" s="35"/>
      <c r="AJ3097" s="35"/>
      <c r="AK3097" s="35"/>
      <c r="AL3097" s="35"/>
    </row>
    <row r="3098">
      <c r="A3098" s="180"/>
      <c r="B3098" s="19" t="s">
        <v>4071</v>
      </c>
      <c r="C3098" s="20" t="s">
        <v>14801</v>
      </c>
      <c r="D3098" s="47"/>
      <c r="E3098" s="22" t="s">
        <v>5109</v>
      </c>
      <c r="F3098" s="22" t="s">
        <v>5110</v>
      </c>
      <c r="G3098" s="23">
        <v>2001.0</v>
      </c>
      <c r="H3098" s="22" t="s">
        <v>53</v>
      </c>
      <c r="I3098" s="24" t="s">
        <v>15105</v>
      </c>
      <c r="J3098" s="22" t="s">
        <v>31</v>
      </c>
      <c r="K3098" s="22" t="s">
        <v>15106</v>
      </c>
      <c r="L3098" s="37" t="s">
        <v>15107</v>
      </c>
      <c r="M3098" s="37"/>
      <c r="N3098" s="37"/>
      <c r="O3098" s="37"/>
      <c r="P3098" s="37"/>
      <c r="Q3098" s="299"/>
      <c r="R3098" s="37"/>
      <c r="S3098" s="37"/>
      <c r="T3098" s="28" t="s">
        <v>15108</v>
      </c>
      <c r="U3098" s="38" t="str">
        <f>HYPERLINK("https://www.ncbi.nlm.nih.gov/pubmed/11295757","PubMed")</f>
        <v>PubMed</v>
      </c>
      <c r="V3098" s="50"/>
      <c r="W3098" s="49"/>
      <c r="X3098" s="49"/>
      <c r="Y3098" s="35"/>
      <c r="Z3098" s="35"/>
      <c r="AA3098" s="35"/>
      <c r="AB3098" s="35"/>
      <c r="AC3098" s="35"/>
      <c r="AD3098" s="35"/>
      <c r="AE3098" s="35"/>
      <c r="AF3098" s="35"/>
      <c r="AG3098" s="35"/>
      <c r="AH3098" s="35"/>
      <c r="AI3098" s="35"/>
      <c r="AJ3098" s="35"/>
      <c r="AK3098" s="35"/>
      <c r="AL3098" s="35"/>
    </row>
    <row r="3099">
      <c r="A3099" s="180"/>
      <c r="B3099" s="19" t="s">
        <v>4071</v>
      </c>
      <c r="C3099" s="20" t="s">
        <v>14801</v>
      </c>
      <c r="D3099" s="47"/>
      <c r="E3099" s="22" t="s">
        <v>5109</v>
      </c>
      <c r="F3099" s="22" t="s">
        <v>5110</v>
      </c>
      <c r="G3099" s="23">
        <v>2001.0</v>
      </c>
      <c r="H3099" s="22" t="s">
        <v>15028</v>
      </c>
      <c r="I3099" s="24" t="s">
        <v>15109</v>
      </c>
      <c r="J3099" s="22" t="s">
        <v>31</v>
      </c>
      <c r="K3099" s="22"/>
      <c r="L3099" s="37"/>
      <c r="M3099" s="37"/>
      <c r="N3099" s="37"/>
      <c r="O3099" s="37"/>
      <c r="P3099" s="37"/>
      <c r="Q3099" s="299"/>
      <c r="R3099" s="37"/>
      <c r="S3099" s="37"/>
      <c r="T3099" s="28" t="s">
        <v>15110</v>
      </c>
      <c r="U3099" s="38" t="str">
        <f>HYPERLINK("http://ieeexplore.ieee.org/document/983302/?reload=true","IEEE")</f>
        <v>IEEE</v>
      </c>
      <c r="V3099" s="50"/>
      <c r="W3099" s="49"/>
      <c r="X3099" s="49"/>
      <c r="Y3099" s="35"/>
      <c r="Z3099" s="35"/>
      <c r="AA3099" s="35"/>
      <c r="AB3099" s="35"/>
      <c r="AC3099" s="35"/>
      <c r="AD3099" s="35"/>
      <c r="AE3099" s="35"/>
      <c r="AF3099" s="35"/>
      <c r="AG3099" s="35"/>
      <c r="AH3099" s="35"/>
      <c r="AI3099" s="35"/>
      <c r="AJ3099" s="35"/>
      <c r="AK3099" s="35"/>
      <c r="AL3099" s="35"/>
    </row>
    <row r="3100">
      <c r="A3100" s="180"/>
      <c r="B3100" s="19" t="s">
        <v>4071</v>
      </c>
      <c r="C3100" s="20" t="s">
        <v>14801</v>
      </c>
      <c r="D3100" s="47"/>
      <c r="E3100" s="22" t="s">
        <v>5109</v>
      </c>
      <c r="F3100" s="22" t="s">
        <v>5110</v>
      </c>
      <c r="G3100" s="23">
        <v>2001.0</v>
      </c>
      <c r="H3100" s="22" t="s">
        <v>15028</v>
      </c>
      <c r="I3100" s="24" t="s">
        <v>15111</v>
      </c>
      <c r="J3100" s="22" t="s">
        <v>31</v>
      </c>
      <c r="K3100" s="22"/>
      <c r="L3100" s="37" t="s">
        <v>15112</v>
      </c>
      <c r="M3100" s="37"/>
      <c r="N3100" s="37"/>
      <c r="O3100" s="37"/>
      <c r="P3100" s="37"/>
      <c r="Q3100" s="299"/>
      <c r="R3100" s="37"/>
      <c r="S3100" s="37"/>
      <c r="T3100" s="28" t="s">
        <v>15113</v>
      </c>
      <c r="U3100" s="38" t="str">
        <f>HYPERLINK("http://ieeexplore.ieee.org/document/983303/","IEEE")</f>
        <v>IEEE</v>
      </c>
      <c r="V3100" s="50"/>
      <c r="W3100" s="49"/>
      <c r="X3100" s="49"/>
      <c r="Y3100" s="35"/>
      <c r="Z3100" s="35"/>
      <c r="AA3100" s="35"/>
      <c r="AB3100" s="35"/>
      <c r="AC3100" s="35"/>
      <c r="AD3100" s="35"/>
      <c r="AE3100" s="35"/>
      <c r="AF3100" s="35"/>
      <c r="AG3100" s="35"/>
      <c r="AH3100" s="35"/>
      <c r="AI3100" s="35"/>
      <c r="AJ3100" s="35"/>
      <c r="AK3100" s="35"/>
      <c r="AL3100" s="35"/>
    </row>
    <row r="3101">
      <c r="A3101" s="180"/>
      <c r="B3101" s="19" t="s">
        <v>4071</v>
      </c>
      <c r="C3101" s="20" t="s">
        <v>14801</v>
      </c>
      <c r="D3101" s="47"/>
      <c r="E3101" s="22" t="s">
        <v>15114</v>
      </c>
      <c r="F3101" s="22" t="s">
        <v>15115</v>
      </c>
      <c r="G3101" s="23">
        <v>2000.0</v>
      </c>
      <c r="H3101" s="22" t="s">
        <v>15116</v>
      </c>
      <c r="I3101" s="24" t="s">
        <v>15117</v>
      </c>
      <c r="J3101" s="22" t="s">
        <v>31</v>
      </c>
      <c r="K3101" s="22"/>
      <c r="L3101" s="37" t="s">
        <v>14763</v>
      </c>
      <c r="M3101" s="37"/>
      <c r="N3101" s="37" t="s">
        <v>2554</v>
      </c>
      <c r="O3101" s="37"/>
      <c r="P3101" s="37" t="s">
        <v>269</v>
      </c>
      <c r="Q3101" s="299"/>
      <c r="R3101" s="37"/>
      <c r="S3101" s="37"/>
      <c r="T3101" s="28" t="s">
        <v>15118</v>
      </c>
      <c r="U3101" s="38" t="str">
        <f>HYPERLINK("https://www.ncbi.nlm.nih.gov/pubmed/10902741","PubMed")</f>
        <v>PubMed</v>
      </c>
      <c r="V3101" s="50"/>
      <c r="W3101" s="49"/>
      <c r="X3101" s="49"/>
      <c r="Y3101" s="35"/>
      <c r="Z3101" s="35"/>
      <c r="AA3101" s="35"/>
      <c r="AB3101" s="35"/>
      <c r="AC3101" s="35"/>
      <c r="AD3101" s="35"/>
      <c r="AE3101" s="35"/>
      <c r="AF3101" s="35"/>
      <c r="AG3101" s="35"/>
      <c r="AH3101" s="35"/>
      <c r="AI3101" s="35"/>
      <c r="AJ3101" s="35"/>
      <c r="AK3101" s="35"/>
      <c r="AL3101" s="35"/>
    </row>
    <row r="3102">
      <c r="A3102" s="133"/>
      <c r="B3102" s="19" t="s">
        <v>4071</v>
      </c>
      <c r="C3102" s="20" t="s">
        <v>14801</v>
      </c>
      <c r="D3102" s="47"/>
      <c r="E3102" s="22" t="s">
        <v>15119</v>
      </c>
      <c r="F3102" s="22" t="s">
        <v>15120</v>
      </c>
      <c r="G3102" s="23">
        <v>2000.0</v>
      </c>
      <c r="H3102" s="22" t="s">
        <v>14537</v>
      </c>
      <c r="I3102" s="24" t="s">
        <v>15121</v>
      </c>
      <c r="J3102" s="22" t="s">
        <v>31</v>
      </c>
      <c r="K3102" s="22" t="s">
        <v>56</v>
      </c>
      <c r="L3102" s="37" t="s">
        <v>15122</v>
      </c>
      <c r="M3102" s="37"/>
      <c r="N3102" s="37"/>
      <c r="O3102" s="37"/>
      <c r="P3102" s="37"/>
      <c r="Q3102" s="299"/>
      <c r="R3102" s="37"/>
      <c r="S3102" s="37"/>
      <c r="T3102" s="28" t="s">
        <v>15123</v>
      </c>
      <c r="U3102" s="38" t="str">
        <f>HYPERLINK("https://www.ncbi.nlm.nih.gov/pubmed/11004457","PubMed")</f>
        <v>PubMed</v>
      </c>
      <c r="V3102" s="30"/>
      <c r="W3102" s="34"/>
      <c r="X3102" s="49"/>
      <c r="Y3102" s="35"/>
      <c r="Z3102" s="35"/>
      <c r="AA3102" s="35"/>
      <c r="AB3102" s="35"/>
      <c r="AC3102" s="35"/>
      <c r="AD3102" s="35"/>
      <c r="AE3102" s="35"/>
      <c r="AF3102" s="35"/>
      <c r="AG3102" s="35"/>
      <c r="AH3102" s="35"/>
      <c r="AI3102" s="35"/>
      <c r="AJ3102" s="35"/>
      <c r="AK3102" s="35"/>
      <c r="AL3102" s="35"/>
    </row>
    <row r="3103">
      <c r="A3103" s="180"/>
      <c r="B3103" s="19" t="s">
        <v>4071</v>
      </c>
      <c r="C3103" s="20" t="s">
        <v>14801</v>
      </c>
      <c r="D3103" s="47"/>
      <c r="E3103" s="22" t="s">
        <v>1425</v>
      </c>
      <c r="F3103" s="22" t="s">
        <v>12109</v>
      </c>
      <c r="G3103" s="23">
        <v>2000.0</v>
      </c>
      <c r="H3103" s="22" t="s">
        <v>292</v>
      </c>
      <c r="I3103" s="24" t="s">
        <v>15124</v>
      </c>
      <c r="J3103" s="22" t="s">
        <v>31</v>
      </c>
      <c r="K3103" s="22" t="s">
        <v>15125</v>
      </c>
      <c r="L3103" s="37" t="s">
        <v>15126</v>
      </c>
      <c r="M3103" s="37"/>
      <c r="N3103" s="37"/>
      <c r="O3103" s="37"/>
      <c r="P3103" s="37"/>
      <c r="Q3103" s="299"/>
      <c r="R3103" s="37"/>
      <c r="S3103" s="37"/>
      <c r="T3103" s="28" t="s">
        <v>15127</v>
      </c>
      <c r="U3103" s="38" t="str">
        <f>HYPERLINK("https://www.jstage.jst.go.jp/article/islsm/12/1/12_1_38/_article/-char/en","J-STAGE")</f>
        <v>J-STAGE</v>
      </c>
      <c r="V3103" s="50"/>
      <c r="W3103" s="49"/>
      <c r="X3103" s="49"/>
      <c r="Y3103" s="35"/>
      <c r="Z3103" s="35"/>
      <c r="AA3103" s="35"/>
      <c r="AB3103" s="35"/>
      <c r="AC3103" s="35"/>
      <c r="AD3103" s="35"/>
      <c r="AE3103" s="35"/>
      <c r="AF3103" s="35"/>
      <c r="AG3103" s="35"/>
      <c r="AH3103" s="35"/>
      <c r="AI3103" s="35"/>
      <c r="AJ3103" s="35"/>
      <c r="AK3103" s="35"/>
      <c r="AL3103" s="35"/>
    </row>
    <row r="3104">
      <c r="A3104" s="180"/>
      <c r="B3104" s="19" t="s">
        <v>4071</v>
      </c>
      <c r="C3104" s="20" t="s">
        <v>14801</v>
      </c>
      <c r="D3104" s="47"/>
      <c r="E3104" s="22" t="s">
        <v>1425</v>
      </c>
      <c r="F3104" s="22" t="s">
        <v>12109</v>
      </c>
      <c r="G3104" s="23">
        <v>1997.0</v>
      </c>
      <c r="H3104" s="22" t="s">
        <v>53</v>
      </c>
      <c r="I3104" s="24" t="s">
        <v>15128</v>
      </c>
      <c r="J3104" s="22" t="s">
        <v>31</v>
      </c>
      <c r="K3104" s="22" t="s">
        <v>15129</v>
      </c>
      <c r="L3104" s="37" t="s">
        <v>15130</v>
      </c>
      <c r="M3104" s="37"/>
      <c r="N3104" s="37"/>
      <c r="O3104" s="37"/>
      <c r="P3104" s="37"/>
      <c r="Q3104" s="299"/>
      <c r="R3104" s="37"/>
      <c r="S3104" s="37"/>
      <c r="T3104" s="28" t="s">
        <v>15131</v>
      </c>
      <c r="U3104" s="38" t="str">
        <f>HYPERLINK("https://www.ncbi.nlm.nih.gov/pubmed/9365961","PubMed")</f>
        <v>PubMed</v>
      </c>
      <c r="V3104" s="50"/>
      <c r="W3104" s="49"/>
      <c r="X3104" s="49"/>
      <c r="Y3104" s="35"/>
      <c r="Z3104" s="35"/>
      <c r="AA3104" s="35"/>
      <c r="AB3104" s="35"/>
      <c r="AC3104" s="35"/>
      <c r="AD3104" s="35"/>
      <c r="AE3104" s="35"/>
      <c r="AF3104" s="35"/>
      <c r="AG3104" s="35"/>
      <c r="AH3104" s="35"/>
      <c r="AI3104" s="35"/>
      <c r="AJ3104" s="35"/>
      <c r="AK3104" s="35"/>
      <c r="AL3104" s="35"/>
    </row>
    <row r="3105">
      <c r="A3105" s="1" t="s">
        <v>2</v>
      </c>
      <c r="B3105" s="19" t="s">
        <v>4071</v>
      </c>
      <c r="C3105" s="20" t="s">
        <v>14801</v>
      </c>
      <c r="D3105" s="47"/>
      <c r="E3105" s="22" t="s">
        <v>5226</v>
      </c>
      <c r="F3105" s="22" t="s">
        <v>5227</v>
      </c>
      <c r="G3105" s="23">
        <v>1997.0</v>
      </c>
      <c r="H3105" s="22" t="s">
        <v>4975</v>
      </c>
      <c r="I3105" s="24" t="s">
        <v>15132</v>
      </c>
      <c r="J3105" s="22" t="s">
        <v>31</v>
      </c>
      <c r="K3105" s="22" t="s">
        <v>15133</v>
      </c>
      <c r="L3105" s="37" t="s">
        <v>14999</v>
      </c>
      <c r="M3105" s="37"/>
      <c r="N3105" s="37" t="s">
        <v>2554</v>
      </c>
      <c r="O3105" s="37"/>
      <c r="P3105" s="37" t="s">
        <v>15134</v>
      </c>
      <c r="Q3105" s="299"/>
      <c r="R3105" s="37"/>
      <c r="S3105" s="37"/>
      <c r="T3105" s="28" t="s">
        <v>15135</v>
      </c>
      <c r="U3105" s="38" t="str">
        <f>HYPERLINK("https://www.ncbi.nlm.nih.gov/pubmed/9421973","PubMed")</f>
        <v>PubMed</v>
      </c>
      <c r="V3105" s="50"/>
      <c r="W3105" s="49"/>
      <c r="X3105" s="49"/>
      <c r="Y3105" s="35"/>
      <c r="Z3105" s="35"/>
      <c r="AA3105" s="35"/>
      <c r="AB3105" s="35"/>
      <c r="AC3105" s="35"/>
      <c r="AD3105" s="35"/>
      <c r="AE3105" s="35"/>
      <c r="AF3105" s="35"/>
      <c r="AG3105" s="35"/>
      <c r="AH3105" s="35"/>
      <c r="AI3105" s="35"/>
      <c r="AJ3105" s="35"/>
      <c r="AK3105" s="35"/>
      <c r="AL3105" s="35"/>
    </row>
    <row r="3106">
      <c r="A3106" s="180"/>
      <c r="B3106" s="19" t="s">
        <v>4071</v>
      </c>
      <c r="C3106" s="20" t="s">
        <v>14801</v>
      </c>
      <c r="D3106" s="47"/>
      <c r="E3106" s="22" t="s">
        <v>15042</v>
      </c>
      <c r="F3106" s="22" t="s">
        <v>5238</v>
      </c>
      <c r="G3106" s="23">
        <v>1997.0</v>
      </c>
      <c r="H3106" s="22" t="s">
        <v>53</v>
      </c>
      <c r="I3106" s="24" t="s">
        <v>15043</v>
      </c>
      <c r="J3106" s="22" t="s">
        <v>31</v>
      </c>
      <c r="K3106" s="22"/>
      <c r="L3106" s="37" t="s">
        <v>14763</v>
      </c>
      <c r="M3106" s="37" t="s">
        <v>1028</v>
      </c>
      <c r="N3106" s="37"/>
      <c r="O3106" s="37"/>
      <c r="P3106" s="37" t="s">
        <v>15045</v>
      </c>
      <c r="Q3106" s="299"/>
      <c r="R3106" s="37"/>
      <c r="S3106" s="37"/>
      <c r="T3106" s="28" t="s">
        <v>15046</v>
      </c>
      <c r="U3106" s="38" t="str">
        <f>HYPERLINK("https://www.ncbi.nlm.nih.gov/pubmed/9142686","PubMed")</f>
        <v>PubMed</v>
      </c>
      <c r="V3106" s="50"/>
      <c r="W3106" s="49"/>
      <c r="X3106" s="49"/>
      <c r="Y3106" s="35"/>
      <c r="Z3106" s="35"/>
      <c r="AA3106" s="35"/>
      <c r="AB3106" s="35"/>
      <c r="AC3106" s="35"/>
      <c r="AD3106" s="35"/>
      <c r="AE3106" s="35"/>
      <c r="AF3106" s="35"/>
      <c r="AG3106" s="35"/>
      <c r="AH3106" s="35"/>
      <c r="AI3106" s="35"/>
      <c r="AJ3106" s="35"/>
      <c r="AK3106" s="35"/>
      <c r="AL3106" s="35"/>
    </row>
    <row r="3107">
      <c r="A3107" s="180"/>
      <c r="B3107" s="19" t="s">
        <v>4071</v>
      </c>
      <c r="C3107" s="20" t="s">
        <v>14801</v>
      </c>
      <c r="D3107" s="47"/>
      <c r="E3107" s="22" t="s">
        <v>5109</v>
      </c>
      <c r="F3107" s="22" t="s">
        <v>5110</v>
      </c>
      <c r="G3107" s="23">
        <v>1997.0</v>
      </c>
      <c r="H3107" s="22" t="s">
        <v>53</v>
      </c>
      <c r="I3107" s="24" t="s">
        <v>15136</v>
      </c>
      <c r="J3107" s="22" t="s">
        <v>31</v>
      </c>
      <c r="K3107" s="22" t="s">
        <v>15137</v>
      </c>
      <c r="L3107" s="37" t="s">
        <v>15107</v>
      </c>
      <c r="M3107" s="37"/>
      <c r="N3107" s="37"/>
      <c r="O3107" s="37"/>
      <c r="P3107" s="37"/>
      <c r="Q3107" s="299"/>
      <c r="R3107" s="37"/>
      <c r="S3107" s="37"/>
      <c r="T3107" s="28" t="s">
        <v>15138</v>
      </c>
      <c r="U3107" s="38" t="str">
        <f>HYPERLINK("https://www.ncbi.nlm.nih.gov/pubmed/9365960","PubMed")</f>
        <v>PubMed</v>
      </c>
      <c r="V3107" s="50"/>
      <c r="W3107" s="49"/>
      <c r="X3107" s="49"/>
      <c r="Y3107" s="35"/>
      <c r="Z3107" s="35"/>
      <c r="AA3107" s="35"/>
      <c r="AB3107" s="35"/>
      <c r="AC3107" s="35"/>
      <c r="AD3107" s="35"/>
      <c r="AE3107" s="35"/>
      <c r="AF3107" s="35"/>
      <c r="AG3107" s="35"/>
      <c r="AH3107" s="35"/>
      <c r="AI3107" s="35"/>
      <c r="AJ3107" s="35"/>
      <c r="AK3107" s="35"/>
      <c r="AL3107" s="35"/>
    </row>
    <row r="3108">
      <c r="A3108" s="180"/>
      <c r="B3108" s="19" t="s">
        <v>4071</v>
      </c>
      <c r="C3108" s="20" t="s">
        <v>14801</v>
      </c>
      <c r="D3108" s="47"/>
      <c r="E3108" s="22" t="s">
        <v>15139</v>
      </c>
      <c r="F3108" s="22" t="s">
        <v>14486</v>
      </c>
      <c r="G3108" s="23">
        <v>1997.0</v>
      </c>
      <c r="H3108" s="22" t="s">
        <v>15140</v>
      </c>
      <c r="I3108" s="24" t="s">
        <v>15141</v>
      </c>
      <c r="J3108" s="22" t="s">
        <v>31</v>
      </c>
      <c r="K3108" s="22" t="s">
        <v>15142</v>
      </c>
      <c r="L3108" s="37" t="s">
        <v>14763</v>
      </c>
      <c r="M3108" s="37"/>
      <c r="N3108" s="37" t="s">
        <v>2309</v>
      </c>
      <c r="O3108" s="37"/>
      <c r="P3108" s="37" t="s">
        <v>8744</v>
      </c>
      <c r="Q3108" s="299"/>
      <c r="R3108" s="37"/>
      <c r="S3108" s="37"/>
      <c r="T3108" s="28" t="s">
        <v>15143</v>
      </c>
      <c r="U3108" s="38" t="str">
        <f>HYPERLINK("https://www.ncbi.nlm.nih.gov/pubmed/9415809","PubMed")</f>
        <v>PubMed</v>
      </c>
      <c r="V3108" s="50"/>
      <c r="W3108" s="49"/>
      <c r="X3108" s="49"/>
      <c r="Y3108" s="35"/>
      <c r="Z3108" s="35"/>
      <c r="AA3108" s="35"/>
      <c r="AB3108" s="35"/>
      <c r="AC3108" s="35"/>
      <c r="AD3108" s="35"/>
      <c r="AE3108" s="35"/>
      <c r="AF3108" s="35"/>
      <c r="AG3108" s="35"/>
      <c r="AH3108" s="35"/>
      <c r="AI3108" s="35"/>
      <c r="AJ3108" s="35"/>
      <c r="AK3108" s="35"/>
      <c r="AL3108" s="35"/>
    </row>
    <row r="3109">
      <c r="A3109" s="180"/>
      <c r="B3109" s="19" t="s">
        <v>4071</v>
      </c>
      <c r="C3109" s="20" t="s">
        <v>14801</v>
      </c>
      <c r="D3109" s="47"/>
      <c r="E3109" s="22" t="s">
        <v>15144</v>
      </c>
      <c r="F3109" s="22" t="s">
        <v>5110</v>
      </c>
      <c r="G3109" s="23">
        <v>1997.0</v>
      </c>
      <c r="H3109" s="22" t="s">
        <v>207</v>
      </c>
      <c r="I3109" s="24" t="s">
        <v>15145</v>
      </c>
      <c r="J3109" s="22" t="s">
        <v>31</v>
      </c>
      <c r="K3109" s="22"/>
      <c r="L3109" s="37" t="s">
        <v>14763</v>
      </c>
      <c r="M3109" s="37"/>
      <c r="N3109" s="37"/>
      <c r="O3109" s="37"/>
      <c r="P3109" s="37" t="s">
        <v>15146</v>
      </c>
      <c r="Q3109" s="299"/>
      <c r="R3109" s="37"/>
      <c r="S3109" s="37"/>
      <c r="T3109" s="28" t="s">
        <v>15147</v>
      </c>
      <c r="U3109" s="38" t="str">
        <f>HYPERLINK("https://www.ncbi.nlm.nih.gov/pubmed/9134752","PubMed")</f>
        <v>PubMed</v>
      </c>
      <c r="V3109" s="50"/>
      <c r="W3109" s="49"/>
      <c r="X3109" s="49"/>
      <c r="Y3109" s="35"/>
      <c r="Z3109" s="35"/>
      <c r="AA3109" s="35"/>
      <c r="AB3109" s="35"/>
      <c r="AC3109" s="35"/>
      <c r="AD3109" s="35"/>
      <c r="AE3109" s="35"/>
      <c r="AF3109" s="35"/>
      <c r="AG3109" s="35"/>
      <c r="AH3109" s="35"/>
      <c r="AI3109" s="35"/>
      <c r="AJ3109" s="35"/>
      <c r="AK3109" s="35"/>
      <c r="AL3109" s="35"/>
    </row>
    <row r="3110">
      <c r="A3110" s="180"/>
      <c r="B3110" s="19" t="s">
        <v>4071</v>
      </c>
      <c r="C3110" s="20" t="s">
        <v>14801</v>
      </c>
      <c r="D3110" s="47"/>
      <c r="E3110" s="22" t="s">
        <v>1425</v>
      </c>
      <c r="F3110" s="22" t="s">
        <v>1426</v>
      </c>
      <c r="G3110" s="23">
        <v>1997.0</v>
      </c>
      <c r="H3110" s="22" t="s">
        <v>292</v>
      </c>
      <c r="I3110" s="24" t="s">
        <v>15148</v>
      </c>
      <c r="J3110" s="22" t="s">
        <v>31</v>
      </c>
      <c r="K3110" s="22" t="s">
        <v>5260</v>
      </c>
      <c r="L3110" s="37" t="s">
        <v>14763</v>
      </c>
      <c r="M3110" s="37"/>
      <c r="N3110" s="37"/>
      <c r="O3110" s="37"/>
      <c r="P3110" s="37"/>
      <c r="Q3110" s="299"/>
      <c r="R3110" s="37"/>
      <c r="S3110" s="37"/>
      <c r="T3110" s="28" t="s">
        <v>15149</v>
      </c>
      <c r="U3110" s="38" t="str">
        <f>HYPERLINK("https://www.jstage.jst.go.jp/article/islsm/9/3/9_3_115/_article/-char/en","J-STAGE")</f>
        <v>J-STAGE</v>
      </c>
      <c r="V3110" s="50"/>
      <c r="W3110" s="49"/>
      <c r="X3110" s="49"/>
      <c r="Y3110" s="35"/>
      <c r="Z3110" s="35"/>
      <c r="AA3110" s="35"/>
      <c r="AB3110" s="35"/>
      <c r="AC3110" s="35"/>
      <c r="AD3110" s="35"/>
      <c r="AE3110" s="35"/>
      <c r="AF3110" s="35"/>
      <c r="AG3110" s="35"/>
      <c r="AH3110" s="35"/>
      <c r="AI3110" s="35"/>
      <c r="AJ3110" s="35"/>
      <c r="AK3110" s="35"/>
      <c r="AL3110" s="35"/>
    </row>
    <row r="3111">
      <c r="A3111" s="180"/>
      <c r="B3111" s="19" t="s">
        <v>4071</v>
      </c>
      <c r="C3111" s="20" t="s">
        <v>14801</v>
      </c>
      <c r="D3111" s="47"/>
      <c r="E3111" s="22" t="s">
        <v>15150</v>
      </c>
      <c r="F3111" s="22" t="s">
        <v>14486</v>
      </c>
      <c r="G3111" s="23">
        <v>1997.0</v>
      </c>
      <c r="H3111" s="22" t="s">
        <v>15140</v>
      </c>
      <c r="I3111" s="24" t="s">
        <v>15151</v>
      </c>
      <c r="J3111" s="22" t="s">
        <v>31</v>
      </c>
      <c r="K3111" s="22"/>
      <c r="L3111" s="37" t="s">
        <v>14763</v>
      </c>
      <c r="M3111" s="37"/>
      <c r="N3111" s="37" t="s">
        <v>2554</v>
      </c>
      <c r="O3111" s="37"/>
      <c r="P3111" s="37" t="s">
        <v>969</v>
      </c>
      <c r="Q3111" s="299"/>
      <c r="R3111" s="37"/>
      <c r="S3111" s="37"/>
      <c r="T3111" s="28" t="s">
        <v>15152</v>
      </c>
      <c r="U3111" s="38" t="str">
        <f>HYPERLINK("https://www.ncbi.nlm.nih.gov/pubmed/9090452","PubMed")</f>
        <v>PubMed</v>
      </c>
      <c r="V3111" s="50"/>
      <c r="W3111" s="49"/>
      <c r="X3111" s="49"/>
      <c r="Y3111" s="35"/>
      <c r="Z3111" s="35"/>
      <c r="AA3111" s="35"/>
      <c r="AB3111" s="35"/>
      <c r="AC3111" s="35"/>
      <c r="AD3111" s="35"/>
      <c r="AE3111" s="35"/>
      <c r="AF3111" s="35"/>
      <c r="AG3111" s="35"/>
      <c r="AH3111" s="35"/>
      <c r="AI3111" s="35"/>
      <c r="AJ3111" s="35"/>
      <c r="AK3111" s="35"/>
      <c r="AL3111" s="35"/>
    </row>
    <row r="3112">
      <c r="A3112" s="180"/>
      <c r="B3112" s="19" t="s">
        <v>4071</v>
      </c>
      <c r="C3112" s="20" t="s">
        <v>14801</v>
      </c>
      <c r="D3112" s="47"/>
      <c r="E3112" s="22" t="s">
        <v>15139</v>
      </c>
      <c r="F3112" s="22" t="s">
        <v>14486</v>
      </c>
      <c r="G3112" s="23">
        <v>1996.0</v>
      </c>
      <c r="H3112" s="22" t="s">
        <v>207</v>
      </c>
      <c r="I3112" s="24" t="s">
        <v>15153</v>
      </c>
      <c r="J3112" s="22" t="s">
        <v>31</v>
      </c>
      <c r="K3112" s="22" t="s">
        <v>15154</v>
      </c>
      <c r="L3112" s="37" t="s">
        <v>14763</v>
      </c>
      <c r="M3112" s="37"/>
      <c r="N3112" s="37" t="s">
        <v>15155</v>
      </c>
      <c r="O3112" s="37"/>
      <c r="P3112" s="37" t="s">
        <v>8744</v>
      </c>
      <c r="Q3112" s="299"/>
      <c r="R3112" s="37"/>
      <c r="S3112" s="37"/>
      <c r="T3112" s="28" t="s">
        <v>15156</v>
      </c>
      <c r="U3112" s="38" t="str">
        <f>HYPERLINK("https://www.ncbi.nlm.nih.gov/pubmed/8810537","PubMed")</f>
        <v>PubMed</v>
      </c>
      <c r="V3112" s="50"/>
      <c r="W3112" s="49"/>
      <c r="X3112" s="49"/>
      <c r="Y3112" s="35"/>
      <c r="Z3112" s="35"/>
      <c r="AA3112" s="35"/>
      <c r="AB3112" s="35"/>
      <c r="AC3112" s="35"/>
      <c r="AD3112" s="35"/>
      <c r="AE3112" s="35"/>
      <c r="AF3112" s="35"/>
      <c r="AG3112" s="35"/>
      <c r="AH3112" s="35"/>
      <c r="AI3112" s="35"/>
      <c r="AJ3112" s="35"/>
      <c r="AK3112" s="35"/>
      <c r="AL3112" s="35"/>
    </row>
    <row r="3113" ht="31.5" customHeight="1">
      <c r="A3113" s="89"/>
      <c r="B3113" s="19" t="s">
        <v>4071</v>
      </c>
      <c r="C3113" s="20" t="s">
        <v>14801</v>
      </c>
      <c r="D3113" s="47"/>
      <c r="E3113" s="56" t="s">
        <v>1425</v>
      </c>
      <c r="F3113" s="57" t="s">
        <v>1426</v>
      </c>
      <c r="G3113" s="57">
        <v>1995.0</v>
      </c>
      <c r="H3113" s="56" t="s">
        <v>292</v>
      </c>
      <c r="I3113" s="58" t="s">
        <v>15157</v>
      </c>
      <c r="J3113" s="22" t="s">
        <v>31</v>
      </c>
      <c r="K3113" s="22" t="s">
        <v>15158</v>
      </c>
      <c r="L3113" s="36" t="s">
        <v>15159</v>
      </c>
      <c r="M3113" s="36"/>
      <c r="N3113" s="36"/>
      <c r="O3113" s="36"/>
      <c r="P3113" s="37"/>
      <c r="Q3113" s="36"/>
      <c r="R3113" s="36"/>
      <c r="S3113" s="36"/>
      <c r="T3113" s="54" t="s">
        <v>15160</v>
      </c>
      <c r="U3113" s="38" t="str">
        <f>HYPERLINK("https://www.jstage.jst.go.jp/article/islsm/7/3/7_95-OR-13/_article/-char/en","J-STAGE")</f>
        <v>J-STAGE</v>
      </c>
      <c r="V3113" s="50"/>
      <c r="W3113" s="49"/>
      <c r="X3113" s="49"/>
      <c r="Y3113" s="35"/>
      <c r="Z3113" s="35"/>
      <c r="AA3113" s="35"/>
      <c r="AB3113" s="35"/>
      <c r="AC3113" s="35"/>
      <c r="AD3113" s="35"/>
      <c r="AE3113" s="35"/>
      <c r="AF3113" s="35"/>
      <c r="AG3113" s="35"/>
      <c r="AH3113" s="35"/>
      <c r="AI3113" s="35"/>
      <c r="AJ3113" s="35"/>
      <c r="AK3113" s="35"/>
      <c r="AL3113" s="35"/>
    </row>
    <row r="3114">
      <c r="A3114" s="180"/>
      <c r="B3114" s="19" t="s">
        <v>4071</v>
      </c>
      <c r="C3114" s="20" t="s">
        <v>14801</v>
      </c>
      <c r="D3114" s="47"/>
      <c r="E3114" s="22" t="s">
        <v>15161</v>
      </c>
      <c r="F3114" s="22" t="s">
        <v>15162</v>
      </c>
      <c r="G3114" s="23">
        <v>1994.0</v>
      </c>
      <c r="H3114" s="22" t="s">
        <v>53</v>
      </c>
      <c r="I3114" s="24" t="s">
        <v>15163</v>
      </c>
      <c r="J3114" s="22" t="s">
        <v>31</v>
      </c>
      <c r="K3114" s="22" t="s">
        <v>14928</v>
      </c>
      <c r="L3114" s="37" t="s">
        <v>14999</v>
      </c>
      <c r="M3114" s="37" t="s">
        <v>2848</v>
      </c>
      <c r="N3114" s="37"/>
      <c r="O3114" s="37"/>
      <c r="P3114" s="37" t="s">
        <v>15164</v>
      </c>
      <c r="Q3114" s="299"/>
      <c r="R3114" s="37"/>
      <c r="S3114" s="37"/>
      <c r="T3114" s="28" t="s">
        <v>15165</v>
      </c>
      <c r="U3114" s="38" t="str">
        <f>HYPERLINK("https://www.ncbi.nlm.nih.gov/pubmed/8127205","PubMed")</f>
        <v>PubMed</v>
      </c>
      <c r="V3114" s="50"/>
      <c r="W3114" s="49"/>
      <c r="X3114" s="49"/>
      <c r="Y3114" s="35"/>
      <c r="Z3114" s="35"/>
      <c r="AA3114" s="35"/>
      <c r="AB3114" s="35"/>
      <c r="AC3114" s="35"/>
      <c r="AD3114" s="35"/>
      <c r="AE3114" s="35"/>
      <c r="AF3114" s="35"/>
      <c r="AG3114" s="35"/>
      <c r="AH3114" s="35"/>
      <c r="AI3114" s="35"/>
      <c r="AJ3114" s="35"/>
      <c r="AK3114" s="35"/>
      <c r="AL3114" s="35"/>
    </row>
    <row r="3115">
      <c r="A3115" s="180"/>
      <c r="B3115" s="19" t="s">
        <v>4071</v>
      </c>
      <c r="C3115" s="20" t="s">
        <v>14801</v>
      </c>
      <c r="D3115" s="47"/>
      <c r="E3115" s="22" t="s">
        <v>15114</v>
      </c>
      <c r="F3115" s="22" t="s">
        <v>15115</v>
      </c>
      <c r="G3115" s="23">
        <v>1994.0</v>
      </c>
      <c r="H3115" s="22" t="s">
        <v>15140</v>
      </c>
      <c r="I3115" s="24" t="s">
        <v>15166</v>
      </c>
      <c r="J3115" s="22" t="s">
        <v>31</v>
      </c>
      <c r="K3115" s="22" t="s">
        <v>15133</v>
      </c>
      <c r="L3115" s="37" t="s">
        <v>14763</v>
      </c>
      <c r="M3115" s="37" t="s">
        <v>95</v>
      </c>
      <c r="N3115" s="37"/>
      <c r="O3115" s="37"/>
      <c r="P3115" s="37" t="s">
        <v>269</v>
      </c>
      <c r="Q3115" s="299"/>
      <c r="R3115" s="37"/>
      <c r="S3115" s="37"/>
      <c r="T3115" s="28" t="s">
        <v>15167</v>
      </c>
      <c r="U3115" s="38" t="str">
        <f>HYPERLINK("https://www.ncbi.nlm.nih.gov/pubmed/7866309","PubMed")</f>
        <v>PubMed</v>
      </c>
      <c r="V3115" s="50"/>
      <c r="W3115" s="49"/>
      <c r="X3115" s="49"/>
      <c r="Y3115" s="35"/>
      <c r="Z3115" s="35"/>
      <c r="AA3115" s="35"/>
      <c r="AB3115" s="35"/>
      <c r="AC3115" s="35"/>
      <c r="AD3115" s="35"/>
      <c r="AE3115" s="35"/>
      <c r="AF3115" s="35"/>
      <c r="AG3115" s="35"/>
      <c r="AH3115" s="35"/>
      <c r="AI3115" s="35"/>
      <c r="AJ3115" s="35"/>
      <c r="AK3115" s="35"/>
      <c r="AL3115" s="35"/>
    </row>
    <row r="3116">
      <c r="A3116" s="180"/>
      <c r="B3116" s="19" t="s">
        <v>4071</v>
      </c>
      <c r="C3116" s="20" t="s">
        <v>14801</v>
      </c>
      <c r="D3116" s="47"/>
      <c r="E3116" s="22" t="s">
        <v>15139</v>
      </c>
      <c r="F3116" s="22" t="s">
        <v>14486</v>
      </c>
      <c r="G3116" s="23">
        <v>1993.0</v>
      </c>
      <c r="H3116" s="22" t="s">
        <v>546</v>
      </c>
      <c r="I3116" s="24" t="s">
        <v>15168</v>
      </c>
      <c r="J3116" s="22" t="s">
        <v>31</v>
      </c>
      <c r="K3116" s="22"/>
      <c r="L3116" s="37" t="s">
        <v>14763</v>
      </c>
      <c r="M3116" s="37" t="s">
        <v>2848</v>
      </c>
      <c r="N3116" s="37"/>
      <c r="O3116" s="37"/>
      <c r="P3116" s="37" t="s">
        <v>432</v>
      </c>
      <c r="Q3116" s="299"/>
      <c r="R3116" s="37"/>
      <c r="S3116" s="37"/>
      <c r="T3116" s="54" t="s">
        <v>15169</v>
      </c>
      <c r="U3116" s="38" t="str">
        <f>HYPERLINK("https://www.ncbi.nlm.nih.gov/pubmed/8373408","PubMed")</f>
        <v>PubMed</v>
      </c>
      <c r="V3116" s="50"/>
      <c r="W3116" s="49"/>
      <c r="X3116" s="49"/>
      <c r="Y3116" s="35"/>
      <c r="Z3116" s="35"/>
      <c r="AA3116" s="35"/>
      <c r="AB3116" s="35"/>
      <c r="AC3116" s="35"/>
      <c r="AD3116" s="35"/>
      <c r="AE3116" s="35"/>
      <c r="AF3116" s="35"/>
      <c r="AG3116" s="35"/>
      <c r="AH3116" s="35"/>
      <c r="AI3116" s="35"/>
      <c r="AJ3116" s="35"/>
      <c r="AK3116" s="35"/>
      <c r="AL3116" s="35"/>
    </row>
    <row r="3117">
      <c r="A3117" s="180"/>
      <c r="B3117" s="19" t="s">
        <v>4071</v>
      </c>
      <c r="C3117" s="20" t="s">
        <v>14801</v>
      </c>
      <c r="D3117" s="47"/>
      <c r="E3117" s="22" t="s">
        <v>5109</v>
      </c>
      <c r="F3117" s="22" t="s">
        <v>5110</v>
      </c>
      <c r="G3117" s="23">
        <v>1993.0</v>
      </c>
      <c r="H3117" s="22" t="s">
        <v>292</v>
      </c>
      <c r="I3117" s="24" t="s">
        <v>15170</v>
      </c>
      <c r="J3117" s="22" t="s">
        <v>31</v>
      </c>
      <c r="K3117" s="22" t="s">
        <v>15171</v>
      </c>
      <c r="L3117" s="37" t="s">
        <v>15172</v>
      </c>
      <c r="M3117" s="37"/>
      <c r="N3117" s="37"/>
      <c r="O3117" s="37"/>
      <c r="P3117" s="37"/>
      <c r="Q3117" s="299"/>
      <c r="R3117" s="37"/>
      <c r="S3117" s="37"/>
      <c r="T3117" s="54" t="s">
        <v>15173</v>
      </c>
      <c r="U3117" s="38" t="str">
        <f>HYPERLINK("https://www.jstage.jst.go.jp/article/islsm/5/3/5_93-OR-11/_article/-char/en","J-STAGE")</f>
        <v>J-STAGE</v>
      </c>
      <c r="V3117" s="50"/>
      <c r="W3117" s="49"/>
      <c r="X3117" s="49"/>
      <c r="Y3117" s="35"/>
      <c r="Z3117" s="35"/>
      <c r="AA3117" s="35"/>
      <c r="AB3117" s="35"/>
      <c r="AC3117" s="35"/>
      <c r="AD3117" s="35"/>
      <c r="AE3117" s="35"/>
      <c r="AF3117" s="35"/>
      <c r="AG3117" s="35"/>
      <c r="AH3117" s="35"/>
      <c r="AI3117" s="35"/>
      <c r="AJ3117" s="35"/>
      <c r="AK3117" s="35"/>
      <c r="AL3117" s="35"/>
    </row>
    <row r="3118">
      <c r="A3118" s="180"/>
      <c r="B3118" s="19" t="s">
        <v>4071</v>
      </c>
      <c r="C3118" s="20" t="s">
        <v>14801</v>
      </c>
      <c r="D3118" s="47"/>
      <c r="E3118" s="22" t="s">
        <v>15144</v>
      </c>
      <c r="F3118" s="22" t="s">
        <v>748</v>
      </c>
      <c r="G3118" s="23">
        <v>1992.0</v>
      </c>
      <c r="H3118" s="22" t="s">
        <v>15174</v>
      </c>
      <c r="I3118" s="24" t="s">
        <v>15175</v>
      </c>
      <c r="J3118" s="22" t="s">
        <v>31</v>
      </c>
      <c r="K3118" s="22"/>
      <c r="L3118" s="37" t="s">
        <v>14763</v>
      </c>
      <c r="M3118" s="37"/>
      <c r="N3118" s="37"/>
      <c r="O3118" s="37"/>
      <c r="P3118" s="37" t="s">
        <v>15176</v>
      </c>
      <c r="Q3118" s="299"/>
      <c r="R3118" s="37"/>
      <c r="S3118" s="37"/>
      <c r="T3118" s="54" t="s">
        <v>15177</v>
      </c>
      <c r="U3118" s="38" t="str">
        <f>HYPERLINK("https://www.ncbi.nlm.nih.gov/pubmed/1470172","PubMed")</f>
        <v>PubMed</v>
      </c>
      <c r="V3118" s="50"/>
      <c r="W3118" s="49"/>
      <c r="X3118" s="49"/>
      <c r="Y3118" s="35"/>
      <c r="Z3118" s="35"/>
      <c r="AA3118" s="35"/>
      <c r="AB3118" s="35"/>
      <c r="AC3118" s="35"/>
      <c r="AD3118" s="35"/>
      <c r="AE3118" s="35"/>
      <c r="AF3118" s="35"/>
      <c r="AG3118" s="35"/>
      <c r="AH3118" s="35"/>
      <c r="AI3118" s="35"/>
      <c r="AJ3118" s="35"/>
      <c r="AK3118" s="35"/>
      <c r="AL3118" s="35"/>
    </row>
    <row r="3119">
      <c r="A3119" s="180"/>
      <c r="B3119" s="19" t="s">
        <v>4071</v>
      </c>
      <c r="C3119" s="20" t="s">
        <v>14801</v>
      </c>
      <c r="D3119" s="47"/>
      <c r="E3119" s="22" t="s">
        <v>15144</v>
      </c>
      <c r="F3119" s="22" t="s">
        <v>748</v>
      </c>
      <c r="G3119" s="23">
        <v>1991.0</v>
      </c>
      <c r="H3119" s="22" t="s">
        <v>15174</v>
      </c>
      <c r="I3119" s="24" t="s">
        <v>15178</v>
      </c>
      <c r="J3119" s="22" t="s">
        <v>31</v>
      </c>
      <c r="K3119" s="22"/>
      <c r="L3119" s="37" t="s">
        <v>14763</v>
      </c>
      <c r="M3119" s="37"/>
      <c r="N3119" s="37"/>
      <c r="O3119" s="37"/>
      <c r="P3119" s="37"/>
      <c r="Q3119" s="299"/>
      <c r="R3119" s="37"/>
      <c r="S3119" s="37"/>
      <c r="T3119" s="102" t="s">
        <v>15179</v>
      </c>
      <c r="U3119" s="38" t="str">
        <f>HYPERLINK("https://www.ncbi.nlm.nih.gov/pubmed/1896039","PubMed")</f>
        <v>PubMed</v>
      </c>
      <c r="V3119" s="50"/>
      <c r="W3119" s="49"/>
      <c r="X3119" s="49"/>
      <c r="Y3119" s="35"/>
      <c r="Z3119" s="35"/>
      <c r="AA3119" s="35"/>
      <c r="AB3119" s="35"/>
      <c r="AC3119" s="35"/>
      <c r="AD3119" s="35"/>
      <c r="AE3119" s="35"/>
      <c r="AF3119" s="35"/>
      <c r="AG3119" s="35"/>
      <c r="AH3119" s="35"/>
      <c r="AI3119" s="35"/>
      <c r="AJ3119" s="35"/>
      <c r="AK3119" s="35"/>
      <c r="AL3119" s="35"/>
    </row>
    <row r="3120">
      <c r="A3120" s="180"/>
      <c r="B3120" s="19" t="s">
        <v>4071</v>
      </c>
      <c r="C3120" s="20" t="s">
        <v>14801</v>
      </c>
      <c r="D3120" s="47"/>
      <c r="E3120" s="22" t="s">
        <v>15101</v>
      </c>
      <c r="F3120" s="22" t="s">
        <v>14486</v>
      </c>
      <c r="G3120" s="23">
        <v>1991.0</v>
      </c>
      <c r="H3120" s="22" t="s">
        <v>207</v>
      </c>
      <c r="I3120" s="24" t="s">
        <v>15180</v>
      </c>
      <c r="J3120" s="22" t="s">
        <v>31</v>
      </c>
      <c r="K3120" s="22" t="s">
        <v>15133</v>
      </c>
      <c r="L3120" s="37" t="s">
        <v>14763</v>
      </c>
      <c r="M3120" s="37"/>
      <c r="N3120" s="37"/>
      <c r="O3120" s="37"/>
      <c r="P3120" s="37" t="s">
        <v>432</v>
      </c>
      <c r="Q3120" s="299"/>
      <c r="R3120" s="37"/>
      <c r="S3120" s="37"/>
      <c r="T3120" s="54" t="s">
        <v>15181</v>
      </c>
      <c r="U3120" s="38" t="str">
        <f>HYPERLINK("https://www.ncbi.nlm.nih.gov/pubmed/1720171","PubMed")</f>
        <v>PubMed</v>
      </c>
      <c r="V3120" s="50"/>
      <c r="W3120" s="49"/>
      <c r="X3120" s="49"/>
      <c r="Y3120" s="35"/>
      <c r="Z3120" s="35"/>
      <c r="AA3120" s="35"/>
      <c r="AB3120" s="35"/>
      <c r="AC3120" s="35"/>
      <c r="AD3120" s="35"/>
      <c r="AE3120" s="35"/>
      <c r="AF3120" s="35"/>
      <c r="AG3120" s="35"/>
      <c r="AH3120" s="35"/>
      <c r="AI3120" s="35"/>
      <c r="AJ3120" s="35"/>
      <c r="AK3120" s="35"/>
      <c r="AL3120" s="35"/>
    </row>
    <row r="3121">
      <c r="A3121" s="180"/>
      <c r="B3121" s="19" t="s">
        <v>4071</v>
      </c>
      <c r="C3121" s="20" t="s">
        <v>14801</v>
      </c>
      <c r="D3121" s="47"/>
      <c r="E3121" s="22" t="s">
        <v>1425</v>
      </c>
      <c r="F3121" s="22" t="s">
        <v>1426</v>
      </c>
      <c r="G3121" s="23">
        <v>1991.0</v>
      </c>
      <c r="H3121" s="22" t="s">
        <v>292</v>
      </c>
      <c r="I3121" s="24" t="s">
        <v>15182</v>
      </c>
      <c r="J3121" s="22" t="s">
        <v>31</v>
      </c>
      <c r="K3121" s="22" t="s">
        <v>15183</v>
      </c>
      <c r="L3121" s="37" t="s">
        <v>15184</v>
      </c>
      <c r="M3121" s="37"/>
      <c r="N3121" s="37"/>
      <c r="O3121" s="37"/>
      <c r="P3121" s="37"/>
      <c r="Q3121" s="299"/>
      <c r="R3121" s="37"/>
      <c r="S3121" s="37"/>
      <c r="T3121" s="54" t="s">
        <v>15185</v>
      </c>
      <c r="U3121" s="38" t="str">
        <f>HYPERLINK("https://www.jstage.jst.go.jp/article/islsm/3/1/3_91-OR-01/_article/-char/en","J-STAGE")</f>
        <v>J-STAGE</v>
      </c>
      <c r="V3121" s="50"/>
      <c r="W3121" s="49"/>
      <c r="X3121" s="49"/>
      <c r="Y3121" s="35"/>
      <c r="Z3121" s="35"/>
      <c r="AA3121" s="35"/>
      <c r="AB3121" s="35"/>
      <c r="AC3121" s="35"/>
      <c r="AD3121" s="35"/>
      <c r="AE3121" s="35"/>
      <c r="AF3121" s="35"/>
      <c r="AG3121" s="35"/>
      <c r="AH3121" s="35"/>
      <c r="AI3121" s="35"/>
      <c r="AJ3121" s="35"/>
      <c r="AK3121" s="35"/>
      <c r="AL3121" s="35"/>
    </row>
    <row r="3122">
      <c r="A3122" s="180"/>
      <c r="B3122" s="19" t="s">
        <v>4071</v>
      </c>
      <c r="C3122" s="20" t="s">
        <v>14801</v>
      </c>
      <c r="D3122" s="47"/>
      <c r="E3122" s="22" t="s">
        <v>1425</v>
      </c>
      <c r="F3122" s="22" t="s">
        <v>1426</v>
      </c>
      <c r="G3122" s="23">
        <v>1990.0</v>
      </c>
      <c r="H3122" s="22" t="s">
        <v>292</v>
      </c>
      <c r="I3122" s="24" t="s">
        <v>15186</v>
      </c>
      <c r="J3122" s="22" t="s">
        <v>31</v>
      </c>
      <c r="K3122" s="22"/>
      <c r="L3122" s="37" t="s">
        <v>14763</v>
      </c>
      <c r="M3122" s="37"/>
      <c r="N3122" s="37"/>
      <c r="O3122" s="37"/>
      <c r="P3122" s="37"/>
      <c r="Q3122" s="299"/>
      <c r="R3122" s="37"/>
      <c r="S3122" s="37"/>
      <c r="T3122" s="54" t="s">
        <v>15187</v>
      </c>
      <c r="U3122" s="38" t="str">
        <f>HYPERLINK("https://www.jstage.jst.go.jp/article/islsm/2/2/2_90-OR-03/_article/-char/en","J-STAGE")</f>
        <v>J-STAGE</v>
      </c>
      <c r="V3122" s="50"/>
      <c r="W3122" s="49"/>
      <c r="X3122" s="49"/>
      <c r="Y3122" s="35"/>
      <c r="Z3122" s="35"/>
      <c r="AA3122" s="35"/>
      <c r="AB3122" s="35"/>
      <c r="AC3122" s="35"/>
      <c r="AD3122" s="35"/>
      <c r="AE3122" s="35"/>
      <c r="AF3122" s="35"/>
      <c r="AG3122" s="35"/>
      <c r="AH3122" s="35"/>
      <c r="AI3122" s="35"/>
      <c r="AJ3122" s="35"/>
      <c r="AK3122" s="35"/>
      <c r="AL3122" s="35"/>
    </row>
    <row r="3123">
      <c r="A3123" s="180"/>
      <c r="B3123" s="19" t="s">
        <v>4071</v>
      </c>
      <c r="C3123" s="20" t="s">
        <v>14801</v>
      </c>
      <c r="D3123" s="47"/>
      <c r="E3123" s="22" t="s">
        <v>15188</v>
      </c>
      <c r="F3123" s="22" t="s">
        <v>14849</v>
      </c>
      <c r="G3123" s="23">
        <v>1990.0</v>
      </c>
      <c r="H3123" s="22" t="s">
        <v>53</v>
      </c>
      <c r="I3123" s="24" t="s">
        <v>15189</v>
      </c>
      <c r="J3123" s="22" t="s">
        <v>31</v>
      </c>
      <c r="K3123" s="22" t="s">
        <v>5260</v>
      </c>
      <c r="L3123" s="37" t="s">
        <v>15057</v>
      </c>
      <c r="M3123" s="37"/>
      <c r="N3123" s="37"/>
      <c r="O3123" s="37"/>
      <c r="P3123" s="37" t="s">
        <v>15190</v>
      </c>
      <c r="Q3123" s="299"/>
      <c r="R3123" s="37"/>
      <c r="S3123" s="37"/>
      <c r="T3123" s="54" t="s">
        <v>15191</v>
      </c>
      <c r="U3123" s="38" t="str">
        <f>HYPERLINK("https://www.ncbi.nlm.nih.gov/pubmed/2333007","PubMed")</f>
        <v>PubMed</v>
      </c>
      <c r="V3123" s="50"/>
      <c r="W3123" s="49"/>
      <c r="X3123" s="49"/>
      <c r="Y3123" s="35"/>
      <c r="Z3123" s="35"/>
      <c r="AA3123" s="35"/>
      <c r="AB3123" s="35"/>
      <c r="AC3123" s="35"/>
      <c r="AD3123" s="35"/>
      <c r="AE3123" s="35"/>
      <c r="AF3123" s="35"/>
      <c r="AG3123" s="35"/>
      <c r="AH3123" s="35"/>
      <c r="AI3123" s="35"/>
      <c r="AJ3123" s="35"/>
      <c r="AK3123" s="35"/>
      <c r="AL3123" s="35"/>
    </row>
    <row r="3124">
      <c r="A3124" s="180"/>
      <c r="B3124" s="19" t="s">
        <v>4071</v>
      </c>
      <c r="C3124" s="20" t="s">
        <v>14801</v>
      </c>
      <c r="D3124" s="47"/>
      <c r="E3124" s="22" t="s">
        <v>15144</v>
      </c>
      <c r="F3124" s="22" t="s">
        <v>748</v>
      </c>
      <c r="G3124" s="23">
        <v>1990.0</v>
      </c>
      <c r="H3124" s="22" t="s">
        <v>15174</v>
      </c>
      <c r="I3124" s="24" t="s">
        <v>15192</v>
      </c>
      <c r="J3124" s="22" t="s">
        <v>31</v>
      </c>
      <c r="K3124" s="22" t="s">
        <v>5102</v>
      </c>
      <c r="L3124" s="37" t="s">
        <v>14763</v>
      </c>
      <c r="M3124" s="37"/>
      <c r="N3124" s="37"/>
      <c r="O3124" s="37"/>
      <c r="P3124" s="37"/>
      <c r="Q3124" s="299"/>
      <c r="R3124" s="37"/>
      <c r="S3124" s="37"/>
      <c r="T3124" s="54" t="s">
        <v>15193</v>
      </c>
      <c r="U3124" s="38" t="str">
        <f>HYPERLINK("https://www.ncbi.nlm.nih.gov/pubmed/2250673","PubMed")</f>
        <v>PubMed</v>
      </c>
      <c r="V3124" s="50"/>
      <c r="W3124" s="49"/>
      <c r="X3124" s="49"/>
      <c r="Y3124" s="35"/>
      <c r="Z3124" s="35"/>
      <c r="AA3124" s="35"/>
      <c r="AB3124" s="35"/>
      <c r="AC3124" s="35"/>
      <c r="AD3124" s="35"/>
      <c r="AE3124" s="35"/>
      <c r="AF3124" s="35"/>
      <c r="AG3124" s="35"/>
      <c r="AH3124" s="35"/>
      <c r="AI3124" s="35"/>
      <c r="AJ3124" s="35"/>
      <c r="AK3124" s="35"/>
      <c r="AL3124" s="35"/>
    </row>
    <row r="3125">
      <c r="A3125" s="180"/>
      <c r="B3125" s="19" t="s">
        <v>4071</v>
      </c>
      <c r="C3125" s="20" t="s">
        <v>14801</v>
      </c>
      <c r="D3125" s="47"/>
      <c r="E3125" s="22" t="s">
        <v>15101</v>
      </c>
      <c r="F3125" s="22" t="s">
        <v>14486</v>
      </c>
      <c r="G3125" s="23">
        <v>1989.0</v>
      </c>
      <c r="H3125" s="22" t="s">
        <v>546</v>
      </c>
      <c r="I3125" s="24" t="s">
        <v>15194</v>
      </c>
      <c r="J3125" s="22" t="s">
        <v>31</v>
      </c>
      <c r="K3125" s="22"/>
      <c r="L3125" s="37" t="s">
        <v>14763</v>
      </c>
      <c r="M3125" s="37"/>
      <c r="N3125" s="37"/>
      <c r="O3125" s="37"/>
      <c r="P3125" s="37" t="s">
        <v>432</v>
      </c>
      <c r="Q3125" s="299"/>
      <c r="R3125" s="37"/>
      <c r="S3125" s="37"/>
      <c r="T3125" s="54" t="s">
        <v>15195</v>
      </c>
      <c r="U3125" s="38" t="str">
        <f>HYPERLINK("https://www.ncbi.nlm.nih.gov/pubmed/2476986","PubMed")</f>
        <v>PubMed</v>
      </c>
      <c r="V3125" s="50"/>
      <c r="W3125" s="49"/>
      <c r="X3125" s="49"/>
      <c r="Y3125" s="35"/>
      <c r="Z3125" s="35"/>
      <c r="AA3125" s="35"/>
      <c r="AB3125" s="35"/>
      <c r="AC3125" s="35"/>
      <c r="AD3125" s="35"/>
      <c r="AE3125" s="35"/>
      <c r="AF3125" s="35"/>
      <c r="AG3125" s="35"/>
      <c r="AH3125" s="35"/>
      <c r="AI3125" s="35"/>
      <c r="AJ3125" s="35"/>
      <c r="AK3125" s="35"/>
      <c r="AL3125" s="35"/>
    </row>
    <row r="3126">
      <c r="A3126" s="180"/>
      <c r="B3126" s="19" t="s">
        <v>4071</v>
      </c>
      <c r="C3126" s="20" t="s">
        <v>14801</v>
      </c>
      <c r="D3126" s="47"/>
      <c r="E3126" s="22" t="s">
        <v>15196</v>
      </c>
      <c r="F3126" s="22" t="s">
        <v>6581</v>
      </c>
      <c r="G3126" s="23">
        <v>1988.0</v>
      </c>
      <c r="H3126" s="22" t="s">
        <v>2594</v>
      </c>
      <c r="I3126" s="24" t="s">
        <v>15197</v>
      </c>
      <c r="J3126" s="22" t="s">
        <v>31</v>
      </c>
      <c r="K3126" s="22"/>
      <c r="L3126" s="37" t="s">
        <v>14763</v>
      </c>
      <c r="M3126" s="37"/>
      <c r="N3126" s="37"/>
      <c r="O3126" s="37"/>
      <c r="P3126" s="37"/>
      <c r="Q3126" s="299"/>
      <c r="R3126" s="37"/>
      <c r="S3126" s="37"/>
      <c r="T3126" s="54" t="s">
        <v>15198</v>
      </c>
      <c r="U3126" s="38" t="str">
        <f>HYPERLINK("https://www.ncbi.nlm.nih.gov/pubmed/2855731","PubMed")</f>
        <v>PubMed</v>
      </c>
      <c r="V3126" s="50"/>
      <c r="W3126" s="49"/>
      <c r="X3126" s="49"/>
      <c r="Y3126" s="35"/>
      <c r="Z3126" s="35"/>
      <c r="AA3126" s="35"/>
      <c r="AB3126" s="35"/>
      <c r="AC3126" s="35"/>
      <c r="AD3126" s="35"/>
      <c r="AE3126" s="35"/>
      <c r="AF3126" s="35"/>
      <c r="AG3126" s="35"/>
      <c r="AH3126" s="35"/>
      <c r="AI3126" s="35"/>
      <c r="AJ3126" s="35"/>
      <c r="AK3126" s="35"/>
      <c r="AL3126" s="35"/>
    </row>
    <row r="3127">
      <c r="A3127" s="180"/>
      <c r="B3127" s="19" t="s">
        <v>4071</v>
      </c>
      <c r="C3127" s="20" t="s">
        <v>14801</v>
      </c>
      <c r="D3127" s="47"/>
      <c r="E3127" s="22" t="s">
        <v>14485</v>
      </c>
      <c r="F3127" s="22" t="s">
        <v>14486</v>
      </c>
      <c r="G3127" s="23">
        <v>1988.0</v>
      </c>
      <c r="H3127" s="22" t="s">
        <v>546</v>
      </c>
      <c r="I3127" s="24" t="s">
        <v>15199</v>
      </c>
      <c r="J3127" s="22" t="s">
        <v>31</v>
      </c>
      <c r="K3127" s="22" t="s">
        <v>15133</v>
      </c>
      <c r="L3127" s="37" t="s">
        <v>14763</v>
      </c>
      <c r="M3127" s="37"/>
      <c r="N3127" s="37"/>
      <c r="O3127" s="37"/>
      <c r="P3127" s="37" t="s">
        <v>432</v>
      </c>
      <c r="Q3127" s="299"/>
      <c r="R3127" s="37"/>
      <c r="S3127" s="37"/>
      <c r="T3127" s="54" t="s">
        <v>15200</v>
      </c>
      <c r="U3127" s="38" t="str">
        <f>HYPERLINK("https://www.ncbi.nlm.nih.gov/pubmed/3190685","PubMed")</f>
        <v>PubMed</v>
      </c>
      <c r="V3127" s="50"/>
      <c r="W3127" s="49"/>
      <c r="X3127" s="49"/>
      <c r="Y3127" s="35"/>
      <c r="Z3127" s="35"/>
      <c r="AA3127" s="35"/>
      <c r="AB3127" s="35"/>
      <c r="AC3127" s="35"/>
      <c r="AD3127" s="35"/>
      <c r="AE3127" s="35"/>
      <c r="AF3127" s="35"/>
      <c r="AG3127" s="35"/>
      <c r="AH3127" s="35"/>
      <c r="AI3127" s="35"/>
      <c r="AJ3127" s="35"/>
      <c r="AK3127" s="35"/>
      <c r="AL3127" s="35"/>
    </row>
    <row r="3128">
      <c r="A3128" s="180"/>
      <c r="B3128" s="19" t="s">
        <v>4071</v>
      </c>
      <c r="C3128" s="20" t="s">
        <v>15201</v>
      </c>
      <c r="D3128" s="47"/>
      <c r="E3128" s="22" t="s">
        <v>12126</v>
      </c>
      <c r="F3128" s="22" t="s">
        <v>5110</v>
      </c>
      <c r="G3128" s="23">
        <v>2005.0</v>
      </c>
      <c r="H3128" s="22" t="s">
        <v>15202</v>
      </c>
      <c r="I3128" s="24" t="s">
        <v>15203</v>
      </c>
      <c r="J3128" s="22" t="s">
        <v>15204</v>
      </c>
      <c r="K3128" s="22" t="s">
        <v>1240</v>
      </c>
      <c r="L3128" s="132" t="s">
        <v>15205</v>
      </c>
      <c r="U3128" s="38" t="str">
        <f>HYPERLINK("https://link.springer.com/article/10.1007/s10525-005-0143-x","Springer")</f>
        <v>Springer</v>
      </c>
      <c r="V3128" s="50"/>
      <c r="W3128" s="49"/>
      <c r="X3128" s="49"/>
      <c r="Y3128" s="35"/>
      <c r="Z3128" s="35"/>
      <c r="AA3128" s="35"/>
      <c r="AB3128" s="35"/>
      <c r="AC3128" s="35"/>
      <c r="AD3128" s="35"/>
      <c r="AE3128" s="35"/>
      <c r="AF3128" s="35"/>
      <c r="AG3128" s="35"/>
      <c r="AH3128" s="35"/>
      <c r="AI3128" s="35"/>
      <c r="AJ3128" s="35"/>
      <c r="AK3128" s="35"/>
      <c r="AL3128" s="35"/>
    </row>
    <row r="3129">
      <c r="A3129" s="180"/>
      <c r="B3129" s="19" t="s">
        <v>4071</v>
      </c>
      <c r="C3129" s="20" t="s">
        <v>15201</v>
      </c>
      <c r="D3129" s="47"/>
      <c r="E3129" s="22" t="s">
        <v>12126</v>
      </c>
      <c r="F3129" s="22" t="s">
        <v>5110</v>
      </c>
      <c r="G3129" s="23">
        <v>2004.0</v>
      </c>
      <c r="H3129" s="22" t="s">
        <v>15206</v>
      </c>
      <c r="I3129" s="24" t="s">
        <v>15207</v>
      </c>
      <c r="J3129" s="22" t="s">
        <v>15208</v>
      </c>
      <c r="K3129" s="22"/>
      <c r="L3129" s="189" t="s">
        <v>14763</v>
      </c>
      <c r="M3129" s="189"/>
      <c r="N3129" s="189"/>
      <c r="O3129" s="189"/>
      <c r="P3129" s="189"/>
      <c r="Q3129" s="303"/>
      <c r="R3129" s="189"/>
      <c r="S3129" s="189"/>
      <c r="T3129" s="28" t="s">
        <v>15209</v>
      </c>
      <c r="U3129" s="38" t="str">
        <f>HYPERLINK("https://www.ncbi.nlm.nih.gov/pubmed/15341124","PubMed")</f>
        <v>PubMed</v>
      </c>
      <c r="V3129" s="50"/>
      <c r="W3129" s="49"/>
      <c r="X3129" s="49"/>
      <c r="Y3129" s="35"/>
      <c r="Z3129" s="35"/>
      <c r="AA3129" s="35"/>
      <c r="AB3129" s="35"/>
      <c r="AC3129" s="35"/>
      <c r="AD3129" s="35"/>
      <c r="AE3129" s="35"/>
      <c r="AF3129" s="35"/>
      <c r="AG3129" s="35"/>
      <c r="AH3129" s="35"/>
      <c r="AI3129" s="35"/>
      <c r="AJ3129" s="35"/>
      <c r="AK3129" s="35"/>
      <c r="AL3129" s="35"/>
    </row>
    <row r="3130">
      <c r="A3130" s="180"/>
      <c r="B3130" s="19" t="s">
        <v>4071</v>
      </c>
      <c r="C3130" s="20" t="s">
        <v>15201</v>
      </c>
      <c r="D3130" s="47"/>
      <c r="E3130" s="22" t="s">
        <v>15144</v>
      </c>
      <c r="F3130" s="22" t="s">
        <v>748</v>
      </c>
      <c r="G3130" s="23">
        <v>2002.0</v>
      </c>
      <c r="H3130" s="22" t="s">
        <v>15206</v>
      </c>
      <c r="I3130" s="24" t="s">
        <v>15210</v>
      </c>
      <c r="J3130" s="22" t="s">
        <v>15208</v>
      </c>
      <c r="K3130" s="22"/>
      <c r="L3130" s="189" t="s">
        <v>14763</v>
      </c>
      <c r="M3130" s="189"/>
      <c r="N3130" s="189"/>
      <c r="O3130" s="189"/>
      <c r="P3130" s="189" t="s">
        <v>15211</v>
      </c>
      <c r="Q3130" s="303"/>
      <c r="R3130" s="189"/>
      <c r="S3130" s="189"/>
      <c r="T3130" s="28" t="s">
        <v>15212</v>
      </c>
      <c r="U3130" s="38" t="str">
        <f>HYPERLINK("https://www.ncbi.nlm.nih.gov/pubmed/12683332","PubMed")</f>
        <v>PubMed</v>
      </c>
      <c r="V3130" s="50"/>
      <c r="W3130" s="49"/>
      <c r="X3130" s="49"/>
      <c r="Y3130" s="35"/>
      <c r="Z3130" s="35"/>
      <c r="AA3130" s="35"/>
      <c r="AB3130" s="35"/>
      <c r="AC3130" s="35"/>
      <c r="AD3130" s="35"/>
      <c r="AE3130" s="35"/>
      <c r="AF3130" s="35"/>
      <c r="AG3130" s="35"/>
      <c r="AH3130" s="35"/>
      <c r="AI3130" s="35"/>
      <c r="AJ3130" s="35"/>
      <c r="AK3130" s="35"/>
      <c r="AL3130" s="35"/>
    </row>
    <row r="3131">
      <c r="A3131" s="180"/>
      <c r="B3131" s="19" t="s">
        <v>4071</v>
      </c>
      <c r="C3131" s="20" t="s">
        <v>15213</v>
      </c>
      <c r="D3131" s="47"/>
      <c r="E3131" s="22" t="s">
        <v>15114</v>
      </c>
      <c r="F3131" s="22" t="s">
        <v>15115</v>
      </c>
      <c r="G3131" s="23">
        <v>1996.0</v>
      </c>
      <c r="H3131" s="22" t="s">
        <v>15140</v>
      </c>
      <c r="I3131" s="24" t="s">
        <v>15214</v>
      </c>
      <c r="J3131" s="22" t="s">
        <v>15215</v>
      </c>
      <c r="K3131" s="22" t="s">
        <v>5989</v>
      </c>
      <c r="L3131" s="189" t="s">
        <v>14763</v>
      </c>
      <c r="M3131" s="189"/>
      <c r="N3131" s="189"/>
      <c r="O3131" s="189"/>
      <c r="P3131" s="189"/>
      <c r="Q3131" s="303"/>
      <c r="R3131" s="189"/>
      <c r="S3131" s="189"/>
      <c r="T3131" s="28" t="s">
        <v>15216</v>
      </c>
      <c r="U3131" s="38" t="str">
        <f>HYPERLINK("https://www.ncbi.nlm.nih.gov/pubmed/8799337","PubMed")</f>
        <v>PubMed</v>
      </c>
      <c r="V3131" s="50"/>
      <c r="W3131" s="49"/>
      <c r="X3131" s="49"/>
      <c r="Y3131" s="35"/>
      <c r="Z3131" s="35"/>
      <c r="AA3131" s="35"/>
      <c r="AB3131" s="35"/>
      <c r="AC3131" s="35"/>
      <c r="AD3131" s="35"/>
      <c r="AE3131" s="35"/>
      <c r="AF3131" s="35"/>
      <c r="AG3131" s="35"/>
      <c r="AH3131" s="35"/>
      <c r="AI3131" s="35"/>
      <c r="AJ3131" s="35"/>
      <c r="AK3131" s="35"/>
      <c r="AL3131" s="35"/>
    </row>
    <row r="3132">
      <c r="A3132" s="133"/>
      <c r="B3132" s="19" t="s">
        <v>4071</v>
      </c>
      <c r="C3132" s="20" t="s">
        <v>2157</v>
      </c>
      <c r="D3132" s="47"/>
      <c r="E3132" s="22" t="s">
        <v>15217</v>
      </c>
      <c r="F3132" s="22" t="s">
        <v>2665</v>
      </c>
      <c r="G3132" s="23">
        <v>2024.0</v>
      </c>
      <c r="H3132" s="22" t="s">
        <v>2225</v>
      </c>
      <c r="I3132" s="24" t="s">
        <v>15218</v>
      </c>
      <c r="J3132" s="22" t="s">
        <v>125</v>
      </c>
      <c r="K3132" s="22"/>
      <c r="L3132" s="173" t="s">
        <v>15219</v>
      </c>
      <c r="U3132" s="38" t="s">
        <v>61</v>
      </c>
      <c r="V3132" s="50"/>
      <c r="W3132" s="49"/>
      <c r="X3132" s="49"/>
      <c r="Y3132" s="35"/>
      <c r="Z3132" s="35"/>
      <c r="AA3132" s="35"/>
      <c r="AB3132" s="35"/>
      <c r="AC3132" s="35"/>
      <c r="AD3132" s="35"/>
      <c r="AE3132" s="35"/>
      <c r="AF3132" s="35"/>
      <c r="AG3132" s="35"/>
      <c r="AH3132" s="35"/>
      <c r="AI3132" s="35"/>
      <c r="AJ3132" s="35"/>
      <c r="AK3132" s="35"/>
      <c r="AL3132" s="35"/>
    </row>
    <row r="3133">
      <c r="A3133" s="133"/>
      <c r="B3133" s="19" t="s">
        <v>4071</v>
      </c>
      <c r="C3133" s="20" t="s">
        <v>2157</v>
      </c>
      <c r="D3133" s="47"/>
      <c r="E3133" s="22" t="s">
        <v>2603</v>
      </c>
      <c r="F3133" s="22" t="s">
        <v>15220</v>
      </c>
      <c r="G3133" s="23">
        <v>2020.0</v>
      </c>
      <c r="H3133" s="22" t="s">
        <v>4492</v>
      </c>
      <c r="I3133" s="24" t="s">
        <v>15221</v>
      </c>
      <c r="J3133" s="22" t="s">
        <v>125</v>
      </c>
      <c r="K3133" s="22"/>
      <c r="L3133" s="173" t="s">
        <v>15222</v>
      </c>
      <c r="U3133" s="29" t="s">
        <v>61</v>
      </c>
      <c r="V3133" s="50"/>
      <c r="W3133" s="49"/>
      <c r="X3133" s="49"/>
      <c r="Y3133" s="35"/>
      <c r="Z3133" s="35"/>
      <c r="AA3133" s="35"/>
      <c r="AB3133" s="35"/>
      <c r="AC3133" s="35"/>
      <c r="AD3133" s="35"/>
      <c r="AE3133" s="35"/>
      <c r="AF3133" s="35"/>
      <c r="AG3133" s="35"/>
      <c r="AH3133" s="35"/>
      <c r="AI3133" s="35"/>
      <c r="AJ3133" s="35"/>
      <c r="AK3133" s="35"/>
      <c r="AL3133" s="35"/>
    </row>
    <row r="3134">
      <c r="A3134" s="133"/>
      <c r="B3134" s="19" t="s">
        <v>4071</v>
      </c>
      <c r="C3134" s="20" t="s">
        <v>12712</v>
      </c>
      <c r="D3134" s="47"/>
      <c r="E3134" s="22" t="s">
        <v>15223</v>
      </c>
      <c r="F3134" s="22" t="s">
        <v>9858</v>
      </c>
      <c r="G3134" s="23">
        <v>2013.0</v>
      </c>
      <c r="H3134" s="22" t="s">
        <v>658</v>
      </c>
      <c r="I3134" s="24" t="s">
        <v>15224</v>
      </c>
      <c r="J3134" s="22" t="s">
        <v>15225</v>
      </c>
      <c r="K3134" s="22"/>
      <c r="L3134" s="105" t="s">
        <v>15226</v>
      </c>
      <c r="M3134" s="44"/>
      <c r="N3134" s="44"/>
      <c r="O3134" s="44"/>
      <c r="P3134" s="44"/>
      <c r="Q3134" s="44"/>
      <c r="R3134" s="44"/>
      <c r="S3134" s="44"/>
      <c r="T3134" s="45"/>
      <c r="U3134" s="38" t="str">
        <f>HYPERLINK("https://www.ncbi.nlm.nih.gov/pubmed/24047224","PubMed")</f>
        <v>PubMed</v>
      </c>
      <c r="V3134" s="50"/>
      <c r="W3134" s="49"/>
      <c r="X3134" s="49"/>
      <c r="Y3134" s="35"/>
      <c r="Z3134" s="35"/>
      <c r="AA3134" s="35"/>
      <c r="AB3134" s="35"/>
      <c r="AC3134" s="35"/>
      <c r="AD3134" s="35"/>
      <c r="AE3134" s="35"/>
      <c r="AF3134" s="35"/>
      <c r="AG3134" s="35"/>
      <c r="AH3134" s="35"/>
      <c r="AI3134" s="35"/>
      <c r="AJ3134" s="35"/>
      <c r="AK3134" s="35"/>
      <c r="AL3134" s="35"/>
    </row>
    <row r="3135">
      <c r="A3135" s="40"/>
      <c r="B3135" s="19" t="s">
        <v>4071</v>
      </c>
      <c r="C3135" s="20" t="s">
        <v>2036</v>
      </c>
      <c r="D3135" s="47"/>
      <c r="E3135" s="22" t="s">
        <v>15227</v>
      </c>
      <c r="F3135" s="22" t="s">
        <v>2175</v>
      </c>
      <c r="G3135" s="23">
        <v>2024.0</v>
      </c>
      <c r="H3135" s="22" t="s">
        <v>15228</v>
      </c>
      <c r="I3135" s="24" t="s">
        <v>15229</v>
      </c>
      <c r="J3135" s="22" t="s">
        <v>125</v>
      </c>
      <c r="K3135" s="22"/>
      <c r="L3135" s="300" t="s">
        <v>15230</v>
      </c>
      <c r="M3135" s="44"/>
      <c r="N3135" s="44"/>
      <c r="O3135" s="44"/>
      <c r="P3135" s="44"/>
      <c r="Q3135" s="44"/>
      <c r="R3135" s="44"/>
      <c r="S3135" s="44"/>
      <c r="T3135" s="45"/>
      <c r="U3135" s="38" t="s">
        <v>61</v>
      </c>
      <c r="V3135" s="30"/>
      <c r="W3135" s="49"/>
      <c r="X3135" s="49"/>
      <c r="Y3135" s="35"/>
      <c r="Z3135" s="35"/>
      <c r="AA3135" s="35"/>
      <c r="AB3135" s="35"/>
      <c r="AC3135" s="35"/>
      <c r="AD3135" s="35"/>
      <c r="AE3135" s="35"/>
      <c r="AF3135" s="35"/>
      <c r="AG3135" s="35"/>
      <c r="AH3135" s="35"/>
      <c r="AI3135" s="35"/>
      <c r="AJ3135" s="35"/>
      <c r="AK3135" s="35"/>
      <c r="AL3135" s="35"/>
    </row>
    <row r="3136">
      <c r="A3136" s="40"/>
      <c r="B3136" s="19" t="s">
        <v>4071</v>
      </c>
      <c r="C3136" s="20" t="s">
        <v>2036</v>
      </c>
      <c r="D3136" s="47"/>
      <c r="E3136" s="22" t="s">
        <v>15231</v>
      </c>
      <c r="F3136" s="22" t="s">
        <v>2821</v>
      </c>
      <c r="G3136" s="23">
        <v>2024.0</v>
      </c>
      <c r="H3136" s="22" t="s">
        <v>7274</v>
      </c>
      <c r="I3136" s="24" t="s">
        <v>15232</v>
      </c>
      <c r="J3136" s="22" t="s">
        <v>125</v>
      </c>
      <c r="K3136" s="22"/>
      <c r="L3136" s="300" t="s">
        <v>15233</v>
      </c>
      <c r="M3136" s="44"/>
      <c r="N3136" s="44"/>
      <c r="O3136" s="44"/>
      <c r="P3136" s="44"/>
      <c r="Q3136" s="44"/>
      <c r="R3136" s="44"/>
      <c r="S3136" s="44"/>
      <c r="T3136" s="45"/>
      <c r="U3136" s="38" t="s">
        <v>61</v>
      </c>
      <c r="V3136" s="30"/>
      <c r="W3136" s="49"/>
      <c r="X3136" s="49"/>
      <c r="Y3136" s="35"/>
      <c r="Z3136" s="35"/>
      <c r="AA3136" s="35"/>
      <c r="AB3136" s="35"/>
      <c r="AC3136" s="35"/>
      <c r="AD3136" s="35"/>
      <c r="AE3136" s="35"/>
      <c r="AF3136" s="35"/>
      <c r="AG3136" s="35"/>
      <c r="AH3136" s="35"/>
      <c r="AI3136" s="35"/>
      <c r="AJ3136" s="35"/>
      <c r="AK3136" s="35"/>
      <c r="AL3136" s="35"/>
    </row>
    <row r="3137">
      <c r="A3137" s="40"/>
      <c r="B3137" s="19" t="s">
        <v>4071</v>
      </c>
      <c r="C3137" s="20" t="s">
        <v>2036</v>
      </c>
      <c r="D3137" s="47"/>
      <c r="E3137" s="22" t="s">
        <v>2316</v>
      </c>
      <c r="F3137" s="22" t="s">
        <v>224</v>
      </c>
      <c r="G3137" s="23">
        <v>2024.0</v>
      </c>
      <c r="H3137" s="22" t="s">
        <v>91</v>
      </c>
      <c r="I3137" s="24" t="s">
        <v>15234</v>
      </c>
      <c r="J3137" s="22" t="s">
        <v>125</v>
      </c>
      <c r="K3137" s="22"/>
      <c r="L3137" s="300" t="s">
        <v>15235</v>
      </c>
      <c r="M3137" s="44"/>
      <c r="N3137" s="44"/>
      <c r="O3137" s="44"/>
      <c r="P3137" s="44"/>
      <c r="Q3137" s="44"/>
      <c r="R3137" s="44"/>
      <c r="S3137" s="44"/>
      <c r="T3137" s="45"/>
      <c r="U3137" s="38" t="s">
        <v>61</v>
      </c>
      <c r="V3137" s="30"/>
      <c r="W3137" s="49"/>
      <c r="X3137" s="49"/>
      <c r="Y3137" s="35"/>
      <c r="Z3137" s="35"/>
      <c r="AA3137" s="35"/>
      <c r="AB3137" s="35"/>
      <c r="AC3137" s="35"/>
      <c r="AD3137" s="35"/>
      <c r="AE3137" s="35"/>
      <c r="AF3137" s="35"/>
      <c r="AG3137" s="35"/>
      <c r="AH3137" s="35"/>
      <c r="AI3137" s="35"/>
      <c r="AJ3137" s="35"/>
      <c r="AK3137" s="35"/>
      <c r="AL3137" s="35"/>
    </row>
    <row r="3138">
      <c r="A3138" s="40"/>
      <c r="B3138" s="19" t="s">
        <v>4071</v>
      </c>
      <c r="C3138" s="20" t="s">
        <v>2036</v>
      </c>
      <c r="D3138" s="47"/>
      <c r="E3138" s="22" t="s">
        <v>5096</v>
      </c>
      <c r="F3138" s="22" t="s">
        <v>15236</v>
      </c>
      <c r="G3138" s="23">
        <v>2023.0</v>
      </c>
      <c r="H3138" s="22" t="s">
        <v>15237</v>
      </c>
      <c r="I3138" s="24" t="s">
        <v>15238</v>
      </c>
      <c r="J3138" s="22" t="s">
        <v>125</v>
      </c>
      <c r="K3138" s="22"/>
      <c r="L3138" s="300" t="s">
        <v>15239</v>
      </c>
      <c r="M3138" s="44"/>
      <c r="N3138" s="44"/>
      <c r="O3138" s="44"/>
      <c r="P3138" s="44"/>
      <c r="Q3138" s="44"/>
      <c r="R3138" s="44"/>
      <c r="S3138" s="44"/>
      <c r="T3138" s="45"/>
      <c r="U3138" s="38" t="s">
        <v>8353</v>
      </c>
      <c r="V3138" s="30"/>
      <c r="W3138" s="49"/>
      <c r="X3138" s="49"/>
      <c r="Y3138" s="35"/>
      <c r="Z3138" s="35"/>
      <c r="AA3138" s="35"/>
      <c r="AB3138" s="35"/>
      <c r="AC3138" s="35"/>
      <c r="AD3138" s="35"/>
      <c r="AE3138" s="35"/>
      <c r="AF3138" s="35"/>
      <c r="AG3138" s="35"/>
      <c r="AH3138" s="35"/>
      <c r="AI3138" s="35"/>
      <c r="AJ3138" s="35"/>
      <c r="AK3138" s="35"/>
      <c r="AL3138" s="35"/>
    </row>
    <row r="3139">
      <c r="A3139" s="40"/>
      <c r="B3139" s="19" t="s">
        <v>4071</v>
      </c>
      <c r="C3139" s="20" t="s">
        <v>2036</v>
      </c>
      <c r="D3139" s="47"/>
      <c r="E3139" s="22" t="s">
        <v>15240</v>
      </c>
      <c r="F3139" s="22" t="s">
        <v>15241</v>
      </c>
      <c r="G3139" s="23">
        <v>2023.0</v>
      </c>
      <c r="H3139" s="22" t="s">
        <v>15237</v>
      </c>
      <c r="I3139" s="24" t="s">
        <v>15242</v>
      </c>
      <c r="J3139" s="22" t="s">
        <v>125</v>
      </c>
      <c r="K3139" s="22"/>
      <c r="L3139" s="300" t="s">
        <v>15243</v>
      </c>
      <c r="M3139" s="44"/>
      <c r="N3139" s="44"/>
      <c r="O3139" s="44"/>
      <c r="P3139" s="44"/>
      <c r="Q3139" s="44"/>
      <c r="R3139" s="44"/>
      <c r="S3139" s="44"/>
      <c r="T3139" s="45"/>
      <c r="U3139" s="38" t="s">
        <v>8353</v>
      </c>
      <c r="V3139" s="30"/>
      <c r="W3139" s="49"/>
      <c r="X3139" s="49"/>
      <c r="Y3139" s="35"/>
      <c r="Z3139" s="35"/>
      <c r="AA3139" s="35"/>
      <c r="AB3139" s="35"/>
      <c r="AC3139" s="35"/>
      <c r="AD3139" s="35"/>
      <c r="AE3139" s="35"/>
      <c r="AF3139" s="35"/>
      <c r="AG3139" s="35"/>
      <c r="AH3139" s="35"/>
      <c r="AI3139" s="35"/>
      <c r="AJ3139" s="35"/>
      <c r="AK3139" s="35"/>
      <c r="AL3139" s="35"/>
    </row>
    <row r="3140">
      <c r="A3140" s="40" t="s">
        <v>2</v>
      </c>
      <c r="B3140" s="19" t="s">
        <v>4071</v>
      </c>
      <c r="C3140" s="20" t="s">
        <v>2036</v>
      </c>
      <c r="D3140" s="47"/>
      <c r="E3140" s="22" t="s">
        <v>15244</v>
      </c>
      <c r="F3140" s="22" t="s">
        <v>647</v>
      </c>
      <c r="G3140" s="23">
        <v>2023.0</v>
      </c>
      <c r="H3140" s="22" t="s">
        <v>191</v>
      </c>
      <c r="I3140" s="24" t="s">
        <v>15245</v>
      </c>
      <c r="J3140" s="22" t="s">
        <v>125</v>
      </c>
      <c r="K3140" s="22"/>
      <c r="L3140" s="300" t="s">
        <v>15246</v>
      </c>
      <c r="M3140" s="44"/>
      <c r="N3140" s="44"/>
      <c r="O3140" s="44"/>
      <c r="P3140" s="44"/>
      <c r="Q3140" s="44"/>
      <c r="R3140" s="44"/>
      <c r="S3140" s="44"/>
      <c r="T3140" s="45"/>
      <c r="U3140" s="38" t="s">
        <v>61</v>
      </c>
      <c r="V3140" s="30"/>
      <c r="W3140" s="49"/>
      <c r="X3140" s="49"/>
      <c r="Y3140" s="35"/>
      <c r="Z3140" s="35"/>
      <c r="AA3140" s="35"/>
      <c r="AB3140" s="35"/>
      <c r="AC3140" s="35"/>
      <c r="AD3140" s="35"/>
      <c r="AE3140" s="35"/>
      <c r="AF3140" s="35"/>
      <c r="AG3140" s="35"/>
      <c r="AH3140" s="35"/>
      <c r="AI3140" s="35"/>
      <c r="AJ3140" s="35"/>
      <c r="AK3140" s="35"/>
      <c r="AL3140" s="35"/>
    </row>
    <row r="3141">
      <c r="A3141" s="40"/>
      <c r="B3141" s="19" t="s">
        <v>4071</v>
      </c>
      <c r="C3141" s="20" t="s">
        <v>2036</v>
      </c>
      <c r="D3141" s="47"/>
      <c r="E3141" s="22" t="s">
        <v>15247</v>
      </c>
      <c r="F3141" s="22" t="s">
        <v>8777</v>
      </c>
      <c r="G3141" s="23">
        <v>2023.0</v>
      </c>
      <c r="H3141" s="22" t="s">
        <v>15013</v>
      </c>
      <c r="I3141" s="24" t="s">
        <v>15248</v>
      </c>
      <c r="J3141" s="22" t="s">
        <v>125</v>
      </c>
      <c r="K3141" s="22"/>
      <c r="L3141" s="300" t="s">
        <v>15249</v>
      </c>
      <c r="M3141" s="44"/>
      <c r="N3141" s="44"/>
      <c r="O3141" s="44"/>
      <c r="P3141" s="44"/>
      <c r="Q3141" s="44"/>
      <c r="R3141" s="44"/>
      <c r="S3141" s="44"/>
      <c r="T3141" s="45"/>
      <c r="U3141" s="38" t="s">
        <v>61</v>
      </c>
      <c r="V3141" s="30"/>
      <c r="W3141" s="49"/>
      <c r="X3141" s="49"/>
      <c r="Y3141" s="35"/>
      <c r="Z3141" s="35"/>
      <c r="AA3141" s="35"/>
      <c r="AB3141" s="35"/>
      <c r="AC3141" s="35"/>
      <c r="AD3141" s="35"/>
      <c r="AE3141" s="35"/>
      <c r="AF3141" s="35"/>
      <c r="AG3141" s="35"/>
      <c r="AH3141" s="35"/>
      <c r="AI3141" s="35"/>
      <c r="AJ3141" s="35"/>
      <c r="AK3141" s="35"/>
      <c r="AL3141" s="35"/>
    </row>
    <row r="3142">
      <c r="A3142" s="40"/>
      <c r="B3142" s="19" t="s">
        <v>4071</v>
      </c>
      <c r="C3142" s="20" t="s">
        <v>2036</v>
      </c>
      <c r="D3142" s="47"/>
      <c r="E3142" s="22" t="s">
        <v>3827</v>
      </c>
      <c r="F3142" s="22" t="s">
        <v>993</v>
      </c>
      <c r="G3142" s="23">
        <v>2023.0</v>
      </c>
      <c r="H3142" s="22" t="s">
        <v>91</v>
      </c>
      <c r="I3142" s="24" t="s">
        <v>15250</v>
      </c>
      <c r="J3142" s="22" t="s">
        <v>125</v>
      </c>
      <c r="K3142" s="22"/>
      <c r="L3142" s="300" t="s">
        <v>15251</v>
      </c>
      <c r="M3142" s="44"/>
      <c r="N3142" s="44"/>
      <c r="O3142" s="44"/>
      <c r="P3142" s="44"/>
      <c r="Q3142" s="44"/>
      <c r="R3142" s="44"/>
      <c r="S3142" s="44"/>
      <c r="T3142" s="45"/>
      <c r="U3142" s="38" t="s">
        <v>61</v>
      </c>
      <c r="V3142" s="30"/>
      <c r="W3142" s="49"/>
      <c r="X3142" s="49"/>
      <c r="Y3142" s="35"/>
      <c r="Z3142" s="35"/>
      <c r="AA3142" s="35"/>
      <c r="AB3142" s="35"/>
      <c r="AC3142" s="35"/>
      <c r="AD3142" s="35"/>
      <c r="AE3142" s="35"/>
      <c r="AF3142" s="35"/>
      <c r="AG3142" s="35"/>
      <c r="AH3142" s="35"/>
      <c r="AI3142" s="35"/>
      <c r="AJ3142" s="35"/>
      <c r="AK3142" s="35"/>
      <c r="AL3142" s="35"/>
    </row>
    <row r="3143">
      <c r="A3143" s="40"/>
      <c r="B3143" s="19" t="s">
        <v>4071</v>
      </c>
      <c r="C3143" s="20" t="s">
        <v>2036</v>
      </c>
      <c r="D3143" s="47"/>
      <c r="E3143" s="22" t="s">
        <v>5325</v>
      </c>
      <c r="F3143" s="22" t="s">
        <v>13944</v>
      </c>
      <c r="G3143" s="23">
        <v>2023.0</v>
      </c>
      <c r="H3143" s="22" t="s">
        <v>77</v>
      </c>
      <c r="I3143" s="24" t="s">
        <v>15252</v>
      </c>
      <c r="J3143" s="22" t="s">
        <v>125</v>
      </c>
      <c r="K3143" s="22"/>
      <c r="L3143" s="300" t="s">
        <v>15253</v>
      </c>
      <c r="M3143" s="44"/>
      <c r="N3143" s="44"/>
      <c r="O3143" s="44"/>
      <c r="P3143" s="44"/>
      <c r="Q3143" s="44"/>
      <c r="R3143" s="44"/>
      <c r="S3143" s="44"/>
      <c r="T3143" s="45"/>
      <c r="U3143" s="38" t="s">
        <v>61</v>
      </c>
      <c r="V3143" s="30"/>
      <c r="W3143" s="49"/>
      <c r="X3143" s="49"/>
      <c r="Y3143" s="35"/>
      <c r="Z3143" s="35"/>
      <c r="AA3143" s="35"/>
      <c r="AB3143" s="35"/>
      <c r="AC3143" s="35"/>
      <c r="AD3143" s="35"/>
      <c r="AE3143" s="35"/>
      <c r="AF3143" s="35"/>
      <c r="AG3143" s="35"/>
      <c r="AH3143" s="35"/>
      <c r="AI3143" s="35"/>
      <c r="AJ3143" s="35"/>
      <c r="AK3143" s="35"/>
      <c r="AL3143" s="35"/>
    </row>
    <row r="3144">
      <c r="A3144" s="40"/>
      <c r="B3144" s="19" t="s">
        <v>4071</v>
      </c>
      <c r="C3144" s="20" t="s">
        <v>2036</v>
      </c>
      <c r="D3144" s="47"/>
      <c r="E3144" s="22" t="s">
        <v>15254</v>
      </c>
      <c r="F3144" s="22" t="s">
        <v>15255</v>
      </c>
      <c r="G3144" s="23">
        <v>2023.0</v>
      </c>
      <c r="H3144" s="22" t="s">
        <v>15237</v>
      </c>
      <c r="I3144" s="24" t="s">
        <v>15256</v>
      </c>
      <c r="J3144" s="22" t="s">
        <v>125</v>
      </c>
      <c r="K3144" s="22"/>
      <c r="L3144" s="300" t="s">
        <v>15257</v>
      </c>
      <c r="M3144" s="44"/>
      <c r="N3144" s="44"/>
      <c r="O3144" s="44"/>
      <c r="P3144" s="44"/>
      <c r="Q3144" s="44"/>
      <c r="R3144" s="44"/>
      <c r="S3144" s="44"/>
      <c r="T3144" s="45"/>
      <c r="U3144" s="38" t="s">
        <v>8353</v>
      </c>
      <c r="V3144" s="30"/>
      <c r="W3144" s="49"/>
      <c r="X3144" s="49"/>
      <c r="Y3144" s="35"/>
      <c r="Z3144" s="35"/>
      <c r="AA3144" s="35"/>
      <c r="AB3144" s="35"/>
      <c r="AC3144" s="35"/>
      <c r="AD3144" s="35"/>
      <c r="AE3144" s="35"/>
      <c r="AF3144" s="35"/>
      <c r="AG3144" s="35"/>
      <c r="AH3144" s="35"/>
      <c r="AI3144" s="35"/>
      <c r="AJ3144" s="35"/>
      <c r="AK3144" s="35"/>
      <c r="AL3144" s="35"/>
    </row>
    <row r="3145">
      <c r="A3145" s="40"/>
      <c r="B3145" s="19" t="s">
        <v>4071</v>
      </c>
      <c r="C3145" s="20" t="s">
        <v>2036</v>
      </c>
      <c r="D3145" s="47"/>
      <c r="E3145" s="22" t="s">
        <v>15258</v>
      </c>
      <c r="F3145" s="22" t="s">
        <v>15259</v>
      </c>
      <c r="G3145" s="23">
        <v>2023.0</v>
      </c>
      <c r="H3145" s="22" t="s">
        <v>348</v>
      </c>
      <c r="I3145" s="24" t="s">
        <v>15260</v>
      </c>
      <c r="J3145" s="22" t="s">
        <v>125</v>
      </c>
      <c r="K3145" s="22" t="s">
        <v>15261</v>
      </c>
      <c r="L3145" s="300" t="s">
        <v>15262</v>
      </c>
      <c r="M3145" s="44"/>
      <c r="N3145" s="44"/>
      <c r="O3145" s="44"/>
      <c r="P3145" s="44"/>
      <c r="Q3145" s="44"/>
      <c r="R3145" s="44"/>
      <c r="S3145" s="44"/>
      <c r="T3145" s="45"/>
      <c r="U3145" s="38" t="s">
        <v>61</v>
      </c>
      <c r="V3145" s="30"/>
      <c r="W3145" s="49"/>
      <c r="X3145" s="49"/>
      <c r="Y3145" s="35"/>
      <c r="Z3145" s="35"/>
      <c r="AA3145" s="35"/>
      <c r="AB3145" s="35"/>
      <c r="AC3145" s="35"/>
      <c r="AD3145" s="35"/>
      <c r="AE3145" s="35"/>
      <c r="AF3145" s="35"/>
      <c r="AG3145" s="35"/>
      <c r="AH3145" s="35"/>
      <c r="AI3145" s="35"/>
      <c r="AJ3145" s="35"/>
      <c r="AK3145" s="35"/>
      <c r="AL3145" s="35"/>
    </row>
    <row r="3146">
      <c r="A3146" s="40"/>
      <c r="B3146" s="19" t="s">
        <v>4071</v>
      </c>
      <c r="C3146" s="20" t="s">
        <v>2036</v>
      </c>
      <c r="D3146" s="47"/>
      <c r="E3146" s="22" t="s">
        <v>3980</v>
      </c>
      <c r="F3146" s="22" t="s">
        <v>1862</v>
      </c>
      <c r="G3146" s="23">
        <v>2023.0</v>
      </c>
      <c r="H3146" s="22" t="s">
        <v>191</v>
      </c>
      <c r="I3146" s="24" t="s">
        <v>15263</v>
      </c>
      <c r="J3146" s="22" t="s">
        <v>125</v>
      </c>
      <c r="K3146" s="22"/>
      <c r="L3146" s="300" t="s">
        <v>15264</v>
      </c>
      <c r="M3146" s="44"/>
      <c r="N3146" s="44"/>
      <c r="O3146" s="44"/>
      <c r="P3146" s="44"/>
      <c r="Q3146" s="44"/>
      <c r="R3146" s="44"/>
      <c r="S3146" s="44"/>
      <c r="T3146" s="45"/>
      <c r="U3146" s="38" t="s">
        <v>61</v>
      </c>
      <c r="V3146" s="30"/>
      <c r="W3146" s="49"/>
      <c r="X3146" s="49"/>
      <c r="Y3146" s="35"/>
      <c r="Z3146" s="35"/>
      <c r="AA3146" s="35"/>
      <c r="AB3146" s="35"/>
      <c r="AC3146" s="35"/>
      <c r="AD3146" s="35"/>
      <c r="AE3146" s="35"/>
      <c r="AF3146" s="35"/>
      <c r="AG3146" s="35"/>
      <c r="AH3146" s="35"/>
      <c r="AI3146" s="35"/>
      <c r="AJ3146" s="35"/>
      <c r="AK3146" s="35"/>
      <c r="AL3146" s="35"/>
    </row>
    <row r="3147">
      <c r="A3147" s="40"/>
      <c r="B3147" s="19" t="s">
        <v>4071</v>
      </c>
      <c r="C3147" s="20" t="s">
        <v>2036</v>
      </c>
      <c r="D3147" s="47"/>
      <c r="E3147" s="22" t="s">
        <v>15265</v>
      </c>
      <c r="F3147" s="22" t="s">
        <v>3885</v>
      </c>
      <c r="G3147" s="23">
        <v>2023.0</v>
      </c>
      <c r="H3147" s="22" t="s">
        <v>207</v>
      </c>
      <c r="I3147" s="24" t="s">
        <v>15266</v>
      </c>
      <c r="J3147" s="22" t="s">
        <v>125</v>
      </c>
      <c r="K3147" s="22"/>
      <c r="L3147" s="300" t="s">
        <v>15267</v>
      </c>
      <c r="M3147" s="44"/>
      <c r="N3147" s="44"/>
      <c r="O3147" s="44"/>
      <c r="P3147" s="44"/>
      <c r="Q3147" s="44"/>
      <c r="R3147" s="44"/>
      <c r="S3147" s="44"/>
      <c r="T3147" s="45"/>
      <c r="U3147" s="38" t="s">
        <v>61</v>
      </c>
      <c r="V3147" s="30" t="s">
        <v>174</v>
      </c>
      <c r="W3147" s="49"/>
      <c r="X3147" s="49"/>
      <c r="Y3147" s="35"/>
      <c r="Z3147" s="35"/>
      <c r="AA3147" s="35"/>
      <c r="AB3147" s="35"/>
      <c r="AC3147" s="35"/>
      <c r="AD3147" s="35"/>
      <c r="AE3147" s="35"/>
      <c r="AF3147" s="35"/>
      <c r="AG3147" s="35"/>
      <c r="AH3147" s="35"/>
      <c r="AI3147" s="35"/>
      <c r="AJ3147" s="35"/>
      <c r="AK3147" s="35"/>
      <c r="AL3147" s="35"/>
    </row>
    <row r="3148">
      <c r="A3148" s="40"/>
      <c r="B3148" s="19" t="s">
        <v>4071</v>
      </c>
      <c r="C3148" s="20" t="s">
        <v>2036</v>
      </c>
      <c r="D3148" s="47"/>
      <c r="E3148" s="22" t="s">
        <v>15268</v>
      </c>
      <c r="F3148" s="22" t="s">
        <v>15269</v>
      </c>
      <c r="G3148" s="23">
        <v>2022.0</v>
      </c>
      <c r="H3148" s="22" t="s">
        <v>15270</v>
      </c>
      <c r="I3148" s="24" t="s">
        <v>15271</v>
      </c>
      <c r="J3148" s="22" t="s">
        <v>125</v>
      </c>
      <c r="K3148" s="22" t="s">
        <v>15272</v>
      </c>
      <c r="L3148" s="300" t="s">
        <v>15273</v>
      </c>
      <c r="M3148" s="44"/>
      <c r="N3148" s="44"/>
      <c r="O3148" s="44"/>
      <c r="P3148" s="44"/>
      <c r="Q3148" s="44"/>
      <c r="R3148" s="44"/>
      <c r="S3148" s="44"/>
      <c r="T3148" s="45"/>
      <c r="U3148" s="38" t="s">
        <v>61</v>
      </c>
      <c r="V3148" s="30" t="s">
        <v>174</v>
      </c>
      <c r="W3148" s="49"/>
      <c r="X3148" s="49"/>
      <c r="Y3148" s="35"/>
      <c r="Z3148" s="35"/>
      <c r="AA3148" s="35"/>
      <c r="AB3148" s="35"/>
      <c r="AC3148" s="35"/>
      <c r="AD3148" s="35"/>
      <c r="AE3148" s="35"/>
      <c r="AF3148" s="35"/>
      <c r="AG3148" s="35"/>
      <c r="AH3148" s="35"/>
      <c r="AI3148" s="35"/>
      <c r="AJ3148" s="35"/>
      <c r="AK3148" s="35"/>
      <c r="AL3148" s="35"/>
    </row>
    <row r="3149">
      <c r="A3149" s="40"/>
      <c r="B3149" s="19" t="s">
        <v>4071</v>
      </c>
      <c r="C3149" s="20" t="s">
        <v>2036</v>
      </c>
      <c r="D3149" s="47"/>
      <c r="E3149" s="22" t="s">
        <v>4486</v>
      </c>
      <c r="F3149" s="22" t="s">
        <v>2821</v>
      </c>
      <c r="G3149" s="23">
        <v>2022.0</v>
      </c>
      <c r="H3149" s="22" t="s">
        <v>4487</v>
      </c>
      <c r="I3149" s="24" t="s">
        <v>4488</v>
      </c>
      <c r="J3149" s="22" t="s">
        <v>125</v>
      </c>
      <c r="K3149" s="22" t="s">
        <v>4441</v>
      </c>
      <c r="L3149" s="300" t="s">
        <v>15274</v>
      </c>
      <c r="M3149" s="44"/>
      <c r="N3149" s="44"/>
      <c r="O3149" s="44"/>
      <c r="P3149" s="44"/>
      <c r="Q3149" s="44"/>
      <c r="R3149" s="44"/>
      <c r="S3149" s="44"/>
      <c r="T3149" s="45"/>
      <c r="U3149" s="38" t="s">
        <v>61</v>
      </c>
      <c r="V3149" s="30"/>
      <c r="W3149" s="49"/>
      <c r="X3149" s="49"/>
      <c r="Y3149" s="35"/>
      <c r="Z3149" s="35"/>
      <c r="AA3149" s="35"/>
      <c r="AB3149" s="35"/>
      <c r="AC3149" s="35"/>
      <c r="AD3149" s="35"/>
      <c r="AE3149" s="35"/>
      <c r="AF3149" s="35"/>
      <c r="AG3149" s="35"/>
      <c r="AH3149" s="35"/>
      <c r="AI3149" s="35"/>
      <c r="AJ3149" s="35"/>
      <c r="AK3149" s="35"/>
      <c r="AL3149" s="35"/>
    </row>
    <row r="3150">
      <c r="A3150" s="40"/>
      <c r="B3150" s="19" t="s">
        <v>4071</v>
      </c>
      <c r="C3150" s="20" t="s">
        <v>2036</v>
      </c>
      <c r="D3150" s="47"/>
      <c r="E3150" s="22" t="s">
        <v>15275</v>
      </c>
      <c r="F3150" s="22" t="s">
        <v>15276</v>
      </c>
      <c r="G3150" s="23">
        <v>2022.0</v>
      </c>
      <c r="H3150" s="22" t="s">
        <v>77</v>
      </c>
      <c r="I3150" s="24" t="s">
        <v>15277</v>
      </c>
      <c r="J3150" s="22" t="s">
        <v>125</v>
      </c>
      <c r="K3150" s="22" t="s">
        <v>15278</v>
      </c>
      <c r="L3150" s="300" t="s">
        <v>15279</v>
      </c>
      <c r="M3150" s="44"/>
      <c r="N3150" s="44"/>
      <c r="O3150" s="44"/>
      <c r="P3150" s="44"/>
      <c r="Q3150" s="44"/>
      <c r="R3150" s="44"/>
      <c r="S3150" s="44"/>
      <c r="T3150" s="45"/>
      <c r="U3150" s="29" t="s">
        <v>61</v>
      </c>
      <c r="V3150" s="30"/>
      <c r="W3150" s="49"/>
      <c r="X3150" s="49"/>
      <c r="Y3150" s="35"/>
      <c r="Z3150" s="35"/>
      <c r="AA3150" s="35"/>
      <c r="AB3150" s="35"/>
      <c r="AC3150" s="35"/>
      <c r="AD3150" s="35"/>
      <c r="AE3150" s="35"/>
      <c r="AF3150" s="35"/>
      <c r="AG3150" s="35"/>
      <c r="AH3150" s="35"/>
      <c r="AI3150" s="35"/>
      <c r="AJ3150" s="35"/>
      <c r="AK3150" s="35"/>
      <c r="AL3150" s="35"/>
    </row>
    <row r="3151">
      <c r="A3151" s="40"/>
      <c r="B3151" s="19" t="s">
        <v>4071</v>
      </c>
      <c r="C3151" s="20" t="s">
        <v>2036</v>
      </c>
      <c r="D3151" s="47"/>
      <c r="E3151" s="22" t="s">
        <v>14341</v>
      </c>
      <c r="F3151" s="22" t="s">
        <v>8199</v>
      </c>
      <c r="G3151" s="23">
        <v>2021.0</v>
      </c>
      <c r="H3151" s="22" t="s">
        <v>77</v>
      </c>
      <c r="I3151" s="24" t="s">
        <v>15280</v>
      </c>
      <c r="J3151" s="22" t="s">
        <v>125</v>
      </c>
      <c r="K3151" s="22"/>
      <c r="L3151" s="300" t="s">
        <v>15281</v>
      </c>
      <c r="M3151" s="44"/>
      <c r="N3151" s="44"/>
      <c r="O3151" s="44"/>
      <c r="P3151" s="44"/>
      <c r="Q3151" s="44"/>
      <c r="R3151" s="44"/>
      <c r="S3151" s="44"/>
      <c r="T3151" s="45"/>
      <c r="U3151" s="29" t="s">
        <v>61</v>
      </c>
      <c r="V3151" s="30"/>
      <c r="W3151" s="49"/>
      <c r="X3151" s="49"/>
      <c r="Y3151" s="35"/>
      <c r="Z3151" s="35"/>
      <c r="AA3151" s="35"/>
      <c r="AB3151" s="35"/>
      <c r="AC3151" s="35"/>
      <c r="AD3151" s="35"/>
      <c r="AE3151" s="35"/>
      <c r="AF3151" s="35"/>
      <c r="AG3151" s="35"/>
      <c r="AH3151" s="35"/>
      <c r="AI3151" s="35"/>
      <c r="AJ3151" s="35"/>
      <c r="AK3151" s="35"/>
      <c r="AL3151" s="35"/>
    </row>
    <row r="3152">
      <c r="A3152" s="40"/>
      <c r="B3152" s="19" t="s">
        <v>4071</v>
      </c>
      <c r="C3152" s="20" t="s">
        <v>2036</v>
      </c>
      <c r="D3152" s="47"/>
      <c r="E3152" s="22" t="s">
        <v>3980</v>
      </c>
      <c r="F3152" s="22" t="s">
        <v>1862</v>
      </c>
      <c r="G3152" s="23">
        <v>2021.0</v>
      </c>
      <c r="H3152" s="22" t="s">
        <v>77</v>
      </c>
      <c r="I3152" s="24" t="s">
        <v>15282</v>
      </c>
      <c r="J3152" s="22" t="s">
        <v>125</v>
      </c>
      <c r="K3152" s="22"/>
      <c r="L3152" s="300" t="s">
        <v>15283</v>
      </c>
      <c r="M3152" s="44"/>
      <c r="N3152" s="44"/>
      <c r="O3152" s="44"/>
      <c r="P3152" s="44"/>
      <c r="Q3152" s="44"/>
      <c r="R3152" s="44"/>
      <c r="S3152" s="44"/>
      <c r="T3152" s="45"/>
      <c r="U3152" s="29" t="s">
        <v>61</v>
      </c>
      <c r="V3152" s="30"/>
      <c r="W3152" s="49"/>
      <c r="X3152" s="49"/>
      <c r="Y3152" s="35"/>
      <c r="Z3152" s="35"/>
      <c r="AA3152" s="35"/>
      <c r="AB3152" s="35"/>
      <c r="AC3152" s="35"/>
      <c r="AD3152" s="35"/>
      <c r="AE3152" s="35"/>
      <c r="AF3152" s="35"/>
      <c r="AG3152" s="35"/>
      <c r="AH3152" s="35"/>
      <c r="AI3152" s="35"/>
      <c r="AJ3152" s="35"/>
      <c r="AK3152" s="35"/>
      <c r="AL3152" s="35"/>
    </row>
    <row r="3153">
      <c r="A3153" s="40" t="s">
        <v>2</v>
      </c>
      <c r="B3153" s="19" t="s">
        <v>4071</v>
      </c>
      <c r="C3153" s="20" t="s">
        <v>2036</v>
      </c>
      <c r="D3153" s="47"/>
      <c r="E3153" s="22" t="s">
        <v>15284</v>
      </c>
      <c r="F3153" s="22" t="s">
        <v>1173</v>
      </c>
      <c r="G3153" s="23">
        <v>2020.0</v>
      </c>
      <c r="H3153" s="22" t="s">
        <v>77</v>
      </c>
      <c r="I3153" s="24" t="s">
        <v>15285</v>
      </c>
      <c r="J3153" s="22" t="s">
        <v>125</v>
      </c>
      <c r="K3153" s="22"/>
      <c r="L3153" s="300" t="s">
        <v>15286</v>
      </c>
      <c r="M3153" s="44"/>
      <c r="N3153" s="44"/>
      <c r="O3153" s="44"/>
      <c r="P3153" s="44"/>
      <c r="Q3153" s="44"/>
      <c r="R3153" s="44"/>
      <c r="S3153" s="44"/>
      <c r="T3153" s="45"/>
      <c r="U3153" s="29" t="s">
        <v>61</v>
      </c>
      <c r="V3153" s="30"/>
      <c r="W3153" s="49"/>
      <c r="X3153" s="49"/>
      <c r="Y3153" s="35"/>
      <c r="Z3153" s="35"/>
      <c r="AA3153" s="35"/>
      <c r="AB3153" s="35"/>
      <c r="AC3153" s="35"/>
      <c r="AD3153" s="35"/>
      <c r="AE3153" s="35"/>
      <c r="AF3153" s="35"/>
      <c r="AG3153" s="35"/>
      <c r="AH3153" s="35"/>
      <c r="AI3153" s="35"/>
      <c r="AJ3153" s="35"/>
      <c r="AK3153" s="35"/>
      <c r="AL3153" s="35"/>
    </row>
    <row r="3154">
      <c r="A3154" s="133"/>
      <c r="B3154" s="19" t="s">
        <v>4071</v>
      </c>
      <c r="C3154" s="20" t="s">
        <v>2036</v>
      </c>
      <c r="D3154" s="47"/>
      <c r="E3154" s="22" t="s">
        <v>15287</v>
      </c>
      <c r="F3154" s="22" t="s">
        <v>5752</v>
      </c>
      <c r="G3154" s="23">
        <v>2020.0</v>
      </c>
      <c r="H3154" s="22" t="s">
        <v>3292</v>
      </c>
      <c r="I3154" s="24" t="s">
        <v>15288</v>
      </c>
      <c r="J3154" s="22" t="s">
        <v>649</v>
      </c>
      <c r="K3154" s="22" t="s">
        <v>15289</v>
      </c>
      <c r="L3154" s="300" t="s">
        <v>15290</v>
      </c>
      <c r="M3154" s="44"/>
      <c r="N3154" s="44"/>
      <c r="O3154" s="44"/>
      <c r="P3154" s="44"/>
      <c r="Q3154" s="44"/>
      <c r="R3154" s="44"/>
      <c r="S3154" s="44"/>
      <c r="T3154" s="45"/>
      <c r="U3154" s="29" t="s">
        <v>61</v>
      </c>
      <c r="V3154" s="30"/>
      <c r="W3154" s="49"/>
      <c r="X3154" s="49"/>
      <c r="Y3154" s="35"/>
      <c r="Z3154" s="35"/>
      <c r="AA3154" s="35"/>
      <c r="AB3154" s="35"/>
      <c r="AC3154" s="35"/>
      <c r="AD3154" s="35"/>
      <c r="AE3154" s="35"/>
      <c r="AF3154" s="35"/>
      <c r="AG3154" s="35"/>
      <c r="AH3154" s="35"/>
      <c r="AI3154" s="35"/>
      <c r="AJ3154" s="35"/>
      <c r="AK3154" s="35"/>
      <c r="AL3154" s="35"/>
    </row>
    <row r="3155">
      <c r="A3155" s="133"/>
      <c r="B3155" s="19" t="s">
        <v>4071</v>
      </c>
      <c r="C3155" s="20" t="s">
        <v>2036</v>
      </c>
      <c r="D3155" s="47"/>
      <c r="E3155" s="22" t="s">
        <v>15012</v>
      </c>
      <c r="F3155" s="22" t="s">
        <v>15220</v>
      </c>
      <c r="G3155" s="23">
        <v>2020.0</v>
      </c>
      <c r="H3155" s="22" t="s">
        <v>4492</v>
      </c>
      <c r="I3155" s="24" t="s">
        <v>15291</v>
      </c>
      <c r="J3155" s="22" t="s">
        <v>125</v>
      </c>
      <c r="K3155" s="22"/>
      <c r="L3155" s="300" t="s">
        <v>15292</v>
      </c>
      <c r="M3155" s="44"/>
      <c r="N3155" s="44"/>
      <c r="O3155" s="44"/>
      <c r="P3155" s="44"/>
      <c r="Q3155" s="44"/>
      <c r="R3155" s="44"/>
      <c r="S3155" s="44"/>
      <c r="T3155" s="45"/>
      <c r="U3155" s="29" t="s">
        <v>61</v>
      </c>
      <c r="V3155" s="30"/>
      <c r="W3155" s="49"/>
      <c r="X3155" s="49"/>
      <c r="Y3155" s="35"/>
      <c r="Z3155" s="35"/>
      <c r="AA3155" s="35"/>
      <c r="AB3155" s="35"/>
      <c r="AC3155" s="35"/>
      <c r="AD3155" s="35"/>
      <c r="AE3155" s="35"/>
      <c r="AF3155" s="35"/>
      <c r="AG3155" s="35"/>
      <c r="AH3155" s="35"/>
      <c r="AI3155" s="35"/>
      <c r="AJ3155" s="35"/>
      <c r="AK3155" s="35"/>
      <c r="AL3155" s="35"/>
    </row>
    <row r="3156">
      <c r="A3156" s="133"/>
      <c r="B3156" s="19" t="s">
        <v>4071</v>
      </c>
      <c r="C3156" s="20" t="s">
        <v>2036</v>
      </c>
      <c r="D3156" s="47"/>
      <c r="E3156" s="22" t="s">
        <v>15293</v>
      </c>
      <c r="F3156" s="22" t="s">
        <v>1386</v>
      </c>
      <c r="G3156" s="23">
        <v>2019.0</v>
      </c>
      <c r="H3156" s="22" t="s">
        <v>4473</v>
      </c>
      <c r="I3156" s="24" t="s">
        <v>15294</v>
      </c>
      <c r="J3156" s="22" t="s">
        <v>125</v>
      </c>
      <c r="K3156" s="22"/>
      <c r="L3156" s="300" t="s">
        <v>15295</v>
      </c>
      <c r="M3156" s="44"/>
      <c r="N3156" s="44"/>
      <c r="O3156" s="44"/>
      <c r="P3156" s="44"/>
      <c r="Q3156" s="44"/>
      <c r="R3156" s="44"/>
      <c r="S3156" s="44"/>
      <c r="T3156" s="45"/>
      <c r="U3156" s="38" t="str">
        <f>HYPERLINK("https://www.ncbi.nlm.nih.gov/pubmed/31842333","PubMed")</f>
        <v>PubMed</v>
      </c>
      <c r="V3156" s="30"/>
      <c r="W3156" s="49"/>
      <c r="X3156" s="49"/>
      <c r="Y3156" s="35"/>
      <c r="Z3156" s="35"/>
      <c r="AA3156" s="35"/>
      <c r="AB3156" s="35"/>
      <c r="AC3156" s="35"/>
      <c r="AD3156" s="35"/>
      <c r="AE3156" s="35"/>
      <c r="AF3156" s="35"/>
      <c r="AG3156" s="35"/>
      <c r="AH3156" s="35"/>
      <c r="AI3156" s="35"/>
      <c r="AJ3156" s="35"/>
      <c r="AK3156" s="35"/>
      <c r="AL3156" s="35"/>
    </row>
    <row r="3157">
      <c r="A3157" s="133"/>
      <c r="B3157" s="19" t="s">
        <v>4071</v>
      </c>
      <c r="C3157" s="20" t="s">
        <v>2036</v>
      </c>
      <c r="D3157" s="47"/>
      <c r="E3157" s="22" t="s">
        <v>2603</v>
      </c>
      <c r="F3157" s="22"/>
      <c r="G3157" s="23">
        <v>2019.0</v>
      </c>
      <c r="H3157" s="22" t="s">
        <v>4492</v>
      </c>
      <c r="I3157" s="24" t="s">
        <v>15296</v>
      </c>
      <c r="J3157" s="22" t="s">
        <v>15297</v>
      </c>
      <c r="K3157" s="22" t="s">
        <v>1413</v>
      </c>
      <c r="L3157" s="300" t="s">
        <v>15298</v>
      </c>
      <c r="M3157" s="44"/>
      <c r="N3157" s="44"/>
      <c r="O3157" s="44"/>
      <c r="P3157" s="44"/>
      <c r="Q3157" s="44"/>
      <c r="R3157" s="44"/>
      <c r="S3157" s="44"/>
      <c r="T3157" s="45"/>
      <c r="U3157" s="38" t="str">
        <f>HYPERLINK("https://www.ncbi.nlm.nih.gov/pubmed/31032294","PubMed")</f>
        <v>PubMed</v>
      </c>
      <c r="V3157" s="30"/>
      <c r="W3157" s="49"/>
      <c r="X3157" s="49"/>
      <c r="Y3157" s="35"/>
      <c r="Z3157" s="35"/>
      <c r="AA3157" s="35"/>
      <c r="AB3157" s="35"/>
      <c r="AC3157" s="35"/>
      <c r="AD3157" s="35"/>
      <c r="AE3157" s="35"/>
      <c r="AF3157" s="35"/>
      <c r="AG3157" s="35"/>
      <c r="AH3157" s="35"/>
      <c r="AI3157" s="35"/>
      <c r="AJ3157" s="35"/>
      <c r="AK3157" s="35"/>
      <c r="AL3157" s="35"/>
    </row>
    <row r="3158">
      <c r="A3158" s="133"/>
      <c r="B3158" s="19" t="s">
        <v>4071</v>
      </c>
      <c r="C3158" s="20" t="s">
        <v>2036</v>
      </c>
      <c r="D3158" s="47"/>
      <c r="E3158" s="22" t="s">
        <v>2603</v>
      </c>
      <c r="F3158" s="22" t="s">
        <v>15299</v>
      </c>
      <c r="G3158" s="23">
        <v>2019.0</v>
      </c>
      <c r="H3158" s="22" t="s">
        <v>77</v>
      </c>
      <c r="I3158" s="24" t="s">
        <v>15300</v>
      </c>
      <c r="J3158" s="22" t="s">
        <v>125</v>
      </c>
      <c r="K3158" s="22"/>
      <c r="L3158" s="300" t="s">
        <v>15301</v>
      </c>
      <c r="M3158" s="44"/>
      <c r="N3158" s="44"/>
      <c r="O3158" s="44"/>
      <c r="P3158" s="44"/>
      <c r="Q3158" s="44"/>
      <c r="R3158" s="44"/>
      <c r="S3158" s="44"/>
      <c r="T3158" s="45"/>
      <c r="U3158" s="38" t="str">
        <f>HYPERLINK("https://www.ncbi.nlm.nih.gov/pubmed/31107170","PubMed")</f>
        <v>PubMed</v>
      </c>
      <c r="V3158" s="30"/>
      <c r="W3158" s="49"/>
      <c r="X3158" s="49"/>
      <c r="Y3158" s="35"/>
      <c r="Z3158" s="35"/>
      <c r="AA3158" s="35"/>
      <c r="AB3158" s="35"/>
      <c r="AC3158" s="35"/>
      <c r="AD3158" s="35"/>
      <c r="AE3158" s="35"/>
      <c r="AF3158" s="35"/>
      <c r="AG3158" s="35"/>
      <c r="AH3158" s="35"/>
      <c r="AI3158" s="35"/>
      <c r="AJ3158" s="35"/>
      <c r="AK3158" s="35"/>
      <c r="AL3158" s="35"/>
    </row>
    <row r="3159">
      <c r="A3159" s="133"/>
      <c r="B3159" s="19" t="s">
        <v>4071</v>
      </c>
      <c r="C3159" s="20" t="s">
        <v>2036</v>
      </c>
      <c r="D3159" s="47"/>
      <c r="E3159" s="22" t="s">
        <v>15302</v>
      </c>
      <c r="F3159" s="22" t="s">
        <v>15303</v>
      </c>
      <c r="G3159" s="23">
        <v>2019.0</v>
      </c>
      <c r="H3159" s="22" t="s">
        <v>3347</v>
      </c>
      <c r="I3159" s="24" t="s">
        <v>15304</v>
      </c>
      <c r="J3159" s="22" t="s">
        <v>125</v>
      </c>
      <c r="K3159" s="22" t="s">
        <v>5849</v>
      </c>
      <c r="L3159" s="300" t="s">
        <v>15305</v>
      </c>
      <c r="M3159" s="44"/>
      <c r="N3159" s="44"/>
      <c r="O3159" s="44"/>
      <c r="P3159" s="44"/>
      <c r="Q3159" s="44"/>
      <c r="R3159" s="44"/>
      <c r="S3159" s="44"/>
      <c r="T3159" s="45"/>
      <c r="U3159" s="38" t="str">
        <f>HYPERLINK("https://www.ncbi.nlm.nih.gov/pubmed/31049131","PubMed")</f>
        <v>PubMed</v>
      </c>
      <c r="V3159" s="30"/>
      <c r="W3159" s="49"/>
      <c r="X3159" s="49"/>
      <c r="Y3159" s="35"/>
      <c r="Z3159" s="35"/>
      <c r="AA3159" s="35"/>
      <c r="AB3159" s="35"/>
      <c r="AC3159" s="35"/>
      <c r="AD3159" s="35"/>
      <c r="AE3159" s="35"/>
      <c r="AF3159" s="35"/>
      <c r="AG3159" s="35"/>
      <c r="AH3159" s="35"/>
      <c r="AI3159" s="35"/>
      <c r="AJ3159" s="35"/>
      <c r="AK3159" s="35"/>
      <c r="AL3159" s="35"/>
    </row>
    <row r="3160">
      <c r="A3160" s="133"/>
      <c r="B3160" s="19" t="s">
        <v>4071</v>
      </c>
      <c r="C3160" s="20" t="s">
        <v>2036</v>
      </c>
      <c r="D3160" s="47"/>
      <c r="E3160" s="22" t="s">
        <v>5065</v>
      </c>
      <c r="F3160" s="22" t="s">
        <v>540</v>
      </c>
      <c r="G3160" s="23" t="s">
        <v>2499</v>
      </c>
      <c r="H3160" s="22" t="s">
        <v>4975</v>
      </c>
      <c r="I3160" s="24" t="s">
        <v>15306</v>
      </c>
      <c r="J3160" s="22" t="s">
        <v>125</v>
      </c>
      <c r="K3160" s="22"/>
      <c r="L3160" s="300" t="s">
        <v>15307</v>
      </c>
      <c r="M3160" s="44"/>
      <c r="N3160" s="44"/>
      <c r="O3160" s="44"/>
      <c r="P3160" s="44"/>
      <c r="Q3160" s="44"/>
      <c r="R3160" s="44"/>
      <c r="S3160" s="44"/>
      <c r="T3160" s="45"/>
      <c r="U3160" s="38" t="str">
        <f>HYPERLINK("https://www.ncbi.nlm.nih.gov/pubmed/30281800","PubMed")</f>
        <v>PubMed</v>
      </c>
      <c r="V3160" s="30"/>
      <c r="W3160" s="49"/>
      <c r="X3160" s="49"/>
      <c r="Y3160" s="35"/>
      <c r="Z3160" s="35"/>
      <c r="AA3160" s="35"/>
      <c r="AB3160" s="35"/>
      <c r="AC3160" s="35"/>
      <c r="AD3160" s="35"/>
      <c r="AE3160" s="35"/>
      <c r="AF3160" s="35"/>
      <c r="AG3160" s="35"/>
      <c r="AH3160" s="35"/>
      <c r="AI3160" s="35"/>
      <c r="AJ3160" s="35"/>
      <c r="AK3160" s="35"/>
      <c r="AL3160" s="35"/>
    </row>
    <row r="3161">
      <c r="A3161" s="133"/>
      <c r="B3161" s="19" t="s">
        <v>4071</v>
      </c>
      <c r="C3161" s="20" t="s">
        <v>2036</v>
      </c>
      <c r="D3161" s="47"/>
      <c r="E3161" s="22" t="s">
        <v>8319</v>
      </c>
      <c r="F3161" s="22" t="s">
        <v>2407</v>
      </c>
      <c r="G3161" s="23">
        <v>2018.0</v>
      </c>
      <c r="H3161" s="22" t="s">
        <v>4975</v>
      </c>
      <c r="I3161" s="24" t="s">
        <v>15308</v>
      </c>
      <c r="J3161" s="22" t="s">
        <v>125</v>
      </c>
      <c r="K3161" s="22"/>
      <c r="L3161" s="300" t="s">
        <v>15309</v>
      </c>
      <c r="M3161" s="44"/>
      <c r="N3161" s="44"/>
      <c r="O3161" s="44"/>
      <c r="P3161" s="44"/>
      <c r="Q3161" s="44"/>
      <c r="R3161" s="44"/>
      <c r="S3161" s="44"/>
      <c r="T3161" s="45"/>
      <c r="U3161" s="38" t="str">
        <f>HYPERLINK("https://www.ncbi.nlm.nih.gov/pubmed/29882348","PubMed")</f>
        <v>PubMed</v>
      </c>
      <c r="V3161" s="30" t="s">
        <v>15310</v>
      </c>
      <c r="W3161" s="49"/>
      <c r="X3161" s="49"/>
      <c r="Y3161" s="35"/>
      <c r="Z3161" s="35"/>
      <c r="AA3161" s="35"/>
      <c r="AB3161" s="35"/>
      <c r="AC3161" s="35"/>
      <c r="AD3161" s="35"/>
      <c r="AE3161" s="35"/>
      <c r="AF3161" s="35"/>
      <c r="AG3161" s="35"/>
      <c r="AH3161" s="35"/>
      <c r="AI3161" s="35"/>
      <c r="AJ3161" s="35"/>
      <c r="AK3161" s="35"/>
      <c r="AL3161" s="35"/>
    </row>
    <row r="3162">
      <c r="A3162" s="133"/>
      <c r="B3162" s="19" t="s">
        <v>4071</v>
      </c>
      <c r="C3162" s="20" t="s">
        <v>2036</v>
      </c>
      <c r="D3162" s="47"/>
      <c r="E3162" s="22" t="s">
        <v>12321</v>
      </c>
      <c r="F3162" s="22" t="s">
        <v>5289</v>
      </c>
      <c r="G3162" s="23">
        <v>2018.0</v>
      </c>
      <c r="H3162" s="22" t="s">
        <v>42</v>
      </c>
      <c r="I3162" s="24" t="s">
        <v>15311</v>
      </c>
      <c r="J3162" s="22" t="s">
        <v>125</v>
      </c>
      <c r="K3162" s="22"/>
      <c r="L3162" s="300" t="s">
        <v>15312</v>
      </c>
      <c r="M3162" s="44"/>
      <c r="N3162" s="44"/>
      <c r="O3162" s="44"/>
      <c r="P3162" s="44"/>
      <c r="Q3162" s="44"/>
      <c r="R3162" s="44"/>
      <c r="S3162" s="44"/>
      <c r="T3162" s="45"/>
      <c r="U3162" s="38" t="str">
        <f>HYPERLINK("https://www.ncbi.nlm.nih.gov/pubmed/29722183","PubMed")</f>
        <v>PubMed</v>
      </c>
      <c r="V3162" s="30"/>
      <c r="W3162" s="49"/>
      <c r="X3162" s="49"/>
      <c r="Y3162" s="35"/>
      <c r="Z3162" s="35"/>
      <c r="AA3162" s="35"/>
      <c r="AB3162" s="35"/>
      <c r="AC3162" s="35"/>
      <c r="AD3162" s="35"/>
      <c r="AE3162" s="35"/>
      <c r="AF3162" s="35"/>
      <c r="AG3162" s="35"/>
      <c r="AH3162" s="35"/>
      <c r="AI3162" s="35"/>
      <c r="AJ3162" s="35"/>
      <c r="AK3162" s="35"/>
      <c r="AL3162" s="35"/>
    </row>
    <row r="3163">
      <c r="A3163" s="133" t="s">
        <v>2</v>
      </c>
      <c r="B3163" s="19" t="s">
        <v>4071</v>
      </c>
      <c r="C3163" s="20" t="s">
        <v>2036</v>
      </c>
      <c r="D3163" s="47"/>
      <c r="E3163" s="22" t="s">
        <v>2482</v>
      </c>
      <c r="F3163" s="22" t="s">
        <v>2407</v>
      </c>
      <c r="G3163" s="23">
        <v>2018.0</v>
      </c>
      <c r="H3163" s="22" t="s">
        <v>4975</v>
      </c>
      <c r="I3163" s="24" t="s">
        <v>15313</v>
      </c>
      <c r="J3163" s="22" t="s">
        <v>125</v>
      </c>
      <c r="K3163" s="22"/>
      <c r="L3163" s="300" t="s">
        <v>15314</v>
      </c>
      <c r="M3163" s="44"/>
      <c r="N3163" s="44"/>
      <c r="O3163" s="44"/>
      <c r="P3163" s="44"/>
      <c r="Q3163" s="44"/>
      <c r="R3163" s="44"/>
      <c r="S3163" s="44"/>
      <c r="T3163" s="45"/>
      <c r="U3163" s="38" t="str">
        <f>HYPERLINK("https://www.ncbi.nlm.nih.gov/pubmed/29164625","PubMed")</f>
        <v>PubMed</v>
      </c>
      <c r="V3163" s="30"/>
      <c r="W3163" s="49"/>
      <c r="X3163" s="49"/>
      <c r="Y3163" s="35"/>
      <c r="Z3163" s="35"/>
      <c r="AA3163" s="35"/>
      <c r="AB3163" s="35"/>
      <c r="AC3163" s="35"/>
      <c r="AD3163" s="35"/>
      <c r="AE3163" s="35"/>
      <c r="AF3163" s="35"/>
      <c r="AG3163" s="35"/>
      <c r="AH3163" s="35"/>
      <c r="AI3163" s="35"/>
      <c r="AJ3163" s="35"/>
      <c r="AK3163" s="35"/>
      <c r="AL3163" s="35"/>
    </row>
    <row r="3164">
      <c r="A3164" s="146" t="s">
        <v>2</v>
      </c>
      <c r="B3164" s="19" t="s">
        <v>4071</v>
      </c>
      <c r="C3164" s="20" t="s">
        <v>2036</v>
      </c>
      <c r="D3164" s="47"/>
      <c r="E3164" s="22" t="s">
        <v>2482</v>
      </c>
      <c r="F3164" s="22" t="s">
        <v>2407</v>
      </c>
      <c r="G3164" s="23">
        <v>2017.0</v>
      </c>
      <c r="H3164" s="22" t="s">
        <v>15315</v>
      </c>
      <c r="I3164" s="24" t="s">
        <v>15316</v>
      </c>
      <c r="J3164" s="22" t="s">
        <v>125</v>
      </c>
      <c r="K3164" s="22"/>
      <c r="L3164" s="300" t="s">
        <v>15317</v>
      </c>
      <c r="M3164" s="44"/>
      <c r="N3164" s="44"/>
      <c r="O3164" s="44"/>
      <c r="P3164" s="44"/>
      <c r="Q3164" s="44"/>
      <c r="R3164" s="44"/>
      <c r="S3164" s="44"/>
      <c r="T3164" s="45"/>
      <c r="U3164" s="38" t="str">
        <f>HYPERLINK("http://www.aimspress.com/article/10.3934/biophy.2017.3.337","AIMS Press")</f>
        <v>AIMS Press</v>
      </c>
      <c r="V3164" s="30"/>
      <c r="W3164" s="49"/>
      <c r="X3164" s="49"/>
      <c r="Y3164" s="35"/>
      <c r="Z3164" s="35"/>
      <c r="AA3164" s="35"/>
      <c r="AB3164" s="35"/>
      <c r="AC3164" s="35"/>
      <c r="AD3164" s="35"/>
      <c r="AE3164" s="35"/>
      <c r="AF3164" s="35"/>
      <c r="AG3164" s="35"/>
      <c r="AH3164" s="35"/>
      <c r="AI3164" s="35"/>
      <c r="AJ3164" s="35"/>
      <c r="AK3164" s="35"/>
      <c r="AL3164" s="35"/>
    </row>
    <row r="3165">
      <c r="A3165" s="133" t="s">
        <v>2</v>
      </c>
      <c r="B3165" s="19" t="s">
        <v>4071</v>
      </c>
      <c r="C3165" s="20" t="s">
        <v>2036</v>
      </c>
      <c r="D3165" s="47"/>
      <c r="E3165" s="22" t="s">
        <v>1080</v>
      </c>
      <c r="F3165" s="22" t="s">
        <v>5157</v>
      </c>
      <c r="G3165" s="23">
        <v>2017.0</v>
      </c>
      <c r="H3165" s="22" t="s">
        <v>2247</v>
      </c>
      <c r="I3165" s="24" t="s">
        <v>15318</v>
      </c>
      <c r="J3165" s="22" t="s">
        <v>125</v>
      </c>
      <c r="K3165" s="22" t="s">
        <v>2158</v>
      </c>
      <c r="L3165" s="300" t="s">
        <v>15319</v>
      </c>
      <c r="M3165" s="44"/>
      <c r="N3165" s="44"/>
      <c r="O3165" s="44"/>
      <c r="P3165" s="44"/>
      <c r="Q3165" s="44"/>
      <c r="R3165" s="44"/>
      <c r="S3165" s="44"/>
      <c r="T3165" s="45"/>
      <c r="U3165" s="38" t="str">
        <f>HYPERLINK("https://www.ncbi.nlm.nih.gov/pubmed/28552720","PubMed")</f>
        <v>PubMed</v>
      </c>
      <c r="V3165" s="30"/>
      <c r="W3165" s="49"/>
      <c r="X3165" s="49"/>
      <c r="Y3165" s="35"/>
      <c r="Z3165" s="35"/>
      <c r="AA3165" s="35"/>
      <c r="AB3165" s="35"/>
      <c r="AC3165" s="35"/>
      <c r="AD3165" s="35"/>
      <c r="AE3165" s="35"/>
      <c r="AF3165" s="35"/>
      <c r="AG3165" s="35"/>
      <c r="AH3165" s="35"/>
      <c r="AI3165" s="35"/>
      <c r="AJ3165" s="35"/>
      <c r="AK3165" s="35"/>
      <c r="AL3165" s="35"/>
    </row>
    <row r="3166">
      <c r="A3166" s="133" t="s">
        <v>2</v>
      </c>
      <c r="B3166" s="19" t="s">
        <v>4071</v>
      </c>
      <c r="C3166" s="20" t="s">
        <v>2036</v>
      </c>
      <c r="D3166" s="47"/>
      <c r="E3166" s="22" t="s">
        <v>15320</v>
      </c>
      <c r="F3166" s="22" t="s">
        <v>12325</v>
      </c>
      <c r="G3166" s="23">
        <v>2016.0</v>
      </c>
      <c r="H3166" s="22" t="s">
        <v>15028</v>
      </c>
      <c r="I3166" s="24" t="s">
        <v>15321</v>
      </c>
      <c r="J3166" s="22" t="s">
        <v>125</v>
      </c>
      <c r="K3166" s="22"/>
      <c r="L3166" s="300" t="s">
        <v>15322</v>
      </c>
      <c r="M3166" s="44"/>
      <c r="N3166" s="44"/>
      <c r="O3166" s="44"/>
      <c r="P3166" s="44"/>
      <c r="Q3166" s="44"/>
      <c r="R3166" s="44"/>
      <c r="S3166" s="44"/>
      <c r="T3166" s="45"/>
      <c r="U3166" s="38" t="str">
        <f>HYPERLINK("https://www.ncbi.nlm.nih.gov/pubmed/28070154","PubMed")</f>
        <v>PubMed</v>
      </c>
      <c r="V3166" s="30" t="s">
        <v>15323</v>
      </c>
      <c r="W3166" s="49"/>
      <c r="X3166" s="49"/>
      <c r="Y3166" s="35"/>
      <c r="Z3166" s="35"/>
      <c r="AA3166" s="35"/>
      <c r="AB3166" s="35"/>
      <c r="AC3166" s="35"/>
      <c r="AD3166" s="35"/>
      <c r="AE3166" s="35"/>
      <c r="AF3166" s="35"/>
      <c r="AG3166" s="35"/>
      <c r="AH3166" s="35"/>
      <c r="AI3166" s="35"/>
      <c r="AJ3166" s="35"/>
      <c r="AK3166" s="35"/>
      <c r="AL3166" s="35"/>
    </row>
    <row r="3167">
      <c r="A3167" s="133"/>
      <c r="B3167" s="19" t="s">
        <v>4071</v>
      </c>
      <c r="C3167" s="20" t="s">
        <v>2036</v>
      </c>
      <c r="D3167" s="47"/>
      <c r="E3167" s="22" t="s">
        <v>14341</v>
      </c>
      <c r="F3167" s="22" t="s">
        <v>8199</v>
      </c>
      <c r="G3167" s="23">
        <v>2016.0</v>
      </c>
      <c r="H3167" s="22" t="s">
        <v>15324</v>
      </c>
      <c r="I3167" s="24" t="s">
        <v>15325</v>
      </c>
      <c r="J3167" s="22" t="s">
        <v>125</v>
      </c>
      <c r="K3167" s="22"/>
      <c r="L3167" s="300" t="s">
        <v>15326</v>
      </c>
      <c r="M3167" s="44"/>
      <c r="N3167" s="44"/>
      <c r="O3167" s="44"/>
      <c r="P3167" s="44"/>
      <c r="Q3167" s="44"/>
      <c r="R3167" s="44"/>
      <c r="S3167" s="44"/>
      <c r="T3167" s="45"/>
      <c r="U3167" s="38" t="str">
        <f>HYPERLINK("https://www.ncbi.nlm.nih.gov/pubmed/27161014","PubMed")</f>
        <v>PubMed</v>
      </c>
      <c r="V3167" s="30"/>
      <c r="W3167" s="49"/>
      <c r="X3167" s="49"/>
      <c r="Y3167" s="35"/>
      <c r="Z3167" s="35"/>
      <c r="AA3167" s="35"/>
      <c r="AB3167" s="35"/>
      <c r="AC3167" s="35"/>
      <c r="AD3167" s="35"/>
      <c r="AE3167" s="35"/>
      <c r="AF3167" s="35"/>
      <c r="AG3167" s="35"/>
      <c r="AH3167" s="35"/>
      <c r="AI3167" s="35"/>
      <c r="AJ3167" s="35"/>
      <c r="AK3167" s="35"/>
      <c r="AL3167" s="35"/>
    </row>
    <row r="3168">
      <c r="A3168" s="1"/>
      <c r="B3168" s="19" t="s">
        <v>4071</v>
      </c>
      <c r="C3168" s="20" t="s">
        <v>2036</v>
      </c>
      <c r="D3168" s="47"/>
      <c r="E3168" s="22" t="s">
        <v>2603</v>
      </c>
      <c r="F3168" s="22" t="s">
        <v>2604</v>
      </c>
      <c r="G3168" s="23">
        <v>2015.0</v>
      </c>
      <c r="H3168" s="22" t="s">
        <v>4492</v>
      </c>
      <c r="I3168" s="24" t="s">
        <v>15327</v>
      </c>
      <c r="J3168" s="22" t="s">
        <v>15328</v>
      </c>
      <c r="K3168" s="22" t="s">
        <v>15261</v>
      </c>
      <c r="L3168" s="304" t="s">
        <v>15329</v>
      </c>
      <c r="M3168" s="44"/>
      <c r="N3168" s="44"/>
      <c r="O3168" s="44"/>
      <c r="P3168" s="44"/>
      <c r="Q3168" s="44"/>
      <c r="R3168" s="44"/>
      <c r="S3168" s="44"/>
      <c r="T3168" s="45"/>
      <c r="U3168" s="38" t="str">
        <f>HYPERLINK("https://www.ncbi.nlm.nih.gov/pubmed/26697451","PubMed")</f>
        <v>PubMed</v>
      </c>
      <c r="V3168" s="30" t="s">
        <v>15330</v>
      </c>
      <c r="W3168" s="49"/>
      <c r="X3168" s="49"/>
      <c r="Y3168" s="35"/>
      <c r="Z3168" s="35"/>
      <c r="AA3168" s="35"/>
      <c r="AB3168" s="35"/>
      <c r="AC3168" s="35"/>
      <c r="AD3168" s="35"/>
      <c r="AE3168" s="35"/>
      <c r="AF3168" s="35"/>
      <c r="AG3168" s="35"/>
      <c r="AH3168" s="35"/>
      <c r="AI3168" s="35"/>
      <c r="AJ3168" s="35"/>
      <c r="AK3168" s="35"/>
      <c r="AL3168" s="35"/>
    </row>
    <row r="3169">
      <c r="A3169" s="1"/>
      <c r="B3169" s="19" t="s">
        <v>4071</v>
      </c>
      <c r="C3169" s="20" t="s">
        <v>2036</v>
      </c>
      <c r="D3169" s="47"/>
      <c r="E3169" s="22" t="s">
        <v>2603</v>
      </c>
      <c r="F3169" s="22" t="s">
        <v>2604</v>
      </c>
      <c r="G3169" s="23">
        <v>2015.0</v>
      </c>
      <c r="H3169" s="22" t="s">
        <v>4492</v>
      </c>
      <c r="I3169" s="24" t="s">
        <v>15331</v>
      </c>
      <c r="J3169" s="22" t="s">
        <v>15332</v>
      </c>
      <c r="K3169" s="22" t="s">
        <v>15333</v>
      </c>
      <c r="L3169" s="305" t="s">
        <v>15334</v>
      </c>
      <c r="M3169" s="44"/>
      <c r="N3169" s="44"/>
      <c r="O3169" s="44"/>
      <c r="P3169" s="44"/>
      <c r="Q3169" s="44"/>
      <c r="R3169" s="44"/>
      <c r="S3169" s="44"/>
      <c r="T3169" s="45"/>
      <c r="U3169" s="38" t="str">
        <f>HYPERLINK("https://www.ncbi.nlm.nih.gov/pubmed/26807401","PubMed")</f>
        <v>PubMed</v>
      </c>
      <c r="V3169" s="30"/>
      <c r="W3169" s="49"/>
      <c r="X3169" s="49"/>
      <c r="Y3169" s="35"/>
      <c r="Z3169" s="35"/>
      <c r="AA3169" s="35"/>
      <c r="AB3169" s="35"/>
      <c r="AC3169" s="35"/>
      <c r="AD3169" s="35"/>
      <c r="AE3169" s="35"/>
      <c r="AF3169" s="35"/>
      <c r="AG3169" s="35"/>
      <c r="AH3169" s="35"/>
      <c r="AI3169" s="35"/>
      <c r="AJ3169" s="35"/>
      <c r="AK3169" s="35"/>
      <c r="AL3169" s="35"/>
    </row>
    <row r="3170">
      <c r="A3170" s="133" t="s">
        <v>2</v>
      </c>
      <c r="B3170" s="19" t="s">
        <v>4071</v>
      </c>
      <c r="C3170" s="20" t="s">
        <v>2036</v>
      </c>
      <c r="D3170" s="47"/>
      <c r="E3170" s="22" t="s">
        <v>15335</v>
      </c>
      <c r="F3170" s="22" t="s">
        <v>15336</v>
      </c>
      <c r="G3170" s="23">
        <v>2014.0</v>
      </c>
      <c r="H3170" s="22" t="s">
        <v>207</v>
      </c>
      <c r="I3170" s="24" t="s">
        <v>15337</v>
      </c>
      <c r="J3170" s="22" t="s">
        <v>125</v>
      </c>
      <c r="K3170" s="22"/>
      <c r="L3170" s="105" t="s">
        <v>15338</v>
      </c>
      <c r="M3170" s="44"/>
      <c r="N3170" s="44"/>
      <c r="O3170" s="44"/>
      <c r="P3170" s="44"/>
      <c r="Q3170" s="44"/>
      <c r="R3170" s="44"/>
      <c r="S3170" s="44"/>
      <c r="T3170" s="45"/>
      <c r="U3170" s="38" t="str">
        <f>HYPERLINK("https://www.ncbi.nlm.nih.gov/pubmed/25226343","PubMed")</f>
        <v>PubMed</v>
      </c>
      <c r="V3170" s="50"/>
      <c r="W3170" s="49"/>
      <c r="X3170" s="49"/>
      <c r="Y3170" s="35"/>
      <c r="Z3170" s="35"/>
      <c r="AA3170" s="35"/>
      <c r="AB3170" s="35"/>
      <c r="AC3170" s="35"/>
      <c r="AD3170" s="35"/>
      <c r="AE3170" s="35"/>
      <c r="AF3170" s="35"/>
      <c r="AG3170" s="35"/>
      <c r="AH3170" s="35"/>
      <c r="AI3170" s="35"/>
      <c r="AJ3170" s="35"/>
      <c r="AK3170" s="35"/>
      <c r="AL3170" s="35"/>
    </row>
    <row r="3171">
      <c r="A3171" s="180"/>
      <c r="B3171" s="19" t="s">
        <v>4071</v>
      </c>
      <c r="C3171" s="20" t="s">
        <v>2036</v>
      </c>
      <c r="D3171" s="47"/>
      <c r="E3171" s="178" t="s">
        <v>15339</v>
      </c>
      <c r="F3171" s="22" t="s">
        <v>6828</v>
      </c>
      <c r="G3171" s="177">
        <v>2014.0</v>
      </c>
      <c r="H3171" s="178" t="s">
        <v>15340</v>
      </c>
      <c r="I3171" s="179" t="s">
        <v>15341</v>
      </c>
      <c r="J3171" s="22" t="s">
        <v>125</v>
      </c>
      <c r="K3171" s="22"/>
      <c r="L3171" s="43"/>
      <c r="M3171" s="44"/>
      <c r="N3171" s="44"/>
      <c r="O3171" s="44"/>
      <c r="P3171" s="44"/>
      <c r="Q3171" s="44"/>
      <c r="R3171" s="44"/>
      <c r="S3171" s="44"/>
      <c r="T3171" s="45"/>
      <c r="U3171" s="38" t="str">
        <f>HYPERLINK("http://www.ncbi.nlm.nih.gov/pubmed/25489415","PubMed")</f>
        <v>PubMed</v>
      </c>
      <c r="V3171" s="50"/>
      <c r="W3171" s="49"/>
      <c r="X3171" s="49"/>
      <c r="Y3171" s="35"/>
      <c r="Z3171" s="35"/>
      <c r="AA3171" s="35"/>
      <c r="AB3171" s="35"/>
      <c r="AC3171" s="35"/>
      <c r="AD3171" s="35"/>
      <c r="AE3171" s="35"/>
      <c r="AF3171" s="35"/>
      <c r="AG3171" s="35"/>
      <c r="AH3171" s="35"/>
      <c r="AI3171" s="35"/>
      <c r="AJ3171" s="35"/>
      <c r="AK3171" s="35"/>
      <c r="AL3171" s="35"/>
    </row>
    <row r="3172">
      <c r="A3172" s="180"/>
      <c r="B3172" s="19" t="s">
        <v>4071</v>
      </c>
      <c r="C3172" s="20" t="s">
        <v>2036</v>
      </c>
      <c r="D3172" s="47"/>
      <c r="E3172" s="22" t="s">
        <v>11224</v>
      </c>
      <c r="F3172" s="22" t="s">
        <v>4724</v>
      </c>
      <c r="G3172" s="177">
        <v>2014.0</v>
      </c>
      <c r="H3172" s="178" t="s">
        <v>147</v>
      </c>
      <c r="I3172" s="179" t="s">
        <v>15342</v>
      </c>
      <c r="J3172" s="22" t="s">
        <v>125</v>
      </c>
      <c r="K3172" s="22"/>
      <c r="L3172" s="43"/>
      <c r="M3172" s="44"/>
      <c r="N3172" s="44"/>
      <c r="O3172" s="44"/>
      <c r="P3172" s="44"/>
      <c r="Q3172" s="44"/>
      <c r="R3172" s="44"/>
      <c r="S3172" s="44"/>
      <c r="T3172" s="45"/>
      <c r="U3172" s="38" t="str">
        <f>HYPERLINK("http://www.ncbi.nlm.nih.gov/pubmed/25653800","PubMed")</f>
        <v>PubMed</v>
      </c>
      <c r="V3172" s="50"/>
      <c r="W3172" s="49"/>
      <c r="X3172" s="49"/>
      <c r="Y3172" s="35"/>
      <c r="Z3172" s="35"/>
      <c r="AA3172" s="35"/>
      <c r="AB3172" s="35"/>
      <c r="AC3172" s="35"/>
      <c r="AD3172" s="35"/>
      <c r="AE3172" s="35"/>
      <c r="AF3172" s="35"/>
      <c r="AG3172" s="35"/>
      <c r="AH3172" s="35"/>
      <c r="AI3172" s="35"/>
      <c r="AJ3172" s="35"/>
      <c r="AK3172" s="35"/>
      <c r="AL3172" s="35"/>
    </row>
    <row r="3173">
      <c r="A3173" s="133" t="s">
        <v>2</v>
      </c>
      <c r="B3173" s="19" t="s">
        <v>4071</v>
      </c>
      <c r="C3173" s="20" t="s">
        <v>2036</v>
      </c>
      <c r="D3173" s="47"/>
      <c r="E3173" s="22" t="s">
        <v>15343</v>
      </c>
      <c r="F3173" s="22" t="s">
        <v>2407</v>
      </c>
      <c r="G3173" s="23">
        <v>2014.0</v>
      </c>
      <c r="H3173" s="22" t="s">
        <v>15344</v>
      </c>
      <c r="I3173" s="24" t="s">
        <v>15345</v>
      </c>
      <c r="J3173" s="22" t="s">
        <v>125</v>
      </c>
      <c r="K3173" s="22" t="s">
        <v>10319</v>
      </c>
      <c r="L3173" s="171" t="s">
        <v>15346</v>
      </c>
      <c r="M3173" s="44"/>
      <c r="N3173" s="44"/>
      <c r="O3173" s="44"/>
      <c r="P3173" s="44"/>
      <c r="Q3173" s="44"/>
      <c r="R3173" s="44"/>
      <c r="S3173" s="44"/>
      <c r="T3173" s="45"/>
      <c r="U3173" s="38" t="str">
        <f>HYPERLINK("http://www.ncbi.nlm.nih.gov/pubmed/25552961","PubMed")</f>
        <v>PubMed</v>
      </c>
      <c r="V3173" s="30" t="s">
        <v>15347</v>
      </c>
      <c r="W3173" s="49"/>
      <c r="X3173" s="49"/>
      <c r="Y3173" s="35"/>
      <c r="Z3173" s="35"/>
      <c r="AA3173" s="35"/>
      <c r="AB3173" s="35"/>
      <c r="AC3173" s="35"/>
      <c r="AD3173" s="35"/>
      <c r="AE3173" s="35"/>
      <c r="AF3173" s="35"/>
      <c r="AG3173" s="35"/>
      <c r="AH3173" s="35"/>
      <c r="AI3173" s="35"/>
      <c r="AJ3173" s="35"/>
      <c r="AK3173" s="35"/>
      <c r="AL3173" s="35"/>
    </row>
    <row r="3174">
      <c r="A3174" s="18" t="s">
        <v>2</v>
      </c>
      <c r="B3174" s="75" t="s">
        <v>4071</v>
      </c>
      <c r="C3174" s="77" t="s">
        <v>2036</v>
      </c>
      <c r="D3174" s="47"/>
      <c r="E3174" s="22" t="s">
        <v>15348</v>
      </c>
      <c r="F3174" s="22" t="s">
        <v>65</v>
      </c>
      <c r="G3174" s="23">
        <v>2013.0</v>
      </c>
      <c r="H3174" s="22" t="s">
        <v>15349</v>
      </c>
      <c r="I3174" s="24" t="s">
        <v>15350</v>
      </c>
      <c r="J3174" s="22" t="s">
        <v>125</v>
      </c>
      <c r="K3174" s="22"/>
      <c r="L3174" s="171" t="s">
        <v>15351</v>
      </c>
      <c r="M3174" s="44"/>
      <c r="N3174" s="44"/>
      <c r="O3174" s="44"/>
      <c r="P3174" s="44"/>
      <c r="Q3174" s="44"/>
      <c r="R3174" s="44"/>
      <c r="S3174" s="44"/>
      <c r="T3174" s="45"/>
      <c r="U3174" s="38" t="str">
        <f>HYPERLINK("http://onlinelibrary.wiley.com/doi/10.1002/lpor.201300015/full","Wiley")</f>
        <v>Wiley</v>
      </c>
      <c r="V3174" s="50"/>
      <c r="W3174" s="49"/>
      <c r="X3174" s="49"/>
      <c r="Y3174" s="35"/>
      <c r="Z3174" s="35"/>
      <c r="AA3174" s="35"/>
      <c r="AB3174" s="35"/>
      <c r="AC3174" s="35"/>
      <c r="AD3174" s="35"/>
      <c r="AE3174" s="35"/>
      <c r="AF3174" s="35"/>
      <c r="AG3174" s="35"/>
      <c r="AH3174" s="35"/>
      <c r="AI3174" s="35"/>
      <c r="AJ3174" s="35"/>
      <c r="AK3174" s="35"/>
      <c r="AL3174" s="35"/>
    </row>
    <row r="3175">
      <c r="A3175" s="180"/>
      <c r="B3175" s="19" t="s">
        <v>4071</v>
      </c>
      <c r="C3175" s="20" t="s">
        <v>2036</v>
      </c>
      <c r="D3175" s="47"/>
      <c r="E3175" s="178" t="s">
        <v>15352</v>
      </c>
      <c r="F3175" s="22" t="s">
        <v>2130</v>
      </c>
      <c r="G3175" s="177">
        <v>2013.0</v>
      </c>
      <c r="H3175" s="178" t="s">
        <v>4665</v>
      </c>
      <c r="I3175" s="179" t="s">
        <v>15353</v>
      </c>
      <c r="J3175" s="22" t="s">
        <v>125</v>
      </c>
      <c r="K3175" s="22" t="s">
        <v>2073</v>
      </c>
      <c r="L3175" s="171" t="s">
        <v>15354</v>
      </c>
      <c r="M3175" s="44"/>
      <c r="N3175" s="44"/>
      <c r="O3175" s="44"/>
      <c r="P3175" s="44"/>
      <c r="Q3175" s="44"/>
      <c r="R3175" s="44"/>
      <c r="S3175" s="44"/>
      <c r="T3175" s="45"/>
      <c r="U3175" s="38" t="str">
        <f>HYPERLINK("http://www.ncbi.nlm.nih.gov/pubmed/23806754","PubMed")</f>
        <v>PubMed</v>
      </c>
      <c r="V3175" s="50"/>
      <c r="W3175" s="49"/>
      <c r="X3175" s="49"/>
      <c r="Y3175" s="35"/>
      <c r="Z3175" s="35"/>
      <c r="AA3175" s="35"/>
      <c r="AB3175" s="35"/>
      <c r="AC3175" s="35"/>
      <c r="AD3175" s="35"/>
      <c r="AE3175" s="35"/>
      <c r="AF3175" s="35"/>
      <c r="AG3175" s="35"/>
      <c r="AH3175" s="35"/>
      <c r="AI3175" s="35"/>
      <c r="AJ3175" s="35"/>
      <c r="AK3175" s="35"/>
      <c r="AL3175" s="35"/>
    </row>
    <row r="3176">
      <c r="A3176" s="133" t="s">
        <v>2</v>
      </c>
      <c r="B3176" s="19" t="s">
        <v>4071</v>
      </c>
      <c r="C3176" s="20" t="s">
        <v>2036</v>
      </c>
      <c r="D3176" s="47"/>
      <c r="E3176" s="22" t="s">
        <v>7448</v>
      </c>
      <c r="F3176" s="22" t="s">
        <v>15355</v>
      </c>
      <c r="G3176" s="177">
        <v>2013.0</v>
      </c>
      <c r="H3176" s="178" t="s">
        <v>5480</v>
      </c>
      <c r="I3176" s="179" t="s">
        <v>15356</v>
      </c>
      <c r="J3176" s="22" t="s">
        <v>125</v>
      </c>
      <c r="K3176" s="22"/>
      <c r="L3176" s="43"/>
      <c r="M3176" s="44"/>
      <c r="N3176" s="44"/>
      <c r="O3176" s="44"/>
      <c r="P3176" s="44"/>
      <c r="Q3176" s="44"/>
      <c r="R3176" s="44"/>
      <c r="S3176" s="44"/>
      <c r="T3176" s="45"/>
      <c r="U3176" s="38" t="str">
        <f>HYPERLINK("http://www.ncbi.nlm.nih.gov/pubmed/23239434","PubMed")</f>
        <v>PubMed</v>
      </c>
      <c r="V3176" s="50"/>
      <c r="W3176" s="49"/>
      <c r="X3176" s="49"/>
      <c r="Y3176" s="35"/>
      <c r="Z3176" s="35"/>
      <c r="AA3176" s="35"/>
      <c r="AB3176" s="35"/>
      <c r="AC3176" s="35"/>
      <c r="AD3176" s="35"/>
      <c r="AE3176" s="35"/>
      <c r="AF3176" s="35"/>
      <c r="AG3176" s="35"/>
      <c r="AH3176" s="35"/>
      <c r="AI3176" s="35"/>
      <c r="AJ3176" s="35"/>
      <c r="AK3176" s="35"/>
      <c r="AL3176" s="35"/>
    </row>
    <row r="3177">
      <c r="A3177" s="180"/>
      <c r="B3177" s="19" t="s">
        <v>4071</v>
      </c>
      <c r="C3177" s="20" t="s">
        <v>2036</v>
      </c>
      <c r="D3177" s="47"/>
      <c r="E3177" s="22" t="s">
        <v>3980</v>
      </c>
      <c r="F3177" s="22" t="s">
        <v>2698</v>
      </c>
      <c r="G3177" s="177">
        <v>2013.0</v>
      </c>
      <c r="H3177" s="178" t="s">
        <v>15357</v>
      </c>
      <c r="I3177" s="179" t="s">
        <v>15358</v>
      </c>
      <c r="J3177" s="22" t="s">
        <v>125</v>
      </c>
      <c r="K3177" s="22"/>
      <c r="L3177" s="43"/>
      <c r="M3177" s="44"/>
      <c r="N3177" s="44"/>
      <c r="O3177" s="44"/>
      <c r="P3177" s="44"/>
      <c r="Q3177" s="44"/>
      <c r="R3177" s="44"/>
      <c r="S3177" s="44"/>
      <c r="T3177" s="45"/>
      <c r="U3177" s="38" t="str">
        <f>HYPERLINK("http://www.ncbi.nlm.nih.gov/pubmed/24424395","PubMed")</f>
        <v>PubMed</v>
      </c>
      <c r="V3177" s="50"/>
      <c r="W3177" s="49"/>
      <c r="X3177" s="49"/>
      <c r="Y3177" s="35"/>
      <c r="Z3177" s="35"/>
      <c r="AA3177" s="35"/>
      <c r="AB3177" s="35"/>
      <c r="AC3177" s="35"/>
      <c r="AD3177" s="35"/>
      <c r="AE3177" s="35"/>
      <c r="AF3177" s="35"/>
      <c r="AG3177" s="35"/>
      <c r="AH3177" s="35"/>
      <c r="AI3177" s="35"/>
      <c r="AJ3177" s="35"/>
      <c r="AK3177" s="35"/>
      <c r="AL3177" s="35"/>
    </row>
    <row r="3178">
      <c r="A3178" s="180"/>
      <c r="B3178" s="19" t="s">
        <v>4071</v>
      </c>
      <c r="C3178" s="20" t="s">
        <v>2036</v>
      </c>
      <c r="D3178" s="47"/>
      <c r="E3178" s="22" t="s">
        <v>5867</v>
      </c>
      <c r="F3178" s="22" t="s">
        <v>5655</v>
      </c>
      <c r="G3178" s="23">
        <v>2013.0</v>
      </c>
      <c r="H3178" s="22" t="s">
        <v>348</v>
      </c>
      <c r="I3178" s="24" t="s">
        <v>15359</v>
      </c>
      <c r="J3178" s="22" t="s">
        <v>125</v>
      </c>
      <c r="K3178" s="22"/>
      <c r="L3178" s="43"/>
      <c r="M3178" s="44"/>
      <c r="N3178" s="44"/>
      <c r="O3178" s="44"/>
      <c r="P3178" s="44"/>
      <c r="Q3178" s="44"/>
      <c r="R3178" s="44"/>
      <c r="S3178" s="44"/>
      <c r="T3178" s="45"/>
      <c r="U3178" s="38" t="str">
        <f>HYPERLINK("https://www.ncbi.nlm.nih.gov/pubmed/23807510","PubMed")</f>
        <v>PubMed</v>
      </c>
      <c r="V3178" s="50"/>
      <c r="W3178" s="49"/>
      <c r="X3178" s="49"/>
      <c r="Y3178" s="35"/>
      <c r="Z3178" s="35"/>
      <c r="AA3178" s="35"/>
      <c r="AB3178" s="35"/>
      <c r="AC3178" s="35"/>
      <c r="AD3178" s="35"/>
      <c r="AE3178" s="35"/>
      <c r="AF3178" s="35"/>
      <c r="AG3178" s="35"/>
      <c r="AH3178" s="35"/>
      <c r="AI3178" s="35"/>
      <c r="AJ3178" s="35"/>
      <c r="AK3178" s="35"/>
      <c r="AL3178" s="35"/>
    </row>
    <row r="3179">
      <c r="A3179" s="133"/>
      <c r="B3179" s="19" t="s">
        <v>4071</v>
      </c>
      <c r="C3179" s="20" t="s">
        <v>2036</v>
      </c>
      <c r="D3179" s="47"/>
      <c r="E3179" s="22" t="s">
        <v>15360</v>
      </c>
      <c r="F3179" s="22" t="s">
        <v>5913</v>
      </c>
      <c r="G3179" s="23">
        <v>2012.0</v>
      </c>
      <c r="H3179" s="22" t="s">
        <v>15361</v>
      </c>
      <c r="I3179" s="24" t="s">
        <v>15362</v>
      </c>
      <c r="J3179" s="22" t="s">
        <v>125</v>
      </c>
      <c r="K3179" s="22" t="s">
        <v>15363</v>
      </c>
      <c r="L3179" s="171" t="s">
        <v>15364</v>
      </c>
      <c r="M3179" s="44"/>
      <c r="N3179" s="44"/>
      <c r="O3179" s="44"/>
      <c r="P3179" s="44"/>
      <c r="Q3179" s="44"/>
      <c r="R3179" s="44"/>
      <c r="S3179" s="44"/>
      <c r="T3179" s="45"/>
      <c r="U3179" s="38" t="str">
        <f>HYPERLINK("https://www.ncbi.nlm.nih.gov/pubmed/22758634","PubMed")</f>
        <v>PubMed</v>
      </c>
      <c r="V3179" s="50"/>
      <c r="W3179" s="49"/>
      <c r="X3179" s="49"/>
      <c r="Y3179" s="35"/>
      <c r="Z3179" s="35"/>
      <c r="AA3179" s="35"/>
      <c r="AB3179" s="35"/>
      <c r="AC3179" s="35"/>
      <c r="AD3179" s="35"/>
      <c r="AE3179" s="35"/>
      <c r="AF3179" s="35"/>
      <c r="AG3179" s="35"/>
      <c r="AH3179" s="35"/>
      <c r="AI3179" s="35"/>
      <c r="AJ3179" s="35"/>
      <c r="AK3179" s="35"/>
      <c r="AL3179" s="35"/>
    </row>
    <row r="3180">
      <c r="A3180" s="133" t="s">
        <v>2</v>
      </c>
      <c r="B3180" s="19" t="s">
        <v>4071</v>
      </c>
      <c r="C3180" s="20" t="s">
        <v>2036</v>
      </c>
      <c r="D3180" s="47"/>
      <c r="E3180" s="22" t="s">
        <v>7055</v>
      </c>
      <c r="F3180" s="22" t="s">
        <v>2407</v>
      </c>
      <c r="G3180" s="177">
        <v>2012.0</v>
      </c>
      <c r="H3180" s="178" t="s">
        <v>5923</v>
      </c>
      <c r="I3180" s="179" t="s">
        <v>15365</v>
      </c>
      <c r="J3180" s="22" t="s">
        <v>125</v>
      </c>
      <c r="K3180" s="22"/>
      <c r="L3180" s="171" t="s">
        <v>15366</v>
      </c>
      <c r="M3180" s="44"/>
      <c r="N3180" s="44"/>
      <c r="O3180" s="44"/>
      <c r="P3180" s="44"/>
      <c r="Q3180" s="44"/>
      <c r="R3180" s="44"/>
      <c r="S3180" s="44"/>
      <c r="T3180" s="45"/>
      <c r="U3180" s="38" t="str">
        <f>HYPERLINK("http://www.ncbi.nlm.nih.gov/pubmed/22045511","PubMed")</f>
        <v>PubMed</v>
      </c>
      <c r="V3180" s="50"/>
      <c r="W3180" s="49"/>
      <c r="X3180" s="49"/>
      <c r="Y3180" s="35"/>
      <c r="Z3180" s="35"/>
      <c r="AA3180" s="35"/>
      <c r="AB3180" s="35"/>
      <c r="AC3180" s="35"/>
      <c r="AD3180" s="35"/>
      <c r="AE3180" s="35"/>
      <c r="AF3180" s="35"/>
      <c r="AG3180" s="35"/>
      <c r="AH3180" s="35"/>
      <c r="AI3180" s="35"/>
      <c r="AJ3180" s="35"/>
      <c r="AK3180" s="35"/>
      <c r="AL3180" s="35"/>
    </row>
    <row r="3181">
      <c r="A3181" s="133"/>
      <c r="B3181" s="19" t="s">
        <v>4071</v>
      </c>
      <c r="C3181" s="20" t="s">
        <v>2036</v>
      </c>
      <c r="D3181" s="47"/>
      <c r="E3181" s="22" t="s">
        <v>15367</v>
      </c>
      <c r="F3181" s="22" t="s">
        <v>6278</v>
      </c>
      <c r="G3181" s="23">
        <v>2012.0</v>
      </c>
      <c r="H3181" s="22" t="s">
        <v>15368</v>
      </c>
      <c r="I3181" s="24" t="s">
        <v>15369</v>
      </c>
      <c r="J3181" s="22" t="s">
        <v>125</v>
      </c>
      <c r="K3181" s="22"/>
      <c r="L3181" s="171" t="s">
        <v>15370</v>
      </c>
      <c r="M3181" s="44"/>
      <c r="N3181" s="44"/>
      <c r="O3181" s="44"/>
      <c r="P3181" s="44"/>
      <c r="Q3181" s="44"/>
      <c r="R3181" s="44"/>
      <c r="S3181" s="44"/>
      <c r="T3181" s="45"/>
      <c r="U3181" s="38" t="str">
        <f>HYPERLINK("https://www.sciencedirect.com/science/article/pii/S1389556712000032","ScienceDirect")</f>
        <v>ScienceDirect</v>
      </c>
      <c r="V3181" s="50"/>
      <c r="W3181" s="49"/>
      <c r="X3181" s="49"/>
      <c r="Y3181" s="35"/>
      <c r="Z3181" s="35"/>
      <c r="AA3181" s="35"/>
      <c r="AB3181" s="35"/>
      <c r="AC3181" s="35"/>
      <c r="AD3181" s="35"/>
      <c r="AE3181" s="35"/>
      <c r="AF3181" s="35"/>
      <c r="AG3181" s="35"/>
      <c r="AH3181" s="35"/>
      <c r="AI3181" s="35"/>
      <c r="AJ3181" s="35"/>
      <c r="AK3181" s="35"/>
      <c r="AL3181" s="35"/>
    </row>
    <row r="3182">
      <c r="A3182" s="1"/>
      <c r="B3182" s="19" t="s">
        <v>4071</v>
      </c>
      <c r="C3182" s="20" t="s">
        <v>2036</v>
      </c>
      <c r="D3182" s="47"/>
      <c r="E3182" s="22" t="s">
        <v>15352</v>
      </c>
      <c r="F3182" s="22" t="s">
        <v>2130</v>
      </c>
      <c r="G3182" s="23">
        <v>2011.0</v>
      </c>
      <c r="H3182" s="22" t="s">
        <v>15371</v>
      </c>
      <c r="I3182" s="24" t="s">
        <v>15372</v>
      </c>
      <c r="J3182" s="22" t="s">
        <v>125</v>
      </c>
      <c r="K3182" s="22"/>
      <c r="L3182" s="171" t="s">
        <v>15373</v>
      </c>
      <c r="M3182" s="44"/>
      <c r="N3182" s="44"/>
      <c r="O3182" s="44"/>
      <c r="P3182" s="44"/>
      <c r="Q3182" s="44"/>
      <c r="R3182" s="44"/>
      <c r="S3182" s="44"/>
      <c r="T3182" s="45"/>
      <c r="U3182" s="38" t="str">
        <f>HYPERLINK("https://www.ncbi.nlm.nih.gov/pubmed/28539775","PubMed")</f>
        <v>PubMed</v>
      </c>
      <c r="V3182" s="30"/>
      <c r="W3182" s="49"/>
      <c r="X3182" s="49"/>
      <c r="Y3182" s="35"/>
      <c r="Z3182" s="35"/>
      <c r="AA3182" s="35"/>
      <c r="AB3182" s="35"/>
      <c r="AC3182" s="35"/>
      <c r="AD3182" s="35"/>
      <c r="AE3182" s="35"/>
      <c r="AF3182" s="35"/>
      <c r="AG3182" s="35"/>
      <c r="AH3182" s="35"/>
      <c r="AI3182" s="35"/>
      <c r="AJ3182" s="35"/>
      <c r="AK3182" s="35"/>
      <c r="AL3182" s="35"/>
    </row>
    <row r="3183">
      <c r="A3183" s="1" t="s">
        <v>2</v>
      </c>
      <c r="B3183" s="19" t="s">
        <v>4071</v>
      </c>
      <c r="C3183" s="20" t="s">
        <v>2036</v>
      </c>
      <c r="D3183" s="47"/>
      <c r="E3183" s="22" t="s">
        <v>14835</v>
      </c>
      <c r="F3183" s="22" t="s">
        <v>1173</v>
      </c>
      <c r="G3183" s="23">
        <v>2011.0</v>
      </c>
      <c r="H3183" s="22" t="s">
        <v>658</v>
      </c>
      <c r="I3183" s="24" t="s">
        <v>15374</v>
      </c>
      <c r="J3183" s="22" t="s">
        <v>14378</v>
      </c>
      <c r="K3183" s="22"/>
      <c r="L3183" s="270" t="s">
        <v>15375</v>
      </c>
      <c r="M3183" s="44"/>
      <c r="N3183" s="44"/>
      <c r="O3183" s="44"/>
      <c r="P3183" s="44"/>
      <c r="Q3183" s="44"/>
      <c r="R3183" s="44"/>
      <c r="S3183" s="44"/>
      <c r="T3183" s="45"/>
      <c r="U3183" s="38" t="str">
        <f>HYPERLINK("https://www.ncbi.nlm.nih.gov/pubmed/21375455","PubMed")</f>
        <v>PubMed</v>
      </c>
      <c r="V3183" s="30" t="s">
        <v>15376</v>
      </c>
      <c r="W3183" s="49"/>
      <c r="X3183" s="49"/>
      <c r="Y3183" s="35"/>
      <c r="Z3183" s="35"/>
      <c r="AA3183" s="35"/>
      <c r="AB3183" s="35"/>
      <c r="AC3183" s="35"/>
      <c r="AD3183" s="35"/>
      <c r="AE3183" s="35"/>
      <c r="AF3183" s="35"/>
      <c r="AG3183" s="35"/>
      <c r="AH3183" s="35"/>
      <c r="AI3183" s="35"/>
      <c r="AJ3183" s="35"/>
      <c r="AK3183" s="35"/>
      <c r="AL3183" s="35"/>
    </row>
    <row r="3184">
      <c r="A3184" s="180"/>
      <c r="B3184" s="19" t="s">
        <v>4071</v>
      </c>
      <c r="C3184" s="20" t="s">
        <v>2036</v>
      </c>
      <c r="D3184" s="47"/>
      <c r="E3184" s="178" t="s">
        <v>15377</v>
      </c>
      <c r="F3184" s="22" t="s">
        <v>15378</v>
      </c>
      <c r="G3184" s="177">
        <v>2011.0</v>
      </c>
      <c r="H3184" s="178" t="s">
        <v>15379</v>
      </c>
      <c r="I3184" s="179" t="s">
        <v>15380</v>
      </c>
      <c r="J3184" s="22" t="s">
        <v>125</v>
      </c>
      <c r="K3184" s="22"/>
      <c r="L3184" s="270" t="s">
        <v>15381</v>
      </c>
      <c r="M3184" s="44"/>
      <c r="N3184" s="44"/>
      <c r="O3184" s="44"/>
      <c r="P3184" s="44"/>
      <c r="Q3184" s="44"/>
      <c r="R3184" s="44"/>
      <c r="S3184" s="44"/>
      <c r="T3184" s="45"/>
      <c r="U3184" s="38" t="str">
        <f>HYPERLINK("http://www.ncbi.nlm.nih.gov/pubmed/21356170","PubMed")</f>
        <v>PubMed</v>
      </c>
      <c r="V3184" s="30" t="s">
        <v>15382</v>
      </c>
      <c r="W3184" s="49"/>
      <c r="X3184" s="49"/>
      <c r="Y3184" s="35"/>
      <c r="Z3184" s="35"/>
      <c r="AA3184" s="35"/>
      <c r="AB3184" s="35"/>
      <c r="AC3184" s="35"/>
      <c r="AD3184" s="35"/>
      <c r="AE3184" s="35"/>
      <c r="AF3184" s="35"/>
      <c r="AG3184" s="35"/>
      <c r="AH3184" s="35"/>
      <c r="AI3184" s="35"/>
      <c r="AJ3184" s="35"/>
      <c r="AK3184" s="35"/>
      <c r="AL3184" s="35"/>
    </row>
    <row r="3185">
      <c r="A3185" s="133"/>
      <c r="B3185" s="19" t="s">
        <v>4071</v>
      </c>
      <c r="C3185" s="20" t="s">
        <v>2036</v>
      </c>
      <c r="D3185" s="47"/>
      <c r="E3185" s="22" t="s">
        <v>15383</v>
      </c>
      <c r="F3185" s="22" t="s">
        <v>5110</v>
      </c>
      <c r="G3185" s="23">
        <v>2011.0</v>
      </c>
      <c r="H3185" s="22" t="s">
        <v>15384</v>
      </c>
      <c r="I3185" s="24" t="s">
        <v>15385</v>
      </c>
      <c r="J3185" s="22" t="s">
        <v>125</v>
      </c>
      <c r="K3185" s="22"/>
      <c r="L3185" s="171" t="s">
        <v>15386</v>
      </c>
      <c r="M3185" s="44"/>
      <c r="N3185" s="44"/>
      <c r="O3185" s="44"/>
      <c r="P3185" s="44"/>
      <c r="Q3185" s="44"/>
      <c r="R3185" s="44"/>
      <c r="S3185" s="44"/>
      <c r="T3185" s="45"/>
      <c r="U3185" s="38" t="str">
        <f>HYPERLINK("https://www.ncbi.nlm.nih.gov/pubmed/21796755","PubMed")</f>
        <v>PubMed</v>
      </c>
      <c r="V3185" s="50"/>
      <c r="W3185" s="49"/>
      <c r="X3185" s="49"/>
      <c r="Y3185" s="35"/>
      <c r="Z3185" s="35"/>
      <c r="AA3185" s="35"/>
      <c r="AB3185" s="35"/>
      <c r="AC3185" s="35"/>
      <c r="AD3185" s="35"/>
      <c r="AE3185" s="35"/>
      <c r="AF3185" s="35"/>
      <c r="AG3185" s="35"/>
      <c r="AH3185" s="35"/>
      <c r="AI3185" s="35"/>
      <c r="AJ3185" s="35"/>
      <c r="AK3185" s="35"/>
      <c r="AL3185" s="35"/>
    </row>
    <row r="3186">
      <c r="A3186" s="180"/>
      <c r="B3186" s="19" t="s">
        <v>4071</v>
      </c>
      <c r="C3186" s="20" t="s">
        <v>2036</v>
      </c>
      <c r="D3186" s="47"/>
      <c r="E3186" s="22" t="s">
        <v>223</v>
      </c>
      <c r="F3186" s="22" t="s">
        <v>8127</v>
      </c>
      <c r="G3186" s="177">
        <v>2011.0</v>
      </c>
      <c r="H3186" s="178" t="s">
        <v>15344</v>
      </c>
      <c r="I3186" s="179" t="s">
        <v>15387</v>
      </c>
      <c r="J3186" s="22" t="s">
        <v>125</v>
      </c>
      <c r="K3186" s="22"/>
      <c r="L3186" s="171" t="s">
        <v>15388</v>
      </c>
      <c r="M3186" s="44"/>
      <c r="N3186" s="44"/>
      <c r="O3186" s="44"/>
      <c r="P3186" s="44"/>
      <c r="Q3186" s="44"/>
      <c r="R3186" s="44"/>
      <c r="S3186" s="44"/>
      <c r="T3186" s="45"/>
      <c r="U3186" s="153" t="str">
        <f>HYPERLINK("http://www.ncbi.nlm.nih.gov/pubmed/22461763","PubMed")</f>
        <v>PubMed</v>
      </c>
      <c r="V3186" s="50"/>
      <c r="W3186" s="49"/>
      <c r="X3186" s="49"/>
      <c r="Y3186" s="35"/>
      <c r="Z3186" s="35"/>
      <c r="AA3186" s="35"/>
      <c r="AB3186" s="35"/>
      <c r="AC3186" s="35"/>
      <c r="AD3186" s="35"/>
      <c r="AE3186" s="35"/>
      <c r="AF3186" s="35"/>
      <c r="AG3186" s="35"/>
      <c r="AH3186" s="35"/>
      <c r="AI3186" s="35"/>
      <c r="AJ3186" s="35"/>
      <c r="AK3186" s="35"/>
      <c r="AL3186" s="35"/>
    </row>
    <row r="3187">
      <c r="A3187" s="180"/>
      <c r="B3187" s="19" t="s">
        <v>4071</v>
      </c>
      <c r="C3187" s="20" t="s">
        <v>2036</v>
      </c>
      <c r="D3187" s="47"/>
      <c r="E3187" s="22" t="s">
        <v>15223</v>
      </c>
      <c r="F3187" s="22" t="s">
        <v>9858</v>
      </c>
      <c r="G3187" s="23">
        <v>2010.0</v>
      </c>
      <c r="H3187" s="178" t="s">
        <v>658</v>
      </c>
      <c r="I3187" s="24" t="s">
        <v>15389</v>
      </c>
      <c r="J3187" s="22" t="s">
        <v>125</v>
      </c>
      <c r="K3187" s="22"/>
      <c r="L3187" s="105" t="s">
        <v>15390</v>
      </c>
      <c r="M3187" s="44"/>
      <c r="N3187" s="44"/>
      <c r="O3187" s="44"/>
      <c r="P3187" s="44"/>
      <c r="Q3187" s="44"/>
      <c r="R3187" s="44"/>
      <c r="S3187" s="44"/>
      <c r="T3187" s="45"/>
      <c r="U3187" s="29" t="s">
        <v>61</v>
      </c>
      <c r="V3187" s="50"/>
      <c r="W3187" s="49"/>
      <c r="X3187" s="49"/>
      <c r="Y3187" s="35"/>
      <c r="Z3187" s="35"/>
      <c r="AA3187" s="35"/>
      <c r="AB3187" s="35"/>
      <c r="AC3187" s="35"/>
      <c r="AD3187" s="35"/>
      <c r="AE3187" s="35"/>
      <c r="AF3187" s="35"/>
      <c r="AG3187" s="35"/>
      <c r="AH3187" s="35"/>
      <c r="AI3187" s="35"/>
      <c r="AJ3187" s="35"/>
      <c r="AK3187" s="35"/>
      <c r="AL3187" s="35"/>
    </row>
    <row r="3188">
      <c r="A3188" s="180"/>
      <c r="B3188" s="19" t="s">
        <v>4071</v>
      </c>
      <c r="C3188" s="20" t="s">
        <v>2036</v>
      </c>
      <c r="D3188" s="47"/>
      <c r="E3188" s="22" t="s">
        <v>15391</v>
      </c>
      <c r="F3188" s="22" t="s">
        <v>4436</v>
      </c>
      <c r="G3188" s="177">
        <v>2010.0</v>
      </c>
      <c r="H3188" s="178" t="s">
        <v>658</v>
      </c>
      <c r="I3188" s="179" t="s">
        <v>15392</v>
      </c>
      <c r="J3188" s="22" t="s">
        <v>125</v>
      </c>
      <c r="K3188" s="22"/>
      <c r="L3188" s="167"/>
      <c r="M3188" s="44"/>
      <c r="N3188" s="44"/>
      <c r="O3188" s="44"/>
      <c r="P3188" s="44"/>
      <c r="Q3188" s="44"/>
      <c r="R3188" s="44"/>
      <c r="S3188" s="44"/>
      <c r="T3188" s="45"/>
      <c r="U3188" s="38" t="str">
        <f>HYPERLINK("http://www.ncbi.nlm.nih.gov/pubmed/19754267","PubMed")</f>
        <v>PubMed</v>
      </c>
      <c r="V3188" s="50"/>
      <c r="W3188" s="49"/>
      <c r="X3188" s="49"/>
      <c r="Y3188" s="35"/>
      <c r="Z3188" s="35"/>
      <c r="AA3188" s="35"/>
      <c r="AB3188" s="35"/>
      <c r="AC3188" s="35"/>
      <c r="AD3188" s="35"/>
      <c r="AE3188" s="35"/>
      <c r="AF3188" s="35"/>
      <c r="AG3188" s="35"/>
      <c r="AH3188" s="35"/>
      <c r="AI3188" s="35"/>
      <c r="AJ3188" s="35"/>
      <c r="AK3188" s="35"/>
      <c r="AL3188" s="35"/>
    </row>
    <row r="3189">
      <c r="A3189" s="133" t="s">
        <v>2</v>
      </c>
      <c r="B3189" s="19" t="s">
        <v>4071</v>
      </c>
      <c r="C3189" s="20" t="s">
        <v>2036</v>
      </c>
      <c r="D3189" s="47"/>
      <c r="E3189" s="22" t="s">
        <v>14792</v>
      </c>
      <c r="F3189" s="22" t="s">
        <v>5110</v>
      </c>
      <c r="G3189" s="177">
        <v>2010.0</v>
      </c>
      <c r="H3189" s="178" t="s">
        <v>15384</v>
      </c>
      <c r="I3189" s="179" t="s">
        <v>15393</v>
      </c>
      <c r="J3189" s="22" t="s">
        <v>125</v>
      </c>
      <c r="K3189" s="22"/>
      <c r="L3189" s="171" t="s">
        <v>15394</v>
      </c>
      <c r="M3189" s="44"/>
      <c r="N3189" s="44"/>
      <c r="O3189" s="44"/>
      <c r="P3189" s="44"/>
      <c r="Q3189" s="44"/>
      <c r="R3189" s="44"/>
      <c r="S3189" s="44"/>
      <c r="T3189" s="45"/>
      <c r="U3189" s="306" t="str">
        <f>HYPERLINK("http://www.isan.troitsk.ru/dls/publ3/344.pdf","PDF")</f>
        <v>PDF</v>
      </c>
      <c r="V3189" s="50"/>
      <c r="W3189" s="49"/>
      <c r="X3189" s="49"/>
      <c r="Y3189" s="35"/>
      <c r="Z3189" s="35"/>
      <c r="AA3189" s="35"/>
      <c r="AB3189" s="35"/>
      <c r="AC3189" s="35"/>
      <c r="AD3189" s="35"/>
      <c r="AE3189" s="35"/>
      <c r="AF3189" s="35"/>
      <c r="AG3189" s="35"/>
      <c r="AH3189" s="35"/>
      <c r="AI3189" s="35"/>
      <c r="AJ3189" s="35"/>
      <c r="AK3189" s="35"/>
      <c r="AL3189" s="35"/>
    </row>
    <row r="3190">
      <c r="A3190" s="180"/>
      <c r="B3190" s="19" t="s">
        <v>4071</v>
      </c>
      <c r="C3190" s="20" t="s">
        <v>2036</v>
      </c>
      <c r="D3190" s="47"/>
      <c r="E3190" s="22" t="s">
        <v>15395</v>
      </c>
      <c r="F3190" s="22" t="s">
        <v>2407</v>
      </c>
      <c r="G3190" s="177">
        <v>2010.0</v>
      </c>
      <c r="H3190" s="178" t="s">
        <v>15396</v>
      </c>
      <c r="I3190" s="179" t="s">
        <v>15397</v>
      </c>
      <c r="J3190" s="22" t="s">
        <v>125</v>
      </c>
      <c r="K3190" s="22"/>
      <c r="L3190" s="171" t="s">
        <v>15398</v>
      </c>
      <c r="M3190" s="44"/>
      <c r="N3190" s="44"/>
      <c r="O3190" s="44"/>
      <c r="P3190" s="44"/>
      <c r="Q3190" s="44"/>
      <c r="R3190" s="44"/>
      <c r="S3190" s="44"/>
      <c r="T3190" s="45"/>
      <c r="U3190" s="38" t="str">
        <f>HYPERLINK("http://www.ncbi.nlm.nih.gov/pubmed/21172691","PubMed")</f>
        <v>PubMed</v>
      </c>
      <c r="V3190" s="50"/>
      <c r="W3190" s="49"/>
      <c r="X3190" s="49"/>
      <c r="Y3190" s="35"/>
      <c r="Z3190" s="35"/>
      <c r="AA3190" s="35"/>
      <c r="AB3190" s="35"/>
      <c r="AC3190" s="35"/>
      <c r="AD3190" s="35"/>
      <c r="AE3190" s="35"/>
      <c r="AF3190" s="35"/>
      <c r="AG3190" s="35"/>
      <c r="AH3190" s="35"/>
      <c r="AI3190" s="35"/>
      <c r="AJ3190" s="35"/>
      <c r="AK3190" s="35"/>
      <c r="AL3190" s="35"/>
    </row>
    <row r="3191">
      <c r="A3191" s="180"/>
      <c r="B3191" s="19" t="s">
        <v>4071</v>
      </c>
      <c r="C3191" s="20" t="s">
        <v>2036</v>
      </c>
      <c r="D3191" s="47"/>
      <c r="E3191" s="22" t="s">
        <v>14348</v>
      </c>
      <c r="F3191" s="22" t="s">
        <v>12046</v>
      </c>
      <c r="G3191" s="23">
        <v>2010.0</v>
      </c>
      <c r="H3191" s="22" t="s">
        <v>292</v>
      </c>
      <c r="I3191" s="24" t="s">
        <v>15399</v>
      </c>
      <c r="J3191" s="22" t="s">
        <v>15400</v>
      </c>
      <c r="K3191" s="22" t="s">
        <v>15401</v>
      </c>
      <c r="L3191" s="171" t="s">
        <v>15402</v>
      </c>
      <c r="M3191" s="44"/>
      <c r="N3191" s="44"/>
      <c r="O3191" s="44"/>
      <c r="P3191" s="44"/>
      <c r="Q3191" s="44"/>
      <c r="R3191" s="44"/>
      <c r="S3191" s="44"/>
      <c r="T3191" s="45"/>
      <c r="U3191" s="38" t="str">
        <f>HYPERLINK("https://www.jstage.jst.go.jp/article/islsm/19/2/19_2_72/_article/-char/en","J-STAGE")</f>
        <v>J-STAGE</v>
      </c>
      <c r="V3191" s="50"/>
      <c r="W3191" s="49"/>
      <c r="X3191" s="49"/>
      <c r="Y3191" s="35"/>
      <c r="Z3191" s="35"/>
      <c r="AA3191" s="35"/>
      <c r="AB3191" s="35"/>
      <c r="AC3191" s="35"/>
      <c r="AD3191" s="35"/>
      <c r="AE3191" s="35"/>
      <c r="AF3191" s="35"/>
      <c r="AG3191" s="35"/>
      <c r="AH3191" s="35"/>
      <c r="AI3191" s="35"/>
      <c r="AJ3191" s="35"/>
      <c r="AK3191" s="35"/>
      <c r="AL3191" s="35"/>
    </row>
    <row r="3192">
      <c r="A3192" s="133"/>
      <c r="B3192" s="19" t="s">
        <v>4071</v>
      </c>
      <c r="C3192" s="20" t="s">
        <v>2036</v>
      </c>
      <c r="D3192" s="47"/>
      <c r="E3192" s="22" t="s">
        <v>6059</v>
      </c>
      <c r="F3192" s="22" t="s">
        <v>65</v>
      </c>
      <c r="G3192" s="23">
        <v>2009.0</v>
      </c>
      <c r="H3192" s="22" t="s">
        <v>6060</v>
      </c>
      <c r="I3192" s="24" t="s">
        <v>6061</v>
      </c>
      <c r="J3192" s="22" t="s">
        <v>125</v>
      </c>
      <c r="K3192" s="22"/>
      <c r="L3192" s="171" t="s">
        <v>15403</v>
      </c>
      <c r="M3192" s="44"/>
      <c r="N3192" s="44"/>
      <c r="O3192" s="44"/>
      <c r="P3192" s="44"/>
      <c r="Q3192" s="44"/>
      <c r="R3192" s="44"/>
      <c r="S3192" s="44"/>
      <c r="T3192" s="45"/>
      <c r="U3192" s="38" t="str">
        <f>HYPERLINK("https://www.ncbi.nlm.nih.gov/pubmed/19272168","PubMed")</f>
        <v>PubMed</v>
      </c>
      <c r="V3192" s="30" t="s">
        <v>15404</v>
      </c>
      <c r="W3192" s="49"/>
      <c r="X3192" s="49"/>
      <c r="Y3192" s="35"/>
      <c r="Z3192" s="35"/>
      <c r="AA3192" s="35"/>
      <c r="AB3192" s="35"/>
      <c r="AC3192" s="35"/>
      <c r="AD3192" s="35"/>
      <c r="AE3192" s="35"/>
      <c r="AF3192" s="35"/>
      <c r="AG3192" s="35"/>
      <c r="AH3192" s="35"/>
      <c r="AI3192" s="35"/>
      <c r="AJ3192" s="35"/>
      <c r="AK3192" s="35"/>
      <c r="AL3192" s="35"/>
    </row>
    <row r="3193">
      <c r="A3193" s="133"/>
      <c r="B3193" s="19" t="s">
        <v>4071</v>
      </c>
      <c r="C3193" s="20" t="s">
        <v>2036</v>
      </c>
      <c r="D3193" s="47"/>
      <c r="E3193" s="22" t="s">
        <v>15405</v>
      </c>
      <c r="F3193" s="22" t="s">
        <v>4606</v>
      </c>
      <c r="G3193" s="23">
        <v>2008.0</v>
      </c>
      <c r="H3193" s="22" t="s">
        <v>658</v>
      </c>
      <c r="I3193" s="24" t="s">
        <v>15406</v>
      </c>
      <c r="J3193" s="22" t="s">
        <v>125</v>
      </c>
      <c r="K3193" s="22"/>
      <c r="L3193" s="171" t="s">
        <v>15407</v>
      </c>
      <c r="M3193" s="44"/>
      <c r="N3193" s="44"/>
      <c r="O3193" s="44"/>
      <c r="P3193" s="44"/>
      <c r="Q3193" s="44"/>
      <c r="R3193" s="44"/>
      <c r="S3193" s="44"/>
      <c r="T3193" s="45"/>
      <c r="U3193" s="38" t="str">
        <f>HYPERLINK("https://www.ncbi.nlm.nih.gov/pubmed/18665762","PubMed")</f>
        <v>PubMed</v>
      </c>
      <c r="V3193" s="50"/>
      <c r="W3193" s="156"/>
      <c r="X3193" s="49"/>
      <c r="Y3193" s="35"/>
      <c r="Z3193" s="35"/>
      <c r="AA3193" s="35"/>
      <c r="AB3193" s="35"/>
      <c r="AC3193" s="35"/>
      <c r="AD3193" s="35"/>
      <c r="AE3193" s="35"/>
      <c r="AF3193" s="35"/>
      <c r="AG3193" s="35"/>
      <c r="AH3193" s="35"/>
      <c r="AI3193" s="35"/>
      <c r="AJ3193" s="35"/>
      <c r="AK3193" s="35"/>
      <c r="AL3193" s="35"/>
    </row>
    <row r="3194">
      <c r="A3194" s="133" t="s">
        <v>2</v>
      </c>
      <c r="B3194" s="19" t="s">
        <v>4071</v>
      </c>
      <c r="C3194" s="20" t="s">
        <v>2036</v>
      </c>
      <c r="D3194" s="47"/>
      <c r="E3194" s="22" t="s">
        <v>15081</v>
      </c>
      <c r="F3194" s="22" t="s">
        <v>5110</v>
      </c>
      <c r="G3194" s="23">
        <v>2008.0</v>
      </c>
      <c r="H3194" s="22" t="s">
        <v>4975</v>
      </c>
      <c r="I3194" s="24" t="s">
        <v>15408</v>
      </c>
      <c r="J3194" s="22" t="s">
        <v>125</v>
      </c>
      <c r="K3194" s="22"/>
      <c r="L3194" s="171" t="s">
        <v>15409</v>
      </c>
      <c r="M3194" s="44"/>
      <c r="N3194" s="44"/>
      <c r="O3194" s="44"/>
      <c r="P3194" s="44"/>
      <c r="Q3194" s="44"/>
      <c r="R3194" s="44"/>
      <c r="S3194" s="44"/>
      <c r="T3194" s="45"/>
      <c r="U3194" s="38" t="str">
        <f>HYPERLINK("https://www.ncbi.nlm.nih.gov/pubmed/18651871","PubMed")</f>
        <v>PubMed</v>
      </c>
      <c r="V3194" s="50"/>
      <c r="W3194" s="156"/>
      <c r="X3194" s="49"/>
      <c r="Y3194" s="35"/>
      <c r="Z3194" s="35"/>
      <c r="AA3194" s="35"/>
      <c r="AB3194" s="35"/>
      <c r="AC3194" s="35"/>
      <c r="AD3194" s="35"/>
      <c r="AE3194" s="35"/>
      <c r="AF3194" s="35"/>
      <c r="AG3194" s="35"/>
      <c r="AH3194" s="35"/>
      <c r="AI3194" s="35"/>
      <c r="AJ3194" s="35"/>
      <c r="AK3194" s="35"/>
      <c r="AL3194" s="35"/>
    </row>
    <row r="3195">
      <c r="A3195" s="180"/>
      <c r="B3195" s="19" t="s">
        <v>4071</v>
      </c>
      <c r="C3195" s="20" t="s">
        <v>2036</v>
      </c>
      <c r="D3195" s="47"/>
      <c r="E3195" s="22" t="s">
        <v>14545</v>
      </c>
      <c r="F3195" s="22" t="s">
        <v>1416</v>
      </c>
      <c r="G3195" s="23">
        <v>2007.0</v>
      </c>
      <c r="H3195" s="22" t="s">
        <v>292</v>
      </c>
      <c r="I3195" s="24" t="s">
        <v>15410</v>
      </c>
      <c r="J3195" s="22" t="s">
        <v>125</v>
      </c>
      <c r="K3195" s="22"/>
      <c r="L3195" s="105" t="s">
        <v>15411</v>
      </c>
      <c r="M3195" s="44"/>
      <c r="N3195" s="44"/>
      <c r="O3195" s="44"/>
      <c r="P3195" s="44"/>
      <c r="Q3195" s="44"/>
      <c r="R3195" s="44"/>
      <c r="S3195" s="44"/>
      <c r="T3195" s="45"/>
      <c r="U3195" s="38" t="str">
        <f>HYPERLINK("https://www.jstage.jst.go.jp/article/islsm/16/2/16_2_97/_article/-char/ja/","J-STAGE")</f>
        <v>J-STAGE</v>
      </c>
      <c r="V3195" s="50"/>
      <c r="W3195" s="49"/>
      <c r="X3195" s="49"/>
      <c r="Y3195" s="35"/>
      <c r="Z3195" s="35"/>
      <c r="AA3195" s="35"/>
      <c r="AB3195" s="35"/>
      <c r="AC3195" s="35"/>
      <c r="AD3195" s="35"/>
      <c r="AE3195" s="35"/>
      <c r="AF3195" s="35"/>
      <c r="AG3195" s="35"/>
      <c r="AH3195" s="35"/>
      <c r="AI3195" s="35"/>
      <c r="AJ3195" s="35"/>
      <c r="AK3195" s="35"/>
      <c r="AL3195" s="35"/>
    </row>
    <row r="3196">
      <c r="A3196" s="180"/>
      <c r="B3196" s="19" t="s">
        <v>4071</v>
      </c>
      <c r="C3196" s="20" t="s">
        <v>2036</v>
      </c>
      <c r="D3196" s="47"/>
      <c r="E3196" s="22" t="s">
        <v>9069</v>
      </c>
      <c r="F3196" s="22" t="s">
        <v>15412</v>
      </c>
      <c r="G3196" s="177">
        <v>2007.0</v>
      </c>
      <c r="H3196" s="178" t="s">
        <v>15357</v>
      </c>
      <c r="I3196" s="179" t="s">
        <v>15413</v>
      </c>
      <c r="J3196" s="22" t="s">
        <v>125</v>
      </c>
      <c r="K3196" s="22" t="s">
        <v>15414</v>
      </c>
      <c r="L3196" s="167"/>
      <c r="M3196" s="44"/>
      <c r="N3196" s="44"/>
      <c r="O3196" s="44"/>
      <c r="P3196" s="44"/>
      <c r="Q3196" s="44"/>
      <c r="R3196" s="44"/>
      <c r="S3196" s="44"/>
      <c r="T3196" s="45"/>
      <c r="U3196" s="38" t="str">
        <f>HYPERLINK("http://www.ncbi.nlm.nih.gov/pubmed/17321060","PubMed")</f>
        <v>PubMed</v>
      </c>
      <c r="V3196" s="50"/>
      <c r="W3196" s="49"/>
      <c r="X3196" s="49"/>
      <c r="Y3196" s="35"/>
      <c r="Z3196" s="35"/>
      <c r="AA3196" s="35"/>
      <c r="AB3196" s="35"/>
      <c r="AC3196" s="35"/>
      <c r="AD3196" s="35"/>
      <c r="AE3196" s="35"/>
      <c r="AF3196" s="35"/>
      <c r="AG3196" s="35"/>
      <c r="AH3196" s="35"/>
      <c r="AI3196" s="35"/>
      <c r="AJ3196" s="35"/>
      <c r="AK3196" s="35"/>
      <c r="AL3196" s="35"/>
    </row>
    <row r="3197">
      <c r="A3197" s="133"/>
      <c r="B3197" s="19" t="s">
        <v>4071</v>
      </c>
      <c r="C3197" s="20" t="s">
        <v>2036</v>
      </c>
      <c r="D3197" s="47"/>
      <c r="E3197" s="22" t="s">
        <v>1425</v>
      </c>
      <c r="F3197" s="22" t="s">
        <v>12109</v>
      </c>
      <c r="G3197" s="23">
        <v>2006.0</v>
      </c>
      <c r="H3197" s="22" t="s">
        <v>658</v>
      </c>
      <c r="I3197" s="24" t="s">
        <v>15415</v>
      </c>
      <c r="J3197" s="22" t="s">
        <v>125</v>
      </c>
      <c r="K3197" s="22"/>
      <c r="L3197" s="171" t="s">
        <v>15416</v>
      </c>
      <c r="M3197" s="44"/>
      <c r="N3197" s="44"/>
      <c r="O3197" s="44"/>
      <c r="P3197" s="44"/>
      <c r="Q3197" s="44"/>
      <c r="R3197" s="44"/>
      <c r="S3197" s="44"/>
      <c r="T3197" s="45"/>
      <c r="U3197" s="38" t="str">
        <f>HYPERLINK("https://www.ncbi.nlm.nih.gov/pubmed/16706696","PubMed")</f>
        <v>PubMed</v>
      </c>
      <c r="V3197" s="50"/>
      <c r="W3197" s="49"/>
      <c r="X3197" s="49"/>
      <c r="Y3197" s="35"/>
      <c r="Z3197" s="35"/>
      <c r="AA3197" s="35"/>
      <c r="AB3197" s="35"/>
      <c r="AC3197" s="35"/>
      <c r="AD3197" s="35"/>
      <c r="AE3197" s="35"/>
      <c r="AF3197" s="35"/>
      <c r="AG3197" s="35"/>
      <c r="AH3197" s="35"/>
      <c r="AI3197" s="35"/>
      <c r="AJ3197" s="35"/>
      <c r="AK3197" s="35"/>
      <c r="AL3197" s="35"/>
    </row>
    <row r="3198">
      <c r="A3198" s="133" t="s">
        <v>2</v>
      </c>
      <c r="B3198" s="19" t="s">
        <v>4071</v>
      </c>
      <c r="C3198" s="20" t="s">
        <v>2036</v>
      </c>
      <c r="D3198" s="47"/>
      <c r="E3198" s="22" t="s">
        <v>15417</v>
      </c>
      <c r="F3198" s="22" t="s">
        <v>8378</v>
      </c>
      <c r="G3198" s="23">
        <v>2006.0</v>
      </c>
      <c r="H3198" s="178" t="s">
        <v>1633</v>
      </c>
      <c r="I3198" s="179" t="s">
        <v>15418</v>
      </c>
      <c r="J3198" s="22" t="s">
        <v>15419</v>
      </c>
      <c r="K3198" s="22"/>
      <c r="L3198" s="171" t="s">
        <v>15420</v>
      </c>
      <c r="M3198" s="44"/>
      <c r="N3198" s="44"/>
      <c r="O3198" s="44"/>
      <c r="P3198" s="44"/>
      <c r="Q3198" s="44"/>
      <c r="R3198" s="44"/>
      <c r="S3198" s="44"/>
      <c r="T3198" s="45"/>
      <c r="U3198" s="38" t="str">
        <f>HYPERLINK("http://www.ncbi.nlm.nih.gov/pubmed/17066004","PubMed")</f>
        <v>PubMed</v>
      </c>
      <c r="V3198" s="50"/>
      <c r="W3198" s="49"/>
      <c r="X3198" s="49"/>
      <c r="Y3198" s="35"/>
      <c r="Z3198" s="35"/>
      <c r="AA3198" s="35"/>
      <c r="AB3198" s="35"/>
      <c r="AC3198" s="35"/>
      <c r="AD3198" s="35"/>
      <c r="AE3198" s="35"/>
      <c r="AF3198" s="35"/>
      <c r="AG3198" s="35"/>
      <c r="AH3198" s="35"/>
      <c r="AI3198" s="35"/>
      <c r="AJ3198" s="35"/>
      <c r="AK3198" s="35"/>
      <c r="AL3198" s="35"/>
    </row>
    <row r="3199">
      <c r="A3199" s="1"/>
      <c r="B3199" s="19" t="s">
        <v>4071</v>
      </c>
      <c r="C3199" s="20" t="s">
        <v>2036</v>
      </c>
      <c r="D3199" s="47"/>
      <c r="E3199" s="22" t="s">
        <v>15072</v>
      </c>
      <c r="F3199" s="22" t="s">
        <v>1337</v>
      </c>
      <c r="G3199" s="23">
        <v>2006.0</v>
      </c>
      <c r="H3199" s="22" t="s">
        <v>207</v>
      </c>
      <c r="I3199" s="24" t="s">
        <v>15421</v>
      </c>
      <c r="J3199" s="22" t="s">
        <v>125</v>
      </c>
      <c r="K3199" s="22"/>
      <c r="L3199" s="167"/>
      <c r="M3199" s="44"/>
      <c r="N3199" s="44"/>
      <c r="O3199" s="44"/>
      <c r="P3199" s="44"/>
      <c r="Q3199" s="44"/>
      <c r="R3199" s="44"/>
      <c r="S3199" s="44"/>
      <c r="T3199" s="45"/>
      <c r="U3199" s="215"/>
      <c r="V3199" s="50"/>
      <c r="W3199" s="49"/>
      <c r="X3199" s="49"/>
      <c r="Y3199" s="35"/>
      <c r="Z3199" s="35"/>
      <c r="AA3199" s="35"/>
      <c r="AB3199" s="35"/>
      <c r="AC3199" s="35"/>
      <c r="AD3199" s="35"/>
      <c r="AE3199" s="35"/>
      <c r="AF3199" s="35"/>
      <c r="AG3199" s="35"/>
      <c r="AH3199" s="35"/>
      <c r="AI3199" s="35"/>
      <c r="AJ3199" s="35"/>
      <c r="AK3199" s="35"/>
      <c r="AL3199" s="35"/>
    </row>
    <row r="3200">
      <c r="A3200" s="1"/>
      <c r="B3200" s="19" t="s">
        <v>4071</v>
      </c>
      <c r="C3200" s="20" t="s">
        <v>2036</v>
      </c>
      <c r="D3200" s="47"/>
      <c r="E3200" s="22" t="s">
        <v>1425</v>
      </c>
      <c r="F3200" s="22" t="s">
        <v>12109</v>
      </c>
      <c r="G3200" s="23">
        <v>2005.0</v>
      </c>
      <c r="H3200" s="22" t="s">
        <v>658</v>
      </c>
      <c r="I3200" s="24" t="s">
        <v>15422</v>
      </c>
      <c r="J3200" s="22" t="s">
        <v>125</v>
      </c>
      <c r="K3200" s="22"/>
      <c r="L3200" s="171" t="s">
        <v>15423</v>
      </c>
      <c r="M3200" s="44"/>
      <c r="N3200" s="44"/>
      <c r="O3200" s="44"/>
      <c r="P3200" s="44"/>
      <c r="Q3200" s="44"/>
      <c r="R3200" s="44"/>
      <c r="S3200" s="44"/>
      <c r="T3200" s="45"/>
      <c r="U3200" s="38" t="str">
        <f>HYPERLINK("https://www.ncbi.nlm.nih.gov/pubmed/15782024","PubMed")</f>
        <v>PubMed</v>
      </c>
      <c r="V3200" s="50"/>
      <c r="W3200" s="49"/>
      <c r="X3200" s="49"/>
      <c r="Y3200" s="35"/>
      <c r="Z3200" s="35"/>
      <c r="AA3200" s="35"/>
      <c r="AB3200" s="35"/>
      <c r="AC3200" s="35"/>
      <c r="AD3200" s="35"/>
      <c r="AE3200" s="35"/>
      <c r="AF3200" s="35"/>
      <c r="AG3200" s="35"/>
      <c r="AH3200" s="35"/>
      <c r="AI3200" s="35"/>
      <c r="AJ3200" s="35"/>
      <c r="AK3200" s="35"/>
      <c r="AL3200" s="35"/>
    </row>
    <row r="3201">
      <c r="A3201" s="1"/>
      <c r="B3201" s="19" t="s">
        <v>4071</v>
      </c>
      <c r="C3201" s="20" t="s">
        <v>2036</v>
      </c>
      <c r="D3201" s="47"/>
      <c r="E3201" s="22" t="s">
        <v>15223</v>
      </c>
      <c r="F3201" s="22" t="s">
        <v>9858</v>
      </c>
      <c r="G3201" s="23">
        <v>2005.0</v>
      </c>
      <c r="H3201" s="22" t="s">
        <v>658</v>
      </c>
      <c r="I3201" s="24" t="s">
        <v>15424</v>
      </c>
      <c r="J3201" s="22" t="s">
        <v>125</v>
      </c>
      <c r="K3201" s="22"/>
      <c r="L3201" s="171" t="s">
        <v>15425</v>
      </c>
      <c r="M3201" s="44"/>
      <c r="N3201" s="44"/>
      <c r="O3201" s="44"/>
      <c r="P3201" s="44"/>
      <c r="Q3201" s="44"/>
      <c r="R3201" s="44"/>
      <c r="S3201" s="44"/>
      <c r="T3201" s="45"/>
      <c r="U3201" s="38" t="str">
        <f>HYPERLINK("https://www.ncbi.nlm.nih.gov/pubmed/16144487","PubMed")</f>
        <v>PubMed</v>
      </c>
      <c r="V3201" s="50"/>
      <c r="W3201" s="49"/>
      <c r="X3201" s="49"/>
      <c r="Y3201" s="35"/>
      <c r="Z3201" s="35"/>
      <c r="AA3201" s="35"/>
      <c r="AB3201" s="35"/>
      <c r="AC3201" s="35"/>
      <c r="AD3201" s="35"/>
      <c r="AE3201" s="35"/>
      <c r="AF3201" s="35"/>
      <c r="AG3201" s="35"/>
      <c r="AH3201" s="35"/>
      <c r="AI3201" s="35"/>
      <c r="AJ3201" s="35"/>
      <c r="AK3201" s="35"/>
      <c r="AL3201" s="35"/>
    </row>
    <row r="3202">
      <c r="A3202" s="1"/>
      <c r="B3202" s="19" t="s">
        <v>4071</v>
      </c>
      <c r="C3202" s="20" t="s">
        <v>2036</v>
      </c>
      <c r="D3202" s="47"/>
      <c r="E3202" s="22" t="s">
        <v>15196</v>
      </c>
      <c r="F3202" s="22" t="s">
        <v>2346</v>
      </c>
      <c r="G3202" s="23">
        <v>2004.0</v>
      </c>
      <c r="H3202" s="22" t="s">
        <v>15426</v>
      </c>
      <c r="I3202" s="24" t="s">
        <v>15427</v>
      </c>
      <c r="J3202" s="22" t="s">
        <v>125</v>
      </c>
      <c r="K3202" s="22"/>
      <c r="L3202" s="171" t="s">
        <v>15428</v>
      </c>
      <c r="M3202" s="44"/>
      <c r="N3202" s="44"/>
      <c r="O3202" s="44"/>
      <c r="P3202" s="44"/>
      <c r="Q3202" s="44"/>
      <c r="R3202" s="44"/>
      <c r="S3202" s="44"/>
      <c r="T3202" s="45"/>
      <c r="U3202" s="38" t="str">
        <f>HYPERLINK("https://www.ncbi.nlm.nih.gov/pubmed/14972023","PubMed")</f>
        <v>PubMed</v>
      </c>
      <c r="V3202" s="50"/>
      <c r="W3202" s="49"/>
      <c r="X3202" s="49"/>
      <c r="Y3202" s="35"/>
      <c r="Z3202" s="35"/>
      <c r="AA3202" s="35"/>
      <c r="AB3202" s="35"/>
      <c r="AC3202" s="35"/>
      <c r="AD3202" s="35"/>
      <c r="AE3202" s="35"/>
      <c r="AF3202" s="35"/>
      <c r="AG3202" s="35"/>
      <c r="AH3202" s="35"/>
      <c r="AI3202" s="35"/>
      <c r="AJ3202" s="35"/>
      <c r="AK3202" s="35"/>
      <c r="AL3202" s="35"/>
    </row>
    <row r="3203">
      <c r="A3203" s="1" t="s">
        <v>2</v>
      </c>
      <c r="B3203" s="19" t="s">
        <v>4071</v>
      </c>
      <c r="C3203" s="20" t="s">
        <v>2036</v>
      </c>
      <c r="D3203" s="47"/>
      <c r="E3203" s="22" t="s">
        <v>15081</v>
      </c>
      <c r="F3203" s="22" t="s">
        <v>5110</v>
      </c>
      <c r="G3203" s="23">
        <v>2004.0</v>
      </c>
      <c r="H3203" s="22" t="s">
        <v>15028</v>
      </c>
      <c r="I3203" s="24" t="s">
        <v>15429</v>
      </c>
      <c r="J3203" s="22" t="s">
        <v>125</v>
      </c>
      <c r="K3203" s="22"/>
      <c r="L3203" s="171" t="s">
        <v>15430</v>
      </c>
      <c r="M3203" s="44"/>
      <c r="N3203" s="44"/>
      <c r="O3203" s="44"/>
      <c r="P3203" s="44"/>
      <c r="Q3203" s="44"/>
      <c r="R3203" s="44"/>
      <c r="S3203" s="44"/>
      <c r="T3203" s="45"/>
      <c r="U3203" s="38" t="str">
        <f>HYPERLINK("http://ieeexplore.ieee.org/document/6603355/","IEEE")</f>
        <v>IEEE</v>
      </c>
      <c r="V3203" s="50"/>
      <c r="W3203" s="49"/>
      <c r="X3203" s="49"/>
      <c r="Y3203" s="35"/>
      <c r="Z3203" s="35"/>
      <c r="AA3203" s="35"/>
      <c r="AB3203" s="35"/>
      <c r="AC3203" s="35"/>
      <c r="AD3203" s="35"/>
      <c r="AE3203" s="35"/>
      <c r="AF3203" s="35"/>
      <c r="AG3203" s="35"/>
      <c r="AH3203" s="35"/>
      <c r="AI3203" s="35"/>
      <c r="AJ3203" s="35"/>
      <c r="AK3203" s="35"/>
      <c r="AL3203" s="35"/>
    </row>
    <row r="3204">
      <c r="A3204" s="180"/>
      <c r="B3204" s="19" t="s">
        <v>4071</v>
      </c>
      <c r="C3204" s="20" t="s">
        <v>2036</v>
      </c>
      <c r="D3204" s="47"/>
      <c r="E3204" s="22" t="s">
        <v>9977</v>
      </c>
      <c r="F3204" s="22" t="s">
        <v>2956</v>
      </c>
      <c r="G3204" s="177">
        <v>2004.0</v>
      </c>
      <c r="H3204" s="178" t="s">
        <v>4633</v>
      </c>
      <c r="I3204" s="179" t="s">
        <v>15431</v>
      </c>
      <c r="J3204" s="22" t="s">
        <v>125</v>
      </c>
      <c r="K3204" s="22"/>
      <c r="L3204" s="171" t="s">
        <v>15432</v>
      </c>
      <c r="M3204" s="44"/>
      <c r="N3204" s="44"/>
      <c r="O3204" s="44"/>
      <c r="P3204" s="44"/>
      <c r="Q3204" s="44"/>
      <c r="R3204" s="44"/>
      <c r="S3204" s="44"/>
      <c r="T3204" s="45"/>
      <c r="U3204" s="38" t="str">
        <f>HYPERLINK("http://www.ncbi.nlm.nih.gov/pubmed/16120414","PubMed")</f>
        <v>PubMed</v>
      </c>
      <c r="V3204" s="50"/>
      <c r="W3204" s="49"/>
      <c r="X3204" s="49"/>
      <c r="Y3204" s="35"/>
      <c r="Z3204" s="35"/>
      <c r="AA3204" s="35"/>
      <c r="AB3204" s="35"/>
      <c r="AC3204" s="35"/>
      <c r="AD3204" s="35"/>
      <c r="AE3204" s="35"/>
      <c r="AF3204" s="35"/>
      <c r="AG3204" s="35"/>
      <c r="AH3204" s="35"/>
      <c r="AI3204" s="35"/>
      <c r="AJ3204" s="35"/>
      <c r="AK3204" s="35"/>
      <c r="AL3204" s="35"/>
    </row>
    <row r="3205">
      <c r="A3205" s="1" t="s">
        <v>2</v>
      </c>
      <c r="B3205" s="19" t="s">
        <v>4071</v>
      </c>
      <c r="C3205" s="20" t="s">
        <v>2036</v>
      </c>
      <c r="D3205" s="47"/>
      <c r="E3205" s="22" t="s">
        <v>15081</v>
      </c>
      <c r="F3205" s="22" t="s">
        <v>5110</v>
      </c>
      <c r="G3205" s="23">
        <v>2003.0</v>
      </c>
      <c r="H3205" s="22" t="s">
        <v>15433</v>
      </c>
      <c r="I3205" s="24" t="s">
        <v>15434</v>
      </c>
      <c r="J3205" s="22" t="s">
        <v>125</v>
      </c>
      <c r="K3205" s="22" t="s">
        <v>14464</v>
      </c>
      <c r="L3205" s="171" t="s">
        <v>15435</v>
      </c>
      <c r="M3205" s="44"/>
      <c r="N3205" s="44"/>
      <c r="O3205" s="44"/>
      <c r="P3205" s="44"/>
      <c r="Q3205" s="44"/>
      <c r="R3205" s="44"/>
      <c r="S3205" s="44"/>
      <c r="T3205" s="45"/>
      <c r="U3205" s="38" t="str">
        <f>HYPERLINK("https://www.isan.troitsk.ru/dls/publ/300.pdf","PDF")</f>
        <v>PDF</v>
      </c>
      <c r="V3205" s="50"/>
      <c r="W3205" s="49"/>
      <c r="X3205" s="49"/>
      <c r="Y3205" s="35"/>
      <c r="Z3205" s="35"/>
      <c r="AA3205" s="35"/>
      <c r="AB3205" s="35"/>
      <c r="AC3205" s="35"/>
      <c r="AD3205" s="35"/>
      <c r="AE3205" s="35"/>
      <c r="AF3205" s="35"/>
      <c r="AG3205" s="35"/>
      <c r="AH3205" s="35"/>
      <c r="AI3205" s="35"/>
      <c r="AJ3205" s="35"/>
      <c r="AK3205" s="35"/>
      <c r="AL3205" s="35"/>
    </row>
    <row r="3206">
      <c r="A3206" s="180"/>
      <c r="B3206" s="19" t="s">
        <v>4071</v>
      </c>
      <c r="C3206" s="20" t="s">
        <v>2036</v>
      </c>
      <c r="D3206" s="47"/>
      <c r="E3206" s="22" t="s">
        <v>15436</v>
      </c>
      <c r="F3206" s="22" t="s">
        <v>1426</v>
      </c>
      <c r="G3206" s="23">
        <v>2000.0</v>
      </c>
      <c r="H3206" s="22" t="s">
        <v>15437</v>
      </c>
      <c r="I3206" s="24" t="s">
        <v>15438</v>
      </c>
      <c r="J3206" s="22" t="s">
        <v>125</v>
      </c>
      <c r="K3206" s="22"/>
      <c r="L3206" s="171" t="s">
        <v>15439</v>
      </c>
      <c r="M3206" s="44"/>
      <c r="N3206" s="44"/>
      <c r="O3206" s="44"/>
      <c r="P3206" s="44"/>
      <c r="Q3206" s="44"/>
      <c r="R3206" s="44"/>
      <c r="S3206" s="44"/>
      <c r="T3206" s="45"/>
      <c r="U3206" s="38" t="str">
        <f>HYPERLINK("http://onlinelibrary.wiley.com/doi/10.1002/1098-2299(200007/08)50:3/4&lt;471::AID-DDR30&gt;3.0.CO;2-E/full","Wiley")</f>
        <v>Wiley</v>
      </c>
      <c r="V3206" s="50"/>
      <c r="W3206" s="49"/>
      <c r="X3206" s="49"/>
      <c r="Y3206" s="35"/>
      <c r="Z3206" s="35"/>
      <c r="AA3206" s="35"/>
      <c r="AB3206" s="35"/>
      <c r="AC3206" s="35"/>
      <c r="AD3206" s="35"/>
      <c r="AE3206" s="35"/>
      <c r="AF3206" s="35"/>
      <c r="AG3206" s="35"/>
      <c r="AH3206" s="35"/>
      <c r="AI3206" s="35"/>
      <c r="AJ3206" s="35"/>
      <c r="AK3206" s="35"/>
      <c r="AL3206" s="35"/>
    </row>
    <row r="3207">
      <c r="A3207" s="1" t="s">
        <v>15440</v>
      </c>
      <c r="B3207" s="19" t="s">
        <v>4071</v>
      </c>
      <c r="C3207" s="20" t="s">
        <v>2036</v>
      </c>
      <c r="D3207" s="47"/>
      <c r="E3207" s="22" t="s">
        <v>15081</v>
      </c>
      <c r="F3207" s="22" t="s">
        <v>5110</v>
      </c>
      <c r="G3207" s="23">
        <v>1999.0</v>
      </c>
      <c r="H3207" s="22" t="s">
        <v>207</v>
      </c>
      <c r="I3207" s="24" t="s">
        <v>15441</v>
      </c>
      <c r="J3207" s="22" t="s">
        <v>125</v>
      </c>
      <c r="K3207" s="22"/>
      <c r="L3207" s="307" t="s">
        <v>15442</v>
      </c>
      <c r="M3207" s="44"/>
      <c r="N3207" s="44"/>
      <c r="O3207" s="44"/>
      <c r="P3207" s="44"/>
      <c r="Q3207" s="44"/>
      <c r="R3207" s="44"/>
      <c r="S3207" s="44"/>
      <c r="T3207" s="45"/>
      <c r="U3207" s="38" t="str">
        <f>HYPERLINK("https://www.ncbi.nlm.nih.gov/pubmed/10365442","PubMed")</f>
        <v>PubMed</v>
      </c>
      <c r="V3207" s="30" t="s">
        <v>15443</v>
      </c>
      <c r="W3207" s="49"/>
      <c r="X3207" s="49"/>
      <c r="Y3207" s="35"/>
      <c r="Z3207" s="35"/>
      <c r="AA3207" s="35"/>
      <c r="AB3207" s="35"/>
      <c r="AC3207" s="35"/>
      <c r="AD3207" s="35"/>
      <c r="AE3207" s="35"/>
      <c r="AF3207" s="35"/>
      <c r="AG3207" s="35"/>
      <c r="AH3207" s="35"/>
      <c r="AI3207" s="35"/>
      <c r="AJ3207" s="35"/>
      <c r="AK3207" s="35"/>
      <c r="AL3207" s="35"/>
    </row>
    <row r="3208">
      <c r="A3208" s="180"/>
      <c r="B3208" s="19" t="s">
        <v>4071</v>
      </c>
      <c r="C3208" s="20" t="s">
        <v>2036</v>
      </c>
      <c r="D3208" s="47"/>
      <c r="E3208" s="22" t="s">
        <v>5109</v>
      </c>
      <c r="F3208" s="22" t="s">
        <v>5110</v>
      </c>
      <c r="G3208" s="23">
        <v>1998.0</v>
      </c>
      <c r="H3208" s="22" t="s">
        <v>15444</v>
      </c>
      <c r="I3208" s="24" t="s">
        <v>15445</v>
      </c>
      <c r="J3208" s="22" t="s">
        <v>15446</v>
      </c>
      <c r="K3208" s="22"/>
      <c r="L3208" s="307" t="s">
        <v>15447</v>
      </c>
      <c r="M3208" s="44"/>
      <c r="N3208" s="44"/>
      <c r="O3208" s="44"/>
      <c r="P3208" s="44"/>
      <c r="Q3208" s="44"/>
      <c r="R3208" s="44"/>
      <c r="S3208" s="44"/>
      <c r="T3208" s="45"/>
      <c r="U3208" s="38" t="str">
        <f>HYPERLINK("http://ieeexplore.ieee.org/document/666427/?denied","IEEE")</f>
        <v>IEEE</v>
      </c>
      <c r="V3208" s="50"/>
      <c r="W3208" s="49"/>
      <c r="X3208" s="49"/>
      <c r="Y3208" s="35"/>
      <c r="Z3208" s="35"/>
      <c r="AA3208" s="35"/>
      <c r="AB3208" s="35"/>
      <c r="AC3208" s="35"/>
      <c r="AD3208" s="35"/>
      <c r="AE3208" s="35"/>
      <c r="AF3208" s="35"/>
      <c r="AG3208" s="35"/>
      <c r="AH3208" s="35"/>
      <c r="AI3208" s="35"/>
      <c r="AJ3208" s="35"/>
      <c r="AK3208" s="35"/>
      <c r="AL3208" s="35"/>
    </row>
    <row r="3209">
      <c r="A3209" s="180"/>
      <c r="B3209" s="19" t="s">
        <v>4071</v>
      </c>
      <c r="C3209" s="20" t="s">
        <v>2036</v>
      </c>
      <c r="D3209" s="47"/>
      <c r="E3209" s="22" t="s">
        <v>15448</v>
      </c>
      <c r="F3209" s="22" t="s">
        <v>15449</v>
      </c>
      <c r="G3209" s="23">
        <v>1998.0</v>
      </c>
      <c r="H3209" s="22" t="s">
        <v>1289</v>
      </c>
      <c r="I3209" s="24" t="s">
        <v>15450</v>
      </c>
      <c r="J3209" s="22" t="s">
        <v>125</v>
      </c>
      <c r="K3209" s="22"/>
      <c r="L3209" s="307" t="s">
        <v>15451</v>
      </c>
      <c r="M3209" s="44"/>
      <c r="N3209" s="44"/>
      <c r="O3209" s="44"/>
      <c r="P3209" s="44"/>
      <c r="Q3209" s="44"/>
      <c r="R3209" s="44"/>
      <c r="S3209" s="44"/>
      <c r="T3209" s="45"/>
      <c r="U3209" s="38" t="str">
        <f>HYPERLINK("https://www.ncbi.nlm.nih.gov/pubmed/9743654","PubMed")</f>
        <v>PubMed</v>
      </c>
      <c r="V3209" s="50"/>
      <c r="W3209" s="49"/>
      <c r="X3209" s="49"/>
      <c r="Y3209" s="35"/>
      <c r="Z3209" s="35"/>
      <c r="AA3209" s="35"/>
      <c r="AB3209" s="35"/>
      <c r="AC3209" s="35"/>
      <c r="AD3209" s="35"/>
      <c r="AE3209" s="35"/>
      <c r="AF3209" s="35"/>
      <c r="AG3209" s="35"/>
      <c r="AH3209" s="35"/>
      <c r="AI3209" s="35"/>
      <c r="AJ3209" s="35"/>
      <c r="AK3209" s="35"/>
      <c r="AL3209" s="35"/>
    </row>
    <row r="3210">
      <c r="A3210" s="180"/>
      <c r="B3210" s="19" t="s">
        <v>4071</v>
      </c>
      <c r="C3210" s="20" t="s">
        <v>2036</v>
      </c>
      <c r="D3210" s="47"/>
      <c r="E3210" s="22" t="s">
        <v>15452</v>
      </c>
      <c r="F3210" s="22" t="s">
        <v>1310</v>
      </c>
      <c r="G3210" s="23">
        <v>1996.0</v>
      </c>
      <c r="H3210" s="22" t="s">
        <v>292</v>
      </c>
      <c r="I3210" s="24" t="s">
        <v>15453</v>
      </c>
      <c r="J3210" s="22" t="s">
        <v>125</v>
      </c>
      <c r="K3210" s="22"/>
      <c r="L3210" s="307"/>
      <c r="M3210" s="44"/>
      <c r="N3210" s="44"/>
      <c r="O3210" s="44"/>
      <c r="P3210" s="44"/>
      <c r="Q3210" s="44"/>
      <c r="R3210" s="44"/>
      <c r="S3210" s="44"/>
      <c r="T3210" s="45"/>
      <c r="U3210" s="38" t="str">
        <f>HYPERLINK("https://www.jstage.jst.go.jp/article/islsm/8/2/8_2_137/_article/-char/en","J-STAGE")</f>
        <v>J-STAGE</v>
      </c>
      <c r="V3210" s="50"/>
      <c r="W3210" s="49"/>
      <c r="X3210" s="49"/>
      <c r="Y3210" s="35"/>
      <c r="Z3210" s="35"/>
      <c r="AA3210" s="35"/>
      <c r="AB3210" s="35"/>
      <c r="AC3210" s="35"/>
      <c r="AD3210" s="35"/>
      <c r="AE3210" s="35"/>
      <c r="AF3210" s="35"/>
      <c r="AG3210" s="35"/>
      <c r="AH3210" s="35"/>
      <c r="AI3210" s="35"/>
      <c r="AJ3210" s="35"/>
      <c r="AK3210" s="35"/>
      <c r="AL3210" s="35"/>
    </row>
    <row r="3211">
      <c r="A3211" s="180"/>
      <c r="B3211" s="19" t="s">
        <v>4071</v>
      </c>
      <c r="C3211" s="20" t="s">
        <v>2036</v>
      </c>
      <c r="D3211" s="47"/>
      <c r="E3211" s="22" t="s">
        <v>15452</v>
      </c>
      <c r="F3211" s="22" t="s">
        <v>1310</v>
      </c>
      <c r="G3211" s="23">
        <v>1993.0</v>
      </c>
      <c r="H3211" s="22" t="s">
        <v>292</v>
      </c>
      <c r="I3211" s="24" t="s">
        <v>15454</v>
      </c>
      <c r="J3211" s="22" t="s">
        <v>125</v>
      </c>
      <c r="K3211" s="22"/>
      <c r="L3211" s="307" t="s">
        <v>15455</v>
      </c>
      <c r="M3211" s="44"/>
      <c r="N3211" s="44"/>
      <c r="O3211" s="44"/>
      <c r="P3211" s="44"/>
      <c r="Q3211" s="44"/>
      <c r="R3211" s="44"/>
      <c r="S3211" s="44"/>
      <c r="T3211" s="45"/>
      <c r="U3211" s="38" t="str">
        <f>HYPERLINK("https://www.jstage.jst.go.jp/article/islsm/5/1/5_93-OR-04/_article/-char/ja","J-STAGE")</f>
        <v>J-STAGE</v>
      </c>
      <c r="V3211" s="50"/>
      <c r="W3211" s="49"/>
      <c r="X3211" s="49"/>
      <c r="Y3211" s="35"/>
      <c r="Z3211" s="35"/>
      <c r="AA3211" s="35"/>
      <c r="AB3211" s="35"/>
      <c r="AC3211" s="35"/>
      <c r="AD3211" s="35"/>
      <c r="AE3211" s="35"/>
      <c r="AF3211" s="35"/>
      <c r="AG3211" s="35"/>
      <c r="AH3211" s="35"/>
      <c r="AI3211" s="35"/>
      <c r="AJ3211" s="35"/>
      <c r="AK3211" s="35"/>
      <c r="AL3211" s="35"/>
    </row>
    <row r="3212">
      <c r="A3212" s="180"/>
      <c r="B3212" s="19" t="s">
        <v>4071</v>
      </c>
      <c r="C3212" s="20" t="s">
        <v>2036</v>
      </c>
      <c r="D3212" s="47"/>
      <c r="E3212" s="22" t="s">
        <v>9245</v>
      </c>
      <c r="F3212" s="22" t="s">
        <v>2698</v>
      </c>
      <c r="G3212" s="177">
        <v>1993.0</v>
      </c>
      <c r="H3212" s="178" t="s">
        <v>4916</v>
      </c>
      <c r="I3212" s="179" t="s">
        <v>15456</v>
      </c>
      <c r="J3212" s="22" t="s">
        <v>125</v>
      </c>
      <c r="K3212" s="22"/>
      <c r="L3212" s="171" t="s">
        <v>15457</v>
      </c>
      <c r="M3212" s="44"/>
      <c r="N3212" s="44"/>
      <c r="O3212" s="44"/>
      <c r="P3212" s="44"/>
      <c r="Q3212" s="44"/>
      <c r="R3212" s="44"/>
      <c r="S3212" s="44"/>
      <c r="T3212" s="45"/>
      <c r="U3212" s="38" t="str">
        <f>HYPERLINK("http://www.ncbi.nlm.nih.gov/pubmed/25026134","PubMed")</f>
        <v>PubMed</v>
      </c>
      <c r="V3212" s="50"/>
      <c r="W3212" s="49"/>
      <c r="X3212" s="49"/>
      <c r="Y3212" s="35"/>
      <c r="Z3212" s="35"/>
      <c r="AA3212" s="35"/>
      <c r="AB3212" s="35"/>
      <c r="AC3212" s="35"/>
      <c r="AD3212" s="35"/>
      <c r="AE3212" s="35"/>
      <c r="AF3212" s="35"/>
      <c r="AG3212" s="35"/>
      <c r="AH3212" s="35"/>
      <c r="AI3212" s="35"/>
      <c r="AJ3212" s="35"/>
      <c r="AK3212" s="35"/>
      <c r="AL3212" s="35"/>
    </row>
    <row r="3213">
      <c r="A3213" s="180"/>
      <c r="B3213" s="19" t="s">
        <v>4071</v>
      </c>
      <c r="C3213" s="20" t="s">
        <v>2036</v>
      </c>
      <c r="D3213" s="47"/>
      <c r="E3213" s="22" t="s">
        <v>14792</v>
      </c>
      <c r="F3213" s="22" t="s">
        <v>5110</v>
      </c>
      <c r="G3213" s="23">
        <v>1991.0</v>
      </c>
      <c r="H3213" s="22" t="s">
        <v>292</v>
      </c>
      <c r="I3213" s="24" t="s">
        <v>15458</v>
      </c>
      <c r="J3213" s="22" t="s">
        <v>125</v>
      </c>
      <c r="K3213" s="22"/>
      <c r="L3213" s="171" t="s">
        <v>15459</v>
      </c>
      <c r="M3213" s="44"/>
      <c r="N3213" s="44"/>
      <c r="O3213" s="44"/>
      <c r="P3213" s="44"/>
      <c r="Q3213" s="44"/>
      <c r="R3213" s="44"/>
      <c r="S3213" s="44"/>
      <c r="T3213" s="45"/>
      <c r="U3213" s="38" t="str">
        <f>HYPERLINK("https://www.jstage.jst.go.jp/article/islsm/4/1/4_4_92-RE-01/_article/-char/en","J-STAGE")</f>
        <v>J-STAGE</v>
      </c>
      <c r="V3213" s="50"/>
      <c r="W3213" s="49"/>
      <c r="X3213" s="49"/>
      <c r="Y3213" s="35"/>
      <c r="Z3213" s="35"/>
      <c r="AA3213" s="35"/>
      <c r="AB3213" s="35"/>
      <c r="AC3213" s="35"/>
      <c r="AD3213" s="35"/>
      <c r="AE3213" s="35"/>
      <c r="AF3213" s="35"/>
      <c r="AG3213" s="35"/>
      <c r="AH3213" s="35"/>
      <c r="AI3213" s="35"/>
      <c r="AJ3213" s="35"/>
      <c r="AK3213" s="35"/>
      <c r="AL3213" s="35"/>
    </row>
    <row r="3214">
      <c r="A3214" s="180"/>
      <c r="B3214" s="19" t="s">
        <v>4071</v>
      </c>
      <c r="C3214" s="20" t="s">
        <v>2036</v>
      </c>
      <c r="D3214" s="47"/>
      <c r="E3214" s="178" t="s">
        <v>15460</v>
      </c>
      <c r="F3214" s="96"/>
      <c r="G3214" s="177">
        <v>1991.0</v>
      </c>
      <c r="H3214" s="178" t="s">
        <v>4733</v>
      </c>
      <c r="I3214" s="179" t="s">
        <v>15461</v>
      </c>
      <c r="J3214" s="22" t="s">
        <v>125</v>
      </c>
      <c r="K3214" s="22"/>
      <c r="L3214" s="167"/>
      <c r="M3214" s="44"/>
      <c r="N3214" s="44"/>
      <c r="O3214" s="44"/>
      <c r="P3214" s="44"/>
      <c r="Q3214" s="44"/>
      <c r="R3214" s="44"/>
      <c r="S3214" s="44"/>
      <c r="T3214" s="45"/>
      <c r="U3214" s="221" t="str">
        <f>HYPERLINK("http://www.sciencedirect.com/science/article/pii/S003194061061694X","Link")</f>
        <v>Link</v>
      </c>
      <c r="V3214" s="50"/>
      <c r="W3214" s="49"/>
      <c r="X3214" s="49"/>
      <c r="Y3214" s="35"/>
      <c r="Z3214" s="35"/>
      <c r="AA3214" s="35"/>
      <c r="AB3214" s="35"/>
      <c r="AC3214" s="35"/>
      <c r="AD3214" s="35"/>
      <c r="AE3214" s="35"/>
      <c r="AF3214" s="35"/>
      <c r="AG3214" s="35"/>
      <c r="AH3214" s="35"/>
      <c r="AI3214" s="35"/>
      <c r="AJ3214" s="35"/>
      <c r="AK3214" s="35"/>
      <c r="AL3214" s="35"/>
    </row>
    <row r="3215">
      <c r="A3215" s="40" t="s">
        <v>2</v>
      </c>
      <c r="B3215" s="19" t="s">
        <v>4071</v>
      </c>
      <c r="C3215" s="20" t="s">
        <v>2036</v>
      </c>
      <c r="D3215" s="47"/>
      <c r="E3215" s="22" t="s">
        <v>15081</v>
      </c>
      <c r="F3215" s="22" t="s">
        <v>5110</v>
      </c>
      <c r="G3215" s="23">
        <v>1990.0</v>
      </c>
      <c r="H3215" s="22" t="s">
        <v>4975</v>
      </c>
      <c r="I3215" s="24" t="s">
        <v>15462</v>
      </c>
      <c r="J3215" s="22" t="s">
        <v>125</v>
      </c>
      <c r="K3215" s="22"/>
      <c r="L3215" s="105" t="s">
        <v>15463</v>
      </c>
      <c r="M3215" s="44"/>
      <c r="N3215" s="44"/>
      <c r="O3215" s="44"/>
      <c r="P3215" s="44"/>
      <c r="Q3215" s="44"/>
      <c r="R3215" s="44"/>
      <c r="S3215" s="44"/>
      <c r="T3215" s="45"/>
      <c r="U3215" s="38" t="str">
        <f>HYPERLINK("https://www.ncbi.nlm.nih.gov/pubmed/2087499","PubMed")</f>
        <v>PubMed</v>
      </c>
      <c r="V3215" s="50"/>
      <c r="W3215" s="49"/>
      <c r="X3215" s="49"/>
      <c r="Y3215" s="35"/>
      <c r="Z3215" s="35"/>
      <c r="AA3215" s="35"/>
      <c r="AB3215" s="35"/>
      <c r="AC3215" s="35"/>
      <c r="AD3215" s="35"/>
      <c r="AE3215" s="35"/>
      <c r="AF3215" s="35"/>
      <c r="AG3215" s="35"/>
      <c r="AH3215" s="35"/>
      <c r="AI3215" s="35"/>
      <c r="AJ3215" s="35"/>
      <c r="AK3215" s="35"/>
      <c r="AL3215" s="35"/>
    </row>
    <row r="3216">
      <c r="A3216" s="180"/>
      <c r="B3216" s="19" t="s">
        <v>4071</v>
      </c>
      <c r="C3216" s="20" t="s">
        <v>2036</v>
      </c>
      <c r="D3216" s="47"/>
      <c r="E3216" s="22" t="s">
        <v>15081</v>
      </c>
      <c r="F3216" s="22" t="s">
        <v>5110</v>
      </c>
      <c r="G3216" s="23">
        <v>1989.0</v>
      </c>
      <c r="H3216" s="22" t="s">
        <v>15464</v>
      </c>
      <c r="I3216" s="24" t="s">
        <v>15465</v>
      </c>
      <c r="J3216" s="22" t="s">
        <v>125</v>
      </c>
      <c r="K3216" s="22"/>
      <c r="L3216" s="105" t="s">
        <v>15466</v>
      </c>
      <c r="M3216" s="44"/>
      <c r="N3216" s="44"/>
      <c r="O3216" s="44"/>
      <c r="P3216" s="44"/>
      <c r="Q3216" s="44"/>
      <c r="R3216" s="44"/>
      <c r="S3216" s="44"/>
      <c r="T3216" s="45"/>
      <c r="U3216" s="38" t="str">
        <f>HYPERLINK("https://www.ncbi.nlm.nih.gov/pubmed/2651364","PubMed")</f>
        <v>PubMed</v>
      </c>
      <c r="V3216" s="50"/>
      <c r="W3216" s="49"/>
      <c r="X3216" s="49"/>
      <c r="Y3216" s="35"/>
      <c r="Z3216" s="35"/>
      <c r="AA3216" s="35"/>
      <c r="AB3216" s="35"/>
      <c r="AC3216" s="35"/>
      <c r="AD3216" s="35"/>
      <c r="AE3216" s="35"/>
      <c r="AF3216" s="35"/>
      <c r="AG3216" s="35"/>
      <c r="AH3216" s="35"/>
      <c r="AI3216" s="35"/>
      <c r="AJ3216" s="35"/>
      <c r="AK3216" s="35"/>
      <c r="AL3216" s="35"/>
    </row>
    <row r="3217">
      <c r="A3217" s="180"/>
      <c r="B3217" s="19" t="s">
        <v>4071</v>
      </c>
      <c r="C3217" s="20" t="s">
        <v>2036</v>
      </c>
      <c r="D3217" s="47"/>
      <c r="E3217" s="22" t="s">
        <v>10422</v>
      </c>
      <c r="F3217" s="22" t="s">
        <v>1426</v>
      </c>
      <c r="G3217" s="23">
        <v>1989.0</v>
      </c>
      <c r="H3217" s="22" t="s">
        <v>15464</v>
      </c>
      <c r="I3217" s="24" t="s">
        <v>15467</v>
      </c>
      <c r="J3217" s="22" t="s">
        <v>125</v>
      </c>
      <c r="K3217" s="22"/>
      <c r="L3217" s="105" t="s">
        <v>15468</v>
      </c>
      <c r="M3217" s="44"/>
      <c r="N3217" s="44"/>
      <c r="O3217" s="44"/>
      <c r="P3217" s="44"/>
      <c r="Q3217" s="44"/>
      <c r="R3217" s="44"/>
      <c r="S3217" s="44"/>
      <c r="T3217" s="45"/>
      <c r="U3217" s="38" t="str">
        <f>HYPERLINK("https://www.ncbi.nlm.nih.gov/pubmed/2651363","PubMed")</f>
        <v>PubMed</v>
      </c>
      <c r="V3217" s="50"/>
      <c r="W3217" s="49"/>
      <c r="X3217" s="49"/>
      <c r="Y3217" s="35"/>
      <c r="Z3217" s="35"/>
      <c r="AA3217" s="35"/>
      <c r="AB3217" s="35"/>
      <c r="AC3217" s="35"/>
      <c r="AD3217" s="35"/>
      <c r="AE3217" s="35"/>
      <c r="AF3217" s="35"/>
      <c r="AG3217" s="35"/>
      <c r="AH3217" s="35"/>
      <c r="AI3217" s="35"/>
      <c r="AJ3217" s="35"/>
      <c r="AK3217" s="35"/>
      <c r="AL3217" s="35"/>
    </row>
    <row r="3218">
      <c r="A3218" s="180"/>
      <c r="B3218" s="19" t="s">
        <v>4071</v>
      </c>
      <c r="C3218" s="20" t="s">
        <v>2036</v>
      </c>
      <c r="D3218" s="47"/>
      <c r="E3218" s="22" t="s">
        <v>15469</v>
      </c>
      <c r="F3218" s="22" t="s">
        <v>14486</v>
      </c>
      <c r="G3218" s="23">
        <v>1989.0</v>
      </c>
      <c r="H3218" s="22" t="s">
        <v>207</v>
      </c>
      <c r="I3218" s="24" t="s">
        <v>15470</v>
      </c>
      <c r="J3218" s="22" t="s">
        <v>15471</v>
      </c>
      <c r="K3218" s="22"/>
      <c r="L3218" s="105" t="s">
        <v>15472</v>
      </c>
      <c r="M3218" s="44"/>
      <c r="N3218" s="44"/>
      <c r="O3218" s="44"/>
      <c r="P3218" s="44"/>
      <c r="Q3218" s="44"/>
      <c r="R3218" s="44"/>
      <c r="S3218" s="44"/>
      <c r="T3218" s="45"/>
      <c r="U3218" s="38" t="str">
        <f>HYPERLINK("https://www.ncbi.nlm.nih.gov/pubmed/2507765","PubMed")</f>
        <v>PubMed</v>
      </c>
      <c r="V3218" s="50"/>
      <c r="W3218" s="49"/>
      <c r="X3218" s="49"/>
      <c r="Y3218" s="35"/>
      <c r="Z3218" s="35"/>
      <c r="AA3218" s="35"/>
      <c r="AB3218" s="35"/>
      <c r="AC3218" s="35"/>
      <c r="AD3218" s="35"/>
      <c r="AE3218" s="35"/>
      <c r="AF3218" s="35"/>
      <c r="AG3218" s="35"/>
      <c r="AH3218" s="35"/>
      <c r="AI3218" s="35"/>
      <c r="AJ3218" s="35"/>
      <c r="AK3218" s="35"/>
      <c r="AL3218" s="35"/>
    </row>
    <row r="3219">
      <c r="A3219" s="180"/>
      <c r="B3219" s="19" t="s">
        <v>4071</v>
      </c>
      <c r="C3219" s="20" t="s">
        <v>2036</v>
      </c>
      <c r="D3219" s="47"/>
      <c r="E3219" s="22" t="s">
        <v>15081</v>
      </c>
      <c r="F3219" s="22" t="s">
        <v>5110</v>
      </c>
      <c r="G3219" s="23">
        <v>1988.0</v>
      </c>
      <c r="H3219" s="22" t="s">
        <v>15473</v>
      </c>
      <c r="I3219" s="24" t="s">
        <v>15474</v>
      </c>
      <c r="J3219" s="22" t="s">
        <v>125</v>
      </c>
      <c r="K3219" s="22" t="s">
        <v>14464</v>
      </c>
      <c r="L3219" s="308" t="s">
        <v>15475</v>
      </c>
      <c r="M3219" s="44"/>
      <c r="N3219" s="44"/>
      <c r="O3219" s="44"/>
      <c r="P3219" s="44"/>
      <c r="Q3219" s="44"/>
      <c r="R3219" s="44"/>
      <c r="S3219" s="44"/>
      <c r="T3219" s="45"/>
      <c r="U3219" s="153" t="str">
        <f>HYPERLINK("https://www.isan.troitsk.ru/dls/publ/73.pdf","PDF")</f>
        <v>PDF</v>
      </c>
      <c r="V3219" s="50"/>
      <c r="W3219" s="49"/>
      <c r="X3219" s="49"/>
      <c r="Y3219" s="35"/>
      <c r="Z3219" s="35"/>
      <c r="AA3219" s="35"/>
      <c r="AB3219" s="35"/>
      <c r="AC3219" s="35"/>
      <c r="AD3219" s="35"/>
      <c r="AE3219" s="35"/>
      <c r="AF3219" s="35"/>
      <c r="AG3219" s="35"/>
      <c r="AH3219" s="35"/>
      <c r="AI3219" s="35"/>
      <c r="AJ3219" s="35"/>
      <c r="AK3219" s="35"/>
      <c r="AL3219" s="35"/>
    </row>
    <row r="3220">
      <c r="A3220" s="180"/>
      <c r="B3220" s="19" t="s">
        <v>4071</v>
      </c>
      <c r="C3220" s="20" t="s">
        <v>2036</v>
      </c>
      <c r="D3220" s="47"/>
      <c r="E3220" s="22" t="s">
        <v>14375</v>
      </c>
      <c r="F3220" s="22" t="s">
        <v>5330</v>
      </c>
      <c r="G3220" s="23">
        <v>1988.0</v>
      </c>
      <c r="H3220" s="22" t="s">
        <v>13641</v>
      </c>
      <c r="I3220" s="24" t="s">
        <v>15476</v>
      </c>
      <c r="J3220" s="22" t="s">
        <v>125</v>
      </c>
      <c r="K3220" s="22"/>
      <c r="L3220" s="307" t="s">
        <v>15477</v>
      </c>
      <c r="M3220" s="44"/>
      <c r="N3220" s="44"/>
      <c r="O3220" s="44"/>
      <c r="P3220" s="44"/>
      <c r="Q3220" s="44"/>
      <c r="R3220" s="44"/>
      <c r="S3220" s="44"/>
      <c r="T3220" s="45"/>
      <c r="U3220" s="153" t="str">
        <f>HYPERLINK("https://www.ncbi.nlm.nih.gov/pubmed/18796988","PubMed")</f>
        <v>PubMed</v>
      </c>
      <c r="V3220" s="50"/>
      <c r="W3220" s="49"/>
      <c r="X3220" s="49"/>
      <c r="Y3220" s="35"/>
      <c r="Z3220" s="35"/>
      <c r="AA3220" s="35"/>
      <c r="AB3220" s="35"/>
      <c r="AC3220" s="35"/>
      <c r="AD3220" s="35"/>
      <c r="AE3220" s="35"/>
      <c r="AF3220" s="35"/>
      <c r="AG3220" s="35"/>
      <c r="AH3220" s="35"/>
      <c r="AI3220" s="35"/>
      <c r="AJ3220" s="35"/>
      <c r="AK3220" s="35"/>
      <c r="AL3220" s="35"/>
    </row>
    <row r="3221">
      <c r="A3221" s="180"/>
      <c r="B3221" s="19" t="s">
        <v>4071</v>
      </c>
      <c r="C3221" s="20" t="s">
        <v>2036</v>
      </c>
      <c r="D3221" s="47"/>
      <c r="E3221" s="22" t="s">
        <v>5109</v>
      </c>
      <c r="F3221" s="22" t="s">
        <v>5110</v>
      </c>
      <c r="G3221" s="23">
        <v>1984.0</v>
      </c>
      <c r="H3221" s="22" t="s">
        <v>15478</v>
      </c>
      <c r="I3221" s="24" t="s">
        <v>15479</v>
      </c>
      <c r="J3221" s="22" t="s">
        <v>125</v>
      </c>
      <c r="K3221" s="22"/>
      <c r="L3221" s="307" t="s">
        <v>15480</v>
      </c>
      <c r="M3221" s="44"/>
      <c r="N3221" s="44"/>
      <c r="O3221" s="44"/>
      <c r="P3221" s="44"/>
      <c r="Q3221" s="44"/>
      <c r="R3221" s="44"/>
      <c r="S3221" s="44"/>
      <c r="T3221" s="45"/>
      <c r="U3221" s="153" t="str">
        <f>HYPERLINK("https://www.hindawi.com/journals/lc/1984/842175/abs/","Hindawi")</f>
        <v>Hindawi</v>
      </c>
      <c r="V3221" s="50"/>
      <c r="W3221" s="49"/>
      <c r="X3221" s="49"/>
      <c r="Y3221" s="35"/>
      <c r="Z3221" s="35"/>
      <c r="AA3221" s="35"/>
      <c r="AB3221" s="35"/>
      <c r="AC3221" s="35"/>
      <c r="AD3221" s="35"/>
      <c r="AE3221" s="35"/>
      <c r="AF3221" s="35"/>
      <c r="AG3221" s="35"/>
      <c r="AH3221" s="35"/>
      <c r="AI3221" s="35"/>
      <c r="AJ3221" s="35"/>
      <c r="AK3221" s="35"/>
      <c r="AL3221" s="35"/>
    </row>
    <row r="3222">
      <c r="A3222" s="180"/>
      <c r="B3222" s="19" t="s">
        <v>4071</v>
      </c>
      <c r="C3222" s="20" t="s">
        <v>2036</v>
      </c>
      <c r="D3222" s="47"/>
      <c r="E3222" s="22" t="s">
        <v>15481</v>
      </c>
      <c r="F3222" s="22" t="s">
        <v>13592</v>
      </c>
      <c r="G3222" s="23">
        <v>1982.0</v>
      </c>
      <c r="H3222" s="22" t="s">
        <v>15482</v>
      </c>
      <c r="I3222" s="24" t="s">
        <v>15483</v>
      </c>
      <c r="J3222" s="22" t="s">
        <v>125</v>
      </c>
      <c r="K3222" s="22"/>
      <c r="L3222" s="307" t="s">
        <v>15484</v>
      </c>
      <c r="M3222" s="44"/>
      <c r="N3222" s="44"/>
      <c r="O3222" s="44"/>
      <c r="P3222" s="44"/>
      <c r="Q3222" s="44"/>
      <c r="R3222" s="44"/>
      <c r="S3222" s="44"/>
      <c r="T3222" s="45"/>
      <c r="U3222" s="153" t="str">
        <f>HYPERLINK("https://www.sciencedirect.com/science/article/pii/0030399282900640","ScienceDirect")</f>
        <v>ScienceDirect</v>
      </c>
      <c r="V3222" s="50"/>
      <c r="W3222" s="49"/>
      <c r="X3222" s="49"/>
      <c r="Y3222" s="35"/>
      <c r="Z3222" s="35"/>
      <c r="AA3222" s="35"/>
      <c r="AB3222" s="35"/>
      <c r="AC3222" s="35"/>
      <c r="AD3222" s="35"/>
      <c r="AE3222" s="35"/>
      <c r="AF3222" s="35"/>
      <c r="AG3222" s="35"/>
      <c r="AH3222" s="35"/>
      <c r="AI3222" s="35"/>
      <c r="AJ3222" s="35"/>
      <c r="AK3222" s="35"/>
      <c r="AL3222" s="35"/>
    </row>
    <row r="3223">
      <c r="A3223" s="180"/>
      <c r="B3223" s="19" t="s">
        <v>4071</v>
      </c>
      <c r="C3223" s="20" t="s">
        <v>2036</v>
      </c>
      <c r="D3223" s="47"/>
      <c r="E3223" s="178" t="s">
        <v>14348</v>
      </c>
      <c r="F3223" s="96"/>
      <c r="G3223" s="177">
        <v>1981.0</v>
      </c>
      <c r="H3223" s="178" t="s">
        <v>5032</v>
      </c>
      <c r="I3223" s="179" t="s">
        <v>15485</v>
      </c>
      <c r="J3223" s="22" t="s">
        <v>125</v>
      </c>
      <c r="K3223" s="22"/>
      <c r="L3223" s="270" t="s">
        <v>15486</v>
      </c>
      <c r="M3223" s="44"/>
      <c r="N3223" s="44"/>
      <c r="O3223" s="44"/>
      <c r="P3223" s="44"/>
      <c r="Q3223" s="44"/>
      <c r="R3223" s="44"/>
      <c r="S3223" s="44"/>
      <c r="T3223" s="45"/>
      <c r="U3223" s="182" t="s">
        <v>20</v>
      </c>
      <c r="V3223" s="50"/>
      <c r="W3223" s="49"/>
      <c r="X3223" s="49"/>
      <c r="Y3223" s="35"/>
      <c r="Z3223" s="35"/>
      <c r="AA3223" s="35"/>
      <c r="AB3223" s="35"/>
      <c r="AC3223" s="35"/>
      <c r="AD3223" s="35"/>
      <c r="AE3223" s="35"/>
      <c r="AF3223" s="35"/>
      <c r="AG3223" s="35"/>
      <c r="AH3223" s="35"/>
      <c r="AI3223" s="35"/>
      <c r="AJ3223" s="35"/>
      <c r="AK3223" s="35"/>
      <c r="AL3223" s="35"/>
    </row>
    <row r="3224">
      <c r="A3224" s="180"/>
      <c r="B3224" s="19" t="s">
        <v>4071</v>
      </c>
      <c r="C3224" s="20" t="s">
        <v>2036</v>
      </c>
      <c r="D3224" s="47"/>
      <c r="E3224" s="22" t="s">
        <v>15487</v>
      </c>
      <c r="F3224" s="22" t="s">
        <v>8378</v>
      </c>
      <c r="G3224" s="309" t="s">
        <v>1773</v>
      </c>
      <c r="H3224" s="178" t="s">
        <v>15488</v>
      </c>
      <c r="I3224" s="179" t="s">
        <v>15489</v>
      </c>
      <c r="J3224" s="22" t="s">
        <v>125</v>
      </c>
      <c r="K3224" s="22" t="s">
        <v>15490</v>
      </c>
      <c r="L3224" s="43"/>
      <c r="M3224" s="44"/>
      <c r="N3224" s="44"/>
      <c r="O3224" s="44"/>
      <c r="P3224" s="44"/>
      <c r="Q3224" s="44"/>
      <c r="R3224" s="44"/>
      <c r="S3224" s="44"/>
      <c r="T3224" s="45"/>
      <c r="U3224" s="38" t="str">
        <f>HYPERLINK("http://www.nick-lane.net/mitochondria.pdf","PDF")</f>
        <v>PDF</v>
      </c>
      <c r="V3224" s="50"/>
      <c r="W3224" s="49"/>
      <c r="X3224" s="49"/>
      <c r="Y3224" s="35"/>
      <c r="Z3224" s="35"/>
      <c r="AA3224" s="35"/>
      <c r="AB3224" s="35"/>
      <c r="AC3224" s="35"/>
      <c r="AD3224" s="35"/>
      <c r="AE3224" s="35"/>
      <c r="AF3224" s="35"/>
      <c r="AG3224" s="35"/>
      <c r="AH3224" s="35"/>
      <c r="AI3224" s="35"/>
      <c r="AJ3224" s="35"/>
      <c r="AK3224" s="35"/>
      <c r="AL3224" s="35"/>
    </row>
    <row r="3225" ht="52.5" customHeight="1">
      <c r="A3225" s="40"/>
      <c r="B3225" s="19" t="s">
        <v>9300</v>
      </c>
      <c r="C3225" s="20" t="s">
        <v>15491</v>
      </c>
      <c r="D3225" s="47"/>
      <c r="E3225" s="56" t="s">
        <v>15492</v>
      </c>
      <c r="F3225" s="22" t="s">
        <v>89</v>
      </c>
      <c r="G3225" s="57">
        <v>2022.0</v>
      </c>
      <c r="H3225" s="22" t="s">
        <v>77</v>
      </c>
      <c r="I3225" s="58" t="s">
        <v>15493</v>
      </c>
      <c r="J3225" s="22" t="s">
        <v>125</v>
      </c>
      <c r="K3225" s="56"/>
      <c r="L3225" s="101" t="s">
        <v>15494</v>
      </c>
      <c r="M3225" s="44"/>
      <c r="N3225" s="44"/>
      <c r="O3225" s="44"/>
      <c r="P3225" s="44"/>
      <c r="Q3225" s="44"/>
      <c r="R3225" s="44"/>
      <c r="S3225" s="44"/>
      <c r="T3225" s="45"/>
      <c r="U3225" s="60" t="s">
        <v>61</v>
      </c>
      <c r="V3225" s="50"/>
      <c r="W3225" s="49"/>
      <c r="X3225" s="49"/>
      <c r="Y3225" s="35"/>
      <c r="Z3225" s="35"/>
      <c r="AA3225" s="35"/>
      <c r="AB3225" s="35"/>
      <c r="AC3225" s="35"/>
      <c r="AD3225" s="35"/>
      <c r="AE3225" s="35"/>
      <c r="AF3225" s="35"/>
      <c r="AG3225" s="35"/>
      <c r="AH3225" s="35"/>
      <c r="AI3225" s="35"/>
      <c r="AJ3225" s="35"/>
      <c r="AK3225" s="35"/>
      <c r="AL3225" s="35"/>
    </row>
    <row r="3226" ht="52.5" customHeight="1">
      <c r="A3226" s="40"/>
      <c r="B3226" s="19" t="s">
        <v>9300</v>
      </c>
      <c r="C3226" s="20" t="s">
        <v>15491</v>
      </c>
      <c r="D3226" s="47"/>
      <c r="E3226" s="56" t="s">
        <v>64</v>
      </c>
      <c r="F3226" s="22" t="s">
        <v>65</v>
      </c>
      <c r="G3226" s="57">
        <v>2021.0</v>
      </c>
      <c r="H3226" s="22" t="s">
        <v>200</v>
      </c>
      <c r="I3226" s="58" t="s">
        <v>15495</v>
      </c>
      <c r="J3226" s="56" t="s">
        <v>44</v>
      </c>
      <c r="K3226" s="56"/>
      <c r="L3226" s="69">
        <v>635.0</v>
      </c>
      <c r="M3226" s="69"/>
      <c r="N3226" s="69" t="s">
        <v>69</v>
      </c>
      <c r="O3226" s="69"/>
      <c r="P3226" s="70" t="s">
        <v>15496</v>
      </c>
      <c r="Q3226" s="69"/>
      <c r="R3226" s="69">
        <v>600.0</v>
      </c>
      <c r="S3226" s="69"/>
      <c r="T3226" s="63" t="s">
        <v>15497</v>
      </c>
      <c r="U3226" s="64" t="s">
        <v>61</v>
      </c>
      <c r="V3226" s="50"/>
      <c r="W3226" s="49"/>
      <c r="X3226" s="49"/>
      <c r="Y3226" s="35"/>
      <c r="Z3226" s="35"/>
      <c r="AA3226" s="35"/>
      <c r="AB3226" s="35"/>
      <c r="AC3226" s="35"/>
      <c r="AD3226" s="35"/>
      <c r="AE3226" s="35"/>
      <c r="AF3226" s="35"/>
      <c r="AG3226" s="35"/>
      <c r="AH3226" s="35"/>
      <c r="AI3226" s="35"/>
      <c r="AJ3226" s="35"/>
      <c r="AK3226" s="35"/>
      <c r="AL3226" s="35"/>
    </row>
    <row r="3227" ht="52.5" customHeight="1">
      <c r="A3227" s="40"/>
      <c r="B3227" s="19" t="s">
        <v>9300</v>
      </c>
      <c r="C3227" s="20" t="s">
        <v>15491</v>
      </c>
      <c r="D3227" s="47"/>
      <c r="E3227" s="56" t="s">
        <v>3317</v>
      </c>
      <c r="F3227" s="22" t="s">
        <v>65</v>
      </c>
      <c r="G3227" s="57">
        <v>2020.0</v>
      </c>
      <c r="H3227" s="22" t="s">
        <v>207</v>
      </c>
      <c r="I3227" s="58" t="s">
        <v>15498</v>
      </c>
      <c r="J3227" s="56" t="s">
        <v>44</v>
      </c>
      <c r="K3227" s="56" t="s">
        <v>15499</v>
      </c>
      <c r="L3227" s="69">
        <v>635.0</v>
      </c>
      <c r="M3227" s="69"/>
      <c r="N3227" s="69"/>
      <c r="O3227" s="69"/>
      <c r="P3227" s="70" t="s">
        <v>70</v>
      </c>
      <c r="Q3227" s="69"/>
      <c r="R3227" s="69"/>
      <c r="S3227" s="69"/>
      <c r="T3227" s="63" t="s">
        <v>15500</v>
      </c>
      <c r="U3227" s="64" t="s">
        <v>61</v>
      </c>
      <c r="V3227" s="50"/>
      <c r="W3227" s="49"/>
      <c r="X3227" s="49"/>
      <c r="Y3227" s="35"/>
      <c r="Z3227" s="35"/>
      <c r="AA3227" s="35"/>
      <c r="AB3227" s="35"/>
      <c r="AC3227" s="35"/>
      <c r="AD3227" s="35"/>
      <c r="AE3227" s="35"/>
      <c r="AF3227" s="35"/>
      <c r="AG3227" s="35"/>
      <c r="AH3227" s="35"/>
      <c r="AI3227" s="35"/>
      <c r="AJ3227" s="35"/>
      <c r="AK3227" s="35"/>
      <c r="AL3227" s="35"/>
    </row>
    <row r="3228" ht="52.5" customHeight="1">
      <c r="A3228" s="40" t="s">
        <v>2</v>
      </c>
      <c r="B3228" s="19" t="s">
        <v>9300</v>
      </c>
      <c r="C3228" s="20" t="s">
        <v>15491</v>
      </c>
      <c r="D3228" s="47"/>
      <c r="E3228" s="56" t="s">
        <v>88</v>
      </c>
      <c r="F3228" s="22" t="s">
        <v>89</v>
      </c>
      <c r="G3228" s="57" t="s">
        <v>76</v>
      </c>
      <c r="H3228" s="22" t="s">
        <v>42</v>
      </c>
      <c r="I3228" s="58" t="s">
        <v>15501</v>
      </c>
      <c r="J3228" s="56" t="s">
        <v>44</v>
      </c>
      <c r="K3228" s="56" t="s">
        <v>15502</v>
      </c>
      <c r="L3228" s="69">
        <v>630.0</v>
      </c>
      <c r="M3228" s="69">
        <v>300.0</v>
      </c>
      <c r="N3228" s="69"/>
      <c r="O3228" s="69">
        <v>60.0</v>
      </c>
      <c r="P3228" s="70" t="s">
        <v>15503</v>
      </c>
      <c r="Q3228" s="69" t="s">
        <v>15504</v>
      </c>
      <c r="R3228" s="69" t="s">
        <v>15505</v>
      </c>
      <c r="S3228" s="69">
        <v>20.0</v>
      </c>
      <c r="T3228" s="63" t="s">
        <v>15506</v>
      </c>
      <c r="U3228" s="66" t="str">
        <f>HYPERLINK("https://www.ncbi.nlm.nih.gov/pubmed/31707768","PubMed")</f>
        <v>PubMed</v>
      </c>
      <c r="V3228" s="50"/>
      <c r="W3228" s="49"/>
      <c r="X3228" s="49"/>
      <c r="Y3228" s="35"/>
      <c r="Z3228" s="35"/>
      <c r="AA3228" s="35"/>
      <c r="AB3228" s="35"/>
      <c r="AC3228" s="35"/>
      <c r="AD3228" s="35"/>
      <c r="AE3228" s="35"/>
      <c r="AF3228" s="35"/>
      <c r="AG3228" s="35"/>
      <c r="AH3228" s="35"/>
      <c r="AI3228" s="35"/>
      <c r="AJ3228" s="35"/>
      <c r="AK3228" s="35"/>
      <c r="AL3228" s="35"/>
    </row>
    <row r="3229" ht="52.5" customHeight="1">
      <c r="A3229" s="40"/>
      <c r="B3229" s="19" t="s">
        <v>9300</v>
      </c>
      <c r="C3229" s="20" t="s">
        <v>15507</v>
      </c>
      <c r="D3229" s="47"/>
      <c r="E3229" s="56" t="s">
        <v>15508</v>
      </c>
      <c r="F3229" s="22" t="s">
        <v>41</v>
      </c>
      <c r="G3229" s="57">
        <v>2022.0</v>
      </c>
      <c r="H3229" s="22" t="s">
        <v>91</v>
      </c>
      <c r="I3229" s="58" t="s">
        <v>15509</v>
      </c>
      <c r="J3229" s="22" t="s">
        <v>125</v>
      </c>
      <c r="K3229" s="56"/>
      <c r="L3229" s="71" t="s">
        <v>15510</v>
      </c>
      <c r="U3229" s="60" t="s">
        <v>61</v>
      </c>
      <c r="V3229" s="50"/>
      <c r="W3229" s="49"/>
      <c r="X3229" s="49"/>
      <c r="Y3229" s="35"/>
      <c r="Z3229" s="35"/>
      <c r="AA3229" s="35"/>
      <c r="AB3229" s="35"/>
      <c r="AC3229" s="35"/>
      <c r="AD3229" s="35"/>
      <c r="AE3229" s="35"/>
      <c r="AF3229" s="35"/>
      <c r="AG3229" s="35"/>
      <c r="AH3229" s="35"/>
      <c r="AI3229" s="35"/>
      <c r="AJ3229" s="35"/>
      <c r="AK3229" s="35"/>
      <c r="AL3229" s="35"/>
    </row>
    <row r="3230" ht="52.5" customHeight="1">
      <c r="A3230" s="40"/>
      <c r="B3230" s="19" t="s">
        <v>9300</v>
      </c>
      <c r="C3230" s="20" t="s">
        <v>3714</v>
      </c>
      <c r="D3230" s="47"/>
      <c r="E3230" s="56" t="s">
        <v>88</v>
      </c>
      <c r="F3230" s="22" t="s">
        <v>15511</v>
      </c>
      <c r="G3230" s="57">
        <v>2023.0</v>
      </c>
      <c r="H3230" s="22" t="s">
        <v>91</v>
      </c>
      <c r="I3230" s="58" t="s">
        <v>15512</v>
      </c>
      <c r="J3230" s="56" t="s">
        <v>44</v>
      </c>
      <c r="K3230" s="56" t="s">
        <v>157</v>
      </c>
      <c r="L3230" s="69">
        <v>660.0</v>
      </c>
      <c r="M3230" s="69"/>
      <c r="N3230" s="69" t="s">
        <v>15513</v>
      </c>
      <c r="O3230" s="69"/>
      <c r="P3230" s="70" t="s">
        <v>15514</v>
      </c>
      <c r="Q3230" s="69"/>
      <c r="R3230" s="69">
        <v>120.0</v>
      </c>
      <c r="S3230" s="69" t="s">
        <v>15515</v>
      </c>
      <c r="T3230" s="63" t="s">
        <v>15516</v>
      </c>
      <c r="U3230" s="60" t="s">
        <v>61</v>
      </c>
      <c r="V3230" s="50"/>
      <c r="W3230" s="49"/>
      <c r="X3230" s="49"/>
      <c r="Y3230" s="35"/>
      <c r="Z3230" s="35"/>
      <c r="AA3230" s="35"/>
      <c r="AB3230" s="35"/>
      <c r="AC3230" s="35"/>
      <c r="AD3230" s="35"/>
      <c r="AE3230" s="35"/>
      <c r="AF3230" s="35"/>
      <c r="AG3230" s="35"/>
      <c r="AH3230" s="35"/>
      <c r="AI3230" s="35"/>
      <c r="AJ3230" s="35"/>
      <c r="AK3230" s="35"/>
      <c r="AL3230" s="35"/>
    </row>
    <row r="3231" ht="52.5" customHeight="1">
      <c r="A3231" s="39" t="s">
        <v>181</v>
      </c>
      <c r="B3231" s="19" t="s">
        <v>9300</v>
      </c>
      <c r="C3231" s="20" t="s">
        <v>15517</v>
      </c>
      <c r="D3231" s="47"/>
      <c r="E3231" s="56" t="s">
        <v>15518</v>
      </c>
      <c r="F3231" s="22" t="s">
        <v>332</v>
      </c>
      <c r="G3231" s="57">
        <v>2022.0</v>
      </c>
      <c r="H3231" s="22" t="s">
        <v>1969</v>
      </c>
      <c r="I3231" s="58" t="s">
        <v>15519</v>
      </c>
      <c r="J3231" s="56" t="s">
        <v>15520</v>
      </c>
      <c r="K3231" s="56"/>
      <c r="L3231" s="69" t="s">
        <v>58</v>
      </c>
      <c r="M3231" s="69" t="s">
        <v>58</v>
      </c>
      <c r="N3231" s="69" t="s">
        <v>58</v>
      </c>
      <c r="O3231" s="69" t="s">
        <v>58</v>
      </c>
      <c r="P3231" s="70" t="s">
        <v>58</v>
      </c>
      <c r="Q3231" s="69" t="s">
        <v>58</v>
      </c>
      <c r="R3231" s="69" t="s">
        <v>58</v>
      </c>
      <c r="S3231" s="69" t="s">
        <v>58</v>
      </c>
      <c r="T3231" s="63" t="s">
        <v>15521</v>
      </c>
      <c r="U3231" s="64" t="s">
        <v>61</v>
      </c>
      <c r="V3231" s="30" t="s">
        <v>15522</v>
      </c>
      <c r="W3231" s="49"/>
      <c r="X3231" s="49"/>
      <c r="Y3231" s="35"/>
      <c r="Z3231" s="35"/>
      <c r="AA3231" s="35"/>
      <c r="AB3231" s="35"/>
      <c r="AC3231" s="35"/>
      <c r="AD3231" s="35"/>
      <c r="AE3231" s="35"/>
      <c r="AF3231" s="35"/>
      <c r="AG3231" s="35"/>
      <c r="AH3231" s="35"/>
      <c r="AI3231" s="35"/>
      <c r="AJ3231" s="35"/>
      <c r="AK3231" s="35"/>
      <c r="AL3231" s="35"/>
    </row>
    <row r="3232" ht="52.5" customHeight="1">
      <c r="A3232" s="40" t="s">
        <v>2</v>
      </c>
      <c r="B3232" s="19" t="s">
        <v>15523</v>
      </c>
      <c r="C3232" s="20" t="s">
        <v>15524</v>
      </c>
      <c r="D3232" s="47"/>
      <c r="E3232" s="56" t="s">
        <v>15525</v>
      </c>
      <c r="F3232" s="22" t="s">
        <v>14812</v>
      </c>
      <c r="G3232" s="57">
        <v>2019.0</v>
      </c>
      <c r="H3232" s="22" t="s">
        <v>207</v>
      </c>
      <c r="I3232" s="58" t="s">
        <v>15526</v>
      </c>
      <c r="J3232" s="56" t="s">
        <v>15527</v>
      </c>
      <c r="K3232" s="56" t="s">
        <v>15528</v>
      </c>
      <c r="L3232" s="69" t="s">
        <v>15529</v>
      </c>
      <c r="M3232" s="69"/>
      <c r="N3232" s="69"/>
      <c r="O3232" s="69"/>
      <c r="P3232" s="70"/>
      <c r="Q3232" s="69"/>
      <c r="R3232" s="69"/>
      <c r="S3232" s="69"/>
      <c r="T3232" s="63" t="s">
        <v>15530</v>
      </c>
      <c r="U3232" s="66" t="str">
        <f>HYPERLINK("https://www.ncbi.nlm.nih.gov/pubmed/31536925","PubMed")</f>
        <v>PubMed</v>
      </c>
      <c r="V3232" s="50"/>
      <c r="W3232" s="49"/>
      <c r="X3232" s="49"/>
      <c r="Y3232" s="35"/>
      <c r="Z3232" s="35"/>
      <c r="AA3232" s="35"/>
      <c r="AB3232" s="35"/>
      <c r="AC3232" s="35"/>
      <c r="AD3232" s="35"/>
      <c r="AE3232" s="35"/>
      <c r="AF3232" s="35"/>
      <c r="AG3232" s="35"/>
      <c r="AH3232" s="35"/>
      <c r="AI3232" s="35"/>
      <c r="AJ3232" s="35"/>
      <c r="AK3232" s="35"/>
      <c r="AL3232" s="35"/>
    </row>
    <row r="3233" ht="52.5" customHeight="1">
      <c r="A3233" s="55"/>
      <c r="B3233" s="19" t="s">
        <v>15523</v>
      </c>
      <c r="C3233" s="20" t="s">
        <v>12419</v>
      </c>
      <c r="D3233" s="47"/>
      <c r="E3233" s="56" t="s">
        <v>10681</v>
      </c>
      <c r="F3233" s="22" t="s">
        <v>993</v>
      </c>
      <c r="G3233" s="57">
        <v>2021.0</v>
      </c>
      <c r="H3233" s="22" t="s">
        <v>91</v>
      </c>
      <c r="I3233" s="58" t="s">
        <v>15531</v>
      </c>
      <c r="J3233" s="22" t="s">
        <v>125</v>
      </c>
      <c r="K3233" s="56"/>
      <c r="L3233" s="88" t="s">
        <v>15532</v>
      </c>
      <c r="M3233" s="44"/>
      <c r="N3233" s="44"/>
      <c r="O3233" s="44"/>
      <c r="P3233" s="44"/>
      <c r="Q3233" s="44"/>
      <c r="R3233" s="44"/>
      <c r="S3233" s="44"/>
      <c r="T3233" s="45"/>
      <c r="U3233" s="64" t="s">
        <v>61</v>
      </c>
      <c r="V3233" s="50"/>
      <c r="W3233" s="49"/>
      <c r="X3233" s="49"/>
      <c r="Y3233" s="35"/>
      <c r="Z3233" s="35"/>
      <c r="AA3233" s="35"/>
      <c r="AB3233" s="35"/>
      <c r="AC3233" s="35"/>
      <c r="AD3233" s="35"/>
      <c r="AE3233" s="35"/>
      <c r="AF3233" s="35"/>
      <c r="AG3233" s="35"/>
      <c r="AH3233" s="35"/>
      <c r="AI3233" s="35"/>
      <c r="AJ3233" s="35"/>
      <c r="AK3233" s="35"/>
      <c r="AL3233" s="35"/>
    </row>
    <row r="3234" ht="52.5" customHeight="1">
      <c r="A3234" s="55"/>
      <c r="B3234" s="19" t="s">
        <v>15523</v>
      </c>
      <c r="C3234" s="20" t="s">
        <v>12419</v>
      </c>
      <c r="D3234" s="47"/>
      <c r="E3234" s="56" t="s">
        <v>493</v>
      </c>
      <c r="F3234" s="22" t="s">
        <v>299</v>
      </c>
      <c r="G3234" s="57">
        <v>2022.0</v>
      </c>
      <c r="H3234" s="22" t="s">
        <v>15533</v>
      </c>
      <c r="I3234" s="58" t="s">
        <v>15534</v>
      </c>
      <c r="J3234" s="56" t="s">
        <v>15535</v>
      </c>
      <c r="K3234" s="56"/>
      <c r="L3234" s="69" t="s">
        <v>15536</v>
      </c>
      <c r="M3234" s="69"/>
      <c r="N3234" s="69"/>
      <c r="O3234" s="69"/>
      <c r="P3234" s="70"/>
      <c r="Q3234" s="69"/>
      <c r="R3234" s="69"/>
      <c r="S3234" s="69"/>
      <c r="T3234" s="63" t="s">
        <v>15537</v>
      </c>
      <c r="U3234" s="60" t="s">
        <v>61</v>
      </c>
      <c r="V3234" s="50"/>
      <c r="W3234" s="49"/>
      <c r="X3234" s="49"/>
      <c r="Y3234" s="35"/>
      <c r="Z3234" s="35"/>
      <c r="AA3234" s="35"/>
      <c r="AB3234" s="35"/>
      <c r="AC3234" s="35"/>
      <c r="AD3234" s="35"/>
      <c r="AE3234" s="35"/>
      <c r="AF3234" s="35"/>
      <c r="AG3234" s="35"/>
      <c r="AH3234" s="35"/>
      <c r="AI3234" s="35"/>
      <c r="AJ3234" s="35"/>
      <c r="AK3234" s="35"/>
      <c r="AL3234" s="35"/>
    </row>
    <row r="3235" ht="52.5" customHeight="1">
      <c r="A3235" s="55"/>
      <c r="B3235" s="19" t="s">
        <v>15523</v>
      </c>
      <c r="C3235" s="20" t="s">
        <v>15538</v>
      </c>
      <c r="D3235" s="47"/>
      <c r="E3235" s="56" t="s">
        <v>6044</v>
      </c>
      <c r="F3235" s="22" t="s">
        <v>2437</v>
      </c>
      <c r="G3235" s="57">
        <v>2006.0</v>
      </c>
      <c r="H3235" s="22" t="s">
        <v>15539</v>
      </c>
      <c r="I3235" s="58" t="s">
        <v>15540</v>
      </c>
      <c r="J3235" s="56" t="s">
        <v>15541</v>
      </c>
      <c r="K3235" s="56" t="s">
        <v>15542</v>
      </c>
      <c r="L3235" s="69">
        <v>633.0</v>
      </c>
      <c r="M3235" s="69" t="s">
        <v>15543</v>
      </c>
      <c r="N3235" s="69"/>
      <c r="O3235" s="69"/>
      <c r="P3235" s="70"/>
      <c r="Q3235" s="69"/>
      <c r="R3235" s="69"/>
      <c r="S3235" s="69"/>
      <c r="T3235" s="63" t="s">
        <v>15544</v>
      </c>
      <c r="U3235" s="66" t="str">
        <f>HYPERLINK("https://www.ncbi.nlm.nih.gov/pubmed/16730779","PubMed")</f>
        <v>PubMed</v>
      </c>
      <c r="V3235" s="50"/>
      <c r="W3235" s="49"/>
      <c r="X3235" s="49"/>
      <c r="Y3235" s="35"/>
      <c r="Z3235" s="35"/>
      <c r="AA3235" s="35"/>
      <c r="AB3235" s="35"/>
      <c r="AC3235" s="35"/>
      <c r="AD3235" s="35"/>
      <c r="AE3235" s="35"/>
      <c r="AF3235" s="35"/>
      <c r="AG3235" s="35"/>
      <c r="AH3235" s="35"/>
      <c r="AI3235" s="35"/>
      <c r="AJ3235" s="35"/>
      <c r="AK3235" s="35"/>
      <c r="AL3235" s="35"/>
    </row>
    <row r="3236" ht="52.5" customHeight="1">
      <c r="A3236" s="55"/>
      <c r="B3236" s="19" t="s">
        <v>15523</v>
      </c>
      <c r="C3236" s="20" t="s">
        <v>15545</v>
      </c>
      <c r="D3236" s="47"/>
      <c r="E3236" s="56" t="s">
        <v>312</v>
      </c>
      <c r="F3236" s="22" t="s">
        <v>2437</v>
      </c>
      <c r="G3236" s="57">
        <v>2008.0</v>
      </c>
      <c r="H3236" s="22" t="s">
        <v>15546</v>
      </c>
      <c r="I3236" s="58" t="s">
        <v>15547</v>
      </c>
      <c r="J3236" s="56" t="s">
        <v>15548</v>
      </c>
      <c r="K3236" s="56" t="s">
        <v>15542</v>
      </c>
      <c r="L3236" s="69">
        <v>633.0</v>
      </c>
      <c r="M3236" s="69"/>
      <c r="N3236" s="69"/>
      <c r="O3236" s="69"/>
      <c r="P3236" s="70"/>
      <c r="Q3236" s="69"/>
      <c r="R3236" s="69"/>
      <c r="S3236" s="69"/>
      <c r="T3236" s="63" t="s">
        <v>15549</v>
      </c>
      <c r="U3236" s="66" t="str">
        <f>HYPERLINK("https://www.sciencedirect.com/science/article/pii/S0360319907005277","ScienceDirect")</f>
        <v>ScienceDirect</v>
      </c>
      <c r="V3236" s="50"/>
      <c r="W3236" s="49"/>
      <c r="X3236" s="49"/>
      <c r="Y3236" s="35"/>
      <c r="Z3236" s="35"/>
      <c r="AA3236" s="35"/>
      <c r="AB3236" s="35"/>
      <c r="AC3236" s="35"/>
      <c r="AD3236" s="35"/>
      <c r="AE3236" s="35"/>
      <c r="AF3236" s="35"/>
      <c r="AG3236" s="35"/>
      <c r="AH3236" s="35"/>
      <c r="AI3236" s="35"/>
      <c r="AJ3236" s="35"/>
      <c r="AK3236" s="35"/>
      <c r="AL3236" s="35"/>
    </row>
    <row r="3237" ht="52.5" customHeight="1">
      <c r="A3237" s="55"/>
      <c r="B3237" s="19" t="s">
        <v>15523</v>
      </c>
      <c r="C3237" s="20" t="s">
        <v>15550</v>
      </c>
      <c r="D3237" s="47"/>
      <c r="E3237" s="56" t="s">
        <v>15551</v>
      </c>
      <c r="F3237" s="22" t="s">
        <v>993</v>
      </c>
      <c r="G3237" s="57">
        <v>2019.0</v>
      </c>
      <c r="H3237" s="22" t="s">
        <v>147</v>
      </c>
      <c r="I3237" s="58" t="s">
        <v>15552</v>
      </c>
      <c r="J3237" s="56" t="s">
        <v>15553</v>
      </c>
      <c r="K3237" s="56"/>
      <c r="L3237" s="69" t="s">
        <v>5357</v>
      </c>
      <c r="M3237" s="69"/>
      <c r="N3237" s="69"/>
      <c r="O3237" s="69"/>
      <c r="P3237" s="70"/>
      <c r="Q3237" s="69"/>
      <c r="R3237" s="69"/>
      <c r="S3237" s="69"/>
      <c r="T3237" s="74" t="s">
        <v>15554</v>
      </c>
      <c r="U3237" s="66" t="str">
        <f>HYPERLINK("https://www.ncbi.nlm.nih.gov/pubmed/31749939","PubMed")</f>
        <v>PubMed</v>
      </c>
      <c r="V3237" s="50"/>
      <c r="W3237" s="49"/>
      <c r="X3237" s="49"/>
      <c r="Y3237" s="35"/>
      <c r="Z3237" s="35"/>
      <c r="AA3237" s="35"/>
      <c r="AB3237" s="35"/>
      <c r="AC3237" s="35"/>
      <c r="AD3237" s="35"/>
      <c r="AE3237" s="35"/>
      <c r="AF3237" s="35"/>
      <c r="AG3237" s="35"/>
      <c r="AH3237" s="35"/>
      <c r="AI3237" s="35"/>
      <c r="AJ3237" s="35"/>
      <c r="AK3237" s="35"/>
      <c r="AL3237" s="35"/>
    </row>
    <row r="3238" ht="52.5" customHeight="1">
      <c r="A3238" s="55"/>
      <c r="B3238" s="19" t="s">
        <v>15523</v>
      </c>
      <c r="C3238" s="20" t="s">
        <v>15550</v>
      </c>
      <c r="D3238" s="47"/>
      <c r="E3238" s="56" t="s">
        <v>15555</v>
      </c>
      <c r="F3238" s="22" t="s">
        <v>993</v>
      </c>
      <c r="G3238" s="57">
        <v>2016.0</v>
      </c>
      <c r="H3238" s="22" t="s">
        <v>967</v>
      </c>
      <c r="I3238" s="58" t="s">
        <v>15556</v>
      </c>
      <c r="J3238" s="56" t="s">
        <v>15553</v>
      </c>
      <c r="K3238" s="56" t="s">
        <v>294</v>
      </c>
      <c r="L3238" s="69" t="s">
        <v>5357</v>
      </c>
      <c r="M3238" s="69"/>
      <c r="N3238" s="69"/>
      <c r="O3238" s="69"/>
      <c r="P3238" s="70"/>
      <c r="Q3238" s="69"/>
      <c r="R3238" s="69"/>
      <c r="S3238" s="69"/>
      <c r="T3238" s="74" t="s">
        <v>15557</v>
      </c>
      <c r="U3238" s="66" t="str">
        <f>HYPERLINK("http://iopscience.iop.org/article/10.1088/1612-2011/13/11/115602/meta","IOP")</f>
        <v>IOP</v>
      </c>
      <c r="V3238" s="50"/>
      <c r="W3238" s="49"/>
      <c r="X3238" s="49"/>
      <c r="Y3238" s="35"/>
      <c r="Z3238" s="35"/>
      <c r="AA3238" s="35"/>
      <c r="AB3238" s="35"/>
      <c r="AC3238" s="35"/>
      <c r="AD3238" s="35"/>
      <c r="AE3238" s="35"/>
      <c r="AF3238" s="35"/>
      <c r="AG3238" s="35"/>
      <c r="AH3238" s="35"/>
      <c r="AI3238" s="35"/>
      <c r="AJ3238" s="35"/>
      <c r="AK3238" s="35"/>
      <c r="AL3238" s="35"/>
    </row>
    <row r="3239" ht="52.5" customHeight="1">
      <c r="A3239" s="55"/>
      <c r="B3239" s="19" t="s">
        <v>15523</v>
      </c>
      <c r="C3239" s="20" t="s">
        <v>15550</v>
      </c>
      <c r="D3239" s="47"/>
      <c r="E3239" s="56" t="s">
        <v>15558</v>
      </c>
      <c r="F3239" s="22" t="s">
        <v>7679</v>
      </c>
      <c r="G3239" s="57">
        <v>2013.0</v>
      </c>
      <c r="H3239" s="22" t="s">
        <v>967</v>
      </c>
      <c r="I3239" s="58" t="s">
        <v>15559</v>
      </c>
      <c r="J3239" s="56" t="s">
        <v>15553</v>
      </c>
      <c r="K3239" s="56"/>
      <c r="L3239" s="69">
        <v>633.0</v>
      </c>
      <c r="M3239" s="69"/>
      <c r="N3239" s="69"/>
      <c r="O3239" s="69"/>
      <c r="P3239" s="70"/>
      <c r="Q3239" s="69"/>
      <c r="R3239" s="69"/>
      <c r="S3239" s="69"/>
      <c r="T3239" s="74" t="s">
        <v>15560</v>
      </c>
      <c r="U3239" s="66" t="str">
        <f>HYPERLINK("http://iopscience.iop.org/article/10.1088/1054-660X/23/7/075602/meta","IOP")</f>
        <v>IOP</v>
      </c>
      <c r="V3239" s="50"/>
      <c r="W3239" s="49"/>
      <c r="X3239" s="49"/>
      <c r="Y3239" s="35"/>
      <c r="Z3239" s="35"/>
      <c r="AA3239" s="35"/>
      <c r="AB3239" s="35"/>
      <c r="AC3239" s="35"/>
      <c r="AD3239" s="35"/>
      <c r="AE3239" s="35"/>
      <c r="AF3239" s="35"/>
      <c r="AG3239" s="35"/>
      <c r="AH3239" s="35"/>
      <c r="AI3239" s="35"/>
      <c r="AJ3239" s="35"/>
      <c r="AK3239" s="35"/>
      <c r="AL3239" s="35"/>
    </row>
    <row r="3240" ht="52.5" customHeight="1">
      <c r="A3240" s="55"/>
      <c r="B3240" s="19" t="s">
        <v>15523</v>
      </c>
      <c r="C3240" s="20" t="s">
        <v>15550</v>
      </c>
      <c r="D3240" s="47"/>
      <c r="E3240" s="56" t="s">
        <v>15561</v>
      </c>
      <c r="F3240" s="22" t="s">
        <v>12141</v>
      </c>
      <c r="G3240" s="57">
        <v>2003.0</v>
      </c>
      <c r="H3240" s="22" t="s">
        <v>207</v>
      </c>
      <c r="I3240" s="58" t="s">
        <v>15562</v>
      </c>
      <c r="J3240" s="56" t="s">
        <v>15553</v>
      </c>
      <c r="K3240" s="56" t="s">
        <v>15563</v>
      </c>
      <c r="L3240" s="69">
        <v>633.0</v>
      </c>
      <c r="M3240" s="69"/>
      <c r="N3240" s="69"/>
      <c r="O3240" s="69"/>
      <c r="P3240" s="70"/>
      <c r="Q3240" s="69"/>
      <c r="R3240" s="69"/>
      <c r="S3240" s="69"/>
      <c r="T3240" s="63" t="s">
        <v>15564</v>
      </c>
      <c r="U3240" s="66" t="str">
        <f>HYPERLINK("https://www.ncbi.nlm.nih.gov/pubmed/12695030","PubMed")</f>
        <v>PubMed</v>
      </c>
      <c r="V3240" s="50"/>
      <c r="W3240" s="49"/>
      <c r="X3240" s="49"/>
      <c r="Y3240" s="35"/>
      <c r="Z3240" s="35"/>
      <c r="AA3240" s="35"/>
      <c r="AB3240" s="35"/>
      <c r="AC3240" s="35"/>
      <c r="AD3240" s="35"/>
      <c r="AE3240" s="35"/>
      <c r="AF3240" s="35"/>
      <c r="AG3240" s="35"/>
      <c r="AH3240" s="35"/>
      <c r="AI3240" s="35"/>
      <c r="AJ3240" s="35"/>
      <c r="AK3240" s="35"/>
      <c r="AL3240" s="35"/>
    </row>
    <row r="3241" ht="52.5" customHeight="1">
      <c r="A3241" s="55"/>
      <c r="B3241" s="19" t="s">
        <v>15523</v>
      </c>
      <c r="C3241" s="20" t="s">
        <v>15550</v>
      </c>
      <c r="D3241" s="47"/>
      <c r="E3241" s="56" t="s">
        <v>14129</v>
      </c>
      <c r="F3241" s="22" t="s">
        <v>12141</v>
      </c>
      <c r="G3241" s="57">
        <v>2001.0</v>
      </c>
      <c r="H3241" s="22" t="s">
        <v>207</v>
      </c>
      <c r="I3241" s="58" t="s">
        <v>15565</v>
      </c>
      <c r="J3241" s="56" t="s">
        <v>15553</v>
      </c>
      <c r="K3241" s="56"/>
      <c r="L3241" s="69">
        <v>633.0</v>
      </c>
      <c r="M3241" s="69"/>
      <c r="N3241" s="69"/>
      <c r="O3241" s="69"/>
      <c r="P3241" s="70"/>
      <c r="Q3241" s="69"/>
      <c r="R3241" s="69"/>
      <c r="S3241" s="69"/>
      <c r="T3241" s="63" t="s">
        <v>15566</v>
      </c>
      <c r="U3241" s="66" t="str">
        <f>HYPERLINK("https://www.ncbi.nlm.nih.gov/pubmed/11470570","PubMed")</f>
        <v>PubMed</v>
      </c>
      <c r="V3241" s="50"/>
      <c r="W3241" s="49"/>
      <c r="X3241" s="49"/>
      <c r="Y3241" s="35"/>
      <c r="Z3241" s="35"/>
      <c r="AA3241" s="35"/>
      <c r="AB3241" s="35"/>
      <c r="AC3241" s="35"/>
      <c r="AD3241" s="35"/>
      <c r="AE3241" s="35"/>
      <c r="AF3241" s="35"/>
      <c r="AG3241" s="35"/>
      <c r="AH3241" s="35"/>
      <c r="AI3241" s="35"/>
      <c r="AJ3241" s="35"/>
      <c r="AK3241" s="35"/>
      <c r="AL3241" s="35"/>
    </row>
    <row r="3242" ht="52.5" customHeight="1">
      <c r="A3242" s="55"/>
      <c r="B3242" s="19" t="s">
        <v>15523</v>
      </c>
      <c r="C3242" s="20" t="s">
        <v>15550</v>
      </c>
      <c r="D3242" s="47"/>
      <c r="E3242" s="56" t="s">
        <v>15567</v>
      </c>
      <c r="F3242" s="22" t="s">
        <v>993</v>
      </c>
      <c r="G3242" s="57">
        <v>2000.0</v>
      </c>
      <c r="H3242" s="22" t="s">
        <v>207</v>
      </c>
      <c r="I3242" s="58" t="s">
        <v>15568</v>
      </c>
      <c r="J3242" s="56" t="s">
        <v>15553</v>
      </c>
      <c r="K3242" s="56" t="s">
        <v>15569</v>
      </c>
      <c r="L3242" s="69" t="s">
        <v>15570</v>
      </c>
      <c r="M3242" s="69"/>
      <c r="N3242" s="69"/>
      <c r="O3242" s="69"/>
      <c r="P3242" s="70"/>
      <c r="Q3242" s="69"/>
      <c r="R3242" s="69"/>
      <c r="S3242" s="69"/>
      <c r="T3242" s="63" t="s">
        <v>15571</v>
      </c>
      <c r="U3242" s="66" t="str">
        <f>HYPERLINK("https://www.ncbi.nlm.nih.gov/pubmed/10836546","PubMed")</f>
        <v>PubMed</v>
      </c>
      <c r="V3242" s="50"/>
      <c r="W3242" s="49"/>
      <c r="X3242" s="49"/>
      <c r="Y3242" s="35"/>
      <c r="Z3242" s="35"/>
      <c r="AA3242" s="35"/>
      <c r="AB3242" s="35"/>
      <c r="AC3242" s="35"/>
      <c r="AD3242" s="35"/>
      <c r="AE3242" s="35"/>
      <c r="AF3242" s="35"/>
      <c r="AG3242" s="35"/>
      <c r="AH3242" s="35"/>
      <c r="AI3242" s="35"/>
      <c r="AJ3242" s="35"/>
      <c r="AK3242" s="35"/>
      <c r="AL3242" s="35"/>
    </row>
    <row r="3243" ht="52.5" customHeight="1">
      <c r="A3243" s="55"/>
      <c r="B3243" s="19" t="s">
        <v>15523</v>
      </c>
      <c r="C3243" s="20" t="s">
        <v>15550</v>
      </c>
      <c r="D3243" s="47"/>
      <c r="E3243" s="56" t="s">
        <v>14129</v>
      </c>
      <c r="F3243" s="22" t="s">
        <v>12141</v>
      </c>
      <c r="G3243" s="57">
        <v>2000.0</v>
      </c>
      <c r="H3243" s="22" t="s">
        <v>15572</v>
      </c>
      <c r="I3243" s="58" t="s">
        <v>15573</v>
      </c>
      <c r="J3243" s="56" t="s">
        <v>15553</v>
      </c>
      <c r="K3243" s="56" t="s">
        <v>15574</v>
      </c>
      <c r="L3243" s="69">
        <v>633.0</v>
      </c>
      <c r="M3243" s="69"/>
      <c r="N3243" s="69"/>
      <c r="O3243" s="69"/>
      <c r="P3243" s="70"/>
      <c r="Q3243" s="69"/>
      <c r="R3243" s="69"/>
      <c r="S3243" s="69"/>
      <c r="T3243" s="63" t="s">
        <v>15575</v>
      </c>
      <c r="U3243" s="66" t="str">
        <f>HYPERLINK("https://www.ncbi.nlm.nih.gov/pubmed/10629617","PubMed")</f>
        <v>PubMed</v>
      </c>
      <c r="V3243" s="50"/>
      <c r="W3243" s="49"/>
      <c r="X3243" s="49"/>
      <c r="Y3243" s="35"/>
      <c r="Z3243" s="35"/>
      <c r="AA3243" s="35"/>
      <c r="AB3243" s="35"/>
      <c r="AC3243" s="35"/>
      <c r="AD3243" s="35"/>
      <c r="AE3243" s="35"/>
      <c r="AF3243" s="35"/>
      <c r="AG3243" s="35"/>
      <c r="AH3243" s="35"/>
      <c r="AI3243" s="35"/>
      <c r="AJ3243" s="35"/>
      <c r="AK3243" s="35"/>
      <c r="AL3243" s="35"/>
    </row>
    <row r="3244" ht="52.5" customHeight="1">
      <c r="A3244" s="55"/>
      <c r="B3244" s="19" t="s">
        <v>15523</v>
      </c>
      <c r="C3244" s="20" t="s">
        <v>15550</v>
      </c>
      <c r="D3244" s="47"/>
      <c r="E3244" s="56" t="s">
        <v>524</v>
      </c>
      <c r="F3244" s="22" t="s">
        <v>5592</v>
      </c>
      <c r="G3244" s="57">
        <v>1999.0</v>
      </c>
      <c r="H3244" s="22" t="s">
        <v>546</v>
      </c>
      <c r="I3244" s="58" t="s">
        <v>15576</v>
      </c>
      <c r="J3244" s="56" t="s">
        <v>15553</v>
      </c>
      <c r="K3244" s="56"/>
      <c r="L3244" s="69"/>
      <c r="M3244" s="69"/>
      <c r="N3244" s="69"/>
      <c r="O3244" s="69"/>
      <c r="P3244" s="70"/>
      <c r="Q3244" s="69"/>
      <c r="R3244" s="69"/>
      <c r="S3244" s="69"/>
      <c r="T3244" s="63" t="s">
        <v>15577</v>
      </c>
      <c r="U3244" s="66" t="str">
        <f>HYPERLINK("https://www.ncbi.nlm.nih.gov/pubmed/10208855","PubMed")</f>
        <v>PubMed</v>
      </c>
      <c r="V3244" s="50"/>
      <c r="W3244" s="49"/>
      <c r="X3244" s="49"/>
      <c r="Y3244" s="35"/>
      <c r="Z3244" s="35"/>
      <c r="AA3244" s="35"/>
      <c r="AB3244" s="35"/>
      <c r="AC3244" s="35"/>
      <c r="AD3244" s="35"/>
      <c r="AE3244" s="35"/>
      <c r="AF3244" s="35"/>
      <c r="AG3244" s="35"/>
      <c r="AH3244" s="35"/>
      <c r="AI3244" s="35"/>
      <c r="AJ3244" s="35"/>
      <c r="AK3244" s="35"/>
      <c r="AL3244" s="35"/>
    </row>
    <row r="3245" ht="52.5" customHeight="1">
      <c r="A3245" s="55"/>
      <c r="B3245" s="19" t="s">
        <v>15523</v>
      </c>
      <c r="C3245" s="20" t="s">
        <v>15550</v>
      </c>
      <c r="D3245" s="47"/>
      <c r="E3245" s="56" t="s">
        <v>5109</v>
      </c>
      <c r="F3245" s="22" t="s">
        <v>5110</v>
      </c>
      <c r="G3245" s="57">
        <v>1994.0</v>
      </c>
      <c r="H3245" s="22" t="s">
        <v>207</v>
      </c>
      <c r="I3245" s="58" t="s">
        <v>15578</v>
      </c>
      <c r="J3245" s="56" t="s">
        <v>15553</v>
      </c>
      <c r="K3245" s="56" t="s">
        <v>294</v>
      </c>
      <c r="L3245" s="69" t="s">
        <v>15579</v>
      </c>
      <c r="M3245" s="69"/>
      <c r="N3245" s="69"/>
      <c r="O3245" s="69"/>
      <c r="P3245" s="70"/>
      <c r="Q3245" s="69"/>
      <c r="R3245" s="69"/>
      <c r="S3245" s="69"/>
      <c r="T3245" s="63" t="s">
        <v>15580</v>
      </c>
      <c r="U3245" s="66" t="str">
        <f>HYPERLINK("https://www.ncbi.nlm.nih.gov/pubmed/7965412","PubMed")</f>
        <v>PubMed</v>
      </c>
      <c r="V3245" s="50"/>
      <c r="W3245" s="49"/>
      <c r="X3245" s="49"/>
      <c r="Y3245" s="35"/>
      <c r="Z3245" s="35"/>
      <c r="AA3245" s="35"/>
      <c r="AB3245" s="35"/>
      <c r="AC3245" s="35"/>
      <c r="AD3245" s="35"/>
      <c r="AE3245" s="35"/>
      <c r="AF3245" s="35"/>
      <c r="AG3245" s="35"/>
      <c r="AH3245" s="35"/>
      <c r="AI3245" s="35"/>
      <c r="AJ3245" s="35"/>
      <c r="AK3245" s="35"/>
      <c r="AL3245" s="35"/>
    </row>
    <row r="3246" ht="52.5" customHeight="1">
      <c r="A3246" s="55"/>
      <c r="B3246" s="19" t="s">
        <v>15523</v>
      </c>
      <c r="C3246" s="20" t="s">
        <v>15550</v>
      </c>
      <c r="D3246" s="47"/>
      <c r="E3246" s="56" t="s">
        <v>15581</v>
      </c>
      <c r="F3246" s="22" t="s">
        <v>15582</v>
      </c>
      <c r="G3246" s="57">
        <v>1994.0</v>
      </c>
      <c r="H3246" s="22" t="s">
        <v>4975</v>
      </c>
      <c r="I3246" s="58" t="s">
        <v>15583</v>
      </c>
      <c r="J3246" s="56" t="s">
        <v>15553</v>
      </c>
      <c r="K3246" s="56"/>
      <c r="L3246" s="69">
        <v>633.0</v>
      </c>
      <c r="M3246" s="69"/>
      <c r="N3246" s="69"/>
      <c r="O3246" s="69"/>
      <c r="P3246" s="70"/>
      <c r="Q3246" s="69"/>
      <c r="R3246" s="69"/>
      <c r="S3246" s="69"/>
      <c r="T3246" s="71" t="s">
        <v>15584</v>
      </c>
      <c r="U3246" s="66" t="str">
        <f>HYPERLINK("https://www.ncbi.nlm.nih.gov/pubmed/7800719","PubMed")</f>
        <v>PubMed</v>
      </c>
      <c r="V3246" s="50"/>
      <c r="W3246" s="49"/>
      <c r="X3246" s="49"/>
      <c r="Y3246" s="35"/>
      <c r="Z3246" s="35"/>
      <c r="AA3246" s="35"/>
      <c r="AB3246" s="35"/>
      <c r="AC3246" s="35"/>
      <c r="AD3246" s="35"/>
      <c r="AE3246" s="35"/>
      <c r="AF3246" s="35"/>
      <c r="AG3246" s="35"/>
      <c r="AH3246" s="35"/>
      <c r="AI3246" s="35"/>
      <c r="AJ3246" s="35"/>
      <c r="AK3246" s="35"/>
      <c r="AL3246" s="35"/>
    </row>
    <row r="3247" ht="52.5" customHeight="1">
      <c r="A3247" s="55"/>
      <c r="B3247" s="19" t="s">
        <v>15523</v>
      </c>
      <c r="C3247" s="20" t="s">
        <v>15550</v>
      </c>
      <c r="D3247" s="47"/>
      <c r="E3247" s="56" t="s">
        <v>15585</v>
      </c>
      <c r="F3247" s="22" t="s">
        <v>5592</v>
      </c>
      <c r="G3247" s="57">
        <v>1993.0</v>
      </c>
      <c r="H3247" s="22" t="s">
        <v>207</v>
      </c>
      <c r="I3247" s="58" t="s">
        <v>15586</v>
      </c>
      <c r="J3247" s="56" t="s">
        <v>15553</v>
      </c>
      <c r="K3247" s="56"/>
      <c r="L3247" s="69">
        <v>633.0</v>
      </c>
      <c r="M3247" s="69"/>
      <c r="N3247" s="69"/>
      <c r="O3247" s="69"/>
      <c r="P3247" s="70" t="s">
        <v>254</v>
      </c>
      <c r="Q3247" s="69"/>
      <c r="R3247" s="69"/>
      <c r="S3247" s="69"/>
      <c r="T3247" s="63" t="s">
        <v>15587</v>
      </c>
      <c r="U3247" s="66" t="str">
        <f>HYPERLINK("https://www.ncbi.nlm.nih.gov/pubmed/8350186","PubMed")</f>
        <v>PubMed</v>
      </c>
      <c r="V3247" s="50"/>
      <c r="W3247" s="49"/>
      <c r="X3247" s="49"/>
      <c r="Y3247" s="35"/>
      <c r="Z3247" s="35"/>
      <c r="AA3247" s="35"/>
      <c r="AB3247" s="35"/>
      <c r="AC3247" s="35"/>
      <c r="AD3247" s="35"/>
      <c r="AE3247" s="35"/>
      <c r="AF3247" s="35"/>
      <c r="AG3247" s="35"/>
      <c r="AH3247" s="35"/>
      <c r="AI3247" s="35"/>
      <c r="AJ3247" s="35"/>
      <c r="AK3247" s="35"/>
      <c r="AL3247" s="35"/>
    </row>
    <row r="3248" ht="52.5" customHeight="1">
      <c r="A3248" s="55"/>
      <c r="B3248" s="19" t="s">
        <v>15523</v>
      </c>
      <c r="C3248" s="20" t="s">
        <v>15550</v>
      </c>
      <c r="D3248" s="47"/>
      <c r="E3248" s="56" t="s">
        <v>5109</v>
      </c>
      <c r="F3248" s="22" t="s">
        <v>5110</v>
      </c>
      <c r="G3248" s="57">
        <v>1991.0</v>
      </c>
      <c r="H3248" s="22" t="s">
        <v>207</v>
      </c>
      <c r="I3248" s="58" t="s">
        <v>15588</v>
      </c>
      <c r="J3248" s="56" t="s">
        <v>15553</v>
      </c>
      <c r="K3248" s="56" t="s">
        <v>1413</v>
      </c>
      <c r="L3248" s="69" t="s">
        <v>15589</v>
      </c>
      <c r="M3248" s="69"/>
      <c r="N3248" s="69"/>
      <c r="O3248" s="69"/>
      <c r="P3248" s="70"/>
      <c r="Q3248" s="69"/>
      <c r="R3248" s="69"/>
      <c r="S3248" s="69"/>
      <c r="T3248" s="63" t="s">
        <v>15590</v>
      </c>
      <c r="U3248" s="66" t="str">
        <f>HYPERLINK("https://www.ncbi.nlm.nih.gov/pubmed/1791489","PubMed")</f>
        <v>PubMed</v>
      </c>
      <c r="V3248" s="50"/>
      <c r="W3248" s="49"/>
      <c r="X3248" s="49"/>
      <c r="Y3248" s="35"/>
      <c r="Z3248" s="35"/>
      <c r="AA3248" s="35"/>
      <c r="AB3248" s="35"/>
      <c r="AC3248" s="35"/>
      <c r="AD3248" s="35"/>
      <c r="AE3248" s="35"/>
      <c r="AF3248" s="35"/>
      <c r="AG3248" s="35"/>
      <c r="AH3248" s="35"/>
      <c r="AI3248" s="35"/>
      <c r="AJ3248" s="35"/>
      <c r="AK3248" s="35"/>
      <c r="AL3248" s="35"/>
    </row>
    <row r="3249" ht="52.5" customHeight="1">
      <c r="A3249" s="55"/>
      <c r="B3249" s="19" t="s">
        <v>15523</v>
      </c>
      <c r="C3249" s="20" t="s">
        <v>15550</v>
      </c>
      <c r="D3249" s="47"/>
      <c r="E3249" s="56" t="s">
        <v>15591</v>
      </c>
      <c r="F3249" s="22" t="s">
        <v>748</v>
      </c>
      <c r="G3249" s="57">
        <v>1991.0</v>
      </c>
      <c r="H3249" s="22" t="s">
        <v>15592</v>
      </c>
      <c r="I3249" s="58" t="s">
        <v>15593</v>
      </c>
      <c r="J3249" s="22" t="s">
        <v>125</v>
      </c>
      <c r="K3249" s="56"/>
      <c r="L3249" s="88" t="s">
        <v>15594</v>
      </c>
      <c r="M3249" s="44"/>
      <c r="N3249" s="44"/>
      <c r="O3249" s="44"/>
      <c r="P3249" s="44"/>
      <c r="Q3249" s="44"/>
      <c r="R3249" s="44"/>
      <c r="S3249" s="44"/>
      <c r="T3249" s="45"/>
      <c r="U3249" s="66" t="str">
        <f>HYPERLINK("https://www.ncbi.nlm.nih.gov/pubmed/1855383","PubMed")</f>
        <v>PubMed</v>
      </c>
      <c r="V3249" s="50"/>
      <c r="W3249" s="49"/>
      <c r="X3249" s="49"/>
      <c r="Y3249" s="35"/>
      <c r="Z3249" s="35"/>
      <c r="AA3249" s="35"/>
      <c r="AB3249" s="35"/>
      <c r="AC3249" s="35"/>
      <c r="AD3249" s="35"/>
      <c r="AE3249" s="35"/>
      <c r="AF3249" s="35"/>
      <c r="AG3249" s="35"/>
      <c r="AH3249" s="35"/>
      <c r="AI3249" s="35"/>
      <c r="AJ3249" s="35"/>
      <c r="AK3249" s="35"/>
      <c r="AL3249" s="35"/>
    </row>
    <row r="3250" ht="52.5" customHeight="1">
      <c r="A3250" s="55"/>
      <c r="B3250" s="19" t="s">
        <v>15523</v>
      </c>
      <c r="C3250" s="20" t="s">
        <v>15550</v>
      </c>
      <c r="D3250" s="47"/>
      <c r="E3250" s="56" t="s">
        <v>15591</v>
      </c>
      <c r="F3250" s="22" t="s">
        <v>5110</v>
      </c>
      <c r="G3250" s="57">
        <v>1989.0</v>
      </c>
      <c r="H3250" s="22" t="s">
        <v>53</v>
      </c>
      <c r="I3250" s="58" t="s">
        <v>15595</v>
      </c>
      <c r="J3250" s="56" t="s">
        <v>15553</v>
      </c>
      <c r="K3250" s="56"/>
      <c r="L3250" s="69"/>
      <c r="M3250" s="69"/>
      <c r="N3250" s="69"/>
      <c r="O3250" s="69"/>
      <c r="P3250" s="70"/>
      <c r="Q3250" s="69"/>
      <c r="R3250" s="69"/>
      <c r="S3250" s="69"/>
      <c r="T3250" s="63" t="s">
        <v>15596</v>
      </c>
      <c r="U3250" s="66" t="str">
        <f>HYPERLINK("https://www.ncbi.nlm.nih.gov/pubmed/2648092","PubMed")</f>
        <v>PubMed</v>
      </c>
      <c r="V3250" s="30"/>
      <c r="W3250" s="49"/>
      <c r="X3250" s="49"/>
      <c r="Y3250" s="35"/>
      <c r="Z3250" s="35"/>
      <c r="AA3250" s="35"/>
      <c r="AB3250" s="35"/>
      <c r="AC3250" s="35"/>
      <c r="AD3250" s="35"/>
      <c r="AE3250" s="35"/>
      <c r="AF3250" s="35"/>
      <c r="AG3250" s="35"/>
      <c r="AH3250" s="35"/>
      <c r="AI3250" s="35"/>
      <c r="AJ3250" s="35"/>
      <c r="AK3250" s="35"/>
      <c r="AL3250" s="35"/>
    </row>
    <row r="3251" ht="52.5" customHeight="1">
      <c r="A3251" s="55"/>
      <c r="B3251" s="19" t="s">
        <v>15523</v>
      </c>
      <c r="C3251" s="20" t="s">
        <v>15550</v>
      </c>
      <c r="D3251" s="47"/>
      <c r="E3251" s="56" t="s">
        <v>15591</v>
      </c>
      <c r="F3251" s="22" t="s">
        <v>748</v>
      </c>
      <c r="G3251" s="57">
        <v>1988.0</v>
      </c>
      <c r="H3251" s="22" t="s">
        <v>4975</v>
      </c>
      <c r="I3251" s="58" t="s">
        <v>15597</v>
      </c>
      <c r="J3251" s="56" t="s">
        <v>15553</v>
      </c>
      <c r="K3251" s="56" t="s">
        <v>15598</v>
      </c>
      <c r="L3251" s="69" t="s">
        <v>15599</v>
      </c>
      <c r="M3251" s="69"/>
      <c r="N3251" s="69"/>
      <c r="O3251" s="69"/>
      <c r="P3251" s="70"/>
      <c r="Q3251" s="69"/>
      <c r="R3251" s="69"/>
      <c r="S3251" s="69"/>
      <c r="T3251" s="63" t="s">
        <v>15600</v>
      </c>
      <c r="U3251" s="66" t="str">
        <f>HYPERLINK("https://www.ncbi.nlm.nih.gov/pubmed/3068688","PubMed")</f>
        <v>PubMed</v>
      </c>
      <c r="V3251" s="30" t="s">
        <v>15601</v>
      </c>
      <c r="W3251" s="49"/>
      <c r="X3251" s="49"/>
      <c r="Y3251" s="35"/>
      <c r="Z3251" s="35"/>
      <c r="AA3251" s="35"/>
      <c r="AB3251" s="35"/>
      <c r="AC3251" s="35"/>
      <c r="AD3251" s="35"/>
      <c r="AE3251" s="35"/>
      <c r="AF3251" s="35"/>
      <c r="AG3251" s="35"/>
      <c r="AH3251" s="35"/>
      <c r="AI3251" s="35"/>
      <c r="AJ3251" s="35"/>
      <c r="AK3251" s="35"/>
      <c r="AL3251" s="35"/>
    </row>
    <row r="3252" ht="52.5" customHeight="1">
      <c r="A3252" s="55"/>
      <c r="B3252" s="19" t="s">
        <v>15523</v>
      </c>
      <c r="C3252" s="20" t="s">
        <v>15550</v>
      </c>
      <c r="D3252" s="47"/>
      <c r="E3252" s="56" t="s">
        <v>15602</v>
      </c>
      <c r="F3252" s="22" t="s">
        <v>748</v>
      </c>
      <c r="G3252" s="57">
        <v>1987.0</v>
      </c>
      <c r="H3252" s="22" t="s">
        <v>15603</v>
      </c>
      <c r="I3252" s="58" t="s">
        <v>15604</v>
      </c>
      <c r="J3252" s="56" t="s">
        <v>15553</v>
      </c>
      <c r="K3252" s="56"/>
      <c r="L3252" s="69"/>
      <c r="M3252" s="69"/>
      <c r="N3252" s="69"/>
      <c r="O3252" s="69"/>
      <c r="P3252" s="70"/>
      <c r="Q3252" s="69"/>
      <c r="R3252" s="69"/>
      <c r="S3252" s="69"/>
      <c r="T3252" s="63" t="s">
        <v>15605</v>
      </c>
      <c r="U3252" s="66" t="str">
        <f>HYPERLINK("https://www.ncbi.nlm.nih.gov/pubmed/3309581","PubMed")</f>
        <v>PubMed</v>
      </c>
      <c r="V3252" s="50"/>
      <c r="W3252" s="49"/>
      <c r="X3252" s="49"/>
      <c r="Y3252" s="35"/>
      <c r="Z3252" s="35"/>
      <c r="AA3252" s="35"/>
      <c r="AB3252" s="35"/>
      <c r="AC3252" s="35"/>
      <c r="AD3252" s="35"/>
      <c r="AE3252" s="35"/>
      <c r="AF3252" s="35"/>
      <c r="AG3252" s="35"/>
      <c r="AH3252" s="35"/>
      <c r="AI3252" s="35"/>
      <c r="AJ3252" s="35"/>
      <c r="AK3252" s="35"/>
      <c r="AL3252" s="35"/>
    </row>
    <row r="3253" ht="52.5" customHeight="1">
      <c r="A3253" s="55"/>
      <c r="B3253" s="19" t="s">
        <v>15523</v>
      </c>
      <c r="C3253" s="20" t="s">
        <v>15550</v>
      </c>
      <c r="D3253" s="47"/>
      <c r="E3253" s="56" t="s">
        <v>15606</v>
      </c>
      <c r="F3253" s="22" t="s">
        <v>748</v>
      </c>
      <c r="G3253" s="57">
        <v>1987.0</v>
      </c>
      <c r="H3253" s="22" t="s">
        <v>15603</v>
      </c>
      <c r="I3253" s="58" t="s">
        <v>15607</v>
      </c>
      <c r="J3253" s="56" t="s">
        <v>15553</v>
      </c>
      <c r="K3253" s="56" t="s">
        <v>294</v>
      </c>
      <c r="L3253" s="69" t="s">
        <v>15608</v>
      </c>
      <c r="M3253" s="69"/>
      <c r="N3253" s="69"/>
      <c r="O3253" s="69"/>
      <c r="P3253" s="70"/>
      <c r="Q3253" s="69"/>
      <c r="R3253" s="69"/>
      <c r="S3253" s="69"/>
      <c r="T3253" s="63" t="s">
        <v>15609</v>
      </c>
      <c r="U3253" s="66" t="str">
        <f>HYPERLINK("https://www.ncbi.nlm.nih.gov/pubmed/3320690","PubMed")</f>
        <v>PubMed</v>
      </c>
      <c r="V3253" s="50"/>
      <c r="W3253" s="49"/>
      <c r="X3253" s="49"/>
      <c r="Y3253" s="35"/>
      <c r="Z3253" s="35"/>
      <c r="AA3253" s="35"/>
      <c r="AB3253" s="35"/>
      <c r="AC3253" s="35"/>
      <c r="AD3253" s="35"/>
      <c r="AE3253" s="35"/>
      <c r="AF3253" s="35"/>
      <c r="AG3253" s="35"/>
      <c r="AH3253" s="35"/>
      <c r="AI3253" s="35"/>
      <c r="AJ3253" s="35"/>
      <c r="AK3253" s="35"/>
      <c r="AL3253" s="35"/>
    </row>
    <row r="3254" ht="52.5" customHeight="1">
      <c r="A3254" s="55"/>
      <c r="B3254" s="19" t="s">
        <v>15523</v>
      </c>
      <c r="C3254" s="20" t="s">
        <v>15550</v>
      </c>
      <c r="D3254" s="47"/>
      <c r="E3254" s="56" t="s">
        <v>5109</v>
      </c>
      <c r="F3254" s="22" t="s">
        <v>748</v>
      </c>
      <c r="G3254" s="57">
        <v>1983.0</v>
      </c>
      <c r="H3254" s="22" t="s">
        <v>14444</v>
      </c>
      <c r="I3254" s="58" t="s">
        <v>15610</v>
      </c>
      <c r="J3254" s="56" t="s">
        <v>15553</v>
      </c>
      <c r="K3254" s="56" t="s">
        <v>14503</v>
      </c>
      <c r="L3254" s="69"/>
      <c r="M3254" s="69"/>
      <c r="N3254" s="69"/>
      <c r="O3254" s="69"/>
      <c r="P3254" s="70"/>
      <c r="Q3254" s="69"/>
      <c r="R3254" s="69"/>
      <c r="S3254" s="69"/>
      <c r="T3254" s="63" t="s">
        <v>15611</v>
      </c>
      <c r="U3254" s="66" t="str">
        <f>HYPERLINK("https://link.springer.com/article/10.1007/BF02457148","Springer")</f>
        <v>Springer</v>
      </c>
      <c r="V3254" s="50"/>
      <c r="W3254" s="49"/>
      <c r="X3254" s="49"/>
      <c r="Y3254" s="35"/>
      <c r="Z3254" s="35"/>
      <c r="AA3254" s="35"/>
      <c r="AB3254" s="35"/>
      <c r="AC3254" s="35"/>
      <c r="AD3254" s="35"/>
      <c r="AE3254" s="35"/>
      <c r="AF3254" s="35"/>
      <c r="AG3254" s="35"/>
      <c r="AH3254" s="35"/>
      <c r="AI3254" s="35"/>
      <c r="AJ3254" s="35"/>
      <c r="AK3254" s="35"/>
      <c r="AL3254" s="35"/>
    </row>
    <row r="3255" ht="52.5" customHeight="1">
      <c r="A3255" s="55"/>
      <c r="B3255" s="19" t="s">
        <v>15523</v>
      </c>
      <c r="C3255" s="20" t="s">
        <v>15612</v>
      </c>
      <c r="D3255" s="47"/>
      <c r="E3255" s="56" t="s">
        <v>15613</v>
      </c>
      <c r="F3255" s="22" t="s">
        <v>358</v>
      </c>
      <c r="G3255" s="57">
        <v>2022.0</v>
      </c>
      <c r="H3255" s="22" t="s">
        <v>91</v>
      </c>
      <c r="I3255" s="58" t="s">
        <v>15614</v>
      </c>
      <c r="J3255" s="56" t="s">
        <v>15615</v>
      </c>
      <c r="K3255" s="56"/>
      <c r="L3255" s="69"/>
      <c r="M3255" s="69"/>
      <c r="N3255" s="69"/>
      <c r="O3255" s="69"/>
      <c r="P3255" s="70"/>
      <c r="Q3255" s="69"/>
      <c r="R3255" s="69"/>
      <c r="S3255" s="69"/>
      <c r="T3255" s="74" t="s">
        <v>15616</v>
      </c>
      <c r="U3255" s="64" t="s">
        <v>61</v>
      </c>
      <c r="V3255" s="50"/>
      <c r="W3255" s="49"/>
      <c r="X3255" s="49"/>
      <c r="Y3255" s="35"/>
      <c r="Z3255" s="35"/>
      <c r="AA3255" s="35"/>
      <c r="AB3255" s="35"/>
      <c r="AC3255" s="35"/>
      <c r="AD3255" s="35"/>
      <c r="AE3255" s="35"/>
      <c r="AF3255" s="35"/>
      <c r="AG3255" s="35"/>
      <c r="AH3255" s="35"/>
      <c r="AI3255" s="35"/>
      <c r="AJ3255" s="35"/>
      <c r="AK3255" s="35"/>
      <c r="AL3255" s="35"/>
    </row>
    <row r="3256" ht="52.5" customHeight="1">
      <c r="A3256" s="55"/>
      <c r="B3256" s="19" t="s">
        <v>15523</v>
      </c>
      <c r="C3256" s="20" t="s">
        <v>15612</v>
      </c>
      <c r="D3256" s="47"/>
      <c r="E3256" s="56" t="s">
        <v>5532</v>
      </c>
      <c r="F3256" s="22" t="s">
        <v>358</v>
      </c>
      <c r="G3256" s="57">
        <v>2016.0</v>
      </c>
      <c r="H3256" s="22" t="s">
        <v>91</v>
      </c>
      <c r="I3256" s="58" t="s">
        <v>15617</v>
      </c>
      <c r="J3256" s="56" t="s">
        <v>15618</v>
      </c>
      <c r="K3256" s="56" t="s">
        <v>294</v>
      </c>
      <c r="L3256" s="69" t="s">
        <v>15619</v>
      </c>
      <c r="M3256" s="69"/>
      <c r="N3256" s="69"/>
      <c r="O3256" s="69"/>
      <c r="P3256" s="70"/>
      <c r="Q3256" s="69"/>
      <c r="R3256" s="69"/>
      <c r="S3256" s="69"/>
      <c r="T3256" s="74" t="s">
        <v>15620</v>
      </c>
      <c r="U3256" s="66" t="str">
        <f>HYPERLINK("https://www.ncbi.nlm.nih.gov/pubmed/26886585","PubMed")</f>
        <v>PubMed</v>
      </c>
      <c r="V3256" s="50"/>
      <c r="W3256" s="49"/>
      <c r="X3256" s="49"/>
      <c r="Y3256" s="35"/>
      <c r="Z3256" s="35"/>
      <c r="AA3256" s="35"/>
      <c r="AB3256" s="35"/>
      <c r="AC3256" s="35"/>
      <c r="AD3256" s="35"/>
      <c r="AE3256" s="35"/>
      <c r="AF3256" s="35"/>
      <c r="AG3256" s="35"/>
      <c r="AH3256" s="35"/>
      <c r="AI3256" s="35"/>
      <c r="AJ3256" s="35"/>
      <c r="AK3256" s="35"/>
      <c r="AL3256" s="35"/>
    </row>
    <row r="3257" ht="52.5" customHeight="1">
      <c r="A3257" s="55"/>
      <c r="B3257" s="19" t="s">
        <v>15523</v>
      </c>
      <c r="C3257" s="20" t="s">
        <v>15612</v>
      </c>
      <c r="D3257" s="47"/>
      <c r="E3257" s="56" t="s">
        <v>1080</v>
      </c>
      <c r="F3257" s="22" t="s">
        <v>1622</v>
      </c>
      <c r="G3257" s="57">
        <v>2013.0</v>
      </c>
      <c r="H3257" s="22" t="s">
        <v>658</v>
      </c>
      <c r="I3257" s="58" t="s">
        <v>15621</v>
      </c>
      <c r="J3257" s="56" t="s">
        <v>15622</v>
      </c>
      <c r="K3257" s="56" t="s">
        <v>15623</v>
      </c>
      <c r="L3257" s="69" t="s">
        <v>15624</v>
      </c>
      <c r="M3257" s="69"/>
      <c r="N3257" s="69"/>
      <c r="O3257" s="69"/>
      <c r="P3257" s="70"/>
      <c r="Q3257" s="69"/>
      <c r="R3257" s="69"/>
      <c r="S3257" s="69"/>
      <c r="T3257" s="74" t="s">
        <v>15625</v>
      </c>
      <c r="U3257" s="66" t="str">
        <f>HYPERLINK("https://www.ncbi.nlm.nih.gov/pubmed/24138193","PubMed")</f>
        <v>PubMed</v>
      </c>
      <c r="V3257" s="50"/>
      <c r="W3257" s="49"/>
      <c r="X3257" s="49"/>
      <c r="Y3257" s="35"/>
      <c r="Z3257" s="35"/>
      <c r="AA3257" s="35"/>
      <c r="AB3257" s="35"/>
      <c r="AC3257" s="35"/>
      <c r="AD3257" s="35"/>
      <c r="AE3257" s="35"/>
      <c r="AF3257" s="35"/>
      <c r="AG3257" s="35"/>
      <c r="AH3257" s="35"/>
      <c r="AI3257" s="35"/>
      <c r="AJ3257" s="35"/>
      <c r="AK3257" s="35"/>
      <c r="AL3257" s="35"/>
    </row>
    <row r="3258" ht="52.5" customHeight="1">
      <c r="A3258" s="55"/>
      <c r="B3258" s="19" t="s">
        <v>15523</v>
      </c>
      <c r="C3258" s="20" t="s">
        <v>15612</v>
      </c>
      <c r="D3258" s="47"/>
      <c r="E3258" s="56" t="s">
        <v>15626</v>
      </c>
      <c r="F3258" s="22" t="s">
        <v>323</v>
      </c>
      <c r="G3258" s="57">
        <v>2006.0</v>
      </c>
      <c r="H3258" s="22" t="s">
        <v>15627</v>
      </c>
      <c r="I3258" s="58" t="s">
        <v>15628</v>
      </c>
      <c r="J3258" s="56" t="s">
        <v>15629</v>
      </c>
      <c r="K3258" s="56" t="s">
        <v>15630</v>
      </c>
      <c r="L3258" s="69" t="s">
        <v>15631</v>
      </c>
      <c r="M3258" s="69"/>
      <c r="N3258" s="69"/>
      <c r="O3258" s="69"/>
      <c r="P3258" s="70"/>
      <c r="Q3258" s="69"/>
      <c r="R3258" s="69"/>
      <c r="S3258" s="69"/>
      <c r="T3258" s="74" t="s">
        <v>15632</v>
      </c>
      <c r="U3258" s="66" t="str">
        <f>HYPERLINK("https://www.ncbi.nlm.nih.gov/pubmed/16941244","PubMed")</f>
        <v>PubMed</v>
      </c>
      <c r="V3258" s="50"/>
      <c r="W3258" s="49"/>
      <c r="X3258" s="49"/>
      <c r="Y3258" s="35"/>
      <c r="Z3258" s="35"/>
      <c r="AA3258" s="35"/>
      <c r="AB3258" s="35"/>
      <c r="AC3258" s="35"/>
      <c r="AD3258" s="35"/>
      <c r="AE3258" s="35"/>
      <c r="AF3258" s="35"/>
      <c r="AG3258" s="35"/>
      <c r="AH3258" s="35"/>
      <c r="AI3258" s="35"/>
      <c r="AJ3258" s="35"/>
      <c r="AK3258" s="35"/>
      <c r="AL3258" s="35"/>
    </row>
    <row r="3259" ht="52.5" customHeight="1">
      <c r="A3259" s="55"/>
      <c r="B3259" s="19" t="s">
        <v>15523</v>
      </c>
      <c r="C3259" s="20" t="s">
        <v>15612</v>
      </c>
      <c r="D3259" s="47"/>
      <c r="E3259" s="56" t="s">
        <v>15633</v>
      </c>
      <c r="F3259" s="22" t="s">
        <v>2445</v>
      </c>
      <c r="G3259" s="57">
        <v>2003.0</v>
      </c>
      <c r="H3259" s="22" t="s">
        <v>1289</v>
      </c>
      <c r="I3259" s="58" t="s">
        <v>15634</v>
      </c>
      <c r="J3259" s="56" t="s">
        <v>15618</v>
      </c>
      <c r="K3259" s="56"/>
      <c r="L3259" s="69">
        <v>810.0</v>
      </c>
      <c r="M3259" s="69"/>
      <c r="N3259" s="69"/>
      <c r="O3259" s="69"/>
      <c r="P3259" s="70"/>
      <c r="Q3259" s="69"/>
      <c r="R3259" s="69"/>
      <c r="S3259" s="69"/>
      <c r="T3259" s="74" t="s">
        <v>15635</v>
      </c>
      <c r="U3259" s="66" t="str">
        <f>HYPERLINK("https://www.ncbi.nlm.nih.gov/pubmed/14651796","PubMed")</f>
        <v>PubMed</v>
      </c>
      <c r="V3259" s="50"/>
      <c r="W3259" s="49"/>
      <c r="X3259" s="49"/>
      <c r="Y3259" s="35"/>
      <c r="Z3259" s="35"/>
      <c r="AA3259" s="35"/>
      <c r="AB3259" s="35"/>
      <c r="AC3259" s="35"/>
      <c r="AD3259" s="35"/>
      <c r="AE3259" s="35"/>
      <c r="AF3259" s="35"/>
      <c r="AG3259" s="35"/>
      <c r="AH3259" s="35"/>
      <c r="AI3259" s="35"/>
      <c r="AJ3259" s="35"/>
      <c r="AK3259" s="35"/>
      <c r="AL3259" s="35"/>
    </row>
    <row r="3260" ht="52.5" customHeight="1">
      <c r="A3260" s="55"/>
      <c r="B3260" s="19" t="s">
        <v>15523</v>
      </c>
      <c r="C3260" s="20" t="s">
        <v>15612</v>
      </c>
      <c r="D3260" s="47"/>
      <c r="E3260" s="56" t="s">
        <v>15633</v>
      </c>
      <c r="F3260" s="22" t="s">
        <v>2445</v>
      </c>
      <c r="G3260" s="57">
        <v>2002.0</v>
      </c>
      <c r="H3260" s="22" t="s">
        <v>53</v>
      </c>
      <c r="I3260" s="58" t="s">
        <v>15636</v>
      </c>
      <c r="J3260" s="56" t="s">
        <v>15618</v>
      </c>
      <c r="K3260" s="56" t="s">
        <v>1413</v>
      </c>
      <c r="L3260" s="69">
        <v>810.0</v>
      </c>
      <c r="M3260" s="69"/>
      <c r="N3260" s="69"/>
      <c r="O3260" s="69"/>
      <c r="P3260" s="70"/>
      <c r="Q3260" s="69"/>
      <c r="R3260" s="69"/>
      <c r="S3260" s="69"/>
      <c r="T3260" s="74" t="s">
        <v>15637</v>
      </c>
      <c r="U3260" s="66" t="str">
        <f>HYPERLINK("https://www.ncbi.nlm.nih.gov/pubmed/12430152","PubMed")</f>
        <v>PubMed</v>
      </c>
      <c r="V3260" s="50"/>
      <c r="W3260" s="49"/>
      <c r="X3260" s="49"/>
      <c r="Y3260" s="35"/>
      <c r="Z3260" s="35"/>
      <c r="AA3260" s="35"/>
      <c r="AB3260" s="35"/>
      <c r="AC3260" s="35"/>
      <c r="AD3260" s="35"/>
      <c r="AE3260" s="35"/>
      <c r="AF3260" s="35"/>
      <c r="AG3260" s="35"/>
      <c r="AH3260" s="35"/>
      <c r="AI3260" s="35"/>
      <c r="AJ3260" s="35"/>
      <c r="AK3260" s="35"/>
      <c r="AL3260" s="35"/>
    </row>
    <row r="3261" ht="52.5" customHeight="1">
      <c r="A3261" s="55"/>
      <c r="B3261" s="19" t="s">
        <v>15523</v>
      </c>
      <c r="C3261" s="20" t="s">
        <v>15612</v>
      </c>
      <c r="D3261" s="47"/>
      <c r="E3261" s="56" t="s">
        <v>15633</v>
      </c>
      <c r="F3261" s="22" t="s">
        <v>2445</v>
      </c>
      <c r="G3261" s="57">
        <v>2002.0</v>
      </c>
      <c r="H3261" s="22" t="s">
        <v>1289</v>
      </c>
      <c r="I3261" s="58" t="s">
        <v>15638</v>
      </c>
      <c r="J3261" s="56" t="s">
        <v>15618</v>
      </c>
      <c r="K3261" s="56" t="s">
        <v>294</v>
      </c>
      <c r="L3261" s="69" t="s">
        <v>15639</v>
      </c>
      <c r="M3261" s="69"/>
      <c r="N3261" s="69" t="s">
        <v>5658</v>
      </c>
      <c r="O3261" s="69"/>
      <c r="P3261" s="70" t="s">
        <v>15640</v>
      </c>
      <c r="Q3261" s="69"/>
      <c r="R3261" s="69"/>
      <c r="S3261" s="69"/>
      <c r="T3261" s="74" t="s">
        <v>15641</v>
      </c>
      <c r="U3261" s="66" t="str">
        <f>HYPERLINK("https://www.ncbi.nlm.nih.gov/pubmed/12513919","PubMed")</f>
        <v>PubMed</v>
      </c>
      <c r="V3261" s="50"/>
      <c r="W3261" s="49"/>
      <c r="X3261" s="49"/>
      <c r="Y3261" s="35"/>
      <c r="Z3261" s="35"/>
      <c r="AA3261" s="35"/>
      <c r="AB3261" s="35"/>
      <c r="AC3261" s="35"/>
      <c r="AD3261" s="35"/>
      <c r="AE3261" s="35"/>
      <c r="AF3261" s="35"/>
      <c r="AG3261" s="35"/>
      <c r="AH3261" s="35"/>
      <c r="AI3261" s="35"/>
      <c r="AJ3261" s="35"/>
      <c r="AK3261" s="35"/>
      <c r="AL3261" s="35"/>
    </row>
    <row r="3262" ht="52.5" customHeight="1">
      <c r="A3262" s="1" t="s">
        <v>2</v>
      </c>
      <c r="B3262" s="19" t="s">
        <v>15523</v>
      </c>
      <c r="C3262" s="20" t="s">
        <v>15612</v>
      </c>
      <c r="D3262" s="47"/>
      <c r="E3262" s="56" t="s">
        <v>14792</v>
      </c>
      <c r="F3262" s="22" t="s">
        <v>5110</v>
      </c>
      <c r="G3262" s="57">
        <v>1996.0</v>
      </c>
      <c r="H3262" s="22" t="s">
        <v>15473</v>
      </c>
      <c r="I3262" s="58" t="s">
        <v>15642</v>
      </c>
      <c r="J3262" s="22" t="s">
        <v>125</v>
      </c>
      <c r="K3262" s="56"/>
      <c r="L3262" s="88" t="s">
        <v>15643</v>
      </c>
      <c r="M3262" s="44"/>
      <c r="N3262" s="44"/>
      <c r="O3262" s="44"/>
      <c r="P3262" s="44"/>
      <c r="Q3262" s="44"/>
      <c r="R3262" s="44"/>
      <c r="S3262" s="44"/>
      <c r="T3262" s="45"/>
      <c r="U3262" s="66" t="str">
        <f>HYPERLINK("https://www.isan.troitsk.ru/dls/publ/195.pdf","PDF")</f>
        <v>PDF</v>
      </c>
      <c r="V3262" s="50"/>
      <c r="W3262" s="49"/>
      <c r="X3262" s="49"/>
      <c r="Y3262" s="35"/>
      <c r="Z3262" s="35"/>
      <c r="AA3262" s="35"/>
      <c r="AB3262" s="35"/>
      <c r="AC3262" s="35"/>
      <c r="AD3262" s="35"/>
      <c r="AE3262" s="35"/>
      <c r="AF3262" s="35"/>
      <c r="AG3262" s="35"/>
      <c r="AH3262" s="35"/>
      <c r="AI3262" s="35"/>
      <c r="AJ3262" s="35"/>
      <c r="AK3262" s="35"/>
      <c r="AL3262" s="35"/>
    </row>
    <row r="3263" ht="52.5" customHeight="1">
      <c r="A3263" s="55"/>
      <c r="B3263" s="19" t="s">
        <v>15523</v>
      </c>
      <c r="C3263" s="20" t="s">
        <v>15644</v>
      </c>
      <c r="D3263" s="47"/>
      <c r="E3263" s="56" t="s">
        <v>15645</v>
      </c>
      <c r="F3263" s="22" t="s">
        <v>993</v>
      </c>
      <c r="G3263" s="57">
        <v>2018.0</v>
      </c>
      <c r="H3263" s="22" t="s">
        <v>967</v>
      </c>
      <c r="I3263" s="58" t="s">
        <v>15646</v>
      </c>
      <c r="J3263" s="56" t="s">
        <v>15647</v>
      </c>
      <c r="K3263" s="56"/>
      <c r="L3263" s="69"/>
      <c r="M3263" s="69"/>
      <c r="N3263" s="69"/>
      <c r="O3263" s="69"/>
      <c r="P3263" s="70"/>
      <c r="Q3263" s="69"/>
      <c r="R3263" s="69"/>
      <c r="S3263" s="69"/>
      <c r="T3263" s="74" t="s">
        <v>15648</v>
      </c>
      <c r="U3263" s="66" t="str">
        <f>HYPERLINK("http://iopscience.iop.org/article/10.1088/1555-6611/aab65f","IOP")</f>
        <v>IOP</v>
      </c>
      <c r="V3263" s="50"/>
      <c r="W3263" s="49"/>
      <c r="X3263" s="49"/>
      <c r="Y3263" s="35"/>
      <c r="Z3263" s="35"/>
      <c r="AA3263" s="35"/>
      <c r="AB3263" s="35"/>
      <c r="AC3263" s="35"/>
      <c r="AD3263" s="35"/>
      <c r="AE3263" s="35"/>
      <c r="AF3263" s="35"/>
      <c r="AG3263" s="35"/>
      <c r="AH3263" s="35"/>
      <c r="AI3263" s="35"/>
      <c r="AJ3263" s="35"/>
      <c r="AK3263" s="35"/>
      <c r="AL3263" s="35"/>
    </row>
    <row r="3264" ht="52.5" customHeight="1">
      <c r="A3264" s="55"/>
      <c r="B3264" s="19" t="s">
        <v>15523</v>
      </c>
      <c r="C3264" s="20" t="s">
        <v>15649</v>
      </c>
      <c r="D3264" s="47"/>
      <c r="E3264" s="56" t="s">
        <v>5532</v>
      </c>
      <c r="F3264" s="22" t="s">
        <v>5425</v>
      </c>
      <c r="G3264" s="57">
        <v>2012.0</v>
      </c>
      <c r="H3264" s="22" t="s">
        <v>658</v>
      </c>
      <c r="I3264" s="58" t="s">
        <v>15650</v>
      </c>
      <c r="J3264" s="56" t="s">
        <v>15651</v>
      </c>
      <c r="K3264" s="56" t="s">
        <v>294</v>
      </c>
      <c r="L3264" s="69" t="s">
        <v>15619</v>
      </c>
      <c r="M3264" s="69"/>
      <c r="N3264" s="69"/>
      <c r="O3264" s="69"/>
      <c r="P3264" s="70"/>
      <c r="Q3264" s="69"/>
      <c r="R3264" s="69"/>
      <c r="S3264" s="69"/>
      <c r="T3264" s="74" t="s">
        <v>15652</v>
      </c>
      <c r="U3264" s="66" t="str">
        <f>HYPERLINK("https://www.ncbi.nlm.nih.gov/pubmed/22509721","PubMed")</f>
        <v>PubMed</v>
      </c>
      <c r="V3264" s="50"/>
      <c r="W3264" s="49"/>
      <c r="X3264" s="49"/>
      <c r="Y3264" s="35"/>
      <c r="Z3264" s="35"/>
      <c r="AA3264" s="35"/>
      <c r="AB3264" s="35"/>
      <c r="AC3264" s="35"/>
      <c r="AD3264" s="35"/>
      <c r="AE3264" s="35"/>
      <c r="AF3264" s="35"/>
      <c r="AG3264" s="35"/>
      <c r="AH3264" s="35"/>
      <c r="AI3264" s="35"/>
      <c r="AJ3264" s="35"/>
      <c r="AK3264" s="35"/>
      <c r="AL3264" s="35"/>
    </row>
    <row r="3265" ht="52.5" customHeight="1">
      <c r="A3265" s="55"/>
      <c r="B3265" s="19" t="s">
        <v>15523</v>
      </c>
      <c r="C3265" s="20" t="s">
        <v>15653</v>
      </c>
      <c r="D3265" s="47"/>
      <c r="E3265" s="56" t="s">
        <v>15654</v>
      </c>
      <c r="F3265" s="22" t="s">
        <v>299</v>
      </c>
      <c r="G3265" s="57">
        <v>1992.0</v>
      </c>
      <c r="H3265" s="22" t="s">
        <v>292</v>
      </c>
      <c r="I3265" s="58" t="s">
        <v>15655</v>
      </c>
      <c r="J3265" s="56" t="s">
        <v>15656</v>
      </c>
      <c r="K3265" s="56"/>
      <c r="L3265" s="69">
        <v>904.0</v>
      </c>
      <c r="M3265" s="69">
        <v>27.0</v>
      </c>
      <c r="N3265" s="69"/>
      <c r="O3265" s="69"/>
      <c r="P3265" s="70"/>
      <c r="Q3265" s="69"/>
      <c r="R3265" s="69"/>
      <c r="S3265" s="69"/>
      <c r="T3265" s="63" t="s">
        <v>15657</v>
      </c>
      <c r="U3265" s="66" t="str">
        <f>HYPERLINK("https://www.jstage.jst.go.jp/article/islsm/4/2/4_92-OR-09/_article/-char/en","J-STAGE")</f>
        <v>J-STAGE</v>
      </c>
      <c r="V3265" s="50"/>
      <c r="W3265" s="49"/>
      <c r="X3265" s="49"/>
      <c r="Y3265" s="35"/>
      <c r="Z3265" s="35"/>
      <c r="AA3265" s="35"/>
      <c r="AB3265" s="35"/>
      <c r="AC3265" s="35"/>
      <c r="AD3265" s="35"/>
      <c r="AE3265" s="35"/>
      <c r="AF3265" s="35"/>
      <c r="AG3265" s="35"/>
      <c r="AH3265" s="35"/>
      <c r="AI3265" s="35"/>
      <c r="AJ3265" s="35"/>
      <c r="AK3265" s="35"/>
      <c r="AL3265" s="35"/>
    </row>
    <row r="3266">
      <c r="A3266" s="1"/>
      <c r="B3266" s="19" t="s">
        <v>15523</v>
      </c>
      <c r="C3266" s="20" t="s">
        <v>15658</v>
      </c>
      <c r="D3266" s="47"/>
      <c r="E3266" s="22" t="s">
        <v>5065</v>
      </c>
      <c r="F3266" s="22" t="s">
        <v>540</v>
      </c>
      <c r="G3266" s="23">
        <v>2017.0</v>
      </c>
      <c r="H3266" s="22" t="s">
        <v>15659</v>
      </c>
      <c r="I3266" s="24" t="s">
        <v>15660</v>
      </c>
      <c r="J3266" s="22" t="s">
        <v>15661</v>
      </c>
      <c r="K3266" s="22" t="s">
        <v>1240</v>
      </c>
      <c r="L3266" s="36">
        <v>1064.0</v>
      </c>
      <c r="M3266" s="36" t="s">
        <v>15662</v>
      </c>
      <c r="N3266" s="36"/>
      <c r="O3266" s="36"/>
      <c r="P3266" s="37" t="s">
        <v>14872</v>
      </c>
      <c r="Q3266" s="36"/>
      <c r="R3266" s="36"/>
      <c r="S3266" s="36"/>
      <c r="T3266" s="28" t="s">
        <v>15663</v>
      </c>
      <c r="U3266" s="38" t="str">
        <f>HYPERLINK("https://www.ncbi.nlm.nih.gov/pubmed/28756937","PubMed")</f>
        <v>PubMed</v>
      </c>
      <c r="V3266" s="50"/>
      <c r="W3266" s="49"/>
      <c r="X3266" s="49"/>
      <c r="Y3266" s="35"/>
      <c r="Z3266" s="35"/>
      <c r="AA3266" s="35"/>
      <c r="AB3266" s="35"/>
      <c r="AC3266" s="35"/>
      <c r="AD3266" s="35"/>
      <c r="AE3266" s="35"/>
      <c r="AF3266" s="35"/>
      <c r="AG3266" s="35"/>
      <c r="AH3266" s="35"/>
      <c r="AI3266" s="35"/>
      <c r="AJ3266" s="35"/>
      <c r="AK3266" s="35"/>
      <c r="AL3266" s="35"/>
    </row>
    <row r="3267">
      <c r="A3267" s="1"/>
      <c r="B3267" s="19" t="s">
        <v>15523</v>
      </c>
      <c r="C3267" s="20" t="s">
        <v>15658</v>
      </c>
      <c r="D3267" s="47"/>
      <c r="E3267" s="22" t="s">
        <v>5065</v>
      </c>
      <c r="F3267" s="22" t="s">
        <v>540</v>
      </c>
      <c r="G3267" s="23">
        <v>2016.0</v>
      </c>
      <c r="H3267" s="22" t="s">
        <v>4975</v>
      </c>
      <c r="I3267" s="24" t="s">
        <v>15664</v>
      </c>
      <c r="J3267" s="22" t="s">
        <v>15661</v>
      </c>
      <c r="K3267" s="22" t="s">
        <v>15665</v>
      </c>
      <c r="L3267" s="36" t="s">
        <v>15666</v>
      </c>
      <c r="M3267" s="36"/>
      <c r="N3267" s="36"/>
      <c r="O3267" s="36"/>
      <c r="P3267" s="37" t="s">
        <v>15667</v>
      </c>
      <c r="Q3267" s="36"/>
      <c r="R3267" s="36"/>
      <c r="S3267" s="36"/>
      <c r="T3267" s="28" t="s">
        <v>15668</v>
      </c>
      <c r="U3267" s="38" t="str">
        <f>HYPERLINK("https://www.ncbi.nlm.nih.gov/pubmed/27716941","PubMed")</f>
        <v>PubMed</v>
      </c>
      <c r="V3267" s="50"/>
      <c r="W3267" s="49"/>
      <c r="X3267" s="49"/>
      <c r="Y3267" s="35"/>
      <c r="Z3267" s="35"/>
      <c r="AA3267" s="35"/>
      <c r="AB3267" s="35"/>
      <c r="AC3267" s="35"/>
      <c r="AD3267" s="35"/>
      <c r="AE3267" s="35"/>
      <c r="AF3267" s="35"/>
      <c r="AG3267" s="35"/>
      <c r="AH3267" s="35"/>
      <c r="AI3267" s="35"/>
      <c r="AJ3267" s="35"/>
      <c r="AK3267" s="35"/>
      <c r="AL3267" s="35"/>
    </row>
    <row r="3268">
      <c r="A3268" s="1"/>
      <c r="B3268" s="19" t="s">
        <v>15523</v>
      </c>
      <c r="C3268" s="20" t="s">
        <v>15658</v>
      </c>
      <c r="D3268" s="47"/>
      <c r="E3268" s="22" t="s">
        <v>5065</v>
      </c>
      <c r="F3268" s="22" t="s">
        <v>540</v>
      </c>
      <c r="G3268" s="23">
        <v>2016.0</v>
      </c>
      <c r="H3268" s="22" t="s">
        <v>91</v>
      </c>
      <c r="I3268" s="24" t="s">
        <v>15669</v>
      </c>
      <c r="J3268" s="22" t="s">
        <v>15661</v>
      </c>
      <c r="K3268" s="22" t="s">
        <v>4400</v>
      </c>
      <c r="L3268" s="36">
        <v>808.0</v>
      </c>
      <c r="M3268" s="36"/>
      <c r="N3268" s="36"/>
      <c r="O3268" s="36"/>
      <c r="P3268" s="37"/>
      <c r="Q3268" s="36"/>
      <c r="R3268" s="36"/>
      <c r="S3268" s="36"/>
      <c r="T3268" s="28" t="s">
        <v>15670</v>
      </c>
      <c r="U3268" s="38" t="str">
        <f>HYPERLINK("https://www.ncbi.nlm.nih.gov/pubmed/26984347","PubMed")</f>
        <v>PubMed</v>
      </c>
      <c r="V3268" s="50"/>
      <c r="W3268" s="49"/>
      <c r="X3268" s="49"/>
      <c r="Y3268" s="35"/>
      <c r="Z3268" s="35"/>
      <c r="AA3268" s="35"/>
      <c r="AB3268" s="35"/>
      <c r="AC3268" s="35"/>
      <c r="AD3268" s="35"/>
      <c r="AE3268" s="35"/>
      <c r="AF3268" s="35"/>
      <c r="AG3268" s="35"/>
      <c r="AH3268" s="35"/>
      <c r="AI3268" s="35"/>
      <c r="AJ3268" s="35"/>
      <c r="AK3268" s="35"/>
      <c r="AL3268" s="35"/>
    </row>
    <row r="3269">
      <c r="A3269" s="1"/>
      <c r="B3269" s="19" t="s">
        <v>15523</v>
      </c>
      <c r="C3269" s="20" t="s">
        <v>15658</v>
      </c>
      <c r="D3269" s="47"/>
      <c r="E3269" s="22" t="s">
        <v>5065</v>
      </c>
      <c r="F3269" s="22" t="s">
        <v>540</v>
      </c>
      <c r="G3269" s="23">
        <v>2015.0</v>
      </c>
      <c r="H3269" s="22" t="s">
        <v>15671</v>
      </c>
      <c r="I3269" s="24" t="s">
        <v>15672</v>
      </c>
      <c r="J3269" s="22" t="s">
        <v>15661</v>
      </c>
      <c r="K3269" s="22"/>
      <c r="L3269" s="36">
        <v>808.0</v>
      </c>
      <c r="M3269" s="36"/>
      <c r="N3269" s="36"/>
      <c r="O3269" s="36"/>
      <c r="P3269" s="37"/>
      <c r="Q3269" s="36"/>
      <c r="R3269" s="36"/>
      <c r="S3269" s="36"/>
      <c r="T3269" s="28" t="s">
        <v>15673</v>
      </c>
      <c r="U3269" s="38" t="str">
        <f>HYPERLINK("http://www.ncbi.nlm.nih.gov/pubmed/26256394","PubMed")</f>
        <v>PubMed</v>
      </c>
      <c r="V3269" s="50"/>
      <c r="W3269" s="49"/>
      <c r="X3269" s="49"/>
      <c r="Y3269" s="35"/>
      <c r="Z3269" s="35"/>
      <c r="AA3269" s="35"/>
      <c r="AB3269" s="35"/>
      <c r="AC3269" s="35"/>
      <c r="AD3269" s="35"/>
      <c r="AE3269" s="35"/>
      <c r="AF3269" s="35"/>
      <c r="AG3269" s="35"/>
      <c r="AH3269" s="35"/>
      <c r="AI3269" s="35"/>
      <c r="AJ3269" s="35"/>
      <c r="AK3269" s="35"/>
      <c r="AL3269" s="35"/>
    </row>
    <row r="3270">
      <c r="A3270" s="1"/>
      <c r="B3270" s="19" t="s">
        <v>15523</v>
      </c>
      <c r="C3270" s="20" t="s">
        <v>15658</v>
      </c>
      <c r="D3270" s="47"/>
      <c r="E3270" s="22" t="s">
        <v>5065</v>
      </c>
      <c r="F3270" s="22" t="s">
        <v>540</v>
      </c>
      <c r="G3270" s="23">
        <v>2015.0</v>
      </c>
      <c r="H3270" s="22" t="s">
        <v>658</v>
      </c>
      <c r="I3270" s="24" t="s">
        <v>15674</v>
      </c>
      <c r="J3270" s="22" t="s">
        <v>15661</v>
      </c>
      <c r="K3270" s="22"/>
      <c r="L3270" s="36">
        <v>808.0</v>
      </c>
      <c r="M3270" s="36">
        <v>1000.0</v>
      </c>
      <c r="N3270" s="36"/>
      <c r="O3270" s="36"/>
      <c r="P3270" s="37" t="s">
        <v>15675</v>
      </c>
      <c r="Q3270" s="36" t="s">
        <v>2891</v>
      </c>
      <c r="R3270" s="36">
        <v>50.0</v>
      </c>
      <c r="S3270" s="36"/>
      <c r="T3270" s="28" t="s">
        <v>15676</v>
      </c>
      <c r="U3270" s="38" t="str">
        <f>HYPERLINK("https://www.ncbi.nlm.nih.gov/pubmed/25555194","PubMed")</f>
        <v>PubMed</v>
      </c>
      <c r="V3270" s="50"/>
      <c r="W3270" s="49"/>
      <c r="X3270" s="49"/>
      <c r="Y3270" s="35"/>
      <c r="Z3270" s="35"/>
      <c r="AA3270" s="35"/>
      <c r="AB3270" s="35"/>
      <c r="AC3270" s="35"/>
      <c r="AD3270" s="35"/>
      <c r="AE3270" s="35"/>
      <c r="AF3270" s="35"/>
      <c r="AG3270" s="35"/>
      <c r="AH3270" s="35"/>
      <c r="AI3270" s="35"/>
      <c r="AJ3270" s="35"/>
      <c r="AK3270" s="35"/>
      <c r="AL3270" s="35"/>
    </row>
    <row r="3271">
      <c r="A3271" s="1"/>
      <c r="B3271" s="19" t="s">
        <v>15523</v>
      </c>
      <c r="C3271" s="20" t="s">
        <v>15658</v>
      </c>
      <c r="D3271" s="47"/>
      <c r="E3271" s="22" t="s">
        <v>5065</v>
      </c>
      <c r="F3271" s="22" t="s">
        <v>540</v>
      </c>
      <c r="G3271" s="23">
        <v>2015.0</v>
      </c>
      <c r="H3271" s="22" t="s">
        <v>4975</v>
      </c>
      <c r="I3271" s="24" t="s">
        <v>15677</v>
      </c>
      <c r="J3271" s="22" t="s">
        <v>15661</v>
      </c>
      <c r="K3271" s="22"/>
      <c r="L3271" s="36">
        <v>808.0</v>
      </c>
      <c r="M3271" s="36"/>
      <c r="N3271" s="36"/>
      <c r="O3271" s="36"/>
      <c r="P3271" s="37"/>
      <c r="Q3271" s="36"/>
      <c r="R3271" s="36"/>
      <c r="S3271" s="36"/>
      <c r="T3271" s="28" t="s">
        <v>15678</v>
      </c>
      <c r="U3271" s="38" t="str">
        <f>HYPERLINK("https://www.ncbi.nlm.nih.gov/pubmed/26118482","PubMed")</f>
        <v>PubMed</v>
      </c>
      <c r="V3271" s="50"/>
      <c r="W3271" s="49"/>
      <c r="X3271" s="49"/>
      <c r="Y3271" s="35"/>
      <c r="Z3271" s="35"/>
      <c r="AA3271" s="35"/>
      <c r="AB3271" s="35"/>
      <c r="AC3271" s="35"/>
      <c r="AD3271" s="35"/>
      <c r="AE3271" s="35"/>
      <c r="AF3271" s="35"/>
      <c r="AG3271" s="35"/>
      <c r="AH3271" s="35"/>
      <c r="AI3271" s="35"/>
      <c r="AJ3271" s="35"/>
      <c r="AK3271" s="35"/>
      <c r="AL3271" s="35"/>
    </row>
    <row r="3272">
      <c r="A3272" s="1"/>
      <c r="B3272" s="19" t="s">
        <v>15523</v>
      </c>
      <c r="C3272" s="20" t="s">
        <v>15661</v>
      </c>
      <c r="D3272" s="47"/>
      <c r="E3272" s="22" t="s">
        <v>15679</v>
      </c>
      <c r="F3272" s="22" t="s">
        <v>15680</v>
      </c>
      <c r="G3272" s="23">
        <v>2004.0</v>
      </c>
      <c r="H3272" s="22" t="s">
        <v>4975</v>
      </c>
      <c r="I3272" s="24" t="s">
        <v>15681</v>
      </c>
      <c r="J3272" s="22" t="s">
        <v>15661</v>
      </c>
      <c r="K3272" s="22" t="s">
        <v>15682</v>
      </c>
      <c r="L3272" s="36" t="s">
        <v>15683</v>
      </c>
      <c r="M3272" s="36"/>
      <c r="N3272" s="36"/>
      <c r="O3272" s="36"/>
      <c r="P3272" s="37"/>
      <c r="Q3272" s="36"/>
      <c r="R3272" s="36"/>
      <c r="S3272" s="36"/>
      <c r="T3272" s="28" t="s">
        <v>15684</v>
      </c>
      <c r="U3272" s="38" t="str">
        <f>HYPERLINK("https://www.ncbi.nlm.nih.gov/pubmed/15623340","PubMed")</f>
        <v>PubMed</v>
      </c>
      <c r="V3272" s="50"/>
      <c r="W3272" s="49"/>
      <c r="X3272" s="49"/>
      <c r="Y3272" s="35"/>
      <c r="Z3272" s="35"/>
      <c r="AA3272" s="35"/>
      <c r="AB3272" s="35"/>
      <c r="AC3272" s="35"/>
      <c r="AD3272" s="35"/>
      <c r="AE3272" s="35"/>
      <c r="AF3272" s="35"/>
      <c r="AG3272" s="35"/>
      <c r="AH3272" s="35"/>
      <c r="AI3272" s="35"/>
      <c r="AJ3272" s="35"/>
      <c r="AK3272" s="35"/>
      <c r="AL3272" s="35"/>
    </row>
    <row r="3273" ht="52.5" customHeight="1">
      <c r="A3273" s="55"/>
      <c r="B3273" s="19" t="s">
        <v>15523</v>
      </c>
      <c r="C3273" s="20" t="s">
        <v>15685</v>
      </c>
      <c r="D3273" s="47"/>
      <c r="E3273" s="56" t="s">
        <v>15686</v>
      </c>
      <c r="F3273" s="22" t="s">
        <v>5110</v>
      </c>
      <c r="G3273" s="57">
        <v>1984.0</v>
      </c>
      <c r="H3273" s="22" t="s">
        <v>15478</v>
      </c>
      <c r="I3273" s="58" t="s">
        <v>15687</v>
      </c>
      <c r="J3273" s="56" t="s">
        <v>15688</v>
      </c>
      <c r="K3273" s="56"/>
      <c r="L3273" s="69">
        <v>633.0</v>
      </c>
      <c r="M3273" s="69"/>
      <c r="N3273" s="69"/>
      <c r="O3273" s="69"/>
      <c r="P3273" s="70"/>
      <c r="Q3273" s="69"/>
      <c r="R3273" s="69"/>
      <c r="S3273" s="69"/>
      <c r="T3273" s="63" t="s">
        <v>15689</v>
      </c>
      <c r="U3273" s="66" t="str">
        <f>HYPERLINK("https://www.hindawi.com/journals/lc/1984/560127/abs/","Hindawi")</f>
        <v>Hindawi</v>
      </c>
      <c r="V3273" s="50"/>
      <c r="W3273" s="49"/>
      <c r="X3273" s="49"/>
      <c r="Y3273" s="35"/>
      <c r="Z3273" s="35"/>
      <c r="AA3273" s="35"/>
      <c r="AB3273" s="35"/>
      <c r="AC3273" s="35"/>
      <c r="AD3273" s="35"/>
      <c r="AE3273" s="35"/>
      <c r="AF3273" s="35"/>
      <c r="AG3273" s="35"/>
      <c r="AH3273" s="35"/>
      <c r="AI3273" s="35"/>
      <c r="AJ3273" s="35"/>
      <c r="AK3273" s="35"/>
      <c r="AL3273" s="35"/>
    </row>
    <row r="3274" ht="52.5" customHeight="1">
      <c r="A3274" s="55"/>
      <c r="B3274" s="19" t="s">
        <v>15523</v>
      </c>
      <c r="C3274" s="20" t="s">
        <v>15690</v>
      </c>
      <c r="D3274" s="47"/>
      <c r="E3274" s="56" t="s">
        <v>15691</v>
      </c>
      <c r="F3274" s="22" t="s">
        <v>15692</v>
      </c>
      <c r="G3274" s="57">
        <v>2015.0</v>
      </c>
      <c r="H3274" s="22" t="s">
        <v>15693</v>
      </c>
      <c r="I3274" s="58" t="s">
        <v>15694</v>
      </c>
      <c r="J3274" s="56" t="s">
        <v>15695</v>
      </c>
      <c r="K3274" s="56"/>
      <c r="L3274" s="69" t="s">
        <v>4503</v>
      </c>
      <c r="M3274" s="69"/>
      <c r="N3274" s="69"/>
      <c r="O3274" s="69"/>
      <c r="P3274" s="70"/>
      <c r="Q3274" s="69"/>
      <c r="R3274" s="69"/>
      <c r="S3274" s="69"/>
      <c r="T3274" s="310" t="s">
        <v>15696</v>
      </c>
      <c r="U3274" s="66" t="str">
        <f>HYPERLINK("https://www.ncbi.nlm.nih.gov/pubmed/26173694","PubMed")</f>
        <v>PubMed</v>
      </c>
      <c r="V3274" s="50"/>
      <c r="W3274" s="49"/>
      <c r="X3274" s="49"/>
      <c r="Y3274" s="35"/>
      <c r="Z3274" s="35"/>
      <c r="AA3274" s="35"/>
      <c r="AB3274" s="35"/>
      <c r="AC3274" s="35"/>
      <c r="AD3274" s="35"/>
      <c r="AE3274" s="35"/>
      <c r="AF3274" s="35"/>
      <c r="AG3274" s="35"/>
      <c r="AH3274" s="35"/>
      <c r="AI3274" s="35"/>
      <c r="AJ3274" s="35"/>
      <c r="AK3274" s="35"/>
      <c r="AL3274" s="35"/>
    </row>
    <row r="3275" ht="52.5" customHeight="1">
      <c r="A3275" s="55"/>
      <c r="B3275" s="19" t="s">
        <v>15523</v>
      </c>
      <c r="C3275" s="20" t="s">
        <v>15697</v>
      </c>
      <c r="D3275" s="47"/>
      <c r="E3275" s="56" t="s">
        <v>15698</v>
      </c>
      <c r="F3275" s="22" t="s">
        <v>5404</v>
      </c>
      <c r="G3275" s="57">
        <v>2018.0</v>
      </c>
      <c r="H3275" s="22" t="s">
        <v>91</v>
      </c>
      <c r="I3275" s="58" t="s">
        <v>15699</v>
      </c>
      <c r="J3275" s="56" t="s">
        <v>15700</v>
      </c>
      <c r="K3275" s="56"/>
      <c r="L3275" s="69" t="s">
        <v>13068</v>
      </c>
      <c r="M3275" s="69"/>
      <c r="N3275" s="69"/>
      <c r="O3275" s="69"/>
      <c r="P3275" s="70"/>
      <c r="Q3275" s="69"/>
      <c r="R3275" s="69"/>
      <c r="S3275" s="69"/>
      <c r="T3275" s="71" t="s">
        <v>15701</v>
      </c>
      <c r="U3275" s="66" t="str">
        <f>HYPERLINK("https://www.ncbi.nlm.nih.gov/pubmed/30145724","PubMed")</f>
        <v>PubMed</v>
      </c>
      <c r="V3275" s="50"/>
      <c r="W3275" s="49"/>
      <c r="X3275" s="49"/>
      <c r="Y3275" s="35"/>
      <c r="Z3275" s="35"/>
      <c r="AA3275" s="35"/>
      <c r="AB3275" s="35"/>
      <c r="AC3275" s="35"/>
      <c r="AD3275" s="35"/>
      <c r="AE3275" s="35"/>
      <c r="AF3275" s="35"/>
      <c r="AG3275" s="35"/>
      <c r="AH3275" s="35"/>
      <c r="AI3275" s="35"/>
      <c r="AJ3275" s="35"/>
      <c r="AK3275" s="35"/>
      <c r="AL3275" s="35"/>
    </row>
    <row r="3276" ht="52.5" customHeight="1">
      <c r="A3276" s="55"/>
      <c r="B3276" s="19" t="s">
        <v>15523</v>
      </c>
      <c r="C3276" s="20" t="s">
        <v>15697</v>
      </c>
      <c r="D3276" s="47"/>
      <c r="E3276" s="56" t="s">
        <v>2837</v>
      </c>
      <c r="F3276" s="22" t="s">
        <v>400</v>
      </c>
      <c r="G3276" s="57">
        <v>2016.0</v>
      </c>
      <c r="H3276" s="22" t="s">
        <v>15702</v>
      </c>
      <c r="I3276" s="58" t="s">
        <v>15703</v>
      </c>
      <c r="J3276" s="56" t="s">
        <v>15700</v>
      </c>
      <c r="K3276" s="56"/>
      <c r="L3276" s="69">
        <v>830.0</v>
      </c>
      <c r="M3276" s="69">
        <v>40.0</v>
      </c>
      <c r="N3276" s="69"/>
      <c r="O3276" s="69"/>
      <c r="P3276" s="70"/>
      <c r="Q3276" s="69"/>
      <c r="R3276" s="69"/>
      <c r="S3276" s="69"/>
      <c r="T3276" s="74" t="s">
        <v>15704</v>
      </c>
      <c r="U3276" s="66" t="str">
        <f>HYPERLINK("https://www.spiedigitallibrary.org/conference-proceedings-of-spie/9695/96950P/Effect-of-Low-Level-Laser-therapy-on-the-fungal-proliferation/10.1117/12.2214269.short?SSO=1","SPIE")</f>
        <v>SPIE</v>
      </c>
      <c r="V3276" s="50"/>
      <c r="W3276" s="49"/>
      <c r="X3276" s="49"/>
      <c r="Y3276" s="35"/>
      <c r="Z3276" s="35"/>
      <c r="AA3276" s="35"/>
      <c r="AB3276" s="35"/>
      <c r="AC3276" s="35"/>
      <c r="AD3276" s="35"/>
      <c r="AE3276" s="35"/>
      <c r="AF3276" s="35"/>
      <c r="AG3276" s="35"/>
      <c r="AH3276" s="35"/>
      <c r="AI3276" s="35"/>
      <c r="AJ3276" s="35"/>
      <c r="AK3276" s="35"/>
      <c r="AL3276" s="35"/>
    </row>
    <row r="3277" ht="52.5" customHeight="1">
      <c r="A3277" s="55"/>
      <c r="B3277" s="19" t="s">
        <v>15523</v>
      </c>
      <c r="C3277" s="20" t="s">
        <v>15697</v>
      </c>
      <c r="D3277" s="47"/>
      <c r="E3277" s="56" t="s">
        <v>1080</v>
      </c>
      <c r="F3277" s="22" t="s">
        <v>6828</v>
      </c>
      <c r="G3277" s="57">
        <v>1995.0</v>
      </c>
      <c r="H3277" s="22" t="s">
        <v>292</v>
      </c>
      <c r="I3277" s="58" t="s">
        <v>15705</v>
      </c>
      <c r="J3277" s="56" t="s">
        <v>15700</v>
      </c>
      <c r="K3277" s="56" t="s">
        <v>15706</v>
      </c>
      <c r="L3277" s="69">
        <v>904.0</v>
      </c>
      <c r="M3277" s="69"/>
      <c r="N3277" s="69"/>
      <c r="O3277" s="69"/>
      <c r="P3277" s="70"/>
      <c r="Q3277" s="69"/>
      <c r="R3277" s="69"/>
      <c r="S3277" s="69"/>
      <c r="T3277" s="74" t="s">
        <v>15707</v>
      </c>
      <c r="U3277" s="66" t="str">
        <f>HYPERLINK("https://www.jstage.jst.go.jp/article/islsm/7/4/7_95-OR-18/_article/-char/en","J-STAGE")</f>
        <v>J-STAGE</v>
      </c>
      <c r="V3277" s="50"/>
      <c r="W3277" s="49"/>
      <c r="X3277" s="49"/>
      <c r="Y3277" s="35"/>
      <c r="Z3277" s="35"/>
      <c r="AA3277" s="35"/>
      <c r="AB3277" s="35"/>
      <c r="AC3277" s="35"/>
      <c r="AD3277" s="35"/>
      <c r="AE3277" s="35"/>
      <c r="AF3277" s="35"/>
      <c r="AG3277" s="35"/>
      <c r="AH3277" s="35"/>
      <c r="AI3277" s="35"/>
      <c r="AJ3277" s="35"/>
      <c r="AK3277" s="35"/>
      <c r="AL3277" s="35"/>
    </row>
    <row r="3278" ht="52.5" customHeight="1">
      <c r="A3278" s="55"/>
      <c r="B3278" s="19" t="s">
        <v>15523</v>
      </c>
      <c r="C3278" s="20" t="s">
        <v>15697</v>
      </c>
      <c r="D3278" s="47"/>
      <c r="E3278" s="56" t="s">
        <v>1080</v>
      </c>
      <c r="F3278" s="22" t="s">
        <v>6828</v>
      </c>
      <c r="G3278" s="57">
        <v>1995.0</v>
      </c>
      <c r="H3278" s="22" t="s">
        <v>292</v>
      </c>
      <c r="I3278" s="58" t="s">
        <v>15708</v>
      </c>
      <c r="J3278" s="56" t="s">
        <v>15700</v>
      </c>
      <c r="K3278" s="56"/>
      <c r="L3278" s="69">
        <v>904.0</v>
      </c>
      <c r="M3278" s="69"/>
      <c r="N3278" s="69"/>
      <c r="O3278" s="69"/>
      <c r="P3278" s="70"/>
      <c r="Q3278" s="69"/>
      <c r="R3278" s="69"/>
      <c r="S3278" s="69"/>
      <c r="T3278" s="71" t="s">
        <v>15709</v>
      </c>
      <c r="U3278" s="66" t="str">
        <f>HYPERLINK("https://www.jstage.jst.go.jp/article/islsm/7/2/7_95-OR-08/_article","J-STAGE")</f>
        <v>J-STAGE</v>
      </c>
      <c r="V3278" s="50"/>
      <c r="W3278" s="49"/>
      <c r="X3278" s="49"/>
      <c r="Y3278" s="35"/>
      <c r="Z3278" s="35"/>
      <c r="AA3278" s="35"/>
      <c r="AB3278" s="35"/>
      <c r="AC3278" s="35"/>
      <c r="AD3278" s="35"/>
      <c r="AE3278" s="35"/>
      <c r="AF3278" s="35"/>
      <c r="AG3278" s="35"/>
      <c r="AH3278" s="35"/>
      <c r="AI3278" s="35"/>
      <c r="AJ3278" s="35"/>
      <c r="AK3278" s="35"/>
      <c r="AL3278" s="35"/>
    </row>
    <row r="3279" ht="52.5" customHeight="1">
      <c r="A3279" s="55"/>
      <c r="B3279" s="19" t="s">
        <v>15523</v>
      </c>
      <c r="C3279" s="20" t="s">
        <v>15697</v>
      </c>
      <c r="D3279" s="47"/>
      <c r="E3279" s="56" t="s">
        <v>1080</v>
      </c>
      <c r="F3279" s="22" t="s">
        <v>6828</v>
      </c>
      <c r="G3279" s="57">
        <v>1994.0</v>
      </c>
      <c r="H3279" s="22" t="s">
        <v>292</v>
      </c>
      <c r="I3279" s="58" t="s">
        <v>15710</v>
      </c>
      <c r="J3279" s="56" t="s">
        <v>15700</v>
      </c>
      <c r="K3279" s="56" t="s">
        <v>1413</v>
      </c>
      <c r="L3279" s="69">
        <v>904.0</v>
      </c>
      <c r="M3279" s="69"/>
      <c r="N3279" s="69"/>
      <c r="O3279" s="69"/>
      <c r="P3279" s="70"/>
      <c r="Q3279" s="69"/>
      <c r="R3279" s="69"/>
      <c r="S3279" s="69"/>
      <c r="T3279" s="74" t="s">
        <v>15711</v>
      </c>
      <c r="U3279" s="66" t="str">
        <f>HYPERLINK("https://www.jstage.jst.go.jp/article/islsm/6/3/6_94-OR-11/_article","J-STAGE")</f>
        <v>J-STAGE</v>
      </c>
      <c r="V3279" s="50"/>
      <c r="W3279" s="49"/>
      <c r="X3279" s="49"/>
      <c r="Y3279" s="35"/>
      <c r="Z3279" s="35"/>
      <c r="AA3279" s="35"/>
      <c r="AB3279" s="35"/>
      <c r="AC3279" s="35"/>
      <c r="AD3279" s="35"/>
      <c r="AE3279" s="35"/>
      <c r="AF3279" s="35"/>
      <c r="AG3279" s="35"/>
      <c r="AH3279" s="35"/>
      <c r="AI3279" s="35"/>
      <c r="AJ3279" s="35"/>
      <c r="AK3279" s="35"/>
      <c r="AL3279" s="35"/>
    </row>
    <row r="3280" ht="52.5" customHeight="1">
      <c r="A3280" s="55"/>
      <c r="B3280" s="19" t="s">
        <v>15523</v>
      </c>
      <c r="C3280" s="20" t="s">
        <v>15712</v>
      </c>
      <c r="D3280" s="47"/>
      <c r="E3280" s="56" t="s">
        <v>6044</v>
      </c>
      <c r="F3280" s="22" t="s">
        <v>2437</v>
      </c>
      <c r="G3280" s="57">
        <v>2007.0</v>
      </c>
      <c r="H3280" s="22" t="s">
        <v>15713</v>
      </c>
      <c r="I3280" s="58" t="s">
        <v>15714</v>
      </c>
      <c r="J3280" s="56" t="s">
        <v>15715</v>
      </c>
      <c r="K3280" s="56"/>
      <c r="L3280" s="69">
        <v>633.0</v>
      </c>
      <c r="M3280" s="69"/>
      <c r="N3280" s="69"/>
      <c r="O3280" s="69"/>
      <c r="P3280" s="70"/>
      <c r="Q3280" s="69"/>
      <c r="R3280" s="69"/>
      <c r="S3280" s="69"/>
      <c r="T3280" s="63" t="s">
        <v>15716</v>
      </c>
      <c r="U3280" s="66" t="str">
        <f>HYPERLINK("http://aem.asm.org/content/73/1/226.full","ASM")</f>
        <v>ASM</v>
      </c>
      <c r="V3280" s="50"/>
      <c r="W3280" s="49"/>
      <c r="X3280" s="49"/>
      <c r="Y3280" s="35"/>
      <c r="Z3280" s="35"/>
      <c r="AA3280" s="35"/>
      <c r="AB3280" s="35"/>
      <c r="AC3280" s="35"/>
      <c r="AD3280" s="35"/>
      <c r="AE3280" s="35"/>
      <c r="AF3280" s="35"/>
      <c r="AG3280" s="35"/>
      <c r="AH3280" s="35"/>
      <c r="AI3280" s="35"/>
      <c r="AJ3280" s="35"/>
      <c r="AK3280" s="35"/>
      <c r="AL3280" s="35"/>
    </row>
    <row r="3281" ht="52.5" customHeight="1">
      <c r="A3281" s="55"/>
      <c r="B3281" s="19" t="s">
        <v>15523</v>
      </c>
      <c r="C3281" s="20" t="s">
        <v>15717</v>
      </c>
      <c r="D3281" s="47"/>
      <c r="E3281" s="56" t="s">
        <v>216</v>
      </c>
      <c r="F3281" s="22" t="s">
        <v>4296</v>
      </c>
      <c r="G3281" s="57">
        <v>2013.0</v>
      </c>
      <c r="H3281" s="22" t="s">
        <v>15718</v>
      </c>
      <c r="I3281" s="58" t="s">
        <v>15719</v>
      </c>
      <c r="J3281" s="56" t="s">
        <v>15720</v>
      </c>
      <c r="K3281" s="56" t="s">
        <v>15542</v>
      </c>
      <c r="L3281" s="69">
        <v>633.0</v>
      </c>
      <c r="M3281" s="69"/>
      <c r="N3281" s="69"/>
      <c r="O3281" s="69"/>
      <c r="P3281" s="70"/>
      <c r="Q3281" s="69"/>
      <c r="R3281" s="69"/>
      <c r="S3281" s="69"/>
      <c r="T3281" s="63" t="s">
        <v>15721</v>
      </c>
      <c r="U3281" s="66" t="str">
        <f>HYPERLINK("https://link.springer.com/article/10.1007/s13213-012-0514-8","Springer")</f>
        <v>Springer</v>
      </c>
      <c r="V3281" s="50"/>
      <c r="W3281" s="49"/>
      <c r="X3281" s="49"/>
      <c r="Y3281" s="35"/>
      <c r="Z3281" s="35"/>
      <c r="AA3281" s="35"/>
      <c r="AB3281" s="35"/>
      <c r="AC3281" s="35"/>
      <c r="AD3281" s="35"/>
      <c r="AE3281" s="35"/>
      <c r="AF3281" s="35"/>
      <c r="AG3281" s="35"/>
      <c r="AH3281" s="35"/>
      <c r="AI3281" s="35"/>
      <c r="AJ3281" s="35"/>
      <c r="AK3281" s="35"/>
      <c r="AL3281" s="35"/>
    </row>
    <row r="3282" ht="52.5" customHeight="1">
      <c r="A3282" s="55"/>
      <c r="B3282" s="19" t="s">
        <v>15523</v>
      </c>
      <c r="C3282" s="20" t="s">
        <v>15722</v>
      </c>
      <c r="D3282" s="47"/>
      <c r="E3282" s="56" t="s">
        <v>15723</v>
      </c>
      <c r="F3282" s="22" t="s">
        <v>15724</v>
      </c>
      <c r="G3282" s="57">
        <v>1993.0</v>
      </c>
      <c r="H3282" s="22" t="s">
        <v>4975</v>
      </c>
      <c r="I3282" s="58" t="s">
        <v>15725</v>
      </c>
      <c r="J3282" s="56" t="s">
        <v>15726</v>
      </c>
      <c r="K3282" s="56"/>
      <c r="L3282" s="69">
        <v>633.0</v>
      </c>
      <c r="M3282" s="69"/>
      <c r="N3282" s="69"/>
      <c r="O3282" s="69"/>
      <c r="P3282" s="70"/>
      <c r="Q3282" s="69"/>
      <c r="R3282" s="69"/>
      <c r="S3282" s="69"/>
      <c r="T3282" s="71" t="s">
        <v>15727</v>
      </c>
      <c r="U3282" s="66" t="str">
        <f>HYPERLINK("https://www.ncbi.nlm.nih.gov/pubmed/8451289","PubMed")</f>
        <v>PubMed</v>
      </c>
      <c r="V3282" s="50"/>
      <c r="W3282" s="49"/>
      <c r="X3282" s="49"/>
      <c r="Y3282" s="35"/>
      <c r="Z3282" s="35"/>
      <c r="AA3282" s="35"/>
      <c r="AB3282" s="35"/>
      <c r="AC3282" s="35"/>
      <c r="AD3282" s="35"/>
      <c r="AE3282" s="35"/>
      <c r="AF3282" s="35"/>
      <c r="AG3282" s="35"/>
      <c r="AH3282" s="35"/>
      <c r="AI3282" s="35"/>
      <c r="AJ3282" s="35"/>
      <c r="AK3282" s="35"/>
      <c r="AL3282" s="35"/>
    </row>
    <row r="3283">
      <c r="A3283" s="1"/>
      <c r="B3283" s="19" t="s">
        <v>15728</v>
      </c>
      <c r="C3283" s="20"/>
      <c r="D3283" s="47"/>
      <c r="E3283" s="22" t="s">
        <v>15729</v>
      </c>
      <c r="F3283" s="22" t="s">
        <v>15730</v>
      </c>
      <c r="G3283" s="23">
        <v>2023.0</v>
      </c>
      <c r="H3283" s="22" t="s">
        <v>147</v>
      </c>
      <c r="I3283" s="24" t="s">
        <v>15731</v>
      </c>
      <c r="J3283" s="22" t="s">
        <v>125</v>
      </c>
      <c r="K3283" s="22"/>
      <c r="L3283" s="167" t="s">
        <v>15732</v>
      </c>
      <c r="M3283" s="44"/>
      <c r="N3283" s="44"/>
      <c r="O3283" s="44"/>
      <c r="P3283" s="44"/>
      <c r="Q3283" s="44"/>
      <c r="R3283" s="44"/>
      <c r="S3283" s="44"/>
      <c r="T3283" s="45"/>
      <c r="U3283" s="38" t="s">
        <v>61</v>
      </c>
      <c r="V3283" s="30"/>
      <c r="W3283" s="31"/>
      <c r="X3283" s="31"/>
      <c r="Y3283" s="31"/>
      <c r="Z3283" s="32"/>
      <c r="AA3283" s="31"/>
      <c r="AB3283" s="31"/>
      <c r="AC3283" s="9"/>
      <c r="AD3283" s="31"/>
      <c r="AE3283" s="31"/>
      <c r="AF3283" s="33"/>
      <c r="AG3283" s="34"/>
      <c r="AH3283" s="31"/>
      <c r="AI3283" s="35"/>
      <c r="AJ3283" s="35"/>
      <c r="AK3283" s="35"/>
      <c r="AL3283" s="35"/>
    </row>
    <row r="3284">
      <c r="A3284" s="1"/>
      <c r="B3284" s="19" t="s">
        <v>14099</v>
      </c>
      <c r="C3284" s="20" t="s">
        <v>15733</v>
      </c>
      <c r="D3284" s="47"/>
      <c r="E3284" s="22" t="s">
        <v>15734</v>
      </c>
      <c r="F3284" s="22" t="s">
        <v>4704</v>
      </c>
      <c r="G3284" s="23">
        <v>2002.0</v>
      </c>
      <c r="H3284" s="22" t="s">
        <v>53</v>
      </c>
      <c r="I3284" s="24" t="s">
        <v>15735</v>
      </c>
      <c r="J3284" s="22" t="s">
        <v>15736</v>
      </c>
      <c r="K3284" s="22"/>
      <c r="L3284" s="36">
        <v>904.0</v>
      </c>
      <c r="M3284" s="36"/>
      <c r="N3284" s="36"/>
      <c r="O3284" s="36"/>
      <c r="P3284" s="37"/>
      <c r="Q3284" s="36"/>
      <c r="R3284" s="36"/>
      <c r="S3284" s="36"/>
      <c r="T3284" s="84" t="s">
        <v>15737</v>
      </c>
      <c r="U3284" s="38" t="str">
        <f>HYPERLINK("https://www.ncbi.nlm.nih.gov/pubmed/11891742","PubMed")</f>
        <v>PubMed</v>
      </c>
      <c r="V3284" s="30"/>
      <c r="W3284" s="31"/>
      <c r="X3284" s="31"/>
      <c r="Y3284" s="31"/>
      <c r="Z3284" s="32"/>
      <c r="AA3284" s="31"/>
      <c r="AB3284" s="31"/>
      <c r="AC3284" s="9"/>
      <c r="AD3284" s="31"/>
      <c r="AE3284" s="31"/>
      <c r="AF3284" s="33"/>
      <c r="AG3284" s="34"/>
      <c r="AH3284" s="31"/>
      <c r="AI3284" s="35"/>
      <c r="AJ3284" s="35"/>
      <c r="AK3284" s="35"/>
      <c r="AL3284" s="35"/>
    </row>
    <row r="3285">
      <c r="A3285" s="1"/>
      <c r="B3285" s="19" t="s">
        <v>14099</v>
      </c>
      <c r="C3285" s="20" t="s">
        <v>15738</v>
      </c>
      <c r="D3285" s="47"/>
      <c r="E3285" s="22" t="s">
        <v>15739</v>
      </c>
      <c r="F3285" s="22" t="s">
        <v>237</v>
      </c>
      <c r="G3285" s="23">
        <v>2022.0</v>
      </c>
      <c r="H3285" s="22" t="s">
        <v>13786</v>
      </c>
      <c r="I3285" s="24" t="s">
        <v>15740</v>
      </c>
      <c r="J3285" s="22" t="s">
        <v>44</v>
      </c>
      <c r="K3285" s="22" t="s">
        <v>15741</v>
      </c>
      <c r="L3285" s="36">
        <v>830.0</v>
      </c>
      <c r="M3285" s="36"/>
      <c r="N3285" s="36"/>
      <c r="O3285" s="36"/>
      <c r="P3285" s="37"/>
      <c r="Q3285" s="36"/>
      <c r="R3285" s="36"/>
      <c r="S3285" s="36" t="s">
        <v>15742</v>
      </c>
      <c r="T3285" s="83" t="s">
        <v>15743</v>
      </c>
      <c r="U3285" s="29" t="s">
        <v>61</v>
      </c>
      <c r="V3285" s="30"/>
      <c r="W3285" s="31"/>
      <c r="X3285" s="31"/>
      <c r="Y3285" s="31"/>
      <c r="Z3285" s="32"/>
      <c r="AA3285" s="31"/>
      <c r="AB3285" s="31"/>
      <c r="AC3285" s="9"/>
      <c r="AD3285" s="31"/>
      <c r="AE3285" s="31"/>
      <c r="AF3285" s="33"/>
      <c r="AG3285" s="34"/>
      <c r="AH3285" s="31"/>
      <c r="AI3285" s="35"/>
      <c r="AJ3285" s="35"/>
      <c r="AK3285" s="35"/>
      <c r="AL3285" s="35"/>
    </row>
    <row r="3286">
      <c r="A3286" s="1"/>
      <c r="B3286" s="19" t="s">
        <v>14099</v>
      </c>
      <c r="C3286" s="20" t="s">
        <v>15738</v>
      </c>
      <c r="D3286" s="47"/>
      <c r="E3286" s="22" t="s">
        <v>15744</v>
      </c>
      <c r="F3286" s="22" t="s">
        <v>1426</v>
      </c>
      <c r="G3286" s="23">
        <v>2013.0</v>
      </c>
      <c r="H3286" s="22" t="s">
        <v>658</v>
      </c>
      <c r="I3286" s="24" t="s">
        <v>15745</v>
      </c>
      <c r="J3286" s="22" t="s">
        <v>55</v>
      </c>
      <c r="K3286" s="22" t="s">
        <v>15741</v>
      </c>
      <c r="L3286" s="36">
        <v>633.0</v>
      </c>
      <c r="M3286" s="36">
        <v>35.0</v>
      </c>
      <c r="N3286" s="36"/>
      <c r="O3286" s="36"/>
      <c r="P3286" s="37"/>
      <c r="Q3286" s="36"/>
      <c r="R3286" s="36">
        <v>1800.0</v>
      </c>
      <c r="S3286" s="36"/>
      <c r="T3286" s="84" t="s">
        <v>15746</v>
      </c>
      <c r="U3286" s="38" t="str">
        <f>HYPERLINK("https://www.ncbi.nlm.nih.gov/pubmed/24102168","PubMed")</f>
        <v>PubMed</v>
      </c>
      <c r="V3286" s="30"/>
      <c r="W3286" s="31"/>
      <c r="X3286" s="31"/>
      <c r="Y3286" s="31"/>
      <c r="Z3286" s="32"/>
      <c r="AA3286" s="31"/>
      <c r="AB3286" s="31"/>
      <c r="AC3286" s="9"/>
      <c r="AD3286" s="31"/>
      <c r="AE3286" s="31"/>
      <c r="AF3286" s="33"/>
      <c r="AG3286" s="34"/>
      <c r="AH3286" s="31"/>
      <c r="AI3286" s="35"/>
      <c r="AJ3286" s="35"/>
      <c r="AK3286" s="35"/>
      <c r="AL3286" s="35"/>
    </row>
    <row r="3287">
      <c r="A3287" s="133"/>
      <c r="B3287" s="19" t="s">
        <v>14099</v>
      </c>
      <c r="C3287" s="20" t="s">
        <v>15747</v>
      </c>
      <c r="D3287" s="47"/>
      <c r="E3287" s="57" t="s">
        <v>7600</v>
      </c>
      <c r="F3287" s="23" t="s">
        <v>41</v>
      </c>
      <c r="G3287" s="311" t="s">
        <v>15748</v>
      </c>
      <c r="H3287" s="57" t="s">
        <v>147</v>
      </c>
      <c r="I3287" s="134" t="s">
        <v>15749</v>
      </c>
      <c r="J3287" s="23" t="s">
        <v>15750</v>
      </c>
      <c r="K3287" s="23"/>
      <c r="L3287" s="36">
        <v>808.0</v>
      </c>
      <c r="M3287" s="36">
        <v>100.0</v>
      </c>
      <c r="N3287" s="36"/>
      <c r="O3287" s="36" t="s">
        <v>15751</v>
      </c>
      <c r="P3287" s="37" t="s">
        <v>2733</v>
      </c>
      <c r="Q3287" s="36"/>
      <c r="R3287" s="36"/>
      <c r="S3287" s="36" t="s">
        <v>15752</v>
      </c>
      <c r="T3287" s="83" t="s">
        <v>15753</v>
      </c>
      <c r="U3287" s="255" t="s">
        <v>61</v>
      </c>
      <c r="V3287" s="139"/>
      <c r="W3287" s="49"/>
      <c r="X3287" s="49"/>
      <c r="Y3287" s="35"/>
      <c r="Z3287" s="35"/>
      <c r="AA3287" s="35"/>
      <c r="AB3287" s="35"/>
      <c r="AC3287" s="35"/>
      <c r="AD3287" s="35"/>
      <c r="AE3287" s="35"/>
      <c r="AF3287" s="35"/>
      <c r="AG3287" s="35"/>
      <c r="AH3287" s="35"/>
      <c r="AI3287" s="35"/>
      <c r="AJ3287" s="35"/>
      <c r="AK3287" s="35"/>
      <c r="AL3287" s="35"/>
    </row>
    <row r="3288">
      <c r="A3288" s="133"/>
      <c r="B3288" s="19" t="s">
        <v>14099</v>
      </c>
      <c r="C3288" s="20" t="s">
        <v>15754</v>
      </c>
      <c r="D3288" s="47"/>
      <c r="E3288" s="57" t="s">
        <v>1689</v>
      </c>
      <c r="F3288" s="23" t="s">
        <v>65</v>
      </c>
      <c r="G3288" s="311" t="s">
        <v>15755</v>
      </c>
      <c r="H3288" s="57" t="s">
        <v>4970</v>
      </c>
      <c r="I3288" s="134" t="s">
        <v>15756</v>
      </c>
      <c r="J3288" s="22" t="s">
        <v>44</v>
      </c>
      <c r="K3288" s="23"/>
      <c r="L3288" s="36">
        <v>635.0</v>
      </c>
      <c r="M3288" s="36"/>
      <c r="N3288" s="36"/>
      <c r="O3288" s="36"/>
      <c r="P3288" s="37"/>
      <c r="Q3288" s="36"/>
      <c r="R3288" s="36"/>
      <c r="S3288" s="36"/>
      <c r="T3288" s="83" t="s">
        <v>15757</v>
      </c>
      <c r="U3288" s="255" t="s">
        <v>61</v>
      </c>
      <c r="V3288" s="136" t="s">
        <v>15758</v>
      </c>
      <c r="W3288" s="49"/>
      <c r="X3288" s="49"/>
      <c r="Y3288" s="35"/>
      <c r="Z3288" s="35"/>
      <c r="AA3288" s="35"/>
      <c r="AB3288" s="35"/>
      <c r="AC3288" s="35"/>
      <c r="AD3288" s="35"/>
      <c r="AE3288" s="35"/>
      <c r="AF3288" s="35"/>
      <c r="AG3288" s="35"/>
      <c r="AH3288" s="35"/>
      <c r="AI3288" s="35"/>
      <c r="AJ3288" s="35"/>
      <c r="AK3288" s="35"/>
      <c r="AL3288" s="35"/>
    </row>
    <row r="3289">
      <c r="A3289" s="133"/>
      <c r="B3289" s="19" t="s">
        <v>14099</v>
      </c>
      <c r="C3289" s="20" t="s">
        <v>15759</v>
      </c>
      <c r="D3289" s="47"/>
      <c r="E3289" s="57" t="s">
        <v>109</v>
      </c>
      <c r="F3289" s="23" t="s">
        <v>530</v>
      </c>
      <c r="G3289" s="311" t="s">
        <v>15760</v>
      </c>
      <c r="H3289" s="57" t="s">
        <v>309</v>
      </c>
      <c r="I3289" s="134" t="s">
        <v>15761</v>
      </c>
      <c r="J3289" s="23" t="s">
        <v>55</v>
      </c>
      <c r="K3289" s="23"/>
      <c r="L3289" s="36">
        <v>808.0</v>
      </c>
      <c r="M3289" s="36">
        <v>30.0</v>
      </c>
      <c r="N3289" s="36" t="s">
        <v>278</v>
      </c>
      <c r="O3289" s="36" t="s">
        <v>15762</v>
      </c>
      <c r="P3289" s="37" t="s">
        <v>1529</v>
      </c>
      <c r="Q3289" s="36" t="s">
        <v>15763</v>
      </c>
      <c r="R3289" s="36">
        <v>48.0</v>
      </c>
      <c r="S3289" s="36">
        <v>14.0</v>
      </c>
      <c r="T3289" s="83" t="s">
        <v>15764</v>
      </c>
      <c r="U3289" s="312" t="str">
        <f>HYPERLINK("https://www.ncbi.nlm.nih.gov/pubmed/25714687","PubMed")</f>
        <v>PubMed</v>
      </c>
      <c r="V3289" s="139"/>
      <c r="W3289" s="49"/>
      <c r="X3289" s="49"/>
      <c r="Y3289" s="35"/>
      <c r="Z3289" s="35"/>
      <c r="AA3289" s="35"/>
      <c r="AB3289" s="35"/>
      <c r="AC3289" s="35"/>
      <c r="AD3289" s="35"/>
      <c r="AE3289" s="35"/>
      <c r="AF3289" s="35"/>
      <c r="AG3289" s="35"/>
      <c r="AH3289" s="35"/>
      <c r="AI3289" s="35"/>
      <c r="AJ3289" s="35"/>
      <c r="AK3289" s="35"/>
      <c r="AL3289" s="35"/>
    </row>
    <row r="3290">
      <c r="A3290" s="133"/>
      <c r="B3290" s="19" t="s">
        <v>14099</v>
      </c>
      <c r="C3290" s="20" t="s">
        <v>15765</v>
      </c>
      <c r="D3290" s="47"/>
      <c r="E3290" s="57" t="s">
        <v>15766</v>
      </c>
      <c r="F3290" s="22" t="s">
        <v>797</v>
      </c>
      <c r="G3290" s="311" t="s">
        <v>15748</v>
      </c>
      <c r="H3290" s="22" t="s">
        <v>91</v>
      </c>
      <c r="I3290" s="134" t="s">
        <v>15767</v>
      </c>
      <c r="J3290" s="23" t="s">
        <v>31</v>
      </c>
      <c r="K3290" s="23" t="s">
        <v>15768</v>
      </c>
      <c r="L3290" s="36" t="s">
        <v>15769</v>
      </c>
      <c r="M3290" s="36"/>
      <c r="N3290" s="36"/>
      <c r="O3290" s="36"/>
      <c r="P3290" s="37"/>
      <c r="Q3290" s="36"/>
      <c r="R3290" s="36"/>
      <c r="S3290" s="36"/>
      <c r="T3290" s="84" t="s">
        <v>15770</v>
      </c>
      <c r="U3290" s="255" t="s">
        <v>61</v>
      </c>
      <c r="V3290" s="139"/>
      <c r="W3290" s="49"/>
      <c r="X3290" s="49"/>
      <c r="Y3290" s="35"/>
      <c r="Z3290" s="35"/>
      <c r="AA3290" s="35"/>
      <c r="AB3290" s="35"/>
      <c r="AC3290" s="35"/>
      <c r="AD3290" s="35"/>
      <c r="AE3290" s="35"/>
      <c r="AF3290" s="35"/>
      <c r="AG3290" s="35"/>
      <c r="AH3290" s="35"/>
      <c r="AI3290" s="35"/>
      <c r="AJ3290" s="35"/>
      <c r="AK3290" s="35"/>
      <c r="AL3290" s="35"/>
    </row>
    <row r="3291">
      <c r="A3291" s="133"/>
      <c r="B3291" s="19" t="s">
        <v>14099</v>
      </c>
      <c r="C3291" s="20" t="s">
        <v>15765</v>
      </c>
      <c r="D3291" s="47"/>
      <c r="E3291" s="57" t="s">
        <v>1358</v>
      </c>
      <c r="F3291" s="22" t="s">
        <v>41</v>
      </c>
      <c r="G3291" s="311" t="s">
        <v>15760</v>
      </c>
      <c r="H3291" s="22" t="s">
        <v>91</v>
      </c>
      <c r="I3291" s="134" t="s">
        <v>15771</v>
      </c>
      <c r="J3291" s="23" t="s">
        <v>31</v>
      </c>
      <c r="K3291" s="23" t="s">
        <v>15772</v>
      </c>
      <c r="L3291" s="36">
        <v>780.0</v>
      </c>
      <c r="M3291" s="36">
        <v>10.0</v>
      </c>
      <c r="N3291" s="36"/>
      <c r="O3291" s="36"/>
      <c r="P3291" s="37" t="s">
        <v>432</v>
      </c>
      <c r="Q3291" s="36"/>
      <c r="R3291" s="36"/>
      <c r="S3291" s="36"/>
      <c r="T3291" s="83" t="s">
        <v>15773</v>
      </c>
      <c r="U3291" s="312" t="str">
        <f>HYPERLINK("https://www.ncbi.nlm.nih.gov/pubmed/25616713","PubMed")</f>
        <v>PubMed</v>
      </c>
      <c r="V3291" s="139"/>
      <c r="W3291" s="49"/>
      <c r="X3291" s="49"/>
      <c r="Y3291" s="35"/>
      <c r="Z3291" s="35"/>
      <c r="AA3291" s="35"/>
      <c r="AB3291" s="35"/>
      <c r="AC3291" s="35"/>
      <c r="AD3291" s="35"/>
      <c r="AE3291" s="35"/>
      <c r="AF3291" s="35"/>
      <c r="AG3291" s="35"/>
      <c r="AH3291" s="35"/>
      <c r="AI3291" s="35"/>
      <c r="AJ3291" s="35"/>
      <c r="AK3291" s="35"/>
      <c r="AL3291" s="35"/>
    </row>
    <row r="3292">
      <c r="A3292" s="133"/>
      <c r="B3292" s="19" t="s">
        <v>14099</v>
      </c>
      <c r="C3292" s="20" t="s">
        <v>15765</v>
      </c>
      <c r="D3292" s="47"/>
      <c r="E3292" s="57" t="s">
        <v>7700</v>
      </c>
      <c r="F3292" s="22" t="s">
        <v>41</v>
      </c>
      <c r="G3292" s="311" t="s">
        <v>15774</v>
      </c>
      <c r="H3292" s="22" t="s">
        <v>658</v>
      </c>
      <c r="I3292" s="134" t="s">
        <v>15775</v>
      </c>
      <c r="J3292" s="23" t="s">
        <v>31</v>
      </c>
      <c r="K3292" s="23" t="s">
        <v>15772</v>
      </c>
      <c r="L3292" s="36" t="s">
        <v>1750</v>
      </c>
      <c r="M3292" s="36"/>
      <c r="N3292" s="36"/>
      <c r="O3292" s="36"/>
      <c r="P3292" s="37" t="s">
        <v>15776</v>
      </c>
      <c r="Q3292" s="36"/>
      <c r="R3292" s="36"/>
      <c r="S3292" s="36"/>
      <c r="T3292" s="82" t="s">
        <v>15777</v>
      </c>
      <c r="U3292" s="312" t="str">
        <f>HYPERLINK("https://www.ncbi.nlm.nih.gov/pubmed/19698002","PubMed")</f>
        <v>PubMed</v>
      </c>
      <c r="V3292" s="139"/>
      <c r="W3292" s="49"/>
      <c r="X3292" s="49"/>
      <c r="Y3292" s="35"/>
      <c r="Z3292" s="35"/>
      <c r="AA3292" s="35"/>
      <c r="AB3292" s="35"/>
      <c r="AC3292" s="35"/>
      <c r="AD3292" s="35"/>
      <c r="AE3292" s="35"/>
      <c r="AF3292" s="35"/>
      <c r="AG3292" s="35"/>
      <c r="AH3292" s="35"/>
      <c r="AI3292" s="35"/>
      <c r="AJ3292" s="35"/>
      <c r="AK3292" s="35"/>
      <c r="AL3292" s="35"/>
    </row>
    <row r="3293">
      <c r="A3293" s="278"/>
      <c r="B3293" s="75" t="s">
        <v>14099</v>
      </c>
      <c r="C3293" s="76" t="s">
        <v>15778</v>
      </c>
      <c r="D3293" s="47"/>
      <c r="E3293" s="57" t="s">
        <v>15779</v>
      </c>
      <c r="F3293" s="22" t="s">
        <v>1943</v>
      </c>
      <c r="G3293" s="57">
        <v>2023.0</v>
      </c>
      <c r="H3293" s="57" t="s">
        <v>91</v>
      </c>
      <c r="I3293" s="134" t="s">
        <v>15780</v>
      </c>
      <c r="J3293" s="23" t="s">
        <v>6797</v>
      </c>
      <c r="K3293" s="23"/>
      <c r="L3293" s="36">
        <v>810.0</v>
      </c>
      <c r="M3293" s="36">
        <v>500.0</v>
      </c>
      <c r="N3293" s="36"/>
      <c r="O3293" s="36"/>
      <c r="P3293" s="37"/>
      <c r="Q3293" s="36"/>
      <c r="R3293" s="36"/>
      <c r="S3293" s="36"/>
      <c r="T3293" s="83" t="s">
        <v>15781</v>
      </c>
      <c r="U3293" s="255" t="s">
        <v>61</v>
      </c>
      <c r="V3293" s="136" t="s">
        <v>15782</v>
      </c>
      <c r="W3293" s="49"/>
      <c r="X3293" s="49"/>
      <c r="Y3293" s="35"/>
      <c r="Z3293" s="35"/>
      <c r="AA3293" s="35"/>
      <c r="AB3293" s="35"/>
      <c r="AC3293" s="35"/>
      <c r="AD3293" s="35"/>
      <c r="AE3293" s="35"/>
      <c r="AF3293" s="35"/>
      <c r="AG3293" s="35"/>
      <c r="AH3293" s="35"/>
      <c r="AI3293" s="35"/>
      <c r="AJ3293" s="35"/>
      <c r="AK3293" s="35"/>
      <c r="AL3293" s="35"/>
    </row>
    <row r="3294">
      <c r="A3294" s="278"/>
      <c r="B3294" s="75" t="s">
        <v>14099</v>
      </c>
      <c r="C3294" s="76" t="s">
        <v>15783</v>
      </c>
      <c r="D3294" s="47"/>
      <c r="E3294" s="57" t="s">
        <v>15784</v>
      </c>
      <c r="F3294" s="22" t="s">
        <v>41</v>
      </c>
      <c r="G3294" s="57">
        <v>2022.0</v>
      </c>
      <c r="H3294" s="57" t="s">
        <v>42</v>
      </c>
      <c r="I3294" s="134" t="s">
        <v>15785</v>
      </c>
      <c r="J3294" s="23" t="s">
        <v>55</v>
      </c>
      <c r="K3294" s="23" t="s">
        <v>2158</v>
      </c>
      <c r="L3294" s="36"/>
      <c r="M3294" s="36"/>
      <c r="N3294" s="36"/>
      <c r="O3294" s="36"/>
      <c r="P3294" s="37"/>
      <c r="Q3294" s="36"/>
      <c r="R3294" s="36"/>
      <c r="S3294" s="36"/>
      <c r="T3294" s="83" t="s">
        <v>15786</v>
      </c>
      <c r="U3294" s="255" t="s">
        <v>61</v>
      </c>
      <c r="V3294" s="136" t="s">
        <v>174</v>
      </c>
      <c r="W3294" s="49"/>
      <c r="X3294" s="49"/>
      <c r="Y3294" s="35"/>
      <c r="Z3294" s="35"/>
      <c r="AA3294" s="35"/>
      <c r="AB3294" s="35"/>
      <c r="AC3294" s="35"/>
      <c r="AD3294" s="35"/>
      <c r="AE3294" s="35"/>
      <c r="AF3294" s="35"/>
      <c r="AG3294" s="35"/>
      <c r="AH3294" s="35"/>
      <c r="AI3294" s="35"/>
      <c r="AJ3294" s="35"/>
      <c r="AK3294" s="35"/>
      <c r="AL3294" s="35"/>
    </row>
    <row r="3295">
      <c r="A3295" s="278" t="s">
        <v>38</v>
      </c>
      <c r="B3295" s="75" t="s">
        <v>14099</v>
      </c>
      <c r="C3295" s="76" t="s">
        <v>15783</v>
      </c>
      <c r="D3295" s="47"/>
      <c r="E3295" s="57" t="s">
        <v>15784</v>
      </c>
      <c r="F3295" s="22" t="s">
        <v>41</v>
      </c>
      <c r="G3295" s="57">
        <v>2020.0</v>
      </c>
      <c r="H3295" s="57" t="s">
        <v>91</v>
      </c>
      <c r="I3295" s="134" t="s">
        <v>15787</v>
      </c>
      <c r="J3295" s="23" t="s">
        <v>55</v>
      </c>
      <c r="K3295" s="23"/>
      <c r="L3295" s="36">
        <v>780.0</v>
      </c>
      <c r="M3295" s="36">
        <v>40.0</v>
      </c>
      <c r="N3295" s="36"/>
      <c r="O3295" s="36"/>
      <c r="P3295" s="37" t="s">
        <v>95</v>
      </c>
      <c r="Q3295" s="36"/>
      <c r="R3295" s="36"/>
      <c r="S3295" s="36" t="s">
        <v>13822</v>
      </c>
      <c r="T3295" s="84" t="s">
        <v>15788</v>
      </c>
      <c r="U3295" s="248" t="s">
        <v>61</v>
      </c>
      <c r="V3295" s="139"/>
      <c r="W3295" s="49"/>
      <c r="X3295" s="49"/>
      <c r="Y3295" s="35"/>
      <c r="Z3295" s="35"/>
      <c r="AA3295" s="35"/>
      <c r="AB3295" s="35"/>
      <c r="AC3295" s="35"/>
      <c r="AD3295" s="35"/>
      <c r="AE3295" s="35"/>
      <c r="AF3295" s="35"/>
      <c r="AG3295" s="35"/>
      <c r="AH3295" s="35"/>
      <c r="AI3295" s="35"/>
      <c r="AJ3295" s="35"/>
      <c r="AK3295" s="35"/>
      <c r="AL3295" s="35"/>
    </row>
    <row r="3296">
      <c r="A3296" s="133"/>
      <c r="B3296" s="19" t="s">
        <v>14099</v>
      </c>
      <c r="C3296" s="20" t="s">
        <v>5040</v>
      </c>
      <c r="D3296" s="47"/>
      <c r="E3296" s="57" t="s">
        <v>8483</v>
      </c>
      <c r="F3296" s="23" t="s">
        <v>6349</v>
      </c>
      <c r="G3296" s="311" t="s">
        <v>15789</v>
      </c>
      <c r="H3296" s="57" t="s">
        <v>4633</v>
      </c>
      <c r="I3296" s="134" t="s">
        <v>15790</v>
      </c>
      <c r="J3296" s="23" t="s">
        <v>31</v>
      </c>
      <c r="K3296" s="23" t="s">
        <v>1240</v>
      </c>
      <c r="L3296" s="36" t="s">
        <v>15791</v>
      </c>
      <c r="M3296" s="36"/>
      <c r="N3296" s="36"/>
      <c r="O3296" s="36"/>
      <c r="P3296" s="37" t="s">
        <v>15792</v>
      </c>
      <c r="Q3296" s="36"/>
      <c r="R3296" s="36"/>
      <c r="S3296" s="36"/>
      <c r="T3296" s="83" t="s">
        <v>15793</v>
      </c>
      <c r="U3296" s="312" t="str">
        <f>HYPERLINK("https://www.ncbi.nlm.nih.gov/pubmed/24246911","PubMed")</f>
        <v>PubMed</v>
      </c>
      <c r="V3296" s="139"/>
      <c r="W3296" s="49"/>
      <c r="X3296" s="49"/>
      <c r="Y3296" s="35"/>
      <c r="Z3296" s="35"/>
      <c r="AA3296" s="35"/>
      <c r="AB3296" s="35"/>
      <c r="AC3296" s="35"/>
      <c r="AD3296" s="35"/>
      <c r="AE3296" s="35"/>
      <c r="AF3296" s="35"/>
      <c r="AG3296" s="35"/>
      <c r="AH3296" s="35"/>
      <c r="AI3296" s="35"/>
      <c r="AJ3296" s="35"/>
      <c r="AK3296" s="35"/>
      <c r="AL3296" s="35"/>
    </row>
    <row r="3297">
      <c r="A3297" s="133"/>
      <c r="B3297" s="19" t="s">
        <v>14099</v>
      </c>
      <c r="C3297" s="20" t="s">
        <v>5040</v>
      </c>
      <c r="D3297" s="47"/>
      <c r="E3297" s="57" t="s">
        <v>15794</v>
      </c>
      <c r="F3297" s="23" t="s">
        <v>2130</v>
      </c>
      <c r="G3297" s="311" t="s">
        <v>15795</v>
      </c>
      <c r="H3297" s="57" t="s">
        <v>4975</v>
      </c>
      <c r="I3297" s="134" t="s">
        <v>15796</v>
      </c>
      <c r="J3297" s="23" t="s">
        <v>55</v>
      </c>
      <c r="K3297" s="23" t="s">
        <v>15797</v>
      </c>
      <c r="L3297" s="36">
        <v>660.0</v>
      </c>
      <c r="M3297" s="36"/>
      <c r="N3297" s="36"/>
      <c r="O3297" s="36"/>
      <c r="P3297" s="37" t="s">
        <v>15798</v>
      </c>
      <c r="Q3297" s="36"/>
      <c r="R3297" s="36" t="s">
        <v>15799</v>
      </c>
      <c r="S3297" s="36"/>
      <c r="T3297" s="83" t="s">
        <v>15800</v>
      </c>
      <c r="U3297" s="312" t="str">
        <f>HYPERLINK("https://www.ncbi.nlm.nih.gov/pubmed/20408982","PubMed")</f>
        <v>PubMed</v>
      </c>
      <c r="V3297" s="139"/>
      <c r="W3297" s="49"/>
      <c r="X3297" s="49"/>
      <c r="Y3297" s="35"/>
      <c r="Z3297" s="35"/>
      <c r="AA3297" s="35"/>
      <c r="AB3297" s="35"/>
      <c r="AC3297" s="35"/>
      <c r="AD3297" s="35"/>
      <c r="AE3297" s="35"/>
      <c r="AF3297" s="35"/>
      <c r="AG3297" s="35"/>
      <c r="AH3297" s="35"/>
      <c r="AI3297" s="35"/>
      <c r="AJ3297" s="35"/>
      <c r="AK3297" s="35"/>
      <c r="AL3297" s="35"/>
    </row>
    <row r="3298">
      <c r="A3298" s="18" t="s">
        <v>38</v>
      </c>
      <c r="B3298" s="19" t="s">
        <v>14099</v>
      </c>
      <c r="C3298" s="20" t="s">
        <v>5040</v>
      </c>
      <c r="D3298" s="47"/>
      <c r="E3298" s="57" t="s">
        <v>15801</v>
      </c>
      <c r="F3298" s="22" t="s">
        <v>274</v>
      </c>
      <c r="G3298" s="57">
        <v>2015.0</v>
      </c>
      <c r="H3298" s="57" t="s">
        <v>4975</v>
      </c>
      <c r="I3298" s="134" t="s">
        <v>15802</v>
      </c>
      <c r="J3298" s="23" t="s">
        <v>31</v>
      </c>
      <c r="K3298" s="23" t="s">
        <v>15803</v>
      </c>
      <c r="L3298" s="36" t="s">
        <v>15804</v>
      </c>
      <c r="M3298" s="36"/>
      <c r="N3298" s="36"/>
      <c r="O3298" s="36"/>
      <c r="P3298" s="37"/>
      <c r="Q3298" s="36"/>
      <c r="R3298" s="36"/>
      <c r="S3298" s="36"/>
      <c r="T3298" s="83" t="s">
        <v>15805</v>
      </c>
      <c r="U3298" s="312" t="str">
        <f>HYPERLINK("https://www.ncbi.nlm.nih.gov/pubmed/25443662","PubMed")</f>
        <v>PubMed</v>
      </c>
      <c r="V3298" s="139"/>
      <c r="W3298" s="49"/>
      <c r="X3298" s="49"/>
      <c r="Y3298" s="35"/>
      <c r="Z3298" s="35"/>
      <c r="AA3298" s="35"/>
      <c r="AB3298" s="35"/>
      <c r="AC3298" s="35"/>
      <c r="AD3298" s="35"/>
      <c r="AE3298" s="35"/>
      <c r="AF3298" s="35"/>
      <c r="AG3298" s="35"/>
      <c r="AH3298" s="35"/>
      <c r="AI3298" s="35"/>
      <c r="AJ3298" s="35"/>
      <c r="AK3298" s="35"/>
      <c r="AL3298" s="35"/>
    </row>
    <row r="3299">
      <c r="A3299" s="133"/>
      <c r="B3299" s="19" t="s">
        <v>14099</v>
      </c>
      <c r="C3299" s="20" t="s">
        <v>5040</v>
      </c>
      <c r="D3299" s="47"/>
      <c r="E3299" s="57" t="s">
        <v>15806</v>
      </c>
      <c r="F3299" s="22" t="s">
        <v>41</v>
      </c>
      <c r="G3299" s="57">
        <v>2015.0</v>
      </c>
      <c r="H3299" s="57" t="s">
        <v>4975</v>
      </c>
      <c r="I3299" s="134" t="s">
        <v>15807</v>
      </c>
      <c r="J3299" s="23" t="s">
        <v>55</v>
      </c>
      <c r="K3299" s="23" t="s">
        <v>15808</v>
      </c>
      <c r="L3299" s="36" t="s">
        <v>15809</v>
      </c>
      <c r="M3299" s="36" t="s">
        <v>15810</v>
      </c>
      <c r="N3299" s="36"/>
      <c r="O3299" s="36" t="s">
        <v>15811</v>
      </c>
      <c r="P3299" s="37"/>
      <c r="Q3299" s="36" t="s">
        <v>280</v>
      </c>
      <c r="R3299" s="36" t="s">
        <v>15812</v>
      </c>
      <c r="S3299" s="36">
        <v>1.0</v>
      </c>
      <c r="T3299" s="84" t="s">
        <v>15813</v>
      </c>
      <c r="U3299" s="312" t="str">
        <f>HYPERLINK("https://www.ncbi.nlm.nih.gov/pubmed/24957189","PubMed")</f>
        <v>PubMed</v>
      </c>
      <c r="V3299" s="139"/>
      <c r="W3299" s="49"/>
      <c r="X3299" s="49"/>
      <c r="Y3299" s="35"/>
      <c r="Z3299" s="35"/>
      <c r="AA3299" s="35"/>
      <c r="AB3299" s="35"/>
      <c r="AC3299" s="35"/>
      <c r="AD3299" s="35"/>
      <c r="AE3299" s="35"/>
      <c r="AF3299" s="35"/>
      <c r="AG3299" s="35"/>
      <c r="AH3299" s="35"/>
      <c r="AI3299" s="35"/>
      <c r="AJ3299" s="35"/>
      <c r="AK3299" s="35"/>
      <c r="AL3299" s="35"/>
    </row>
    <row r="3300">
      <c r="A3300" s="133"/>
      <c r="B3300" s="19" t="s">
        <v>14099</v>
      </c>
      <c r="C3300" s="20" t="s">
        <v>5040</v>
      </c>
      <c r="D3300" s="47"/>
      <c r="E3300" s="57" t="s">
        <v>15814</v>
      </c>
      <c r="F3300" s="22" t="s">
        <v>15815</v>
      </c>
      <c r="G3300" s="57">
        <v>2015.0</v>
      </c>
      <c r="H3300" s="57" t="s">
        <v>6350</v>
      </c>
      <c r="I3300" s="134" t="s">
        <v>15816</v>
      </c>
      <c r="J3300" s="23" t="s">
        <v>15817</v>
      </c>
      <c r="K3300" s="23"/>
      <c r="L3300" s="36" t="s">
        <v>15818</v>
      </c>
      <c r="M3300" s="36">
        <v>1500.0</v>
      </c>
      <c r="N3300" s="36" t="s">
        <v>58</v>
      </c>
      <c r="O3300" s="36">
        <v>360.0</v>
      </c>
      <c r="P3300" s="37" t="s">
        <v>58</v>
      </c>
      <c r="Q3300" s="36" t="s">
        <v>58</v>
      </c>
      <c r="R3300" s="36">
        <v>240.0</v>
      </c>
      <c r="S3300" s="36" t="s">
        <v>15819</v>
      </c>
      <c r="T3300" s="84" t="s">
        <v>15820</v>
      </c>
      <c r="U3300" s="312" t="str">
        <f>HYPERLINK("https://www.ncbi.nlm.nih.gov/pubmed/25397864","PubMed")</f>
        <v>PubMed</v>
      </c>
      <c r="V3300" s="139"/>
      <c r="W3300" s="49"/>
      <c r="X3300" s="49"/>
      <c r="Y3300" s="35"/>
      <c r="Z3300" s="35"/>
      <c r="AA3300" s="35"/>
      <c r="AB3300" s="35"/>
      <c r="AC3300" s="35"/>
      <c r="AD3300" s="35"/>
      <c r="AE3300" s="35"/>
      <c r="AF3300" s="35"/>
      <c r="AG3300" s="35"/>
      <c r="AH3300" s="35"/>
      <c r="AI3300" s="35"/>
      <c r="AJ3300" s="35"/>
      <c r="AK3300" s="35"/>
      <c r="AL3300" s="35"/>
    </row>
    <row r="3301">
      <c r="A3301" s="133"/>
      <c r="B3301" s="19" t="s">
        <v>14099</v>
      </c>
      <c r="C3301" s="20" t="s">
        <v>5040</v>
      </c>
      <c r="D3301" s="47"/>
      <c r="E3301" s="57" t="s">
        <v>5058</v>
      </c>
      <c r="F3301" s="22" t="s">
        <v>5059</v>
      </c>
      <c r="G3301" s="57">
        <v>2009.0</v>
      </c>
      <c r="H3301" s="57" t="s">
        <v>207</v>
      </c>
      <c r="I3301" s="134" t="s">
        <v>15821</v>
      </c>
      <c r="J3301" s="23" t="s">
        <v>55</v>
      </c>
      <c r="K3301" s="23"/>
      <c r="L3301" s="36">
        <v>904.0</v>
      </c>
      <c r="M3301" s="36"/>
      <c r="N3301" s="36"/>
      <c r="O3301" s="36"/>
      <c r="P3301" s="37" t="s">
        <v>432</v>
      </c>
      <c r="Q3301" s="36"/>
      <c r="R3301" s="36"/>
      <c r="S3301" s="36">
        <v>7.0</v>
      </c>
      <c r="T3301" s="83" t="s">
        <v>15822</v>
      </c>
      <c r="U3301" s="312" t="str">
        <f>HYPERLINK("https://www.ncbi.nlm.nih.gov/pubmed/19232497","PubMed")</f>
        <v>PubMed</v>
      </c>
      <c r="V3301" s="139"/>
      <c r="W3301" s="49"/>
      <c r="X3301" s="49"/>
      <c r="Y3301" s="35"/>
      <c r="Z3301" s="35"/>
      <c r="AA3301" s="35"/>
      <c r="AB3301" s="35"/>
      <c r="AC3301" s="35"/>
      <c r="AD3301" s="35"/>
      <c r="AE3301" s="35"/>
      <c r="AF3301" s="35"/>
      <c r="AG3301" s="35"/>
      <c r="AH3301" s="35"/>
      <c r="AI3301" s="35"/>
      <c r="AJ3301" s="35"/>
      <c r="AK3301" s="35"/>
      <c r="AL3301" s="35"/>
    </row>
    <row r="3302">
      <c r="A3302" s="133"/>
      <c r="B3302" s="19" t="s">
        <v>14099</v>
      </c>
      <c r="C3302" s="20" t="s">
        <v>5040</v>
      </c>
      <c r="D3302" s="47"/>
      <c r="E3302" s="57" t="s">
        <v>1369</v>
      </c>
      <c r="F3302" s="22" t="s">
        <v>65</v>
      </c>
      <c r="G3302" s="57">
        <v>2008.0</v>
      </c>
      <c r="H3302" s="57" t="s">
        <v>658</v>
      </c>
      <c r="I3302" s="134" t="s">
        <v>15823</v>
      </c>
      <c r="J3302" s="23" t="s">
        <v>31</v>
      </c>
      <c r="K3302" s="23" t="s">
        <v>1240</v>
      </c>
      <c r="L3302" s="36">
        <v>810.0</v>
      </c>
      <c r="M3302" s="36"/>
      <c r="N3302" s="36"/>
      <c r="O3302" s="36"/>
      <c r="P3302" s="37" t="s">
        <v>15824</v>
      </c>
      <c r="Q3302" s="36"/>
      <c r="R3302" s="36"/>
      <c r="S3302" s="36"/>
      <c r="T3302" s="83" t="s">
        <v>15825</v>
      </c>
      <c r="U3302" s="312" t="str">
        <f>HYPERLINK("https://www.ncbi.nlm.nih.gov/pubmed/18484910","PubMed")</f>
        <v>PubMed</v>
      </c>
      <c r="V3302" s="139"/>
      <c r="W3302" s="49"/>
      <c r="X3302" s="49"/>
      <c r="Y3302" s="35"/>
      <c r="Z3302" s="35"/>
      <c r="AA3302" s="35"/>
      <c r="AB3302" s="35"/>
      <c r="AC3302" s="35"/>
      <c r="AD3302" s="35"/>
      <c r="AE3302" s="35"/>
      <c r="AF3302" s="35"/>
      <c r="AG3302" s="35"/>
      <c r="AH3302" s="35"/>
      <c r="AI3302" s="35"/>
      <c r="AJ3302" s="35"/>
      <c r="AK3302" s="35"/>
      <c r="AL3302" s="35"/>
    </row>
    <row r="3303">
      <c r="A3303" s="133"/>
      <c r="B3303" s="75" t="s">
        <v>14099</v>
      </c>
      <c r="C3303" s="76" t="s">
        <v>15826</v>
      </c>
      <c r="D3303" s="47"/>
      <c r="E3303" s="57" t="s">
        <v>15827</v>
      </c>
      <c r="F3303" s="22" t="s">
        <v>332</v>
      </c>
      <c r="G3303" s="57">
        <v>2021.0</v>
      </c>
      <c r="H3303" s="57" t="s">
        <v>15828</v>
      </c>
      <c r="I3303" s="134" t="s">
        <v>15829</v>
      </c>
      <c r="J3303" s="23" t="s">
        <v>14202</v>
      </c>
      <c r="K3303" s="23"/>
      <c r="L3303" s="36">
        <v>808.0</v>
      </c>
      <c r="M3303" s="36">
        <v>800.0</v>
      </c>
      <c r="N3303" s="36" t="s">
        <v>58</v>
      </c>
      <c r="O3303" s="36" t="s">
        <v>15830</v>
      </c>
      <c r="P3303" s="37" t="s">
        <v>58</v>
      </c>
      <c r="Q3303" s="36" t="s">
        <v>58</v>
      </c>
      <c r="R3303" s="36" t="s">
        <v>15831</v>
      </c>
      <c r="S3303" s="36" t="s">
        <v>1961</v>
      </c>
      <c r="T3303" s="83" t="s">
        <v>15832</v>
      </c>
      <c r="U3303" s="248" t="s">
        <v>61</v>
      </c>
      <c r="V3303" s="136" t="s">
        <v>15833</v>
      </c>
      <c r="W3303" s="49"/>
      <c r="X3303" s="49"/>
      <c r="Y3303" s="35"/>
      <c r="Z3303" s="35"/>
      <c r="AA3303" s="35"/>
      <c r="AB3303" s="35"/>
      <c r="AC3303" s="35"/>
      <c r="AD3303" s="35"/>
      <c r="AE3303" s="35"/>
      <c r="AF3303" s="35"/>
      <c r="AG3303" s="35"/>
      <c r="AH3303" s="35"/>
      <c r="AI3303" s="35"/>
      <c r="AJ3303" s="35"/>
      <c r="AK3303" s="35"/>
      <c r="AL3303" s="35"/>
    </row>
    <row r="3304">
      <c r="A3304" s="133"/>
      <c r="B3304" s="75" t="s">
        <v>14099</v>
      </c>
      <c r="C3304" s="76" t="s">
        <v>15826</v>
      </c>
      <c r="D3304" s="47"/>
      <c r="E3304" s="57" t="s">
        <v>15834</v>
      </c>
      <c r="F3304" s="22" t="s">
        <v>41</v>
      </c>
      <c r="G3304" s="57">
        <v>2020.0</v>
      </c>
      <c r="H3304" s="57" t="s">
        <v>15835</v>
      </c>
      <c r="I3304" s="134" t="s">
        <v>15836</v>
      </c>
      <c r="J3304" s="23" t="s">
        <v>15837</v>
      </c>
      <c r="K3304" s="23" t="s">
        <v>15838</v>
      </c>
      <c r="L3304" s="36" t="s">
        <v>194</v>
      </c>
      <c r="M3304" s="36"/>
      <c r="N3304" s="36"/>
      <c r="O3304" s="36" t="s">
        <v>15839</v>
      </c>
      <c r="P3304" s="37" t="s">
        <v>15840</v>
      </c>
      <c r="Q3304" s="36" t="s">
        <v>15841</v>
      </c>
      <c r="R3304" s="36"/>
      <c r="S3304" s="36" t="s">
        <v>15842</v>
      </c>
      <c r="T3304" s="83" t="s">
        <v>15843</v>
      </c>
      <c r="U3304" s="312" t="str">
        <f>HYPERLINK("https://www.ncbi.nlm.nih.gov/pubmed/32308987","PubMed")</f>
        <v>PubMed</v>
      </c>
      <c r="W3304" s="49"/>
      <c r="X3304" s="49"/>
      <c r="Y3304" s="35"/>
      <c r="Z3304" s="35"/>
      <c r="AA3304" s="35"/>
      <c r="AB3304" s="35"/>
      <c r="AC3304" s="35"/>
      <c r="AD3304" s="35"/>
      <c r="AE3304" s="35"/>
      <c r="AF3304" s="35"/>
      <c r="AG3304" s="35"/>
      <c r="AH3304" s="35"/>
      <c r="AI3304" s="35"/>
      <c r="AJ3304" s="35"/>
      <c r="AK3304" s="35"/>
      <c r="AL3304" s="35"/>
    </row>
    <row r="3305">
      <c r="A3305" s="133"/>
      <c r="B3305" s="75" t="s">
        <v>14099</v>
      </c>
      <c r="C3305" s="76" t="s">
        <v>15844</v>
      </c>
      <c r="D3305" s="47"/>
      <c r="E3305" s="57" t="s">
        <v>992</v>
      </c>
      <c r="F3305" s="22" t="s">
        <v>41</v>
      </c>
      <c r="G3305" s="57">
        <v>2022.0</v>
      </c>
      <c r="H3305" s="57" t="s">
        <v>3347</v>
      </c>
      <c r="I3305" s="134" t="s">
        <v>15845</v>
      </c>
      <c r="J3305" s="23" t="s">
        <v>15846</v>
      </c>
      <c r="K3305" s="23"/>
      <c r="L3305" s="36" t="s">
        <v>12588</v>
      </c>
      <c r="M3305" s="36"/>
      <c r="N3305" s="36"/>
      <c r="O3305" s="36"/>
      <c r="P3305" s="37"/>
      <c r="Q3305" s="36"/>
      <c r="R3305" s="36"/>
      <c r="S3305" s="36"/>
      <c r="T3305" s="83" t="s">
        <v>15847</v>
      </c>
      <c r="U3305" s="255" t="s">
        <v>61</v>
      </c>
      <c r="V3305" s="136" t="s">
        <v>15848</v>
      </c>
      <c r="W3305" s="49"/>
      <c r="X3305" s="49"/>
      <c r="Y3305" s="35"/>
      <c r="Z3305" s="35"/>
      <c r="AA3305" s="35"/>
      <c r="AB3305" s="35"/>
      <c r="AC3305" s="35"/>
      <c r="AD3305" s="35"/>
      <c r="AE3305" s="35"/>
      <c r="AF3305" s="35"/>
      <c r="AG3305" s="35"/>
      <c r="AH3305" s="35"/>
      <c r="AI3305" s="35"/>
      <c r="AJ3305" s="35"/>
      <c r="AK3305" s="35"/>
      <c r="AL3305" s="35"/>
    </row>
    <row r="3306">
      <c r="A3306" s="133"/>
      <c r="B3306" s="75" t="s">
        <v>14099</v>
      </c>
      <c r="C3306" s="76" t="s">
        <v>15849</v>
      </c>
      <c r="D3306" s="47"/>
      <c r="E3306" s="57" t="s">
        <v>15850</v>
      </c>
      <c r="F3306" s="22" t="s">
        <v>1203</v>
      </c>
      <c r="G3306" s="57">
        <v>2023.0</v>
      </c>
      <c r="H3306" s="57" t="s">
        <v>15851</v>
      </c>
      <c r="I3306" s="134" t="s">
        <v>15852</v>
      </c>
      <c r="J3306" s="23" t="s">
        <v>15853</v>
      </c>
      <c r="K3306" s="23" t="s">
        <v>15838</v>
      </c>
      <c r="L3306" s="36" t="s">
        <v>15854</v>
      </c>
      <c r="M3306" s="36"/>
      <c r="N3306" s="36"/>
      <c r="O3306" s="36" t="s">
        <v>15855</v>
      </c>
      <c r="P3306" s="37"/>
      <c r="Q3306" s="36"/>
      <c r="R3306" s="36"/>
      <c r="S3306" s="36">
        <v>3.0</v>
      </c>
      <c r="T3306" s="83" t="s">
        <v>15856</v>
      </c>
      <c r="U3306" s="255" t="s">
        <v>61</v>
      </c>
      <c r="V3306" s="136"/>
      <c r="W3306" s="49"/>
      <c r="X3306" s="49"/>
      <c r="Y3306" s="35"/>
      <c r="Z3306" s="35"/>
      <c r="AA3306" s="35"/>
      <c r="AB3306" s="35"/>
      <c r="AC3306" s="35"/>
      <c r="AD3306" s="35"/>
      <c r="AE3306" s="35"/>
      <c r="AF3306" s="35"/>
      <c r="AG3306" s="35"/>
      <c r="AH3306" s="35"/>
      <c r="AI3306" s="35"/>
      <c r="AJ3306" s="35"/>
      <c r="AK3306" s="35"/>
      <c r="AL3306" s="35"/>
    </row>
    <row r="3307">
      <c r="A3307" s="133"/>
      <c r="B3307" s="75" t="s">
        <v>14099</v>
      </c>
      <c r="C3307" s="76" t="s">
        <v>15849</v>
      </c>
      <c r="D3307" s="47"/>
      <c r="E3307" s="57" t="s">
        <v>15857</v>
      </c>
      <c r="F3307" s="22" t="s">
        <v>15858</v>
      </c>
      <c r="G3307" s="57">
        <v>2023.0</v>
      </c>
      <c r="H3307" s="57" t="s">
        <v>91</v>
      </c>
      <c r="I3307" s="134" t="s">
        <v>15859</v>
      </c>
      <c r="J3307" s="23" t="s">
        <v>15860</v>
      </c>
      <c r="K3307" s="23"/>
      <c r="L3307" s="36">
        <v>630.0</v>
      </c>
      <c r="M3307" s="36"/>
      <c r="N3307" s="36"/>
      <c r="O3307" s="36" t="s">
        <v>15861</v>
      </c>
      <c r="P3307" s="37" t="s">
        <v>15862</v>
      </c>
      <c r="Q3307" s="36"/>
      <c r="R3307" s="36"/>
      <c r="S3307" s="36" t="s">
        <v>15863</v>
      </c>
      <c r="T3307" s="82" t="s">
        <v>15864</v>
      </c>
      <c r="U3307" s="255" t="s">
        <v>61</v>
      </c>
      <c r="V3307" s="136"/>
      <c r="W3307" s="49"/>
      <c r="X3307" s="49"/>
      <c r="Y3307" s="35"/>
      <c r="Z3307" s="35"/>
      <c r="AA3307" s="35"/>
      <c r="AB3307" s="35"/>
      <c r="AC3307" s="35"/>
      <c r="AD3307" s="35"/>
      <c r="AE3307" s="35"/>
      <c r="AF3307" s="35"/>
      <c r="AG3307" s="35"/>
      <c r="AH3307" s="35"/>
      <c r="AI3307" s="35"/>
      <c r="AJ3307" s="35"/>
      <c r="AK3307" s="35"/>
      <c r="AL3307" s="35"/>
    </row>
    <row r="3308">
      <c r="A3308" s="133"/>
      <c r="B3308" s="75" t="s">
        <v>14099</v>
      </c>
      <c r="C3308" s="76" t="s">
        <v>15849</v>
      </c>
      <c r="D3308" s="47"/>
      <c r="E3308" s="57" t="s">
        <v>15865</v>
      </c>
      <c r="F3308" s="22" t="s">
        <v>15866</v>
      </c>
      <c r="G3308" s="57">
        <v>2023.0</v>
      </c>
      <c r="H3308" s="57" t="s">
        <v>91</v>
      </c>
      <c r="I3308" s="134" t="s">
        <v>15867</v>
      </c>
      <c r="J3308" s="23" t="s">
        <v>15868</v>
      </c>
      <c r="K3308" s="23"/>
      <c r="L3308" s="36"/>
      <c r="M3308" s="36"/>
      <c r="N3308" s="36"/>
      <c r="O3308" s="36"/>
      <c r="P3308" s="37"/>
      <c r="Q3308" s="36"/>
      <c r="R3308" s="36"/>
      <c r="S3308" s="36"/>
      <c r="T3308" s="84" t="s">
        <v>15869</v>
      </c>
      <c r="U3308" s="255" t="s">
        <v>61</v>
      </c>
      <c r="V3308" s="136" t="s">
        <v>15870</v>
      </c>
      <c r="W3308" s="49"/>
      <c r="X3308" s="49"/>
      <c r="Y3308" s="35"/>
      <c r="Z3308" s="35"/>
      <c r="AA3308" s="35"/>
      <c r="AB3308" s="35"/>
      <c r="AC3308" s="35"/>
      <c r="AD3308" s="35"/>
      <c r="AE3308" s="35"/>
      <c r="AF3308" s="35"/>
      <c r="AG3308" s="35"/>
      <c r="AH3308" s="35"/>
      <c r="AI3308" s="35"/>
      <c r="AJ3308" s="35"/>
      <c r="AK3308" s="35"/>
      <c r="AL3308" s="35"/>
    </row>
    <row r="3309">
      <c r="A3309" s="133"/>
      <c r="B3309" s="75" t="s">
        <v>14099</v>
      </c>
      <c r="C3309" s="76" t="s">
        <v>15849</v>
      </c>
      <c r="D3309" s="47"/>
      <c r="E3309" s="57" t="s">
        <v>15871</v>
      </c>
      <c r="F3309" s="22" t="s">
        <v>241</v>
      </c>
      <c r="G3309" s="57">
        <v>2021.0</v>
      </c>
      <c r="H3309" s="57" t="s">
        <v>452</v>
      </c>
      <c r="I3309" s="134" t="s">
        <v>15872</v>
      </c>
      <c r="J3309" s="23" t="s">
        <v>15873</v>
      </c>
      <c r="K3309" s="23" t="s">
        <v>157</v>
      </c>
      <c r="L3309" s="36" t="s">
        <v>15804</v>
      </c>
      <c r="M3309" s="36"/>
      <c r="N3309" s="36" t="s">
        <v>15874</v>
      </c>
      <c r="O3309" s="36" t="s">
        <v>15875</v>
      </c>
      <c r="P3309" s="37" t="s">
        <v>15876</v>
      </c>
      <c r="Q3309" s="36"/>
      <c r="R3309" s="36" t="s">
        <v>15877</v>
      </c>
      <c r="S3309" s="36">
        <v>1.0</v>
      </c>
      <c r="T3309" s="82" t="s">
        <v>15878</v>
      </c>
      <c r="U3309" s="248" t="s">
        <v>61</v>
      </c>
      <c r="V3309" s="136" t="s">
        <v>15879</v>
      </c>
      <c r="W3309" s="49"/>
      <c r="X3309" s="49"/>
      <c r="Y3309" s="35"/>
      <c r="Z3309" s="35"/>
      <c r="AA3309" s="35"/>
      <c r="AB3309" s="35"/>
      <c r="AC3309" s="35"/>
      <c r="AD3309" s="35"/>
      <c r="AE3309" s="35"/>
      <c r="AF3309" s="35"/>
      <c r="AG3309" s="35"/>
      <c r="AH3309" s="35"/>
      <c r="AI3309" s="35"/>
      <c r="AJ3309" s="35"/>
      <c r="AK3309" s="35"/>
      <c r="AL3309" s="35"/>
    </row>
    <row r="3310">
      <c r="A3310" s="133"/>
      <c r="B3310" s="75" t="s">
        <v>14099</v>
      </c>
      <c r="C3310" s="76" t="s">
        <v>15849</v>
      </c>
      <c r="D3310" s="47"/>
      <c r="E3310" s="57" t="s">
        <v>15871</v>
      </c>
      <c r="F3310" s="22" t="s">
        <v>241</v>
      </c>
      <c r="G3310" s="57">
        <v>2020.0</v>
      </c>
      <c r="H3310" s="57" t="s">
        <v>3276</v>
      </c>
      <c r="I3310" s="134" t="s">
        <v>15880</v>
      </c>
      <c r="J3310" s="23" t="s">
        <v>15881</v>
      </c>
      <c r="K3310" s="23" t="s">
        <v>157</v>
      </c>
      <c r="L3310" s="36" t="s">
        <v>158</v>
      </c>
      <c r="M3310" s="36" t="s">
        <v>15882</v>
      </c>
      <c r="N3310" s="36"/>
      <c r="O3310" s="36" t="s">
        <v>15883</v>
      </c>
      <c r="P3310" s="37" t="s">
        <v>15884</v>
      </c>
      <c r="Q3310" s="36" t="s">
        <v>15885</v>
      </c>
      <c r="R3310" s="36" t="s">
        <v>15886</v>
      </c>
      <c r="S3310" s="36" t="s">
        <v>15887</v>
      </c>
      <c r="T3310" s="82" t="s">
        <v>15888</v>
      </c>
      <c r="U3310" s="312" t="str">
        <f>HYPERLINK("https://www.ncbi.nlm.nih.gov/pubmed/32366796","PubMed")</f>
        <v>PubMed</v>
      </c>
      <c r="V3310" s="136" t="s">
        <v>15889</v>
      </c>
      <c r="W3310" s="49"/>
      <c r="X3310" s="49"/>
      <c r="Y3310" s="35"/>
      <c r="Z3310" s="35"/>
      <c r="AA3310" s="35"/>
      <c r="AB3310" s="35"/>
      <c r="AC3310" s="35"/>
      <c r="AD3310" s="35"/>
      <c r="AE3310" s="35"/>
      <c r="AF3310" s="35"/>
      <c r="AG3310" s="35"/>
      <c r="AH3310" s="35"/>
      <c r="AI3310" s="35"/>
      <c r="AJ3310" s="35"/>
      <c r="AK3310" s="35"/>
      <c r="AL3310" s="35"/>
    </row>
    <row r="3311">
      <c r="A3311" s="133"/>
      <c r="B3311" s="75" t="s">
        <v>14099</v>
      </c>
      <c r="C3311" s="76" t="s">
        <v>15849</v>
      </c>
      <c r="D3311" s="47"/>
      <c r="E3311" s="57" t="s">
        <v>7705</v>
      </c>
      <c r="F3311" s="22" t="s">
        <v>358</v>
      </c>
      <c r="G3311" s="57">
        <v>2020.0</v>
      </c>
      <c r="H3311" s="57" t="s">
        <v>91</v>
      </c>
      <c r="I3311" s="134" t="s">
        <v>15890</v>
      </c>
      <c r="J3311" s="23" t="s">
        <v>15891</v>
      </c>
      <c r="K3311" s="23" t="s">
        <v>15892</v>
      </c>
      <c r="L3311" s="36" t="s">
        <v>15893</v>
      </c>
      <c r="M3311" s="36"/>
      <c r="N3311" s="36"/>
      <c r="O3311" s="36" t="s">
        <v>15894</v>
      </c>
      <c r="P3311" s="37"/>
      <c r="Q3311" s="36"/>
      <c r="R3311" s="36"/>
      <c r="S3311" s="36">
        <v>3.0</v>
      </c>
      <c r="T3311" s="84" t="s">
        <v>15895</v>
      </c>
      <c r="U3311" s="312" t="s">
        <v>61</v>
      </c>
      <c r="V3311" s="139"/>
      <c r="W3311" s="49"/>
      <c r="X3311" s="49"/>
      <c r="Y3311" s="35"/>
      <c r="Z3311" s="35"/>
      <c r="AA3311" s="35"/>
      <c r="AB3311" s="35"/>
      <c r="AC3311" s="35"/>
      <c r="AD3311" s="35"/>
      <c r="AE3311" s="35"/>
      <c r="AF3311" s="35"/>
      <c r="AG3311" s="35"/>
      <c r="AH3311" s="35"/>
      <c r="AI3311" s="35"/>
      <c r="AJ3311" s="35"/>
      <c r="AK3311" s="35"/>
      <c r="AL3311" s="35"/>
    </row>
    <row r="3312">
      <c r="A3312" s="149"/>
      <c r="B3312" s="19" t="s">
        <v>14099</v>
      </c>
      <c r="C3312" s="76" t="s">
        <v>15849</v>
      </c>
      <c r="D3312" s="47"/>
      <c r="E3312" s="57" t="s">
        <v>15850</v>
      </c>
      <c r="F3312" s="57" t="s">
        <v>797</v>
      </c>
      <c r="G3312" s="57" t="s">
        <v>90</v>
      </c>
      <c r="H3312" s="57" t="s">
        <v>91</v>
      </c>
      <c r="I3312" s="134" t="s">
        <v>15896</v>
      </c>
      <c r="J3312" s="23" t="s">
        <v>15897</v>
      </c>
      <c r="K3312" s="23"/>
      <c r="L3312" s="36">
        <v>810.0</v>
      </c>
      <c r="M3312" s="36" t="s">
        <v>15898</v>
      </c>
      <c r="N3312" s="36"/>
      <c r="O3312" s="36" t="s">
        <v>15899</v>
      </c>
      <c r="P3312" s="37"/>
      <c r="Q3312" s="36" t="s">
        <v>15900</v>
      </c>
      <c r="R3312" s="36"/>
      <c r="S3312" s="36" t="s">
        <v>15901</v>
      </c>
      <c r="T3312" s="83" t="s">
        <v>15902</v>
      </c>
      <c r="U3312" s="312" t="str">
        <f>HYPERLINK("https://www.ncbi.nlm.nih.gov/pubmed/29119418","PubMed")</f>
        <v>PubMed</v>
      </c>
      <c r="V3312" s="136" t="s">
        <v>15903</v>
      </c>
      <c r="W3312" s="49"/>
      <c r="X3312" s="49"/>
      <c r="Y3312" s="35"/>
      <c r="Z3312" s="35"/>
      <c r="AA3312" s="35"/>
      <c r="AB3312" s="35"/>
      <c r="AC3312" s="35"/>
      <c r="AD3312" s="35"/>
      <c r="AE3312" s="35"/>
      <c r="AF3312" s="35"/>
      <c r="AG3312" s="35"/>
      <c r="AH3312" s="35"/>
      <c r="AI3312" s="35"/>
      <c r="AJ3312" s="35"/>
      <c r="AK3312" s="35"/>
      <c r="AL3312" s="35"/>
    </row>
    <row r="3313">
      <c r="A3313" s="18"/>
      <c r="B3313" s="19" t="s">
        <v>14099</v>
      </c>
      <c r="C3313" s="76" t="s">
        <v>15849</v>
      </c>
      <c r="D3313" s="47"/>
      <c r="E3313" s="57" t="s">
        <v>15850</v>
      </c>
      <c r="F3313" s="57" t="s">
        <v>797</v>
      </c>
      <c r="G3313" s="57">
        <v>2017.0</v>
      </c>
      <c r="H3313" s="57" t="s">
        <v>15904</v>
      </c>
      <c r="I3313" s="134" t="s">
        <v>15905</v>
      </c>
      <c r="J3313" s="23" t="s">
        <v>15906</v>
      </c>
      <c r="K3313" s="23"/>
      <c r="L3313" s="36">
        <v>810.0</v>
      </c>
      <c r="M3313" s="36" t="s">
        <v>15898</v>
      </c>
      <c r="N3313" s="36"/>
      <c r="O3313" s="36" t="s">
        <v>15907</v>
      </c>
      <c r="P3313" s="37"/>
      <c r="Q3313" s="36" t="s">
        <v>15900</v>
      </c>
      <c r="R3313" s="36"/>
      <c r="S3313" s="36"/>
      <c r="T3313" s="83" t="s">
        <v>15908</v>
      </c>
      <c r="U3313" s="312" t="str">
        <f>HYPERLINK("https://www.ncbi.nlm.nih.gov/pubmed/28422520","PubMed")</f>
        <v>PubMed</v>
      </c>
      <c r="V3313" s="136" t="s">
        <v>15909</v>
      </c>
      <c r="W3313" s="49"/>
      <c r="X3313" s="49"/>
      <c r="Y3313" s="35"/>
      <c r="Z3313" s="35"/>
      <c r="AA3313" s="35"/>
      <c r="AB3313" s="35"/>
      <c r="AC3313" s="35"/>
      <c r="AD3313" s="35"/>
      <c r="AE3313" s="35"/>
      <c r="AF3313" s="35"/>
      <c r="AG3313" s="35"/>
      <c r="AH3313" s="35"/>
      <c r="AI3313" s="35"/>
      <c r="AJ3313" s="35"/>
      <c r="AK3313" s="35"/>
      <c r="AL3313" s="35"/>
    </row>
    <row r="3314">
      <c r="A3314" s="18" t="s">
        <v>2</v>
      </c>
      <c r="B3314" s="19" t="s">
        <v>14099</v>
      </c>
      <c r="C3314" s="76" t="s">
        <v>15849</v>
      </c>
      <c r="D3314" s="47"/>
      <c r="E3314" s="22" t="s">
        <v>15910</v>
      </c>
      <c r="F3314" s="22" t="s">
        <v>89</v>
      </c>
      <c r="G3314" s="23">
        <v>2015.0</v>
      </c>
      <c r="H3314" s="22" t="s">
        <v>15911</v>
      </c>
      <c r="I3314" s="24" t="s">
        <v>15912</v>
      </c>
      <c r="J3314" s="22" t="s">
        <v>15913</v>
      </c>
      <c r="K3314" s="22" t="s">
        <v>15914</v>
      </c>
      <c r="L3314" s="36">
        <v>850.0</v>
      </c>
      <c r="M3314" s="36" t="s">
        <v>15915</v>
      </c>
      <c r="N3314" s="36" t="s">
        <v>15916</v>
      </c>
      <c r="O3314" s="36" t="s">
        <v>15917</v>
      </c>
      <c r="P3314" s="37" t="s">
        <v>6986</v>
      </c>
      <c r="Q3314" s="36" t="s">
        <v>15918</v>
      </c>
      <c r="R3314" s="36" t="s">
        <v>15919</v>
      </c>
      <c r="S3314" s="36" t="s">
        <v>15920</v>
      </c>
      <c r="T3314" s="42" t="s">
        <v>15921</v>
      </c>
      <c r="U3314" s="38" t="str">
        <f>HYPERLINK("https://www.ncbi.nlm.nih.gov/pubmed/25764492","PubMed")</f>
        <v>PubMed</v>
      </c>
      <c r="V3314" s="30"/>
      <c r="W3314" s="49"/>
      <c r="X3314" s="49"/>
      <c r="Y3314" s="35"/>
      <c r="Z3314" s="35"/>
      <c r="AA3314" s="35"/>
      <c r="AB3314" s="35"/>
      <c r="AC3314" s="35"/>
      <c r="AD3314" s="35"/>
      <c r="AE3314" s="35"/>
      <c r="AF3314" s="35"/>
      <c r="AG3314" s="35"/>
      <c r="AH3314" s="35"/>
      <c r="AI3314" s="35"/>
      <c r="AJ3314" s="35"/>
      <c r="AK3314" s="35"/>
      <c r="AL3314" s="35"/>
    </row>
    <row r="3315">
      <c r="A3315" s="133"/>
      <c r="B3315" s="75" t="s">
        <v>14099</v>
      </c>
      <c r="C3315" s="76" t="s">
        <v>15849</v>
      </c>
      <c r="D3315" s="47"/>
      <c r="E3315" s="57" t="s">
        <v>15922</v>
      </c>
      <c r="F3315" s="22" t="s">
        <v>3351</v>
      </c>
      <c r="G3315" s="57">
        <v>2020.0</v>
      </c>
      <c r="H3315" s="57" t="s">
        <v>15911</v>
      </c>
      <c r="I3315" s="134" t="s">
        <v>15923</v>
      </c>
      <c r="J3315" s="23" t="s">
        <v>15924</v>
      </c>
      <c r="K3315" s="23" t="s">
        <v>157</v>
      </c>
      <c r="L3315" s="36">
        <v>630.0</v>
      </c>
      <c r="M3315" s="36"/>
      <c r="N3315" s="36"/>
      <c r="O3315" s="36" t="s">
        <v>15925</v>
      </c>
      <c r="P3315" s="37" t="s">
        <v>15926</v>
      </c>
      <c r="Q3315" s="36"/>
      <c r="R3315" s="36"/>
      <c r="S3315" s="36"/>
      <c r="T3315" s="83" t="s">
        <v>15927</v>
      </c>
      <c r="U3315" s="248" t="s">
        <v>61</v>
      </c>
      <c r="V3315" s="136" t="s">
        <v>174</v>
      </c>
      <c r="W3315" s="49"/>
      <c r="X3315" s="49"/>
      <c r="Y3315" s="35"/>
      <c r="Z3315" s="35"/>
      <c r="AA3315" s="35"/>
      <c r="AB3315" s="35"/>
      <c r="AC3315" s="35"/>
      <c r="AD3315" s="35"/>
      <c r="AE3315" s="35"/>
      <c r="AF3315" s="35"/>
      <c r="AG3315" s="35"/>
      <c r="AH3315" s="35"/>
      <c r="AI3315" s="35"/>
      <c r="AJ3315" s="35"/>
      <c r="AK3315" s="35"/>
      <c r="AL3315" s="35"/>
    </row>
    <row r="3316">
      <c r="A3316" s="133"/>
      <c r="B3316" s="75" t="s">
        <v>14099</v>
      </c>
      <c r="C3316" s="76" t="s">
        <v>15928</v>
      </c>
      <c r="D3316" s="47"/>
      <c r="E3316" s="57" t="s">
        <v>450</v>
      </c>
      <c r="F3316" s="22" t="s">
        <v>358</v>
      </c>
      <c r="G3316" s="57">
        <v>2024.0</v>
      </c>
      <c r="H3316" s="57" t="s">
        <v>15929</v>
      </c>
      <c r="I3316" s="134" t="s">
        <v>15930</v>
      </c>
      <c r="J3316" s="23" t="s">
        <v>15931</v>
      </c>
      <c r="K3316" s="23"/>
      <c r="L3316" s="36" t="s">
        <v>3031</v>
      </c>
      <c r="M3316" s="36"/>
      <c r="N3316" s="36"/>
      <c r="O3316" s="36"/>
      <c r="P3316" s="37"/>
      <c r="Q3316" s="36"/>
      <c r="R3316" s="36"/>
      <c r="S3316" s="36"/>
      <c r="T3316" s="83" t="s">
        <v>15932</v>
      </c>
      <c r="U3316" s="255" t="s">
        <v>61</v>
      </c>
      <c r="V3316" s="136"/>
      <c r="W3316" s="49"/>
      <c r="X3316" s="49"/>
      <c r="Y3316" s="35"/>
      <c r="Z3316" s="35"/>
      <c r="AA3316" s="35"/>
      <c r="AB3316" s="35"/>
      <c r="AC3316" s="35"/>
      <c r="AD3316" s="35"/>
      <c r="AE3316" s="35"/>
      <c r="AF3316" s="35"/>
      <c r="AG3316" s="35"/>
      <c r="AH3316" s="35"/>
      <c r="AI3316" s="35"/>
      <c r="AJ3316" s="35"/>
      <c r="AK3316" s="35"/>
      <c r="AL3316" s="35"/>
    </row>
    <row r="3317">
      <c r="A3317" s="133"/>
      <c r="B3317" s="75" t="s">
        <v>14099</v>
      </c>
      <c r="C3317" s="76" t="s">
        <v>15928</v>
      </c>
      <c r="D3317" s="47"/>
      <c r="E3317" s="57" t="s">
        <v>15933</v>
      </c>
      <c r="F3317" s="22" t="s">
        <v>5207</v>
      </c>
      <c r="G3317" s="57">
        <v>2023.0</v>
      </c>
      <c r="H3317" s="57" t="s">
        <v>15934</v>
      </c>
      <c r="I3317" s="134" t="s">
        <v>15935</v>
      </c>
      <c r="J3317" s="23" t="s">
        <v>15936</v>
      </c>
      <c r="K3317" s="23"/>
      <c r="L3317" s="36">
        <v>630.0</v>
      </c>
      <c r="M3317" s="36"/>
      <c r="N3317" s="36"/>
      <c r="O3317" s="36"/>
      <c r="P3317" s="37" t="s">
        <v>15937</v>
      </c>
      <c r="Q3317" s="36"/>
      <c r="R3317" s="36"/>
      <c r="S3317" s="36" t="s">
        <v>3647</v>
      </c>
      <c r="T3317" s="82" t="s">
        <v>15938</v>
      </c>
      <c r="U3317" s="255" t="s">
        <v>61</v>
      </c>
      <c r="V3317" s="136"/>
      <c r="W3317" s="49"/>
      <c r="X3317" s="49"/>
      <c r="Y3317" s="35"/>
      <c r="Z3317" s="35"/>
      <c r="AA3317" s="35"/>
      <c r="AB3317" s="35"/>
      <c r="AC3317" s="35"/>
      <c r="AD3317" s="35"/>
      <c r="AE3317" s="35"/>
      <c r="AF3317" s="35"/>
      <c r="AG3317" s="35"/>
      <c r="AH3317" s="35"/>
      <c r="AI3317" s="35"/>
      <c r="AJ3317" s="35"/>
      <c r="AK3317" s="35"/>
      <c r="AL3317" s="35"/>
    </row>
    <row r="3318">
      <c r="A3318" s="133"/>
      <c r="B3318" s="75" t="s">
        <v>14099</v>
      </c>
      <c r="C3318" s="76" t="s">
        <v>15928</v>
      </c>
      <c r="D3318" s="47"/>
      <c r="E3318" s="57" t="s">
        <v>352</v>
      </c>
      <c r="F3318" s="22" t="s">
        <v>15939</v>
      </c>
      <c r="G3318" s="57">
        <v>2022.0</v>
      </c>
      <c r="H3318" s="57" t="s">
        <v>91</v>
      </c>
      <c r="I3318" s="134" t="s">
        <v>15940</v>
      </c>
      <c r="J3318" s="23" t="s">
        <v>15941</v>
      </c>
      <c r="K3318" s="23" t="s">
        <v>157</v>
      </c>
      <c r="L3318" s="36">
        <v>940.0</v>
      </c>
      <c r="M3318" s="36">
        <v>140.0</v>
      </c>
      <c r="N3318" s="36"/>
      <c r="O3318" s="36" t="s">
        <v>15942</v>
      </c>
      <c r="P3318" s="37" t="s">
        <v>15926</v>
      </c>
      <c r="Q3318" s="36" t="s">
        <v>15943</v>
      </c>
      <c r="R3318" s="36" t="s">
        <v>15944</v>
      </c>
      <c r="S3318" s="36">
        <v>1.0</v>
      </c>
      <c r="T3318" s="82" t="s">
        <v>15945</v>
      </c>
      <c r="U3318" s="248" t="s">
        <v>61</v>
      </c>
      <c r="V3318" s="136"/>
      <c r="W3318" s="49"/>
      <c r="X3318" s="49"/>
      <c r="Y3318" s="35"/>
      <c r="Z3318" s="35"/>
      <c r="AA3318" s="35"/>
      <c r="AB3318" s="35"/>
      <c r="AC3318" s="35"/>
      <c r="AD3318" s="35"/>
      <c r="AE3318" s="35"/>
      <c r="AF3318" s="35"/>
      <c r="AG3318" s="35"/>
      <c r="AH3318" s="35"/>
      <c r="AI3318" s="35"/>
      <c r="AJ3318" s="35"/>
      <c r="AK3318" s="35"/>
      <c r="AL3318" s="35"/>
    </row>
    <row r="3319">
      <c r="A3319" s="133"/>
      <c r="B3319" s="75" t="s">
        <v>14099</v>
      </c>
      <c r="C3319" s="76" t="s">
        <v>15928</v>
      </c>
      <c r="D3319" s="47"/>
      <c r="E3319" s="57" t="s">
        <v>2850</v>
      </c>
      <c r="F3319" s="22" t="s">
        <v>1499</v>
      </c>
      <c r="G3319" s="57">
        <v>2020.0</v>
      </c>
      <c r="H3319" s="57" t="s">
        <v>15946</v>
      </c>
      <c r="I3319" s="134" t="s">
        <v>15947</v>
      </c>
      <c r="J3319" s="23" t="s">
        <v>15948</v>
      </c>
      <c r="K3319" s="23" t="s">
        <v>15949</v>
      </c>
      <c r="L3319" s="36" t="s">
        <v>3031</v>
      </c>
      <c r="M3319" s="36"/>
      <c r="N3319" s="36" t="s">
        <v>15950</v>
      </c>
      <c r="O3319" s="36">
        <v>200.0</v>
      </c>
      <c r="P3319" s="37" t="s">
        <v>2366</v>
      </c>
      <c r="Q3319" s="36" t="s">
        <v>15951</v>
      </c>
      <c r="R3319" s="36" t="s">
        <v>15952</v>
      </c>
      <c r="S3319" s="36">
        <v>1.0</v>
      </c>
      <c r="T3319" s="82" t="s">
        <v>15953</v>
      </c>
      <c r="U3319" s="248" t="s">
        <v>61</v>
      </c>
      <c r="V3319" s="136" t="s">
        <v>15954</v>
      </c>
      <c r="W3319" s="49"/>
      <c r="X3319" s="49"/>
      <c r="Y3319" s="35"/>
      <c r="Z3319" s="35"/>
      <c r="AA3319" s="35"/>
      <c r="AB3319" s="35"/>
      <c r="AC3319" s="35"/>
      <c r="AD3319" s="35"/>
      <c r="AE3319" s="35"/>
      <c r="AF3319" s="35"/>
      <c r="AG3319" s="35"/>
      <c r="AH3319" s="35"/>
      <c r="AI3319" s="35"/>
      <c r="AJ3319" s="35"/>
      <c r="AK3319" s="35"/>
      <c r="AL3319" s="35"/>
    </row>
    <row r="3320">
      <c r="A3320" s="133"/>
      <c r="B3320" s="75" t="s">
        <v>14099</v>
      </c>
      <c r="C3320" s="76" t="s">
        <v>15955</v>
      </c>
      <c r="D3320" s="47"/>
      <c r="E3320" s="57" t="s">
        <v>15956</v>
      </c>
      <c r="F3320" s="22" t="s">
        <v>647</v>
      </c>
      <c r="G3320" s="57">
        <v>2019.0</v>
      </c>
      <c r="H3320" s="57" t="s">
        <v>452</v>
      </c>
      <c r="I3320" s="134" t="s">
        <v>15957</v>
      </c>
      <c r="J3320" s="23" t="s">
        <v>15958</v>
      </c>
      <c r="K3320" s="23"/>
      <c r="L3320" s="36" t="s">
        <v>15854</v>
      </c>
      <c r="M3320" s="36"/>
      <c r="N3320" s="36"/>
      <c r="O3320" s="36" t="s">
        <v>15959</v>
      </c>
      <c r="P3320" s="37"/>
      <c r="Q3320" s="36"/>
      <c r="R3320" s="36"/>
      <c r="S3320" s="36">
        <v>1.0</v>
      </c>
      <c r="T3320" s="82" t="s">
        <v>15960</v>
      </c>
      <c r="U3320" s="312" t="str">
        <f>HYPERLINK("https://www.ncbi.nlm.nih.gov/pubmed/31297066","PubMed")</f>
        <v>PubMed</v>
      </c>
      <c r="V3320" s="139"/>
      <c r="W3320" s="49"/>
      <c r="X3320" s="49"/>
      <c r="Y3320" s="35"/>
      <c r="Z3320" s="35"/>
      <c r="AA3320" s="35"/>
      <c r="AB3320" s="35"/>
      <c r="AC3320" s="35"/>
      <c r="AD3320" s="35"/>
      <c r="AE3320" s="35"/>
      <c r="AF3320" s="35"/>
      <c r="AG3320" s="35"/>
      <c r="AH3320" s="35"/>
      <c r="AI3320" s="35"/>
      <c r="AJ3320" s="35"/>
      <c r="AK3320" s="35"/>
      <c r="AL3320" s="35"/>
    </row>
    <row r="3321">
      <c r="A3321" s="133"/>
      <c r="B3321" s="19" t="s">
        <v>14099</v>
      </c>
      <c r="C3321" s="76" t="s">
        <v>15961</v>
      </c>
      <c r="D3321" s="47"/>
      <c r="E3321" s="57" t="s">
        <v>15962</v>
      </c>
      <c r="F3321" s="22" t="s">
        <v>15963</v>
      </c>
      <c r="G3321" s="57">
        <v>2022.0</v>
      </c>
      <c r="H3321" s="57" t="s">
        <v>15964</v>
      </c>
      <c r="I3321" s="134" t="s">
        <v>15965</v>
      </c>
      <c r="J3321" s="22" t="s">
        <v>15966</v>
      </c>
      <c r="K3321" s="23"/>
      <c r="L3321" s="36" t="s">
        <v>12611</v>
      </c>
      <c r="M3321" s="36" t="s">
        <v>15967</v>
      </c>
      <c r="N3321" s="136"/>
      <c r="O3321" s="136"/>
      <c r="P3321" s="136"/>
      <c r="Q3321" s="136"/>
      <c r="R3321" s="136"/>
      <c r="S3321" s="36" t="s">
        <v>1231</v>
      </c>
      <c r="T3321" s="102" t="s">
        <v>15968</v>
      </c>
      <c r="U3321" s="248" t="s">
        <v>61</v>
      </c>
      <c r="V3321" s="139"/>
      <c r="W3321" s="49"/>
      <c r="X3321" s="49"/>
      <c r="Y3321" s="35"/>
      <c r="Z3321" s="35"/>
      <c r="AA3321" s="35"/>
      <c r="AB3321" s="35"/>
      <c r="AC3321" s="35"/>
      <c r="AD3321" s="35"/>
      <c r="AE3321" s="35"/>
      <c r="AF3321" s="35"/>
      <c r="AG3321" s="35"/>
      <c r="AH3321" s="35"/>
      <c r="AI3321" s="35"/>
      <c r="AJ3321" s="35"/>
      <c r="AK3321" s="35"/>
      <c r="AL3321" s="35"/>
    </row>
    <row r="3322">
      <c r="A3322" s="133"/>
      <c r="B3322" s="75" t="s">
        <v>14099</v>
      </c>
      <c r="C3322" s="76" t="s">
        <v>15969</v>
      </c>
      <c r="D3322" s="47"/>
      <c r="E3322" s="57" t="s">
        <v>15970</v>
      </c>
      <c r="F3322" s="22" t="s">
        <v>5207</v>
      </c>
      <c r="G3322" s="57">
        <v>2020.0</v>
      </c>
      <c r="H3322" s="57" t="s">
        <v>15911</v>
      </c>
      <c r="I3322" s="134" t="s">
        <v>15971</v>
      </c>
      <c r="J3322" s="23" t="s">
        <v>15972</v>
      </c>
      <c r="K3322" s="23" t="s">
        <v>15973</v>
      </c>
      <c r="L3322" s="36" t="s">
        <v>15974</v>
      </c>
      <c r="M3322" s="36"/>
      <c r="N3322" s="36"/>
      <c r="O3322" s="36" t="s">
        <v>15975</v>
      </c>
      <c r="P3322" s="37" t="s">
        <v>15976</v>
      </c>
      <c r="Q3322" s="36"/>
      <c r="R3322" s="36"/>
      <c r="S3322" s="36" t="s">
        <v>6215</v>
      </c>
      <c r="T3322" s="84" t="s">
        <v>15977</v>
      </c>
      <c r="U3322" s="248" t="s">
        <v>61</v>
      </c>
      <c r="V3322" s="136" t="s">
        <v>15978</v>
      </c>
      <c r="W3322" s="49"/>
      <c r="X3322" s="49"/>
      <c r="Y3322" s="35"/>
      <c r="Z3322" s="35"/>
      <c r="AA3322" s="35"/>
      <c r="AB3322" s="35"/>
      <c r="AC3322" s="35"/>
      <c r="AD3322" s="35"/>
      <c r="AE3322" s="35"/>
      <c r="AF3322" s="35"/>
      <c r="AG3322" s="35"/>
      <c r="AH3322" s="35"/>
      <c r="AI3322" s="35"/>
      <c r="AJ3322" s="35"/>
      <c r="AK3322" s="35"/>
      <c r="AL3322" s="35"/>
    </row>
    <row r="3323">
      <c r="A3323" s="133"/>
      <c r="B3323" s="19" t="s">
        <v>14099</v>
      </c>
      <c r="C3323" s="76" t="s">
        <v>15979</v>
      </c>
      <c r="D3323" s="47"/>
      <c r="E3323" s="57" t="s">
        <v>15980</v>
      </c>
      <c r="F3323" s="22" t="s">
        <v>6349</v>
      </c>
      <c r="G3323" s="57">
        <v>2023.0</v>
      </c>
      <c r="H3323" s="57" t="s">
        <v>6350</v>
      </c>
      <c r="I3323" s="134" t="s">
        <v>15981</v>
      </c>
      <c r="J3323" s="23" t="s">
        <v>15982</v>
      </c>
      <c r="K3323" s="23"/>
      <c r="L3323" s="52" t="s">
        <v>2914</v>
      </c>
      <c r="M3323" s="52"/>
      <c r="N3323" s="200">
        <v>45139.0</v>
      </c>
      <c r="O3323" s="52"/>
      <c r="P3323" s="189"/>
      <c r="Q3323" s="52" t="s">
        <v>15983</v>
      </c>
      <c r="R3323" s="52"/>
      <c r="S3323" s="52" t="s">
        <v>15984</v>
      </c>
      <c r="T3323" s="83" t="s">
        <v>15985</v>
      </c>
      <c r="U3323" s="255" t="s">
        <v>61</v>
      </c>
      <c r="V3323" s="136"/>
      <c r="W3323" s="49"/>
      <c r="X3323" s="49"/>
      <c r="Y3323" s="35"/>
      <c r="Z3323" s="35"/>
      <c r="AA3323" s="35"/>
      <c r="AB3323" s="35"/>
      <c r="AC3323" s="35"/>
      <c r="AD3323" s="35"/>
      <c r="AE3323" s="35"/>
      <c r="AF3323" s="35"/>
      <c r="AG3323" s="35"/>
      <c r="AH3323" s="35"/>
      <c r="AI3323" s="35"/>
      <c r="AJ3323" s="35"/>
      <c r="AK3323" s="35"/>
      <c r="AL3323" s="35"/>
    </row>
    <row r="3324">
      <c r="A3324" s="133"/>
      <c r="B3324" s="19" t="s">
        <v>14099</v>
      </c>
      <c r="C3324" s="76" t="s">
        <v>15979</v>
      </c>
      <c r="D3324" s="47"/>
      <c r="E3324" s="57" t="s">
        <v>2195</v>
      </c>
      <c r="F3324" s="22" t="s">
        <v>1508</v>
      </c>
      <c r="G3324" s="57">
        <v>2023.0</v>
      </c>
      <c r="H3324" s="57" t="s">
        <v>3276</v>
      </c>
      <c r="I3324" s="134" t="s">
        <v>15986</v>
      </c>
      <c r="J3324" s="23" t="s">
        <v>15987</v>
      </c>
      <c r="K3324" s="23"/>
      <c r="L3324" s="52"/>
      <c r="M3324" s="52"/>
      <c r="N3324" s="52"/>
      <c r="O3324" s="52"/>
      <c r="P3324" s="189"/>
      <c r="Q3324" s="52"/>
      <c r="R3324" s="52"/>
      <c r="S3324" s="52"/>
      <c r="T3324" s="83" t="s">
        <v>15988</v>
      </c>
      <c r="U3324" s="255" t="s">
        <v>61</v>
      </c>
      <c r="V3324" s="136" t="s">
        <v>174</v>
      </c>
      <c r="W3324" s="49"/>
      <c r="X3324" s="49"/>
      <c r="Y3324" s="35"/>
      <c r="Z3324" s="35"/>
      <c r="AA3324" s="35"/>
      <c r="AB3324" s="35"/>
      <c r="AC3324" s="35"/>
      <c r="AD3324" s="35"/>
      <c r="AE3324" s="35"/>
      <c r="AF3324" s="35"/>
      <c r="AG3324" s="35"/>
      <c r="AH3324" s="35"/>
      <c r="AI3324" s="35"/>
      <c r="AJ3324" s="35"/>
      <c r="AK3324" s="35"/>
      <c r="AL3324" s="35"/>
    </row>
    <row r="3325">
      <c r="A3325" s="133"/>
      <c r="B3325" s="19" t="s">
        <v>14099</v>
      </c>
      <c r="C3325" s="76" t="s">
        <v>15979</v>
      </c>
      <c r="D3325" s="47"/>
      <c r="E3325" s="57" t="s">
        <v>4286</v>
      </c>
      <c r="F3325" s="22" t="s">
        <v>2196</v>
      </c>
      <c r="G3325" s="57">
        <v>2022.0</v>
      </c>
      <c r="H3325" s="57" t="s">
        <v>77</v>
      </c>
      <c r="I3325" s="134" t="s">
        <v>15989</v>
      </c>
      <c r="J3325" s="23" t="s">
        <v>15990</v>
      </c>
      <c r="K3325" s="23" t="s">
        <v>15991</v>
      </c>
      <c r="L3325" s="52"/>
      <c r="M3325" s="52"/>
      <c r="N3325" s="52"/>
      <c r="O3325" s="52"/>
      <c r="P3325" s="189"/>
      <c r="Q3325" s="52"/>
      <c r="R3325" s="52"/>
      <c r="S3325" s="52" t="s">
        <v>6403</v>
      </c>
      <c r="T3325" s="82" t="s">
        <v>15992</v>
      </c>
      <c r="U3325" s="255" t="s">
        <v>61</v>
      </c>
      <c r="V3325" s="136" t="s">
        <v>174</v>
      </c>
      <c r="W3325" s="49"/>
      <c r="X3325" s="49"/>
      <c r="Y3325" s="35"/>
      <c r="Z3325" s="35"/>
      <c r="AA3325" s="35"/>
      <c r="AB3325" s="35"/>
      <c r="AC3325" s="35"/>
      <c r="AD3325" s="35"/>
      <c r="AE3325" s="35"/>
      <c r="AF3325" s="35"/>
      <c r="AG3325" s="35"/>
      <c r="AH3325" s="35"/>
      <c r="AI3325" s="35"/>
      <c r="AJ3325" s="35"/>
      <c r="AK3325" s="35"/>
      <c r="AL3325" s="35"/>
    </row>
    <row r="3326">
      <c r="A3326" s="133"/>
      <c r="B3326" s="19" t="s">
        <v>14099</v>
      </c>
      <c r="C3326" s="76" t="s">
        <v>15979</v>
      </c>
      <c r="D3326" s="47"/>
      <c r="E3326" s="57" t="s">
        <v>15993</v>
      </c>
      <c r="F3326" s="22" t="s">
        <v>41</v>
      </c>
      <c r="G3326" s="57">
        <v>2021.0</v>
      </c>
      <c r="H3326" s="57" t="s">
        <v>2479</v>
      </c>
      <c r="I3326" s="134" t="s">
        <v>15994</v>
      </c>
      <c r="J3326" s="23" t="s">
        <v>15995</v>
      </c>
      <c r="K3326" s="23" t="s">
        <v>15996</v>
      </c>
      <c r="L3326" s="52" t="s">
        <v>194</v>
      </c>
      <c r="M3326" s="52"/>
      <c r="N3326" s="52"/>
      <c r="O3326" s="52">
        <v>180.0</v>
      </c>
      <c r="P3326" s="189" t="s">
        <v>15997</v>
      </c>
      <c r="Q3326" s="52" t="s">
        <v>15998</v>
      </c>
      <c r="R3326" s="52">
        <v>228.0</v>
      </c>
      <c r="S3326" s="52">
        <v>1.0</v>
      </c>
      <c r="T3326" s="84" t="s">
        <v>15999</v>
      </c>
      <c r="U3326" s="248" t="s">
        <v>61</v>
      </c>
      <c r="V3326" s="136" t="s">
        <v>16000</v>
      </c>
      <c r="W3326" s="49"/>
      <c r="X3326" s="49"/>
      <c r="Y3326" s="35"/>
      <c r="Z3326" s="35"/>
      <c r="AA3326" s="35"/>
      <c r="AB3326" s="35"/>
      <c r="AC3326" s="35"/>
      <c r="AD3326" s="35"/>
      <c r="AE3326" s="35"/>
      <c r="AF3326" s="35"/>
      <c r="AG3326" s="35"/>
      <c r="AH3326" s="35"/>
      <c r="AI3326" s="35"/>
      <c r="AJ3326" s="35"/>
      <c r="AK3326" s="35"/>
      <c r="AL3326" s="35"/>
    </row>
    <row r="3327">
      <c r="A3327" s="133"/>
      <c r="B3327" s="19" t="s">
        <v>14099</v>
      </c>
      <c r="C3327" s="76" t="s">
        <v>15979</v>
      </c>
      <c r="D3327" s="47"/>
      <c r="E3327" s="57" t="s">
        <v>7705</v>
      </c>
      <c r="F3327" s="22" t="s">
        <v>12890</v>
      </c>
      <c r="G3327" s="57">
        <v>2021.0</v>
      </c>
      <c r="H3327" s="57" t="s">
        <v>4804</v>
      </c>
      <c r="I3327" s="134" t="s">
        <v>16001</v>
      </c>
      <c r="J3327" s="23" t="s">
        <v>16002</v>
      </c>
      <c r="K3327" s="23" t="s">
        <v>16003</v>
      </c>
      <c r="L3327" s="52" t="s">
        <v>16004</v>
      </c>
      <c r="M3327" s="52">
        <v>150.0</v>
      </c>
      <c r="N3327" s="52"/>
      <c r="O3327" s="52" t="s">
        <v>16005</v>
      </c>
      <c r="P3327" s="189"/>
      <c r="Q3327" s="52"/>
      <c r="R3327" s="52" t="s">
        <v>16006</v>
      </c>
      <c r="S3327" s="52">
        <v>1.0</v>
      </c>
      <c r="T3327" s="83" t="s">
        <v>16007</v>
      </c>
      <c r="U3327" s="248" t="s">
        <v>61</v>
      </c>
      <c r="V3327" s="136" t="s">
        <v>16008</v>
      </c>
      <c r="W3327" s="49"/>
      <c r="X3327" s="49"/>
      <c r="Y3327" s="35"/>
      <c r="Z3327" s="35"/>
      <c r="AA3327" s="35"/>
      <c r="AB3327" s="35"/>
      <c r="AC3327" s="35"/>
      <c r="AD3327" s="35"/>
      <c r="AE3327" s="35"/>
      <c r="AF3327" s="35"/>
      <c r="AG3327" s="35"/>
      <c r="AH3327" s="35"/>
      <c r="AI3327" s="35"/>
      <c r="AJ3327" s="35"/>
      <c r="AK3327" s="35"/>
      <c r="AL3327" s="35"/>
    </row>
    <row r="3328">
      <c r="A3328" s="133"/>
      <c r="B3328" s="75" t="s">
        <v>14099</v>
      </c>
      <c r="C3328" s="76" t="s">
        <v>15979</v>
      </c>
      <c r="D3328" s="47"/>
      <c r="E3328" s="57" t="s">
        <v>16009</v>
      </c>
      <c r="F3328" s="22" t="s">
        <v>5207</v>
      </c>
      <c r="G3328" s="57">
        <v>2021.0</v>
      </c>
      <c r="H3328" s="57" t="s">
        <v>452</v>
      </c>
      <c r="I3328" s="134" t="s">
        <v>16010</v>
      </c>
      <c r="J3328" s="23" t="s">
        <v>16011</v>
      </c>
      <c r="K3328" s="23" t="s">
        <v>16012</v>
      </c>
      <c r="L3328" s="36">
        <v>808.0</v>
      </c>
      <c r="M3328" s="36">
        <v>100.0</v>
      </c>
      <c r="N3328" s="36" t="s">
        <v>16013</v>
      </c>
      <c r="O3328" s="36" t="s">
        <v>16014</v>
      </c>
      <c r="P3328" s="37" t="s">
        <v>1071</v>
      </c>
      <c r="Q3328" s="36" t="s">
        <v>151</v>
      </c>
      <c r="R3328" s="36" t="s">
        <v>16015</v>
      </c>
      <c r="S3328" s="36">
        <v>1.0</v>
      </c>
      <c r="T3328" s="82" t="s">
        <v>16016</v>
      </c>
      <c r="U3328" s="248" t="s">
        <v>61</v>
      </c>
      <c r="V3328" s="136" t="s">
        <v>16017</v>
      </c>
      <c r="W3328" s="49"/>
      <c r="X3328" s="49"/>
      <c r="Y3328" s="35"/>
      <c r="Z3328" s="35"/>
      <c r="AA3328" s="35"/>
      <c r="AB3328" s="35"/>
      <c r="AC3328" s="35"/>
      <c r="AD3328" s="35"/>
      <c r="AE3328" s="35"/>
      <c r="AF3328" s="35"/>
      <c r="AG3328" s="35"/>
      <c r="AH3328" s="35"/>
      <c r="AI3328" s="35"/>
      <c r="AJ3328" s="35"/>
      <c r="AK3328" s="35"/>
      <c r="AL3328" s="35"/>
    </row>
    <row r="3329">
      <c r="A3329" s="133"/>
      <c r="B3329" s="75" t="s">
        <v>14099</v>
      </c>
      <c r="C3329" s="76" t="s">
        <v>15979</v>
      </c>
      <c r="D3329" s="47"/>
      <c r="E3329" s="57" t="s">
        <v>16018</v>
      </c>
      <c r="F3329" s="22" t="s">
        <v>510</v>
      </c>
      <c r="G3329" s="57">
        <v>2021.0</v>
      </c>
      <c r="H3329" s="57" t="s">
        <v>91</v>
      </c>
      <c r="I3329" s="134" t="s">
        <v>16019</v>
      </c>
      <c r="J3329" s="23" t="s">
        <v>16020</v>
      </c>
      <c r="K3329" s="23" t="s">
        <v>16021</v>
      </c>
      <c r="L3329" s="36">
        <v>808.0</v>
      </c>
      <c r="M3329" s="36">
        <v>100.0</v>
      </c>
      <c r="N3329" s="36"/>
      <c r="O3329" s="36" t="s">
        <v>13260</v>
      </c>
      <c r="P3329" s="37"/>
      <c r="Q3329" s="36"/>
      <c r="R3329" s="36"/>
      <c r="S3329" s="36">
        <v>1.0</v>
      </c>
      <c r="T3329" s="84" t="s">
        <v>16022</v>
      </c>
      <c r="U3329" s="248" t="s">
        <v>61</v>
      </c>
      <c r="V3329" s="136" t="s">
        <v>16023</v>
      </c>
      <c r="W3329" s="49"/>
      <c r="X3329" s="49"/>
      <c r="Y3329" s="35"/>
      <c r="Z3329" s="35"/>
      <c r="AA3329" s="35"/>
      <c r="AB3329" s="35"/>
      <c r="AC3329" s="35"/>
      <c r="AD3329" s="35"/>
      <c r="AE3329" s="35"/>
      <c r="AF3329" s="35"/>
      <c r="AG3329" s="35"/>
      <c r="AH3329" s="35"/>
      <c r="AI3329" s="35"/>
      <c r="AJ3329" s="35"/>
      <c r="AK3329" s="35"/>
      <c r="AL3329" s="35"/>
    </row>
    <row r="3330">
      <c r="A3330" s="133"/>
      <c r="B3330" s="75" t="s">
        <v>14099</v>
      </c>
      <c r="C3330" s="76" t="s">
        <v>15979</v>
      </c>
      <c r="D3330" s="47"/>
      <c r="E3330" s="57" t="s">
        <v>10513</v>
      </c>
      <c r="F3330" s="22" t="s">
        <v>5207</v>
      </c>
      <c r="G3330" s="57">
        <v>2021.0</v>
      </c>
      <c r="H3330" s="57" t="s">
        <v>16024</v>
      </c>
      <c r="I3330" s="134" t="s">
        <v>16025</v>
      </c>
      <c r="J3330" s="23" t="s">
        <v>16026</v>
      </c>
      <c r="K3330" s="23" t="s">
        <v>16027</v>
      </c>
      <c r="L3330" s="36">
        <v>808.0</v>
      </c>
      <c r="M3330" s="36">
        <v>100.0</v>
      </c>
      <c r="N3330" s="36"/>
      <c r="O3330" s="36">
        <v>42.0</v>
      </c>
      <c r="P3330" s="37"/>
      <c r="Q3330" s="36"/>
      <c r="R3330" s="36"/>
      <c r="S3330" s="36" t="s">
        <v>8311</v>
      </c>
      <c r="T3330" s="84" t="s">
        <v>16028</v>
      </c>
      <c r="U3330" s="248" t="s">
        <v>61</v>
      </c>
      <c r="V3330" s="136" t="s">
        <v>16029</v>
      </c>
      <c r="W3330" s="49"/>
      <c r="X3330" s="49"/>
      <c r="Y3330" s="35"/>
      <c r="Z3330" s="35"/>
      <c r="AA3330" s="35"/>
      <c r="AB3330" s="35"/>
      <c r="AC3330" s="35"/>
      <c r="AD3330" s="35"/>
      <c r="AE3330" s="35"/>
      <c r="AF3330" s="35"/>
      <c r="AG3330" s="35"/>
      <c r="AH3330" s="35"/>
      <c r="AI3330" s="35"/>
      <c r="AJ3330" s="35"/>
      <c r="AK3330" s="35"/>
      <c r="AL3330" s="35"/>
    </row>
    <row r="3331">
      <c r="A3331" s="133"/>
      <c r="B3331" s="75" t="s">
        <v>14099</v>
      </c>
      <c r="C3331" s="76" t="s">
        <v>15979</v>
      </c>
      <c r="D3331" s="47"/>
      <c r="E3331" s="57" t="s">
        <v>16030</v>
      </c>
      <c r="F3331" s="22" t="s">
        <v>16031</v>
      </c>
      <c r="G3331" s="57">
        <v>2020.0</v>
      </c>
      <c r="H3331" s="57" t="s">
        <v>77</v>
      </c>
      <c r="I3331" s="134" t="s">
        <v>16032</v>
      </c>
      <c r="J3331" s="23" t="s">
        <v>16033</v>
      </c>
      <c r="K3331" s="23" t="s">
        <v>16034</v>
      </c>
      <c r="L3331" s="36" t="s">
        <v>16035</v>
      </c>
      <c r="M3331" s="36"/>
      <c r="N3331" s="36"/>
      <c r="O3331" s="36" t="s">
        <v>16036</v>
      </c>
      <c r="P3331" s="37"/>
      <c r="Q3331" s="36" t="s">
        <v>16037</v>
      </c>
      <c r="R3331" s="36" t="s">
        <v>16038</v>
      </c>
      <c r="S3331" s="36" t="s">
        <v>16039</v>
      </c>
      <c r="T3331" s="84" t="s">
        <v>16040</v>
      </c>
      <c r="U3331" s="248" t="s">
        <v>61</v>
      </c>
      <c r="V3331" s="313" t="s">
        <v>16041</v>
      </c>
      <c r="W3331" s="49"/>
      <c r="X3331" s="49"/>
      <c r="Y3331" s="35"/>
      <c r="Z3331" s="35"/>
      <c r="AA3331" s="35"/>
      <c r="AB3331" s="35"/>
      <c r="AC3331" s="35"/>
      <c r="AD3331" s="35"/>
      <c r="AE3331" s="35"/>
      <c r="AF3331" s="35"/>
      <c r="AG3331" s="35"/>
      <c r="AH3331" s="35"/>
      <c r="AI3331" s="35"/>
      <c r="AJ3331" s="35"/>
      <c r="AK3331" s="35"/>
      <c r="AL3331" s="35"/>
    </row>
    <row r="3332">
      <c r="A3332" s="133"/>
      <c r="B3332" s="75" t="s">
        <v>14099</v>
      </c>
      <c r="C3332" s="76" t="s">
        <v>15979</v>
      </c>
      <c r="D3332" s="47"/>
      <c r="E3332" s="57" t="s">
        <v>7600</v>
      </c>
      <c r="F3332" s="22" t="s">
        <v>530</v>
      </c>
      <c r="G3332" s="57">
        <v>2020.0</v>
      </c>
      <c r="H3332" s="57" t="s">
        <v>77</v>
      </c>
      <c r="I3332" s="134" t="s">
        <v>16042</v>
      </c>
      <c r="J3332" s="23" t="s">
        <v>16043</v>
      </c>
      <c r="K3332" s="23" t="s">
        <v>16044</v>
      </c>
      <c r="L3332" s="36" t="s">
        <v>16045</v>
      </c>
      <c r="M3332" s="36">
        <v>415.0</v>
      </c>
      <c r="N3332" s="36" t="s">
        <v>16046</v>
      </c>
      <c r="O3332" s="36" t="s">
        <v>16047</v>
      </c>
      <c r="P3332" s="37"/>
      <c r="Q3332" s="36" t="s">
        <v>16048</v>
      </c>
      <c r="R3332" s="36"/>
      <c r="S3332" s="36">
        <v>1.0</v>
      </c>
      <c r="T3332" s="84" t="s">
        <v>16049</v>
      </c>
      <c r="U3332" s="248" t="s">
        <v>61</v>
      </c>
      <c r="V3332" s="136" t="s">
        <v>16050</v>
      </c>
      <c r="W3332" s="49"/>
      <c r="X3332" s="49"/>
      <c r="Y3332" s="35"/>
      <c r="Z3332" s="35"/>
      <c r="AA3332" s="35"/>
      <c r="AB3332" s="35"/>
      <c r="AC3332" s="35"/>
      <c r="AD3332" s="35"/>
      <c r="AE3332" s="35"/>
      <c r="AF3332" s="35"/>
      <c r="AG3332" s="35"/>
      <c r="AH3332" s="35"/>
      <c r="AI3332" s="35"/>
      <c r="AJ3332" s="35"/>
      <c r="AK3332" s="35"/>
      <c r="AL3332" s="35"/>
    </row>
    <row r="3333">
      <c r="A3333" s="133"/>
      <c r="B3333" s="75" t="s">
        <v>14099</v>
      </c>
      <c r="C3333" s="76" t="s">
        <v>15979</v>
      </c>
      <c r="D3333" s="47"/>
      <c r="E3333" s="57" t="s">
        <v>13241</v>
      </c>
      <c r="F3333" s="22" t="s">
        <v>530</v>
      </c>
      <c r="G3333" s="57">
        <v>2020.0</v>
      </c>
      <c r="H3333" s="57" t="s">
        <v>77</v>
      </c>
      <c r="I3333" s="134" t="s">
        <v>16051</v>
      </c>
      <c r="J3333" s="23" t="s">
        <v>16052</v>
      </c>
      <c r="K3333" s="23"/>
      <c r="L3333" s="36" t="s">
        <v>158</v>
      </c>
      <c r="M3333" s="36" t="s">
        <v>16053</v>
      </c>
      <c r="N3333" s="36">
        <v>2.0</v>
      </c>
      <c r="O3333" s="36" t="s">
        <v>16054</v>
      </c>
      <c r="P3333" s="37" t="s">
        <v>11771</v>
      </c>
      <c r="Q3333" s="36" t="s">
        <v>16055</v>
      </c>
      <c r="R3333" s="36">
        <v>40.0</v>
      </c>
      <c r="S3333" s="36">
        <v>1.0</v>
      </c>
      <c r="T3333" s="82" t="s">
        <v>16056</v>
      </c>
      <c r="U3333" s="248" t="s">
        <v>61</v>
      </c>
      <c r="V3333" s="136" t="s">
        <v>16057</v>
      </c>
      <c r="W3333" s="49"/>
      <c r="X3333" s="49"/>
      <c r="Y3333" s="35"/>
      <c r="Z3333" s="35"/>
      <c r="AA3333" s="35"/>
      <c r="AB3333" s="35"/>
      <c r="AC3333" s="35"/>
      <c r="AD3333" s="35"/>
      <c r="AE3333" s="35"/>
      <c r="AF3333" s="35"/>
      <c r="AG3333" s="35"/>
      <c r="AH3333" s="35"/>
      <c r="AI3333" s="35"/>
      <c r="AJ3333" s="35"/>
      <c r="AK3333" s="35"/>
      <c r="AL3333" s="35"/>
    </row>
    <row r="3334">
      <c r="A3334" s="133"/>
      <c r="B3334" s="75" t="s">
        <v>14099</v>
      </c>
      <c r="C3334" s="76" t="s">
        <v>15979</v>
      </c>
      <c r="D3334" s="47"/>
      <c r="E3334" s="57" t="s">
        <v>16058</v>
      </c>
      <c r="F3334" s="22" t="s">
        <v>241</v>
      </c>
      <c r="G3334" s="57">
        <v>2020.0</v>
      </c>
      <c r="H3334" s="57" t="s">
        <v>77</v>
      </c>
      <c r="I3334" s="134" t="s">
        <v>16059</v>
      </c>
      <c r="J3334" s="23" t="s">
        <v>16060</v>
      </c>
      <c r="K3334" s="23" t="s">
        <v>16061</v>
      </c>
      <c r="L3334" s="52" t="s">
        <v>9388</v>
      </c>
      <c r="M3334" s="52">
        <v>1152.0</v>
      </c>
      <c r="N3334" s="52"/>
      <c r="O3334" s="52">
        <v>60.0</v>
      </c>
      <c r="P3334" s="189"/>
      <c r="Q3334" s="52" t="s">
        <v>16062</v>
      </c>
      <c r="R3334" s="52">
        <v>52.0</v>
      </c>
      <c r="S3334" s="52" t="s">
        <v>15887</v>
      </c>
      <c r="T3334" s="82" t="s">
        <v>16063</v>
      </c>
      <c r="U3334" s="248" t="s">
        <v>61</v>
      </c>
      <c r="V3334" s="136" t="s">
        <v>16064</v>
      </c>
      <c r="W3334" s="49"/>
      <c r="X3334" s="49"/>
      <c r="Y3334" s="35"/>
      <c r="Z3334" s="35"/>
      <c r="AA3334" s="35"/>
      <c r="AB3334" s="35"/>
      <c r="AC3334" s="35"/>
      <c r="AD3334" s="35"/>
      <c r="AE3334" s="35"/>
      <c r="AF3334" s="35"/>
      <c r="AG3334" s="35"/>
      <c r="AH3334" s="35"/>
      <c r="AI3334" s="35"/>
      <c r="AJ3334" s="35"/>
      <c r="AK3334" s="35"/>
      <c r="AL3334" s="35"/>
    </row>
    <row r="3335">
      <c r="A3335" s="133"/>
      <c r="B3335" s="75" t="s">
        <v>14099</v>
      </c>
      <c r="C3335" s="76" t="s">
        <v>15979</v>
      </c>
      <c r="D3335" s="47"/>
      <c r="E3335" s="57" t="s">
        <v>16065</v>
      </c>
      <c r="F3335" s="22" t="s">
        <v>16066</v>
      </c>
      <c r="G3335" s="57">
        <v>2020.0</v>
      </c>
      <c r="H3335" s="57" t="s">
        <v>15929</v>
      </c>
      <c r="I3335" s="134" t="s">
        <v>16067</v>
      </c>
      <c r="J3335" s="23" t="s">
        <v>16068</v>
      </c>
      <c r="K3335" s="23" t="s">
        <v>16069</v>
      </c>
      <c r="L3335" s="36" t="s">
        <v>3031</v>
      </c>
      <c r="M3335" s="36"/>
      <c r="N3335" s="36" t="s">
        <v>16070</v>
      </c>
      <c r="O3335" s="36" t="s">
        <v>16071</v>
      </c>
      <c r="P3335" s="37" t="s">
        <v>7604</v>
      </c>
      <c r="Q3335" s="36"/>
      <c r="R3335" s="36"/>
      <c r="S3335" s="36">
        <v>1.0</v>
      </c>
      <c r="T3335" s="82" t="s">
        <v>16072</v>
      </c>
      <c r="U3335" s="248" t="s">
        <v>61</v>
      </c>
      <c r="V3335" s="136" t="s">
        <v>16073</v>
      </c>
      <c r="W3335" s="49"/>
      <c r="X3335" s="49"/>
      <c r="Y3335" s="35"/>
      <c r="Z3335" s="35"/>
      <c r="AA3335" s="35"/>
      <c r="AB3335" s="35"/>
      <c r="AC3335" s="35"/>
      <c r="AD3335" s="35"/>
      <c r="AE3335" s="35"/>
      <c r="AF3335" s="35"/>
      <c r="AG3335" s="35"/>
      <c r="AH3335" s="35"/>
      <c r="AI3335" s="35"/>
      <c r="AJ3335" s="35"/>
      <c r="AK3335" s="35"/>
      <c r="AL3335" s="35"/>
    </row>
    <row r="3336">
      <c r="A3336" s="133"/>
      <c r="B3336" s="75" t="s">
        <v>14099</v>
      </c>
      <c r="C3336" s="76" t="s">
        <v>15979</v>
      </c>
      <c r="D3336" s="47"/>
      <c r="E3336" s="57" t="s">
        <v>16074</v>
      </c>
      <c r="F3336" s="22" t="s">
        <v>41</v>
      </c>
      <c r="G3336" s="57">
        <v>2020.0</v>
      </c>
      <c r="H3336" s="57" t="s">
        <v>15835</v>
      </c>
      <c r="I3336" s="134" t="s">
        <v>16075</v>
      </c>
      <c r="J3336" s="23" t="s">
        <v>16076</v>
      </c>
      <c r="K3336" s="23" t="s">
        <v>16077</v>
      </c>
      <c r="L3336" s="36" t="s">
        <v>194</v>
      </c>
      <c r="M3336" s="36"/>
      <c r="N3336" s="36"/>
      <c r="O3336" s="36" t="s">
        <v>16078</v>
      </c>
      <c r="P3336" s="37" t="s">
        <v>16079</v>
      </c>
      <c r="Q3336" s="36" t="s">
        <v>15841</v>
      </c>
      <c r="R3336" s="36"/>
      <c r="S3336" s="36">
        <v>1.0</v>
      </c>
      <c r="T3336" s="83" t="s">
        <v>16080</v>
      </c>
      <c r="U3336" s="248" t="s">
        <v>61</v>
      </c>
      <c r="V3336" s="136" t="s">
        <v>16081</v>
      </c>
      <c r="W3336" s="49"/>
      <c r="X3336" s="49"/>
      <c r="Y3336" s="35"/>
      <c r="Z3336" s="35"/>
      <c r="AA3336" s="35"/>
      <c r="AB3336" s="35"/>
      <c r="AC3336" s="35"/>
      <c r="AD3336" s="35"/>
      <c r="AE3336" s="35"/>
      <c r="AF3336" s="35"/>
      <c r="AG3336" s="35"/>
      <c r="AH3336" s="35"/>
      <c r="AI3336" s="35"/>
      <c r="AJ3336" s="35"/>
      <c r="AK3336" s="35"/>
      <c r="AL3336" s="35"/>
    </row>
    <row r="3337">
      <c r="A3337" s="133"/>
      <c r="B3337" s="75" t="s">
        <v>14099</v>
      </c>
      <c r="C3337" s="76" t="s">
        <v>15979</v>
      </c>
      <c r="D3337" s="47"/>
      <c r="E3337" s="57" t="s">
        <v>16082</v>
      </c>
      <c r="F3337" s="22" t="s">
        <v>41</v>
      </c>
      <c r="G3337" s="57">
        <v>2020.0</v>
      </c>
      <c r="H3337" s="57" t="s">
        <v>91</v>
      </c>
      <c r="I3337" s="134" t="s">
        <v>16083</v>
      </c>
      <c r="J3337" s="23" t="s">
        <v>16084</v>
      </c>
      <c r="K3337" s="23" t="s">
        <v>16085</v>
      </c>
      <c r="L3337" s="36" t="s">
        <v>16086</v>
      </c>
      <c r="M3337" s="36" t="s">
        <v>16087</v>
      </c>
      <c r="N3337" s="36"/>
      <c r="O3337" s="36" t="s">
        <v>16088</v>
      </c>
      <c r="P3337" s="37"/>
      <c r="Q3337" s="36"/>
      <c r="R3337" s="36" t="s">
        <v>16089</v>
      </c>
      <c r="S3337" s="36" t="s">
        <v>16090</v>
      </c>
      <c r="T3337" s="82" t="s">
        <v>16091</v>
      </c>
      <c r="U3337" s="248" t="s">
        <v>61</v>
      </c>
      <c r="V3337" s="136" t="s">
        <v>16092</v>
      </c>
      <c r="W3337" s="49"/>
      <c r="X3337" s="49"/>
      <c r="Y3337" s="35"/>
      <c r="Z3337" s="35"/>
      <c r="AA3337" s="35"/>
      <c r="AB3337" s="35"/>
      <c r="AC3337" s="35"/>
      <c r="AD3337" s="35"/>
      <c r="AE3337" s="35"/>
      <c r="AF3337" s="35"/>
      <c r="AG3337" s="35"/>
      <c r="AH3337" s="35"/>
      <c r="AI3337" s="35"/>
      <c r="AJ3337" s="35"/>
      <c r="AK3337" s="35"/>
      <c r="AL3337" s="35"/>
    </row>
    <row r="3338">
      <c r="A3338" s="133"/>
      <c r="B3338" s="75" t="s">
        <v>14099</v>
      </c>
      <c r="C3338" s="76" t="s">
        <v>15979</v>
      </c>
      <c r="D3338" s="47"/>
      <c r="E3338" s="57" t="s">
        <v>16093</v>
      </c>
      <c r="F3338" s="22" t="s">
        <v>41</v>
      </c>
      <c r="G3338" s="57">
        <v>2020.0</v>
      </c>
      <c r="H3338" s="57" t="s">
        <v>15835</v>
      </c>
      <c r="I3338" s="134" t="s">
        <v>16094</v>
      </c>
      <c r="J3338" s="23" t="s">
        <v>16095</v>
      </c>
      <c r="K3338" s="23" t="s">
        <v>16096</v>
      </c>
      <c r="L3338" s="36" t="s">
        <v>12588</v>
      </c>
      <c r="M3338" s="36" t="s">
        <v>16097</v>
      </c>
      <c r="N3338" s="36"/>
      <c r="O3338" s="36" t="s">
        <v>16098</v>
      </c>
      <c r="P3338" s="37"/>
      <c r="Q3338" s="36" t="s">
        <v>12590</v>
      </c>
      <c r="R3338" s="36" t="s">
        <v>16099</v>
      </c>
      <c r="S3338" s="36">
        <v>1.0</v>
      </c>
      <c r="T3338" s="83" t="s">
        <v>16100</v>
      </c>
      <c r="U3338" s="248" t="s">
        <v>61</v>
      </c>
      <c r="V3338" s="136" t="s">
        <v>16101</v>
      </c>
      <c r="W3338" s="49"/>
      <c r="X3338" s="49"/>
      <c r="Y3338" s="35"/>
      <c r="Z3338" s="35"/>
      <c r="AA3338" s="35"/>
      <c r="AB3338" s="35"/>
      <c r="AC3338" s="35"/>
      <c r="AD3338" s="35"/>
      <c r="AE3338" s="35"/>
      <c r="AF3338" s="35"/>
      <c r="AG3338" s="35"/>
      <c r="AH3338" s="35"/>
      <c r="AI3338" s="35"/>
      <c r="AJ3338" s="35"/>
      <c r="AK3338" s="35"/>
      <c r="AL3338" s="35"/>
    </row>
    <row r="3339">
      <c r="A3339" s="133"/>
      <c r="B3339" s="75" t="s">
        <v>14099</v>
      </c>
      <c r="C3339" s="76" t="s">
        <v>15979</v>
      </c>
      <c r="D3339" s="47"/>
      <c r="E3339" s="57" t="s">
        <v>15834</v>
      </c>
      <c r="F3339" s="22" t="s">
        <v>41</v>
      </c>
      <c r="G3339" s="57">
        <v>2019.0</v>
      </c>
      <c r="H3339" s="57" t="s">
        <v>6911</v>
      </c>
      <c r="I3339" s="134" t="s">
        <v>16102</v>
      </c>
      <c r="J3339" s="23" t="s">
        <v>2141</v>
      </c>
      <c r="K3339" s="23"/>
      <c r="L3339" s="168"/>
      <c r="M3339" s="168"/>
      <c r="N3339" s="168"/>
      <c r="O3339" s="168"/>
      <c r="P3339" s="169"/>
      <c r="Q3339" s="168"/>
      <c r="R3339" s="168"/>
      <c r="S3339" s="168"/>
      <c r="T3339" s="314" t="s">
        <v>16103</v>
      </c>
      <c r="U3339" s="312" t="str">
        <f>HYPERLINK("https://www.ncbi.nlm.nih.gov/pubmed/31662370","PubMed")</f>
        <v>PubMed</v>
      </c>
      <c r="V3339" s="139"/>
      <c r="W3339" s="49"/>
      <c r="X3339" s="49"/>
      <c r="Y3339" s="35"/>
      <c r="Z3339" s="35"/>
      <c r="AA3339" s="35"/>
      <c r="AB3339" s="35"/>
      <c r="AC3339" s="35"/>
      <c r="AD3339" s="35"/>
      <c r="AE3339" s="35"/>
      <c r="AF3339" s="35"/>
      <c r="AG3339" s="35"/>
      <c r="AH3339" s="35"/>
      <c r="AI3339" s="35"/>
      <c r="AJ3339" s="35"/>
      <c r="AK3339" s="35"/>
      <c r="AL3339" s="35"/>
    </row>
    <row r="3340">
      <c r="A3340" s="133"/>
      <c r="B3340" s="75" t="s">
        <v>14099</v>
      </c>
      <c r="C3340" s="76" t="s">
        <v>15979</v>
      </c>
      <c r="D3340" s="47"/>
      <c r="E3340" s="57" t="s">
        <v>7880</v>
      </c>
      <c r="F3340" s="22" t="s">
        <v>41</v>
      </c>
      <c r="G3340" s="57">
        <v>2019.0</v>
      </c>
      <c r="H3340" s="57" t="s">
        <v>960</v>
      </c>
      <c r="I3340" s="134" t="s">
        <v>16104</v>
      </c>
      <c r="J3340" s="23" t="s">
        <v>16105</v>
      </c>
      <c r="K3340" s="23" t="s">
        <v>16106</v>
      </c>
      <c r="L3340" s="94">
        <v>850.0</v>
      </c>
      <c r="M3340" s="94" t="s">
        <v>16107</v>
      </c>
      <c r="N3340" s="94" t="s">
        <v>93</v>
      </c>
      <c r="O3340" s="94" t="s">
        <v>16108</v>
      </c>
      <c r="P3340" s="95" t="s">
        <v>1400</v>
      </c>
      <c r="Q3340" s="94" t="s">
        <v>16109</v>
      </c>
      <c r="R3340" s="94">
        <v>30.0</v>
      </c>
      <c r="S3340" s="94">
        <v>1.0</v>
      </c>
      <c r="T3340" s="82" t="s">
        <v>16110</v>
      </c>
      <c r="U3340" s="312" t="str">
        <f>HYPERLINK("https://www.ncbi.nlm.nih.gov/pubmed/30775383","PubMed")</f>
        <v>PubMed</v>
      </c>
      <c r="V3340" s="139"/>
      <c r="W3340" s="49"/>
      <c r="X3340" s="49"/>
      <c r="Y3340" s="35"/>
      <c r="Z3340" s="35"/>
      <c r="AA3340" s="35"/>
      <c r="AB3340" s="35"/>
      <c r="AC3340" s="35"/>
      <c r="AD3340" s="35"/>
      <c r="AE3340" s="35"/>
      <c r="AF3340" s="35"/>
      <c r="AG3340" s="35"/>
      <c r="AH3340" s="35"/>
      <c r="AI3340" s="35"/>
      <c r="AJ3340" s="35"/>
      <c r="AK3340" s="35"/>
      <c r="AL3340" s="35"/>
    </row>
    <row r="3341">
      <c r="A3341" s="133"/>
      <c r="B3341" s="75" t="s">
        <v>14099</v>
      </c>
      <c r="C3341" s="76" t="s">
        <v>15979</v>
      </c>
      <c r="D3341" s="47"/>
      <c r="E3341" s="57" t="s">
        <v>16111</v>
      </c>
      <c r="F3341" s="22" t="s">
        <v>41</v>
      </c>
      <c r="G3341" s="57">
        <v>2019.0</v>
      </c>
      <c r="H3341" s="57" t="s">
        <v>91</v>
      </c>
      <c r="I3341" s="134" t="s">
        <v>16112</v>
      </c>
      <c r="J3341" s="23" t="s">
        <v>16113</v>
      </c>
      <c r="K3341" s="23" t="s">
        <v>16114</v>
      </c>
      <c r="L3341" s="94" t="s">
        <v>158</v>
      </c>
      <c r="M3341" s="94" t="s">
        <v>16115</v>
      </c>
      <c r="N3341" s="94"/>
      <c r="O3341" s="94" t="s">
        <v>16116</v>
      </c>
      <c r="P3341" s="95"/>
      <c r="Q3341" s="94"/>
      <c r="R3341" s="94" t="s">
        <v>16117</v>
      </c>
      <c r="S3341" s="94" t="s">
        <v>2680</v>
      </c>
      <c r="T3341" s="82" t="s">
        <v>16118</v>
      </c>
      <c r="U3341" s="312" t="str">
        <f>HYPERLINK("https://www.ncbi.nlm.nih.gov/pubmed/31197508","PubMed")</f>
        <v>PubMed</v>
      </c>
      <c r="V3341" s="136" t="s">
        <v>16119</v>
      </c>
      <c r="W3341" s="49"/>
      <c r="X3341" s="49"/>
      <c r="Y3341" s="35"/>
      <c r="Z3341" s="35"/>
      <c r="AA3341" s="35"/>
      <c r="AB3341" s="35"/>
      <c r="AC3341" s="35"/>
      <c r="AD3341" s="35"/>
      <c r="AE3341" s="35"/>
      <c r="AF3341" s="35"/>
      <c r="AG3341" s="35"/>
      <c r="AH3341" s="35"/>
      <c r="AI3341" s="35"/>
      <c r="AJ3341" s="35"/>
      <c r="AK3341" s="35"/>
      <c r="AL3341" s="35"/>
    </row>
    <row r="3342">
      <c r="A3342" s="133"/>
      <c r="B3342" s="75" t="s">
        <v>14099</v>
      </c>
      <c r="C3342" s="76" t="s">
        <v>15979</v>
      </c>
      <c r="D3342" s="47"/>
      <c r="E3342" s="57" t="s">
        <v>16120</v>
      </c>
      <c r="F3342" s="22" t="s">
        <v>797</v>
      </c>
      <c r="G3342" s="57">
        <v>2019.0</v>
      </c>
      <c r="H3342" s="57" t="s">
        <v>91</v>
      </c>
      <c r="I3342" s="134" t="s">
        <v>16121</v>
      </c>
      <c r="J3342" s="23" t="s">
        <v>16122</v>
      </c>
      <c r="K3342" s="23" t="s">
        <v>16027</v>
      </c>
      <c r="L3342" s="36">
        <v>850.0</v>
      </c>
      <c r="M3342" s="36"/>
      <c r="N3342" s="36"/>
      <c r="O3342" s="36" t="s">
        <v>16123</v>
      </c>
      <c r="P3342" s="37"/>
      <c r="Q3342" s="36" t="s">
        <v>16124</v>
      </c>
      <c r="R3342" s="36" t="s">
        <v>16125</v>
      </c>
      <c r="S3342" s="36" t="s">
        <v>16126</v>
      </c>
      <c r="T3342" s="84" t="s">
        <v>16127</v>
      </c>
      <c r="U3342" s="312" t="str">
        <f>HYPERLINK("https://www.ncbi.nlm.nih.gov/pubmed/31025208","PubMed")</f>
        <v>PubMed</v>
      </c>
      <c r="V3342" s="136" t="s">
        <v>16128</v>
      </c>
      <c r="W3342" s="49"/>
      <c r="X3342" s="49"/>
      <c r="Y3342" s="35"/>
      <c r="Z3342" s="35"/>
      <c r="AA3342" s="35"/>
      <c r="AB3342" s="35"/>
      <c r="AC3342" s="35"/>
      <c r="AD3342" s="35"/>
      <c r="AE3342" s="35"/>
      <c r="AF3342" s="35"/>
      <c r="AG3342" s="35"/>
      <c r="AH3342" s="35"/>
      <c r="AI3342" s="35"/>
      <c r="AJ3342" s="35"/>
      <c r="AK3342" s="35"/>
      <c r="AL3342" s="35"/>
    </row>
    <row r="3343">
      <c r="A3343" s="133"/>
      <c r="B3343" s="75" t="s">
        <v>14099</v>
      </c>
      <c r="C3343" s="76" t="s">
        <v>15979</v>
      </c>
      <c r="D3343" s="47"/>
      <c r="E3343" s="57" t="s">
        <v>15956</v>
      </c>
      <c r="F3343" s="22" t="s">
        <v>647</v>
      </c>
      <c r="G3343" s="57">
        <v>2020.0</v>
      </c>
      <c r="H3343" s="57" t="s">
        <v>77</v>
      </c>
      <c r="I3343" s="134" t="s">
        <v>16129</v>
      </c>
      <c r="J3343" s="23" t="s">
        <v>16130</v>
      </c>
      <c r="K3343" s="23"/>
      <c r="L3343" s="36" t="s">
        <v>15854</v>
      </c>
      <c r="M3343" s="36"/>
      <c r="N3343" s="36"/>
      <c r="O3343" s="36"/>
      <c r="P3343" s="37"/>
      <c r="Q3343" s="36"/>
      <c r="R3343" s="36"/>
      <c r="S3343" s="36"/>
      <c r="T3343" s="82" t="s">
        <v>16131</v>
      </c>
      <c r="U3343" s="248" t="s">
        <v>61</v>
      </c>
      <c r="V3343" s="139"/>
      <c r="W3343" s="49"/>
      <c r="X3343" s="49"/>
      <c r="Y3343" s="35"/>
      <c r="Z3343" s="35"/>
      <c r="AA3343" s="35"/>
      <c r="AB3343" s="35"/>
      <c r="AC3343" s="35"/>
      <c r="AD3343" s="35"/>
      <c r="AE3343" s="35"/>
      <c r="AF3343" s="35"/>
      <c r="AG3343" s="35"/>
      <c r="AH3343" s="35"/>
      <c r="AI3343" s="35"/>
      <c r="AJ3343" s="35"/>
      <c r="AK3343" s="35"/>
      <c r="AL3343" s="35"/>
    </row>
    <row r="3344">
      <c r="A3344" s="133"/>
      <c r="B3344" s="75" t="s">
        <v>14099</v>
      </c>
      <c r="C3344" s="76" t="s">
        <v>16132</v>
      </c>
      <c r="D3344" s="47"/>
      <c r="E3344" s="57" t="s">
        <v>16133</v>
      </c>
      <c r="F3344" s="22" t="s">
        <v>5207</v>
      </c>
      <c r="G3344" s="57">
        <v>2024.0</v>
      </c>
      <c r="H3344" s="57" t="s">
        <v>15934</v>
      </c>
      <c r="I3344" s="134" t="s">
        <v>16134</v>
      </c>
      <c r="J3344" s="22" t="s">
        <v>1078</v>
      </c>
      <c r="K3344" s="23"/>
      <c r="L3344" s="241" t="s">
        <v>16135</v>
      </c>
      <c r="M3344" s="44"/>
      <c r="N3344" s="44"/>
      <c r="O3344" s="44"/>
      <c r="P3344" s="44"/>
      <c r="Q3344" s="44"/>
      <c r="R3344" s="44"/>
      <c r="S3344" s="44"/>
      <c r="T3344" s="45"/>
      <c r="U3344" s="255" t="s">
        <v>61</v>
      </c>
      <c r="V3344" s="136"/>
      <c r="W3344" s="49"/>
      <c r="X3344" s="49"/>
      <c r="Y3344" s="35"/>
      <c r="Z3344" s="35"/>
      <c r="AA3344" s="35"/>
      <c r="AB3344" s="35"/>
      <c r="AC3344" s="35"/>
      <c r="AD3344" s="35"/>
      <c r="AE3344" s="35"/>
      <c r="AF3344" s="35"/>
      <c r="AG3344" s="35"/>
      <c r="AH3344" s="35"/>
      <c r="AI3344" s="35"/>
      <c r="AJ3344" s="35"/>
      <c r="AK3344" s="35"/>
      <c r="AL3344" s="35"/>
    </row>
    <row r="3345">
      <c r="A3345" s="133"/>
      <c r="B3345" s="75" t="s">
        <v>14099</v>
      </c>
      <c r="C3345" s="76" t="s">
        <v>16132</v>
      </c>
      <c r="D3345" s="47"/>
      <c r="E3345" s="57" t="s">
        <v>16133</v>
      </c>
      <c r="F3345" s="22" t="s">
        <v>16136</v>
      </c>
      <c r="G3345" s="57">
        <v>2024.0</v>
      </c>
      <c r="H3345" s="57" t="s">
        <v>91</v>
      </c>
      <c r="I3345" s="134" t="s">
        <v>16137</v>
      </c>
      <c r="J3345" s="23" t="s">
        <v>16138</v>
      </c>
      <c r="K3345" s="23"/>
      <c r="L3345" s="36"/>
      <c r="M3345" s="36"/>
      <c r="N3345" s="36"/>
      <c r="O3345" s="36" t="s">
        <v>16139</v>
      </c>
      <c r="P3345" s="37"/>
      <c r="Q3345" s="36"/>
      <c r="R3345" s="36"/>
      <c r="S3345" s="36" t="s">
        <v>16126</v>
      </c>
      <c r="T3345" s="82" t="s">
        <v>16140</v>
      </c>
      <c r="U3345" s="255" t="s">
        <v>61</v>
      </c>
      <c r="V3345" s="136" t="s">
        <v>16141</v>
      </c>
      <c r="W3345" s="49"/>
      <c r="X3345" s="49"/>
      <c r="Y3345" s="35"/>
      <c r="Z3345" s="35"/>
      <c r="AA3345" s="35"/>
      <c r="AB3345" s="35"/>
      <c r="AC3345" s="35"/>
      <c r="AD3345" s="35"/>
      <c r="AE3345" s="35"/>
      <c r="AF3345" s="35"/>
      <c r="AG3345" s="35"/>
      <c r="AH3345" s="35"/>
      <c r="AI3345" s="35"/>
      <c r="AJ3345" s="35"/>
      <c r="AK3345" s="35"/>
      <c r="AL3345" s="35"/>
    </row>
    <row r="3346">
      <c r="A3346" s="133"/>
      <c r="B3346" s="75" t="s">
        <v>14099</v>
      </c>
      <c r="C3346" s="76" t="s">
        <v>16132</v>
      </c>
      <c r="D3346" s="47"/>
      <c r="E3346" s="57" t="s">
        <v>16142</v>
      </c>
      <c r="F3346" s="22"/>
      <c r="G3346" s="57">
        <v>2023.0</v>
      </c>
      <c r="H3346" s="57" t="s">
        <v>91</v>
      </c>
      <c r="I3346" s="134" t="s">
        <v>16143</v>
      </c>
      <c r="J3346" s="23" t="s">
        <v>16144</v>
      </c>
      <c r="K3346" s="23" t="s">
        <v>16145</v>
      </c>
      <c r="L3346" s="36" t="s">
        <v>158</v>
      </c>
      <c r="M3346" s="36" t="s">
        <v>16146</v>
      </c>
      <c r="N3346" s="36"/>
      <c r="O3346" s="36"/>
      <c r="P3346" s="37"/>
      <c r="Q3346" s="36"/>
      <c r="R3346" s="36"/>
      <c r="S3346" s="36"/>
      <c r="T3346" s="82" t="s">
        <v>16147</v>
      </c>
      <c r="U3346" s="255" t="s">
        <v>61</v>
      </c>
      <c r="V3346" s="136" t="s">
        <v>16148</v>
      </c>
      <c r="W3346" s="49"/>
      <c r="X3346" s="49"/>
      <c r="Y3346" s="35"/>
      <c r="Z3346" s="35"/>
      <c r="AA3346" s="35"/>
      <c r="AB3346" s="35"/>
      <c r="AC3346" s="35"/>
      <c r="AD3346" s="35"/>
      <c r="AE3346" s="35"/>
      <c r="AF3346" s="35"/>
      <c r="AG3346" s="35"/>
      <c r="AH3346" s="35"/>
      <c r="AI3346" s="35"/>
      <c r="AJ3346" s="35"/>
      <c r="AK3346" s="35"/>
      <c r="AL3346" s="35"/>
    </row>
    <row r="3347">
      <c r="A3347" s="133"/>
      <c r="B3347" s="75" t="s">
        <v>14099</v>
      </c>
      <c r="C3347" s="76" t="s">
        <v>16132</v>
      </c>
      <c r="D3347" s="47"/>
      <c r="E3347" s="57" t="s">
        <v>16149</v>
      </c>
      <c r="F3347" s="22" t="s">
        <v>5207</v>
      </c>
      <c r="G3347" s="57">
        <v>2023.0</v>
      </c>
      <c r="H3347" s="57" t="s">
        <v>15911</v>
      </c>
      <c r="I3347" s="134" t="s">
        <v>16150</v>
      </c>
      <c r="J3347" s="23" t="s">
        <v>16151</v>
      </c>
      <c r="K3347" s="23"/>
      <c r="L3347" s="36" t="s">
        <v>3031</v>
      </c>
      <c r="M3347" s="36"/>
      <c r="N3347" s="36"/>
      <c r="O3347" s="36" t="s">
        <v>16152</v>
      </c>
      <c r="P3347" s="37" t="s">
        <v>2848</v>
      </c>
      <c r="Q3347" s="36"/>
      <c r="R3347" s="36"/>
      <c r="S3347" s="36"/>
      <c r="T3347" s="82" t="s">
        <v>16153</v>
      </c>
      <c r="U3347" s="255" t="s">
        <v>61</v>
      </c>
      <c r="V3347" s="136" t="s">
        <v>16154</v>
      </c>
      <c r="W3347" s="49"/>
      <c r="X3347" s="49"/>
      <c r="Y3347" s="35"/>
      <c r="Z3347" s="35"/>
      <c r="AA3347" s="35"/>
      <c r="AB3347" s="35"/>
      <c r="AC3347" s="35"/>
      <c r="AD3347" s="35"/>
      <c r="AE3347" s="35"/>
      <c r="AF3347" s="35"/>
      <c r="AG3347" s="35"/>
      <c r="AH3347" s="35"/>
      <c r="AI3347" s="35"/>
      <c r="AJ3347" s="35"/>
      <c r="AK3347" s="35"/>
      <c r="AL3347" s="35"/>
    </row>
    <row r="3348">
      <c r="A3348" s="133"/>
      <c r="B3348" s="75" t="s">
        <v>14099</v>
      </c>
      <c r="C3348" s="76" t="s">
        <v>16132</v>
      </c>
      <c r="D3348" s="47"/>
      <c r="E3348" s="57" t="s">
        <v>15850</v>
      </c>
      <c r="F3348" s="22" t="s">
        <v>16031</v>
      </c>
      <c r="G3348" s="57">
        <v>2021.0</v>
      </c>
      <c r="H3348" s="57" t="s">
        <v>16155</v>
      </c>
      <c r="I3348" s="134" t="s">
        <v>16156</v>
      </c>
      <c r="J3348" s="23" t="s">
        <v>16157</v>
      </c>
      <c r="K3348" s="23" t="s">
        <v>16158</v>
      </c>
      <c r="L3348" s="36">
        <v>880.0</v>
      </c>
      <c r="M3348" s="36" t="s">
        <v>16159</v>
      </c>
      <c r="N3348" s="36" t="s">
        <v>16160</v>
      </c>
      <c r="O3348" s="36">
        <v>1500.0</v>
      </c>
      <c r="P3348" s="37"/>
      <c r="Q3348" s="36"/>
      <c r="R3348" s="36">
        <v>300.0</v>
      </c>
      <c r="S3348" s="36">
        <v>3.0</v>
      </c>
      <c r="T3348" s="84" t="s">
        <v>16161</v>
      </c>
      <c r="U3348" s="248" t="s">
        <v>61</v>
      </c>
      <c r="V3348" s="136" t="s">
        <v>16162</v>
      </c>
      <c r="W3348" s="49"/>
      <c r="X3348" s="49"/>
      <c r="Y3348" s="35"/>
      <c r="Z3348" s="35"/>
      <c r="AA3348" s="35"/>
      <c r="AB3348" s="35"/>
      <c r="AC3348" s="35"/>
      <c r="AD3348" s="35"/>
      <c r="AE3348" s="35"/>
      <c r="AF3348" s="35"/>
      <c r="AG3348" s="35"/>
      <c r="AH3348" s="35"/>
      <c r="AI3348" s="35"/>
      <c r="AJ3348" s="35"/>
      <c r="AK3348" s="35"/>
      <c r="AL3348" s="35"/>
    </row>
    <row r="3349">
      <c r="A3349" s="133"/>
      <c r="B3349" s="75" t="s">
        <v>14099</v>
      </c>
      <c r="C3349" s="76" t="s">
        <v>16132</v>
      </c>
      <c r="D3349" s="47"/>
      <c r="E3349" s="57" t="s">
        <v>16163</v>
      </c>
      <c r="F3349" s="22" t="s">
        <v>16031</v>
      </c>
      <c r="G3349" s="57">
        <v>2020.0</v>
      </c>
      <c r="H3349" s="57" t="s">
        <v>77</v>
      </c>
      <c r="I3349" s="134" t="s">
        <v>16164</v>
      </c>
      <c r="J3349" s="23" t="s">
        <v>16165</v>
      </c>
      <c r="K3349" s="23" t="s">
        <v>16166</v>
      </c>
      <c r="L3349" s="52" t="s">
        <v>15854</v>
      </c>
      <c r="M3349" s="52"/>
      <c r="N3349" s="52" t="s">
        <v>16167</v>
      </c>
      <c r="O3349" s="189" t="s">
        <v>16168</v>
      </c>
      <c r="P3349" s="52" t="s">
        <v>16169</v>
      </c>
      <c r="Q3349" s="36" t="s">
        <v>16170</v>
      </c>
      <c r="R3349" s="52"/>
      <c r="S3349" s="52">
        <v>1.0</v>
      </c>
      <c r="T3349" s="82" t="s">
        <v>16171</v>
      </c>
      <c r="U3349" s="248" t="s">
        <v>61</v>
      </c>
      <c r="V3349" s="136" t="s">
        <v>16172</v>
      </c>
      <c r="W3349" s="49"/>
      <c r="X3349" s="49"/>
      <c r="Y3349" s="35"/>
      <c r="Z3349" s="35"/>
      <c r="AA3349" s="35"/>
      <c r="AB3349" s="35"/>
      <c r="AC3349" s="35"/>
      <c r="AD3349" s="35"/>
      <c r="AE3349" s="35"/>
      <c r="AF3349" s="35"/>
      <c r="AG3349" s="35"/>
      <c r="AH3349" s="35"/>
      <c r="AI3349" s="35"/>
      <c r="AJ3349" s="35"/>
      <c r="AK3349" s="35"/>
      <c r="AL3349" s="35"/>
    </row>
    <row r="3350">
      <c r="A3350" s="133"/>
      <c r="B3350" s="75" t="s">
        <v>14099</v>
      </c>
      <c r="C3350" s="76" t="s">
        <v>16132</v>
      </c>
      <c r="D3350" s="47"/>
      <c r="E3350" s="57" t="s">
        <v>16173</v>
      </c>
      <c r="F3350" s="22" t="s">
        <v>16174</v>
      </c>
      <c r="G3350" s="57">
        <v>2020.0</v>
      </c>
      <c r="H3350" s="57" t="s">
        <v>77</v>
      </c>
      <c r="I3350" s="134" t="s">
        <v>16175</v>
      </c>
      <c r="J3350" s="23" t="s">
        <v>16176</v>
      </c>
      <c r="K3350" s="23" t="s">
        <v>157</v>
      </c>
      <c r="L3350" s="36" t="s">
        <v>3031</v>
      </c>
      <c r="M3350" s="36" t="s">
        <v>16177</v>
      </c>
      <c r="N3350" s="36" t="s">
        <v>16178</v>
      </c>
      <c r="O3350" s="36" t="s">
        <v>16179</v>
      </c>
      <c r="P3350" s="37" t="s">
        <v>16180</v>
      </c>
      <c r="Q3350" s="36" t="s">
        <v>16181</v>
      </c>
      <c r="R3350" s="36" t="s">
        <v>16182</v>
      </c>
      <c r="S3350" s="36">
        <v>1.0</v>
      </c>
      <c r="T3350" s="82" t="s">
        <v>16183</v>
      </c>
      <c r="U3350" s="248" t="s">
        <v>61</v>
      </c>
      <c r="V3350" s="136" t="s">
        <v>16184</v>
      </c>
      <c r="W3350" s="49"/>
      <c r="X3350" s="49"/>
      <c r="Y3350" s="35"/>
      <c r="Z3350" s="35"/>
      <c r="AA3350" s="35"/>
      <c r="AB3350" s="35"/>
      <c r="AC3350" s="35"/>
      <c r="AD3350" s="35"/>
      <c r="AE3350" s="35"/>
      <c r="AF3350" s="35"/>
      <c r="AG3350" s="35"/>
      <c r="AH3350" s="35"/>
      <c r="AI3350" s="35"/>
      <c r="AJ3350" s="35"/>
      <c r="AK3350" s="35"/>
      <c r="AL3350" s="35"/>
    </row>
    <row r="3351">
      <c r="A3351" s="133"/>
      <c r="B3351" s="75" t="s">
        <v>14099</v>
      </c>
      <c r="C3351" s="76" t="s">
        <v>16185</v>
      </c>
      <c r="D3351" s="47"/>
      <c r="E3351" s="57" t="s">
        <v>15555</v>
      </c>
      <c r="F3351" s="22" t="s">
        <v>400</v>
      </c>
      <c r="G3351" s="57">
        <v>2021.0</v>
      </c>
      <c r="H3351" s="57" t="s">
        <v>15904</v>
      </c>
      <c r="I3351" s="134" t="s">
        <v>16186</v>
      </c>
      <c r="J3351" s="23" t="s">
        <v>16187</v>
      </c>
      <c r="K3351" s="23" t="s">
        <v>16188</v>
      </c>
      <c r="L3351" s="36"/>
      <c r="M3351" s="36"/>
      <c r="N3351" s="36"/>
      <c r="O3351" s="36">
        <v>420.0</v>
      </c>
      <c r="P3351" s="37"/>
      <c r="Q3351" s="36"/>
      <c r="R3351" s="36"/>
      <c r="S3351" s="36"/>
      <c r="T3351" s="82" t="s">
        <v>16189</v>
      </c>
      <c r="U3351" s="248" t="s">
        <v>61</v>
      </c>
      <c r="V3351" s="136" t="s">
        <v>174</v>
      </c>
      <c r="W3351" s="49"/>
      <c r="X3351" s="49"/>
      <c r="Y3351" s="35"/>
      <c r="Z3351" s="35"/>
      <c r="AA3351" s="35"/>
      <c r="AB3351" s="35"/>
      <c r="AC3351" s="35"/>
      <c r="AD3351" s="35"/>
      <c r="AE3351" s="35"/>
      <c r="AF3351" s="35"/>
      <c r="AG3351" s="35"/>
      <c r="AH3351" s="35"/>
      <c r="AI3351" s="35"/>
      <c r="AJ3351" s="35"/>
      <c r="AK3351" s="35"/>
      <c r="AL3351" s="35"/>
    </row>
    <row r="3352">
      <c r="A3352" s="133"/>
      <c r="B3352" s="75" t="s">
        <v>14099</v>
      </c>
      <c r="C3352" s="76" t="s">
        <v>16185</v>
      </c>
      <c r="D3352" s="47"/>
      <c r="E3352" s="57" t="s">
        <v>16190</v>
      </c>
      <c r="F3352" s="22" t="s">
        <v>41</v>
      </c>
      <c r="G3352" s="57">
        <v>2021.0</v>
      </c>
      <c r="H3352" s="57" t="s">
        <v>16191</v>
      </c>
      <c r="I3352" s="134" t="s">
        <v>16192</v>
      </c>
      <c r="J3352" s="23" t="s">
        <v>16193</v>
      </c>
      <c r="K3352" s="23" t="s">
        <v>157</v>
      </c>
      <c r="L3352" s="36" t="s">
        <v>3031</v>
      </c>
      <c r="M3352" s="36">
        <v>180.0</v>
      </c>
      <c r="N3352" s="36"/>
      <c r="O3352" s="36">
        <v>108.0</v>
      </c>
      <c r="P3352" s="37"/>
      <c r="Q3352" s="36"/>
      <c r="R3352" s="36"/>
      <c r="S3352" s="36"/>
      <c r="T3352" s="83" t="s">
        <v>16194</v>
      </c>
      <c r="U3352" s="248" t="s">
        <v>61</v>
      </c>
      <c r="V3352" s="139"/>
      <c r="W3352" s="49"/>
      <c r="X3352" s="49"/>
      <c r="Y3352" s="35"/>
      <c r="Z3352" s="35"/>
      <c r="AA3352" s="35"/>
      <c r="AB3352" s="35"/>
      <c r="AC3352" s="35"/>
      <c r="AD3352" s="35"/>
      <c r="AE3352" s="35"/>
      <c r="AF3352" s="35"/>
      <c r="AG3352" s="35"/>
      <c r="AH3352" s="35"/>
      <c r="AI3352" s="35"/>
      <c r="AJ3352" s="35"/>
      <c r="AK3352" s="35"/>
      <c r="AL3352" s="35"/>
    </row>
    <row r="3353">
      <c r="A3353" s="278"/>
      <c r="B3353" s="75" t="s">
        <v>14099</v>
      </c>
      <c r="C3353" s="76" t="s">
        <v>16195</v>
      </c>
      <c r="D3353" s="47"/>
      <c r="E3353" s="57" t="s">
        <v>16074</v>
      </c>
      <c r="F3353" s="22" t="s">
        <v>16196</v>
      </c>
      <c r="G3353" s="57">
        <v>2022.0</v>
      </c>
      <c r="H3353" s="57" t="s">
        <v>12224</v>
      </c>
      <c r="I3353" s="134" t="s">
        <v>16197</v>
      </c>
      <c r="J3353" s="23" t="s">
        <v>16198</v>
      </c>
      <c r="K3353" s="23"/>
      <c r="L3353" s="36" t="s">
        <v>194</v>
      </c>
      <c r="M3353" s="36"/>
      <c r="N3353" s="36"/>
      <c r="O3353" s="36" t="s">
        <v>16199</v>
      </c>
      <c r="P3353" s="37"/>
      <c r="Q3353" s="36"/>
      <c r="R3353" s="36" t="s">
        <v>16200</v>
      </c>
      <c r="S3353" s="36" t="s">
        <v>16201</v>
      </c>
      <c r="T3353" s="82" t="s">
        <v>16202</v>
      </c>
      <c r="U3353" s="248" t="s">
        <v>61</v>
      </c>
      <c r="V3353" s="139"/>
      <c r="W3353" s="49"/>
      <c r="X3353" s="49"/>
      <c r="Y3353" s="35"/>
      <c r="Z3353" s="35"/>
      <c r="AA3353" s="35"/>
      <c r="AB3353" s="35"/>
      <c r="AC3353" s="35"/>
      <c r="AD3353" s="35"/>
      <c r="AE3353" s="35"/>
      <c r="AF3353" s="35"/>
      <c r="AG3353" s="35"/>
      <c r="AH3353" s="35"/>
      <c r="AI3353" s="35"/>
      <c r="AJ3353" s="35"/>
      <c r="AK3353" s="35"/>
      <c r="AL3353" s="35"/>
    </row>
    <row r="3354" ht="39.0" customHeight="1">
      <c r="A3354" s="55" t="s">
        <v>38</v>
      </c>
      <c r="B3354" s="75" t="s">
        <v>14099</v>
      </c>
      <c r="C3354" s="76" t="s">
        <v>16203</v>
      </c>
      <c r="D3354" s="47"/>
      <c r="E3354" s="57" t="s">
        <v>16204</v>
      </c>
      <c r="F3354" s="22" t="s">
        <v>241</v>
      </c>
      <c r="G3354" s="57">
        <v>2020.0</v>
      </c>
      <c r="H3354" s="57" t="s">
        <v>77</v>
      </c>
      <c r="I3354" s="134" t="s">
        <v>16205</v>
      </c>
      <c r="J3354" s="23" t="s">
        <v>16206</v>
      </c>
      <c r="K3354" s="23" t="s">
        <v>16207</v>
      </c>
      <c r="L3354" s="36" t="s">
        <v>3031</v>
      </c>
      <c r="M3354" s="36"/>
      <c r="N3354" s="36" t="s">
        <v>15211</v>
      </c>
      <c r="O3354" s="36"/>
      <c r="P3354" s="37" t="s">
        <v>16208</v>
      </c>
      <c r="Q3354" s="36"/>
      <c r="R3354" s="36">
        <v>300.0</v>
      </c>
      <c r="S3354" s="36" t="s">
        <v>6403</v>
      </c>
      <c r="T3354" s="82" t="s">
        <v>16209</v>
      </c>
      <c r="U3354" s="248" t="s">
        <v>61</v>
      </c>
      <c r="V3354" s="136" t="s">
        <v>16210</v>
      </c>
      <c r="W3354" s="49"/>
      <c r="X3354" s="49"/>
      <c r="Y3354" s="35"/>
      <c r="Z3354" s="35"/>
      <c r="AA3354" s="35"/>
      <c r="AB3354" s="35"/>
      <c r="AC3354" s="35"/>
      <c r="AD3354" s="35"/>
      <c r="AE3354" s="35"/>
      <c r="AF3354" s="35"/>
      <c r="AG3354" s="35"/>
      <c r="AH3354" s="35"/>
      <c r="AI3354" s="35"/>
      <c r="AJ3354" s="35"/>
      <c r="AK3354" s="35"/>
      <c r="AL3354" s="35"/>
    </row>
    <row r="3355">
      <c r="A3355" s="278"/>
      <c r="B3355" s="75" t="s">
        <v>14099</v>
      </c>
      <c r="C3355" s="77" t="s">
        <v>16211</v>
      </c>
      <c r="D3355" s="47"/>
      <c r="E3355" s="57" t="s">
        <v>16212</v>
      </c>
      <c r="F3355" s="22" t="s">
        <v>16213</v>
      </c>
      <c r="G3355" s="57">
        <v>2020.0</v>
      </c>
      <c r="H3355" s="57" t="s">
        <v>16214</v>
      </c>
      <c r="I3355" s="134" t="s">
        <v>16215</v>
      </c>
      <c r="J3355" s="23" t="s">
        <v>16216</v>
      </c>
      <c r="K3355" s="23" t="s">
        <v>9119</v>
      </c>
      <c r="L3355" s="36">
        <v>808.0</v>
      </c>
      <c r="M3355" s="36" t="s">
        <v>16217</v>
      </c>
      <c r="N3355" s="36"/>
      <c r="O3355" s="36" t="s">
        <v>16218</v>
      </c>
      <c r="P3355" s="37" t="s">
        <v>16219</v>
      </c>
      <c r="Q3355" s="36"/>
      <c r="R3355" s="36"/>
      <c r="S3355" s="36"/>
      <c r="T3355" s="82" t="s">
        <v>16220</v>
      </c>
      <c r="U3355" s="248" t="s">
        <v>61</v>
      </c>
      <c r="V3355" s="136" t="s">
        <v>16221</v>
      </c>
      <c r="W3355" s="49"/>
      <c r="X3355" s="49"/>
      <c r="Y3355" s="35"/>
      <c r="Z3355" s="35"/>
      <c r="AA3355" s="35"/>
      <c r="AB3355" s="35"/>
      <c r="AC3355" s="35"/>
      <c r="AD3355" s="35"/>
      <c r="AE3355" s="35"/>
      <c r="AF3355" s="35"/>
      <c r="AG3355" s="35"/>
      <c r="AH3355" s="35"/>
      <c r="AI3355" s="35"/>
      <c r="AJ3355" s="35"/>
      <c r="AK3355" s="35"/>
      <c r="AL3355" s="35"/>
    </row>
    <row r="3356">
      <c r="A3356" s="133"/>
      <c r="B3356" s="75" t="s">
        <v>14099</v>
      </c>
      <c r="C3356" s="77" t="s">
        <v>16211</v>
      </c>
      <c r="D3356" s="47"/>
      <c r="E3356" s="57" t="s">
        <v>16222</v>
      </c>
      <c r="F3356" s="22" t="s">
        <v>41</v>
      </c>
      <c r="G3356" s="57">
        <v>2019.0</v>
      </c>
      <c r="H3356" s="57" t="s">
        <v>91</v>
      </c>
      <c r="I3356" s="134" t="s">
        <v>16223</v>
      </c>
      <c r="J3356" s="23" t="s">
        <v>16224</v>
      </c>
      <c r="K3356" s="23" t="s">
        <v>16225</v>
      </c>
      <c r="L3356" s="36">
        <v>850.0</v>
      </c>
      <c r="M3356" s="36">
        <v>150.0</v>
      </c>
      <c r="N3356" s="36"/>
      <c r="O3356" s="36" t="s">
        <v>16226</v>
      </c>
      <c r="P3356" s="37" t="s">
        <v>102</v>
      </c>
      <c r="Q3356" s="36"/>
      <c r="R3356" s="36" t="s">
        <v>16227</v>
      </c>
      <c r="S3356" s="36" t="s">
        <v>16228</v>
      </c>
      <c r="T3356" s="83" t="s">
        <v>16229</v>
      </c>
      <c r="U3356" s="312" t="str">
        <f>HYPERLINK("https://www.ncbi.nlm.nih.gov/pubmed/31402432","PubMed")</f>
        <v>PubMed</v>
      </c>
      <c r="V3356" s="136" t="s">
        <v>16230</v>
      </c>
      <c r="W3356" s="49"/>
      <c r="X3356" s="49"/>
      <c r="Y3356" s="35"/>
      <c r="Z3356" s="35"/>
      <c r="AA3356" s="35"/>
      <c r="AB3356" s="35"/>
      <c r="AC3356" s="35"/>
      <c r="AD3356" s="35"/>
      <c r="AE3356" s="35"/>
      <c r="AF3356" s="35"/>
      <c r="AG3356" s="35"/>
      <c r="AH3356" s="35"/>
      <c r="AI3356" s="35"/>
      <c r="AJ3356" s="35"/>
      <c r="AK3356" s="35"/>
      <c r="AL3356" s="35"/>
    </row>
    <row r="3357">
      <c r="A3357" s="133"/>
      <c r="B3357" s="75" t="s">
        <v>14099</v>
      </c>
      <c r="C3357" s="76" t="s">
        <v>16132</v>
      </c>
      <c r="D3357" s="47"/>
      <c r="E3357" s="57" t="s">
        <v>15834</v>
      </c>
      <c r="F3357" s="22" t="s">
        <v>41</v>
      </c>
      <c r="G3357" s="57">
        <v>2019.0</v>
      </c>
      <c r="H3357" s="57" t="s">
        <v>3828</v>
      </c>
      <c r="I3357" s="134" t="s">
        <v>16231</v>
      </c>
      <c r="J3357" s="23" t="s">
        <v>2141</v>
      </c>
      <c r="K3357" s="23"/>
      <c r="L3357" s="168"/>
      <c r="M3357" s="168"/>
      <c r="N3357" s="168"/>
      <c r="O3357" s="168"/>
      <c r="P3357" s="169"/>
      <c r="Q3357" s="168"/>
      <c r="R3357" s="168"/>
      <c r="S3357" s="168"/>
      <c r="T3357" s="314" t="s">
        <v>16232</v>
      </c>
      <c r="U3357" s="312" t="str">
        <f>HYPERLINK("https://www.ncbi.nlm.nih.gov/pubmed/31045769","PubMed")</f>
        <v>PubMed</v>
      </c>
      <c r="V3357" s="139"/>
      <c r="W3357" s="49"/>
      <c r="X3357" s="49"/>
      <c r="Y3357" s="35"/>
      <c r="Z3357" s="35"/>
      <c r="AA3357" s="35"/>
      <c r="AB3357" s="35"/>
      <c r="AC3357" s="35"/>
      <c r="AD3357" s="35"/>
      <c r="AE3357" s="35"/>
      <c r="AF3357" s="35"/>
      <c r="AG3357" s="35"/>
      <c r="AH3357" s="35"/>
      <c r="AI3357" s="35"/>
      <c r="AJ3357" s="35"/>
      <c r="AK3357" s="35"/>
      <c r="AL3357" s="35"/>
    </row>
    <row r="3358">
      <c r="A3358" s="133"/>
      <c r="B3358" s="75" t="s">
        <v>14099</v>
      </c>
      <c r="C3358" s="76" t="s">
        <v>16132</v>
      </c>
      <c r="D3358" s="47"/>
      <c r="E3358" s="57" t="s">
        <v>12585</v>
      </c>
      <c r="F3358" s="22" t="s">
        <v>16233</v>
      </c>
      <c r="G3358" s="57">
        <v>2019.0</v>
      </c>
      <c r="H3358" s="57" t="s">
        <v>3347</v>
      </c>
      <c r="I3358" s="134" t="s">
        <v>16234</v>
      </c>
      <c r="J3358" s="23" t="s">
        <v>16235</v>
      </c>
      <c r="K3358" s="23"/>
      <c r="L3358" s="36">
        <v>810.0</v>
      </c>
      <c r="M3358" s="36" t="s">
        <v>16236</v>
      </c>
      <c r="N3358" s="36"/>
      <c r="O3358" s="36" t="s">
        <v>16237</v>
      </c>
      <c r="P3358" s="37" t="s">
        <v>16238</v>
      </c>
      <c r="Q3358" s="36" t="s">
        <v>16239</v>
      </c>
      <c r="R3358" s="36">
        <v>100.0</v>
      </c>
      <c r="S3358" s="36">
        <v>1.0</v>
      </c>
      <c r="T3358" s="83" t="s">
        <v>16240</v>
      </c>
      <c r="U3358" s="312" t="str">
        <f>HYPERLINK("https://www.ncbi.nlm.nih.gov/pubmed/31827687","PubMed")</f>
        <v>PubMed</v>
      </c>
      <c r="V3358" s="136" t="s">
        <v>16241</v>
      </c>
      <c r="W3358" s="49"/>
      <c r="X3358" s="49"/>
      <c r="Y3358" s="35"/>
      <c r="Z3358" s="35"/>
      <c r="AA3358" s="35"/>
      <c r="AB3358" s="35"/>
      <c r="AC3358" s="35"/>
      <c r="AD3358" s="35"/>
      <c r="AE3358" s="35"/>
      <c r="AF3358" s="35"/>
      <c r="AG3358" s="35"/>
      <c r="AH3358" s="35"/>
      <c r="AI3358" s="35"/>
      <c r="AJ3358" s="35"/>
      <c r="AK3358" s="35"/>
      <c r="AL3358" s="35"/>
    </row>
    <row r="3359">
      <c r="A3359" s="133"/>
      <c r="B3359" s="75" t="s">
        <v>14099</v>
      </c>
      <c r="C3359" s="76" t="s">
        <v>16132</v>
      </c>
      <c r="D3359" s="47"/>
      <c r="E3359" s="57" t="s">
        <v>16173</v>
      </c>
      <c r="F3359" s="22" t="s">
        <v>16174</v>
      </c>
      <c r="G3359" s="57">
        <v>2019.0</v>
      </c>
      <c r="H3359" s="57" t="s">
        <v>452</v>
      </c>
      <c r="I3359" s="134" t="s">
        <v>16242</v>
      </c>
      <c r="J3359" s="23" t="s">
        <v>16243</v>
      </c>
      <c r="K3359" s="23" t="s">
        <v>157</v>
      </c>
      <c r="L3359" s="36" t="s">
        <v>3031</v>
      </c>
      <c r="M3359" s="36" t="s">
        <v>16244</v>
      </c>
      <c r="N3359" s="36"/>
      <c r="O3359" s="36" t="s">
        <v>16245</v>
      </c>
      <c r="P3359" s="37"/>
      <c r="Q3359" s="36" t="s">
        <v>16246</v>
      </c>
      <c r="R3359" s="36">
        <v>150.0</v>
      </c>
      <c r="S3359" s="36" t="s">
        <v>16247</v>
      </c>
      <c r="T3359" s="82" t="s">
        <v>16248</v>
      </c>
      <c r="U3359" s="312" t="str">
        <f>HYPERLINK("https://www.ncbi.nlm.nih.gov/pubmed/30890962","PubMed")</f>
        <v>PubMed</v>
      </c>
      <c r="V3359" s="139"/>
      <c r="W3359" s="49"/>
      <c r="X3359" s="49"/>
      <c r="Y3359" s="35"/>
      <c r="Z3359" s="35"/>
      <c r="AA3359" s="35"/>
      <c r="AB3359" s="35"/>
      <c r="AC3359" s="35"/>
      <c r="AD3359" s="35"/>
      <c r="AE3359" s="35"/>
      <c r="AF3359" s="35"/>
      <c r="AG3359" s="35"/>
      <c r="AH3359" s="35"/>
      <c r="AI3359" s="35"/>
      <c r="AJ3359" s="35"/>
      <c r="AK3359" s="35"/>
      <c r="AL3359" s="35"/>
    </row>
    <row r="3360">
      <c r="A3360" s="133"/>
      <c r="B3360" s="19" t="s">
        <v>14099</v>
      </c>
      <c r="C3360" s="76" t="s">
        <v>16132</v>
      </c>
      <c r="D3360" s="47"/>
      <c r="E3360" s="57" t="s">
        <v>16163</v>
      </c>
      <c r="F3360" s="22" t="s">
        <v>16249</v>
      </c>
      <c r="G3360" s="57">
        <v>2018.0</v>
      </c>
      <c r="H3360" s="57" t="s">
        <v>15911</v>
      </c>
      <c r="I3360" s="134" t="s">
        <v>16250</v>
      </c>
      <c r="J3360" s="23" t="s">
        <v>16251</v>
      </c>
      <c r="K3360" s="23" t="s">
        <v>16252</v>
      </c>
      <c r="L3360" s="36" t="s">
        <v>16253</v>
      </c>
      <c r="M3360" s="36"/>
      <c r="N3360" s="36"/>
      <c r="O3360" s="37" t="s">
        <v>16254</v>
      </c>
      <c r="P3360" s="37"/>
      <c r="Q3360" s="36"/>
      <c r="R3360" s="36"/>
      <c r="S3360" s="36">
        <v>1.0</v>
      </c>
      <c r="T3360" s="83" t="s">
        <v>16255</v>
      </c>
      <c r="U3360" s="312" t="str">
        <f>HYPERLINK("https://www.ncbi.nlm.nih.gov/pubmed/29481447","PubMed")</f>
        <v>PubMed</v>
      </c>
      <c r="V3360" s="139"/>
      <c r="W3360" s="49"/>
      <c r="X3360" s="49"/>
      <c r="Y3360" s="35"/>
      <c r="Z3360" s="35"/>
      <c r="AA3360" s="35"/>
      <c r="AB3360" s="35"/>
      <c r="AC3360" s="35"/>
      <c r="AD3360" s="35"/>
      <c r="AE3360" s="35"/>
      <c r="AF3360" s="35"/>
      <c r="AG3360" s="35"/>
      <c r="AH3360" s="35"/>
      <c r="AI3360" s="35"/>
      <c r="AJ3360" s="35"/>
      <c r="AK3360" s="35"/>
      <c r="AL3360" s="35"/>
    </row>
    <row r="3361">
      <c r="A3361" s="149"/>
      <c r="B3361" s="19" t="s">
        <v>14099</v>
      </c>
      <c r="C3361" s="76" t="s">
        <v>16132</v>
      </c>
      <c r="D3361" s="47"/>
      <c r="E3361" s="57" t="s">
        <v>16163</v>
      </c>
      <c r="F3361" s="57" t="s">
        <v>16031</v>
      </c>
      <c r="G3361" s="57">
        <v>2017.0</v>
      </c>
      <c r="H3361" s="57" t="s">
        <v>91</v>
      </c>
      <c r="I3361" s="134" t="s">
        <v>16256</v>
      </c>
      <c r="J3361" s="23" t="s">
        <v>16257</v>
      </c>
      <c r="K3361" s="23" t="s">
        <v>16258</v>
      </c>
      <c r="L3361" s="36" t="s">
        <v>16259</v>
      </c>
      <c r="M3361" s="36"/>
      <c r="N3361" s="36"/>
      <c r="O3361" s="36" t="s">
        <v>16260</v>
      </c>
      <c r="P3361" s="37"/>
      <c r="Q3361" s="36"/>
      <c r="R3361" s="36"/>
      <c r="S3361" s="36" t="s">
        <v>15920</v>
      </c>
      <c r="T3361" s="83" t="s">
        <v>16261</v>
      </c>
      <c r="U3361" s="312" t="str">
        <f>HYPERLINK("https://www.ncbi.nlm.nih.gov/pubmed/29101708","PubMed")</f>
        <v>PubMed</v>
      </c>
      <c r="V3361" s="136" t="s">
        <v>16262</v>
      </c>
      <c r="W3361" s="49"/>
      <c r="X3361" s="49"/>
      <c r="Y3361" s="35"/>
      <c r="Z3361" s="35"/>
      <c r="AA3361" s="35"/>
      <c r="AB3361" s="35"/>
      <c r="AC3361" s="35"/>
      <c r="AD3361" s="35"/>
      <c r="AE3361" s="35"/>
      <c r="AF3361" s="35"/>
      <c r="AG3361" s="35"/>
      <c r="AH3361" s="35"/>
      <c r="AI3361" s="35"/>
      <c r="AJ3361" s="35"/>
      <c r="AK3361" s="35"/>
      <c r="AL3361" s="35"/>
    </row>
    <row r="3362">
      <c r="A3362" s="1"/>
      <c r="B3362" s="19" t="s">
        <v>14099</v>
      </c>
      <c r="C3362" s="76" t="s">
        <v>16132</v>
      </c>
      <c r="D3362" s="47"/>
      <c r="E3362" s="22" t="s">
        <v>16263</v>
      </c>
      <c r="F3362" s="22" t="s">
        <v>16264</v>
      </c>
      <c r="G3362" s="23">
        <v>2016.0</v>
      </c>
      <c r="H3362" s="57" t="s">
        <v>91</v>
      </c>
      <c r="I3362" s="24" t="s">
        <v>16265</v>
      </c>
      <c r="J3362" s="23" t="s">
        <v>16266</v>
      </c>
      <c r="K3362" s="22" t="s">
        <v>16267</v>
      </c>
      <c r="L3362" s="36" t="s">
        <v>16268</v>
      </c>
      <c r="M3362" s="36"/>
      <c r="N3362" s="36"/>
      <c r="O3362" s="36" t="s">
        <v>16269</v>
      </c>
      <c r="P3362" s="37"/>
      <c r="Q3362" s="36" t="s">
        <v>16270</v>
      </c>
      <c r="R3362" s="36"/>
      <c r="S3362" s="36">
        <v>1.0</v>
      </c>
      <c r="T3362" s="41" t="s">
        <v>16271</v>
      </c>
      <c r="U3362" s="38" t="str">
        <f>HYPERLINK("https://www.ncbi.nlm.nih.gov/pubmed/27384042","PubMed")</f>
        <v>PubMed</v>
      </c>
      <c r="V3362" s="30" t="s">
        <v>16272</v>
      </c>
      <c r="W3362" s="49"/>
      <c r="X3362" s="49"/>
      <c r="Y3362" s="35"/>
      <c r="Z3362" s="35"/>
      <c r="AA3362" s="35"/>
      <c r="AB3362" s="35"/>
      <c r="AC3362" s="35"/>
      <c r="AD3362" s="35"/>
      <c r="AE3362" s="35"/>
      <c r="AF3362" s="35"/>
      <c r="AG3362" s="35"/>
      <c r="AH3362" s="35"/>
      <c r="AI3362" s="35"/>
      <c r="AJ3362" s="35"/>
      <c r="AK3362" s="35"/>
      <c r="AL3362" s="35"/>
    </row>
    <row r="3363">
      <c r="A3363" s="207"/>
      <c r="B3363" s="19" t="s">
        <v>14099</v>
      </c>
      <c r="C3363" s="76" t="s">
        <v>16132</v>
      </c>
      <c r="D3363" s="47"/>
      <c r="E3363" s="22" t="s">
        <v>12621</v>
      </c>
      <c r="F3363" s="22" t="s">
        <v>16273</v>
      </c>
      <c r="G3363" s="23">
        <v>2012.0</v>
      </c>
      <c r="H3363" s="22" t="s">
        <v>91</v>
      </c>
      <c r="I3363" s="24" t="s">
        <v>16274</v>
      </c>
      <c r="J3363" s="22" t="s">
        <v>16275</v>
      </c>
      <c r="K3363" s="22"/>
      <c r="L3363" s="36">
        <v>810.0</v>
      </c>
      <c r="M3363" s="36">
        <v>200.0</v>
      </c>
      <c r="N3363" s="36"/>
      <c r="O3363" s="36" t="s">
        <v>16276</v>
      </c>
      <c r="P3363" s="37"/>
      <c r="Q3363" s="36"/>
      <c r="R3363" s="36" t="s">
        <v>16277</v>
      </c>
      <c r="S3363" s="36">
        <v>1.0</v>
      </c>
      <c r="T3363" s="28" t="s">
        <v>16278</v>
      </c>
      <c r="U3363" s="38" t="str">
        <f>HYPERLINK("https://www.ncbi.nlm.nih.gov/pubmed/21739259","PubMed")</f>
        <v>PubMed</v>
      </c>
      <c r="V3363" s="30" t="s">
        <v>16279</v>
      </c>
      <c r="W3363" s="49"/>
      <c r="X3363" s="49"/>
      <c r="Y3363" s="35"/>
      <c r="Z3363" s="35"/>
      <c r="AA3363" s="35"/>
      <c r="AB3363" s="35"/>
      <c r="AC3363" s="35"/>
      <c r="AD3363" s="35"/>
      <c r="AE3363" s="35"/>
      <c r="AF3363" s="35"/>
      <c r="AG3363" s="35"/>
      <c r="AH3363" s="35"/>
      <c r="AI3363" s="35"/>
      <c r="AJ3363" s="35"/>
      <c r="AK3363" s="35"/>
      <c r="AL3363" s="35"/>
    </row>
    <row r="3364">
      <c r="A3364" s="133"/>
      <c r="B3364" s="75" t="s">
        <v>14099</v>
      </c>
      <c r="C3364" s="77" t="s">
        <v>16211</v>
      </c>
      <c r="D3364" s="47"/>
      <c r="E3364" s="57" t="s">
        <v>16280</v>
      </c>
      <c r="F3364" s="22" t="s">
        <v>530</v>
      </c>
      <c r="G3364" s="57">
        <v>2019.0</v>
      </c>
      <c r="H3364" s="57" t="s">
        <v>91</v>
      </c>
      <c r="I3364" s="134" t="s">
        <v>16281</v>
      </c>
      <c r="J3364" s="23" t="s">
        <v>16282</v>
      </c>
      <c r="K3364" s="23"/>
      <c r="L3364" s="36">
        <v>808.0</v>
      </c>
      <c r="M3364" s="36" t="s">
        <v>16283</v>
      </c>
      <c r="N3364" s="36">
        <v>2.0</v>
      </c>
      <c r="O3364" s="36" t="s">
        <v>16284</v>
      </c>
      <c r="P3364" s="37" t="s">
        <v>11771</v>
      </c>
      <c r="Q3364" s="36" t="s">
        <v>16055</v>
      </c>
      <c r="R3364" s="36" t="s">
        <v>16285</v>
      </c>
      <c r="S3364" s="36" t="s">
        <v>2680</v>
      </c>
      <c r="T3364" s="82" t="s">
        <v>16286</v>
      </c>
      <c r="U3364" s="312" t="str">
        <f>HYPERLINK("https://www.ncbi.nlm.nih.gov/pubmed/30820772","PubMed")</f>
        <v>PubMed</v>
      </c>
      <c r="V3364" s="139"/>
      <c r="W3364" s="49"/>
      <c r="X3364" s="49"/>
      <c r="Y3364" s="35"/>
      <c r="Z3364" s="35"/>
      <c r="AA3364" s="35"/>
      <c r="AB3364" s="35"/>
      <c r="AC3364" s="35"/>
      <c r="AD3364" s="35"/>
      <c r="AE3364" s="35"/>
      <c r="AF3364" s="35"/>
      <c r="AG3364" s="35"/>
      <c r="AH3364" s="35"/>
      <c r="AI3364" s="35"/>
      <c r="AJ3364" s="35"/>
      <c r="AK3364" s="35"/>
      <c r="AL3364" s="35"/>
    </row>
    <row r="3365">
      <c r="A3365" s="133"/>
      <c r="B3365" s="75" t="s">
        <v>14099</v>
      </c>
      <c r="C3365" s="77" t="s">
        <v>16211</v>
      </c>
      <c r="D3365" s="47"/>
      <c r="E3365" s="57" t="s">
        <v>3309</v>
      </c>
      <c r="F3365" s="22" t="s">
        <v>530</v>
      </c>
      <c r="G3365" s="57">
        <v>2019.0</v>
      </c>
      <c r="H3365" s="57" t="s">
        <v>15911</v>
      </c>
      <c r="I3365" s="134" t="s">
        <v>16287</v>
      </c>
      <c r="J3365" s="23" t="s">
        <v>16282</v>
      </c>
      <c r="K3365" s="23" t="s">
        <v>157</v>
      </c>
      <c r="L3365" s="36">
        <v>850.0</v>
      </c>
      <c r="M3365" s="36">
        <v>700.0</v>
      </c>
      <c r="N3365" s="36"/>
      <c r="O3365" s="36">
        <v>28.0</v>
      </c>
      <c r="P3365" s="37" t="s">
        <v>2746</v>
      </c>
      <c r="Q3365" s="36"/>
      <c r="R3365" s="36">
        <v>40.0</v>
      </c>
      <c r="S3365" s="36" t="s">
        <v>2680</v>
      </c>
      <c r="T3365" s="82" t="s">
        <v>16288</v>
      </c>
      <c r="U3365" s="312" t="str">
        <f>HYPERLINK("https://www.ncbi.nlm.nih.gov/pubmed/30689618","PubMed")</f>
        <v>PubMed</v>
      </c>
      <c r="V3365" s="139"/>
      <c r="W3365" s="49"/>
      <c r="X3365" s="49"/>
      <c r="Y3365" s="35"/>
      <c r="Z3365" s="35"/>
      <c r="AA3365" s="35"/>
      <c r="AB3365" s="35"/>
      <c r="AC3365" s="35"/>
      <c r="AD3365" s="35"/>
      <c r="AE3365" s="35"/>
      <c r="AF3365" s="35"/>
      <c r="AG3365" s="35"/>
      <c r="AH3365" s="35"/>
      <c r="AI3365" s="35"/>
      <c r="AJ3365" s="35"/>
      <c r="AK3365" s="35"/>
      <c r="AL3365" s="35"/>
    </row>
    <row r="3366">
      <c r="A3366" s="18"/>
      <c r="B3366" s="75" t="s">
        <v>14099</v>
      </c>
      <c r="C3366" s="77" t="s">
        <v>16211</v>
      </c>
      <c r="D3366" s="47"/>
      <c r="E3366" s="57" t="s">
        <v>16289</v>
      </c>
      <c r="F3366" s="22" t="s">
        <v>241</v>
      </c>
      <c r="G3366" s="57">
        <v>2019.0</v>
      </c>
      <c r="H3366" s="57" t="s">
        <v>452</v>
      </c>
      <c r="I3366" s="134" t="s">
        <v>16290</v>
      </c>
      <c r="J3366" s="23" t="s">
        <v>16291</v>
      </c>
      <c r="K3366" s="23" t="s">
        <v>16292</v>
      </c>
      <c r="L3366" s="36" t="s">
        <v>3031</v>
      </c>
      <c r="M3366" s="36"/>
      <c r="N3366" s="36"/>
      <c r="O3366" s="36" t="s">
        <v>16293</v>
      </c>
      <c r="P3366" s="37"/>
      <c r="Q3366" s="36"/>
      <c r="R3366" s="36"/>
      <c r="S3366" s="36"/>
      <c r="T3366" s="82" t="s">
        <v>16294</v>
      </c>
      <c r="U3366" s="312" t="str">
        <f>HYPERLINK("https://www.ncbi.nlm.nih.gov/pubmed/30692939","PubMed")</f>
        <v>PubMed</v>
      </c>
      <c r="V3366" s="139"/>
      <c r="W3366" s="49"/>
      <c r="X3366" s="49"/>
      <c r="Y3366" s="35"/>
      <c r="Z3366" s="35"/>
      <c r="AA3366" s="35"/>
      <c r="AB3366" s="35"/>
      <c r="AC3366" s="35"/>
      <c r="AD3366" s="35"/>
      <c r="AE3366" s="35"/>
      <c r="AF3366" s="35"/>
      <c r="AG3366" s="35"/>
      <c r="AH3366" s="35"/>
      <c r="AI3366" s="35"/>
      <c r="AJ3366" s="35"/>
      <c r="AK3366" s="35"/>
      <c r="AL3366" s="35"/>
    </row>
    <row r="3367">
      <c r="A3367" s="18"/>
      <c r="B3367" s="75" t="s">
        <v>14099</v>
      </c>
      <c r="C3367" s="77" t="s">
        <v>16211</v>
      </c>
      <c r="D3367" s="47"/>
      <c r="E3367" s="57" t="s">
        <v>16295</v>
      </c>
      <c r="F3367" s="22" t="s">
        <v>16296</v>
      </c>
      <c r="G3367" s="57">
        <v>2019.0</v>
      </c>
      <c r="H3367" s="57" t="s">
        <v>16297</v>
      </c>
      <c r="I3367" s="134" t="s">
        <v>16298</v>
      </c>
      <c r="J3367" s="23" t="s">
        <v>16299</v>
      </c>
      <c r="K3367" s="23"/>
      <c r="L3367" s="36" t="s">
        <v>16300</v>
      </c>
      <c r="M3367" s="36"/>
      <c r="N3367" s="36"/>
      <c r="O3367" s="36"/>
      <c r="P3367" s="37" t="s">
        <v>4685</v>
      </c>
      <c r="Q3367" s="36"/>
      <c r="R3367" s="36"/>
      <c r="S3367" s="36"/>
      <c r="T3367" s="83" t="s">
        <v>16301</v>
      </c>
      <c r="U3367" s="312" t="str">
        <f>HYPERLINK("https://www.ncbi.nlm.nih.gov/pubmed/30676234","PubMed")</f>
        <v>PubMed</v>
      </c>
      <c r="V3367" s="139"/>
      <c r="W3367" s="49"/>
      <c r="X3367" s="49"/>
      <c r="Y3367" s="35"/>
      <c r="Z3367" s="35"/>
      <c r="AA3367" s="35"/>
      <c r="AB3367" s="35"/>
      <c r="AC3367" s="35"/>
      <c r="AD3367" s="35"/>
      <c r="AE3367" s="35"/>
      <c r="AF3367" s="35"/>
      <c r="AG3367" s="35"/>
      <c r="AH3367" s="35"/>
      <c r="AI3367" s="35"/>
      <c r="AJ3367" s="35"/>
      <c r="AK3367" s="35"/>
      <c r="AL3367" s="35"/>
    </row>
    <row r="3368">
      <c r="A3368" s="18" t="s">
        <v>38</v>
      </c>
      <c r="B3368" s="75" t="s">
        <v>14099</v>
      </c>
      <c r="C3368" s="77" t="s">
        <v>16211</v>
      </c>
      <c r="D3368" s="47"/>
      <c r="E3368" s="57" t="s">
        <v>16302</v>
      </c>
      <c r="F3368" s="22" t="s">
        <v>16303</v>
      </c>
      <c r="G3368" s="57">
        <v>2019.0</v>
      </c>
      <c r="H3368" s="57" t="s">
        <v>91</v>
      </c>
      <c r="I3368" s="134" t="s">
        <v>16304</v>
      </c>
      <c r="J3368" s="23" t="s">
        <v>16305</v>
      </c>
      <c r="K3368" s="23" t="s">
        <v>16306</v>
      </c>
      <c r="L3368" s="36">
        <v>880.0</v>
      </c>
      <c r="M3368" s="36" t="s">
        <v>16307</v>
      </c>
      <c r="N3368" s="36" t="s">
        <v>16308</v>
      </c>
      <c r="O3368" s="36" t="s">
        <v>16309</v>
      </c>
      <c r="P3368" s="37"/>
      <c r="Q3368" s="36" t="s">
        <v>16310</v>
      </c>
      <c r="R3368" s="36">
        <v>60.0</v>
      </c>
      <c r="S3368" s="36">
        <v>2.0</v>
      </c>
      <c r="T3368" s="83" t="s">
        <v>16311</v>
      </c>
      <c r="U3368" s="312" t="str">
        <f>HYPERLINK("https://www.ncbi.nlm.nih.gov/pubmed/30607719","PubMed")</f>
        <v>PubMed</v>
      </c>
      <c r="V3368" s="139"/>
      <c r="W3368" s="49"/>
      <c r="X3368" s="49"/>
      <c r="Y3368" s="35"/>
      <c r="Z3368" s="35"/>
      <c r="AA3368" s="35"/>
      <c r="AB3368" s="35"/>
      <c r="AC3368" s="35"/>
      <c r="AD3368" s="35"/>
      <c r="AE3368" s="35"/>
      <c r="AF3368" s="35"/>
      <c r="AG3368" s="35"/>
      <c r="AH3368" s="35"/>
      <c r="AI3368" s="35"/>
      <c r="AJ3368" s="35"/>
      <c r="AK3368" s="35"/>
      <c r="AL3368" s="35"/>
    </row>
    <row r="3369">
      <c r="A3369" s="133"/>
      <c r="B3369" s="75" t="s">
        <v>14099</v>
      </c>
      <c r="C3369" s="77" t="s">
        <v>16312</v>
      </c>
      <c r="D3369" s="47"/>
      <c r="E3369" s="57" t="s">
        <v>1689</v>
      </c>
      <c r="F3369" s="22" t="s">
        <v>217</v>
      </c>
      <c r="G3369" s="57">
        <v>2024.0</v>
      </c>
      <c r="H3369" s="57" t="s">
        <v>91</v>
      </c>
      <c r="I3369" s="134" t="s">
        <v>16313</v>
      </c>
      <c r="J3369" s="22" t="s">
        <v>1078</v>
      </c>
      <c r="K3369" s="23"/>
      <c r="L3369" s="173" t="s">
        <v>16314</v>
      </c>
      <c r="U3369" s="255" t="s">
        <v>61</v>
      </c>
      <c r="V3369" s="139"/>
      <c r="W3369" s="49"/>
      <c r="X3369" s="49"/>
      <c r="Y3369" s="35"/>
      <c r="Z3369" s="35"/>
      <c r="AA3369" s="35"/>
      <c r="AB3369" s="35"/>
      <c r="AC3369" s="35"/>
      <c r="AD3369" s="35"/>
      <c r="AE3369" s="35"/>
      <c r="AF3369" s="35"/>
      <c r="AG3369" s="35"/>
      <c r="AH3369" s="35"/>
      <c r="AI3369" s="35"/>
      <c r="AJ3369" s="35"/>
      <c r="AK3369" s="35"/>
      <c r="AL3369" s="35"/>
    </row>
    <row r="3370">
      <c r="A3370" s="133"/>
      <c r="B3370" s="75" t="s">
        <v>14099</v>
      </c>
      <c r="C3370" s="77" t="s">
        <v>16312</v>
      </c>
      <c r="D3370" s="47"/>
      <c r="E3370" s="57" t="s">
        <v>16315</v>
      </c>
      <c r="F3370" s="22" t="s">
        <v>720</v>
      </c>
      <c r="G3370" s="57">
        <v>2023.0</v>
      </c>
      <c r="H3370" s="57" t="s">
        <v>91</v>
      </c>
      <c r="I3370" s="134" t="s">
        <v>16316</v>
      </c>
      <c r="J3370" s="22" t="s">
        <v>1078</v>
      </c>
      <c r="K3370" s="23"/>
      <c r="L3370" s="53" t="s">
        <v>16317</v>
      </c>
      <c r="U3370" s="255" t="s">
        <v>61</v>
      </c>
      <c r="V3370" s="139"/>
      <c r="W3370" s="49"/>
      <c r="X3370" s="49"/>
      <c r="Y3370" s="35"/>
      <c r="Z3370" s="35"/>
      <c r="AA3370" s="35"/>
      <c r="AB3370" s="35"/>
      <c r="AC3370" s="35"/>
      <c r="AD3370" s="35"/>
      <c r="AE3370" s="35"/>
      <c r="AF3370" s="35"/>
      <c r="AG3370" s="35"/>
      <c r="AH3370" s="35"/>
      <c r="AI3370" s="35"/>
      <c r="AJ3370" s="35"/>
      <c r="AK3370" s="35"/>
      <c r="AL3370" s="35"/>
    </row>
    <row r="3371">
      <c r="A3371" s="133"/>
      <c r="B3371" s="75" t="s">
        <v>14099</v>
      </c>
      <c r="C3371" s="77" t="s">
        <v>16312</v>
      </c>
      <c r="D3371" s="47"/>
      <c r="E3371" s="57" t="s">
        <v>16318</v>
      </c>
      <c r="F3371" s="22" t="s">
        <v>5157</v>
      </c>
      <c r="G3371" s="57">
        <v>2023.0</v>
      </c>
      <c r="H3371" s="57" t="s">
        <v>16319</v>
      </c>
      <c r="I3371" s="134" t="s">
        <v>16320</v>
      </c>
      <c r="J3371" s="22" t="s">
        <v>125</v>
      </c>
      <c r="K3371" s="23"/>
      <c r="L3371" s="173" t="s">
        <v>16321</v>
      </c>
      <c r="U3371" s="255" t="s">
        <v>61</v>
      </c>
      <c r="V3371" s="139"/>
      <c r="W3371" s="49"/>
      <c r="X3371" s="49"/>
      <c r="Y3371" s="35"/>
      <c r="Z3371" s="35"/>
      <c r="AA3371" s="35"/>
      <c r="AB3371" s="35"/>
      <c r="AC3371" s="35"/>
      <c r="AD3371" s="35"/>
      <c r="AE3371" s="35"/>
      <c r="AF3371" s="35"/>
      <c r="AG3371" s="35"/>
      <c r="AH3371" s="35"/>
      <c r="AI3371" s="35"/>
      <c r="AJ3371" s="35"/>
      <c r="AK3371" s="35"/>
      <c r="AL3371" s="35"/>
    </row>
    <row r="3372">
      <c r="A3372" s="133"/>
      <c r="B3372" s="75" t="s">
        <v>14099</v>
      </c>
      <c r="C3372" s="77" t="s">
        <v>16312</v>
      </c>
      <c r="D3372" s="47"/>
      <c r="E3372" s="57" t="s">
        <v>16322</v>
      </c>
      <c r="F3372" s="22" t="s">
        <v>16323</v>
      </c>
      <c r="G3372" s="57">
        <v>2023.0</v>
      </c>
      <c r="H3372" s="57" t="s">
        <v>16324</v>
      </c>
      <c r="I3372" s="134" t="s">
        <v>16325</v>
      </c>
      <c r="J3372" s="22" t="s">
        <v>16326</v>
      </c>
      <c r="K3372" s="23"/>
      <c r="L3372" s="173" t="s">
        <v>16327</v>
      </c>
      <c r="U3372" s="255" t="s">
        <v>2453</v>
      </c>
      <c r="V3372" s="139"/>
      <c r="W3372" s="49"/>
      <c r="X3372" s="49"/>
      <c r="Y3372" s="35"/>
      <c r="Z3372" s="35"/>
      <c r="AA3372" s="35"/>
      <c r="AB3372" s="35"/>
      <c r="AC3372" s="35"/>
      <c r="AD3372" s="35"/>
      <c r="AE3372" s="35"/>
      <c r="AF3372" s="35"/>
      <c r="AG3372" s="35"/>
      <c r="AH3372" s="35"/>
      <c r="AI3372" s="35"/>
      <c r="AJ3372" s="35"/>
      <c r="AK3372" s="35"/>
      <c r="AL3372" s="35"/>
    </row>
    <row r="3373">
      <c r="A3373" s="133"/>
      <c r="B3373" s="19" t="s">
        <v>14099</v>
      </c>
      <c r="C3373" s="76" t="s">
        <v>16312</v>
      </c>
      <c r="D3373" s="47"/>
      <c r="E3373" s="57" t="s">
        <v>12621</v>
      </c>
      <c r="F3373" s="22" t="s">
        <v>41</v>
      </c>
      <c r="G3373" s="57">
        <v>2022.0</v>
      </c>
      <c r="H3373" s="57" t="s">
        <v>4473</v>
      </c>
      <c r="I3373" s="134" t="s">
        <v>16328</v>
      </c>
      <c r="J3373" s="22" t="s">
        <v>1078</v>
      </c>
      <c r="K3373" s="23"/>
      <c r="L3373" s="173" t="s">
        <v>16329</v>
      </c>
      <c r="U3373" s="255" t="s">
        <v>61</v>
      </c>
      <c r="V3373" s="139"/>
      <c r="W3373" s="49"/>
      <c r="X3373" s="49"/>
      <c r="Y3373" s="35"/>
      <c r="Z3373" s="35"/>
      <c r="AA3373" s="35"/>
      <c r="AB3373" s="35"/>
      <c r="AC3373" s="35"/>
      <c r="AD3373" s="35"/>
      <c r="AE3373" s="35"/>
      <c r="AF3373" s="35"/>
      <c r="AG3373" s="35"/>
      <c r="AH3373" s="35"/>
      <c r="AI3373" s="35"/>
      <c r="AJ3373" s="35"/>
      <c r="AK3373" s="35"/>
      <c r="AL3373" s="35"/>
    </row>
    <row r="3374">
      <c r="A3374" s="133"/>
      <c r="B3374" s="19" t="s">
        <v>14099</v>
      </c>
      <c r="C3374" s="76" t="s">
        <v>16312</v>
      </c>
      <c r="D3374" s="47"/>
      <c r="E3374" s="57" t="s">
        <v>15871</v>
      </c>
      <c r="F3374" s="22" t="s">
        <v>241</v>
      </c>
      <c r="G3374" s="57">
        <v>2022.0</v>
      </c>
      <c r="H3374" s="57" t="s">
        <v>16330</v>
      </c>
      <c r="I3374" s="134" t="s">
        <v>16331</v>
      </c>
      <c r="J3374" s="22" t="s">
        <v>1078</v>
      </c>
      <c r="K3374" s="23"/>
      <c r="L3374" s="173" t="s">
        <v>16332</v>
      </c>
      <c r="U3374" s="248" t="s">
        <v>61</v>
      </c>
      <c r="V3374" s="139"/>
      <c r="W3374" s="49"/>
      <c r="X3374" s="49"/>
      <c r="Y3374" s="35"/>
      <c r="Z3374" s="35"/>
      <c r="AA3374" s="35"/>
      <c r="AB3374" s="35"/>
      <c r="AC3374" s="35"/>
      <c r="AD3374" s="35"/>
      <c r="AE3374" s="35"/>
      <c r="AF3374" s="35"/>
      <c r="AG3374" s="35"/>
      <c r="AH3374" s="35"/>
      <c r="AI3374" s="35"/>
      <c r="AJ3374" s="35"/>
      <c r="AK3374" s="35"/>
      <c r="AL3374" s="35"/>
    </row>
    <row r="3375">
      <c r="A3375" s="133"/>
      <c r="B3375" s="19" t="s">
        <v>14099</v>
      </c>
      <c r="C3375" s="76" t="s">
        <v>16312</v>
      </c>
      <c r="D3375" s="47"/>
      <c r="E3375" s="57" t="s">
        <v>10599</v>
      </c>
      <c r="F3375" s="22" t="s">
        <v>2234</v>
      </c>
      <c r="G3375" s="57">
        <v>2021.0</v>
      </c>
      <c r="H3375" s="57" t="s">
        <v>3523</v>
      </c>
      <c r="I3375" s="134" t="s">
        <v>16333</v>
      </c>
      <c r="J3375" s="22" t="s">
        <v>125</v>
      </c>
      <c r="K3375" s="23"/>
      <c r="L3375" s="173" t="s">
        <v>16334</v>
      </c>
      <c r="U3375" s="248" t="s">
        <v>61</v>
      </c>
      <c r="V3375" s="139"/>
      <c r="W3375" s="49"/>
      <c r="X3375" s="49"/>
      <c r="Y3375" s="35"/>
      <c r="Z3375" s="35"/>
      <c r="AA3375" s="35"/>
      <c r="AB3375" s="35"/>
      <c r="AC3375" s="35"/>
      <c r="AD3375" s="35"/>
      <c r="AE3375" s="35"/>
      <c r="AF3375" s="35"/>
      <c r="AG3375" s="35"/>
      <c r="AH3375" s="35"/>
      <c r="AI3375" s="35"/>
      <c r="AJ3375" s="35"/>
      <c r="AK3375" s="35"/>
      <c r="AL3375" s="35"/>
    </row>
    <row r="3376">
      <c r="A3376" s="133"/>
      <c r="B3376" s="19" t="s">
        <v>14099</v>
      </c>
      <c r="C3376" s="76" t="s">
        <v>16312</v>
      </c>
      <c r="D3376" s="47"/>
      <c r="E3376" s="57" t="s">
        <v>2228</v>
      </c>
      <c r="F3376" s="22" t="s">
        <v>16335</v>
      </c>
      <c r="G3376" s="57">
        <v>2021.0</v>
      </c>
      <c r="H3376" s="57" t="s">
        <v>16336</v>
      </c>
      <c r="I3376" s="134" t="s">
        <v>16337</v>
      </c>
      <c r="J3376" s="23" t="s">
        <v>1078</v>
      </c>
      <c r="K3376" s="23"/>
      <c r="L3376" s="202" t="s">
        <v>16338</v>
      </c>
      <c r="U3376" s="248" t="s">
        <v>61</v>
      </c>
      <c r="V3376" s="139"/>
      <c r="W3376" s="49"/>
      <c r="X3376" s="49"/>
      <c r="Y3376" s="35"/>
      <c r="Z3376" s="35"/>
      <c r="AA3376" s="35"/>
      <c r="AB3376" s="35"/>
      <c r="AC3376" s="35"/>
      <c r="AD3376" s="35"/>
      <c r="AE3376" s="35"/>
      <c r="AF3376" s="35"/>
      <c r="AG3376" s="35"/>
      <c r="AH3376" s="35"/>
      <c r="AI3376" s="35"/>
      <c r="AJ3376" s="35"/>
      <c r="AK3376" s="35"/>
      <c r="AL3376" s="35"/>
    </row>
    <row r="3377">
      <c r="A3377" s="18"/>
      <c r="B3377" s="19" t="s">
        <v>14099</v>
      </c>
      <c r="C3377" s="76" t="s">
        <v>16312</v>
      </c>
      <c r="D3377" s="47"/>
      <c r="E3377" s="57" t="s">
        <v>16339</v>
      </c>
      <c r="F3377" s="22" t="s">
        <v>12622</v>
      </c>
      <c r="G3377" s="57">
        <v>2021.0</v>
      </c>
      <c r="H3377" s="57" t="s">
        <v>91</v>
      </c>
      <c r="I3377" s="134" t="s">
        <v>16340</v>
      </c>
      <c r="J3377" s="23" t="s">
        <v>1078</v>
      </c>
      <c r="K3377" s="23"/>
      <c r="L3377" s="173" t="s">
        <v>16341</v>
      </c>
      <c r="U3377" s="315" t="s">
        <v>61</v>
      </c>
      <c r="V3377" s="136"/>
      <c r="W3377" s="49"/>
      <c r="X3377" s="49"/>
      <c r="Y3377" s="35"/>
      <c r="Z3377" s="35"/>
      <c r="AA3377" s="35"/>
      <c r="AB3377" s="35"/>
      <c r="AC3377" s="35"/>
      <c r="AD3377" s="35"/>
      <c r="AE3377" s="35"/>
      <c r="AF3377" s="35"/>
      <c r="AG3377" s="35"/>
      <c r="AH3377" s="35"/>
      <c r="AI3377" s="35"/>
      <c r="AJ3377" s="35"/>
      <c r="AK3377" s="35"/>
      <c r="AL3377" s="35"/>
    </row>
    <row r="3378">
      <c r="A3378" s="133"/>
      <c r="B3378" s="75" t="s">
        <v>14099</v>
      </c>
      <c r="C3378" s="76" t="s">
        <v>16312</v>
      </c>
      <c r="D3378" s="47"/>
      <c r="E3378" s="57" t="s">
        <v>16342</v>
      </c>
      <c r="F3378" s="22" t="s">
        <v>41</v>
      </c>
      <c r="G3378" s="57">
        <v>2020.0</v>
      </c>
      <c r="H3378" s="57" t="s">
        <v>77</v>
      </c>
      <c r="I3378" s="134" t="s">
        <v>16343</v>
      </c>
      <c r="J3378" s="23" t="s">
        <v>202</v>
      </c>
      <c r="K3378" s="23"/>
      <c r="L3378" s="124" t="s">
        <v>16344</v>
      </c>
      <c r="U3378" s="248" t="s">
        <v>61</v>
      </c>
      <c r="V3378" s="139"/>
      <c r="W3378" s="49"/>
      <c r="X3378" s="49"/>
      <c r="Y3378" s="35"/>
      <c r="Z3378" s="35"/>
      <c r="AA3378" s="35"/>
      <c r="AB3378" s="35"/>
      <c r="AC3378" s="35"/>
      <c r="AD3378" s="35"/>
      <c r="AE3378" s="35"/>
      <c r="AF3378" s="35"/>
      <c r="AG3378" s="35"/>
      <c r="AH3378" s="35"/>
      <c r="AI3378" s="35"/>
      <c r="AJ3378" s="35"/>
      <c r="AK3378" s="35"/>
      <c r="AL3378" s="35"/>
    </row>
    <row r="3379">
      <c r="A3379" s="133"/>
      <c r="B3379" s="75" t="s">
        <v>14099</v>
      </c>
      <c r="C3379" s="76" t="s">
        <v>16312</v>
      </c>
      <c r="D3379" s="47"/>
      <c r="E3379" s="57" t="s">
        <v>16345</v>
      </c>
      <c r="F3379" s="22"/>
      <c r="G3379" s="57">
        <v>2020.0</v>
      </c>
      <c r="H3379" s="57" t="s">
        <v>16297</v>
      </c>
      <c r="I3379" s="134" t="s">
        <v>16346</v>
      </c>
      <c r="J3379" s="23" t="s">
        <v>15332</v>
      </c>
      <c r="K3379" s="23" t="s">
        <v>16347</v>
      </c>
      <c r="L3379" s="43" t="s">
        <v>16348</v>
      </c>
      <c r="M3379" s="44"/>
      <c r="N3379" s="44"/>
      <c r="O3379" s="44"/>
      <c r="P3379" s="44"/>
      <c r="Q3379" s="44"/>
      <c r="R3379" s="44"/>
      <c r="S3379" s="44"/>
      <c r="T3379" s="45"/>
      <c r="U3379" s="248" t="s">
        <v>61</v>
      </c>
      <c r="V3379" s="139"/>
      <c r="W3379" s="49"/>
      <c r="X3379" s="49"/>
      <c r="Y3379" s="35"/>
      <c r="Z3379" s="35"/>
      <c r="AA3379" s="35"/>
      <c r="AB3379" s="35"/>
      <c r="AC3379" s="35"/>
      <c r="AD3379" s="35"/>
      <c r="AE3379" s="35"/>
      <c r="AF3379" s="35"/>
      <c r="AG3379" s="35"/>
      <c r="AH3379" s="35"/>
      <c r="AI3379" s="35"/>
      <c r="AJ3379" s="35"/>
      <c r="AK3379" s="35"/>
      <c r="AL3379" s="35"/>
    </row>
    <row r="3380">
      <c r="A3380" s="133"/>
      <c r="B3380" s="75" t="s">
        <v>14099</v>
      </c>
      <c r="C3380" s="76" t="s">
        <v>16312</v>
      </c>
      <c r="D3380" s="47"/>
      <c r="E3380" s="57" t="s">
        <v>543</v>
      </c>
      <c r="F3380" s="22" t="s">
        <v>5425</v>
      </c>
      <c r="G3380" s="57">
        <v>2019.0</v>
      </c>
      <c r="H3380" s="57" t="s">
        <v>16349</v>
      </c>
      <c r="I3380" s="134" t="s">
        <v>16350</v>
      </c>
      <c r="J3380" s="22" t="s">
        <v>125</v>
      </c>
      <c r="K3380" s="23"/>
      <c r="L3380" s="43" t="s">
        <v>16351</v>
      </c>
      <c r="M3380" s="44"/>
      <c r="N3380" s="44"/>
      <c r="O3380" s="44"/>
      <c r="P3380" s="44"/>
      <c r="Q3380" s="44"/>
      <c r="R3380" s="44"/>
      <c r="S3380" s="44"/>
      <c r="T3380" s="45"/>
      <c r="U3380" s="312" t="str">
        <f>HYPERLINK("http://www.scielo.br/scielo.php?pid=S1516-18462019000400604&amp;script=sci_arttext","SciELO")</f>
        <v>SciELO</v>
      </c>
      <c r="V3380" s="139"/>
      <c r="W3380" s="49"/>
      <c r="X3380" s="49"/>
      <c r="Y3380" s="35"/>
      <c r="Z3380" s="35"/>
      <c r="AA3380" s="35"/>
      <c r="AB3380" s="35"/>
      <c r="AC3380" s="35"/>
      <c r="AD3380" s="35"/>
      <c r="AE3380" s="35"/>
      <c r="AF3380" s="35"/>
      <c r="AG3380" s="35"/>
      <c r="AH3380" s="35"/>
      <c r="AI3380" s="35"/>
      <c r="AJ3380" s="35"/>
      <c r="AK3380" s="35"/>
      <c r="AL3380" s="35"/>
    </row>
    <row r="3381">
      <c r="A3381" s="18"/>
      <c r="B3381" s="75" t="s">
        <v>14099</v>
      </c>
      <c r="C3381" s="76" t="s">
        <v>16312</v>
      </c>
      <c r="D3381" s="47"/>
      <c r="E3381" s="57" t="s">
        <v>16093</v>
      </c>
      <c r="F3381" s="22" t="s">
        <v>41</v>
      </c>
      <c r="G3381" s="57">
        <v>2018.0</v>
      </c>
      <c r="H3381" s="57" t="s">
        <v>12224</v>
      </c>
      <c r="I3381" s="134" t="s">
        <v>16352</v>
      </c>
      <c r="J3381" s="23" t="s">
        <v>16353</v>
      </c>
      <c r="K3381" s="23" t="s">
        <v>16354</v>
      </c>
      <c r="L3381" s="86" t="s">
        <v>16355</v>
      </c>
      <c r="U3381" s="312" t="str">
        <f>HYPERLINK("https://www.ncbi.nlm.nih.gov/pubmed/30591412","PubMed")</f>
        <v>PubMed</v>
      </c>
      <c r="V3381" s="139"/>
      <c r="W3381" s="49"/>
      <c r="X3381" s="49"/>
      <c r="Y3381" s="35"/>
      <c r="Z3381" s="35"/>
      <c r="AA3381" s="35"/>
      <c r="AB3381" s="35"/>
      <c r="AC3381" s="35"/>
      <c r="AD3381" s="35"/>
      <c r="AE3381" s="35"/>
      <c r="AF3381" s="35"/>
      <c r="AG3381" s="35"/>
      <c r="AH3381" s="35"/>
      <c r="AI3381" s="35"/>
      <c r="AJ3381" s="35"/>
      <c r="AK3381" s="35"/>
      <c r="AL3381" s="35"/>
    </row>
    <row r="3382">
      <c r="A3382" s="133"/>
      <c r="B3382" s="75" t="s">
        <v>14099</v>
      </c>
      <c r="C3382" s="76" t="s">
        <v>16312</v>
      </c>
      <c r="D3382" s="47"/>
      <c r="E3382" s="57" t="s">
        <v>16356</v>
      </c>
      <c r="F3382" s="22" t="s">
        <v>16296</v>
      </c>
      <c r="G3382" s="57">
        <v>2018.0</v>
      </c>
      <c r="H3382" s="57" t="s">
        <v>16297</v>
      </c>
      <c r="I3382" s="134" t="s">
        <v>16357</v>
      </c>
      <c r="J3382" s="22" t="s">
        <v>125</v>
      </c>
      <c r="K3382" s="23"/>
      <c r="L3382" s="43" t="s">
        <v>16358</v>
      </c>
      <c r="M3382" s="44"/>
      <c r="N3382" s="44"/>
      <c r="O3382" s="44"/>
      <c r="P3382" s="44"/>
      <c r="Q3382" s="44"/>
      <c r="R3382" s="44"/>
      <c r="S3382" s="44"/>
      <c r="T3382" s="45"/>
      <c r="U3382" s="312" t="str">
        <f>HYPERLINK("https://www.ncbi.nlm.nih.gov/pubmed/29952693","PubMed")</f>
        <v>PubMed</v>
      </c>
      <c r="V3382" s="139"/>
      <c r="W3382" s="49"/>
      <c r="X3382" s="49"/>
      <c r="Y3382" s="35"/>
      <c r="Z3382" s="35"/>
      <c r="AA3382" s="35"/>
      <c r="AB3382" s="35"/>
      <c r="AC3382" s="35"/>
      <c r="AD3382" s="35"/>
      <c r="AE3382" s="35"/>
      <c r="AF3382" s="35"/>
      <c r="AG3382" s="35"/>
      <c r="AH3382" s="35"/>
      <c r="AI3382" s="35"/>
      <c r="AJ3382" s="35"/>
      <c r="AK3382" s="35"/>
      <c r="AL3382" s="35"/>
    </row>
    <row r="3383">
      <c r="A3383" s="133"/>
      <c r="B3383" s="75" t="s">
        <v>14099</v>
      </c>
      <c r="C3383" s="76" t="s">
        <v>16312</v>
      </c>
      <c r="D3383" s="47"/>
      <c r="E3383" s="57" t="s">
        <v>16074</v>
      </c>
      <c r="F3383" s="22" t="s">
        <v>16196</v>
      </c>
      <c r="G3383" s="57">
        <v>2018.0</v>
      </c>
      <c r="H3383" s="57" t="s">
        <v>16359</v>
      </c>
      <c r="I3383" s="134" t="s">
        <v>16360</v>
      </c>
      <c r="J3383" s="23" t="s">
        <v>1078</v>
      </c>
      <c r="K3383" s="23"/>
      <c r="L3383" s="43" t="s">
        <v>16361</v>
      </c>
      <c r="M3383" s="44"/>
      <c r="N3383" s="44"/>
      <c r="O3383" s="44"/>
      <c r="P3383" s="44"/>
      <c r="Q3383" s="44"/>
      <c r="R3383" s="44"/>
      <c r="S3383" s="44"/>
      <c r="T3383" s="45"/>
      <c r="U3383" s="312" t="str">
        <f>HYPERLINK("https://www.ncbi.nlm.nih.gov/pubmed/29933277","PubMed")</f>
        <v>PubMed</v>
      </c>
      <c r="V3383" s="139"/>
      <c r="W3383" s="49"/>
      <c r="X3383" s="49"/>
      <c r="Y3383" s="35"/>
      <c r="Z3383" s="35"/>
      <c r="AA3383" s="35"/>
      <c r="AB3383" s="35"/>
      <c r="AC3383" s="35"/>
      <c r="AD3383" s="35"/>
      <c r="AE3383" s="35"/>
      <c r="AF3383" s="35"/>
      <c r="AG3383" s="35"/>
      <c r="AH3383" s="35"/>
      <c r="AI3383" s="35"/>
      <c r="AJ3383" s="35"/>
      <c r="AK3383" s="35"/>
      <c r="AL3383" s="35"/>
    </row>
    <row r="3384">
      <c r="A3384" s="18" t="s">
        <v>2</v>
      </c>
      <c r="B3384" s="19" t="s">
        <v>14099</v>
      </c>
      <c r="C3384" s="76" t="s">
        <v>16312</v>
      </c>
      <c r="D3384" s="47"/>
      <c r="E3384" s="57" t="s">
        <v>16362</v>
      </c>
      <c r="F3384" s="57" t="s">
        <v>41</v>
      </c>
      <c r="G3384" s="57" t="s">
        <v>90</v>
      </c>
      <c r="H3384" s="57" t="s">
        <v>91</v>
      </c>
      <c r="I3384" s="134" t="s">
        <v>16363</v>
      </c>
      <c r="J3384" s="23" t="s">
        <v>1078</v>
      </c>
      <c r="K3384" s="23"/>
      <c r="L3384" s="43" t="s">
        <v>16364</v>
      </c>
      <c r="M3384" s="44"/>
      <c r="N3384" s="44"/>
      <c r="O3384" s="44"/>
      <c r="P3384" s="44"/>
      <c r="Q3384" s="44"/>
      <c r="R3384" s="44"/>
      <c r="S3384" s="44"/>
      <c r="T3384" s="45"/>
      <c r="U3384" s="312" t="str">
        <f>HYPERLINK("https://www.ncbi.nlm.nih.gov/pubmed/29090398","PubMed")</f>
        <v>PubMed</v>
      </c>
      <c r="V3384" s="139"/>
      <c r="W3384" s="49"/>
      <c r="X3384" s="49"/>
      <c r="Y3384" s="35"/>
      <c r="Z3384" s="35"/>
      <c r="AA3384" s="35"/>
      <c r="AB3384" s="35"/>
      <c r="AC3384" s="35"/>
      <c r="AD3384" s="35"/>
      <c r="AE3384" s="35"/>
      <c r="AF3384" s="35"/>
      <c r="AG3384" s="35"/>
      <c r="AH3384" s="35"/>
      <c r="AI3384" s="35"/>
      <c r="AJ3384" s="35"/>
      <c r="AK3384" s="35"/>
      <c r="AL3384" s="35"/>
    </row>
    <row r="3385">
      <c r="A3385" s="207"/>
      <c r="B3385" s="19" t="s">
        <v>14099</v>
      </c>
      <c r="C3385" s="76" t="s">
        <v>16312</v>
      </c>
      <c r="D3385" s="47"/>
      <c r="E3385" s="22" t="s">
        <v>16365</v>
      </c>
      <c r="F3385" s="22" t="s">
        <v>14062</v>
      </c>
      <c r="G3385" s="23">
        <v>2016.0</v>
      </c>
      <c r="H3385" s="57" t="s">
        <v>91</v>
      </c>
      <c r="I3385" s="24" t="s">
        <v>16366</v>
      </c>
      <c r="J3385" s="22" t="s">
        <v>1078</v>
      </c>
      <c r="K3385" s="22"/>
      <c r="L3385" s="291" t="s">
        <v>16367</v>
      </c>
      <c r="M3385" s="44"/>
      <c r="N3385" s="44"/>
      <c r="O3385" s="44"/>
      <c r="P3385" s="44"/>
      <c r="Q3385" s="44"/>
      <c r="R3385" s="44"/>
      <c r="S3385" s="44"/>
      <c r="T3385" s="45"/>
      <c r="U3385" s="38" t="str">
        <f>HYPERLINK("https://www.ncbi.nlm.nih.gov/pubmed/26563953","PubMed")</f>
        <v>PubMed</v>
      </c>
      <c r="V3385" s="30"/>
      <c r="W3385" s="49"/>
      <c r="X3385" s="49"/>
      <c r="Y3385" s="35"/>
      <c r="Z3385" s="35"/>
      <c r="AA3385" s="35"/>
      <c r="AB3385" s="35"/>
      <c r="AC3385" s="35"/>
      <c r="AD3385" s="35"/>
      <c r="AE3385" s="35"/>
      <c r="AF3385" s="35"/>
      <c r="AG3385" s="35"/>
      <c r="AH3385" s="35"/>
      <c r="AI3385" s="35"/>
      <c r="AJ3385" s="35"/>
      <c r="AK3385" s="35"/>
      <c r="AL3385" s="35"/>
    </row>
    <row r="3386">
      <c r="A3386" s="207" t="s">
        <v>16368</v>
      </c>
      <c r="B3386" s="19" t="s">
        <v>14099</v>
      </c>
      <c r="C3386" s="76" t="s">
        <v>16312</v>
      </c>
      <c r="D3386" s="47"/>
      <c r="E3386" s="22" t="s">
        <v>15801</v>
      </c>
      <c r="F3386" s="22" t="s">
        <v>41</v>
      </c>
      <c r="G3386" s="23">
        <v>2016.0</v>
      </c>
      <c r="H3386" s="22" t="s">
        <v>42</v>
      </c>
      <c r="I3386" s="24" t="s">
        <v>16369</v>
      </c>
      <c r="J3386" s="22" t="s">
        <v>125</v>
      </c>
      <c r="K3386" s="22" t="s">
        <v>16370</v>
      </c>
      <c r="L3386" s="171" t="s">
        <v>16371</v>
      </c>
      <c r="M3386" s="44"/>
      <c r="N3386" s="44"/>
      <c r="O3386" s="44"/>
      <c r="P3386" s="44"/>
      <c r="Q3386" s="44"/>
      <c r="R3386" s="44"/>
      <c r="S3386" s="44"/>
      <c r="T3386" s="45"/>
      <c r="U3386" s="38" t="str">
        <f>HYPERLINK("https://www.ncbi.nlm.nih.gov/pubmed/27874264","PubMed")</f>
        <v>PubMed</v>
      </c>
      <c r="V3386" s="30"/>
      <c r="W3386" s="49"/>
      <c r="X3386" s="49"/>
      <c r="Y3386" s="35"/>
      <c r="Z3386" s="35"/>
      <c r="AA3386" s="35"/>
      <c r="AB3386" s="35"/>
      <c r="AC3386" s="35"/>
      <c r="AD3386" s="35"/>
      <c r="AE3386" s="35"/>
      <c r="AF3386" s="35"/>
      <c r="AG3386" s="35"/>
      <c r="AH3386" s="35"/>
      <c r="AI3386" s="35"/>
      <c r="AJ3386" s="35"/>
      <c r="AK3386" s="35"/>
      <c r="AL3386" s="35"/>
    </row>
    <row r="3387">
      <c r="A3387" s="1"/>
      <c r="B3387" s="19" t="s">
        <v>14099</v>
      </c>
      <c r="C3387" s="76" t="s">
        <v>16312</v>
      </c>
      <c r="D3387" s="47"/>
      <c r="E3387" s="22" t="s">
        <v>16093</v>
      </c>
      <c r="F3387" s="22" t="s">
        <v>41</v>
      </c>
      <c r="G3387" s="23">
        <v>2015.0</v>
      </c>
      <c r="H3387" s="22" t="s">
        <v>91</v>
      </c>
      <c r="I3387" s="24" t="s">
        <v>16372</v>
      </c>
      <c r="J3387" s="22" t="s">
        <v>1078</v>
      </c>
      <c r="K3387" s="22"/>
      <c r="L3387" s="105" t="s">
        <v>16373</v>
      </c>
      <c r="M3387" s="44"/>
      <c r="N3387" s="44"/>
      <c r="O3387" s="44"/>
      <c r="P3387" s="44"/>
      <c r="Q3387" s="44"/>
      <c r="R3387" s="44"/>
      <c r="S3387" s="44"/>
      <c r="T3387" s="45"/>
      <c r="U3387" s="38" t="str">
        <f>HYPERLINK("https://www.ncbi.nlm.nih.gov/pubmed/24249354","PubMed")</f>
        <v>PubMed</v>
      </c>
      <c r="V3387" s="30"/>
      <c r="W3387" s="49"/>
      <c r="X3387" s="49"/>
      <c r="Y3387" s="35"/>
      <c r="Z3387" s="35"/>
      <c r="AA3387" s="35"/>
      <c r="AB3387" s="35"/>
      <c r="AC3387" s="35"/>
      <c r="AD3387" s="35"/>
      <c r="AE3387" s="35"/>
      <c r="AF3387" s="35"/>
      <c r="AG3387" s="35"/>
      <c r="AH3387" s="35"/>
      <c r="AI3387" s="35"/>
      <c r="AJ3387" s="35"/>
      <c r="AK3387" s="35"/>
      <c r="AL3387" s="35"/>
    </row>
    <row r="3388">
      <c r="A3388" s="207"/>
      <c r="B3388" s="19" t="s">
        <v>14099</v>
      </c>
      <c r="C3388" s="76" t="s">
        <v>16312</v>
      </c>
      <c r="D3388" s="47"/>
      <c r="E3388" s="22" t="s">
        <v>16374</v>
      </c>
      <c r="F3388" s="22" t="s">
        <v>6349</v>
      </c>
      <c r="G3388" s="23">
        <v>2013.0</v>
      </c>
      <c r="H3388" s="22" t="s">
        <v>6350</v>
      </c>
      <c r="I3388" s="24" t="s">
        <v>16375</v>
      </c>
      <c r="J3388" s="22" t="s">
        <v>649</v>
      </c>
      <c r="K3388" s="22"/>
      <c r="L3388" s="105" t="s">
        <v>16376</v>
      </c>
      <c r="M3388" s="44"/>
      <c r="N3388" s="44"/>
      <c r="O3388" s="44"/>
      <c r="P3388" s="44"/>
      <c r="Q3388" s="44"/>
      <c r="R3388" s="44"/>
      <c r="S3388" s="44"/>
      <c r="T3388" s="45"/>
      <c r="U3388" s="38" t="str">
        <f>HYPERLINK("https://www.ncbi.nlm.nih.gov/pubmed/23672326","PubMed")</f>
        <v>PubMed</v>
      </c>
      <c r="V3388" s="30"/>
      <c r="W3388" s="49"/>
      <c r="X3388" s="49"/>
      <c r="Y3388" s="35"/>
      <c r="Z3388" s="35"/>
      <c r="AA3388" s="35"/>
      <c r="AB3388" s="35"/>
      <c r="AC3388" s="35"/>
      <c r="AD3388" s="35"/>
      <c r="AE3388" s="35"/>
      <c r="AF3388" s="35"/>
      <c r="AG3388" s="35"/>
      <c r="AH3388" s="35"/>
      <c r="AI3388" s="35"/>
      <c r="AJ3388" s="35"/>
      <c r="AK3388" s="35"/>
      <c r="AL3388" s="35"/>
    </row>
    <row r="3389">
      <c r="A3389" s="18"/>
      <c r="B3389" s="75" t="s">
        <v>14099</v>
      </c>
      <c r="C3389" s="77" t="s">
        <v>16211</v>
      </c>
      <c r="D3389" s="47"/>
      <c r="E3389" s="57" t="s">
        <v>16377</v>
      </c>
      <c r="F3389" s="22" t="s">
        <v>5207</v>
      </c>
      <c r="G3389" s="57">
        <v>2024.0</v>
      </c>
      <c r="H3389" s="57" t="s">
        <v>4804</v>
      </c>
      <c r="I3389" s="134" t="s">
        <v>16378</v>
      </c>
      <c r="J3389" s="23" t="s">
        <v>16379</v>
      </c>
      <c r="K3389" s="23" t="s">
        <v>157</v>
      </c>
      <c r="L3389" s="36">
        <v>850.0</v>
      </c>
      <c r="M3389" s="36"/>
      <c r="N3389" s="36"/>
      <c r="O3389" s="36"/>
      <c r="P3389" s="37" t="s">
        <v>70</v>
      </c>
      <c r="Q3389" s="36"/>
      <c r="R3389" s="36"/>
      <c r="S3389" s="36"/>
      <c r="T3389" s="84" t="s">
        <v>16380</v>
      </c>
      <c r="U3389" s="255" t="s">
        <v>61</v>
      </c>
      <c r="V3389" s="316"/>
      <c r="W3389" s="49"/>
      <c r="X3389" s="49"/>
      <c r="Y3389" s="35"/>
      <c r="Z3389" s="35"/>
      <c r="AA3389" s="35"/>
      <c r="AB3389" s="35"/>
      <c r="AC3389" s="35"/>
      <c r="AD3389" s="35"/>
      <c r="AE3389" s="35"/>
      <c r="AF3389" s="35"/>
      <c r="AG3389" s="35"/>
      <c r="AH3389" s="35"/>
      <c r="AI3389" s="35"/>
      <c r="AJ3389" s="35"/>
      <c r="AK3389" s="35"/>
      <c r="AL3389" s="35"/>
    </row>
    <row r="3390">
      <c r="A3390" s="18"/>
      <c r="B3390" s="75" t="s">
        <v>14099</v>
      </c>
      <c r="C3390" s="77" t="s">
        <v>16211</v>
      </c>
      <c r="D3390" s="47"/>
      <c r="E3390" s="57" t="s">
        <v>16381</v>
      </c>
      <c r="F3390" s="22" t="s">
        <v>5157</v>
      </c>
      <c r="G3390" s="57">
        <v>2024.0</v>
      </c>
      <c r="H3390" s="57" t="s">
        <v>4804</v>
      </c>
      <c r="I3390" s="134" t="s">
        <v>16382</v>
      </c>
      <c r="J3390" s="23" t="s">
        <v>16383</v>
      </c>
      <c r="K3390" s="23"/>
      <c r="L3390" s="36" t="s">
        <v>16384</v>
      </c>
      <c r="M3390" s="36"/>
      <c r="N3390" s="36"/>
      <c r="O3390" s="36"/>
      <c r="P3390" s="37"/>
      <c r="Q3390" s="36"/>
      <c r="R3390" s="36"/>
      <c r="S3390" s="36" t="s">
        <v>7612</v>
      </c>
      <c r="T3390" s="82" t="s">
        <v>16385</v>
      </c>
      <c r="U3390" s="255" t="s">
        <v>61</v>
      </c>
      <c r="V3390" s="316"/>
      <c r="W3390" s="49"/>
      <c r="X3390" s="49"/>
      <c r="Y3390" s="35"/>
      <c r="Z3390" s="35"/>
      <c r="AA3390" s="35"/>
      <c r="AB3390" s="35"/>
      <c r="AC3390" s="35"/>
      <c r="AD3390" s="35"/>
      <c r="AE3390" s="35"/>
      <c r="AF3390" s="35"/>
      <c r="AG3390" s="35"/>
      <c r="AH3390" s="35"/>
      <c r="AI3390" s="35"/>
      <c r="AJ3390" s="35"/>
      <c r="AK3390" s="35"/>
      <c r="AL3390" s="35"/>
    </row>
    <row r="3391">
      <c r="A3391" s="18" t="s">
        <v>38</v>
      </c>
      <c r="B3391" s="75" t="s">
        <v>14099</v>
      </c>
      <c r="C3391" s="77" t="s">
        <v>16211</v>
      </c>
      <c r="D3391" s="47"/>
      <c r="E3391" s="57" t="s">
        <v>16120</v>
      </c>
      <c r="F3391" s="22" t="s">
        <v>16303</v>
      </c>
      <c r="G3391" s="57">
        <v>2018.0</v>
      </c>
      <c r="H3391" s="57" t="s">
        <v>16386</v>
      </c>
      <c r="I3391" s="134" t="s">
        <v>16387</v>
      </c>
      <c r="J3391" s="23" t="s">
        <v>16388</v>
      </c>
      <c r="K3391" s="23"/>
      <c r="L3391" s="36">
        <v>850.0</v>
      </c>
      <c r="M3391" s="36">
        <v>100.0</v>
      </c>
      <c r="N3391" s="36"/>
      <c r="O3391" s="36" t="s">
        <v>16389</v>
      </c>
      <c r="P3391" s="37"/>
      <c r="Q3391" s="36"/>
      <c r="R3391" s="36"/>
      <c r="S3391" s="36" t="s">
        <v>8494</v>
      </c>
      <c r="T3391" s="82" t="s">
        <v>16390</v>
      </c>
      <c r="U3391" s="312" t="str">
        <f>HYPERLINK("https://www.ncbi.nlm.nih.gov/pubmed/30367258","PubMed")</f>
        <v>PubMed</v>
      </c>
      <c r="V3391" s="316" t="s">
        <v>16391</v>
      </c>
      <c r="W3391" s="49"/>
      <c r="X3391" s="49"/>
      <c r="Y3391" s="35"/>
      <c r="Z3391" s="35"/>
      <c r="AA3391" s="35"/>
      <c r="AB3391" s="35"/>
      <c r="AC3391" s="35"/>
      <c r="AD3391" s="35"/>
      <c r="AE3391" s="35"/>
      <c r="AF3391" s="35"/>
      <c r="AG3391" s="35"/>
      <c r="AH3391" s="35"/>
      <c r="AI3391" s="35"/>
      <c r="AJ3391" s="35"/>
      <c r="AK3391" s="35"/>
      <c r="AL3391" s="35"/>
    </row>
    <row r="3392">
      <c r="A3392" s="133"/>
      <c r="B3392" s="75" t="s">
        <v>14099</v>
      </c>
      <c r="C3392" s="77" t="s">
        <v>16211</v>
      </c>
      <c r="D3392" s="47"/>
      <c r="E3392" s="57" t="s">
        <v>12621</v>
      </c>
      <c r="F3392" s="22" t="s">
        <v>16392</v>
      </c>
      <c r="G3392" s="57">
        <v>2018.0</v>
      </c>
      <c r="H3392" s="57" t="s">
        <v>91</v>
      </c>
      <c r="I3392" s="134" t="s">
        <v>16393</v>
      </c>
      <c r="J3392" s="23" t="s">
        <v>16394</v>
      </c>
      <c r="K3392" s="23" t="s">
        <v>16395</v>
      </c>
      <c r="L3392" s="36" t="s">
        <v>16396</v>
      </c>
      <c r="M3392" s="36" t="s">
        <v>16397</v>
      </c>
      <c r="N3392" s="36"/>
      <c r="O3392" s="36" t="s">
        <v>16398</v>
      </c>
      <c r="P3392" s="37"/>
      <c r="Q3392" s="36" t="s">
        <v>15841</v>
      </c>
      <c r="R3392" s="36"/>
      <c r="S3392" s="36">
        <v>1.0</v>
      </c>
      <c r="T3392" s="83" t="s">
        <v>16399</v>
      </c>
      <c r="U3392" s="312" t="str">
        <f>HYPERLINK("https://www.ncbi.nlm.nih.gov/pubmed/30264178","PubMed")</f>
        <v>PubMed</v>
      </c>
      <c r="V3392" s="139"/>
      <c r="W3392" s="49"/>
      <c r="X3392" s="49"/>
      <c r="Y3392" s="35"/>
      <c r="Z3392" s="35"/>
      <c r="AA3392" s="35"/>
      <c r="AB3392" s="35"/>
      <c r="AC3392" s="35"/>
      <c r="AD3392" s="35"/>
      <c r="AE3392" s="35"/>
      <c r="AF3392" s="35"/>
      <c r="AG3392" s="35"/>
      <c r="AH3392" s="35"/>
      <c r="AI3392" s="35"/>
      <c r="AJ3392" s="35"/>
      <c r="AK3392" s="35"/>
      <c r="AL3392" s="35"/>
    </row>
    <row r="3393">
      <c r="A3393" s="133"/>
      <c r="B3393" s="19" t="s">
        <v>14099</v>
      </c>
      <c r="C3393" s="20" t="s">
        <v>16211</v>
      </c>
      <c r="D3393" s="47"/>
      <c r="E3393" s="57" t="s">
        <v>16400</v>
      </c>
      <c r="F3393" s="22" t="s">
        <v>16401</v>
      </c>
      <c r="G3393" s="57">
        <v>2018.0</v>
      </c>
      <c r="H3393" s="57" t="s">
        <v>91</v>
      </c>
      <c r="I3393" s="134" t="s">
        <v>16402</v>
      </c>
      <c r="J3393" s="23" t="s">
        <v>16403</v>
      </c>
      <c r="K3393" s="23" t="s">
        <v>157</v>
      </c>
      <c r="L3393" s="36" t="s">
        <v>16404</v>
      </c>
      <c r="M3393" s="36" t="s">
        <v>16405</v>
      </c>
      <c r="N3393" s="36"/>
      <c r="O3393" s="37" t="s">
        <v>16406</v>
      </c>
      <c r="P3393" s="37"/>
      <c r="Q3393" s="36"/>
      <c r="R3393" s="36"/>
      <c r="S3393" s="36"/>
      <c r="T3393" s="82" t="s">
        <v>16407</v>
      </c>
      <c r="U3393" s="312" t="str">
        <f>HYPERLINK("https://www.ncbi.nlm.nih.gov/pubmed/29516305","PubMed")</f>
        <v>PubMed</v>
      </c>
      <c r="V3393" s="139"/>
      <c r="W3393" s="49"/>
      <c r="X3393" s="49"/>
      <c r="Y3393" s="35"/>
      <c r="Z3393" s="35"/>
      <c r="AA3393" s="35"/>
      <c r="AB3393" s="35"/>
      <c r="AC3393" s="35"/>
      <c r="AD3393" s="35"/>
      <c r="AE3393" s="35"/>
      <c r="AF3393" s="35"/>
      <c r="AG3393" s="35"/>
      <c r="AH3393" s="35"/>
      <c r="AI3393" s="35"/>
      <c r="AJ3393" s="35"/>
      <c r="AK3393" s="35"/>
      <c r="AL3393" s="35"/>
    </row>
    <row r="3394">
      <c r="A3394" s="133"/>
      <c r="B3394" s="19" t="s">
        <v>14099</v>
      </c>
      <c r="C3394" s="20" t="s">
        <v>16211</v>
      </c>
      <c r="D3394" s="47"/>
      <c r="E3394" s="57" t="s">
        <v>16408</v>
      </c>
      <c r="F3394" s="22" t="s">
        <v>530</v>
      </c>
      <c r="G3394" s="57">
        <v>2018.0</v>
      </c>
      <c r="H3394" s="57" t="s">
        <v>91</v>
      </c>
      <c r="I3394" s="134" t="s">
        <v>16409</v>
      </c>
      <c r="J3394" s="23" t="s">
        <v>16410</v>
      </c>
      <c r="K3394" s="23"/>
      <c r="L3394" s="36">
        <v>904.0</v>
      </c>
      <c r="M3394" s="36" t="s">
        <v>16411</v>
      </c>
      <c r="N3394" s="36" t="s">
        <v>1814</v>
      </c>
      <c r="O3394" s="37" t="s">
        <v>16412</v>
      </c>
      <c r="P3394" s="37" t="s">
        <v>8585</v>
      </c>
      <c r="Q3394" s="36" t="s">
        <v>16413</v>
      </c>
      <c r="R3394" s="36">
        <v>180.0</v>
      </c>
      <c r="S3394" s="36" t="s">
        <v>16414</v>
      </c>
      <c r="T3394" s="83" t="s">
        <v>16415</v>
      </c>
      <c r="U3394" s="248" t="s">
        <v>61</v>
      </c>
      <c r="V3394" s="139"/>
      <c r="W3394" s="49"/>
      <c r="X3394" s="49"/>
      <c r="Y3394" s="35"/>
      <c r="Z3394" s="35"/>
      <c r="AA3394" s="35"/>
      <c r="AB3394" s="35"/>
      <c r="AC3394" s="35"/>
      <c r="AD3394" s="35"/>
      <c r="AE3394" s="35"/>
      <c r="AF3394" s="35"/>
      <c r="AG3394" s="35"/>
      <c r="AH3394" s="35"/>
      <c r="AI3394" s="35"/>
      <c r="AJ3394" s="35"/>
      <c r="AK3394" s="35"/>
      <c r="AL3394" s="35"/>
    </row>
    <row r="3395">
      <c r="A3395" s="133"/>
      <c r="B3395" s="19" t="s">
        <v>14099</v>
      </c>
      <c r="C3395" s="20" t="s">
        <v>16211</v>
      </c>
      <c r="D3395" s="47"/>
      <c r="E3395" s="57" t="s">
        <v>16030</v>
      </c>
      <c r="F3395" s="22" t="s">
        <v>16031</v>
      </c>
      <c r="G3395" s="57">
        <v>2018.0</v>
      </c>
      <c r="H3395" s="57" t="s">
        <v>15911</v>
      </c>
      <c r="I3395" s="134" t="s">
        <v>16416</v>
      </c>
      <c r="J3395" s="23" t="s">
        <v>16417</v>
      </c>
      <c r="K3395" s="23"/>
      <c r="L3395" s="36" t="s">
        <v>15854</v>
      </c>
      <c r="M3395" s="36" t="s">
        <v>16418</v>
      </c>
      <c r="N3395" s="36"/>
      <c r="O3395" s="36" t="s">
        <v>16419</v>
      </c>
      <c r="P3395" s="37"/>
      <c r="Q3395" s="36" t="s">
        <v>16420</v>
      </c>
      <c r="R3395" s="36" t="s">
        <v>16421</v>
      </c>
      <c r="S3395" s="36"/>
      <c r="T3395" s="83" t="s">
        <v>16422</v>
      </c>
      <c r="U3395" s="312" t="str">
        <f>HYPERLINK("https://www.ncbi.nlm.nih.gov/pubmed/29385005","PubMed")</f>
        <v>PubMed</v>
      </c>
      <c r="V3395" s="139"/>
      <c r="W3395" s="49"/>
      <c r="X3395" s="49"/>
      <c r="Y3395" s="35"/>
      <c r="Z3395" s="35"/>
      <c r="AA3395" s="35"/>
      <c r="AB3395" s="35"/>
      <c r="AC3395" s="35"/>
      <c r="AD3395" s="35"/>
      <c r="AE3395" s="35"/>
      <c r="AF3395" s="35"/>
      <c r="AG3395" s="35"/>
      <c r="AH3395" s="35"/>
      <c r="AI3395" s="35"/>
      <c r="AJ3395" s="35"/>
      <c r="AK3395" s="35"/>
      <c r="AL3395" s="35"/>
    </row>
    <row r="3396">
      <c r="A3396" s="133"/>
      <c r="B3396" s="19" t="s">
        <v>14099</v>
      </c>
      <c r="C3396" s="20" t="s">
        <v>16211</v>
      </c>
      <c r="D3396" s="47"/>
      <c r="E3396" s="57" t="s">
        <v>16423</v>
      </c>
      <c r="F3396" s="22" t="s">
        <v>16424</v>
      </c>
      <c r="G3396" s="57">
        <v>2017.0</v>
      </c>
      <c r="H3396" s="57" t="s">
        <v>15911</v>
      </c>
      <c r="I3396" s="134" t="s">
        <v>16425</v>
      </c>
      <c r="J3396" s="23" t="s">
        <v>16426</v>
      </c>
      <c r="K3396" s="23" t="s">
        <v>157</v>
      </c>
      <c r="L3396" s="36" t="s">
        <v>16268</v>
      </c>
      <c r="M3396" s="36"/>
      <c r="N3396" s="36"/>
      <c r="O3396" s="36"/>
      <c r="P3396" s="37"/>
      <c r="Q3396" s="36"/>
      <c r="R3396" s="36" t="s">
        <v>16427</v>
      </c>
      <c r="S3396" s="36" t="s">
        <v>14009</v>
      </c>
      <c r="T3396" s="83" t="s">
        <v>16428</v>
      </c>
      <c r="U3396" s="312" t="str">
        <f>HYPERLINK("https://www.ncbi.nlm.nih.gov/pubmed/27359205","PubMed")</f>
        <v>PubMed</v>
      </c>
      <c r="V3396" s="139"/>
      <c r="W3396" s="49"/>
      <c r="X3396" s="49"/>
      <c r="Y3396" s="35"/>
      <c r="Z3396" s="35"/>
      <c r="AA3396" s="35"/>
      <c r="AB3396" s="35"/>
      <c r="AC3396" s="35"/>
      <c r="AD3396" s="35"/>
      <c r="AE3396" s="35"/>
      <c r="AF3396" s="35"/>
      <c r="AG3396" s="35"/>
      <c r="AH3396" s="35"/>
      <c r="AI3396" s="35"/>
      <c r="AJ3396" s="35"/>
      <c r="AK3396" s="35"/>
      <c r="AL3396" s="35"/>
    </row>
    <row r="3397">
      <c r="A3397" s="149"/>
      <c r="B3397" s="19" t="s">
        <v>14099</v>
      </c>
      <c r="C3397" s="20" t="s">
        <v>16211</v>
      </c>
      <c r="D3397" s="47"/>
      <c r="E3397" s="57" t="s">
        <v>114</v>
      </c>
      <c r="F3397" s="57" t="s">
        <v>14931</v>
      </c>
      <c r="G3397" s="57">
        <v>2017.0</v>
      </c>
      <c r="H3397" s="57" t="s">
        <v>147</v>
      </c>
      <c r="I3397" s="134" t="s">
        <v>16429</v>
      </c>
      <c r="J3397" s="23" t="s">
        <v>16430</v>
      </c>
      <c r="K3397" s="23" t="s">
        <v>294</v>
      </c>
      <c r="L3397" s="36" t="s">
        <v>3769</v>
      </c>
      <c r="M3397" s="36">
        <v>30.0</v>
      </c>
      <c r="N3397" s="36"/>
      <c r="O3397" s="36" t="s">
        <v>16431</v>
      </c>
      <c r="P3397" s="37" t="s">
        <v>16432</v>
      </c>
      <c r="Q3397" s="36" t="s">
        <v>16433</v>
      </c>
      <c r="R3397" s="36"/>
      <c r="S3397" s="36" t="s">
        <v>2099</v>
      </c>
      <c r="T3397" s="83" t="s">
        <v>16434</v>
      </c>
      <c r="U3397" s="312" t="str">
        <f>HYPERLINK("https://www.ncbi.nlm.nih.gov/pubmed/29123629","PubMed")</f>
        <v>PubMed</v>
      </c>
      <c r="V3397" s="139"/>
      <c r="W3397" s="49"/>
      <c r="X3397" s="49"/>
      <c r="Y3397" s="35"/>
      <c r="Z3397" s="35"/>
      <c r="AA3397" s="35"/>
      <c r="AB3397" s="35"/>
      <c r="AC3397" s="35"/>
      <c r="AD3397" s="35"/>
      <c r="AE3397" s="35"/>
      <c r="AF3397" s="35"/>
      <c r="AG3397" s="35"/>
      <c r="AH3397" s="35"/>
      <c r="AI3397" s="35"/>
      <c r="AJ3397" s="35"/>
      <c r="AK3397" s="35"/>
      <c r="AL3397" s="35"/>
    </row>
    <row r="3398">
      <c r="A3398" s="149"/>
      <c r="B3398" s="19" t="s">
        <v>14099</v>
      </c>
      <c r="C3398" s="20" t="s">
        <v>16211</v>
      </c>
      <c r="D3398" s="47"/>
      <c r="E3398" s="57" t="s">
        <v>16074</v>
      </c>
      <c r="F3398" s="57" t="s">
        <v>16196</v>
      </c>
      <c r="G3398" s="57">
        <v>2017.0</v>
      </c>
      <c r="H3398" s="57" t="s">
        <v>12224</v>
      </c>
      <c r="I3398" s="134" t="s">
        <v>16435</v>
      </c>
      <c r="J3398" s="23" t="s">
        <v>2141</v>
      </c>
      <c r="K3398" s="23"/>
      <c r="L3398" s="168"/>
      <c r="M3398" s="168"/>
      <c r="N3398" s="168"/>
      <c r="O3398" s="168"/>
      <c r="P3398" s="169"/>
      <c r="Q3398" s="168"/>
      <c r="R3398" s="168"/>
      <c r="S3398" s="168"/>
      <c r="T3398" s="83" t="s">
        <v>16436</v>
      </c>
      <c r="U3398" s="312" t="str">
        <f>HYPERLINK("https://www.ncbi.nlm.nih.gov/pubmed/28579190","PubMed")</f>
        <v>PubMed</v>
      </c>
      <c r="V3398" s="139"/>
      <c r="W3398" s="49"/>
      <c r="X3398" s="49"/>
      <c r="Y3398" s="35"/>
      <c r="Z3398" s="35"/>
      <c r="AA3398" s="35"/>
      <c r="AB3398" s="35"/>
      <c r="AC3398" s="35"/>
      <c r="AD3398" s="35"/>
      <c r="AE3398" s="35"/>
      <c r="AF3398" s="35"/>
      <c r="AG3398" s="35"/>
      <c r="AH3398" s="35"/>
      <c r="AI3398" s="35"/>
      <c r="AJ3398" s="35"/>
      <c r="AK3398" s="35"/>
      <c r="AL3398" s="35"/>
    </row>
    <row r="3399">
      <c r="A3399" s="149"/>
      <c r="B3399" s="19" t="s">
        <v>14099</v>
      </c>
      <c r="C3399" s="20" t="s">
        <v>16211</v>
      </c>
      <c r="D3399" s="47"/>
      <c r="E3399" s="57" t="s">
        <v>16437</v>
      </c>
      <c r="F3399" s="57" t="s">
        <v>16438</v>
      </c>
      <c r="G3399" s="57" t="s">
        <v>90</v>
      </c>
      <c r="H3399" s="57" t="s">
        <v>91</v>
      </c>
      <c r="I3399" s="134" t="s">
        <v>16439</v>
      </c>
      <c r="J3399" s="23" t="s">
        <v>16440</v>
      </c>
      <c r="K3399" s="23" t="s">
        <v>157</v>
      </c>
      <c r="L3399" s="36" t="s">
        <v>16268</v>
      </c>
      <c r="M3399" s="36" t="s">
        <v>16441</v>
      </c>
      <c r="N3399" s="36"/>
      <c r="O3399" s="36" t="s">
        <v>16442</v>
      </c>
      <c r="P3399" s="37"/>
      <c r="Q3399" s="36" t="s">
        <v>16443</v>
      </c>
      <c r="R3399" s="36"/>
      <c r="S3399" s="36"/>
      <c r="T3399" s="83" t="s">
        <v>16444</v>
      </c>
      <c r="U3399" s="312" t="str">
        <f>HYPERLINK("https://www.ncbi.nlm.nih.gov/pubmed/29177980","PubMed")</f>
        <v>PubMed</v>
      </c>
      <c r="V3399" s="139"/>
      <c r="W3399" s="49"/>
      <c r="X3399" s="49"/>
      <c r="Y3399" s="35"/>
      <c r="Z3399" s="35"/>
      <c r="AA3399" s="35"/>
      <c r="AB3399" s="35"/>
      <c r="AC3399" s="35"/>
      <c r="AD3399" s="35"/>
      <c r="AE3399" s="35"/>
      <c r="AF3399" s="35"/>
      <c r="AG3399" s="35"/>
      <c r="AH3399" s="35"/>
      <c r="AI3399" s="35"/>
      <c r="AJ3399" s="35"/>
      <c r="AK3399" s="35"/>
      <c r="AL3399" s="35"/>
    </row>
    <row r="3400">
      <c r="A3400" s="149"/>
      <c r="B3400" s="19" t="s">
        <v>14099</v>
      </c>
      <c r="C3400" s="20" t="s">
        <v>16211</v>
      </c>
      <c r="D3400" s="47"/>
      <c r="E3400" s="57" t="s">
        <v>16445</v>
      </c>
      <c r="F3400" s="57" t="s">
        <v>41</v>
      </c>
      <c r="G3400" s="57" t="s">
        <v>90</v>
      </c>
      <c r="H3400" s="57" t="s">
        <v>91</v>
      </c>
      <c r="I3400" s="134" t="s">
        <v>16446</v>
      </c>
      <c r="J3400" s="23" t="s">
        <v>16447</v>
      </c>
      <c r="K3400" s="23" t="s">
        <v>16448</v>
      </c>
      <c r="L3400" s="36" t="s">
        <v>16449</v>
      </c>
      <c r="M3400" s="36"/>
      <c r="N3400" s="36"/>
      <c r="O3400" s="36"/>
      <c r="P3400" s="37"/>
      <c r="Q3400" s="36"/>
      <c r="R3400" s="36"/>
      <c r="S3400" s="36" t="s">
        <v>16450</v>
      </c>
      <c r="T3400" s="83" t="s">
        <v>16451</v>
      </c>
      <c r="U3400" s="312" t="str">
        <f>HYPERLINK("https://www.ncbi.nlm.nih.gov/pubmed/29185134","PubMed")</f>
        <v>PubMed</v>
      </c>
      <c r="V3400" s="139"/>
      <c r="W3400" s="49"/>
      <c r="X3400" s="49"/>
      <c r="Y3400" s="35"/>
      <c r="Z3400" s="35"/>
      <c r="AA3400" s="35"/>
      <c r="AB3400" s="35"/>
      <c r="AC3400" s="35"/>
      <c r="AD3400" s="35"/>
      <c r="AE3400" s="35"/>
      <c r="AF3400" s="35"/>
      <c r="AG3400" s="35"/>
      <c r="AH3400" s="35"/>
      <c r="AI3400" s="35"/>
      <c r="AJ3400" s="35"/>
      <c r="AK3400" s="35"/>
      <c r="AL3400" s="35"/>
    </row>
    <row r="3401">
      <c r="A3401" s="149" t="s">
        <v>181</v>
      </c>
      <c r="B3401" s="19" t="s">
        <v>14099</v>
      </c>
      <c r="C3401" s="20" t="s">
        <v>16211</v>
      </c>
      <c r="D3401" s="47"/>
      <c r="E3401" s="57" t="s">
        <v>16452</v>
      </c>
      <c r="F3401" s="57" t="s">
        <v>6233</v>
      </c>
      <c r="G3401" s="57">
        <v>2017.0</v>
      </c>
      <c r="H3401" s="57" t="s">
        <v>16453</v>
      </c>
      <c r="I3401" s="134" t="s">
        <v>16454</v>
      </c>
      <c r="J3401" s="23" t="s">
        <v>16455</v>
      </c>
      <c r="K3401" s="23"/>
      <c r="L3401" s="36">
        <v>808.0</v>
      </c>
      <c r="M3401" s="36">
        <v>100.0</v>
      </c>
      <c r="N3401" s="36"/>
      <c r="O3401" s="36" t="s">
        <v>16456</v>
      </c>
      <c r="P3401" s="37"/>
      <c r="Q3401" s="36"/>
      <c r="R3401" s="36"/>
      <c r="S3401" s="36">
        <v>1.0</v>
      </c>
      <c r="T3401" s="84" t="s">
        <v>16457</v>
      </c>
      <c r="U3401" s="312" t="str">
        <f>HYPERLINK("https://www.ncbi.nlm.nih.gov/pubmed/28979160","PubMed")</f>
        <v>PubMed</v>
      </c>
      <c r="V3401" s="139"/>
      <c r="W3401" s="49"/>
      <c r="X3401" s="49"/>
      <c r="Y3401" s="35"/>
      <c r="Z3401" s="35"/>
      <c r="AA3401" s="35"/>
      <c r="AB3401" s="35"/>
      <c r="AC3401" s="35"/>
      <c r="AD3401" s="35"/>
      <c r="AE3401" s="35"/>
      <c r="AF3401" s="35"/>
      <c r="AG3401" s="35"/>
      <c r="AH3401" s="35"/>
      <c r="AI3401" s="35"/>
      <c r="AJ3401" s="35"/>
      <c r="AK3401" s="35"/>
      <c r="AL3401" s="35"/>
    </row>
    <row r="3402">
      <c r="A3402" s="18"/>
      <c r="B3402" s="19" t="s">
        <v>14099</v>
      </c>
      <c r="C3402" s="20" t="s">
        <v>16211</v>
      </c>
      <c r="D3402" s="47"/>
      <c r="E3402" s="57" t="s">
        <v>16437</v>
      </c>
      <c r="F3402" s="22" t="s">
        <v>16438</v>
      </c>
      <c r="G3402" s="57" t="s">
        <v>90</v>
      </c>
      <c r="H3402" s="57" t="s">
        <v>91</v>
      </c>
      <c r="I3402" s="134" t="s">
        <v>16458</v>
      </c>
      <c r="J3402" s="23" t="s">
        <v>16459</v>
      </c>
      <c r="K3402" s="23" t="s">
        <v>16460</v>
      </c>
      <c r="L3402" s="36" t="s">
        <v>16268</v>
      </c>
      <c r="M3402" s="36" t="s">
        <v>16441</v>
      </c>
      <c r="N3402" s="36"/>
      <c r="O3402" s="36" t="s">
        <v>16461</v>
      </c>
      <c r="P3402" s="37"/>
      <c r="Q3402" s="36" t="s">
        <v>16462</v>
      </c>
      <c r="R3402" s="36" t="s">
        <v>16463</v>
      </c>
      <c r="S3402" s="36"/>
      <c r="T3402" s="84" t="s">
        <v>16464</v>
      </c>
      <c r="U3402" s="312" t="str">
        <f>HYPERLINK("https://www.ncbi.nlm.nih.gov/pubmed/28466196","PubMed")</f>
        <v>PubMed</v>
      </c>
      <c r="V3402" s="139"/>
      <c r="W3402" s="49"/>
      <c r="X3402" s="49"/>
      <c r="Y3402" s="35"/>
      <c r="Z3402" s="35"/>
      <c r="AA3402" s="35"/>
      <c r="AB3402" s="35"/>
      <c r="AC3402" s="35"/>
      <c r="AD3402" s="35"/>
      <c r="AE3402" s="35"/>
      <c r="AF3402" s="35"/>
      <c r="AG3402" s="35"/>
      <c r="AH3402" s="35"/>
      <c r="AI3402" s="35"/>
      <c r="AJ3402" s="35"/>
      <c r="AK3402" s="35"/>
      <c r="AL3402" s="35"/>
    </row>
    <row r="3403">
      <c r="A3403" s="18" t="s">
        <v>2</v>
      </c>
      <c r="B3403" s="19" t="s">
        <v>14099</v>
      </c>
      <c r="C3403" s="20" t="s">
        <v>16211</v>
      </c>
      <c r="D3403" s="47"/>
      <c r="E3403" s="57" t="s">
        <v>12621</v>
      </c>
      <c r="F3403" s="22" t="s">
        <v>16273</v>
      </c>
      <c r="G3403" s="57" t="s">
        <v>90</v>
      </c>
      <c r="H3403" s="57" t="s">
        <v>6350</v>
      </c>
      <c r="I3403" s="134" t="s">
        <v>16465</v>
      </c>
      <c r="J3403" s="23" t="s">
        <v>16466</v>
      </c>
      <c r="K3403" s="23" t="s">
        <v>16467</v>
      </c>
      <c r="L3403" s="36" t="s">
        <v>16468</v>
      </c>
      <c r="M3403" s="36" t="s">
        <v>16469</v>
      </c>
      <c r="N3403" s="36" t="s">
        <v>16470</v>
      </c>
      <c r="O3403" s="36" t="s">
        <v>16471</v>
      </c>
      <c r="P3403" s="37" t="s">
        <v>16472</v>
      </c>
      <c r="Q3403" s="36" t="s">
        <v>16473</v>
      </c>
      <c r="R3403" s="36" t="s">
        <v>16474</v>
      </c>
      <c r="S3403" s="36"/>
      <c r="T3403" s="84" t="s">
        <v>16475</v>
      </c>
      <c r="U3403" s="312" t="str">
        <f>HYPERLINK("https://www.ncbi.nlm.nih.gov/pubmed/28319422","PubMed")</f>
        <v>PubMed</v>
      </c>
      <c r="V3403" s="139"/>
      <c r="W3403" s="49"/>
      <c r="X3403" s="49"/>
      <c r="Y3403" s="35"/>
      <c r="Z3403" s="35"/>
      <c r="AA3403" s="35"/>
      <c r="AB3403" s="35"/>
      <c r="AC3403" s="35"/>
      <c r="AD3403" s="35"/>
      <c r="AE3403" s="35"/>
      <c r="AF3403" s="35"/>
      <c r="AG3403" s="35"/>
      <c r="AH3403" s="35"/>
      <c r="AI3403" s="35"/>
      <c r="AJ3403" s="35"/>
      <c r="AK3403" s="35"/>
      <c r="AL3403" s="35"/>
    </row>
    <row r="3404">
      <c r="A3404" s="207"/>
      <c r="B3404" s="19" t="s">
        <v>14099</v>
      </c>
      <c r="C3404" s="20" t="s">
        <v>16211</v>
      </c>
      <c r="D3404" s="47"/>
      <c r="E3404" s="57" t="s">
        <v>12621</v>
      </c>
      <c r="F3404" s="22" t="s">
        <v>16273</v>
      </c>
      <c r="G3404" s="57" t="s">
        <v>90</v>
      </c>
      <c r="H3404" s="57" t="s">
        <v>91</v>
      </c>
      <c r="I3404" s="134" t="s">
        <v>16476</v>
      </c>
      <c r="J3404" s="23" t="s">
        <v>16477</v>
      </c>
      <c r="K3404" s="23" t="s">
        <v>16478</v>
      </c>
      <c r="L3404" s="36" t="s">
        <v>16268</v>
      </c>
      <c r="M3404" s="36" t="s">
        <v>16441</v>
      </c>
      <c r="N3404" s="36"/>
      <c r="O3404" s="36" t="s">
        <v>16479</v>
      </c>
      <c r="P3404" s="37"/>
      <c r="Q3404" s="36" t="s">
        <v>16480</v>
      </c>
      <c r="R3404" s="36">
        <v>30.0</v>
      </c>
      <c r="S3404" s="36">
        <v>1.0</v>
      </c>
      <c r="T3404" s="83" t="s">
        <v>16481</v>
      </c>
      <c r="U3404" s="312" t="str">
        <f>HYPERLINK("https://www.ncbi.nlm.nih.gov/pubmed/28054262","PubMed")</f>
        <v>PubMed</v>
      </c>
      <c r="V3404" s="139"/>
      <c r="W3404" s="49"/>
      <c r="X3404" s="49"/>
      <c r="Y3404" s="35"/>
      <c r="Z3404" s="35"/>
      <c r="AA3404" s="35"/>
      <c r="AB3404" s="35"/>
      <c r="AC3404" s="35"/>
      <c r="AD3404" s="35"/>
      <c r="AE3404" s="35"/>
      <c r="AF3404" s="35"/>
      <c r="AG3404" s="35"/>
      <c r="AH3404" s="35"/>
      <c r="AI3404" s="35"/>
      <c r="AJ3404" s="35"/>
      <c r="AK3404" s="35"/>
      <c r="AL3404" s="35"/>
    </row>
    <row r="3405">
      <c r="A3405" s="207"/>
      <c r="B3405" s="19" t="s">
        <v>14099</v>
      </c>
      <c r="C3405" s="20" t="s">
        <v>16211</v>
      </c>
      <c r="D3405" s="47"/>
      <c r="E3405" s="57" t="s">
        <v>16362</v>
      </c>
      <c r="F3405" s="22" t="s">
        <v>41</v>
      </c>
      <c r="G3405" s="57">
        <v>2016.0</v>
      </c>
      <c r="H3405" s="57" t="s">
        <v>91</v>
      </c>
      <c r="I3405" s="134" t="s">
        <v>16482</v>
      </c>
      <c r="J3405" s="23" t="s">
        <v>16483</v>
      </c>
      <c r="K3405" s="23" t="s">
        <v>16484</v>
      </c>
      <c r="L3405" s="36" t="s">
        <v>16449</v>
      </c>
      <c r="M3405" s="36"/>
      <c r="N3405" s="36"/>
      <c r="O3405" s="36"/>
      <c r="P3405" s="37"/>
      <c r="Q3405" s="36"/>
      <c r="R3405" s="36"/>
      <c r="S3405" s="36" t="s">
        <v>16485</v>
      </c>
      <c r="T3405" s="83" t="s">
        <v>16486</v>
      </c>
      <c r="U3405" s="312" t="str">
        <f>HYPERLINK("https://www.ncbi.nlm.nih.gov/pubmed/27371449","PubMed")</f>
        <v>PubMed</v>
      </c>
      <c r="V3405" s="139"/>
      <c r="W3405" s="49"/>
      <c r="X3405" s="49"/>
      <c r="Y3405" s="35"/>
      <c r="Z3405" s="35"/>
      <c r="AA3405" s="35"/>
      <c r="AB3405" s="35"/>
      <c r="AC3405" s="35"/>
      <c r="AD3405" s="35"/>
      <c r="AE3405" s="35"/>
      <c r="AF3405" s="35"/>
      <c r="AG3405" s="35"/>
      <c r="AH3405" s="35"/>
      <c r="AI3405" s="35"/>
      <c r="AJ3405" s="35"/>
      <c r="AK3405" s="35"/>
      <c r="AL3405" s="35"/>
    </row>
    <row r="3406">
      <c r="A3406" s="207"/>
      <c r="B3406" s="19" t="s">
        <v>14099</v>
      </c>
      <c r="C3406" s="20" t="s">
        <v>16211</v>
      </c>
      <c r="D3406" s="47"/>
      <c r="E3406" s="57" t="s">
        <v>16362</v>
      </c>
      <c r="F3406" s="22" t="s">
        <v>41</v>
      </c>
      <c r="G3406" s="57">
        <v>2016.0</v>
      </c>
      <c r="H3406" s="57" t="s">
        <v>658</v>
      </c>
      <c r="I3406" s="134" t="s">
        <v>16487</v>
      </c>
      <c r="J3406" s="23" t="s">
        <v>16488</v>
      </c>
      <c r="K3406" s="23" t="s">
        <v>16489</v>
      </c>
      <c r="L3406" s="36">
        <v>810.0</v>
      </c>
      <c r="M3406" s="36">
        <v>1000.0</v>
      </c>
      <c r="N3406" s="36"/>
      <c r="O3406" s="36" t="s">
        <v>16490</v>
      </c>
      <c r="P3406" s="37"/>
      <c r="Q3406" s="36"/>
      <c r="R3406" s="36" t="s">
        <v>16490</v>
      </c>
      <c r="S3406" s="36">
        <v>1.0</v>
      </c>
      <c r="T3406" s="84" t="s">
        <v>16491</v>
      </c>
      <c r="U3406" s="312" t="str">
        <f>HYPERLINK("https://www.ncbi.nlm.nih.gov/pubmed/27575834","PubMed")</f>
        <v>PubMed</v>
      </c>
      <c r="V3406" s="136" t="s">
        <v>15870</v>
      </c>
      <c r="W3406" s="49"/>
      <c r="X3406" s="49"/>
      <c r="Y3406" s="35"/>
      <c r="Z3406" s="35"/>
      <c r="AA3406" s="35"/>
      <c r="AB3406" s="35"/>
      <c r="AC3406" s="35"/>
      <c r="AD3406" s="35"/>
      <c r="AE3406" s="35"/>
      <c r="AF3406" s="35"/>
      <c r="AG3406" s="35"/>
      <c r="AH3406" s="35"/>
      <c r="AI3406" s="35"/>
      <c r="AJ3406" s="35"/>
      <c r="AK3406" s="35"/>
      <c r="AL3406" s="35"/>
    </row>
    <row r="3407">
      <c r="A3407" s="207"/>
      <c r="B3407" s="19" t="s">
        <v>14099</v>
      </c>
      <c r="C3407" s="20" t="s">
        <v>16211</v>
      </c>
      <c r="D3407" s="47"/>
      <c r="E3407" s="57" t="s">
        <v>16120</v>
      </c>
      <c r="F3407" s="22" t="s">
        <v>797</v>
      </c>
      <c r="G3407" s="57">
        <v>2016.0</v>
      </c>
      <c r="H3407" s="57" t="s">
        <v>91</v>
      </c>
      <c r="I3407" s="134" t="s">
        <v>16492</v>
      </c>
      <c r="J3407" s="23" t="s">
        <v>16493</v>
      </c>
      <c r="K3407" s="23" t="s">
        <v>16494</v>
      </c>
      <c r="L3407" s="36">
        <v>810.0</v>
      </c>
      <c r="M3407" s="36">
        <v>1000.0</v>
      </c>
      <c r="N3407" s="36"/>
      <c r="O3407" s="36">
        <v>240.0</v>
      </c>
      <c r="P3407" s="37"/>
      <c r="Q3407" s="36"/>
      <c r="R3407" s="36">
        <v>210.0</v>
      </c>
      <c r="S3407" s="36">
        <v>1.0</v>
      </c>
      <c r="T3407" s="84" t="s">
        <v>16495</v>
      </c>
      <c r="U3407" s="312" t="str">
        <f>HYPERLINK("https://www.ncbi.nlm.nih.gov/pubmed/27655326","PubMed")</f>
        <v>PubMed</v>
      </c>
      <c r="V3407" s="139"/>
      <c r="W3407" s="49"/>
      <c r="X3407" s="49"/>
      <c r="Y3407" s="35"/>
      <c r="Z3407" s="35"/>
      <c r="AA3407" s="35"/>
      <c r="AB3407" s="35"/>
      <c r="AC3407" s="35"/>
      <c r="AD3407" s="35"/>
      <c r="AE3407" s="35"/>
      <c r="AF3407" s="35"/>
      <c r="AG3407" s="35"/>
      <c r="AH3407" s="35"/>
      <c r="AI3407" s="35"/>
      <c r="AJ3407" s="35"/>
      <c r="AK3407" s="35"/>
      <c r="AL3407" s="35"/>
    </row>
    <row r="3408">
      <c r="A3408" s="207" t="s">
        <v>16496</v>
      </c>
      <c r="B3408" s="19" t="s">
        <v>14099</v>
      </c>
      <c r="C3408" s="20" t="s">
        <v>16211</v>
      </c>
      <c r="D3408" s="47"/>
      <c r="E3408" s="57" t="s">
        <v>15801</v>
      </c>
      <c r="F3408" s="22" t="s">
        <v>274</v>
      </c>
      <c r="G3408" s="57">
        <v>2016.0</v>
      </c>
      <c r="H3408" s="57" t="s">
        <v>6606</v>
      </c>
      <c r="I3408" s="134" t="s">
        <v>16497</v>
      </c>
      <c r="J3408" s="23" t="s">
        <v>16498</v>
      </c>
      <c r="K3408" s="23" t="s">
        <v>16499</v>
      </c>
      <c r="L3408" s="36">
        <v>850.0</v>
      </c>
      <c r="M3408" s="36"/>
      <c r="N3408" s="36"/>
      <c r="O3408" s="36">
        <v>75.0</v>
      </c>
      <c r="P3408" s="37"/>
      <c r="Q3408" s="36"/>
      <c r="R3408" s="36">
        <v>15.0</v>
      </c>
      <c r="S3408" s="36" t="s">
        <v>1961</v>
      </c>
      <c r="T3408" s="83" t="s">
        <v>16500</v>
      </c>
      <c r="U3408" s="312" t="str">
        <f>HYPERLINK("https://www.ncbi.nlm.nih.gov/pubmed/27088469","PubMed")</f>
        <v>PubMed</v>
      </c>
      <c r="V3408" s="139"/>
      <c r="W3408" s="49"/>
      <c r="X3408" s="49"/>
      <c r="Y3408" s="35"/>
      <c r="Z3408" s="35"/>
      <c r="AA3408" s="35"/>
      <c r="AB3408" s="35"/>
      <c r="AC3408" s="35"/>
      <c r="AD3408" s="35"/>
      <c r="AE3408" s="35"/>
      <c r="AF3408" s="35"/>
      <c r="AG3408" s="35"/>
      <c r="AH3408" s="35"/>
      <c r="AI3408" s="35"/>
      <c r="AJ3408" s="35"/>
      <c r="AK3408" s="35"/>
      <c r="AL3408" s="35"/>
    </row>
    <row r="3409">
      <c r="A3409" s="133"/>
      <c r="B3409" s="19" t="s">
        <v>14099</v>
      </c>
      <c r="C3409" s="20" t="s">
        <v>16211</v>
      </c>
      <c r="D3409" s="47"/>
      <c r="E3409" s="57" t="s">
        <v>16030</v>
      </c>
      <c r="F3409" s="22" t="s">
        <v>16031</v>
      </c>
      <c r="G3409" s="57">
        <v>2016.0</v>
      </c>
      <c r="H3409" s="57" t="s">
        <v>91</v>
      </c>
      <c r="I3409" s="134" t="s">
        <v>16501</v>
      </c>
      <c r="J3409" s="23" t="s">
        <v>16502</v>
      </c>
      <c r="K3409" s="23" t="s">
        <v>16503</v>
      </c>
      <c r="L3409" s="36" t="s">
        <v>16504</v>
      </c>
      <c r="M3409" s="36"/>
      <c r="N3409" s="36"/>
      <c r="O3409" s="36" t="s">
        <v>16505</v>
      </c>
      <c r="P3409" s="37"/>
      <c r="Q3409" s="36"/>
      <c r="R3409" s="36"/>
      <c r="S3409" s="36"/>
      <c r="T3409" s="83" t="s">
        <v>16506</v>
      </c>
      <c r="U3409" s="312" t="str">
        <f>HYPERLINK("https://www.ncbi.nlm.nih.gov/pubmed/27272518","PubMed")</f>
        <v>PubMed</v>
      </c>
      <c r="V3409" s="139"/>
      <c r="W3409" s="49"/>
      <c r="X3409" s="49"/>
      <c r="Y3409" s="35"/>
      <c r="Z3409" s="35"/>
      <c r="AA3409" s="35"/>
      <c r="AB3409" s="35"/>
      <c r="AC3409" s="35"/>
      <c r="AD3409" s="35"/>
      <c r="AE3409" s="35"/>
      <c r="AF3409" s="35"/>
      <c r="AG3409" s="35"/>
      <c r="AH3409" s="35"/>
      <c r="AI3409" s="35"/>
      <c r="AJ3409" s="35"/>
      <c r="AK3409" s="35"/>
      <c r="AL3409" s="35"/>
    </row>
    <row r="3410">
      <c r="A3410" s="1"/>
      <c r="B3410" s="19" t="s">
        <v>14099</v>
      </c>
      <c r="C3410" s="20" t="s">
        <v>16211</v>
      </c>
      <c r="D3410" s="47"/>
      <c r="E3410" s="22" t="s">
        <v>15814</v>
      </c>
      <c r="F3410" s="22" t="s">
        <v>15815</v>
      </c>
      <c r="G3410" s="23">
        <v>2016.0</v>
      </c>
      <c r="H3410" s="57" t="s">
        <v>91</v>
      </c>
      <c r="I3410" s="24" t="s">
        <v>16507</v>
      </c>
      <c r="J3410" s="23" t="s">
        <v>16508</v>
      </c>
      <c r="K3410" s="22" t="s">
        <v>1848</v>
      </c>
      <c r="L3410" s="36" t="s">
        <v>14643</v>
      </c>
      <c r="M3410" s="36" t="s">
        <v>16509</v>
      </c>
      <c r="N3410" s="36"/>
      <c r="O3410" s="36" t="s">
        <v>16510</v>
      </c>
      <c r="P3410" s="37" t="s">
        <v>16511</v>
      </c>
      <c r="Q3410" s="36" t="s">
        <v>16512</v>
      </c>
      <c r="R3410" s="36">
        <v>120.0</v>
      </c>
      <c r="S3410" s="36"/>
      <c r="T3410" s="28" t="s">
        <v>16513</v>
      </c>
      <c r="U3410" s="38" t="str">
        <f>HYPERLINK("https://www.ncbi.nlm.nih.gov/pubmed/27305924","PubMed")</f>
        <v>PubMed</v>
      </c>
      <c r="V3410" s="30"/>
      <c r="W3410" s="49"/>
      <c r="X3410" s="49"/>
      <c r="Y3410" s="35"/>
      <c r="Z3410" s="35"/>
      <c r="AA3410" s="35"/>
      <c r="AB3410" s="35"/>
      <c r="AC3410" s="35"/>
      <c r="AD3410" s="35"/>
      <c r="AE3410" s="35"/>
      <c r="AF3410" s="35"/>
      <c r="AG3410" s="35"/>
      <c r="AH3410" s="35"/>
      <c r="AI3410" s="35"/>
      <c r="AJ3410" s="35"/>
      <c r="AK3410" s="35"/>
      <c r="AL3410" s="35"/>
    </row>
    <row r="3411">
      <c r="A3411" s="1"/>
      <c r="B3411" s="19" t="s">
        <v>14099</v>
      </c>
      <c r="C3411" s="20" t="s">
        <v>16211</v>
      </c>
      <c r="D3411" s="47"/>
      <c r="E3411" s="22" t="s">
        <v>16204</v>
      </c>
      <c r="F3411" s="22" t="s">
        <v>241</v>
      </c>
      <c r="G3411" s="23">
        <v>2016.0</v>
      </c>
      <c r="H3411" s="57" t="s">
        <v>91</v>
      </c>
      <c r="I3411" s="24" t="s">
        <v>16514</v>
      </c>
      <c r="J3411" s="23" t="s">
        <v>16515</v>
      </c>
      <c r="K3411" s="22"/>
      <c r="L3411" s="36">
        <v>810.0</v>
      </c>
      <c r="M3411" s="36">
        <v>100.0</v>
      </c>
      <c r="N3411" s="36" t="s">
        <v>278</v>
      </c>
      <c r="O3411" s="36">
        <v>48.0</v>
      </c>
      <c r="P3411" s="37" t="s">
        <v>3743</v>
      </c>
      <c r="Q3411" s="36" t="s">
        <v>280</v>
      </c>
      <c r="R3411" s="36" t="s">
        <v>16516</v>
      </c>
      <c r="S3411" s="36" t="s">
        <v>3125</v>
      </c>
      <c r="T3411" s="42" t="s">
        <v>16517</v>
      </c>
      <c r="U3411" s="38" t="str">
        <f>HYPERLINK("https://www.ncbi.nlm.nih.gov/pubmed/26873498","PubMed")</f>
        <v>PubMed</v>
      </c>
      <c r="V3411" s="30"/>
      <c r="W3411" s="49"/>
      <c r="X3411" s="49"/>
      <c r="Y3411" s="35"/>
      <c r="Z3411" s="35"/>
      <c r="AA3411" s="35"/>
      <c r="AB3411" s="35"/>
      <c r="AC3411" s="35"/>
      <c r="AD3411" s="35"/>
      <c r="AE3411" s="35"/>
      <c r="AF3411" s="35"/>
      <c r="AG3411" s="35"/>
      <c r="AH3411" s="35"/>
      <c r="AI3411" s="35"/>
      <c r="AJ3411" s="35"/>
      <c r="AK3411" s="35"/>
      <c r="AL3411" s="35"/>
    </row>
    <row r="3412">
      <c r="A3412" s="1"/>
      <c r="B3412" s="19" t="s">
        <v>14099</v>
      </c>
      <c r="C3412" s="20" t="s">
        <v>16211</v>
      </c>
      <c r="D3412" s="47"/>
      <c r="E3412" s="22" t="s">
        <v>16445</v>
      </c>
      <c r="F3412" s="22" t="s">
        <v>41</v>
      </c>
      <c r="G3412" s="23">
        <v>2016.0</v>
      </c>
      <c r="H3412" s="57" t="s">
        <v>6350</v>
      </c>
      <c r="I3412" s="24" t="s">
        <v>16518</v>
      </c>
      <c r="J3412" s="23" t="s">
        <v>16519</v>
      </c>
      <c r="K3412" s="22" t="s">
        <v>16520</v>
      </c>
      <c r="L3412" s="36" t="s">
        <v>16449</v>
      </c>
      <c r="M3412" s="36"/>
      <c r="N3412" s="36"/>
      <c r="O3412" s="36" t="s">
        <v>16521</v>
      </c>
      <c r="P3412" s="37"/>
      <c r="Q3412" s="36" t="s">
        <v>15841</v>
      </c>
      <c r="R3412" s="36" t="s">
        <v>16522</v>
      </c>
      <c r="S3412" s="36">
        <v>1.0</v>
      </c>
      <c r="T3412" s="42" t="s">
        <v>16523</v>
      </c>
      <c r="U3412" s="38" t="str">
        <f>HYPERLINK("https://www.ncbi.nlm.nih.gov/pubmed/26942660","PubMed")</f>
        <v>PubMed</v>
      </c>
      <c r="V3412" s="30"/>
      <c r="W3412" s="49"/>
      <c r="X3412" s="49"/>
      <c r="Y3412" s="35"/>
      <c r="Z3412" s="35"/>
      <c r="AA3412" s="35"/>
      <c r="AB3412" s="35"/>
      <c r="AC3412" s="35"/>
      <c r="AD3412" s="35"/>
      <c r="AE3412" s="35"/>
      <c r="AF3412" s="35"/>
      <c r="AG3412" s="35"/>
      <c r="AH3412" s="35"/>
      <c r="AI3412" s="35"/>
      <c r="AJ3412" s="35"/>
      <c r="AK3412" s="35"/>
      <c r="AL3412" s="35"/>
    </row>
    <row r="3413">
      <c r="A3413" s="1"/>
      <c r="B3413" s="19" t="s">
        <v>14099</v>
      </c>
      <c r="C3413" s="20" t="s">
        <v>16211</v>
      </c>
      <c r="D3413" s="47"/>
      <c r="E3413" s="22" t="s">
        <v>16408</v>
      </c>
      <c r="F3413" s="22" t="s">
        <v>400</v>
      </c>
      <c r="G3413" s="23">
        <v>2016.0</v>
      </c>
      <c r="H3413" s="22" t="s">
        <v>91</v>
      </c>
      <c r="I3413" s="24" t="s">
        <v>16524</v>
      </c>
      <c r="J3413" s="22" t="s">
        <v>16525</v>
      </c>
      <c r="K3413" s="22" t="s">
        <v>16526</v>
      </c>
      <c r="L3413" s="36">
        <v>808.0</v>
      </c>
      <c r="M3413" s="36">
        <v>100.0</v>
      </c>
      <c r="N3413" s="36" t="s">
        <v>16013</v>
      </c>
      <c r="O3413" s="36">
        <v>56.0</v>
      </c>
      <c r="P3413" s="37"/>
      <c r="Q3413" s="36"/>
      <c r="R3413" s="36" t="s">
        <v>16527</v>
      </c>
      <c r="S3413" s="36" t="s">
        <v>2680</v>
      </c>
      <c r="T3413" s="42" t="s">
        <v>16528</v>
      </c>
      <c r="U3413" s="38" t="str">
        <f>HYPERLINK("http://www.ncbi.nlm.nih.gov/pubmed/27250715","PubMed")</f>
        <v>PubMed</v>
      </c>
      <c r="V3413" s="30" t="s">
        <v>16529</v>
      </c>
      <c r="W3413" s="49"/>
      <c r="X3413" s="49"/>
      <c r="Y3413" s="35"/>
      <c r="Z3413" s="35"/>
      <c r="AA3413" s="35"/>
      <c r="AB3413" s="35"/>
      <c r="AC3413" s="35"/>
      <c r="AD3413" s="35"/>
      <c r="AE3413" s="35"/>
      <c r="AF3413" s="35"/>
      <c r="AG3413" s="35"/>
      <c r="AH3413" s="35"/>
      <c r="AI3413" s="35"/>
      <c r="AJ3413" s="35"/>
      <c r="AK3413" s="35"/>
      <c r="AL3413" s="35"/>
    </row>
    <row r="3414">
      <c r="A3414" s="1"/>
      <c r="B3414" s="19" t="s">
        <v>14099</v>
      </c>
      <c r="C3414" s="20" t="s">
        <v>16211</v>
      </c>
      <c r="D3414" s="47"/>
      <c r="E3414" s="22" t="s">
        <v>992</v>
      </c>
      <c r="F3414" s="22" t="s">
        <v>41</v>
      </c>
      <c r="G3414" s="23">
        <v>2016.0</v>
      </c>
      <c r="H3414" s="22" t="s">
        <v>15911</v>
      </c>
      <c r="I3414" s="24" t="s">
        <v>16530</v>
      </c>
      <c r="J3414" s="22" t="s">
        <v>16531</v>
      </c>
      <c r="K3414" s="22"/>
      <c r="L3414" s="36" t="s">
        <v>16532</v>
      </c>
      <c r="M3414" s="36"/>
      <c r="N3414" s="36"/>
      <c r="O3414" s="36"/>
      <c r="P3414" s="37"/>
      <c r="Q3414" s="36"/>
      <c r="R3414" s="36"/>
      <c r="S3414" s="36">
        <v>1.0</v>
      </c>
      <c r="T3414" s="28" t="s">
        <v>16533</v>
      </c>
      <c r="U3414" s="38" t="str">
        <f>HYPERLINK("https://www.ncbi.nlm.nih.gov/pubmed/27050245","PubMed")</f>
        <v>PubMed</v>
      </c>
      <c r="V3414" s="30"/>
      <c r="W3414" s="49"/>
      <c r="X3414" s="49"/>
      <c r="Y3414" s="35"/>
      <c r="Z3414" s="35"/>
      <c r="AA3414" s="35"/>
      <c r="AB3414" s="35"/>
      <c r="AC3414" s="35"/>
      <c r="AD3414" s="35"/>
      <c r="AE3414" s="35"/>
      <c r="AF3414" s="35"/>
      <c r="AG3414" s="35"/>
      <c r="AH3414" s="35"/>
      <c r="AI3414" s="35"/>
      <c r="AJ3414" s="35"/>
      <c r="AK3414" s="35"/>
      <c r="AL3414" s="35"/>
    </row>
    <row r="3415">
      <c r="A3415" s="1"/>
      <c r="B3415" s="19" t="s">
        <v>14099</v>
      </c>
      <c r="C3415" s="20" t="s">
        <v>16211</v>
      </c>
      <c r="D3415" s="47"/>
      <c r="E3415" s="22" t="s">
        <v>15834</v>
      </c>
      <c r="F3415" s="22" t="s">
        <v>41</v>
      </c>
      <c r="G3415" s="23">
        <v>2016.0</v>
      </c>
      <c r="H3415" s="22" t="s">
        <v>91</v>
      </c>
      <c r="I3415" s="24" t="s">
        <v>16534</v>
      </c>
      <c r="J3415" s="22" t="s">
        <v>16535</v>
      </c>
      <c r="K3415" s="22" t="s">
        <v>16536</v>
      </c>
      <c r="L3415" s="36" t="s">
        <v>16537</v>
      </c>
      <c r="M3415" s="36"/>
      <c r="N3415" s="36"/>
      <c r="O3415" s="36" t="s">
        <v>16538</v>
      </c>
      <c r="P3415" s="37"/>
      <c r="Q3415" s="36" t="s">
        <v>13420</v>
      </c>
      <c r="R3415" s="36" t="s">
        <v>16539</v>
      </c>
      <c r="S3415" s="36">
        <v>1.0</v>
      </c>
      <c r="T3415" s="28" t="s">
        <v>16540</v>
      </c>
      <c r="U3415" s="38" t="str">
        <f>HYPERLINK("https://www.ncbi.nlm.nih.gov/pubmed/27624781","PubMed")</f>
        <v>PubMed</v>
      </c>
      <c r="V3415" s="30"/>
      <c r="W3415" s="49"/>
      <c r="X3415" s="49"/>
      <c r="Y3415" s="35"/>
      <c r="Z3415" s="35"/>
      <c r="AA3415" s="35"/>
      <c r="AB3415" s="35"/>
      <c r="AC3415" s="35"/>
      <c r="AD3415" s="35"/>
      <c r="AE3415" s="35"/>
      <c r="AF3415" s="35"/>
      <c r="AG3415" s="35"/>
      <c r="AH3415" s="35"/>
      <c r="AI3415" s="35"/>
      <c r="AJ3415" s="35"/>
      <c r="AK3415" s="35"/>
      <c r="AL3415" s="35"/>
    </row>
    <row r="3416">
      <c r="A3416" s="18"/>
      <c r="B3416" s="19" t="s">
        <v>14099</v>
      </c>
      <c r="C3416" s="20" t="s">
        <v>16211</v>
      </c>
      <c r="D3416" s="47"/>
      <c r="E3416" s="22" t="s">
        <v>16541</v>
      </c>
      <c r="F3416" s="22" t="s">
        <v>274</v>
      </c>
      <c r="G3416" s="23">
        <v>2015.0</v>
      </c>
      <c r="H3416" s="22" t="s">
        <v>2863</v>
      </c>
      <c r="I3416" s="24" t="s">
        <v>16542</v>
      </c>
      <c r="J3416" s="22" t="s">
        <v>2141</v>
      </c>
      <c r="K3416" s="23" t="s">
        <v>16543</v>
      </c>
      <c r="L3416" s="168"/>
      <c r="M3416" s="168"/>
      <c r="N3416" s="168"/>
      <c r="O3416" s="168"/>
      <c r="P3416" s="169"/>
      <c r="Q3416" s="168"/>
      <c r="R3416" s="168"/>
      <c r="S3416" s="168"/>
      <c r="T3416" s="185" t="s">
        <v>16544</v>
      </c>
      <c r="U3416" s="38" t="str">
        <f>HYPERLINK("https://www.ncbi.nlm.nih.gov/pubmed/26666374","PubMed")</f>
        <v>PubMed</v>
      </c>
      <c r="V3416" s="30"/>
      <c r="W3416" s="49"/>
      <c r="X3416" s="49"/>
      <c r="Y3416" s="35"/>
      <c r="Z3416" s="35"/>
      <c r="AA3416" s="35"/>
      <c r="AB3416" s="35"/>
      <c r="AC3416" s="35"/>
      <c r="AD3416" s="35"/>
      <c r="AE3416" s="35"/>
      <c r="AF3416" s="35"/>
      <c r="AG3416" s="35"/>
      <c r="AH3416" s="35"/>
      <c r="AI3416" s="35"/>
      <c r="AJ3416" s="35"/>
      <c r="AK3416" s="35"/>
      <c r="AL3416" s="35"/>
    </row>
    <row r="3417">
      <c r="A3417" s="18"/>
      <c r="B3417" s="19" t="s">
        <v>14099</v>
      </c>
      <c r="C3417" s="20" t="s">
        <v>16211</v>
      </c>
      <c r="D3417" s="47"/>
      <c r="E3417" s="22" t="s">
        <v>15801</v>
      </c>
      <c r="F3417" s="22" t="s">
        <v>274</v>
      </c>
      <c r="G3417" s="23">
        <v>2015.0</v>
      </c>
      <c r="H3417" s="22" t="s">
        <v>91</v>
      </c>
      <c r="I3417" s="24" t="s">
        <v>16545</v>
      </c>
      <c r="J3417" s="22" t="s">
        <v>16546</v>
      </c>
      <c r="K3417" s="22" t="s">
        <v>16292</v>
      </c>
      <c r="L3417" s="36" t="s">
        <v>15804</v>
      </c>
      <c r="M3417" s="36"/>
      <c r="N3417" s="36"/>
      <c r="O3417" s="36" t="s">
        <v>16547</v>
      </c>
      <c r="P3417" s="37"/>
      <c r="Q3417" s="36"/>
      <c r="R3417" s="36"/>
      <c r="S3417" s="36" t="s">
        <v>16548</v>
      </c>
      <c r="T3417" s="28" t="s">
        <v>16549</v>
      </c>
      <c r="U3417" s="38" t="str">
        <f>HYPERLINK("https://www.ncbi.nlm.nih.gov/pubmed/25722067","PubMed")</f>
        <v>PubMed</v>
      </c>
      <c r="V3417" s="30"/>
      <c r="W3417" s="130" t="str">
        <f>HYPERLINK("https://www.ncbi.nlm.nih.gov/pubmed/27126413","Comment")</f>
        <v>Comment</v>
      </c>
      <c r="X3417" s="49"/>
      <c r="Y3417" s="35"/>
      <c r="Z3417" s="35"/>
      <c r="AA3417" s="35"/>
      <c r="AB3417" s="35"/>
      <c r="AC3417" s="35"/>
      <c r="AD3417" s="35"/>
      <c r="AE3417" s="35"/>
      <c r="AF3417" s="35"/>
      <c r="AG3417" s="35"/>
      <c r="AH3417" s="35"/>
      <c r="AI3417" s="35"/>
      <c r="AJ3417" s="35"/>
      <c r="AK3417" s="35"/>
      <c r="AL3417" s="35"/>
    </row>
    <row r="3418">
      <c r="A3418" s="18" t="s">
        <v>38</v>
      </c>
      <c r="B3418" s="19" t="s">
        <v>14099</v>
      </c>
      <c r="C3418" s="20" t="s">
        <v>16211</v>
      </c>
      <c r="D3418" s="47"/>
      <c r="E3418" s="22" t="s">
        <v>15801</v>
      </c>
      <c r="F3418" s="22" t="s">
        <v>274</v>
      </c>
      <c r="G3418" s="23">
        <v>2015.0</v>
      </c>
      <c r="H3418" s="22" t="s">
        <v>4791</v>
      </c>
      <c r="I3418" s="24" t="s">
        <v>16550</v>
      </c>
      <c r="J3418" s="22" t="s">
        <v>16551</v>
      </c>
      <c r="K3418" s="22" t="s">
        <v>16292</v>
      </c>
      <c r="L3418" s="36">
        <v>850.0</v>
      </c>
      <c r="M3418" s="36">
        <v>50.0</v>
      </c>
      <c r="N3418" s="36"/>
      <c r="O3418" s="36" t="s">
        <v>16552</v>
      </c>
      <c r="P3418" s="37"/>
      <c r="Q3418" s="36"/>
      <c r="R3418" s="36">
        <v>15.0</v>
      </c>
      <c r="S3418" s="36">
        <v>1.0</v>
      </c>
      <c r="T3418" s="28" t="s">
        <v>16553</v>
      </c>
      <c r="U3418" s="38" t="str">
        <f>HYPERLINK("https://www.ncbi.nlm.nih.gov/pubmed/25585514","PubMed")</f>
        <v>PubMed</v>
      </c>
      <c r="V3418" s="30"/>
      <c r="W3418" s="49"/>
      <c r="X3418" s="49"/>
      <c r="Y3418" s="35"/>
      <c r="Z3418" s="35"/>
      <c r="AA3418" s="35"/>
      <c r="AB3418" s="35"/>
      <c r="AC3418" s="35"/>
      <c r="AD3418" s="35"/>
      <c r="AE3418" s="35"/>
      <c r="AF3418" s="35"/>
      <c r="AG3418" s="35"/>
      <c r="AH3418" s="35"/>
      <c r="AI3418" s="35"/>
      <c r="AJ3418" s="35"/>
      <c r="AK3418" s="35"/>
      <c r="AL3418" s="35"/>
    </row>
    <row r="3419">
      <c r="A3419" s="207"/>
      <c r="B3419" s="19" t="s">
        <v>14099</v>
      </c>
      <c r="C3419" s="20" t="s">
        <v>16211</v>
      </c>
      <c r="D3419" s="47"/>
      <c r="E3419" s="22" t="s">
        <v>16554</v>
      </c>
      <c r="F3419" s="22" t="s">
        <v>12890</v>
      </c>
      <c r="G3419" s="23">
        <v>2015.0</v>
      </c>
      <c r="H3419" s="22" t="s">
        <v>16555</v>
      </c>
      <c r="I3419" s="24" t="s">
        <v>16556</v>
      </c>
      <c r="J3419" s="22" t="s">
        <v>16557</v>
      </c>
      <c r="K3419" s="22"/>
      <c r="L3419" s="36">
        <v>660.0</v>
      </c>
      <c r="M3419" s="36"/>
      <c r="N3419" s="36"/>
      <c r="O3419" s="36"/>
      <c r="P3419" s="37"/>
      <c r="Q3419" s="36"/>
      <c r="R3419" s="36"/>
      <c r="S3419" s="36" t="s">
        <v>16558</v>
      </c>
      <c r="T3419" s="41" t="s">
        <v>16559</v>
      </c>
      <c r="U3419" s="38" t="str">
        <f>HYPERLINK("https://www.ncbi.nlm.nih.gov/pubmed/25993067","PubMed")</f>
        <v>PubMed</v>
      </c>
      <c r="V3419" s="30"/>
      <c r="W3419" s="49"/>
      <c r="X3419" s="49"/>
      <c r="Y3419" s="35"/>
      <c r="Z3419" s="35"/>
      <c r="AA3419" s="35"/>
      <c r="AB3419" s="35"/>
      <c r="AC3419" s="35"/>
      <c r="AD3419" s="35"/>
      <c r="AE3419" s="35"/>
      <c r="AF3419" s="35"/>
      <c r="AG3419" s="35"/>
      <c r="AH3419" s="35"/>
      <c r="AI3419" s="35"/>
      <c r="AJ3419" s="35"/>
      <c r="AK3419" s="35"/>
      <c r="AL3419" s="35"/>
    </row>
    <row r="3420">
      <c r="A3420" s="207"/>
      <c r="B3420" s="19" t="s">
        <v>14099</v>
      </c>
      <c r="C3420" s="20" t="s">
        <v>16211</v>
      </c>
      <c r="D3420" s="47"/>
      <c r="E3420" s="22" t="s">
        <v>16560</v>
      </c>
      <c r="F3420" s="22" t="s">
        <v>16561</v>
      </c>
      <c r="G3420" s="23">
        <v>2014.0</v>
      </c>
      <c r="H3420" s="22" t="s">
        <v>91</v>
      </c>
      <c r="I3420" s="24" t="s">
        <v>16562</v>
      </c>
      <c r="J3420" s="22" t="s">
        <v>16563</v>
      </c>
      <c r="K3420" s="22" t="s">
        <v>157</v>
      </c>
      <c r="L3420" s="36">
        <v>630.0</v>
      </c>
      <c r="M3420" s="36">
        <v>300.0</v>
      </c>
      <c r="N3420" s="36"/>
      <c r="O3420" s="36"/>
      <c r="P3420" s="37" t="s">
        <v>919</v>
      </c>
      <c r="Q3420" s="36" t="s">
        <v>16564</v>
      </c>
      <c r="R3420" s="36">
        <v>120.0</v>
      </c>
      <c r="S3420" s="36">
        <v>1.0</v>
      </c>
      <c r="T3420" s="28" t="s">
        <v>16565</v>
      </c>
      <c r="U3420" s="38" t="str">
        <f>HYPERLINK("https://www.ncbi.nlm.nih.gov/pubmed/24258312","PubMed")</f>
        <v>PubMed</v>
      </c>
      <c r="V3420" s="30"/>
      <c r="W3420" s="49"/>
      <c r="X3420" s="49"/>
      <c r="Y3420" s="35"/>
      <c r="Z3420" s="35"/>
      <c r="AA3420" s="35"/>
      <c r="AB3420" s="35"/>
      <c r="AC3420" s="35"/>
      <c r="AD3420" s="35"/>
      <c r="AE3420" s="35"/>
      <c r="AF3420" s="35"/>
      <c r="AG3420" s="35"/>
      <c r="AH3420" s="35"/>
      <c r="AI3420" s="35"/>
      <c r="AJ3420" s="35"/>
      <c r="AK3420" s="35"/>
      <c r="AL3420" s="35"/>
    </row>
    <row r="3421">
      <c r="A3421" s="207"/>
      <c r="B3421" s="19" t="s">
        <v>14099</v>
      </c>
      <c r="C3421" s="20" t="s">
        <v>16211</v>
      </c>
      <c r="D3421" s="47"/>
      <c r="E3421" s="22" t="s">
        <v>16566</v>
      </c>
      <c r="F3421" s="22" t="s">
        <v>16567</v>
      </c>
      <c r="G3421" s="23">
        <v>2014.0</v>
      </c>
      <c r="H3421" s="22" t="s">
        <v>91</v>
      </c>
      <c r="I3421" s="24" t="s">
        <v>16568</v>
      </c>
      <c r="J3421" s="22" t="s">
        <v>16569</v>
      </c>
      <c r="K3421" s="22"/>
      <c r="L3421" s="36">
        <v>780.0</v>
      </c>
      <c r="M3421" s="36">
        <v>30.0</v>
      </c>
      <c r="N3421" s="36" t="s">
        <v>2922</v>
      </c>
      <c r="O3421" s="36" t="s">
        <v>16570</v>
      </c>
      <c r="P3421" s="37" t="s">
        <v>16571</v>
      </c>
      <c r="Q3421" s="36" t="s">
        <v>9358</v>
      </c>
      <c r="R3421" s="36" t="s">
        <v>16572</v>
      </c>
      <c r="S3421" s="36">
        <v>1.0</v>
      </c>
      <c r="T3421" s="28" t="s">
        <v>16573</v>
      </c>
      <c r="U3421" s="38" t="str">
        <f>HYPERLINK("https://www.ncbi.nlm.nih.gov/pubmed/24288083","PubMed")</f>
        <v>PubMed</v>
      </c>
      <c r="V3421" s="30"/>
      <c r="W3421" s="49"/>
      <c r="X3421" s="49"/>
      <c r="Y3421" s="35"/>
      <c r="Z3421" s="35"/>
      <c r="AA3421" s="35"/>
      <c r="AB3421" s="35"/>
      <c r="AC3421" s="35"/>
      <c r="AD3421" s="35"/>
      <c r="AE3421" s="35"/>
      <c r="AF3421" s="35"/>
      <c r="AG3421" s="35"/>
      <c r="AH3421" s="35"/>
      <c r="AI3421" s="35"/>
      <c r="AJ3421" s="35"/>
      <c r="AK3421" s="35"/>
      <c r="AL3421" s="35"/>
    </row>
    <row r="3422">
      <c r="A3422" s="207"/>
      <c r="B3422" s="19" t="s">
        <v>14099</v>
      </c>
      <c r="C3422" s="20" t="s">
        <v>16211</v>
      </c>
      <c r="D3422" s="47"/>
      <c r="E3422" s="22" t="s">
        <v>16574</v>
      </c>
      <c r="F3422" s="22" t="s">
        <v>720</v>
      </c>
      <c r="G3422" s="23">
        <v>2014.0</v>
      </c>
      <c r="H3422" s="22" t="s">
        <v>658</v>
      </c>
      <c r="I3422" s="24" t="s">
        <v>16575</v>
      </c>
      <c r="J3422" s="22" t="s">
        <v>16576</v>
      </c>
      <c r="K3422" s="22"/>
      <c r="L3422" s="36">
        <v>808.0</v>
      </c>
      <c r="M3422" s="36">
        <v>100.0</v>
      </c>
      <c r="N3422" s="36"/>
      <c r="O3422" s="36">
        <v>4.0</v>
      </c>
      <c r="P3422" s="37"/>
      <c r="Q3422" s="36"/>
      <c r="R3422" s="36"/>
      <c r="S3422" s="36">
        <v>1.0</v>
      </c>
      <c r="T3422" s="28" t="s">
        <v>16577</v>
      </c>
      <c r="U3422" s="38" t="str">
        <f>HYPERLINK("https://www.ncbi.nlm.nih.gov/pubmed/25496083","PubMed")</f>
        <v>PubMed</v>
      </c>
      <c r="V3422" s="30"/>
      <c r="W3422" s="49"/>
      <c r="X3422" s="49"/>
      <c r="Y3422" s="35"/>
      <c r="Z3422" s="35"/>
      <c r="AA3422" s="35"/>
      <c r="AB3422" s="35"/>
      <c r="AC3422" s="35"/>
      <c r="AD3422" s="35"/>
      <c r="AE3422" s="35"/>
      <c r="AF3422" s="35"/>
      <c r="AG3422" s="35"/>
      <c r="AH3422" s="35"/>
      <c r="AI3422" s="35"/>
      <c r="AJ3422" s="35"/>
      <c r="AK3422" s="35"/>
      <c r="AL3422" s="35"/>
    </row>
    <row r="3423">
      <c r="A3423" s="207"/>
      <c r="B3423" s="19" t="s">
        <v>14099</v>
      </c>
      <c r="C3423" s="20" t="s">
        <v>16211</v>
      </c>
      <c r="D3423" s="47"/>
      <c r="E3423" s="22" t="s">
        <v>16578</v>
      </c>
      <c r="F3423" s="22" t="s">
        <v>1034</v>
      </c>
      <c r="G3423" s="23">
        <v>2014.0</v>
      </c>
      <c r="H3423" s="22" t="s">
        <v>658</v>
      </c>
      <c r="I3423" s="24" t="s">
        <v>16579</v>
      </c>
      <c r="J3423" s="22" t="s">
        <v>16580</v>
      </c>
      <c r="K3423" s="22"/>
      <c r="L3423" s="36">
        <v>830.0</v>
      </c>
      <c r="M3423" s="36" t="s">
        <v>16581</v>
      </c>
      <c r="N3423" s="36"/>
      <c r="O3423" s="36"/>
      <c r="P3423" s="37"/>
      <c r="Q3423" s="36" t="s">
        <v>1160</v>
      </c>
      <c r="R3423" s="36"/>
      <c r="S3423" s="36">
        <v>2.0</v>
      </c>
      <c r="T3423" s="42" t="s">
        <v>16582</v>
      </c>
      <c r="U3423" s="38" t="str">
        <f>HYPERLINK("https://www.ncbi.nlm.nih.gov/pubmed/24456143","PubMed")</f>
        <v>PubMed</v>
      </c>
      <c r="V3423" s="30"/>
      <c r="W3423" s="49"/>
      <c r="X3423" s="49"/>
      <c r="Y3423" s="35"/>
      <c r="Z3423" s="35"/>
      <c r="AA3423" s="35"/>
      <c r="AB3423" s="35"/>
      <c r="AC3423" s="35"/>
      <c r="AD3423" s="35"/>
      <c r="AE3423" s="35"/>
      <c r="AF3423" s="35"/>
      <c r="AG3423" s="35"/>
      <c r="AH3423" s="35"/>
      <c r="AI3423" s="35"/>
      <c r="AJ3423" s="35"/>
      <c r="AK3423" s="35"/>
      <c r="AL3423" s="35"/>
    </row>
    <row r="3424">
      <c r="A3424" s="18" t="s">
        <v>38</v>
      </c>
      <c r="B3424" s="19" t="s">
        <v>14099</v>
      </c>
      <c r="C3424" s="20" t="s">
        <v>16211</v>
      </c>
      <c r="D3424" s="47"/>
      <c r="E3424" s="22" t="s">
        <v>4396</v>
      </c>
      <c r="F3424" s="22" t="s">
        <v>41</v>
      </c>
      <c r="G3424" s="23">
        <v>2014.0</v>
      </c>
      <c r="H3424" s="22" t="s">
        <v>16583</v>
      </c>
      <c r="I3424" s="24" t="s">
        <v>16584</v>
      </c>
      <c r="J3424" s="22" t="s">
        <v>16585</v>
      </c>
      <c r="K3424" s="22" t="s">
        <v>157</v>
      </c>
      <c r="L3424" s="36">
        <v>850.0</v>
      </c>
      <c r="M3424" s="36">
        <v>100.0</v>
      </c>
      <c r="N3424" s="36" t="s">
        <v>16586</v>
      </c>
      <c r="O3424" s="36"/>
      <c r="P3424" s="37" t="s">
        <v>6558</v>
      </c>
      <c r="Q3424" s="36"/>
      <c r="R3424" s="36"/>
      <c r="S3424" s="36" t="s">
        <v>16587</v>
      </c>
      <c r="T3424" s="28" t="s">
        <v>16588</v>
      </c>
      <c r="U3424" s="38" t="str">
        <f>HYPERLINK("https://www.ncbi.nlm.nih.gov/pubmed/23895414","PubMed")</f>
        <v>PubMed</v>
      </c>
      <c r="V3424" s="30"/>
      <c r="W3424" s="49"/>
      <c r="X3424" s="49"/>
      <c r="Y3424" s="35"/>
      <c r="Z3424" s="35"/>
      <c r="AA3424" s="35"/>
      <c r="AB3424" s="35"/>
      <c r="AC3424" s="35"/>
      <c r="AD3424" s="35"/>
      <c r="AE3424" s="35"/>
      <c r="AF3424" s="35"/>
      <c r="AG3424" s="35"/>
      <c r="AH3424" s="35"/>
      <c r="AI3424" s="35"/>
      <c r="AJ3424" s="35"/>
      <c r="AK3424" s="35"/>
      <c r="AL3424" s="35"/>
    </row>
    <row r="3425">
      <c r="A3425" s="207"/>
      <c r="B3425" s="19" t="s">
        <v>14099</v>
      </c>
      <c r="C3425" s="20" t="s">
        <v>16211</v>
      </c>
      <c r="D3425" s="47"/>
      <c r="E3425" s="22" t="s">
        <v>16589</v>
      </c>
      <c r="F3425" s="22" t="s">
        <v>530</v>
      </c>
      <c r="G3425" s="23">
        <v>2014.0</v>
      </c>
      <c r="H3425" s="22" t="s">
        <v>91</v>
      </c>
      <c r="I3425" s="24" t="s">
        <v>16590</v>
      </c>
      <c r="J3425" s="22" t="s">
        <v>16591</v>
      </c>
      <c r="K3425" s="22"/>
      <c r="L3425" s="36">
        <v>850.0</v>
      </c>
      <c r="M3425" s="36" t="s">
        <v>16592</v>
      </c>
      <c r="N3425" s="36"/>
      <c r="O3425" s="36" t="s">
        <v>16593</v>
      </c>
      <c r="P3425" s="37" t="s">
        <v>2746</v>
      </c>
      <c r="Q3425" s="36"/>
      <c r="R3425" s="36" t="s">
        <v>16594</v>
      </c>
      <c r="S3425" s="36">
        <v>1.0</v>
      </c>
      <c r="T3425" s="28" t="s">
        <v>16595</v>
      </c>
      <c r="U3425" s="38" t="str">
        <f>HYPERLINK("https://www.ncbi.nlm.nih.gov/pubmed/24925070","PubMed")</f>
        <v>PubMed</v>
      </c>
      <c r="V3425" s="30"/>
      <c r="W3425" s="49"/>
      <c r="X3425" s="49"/>
      <c r="Y3425" s="35"/>
      <c r="Z3425" s="35"/>
      <c r="AA3425" s="35"/>
      <c r="AB3425" s="35"/>
      <c r="AC3425" s="35"/>
      <c r="AD3425" s="35"/>
      <c r="AE3425" s="35"/>
      <c r="AF3425" s="35"/>
      <c r="AG3425" s="35"/>
      <c r="AH3425" s="35"/>
      <c r="AI3425" s="35"/>
      <c r="AJ3425" s="35"/>
      <c r="AK3425" s="35"/>
      <c r="AL3425" s="35"/>
    </row>
    <row r="3426">
      <c r="A3426" s="207"/>
      <c r="B3426" s="19" t="s">
        <v>14099</v>
      </c>
      <c r="C3426" s="20" t="s">
        <v>16211</v>
      </c>
      <c r="D3426" s="47"/>
      <c r="E3426" s="22" t="s">
        <v>16596</v>
      </c>
      <c r="F3426" s="22" t="s">
        <v>720</v>
      </c>
      <c r="G3426" s="23">
        <v>2014.0</v>
      </c>
      <c r="H3426" s="22" t="s">
        <v>91</v>
      </c>
      <c r="I3426" s="24" t="s">
        <v>16597</v>
      </c>
      <c r="J3426" s="22" t="s">
        <v>16598</v>
      </c>
      <c r="K3426" s="22"/>
      <c r="L3426" s="36">
        <v>808.0</v>
      </c>
      <c r="M3426" s="36">
        <v>100.0</v>
      </c>
      <c r="N3426" s="36" t="s">
        <v>16013</v>
      </c>
      <c r="O3426" s="36" t="s">
        <v>16599</v>
      </c>
      <c r="P3426" s="37" t="s">
        <v>16600</v>
      </c>
      <c r="Q3426" s="36"/>
      <c r="R3426" s="36" t="s">
        <v>831</v>
      </c>
      <c r="S3426" s="36"/>
      <c r="T3426" s="42" t="s">
        <v>16601</v>
      </c>
      <c r="U3426" s="38" t="str">
        <f>HYPERLINK("https://www.ncbi.nlm.nih.gov/pubmed/24005882","PubMed")</f>
        <v>PubMed</v>
      </c>
      <c r="V3426" s="30"/>
      <c r="W3426" s="49"/>
      <c r="X3426" s="49"/>
      <c r="Y3426" s="35"/>
      <c r="Z3426" s="35"/>
      <c r="AA3426" s="35"/>
      <c r="AB3426" s="35"/>
      <c r="AC3426" s="35"/>
      <c r="AD3426" s="35"/>
      <c r="AE3426" s="35"/>
      <c r="AF3426" s="35"/>
      <c r="AG3426" s="35"/>
      <c r="AH3426" s="35"/>
      <c r="AI3426" s="35"/>
      <c r="AJ3426" s="35"/>
      <c r="AK3426" s="35"/>
      <c r="AL3426" s="35"/>
    </row>
    <row r="3427">
      <c r="A3427" s="207" t="s">
        <v>2</v>
      </c>
      <c r="B3427" s="19" t="s">
        <v>14099</v>
      </c>
      <c r="C3427" s="20" t="s">
        <v>16211</v>
      </c>
      <c r="D3427" s="47"/>
      <c r="E3427" s="22" t="s">
        <v>16602</v>
      </c>
      <c r="F3427" s="22" t="s">
        <v>797</v>
      </c>
      <c r="G3427" s="23">
        <v>2014.0</v>
      </c>
      <c r="H3427" s="22" t="s">
        <v>16603</v>
      </c>
      <c r="I3427" s="24" t="s">
        <v>16604</v>
      </c>
      <c r="J3427" s="22" t="s">
        <v>16605</v>
      </c>
      <c r="K3427" s="22" t="s">
        <v>16606</v>
      </c>
      <c r="L3427" s="36">
        <v>810.0</v>
      </c>
      <c r="M3427" s="36" t="s">
        <v>16607</v>
      </c>
      <c r="N3427" s="36"/>
      <c r="O3427" s="36">
        <v>240.0</v>
      </c>
      <c r="P3427" s="37"/>
      <c r="Q3427" s="36"/>
      <c r="R3427" s="36" t="s">
        <v>16608</v>
      </c>
      <c r="S3427" s="36" t="s">
        <v>16609</v>
      </c>
      <c r="T3427" s="28" t="s">
        <v>16610</v>
      </c>
      <c r="U3427" s="38" t="str">
        <f>HYPERLINK("https://www.ncbi.nlm.nih.gov/pubmed/25417170","PubMed")</f>
        <v>PubMed</v>
      </c>
      <c r="V3427" s="30"/>
      <c r="W3427" s="49"/>
      <c r="X3427" s="49"/>
      <c r="Y3427" s="35"/>
      <c r="Z3427" s="35"/>
      <c r="AA3427" s="35"/>
      <c r="AB3427" s="35"/>
      <c r="AC3427" s="35"/>
      <c r="AD3427" s="35"/>
      <c r="AE3427" s="35"/>
      <c r="AF3427" s="35"/>
      <c r="AG3427" s="35"/>
      <c r="AH3427" s="35"/>
      <c r="AI3427" s="35"/>
      <c r="AJ3427" s="35"/>
      <c r="AK3427" s="35"/>
      <c r="AL3427" s="35"/>
    </row>
    <row r="3428">
      <c r="A3428" s="207"/>
      <c r="B3428" s="19" t="s">
        <v>14099</v>
      </c>
      <c r="C3428" s="20" t="s">
        <v>16211</v>
      </c>
      <c r="D3428" s="47"/>
      <c r="E3428" s="22" t="s">
        <v>388</v>
      </c>
      <c r="F3428" s="22" t="s">
        <v>41</v>
      </c>
      <c r="G3428" s="23">
        <v>2014.0</v>
      </c>
      <c r="H3428" s="22" t="s">
        <v>2863</v>
      </c>
      <c r="I3428" s="24" t="s">
        <v>16611</v>
      </c>
      <c r="J3428" s="22" t="s">
        <v>2141</v>
      </c>
      <c r="K3428" s="22"/>
      <c r="L3428" s="36"/>
      <c r="M3428" s="36"/>
      <c r="N3428" s="36"/>
      <c r="O3428" s="36"/>
      <c r="P3428" s="37"/>
      <c r="Q3428" s="36"/>
      <c r="R3428" s="36"/>
      <c r="S3428" s="36"/>
      <c r="T3428" s="185" t="s">
        <v>16612</v>
      </c>
      <c r="U3428" s="38" t="str">
        <f>HYPERLINK("https://www.ncbi.nlm.nih.gov/pubmed/24576321","PubMed")</f>
        <v>PubMed</v>
      </c>
      <c r="V3428" s="30"/>
      <c r="W3428" s="49"/>
      <c r="X3428" s="49"/>
      <c r="Y3428" s="35"/>
      <c r="Z3428" s="35"/>
      <c r="AA3428" s="35"/>
      <c r="AB3428" s="35"/>
      <c r="AC3428" s="35"/>
      <c r="AD3428" s="35"/>
      <c r="AE3428" s="35"/>
      <c r="AF3428" s="35"/>
      <c r="AG3428" s="35"/>
      <c r="AH3428" s="35"/>
      <c r="AI3428" s="35"/>
      <c r="AJ3428" s="35"/>
      <c r="AK3428" s="35"/>
      <c r="AL3428" s="35"/>
    </row>
    <row r="3429">
      <c r="A3429" s="207" t="s">
        <v>2</v>
      </c>
      <c r="B3429" s="19" t="s">
        <v>14099</v>
      </c>
      <c r="C3429" s="20" t="s">
        <v>16211</v>
      </c>
      <c r="D3429" s="47"/>
      <c r="E3429" s="22" t="s">
        <v>16613</v>
      </c>
      <c r="F3429" s="22" t="s">
        <v>41</v>
      </c>
      <c r="G3429" s="23">
        <v>2014.0</v>
      </c>
      <c r="H3429" s="22" t="s">
        <v>91</v>
      </c>
      <c r="I3429" s="24" t="s">
        <v>16614</v>
      </c>
      <c r="J3429" s="22" t="s">
        <v>14101</v>
      </c>
      <c r="K3429" s="22" t="s">
        <v>16615</v>
      </c>
      <c r="L3429" s="36" t="s">
        <v>16616</v>
      </c>
      <c r="M3429" s="36"/>
      <c r="N3429" s="36"/>
      <c r="O3429" s="36"/>
      <c r="P3429" s="37"/>
      <c r="Q3429" s="36"/>
      <c r="R3429" s="36"/>
      <c r="S3429" s="36"/>
      <c r="T3429" s="28" t="s">
        <v>16617</v>
      </c>
      <c r="U3429" s="38" t="str">
        <f>HYPERLINK("https://www.ncbi.nlm.nih.gov/pubmed/24942380/","PubMed")</f>
        <v>PubMed</v>
      </c>
      <c r="V3429" s="30"/>
      <c r="W3429" s="49"/>
      <c r="X3429" s="49"/>
      <c r="Y3429" s="35"/>
      <c r="Z3429" s="35"/>
      <c r="AA3429" s="35"/>
      <c r="AB3429" s="35"/>
      <c r="AC3429" s="35"/>
      <c r="AD3429" s="35"/>
      <c r="AE3429" s="35"/>
      <c r="AF3429" s="35"/>
      <c r="AG3429" s="35"/>
      <c r="AH3429" s="35"/>
      <c r="AI3429" s="35"/>
      <c r="AJ3429" s="35"/>
      <c r="AK3429" s="35"/>
      <c r="AL3429" s="35"/>
    </row>
    <row r="3430">
      <c r="A3430" s="207"/>
      <c r="B3430" s="19" t="s">
        <v>14099</v>
      </c>
      <c r="C3430" s="20" t="s">
        <v>16211</v>
      </c>
      <c r="D3430" s="47"/>
      <c r="E3430" s="22" t="s">
        <v>16618</v>
      </c>
      <c r="F3430" s="22" t="s">
        <v>41</v>
      </c>
      <c r="G3430" s="23">
        <v>2014.0</v>
      </c>
      <c r="H3430" s="22" t="s">
        <v>2863</v>
      </c>
      <c r="I3430" s="24" t="s">
        <v>16619</v>
      </c>
      <c r="J3430" s="22" t="s">
        <v>2141</v>
      </c>
      <c r="K3430" s="22"/>
      <c r="L3430" s="36"/>
      <c r="M3430" s="36"/>
      <c r="N3430" s="36"/>
      <c r="O3430" s="36"/>
      <c r="P3430" s="37"/>
      <c r="Q3430" s="36"/>
      <c r="R3430" s="36"/>
      <c r="S3430" s="36"/>
      <c r="T3430" s="185" t="s">
        <v>16620</v>
      </c>
      <c r="U3430" s="38" t="str">
        <f>HYPERLINK("https://www.ncbi.nlm.nih.gov/pubmed/24716713","PubMed")</f>
        <v>PubMed</v>
      </c>
      <c r="V3430" s="30"/>
      <c r="W3430" s="49"/>
      <c r="X3430" s="49"/>
      <c r="Y3430" s="35"/>
      <c r="Z3430" s="35"/>
      <c r="AA3430" s="35"/>
      <c r="AB3430" s="35"/>
      <c r="AC3430" s="35"/>
      <c r="AD3430" s="35"/>
      <c r="AE3430" s="35"/>
      <c r="AF3430" s="35"/>
      <c r="AG3430" s="35"/>
      <c r="AH3430" s="35"/>
      <c r="AI3430" s="35"/>
      <c r="AJ3430" s="35"/>
      <c r="AK3430" s="35"/>
      <c r="AL3430" s="35"/>
    </row>
    <row r="3431">
      <c r="A3431" s="207"/>
      <c r="B3431" s="19" t="s">
        <v>14099</v>
      </c>
      <c r="C3431" s="20" t="s">
        <v>16211</v>
      </c>
      <c r="D3431" s="47"/>
      <c r="E3431" s="22" t="s">
        <v>16621</v>
      </c>
      <c r="F3431" s="22" t="s">
        <v>530</v>
      </c>
      <c r="G3431" s="23">
        <v>2013.0</v>
      </c>
      <c r="H3431" s="22" t="s">
        <v>658</v>
      </c>
      <c r="I3431" s="24" t="s">
        <v>16622</v>
      </c>
      <c r="J3431" s="22" t="s">
        <v>16623</v>
      </c>
      <c r="K3431" s="22" t="s">
        <v>16624</v>
      </c>
      <c r="L3431" s="36">
        <v>808.0</v>
      </c>
      <c r="M3431" s="36">
        <v>100.0</v>
      </c>
      <c r="N3431" s="36" t="s">
        <v>16013</v>
      </c>
      <c r="O3431" s="36" t="s">
        <v>16625</v>
      </c>
      <c r="P3431" s="37"/>
      <c r="Q3431" s="36"/>
      <c r="R3431" s="36" t="s">
        <v>1072</v>
      </c>
      <c r="S3431" s="36">
        <v>1.0</v>
      </c>
      <c r="T3431" s="41" t="s">
        <v>16626</v>
      </c>
      <c r="U3431" s="38" t="str">
        <f>HYPERLINK("https://www.ncbi.nlm.nih.gov/pubmed/24320801","PubMed")</f>
        <v>PubMed</v>
      </c>
      <c r="V3431" s="30"/>
      <c r="W3431" s="49"/>
      <c r="X3431" s="49"/>
      <c r="Y3431" s="35"/>
      <c r="Z3431" s="35"/>
      <c r="AA3431" s="35"/>
      <c r="AB3431" s="35"/>
      <c r="AC3431" s="35"/>
      <c r="AD3431" s="35"/>
      <c r="AE3431" s="35"/>
      <c r="AF3431" s="35"/>
      <c r="AG3431" s="35"/>
      <c r="AH3431" s="35"/>
      <c r="AI3431" s="35"/>
      <c r="AJ3431" s="35"/>
      <c r="AK3431" s="35"/>
      <c r="AL3431" s="35"/>
    </row>
    <row r="3432">
      <c r="A3432" s="207"/>
      <c r="B3432" s="19" t="s">
        <v>14099</v>
      </c>
      <c r="C3432" s="20" t="s">
        <v>16211</v>
      </c>
      <c r="D3432" s="47"/>
      <c r="E3432" s="22" t="s">
        <v>4396</v>
      </c>
      <c r="F3432" s="22" t="s">
        <v>274</v>
      </c>
      <c r="G3432" s="23">
        <v>2013.0</v>
      </c>
      <c r="H3432" s="22" t="s">
        <v>91</v>
      </c>
      <c r="I3432" s="24" t="s">
        <v>16627</v>
      </c>
      <c r="J3432" s="22" t="s">
        <v>16628</v>
      </c>
      <c r="K3432" s="22"/>
      <c r="L3432" s="36">
        <v>850.0</v>
      </c>
      <c r="M3432" s="36"/>
      <c r="N3432" s="36" t="s">
        <v>16586</v>
      </c>
      <c r="O3432" s="36"/>
      <c r="P3432" s="37" t="s">
        <v>6558</v>
      </c>
      <c r="Q3432" s="36"/>
      <c r="R3432" s="36">
        <v>2700.0</v>
      </c>
      <c r="S3432" s="36" t="s">
        <v>16587</v>
      </c>
      <c r="T3432" s="28" t="s">
        <v>16629</v>
      </c>
      <c r="U3432" s="38" t="str">
        <f>HYPERLINK("https://www.ncbi.nlm.nih.gov/pubmed/22382875","PubMed")</f>
        <v>PubMed</v>
      </c>
      <c r="V3432" s="30"/>
      <c r="W3432" s="49"/>
      <c r="X3432" s="49"/>
      <c r="Y3432" s="35"/>
      <c r="Z3432" s="35"/>
      <c r="AA3432" s="35"/>
      <c r="AB3432" s="35"/>
      <c r="AC3432" s="35"/>
      <c r="AD3432" s="35"/>
      <c r="AE3432" s="35"/>
      <c r="AF3432" s="35"/>
      <c r="AG3432" s="35"/>
      <c r="AH3432" s="35"/>
      <c r="AI3432" s="35"/>
      <c r="AJ3432" s="35"/>
      <c r="AK3432" s="35"/>
      <c r="AL3432" s="35"/>
    </row>
    <row r="3433">
      <c r="A3433" s="207"/>
      <c r="B3433" s="19" t="s">
        <v>14099</v>
      </c>
      <c r="C3433" s="20" t="s">
        <v>16211</v>
      </c>
      <c r="D3433" s="47"/>
      <c r="E3433" s="22" t="s">
        <v>16408</v>
      </c>
      <c r="F3433" s="22" t="s">
        <v>530</v>
      </c>
      <c r="G3433" s="23">
        <v>2013.0</v>
      </c>
      <c r="H3433" s="22" t="s">
        <v>91</v>
      </c>
      <c r="I3433" s="24" t="s">
        <v>16630</v>
      </c>
      <c r="J3433" s="22" t="s">
        <v>16631</v>
      </c>
      <c r="K3433" s="22"/>
      <c r="L3433" s="36">
        <v>808.0</v>
      </c>
      <c r="M3433" s="36">
        <v>100.0</v>
      </c>
      <c r="N3433" s="36"/>
      <c r="O3433" s="36">
        <v>7.0</v>
      </c>
      <c r="P3433" s="37"/>
      <c r="Q3433" s="36"/>
      <c r="R3433" s="36"/>
      <c r="S3433" s="36"/>
      <c r="T3433" s="42" t="s">
        <v>16632</v>
      </c>
      <c r="U3433" s="38" t="str">
        <f>HYPERLINK("https://www.ncbi.nlm.nih.gov/pubmed/23296713","PubMed")</f>
        <v>PubMed</v>
      </c>
      <c r="V3433" s="30"/>
      <c r="W3433" s="49"/>
      <c r="X3433" s="49"/>
      <c r="Y3433" s="35"/>
      <c r="Z3433" s="35"/>
      <c r="AA3433" s="35"/>
      <c r="AB3433" s="35"/>
      <c r="AC3433" s="35"/>
      <c r="AD3433" s="35"/>
      <c r="AE3433" s="35"/>
      <c r="AF3433" s="35"/>
      <c r="AG3433" s="35"/>
      <c r="AH3433" s="35"/>
      <c r="AI3433" s="35"/>
      <c r="AJ3433" s="35"/>
      <c r="AK3433" s="35"/>
      <c r="AL3433" s="35"/>
    </row>
    <row r="3434">
      <c r="A3434" s="207"/>
      <c r="B3434" s="19" t="s">
        <v>14099</v>
      </c>
      <c r="C3434" s="20" t="s">
        <v>16211</v>
      </c>
      <c r="D3434" s="47"/>
      <c r="E3434" s="22" t="s">
        <v>4396</v>
      </c>
      <c r="F3434" s="22" t="s">
        <v>274</v>
      </c>
      <c r="G3434" s="23">
        <v>2013.0</v>
      </c>
      <c r="H3434" s="22" t="s">
        <v>658</v>
      </c>
      <c r="I3434" s="24" t="s">
        <v>16633</v>
      </c>
      <c r="J3434" s="22" t="s">
        <v>16634</v>
      </c>
      <c r="K3434" s="22" t="s">
        <v>16635</v>
      </c>
      <c r="L3434" s="36">
        <v>850.0</v>
      </c>
      <c r="M3434" s="36"/>
      <c r="N3434" s="36" t="s">
        <v>16586</v>
      </c>
      <c r="O3434" s="36"/>
      <c r="P3434" s="37" t="s">
        <v>6558</v>
      </c>
      <c r="Q3434" s="36"/>
      <c r="R3434" s="36">
        <v>2700.0</v>
      </c>
      <c r="S3434" s="36">
        <v>1.0</v>
      </c>
      <c r="T3434" s="28" t="s">
        <v>16636</v>
      </c>
      <c r="U3434" s="38" t="str">
        <f>HYPERLINK("https://www.ncbi.nlm.nih.gov/pubmed/23819505","PubMed")</f>
        <v>PubMed</v>
      </c>
      <c r="V3434" s="30"/>
      <c r="W3434" s="49"/>
      <c r="X3434" s="49"/>
      <c r="Y3434" s="35"/>
      <c r="Z3434" s="35"/>
      <c r="AA3434" s="35"/>
      <c r="AB3434" s="35"/>
      <c r="AC3434" s="35"/>
      <c r="AD3434" s="35"/>
      <c r="AE3434" s="35"/>
      <c r="AF3434" s="35"/>
      <c r="AG3434" s="35"/>
      <c r="AH3434" s="35"/>
      <c r="AI3434" s="35"/>
      <c r="AJ3434" s="35"/>
      <c r="AK3434" s="35"/>
      <c r="AL3434" s="35"/>
    </row>
    <row r="3435">
      <c r="A3435" s="207"/>
      <c r="B3435" s="19" t="s">
        <v>14099</v>
      </c>
      <c r="C3435" s="317" t="s">
        <v>16211</v>
      </c>
      <c r="D3435" s="47"/>
      <c r="E3435" s="22" t="s">
        <v>2338</v>
      </c>
      <c r="F3435" s="22" t="s">
        <v>4491</v>
      </c>
      <c r="G3435" s="23">
        <v>2012.0</v>
      </c>
      <c r="H3435" s="22" t="s">
        <v>1000</v>
      </c>
      <c r="I3435" s="24" t="s">
        <v>16637</v>
      </c>
      <c r="J3435" s="22" t="s">
        <v>16638</v>
      </c>
      <c r="K3435" s="22" t="s">
        <v>157</v>
      </c>
      <c r="L3435" s="36">
        <v>630.0</v>
      </c>
      <c r="M3435" s="36"/>
      <c r="N3435" s="36" t="s">
        <v>16639</v>
      </c>
      <c r="O3435" s="36"/>
      <c r="P3435" s="37" t="s">
        <v>16640</v>
      </c>
      <c r="Q3435" s="36" t="s">
        <v>5675</v>
      </c>
      <c r="R3435" s="36">
        <v>1200.0</v>
      </c>
      <c r="S3435" s="36">
        <v>1.0</v>
      </c>
      <c r="T3435" s="28" t="s">
        <v>16641</v>
      </c>
      <c r="U3435" s="38" t="str">
        <f>HYPERLINK("https://www.hindawi.com/journals/ijp/2012/652040/","Hindawi")</f>
        <v>Hindawi</v>
      </c>
      <c r="V3435" s="30"/>
      <c r="W3435" s="49"/>
      <c r="X3435" s="49"/>
      <c r="Y3435" s="35"/>
      <c r="Z3435" s="35"/>
      <c r="AA3435" s="35"/>
      <c r="AB3435" s="35"/>
      <c r="AC3435" s="35"/>
      <c r="AD3435" s="35"/>
      <c r="AE3435" s="35"/>
      <c r="AF3435" s="35"/>
      <c r="AG3435" s="35"/>
      <c r="AH3435" s="35"/>
      <c r="AI3435" s="35"/>
      <c r="AJ3435" s="35"/>
      <c r="AK3435" s="35"/>
      <c r="AL3435" s="35"/>
    </row>
    <row r="3436">
      <c r="A3436" s="207"/>
      <c r="B3436" s="19" t="s">
        <v>14099</v>
      </c>
      <c r="C3436" s="317" t="s">
        <v>16211</v>
      </c>
      <c r="D3436" s="47"/>
      <c r="E3436" s="22" t="s">
        <v>764</v>
      </c>
      <c r="F3436" s="22" t="s">
        <v>41</v>
      </c>
      <c r="G3436" s="23">
        <v>2012.0</v>
      </c>
      <c r="H3436" s="22" t="s">
        <v>91</v>
      </c>
      <c r="I3436" s="24" t="s">
        <v>16642</v>
      </c>
      <c r="J3436" s="22" t="s">
        <v>16643</v>
      </c>
      <c r="K3436" s="22" t="s">
        <v>294</v>
      </c>
      <c r="L3436" s="36" t="s">
        <v>943</v>
      </c>
      <c r="M3436" s="36">
        <v>50.0</v>
      </c>
      <c r="N3436" s="36" t="s">
        <v>16644</v>
      </c>
      <c r="O3436" s="36" t="s">
        <v>16645</v>
      </c>
      <c r="P3436" s="37"/>
      <c r="Q3436" s="36"/>
      <c r="R3436" s="36"/>
      <c r="S3436" s="36">
        <v>1.0</v>
      </c>
      <c r="T3436" s="42" t="s">
        <v>16646</v>
      </c>
      <c r="U3436" s="38" t="str">
        <f>HYPERLINK("https://www.ncbi.nlm.nih.gov/pubmed/21814736","PubMed")</f>
        <v>PubMed</v>
      </c>
      <c r="V3436" s="30"/>
      <c r="W3436" s="49"/>
      <c r="X3436" s="49"/>
      <c r="Y3436" s="35"/>
      <c r="Z3436" s="35"/>
      <c r="AA3436" s="35"/>
      <c r="AB3436" s="35"/>
      <c r="AC3436" s="35"/>
      <c r="AD3436" s="35"/>
      <c r="AE3436" s="35"/>
      <c r="AF3436" s="35"/>
      <c r="AG3436" s="35"/>
      <c r="AH3436" s="35"/>
      <c r="AI3436" s="35"/>
      <c r="AJ3436" s="35"/>
      <c r="AK3436" s="35"/>
      <c r="AL3436" s="35"/>
    </row>
    <row r="3437">
      <c r="A3437" s="207"/>
      <c r="B3437" s="19" t="s">
        <v>14099</v>
      </c>
      <c r="C3437" s="317" t="s">
        <v>16211</v>
      </c>
      <c r="D3437" s="47"/>
      <c r="E3437" s="22" t="s">
        <v>3309</v>
      </c>
      <c r="F3437" s="22" t="s">
        <v>720</v>
      </c>
      <c r="G3437" s="23">
        <v>2012.0</v>
      </c>
      <c r="H3437" s="22" t="s">
        <v>91</v>
      </c>
      <c r="I3437" s="24" t="s">
        <v>16647</v>
      </c>
      <c r="J3437" s="22" t="s">
        <v>16648</v>
      </c>
      <c r="K3437" s="22"/>
      <c r="L3437" s="36">
        <v>808.0</v>
      </c>
      <c r="M3437" s="36" t="s">
        <v>16649</v>
      </c>
      <c r="N3437" s="36"/>
      <c r="O3437" s="36" t="s">
        <v>16650</v>
      </c>
      <c r="P3437" s="37"/>
      <c r="Q3437" s="36"/>
      <c r="R3437" s="36"/>
      <c r="S3437" s="36" t="s">
        <v>16651</v>
      </c>
      <c r="T3437" s="42" t="s">
        <v>16652</v>
      </c>
      <c r="U3437" s="38" t="str">
        <f>HYPERLINK("https://www.ncbi.nlm.nih.gov/pubmed/21870127","PubMed")</f>
        <v>PubMed</v>
      </c>
      <c r="V3437" s="30"/>
      <c r="W3437" s="49"/>
      <c r="X3437" s="49"/>
      <c r="Y3437" s="35"/>
      <c r="Z3437" s="35"/>
      <c r="AA3437" s="35"/>
      <c r="AB3437" s="35"/>
      <c r="AC3437" s="35"/>
      <c r="AD3437" s="35"/>
      <c r="AE3437" s="35"/>
      <c r="AF3437" s="35"/>
      <c r="AG3437" s="35"/>
      <c r="AH3437" s="35"/>
      <c r="AI3437" s="35"/>
      <c r="AJ3437" s="35"/>
      <c r="AK3437" s="35"/>
      <c r="AL3437" s="35"/>
    </row>
    <row r="3438">
      <c r="A3438" s="207"/>
      <c r="B3438" s="19" t="s">
        <v>14099</v>
      </c>
      <c r="C3438" s="317" t="s">
        <v>16211</v>
      </c>
      <c r="D3438" s="47"/>
      <c r="E3438" s="22" t="s">
        <v>4396</v>
      </c>
      <c r="F3438" s="22" t="s">
        <v>41</v>
      </c>
      <c r="G3438" s="23">
        <v>2011.0</v>
      </c>
      <c r="H3438" s="22" t="s">
        <v>658</v>
      </c>
      <c r="I3438" s="24" t="s">
        <v>16653</v>
      </c>
      <c r="J3438" s="22" t="s">
        <v>16654</v>
      </c>
      <c r="K3438" s="22" t="s">
        <v>157</v>
      </c>
      <c r="L3438" s="36">
        <v>850.0</v>
      </c>
      <c r="M3438" s="36"/>
      <c r="N3438" s="36" t="s">
        <v>16655</v>
      </c>
      <c r="O3438" s="36">
        <v>14400.0</v>
      </c>
      <c r="P3438" s="37" t="s">
        <v>16656</v>
      </c>
      <c r="Q3438" s="36"/>
      <c r="R3438" s="36">
        <v>1800.0</v>
      </c>
      <c r="S3438" s="36" t="s">
        <v>16657</v>
      </c>
      <c r="T3438" s="28" t="s">
        <v>16658</v>
      </c>
      <c r="U3438" s="38" t="str">
        <f>HYPERLINK("https://www.ncbi.nlm.nih.gov/pubmed/21749263","PubMed")</f>
        <v>PubMed</v>
      </c>
      <c r="V3438" s="30"/>
      <c r="W3438" s="49"/>
      <c r="X3438" s="49"/>
      <c r="Y3438" s="35"/>
      <c r="Z3438" s="35"/>
      <c r="AA3438" s="35"/>
      <c r="AB3438" s="35"/>
      <c r="AC3438" s="35"/>
      <c r="AD3438" s="35"/>
      <c r="AE3438" s="35"/>
      <c r="AF3438" s="35"/>
      <c r="AG3438" s="35"/>
      <c r="AH3438" s="35"/>
      <c r="AI3438" s="35"/>
      <c r="AJ3438" s="35"/>
      <c r="AK3438" s="35"/>
      <c r="AL3438" s="35"/>
    </row>
    <row r="3439">
      <c r="A3439" s="207"/>
      <c r="B3439" s="19" t="s">
        <v>14099</v>
      </c>
      <c r="C3439" s="317" t="s">
        <v>16211</v>
      </c>
      <c r="D3439" s="47"/>
      <c r="E3439" s="22" t="s">
        <v>16659</v>
      </c>
      <c r="F3439" s="22" t="s">
        <v>41</v>
      </c>
      <c r="G3439" s="23">
        <v>2011.0</v>
      </c>
      <c r="H3439" s="22" t="s">
        <v>91</v>
      </c>
      <c r="I3439" s="24" t="s">
        <v>16660</v>
      </c>
      <c r="J3439" s="22" t="s">
        <v>16661</v>
      </c>
      <c r="K3439" s="22" t="s">
        <v>157</v>
      </c>
      <c r="L3439" s="36" t="s">
        <v>16662</v>
      </c>
      <c r="M3439" s="36"/>
      <c r="N3439" s="36"/>
      <c r="O3439" s="36" t="s">
        <v>16663</v>
      </c>
      <c r="P3439" s="37" t="s">
        <v>16664</v>
      </c>
      <c r="Q3439" s="36" t="s">
        <v>16665</v>
      </c>
      <c r="R3439" s="36" t="s">
        <v>16666</v>
      </c>
      <c r="S3439" s="36">
        <v>1.0</v>
      </c>
      <c r="T3439" s="42" t="s">
        <v>16667</v>
      </c>
      <c r="U3439" s="38" t="str">
        <f>HYPERLINK("https://www.ncbi.nlm.nih.gov/pubmed/21088862","PubMed")</f>
        <v>PubMed</v>
      </c>
      <c r="V3439" s="30"/>
      <c r="W3439" s="49"/>
      <c r="X3439" s="49"/>
      <c r="Y3439" s="35"/>
      <c r="Z3439" s="35"/>
      <c r="AA3439" s="35"/>
      <c r="AB3439" s="35"/>
      <c r="AC3439" s="35"/>
      <c r="AD3439" s="35"/>
      <c r="AE3439" s="35"/>
      <c r="AF3439" s="35"/>
      <c r="AG3439" s="35"/>
      <c r="AH3439" s="35"/>
      <c r="AI3439" s="35"/>
      <c r="AJ3439" s="35"/>
      <c r="AK3439" s="35"/>
      <c r="AL3439" s="35"/>
    </row>
    <row r="3440">
      <c r="A3440" s="207"/>
      <c r="B3440" s="19" t="s">
        <v>14099</v>
      </c>
      <c r="C3440" s="317" t="s">
        <v>16211</v>
      </c>
      <c r="D3440" s="47"/>
      <c r="E3440" s="22" t="s">
        <v>15801</v>
      </c>
      <c r="F3440" s="22" t="s">
        <v>274</v>
      </c>
      <c r="G3440" s="23">
        <v>2011.0</v>
      </c>
      <c r="H3440" s="22" t="s">
        <v>91</v>
      </c>
      <c r="I3440" s="24" t="s">
        <v>16668</v>
      </c>
      <c r="J3440" s="22" t="s">
        <v>16669</v>
      </c>
      <c r="K3440" s="22"/>
      <c r="L3440" s="36">
        <v>808.0</v>
      </c>
      <c r="M3440" s="36" t="s">
        <v>16581</v>
      </c>
      <c r="N3440" s="36" t="s">
        <v>16670</v>
      </c>
      <c r="O3440" s="36" t="s">
        <v>16671</v>
      </c>
      <c r="P3440" s="37" t="s">
        <v>16672</v>
      </c>
      <c r="Q3440" s="36" t="s">
        <v>16673</v>
      </c>
      <c r="R3440" s="36">
        <v>140.0</v>
      </c>
      <c r="S3440" s="36" t="s">
        <v>8494</v>
      </c>
      <c r="T3440" s="28" t="s">
        <v>16674</v>
      </c>
      <c r="U3440" s="38" t="str">
        <f>HYPERLINK("https://www.ncbi.nlm.nih.gov/pubmed/21086010","PubMed")</f>
        <v>PubMed</v>
      </c>
      <c r="V3440" s="30"/>
      <c r="W3440" s="49"/>
      <c r="X3440" s="49"/>
      <c r="Y3440" s="35"/>
      <c r="Z3440" s="35"/>
      <c r="AA3440" s="35"/>
      <c r="AB3440" s="35"/>
      <c r="AC3440" s="35"/>
      <c r="AD3440" s="35"/>
      <c r="AE3440" s="35"/>
      <c r="AF3440" s="35"/>
      <c r="AG3440" s="35"/>
      <c r="AH3440" s="35"/>
      <c r="AI3440" s="35"/>
      <c r="AJ3440" s="35"/>
      <c r="AK3440" s="35"/>
      <c r="AL3440" s="35"/>
    </row>
    <row r="3441">
      <c r="A3441" s="40" t="s">
        <v>181</v>
      </c>
      <c r="B3441" s="19" t="s">
        <v>14099</v>
      </c>
      <c r="C3441" s="317" t="s">
        <v>16211</v>
      </c>
      <c r="D3441" s="47"/>
      <c r="E3441" s="22" t="s">
        <v>16675</v>
      </c>
      <c r="F3441" s="22" t="s">
        <v>6028</v>
      </c>
      <c r="G3441" s="23">
        <v>2011.0</v>
      </c>
      <c r="H3441" s="22" t="s">
        <v>10050</v>
      </c>
      <c r="I3441" s="24" t="s">
        <v>16676</v>
      </c>
      <c r="J3441" s="22" t="s">
        <v>16677</v>
      </c>
      <c r="K3441" s="22" t="s">
        <v>16678</v>
      </c>
      <c r="L3441" s="36" t="s">
        <v>3447</v>
      </c>
      <c r="M3441" s="36"/>
      <c r="N3441" s="36"/>
      <c r="O3441" s="36"/>
      <c r="P3441" s="37"/>
      <c r="Q3441" s="36"/>
      <c r="R3441" s="36"/>
      <c r="S3441" s="36"/>
      <c r="T3441" s="41" t="s">
        <v>16679</v>
      </c>
      <c r="U3441" s="38" t="str">
        <f>HYPERLINK("https://www.ncbi.nlm.nih.gov/pubmed/21636951","PubMed")</f>
        <v>PubMed</v>
      </c>
      <c r="V3441" s="30"/>
      <c r="W3441" s="49"/>
      <c r="X3441" s="49"/>
      <c r="Y3441" s="35"/>
      <c r="Z3441" s="35"/>
      <c r="AA3441" s="35"/>
      <c r="AB3441" s="35"/>
      <c r="AC3441" s="35"/>
      <c r="AD3441" s="35"/>
      <c r="AE3441" s="35"/>
      <c r="AF3441" s="35"/>
      <c r="AG3441" s="35"/>
      <c r="AH3441" s="35"/>
      <c r="AI3441" s="35"/>
      <c r="AJ3441" s="35"/>
      <c r="AK3441" s="35"/>
      <c r="AL3441" s="35"/>
    </row>
    <row r="3442">
      <c r="A3442" s="40"/>
      <c r="B3442" s="19" t="s">
        <v>14099</v>
      </c>
      <c r="C3442" s="317" t="s">
        <v>16211</v>
      </c>
      <c r="D3442" s="47"/>
      <c r="E3442" s="22" t="s">
        <v>16602</v>
      </c>
      <c r="F3442" s="22" t="s">
        <v>797</v>
      </c>
      <c r="G3442" s="23">
        <v>2010.0</v>
      </c>
      <c r="H3442" s="22" t="s">
        <v>16603</v>
      </c>
      <c r="I3442" s="24" t="s">
        <v>16680</v>
      </c>
      <c r="J3442" s="22" t="s">
        <v>16681</v>
      </c>
      <c r="K3442" s="22" t="s">
        <v>16682</v>
      </c>
      <c r="L3442" s="36">
        <v>810.0</v>
      </c>
      <c r="M3442" s="36">
        <v>1000.0</v>
      </c>
      <c r="N3442" s="36"/>
      <c r="O3442" s="36" t="s">
        <v>16683</v>
      </c>
      <c r="P3442" s="37"/>
      <c r="Q3442" s="36" t="s">
        <v>16684</v>
      </c>
      <c r="R3442" s="36"/>
      <c r="S3442" s="36">
        <v>1.0</v>
      </c>
      <c r="T3442" s="28" t="s">
        <v>16685</v>
      </c>
      <c r="U3442" s="38" t="str">
        <f>HYPERLINK("https://www.ncbi.nlm.nih.gov/pubmed/20602109","PubMed")</f>
        <v>PubMed</v>
      </c>
      <c r="V3442" s="30"/>
      <c r="W3442" s="49"/>
      <c r="X3442" s="49"/>
      <c r="Y3442" s="35"/>
      <c r="Z3442" s="35"/>
      <c r="AA3442" s="35"/>
      <c r="AB3442" s="35"/>
      <c r="AC3442" s="35"/>
      <c r="AD3442" s="35"/>
      <c r="AE3442" s="35"/>
      <c r="AF3442" s="35"/>
      <c r="AG3442" s="35"/>
      <c r="AH3442" s="35"/>
      <c r="AI3442" s="35"/>
      <c r="AJ3442" s="35"/>
      <c r="AK3442" s="35"/>
      <c r="AL3442" s="35"/>
    </row>
    <row r="3443">
      <c r="A3443" s="40"/>
      <c r="B3443" s="19" t="s">
        <v>14099</v>
      </c>
      <c r="C3443" s="317" t="s">
        <v>16211</v>
      </c>
      <c r="D3443" s="47"/>
      <c r="E3443" s="22" t="s">
        <v>16602</v>
      </c>
      <c r="F3443" s="22" t="s">
        <v>797</v>
      </c>
      <c r="G3443" s="23">
        <v>2010.0</v>
      </c>
      <c r="H3443" s="22" t="s">
        <v>658</v>
      </c>
      <c r="I3443" s="24" t="s">
        <v>16686</v>
      </c>
      <c r="J3443" s="22" t="s">
        <v>16687</v>
      </c>
      <c r="K3443" s="22" t="s">
        <v>16688</v>
      </c>
      <c r="L3443" s="36" t="s">
        <v>16268</v>
      </c>
      <c r="M3443" s="36" t="s">
        <v>16441</v>
      </c>
      <c r="N3443" s="36"/>
      <c r="O3443" s="36" t="s">
        <v>16689</v>
      </c>
      <c r="P3443" s="37"/>
      <c r="Q3443" s="36" t="s">
        <v>16690</v>
      </c>
      <c r="R3443" s="36"/>
      <c r="S3443" s="36">
        <v>1.0</v>
      </c>
      <c r="T3443" s="42" t="s">
        <v>16691</v>
      </c>
      <c r="U3443" s="38" t="str">
        <f>HYPERLINK("https://www.ncbi.nlm.nih.gov/pubmed/20626264","PubMed")</f>
        <v>PubMed</v>
      </c>
      <c r="V3443" s="30" t="s">
        <v>16692</v>
      </c>
      <c r="W3443" s="49"/>
      <c r="X3443" s="49"/>
      <c r="Y3443" s="35"/>
      <c r="Z3443" s="35"/>
      <c r="AA3443" s="35"/>
      <c r="AB3443" s="35"/>
      <c r="AC3443" s="35"/>
      <c r="AD3443" s="35"/>
      <c r="AE3443" s="35"/>
      <c r="AF3443" s="35"/>
      <c r="AG3443" s="35"/>
      <c r="AH3443" s="35"/>
      <c r="AI3443" s="35"/>
      <c r="AJ3443" s="35"/>
      <c r="AK3443" s="35"/>
      <c r="AL3443" s="35"/>
    </row>
    <row r="3444">
      <c r="A3444" s="40" t="s">
        <v>2</v>
      </c>
      <c r="B3444" s="19" t="s">
        <v>14099</v>
      </c>
      <c r="C3444" s="317" t="s">
        <v>16211</v>
      </c>
      <c r="D3444" s="47"/>
      <c r="E3444" s="22" t="s">
        <v>16659</v>
      </c>
      <c r="F3444" s="22" t="s">
        <v>41</v>
      </c>
      <c r="G3444" s="23">
        <v>2010.0</v>
      </c>
      <c r="H3444" s="22" t="s">
        <v>13641</v>
      </c>
      <c r="I3444" s="24" t="s">
        <v>16693</v>
      </c>
      <c r="J3444" s="22" t="s">
        <v>16694</v>
      </c>
      <c r="K3444" s="22" t="s">
        <v>16695</v>
      </c>
      <c r="L3444" s="36">
        <v>810.0</v>
      </c>
      <c r="M3444" s="36" t="s">
        <v>16696</v>
      </c>
      <c r="N3444" s="36"/>
      <c r="O3444" s="36" t="s">
        <v>16697</v>
      </c>
      <c r="P3444" s="37"/>
      <c r="Q3444" s="36"/>
      <c r="R3444" s="36">
        <v>30.0</v>
      </c>
      <c r="S3444" s="36"/>
      <c r="T3444" s="28" t="s">
        <v>16698</v>
      </c>
      <c r="U3444" s="38" t="str">
        <f>HYPERLINK("https://www.ncbi.nlm.nih.gov/pubmed/20436237","PubMed")</f>
        <v>PubMed</v>
      </c>
      <c r="V3444" s="30"/>
      <c r="W3444" s="49"/>
      <c r="X3444" s="49"/>
      <c r="Y3444" s="35"/>
      <c r="Z3444" s="35"/>
      <c r="AA3444" s="35"/>
      <c r="AB3444" s="35"/>
      <c r="AC3444" s="35"/>
      <c r="AD3444" s="35"/>
      <c r="AE3444" s="35"/>
      <c r="AF3444" s="35"/>
      <c r="AG3444" s="35"/>
      <c r="AH3444" s="35"/>
      <c r="AI3444" s="35"/>
      <c r="AJ3444" s="35"/>
      <c r="AK3444" s="35"/>
      <c r="AL3444" s="35"/>
    </row>
    <row r="3445">
      <c r="A3445" s="207"/>
      <c r="B3445" s="19" t="s">
        <v>14099</v>
      </c>
      <c r="C3445" s="20" t="s">
        <v>16211</v>
      </c>
      <c r="D3445" s="47"/>
      <c r="E3445" s="22" t="s">
        <v>16659</v>
      </c>
      <c r="F3445" s="22" t="s">
        <v>16273</v>
      </c>
      <c r="G3445" s="23">
        <v>2009.0</v>
      </c>
      <c r="H3445" s="22" t="s">
        <v>53</v>
      </c>
      <c r="I3445" s="24" t="s">
        <v>16699</v>
      </c>
      <c r="J3445" s="22" t="s">
        <v>16643</v>
      </c>
      <c r="K3445" s="22" t="s">
        <v>8265</v>
      </c>
      <c r="L3445" s="36" t="s">
        <v>16268</v>
      </c>
      <c r="M3445" s="36"/>
      <c r="N3445" s="36"/>
      <c r="O3445" s="183"/>
      <c r="P3445" s="37"/>
      <c r="Q3445" s="36"/>
      <c r="R3445" s="36"/>
      <c r="S3445" s="36"/>
      <c r="T3445" s="28" t="s">
        <v>16700</v>
      </c>
      <c r="U3445" s="38" t="str">
        <f>HYPERLINK("https://www.ncbi.nlm.nih.gov/pubmed/19731300","PubMed")</f>
        <v>PubMed</v>
      </c>
      <c r="V3445" s="30"/>
      <c r="W3445" s="49"/>
      <c r="X3445" s="49"/>
      <c r="Y3445" s="35"/>
      <c r="Z3445" s="35"/>
      <c r="AA3445" s="35"/>
      <c r="AB3445" s="35"/>
      <c r="AC3445" s="35"/>
      <c r="AD3445" s="35"/>
      <c r="AE3445" s="35"/>
      <c r="AF3445" s="35"/>
      <c r="AG3445" s="35"/>
      <c r="AH3445" s="35"/>
      <c r="AI3445" s="35"/>
      <c r="AJ3445" s="35"/>
      <c r="AK3445" s="35"/>
      <c r="AL3445" s="35"/>
    </row>
    <row r="3446">
      <c r="A3446" s="207"/>
      <c r="B3446" s="19" t="s">
        <v>14099</v>
      </c>
      <c r="C3446" s="20" t="s">
        <v>16211</v>
      </c>
      <c r="D3446" s="47"/>
      <c r="E3446" s="22" t="s">
        <v>16659</v>
      </c>
      <c r="F3446" s="22" t="s">
        <v>16273</v>
      </c>
      <c r="G3446" s="23">
        <v>2009.0</v>
      </c>
      <c r="H3446" s="22" t="s">
        <v>658</v>
      </c>
      <c r="I3446" s="24" t="s">
        <v>16701</v>
      </c>
      <c r="J3446" s="22" t="s">
        <v>16702</v>
      </c>
      <c r="K3446" s="22" t="s">
        <v>16703</v>
      </c>
      <c r="L3446" s="36" t="s">
        <v>16704</v>
      </c>
      <c r="M3446" s="36"/>
      <c r="N3446" s="36"/>
      <c r="O3446" s="183"/>
      <c r="P3446" s="37"/>
      <c r="Q3446" s="36"/>
      <c r="R3446" s="36"/>
      <c r="S3446" s="36"/>
      <c r="T3446" s="41" t="s">
        <v>16705</v>
      </c>
      <c r="U3446" s="38" t="str">
        <f>HYPERLINK("https://www.ncbi.nlm.nih.gov/pubmed/19302015","PubMed")</f>
        <v>PubMed</v>
      </c>
      <c r="V3446" s="30"/>
      <c r="W3446" s="49"/>
      <c r="X3446" s="49"/>
      <c r="Y3446" s="35"/>
      <c r="Z3446" s="35"/>
      <c r="AA3446" s="35"/>
      <c r="AB3446" s="35"/>
      <c r="AC3446" s="35"/>
      <c r="AD3446" s="35"/>
      <c r="AE3446" s="35"/>
      <c r="AF3446" s="35"/>
      <c r="AG3446" s="35"/>
      <c r="AH3446" s="35"/>
      <c r="AI3446" s="35"/>
      <c r="AJ3446" s="35"/>
      <c r="AK3446" s="35"/>
      <c r="AL3446" s="35"/>
    </row>
    <row r="3447">
      <c r="A3447" s="207"/>
      <c r="B3447" s="19" t="s">
        <v>14099</v>
      </c>
      <c r="C3447" s="20" t="s">
        <v>16211</v>
      </c>
      <c r="D3447" s="47"/>
      <c r="E3447" s="22" t="s">
        <v>16659</v>
      </c>
      <c r="F3447" s="22" t="s">
        <v>16273</v>
      </c>
      <c r="G3447" s="23">
        <v>2009.0</v>
      </c>
      <c r="H3447" s="22" t="s">
        <v>91</v>
      </c>
      <c r="I3447" s="24" t="s">
        <v>16706</v>
      </c>
      <c r="J3447" s="22" t="s">
        <v>16707</v>
      </c>
      <c r="K3447" s="22"/>
      <c r="L3447" s="36">
        <v>830.0</v>
      </c>
      <c r="M3447" s="36">
        <v>100.0</v>
      </c>
      <c r="N3447" s="36"/>
      <c r="O3447" s="183">
        <v>42463.0</v>
      </c>
      <c r="P3447" s="37"/>
      <c r="Q3447" s="36" t="s">
        <v>16708</v>
      </c>
      <c r="R3447" s="36"/>
      <c r="S3447" s="36">
        <v>1.0</v>
      </c>
      <c r="T3447" s="42" t="s">
        <v>16709</v>
      </c>
      <c r="U3447" s="38" t="str">
        <f>HYPERLINK("https://www.ncbi.nlm.nih.gov/pubmed/19057981","PubMed")</f>
        <v>PubMed</v>
      </c>
      <c r="V3447" s="30"/>
      <c r="W3447" s="49"/>
      <c r="X3447" s="49"/>
      <c r="Y3447" s="35"/>
      <c r="Z3447" s="35"/>
      <c r="AA3447" s="35"/>
      <c r="AB3447" s="35"/>
      <c r="AC3447" s="35"/>
      <c r="AD3447" s="35"/>
      <c r="AE3447" s="35"/>
      <c r="AF3447" s="35"/>
      <c r="AG3447" s="35"/>
      <c r="AH3447" s="35"/>
      <c r="AI3447" s="35"/>
      <c r="AJ3447" s="35"/>
      <c r="AK3447" s="35"/>
      <c r="AL3447" s="35"/>
    </row>
    <row r="3448">
      <c r="A3448" s="207"/>
      <c r="B3448" s="75" t="s">
        <v>14099</v>
      </c>
      <c r="C3448" s="77" t="s">
        <v>16211</v>
      </c>
      <c r="D3448" s="47"/>
      <c r="E3448" s="22" t="s">
        <v>16659</v>
      </c>
      <c r="F3448" s="22" t="s">
        <v>16273</v>
      </c>
      <c r="G3448" s="23">
        <v>2009.0</v>
      </c>
      <c r="H3448" s="22" t="s">
        <v>91</v>
      </c>
      <c r="I3448" s="24" t="s">
        <v>16710</v>
      </c>
      <c r="J3448" s="22" t="s">
        <v>16711</v>
      </c>
      <c r="K3448" s="22"/>
      <c r="L3448" s="36">
        <v>830.0</v>
      </c>
      <c r="M3448" s="36">
        <v>100.0</v>
      </c>
      <c r="N3448" s="36"/>
      <c r="O3448" s="183"/>
      <c r="P3448" s="37"/>
      <c r="Q3448" s="36" t="s">
        <v>1160</v>
      </c>
      <c r="R3448" s="36">
        <v>200.0</v>
      </c>
      <c r="S3448" s="36"/>
      <c r="T3448" s="42" t="s">
        <v>16712</v>
      </c>
      <c r="U3448" s="38" t="str">
        <f>HYPERLINK("https://www.ncbi.nlm.nih.gov/pubmed/18649044","PubMed")</f>
        <v>PubMed</v>
      </c>
      <c r="V3448" s="30"/>
      <c r="W3448" s="49"/>
      <c r="X3448" s="49"/>
      <c r="Y3448" s="35"/>
      <c r="Z3448" s="35"/>
      <c r="AA3448" s="35"/>
      <c r="AB3448" s="35"/>
      <c r="AC3448" s="35"/>
      <c r="AD3448" s="35"/>
      <c r="AE3448" s="35"/>
      <c r="AF3448" s="35"/>
      <c r="AG3448" s="35"/>
      <c r="AH3448" s="35"/>
      <c r="AI3448" s="35"/>
      <c r="AJ3448" s="35"/>
      <c r="AK3448" s="35"/>
      <c r="AL3448" s="35"/>
    </row>
    <row r="3449">
      <c r="A3449" s="207"/>
      <c r="B3449" s="19" t="s">
        <v>14099</v>
      </c>
      <c r="C3449" s="20" t="s">
        <v>16211</v>
      </c>
      <c r="D3449" s="47"/>
      <c r="E3449" s="22" t="s">
        <v>16659</v>
      </c>
      <c r="F3449" s="22" t="s">
        <v>16273</v>
      </c>
      <c r="G3449" s="23">
        <v>2008.0</v>
      </c>
      <c r="H3449" s="22" t="s">
        <v>658</v>
      </c>
      <c r="I3449" s="24" t="s">
        <v>16713</v>
      </c>
      <c r="J3449" s="22" t="s">
        <v>16714</v>
      </c>
      <c r="K3449" s="22"/>
      <c r="L3449" s="36">
        <v>655.0</v>
      </c>
      <c r="M3449" s="36"/>
      <c r="N3449" s="36"/>
      <c r="O3449" s="36" t="s">
        <v>271</v>
      </c>
      <c r="P3449" s="37" t="s">
        <v>2193</v>
      </c>
      <c r="Q3449" s="36"/>
      <c r="R3449" s="36"/>
      <c r="S3449" s="36"/>
      <c r="T3449" s="28" t="s">
        <v>16715</v>
      </c>
      <c r="U3449" s="38" t="str">
        <f>HYPERLINK("https://www.ncbi.nlm.nih.gov/pubmed/18817474","PubMed")</f>
        <v>PubMed</v>
      </c>
      <c r="V3449" s="30"/>
      <c r="W3449" s="49"/>
      <c r="X3449" s="49"/>
      <c r="Y3449" s="35"/>
      <c r="Z3449" s="35"/>
      <c r="AA3449" s="35"/>
      <c r="AB3449" s="35"/>
      <c r="AC3449" s="35"/>
      <c r="AD3449" s="35"/>
      <c r="AE3449" s="35"/>
      <c r="AF3449" s="35"/>
      <c r="AG3449" s="35"/>
      <c r="AH3449" s="35"/>
      <c r="AI3449" s="35"/>
      <c r="AJ3449" s="35"/>
      <c r="AK3449" s="35"/>
      <c r="AL3449" s="35"/>
    </row>
    <row r="3450">
      <c r="A3450" s="207"/>
      <c r="B3450" s="19" t="s">
        <v>14099</v>
      </c>
      <c r="C3450" s="20" t="s">
        <v>16211</v>
      </c>
      <c r="D3450" s="47"/>
      <c r="E3450" s="22" t="s">
        <v>16675</v>
      </c>
      <c r="F3450" s="22" t="s">
        <v>6028</v>
      </c>
      <c r="G3450" s="23">
        <v>2008.0</v>
      </c>
      <c r="H3450" s="22" t="s">
        <v>16716</v>
      </c>
      <c r="I3450" s="24" t="s">
        <v>16717</v>
      </c>
      <c r="J3450" s="22" t="s">
        <v>16718</v>
      </c>
      <c r="K3450" s="22" t="s">
        <v>16678</v>
      </c>
      <c r="L3450" s="36" t="s">
        <v>3447</v>
      </c>
      <c r="M3450" s="36"/>
      <c r="N3450" s="36"/>
      <c r="O3450" s="36"/>
      <c r="P3450" s="37"/>
      <c r="Q3450" s="36"/>
      <c r="R3450" s="36"/>
      <c r="S3450" s="36"/>
      <c r="T3450" s="41" t="s">
        <v>16719</v>
      </c>
      <c r="U3450" s="38" t="str">
        <f>HYPERLINK("https://www.ncbi.nlm.nih.gov/pubmed/19157158","PubMed")</f>
        <v>PubMed</v>
      </c>
      <c r="V3450" s="30"/>
      <c r="W3450" s="49"/>
      <c r="X3450" s="49"/>
      <c r="Y3450" s="35"/>
      <c r="Z3450" s="35"/>
      <c r="AA3450" s="35"/>
      <c r="AB3450" s="35"/>
      <c r="AC3450" s="35"/>
      <c r="AD3450" s="35"/>
      <c r="AE3450" s="35"/>
      <c r="AF3450" s="35"/>
      <c r="AG3450" s="35"/>
      <c r="AH3450" s="35"/>
      <c r="AI3450" s="35"/>
      <c r="AJ3450" s="35"/>
      <c r="AK3450" s="35"/>
      <c r="AL3450" s="35"/>
    </row>
    <row r="3451">
      <c r="A3451" s="207"/>
      <c r="B3451" s="19" t="s">
        <v>14099</v>
      </c>
      <c r="C3451" s="20" t="s">
        <v>16211</v>
      </c>
      <c r="D3451" s="47"/>
      <c r="E3451" s="22" t="s">
        <v>5597</v>
      </c>
      <c r="F3451" s="22" t="s">
        <v>283</v>
      </c>
      <c r="G3451" s="23">
        <v>2006.0</v>
      </c>
      <c r="H3451" s="22" t="s">
        <v>91</v>
      </c>
      <c r="I3451" s="24" t="s">
        <v>16720</v>
      </c>
      <c r="J3451" s="22" t="s">
        <v>16721</v>
      </c>
      <c r="K3451" s="22" t="s">
        <v>157</v>
      </c>
      <c r="L3451" s="36">
        <v>950.0</v>
      </c>
      <c r="M3451" s="36">
        <v>160.0</v>
      </c>
      <c r="N3451" s="36"/>
      <c r="O3451" s="36"/>
      <c r="P3451" s="37" t="s">
        <v>14033</v>
      </c>
      <c r="Q3451" s="36" t="s">
        <v>16722</v>
      </c>
      <c r="R3451" s="36">
        <v>360.0</v>
      </c>
      <c r="S3451" s="36"/>
      <c r="T3451" s="28" t="s">
        <v>16723</v>
      </c>
      <c r="U3451" s="38" t="str">
        <f>HYPERLINK("https://www.ncbi.nlm.nih.gov/pubmed/16538423","PubMed")</f>
        <v>PubMed</v>
      </c>
      <c r="V3451" s="30"/>
      <c r="W3451" s="49"/>
      <c r="X3451" s="49"/>
      <c r="Y3451" s="35"/>
      <c r="Z3451" s="35"/>
      <c r="AA3451" s="35"/>
      <c r="AB3451" s="35"/>
      <c r="AC3451" s="35"/>
      <c r="AD3451" s="35"/>
      <c r="AE3451" s="35"/>
      <c r="AF3451" s="35"/>
      <c r="AG3451" s="35"/>
      <c r="AH3451" s="35"/>
      <c r="AI3451" s="35"/>
      <c r="AJ3451" s="35"/>
      <c r="AK3451" s="35"/>
      <c r="AL3451" s="35"/>
    </row>
    <row r="3452">
      <c r="A3452" s="207"/>
      <c r="B3452" s="19" t="s">
        <v>14099</v>
      </c>
      <c r="C3452" s="20" t="s">
        <v>16211</v>
      </c>
      <c r="D3452" s="47"/>
      <c r="E3452" s="22" t="s">
        <v>16724</v>
      </c>
      <c r="F3452" s="22" t="s">
        <v>16725</v>
      </c>
      <c r="G3452" s="23">
        <v>2006.0</v>
      </c>
      <c r="H3452" s="22" t="s">
        <v>658</v>
      </c>
      <c r="I3452" s="24" t="s">
        <v>16726</v>
      </c>
      <c r="J3452" s="22" t="s">
        <v>16727</v>
      </c>
      <c r="K3452" s="22" t="s">
        <v>16728</v>
      </c>
      <c r="L3452" s="36" t="s">
        <v>16729</v>
      </c>
      <c r="M3452" s="36"/>
      <c r="N3452" s="36"/>
      <c r="O3452" s="36"/>
      <c r="P3452" s="37" t="s">
        <v>70</v>
      </c>
      <c r="Q3452" s="36"/>
      <c r="R3452" s="36"/>
      <c r="S3452" s="36" t="s">
        <v>3125</v>
      </c>
      <c r="T3452" s="28" t="s">
        <v>16730</v>
      </c>
      <c r="U3452" s="38" t="str">
        <f>HYPERLINK("https://www.ncbi.nlm.nih.gov/pubmed/16875447","PubMed")</f>
        <v>PubMed</v>
      </c>
      <c r="V3452" s="30"/>
      <c r="W3452" s="49"/>
      <c r="X3452" s="49"/>
      <c r="Y3452" s="35"/>
      <c r="Z3452" s="35"/>
      <c r="AA3452" s="35"/>
      <c r="AB3452" s="35"/>
      <c r="AC3452" s="35"/>
      <c r="AD3452" s="35"/>
      <c r="AE3452" s="35"/>
      <c r="AF3452" s="35"/>
      <c r="AG3452" s="35"/>
      <c r="AH3452" s="35"/>
      <c r="AI3452" s="35"/>
      <c r="AJ3452" s="35"/>
      <c r="AK3452" s="35"/>
      <c r="AL3452" s="35"/>
    </row>
    <row r="3453">
      <c r="A3453" s="207"/>
      <c r="B3453" s="19" t="s">
        <v>14099</v>
      </c>
      <c r="C3453" s="20" t="s">
        <v>16211</v>
      </c>
      <c r="D3453" s="47"/>
      <c r="E3453" s="22" t="s">
        <v>16731</v>
      </c>
      <c r="F3453" s="22" t="s">
        <v>16732</v>
      </c>
      <c r="G3453" s="23">
        <v>2001.0</v>
      </c>
      <c r="H3453" s="22" t="s">
        <v>53</v>
      </c>
      <c r="I3453" s="24" t="s">
        <v>16733</v>
      </c>
      <c r="J3453" s="22" t="s">
        <v>16734</v>
      </c>
      <c r="K3453" s="22" t="s">
        <v>16735</v>
      </c>
      <c r="L3453" s="36">
        <v>840.0</v>
      </c>
      <c r="M3453" s="36">
        <v>250.0</v>
      </c>
      <c r="N3453" s="36"/>
      <c r="O3453" s="36"/>
      <c r="P3453" s="37" t="s">
        <v>969</v>
      </c>
      <c r="Q3453" s="36" t="s">
        <v>16736</v>
      </c>
      <c r="R3453" s="36">
        <v>300.0</v>
      </c>
      <c r="S3453" s="36" t="s">
        <v>16737</v>
      </c>
      <c r="T3453" s="41" t="s">
        <v>16738</v>
      </c>
      <c r="U3453" s="38" t="str">
        <f>HYPERLINK("https://www.ncbi.nlm.nih.gov/pubmed/11430440","PubMed")</f>
        <v>PubMed</v>
      </c>
      <c r="V3453" s="30" t="s">
        <v>16739</v>
      </c>
      <c r="W3453" s="49"/>
      <c r="X3453" s="49"/>
      <c r="Y3453" s="35"/>
      <c r="Z3453" s="35"/>
      <c r="AA3453" s="35"/>
      <c r="AB3453" s="35"/>
      <c r="AC3453" s="35"/>
      <c r="AD3453" s="35"/>
      <c r="AE3453" s="35"/>
      <c r="AF3453" s="35"/>
      <c r="AG3453" s="35"/>
      <c r="AH3453" s="35"/>
      <c r="AI3453" s="35"/>
      <c r="AJ3453" s="35"/>
      <c r="AK3453" s="35"/>
      <c r="AL3453" s="35"/>
    </row>
    <row r="3454">
      <c r="A3454" s="207"/>
      <c r="B3454" s="19" t="s">
        <v>14099</v>
      </c>
      <c r="C3454" s="20" t="s">
        <v>16211</v>
      </c>
      <c r="D3454" s="47"/>
      <c r="E3454" s="22" t="s">
        <v>16740</v>
      </c>
      <c r="F3454" s="22" t="s">
        <v>16732</v>
      </c>
      <c r="G3454" s="23">
        <v>1999.0</v>
      </c>
      <c r="H3454" s="22" t="s">
        <v>53</v>
      </c>
      <c r="I3454" s="24" t="s">
        <v>16741</v>
      </c>
      <c r="J3454" s="22" t="s">
        <v>16742</v>
      </c>
      <c r="K3454" s="22"/>
      <c r="L3454" s="36" t="s">
        <v>12352</v>
      </c>
      <c r="M3454" s="36"/>
      <c r="N3454" s="36"/>
      <c r="O3454" s="36"/>
      <c r="P3454" s="37" t="s">
        <v>12603</v>
      </c>
      <c r="Q3454" s="36"/>
      <c r="R3454" s="36"/>
      <c r="S3454" s="36" t="s">
        <v>16743</v>
      </c>
      <c r="T3454" s="41" t="s">
        <v>16744</v>
      </c>
      <c r="U3454" s="38" t="str">
        <f>HYPERLINK("https://www.ncbi.nlm.nih.gov/pubmed/10229153","PubMed")</f>
        <v>PubMed</v>
      </c>
      <c r="V3454" s="30"/>
      <c r="W3454" s="49"/>
      <c r="X3454" s="49"/>
      <c r="Y3454" s="35"/>
      <c r="Z3454" s="35"/>
      <c r="AA3454" s="35"/>
      <c r="AB3454" s="35"/>
      <c r="AC3454" s="35"/>
      <c r="AD3454" s="35"/>
      <c r="AE3454" s="35"/>
      <c r="AF3454" s="35"/>
      <c r="AG3454" s="35"/>
      <c r="AH3454" s="35"/>
      <c r="AI3454" s="35"/>
      <c r="AJ3454" s="35"/>
      <c r="AK3454" s="35"/>
      <c r="AL3454" s="35"/>
    </row>
    <row r="3455">
      <c r="A3455" s="207"/>
      <c r="B3455" s="19" t="s">
        <v>14099</v>
      </c>
      <c r="C3455" s="20" t="s">
        <v>16211</v>
      </c>
      <c r="D3455" s="47"/>
      <c r="E3455" s="22" t="s">
        <v>16740</v>
      </c>
      <c r="F3455" s="22" t="s">
        <v>16732</v>
      </c>
      <c r="G3455" s="23">
        <v>1996.0</v>
      </c>
      <c r="H3455" s="22" t="s">
        <v>1289</v>
      </c>
      <c r="I3455" s="24" t="s">
        <v>16745</v>
      </c>
      <c r="J3455" s="22" t="s">
        <v>16746</v>
      </c>
      <c r="K3455" s="22"/>
      <c r="L3455" s="36" t="s">
        <v>12352</v>
      </c>
      <c r="M3455" s="36"/>
      <c r="N3455" s="36"/>
      <c r="O3455" s="36"/>
      <c r="P3455" s="37" t="s">
        <v>10257</v>
      </c>
      <c r="Q3455" s="36"/>
      <c r="R3455" s="36">
        <v>720.0</v>
      </c>
      <c r="S3455" s="36" t="s">
        <v>6403</v>
      </c>
      <c r="T3455" s="41" t="s">
        <v>16747</v>
      </c>
      <c r="U3455" s="38" t="str">
        <f>HYPERLINK("https://www.ncbi.nlm.nih.gov/pubmed/9467328","PubMed")</f>
        <v>PubMed</v>
      </c>
      <c r="V3455" s="30"/>
      <c r="W3455" s="49"/>
      <c r="X3455" s="49"/>
      <c r="Y3455" s="35"/>
      <c r="Z3455" s="35"/>
      <c r="AA3455" s="35"/>
      <c r="AB3455" s="35"/>
      <c r="AC3455" s="35"/>
      <c r="AD3455" s="35"/>
      <c r="AE3455" s="35"/>
      <c r="AF3455" s="35"/>
      <c r="AG3455" s="35"/>
      <c r="AH3455" s="35"/>
      <c r="AI3455" s="35"/>
      <c r="AJ3455" s="35"/>
      <c r="AK3455" s="35"/>
      <c r="AL3455" s="35"/>
    </row>
    <row r="3456">
      <c r="A3456" s="133"/>
      <c r="B3456" s="75" t="s">
        <v>14099</v>
      </c>
      <c r="C3456" s="76" t="s">
        <v>16748</v>
      </c>
      <c r="D3456" s="47"/>
      <c r="E3456" s="57" t="s">
        <v>16749</v>
      </c>
      <c r="F3456" s="22" t="s">
        <v>41</v>
      </c>
      <c r="G3456" s="57">
        <v>2021.0</v>
      </c>
      <c r="H3456" s="57" t="s">
        <v>3950</v>
      </c>
      <c r="I3456" s="134" t="s">
        <v>16750</v>
      </c>
      <c r="J3456" s="23" t="s">
        <v>55</v>
      </c>
      <c r="K3456" s="23"/>
      <c r="L3456" s="36">
        <v>830.0</v>
      </c>
      <c r="M3456" s="36">
        <v>100.0</v>
      </c>
      <c r="N3456" s="36" t="s">
        <v>278</v>
      </c>
      <c r="O3456" s="36">
        <v>4.0</v>
      </c>
      <c r="P3456" s="37" t="s">
        <v>16751</v>
      </c>
      <c r="Q3456" s="36"/>
      <c r="R3456" s="36">
        <v>60.0</v>
      </c>
      <c r="S3456" s="36"/>
      <c r="T3456" s="83" t="s">
        <v>16752</v>
      </c>
      <c r="U3456" s="248" t="s">
        <v>61</v>
      </c>
      <c r="V3456" s="139"/>
      <c r="W3456" s="49"/>
      <c r="X3456" s="49"/>
      <c r="Y3456" s="35"/>
      <c r="Z3456" s="35"/>
      <c r="AA3456" s="35"/>
      <c r="AB3456" s="35"/>
      <c r="AC3456" s="35"/>
      <c r="AD3456" s="35"/>
      <c r="AE3456" s="35"/>
      <c r="AF3456" s="35"/>
      <c r="AG3456" s="35"/>
      <c r="AH3456" s="35"/>
      <c r="AI3456" s="35"/>
      <c r="AJ3456" s="35"/>
      <c r="AK3456" s="35"/>
      <c r="AL3456" s="35"/>
    </row>
    <row r="3457">
      <c r="A3457" s="133"/>
      <c r="B3457" s="75" t="s">
        <v>14099</v>
      </c>
      <c r="C3457" s="76" t="s">
        <v>16748</v>
      </c>
      <c r="D3457" s="47"/>
      <c r="E3457" s="57" t="s">
        <v>16377</v>
      </c>
      <c r="F3457" s="22" t="s">
        <v>5207</v>
      </c>
      <c r="G3457" s="57" t="s">
        <v>2499</v>
      </c>
      <c r="H3457" s="57" t="s">
        <v>91</v>
      </c>
      <c r="I3457" s="134" t="s">
        <v>16753</v>
      </c>
      <c r="J3457" s="23" t="s">
        <v>55</v>
      </c>
      <c r="K3457" s="23"/>
      <c r="L3457" s="36">
        <v>940.0</v>
      </c>
      <c r="M3457" s="36"/>
      <c r="N3457" s="36"/>
      <c r="O3457" s="36"/>
      <c r="P3457" s="37" t="s">
        <v>254</v>
      </c>
      <c r="Q3457" s="36"/>
      <c r="R3457" s="36"/>
      <c r="S3457" s="36"/>
      <c r="T3457" s="84" t="s">
        <v>16754</v>
      </c>
      <c r="U3457" s="312" t="str">
        <f>HYPERLINK("https://www.ncbi.nlm.nih.gov/pubmed/30456534","PubMed")</f>
        <v>PubMed</v>
      </c>
      <c r="V3457" s="139"/>
      <c r="W3457" s="49"/>
      <c r="X3457" s="49"/>
      <c r="Y3457" s="35"/>
      <c r="Z3457" s="35"/>
      <c r="AA3457" s="35"/>
      <c r="AB3457" s="35"/>
      <c r="AC3457" s="35"/>
      <c r="AD3457" s="35"/>
      <c r="AE3457" s="35"/>
      <c r="AF3457" s="35"/>
      <c r="AG3457" s="35"/>
      <c r="AH3457" s="35"/>
      <c r="AI3457" s="35"/>
      <c r="AJ3457" s="35"/>
      <c r="AK3457" s="35"/>
      <c r="AL3457" s="35"/>
    </row>
    <row r="3458">
      <c r="A3458" s="40" t="s">
        <v>2</v>
      </c>
      <c r="B3458" s="19" t="s">
        <v>14099</v>
      </c>
      <c r="C3458" s="76" t="s">
        <v>16748</v>
      </c>
      <c r="D3458" s="47"/>
      <c r="E3458" s="22" t="s">
        <v>16755</v>
      </c>
      <c r="F3458" s="22" t="s">
        <v>41</v>
      </c>
      <c r="G3458" s="23">
        <v>2016.0</v>
      </c>
      <c r="H3458" s="22" t="s">
        <v>91</v>
      </c>
      <c r="I3458" s="24" t="s">
        <v>16756</v>
      </c>
      <c r="J3458" s="22" t="s">
        <v>55</v>
      </c>
      <c r="K3458" s="22"/>
      <c r="L3458" s="36">
        <v>808.0</v>
      </c>
      <c r="M3458" s="36">
        <v>100.0</v>
      </c>
      <c r="N3458" s="36" t="s">
        <v>1523</v>
      </c>
      <c r="O3458" s="36" t="s">
        <v>16757</v>
      </c>
      <c r="P3458" s="37" t="s">
        <v>4386</v>
      </c>
      <c r="Q3458" s="36" t="s">
        <v>280</v>
      </c>
      <c r="R3458" s="36" t="s">
        <v>16758</v>
      </c>
      <c r="S3458" s="36">
        <v>36.0</v>
      </c>
      <c r="T3458" s="28" t="s">
        <v>16759</v>
      </c>
      <c r="U3458" s="38" t="str">
        <f>HYPERLINK("https://www.ncbi.nlm.nih.gov/pubmed/26861983","PubMed")</f>
        <v>PubMed</v>
      </c>
      <c r="V3458" s="30"/>
      <c r="W3458" s="49"/>
      <c r="X3458" s="49"/>
      <c r="Y3458" s="35"/>
      <c r="Z3458" s="35"/>
      <c r="AA3458" s="35"/>
      <c r="AB3458" s="35"/>
      <c r="AC3458" s="35"/>
      <c r="AD3458" s="35"/>
      <c r="AE3458" s="35"/>
      <c r="AF3458" s="35"/>
      <c r="AG3458" s="35"/>
      <c r="AH3458" s="35"/>
      <c r="AI3458" s="35"/>
      <c r="AJ3458" s="35"/>
      <c r="AK3458" s="35"/>
      <c r="AL3458" s="35"/>
    </row>
    <row r="3459">
      <c r="A3459" s="207"/>
      <c r="B3459" s="19" t="s">
        <v>14099</v>
      </c>
      <c r="C3459" s="76" t="s">
        <v>16748</v>
      </c>
      <c r="D3459" s="47"/>
      <c r="E3459" s="22" t="s">
        <v>16760</v>
      </c>
      <c r="F3459" s="22" t="s">
        <v>274</v>
      </c>
      <c r="G3459" s="23">
        <v>2013.0</v>
      </c>
      <c r="H3459" s="22" t="s">
        <v>91</v>
      </c>
      <c r="I3459" s="24" t="s">
        <v>16761</v>
      </c>
      <c r="J3459" s="22" t="s">
        <v>55</v>
      </c>
      <c r="K3459" s="22" t="s">
        <v>16762</v>
      </c>
      <c r="L3459" s="36">
        <v>830.0</v>
      </c>
      <c r="M3459" s="36"/>
      <c r="N3459" s="36"/>
      <c r="O3459" s="36" t="s">
        <v>16763</v>
      </c>
      <c r="P3459" s="37"/>
      <c r="Q3459" s="36"/>
      <c r="R3459" s="36"/>
      <c r="S3459" s="36"/>
      <c r="T3459" s="28" t="s">
        <v>16764</v>
      </c>
      <c r="U3459" s="38" t="str">
        <f>HYPERLINK("https://www.ncbi.nlm.nih.gov/pubmed/23151893","PubMed")</f>
        <v>PubMed</v>
      </c>
      <c r="V3459" s="30"/>
      <c r="W3459" s="49"/>
      <c r="X3459" s="49"/>
      <c r="Y3459" s="35"/>
      <c r="Z3459" s="35"/>
      <c r="AA3459" s="35"/>
      <c r="AB3459" s="35"/>
      <c r="AC3459" s="35"/>
      <c r="AD3459" s="35"/>
      <c r="AE3459" s="35"/>
      <c r="AF3459" s="35"/>
      <c r="AG3459" s="35"/>
      <c r="AH3459" s="35"/>
      <c r="AI3459" s="35"/>
      <c r="AJ3459" s="35"/>
      <c r="AK3459" s="35"/>
      <c r="AL3459" s="35"/>
    </row>
    <row r="3460">
      <c r="A3460" s="40"/>
      <c r="B3460" s="19" t="s">
        <v>14099</v>
      </c>
      <c r="C3460" s="76" t="s">
        <v>16748</v>
      </c>
      <c r="D3460" s="47"/>
      <c r="E3460" s="22" t="s">
        <v>16765</v>
      </c>
      <c r="F3460" s="22" t="s">
        <v>1034</v>
      </c>
      <c r="G3460" s="23">
        <v>2010.0</v>
      </c>
      <c r="H3460" s="22" t="s">
        <v>91</v>
      </c>
      <c r="I3460" s="24" t="s">
        <v>16766</v>
      </c>
      <c r="J3460" s="22" t="s">
        <v>55</v>
      </c>
      <c r="K3460" s="22" t="s">
        <v>16767</v>
      </c>
      <c r="L3460" s="36">
        <v>660.0</v>
      </c>
      <c r="M3460" s="36">
        <v>100.0</v>
      </c>
      <c r="N3460" s="36"/>
      <c r="O3460" s="36"/>
      <c r="P3460" s="37" t="s">
        <v>1038</v>
      </c>
      <c r="Q3460" s="36"/>
      <c r="R3460" s="36"/>
      <c r="S3460" s="36"/>
      <c r="T3460" s="28" t="s">
        <v>16768</v>
      </c>
      <c r="U3460" s="38" t="str">
        <f>HYPERLINK("https://www.ncbi.nlm.nih.gov/pubmed/19554361","PubMed")</f>
        <v>PubMed</v>
      </c>
      <c r="V3460" s="30"/>
      <c r="W3460" s="49"/>
      <c r="X3460" s="49"/>
      <c r="Y3460" s="35"/>
      <c r="Z3460" s="35"/>
      <c r="AA3460" s="35"/>
      <c r="AB3460" s="35"/>
      <c r="AC3460" s="35"/>
      <c r="AD3460" s="35"/>
      <c r="AE3460" s="35"/>
      <c r="AF3460" s="35"/>
      <c r="AG3460" s="35"/>
      <c r="AH3460" s="35"/>
      <c r="AI3460" s="35"/>
      <c r="AJ3460" s="35"/>
      <c r="AK3460" s="35"/>
      <c r="AL3460" s="35"/>
    </row>
    <row r="3461">
      <c r="A3461" s="133"/>
      <c r="B3461" s="75" t="s">
        <v>14099</v>
      </c>
      <c r="C3461" s="76" t="s">
        <v>16748</v>
      </c>
      <c r="D3461" s="47"/>
      <c r="E3461" s="57" t="s">
        <v>577</v>
      </c>
      <c r="F3461" s="22" t="s">
        <v>41</v>
      </c>
      <c r="G3461" s="57">
        <v>2020.0</v>
      </c>
      <c r="H3461" s="57" t="s">
        <v>77</v>
      </c>
      <c r="I3461" s="134" t="s">
        <v>16769</v>
      </c>
      <c r="J3461" s="23" t="s">
        <v>55</v>
      </c>
      <c r="K3461" s="23"/>
      <c r="L3461" s="36">
        <v>904.0</v>
      </c>
      <c r="M3461" s="36"/>
      <c r="N3461" s="36"/>
      <c r="O3461" s="36"/>
      <c r="P3461" s="37"/>
      <c r="Q3461" s="36"/>
      <c r="R3461" s="36"/>
      <c r="S3461" s="36"/>
      <c r="T3461" s="83" t="s">
        <v>16770</v>
      </c>
      <c r="U3461" s="248" t="s">
        <v>61</v>
      </c>
      <c r="V3461" s="139"/>
      <c r="W3461" s="49"/>
      <c r="X3461" s="49"/>
      <c r="Y3461" s="35"/>
      <c r="Z3461" s="35"/>
      <c r="AA3461" s="35"/>
      <c r="AB3461" s="35"/>
      <c r="AC3461" s="35"/>
      <c r="AD3461" s="35"/>
      <c r="AE3461" s="35"/>
      <c r="AF3461" s="35"/>
      <c r="AG3461" s="35"/>
      <c r="AH3461" s="35"/>
      <c r="AI3461" s="35"/>
      <c r="AJ3461" s="35"/>
      <c r="AK3461" s="35"/>
      <c r="AL3461" s="35"/>
    </row>
    <row r="3462">
      <c r="A3462" s="133"/>
      <c r="B3462" s="75" t="s">
        <v>14099</v>
      </c>
      <c r="C3462" s="76" t="s">
        <v>16748</v>
      </c>
      <c r="D3462" s="47"/>
      <c r="E3462" s="57" t="s">
        <v>16771</v>
      </c>
      <c r="F3462" s="22" t="s">
        <v>241</v>
      </c>
      <c r="G3462" s="57">
        <v>2020.0</v>
      </c>
      <c r="H3462" s="57" t="s">
        <v>77</v>
      </c>
      <c r="I3462" s="134" t="s">
        <v>16772</v>
      </c>
      <c r="J3462" s="23" t="s">
        <v>55</v>
      </c>
      <c r="K3462" s="23" t="s">
        <v>16773</v>
      </c>
      <c r="L3462" s="36">
        <v>808.0</v>
      </c>
      <c r="M3462" s="36">
        <v>100.0</v>
      </c>
      <c r="N3462" s="36"/>
      <c r="O3462" s="36" t="s">
        <v>16774</v>
      </c>
      <c r="P3462" s="37" t="s">
        <v>2733</v>
      </c>
      <c r="Q3462" s="36"/>
      <c r="R3462" s="36" t="s">
        <v>3744</v>
      </c>
      <c r="S3462" s="36"/>
      <c r="T3462" s="83" t="s">
        <v>16775</v>
      </c>
      <c r="U3462" s="248" t="s">
        <v>61</v>
      </c>
      <c r="V3462" s="139"/>
      <c r="W3462" s="49"/>
      <c r="X3462" s="49"/>
      <c r="Y3462" s="35"/>
      <c r="Z3462" s="35"/>
      <c r="AA3462" s="35"/>
      <c r="AB3462" s="35"/>
      <c r="AC3462" s="35"/>
      <c r="AD3462" s="35"/>
      <c r="AE3462" s="35"/>
      <c r="AF3462" s="35"/>
      <c r="AG3462" s="35"/>
      <c r="AH3462" s="35"/>
      <c r="AI3462" s="35"/>
      <c r="AJ3462" s="35"/>
      <c r="AK3462" s="35"/>
      <c r="AL3462" s="35"/>
    </row>
    <row r="3463">
      <c r="A3463" s="133"/>
      <c r="B3463" s="75" t="s">
        <v>14099</v>
      </c>
      <c r="C3463" s="76" t="s">
        <v>16748</v>
      </c>
      <c r="D3463" s="47"/>
      <c r="E3463" s="57" t="s">
        <v>16776</v>
      </c>
      <c r="F3463" s="22" t="s">
        <v>41</v>
      </c>
      <c r="G3463" s="57">
        <v>2020.0</v>
      </c>
      <c r="H3463" s="57" t="s">
        <v>91</v>
      </c>
      <c r="I3463" s="134" t="s">
        <v>16777</v>
      </c>
      <c r="J3463" s="23" t="s">
        <v>55</v>
      </c>
      <c r="K3463" s="23" t="s">
        <v>1827</v>
      </c>
      <c r="L3463" s="36">
        <v>830.0</v>
      </c>
      <c r="M3463" s="36" t="s">
        <v>13373</v>
      </c>
      <c r="N3463" s="36" t="s">
        <v>16778</v>
      </c>
      <c r="O3463" s="36" t="s">
        <v>6409</v>
      </c>
      <c r="P3463" s="37" t="s">
        <v>16779</v>
      </c>
      <c r="Q3463" s="36"/>
      <c r="R3463" s="36"/>
      <c r="S3463" s="36"/>
      <c r="T3463" s="83" t="s">
        <v>16780</v>
      </c>
      <c r="U3463" s="312" t="str">
        <f>HYPERLINK("https://www.ncbi.nlm.nih.gov/pubmed/32026166","PubMed")</f>
        <v>PubMed</v>
      </c>
      <c r="V3463" s="139"/>
      <c r="W3463" s="49"/>
      <c r="X3463" s="49"/>
      <c r="Y3463" s="35"/>
      <c r="Z3463" s="35"/>
      <c r="AA3463" s="35"/>
      <c r="AB3463" s="35"/>
      <c r="AC3463" s="35"/>
      <c r="AD3463" s="35"/>
      <c r="AE3463" s="35"/>
      <c r="AF3463" s="35"/>
      <c r="AG3463" s="35"/>
      <c r="AH3463" s="35"/>
      <c r="AI3463" s="35"/>
      <c r="AJ3463" s="35"/>
      <c r="AK3463" s="35"/>
      <c r="AL3463" s="35"/>
    </row>
    <row r="3464">
      <c r="A3464" s="133"/>
      <c r="B3464" s="75" t="s">
        <v>14099</v>
      </c>
      <c r="C3464" s="76" t="s">
        <v>16748</v>
      </c>
      <c r="D3464" s="47"/>
      <c r="E3464" s="57" t="s">
        <v>2850</v>
      </c>
      <c r="F3464" s="22" t="s">
        <v>400</v>
      </c>
      <c r="G3464" s="57">
        <v>2020.0</v>
      </c>
      <c r="H3464" s="57" t="s">
        <v>91</v>
      </c>
      <c r="I3464" s="134" t="s">
        <v>16781</v>
      </c>
      <c r="J3464" s="23" t="s">
        <v>55</v>
      </c>
      <c r="K3464" s="23" t="s">
        <v>16782</v>
      </c>
      <c r="L3464" s="36">
        <v>830.0</v>
      </c>
      <c r="M3464" s="36"/>
      <c r="N3464" s="36"/>
      <c r="O3464" s="36" t="s">
        <v>16783</v>
      </c>
      <c r="P3464" s="37"/>
      <c r="Q3464" s="36"/>
      <c r="R3464" s="36"/>
      <c r="S3464" s="36"/>
      <c r="T3464" s="83" t="s">
        <v>16784</v>
      </c>
      <c r="U3464" s="312" t="str">
        <f>HYPERLINK("https://www.ncbi.nlm.nih.gov/pubmed/31925594","PubMed")</f>
        <v>PubMed</v>
      </c>
      <c r="V3464" s="139"/>
      <c r="W3464" s="49"/>
      <c r="X3464" s="49"/>
      <c r="Y3464" s="35"/>
      <c r="Z3464" s="35"/>
      <c r="AA3464" s="35"/>
      <c r="AB3464" s="35"/>
      <c r="AC3464" s="35"/>
      <c r="AD3464" s="35"/>
      <c r="AE3464" s="35"/>
      <c r="AF3464" s="35"/>
      <c r="AG3464" s="35"/>
      <c r="AH3464" s="35"/>
      <c r="AI3464" s="35"/>
      <c r="AJ3464" s="35"/>
      <c r="AK3464" s="35"/>
      <c r="AL3464" s="35"/>
    </row>
    <row r="3465">
      <c r="A3465" s="133"/>
      <c r="B3465" s="75" t="s">
        <v>14099</v>
      </c>
      <c r="C3465" s="76" t="s">
        <v>16748</v>
      </c>
      <c r="D3465" s="47"/>
      <c r="E3465" s="57" t="s">
        <v>16785</v>
      </c>
      <c r="F3465" s="22" t="s">
        <v>41</v>
      </c>
      <c r="G3465" s="57">
        <v>2018.0</v>
      </c>
      <c r="H3465" s="57" t="s">
        <v>91</v>
      </c>
      <c r="I3465" s="134" t="s">
        <v>16786</v>
      </c>
      <c r="J3465" s="23" t="s">
        <v>55</v>
      </c>
      <c r="K3465" s="23" t="s">
        <v>607</v>
      </c>
      <c r="L3465" s="36">
        <v>808.0</v>
      </c>
      <c r="M3465" s="36"/>
      <c r="N3465" s="36"/>
      <c r="O3465" s="36">
        <v>4.0</v>
      </c>
      <c r="P3465" s="189"/>
      <c r="Q3465" s="36"/>
      <c r="R3465" s="36"/>
      <c r="S3465" s="36"/>
      <c r="T3465" s="83" t="s">
        <v>16787</v>
      </c>
      <c r="U3465" s="312" t="str">
        <f>HYPERLINK("https://www.ncbi.nlm.nih.gov/pubmed/29808322","PubMed")</f>
        <v>PubMed</v>
      </c>
      <c r="V3465" s="139"/>
      <c r="W3465" s="49"/>
      <c r="X3465" s="49"/>
      <c r="Y3465" s="35"/>
      <c r="Z3465" s="35"/>
      <c r="AA3465" s="35"/>
      <c r="AB3465" s="35"/>
      <c r="AC3465" s="35"/>
      <c r="AD3465" s="35"/>
      <c r="AE3465" s="35"/>
      <c r="AF3465" s="35"/>
      <c r="AG3465" s="35"/>
      <c r="AH3465" s="35"/>
      <c r="AI3465" s="35"/>
      <c r="AJ3465" s="35"/>
      <c r="AK3465" s="35"/>
      <c r="AL3465" s="35"/>
    </row>
    <row r="3466">
      <c r="A3466" s="133"/>
      <c r="B3466" s="19" t="s">
        <v>14099</v>
      </c>
      <c r="C3466" s="76" t="s">
        <v>16748</v>
      </c>
      <c r="D3466" s="47"/>
      <c r="E3466" s="57" t="s">
        <v>388</v>
      </c>
      <c r="F3466" s="22" t="s">
        <v>41</v>
      </c>
      <c r="G3466" s="57">
        <v>2018.0</v>
      </c>
      <c r="H3466" s="57" t="s">
        <v>16155</v>
      </c>
      <c r="I3466" s="134" t="s">
        <v>16788</v>
      </c>
      <c r="J3466" s="23" t="s">
        <v>55</v>
      </c>
      <c r="K3466" s="23" t="s">
        <v>16789</v>
      </c>
      <c r="L3466" s="36">
        <v>830.0</v>
      </c>
      <c r="M3466" s="36"/>
      <c r="N3466" s="36"/>
      <c r="O3466" s="37" t="s">
        <v>6409</v>
      </c>
      <c r="Q3466" s="36"/>
      <c r="R3466" s="36"/>
      <c r="S3466" s="36"/>
      <c r="T3466" s="84" t="s">
        <v>16790</v>
      </c>
      <c r="U3466" s="312" t="str">
        <f>HYPERLINK("https://www.ncbi.nlm.nih.gov/pubmed/29578836","PubMed")</f>
        <v>PubMed</v>
      </c>
      <c r="V3466" s="139"/>
      <c r="W3466" s="49"/>
      <c r="X3466" s="49"/>
      <c r="Y3466" s="35"/>
      <c r="Z3466" s="35"/>
      <c r="AA3466" s="35"/>
      <c r="AB3466" s="35"/>
      <c r="AC3466" s="35"/>
      <c r="AD3466" s="35"/>
      <c r="AE3466" s="35"/>
      <c r="AF3466" s="35"/>
      <c r="AG3466" s="35"/>
      <c r="AH3466" s="35"/>
      <c r="AI3466" s="35"/>
      <c r="AJ3466" s="35"/>
      <c r="AK3466" s="35"/>
      <c r="AL3466" s="35"/>
    </row>
    <row r="3467">
      <c r="A3467" s="133"/>
      <c r="B3467" s="19" t="s">
        <v>14099</v>
      </c>
      <c r="C3467" s="76" t="s">
        <v>16748</v>
      </c>
      <c r="D3467" s="47"/>
      <c r="E3467" s="57" t="s">
        <v>388</v>
      </c>
      <c r="F3467" s="22" t="s">
        <v>41</v>
      </c>
      <c r="G3467" s="57">
        <v>2018.0</v>
      </c>
      <c r="H3467" s="57" t="s">
        <v>3347</v>
      </c>
      <c r="I3467" s="134" t="s">
        <v>16791</v>
      </c>
      <c r="J3467" s="23" t="s">
        <v>55</v>
      </c>
      <c r="K3467" s="23"/>
      <c r="L3467" s="36">
        <v>830.0</v>
      </c>
      <c r="M3467" s="36">
        <v>100.0</v>
      </c>
      <c r="N3467" s="36" t="s">
        <v>278</v>
      </c>
      <c r="O3467" s="37" t="s">
        <v>7653</v>
      </c>
      <c r="P3467" s="37" t="s">
        <v>4386</v>
      </c>
      <c r="Q3467" s="36" t="s">
        <v>280</v>
      </c>
      <c r="R3467" s="36" t="s">
        <v>13379</v>
      </c>
      <c r="S3467" s="36">
        <v>1.0</v>
      </c>
      <c r="T3467" s="83" t="s">
        <v>16792</v>
      </c>
      <c r="U3467" s="312" t="str">
        <f>HYPERLINK("https://www.ncbi.nlm.nih.gov/pubmed/29636849","PubMed")</f>
        <v>PubMed</v>
      </c>
      <c r="V3467" s="139"/>
      <c r="W3467" s="49"/>
      <c r="X3467" s="49"/>
      <c r="Y3467" s="35"/>
      <c r="Z3467" s="35"/>
      <c r="AA3467" s="35"/>
      <c r="AB3467" s="35"/>
      <c r="AC3467" s="35"/>
      <c r="AD3467" s="35"/>
      <c r="AE3467" s="35"/>
      <c r="AF3467" s="35"/>
      <c r="AG3467" s="35"/>
      <c r="AH3467" s="35"/>
      <c r="AI3467" s="35"/>
      <c r="AJ3467" s="35"/>
      <c r="AK3467" s="35"/>
      <c r="AL3467" s="35"/>
    </row>
    <row r="3468">
      <c r="A3468" s="133"/>
      <c r="B3468" s="19" t="s">
        <v>14099</v>
      </c>
      <c r="C3468" s="76" t="s">
        <v>16748</v>
      </c>
      <c r="D3468" s="47"/>
      <c r="E3468" s="57" t="s">
        <v>16574</v>
      </c>
      <c r="F3468" s="22" t="s">
        <v>720</v>
      </c>
      <c r="G3468" s="57" t="s">
        <v>90</v>
      </c>
      <c r="H3468" s="57" t="s">
        <v>91</v>
      </c>
      <c r="I3468" s="134" t="s">
        <v>16793</v>
      </c>
      <c r="J3468" s="23" t="s">
        <v>55</v>
      </c>
      <c r="K3468" s="23"/>
      <c r="L3468" s="36">
        <v>780.0</v>
      </c>
      <c r="M3468" s="36">
        <v>15.0</v>
      </c>
      <c r="N3468" s="36" t="s">
        <v>16794</v>
      </c>
      <c r="O3468" s="36" t="s">
        <v>16795</v>
      </c>
      <c r="P3468" s="37" t="s">
        <v>6531</v>
      </c>
      <c r="Q3468" s="36" t="s">
        <v>830</v>
      </c>
      <c r="R3468" s="36">
        <v>80.0</v>
      </c>
      <c r="S3468" s="36" t="s">
        <v>16796</v>
      </c>
      <c r="T3468" s="83" t="s">
        <v>16797</v>
      </c>
      <c r="U3468" s="312" t="str">
        <f>HYPERLINK("https://www.ncbi.nlm.nih.gov/pubmed/29280079","PubMed")</f>
        <v>PubMed</v>
      </c>
      <c r="V3468" s="139"/>
      <c r="W3468" s="49"/>
      <c r="X3468" s="49"/>
      <c r="Y3468" s="35"/>
      <c r="Z3468" s="35"/>
      <c r="AA3468" s="35"/>
      <c r="AB3468" s="35"/>
      <c r="AC3468" s="35"/>
      <c r="AD3468" s="35"/>
      <c r="AE3468" s="35"/>
      <c r="AF3468" s="35"/>
      <c r="AG3468" s="35"/>
      <c r="AH3468" s="35"/>
      <c r="AI3468" s="35"/>
      <c r="AJ3468" s="35"/>
      <c r="AK3468" s="35"/>
      <c r="AL3468" s="35"/>
    </row>
    <row r="3469">
      <c r="A3469" s="1" t="s">
        <v>2</v>
      </c>
      <c r="B3469" s="19" t="s">
        <v>14099</v>
      </c>
      <c r="C3469" s="76" t="s">
        <v>16748</v>
      </c>
      <c r="D3469" s="47"/>
      <c r="E3469" s="22" t="s">
        <v>16798</v>
      </c>
      <c r="F3469" s="22" t="s">
        <v>797</v>
      </c>
      <c r="G3469" s="23">
        <v>2016.0</v>
      </c>
      <c r="H3469" s="22" t="s">
        <v>91</v>
      </c>
      <c r="I3469" s="24" t="s">
        <v>16799</v>
      </c>
      <c r="J3469" s="22" t="s">
        <v>55</v>
      </c>
      <c r="K3469" s="22" t="s">
        <v>1112</v>
      </c>
      <c r="L3469" s="36"/>
      <c r="M3469" s="36"/>
      <c r="N3469" s="36"/>
      <c r="O3469" s="36"/>
      <c r="P3469" s="37"/>
      <c r="Q3469" s="36"/>
      <c r="R3469" s="36"/>
      <c r="S3469" s="36"/>
      <c r="T3469" s="28" t="s">
        <v>16800</v>
      </c>
      <c r="U3469" s="38" t="str">
        <f>HYPERLINK("https://www.ncbi.nlm.nih.gov/pubmed/26714977","PubMed")</f>
        <v>PubMed</v>
      </c>
      <c r="V3469" s="30"/>
      <c r="W3469" s="49"/>
      <c r="X3469" s="49"/>
      <c r="Y3469" s="35"/>
      <c r="Z3469" s="35"/>
      <c r="AA3469" s="35"/>
      <c r="AB3469" s="35"/>
      <c r="AC3469" s="35"/>
      <c r="AD3469" s="35"/>
      <c r="AE3469" s="35"/>
      <c r="AF3469" s="35"/>
      <c r="AG3469" s="35"/>
      <c r="AH3469" s="35"/>
      <c r="AI3469" s="35"/>
      <c r="AJ3469" s="35"/>
      <c r="AK3469" s="35"/>
      <c r="AL3469" s="35"/>
    </row>
    <row r="3470">
      <c r="A3470" s="18" t="s">
        <v>2983</v>
      </c>
      <c r="B3470" s="19" t="s">
        <v>14099</v>
      </c>
      <c r="C3470" s="76" t="s">
        <v>16748</v>
      </c>
      <c r="D3470" s="47"/>
      <c r="E3470" s="22" t="s">
        <v>15801</v>
      </c>
      <c r="F3470" s="22" t="s">
        <v>274</v>
      </c>
      <c r="G3470" s="23">
        <v>2015.0</v>
      </c>
      <c r="H3470" s="22" t="s">
        <v>91</v>
      </c>
      <c r="I3470" s="24" t="s">
        <v>16801</v>
      </c>
      <c r="J3470" s="22" t="s">
        <v>44</v>
      </c>
      <c r="K3470" s="22" t="s">
        <v>16292</v>
      </c>
      <c r="L3470" s="36" t="s">
        <v>15804</v>
      </c>
      <c r="M3470" s="36" t="s">
        <v>16802</v>
      </c>
      <c r="N3470" s="36" t="s">
        <v>16803</v>
      </c>
      <c r="O3470" s="36"/>
      <c r="P3470" s="37" t="s">
        <v>8585</v>
      </c>
      <c r="Q3470" s="36" t="s">
        <v>16804</v>
      </c>
      <c r="R3470" s="36">
        <v>90.0</v>
      </c>
      <c r="S3470" s="36"/>
      <c r="T3470" s="28" t="s">
        <v>16805</v>
      </c>
      <c r="U3470" s="38" t="str">
        <f>HYPERLINK("https://www.ncbi.nlm.nih.gov/pubmed/25700769","PubMed")</f>
        <v>PubMed</v>
      </c>
      <c r="V3470" s="30"/>
      <c r="W3470" s="49"/>
      <c r="X3470" s="49"/>
      <c r="Y3470" s="35"/>
      <c r="Z3470" s="35"/>
      <c r="AA3470" s="35"/>
      <c r="AB3470" s="35"/>
      <c r="AC3470" s="35"/>
      <c r="AD3470" s="35"/>
      <c r="AE3470" s="35"/>
      <c r="AF3470" s="35"/>
      <c r="AG3470" s="35"/>
      <c r="AH3470" s="35"/>
      <c r="AI3470" s="35"/>
      <c r="AJ3470" s="35"/>
      <c r="AK3470" s="35"/>
      <c r="AL3470" s="35"/>
    </row>
    <row r="3471">
      <c r="A3471" s="207" t="s">
        <v>16806</v>
      </c>
      <c r="B3471" s="19" t="s">
        <v>14099</v>
      </c>
      <c r="C3471" s="76" t="s">
        <v>16748</v>
      </c>
      <c r="D3471" s="47"/>
      <c r="E3471" s="22" t="s">
        <v>15801</v>
      </c>
      <c r="F3471" s="22" t="s">
        <v>41</v>
      </c>
      <c r="G3471" s="23">
        <v>2015.0</v>
      </c>
      <c r="H3471" s="22" t="s">
        <v>42</v>
      </c>
      <c r="I3471" s="24" t="s">
        <v>16807</v>
      </c>
      <c r="J3471" s="22" t="s">
        <v>44</v>
      </c>
      <c r="K3471" s="22" t="s">
        <v>16808</v>
      </c>
      <c r="L3471" s="36" t="s">
        <v>16809</v>
      </c>
      <c r="M3471" s="36"/>
      <c r="N3471" s="36" t="s">
        <v>6622</v>
      </c>
      <c r="O3471" s="36"/>
      <c r="P3471" s="37" t="s">
        <v>16810</v>
      </c>
      <c r="Q3471" s="36"/>
      <c r="R3471" s="36">
        <v>90.0</v>
      </c>
      <c r="S3471" s="36"/>
      <c r="T3471" s="28" t="s">
        <v>16811</v>
      </c>
      <c r="U3471" s="38" t="str">
        <f>HYPERLINK("https://www.ncbi.nlm.nih.gov/pubmed/25378263","PubMed")</f>
        <v>PubMed</v>
      </c>
      <c r="V3471" s="30"/>
      <c r="W3471" s="49"/>
      <c r="X3471" s="49"/>
      <c r="Y3471" s="35"/>
      <c r="Z3471" s="35"/>
      <c r="AA3471" s="35"/>
      <c r="AB3471" s="35"/>
      <c r="AC3471" s="35"/>
      <c r="AD3471" s="35"/>
      <c r="AE3471" s="35"/>
      <c r="AF3471" s="35"/>
      <c r="AG3471" s="35"/>
      <c r="AH3471" s="35"/>
      <c r="AI3471" s="35"/>
      <c r="AJ3471" s="35"/>
      <c r="AK3471" s="35"/>
      <c r="AL3471" s="35"/>
    </row>
    <row r="3472">
      <c r="A3472" s="207"/>
      <c r="B3472" s="19" t="s">
        <v>14099</v>
      </c>
      <c r="C3472" s="76" t="s">
        <v>16748</v>
      </c>
      <c r="D3472" s="47"/>
      <c r="E3472" s="22" t="s">
        <v>16812</v>
      </c>
      <c r="F3472" s="22" t="s">
        <v>41</v>
      </c>
      <c r="G3472" s="23">
        <v>2015.0</v>
      </c>
      <c r="H3472" s="22" t="s">
        <v>91</v>
      </c>
      <c r="I3472" s="24" t="s">
        <v>16813</v>
      </c>
      <c r="J3472" s="22" t="s">
        <v>55</v>
      </c>
      <c r="K3472" s="22"/>
      <c r="L3472" s="36">
        <v>808.0</v>
      </c>
      <c r="M3472" s="36"/>
      <c r="N3472" s="36"/>
      <c r="O3472" s="36">
        <v>4.0</v>
      </c>
      <c r="P3472" s="37"/>
      <c r="Q3472" s="36"/>
      <c r="R3472" s="36"/>
      <c r="S3472" s="36"/>
      <c r="T3472" s="42" t="s">
        <v>16814</v>
      </c>
      <c r="U3472" s="38" t="str">
        <f>HYPERLINK("https://www.ncbi.nlm.nih.gov/pubmed/25647393","PubMed")</f>
        <v>PubMed</v>
      </c>
      <c r="V3472" s="30"/>
      <c r="W3472" s="49"/>
      <c r="X3472" s="49"/>
      <c r="Y3472" s="35"/>
      <c r="Z3472" s="35"/>
      <c r="AA3472" s="35"/>
      <c r="AB3472" s="35"/>
      <c r="AC3472" s="35"/>
      <c r="AD3472" s="35"/>
      <c r="AE3472" s="35"/>
      <c r="AF3472" s="35"/>
      <c r="AG3472" s="35"/>
      <c r="AH3472" s="35"/>
      <c r="AI3472" s="35"/>
      <c r="AJ3472" s="35"/>
      <c r="AK3472" s="35"/>
      <c r="AL3472" s="35"/>
    </row>
    <row r="3473">
      <c r="A3473" s="207"/>
      <c r="B3473" s="19" t="s">
        <v>14099</v>
      </c>
      <c r="C3473" s="76" t="s">
        <v>16748</v>
      </c>
      <c r="D3473" s="47"/>
      <c r="E3473" s="22" t="s">
        <v>12919</v>
      </c>
      <c r="F3473" s="22" t="s">
        <v>530</v>
      </c>
      <c r="G3473" s="23">
        <v>2015.0</v>
      </c>
      <c r="H3473" s="22" t="s">
        <v>12224</v>
      </c>
      <c r="I3473" s="24" t="s">
        <v>16815</v>
      </c>
      <c r="J3473" s="22" t="s">
        <v>55</v>
      </c>
      <c r="K3473" s="22"/>
      <c r="L3473" s="36"/>
      <c r="M3473" s="36"/>
      <c r="N3473" s="36"/>
      <c r="O3473" s="36"/>
      <c r="P3473" s="37"/>
      <c r="Q3473" s="36"/>
      <c r="R3473" s="36"/>
      <c r="S3473" s="36"/>
      <c r="T3473" s="42" t="s">
        <v>16816</v>
      </c>
      <c r="U3473" s="38" t="str">
        <f>HYPERLINK("https://www.ncbi.nlm.nih.gov/pubmed/26647747","PubMed")</f>
        <v>PubMed</v>
      </c>
      <c r="V3473" s="30"/>
      <c r="W3473" s="49"/>
      <c r="X3473" s="49"/>
      <c r="Y3473" s="35"/>
      <c r="Z3473" s="35"/>
      <c r="AA3473" s="35"/>
      <c r="AB3473" s="35"/>
      <c r="AC3473" s="35"/>
      <c r="AD3473" s="35"/>
      <c r="AE3473" s="35"/>
      <c r="AF3473" s="35"/>
      <c r="AG3473" s="35"/>
      <c r="AH3473" s="35"/>
      <c r="AI3473" s="35"/>
      <c r="AJ3473" s="35"/>
      <c r="AK3473" s="35"/>
      <c r="AL3473" s="35"/>
    </row>
    <row r="3474">
      <c r="A3474" s="40" t="s">
        <v>2</v>
      </c>
      <c r="B3474" s="19" t="s">
        <v>14099</v>
      </c>
      <c r="C3474" s="76" t="s">
        <v>16748</v>
      </c>
      <c r="D3474" s="47"/>
      <c r="E3474" s="22" t="s">
        <v>16377</v>
      </c>
      <c r="F3474" s="22" t="s">
        <v>5207</v>
      </c>
      <c r="G3474" s="23">
        <v>2014.0</v>
      </c>
      <c r="H3474" s="22" t="s">
        <v>91</v>
      </c>
      <c r="I3474" s="24" t="s">
        <v>16817</v>
      </c>
      <c r="J3474" s="22" t="s">
        <v>55</v>
      </c>
      <c r="K3474" s="22"/>
      <c r="L3474" s="36">
        <v>940.0</v>
      </c>
      <c r="M3474" s="36">
        <v>160.0</v>
      </c>
      <c r="N3474" s="36" t="s">
        <v>16818</v>
      </c>
      <c r="O3474" s="36"/>
      <c r="P3474" s="37" t="s">
        <v>254</v>
      </c>
      <c r="Q3474" s="36"/>
      <c r="R3474" s="36"/>
      <c r="S3474" s="36"/>
      <c r="T3474" s="28" t="s">
        <v>16819</v>
      </c>
      <c r="U3474" s="38" t="str">
        <f>HYPERLINK("https://www.ncbi.nlm.nih.gov/pubmed/23780711","PubMed")</f>
        <v>PubMed</v>
      </c>
      <c r="V3474" s="30"/>
      <c r="W3474" s="49"/>
      <c r="X3474" s="49"/>
      <c r="Y3474" s="35"/>
      <c r="Z3474" s="35"/>
      <c r="AA3474" s="35"/>
      <c r="AB3474" s="35"/>
      <c r="AC3474" s="35"/>
      <c r="AD3474" s="35"/>
      <c r="AE3474" s="35"/>
      <c r="AF3474" s="35"/>
      <c r="AG3474" s="35"/>
      <c r="AH3474" s="35"/>
      <c r="AI3474" s="35"/>
      <c r="AJ3474" s="35"/>
      <c r="AK3474" s="35"/>
      <c r="AL3474" s="35"/>
    </row>
    <row r="3475">
      <c r="A3475" s="207"/>
      <c r="B3475" s="19" t="s">
        <v>14099</v>
      </c>
      <c r="C3475" s="76" t="s">
        <v>16748</v>
      </c>
      <c r="D3475" s="47"/>
      <c r="E3475" s="22" t="s">
        <v>8184</v>
      </c>
      <c r="F3475" s="22" t="s">
        <v>5207</v>
      </c>
      <c r="G3475" s="23">
        <v>2012.0</v>
      </c>
      <c r="H3475" s="22" t="s">
        <v>91</v>
      </c>
      <c r="I3475" s="24" t="s">
        <v>16820</v>
      </c>
      <c r="J3475" s="22" t="s">
        <v>55</v>
      </c>
      <c r="K3475" s="22" t="s">
        <v>157</v>
      </c>
      <c r="L3475" s="36">
        <v>940.0</v>
      </c>
      <c r="M3475" s="36">
        <v>160.0</v>
      </c>
      <c r="N3475" s="36" t="s">
        <v>16818</v>
      </c>
      <c r="O3475" s="36"/>
      <c r="P3475" s="37" t="s">
        <v>254</v>
      </c>
      <c r="Q3475" s="36" t="s">
        <v>675</v>
      </c>
      <c r="R3475" s="36"/>
      <c r="S3475" s="36"/>
      <c r="T3475" s="28" t="s">
        <v>16821</v>
      </c>
      <c r="U3475" s="38" t="str">
        <f>HYPERLINK("https://www.ncbi.nlm.nih.gov/pubmed/22223060","PubMed")</f>
        <v>PubMed</v>
      </c>
      <c r="V3475" s="30"/>
      <c r="W3475" s="49"/>
      <c r="X3475" s="49"/>
      <c r="Y3475" s="35"/>
      <c r="Z3475" s="35"/>
      <c r="AA3475" s="35"/>
      <c r="AB3475" s="35"/>
      <c r="AC3475" s="35"/>
      <c r="AD3475" s="35"/>
      <c r="AE3475" s="35"/>
      <c r="AF3475" s="35"/>
      <c r="AG3475" s="35"/>
      <c r="AH3475" s="35"/>
      <c r="AI3475" s="35"/>
      <c r="AJ3475" s="35"/>
      <c r="AK3475" s="35"/>
      <c r="AL3475" s="35"/>
    </row>
    <row r="3476">
      <c r="A3476" s="207"/>
      <c r="B3476" s="19" t="s">
        <v>14099</v>
      </c>
      <c r="C3476" s="76" t="s">
        <v>16748</v>
      </c>
      <c r="D3476" s="47"/>
      <c r="E3476" s="22" t="s">
        <v>450</v>
      </c>
      <c r="F3476" s="22" t="s">
        <v>41</v>
      </c>
      <c r="G3476" s="23">
        <v>2014.0</v>
      </c>
      <c r="H3476" s="22" t="s">
        <v>91</v>
      </c>
      <c r="I3476" s="24" t="s">
        <v>16822</v>
      </c>
      <c r="J3476" s="22" t="s">
        <v>55</v>
      </c>
      <c r="K3476" s="22" t="s">
        <v>294</v>
      </c>
      <c r="L3476" s="36" t="s">
        <v>15809</v>
      </c>
      <c r="M3476" s="36"/>
      <c r="N3476" s="36"/>
      <c r="O3476" s="318">
        <v>40238.0</v>
      </c>
      <c r="P3476" s="37"/>
      <c r="Q3476" s="36"/>
      <c r="R3476" s="36"/>
      <c r="S3476" s="36"/>
      <c r="T3476" s="42" t="s">
        <v>16823</v>
      </c>
      <c r="U3476" s="215"/>
      <c r="V3476" s="30"/>
      <c r="W3476" s="49"/>
      <c r="X3476" s="49"/>
      <c r="Y3476" s="35"/>
      <c r="Z3476" s="35"/>
      <c r="AA3476" s="35"/>
      <c r="AB3476" s="35"/>
      <c r="AC3476" s="35"/>
      <c r="AD3476" s="35"/>
      <c r="AE3476" s="35"/>
      <c r="AF3476" s="35"/>
      <c r="AG3476" s="35"/>
      <c r="AH3476" s="35"/>
      <c r="AI3476" s="35"/>
      <c r="AJ3476" s="35"/>
      <c r="AK3476" s="35"/>
      <c r="AL3476" s="35"/>
    </row>
    <row r="3477">
      <c r="A3477" s="207"/>
      <c r="B3477" s="19" t="s">
        <v>14099</v>
      </c>
      <c r="C3477" s="76" t="s">
        <v>16748</v>
      </c>
      <c r="D3477" s="47"/>
      <c r="E3477" s="22" t="s">
        <v>4396</v>
      </c>
      <c r="F3477" s="22" t="s">
        <v>274</v>
      </c>
      <c r="G3477" s="23">
        <v>2014.0</v>
      </c>
      <c r="H3477" s="22" t="s">
        <v>53</v>
      </c>
      <c r="I3477" s="24" t="s">
        <v>16824</v>
      </c>
      <c r="J3477" s="22" t="s">
        <v>55</v>
      </c>
      <c r="K3477" s="22"/>
      <c r="L3477" s="36">
        <v>780.0</v>
      </c>
      <c r="M3477" s="36">
        <v>15.0</v>
      </c>
      <c r="N3477" s="36" t="s">
        <v>16794</v>
      </c>
      <c r="O3477" s="36" t="s">
        <v>16825</v>
      </c>
      <c r="P3477" s="37" t="s">
        <v>6531</v>
      </c>
      <c r="Q3477" s="36"/>
      <c r="R3477" s="36">
        <v>10.0</v>
      </c>
      <c r="S3477" s="36"/>
      <c r="T3477" s="28" t="s">
        <v>16826</v>
      </c>
      <c r="U3477" s="38" t="str">
        <f>HYPERLINK("https://www.ncbi.nlm.nih.gov/pubmed/25363390","PubMed")</f>
        <v>PubMed</v>
      </c>
      <c r="V3477" s="30"/>
      <c r="W3477" s="49"/>
      <c r="X3477" s="49"/>
      <c r="Y3477" s="35"/>
      <c r="Z3477" s="35"/>
      <c r="AA3477" s="35"/>
      <c r="AB3477" s="35"/>
      <c r="AC3477" s="35"/>
      <c r="AD3477" s="35"/>
      <c r="AE3477" s="35"/>
      <c r="AF3477" s="35"/>
      <c r="AG3477" s="35"/>
      <c r="AH3477" s="35"/>
      <c r="AI3477" s="35"/>
      <c r="AJ3477" s="35"/>
      <c r="AK3477" s="35"/>
      <c r="AL3477" s="35"/>
    </row>
    <row r="3478">
      <c r="A3478" s="207"/>
      <c r="B3478" s="19" t="s">
        <v>14099</v>
      </c>
      <c r="C3478" s="76" t="s">
        <v>16748</v>
      </c>
      <c r="D3478" s="47"/>
      <c r="E3478" s="22" t="s">
        <v>16827</v>
      </c>
      <c r="F3478" s="22" t="s">
        <v>274</v>
      </c>
      <c r="G3478" s="23">
        <v>2013.0</v>
      </c>
      <c r="H3478" s="22" t="s">
        <v>658</v>
      </c>
      <c r="I3478" s="24" t="s">
        <v>16828</v>
      </c>
      <c r="J3478" s="22" t="s">
        <v>55</v>
      </c>
      <c r="K3478" s="22"/>
      <c r="L3478" s="36"/>
      <c r="M3478" s="36"/>
      <c r="N3478" s="36"/>
      <c r="O3478" s="36"/>
      <c r="P3478" s="37"/>
      <c r="Q3478" s="36"/>
      <c r="R3478" s="36"/>
      <c r="S3478" s="36"/>
      <c r="T3478" s="28" t="s">
        <v>16829</v>
      </c>
      <c r="U3478" s="38" t="str">
        <f>HYPERLINK("https://www.ncbi.nlm.nih.gov/pubmed/24102167","PubMed")</f>
        <v>PubMed</v>
      </c>
      <c r="V3478" s="30"/>
      <c r="W3478" s="49"/>
      <c r="X3478" s="49"/>
      <c r="Y3478" s="35"/>
      <c r="Z3478" s="35"/>
      <c r="AA3478" s="35"/>
      <c r="AB3478" s="35"/>
      <c r="AC3478" s="35"/>
      <c r="AD3478" s="35"/>
      <c r="AE3478" s="35"/>
      <c r="AF3478" s="35"/>
      <c r="AG3478" s="35"/>
      <c r="AH3478" s="35"/>
      <c r="AI3478" s="35"/>
      <c r="AJ3478" s="35"/>
      <c r="AK3478" s="35"/>
      <c r="AL3478" s="35"/>
    </row>
    <row r="3479">
      <c r="A3479" s="40" t="s">
        <v>2</v>
      </c>
      <c r="B3479" s="19" t="s">
        <v>14099</v>
      </c>
      <c r="C3479" s="76" t="s">
        <v>16748</v>
      </c>
      <c r="D3479" s="47"/>
      <c r="E3479" s="22" t="s">
        <v>764</v>
      </c>
      <c r="F3479" s="22" t="s">
        <v>41</v>
      </c>
      <c r="G3479" s="23">
        <v>2011.0</v>
      </c>
      <c r="H3479" s="22" t="s">
        <v>4975</v>
      </c>
      <c r="I3479" s="24" t="s">
        <v>16830</v>
      </c>
      <c r="J3479" s="22" t="s">
        <v>55</v>
      </c>
      <c r="K3479" s="22" t="s">
        <v>16831</v>
      </c>
      <c r="L3479" s="36">
        <v>904.0</v>
      </c>
      <c r="M3479" s="36">
        <v>15.0</v>
      </c>
      <c r="N3479" s="36"/>
      <c r="O3479" s="36" t="s">
        <v>16832</v>
      </c>
      <c r="P3479" s="37"/>
      <c r="Q3479" s="36"/>
      <c r="R3479" s="36"/>
      <c r="S3479" s="36">
        <v>1.0</v>
      </c>
      <c r="T3479" s="28" t="s">
        <v>16833</v>
      </c>
      <c r="U3479" s="38" t="str">
        <f>HYPERLINK("https://www.ncbi.nlm.nih.gov/pubmed/21749398","PubMed")</f>
        <v>PubMed</v>
      </c>
      <c r="V3479" s="30"/>
      <c r="W3479" s="49"/>
      <c r="X3479" s="49"/>
      <c r="Y3479" s="35"/>
      <c r="Z3479" s="35"/>
      <c r="AA3479" s="35"/>
      <c r="AB3479" s="35"/>
      <c r="AC3479" s="35"/>
      <c r="AD3479" s="35"/>
      <c r="AE3479" s="35"/>
      <c r="AF3479" s="35"/>
      <c r="AG3479" s="35"/>
      <c r="AH3479" s="35"/>
      <c r="AI3479" s="35"/>
      <c r="AJ3479" s="35"/>
      <c r="AK3479" s="35"/>
      <c r="AL3479" s="35"/>
    </row>
    <row r="3480">
      <c r="A3480" s="40"/>
      <c r="B3480" s="19" t="s">
        <v>14099</v>
      </c>
      <c r="C3480" s="76" t="s">
        <v>16748</v>
      </c>
      <c r="D3480" s="47"/>
      <c r="E3480" s="22" t="s">
        <v>16659</v>
      </c>
      <c r="F3480" s="22" t="s">
        <v>1465</v>
      </c>
      <c r="G3480" s="23">
        <v>2010.0</v>
      </c>
      <c r="H3480" s="22" t="s">
        <v>16603</v>
      </c>
      <c r="I3480" s="24" t="s">
        <v>16834</v>
      </c>
      <c r="J3480" s="22" t="s">
        <v>55</v>
      </c>
      <c r="K3480" s="22" t="s">
        <v>1240</v>
      </c>
      <c r="L3480" s="36">
        <v>904.0</v>
      </c>
      <c r="M3480" s="36"/>
      <c r="N3480" s="36"/>
      <c r="O3480" s="36" t="s">
        <v>16835</v>
      </c>
      <c r="P3480" s="37"/>
      <c r="Q3480" s="36"/>
      <c r="R3480" s="36"/>
      <c r="S3480" s="36"/>
      <c r="T3480" s="28" t="s">
        <v>16836</v>
      </c>
      <c r="U3480" s="38" t="str">
        <f>HYPERLINK("https://www.ncbi.nlm.nih.gov/pubmed/20024577","PubMed")</f>
        <v>PubMed</v>
      </c>
      <c r="V3480" s="30"/>
      <c r="W3480" s="49"/>
      <c r="X3480" s="49"/>
      <c r="Y3480" s="35"/>
      <c r="Z3480" s="35"/>
      <c r="AA3480" s="35"/>
      <c r="AB3480" s="35"/>
      <c r="AC3480" s="35"/>
      <c r="AD3480" s="35"/>
      <c r="AE3480" s="35"/>
      <c r="AF3480" s="35"/>
      <c r="AG3480" s="35"/>
      <c r="AH3480" s="35"/>
      <c r="AI3480" s="35"/>
      <c r="AJ3480" s="35"/>
      <c r="AK3480" s="35"/>
      <c r="AL3480" s="35"/>
    </row>
    <row r="3481">
      <c r="A3481" s="207"/>
      <c r="B3481" s="19" t="s">
        <v>14099</v>
      </c>
      <c r="C3481" s="76" t="s">
        <v>16748</v>
      </c>
      <c r="D3481" s="47"/>
      <c r="E3481" s="22" t="s">
        <v>14778</v>
      </c>
      <c r="F3481" s="22" t="s">
        <v>41</v>
      </c>
      <c r="G3481" s="23">
        <v>2006.0</v>
      </c>
      <c r="H3481" s="22" t="s">
        <v>16837</v>
      </c>
      <c r="I3481" s="24" t="s">
        <v>16838</v>
      </c>
      <c r="J3481" s="22" t="s">
        <v>55</v>
      </c>
      <c r="K3481" s="22" t="s">
        <v>1240</v>
      </c>
      <c r="L3481" s="36"/>
      <c r="M3481" s="36"/>
      <c r="N3481" s="36"/>
      <c r="O3481" s="36"/>
      <c r="P3481" s="37" t="s">
        <v>16839</v>
      </c>
      <c r="Q3481" s="36"/>
      <c r="R3481" s="249"/>
      <c r="S3481" s="36"/>
      <c r="T3481" s="28" t="s">
        <v>16840</v>
      </c>
      <c r="U3481" s="38" t="str">
        <f>HYPERLINK("https://www.ncbi.nlm.nih.gov/pubmed/16627677","PubMed")</f>
        <v>PubMed</v>
      </c>
      <c r="V3481" s="30"/>
      <c r="W3481" s="49"/>
      <c r="X3481" s="49"/>
      <c r="Y3481" s="35"/>
      <c r="Z3481" s="35"/>
      <c r="AA3481" s="35"/>
      <c r="AB3481" s="35"/>
      <c r="AC3481" s="35"/>
      <c r="AD3481" s="35"/>
      <c r="AE3481" s="35"/>
      <c r="AF3481" s="35"/>
      <c r="AG3481" s="35"/>
      <c r="AH3481" s="35"/>
      <c r="AI3481" s="35"/>
      <c r="AJ3481" s="35"/>
      <c r="AK3481" s="35"/>
      <c r="AL3481" s="35"/>
    </row>
    <row r="3482">
      <c r="A3482" s="205"/>
      <c r="B3482" s="19" t="s">
        <v>14099</v>
      </c>
      <c r="C3482" s="20" t="s">
        <v>16841</v>
      </c>
      <c r="D3482" s="112"/>
      <c r="E3482" s="113" t="s">
        <v>16842</v>
      </c>
      <c r="F3482" s="113" t="s">
        <v>16843</v>
      </c>
      <c r="G3482" s="113">
        <v>2023.0</v>
      </c>
      <c r="H3482" s="113" t="s">
        <v>77</v>
      </c>
      <c r="I3482" s="114" t="s">
        <v>16844</v>
      </c>
      <c r="J3482" s="23" t="s">
        <v>16845</v>
      </c>
      <c r="K3482" s="113"/>
      <c r="L3482" s="319"/>
      <c r="M3482" s="36"/>
      <c r="N3482" s="36"/>
      <c r="O3482" s="37"/>
      <c r="P3482" s="37"/>
      <c r="Q3482" s="36"/>
      <c r="R3482" s="36"/>
      <c r="S3482" s="36"/>
      <c r="T3482" s="83" t="s">
        <v>16846</v>
      </c>
      <c r="U3482" s="320" t="s">
        <v>61</v>
      </c>
      <c r="V3482" s="139"/>
      <c r="W3482" s="49"/>
      <c r="X3482" s="49"/>
      <c r="Y3482" s="35"/>
      <c r="Z3482" s="35"/>
      <c r="AA3482" s="35"/>
      <c r="AB3482" s="35"/>
      <c r="AC3482" s="35"/>
      <c r="AD3482" s="35"/>
      <c r="AE3482" s="35"/>
      <c r="AF3482" s="35"/>
      <c r="AG3482" s="35"/>
      <c r="AH3482" s="35"/>
      <c r="AI3482" s="35"/>
      <c r="AJ3482" s="35"/>
      <c r="AK3482" s="35"/>
      <c r="AL3482" s="35"/>
    </row>
    <row r="3483">
      <c r="A3483" s="205"/>
      <c r="B3483" s="19" t="s">
        <v>14099</v>
      </c>
      <c r="C3483" s="20" t="s">
        <v>16841</v>
      </c>
      <c r="D3483" s="112"/>
      <c r="E3483" s="113" t="s">
        <v>15518</v>
      </c>
      <c r="F3483" s="113" t="s">
        <v>332</v>
      </c>
      <c r="G3483" s="113">
        <v>2023.0</v>
      </c>
      <c r="H3483" s="113" t="s">
        <v>2181</v>
      </c>
      <c r="I3483" s="114" t="s">
        <v>16847</v>
      </c>
      <c r="J3483" s="23" t="s">
        <v>16848</v>
      </c>
      <c r="K3483" s="113" t="s">
        <v>16849</v>
      </c>
      <c r="L3483" s="319">
        <v>650.0</v>
      </c>
      <c r="M3483" s="36">
        <v>5.0</v>
      </c>
      <c r="N3483" s="36"/>
      <c r="O3483" s="37" t="s">
        <v>16850</v>
      </c>
      <c r="P3483" s="37" t="s">
        <v>16851</v>
      </c>
      <c r="Q3483" s="36" t="s">
        <v>13174</v>
      </c>
      <c r="R3483" s="36">
        <v>3600.0</v>
      </c>
      <c r="S3483" s="36" t="s">
        <v>1961</v>
      </c>
      <c r="T3483" s="83" t="s">
        <v>16852</v>
      </c>
      <c r="U3483" s="320" t="s">
        <v>61</v>
      </c>
      <c r="V3483" s="139"/>
      <c r="W3483" s="49"/>
      <c r="X3483" s="49"/>
      <c r="Y3483" s="35"/>
      <c r="Z3483" s="35"/>
      <c r="AA3483" s="35"/>
      <c r="AB3483" s="35"/>
      <c r="AC3483" s="35"/>
      <c r="AD3483" s="35"/>
      <c r="AE3483" s="35"/>
      <c r="AF3483" s="35"/>
      <c r="AG3483" s="35"/>
      <c r="AH3483" s="35"/>
      <c r="AI3483" s="35"/>
      <c r="AJ3483" s="35"/>
      <c r="AK3483" s="35"/>
      <c r="AL3483" s="35"/>
    </row>
    <row r="3484">
      <c r="A3484" s="205"/>
      <c r="B3484" s="19" t="s">
        <v>14099</v>
      </c>
      <c r="C3484" s="20" t="s">
        <v>16841</v>
      </c>
      <c r="D3484" s="112"/>
      <c r="E3484" s="113" t="s">
        <v>7700</v>
      </c>
      <c r="F3484" s="113" t="s">
        <v>89</v>
      </c>
      <c r="G3484" s="113">
        <v>2022.0</v>
      </c>
      <c r="H3484" s="113" t="s">
        <v>16853</v>
      </c>
      <c r="I3484" s="114" t="s">
        <v>16854</v>
      </c>
      <c r="J3484" s="113" t="s">
        <v>2141</v>
      </c>
      <c r="K3484" s="113"/>
      <c r="L3484" s="321"/>
      <c r="M3484" s="168"/>
      <c r="N3484" s="168"/>
      <c r="O3484" s="169"/>
      <c r="P3484" s="169"/>
      <c r="Q3484" s="168"/>
      <c r="R3484" s="168"/>
      <c r="S3484" s="168"/>
      <c r="T3484" s="314" t="s">
        <v>16855</v>
      </c>
      <c r="U3484" s="320" t="s">
        <v>61</v>
      </c>
      <c r="V3484" s="139"/>
      <c r="W3484" s="49"/>
      <c r="X3484" s="49"/>
      <c r="Y3484" s="35"/>
      <c r="Z3484" s="35"/>
      <c r="AA3484" s="35"/>
      <c r="AB3484" s="35"/>
      <c r="AC3484" s="35"/>
      <c r="AD3484" s="35"/>
      <c r="AE3484" s="35"/>
      <c r="AF3484" s="35"/>
      <c r="AG3484" s="35"/>
      <c r="AH3484" s="35"/>
      <c r="AI3484" s="35"/>
      <c r="AJ3484" s="35"/>
      <c r="AK3484" s="35"/>
      <c r="AL3484" s="35"/>
    </row>
    <row r="3485">
      <c r="A3485" s="205"/>
      <c r="B3485" s="19" t="s">
        <v>14099</v>
      </c>
      <c r="C3485" s="20" t="s">
        <v>16841</v>
      </c>
      <c r="D3485" s="112"/>
      <c r="E3485" s="113" t="s">
        <v>16856</v>
      </c>
      <c r="F3485" s="113" t="s">
        <v>274</v>
      </c>
      <c r="G3485" s="113">
        <v>2019.0</v>
      </c>
      <c r="H3485" s="113" t="s">
        <v>14630</v>
      </c>
      <c r="I3485" s="114" t="s">
        <v>16857</v>
      </c>
      <c r="J3485" s="113" t="s">
        <v>16858</v>
      </c>
      <c r="K3485" s="113" t="s">
        <v>16859</v>
      </c>
      <c r="L3485" s="319">
        <v>850.0</v>
      </c>
      <c r="M3485" s="36" t="s">
        <v>16860</v>
      </c>
      <c r="N3485" s="36"/>
      <c r="O3485" s="37" t="s">
        <v>16861</v>
      </c>
      <c r="P3485" s="37" t="s">
        <v>16862</v>
      </c>
      <c r="Q3485" s="36"/>
      <c r="R3485" s="36"/>
      <c r="S3485" s="36" t="s">
        <v>1990</v>
      </c>
      <c r="T3485" s="84" t="s">
        <v>16863</v>
      </c>
      <c r="U3485" s="322" t="str">
        <f>HYPERLINK("https://www.ncbi.nlm.nih.gov/pubmed/30670240","PubMed")</f>
        <v>PubMed</v>
      </c>
      <c r="V3485" s="139"/>
      <c r="W3485" s="49"/>
      <c r="X3485" s="49"/>
      <c r="Y3485" s="35"/>
      <c r="Z3485" s="35"/>
      <c r="AA3485" s="35"/>
      <c r="AB3485" s="35"/>
      <c r="AC3485" s="35"/>
      <c r="AD3485" s="35"/>
      <c r="AE3485" s="35"/>
      <c r="AF3485" s="35"/>
      <c r="AG3485" s="35"/>
      <c r="AH3485" s="35"/>
      <c r="AI3485" s="35"/>
      <c r="AJ3485" s="35"/>
      <c r="AK3485" s="35"/>
      <c r="AL3485" s="35"/>
    </row>
    <row r="3486">
      <c r="A3486" s="205"/>
      <c r="B3486" s="19" t="s">
        <v>14099</v>
      </c>
      <c r="C3486" s="20" t="s">
        <v>16841</v>
      </c>
      <c r="D3486" s="112"/>
      <c r="E3486" s="115" t="s">
        <v>16864</v>
      </c>
      <c r="F3486" s="115" t="s">
        <v>41</v>
      </c>
      <c r="G3486" s="115">
        <v>2018.0</v>
      </c>
      <c r="H3486" s="115" t="s">
        <v>91</v>
      </c>
      <c r="I3486" s="120" t="s">
        <v>16865</v>
      </c>
      <c r="J3486" s="113" t="s">
        <v>16866</v>
      </c>
      <c r="K3486" s="121"/>
      <c r="L3486" s="226">
        <v>808.0</v>
      </c>
      <c r="M3486" s="36"/>
      <c r="N3486" s="36"/>
      <c r="O3486" s="37" t="s">
        <v>16867</v>
      </c>
      <c r="P3486" s="37"/>
      <c r="Q3486" s="36"/>
      <c r="R3486" s="36">
        <v>960.0</v>
      </c>
      <c r="S3486" s="36" t="s">
        <v>16868</v>
      </c>
      <c r="T3486" s="83" t="s">
        <v>16869</v>
      </c>
      <c r="U3486" s="322" t="str">
        <f>HYPERLINK("https://www.ncbi.nlm.nih.gov/pubmed/29473115","PubMed")</f>
        <v>PubMed</v>
      </c>
      <c r="V3486" s="139"/>
      <c r="W3486" s="49"/>
      <c r="X3486" s="49"/>
      <c r="Y3486" s="35"/>
      <c r="Z3486" s="35"/>
      <c r="AA3486" s="35"/>
      <c r="AB3486" s="35"/>
      <c r="AC3486" s="35"/>
      <c r="AD3486" s="35"/>
      <c r="AE3486" s="35"/>
      <c r="AF3486" s="35"/>
      <c r="AG3486" s="35"/>
      <c r="AH3486" s="35"/>
      <c r="AI3486" s="35"/>
      <c r="AJ3486" s="35"/>
      <c r="AK3486" s="35"/>
      <c r="AL3486" s="35"/>
    </row>
    <row r="3487">
      <c r="A3487" s="205"/>
      <c r="B3487" s="19" t="s">
        <v>14099</v>
      </c>
      <c r="C3487" s="20" t="s">
        <v>16841</v>
      </c>
      <c r="D3487" s="47"/>
      <c r="E3487" s="57" t="s">
        <v>4396</v>
      </c>
      <c r="F3487" s="22" t="s">
        <v>274</v>
      </c>
      <c r="G3487" s="57">
        <v>2017.0</v>
      </c>
      <c r="H3487" s="57" t="s">
        <v>169</v>
      </c>
      <c r="I3487" s="134" t="s">
        <v>16870</v>
      </c>
      <c r="J3487" s="23" t="s">
        <v>16871</v>
      </c>
      <c r="K3487" s="23" t="s">
        <v>16872</v>
      </c>
      <c r="L3487" s="36">
        <v>850.0</v>
      </c>
      <c r="M3487" s="36">
        <v>100.0</v>
      </c>
      <c r="N3487" s="36" t="s">
        <v>16586</v>
      </c>
      <c r="O3487" s="37"/>
      <c r="P3487" s="37" t="s">
        <v>6558</v>
      </c>
      <c r="Q3487" s="36"/>
      <c r="R3487" s="36">
        <v>2700.0</v>
      </c>
      <c r="S3487" s="36" t="s">
        <v>16873</v>
      </c>
      <c r="T3487" s="84" t="s">
        <v>16874</v>
      </c>
      <c r="U3487" s="322" t="str">
        <f>HYPERLINK("https://www.ncbi.nlm.nih.gov/pubmed/28489465","PubMed")</f>
        <v>PubMed</v>
      </c>
      <c r="V3487" s="139"/>
      <c r="W3487" s="49"/>
      <c r="X3487" s="49"/>
      <c r="Y3487" s="35"/>
      <c r="Z3487" s="35"/>
      <c r="AA3487" s="35"/>
      <c r="AB3487" s="35"/>
      <c r="AC3487" s="35"/>
      <c r="AD3487" s="35"/>
      <c r="AE3487" s="35"/>
      <c r="AF3487" s="35"/>
      <c r="AG3487" s="35"/>
      <c r="AH3487" s="35"/>
      <c r="AI3487" s="35"/>
      <c r="AJ3487" s="35"/>
      <c r="AK3487" s="35"/>
      <c r="AL3487" s="35"/>
    </row>
    <row r="3488">
      <c r="A3488" s="205"/>
      <c r="B3488" s="19" t="s">
        <v>14099</v>
      </c>
      <c r="C3488" s="20" t="s">
        <v>16841</v>
      </c>
      <c r="D3488" s="47"/>
      <c r="E3488" s="57" t="s">
        <v>16875</v>
      </c>
      <c r="F3488" s="22" t="s">
        <v>274</v>
      </c>
      <c r="G3488" s="57">
        <v>2015.0</v>
      </c>
      <c r="H3488" s="57" t="s">
        <v>53</v>
      </c>
      <c r="I3488" s="134" t="s">
        <v>16876</v>
      </c>
      <c r="J3488" s="23" t="s">
        <v>16877</v>
      </c>
      <c r="K3488" s="23"/>
      <c r="L3488" s="36">
        <v>808.0</v>
      </c>
      <c r="M3488" s="36"/>
      <c r="N3488" s="36"/>
      <c r="O3488" s="37"/>
      <c r="P3488" s="37"/>
      <c r="Q3488" s="36"/>
      <c r="R3488" s="36"/>
      <c r="S3488" s="36" t="s">
        <v>16878</v>
      </c>
      <c r="T3488" s="83" t="s">
        <v>16879</v>
      </c>
      <c r="U3488" s="322" t="str">
        <f>HYPERLINK("https://www.ncbi.nlm.nih.gov/pubmed/26220050","PubMed")</f>
        <v>PubMed</v>
      </c>
      <c r="V3488" s="139"/>
      <c r="W3488" s="49"/>
      <c r="X3488" s="49"/>
      <c r="Y3488" s="35"/>
      <c r="Z3488" s="35"/>
      <c r="AA3488" s="35"/>
      <c r="AB3488" s="35"/>
      <c r="AC3488" s="35"/>
      <c r="AD3488" s="35"/>
      <c r="AE3488" s="35"/>
      <c r="AF3488" s="35"/>
      <c r="AG3488" s="35"/>
      <c r="AH3488" s="35"/>
      <c r="AI3488" s="35"/>
      <c r="AJ3488" s="35"/>
      <c r="AK3488" s="35"/>
      <c r="AL3488" s="35"/>
    </row>
    <row r="3489">
      <c r="A3489" s="205"/>
      <c r="B3489" s="19" t="s">
        <v>14099</v>
      </c>
      <c r="C3489" s="20" t="s">
        <v>16841</v>
      </c>
      <c r="D3489" s="47"/>
      <c r="E3489" s="57" t="s">
        <v>3822</v>
      </c>
      <c r="F3489" s="22" t="s">
        <v>274</v>
      </c>
      <c r="G3489" s="57">
        <v>2015.0</v>
      </c>
      <c r="H3489" s="57" t="s">
        <v>207</v>
      </c>
      <c r="I3489" s="134" t="s">
        <v>16880</v>
      </c>
      <c r="J3489" s="23" t="s">
        <v>16881</v>
      </c>
      <c r="K3489" s="23"/>
      <c r="L3489" s="36">
        <v>808.0</v>
      </c>
      <c r="M3489" s="36">
        <v>100.0</v>
      </c>
      <c r="N3489" s="36"/>
      <c r="O3489" s="37" t="s">
        <v>6478</v>
      </c>
      <c r="P3489" s="37"/>
      <c r="Q3489" s="36"/>
      <c r="R3489" s="36">
        <v>960.0</v>
      </c>
      <c r="S3489" s="36" t="s">
        <v>16882</v>
      </c>
      <c r="T3489" s="83" t="s">
        <v>16883</v>
      </c>
      <c r="U3489" s="322" t="str">
        <f>HYPERLINK("https://www.ncbi.nlm.nih.gov/pubmed/26398817","PubMed")</f>
        <v>PubMed</v>
      </c>
      <c r="V3489" s="139"/>
      <c r="W3489" s="49"/>
      <c r="X3489" s="49"/>
      <c r="Y3489" s="35"/>
      <c r="Z3489" s="35"/>
      <c r="AA3489" s="35"/>
      <c r="AB3489" s="35"/>
      <c r="AC3489" s="35"/>
      <c r="AD3489" s="35"/>
      <c r="AE3489" s="35"/>
      <c r="AF3489" s="35"/>
      <c r="AG3489" s="35"/>
      <c r="AH3489" s="35"/>
      <c r="AI3489" s="35"/>
      <c r="AJ3489" s="35"/>
      <c r="AK3489" s="35"/>
      <c r="AL3489" s="35"/>
    </row>
    <row r="3490">
      <c r="A3490" s="205"/>
      <c r="B3490" s="19" t="s">
        <v>14099</v>
      </c>
      <c r="C3490" s="20" t="s">
        <v>16841</v>
      </c>
      <c r="D3490" s="47"/>
      <c r="E3490" s="57" t="s">
        <v>16760</v>
      </c>
      <c r="F3490" s="22" t="s">
        <v>274</v>
      </c>
      <c r="G3490" s="57">
        <v>2015.0</v>
      </c>
      <c r="H3490" s="57" t="s">
        <v>207</v>
      </c>
      <c r="I3490" s="134" t="s">
        <v>16884</v>
      </c>
      <c r="J3490" s="23" t="s">
        <v>55</v>
      </c>
      <c r="K3490" s="23" t="s">
        <v>16885</v>
      </c>
      <c r="L3490" s="36">
        <v>830.0</v>
      </c>
      <c r="M3490" s="36">
        <v>100.0</v>
      </c>
      <c r="N3490" s="36" t="s">
        <v>16886</v>
      </c>
      <c r="O3490" s="37" t="s">
        <v>16763</v>
      </c>
      <c r="P3490" s="37" t="s">
        <v>16887</v>
      </c>
      <c r="Q3490" s="36" t="s">
        <v>16888</v>
      </c>
      <c r="R3490" s="36" t="s">
        <v>16889</v>
      </c>
      <c r="S3490" s="36"/>
      <c r="T3490" s="83" t="s">
        <v>16890</v>
      </c>
      <c r="U3490" s="322" t="str">
        <f>HYPERLINK("https://www.ncbi.nlm.nih.gov/pubmed/26026683","PubMed")</f>
        <v>PubMed</v>
      </c>
      <c r="V3490" s="139"/>
      <c r="W3490" s="49"/>
      <c r="X3490" s="49"/>
      <c r="Y3490" s="35"/>
      <c r="Z3490" s="35"/>
      <c r="AA3490" s="35"/>
      <c r="AB3490" s="35"/>
      <c r="AC3490" s="35"/>
      <c r="AD3490" s="35"/>
      <c r="AE3490" s="35"/>
      <c r="AF3490" s="35"/>
      <c r="AG3490" s="35"/>
      <c r="AH3490" s="35"/>
      <c r="AI3490" s="35"/>
      <c r="AJ3490" s="35"/>
      <c r="AK3490" s="35"/>
      <c r="AL3490" s="35"/>
    </row>
    <row r="3491">
      <c r="A3491" s="18" t="s">
        <v>38</v>
      </c>
      <c r="B3491" s="19" t="s">
        <v>14099</v>
      </c>
      <c r="C3491" s="20" t="s">
        <v>16841</v>
      </c>
      <c r="D3491" s="47"/>
      <c r="E3491" s="57" t="s">
        <v>4396</v>
      </c>
      <c r="F3491" s="22" t="s">
        <v>41</v>
      </c>
      <c r="G3491" s="57">
        <v>2011.0</v>
      </c>
      <c r="H3491" s="57" t="s">
        <v>169</v>
      </c>
      <c r="I3491" s="134" t="s">
        <v>16891</v>
      </c>
      <c r="J3491" s="23" t="s">
        <v>16892</v>
      </c>
      <c r="K3491" s="23" t="s">
        <v>157</v>
      </c>
      <c r="L3491" s="36">
        <v>850.0</v>
      </c>
      <c r="M3491" s="36"/>
      <c r="N3491" s="36" t="s">
        <v>16586</v>
      </c>
      <c r="O3491" s="37"/>
      <c r="P3491" s="37" t="s">
        <v>16893</v>
      </c>
      <c r="Q3491" s="36"/>
      <c r="R3491" s="36"/>
      <c r="S3491" s="36" t="s">
        <v>16894</v>
      </c>
      <c r="T3491" s="83" t="s">
        <v>16895</v>
      </c>
      <c r="U3491" s="322" t="str">
        <f>HYPERLINK("https://www.ncbi.nlm.nih.gov/pubmed/21740089","PubMed")</f>
        <v>PubMed</v>
      </c>
      <c r="V3491" s="139"/>
      <c r="W3491" s="49"/>
      <c r="X3491" s="49"/>
      <c r="Y3491" s="35"/>
      <c r="Z3491" s="35"/>
      <c r="AA3491" s="35"/>
      <c r="AB3491" s="35"/>
      <c r="AC3491" s="35"/>
      <c r="AD3491" s="35"/>
      <c r="AE3491" s="35"/>
      <c r="AF3491" s="35"/>
      <c r="AG3491" s="35"/>
      <c r="AH3491" s="35"/>
      <c r="AI3491" s="35"/>
      <c r="AJ3491" s="35"/>
      <c r="AK3491" s="35"/>
      <c r="AL3491" s="35"/>
    </row>
    <row r="3492">
      <c r="A3492" s="18" t="s">
        <v>38</v>
      </c>
      <c r="B3492" s="19" t="s">
        <v>14099</v>
      </c>
      <c r="C3492" s="20" t="s">
        <v>16896</v>
      </c>
      <c r="D3492" s="47"/>
      <c r="E3492" s="57" t="s">
        <v>9731</v>
      </c>
      <c r="F3492" s="22" t="s">
        <v>41</v>
      </c>
      <c r="G3492" s="57">
        <v>2020.0</v>
      </c>
      <c r="H3492" s="57" t="s">
        <v>207</v>
      </c>
      <c r="I3492" s="134" t="s">
        <v>16897</v>
      </c>
      <c r="J3492" s="23" t="s">
        <v>55</v>
      </c>
      <c r="K3492" s="23" t="s">
        <v>16898</v>
      </c>
      <c r="L3492" s="36" t="s">
        <v>158</v>
      </c>
      <c r="M3492" s="36"/>
      <c r="N3492" s="36"/>
      <c r="O3492" s="37"/>
      <c r="P3492" s="37"/>
      <c r="Q3492" s="36"/>
      <c r="R3492" s="36"/>
      <c r="S3492" s="36"/>
      <c r="T3492" s="83" t="s">
        <v>16899</v>
      </c>
      <c r="U3492" s="322" t="str">
        <f>HYPERLINK("https://www.ncbi.nlm.nih.gov/pubmed/32298941","PubMed")</f>
        <v>PubMed</v>
      </c>
      <c r="V3492" s="139"/>
      <c r="W3492" s="49"/>
      <c r="X3492" s="49"/>
      <c r="Y3492" s="35"/>
      <c r="Z3492" s="35"/>
      <c r="AA3492" s="35"/>
      <c r="AB3492" s="35"/>
      <c r="AC3492" s="35"/>
      <c r="AD3492" s="35"/>
      <c r="AE3492" s="35"/>
      <c r="AF3492" s="35"/>
      <c r="AG3492" s="35"/>
      <c r="AH3492" s="35"/>
      <c r="AI3492" s="35"/>
      <c r="AJ3492" s="35"/>
      <c r="AK3492" s="35"/>
      <c r="AL3492" s="35"/>
    </row>
    <row r="3493">
      <c r="A3493" s="18"/>
      <c r="B3493" s="19" t="s">
        <v>14099</v>
      </c>
      <c r="C3493" s="20" t="s">
        <v>16900</v>
      </c>
      <c r="D3493" s="47"/>
      <c r="E3493" s="57" t="s">
        <v>16901</v>
      </c>
      <c r="F3493" s="22" t="s">
        <v>14931</v>
      </c>
      <c r="G3493" s="57">
        <v>2020.0</v>
      </c>
      <c r="H3493" s="57" t="s">
        <v>77</v>
      </c>
      <c r="I3493" s="134" t="s">
        <v>16902</v>
      </c>
      <c r="J3493" s="23" t="s">
        <v>16903</v>
      </c>
      <c r="K3493" s="23" t="s">
        <v>294</v>
      </c>
      <c r="L3493" s="36" t="s">
        <v>943</v>
      </c>
      <c r="M3493" s="36" t="s">
        <v>16904</v>
      </c>
      <c r="N3493" s="36" t="s">
        <v>16905</v>
      </c>
      <c r="O3493" s="37" t="s">
        <v>16906</v>
      </c>
      <c r="P3493" s="37" t="s">
        <v>16907</v>
      </c>
      <c r="Q3493" s="36" t="s">
        <v>16908</v>
      </c>
      <c r="R3493" s="36" t="s">
        <v>16909</v>
      </c>
      <c r="S3493" s="36" t="s">
        <v>2099</v>
      </c>
      <c r="T3493" s="84" t="s">
        <v>16910</v>
      </c>
      <c r="U3493" s="315" t="s">
        <v>61</v>
      </c>
      <c r="V3493" s="139"/>
      <c r="W3493" s="49"/>
      <c r="X3493" s="49"/>
      <c r="Y3493" s="35"/>
      <c r="Z3493" s="35"/>
      <c r="AA3493" s="35"/>
      <c r="AB3493" s="35"/>
      <c r="AC3493" s="35"/>
      <c r="AD3493" s="35"/>
      <c r="AE3493" s="35"/>
      <c r="AF3493" s="35"/>
      <c r="AG3493" s="35"/>
      <c r="AH3493" s="35"/>
      <c r="AI3493" s="35"/>
      <c r="AJ3493" s="35"/>
      <c r="AK3493" s="35"/>
      <c r="AL3493" s="35"/>
    </row>
    <row r="3494">
      <c r="A3494" s="18"/>
      <c r="B3494" s="19" t="s">
        <v>14099</v>
      </c>
      <c r="C3494" s="20" t="s">
        <v>16911</v>
      </c>
      <c r="D3494" s="47"/>
      <c r="E3494" s="57" t="s">
        <v>2195</v>
      </c>
      <c r="F3494" s="22" t="s">
        <v>1508</v>
      </c>
      <c r="G3494" s="57">
        <v>2020.0</v>
      </c>
      <c r="H3494" s="57" t="s">
        <v>16603</v>
      </c>
      <c r="I3494" s="134" t="s">
        <v>16912</v>
      </c>
      <c r="J3494" s="23" t="s">
        <v>16913</v>
      </c>
      <c r="K3494" s="23"/>
      <c r="L3494" s="36">
        <v>905.0</v>
      </c>
      <c r="M3494" s="36">
        <v>100.0</v>
      </c>
      <c r="N3494" s="36"/>
      <c r="O3494" s="37" t="s">
        <v>16914</v>
      </c>
      <c r="P3494" s="37"/>
      <c r="Q3494" s="36" t="s">
        <v>2386</v>
      </c>
      <c r="R3494" s="36">
        <v>600.0</v>
      </c>
      <c r="S3494" s="36">
        <v>1.0</v>
      </c>
      <c r="T3494" s="83" t="s">
        <v>16915</v>
      </c>
      <c r="U3494" s="315" t="s">
        <v>61</v>
      </c>
      <c r="V3494" s="139"/>
      <c r="W3494" s="49"/>
      <c r="X3494" s="49"/>
      <c r="Y3494" s="35"/>
      <c r="Z3494" s="35"/>
      <c r="AA3494" s="35"/>
      <c r="AB3494" s="35"/>
      <c r="AC3494" s="35"/>
      <c r="AD3494" s="35"/>
      <c r="AE3494" s="35"/>
      <c r="AF3494" s="35"/>
      <c r="AG3494" s="35"/>
      <c r="AH3494" s="35"/>
      <c r="AI3494" s="35"/>
      <c r="AJ3494" s="35"/>
      <c r="AK3494" s="35"/>
      <c r="AL3494" s="35"/>
    </row>
    <row r="3495">
      <c r="A3495" s="18"/>
      <c r="B3495" s="19" t="s">
        <v>14099</v>
      </c>
      <c r="C3495" s="20" t="s">
        <v>1610</v>
      </c>
      <c r="D3495" s="47"/>
      <c r="E3495" s="57" t="s">
        <v>16916</v>
      </c>
      <c r="F3495" s="22" t="s">
        <v>11529</v>
      </c>
      <c r="G3495" s="57">
        <v>2016.0</v>
      </c>
      <c r="H3495" s="57" t="s">
        <v>16917</v>
      </c>
      <c r="I3495" s="134" t="s">
        <v>16918</v>
      </c>
      <c r="J3495" s="23" t="s">
        <v>31</v>
      </c>
      <c r="K3495" s="23"/>
      <c r="L3495" s="36"/>
      <c r="M3495" s="36"/>
      <c r="N3495" s="36"/>
      <c r="O3495" s="37"/>
      <c r="P3495" s="37" t="s">
        <v>2848</v>
      </c>
      <c r="Q3495" s="36"/>
      <c r="R3495" s="36"/>
      <c r="S3495" s="36"/>
      <c r="T3495" s="83" t="s">
        <v>16919</v>
      </c>
      <c r="U3495" s="315" t="s">
        <v>61</v>
      </c>
      <c r="V3495" s="139"/>
      <c r="W3495" s="49"/>
      <c r="X3495" s="49"/>
      <c r="Y3495" s="35"/>
      <c r="Z3495" s="35"/>
      <c r="AA3495" s="35"/>
      <c r="AB3495" s="35"/>
      <c r="AC3495" s="35"/>
      <c r="AD3495" s="35"/>
      <c r="AE3495" s="35"/>
      <c r="AF3495" s="35"/>
      <c r="AG3495" s="35"/>
      <c r="AH3495" s="35"/>
      <c r="AI3495" s="35"/>
      <c r="AJ3495" s="35"/>
      <c r="AK3495" s="35"/>
      <c r="AL3495" s="35"/>
    </row>
    <row r="3496">
      <c r="A3496" s="205"/>
      <c r="B3496" s="19" t="s">
        <v>14099</v>
      </c>
      <c r="C3496" s="20" t="s">
        <v>16920</v>
      </c>
      <c r="D3496" s="47"/>
      <c r="E3496" s="57" t="s">
        <v>16921</v>
      </c>
      <c r="F3496" s="22" t="s">
        <v>41</v>
      </c>
      <c r="G3496" s="57" t="s">
        <v>90</v>
      </c>
      <c r="H3496" s="57" t="s">
        <v>91</v>
      </c>
      <c r="I3496" s="134" t="s">
        <v>16922</v>
      </c>
      <c r="J3496" s="23" t="s">
        <v>16923</v>
      </c>
      <c r="K3496" s="23"/>
      <c r="L3496" s="36">
        <v>820.0</v>
      </c>
      <c r="M3496" s="36">
        <v>30.0</v>
      </c>
      <c r="N3496" s="323">
        <v>44743.0</v>
      </c>
      <c r="O3496" s="37" t="s">
        <v>2886</v>
      </c>
      <c r="P3496" s="37" t="s">
        <v>6491</v>
      </c>
      <c r="Q3496" s="36" t="s">
        <v>419</v>
      </c>
      <c r="R3496" s="36" t="s">
        <v>16924</v>
      </c>
      <c r="S3496" s="183"/>
      <c r="T3496" s="84" t="s">
        <v>16925</v>
      </c>
      <c r="U3496" s="322" t="str">
        <f>HYPERLINK("https://www.ncbi.nlm.nih.gov/pubmed/29204914","PubMed")</f>
        <v>PubMed</v>
      </c>
      <c r="V3496" s="139"/>
      <c r="W3496" s="49"/>
      <c r="X3496" s="49"/>
      <c r="Y3496" s="35"/>
      <c r="Z3496" s="35"/>
      <c r="AA3496" s="35"/>
      <c r="AB3496" s="35"/>
      <c r="AC3496" s="35"/>
      <c r="AD3496" s="35"/>
      <c r="AE3496" s="35"/>
      <c r="AF3496" s="35"/>
      <c r="AG3496" s="35"/>
      <c r="AH3496" s="35"/>
      <c r="AI3496" s="35"/>
      <c r="AJ3496" s="35"/>
      <c r="AK3496" s="35"/>
      <c r="AL3496" s="35"/>
    </row>
    <row r="3497">
      <c r="A3497" s="205"/>
      <c r="B3497" s="19" t="s">
        <v>14099</v>
      </c>
      <c r="C3497" s="20" t="s">
        <v>16920</v>
      </c>
      <c r="D3497" s="47"/>
      <c r="E3497" s="57" t="s">
        <v>13241</v>
      </c>
      <c r="F3497" s="22" t="s">
        <v>530</v>
      </c>
      <c r="G3497" s="57">
        <v>2016.0</v>
      </c>
      <c r="H3497" s="57" t="s">
        <v>91</v>
      </c>
      <c r="I3497" s="134" t="s">
        <v>16926</v>
      </c>
      <c r="J3497" s="23" t="s">
        <v>16927</v>
      </c>
      <c r="K3497" s="23"/>
      <c r="L3497" s="36">
        <v>808.0</v>
      </c>
      <c r="M3497" s="36">
        <v>100.0</v>
      </c>
      <c r="N3497" s="36"/>
      <c r="O3497" s="37" t="s">
        <v>16928</v>
      </c>
      <c r="P3497" s="37" t="s">
        <v>1071</v>
      </c>
      <c r="Q3497" s="36"/>
      <c r="R3497" s="36"/>
      <c r="S3497" s="183"/>
      <c r="T3497" s="84" t="s">
        <v>16929</v>
      </c>
      <c r="U3497" s="322" t="str">
        <f>HYPERLINK("https://www.ncbi.nlm.nih.gov/pubmed/26714981","PubMed")</f>
        <v>PubMed</v>
      </c>
      <c r="V3497" s="139"/>
      <c r="W3497" s="49"/>
      <c r="X3497" s="49"/>
      <c r="Y3497" s="35"/>
      <c r="Z3497" s="35"/>
      <c r="AA3497" s="35"/>
      <c r="AB3497" s="35"/>
      <c r="AC3497" s="35"/>
      <c r="AD3497" s="35"/>
      <c r="AE3497" s="35"/>
      <c r="AF3497" s="35"/>
      <c r="AG3497" s="35"/>
      <c r="AH3497" s="35"/>
      <c r="AI3497" s="35"/>
      <c r="AJ3497" s="35"/>
      <c r="AK3497" s="35"/>
      <c r="AL3497" s="35"/>
    </row>
    <row r="3498">
      <c r="A3498" s="205"/>
      <c r="B3498" s="19" t="s">
        <v>14099</v>
      </c>
      <c r="C3498" s="20" t="s">
        <v>16920</v>
      </c>
      <c r="D3498" s="47"/>
      <c r="E3498" s="57" t="s">
        <v>16930</v>
      </c>
      <c r="F3498" s="22" t="s">
        <v>16931</v>
      </c>
      <c r="G3498" s="57">
        <v>2010.0</v>
      </c>
      <c r="H3498" s="57" t="s">
        <v>658</v>
      </c>
      <c r="I3498" s="134" t="s">
        <v>16932</v>
      </c>
      <c r="J3498" s="23" t="s">
        <v>16933</v>
      </c>
      <c r="K3498" s="23" t="s">
        <v>16934</v>
      </c>
      <c r="L3498" s="36">
        <v>640.0</v>
      </c>
      <c r="M3498" s="36">
        <v>116.0</v>
      </c>
      <c r="N3498" s="36"/>
      <c r="O3498" s="37" t="s">
        <v>16935</v>
      </c>
      <c r="P3498" s="37"/>
      <c r="Q3498" s="36" t="s">
        <v>16936</v>
      </c>
      <c r="R3498" s="36" t="s">
        <v>16937</v>
      </c>
      <c r="S3498" s="36">
        <v>1.0</v>
      </c>
      <c r="T3498" s="83" t="s">
        <v>16938</v>
      </c>
      <c r="U3498" s="322" t="str">
        <f>HYPERLINK("https://www.ncbi.nlm.nih.gov/pubmed/20961231","PubMed")</f>
        <v>PubMed</v>
      </c>
      <c r="V3498" s="139"/>
      <c r="W3498" s="49"/>
      <c r="X3498" s="49"/>
      <c r="Y3498" s="35"/>
      <c r="Z3498" s="35"/>
      <c r="AA3498" s="35"/>
      <c r="AB3498" s="35"/>
      <c r="AC3498" s="35"/>
      <c r="AD3498" s="35"/>
      <c r="AE3498" s="35"/>
      <c r="AF3498" s="35"/>
      <c r="AG3498" s="35"/>
      <c r="AH3498" s="35"/>
      <c r="AI3498" s="35"/>
      <c r="AJ3498" s="35"/>
      <c r="AK3498" s="35"/>
      <c r="AL3498" s="35"/>
    </row>
    <row r="3499">
      <c r="A3499" s="205"/>
      <c r="B3499" s="19" t="s">
        <v>14099</v>
      </c>
      <c r="C3499" s="20" t="s">
        <v>16939</v>
      </c>
      <c r="D3499" s="47"/>
      <c r="E3499" s="57" t="s">
        <v>2783</v>
      </c>
      <c r="F3499" s="22" t="s">
        <v>5552</v>
      </c>
      <c r="G3499" s="57">
        <v>2020.0</v>
      </c>
      <c r="H3499" s="57" t="s">
        <v>207</v>
      </c>
      <c r="I3499" s="134" t="s">
        <v>16940</v>
      </c>
      <c r="J3499" s="23" t="s">
        <v>1629</v>
      </c>
      <c r="K3499" s="23"/>
      <c r="L3499" s="36">
        <v>808.0</v>
      </c>
      <c r="M3499" s="36"/>
      <c r="N3499" s="36"/>
      <c r="O3499" s="37"/>
      <c r="P3499" s="37"/>
      <c r="Q3499" s="36"/>
      <c r="R3499" s="36"/>
      <c r="S3499" s="183"/>
      <c r="T3499" s="83" t="s">
        <v>16941</v>
      </c>
      <c r="U3499" s="315" t="s">
        <v>61</v>
      </c>
      <c r="V3499" s="139"/>
      <c r="W3499" s="49"/>
      <c r="X3499" s="49"/>
      <c r="Y3499" s="35"/>
      <c r="Z3499" s="35"/>
      <c r="AA3499" s="35"/>
      <c r="AB3499" s="35"/>
      <c r="AC3499" s="35"/>
      <c r="AD3499" s="35"/>
      <c r="AE3499" s="35"/>
      <c r="AF3499" s="35"/>
      <c r="AG3499" s="35"/>
      <c r="AH3499" s="35"/>
      <c r="AI3499" s="35"/>
      <c r="AJ3499" s="35"/>
      <c r="AK3499" s="35"/>
      <c r="AL3499" s="35"/>
    </row>
    <row r="3500">
      <c r="A3500" s="205"/>
      <c r="B3500" s="19" t="s">
        <v>14099</v>
      </c>
      <c r="C3500" s="20" t="s">
        <v>16939</v>
      </c>
      <c r="D3500" s="47"/>
      <c r="E3500" s="57" t="s">
        <v>16942</v>
      </c>
      <c r="F3500" s="22" t="s">
        <v>41</v>
      </c>
      <c r="G3500" s="57" t="s">
        <v>16943</v>
      </c>
      <c r="H3500" s="57" t="s">
        <v>4975</v>
      </c>
      <c r="I3500" s="134" t="s">
        <v>16944</v>
      </c>
      <c r="J3500" s="23" t="s">
        <v>55</v>
      </c>
      <c r="K3500" s="23"/>
      <c r="L3500" s="36">
        <v>780.0</v>
      </c>
      <c r="M3500" s="36"/>
      <c r="N3500" s="36">
        <v>1.0</v>
      </c>
      <c r="O3500" s="37" t="s">
        <v>14033</v>
      </c>
      <c r="P3500" s="37"/>
      <c r="Q3500" s="36" t="s">
        <v>830</v>
      </c>
      <c r="R3500" s="36"/>
      <c r="S3500" s="183"/>
      <c r="T3500" s="83" t="s">
        <v>16945</v>
      </c>
      <c r="U3500" s="322" t="str">
        <f>HYPERLINK("https://www.ncbi.nlm.nih.gov/pubmed/32125691","PubMed")</f>
        <v>PubMed</v>
      </c>
      <c r="V3500" s="139"/>
      <c r="W3500" s="49"/>
      <c r="X3500" s="49"/>
      <c r="Y3500" s="35"/>
      <c r="Z3500" s="35"/>
      <c r="AA3500" s="35"/>
      <c r="AB3500" s="35"/>
      <c r="AC3500" s="35"/>
      <c r="AD3500" s="35"/>
      <c r="AE3500" s="35"/>
      <c r="AF3500" s="35"/>
      <c r="AG3500" s="35"/>
      <c r="AH3500" s="35"/>
      <c r="AI3500" s="35"/>
      <c r="AJ3500" s="35"/>
      <c r="AK3500" s="35"/>
      <c r="AL3500" s="35"/>
    </row>
    <row r="3501">
      <c r="A3501" s="205"/>
      <c r="B3501" s="19" t="s">
        <v>14099</v>
      </c>
      <c r="C3501" s="20" t="s">
        <v>16939</v>
      </c>
      <c r="D3501" s="47"/>
      <c r="E3501" s="57" t="s">
        <v>16946</v>
      </c>
      <c r="F3501" s="22" t="s">
        <v>206</v>
      </c>
      <c r="G3501" s="57">
        <v>2019.0</v>
      </c>
      <c r="H3501" s="57" t="s">
        <v>91</v>
      </c>
      <c r="I3501" s="134" t="s">
        <v>16947</v>
      </c>
      <c r="J3501" s="23" t="s">
        <v>55</v>
      </c>
      <c r="K3501" s="23"/>
      <c r="L3501" s="36">
        <v>808.0</v>
      </c>
      <c r="M3501" s="36"/>
      <c r="N3501" s="36"/>
      <c r="O3501" s="37"/>
      <c r="P3501" s="37"/>
      <c r="Q3501" s="36"/>
      <c r="R3501" s="36"/>
      <c r="S3501" s="183"/>
      <c r="T3501" s="83" t="s">
        <v>16948</v>
      </c>
      <c r="U3501" s="322" t="str">
        <f>HYPERLINK("https://www.ncbi.nlm.nih.gov/pubmed/30949786","PubMed")</f>
        <v>PubMed</v>
      </c>
      <c r="V3501" s="139"/>
      <c r="W3501" s="49"/>
      <c r="X3501" s="49"/>
      <c r="Y3501" s="35"/>
      <c r="Z3501" s="35"/>
      <c r="AA3501" s="35"/>
      <c r="AB3501" s="35"/>
      <c r="AC3501" s="35"/>
      <c r="AD3501" s="35"/>
      <c r="AE3501" s="35"/>
      <c r="AF3501" s="35"/>
      <c r="AG3501" s="35"/>
      <c r="AH3501" s="35"/>
      <c r="AI3501" s="35"/>
      <c r="AJ3501" s="35"/>
      <c r="AK3501" s="35"/>
      <c r="AL3501" s="35"/>
    </row>
    <row r="3502">
      <c r="A3502" s="205"/>
      <c r="B3502" s="19" t="s">
        <v>14099</v>
      </c>
      <c r="C3502" s="20" t="s">
        <v>16939</v>
      </c>
      <c r="D3502" s="47"/>
      <c r="E3502" s="57" t="s">
        <v>1080</v>
      </c>
      <c r="F3502" s="22" t="s">
        <v>16949</v>
      </c>
      <c r="G3502" s="57">
        <v>2018.0</v>
      </c>
      <c r="H3502" s="57" t="s">
        <v>16950</v>
      </c>
      <c r="I3502" s="134" t="s">
        <v>16951</v>
      </c>
      <c r="J3502" s="23" t="s">
        <v>44</v>
      </c>
      <c r="K3502" s="23"/>
      <c r="L3502" s="36">
        <v>660.0</v>
      </c>
      <c r="M3502" s="36">
        <v>20.0</v>
      </c>
      <c r="N3502" s="36"/>
      <c r="O3502" s="37" t="s">
        <v>95</v>
      </c>
      <c r="P3502" s="37"/>
      <c r="Q3502" s="36"/>
      <c r="R3502" s="36">
        <v>500.0</v>
      </c>
      <c r="S3502" s="183"/>
      <c r="T3502" s="84" t="s">
        <v>16952</v>
      </c>
      <c r="U3502" s="322" t="str">
        <f>HYPERLINK("https://link.springer.com/article/10.1007/s12541-018-0183-z","Springer")</f>
        <v>Springer</v>
      </c>
      <c r="V3502" s="139"/>
      <c r="W3502" s="49"/>
      <c r="X3502" s="49"/>
      <c r="Y3502" s="35"/>
      <c r="Z3502" s="35"/>
      <c r="AA3502" s="35"/>
      <c r="AB3502" s="35"/>
      <c r="AC3502" s="35"/>
      <c r="AD3502" s="35"/>
      <c r="AE3502" s="35"/>
      <c r="AF3502" s="35"/>
      <c r="AG3502" s="35"/>
      <c r="AH3502" s="35"/>
      <c r="AI3502" s="35"/>
      <c r="AJ3502" s="35"/>
      <c r="AK3502" s="35"/>
      <c r="AL3502" s="35"/>
    </row>
    <row r="3503">
      <c r="A3503" s="1" t="s">
        <v>2</v>
      </c>
      <c r="B3503" s="19" t="s">
        <v>14099</v>
      </c>
      <c r="C3503" s="20" t="s">
        <v>16939</v>
      </c>
      <c r="D3503" s="47"/>
      <c r="E3503" s="57" t="s">
        <v>16953</v>
      </c>
      <c r="F3503" s="22" t="s">
        <v>358</v>
      </c>
      <c r="G3503" s="57">
        <v>2015.0</v>
      </c>
      <c r="H3503" s="57" t="s">
        <v>4909</v>
      </c>
      <c r="I3503" s="134" t="s">
        <v>16954</v>
      </c>
      <c r="J3503" s="23" t="s">
        <v>55</v>
      </c>
      <c r="K3503" s="23"/>
      <c r="L3503" s="36">
        <v>780.0</v>
      </c>
      <c r="M3503" s="36">
        <v>30.0</v>
      </c>
      <c r="N3503" s="36" t="s">
        <v>14021</v>
      </c>
      <c r="O3503" s="37" t="s">
        <v>16955</v>
      </c>
      <c r="P3503" s="37" t="s">
        <v>5401</v>
      </c>
      <c r="Q3503" s="36" t="s">
        <v>830</v>
      </c>
      <c r="R3503" s="36">
        <v>60.0</v>
      </c>
      <c r="S3503" s="36">
        <v>6.0</v>
      </c>
      <c r="T3503" s="84" t="s">
        <v>16956</v>
      </c>
      <c r="U3503" s="322" t="str">
        <f>HYPERLINK("https://www.ncbi.nlm.nih.gov/pubmed/25677810","PubMed")</f>
        <v>PubMed</v>
      </c>
      <c r="V3503" s="139"/>
      <c r="W3503" s="49"/>
      <c r="X3503" s="49"/>
      <c r="Y3503" s="35"/>
      <c r="Z3503" s="35"/>
      <c r="AA3503" s="35"/>
      <c r="AB3503" s="35"/>
      <c r="AC3503" s="35"/>
      <c r="AD3503" s="35"/>
      <c r="AE3503" s="35"/>
      <c r="AF3503" s="35"/>
      <c r="AG3503" s="35"/>
      <c r="AH3503" s="35"/>
      <c r="AI3503" s="35"/>
      <c r="AJ3503" s="35"/>
      <c r="AK3503" s="35"/>
      <c r="AL3503" s="35"/>
    </row>
    <row r="3504">
      <c r="A3504" s="205"/>
      <c r="B3504" s="19" t="s">
        <v>14099</v>
      </c>
      <c r="C3504" s="20" t="s">
        <v>16939</v>
      </c>
      <c r="D3504" s="47"/>
      <c r="E3504" s="57" t="s">
        <v>16957</v>
      </c>
      <c r="F3504" s="22" t="s">
        <v>274</v>
      </c>
      <c r="G3504" s="57">
        <v>2012.0</v>
      </c>
      <c r="H3504" s="57" t="s">
        <v>9355</v>
      </c>
      <c r="I3504" s="134" t="s">
        <v>16958</v>
      </c>
      <c r="J3504" s="23" t="s">
        <v>55</v>
      </c>
      <c r="K3504" s="23" t="s">
        <v>16959</v>
      </c>
      <c r="L3504" s="36" t="s">
        <v>1750</v>
      </c>
      <c r="M3504" s="36"/>
      <c r="N3504" s="36"/>
      <c r="O3504" s="37"/>
      <c r="P3504" s="37"/>
      <c r="Q3504" s="36"/>
      <c r="R3504" s="36"/>
      <c r="S3504" s="183"/>
      <c r="T3504" s="82" t="s">
        <v>16960</v>
      </c>
      <c r="U3504" s="322" t="str">
        <f>HYPERLINK("https://www.ncbi.nlm.nih.gov/pubmed/22801450","PubMed")</f>
        <v>PubMed</v>
      </c>
      <c r="V3504" s="139"/>
      <c r="W3504" s="49"/>
      <c r="X3504" s="49"/>
      <c r="Y3504" s="35"/>
      <c r="Z3504" s="35"/>
      <c r="AA3504" s="35"/>
      <c r="AB3504" s="35"/>
      <c r="AC3504" s="35"/>
      <c r="AD3504" s="35"/>
      <c r="AE3504" s="35"/>
      <c r="AF3504" s="35"/>
      <c r="AG3504" s="35"/>
      <c r="AH3504" s="35"/>
      <c r="AI3504" s="35"/>
      <c r="AJ3504" s="35"/>
      <c r="AK3504" s="35"/>
      <c r="AL3504" s="35"/>
    </row>
    <row r="3505">
      <c r="A3505" s="205"/>
      <c r="B3505" s="19" t="s">
        <v>14099</v>
      </c>
      <c r="C3505" s="20" t="s">
        <v>16939</v>
      </c>
      <c r="D3505" s="47"/>
      <c r="E3505" s="57" t="s">
        <v>16961</v>
      </c>
      <c r="F3505" s="22" t="s">
        <v>16962</v>
      </c>
      <c r="G3505" s="57">
        <v>2009.0</v>
      </c>
      <c r="H3505" s="57" t="s">
        <v>16963</v>
      </c>
      <c r="I3505" s="134" t="s">
        <v>16964</v>
      </c>
      <c r="J3505" s="23" t="s">
        <v>55</v>
      </c>
      <c r="K3505" s="23"/>
      <c r="L3505" s="36">
        <v>830.0</v>
      </c>
      <c r="M3505" s="36">
        <v>60.0</v>
      </c>
      <c r="N3505" s="36"/>
      <c r="O3505" s="37"/>
      <c r="P3505" s="37"/>
      <c r="Q3505" s="36" t="s">
        <v>16965</v>
      </c>
      <c r="R3505" s="36" t="s">
        <v>16966</v>
      </c>
      <c r="S3505" s="36">
        <v>14.0</v>
      </c>
      <c r="T3505" s="83" t="s">
        <v>16967</v>
      </c>
      <c r="U3505" s="322" t="str">
        <f>HYPERLINK("https://www.ncbi.nlm.nih.gov/pubmed/19525315","PubMed")</f>
        <v>PubMed</v>
      </c>
      <c r="V3505" s="139"/>
      <c r="W3505" s="49"/>
      <c r="X3505" s="49"/>
      <c r="Y3505" s="35"/>
      <c r="Z3505" s="35"/>
      <c r="AA3505" s="35"/>
      <c r="AB3505" s="35"/>
      <c r="AC3505" s="35"/>
      <c r="AD3505" s="35"/>
      <c r="AE3505" s="35"/>
      <c r="AF3505" s="35"/>
      <c r="AG3505" s="35"/>
      <c r="AH3505" s="35"/>
      <c r="AI3505" s="35"/>
      <c r="AJ3505" s="35"/>
      <c r="AK3505" s="35"/>
      <c r="AL3505" s="35"/>
    </row>
    <row r="3506">
      <c r="A3506" s="205"/>
      <c r="B3506" s="19" t="s">
        <v>14099</v>
      </c>
      <c r="C3506" s="20" t="s">
        <v>16968</v>
      </c>
      <c r="D3506" s="47"/>
      <c r="E3506" s="57" t="s">
        <v>2275</v>
      </c>
      <c r="F3506" s="22" t="s">
        <v>3916</v>
      </c>
      <c r="G3506" s="57">
        <v>2024.0</v>
      </c>
      <c r="H3506" s="57" t="s">
        <v>3276</v>
      </c>
      <c r="I3506" s="134" t="s">
        <v>16969</v>
      </c>
      <c r="J3506" s="23" t="s">
        <v>16970</v>
      </c>
      <c r="K3506" s="23"/>
      <c r="L3506" s="36">
        <v>850.0</v>
      </c>
      <c r="M3506" s="36"/>
      <c r="N3506" s="36"/>
      <c r="O3506" s="37" t="s">
        <v>1028</v>
      </c>
      <c r="P3506" s="37"/>
      <c r="Q3506" s="36"/>
      <c r="R3506" s="36"/>
      <c r="S3506" s="36"/>
      <c r="T3506" s="83" t="s">
        <v>16971</v>
      </c>
      <c r="U3506" s="320" t="s">
        <v>61</v>
      </c>
      <c r="V3506" s="136" t="s">
        <v>174</v>
      </c>
      <c r="W3506" s="49"/>
      <c r="X3506" s="49"/>
      <c r="Y3506" s="35"/>
      <c r="Z3506" s="35"/>
      <c r="AA3506" s="35"/>
      <c r="AB3506" s="35"/>
      <c r="AC3506" s="35"/>
      <c r="AD3506" s="35"/>
      <c r="AE3506" s="35"/>
      <c r="AF3506" s="35"/>
      <c r="AG3506" s="35"/>
      <c r="AH3506" s="35"/>
      <c r="AI3506" s="35"/>
      <c r="AJ3506" s="35"/>
      <c r="AK3506" s="35"/>
      <c r="AL3506" s="35"/>
    </row>
    <row r="3507">
      <c r="A3507" s="205"/>
      <c r="B3507" s="19" t="s">
        <v>14099</v>
      </c>
      <c r="C3507" s="20" t="s">
        <v>16968</v>
      </c>
      <c r="D3507" s="47"/>
      <c r="E3507" s="57" t="s">
        <v>869</v>
      </c>
      <c r="F3507" s="22" t="s">
        <v>16972</v>
      </c>
      <c r="G3507" s="57">
        <v>2021.0</v>
      </c>
      <c r="H3507" s="57" t="s">
        <v>16973</v>
      </c>
      <c r="I3507" s="134" t="s">
        <v>16974</v>
      </c>
      <c r="J3507" s="23" t="s">
        <v>16975</v>
      </c>
      <c r="K3507" s="23" t="s">
        <v>16976</v>
      </c>
      <c r="L3507" s="36" t="s">
        <v>5357</v>
      </c>
      <c r="M3507" s="36" t="s">
        <v>403</v>
      </c>
      <c r="N3507" s="36"/>
      <c r="O3507" s="37" t="s">
        <v>16977</v>
      </c>
      <c r="P3507" s="37" t="s">
        <v>16978</v>
      </c>
      <c r="Q3507" s="36"/>
      <c r="R3507" s="36"/>
      <c r="S3507" s="36">
        <v>1.0</v>
      </c>
      <c r="T3507" s="82" t="s">
        <v>16979</v>
      </c>
      <c r="U3507" s="315" t="s">
        <v>61</v>
      </c>
      <c r="V3507" s="139"/>
      <c r="W3507" s="49"/>
      <c r="X3507" s="49"/>
      <c r="Y3507" s="35"/>
      <c r="Z3507" s="35"/>
      <c r="AA3507" s="35"/>
      <c r="AB3507" s="35"/>
      <c r="AC3507" s="35"/>
      <c r="AD3507" s="35"/>
      <c r="AE3507" s="35"/>
      <c r="AF3507" s="35"/>
      <c r="AG3507" s="35"/>
      <c r="AH3507" s="35"/>
      <c r="AI3507" s="35"/>
      <c r="AJ3507" s="35"/>
      <c r="AK3507" s="35"/>
      <c r="AL3507" s="35"/>
    </row>
    <row r="3508">
      <c r="A3508" s="205"/>
      <c r="B3508" s="19" t="s">
        <v>14099</v>
      </c>
      <c r="C3508" s="20" t="s">
        <v>16968</v>
      </c>
      <c r="D3508" s="47"/>
      <c r="E3508" s="57" t="s">
        <v>16980</v>
      </c>
      <c r="F3508" s="22" t="s">
        <v>16981</v>
      </c>
      <c r="G3508" s="57">
        <v>2020.0</v>
      </c>
      <c r="H3508" s="57" t="s">
        <v>292</v>
      </c>
      <c r="I3508" s="134" t="s">
        <v>16982</v>
      </c>
      <c r="J3508" s="23" t="s">
        <v>1773</v>
      </c>
      <c r="K3508" s="23"/>
      <c r="L3508" s="36"/>
      <c r="M3508" s="36"/>
      <c r="N3508" s="36"/>
      <c r="O3508" s="37"/>
      <c r="P3508" s="37"/>
      <c r="Q3508" s="36"/>
      <c r="R3508" s="36"/>
      <c r="S3508" s="36"/>
      <c r="T3508" s="82" t="s">
        <v>16983</v>
      </c>
      <c r="U3508" s="315" t="s">
        <v>61</v>
      </c>
      <c r="V3508" s="139"/>
      <c r="W3508" s="49"/>
      <c r="X3508" s="49"/>
      <c r="Y3508" s="35"/>
      <c r="Z3508" s="35"/>
      <c r="AA3508" s="35"/>
      <c r="AB3508" s="35"/>
      <c r="AC3508" s="35"/>
      <c r="AD3508" s="35"/>
      <c r="AE3508" s="35"/>
      <c r="AF3508" s="35"/>
      <c r="AG3508" s="35"/>
      <c r="AH3508" s="35"/>
      <c r="AI3508" s="35"/>
      <c r="AJ3508" s="35"/>
      <c r="AK3508" s="35"/>
      <c r="AL3508" s="35"/>
    </row>
    <row r="3509">
      <c r="A3509" s="205"/>
      <c r="B3509" s="19" t="s">
        <v>14099</v>
      </c>
      <c r="C3509" s="20" t="s">
        <v>16968</v>
      </c>
      <c r="D3509" s="47"/>
      <c r="E3509" s="57" t="s">
        <v>3827</v>
      </c>
      <c r="F3509" s="22" t="s">
        <v>400</v>
      </c>
      <c r="G3509" s="57">
        <v>2019.0</v>
      </c>
      <c r="H3509" s="57" t="s">
        <v>3828</v>
      </c>
      <c r="I3509" s="134" t="s">
        <v>16984</v>
      </c>
      <c r="J3509" s="23" t="s">
        <v>2141</v>
      </c>
      <c r="K3509" s="23"/>
      <c r="L3509" s="168"/>
      <c r="M3509" s="168"/>
      <c r="N3509" s="168"/>
      <c r="O3509" s="169"/>
      <c r="P3509" s="169"/>
      <c r="Q3509" s="168"/>
      <c r="R3509" s="168"/>
      <c r="S3509" s="168"/>
      <c r="T3509" s="314"/>
      <c r="U3509" s="322" t="str">
        <f>HYPERLINK("https://www.ncbi.nlm.nih.gov/pubmed/31574822","PubMed")</f>
        <v>PubMed</v>
      </c>
      <c r="V3509" s="139"/>
      <c r="W3509" s="49"/>
      <c r="X3509" s="49"/>
      <c r="Y3509" s="35"/>
      <c r="Z3509" s="35"/>
      <c r="AA3509" s="35"/>
      <c r="AB3509" s="35"/>
      <c r="AC3509" s="35"/>
      <c r="AD3509" s="35"/>
      <c r="AE3509" s="35"/>
      <c r="AF3509" s="35"/>
      <c r="AG3509" s="35"/>
      <c r="AH3509" s="35"/>
      <c r="AI3509" s="35"/>
      <c r="AJ3509" s="35"/>
      <c r="AK3509" s="35"/>
      <c r="AL3509" s="35"/>
    </row>
    <row r="3510">
      <c r="A3510" s="207"/>
      <c r="B3510" s="19" t="s">
        <v>14099</v>
      </c>
      <c r="C3510" s="20" t="s">
        <v>16968</v>
      </c>
      <c r="D3510" s="47"/>
      <c r="E3510" s="23" t="s">
        <v>14778</v>
      </c>
      <c r="F3510" s="22" t="s">
        <v>41</v>
      </c>
      <c r="G3510" s="23">
        <v>2016.0</v>
      </c>
      <c r="H3510" s="57" t="s">
        <v>658</v>
      </c>
      <c r="I3510" s="24" t="s">
        <v>16985</v>
      </c>
      <c r="J3510" s="22" t="s">
        <v>202</v>
      </c>
      <c r="K3510" s="22"/>
      <c r="L3510" s="43"/>
      <c r="M3510" s="44"/>
      <c r="N3510" s="44"/>
      <c r="O3510" s="44"/>
      <c r="P3510" s="44"/>
      <c r="Q3510" s="44"/>
      <c r="R3510" s="44"/>
      <c r="S3510" s="44"/>
      <c r="T3510" s="45"/>
      <c r="U3510" s="38" t="str">
        <f>HYPERLINK("https://www.ncbi.nlm.nih.gov/pubmed/27258805","PubMed")</f>
        <v>PubMed</v>
      </c>
      <c r="V3510" s="30"/>
      <c r="W3510" s="49"/>
      <c r="X3510" s="49"/>
      <c r="Y3510" s="35"/>
      <c r="Z3510" s="35"/>
      <c r="AA3510" s="35"/>
      <c r="AB3510" s="35"/>
      <c r="AC3510" s="35"/>
      <c r="AD3510" s="35"/>
      <c r="AE3510" s="35"/>
      <c r="AF3510" s="35"/>
      <c r="AG3510" s="35"/>
      <c r="AH3510" s="35"/>
      <c r="AI3510" s="35"/>
      <c r="AJ3510" s="35"/>
      <c r="AK3510" s="35"/>
      <c r="AL3510" s="35"/>
    </row>
    <row r="3511">
      <c r="A3511" s="207"/>
      <c r="B3511" s="19" t="s">
        <v>14099</v>
      </c>
      <c r="C3511" s="20" t="s">
        <v>16968</v>
      </c>
      <c r="D3511" s="47"/>
      <c r="E3511" s="22" t="s">
        <v>10573</v>
      </c>
      <c r="F3511" s="22" t="s">
        <v>720</v>
      </c>
      <c r="G3511" s="23">
        <v>2016.0</v>
      </c>
      <c r="H3511" s="57" t="s">
        <v>91</v>
      </c>
      <c r="I3511" s="24" t="s">
        <v>16986</v>
      </c>
      <c r="J3511" s="22" t="s">
        <v>16987</v>
      </c>
      <c r="K3511" s="22" t="s">
        <v>16988</v>
      </c>
      <c r="L3511" s="36">
        <v>808.0</v>
      </c>
      <c r="M3511" s="36">
        <v>100.0</v>
      </c>
      <c r="N3511" s="36" t="s">
        <v>16013</v>
      </c>
      <c r="O3511" s="36" t="s">
        <v>16989</v>
      </c>
      <c r="P3511" s="37"/>
      <c r="Q3511" s="36" t="s">
        <v>1160</v>
      </c>
      <c r="R3511" s="36" t="s">
        <v>16990</v>
      </c>
      <c r="S3511" s="36"/>
      <c r="T3511" s="42" t="s">
        <v>16991</v>
      </c>
      <c r="U3511" s="38" t="str">
        <f>HYPERLINK("https://www.ncbi.nlm.nih.gov/pubmed/27638148","PubMed")</f>
        <v>PubMed</v>
      </c>
      <c r="V3511" s="30"/>
      <c r="W3511" s="49"/>
      <c r="X3511" s="49"/>
      <c r="Y3511" s="35"/>
      <c r="Z3511" s="35"/>
      <c r="AA3511" s="35"/>
      <c r="AB3511" s="35"/>
      <c r="AC3511" s="35"/>
      <c r="AD3511" s="35"/>
      <c r="AE3511" s="35"/>
      <c r="AF3511" s="35"/>
      <c r="AG3511" s="35"/>
      <c r="AH3511" s="35"/>
      <c r="AI3511" s="35"/>
      <c r="AJ3511" s="35"/>
      <c r="AK3511" s="35"/>
      <c r="AL3511" s="35"/>
    </row>
    <row r="3512">
      <c r="A3512" s="207"/>
      <c r="B3512" s="19" t="s">
        <v>14099</v>
      </c>
      <c r="C3512" s="20" t="s">
        <v>16968</v>
      </c>
      <c r="D3512" s="47"/>
      <c r="E3512" s="22" t="s">
        <v>16992</v>
      </c>
      <c r="F3512" s="22" t="s">
        <v>1398</v>
      </c>
      <c r="G3512" s="23">
        <v>2013.0</v>
      </c>
      <c r="H3512" s="57" t="s">
        <v>292</v>
      </c>
      <c r="I3512" s="24" t="s">
        <v>16993</v>
      </c>
      <c r="J3512" s="22" t="s">
        <v>55</v>
      </c>
      <c r="K3512" s="22" t="s">
        <v>16994</v>
      </c>
      <c r="L3512" s="36" t="s">
        <v>16995</v>
      </c>
      <c r="M3512" s="36" t="s">
        <v>13373</v>
      </c>
      <c r="N3512" s="36" t="s">
        <v>16996</v>
      </c>
      <c r="O3512" s="36" t="s">
        <v>58</v>
      </c>
      <c r="P3512" s="37" t="s">
        <v>16997</v>
      </c>
      <c r="Q3512" s="36" t="s">
        <v>12922</v>
      </c>
      <c r="R3512" s="36">
        <v>15.0</v>
      </c>
      <c r="S3512" s="36">
        <v>1.0</v>
      </c>
      <c r="T3512" s="28" t="s">
        <v>16998</v>
      </c>
      <c r="U3512" s="38" t="str">
        <f>HYPERLINK("https://www.ncbi.nlm.nih.gov/pubmed/24204094","PubMed")</f>
        <v>PubMed</v>
      </c>
      <c r="V3512" s="30"/>
      <c r="W3512" s="49"/>
      <c r="X3512" s="49"/>
      <c r="Y3512" s="35"/>
      <c r="Z3512" s="35"/>
      <c r="AA3512" s="35"/>
      <c r="AB3512" s="35"/>
      <c r="AC3512" s="35"/>
      <c r="AD3512" s="35"/>
      <c r="AE3512" s="35"/>
      <c r="AF3512" s="35"/>
      <c r="AG3512" s="35"/>
      <c r="AH3512" s="35"/>
      <c r="AI3512" s="35"/>
      <c r="AJ3512" s="35"/>
      <c r="AK3512" s="35"/>
      <c r="AL3512" s="35"/>
    </row>
    <row r="3513">
      <c r="A3513" s="207"/>
      <c r="B3513" s="19" t="s">
        <v>14099</v>
      </c>
      <c r="C3513" s="20" t="s">
        <v>16968</v>
      </c>
      <c r="D3513" s="47"/>
      <c r="E3513" s="22" t="s">
        <v>16999</v>
      </c>
      <c r="F3513" s="22" t="s">
        <v>1718</v>
      </c>
      <c r="G3513" s="23">
        <v>2008.0</v>
      </c>
      <c r="H3513" s="57" t="s">
        <v>658</v>
      </c>
      <c r="I3513" s="24" t="s">
        <v>17000</v>
      </c>
      <c r="J3513" s="22" t="s">
        <v>17001</v>
      </c>
      <c r="K3513" s="22"/>
      <c r="L3513" s="36">
        <v>808.0</v>
      </c>
      <c r="M3513" s="36">
        <v>500.0</v>
      </c>
      <c r="N3513" s="36"/>
      <c r="O3513" s="36" t="s">
        <v>17002</v>
      </c>
      <c r="P3513" s="37"/>
      <c r="Q3513" s="36"/>
      <c r="R3513" s="36" t="s">
        <v>9594</v>
      </c>
      <c r="S3513" s="36"/>
      <c r="T3513" s="41" t="s">
        <v>17003</v>
      </c>
      <c r="U3513" s="38" t="str">
        <f>HYPERLINK("https://www.ncbi.nlm.nih.gov/pubmed/18922091","PubMed")</f>
        <v>PubMed</v>
      </c>
      <c r="V3513" s="30"/>
      <c r="W3513" s="49"/>
      <c r="X3513" s="49"/>
      <c r="Y3513" s="35"/>
      <c r="Z3513" s="35"/>
      <c r="AA3513" s="35"/>
      <c r="AB3513" s="35"/>
      <c r="AC3513" s="35"/>
      <c r="AD3513" s="35"/>
      <c r="AE3513" s="35"/>
      <c r="AF3513" s="35"/>
      <c r="AG3513" s="35"/>
      <c r="AH3513" s="35"/>
      <c r="AI3513" s="35"/>
      <c r="AJ3513" s="35"/>
      <c r="AK3513" s="35"/>
      <c r="AL3513" s="35"/>
    </row>
    <row r="3514">
      <c r="A3514" s="205"/>
      <c r="B3514" s="19" t="s">
        <v>14099</v>
      </c>
      <c r="C3514" s="20" t="s">
        <v>17004</v>
      </c>
      <c r="D3514" s="47"/>
      <c r="E3514" s="57" t="s">
        <v>17005</v>
      </c>
      <c r="F3514" s="22" t="s">
        <v>16567</v>
      </c>
      <c r="G3514" s="57">
        <v>2015.0</v>
      </c>
      <c r="H3514" s="57" t="s">
        <v>309</v>
      </c>
      <c r="I3514" s="134" t="s">
        <v>17006</v>
      </c>
      <c r="J3514" s="23" t="s">
        <v>55</v>
      </c>
      <c r="K3514" s="23"/>
      <c r="L3514" s="36">
        <v>904.0</v>
      </c>
      <c r="M3514" s="36">
        <v>45.0</v>
      </c>
      <c r="N3514" s="36"/>
      <c r="O3514" s="37"/>
      <c r="P3514" s="37" t="s">
        <v>969</v>
      </c>
      <c r="Q3514" s="36"/>
      <c r="R3514" s="36">
        <v>300.0</v>
      </c>
      <c r="S3514" s="183"/>
      <c r="T3514" s="83" t="s">
        <v>17007</v>
      </c>
      <c r="U3514" s="322" t="str">
        <f>HYPERLINK("https://www.ncbi.nlm.nih.gov/pubmed/26735051","PubMed")</f>
        <v>PubMed</v>
      </c>
      <c r="V3514" s="139"/>
      <c r="W3514" s="49"/>
      <c r="X3514" s="49"/>
      <c r="Y3514" s="35"/>
      <c r="Z3514" s="35"/>
      <c r="AA3514" s="35"/>
      <c r="AB3514" s="35"/>
      <c r="AC3514" s="35"/>
      <c r="AD3514" s="35"/>
      <c r="AE3514" s="35"/>
      <c r="AF3514" s="35"/>
      <c r="AG3514" s="35"/>
      <c r="AH3514" s="35"/>
      <c r="AI3514" s="35"/>
      <c r="AJ3514" s="35"/>
      <c r="AK3514" s="35"/>
      <c r="AL3514" s="35"/>
    </row>
    <row r="3515">
      <c r="A3515" s="205"/>
      <c r="B3515" s="19" t="s">
        <v>14099</v>
      </c>
      <c r="C3515" s="20" t="s">
        <v>17004</v>
      </c>
      <c r="D3515" s="47"/>
      <c r="E3515" s="57" t="s">
        <v>17008</v>
      </c>
      <c r="F3515" s="22" t="s">
        <v>17009</v>
      </c>
      <c r="G3515" s="57">
        <v>2014.0</v>
      </c>
      <c r="H3515" s="57" t="s">
        <v>1025</v>
      </c>
      <c r="I3515" s="134" t="s">
        <v>17010</v>
      </c>
      <c r="J3515" s="23" t="s">
        <v>55</v>
      </c>
      <c r="K3515" s="23" t="s">
        <v>17011</v>
      </c>
      <c r="L3515" s="36" t="s">
        <v>17012</v>
      </c>
      <c r="M3515" s="36" t="s">
        <v>17013</v>
      </c>
      <c r="N3515" s="36"/>
      <c r="O3515" s="37"/>
      <c r="P3515" s="37"/>
      <c r="Q3515" s="36"/>
      <c r="R3515" s="36"/>
      <c r="S3515" s="183"/>
      <c r="T3515" s="83" t="s">
        <v>17014</v>
      </c>
      <c r="U3515" s="322" t="str">
        <f>HYPERLINK("https://www.ncbi.nlm.nih.gov/pubmed/25200395","PubMed")</f>
        <v>PubMed</v>
      </c>
      <c r="V3515" s="139"/>
      <c r="W3515" s="49"/>
      <c r="X3515" s="49"/>
      <c r="Y3515" s="35"/>
      <c r="Z3515" s="35"/>
      <c r="AA3515" s="35"/>
      <c r="AB3515" s="35"/>
      <c r="AC3515" s="35"/>
      <c r="AD3515" s="35"/>
      <c r="AE3515" s="35"/>
      <c r="AF3515" s="35"/>
      <c r="AG3515" s="35"/>
      <c r="AH3515" s="35"/>
      <c r="AI3515" s="35"/>
      <c r="AJ3515" s="35"/>
      <c r="AK3515" s="35"/>
      <c r="AL3515" s="35"/>
    </row>
    <row r="3516">
      <c r="A3516" s="205"/>
      <c r="B3516" s="19" t="s">
        <v>14099</v>
      </c>
      <c r="C3516" s="20" t="s">
        <v>17015</v>
      </c>
      <c r="D3516" s="47"/>
      <c r="E3516" s="57" t="s">
        <v>17016</v>
      </c>
      <c r="F3516" s="22" t="s">
        <v>41</v>
      </c>
      <c r="G3516" s="57">
        <v>2024.0</v>
      </c>
      <c r="H3516" s="57" t="s">
        <v>207</v>
      </c>
      <c r="I3516" s="134" t="s">
        <v>17017</v>
      </c>
      <c r="J3516" s="23" t="s">
        <v>55</v>
      </c>
      <c r="K3516" s="23"/>
      <c r="L3516" s="52">
        <v>780.0</v>
      </c>
      <c r="M3516" s="52">
        <v>40.0</v>
      </c>
      <c r="N3516" s="52"/>
      <c r="O3516" s="189"/>
      <c r="P3516" s="189" t="s">
        <v>6397</v>
      </c>
      <c r="Q3516" s="52" t="s">
        <v>1453</v>
      </c>
      <c r="R3516" s="52"/>
      <c r="S3516" s="324"/>
      <c r="T3516" s="83" t="s">
        <v>17018</v>
      </c>
      <c r="U3516" s="320" t="s">
        <v>61</v>
      </c>
      <c r="V3516" s="139"/>
      <c r="W3516" s="49"/>
      <c r="X3516" s="49"/>
      <c r="Y3516" s="35"/>
      <c r="Z3516" s="35"/>
      <c r="AA3516" s="35"/>
      <c r="AB3516" s="35"/>
      <c r="AC3516" s="35"/>
      <c r="AD3516" s="35"/>
      <c r="AE3516" s="35"/>
      <c r="AF3516" s="35"/>
      <c r="AG3516" s="35"/>
      <c r="AH3516" s="35"/>
      <c r="AI3516" s="35"/>
      <c r="AJ3516" s="35"/>
      <c r="AK3516" s="35"/>
      <c r="AL3516" s="35"/>
    </row>
    <row r="3517">
      <c r="A3517" s="205"/>
      <c r="B3517" s="19" t="s">
        <v>14099</v>
      </c>
      <c r="C3517" s="20" t="s">
        <v>17019</v>
      </c>
      <c r="D3517" s="47"/>
      <c r="E3517" s="57" t="s">
        <v>17020</v>
      </c>
      <c r="F3517" s="22" t="s">
        <v>6605</v>
      </c>
      <c r="G3517" s="57">
        <v>2023.0</v>
      </c>
      <c r="H3517" s="57" t="s">
        <v>16297</v>
      </c>
      <c r="I3517" s="134" t="s">
        <v>17021</v>
      </c>
      <c r="J3517" s="23" t="s">
        <v>17022</v>
      </c>
      <c r="K3517" s="23" t="s">
        <v>17023</v>
      </c>
      <c r="L3517" s="52"/>
      <c r="M3517" s="52"/>
      <c r="N3517" s="52"/>
      <c r="O3517" s="189"/>
      <c r="P3517" s="189"/>
      <c r="Q3517" s="52"/>
      <c r="R3517" s="52">
        <v>1800.0</v>
      </c>
      <c r="S3517" s="52">
        <v>1.0</v>
      </c>
      <c r="T3517" s="83" t="s">
        <v>17024</v>
      </c>
      <c r="U3517" s="320" t="s">
        <v>61</v>
      </c>
      <c r="V3517" s="139"/>
      <c r="W3517" s="49"/>
      <c r="X3517" s="49"/>
      <c r="Y3517" s="35"/>
      <c r="Z3517" s="35"/>
      <c r="AA3517" s="35"/>
      <c r="AB3517" s="35"/>
      <c r="AC3517" s="35"/>
      <c r="AD3517" s="35"/>
      <c r="AE3517" s="35"/>
      <c r="AF3517" s="35"/>
      <c r="AG3517" s="35"/>
      <c r="AH3517" s="35"/>
      <c r="AI3517" s="35"/>
      <c r="AJ3517" s="35"/>
      <c r="AK3517" s="35"/>
      <c r="AL3517" s="35"/>
    </row>
    <row r="3518">
      <c r="A3518" s="205"/>
      <c r="B3518" s="19" t="s">
        <v>14099</v>
      </c>
      <c r="C3518" s="20" t="s">
        <v>17015</v>
      </c>
      <c r="D3518" s="47"/>
      <c r="E3518" s="57" t="s">
        <v>835</v>
      </c>
      <c r="F3518" s="22" t="s">
        <v>12890</v>
      </c>
      <c r="G3518" s="57">
        <v>2023.0</v>
      </c>
      <c r="H3518" s="57" t="s">
        <v>91</v>
      </c>
      <c r="I3518" s="134" t="s">
        <v>17025</v>
      </c>
      <c r="J3518" s="23" t="s">
        <v>533</v>
      </c>
      <c r="K3518" s="23"/>
      <c r="L3518" s="173" t="s">
        <v>17026</v>
      </c>
      <c r="U3518" s="320" t="s">
        <v>61</v>
      </c>
      <c r="V3518" s="139"/>
      <c r="W3518" s="49"/>
      <c r="X3518" s="49"/>
      <c r="Y3518" s="35"/>
      <c r="Z3518" s="35"/>
      <c r="AA3518" s="35"/>
      <c r="AB3518" s="35"/>
      <c r="AC3518" s="35"/>
      <c r="AD3518" s="35"/>
      <c r="AE3518" s="35"/>
      <c r="AF3518" s="35"/>
      <c r="AG3518" s="35"/>
      <c r="AH3518" s="35"/>
      <c r="AI3518" s="35"/>
      <c r="AJ3518" s="35"/>
      <c r="AK3518" s="35"/>
      <c r="AL3518" s="35"/>
    </row>
    <row r="3519">
      <c r="A3519" s="205"/>
      <c r="B3519" s="19" t="s">
        <v>14099</v>
      </c>
      <c r="C3519" s="20" t="s">
        <v>17015</v>
      </c>
      <c r="D3519" s="47"/>
      <c r="E3519" s="57" t="s">
        <v>17027</v>
      </c>
      <c r="F3519" s="22" t="s">
        <v>41</v>
      </c>
      <c r="G3519" s="57">
        <v>2022.0</v>
      </c>
      <c r="H3519" s="57" t="s">
        <v>42</v>
      </c>
      <c r="I3519" s="134" t="s">
        <v>17028</v>
      </c>
      <c r="J3519" s="23" t="s">
        <v>55</v>
      </c>
      <c r="K3519" s="23"/>
      <c r="L3519" s="52"/>
      <c r="M3519" s="52"/>
      <c r="N3519" s="52"/>
      <c r="O3519" s="189"/>
      <c r="P3519" s="189"/>
      <c r="Q3519" s="52"/>
      <c r="R3519" s="52"/>
      <c r="S3519" s="324"/>
      <c r="T3519" s="83" t="s">
        <v>17029</v>
      </c>
      <c r="U3519" s="315" t="s">
        <v>61</v>
      </c>
      <c r="V3519" s="139"/>
      <c r="W3519" s="49"/>
      <c r="X3519" s="49"/>
      <c r="Y3519" s="35"/>
      <c r="Z3519" s="35"/>
      <c r="AA3519" s="35"/>
      <c r="AB3519" s="35"/>
      <c r="AC3519" s="35"/>
      <c r="AD3519" s="35"/>
      <c r="AE3519" s="35"/>
      <c r="AF3519" s="35"/>
      <c r="AG3519" s="35"/>
      <c r="AH3519" s="35"/>
      <c r="AI3519" s="35"/>
      <c r="AJ3519" s="35"/>
      <c r="AK3519" s="35"/>
      <c r="AL3519" s="35"/>
    </row>
    <row r="3520">
      <c r="A3520" s="18"/>
      <c r="B3520" s="19" t="s">
        <v>14099</v>
      </c>
      <c r="C3520" s="20" t="s">
        <v>17015</v>
      </c>
      <c r="D3520" s="47"/>
      <c r="E3520" s="57" t="s">
        <v>17030</v>
      </c>
      <c r="F3520" s="22" t="s">
        <v>5223</v>
      </c>
      <c r="G3520" s="57">
        <v>2021.0</v>
      </c>
      <c r="H3520" s="57" t="s">
        <v>42</v>
      </c>
      <c r="I3520" s="134" t="s">
        <v>17031</v>
      </c>
      <c r="J3520" s="23" t="s">
        <v>533</v>
      </c>
      <c r="K3520" s="23"/>
      <c r="L3520" s="53" t="s">
        <v>17032</v>
      </c>
      <c r="U3520" s="315" t="s">
        <v>61</v>
      </c>
      <c r="V3520" s="136"/>
      <c r="W3520" s="49"/>
      <c r="X3520" s="49"/>
      <c r="Y3520" s="35"/>
      <c r="Z3520" s="35"/>
      <c r="AA3520" s="35"/>
      <c r="AB3520" s="35"/>
      <c r="AC3520" s="35"/>
      <c r="AD3520" s="35"/>
      <c r="AE3520" s="35"/>
      <c r="AF3520" s="35"/>
      <c r="AG3520" s="35"/>
      <c r="AH3520" s="35"/>
      <c r="AI3520" s="35"/>
      <c r="AJ3520" s="35"/>
      <c r="AK3520" s="35"/>
      <c r="AL3520" s="35"/>
    </row>
    <row r="3521">
      <c r="A3521" s="18"/>
      <c r="B3521" s="19" t="s">
        <v>14099</v>
      </c>
      <c r="C3521" s="20" t="s">
        <v>17015</v>
      </c>
      <c r="D3521" s="47"/>
      <c r="E3521" s="57" t="s">
        <v>825</v>
      </c>
      <c r="F3521" s="22" t="s">
        <v>89</v>
      </c>
      <c r="G3521" s="57">
        <v>2021.0</v>
      </c>
      <c r="H3521" s="57" t="s">
        <v>16555</v>
      </c>
      <c r="I3521" s="134" t="s">
        <v>17033</v>
      </c>
      <c r="J3521" s="23" t="s">
        <v>55</v>
      </c>
      <c r="K3521" s="23"/>
      <c r="L3521" s="52">
        <v>630.0</v>
      </c>
      <c r="M3521" s="52">
        <v>300.0</v>
      </c>
      <c r="N3521" s="200"/>
      <c r="O3521" s="189"/>
      <c r="P3521" s="189" t="s">
        <v>2395</v>
      </c>
      <c r="Q3521" s="52"/>
      <c r="R3521" s="52"/>
      <c r="S3521" s="52"/>
      <c r="T3521" s="83" t="s">
        <v>17034</v>
      </c>
      <c r="U3521" s="315" t="s">
        <v>61</v>
      </c>
      <c r="V3521" s="136"/>
      <c r="W3521" s="49"/>
      <c r="X3521" s="49"/>
      <c r="Y3521" s="35"/>
      <c r="Z3521" s="35"/>
      <c r="AA3521" s="35"/>
      <c r="AB3521" s="35"/>
      <c r="AC3521" s="35"/>
      <c r="AD3521" s="35"/>
      <c r="AE3521" s="35"/>
      <c r="AF3521" s="35"/>
      <c r="AG3521" s="35"/>
      <c r="AH3521" s="35"/>
      <c r="AI3521" s="35"/>
      <c r="AJ3521" s="35"/>
      <c r="AK3521" s="35"/>
      <c r="AL3521" s="35"/>
    </row>
    <row r="3522">
      <c r="A3522" s="18"/>
      <c r="B3522" s="19" t="s">
        <v>14099</v>
      </c>
      <c r="C3522" s="20" t="s">
        <v>17015</v>
      </c>
      <c r="D3522" s="47"/>
      <c r="E3522" s="57" t="s">
        <v>17035</v>
      </c>
      <c r="F3522" s="22" t="s">
        <v>291</v>
      </c>
      <c r="G3522" s="57">
        <v>2021.0</v>
      </c>
      <c r="H3522" s="57" t="s">
        <v>53</v>
      </c>
      <c r="I3522" s="134" t="s">
        <v>17036</v>
      </c>
      <c r="J3522" s="23" t="s">
        <v>55</v>
      </c>
      <c r="K3522" s="23"/>
      <c r="L3522" s="52">
        <v>780.0</v>
      </c>
      <c r="M3522" s="52">
        <v>250.0</v>
      </c>
      <c r="N3522" s="200"/>
      <c r="O3522" s="189" t="s">
        <v>3570</v>
      </c>
      <c r="P3522" s="189" t="s">
        <v>17037</v>
      </c>
      <c r="Q3522" s="52"/>
      <c r="R3522" s="52"/>
      <c r="S3522" s="52" t="s">
        <v>17038</v>
      </c>
      <c r="T3522" s="83" t="s">
        <v>17039</v>
      </c>
      <c r="U3522" s="315" t="s">
        <v>61</v>
      </c>
      <c r="V3522" s="136"/>
      <c r="W3522" s="49"/>
      <c r="X3522" s="49"/>
      <c r="Y3522" s="35"/>
      <c r="Z3522" s="35"/>
      <c r="AA3522" s="35"/>
      <c r="AB3522" s="35"/>
      <c r="AC3522" s="35"/>
      <c r="AD3522" s="35"/>
      <c r="AE3522" s="35"/>
      <c r="AF3522" s="35"/>
      <c r="AG3522" s="35"/>
      <c r="AH3522" s="35"/>
      <c r="AI3522" s="35"/>
      <c r="AJ3522" s="35"/>
      <c r="AK3522" s="35"/>
      <c r="AL3522" s="35"/>
    </row>
    <row r="3523">
      <c r="A3523" s="18"/>
      <c r="B3523" s="19" t="s">
        <v>14099</v>
      </c>
      <c r="C3523" s="20" t="s">
        <v>17015</v>
      </c>
      <c r="D3523" s="47"/>
      <c r="E3523" s="57" t="s">
        <v>17040</v>
      </c>
      <c r="F3523" s="22" t="s">
        <v>65</v>
      </c>
      <c r="G3523" s="57">
        <v>2021.0</v>
      </c>
      <c r="H3523" s="57" t="s">
        <v>77</v>
      </c>
      <c r="I3523" s="134" t="s">
        <v>17041</v>
      </c>
      <c r="J3523" s="23" t="s">
        <v>378</v>
      </c>
      <c r="K3523" s="23"/>
      <c r="L3523" s="52"/>
      <c r="M3523" s="52"/>
      <c r="N3523" s="200"/>
      <c r="O3523" s="189"/>
      <c r="P3523" s="189"/>
      <c r="Q3523" s="52"/>
      <c r="R3523" s="52"/>
      <c r="S3523" s="52"/>
      <c r="T3523" s="84" t="s">
        <v>17042</v>
      </c>
      <c r="U3523" s="315" t="s">
        <v>61</v>
      </c>
      <c r="V3523" s="136"/>
      <c r="W3523" s="49"/>
      <c r="X3523" s="49"/>
      <c r="Y3523" s="35"/>
      <c r="Z3523" s="35"/>
      <c r="AA3523" s="35"/>
      <c r="AB3523" s="35"/>
      <c r="AC3523" s="35"/>
      <c r="AD3523" s="35"/>
      <c r="AE3523" s="35"/>
      <c r="AF3523" s="35"/>
      <c r="AG3523" s="35"/>
      <c r="AH3523" s="35"/>
      <c r="AI3523" s="35"/>
      <c r="AJ3523" s="35"/>
      <c r="AK3523" s="35"/>
      <c r="AL3523" s="35"/>
    </row>
    <row r="3524">
      <c r="A3524" s="18"/>
      <c r="B3524" s="19" t="s">
        <v>14099</v>
      </c>
      <c r="C3524" s="20" t="s">
        <v>17015</v>
      </c>
      <c r="D3524" s="47"/>
      <c r="E3524" s="57" t="s">
        <v>17043</v>
      </c>
      <c r="F3524" s="22" t="s">
        <v>5207</v>
      </c>
      <c r="G3524" s="57">
        <v>2020.0</v>
      </c>
      <c r="H3524" s="57" t="s">
        <v>91</v>
      </c>
      <c r="I3524" s="134" t="s">
        <v>17044</v>
      </c>
      <c r="J3524" s="23" t="s">
        <v>55</v>
      </c>
      <c r="K3524" s="23"/>
      <c r="L3524" s="52">
        <v>830.0</v>
      </c>
      <c r="M3524" s="52">
        <v>100.0</v>
      </c>
      <c r="N3524" s="200"/>
      <c r="O3524" s="189"/>
      <c r="P3524" s="189" t="s">
        <v>17045</v>
      </c>
      <c r="Q3524" s="52"/>
      <c r="R3524" s="52"/>
      <c r="S3524" s="52"/>
      <c r="T3524" s="83" t="s">
        <v>17046</v>
      </c>
      <c r="U3524" s="315" t="s">
        <v>61</v>
      </c>
      <c r="V3524" s="136"/>
      <c r="W3524" s="49"/>
      <c r="X3524" s="49"/>
      <c r="Y3524" s="35"/>
      <c r="Z3524" s="35"/>
      <c r="AA3524" s="35"/>
      <c r="AB3524" s="35"/>
      <c r="AC3524" s="35"/>
      <c r="AD3524" s="35"/>
      <c r="AE3524" s="35"/>
      <c r="AF3524" s="35"/>
      <c r="AG3524" s="35"/>
      <c r="AH3524" s="35"/>
      <c r="AI3524" s="35"/>
      <c r="AJ3524" s="35"/>
      <c r="AK3524" s="35"/>
      <c r="AL3524" s="35"/>
    </row>
    <row r="3525">
      <c r="A3525" s="18"/>
      <c r="B3525" s="19" t="s">
        <v>14099</v>
      </c>
      <c r="C3525" s="20" t="s">
        <v>17015</v>
      </c>
      <c r="D3525" s="47"/>
      <c r="E3525" s="57" t="s">
        <v>88</v>
      </c>
      <c r="F3525" s="22" t="s">
        <v>41</v>
      </c>
      <c r="G3525" s="57">
        <v>2019.0</v>
      </c>
      <c r="H3525" s="57" t="s">
        <v>2500</v>
      </c>
      <c r="I3525" s="134" t="s">
        <v>17047</v>
      </c>
      <c r="J3525" s="23" t="s">
        <v>55</v>
      </c>
      <c r="K3525" s="23"/>
      <c r="L3525" s="52"/>
      <c r="M3525" s="52"/>
      <c r="N3525" s="200"/>
      <c r="O3525" s="189"/>
      <c r="P3525" s="189"/>
      <c r="Q3525" s="52"/>
      <c r="R3525" s="52"/>
      <c r="S3525" s="52"/>
      <c r="T3525" s="83" t="s">
        <v>17048</v>
      </c>
      <c r="U3525" s="322" t="str">
        <f>HYPERLINK("https://www.ncbi.nlm.nih.gov/pubmed/30891589","PubMed")</f>
        <v>PubMed</v>
      </c>
      <c r="V3525" s="139"/>
      <c r="W3525" s="49"/>
      <c r="X3525" s="49"/>
      <c r="Y3525" s="35"/>
      <c r="Z3525" s="35"/>
      <c r="AA3525" s="35"/>
      <c r="AB3525" s="35"/>
      <c r="AC3525" s="35"/>
      <c r="AD3525" s="35"/>
      <c r="AE3525" s="35"/>
      <c r="AF3525" s="35"/>
      <c r="AG3525" s="35"/>
      <c r="AH3525" s="35"/>
      <c r="AI3525" s="35"/>
      <c r="AJ3525" s="35"/>
      <c r="AK3525" s="35"/>
      <c r="AL3525" s="35"/>
    </row>
    <row r="3526">
      <c r="A3526" s="18"/>
      <c r="B3526" s="19" t="s">
        <v>14099</v>
      </c>
      <c r="C3526" s="20" t="s">
        <v>17015</v>
      </c>
      <c r="D3526" s="47"/>
      <c r="E3526" s="57" t="s">
        <v>17005</v>
      </c>
      <c r="F3526" s="22" t="s">
        <v>241</v>
      </c>
      <c r="G3526" s="57">
        <v>2019.0</v>
      </c>
      <c r="H3526" s="57" t="s">
        <v>1000</v>
      </c>
      <c r="I3526" s="134" t="s">
        <v>17049</v>
      </c>
      <c r="J3526" s="23" t="s">
        <v>55</v>
      </c>
      <c r="K3526" s="23" t="s">
        <v>17050</v>
      </c>
      <c r="L3526" s="52">
        <v>830.0</v>
      </c>
      <c r="M3526" s="52">
        <v>100.0</v>
      </c>
      <c r="N3526" s="200"/>
      <c r="O3526" s="189" t="s">
        <v>969</v>
      </c>
      <c r="P3526" s="189"/>
      <c r="Q3526" s="52"/>
      <c r="R3526" s="52">
        <v>30.0</v>
      </c>
      <c r="S3526" s="52"/>
      <c r="T3526" s="83" t="s">
        <v>17051</v>
      </c>
      <c r="U3526" s="315" t="s">
        <v>6736</v>
      </c>
      <c r="V3526" s="139"/>
      <c r="W3526" s="49"/>
      <c r="X3526" s="49"/>
      <c r="Y3526" s="35"/>
      <c r="Z3526" s="35"/>
      <c r="AA3526" s="35"/>
      <c r="AB3526" s="35"/>
      <c r="AC3526" s="35"/>
      <c r="AD3526" s="35"/>
      <c r="AE3526" s="35"/>
      <c r="AF3526" s="35"/>
      <c r="AG3526" s="35"/>
      <c r="AH3526" s="35"/>
      <c r="AI3526" s="35"/>
      <c r="AJ3526" s="35"/>
      <c r="AK3526" s="35"/>
      <c r="AL3526" s="35"/>
    </row>
    <row r="3527">
      <c r="A3527" s="18"/>
      <c r="B3527" s="19" t="s">
        <v>14099</v>
      </c>
      <c r="C3527" s="20" t="s">
        <v>17015</v>
      </c>
      <c r="D3527" s="47"/>
      <c r="E3527" s="57" t="s">
        <v>17052</v>
      </c>
      <c r="F3527" s="22" t="s">
        <v>530</v>
      </c>
      <c r="G3527" s="57" t="s">
        <v>2499</v>
      </c>
      <c r="H3527" s="57" t="s">
        <v>17053</v>
      </c>
      <c r="I3527" s="134" t="s">
        <v>17054</v>
      </c>
      <c r="J3527" s="23" t="s">
        <v>55</v>
      </c>
      <c r="K3527" s="23"/>
      <c r="L3527" s="52">
        <v>808.0</v>
      </c>
      <c r="M3527" s="52">
        <v>30.0</v>
      </c>
      <c r="N3527" s="200">
        <v>43315.0</v>
      </c>
      <c r="O3527" s="189" t="s">
        <v>17055</v>
      </c>
      <c r="P3527" s="189" t="s">
        <v>17045</v>
      </c>
      <c r="Q3527" s="52" t="s">
        <v>17056</v>
      </c>
      <c r="R3527" s="52">
        <v>47.0</v>
      </c>
      <c r="S3527" s="52" t="s">
        <v>17002</v>
      </c>
      <c r="T3527" s="83" t="s">
        <v>17057</v>
      </c>
      <c r="U3527" s="322" t="str">
        <f>HYPERLINK("http://www.scielo.br/scielo.php?pid=S1516-89132018000100319&amp;script=sci_arttext","SciELO")</f>
        <v>SciELO</v>
      </c>
      <c r="V3527" s="139"/>
      <c r="W3527" s="49"/>
      <c r="X3527" s="49"/>
      <c r="Y3527" s="35"/>
      <c r="Z3527" s="35"/>
      <c r="AA3527" s="35"/>
      <c r="AB3527" s="35"/>
      <c r="AC3527" s="35"/>
      <c r="AD3527" s="35"/>
      <c r="AE3527" s="35"/>
      <c r="AF3527" s="35"/>
      <c r="AG3527" s="35"/>
      <c r="AH3527" s="35"/>
      <c r="AI3527" s="35"/>
      <c r="AJ3527" s="35"/>
      <c r="AK3527" s="35"/>
      <c r="AL3527" s="35"/>
    </row>
    <row r="3528">
      <c r="A3528" s="18"/>
      <c r="B3528" s="19" t="s">
        <v>14099</v>
      </c>
      <c r="C3528" s="20" t="s">
        <v>17015</v>
      </c>
      <c r="D3528" s="47"/>
      <c r="E3528" s="57" t="s">
        <v>467</v>
      </c>
      <c r="F3528" s="22" t="s">
        <v>237</v>
      </c>
      <c r="G3528" s="57">
        <v>2018.0</v>
      </c>
      <c r="H3528" s="57" t="s">
        <v>17058</v>
      </c>
      <c r="I3528" s="134" t="s">
        <v>17059</v>
      </c>
      <c r="J3528" s="23" t="s">
        <v>55</v>
      </c>
      <c r="K3528" s="23"/>
      <c r="L3528" s="52">
        <v>637.0</v>
      </c>
      <c r="M3528" s="52">
        <v>25.0</v>
      </c>
      <c r="N3528" s="52"/>
      <c r="O3528" s="189" t="s">
        <v>3054</v>
      </c>
      <c r="P3528" s="189" t="s">
        <v>17060</v>
      </c>
      <c r="Q3528" s="52" t="s">
        <v>17061</v>
      </c>
      <c r="R3528" s="52">
        <v>10.0</v>
      </c>
      <c r="S3528" s="52">
        <v>7.0</v>
      </c>
      <c r="T3528" s="83" t="s">
        <v>17062</v>
      </c>
      <c r="U3528" s="322" t="str">
        <f>HYPERLINK("https://www.ncbi.nlm.nih.gov/pubmed/30309501","PubMed")</f>
        <v>PubMed</v>
      </c>
      <c r="V3528" s="139"/>
      <c r="W3528" s="49"/>
      <c r="X3528" s="49"/>
      <c r="Y3528" s="35"/>
      <c r="Z3528" s="35"/>
      <c r="AA3528" s="35"/>
      <c r="AB3528" s="35"/>
      <c r="AC3528" s="35"/>
      <c r="AD3528" s="35"/>
      <c r="AE3528" s="35"/>
      <c r="AF3528" s="35"/>
      <c r="AG3528" s="35"/>
      <c r="AH3528" s="35"/>
      <c r="AI3528" s="35"/>
      <c r="AJ3528" s="35"/>
      <c r="AK3528" s="35"/>
      <c r="AL3528" s="35"/>
    </row>
    <row r="3529">
      <c r="A3529" s="18"/>
      <c r="B3529" s="19" t="s">
        <v>14099</v>
      </c>
      <c r="C3529" s="20" t="s">
        <v>17015</v>
      </c>
      <c r="D3529" s="47"/>
      <c r="E3529" s="57" t="s">
        <v>17063</v>
      </c>
      <c r="F3529" s="22" t="s">
        <v>17064</v>
      </c>
      <c r="G3529" s="57">
        <v>2018.0</v>
      </c>
      <c r="H3529" s="57" t="s">
        <v>658</v>
      </c>
      <c r="I3529" s="134" t="s">
        <v>17065</v>
      </c>
      <c r="J3529" s="23" t="s">
        <v>55</v>
      </c>
      <c r="K3529" s="23"/>
      <c r="L3529" s="52"/>
      <c r="M3529" s="52"/>
      <c r="N3529" s="52"/>
      <c r="O3529" s="189" t="s">
        <v>17066</v>
      </c>
      <c r="P3529" s="189"/>
      <c r="Q3529" s="52"/>
      <c r="R3529" s="52"/>
      <c r="S3529" s="324"/>
      <c r="T3529" s="83" t="s">
        <v>17067</v>
      </c>
      <c r="U3529" s="322" t="str">
        <f>HYPERLINK("https://www.ncbi.nlm.nih.gov/pubmed/30096269","PubMed")</f>
        <v>PubMed</v>
      </c>
      <c r="V3529" s="139"/>
      <c r="W3529" s="49"/>
      <c r="X3529" s="49"/>
      <c r="Y3529" s="35"/>
      <c r="Z3529" s="35"/>
      <c r="AA3529" s="35"/>
      <c r="AB3529" s="35"/>
      <c r="AC3529" s="35"/>
      <c r="AD3529" s="35"/>
      <c r="AE3529" s="35"/>
      <c r="AF3529" s="35"/>
      <c r="AG3529" s="35"/>
      <c r="AH3529" s="35"/>
      <c r="AI3529" s="35"/>
      <c r="AJ3529" s="35"/>
      <c r="AK3529" s="35"/>
      <c r="AL3529" s="35"/>
    </row>
    <row r="3530">
      <c r="A3530" s="18" t="s">
        <v>2</v>
      </c>
      <c r="B3530" s="19" t="s">
        <v>14099</v>
      </c>
      <c r="C3530" s="20" t="s">
        <v>17015</v>
      </c>
      <c r="D3530" s="47"/>
      <c r="E3530" s="57" t="s">
        <v>2850</v>
      </c>
      <c r="F3530" s="22" t="s">
        <v>241</v>
      </c>
      <c r="G3530" s="57">
        <v>2018.0</v>
      </c>
      <c r="H3530" s="57" t="s">
        <v>91</v>
      </c>
      <c r="I3530" s="134" t="s">
        <v>17068</v>
      </c>
      <c r="J3530" s="23" t="s">
        <v>55</v>
      </c>
      <c r="K3530" s="23" t="s">
        <v>17069</v>
      </c>
      <c r="L3530" s="52">
        <v>830.0</v>
      </c>
      <c r="M3530" s="52">
        <v>100.0</v>
      </c>
      <c r="N3530" s="52" t="s">
        <v>278</v>
      </c>
      <c r="O3530" s="189" t="s">
        <v>969</v>
      </c>
      <c r="P3530" s="189" t="s">
        <v>17070</v>
      </c>
      <c r="Q3530" s="52"/>
      <c r="R3530" s="52">
        <v>30.0</v>
      </c>
      <c r="S3530" s="324"/>
      <c r="T3530" s="83" t="s">
        <v>17071</v>
      </c>
      <c r="U3530" s="322" t="str">
        <f>HYPERLINK("https://www.ncbi.nlm.nih.gov/pubmed/29992491","PubMed")</f>
        <v>PubMed</v>
      </c>
      <c r="V3530" s="139"/>
      <c r="W3530" s="49"/>
      <c r="X3530" s="49"/>
      <c r="Y3530" s="35"/>
      <c r="Z3530" s="35"/>
      <c r="AA3530" s="35"/>
      <c r="AB3530" s="35"/>
      <c r="AC3530" s="35"/>
      <c r="AD3530" s="35"/>
      <c r="AE3530" s="35"/>
      <c r="AF3530" s="35"/>
      <c r="AG3530" s="35"/>
      <c r="AH3530" s="35"/>
      <c r="AI3530" s="35"/>
      <c r="AJ3530" s="35"/>
      <c r="AK3530" s="35"/>
      <c r="AL3530" s="35"/>
    </row>
    <row r="3531">
      <c r="A3531" s="205"/>
      <c r="B3531" s="19" t="s">
        <v>14099</v>
      </c>
      <c r="C3531" s="20" t="s">
        <v>17015</v>
      </c>
      <c r="D3531" s="47"/>
      <c r="E3531" s="57" t="s">
        <v>5294</v>
      </c>
      <c r="F3531" s="22" t="s">
        <v>993</v>
      </c>
      <c r="G3531" s="57">
        <v>2018.0</v>
      </c>
      <c r="H3531" s="57" t="s">
        <v>967</v>
      </c>
      <c r="I3531" s="134" t="s">
        <v>17072</v>
      </c>
      <c r="J3531" s="23" t="s">
        <v>55</v>
      </c>
      <c r="K3531" s="23"/>
      <c r="L3531" s="52">
        <v>904.0</v>
      </c>
      <c r="M3531" s="52" t="s">
        <v>17073</v>
      </c>
      <c r="N3531" s="52"/>
      <c r="O3531" s="189" t="s">
        <v>4163</v>
      </c>
      <c r="P3531" s="189" t="s">
        <v>969</v>
      </c>
      <c r="Q3531" s="52"/>
      <c r="R3531" s="52"/>
      <c r="S3531" s="52">
        <v>5.0</v>
      </c>
      <c r="T3531" s="84" t="s">
        <v>17074</v>
      </c>
      <c r="U3531" s="322" t="str">
        <f>HYPERLINK("http://iopscience.iop.org/article/10.1088/1555-6611/aac29a/meta","IOP")</f>
        <v>IOP</v>
      </c>
      <c r="V3531" s="139"/>
      <c r="W3531" s="49"/>
      <c r="X3531" s="49"/>
      <c r="Y3531" s="35"/>
      <c r="Z3531" s="35"/>
      <c r="AA3531" s="35"/>
      <c r="AB3531" s="35"/>
      <c r="AC3531" s="35"/>
      <c r="AD3531" s="35"/>
      <c r="AE3531" s="35"/>
      <c r="AF3531" s="35"/>
      <c r="AG3531" s="35"/>
      <c r="AH3531" s="35"/>
      <c r="AI3531" s="35"/>
      <c r="AJ3531" s="35"/>
      <c r="AK3531" s="35"/>
      <c r="AL3531" s="35"/>
    </row>
    <row r="3532">
      <c r="A3532" s="205"/>
      <c r="B3532" s="19" t="s">
        <v>14099</v>
      </c>
      <c r="C3532" s="20" t="s">
        <v>17015</v>
      </c>
      <c r="D3532" s="47"/>
      <c r="E3532" s="57" t="s">
        <v>17075</v>
      </c>
      <c r="F3532" s="22" t="s">
        <v>993</v>
      </c>
      <c r="G3532" s="57">
        <v>2018.0</v>
      </c>
      <c r="H3532" s="57" t="s">
        <v>91</v>
      </c>
      <c r="I3532" s="134" t="s">
        <v>17076</v>
      </c>
      <c r="J3532" s="23" t="s">
        <v>55</v>
      </c>
      <c r="K3532" s="23"/>
      <c r="L3532" s="52">
        <v>904.0</v>
      </c>
      <c r="M3532" s="52" t="s">
        <v>17073</v>
      </c>
      <c r="N3532" s="52"/>
      <c r="O3532" s="189"/>
      <c r="P3532" s="189" t="s">
        <v>17077</v>
      </c>
      <c r="Q3532" s="52"/>
      <c r="R3532" s="52"/>
      <c r="S3532" s="324"/>
      <c r="T3532" s="83" t="s">
        <v>17078</v>
      </c>
      <c r="U3532" s="322" t="str">
        <f>HYPERLINK("https://www.ncbi.nlm.nih.gov/pubmed/29696446","PubMed")</f>
        <v>PubMed</v>
      </c>
      <c r="V3532" s="139"/>
      <c r="W3532" s="49"/>
      <c r="X3532" s="49"/>
      <c r="Y3532" s="35"/>
      <c r="Z3532" s="35"/>
      <c r="AA3532" s="35"/>
      <c r="AB3532" s="35"/>
      <c r="AC3532" s="35"/>
      <c r="AD3532" s="35"/>
      <c r="AE3532" s="35"/>
      <c r="AF3532" s="35"/>
      <c r="AG3532" s="35"/>
      <c r="AH3532" s="35"/>
      <c r="AI3532" s="35"/>
      <c r="AJ3532" s="35"/>
      <c r="AK3532" s="35"/>
      <c r="AL3532" s="35"/>
    </row>
    <row r="3533">
      <c r="A3533" s="205"/>
      <c r="B3533" s="19" t="s">
        <v>14099</v>
      </c>
      <c r="C3533" s="20" t="s">
        <v>17015</v>
      </c>
      <c r="D3533" s="47"/>
      <c r="E3533" s="57" t="s">
        <v>17079</v>
      </c>
      <c r="F3533" s="22" t="s">
        <v>41</v>
      </c>
      <c r="G3533" s="57">
        <v>2018.0</v>
      </c>
      <c r="H3533" s="57" t="s">
        <v>91</v>
      </c>
      <c r="I3533" s="134" t="s">
        <v>17080</v>
      </c>
      <c r="J3533" s="23" t="s">
        <v>55</v>
      </c>
      <c r="K3533" s="23"/>
      <c r="L3533" s="52">
        <v>780.0</v>
      </c>
      <c r="M3533" s="52">
        <v>40.0</v>
      </c>
      <c r="N3533" s="52"/>
      <c r="O3533" s="189" t="s">
        <v>17081</v>
      </c>
      <c r="P3533" s="189" t="s">
        <v>95</v>
      </c>
      <c r="Q3533" s="52"/>
      <c r="R3533" s="52" t="s">
        <v>17082</v>
      </c>
      <c r="S3533" s="324"/>
      <c r="T3533" s="83" t="s">
        <v>17083</v>
      </c>
      <c r="U3533" s="322" t="str">
        <f>HYPERLINK("https://www.ncbi.nlm.nih.gov/pubmed/29450762","PubMed")</f>
        <v>PubMed</v>
      </c>
      <c r="V3533" s="139"/>
      <c r="W3533" s="49"/>
      <c r="X3533" s="49"/>
      <c r="Y3533" s="35"/>
      <c r="Z3533" s="35"/>
      <c r="AA3533" s="35"/>
      <c r="AB3533" s="35"/>
      <c r="AC3533" s="35"/>
      <c r="AD3533" s="35"/>
      <c r="AE3533" s="35"/>
      <c r="AF3533" s="35"/>
      <c r="AG3533" s="35"/>
      <c r="AH3533" s="35"/>
      <c r="AI3533" s="35"/>
      <c r="AJ3533" s="35"/>
      <c r="AK3533" s="35"/>
      <c r="AL3533" s="35"/>
    </row>
    <row r="3534">
      <c r="A3534" s="205"/>
      <c r="B3534" s="19" t="s">
        <v>14099</v>
      </c>
      <c r="C3534" s="20" t="s">
        <v>17015</v>
      </c>
      <c r="D3534" s="47"/>
      <c r="E3534" s="57" t="s">
        <v>16942</v>
      </c>
      <c r="F3534" s="22" t="s">
        <v>41</v>
      </c>
      <c r="G3534" s="57">
        <v>2018.0</v>
      </c>
      <c r="H3534" s="57" t="s">
        <v>53</v>
      </c>
      <c r="I3534" s="134" t="s">
        <v>17084</v>
      </c>
      <c r="J3534" s="23" t="s">
        <v>55</v>
      </c>
      <c r="K3534" s="23"/>
      <c r="L3534" s="52">
        <v>780.0</v>
      </c>
      <c r="M3534" s="52">
        <v>40.0</v>
      </c>
      <c r="N3534" s="52"/>
      <c r="O3534" s="189" t="s">
        <v>17085</v>
      </c>
      <c r="P3534" s="189"/>
      <c r="Q3534" s="52"/>
      <c r="R3534" s="52"/>
      <c r="S3534" s="324"/>
      <c r="T3534" s="83" t="s">
        <v>17086</v>
      </c>
      <c r="U3534" s="322" t="str">
        <f>HYPERLINK("https://www.ncbi.nlm.nih.gov/pubmed/29399847","PubMed")</f>
        <v>PubMed</v>
      </c>
      <c r="V3534" s="139"/>
      <c r="W3534" s="49"/>
      <c r="X3534" s="49"/>
      <c r="Y3534" s="35"/>
      <c r="Z3534" s="35"/>
      <c r="AA3534" s="35"/>
      <c r="AB3534" s="35"/>
      <c r="AC3534" s="35"/>
      <c r="AD3534" s="35"/>
      <c r="AE3534" s="35"/>
      <c r="AF3534" s="35"/>
      <c r="AG3534" s="35"/>
      <c r="AH3534" s="35"/>
      <c r="AI3534" s="35"/>
      <c r="AJ3534" s="35"/>
      <c r="AK3534" s="35"/>
      <c r="AL3534" s="35"/>
    </row>
    <row r="3535">
      <c r="A3535" s="205"/>
      <c r="B3535" s="19" t="s">
        <v>14099</v>
      </c>
      <c r="C3535" s="20" t="s">
        <v>17015</v>
      </c>
      <c r="D3535" s="47"/>
      <c r="E3535" s="22" t="s">
        <v>2850</v>
      </c>
      <c r="F3535" s="22" t="s">
        <v>41</v>
      </c>
      <c r="G3535" s="23">
        <v>2017.0</v>
      </c>
      <c r="H3535" s="22" t="s">
        <v>3347</v>
      </c>
      <c r="I3535" s="24" t="s">
        <v>17087</v>
      </c>
      <c r="J3535" s="22" t="s">
        <v>17088</v>
      </c>
      <c r="K3535" s="22"/>
      <c r="L3535" s="132" t="s">
        <v>17089</v>
      </c>
      <c r="U3535" s="38" t="str">
        <f>HYPERLINK("https://www.ncbi.nlm.nih.gov/pubmed/29075364","PubMed")</f>
        <v>PubMed</v>
      </c>
      <c r="V3535" s="30"/>
      <c r="W3535" s="49"/>
      <c r="X3535" s="49"/>
      <c r="Y3535" s="35"/>
      <c r="Z3535" s="35"/>
      <c r="AA3535" s="35"/>
      <c r="AB3535" s="35"/>
      <c r="AC3535" s="35"/>
      <c r="AD3535" s="35"/>
      <c r="AE3535" s="35"/>
      <c r="AF3535" s="35"/>
      <c r="AG3535" s="35"/>
      <c r="AH3535" s="35"/>
      <c r="AI3535" s="35"/>
      <c r="AJ3535" s="35"/>
      <c r="AK3535" s="35"/>
      <c r="AL3535" s="35"/>
    </row>
    <row r="3536">
      <c r="A3536" s="205"/>
      <c r="B3536" s="19" t="s">
        <v>14099</v>
      </c>
      <c r="C3536" s="20" t="s">
        <v>17015</v>
      </c>
      <c r="D3536" s="47"/>
      <c r="E3536" s="22" t="s">
        <v>17090</v>
      </c>
      <c r="F3536" s="22" t="s">
        <v>41</v>
      </c>
      <c r="G3536" s="23" t="s">
        <v>90</v>
      </c>
      <c r="H3536" s="22" t="s">
        <v>91</v>
      </c>
      <c r="I3536" s="24" t="s">
        <v>17091</v>
      </c>
      <c r="J3536" s="22" t="s">
        <v>55</v>
      </c>
      <c r="K3536" s="22" t="s">
        <v>17092</v>
      </c>
      <c r="L3536" s="36">
        <v>780.0</v>
      </c>
      <c r="M3536" s="36">
        <v>40.0</v>
      </c>
      <c r="N3536" s="36">
        <v>1.0</v>
      </c>
      <c r="O3536" s="129">
        <v>42769.0</v>
      </c>
      <c r="P3536" s="37"/>
      <c r="Q3536" s="36"/>
      <c r="R3536" s="36"/>
      <c r="S3536" s="36" t="s">
        <v>17093</v>
      </c>
      <c r="T3536" s="28" t="s">
        <v>17094</v>
      </c>
      <c r="U3536" s="38" t="str">
        <f>HYPERLINK("https://www.ncbi.nlm.nih.gov/pubmed/29181641","PubMed")</f>
        <v>PubMed</v>
      </c>
      <c r="V3536" s="30"/>
      <c r="W3536" s="49"/>
      <c r="X3536" s="49"/>
      <c r="Y3536" s="35"/>
      <c r="Z3536" s="35"/>
      <c r="AA3536" s="35"/>
      <c r="AB3536" s="35"/>
      <c r="AC3536" s="35"/>
      <c r="AD3536" s="35"/>
      <c r="AE3536" s="35"/>
      <c r="AF3536" s="35"/>
      <c r="AG3536" s="35"/>
      <c r="AH3536" s="35"/>
      <c r="AI3536" s="35"/>
      <c r="AJ3536" s="35"/>
      <c r="AK3536" s="35"/>
      <c r="AL3536" s="35"/>
    </row>
    <row r="3537">
      <c r="A3537" s="205"/>
      <c r="B3537" s="19" t="s">
        <v>14099</v>
      </c>
      <c r="C3537" s="20" t="s">
        <v>17015</v>
      </c>
      <c r="D3537" s="47"/>
      <c r="E3537" s="22" t="s">
        <v>12585</v>
      </c>
      <c r="F3537" s="22" t="s">
        <v>41</v>
      </c>
      <c r="G3537" s="23">
        <v>2017.0</v>
      </c>
      <c r="H3537" s="22" t="s">
        <v>91</v>
      </c>
      <c r="I3537" s="24" t="s">
        <v>17095</v>
      </c>
      <c r="J3537" s="22" t="s">
        <v>55</v>
      </c>
      <c r="K3537" s="22" t="s">
        <v>17096</v>
      </c>
      <c r="L3537" s="36">
        <v>830.0</v>
      </c>
      <c r="M3537" s="36">
        <v>100.0</v>
      </c>
      <c r="N3537" s="36" t="s">
        <v>278</v>
      </c>
      <c r="O3537" s="36" t="s">
        <v>17097</v>
      </c>
      <c r="P3537" s="37" t="s">
        <v>17098</v>
      </c>
      <c r="Q3537" s="36" t="s">
        <v>280</v>
      </c>
      <c r="R3537" s="36" t="s">
        <v>17099</v>
      </c>
      <c r="S3537" s="36" t="s">
        <v>17100</v>
      </c>
      <c r="T3537" s="28" t="s">
        <v>17101</v>
      </c>
      <c r="U3537" s="38" t="str">
        <f>HYPERLINK("https://www.ncbi.nlm.nih.gov/pubmed/28795275","PubMed")</f>
        <v>PubMed</v>
      </c>
      <c r="V3537" s="30"/>
      <c r="W3537" s="49"/>
      <c r="X3537" s="49"/>
      <c r="Y3537" s="35"/>
      <c r="Z3537" s="35"/>
      <c r="AA3537" s="35"/>
      <c r="AB3537" s="35"/>
      <c r="AC3537" s="35"/>
      <c r="AD3537" s="35"/>
      <c r="AE3537" s="35"/>
      <c r="AF3537" s="35"/>
      <c r="AG3537" s="35"/>
      <c r="AH3537" s="35"/>
      <c r="AI3537" s="35"/>
      <c r="AJ3537" s="35"/>
      <c r="AK3537" s="35"/>
      <c r="AL3537" s="35"/>
    </row>
    <row r="3538">
      <c r="A3538" s="205" t="s">
        <v>2</v>
      </c>
      <c r="B3538" s="19" t="s">
        <v>14099</v>
      </c>
      <c r="C3538" s="20" t="s">
        <v>17015</v>
      </c>
      <c r="D3538" s="47"/>
      <c r="E3538" s="22" t="s">
        <v>12585</v>
      </c>
      <c r="F3538" s="22" t="s">
        <v>41</v>
      </c>
      <c r="G3538" s="23">
        <v>2017.0</v>
      </c>
      <c r="H3538" s="22" t="s">
        <v>91</v>
      </c>
      <c r="I3538" s="24" t="s">
        <v>17102</v>
      </c>
      <c r="J3538" s="22" t="s">
        <v>55</v>
      </c>
      <c r="K3538" s="22" t="s">
        <v>17103</v>
      </c>
      <c r="L3538" s="36">
        <v>830.0</v>
      </c>
      <c r="M3538" s="36">
        <v>100.0</v>
      </c>
      <c r="N3538" s="36" t="s">
        <v>278</v>
      </c>
      <c r="O3538" s="36" t="s">
        <v>17097</v>
      </c>
      <c r="P3538" s="37" t="s">
        <v>17098</v>
      </c>
      <c r="Q3538" s="36" t="s">
        <v>280</v>
      </c>
      <c r="R3538" s="36" t="s">
        <v>17099</v>
      </c>
      <c r="S3538" s="36" t="s">
        <v>17100</v>
      </c>
      <c r="T3538" s="28" t="s">
        <v>17104</v>
      </c>
      <c r="U3538" s="38" t="str">
        <f>HYPERLINK("https://www.ncbi.nlm.nih.gov/pubmed/28983756","PubMed")</f>
        <v>PubMed</v>
      </c>
      <c r="V3538" s="30"/>
      <c r="W3538" s="49"/>
      <c r="X3538" s="49"/>
      <c r="Y3538" s="35"/>
      <c r="Z3538" s="35"/>
      <c r="AA3538" s="35"/>
      <c r="AB3538" s="35"/>
      <c r="AC3538" s="35"/>
      <c r="AD3538" s="35"/>
      <c r="AE3538" s="35"/>
      <c r="AF3538" s="35"/>
      <c r="AG3538" s="35"/>
      <c r="AH3538" s="35"/>
      <c r="AI3538" s="35"/>
      <c r="AJ3538" s="35"/>
      <c r="AK3538" s="35"/>
      <c r="AL3538" s="35"/>
    </row>
    <row r="3539">
      <c r="A3539" s="1"/>
      <c r="B3539" s="19" t="s">
        <v>14099</v>
      </c>
      <c r="C3539" s="20" t="s">
        <v>17015</v>
      </c>
      <c r="D3539" s="47"/>
      <c r="E3539" s="22" t="s">
        <v>467</v>
      </c>
      <c r="F3539" s="22" t="s">
        <v>237</v>
      </c>
      <c r="G3539" s="23">
        <v>2017.0</v>
      </c>
      <c r="H3539" s="22" t="s">
        <v>12224</v>
      </c>
      <c r="I3539" s="24" t="s">
        <v>17105</v>
      </c>
      <c r="J3539" s="22" t="s">
        <v>55</v>
      </c>
      <c r="K3539" s="22"/>
      <c r="L3539" s="36">
        <v>637.0</v>
      </c>
      <c r="M3539" s="36">
        <v>25.0</v>
      </c>
      <c r="N3539" s="36" t="s">
        <v>17106</v>
      </c>
      <c r="O3539" s="36" t="s">
        <v>3054</v>
      </c>
      <c r="P3539" s="37" t="s">
        <v>17060</v>
      </c>
      <c r="Q3539" s="36" t="s">
        <v>17107</v>
      </c>
      <c r="R3539" s="36">
        <v>10.0</v>
      </c>
      <c r="S3539" s="36">
        <v>7.0</v>
      </c>
      <c r="T3539" s="28" t="s">
        <v>17108</v>
      </c>
      <c r="U3539" s="38" t="str">
        <f>HYPERLINK("https://www.ncbi.nlm.nih.gov/pubmed/28733091","PubMed")</f>
        <v>PubMed</v>
      </c>
      <c r="V3539" s="30"/>
      <c r="W3539" s="49"/>
      <c r="X3539" s="49"/>
      <c r="Y3539" s="35"/>
      <c r="Z3539" s="35"/>
      <c r="AA3539" s="35"/>
      <c r="AB3539" s="35"/>
      <c r="AC3539" s="35"/>
      <c r="AD3539" s="35"/>
      <c r="AE3539" s="35"/>
      <c r="AF3539" s="35"/>
      <c r="AG3539" s="35"/>
      <c r="AH3539" s="35"/>
      <c r="AI3539" s="35"/>
      <c r="AJ3539" s="35"/>
      <c r="AK3539" s="35"/>
      <c r="AL3539" s="35"/>
    </row>
    <row r="3540">
      <c r="A3540" s="1"/>
      <c r="B3540" s="19" t="s">
        <v>14099</v>
      </c>
      <c r="C3540" s="20" t="s">
        <v>17015</v>
      </c>
      <c r="D3540" s="47"/>
      <c r="E3540" s="22" t="s">
        <v>17109</v>
      </c>
      <c r="F3540" s="22" t="s">
        <v>765</v>
      </c>
      <c r="G3540" s="23">
        <v>2017.0</v>
      </c>
      <c r="H3540" s="22" t="s">
        <v>91</v>
      </c>
      <c r="I3540" s="24" t="s">
        <v>17110</v>
      </c>
      <c r="J3540" s="22" t="s">
        <v>55</v>
      </c>
      <c r="K3540" s="22" t="s">
        <v>17111</v>
      </c>
      <c r="L3540" s="36">
        <v>660.0</v>
      </c>
      <c r="M3540" s="36">
        <v>35.0</v>
      </c>
      <c r="N3540" s="36"/>
      <c r="O3540" s="36"/>
      <c r="P3540" s="37" t="s">
        <v>17112</v>
      </c>
      <c r="Q3540" s="36" t="s">
        <v>280</v>
      </c>
      <c r="R3540" s="36"/>
      <c r="S3540" s="36">
        <v>14.0</v>
      </c>
      <c r="T3540" s="28" t="s">
        <v>17113</v>
      </c>
      <c r="U3540" s="38" t="str">
        <f>HYPERLINK("https://www.ncbi.nlm.nih.gov/pubmed/27909917","PubMed")</f>
        <v>PubMed</v>
      </c>
      <c r="V3540" s="30"/>
      <c r="W3540" s="49"/>
      <c r="X3540" s="49"/>
      <c r="Y3540" s="35"/>
      <c r="Z3540" s="35"/>
      <c r="AA3540" s="35"/>
      <c r="AB3540" s="35"/>
      <c r="AC3540" s="35"/>
      <c r="AD3540" s="35"/>
      <c r="AE3540" s="35"/>
      <c r="AF3540" s="35"/>
      <c r="AG3540" s="35"/>
      <c r="AH3540" s="35"/>
      <c r="AI3540" s="35"/>
      <c r="AJ3540" s="35"/>
      <c r="AK3540" s="35"/>
      <c r="AL3540" s="35"/>
    </row>
    <row r="3541">
      <c r="A3541" s="205"/>
      <c r="B3541" s="75" t="s">
        <v>14099</v>
      </c>
      <c r="C3541" s="77" t="s">
        <v>17015</v>
      </c>
      <c r="D3541" s="47"/>
      <c r="E3541" s="57" t="s">
        <v>17114</v>
      </c>
      <c r="F3541" s="22" t="s">
        <v>358</v>
      </c>
      <c r="G3541" s="57">
        <v>2015.0</v>
      </c>
      <c r="H3541" s="57" t="s">
        <v>857</v>
      </c>
      <c r="I3541" s="134" t="s">
        <v>17115</v>
      </c>
      <c r="J3541" s="23" t="s">
        <v>55</v>
      </c>
      <c r="K3541" s="23"/>
      <c r="L3541" s="36">
        <v>960.0</v>
      </c>
      <c r="M3541" s="36"/>
      <c r="N3541" s="36"/>
      <c r="O3541" s="37"/>
      <c r="P3541" s="37" t="s">
        <v>269</v>
      </c>
      <c r="Q3541" s="36"/>
      <c r="R3541" s="36"/>
      <c r="S3541" s="36" t="s">
        <v>6308</v>
      </c>
      <c r="T3541" s="83" t="s">
        <v>17116</v>
      </c>
      <c r="U3541" s="315" t="s">
        <v>61</v>
      </c>
      <c r="V3541" s="139"/>
      <c r="W3541" s="49"/>
      <c r="X3541" s="49"/>
      <c r="Y3541" s="35"/>
      <c r="Z3541" s="35"/>
      <c r="AA3541" s="35"/>
      <c r="AB3541" s="35"/>
      <c r="AC3541" s="35"/>
      <c r="AD3541" s="35"/>
      <c r="AE3541" s="35"/>
      <c r="AF3541" s="35"/>
      <c r="AG3541" s="35"/>
      <c r="AH3541" s="35"/>
      <c r="AI3541" s="35"/>
      <c r="AJ3541" s="35"/>
      <c r="AK3541" s="35"/>
      <c r="AL3541" s="35"/>
    </row>
    <row r="3542">
      <c r="A3542" s="205" t="s">
        <v>2</v>
      </c>
      <c r="B3542" s="19" t="s">
        <v>14099</v>
      </c>
      <c r="C3542" s="20" t="s">
        <v>17015</v>
      </c>
      <c r="D3542" s="47"/>
      <c r="E3542" s="57" t="s">
        <v>999</v>
      </c>
      <c r="F3542" s="22" t="s">
        <v>41</v>
      </c>
      <c r="G3542" s="57" t="s">
        <v>17117</v>
      </c>
      <c r="H3542" s="57" t="s">
        <v>53</v>
      </c>
      <c r="I3542" s="134" t="s">
        <v>17118</v>
      </c>
      <c r="J3542" s="23" t="s">
        <v>55</v>
      </c>
      <c r="K3542" s="23"/>
      <c r="L3542" s="36">
        <v>780.0</v>
      </c>
      <c r="M3542" s="36">
        <v>40.0</v>
      </c>
      <c r="N3542" s="36">
        <v>1.0</v>
      </c>
      <c r="O3542" s="37" t="s">
        <v>17119</v>
      </c>
      <c r="P3542" s="37" t="s">
        <v>95</v>
      </c>
      <c r="Q3542" s="36" t="s">
        <v>830</v>
      </c>
      <c r="R3542" s="36" t="s">
        <v>17093</v>
      </c>
      <c r="S3542" s="36">
        <v>1.0</v>
      </c>
      <c r="T3542" s="83" t="s">
        <v>17120</v>
      </c>
      <c r="U3542" s="322" t="str">
        <f>HYPERLINK("https://www.ncbi.nlm.nih.gov/pubmed/26150082","PubMed")</f>
        <v>PubMed</v>
      </c>
      <c r="V3542" s="139"/>
      <c r="W3542" s="49"/>
      <c r="X3542" s="49"/>
      <c r="Y3542" s="35"/>
      <c r="Z3542" s="35"/>
      <c r="AA3542" s="35"/>
      <c r="AB3542" s="35"/>
      <c r="AC3542" s="35"/>
      <c r="AD3542" s="35"/>
      <c r="AE3542" s="35"/>
      <c r="AF3542" s="35"/>
      <c r="AG3542" s="35"/>
      <c r="AH3542" s="35"/>
      <c r="AI3542" s="35"/>
      <c r="AJ3542" s="35"/>
      <c r="AK3542" s="35"/>
      <c r="AL3542" s="35"/>
    </row>
    <row r="3543">
      <c r="A3543" s="205"/>
      <c r="B3543" s="19" t="s">
        <v>14099</v>
      </c>
      <c r="C3543" s="20" t="s">
        <v>17015</v>
      </c>
      <c r="D3543" s="47"/>
      <c r="E3543" s="57" t="s">
        <v>543</v>
      </c>
      <c r="F3543" s="22" t="s">
        <v>41</v>
      </c>
      <c r="G3543" s="57">
        <v>2016.0</v>
      </c>
      <c r="H3543" s="57" t="s">
        <v>91</v>
      </c>
      <c r="I3543" s="134" t="s">
        <v>17121</v>
      </c>
      <c r="J3543" s="23" t="s">
        <v>55</v>
      </c>
      <c r="K3543" s="23" t="s">
        <v>17092</v>
      </c>
      <c r="L3543" s="36">
        <v>780.0</v>
      </c>
      <c r="M3543" s="36">
        <v>40.0</v>
      </c>
      <c r="N3543" s="36">
        <v>1.0</v>
      </c>
      <c r="O3543" s="37" t="s">
        <v>17119</v>
      </c>
      <c r="P3543" s="37" t="s">
        <v>95</v>
      </c>
      <c r="Q3543" s="36" t="s">
        <v>830</v>
      </c>
      <c r="R3543" s="36" t="s">
        <v>17093</v>
      </c>
      <c r="S3543" s="36">
        <v>14.0</v>
      </c>
      <c r="T3543" s="83" t="s">
        <v>17122</v>
      </c>
      <c r="U3543" s="322" t="str">
        <f>HYPERLINK("https://www.ncbi.nlm.nih.gov/pubmed/26914683","PubMed")</f>
        <v>PubMed</v>
      </c>
      <c r="V3543" s="139"/>
      <c r="W3543" s="49"/>
      <c r="X3543" s="49"/>
      <c r="Y3543" s="35"/>
      <c r="Z3543" s="35"/>
      <c r="AA3543" s="35"/>
      <c r="AB3543" s="35"/>
      <c r="AC3543" s="35"/>
      <c r="AD3543" s="35"/>
      <c r="AE3543" s="35"/>
      <c r="AF3543" s="35"/>
      <c r="AG3543" s="35"/>
      <c r="AH3543" s="35"/>
      <c r="AI3543" s="35"/>
      <c r="AJ3543" s="35"/>
      <c r="AK3543" s="35"/>
      <c r="AL3543" s="35"/>
    </row>
    <row r="3544">
      <c r="A3544" s="205"/>
      <c r="B3544" s="75" t="s">
        <v>14099</v>
      </c>
      <c r="C3544" s="77" t="s">
        <v>17015</v>
      </c>
      <c r="D3544" s="47"/>
      <c r="E3544" s="57" t="s">
        <v>5058</v>
      </c>
      <c r="F3544" s="22" t="s">
        <v>16031</v>
      </c>
      <c r="G3544" s="57">
        <v>2016.0</v>
      </c>
      <c r="H3544" s="57" t="s">
        <v>17123</v>
      </c>
      <c r="I3544" s="134" t="s">
        <v>17124</v>
      </c>
      <c r="J3544" s="23" t="s">
        <v>55</v>
      </c>
      <c r="K3544" s="23"/>
      <c r="L3544" s="36">
        <v>904.0</v>
      </c>
      <c r="M3544" s="36">
        <v>40.0</v>
      </c>
      <c r="N3544" s="36" t="s">
        <v>17125</v>
      </c>
      <c r="O3544" s="37" t="s">
        <v>17126</v>
      </c>
      <c r="P3544" s="37" t="s">
        <v>13087</v>
      </c>
      <c r="Q3544" s="36" t="s">
        <v>17127</v>
      </c>
      <c r="R3544" s="36" t="s">
        <v>17128</v>
      </c>
      <c r="S3544" s="36">
        <v>5.0</v>
      </c>
      <c r="T3544" s="83" t="s">
        <v>17129</v>
      </c>
      <c r="U3544" s="322" t="str">
        <f>HYPERLINK("https://www.ncbi.nlm.nih.gov/pubmed/26983894","PubMed")</f>
        <v>PubMed</v>
      </c>
      <c r="V3544" s="139"/>
      <c r="W3544" s="49"/>
      <c r="X3544" s="49"/>
      <c r="Y3544" s="35"/>
      <c r="Z3544" s="35"/>
      <c r="AA3544" s="35"/>
      <c r="AB3544" s="35"/>
      <c r="AC3544" s="35"/>
      <c r="AD3544" s="35"/>
      <c r="AE3544" s="35"/>
      <c r="AF3544" s="35"/>
      <c r="AG3544" s="35"/>
      <c r="AH3544" s="35"/>
      <c r="AI3544" s="35"/>
      <c r="AJ3544" s="35"/>
      <c r="AK3544" s="35"/>
      <c r="AL3544" s="35"/>
    </row>
    <row r="3545">
      <c r="A3545" s="205"/>
      <c r="B3545" s="19" t="s">
        <v>14099</v>
      </c>
      <c r="C3545" s="20" t="s">
        <v>17015</v>
      </c>
      <c r="D3545" s="47"/>
      <c r="E3545" s="57" t="s">
        <v>17130</v>
      </c>
      <c r="F3545" s="22" t="s">
        <v>237</v>
      </c>
      <c r="G3545" s="57">
        <v>2016.0</v>
      </c>
      <c r="H3545" s="57" t="s">
        <v>91</v>
      </c>
      <c r="I3545" s="134" t="s">
        <v>17131</v>
      </c>
      <c r="J3545" s="23" t="s">
        <v>55</v>
      </c>
      <c r="K3545" s="23"/>
      <c r="L3545" s="36">
        <v>637.0</v>
      </c>
      <c r="M3545" s="36">
        <v>25.0</v>
      </c>
      <c r="N3545" s="36"/>
      <c r="O3545" s="37" t="s">
        <v>3054</v>
      </c>
      <c r="P3545" s="37" t="s">
        <v>17060</v>
      </c>
      <c r="Q3545" s="36" t="s">
        <v>17107</v>
      </c>
      <c r="R3545" s="36">
        <v>10.0</v>
      </c>
      <c r="S3545" s="36">
        <v>7.0</v>
      </c>
      <c r="T3545" s="83" t="s">
        <v>17132</v>
      </c>
      <c r="U3545" s="322" t="str">
        <f>HYPERLINK("https://www.ncbi.nlm.nih.gov/pubmed/27649962","PubMed")</f>
        <v>PubMed</v>
      </c>
      <c r="V3545" s="139"/>
      <c r="W3545" s="49"/>
      <c r="X3545" s="49"/>
      <c r="Y3545" s="35"/>
      <c r="Z3545" s="35"/>
      <c r="AA3545" s="35"/>
      <c r="AB3545" s="35"/>
      <c r="AC3545" s="35"/>
      <c r="AD3545" s="35"/>
      <c r="AE3545" s="35"/>
      <c r="AF3545" s="35"/>
      <c r="AG3545" s="35"/>
      <c r="AH3545" s="35"/>
      <c r="AI3545" s="35"/>
      <c r="AJ3545" s="35"/>
      <c r="AK3545" s="35"/>
      <c r="AL3545" s="35"/>
    </row>
    <row r="3546">
      <c r="A3546" s="205"/>
      <c r="B3546" s="19" t="s">
        <v>14099</v>
      </c>
      <c r="C3546" s="20" t="s">
        <v>17015</v>
      </c>
      <c r="D3546" s="47"/>
      <c r="E3546" s="57" t="s">
        <v>7552</v>
      </c>
      <c r="F3546" s="22" t="s">
        <v>41</v>
      </c>
      <c r="G3546" s="57">
        <v>2016.0</v>
      </c>
      <c r="H3546" s="57" t="s">
        <v>91</v>
      </c>
      <c r="I3546" s="134" t="s">
        <v>17133</v>
      </c>
      <c r="J3546" s="23" t="s">
        <v>55</v>
      </c>
      <c r="K3546" s="23" t="s">
        <v>17134</v>
      </c>
      <c r="L3546" s="36">
        <v>850.0</v>
      </c>
      <c r="M3546" s="36">
        <v>30.0</v>
      </c>
      <c r="N3546" s="36"/>
      <c r="O3546" s="37" t="s">
        <v>14033</v>
      </c>
      <c r="P3546" s="37"/>
      <c r="Q3546" s="36"/>
      <c r="R3546" s="36"/>
      <c r="S3546" s="183"/>
      <c r="T3546" s="83" t="s">
        <v>17135</v>
      </c>
      <c r="U3546" s="322" t="str">
        <f>HYPERLINK("https://www.ncbi.nlm.nih.gov/pubmed/26873500","PubMed")</f>
        <v>PubMed</v>
      </c>
      <c r="V3546" s="139"/>
      <c r="W3546" s="49"/>
      <c r="X3546" s="49"/>
      <c r="Y3546" s="35"/>
      <c r="Z3546" s="35"/>
      <c r="AA3546" s="35"/>
      <c r="AB3546" s="35"/>
      <c r="AC3546" s="35"/>
      <c r="AD3546" s="35"/>
      <c r="AE3546" s="35"/>
      <c r="AF3546" s="35"/>
      <c r="AG3546" s="35"/>
      <c r="AH3546" s="35"/>
      <c r="AI3546" s="35"/>
      <c r="AJ3546" s="35"/>
      <c r="AK3546" s="35"/>
      <c r="AL3546" s="35"/>
    </row>
    <row r="3547">
      <c r="A3547" s="205"/>
      <c r="B3547" s="19" t="s">
        <v>14099</v>
      </c>
      <c r="C3547" s="20" t="s">
        <v>17015</v>
      </c>
      <c r="D3547" s="47"/>
      <c r="E3547" s="57" t="s">
        <v>999</v>
      </c>
      <c r="F3547" s="22" t="s">
        <v>41</v>
      </c>
      <c r="G3547" s="57">
        <v>2016.0</v>
      </c>
      <c r="H3547" s="57" t="s">
        <v>627</v>
      </c>
      <c r="I3547" s="134" t="s">
        <v>17136</v>
      </c>
      <c r="J3547" s="23" t="s">
        <v>55</v>
      </c>
      <c r="K3547" s="23" t="s">
        <v>294</v>
      </c>
      <c r="L3547" s="36" t="s">
        <v>1750</v>
      </c>
      <c r="M3547" s="36">
        <v>40.0</v>
      </c>
      <c r="N3547" s="36"/>
      <c r="O3547" s="37" t="s">
        <v>14033</v>
      </c>
      <c r="P3547" s="37" t="s">
        <v>95</v>
      </c>
      <c r="Q3547" s="36"/>
      <c r="R3547" s="36"/>
      <c r="S3547" s="183">
        <v>42401.0</v>
      </c>
      <c r="T3547" s="83" t="s">
        <v>17137</v>
      </c>
      <c r="U3547" s="322" t="str">
        <f>HYPERLINK("https://www.ncbi.nlm.nih.gov/pubmed/27082964","PubMed")</f>
        <v>PubMed</v>
      </c>
      <c r="V3547" s="139"/>
      <c r="W3547" s="49"/>
      <c r="X3547" s="49"/>
      <c r="Y3547" s="35"/>
      <c r="Z3547" s="35"/>
      <c r="AA3547" s="35"/>
      <c r="AB3547" s="35"/>
      <c r="AC3547" s="35"/>
      <c r="AD3547" s="35"/>
      <c r="AE3547" s="35"/>
      <c r="AF3547" s="35"/>
      <c r="AG3547" s="35"/>
      <c r="AH3547" s="35"/>
      <c r="AI3547" s="35"/>
      <c r="AJ3547" s="35"/>
      <c r="AK3547" s="35"/>
      <c r="AL3547" s="35"/>
    </row>
    <row r="3548">
      <c r="A3548" s="1"/>
      <c r="B3548" s="19" t="s">
        <v>14099</v>
      </c>
      <c r="C3548" s="20" t="s">
        <v>17015</v>
      </c>
      <c r="D3548" s="47"/>
      <c r="E3548" s="22" t="s">
        <v>14228</v>
      </c>
      <c r="F3548" s="22" t="s">
        <v>4724</v>
      </c>
      <c r="G3548" s="23">
        <v>2016.0</v>
      </c>
      <c r="H3548" s="22" t="s">
        <v>91</v>
      </c>
      <c r="I3548" s="24" t="s">
        <v>17138</v>
      </c>
      <c r="J3548" s="22" t="s">
        <v>55</v>
      </c>
      <c r="K3548" s="22" t="s">
        <v>17139</v>
      </c>
      <c r="L3548" s="36">
        <v>650.0</v>
      </c>
      <c r="M3548" s="36">
        <v>30.0</v>
      </c>
      <c r="N3548" s="36"/>
      <c r="O3548" s="36"/>
      <c r="P3548" s="37" t="s">
        <v>16955</v>
      </c>
      <c r="Q3548" s="36" t="s">
        <v>675</v>
      </c>
      <c r="R3548" s="36"/>
      <c r="S3548" s="36"/>
      <c r="T3548" s="28" t="s">
        <v>17140</v>
      </c>
      <c r="U3548" s="38" t="str">
        <f>HYPERLINK("http://www.ncbi.nlm.nih.gov/pubmed/27250714","PubMed")</f>
        <v>PubMed</v>
      </c>
      <c r="V3548" s="30"/>
      <c r="W3548" s="49"/>
      <c r="X3548" s="49"/>
      <c r="Y3548" s="35"/>
      <c r="Z3548" s="35"/>
      <c r="AA3548" s="35"/>
      <c r="AB3548" s="35"/>
      <c r="AC3548" s="35"/>
      <c r="AD3548" s="35"/>
      <c r="AE3548" s="35"/>
      <c r="AF3548" s="35"/>
      <c r="AG3548" s="35"/>
      <c r="AH3548" s="35"/>
      <c r="AI3548" s="35"/>
      <c r="AJ3548" s="35"/>
      <c r="AK3548" s="35"/>
      <c r="AL3548" s="35"/>
    </row>
    <row r="3549">
      <c r="A3549" s="1"/>
      <c r="B3549" s="19" t="s">
        <v>14099</v>
      </c>
      <c r="C3549" s="20" t="s">
        <v>17015</v>
      </c>
      <c r="D3549" s="47"/>
      <c r="E3549" s="22" t="s">
        <v>14228</v>
      </c>
      <c r="F3549" s="22" t="s">
        <v>323</v>
      </c>
      <c r="G3549" s="23">
        <v>2015.0</v>
      </c>
      <c r="H3549" s="22" t="s">
        <v>91</v>
      </c>
      <c r="I3549" s="24" t="s">
        <v>17141</v>
      </c>
      <c r="J3549" s="22" t="s">
        <v>55</v>
      </c>
      <c r="K3549" s="22" t="s">
        <v>157</v>
      </c>
      <c r="L3549" s="36">
        <v>904.0</v>
      </c>
      <c r="M3549" s="36"/>
      <c r="N3549" s="36"/>
      <c r="O3549" s="36"/>
      <c r="P3549" s="37" t="s">
        <v>254</v>
      </c>
      <c r="Q3549" s="36"/>
      <c r="R3549" s="36"/>
      <c r="S3549" s="36" t="s">
        <v>17142</v>
      </c>
      <c r="T3549" s="28" t="s">
        <v>17143</v>
      </c>
      <c r="U3549" s="38" t="str">
        <f>HYPERLINK("https://www.ncbi.nlm.nih.gov/pubmed/25274196","PubMed")</f>
        <v>PubMed</v>
      </c>
      <c r="V3549" s="30"/>
      <c r="W3549" s="49"/>
      <c r="X3549" s="49"/>
      <c r="Y3549" s="35"/>
      <c r="Z3549" s="35"/>
      <c r="AA3549" s="35"/>
      <c r="AB3549" s="35"/>
      <c r="AC3549" s="35"/>
      <c r="AD3549" s="35"/>
      <c r="AE3549" s="35"/>
      <c r="AF3549" s="35"/>
      <c r="AG3549" s="35"/>
      <c r="AH3549" s="35"/>
      <c r="AI3549" s="35"/>
      <c r="AJ3549" s="35"/>
      <c r="AK3549" s="35"/>
      <c r="AL3549" s="35"/>
    </row>
    <row r="3550">
      <c r="A3550" s="1"/>
      <c r="B3550" s="19" t="s">
        <v>14099</v>
      </c>
      <c r="C3550" s="20" t="s">
        <v>17015</v>
      </c>
      <c r="D3550" s="47"/>
      <c r="E3550" s="22" t="s">
        <v>352</v>
      </c>
      <c r="F3550" s="22" t="s">
        <v>490</v>
      </c>
      <c r="G3550" s="23">
        <v>2015.0</v>
      </c>
      <c r="H3550" s="22" t="s">
        <v>4975</v>
      </c>
      <c r="I3550" s="24" t="s">
        <v>17144</v>
      </c>
      <c r="J3550" s="22" t="s">
        <v>55</v>
      </c>
      <c r="K3550" s="22" t="s">
        <v>17092</v>
      </c>
      <c r="L3550" s="36">
        <v>904.0</v>
      </c>
      <c r="M3550" s="36">
        <v>50.0</v>
      </c>
      <c r="N3550" s="36"/>
      <c r="O3550" s="36" t="s">
        <v>17145</v>
      </c>
      <c r="P3550" s="37" t="s">
        <v>17146</v>
      </c>
      <c r="Q3550" s="36" t="s">
        <v>9307</v>
      </c>
      <c r="R3550" s="36">
        <v>48.0</v>
      </c>
      <c r="S3550" s="36">
        <v>5.0</v>
      </c>
      <c r="T3550" s="28" t="s">
        <v>17147</v>
      </c>
      <c r="U3550" s="38" t="str">
        <f>HYPERLINK("https://www.ncbi.nlm.nih.gov/pubmed/25752215","PubMed")</f>
        <v>PubMed</v>
      </c>
      <c r="V3550" s="30"/>
      <c r="W3550" s="49"/>
      <c r="X3550" s="49"/>
      <c r="Y3550" s="35"/>
      <c r="Z3550" s="35"/>
      <c r="AA3550" s="35"/>
      <c r="AB3550" s="35"/>
      <c r="AC3550" s="35"/>
      <c r="AD3550" s="35"/>
      <c r="AE3550" s="35"/>
      <c r="AF3550" s="35"/>
      <c r="AG3550" s="35"/>
      <c r="AH3550" s="35"/>
      <c r="AI3550" s="35"/>
      <c r="AJ3550" s="35"/>
      <c r="AK3550" s="35"/>
      <c r="AL3550" s="35"/>
    </row>
    <row r="3551">
      <c r="A3551" s="207"/>
      <c r="B3551" s="19" t="s">
        <v>14099</v>
      </c>
      <c r="C3551" s="20" t="s">
        <v>17015</v>
      </c>
      <c r="D3551" s="47"/>
      <c r="E3551" s="57" t="s">
        <v>543</v>
      </c>
      <c r="F3551" s="22" t="s">
        <v>41</v>
      </c>
      <c r="G3551" s="57">
        <v>2014.0</v>
      </c>
      <c r="H3551" s="57" t="s">
        <v>6606</v>
      </c>
      <c r="I3551" s="134" t="s">
        <v>17148</v>
      </c>
      <c r="J3551" s="23" t="s">
        <v>649</v>
      </c>
      <c r="K3551" s="23"/>
      <c r="L3551" s="105" t="s">
        <v>17149</v>
      </c>
      <c r="M3551" s="44"/>
      <c r="N3551" s="44"/>
      <c r="O3551" s="44"/>
      <c r="P3551" s="44"/>
      <c r="Q3551" s="44"/>
      <c r="R3551" s="44"/>
      <c r="S3551" s="44"/>
      <c r="T3551" s="45"/>
      <c r="U3551" s="322" t="str">
        <f>HYPERLINK("https://www.ncbi.nlm.nih.gov/pubmed/25122099","PubMed")</f>
        <v>PubMed</v>
      </c>
      <c r="V3551" s="139"/>
      <c r="W3551" s="49"/>
      <c r="X3551" s="49"/>
      <c r="Y3551" s="35"/>
      <c r="Z3551" s="35"/>
      <c r="AA3551" s="35"/>
      <c r="AB3551" s="35"/>
      <c r="AC3551" s="35"/>
      <c r="AD3551" s="35"/>
      <c r="AE3551" s="35"/>
      <c r="AF3551" s="35"/>
      <c r="AG3551" s="35"/>
      <c r="AH3551" s="35"/>
      <c r="AI3551" s="35"/>
      <c r="AJ3551" s="35"/>
      <c r="AK3551" s="35"/>
      <c r="AL3551" s="35"/>
    </row>
    <row r="3552">
      <c r="A3552" s="207" t="s">
        <v>2</v>
      </c>
      <c r="B3552" s="19" t="s">
        <v>14099</v>
      </c>
      <c r="C3552" s="20" t="s">
        <v>17015</v>
      </c>
      <c r="D3552" s="47"/>
      <c r="E3552" s="57" t="s">
        <v>764</v>
      </c>
      <c r="F3552" s="22" t="s">
        <v>41</v>
      </c>
      <c r="G3552" s="57">
        <v>2014.0</v>
      </c>
      <c r="H3552" s="57" t="s">
        <v>91</v>
      </c>
      <c r="I3552" s="134" t="s">
        <v>17150</v>
      </c>
      <c r="J3552" s="23" t="s">
        <v>55</v>
      </c>
      <c r="K3552" s="23" t="s">
        <v>17151</v>
      </c>
      <c r="L3552" s="36">
        <v>904.0</v>
      </c>
      <c r="M3552" s="36">
        <v>60.0</v>
      </c>
      <c r="N3552" s="36" t="s">
        <v>17152</v>
      </c>
      <c r="O3552" s="36" t="s">
        <v>17066</v>
      </c>
      <c r="P3552" s="37"/>
      <c r="Q3552" s="36"/>
      <c r="R3552" s="36" t="s">
        <v>17153</v>
      </c>
      <c r="S3552" s="36"/>
      <c r="T3552" s="83" t="s">
        <v>17154</v>
      </c>
      <c r="U3552" s="315" t="str">
        <f>HYPERLINK("https://www.ncbi.nlm.nih.gov/pubmed/23812849","PubMed")</f>
        <v>PubMed</v>
      </c>
      <c r="V3552" s="139"/>
      <c r="W3552" s="49"/>
      <c r="X3552" s="49"/>
      <c r="Y3552" s="35"/>
      <c r="Z3552" s="35"/>
      <c r="AA3552" s="35"/>
      <c r="AB3552" s="35"/>
      <c r="AC3552" s="35"/>
      <c r="AD3552" s="35"/>
      <c r="AE3552" s="35"/>
      <c r="AF3552" s="35"/>
      <c r="AG3552" s="35"/>
      <c r="AH3552" s="35"/>
      <c r="AI3552" s="35"/>
      <c r="AJ3552" s="35"/>
      <c r="AK3552" s="35"/>
      <c r="AL3552" s="35"/>
    </row>
    <row r="3553">
      <c r="A3553" s="207"/>
      <c r="B3553" s="19" t="s">
        <v>14099</v>
      </c>
      <c r="C3553" s="20" t="s">
        <v>17015</v>
      </c>
      <c r="D3553" s="47"/>
      <c r="E3553" s="57" t="s">
        <v>10513</v>
      </c>
      <c r="F3553" s="22" t="s">
        <v>274</v>
      </c>
      <c r="G3553" s="57">
        <v>2014.0</v>
      </c>
      <c r="H3553" s="57" t="s">
        <v>12224</v>
      </c>
      <c r="I3553" s="134" t="s">
        <v>17155</v>
      </c>
      <c r="J3553" s="23" t="s">
        <v>55</v>
      </c>
      <c r="K3553" s="23" t="s">
        <v>17156</v>
      </c>
      <c r="L3553" s="36">
        <v>780.0</v>
      </c>
      <c r="M3553" s="36"/>
      <c r="N3553" s="36"/>
      <c r="O3553" s="36"/>
      <c r="P3553" s="37" t="s">
        <v>14148</v>
      </c>
      <c r="Q3553" s="36"/>
      <c r="R3553" s="36"/>
      <c r="S3553" s="36"/>
      <c r="T3553" s="83" t="s">
        <v>17157</v>
      </c>
      <c r="U3553" s="322" t="str">
        <f>HYPERLINK("https://www.ncbi.nlm.nih.gov/pubmed/25185029","PubMed")</f>
        <v>PubMed</v>
      </c>
      <c r="V3553" s="139"/>
      <c r="W3553" s="49"/>
      <c r="X3553" s="49"/>
      <c r="Y3553" s="35"/>
      <c r="Z3553" s="35"/>
      <c r="AA3553" s="35"/>
      <c r="AB3553" s="35"/>
      <c r="AC3553" s="35"/>
      <c r="AD3553" s="35"/>
      <c r="AE3553" s="35"/>
      <c r="AF3553" s="35"/>
      <c r="AG3553" s="35"/>
      <c r="AH3553" s="35"/>
      <c r="AI3553" s="35"/>
      <c r="AJ3553" s="35"/>
      <c r="AK3553" s="35"/>
      <c r="AL3553" s="35"/>
    </row>
    <row r="3554">
      <c r="A3554" s="207"/>
      <c r="B3554" s="19" t="s">
        <v>14099</v>
      </c>
      <c r="C3554" s="20" t="s">
        <v>17015</v>
      </c>
      <c r="D3554" s="47"/>
      <c r="E3554" s="57" t="s">
        <v>17158</v>
      </c>
      <c r="F3554" s="22" t="s">
        <v>237</v>
      </c>
      <c r="G3554" s="57">
        <v>2014.0</v>
      </c>
      <c r="H3554" s="57" t="s">
        <v>91</v>
      </c>
      <c r="I3554" s="134" t="s">
        <v>17159</v>
      </c>
      <c r="J3554" s="23" t="s">
        <v>55</v>
      </c>
      <c r="K3554" s="23"/>
      <c r="L3554" s="36">
        <v>780.0</v>
      </c>
      <c r="M3554" s="36"/>
      <c r="N3554" s="36"/>
      <c r="O3554" s="36"/>
      <c r="P3554" s="37" t="s">
        <v>14148</v>
      </c>
      <c r="Q3554" s="36"/>
      <c r="R3554" s="36"/>
      <c r="S3554" s="36"/>
      <c r="T3554" s="83" t="s">
        <v>17160</v>
      </c>
      <c r="U3554" s="322" t="str">
        <f>HYPERLINK("https://www.ncbi.nlm.nih.gov/pubmed/23407900","PubMed")</f>
        <v>PubMed</v>
      </c>
      <c r="V3554" s="139"/>
      <c r="W3554" s="49"/>
      <c r="X3554" s="49"/>
      <c r="Y3554" s="35"/>
      <c r="Z3554" s="35"/>
      <c r="AA3554" s="35"/>
      <c r="AB3554" s="35"/>
      <c r="AC3554" s="35"/>
      <c r="AD3554" s="35"/>
      <c r="AE3554" s="35"/>
      <c r="AF3554" s="35"/>
      <c r="AG3554" s="35"/>
      <c r="AH3554" s="35"/>
      <c r="AI3554" s="35"/>
      <c r="AJ3554" s="35"/>
      <c r="AK3554" s="35"/>
      <c r="AL3554" s="35"/>
    </row>
    <row r="3555">
      <c r="A3555" s="207"/>
      <c r="B3555" s="19" t="s">
        <v>14099</v>
      </c>
      <c r="C3555" s="20" t="s">
        <v>17015</v>
      </c>
      <c r="D3555" s="47"/>
      <c r="E3555" s="57" t="s">
        <v>543</v>
      </c>
      <c r="F3555" s="22" t="s">
        <v>41</v>
      </c>
      <c r="G3555" s="57">
        <v>2014.0</v>
      </c>
      <c r="H3555" s="57" t="s">
        <v>91</v>
      </c>
      <c r="I3555" s="134" t="s">
        <v>17161</v>
      </c>
      <c r="J3555" s="23" t="s">
        <v>55</v>
      </c>
      <c r="K3555" s="23"/>
      <c r="L3555" s="36">
        <v>780.0</v>
      </c>
      <c r="M3555" s="36">
        <v>40.0</v>
      </c>
      <c r="N3555" s="36">
        <v>1.0</v>
      </c>
      <c r="O3555" s="36"/>
      <c r="P3555" s="37" t="s">
        <v>95</v>
      </c>
      <c r="Q3555" s="36" t="s">
        <v>830</v>
      </c>
      <c r="R3555" s="36">
        <v>10.0</v>
      </c>
      <c r="S3555" s="36"/>
      <c r="T3555" s="83" t="s">
        <v>17162</v>
      </c>
      <c r="U3555" s="322" t="str">
        <f>HYPERLINK("https://www.ncbi.nlm.nih.gov/pubmed/23982721","PubMed")</f>
        <v>PubMed</v>
      </c>
      <c r="V3555" s="139"/>
      <c r="W3555" s="49"/>
      <c r="X3555" s="49"/>
      <c r="Y3555" s="35"/>
      <c r="Z3555" s="35"/>
      <c r="AA3555" s="35"/>
      <c r="AB3555" s="35"/>
      <c r="AC3555" s="35"/>
      <c r="AD3555" s="35"/>
      <c r="AE3555" s="35"/>
      <c r="AF3555" s="35"/>
      <c r="AG3555" s="35"/>
      <c r="AH3555" s="35"/>
      <c r="AI3555" s="35"/>
      <c r="AJ3555" s="35"/>
      <c r="AK3555" s="35"/>
      <c r="AL3555" s="35"/>
    </row>
    <row r="3556">
      <c r="A3556" s="207"/>
      <c r="B3556" s="19" t="s">
        <v>14099</v>
      </c>
      <c r="C3556" s="20" t="s">
        <v>17015</v>
      </c>
      <c r="D3556" s="47"/>
      <c r="E3556" s="57" t="s">
        <v>5058</v>
      </c>
      <c r="F3556" s="22" t="s">
        <v>5059</v>
      </c>
      <c r="G3556" s="57">
        <v>2013.0</v>
      </c>
      <c r="H3556" s="57" t="s">
        <v>91</v>
      </c>
      <c r="I3556" s="134" t="s">
        <v>17163</v>
      </c>
      <c r="J3556" s="23" t="s">
        <v>55</v>
      </c>
      <c r="K3556" s="23"/>
      <c r="L3556" s="36">
        <v>904.0</v>
      </c>
      <c r="M3556" s="36">
        <v>40.0</v>
      </c>
      <c r="N3556" s="36" t="s">
        <v>17125</v>
      </c>
      <c r="O3556" s="36" t="s">
        <v>17164</v>
      </c>
      <c r="P3556" s="37"/>
      <c r="Q3556" s="36" t="s">
        <v>17165</v>
      </c>
      <c r="R3556" s="36"/>
      <c r="S3556" s="36">
        <v>7.0</v>
      </c>
      <c r="T3556" s="83" t="s">
        <v>17166</v>
      </c>
      <c r="U3556" s="322" t="str">
        <f>HYPERLINK("https://www.ncbi.nlm.nih.gov/pubmed/22399243","PubMed")</f>
        <v>PubMed</v>
      </c>
      <c r="V3556" s="139"/>
      <c r="W3556" s="49"/>
      <c r="X3556" s="49"/>
      <c r="Y3556" s="35"/>
      <c r="Z3556" s="35"/>
      <c r="AA3556" s="35"/>
      <c r="AB3556" s="35"/>
      <c r="AC3556" s="35"/>
      <c r="AD3556" s="35"/>
      <c r="AE3556" s="35"/>
      <c r="AF3556" s="35"/>
      <c r="AG3556" s="35"/>
      <c r="AH3556" s="35"/>
      <c r="AI3556" s="35"/>
      <c r="AJ3556" s="35"/>
      <c r="AK3556" s="35"/>
      <c r="AL3556" s="35"/>
    </row>
    <row r="3557">
      <c r="A3557" s="207"/>
      <c r="B3557" s="19" t="s">
        <v>14099</v>
      </c>
      <c r="C3557" s="20" t="s">
        <v>17015</v>
      </c>
      <c r="D3557" s="47"/>
      <c r="E3557" s="57" t="s">
        <v>2228</v>
      </c>
      <c r="F3557" s="22" t="s">
        <v>10761</v>
      </c>
      <c r="G3557" s="57">
        <v>2013.0</v>
      </c>
      <c r="H3557" s="57" t="s">
        <v>91</v>
      </c>
      <c r="I3557" s="134" t="s">
        <v>17167</v>
      </c>
      <c r="J3557" s="23" t="s">
        <v>55</v>
      </c>
      <c r="K3557" s="23"/>
      <c r="L3557" s="36">
        <v>635.0</v>
      </c>
      <c r="M3557" s="36">
        <v>7.0</v>
      </c>
      <c r="N3557" s="36" t="s">
        <v>17168</v>
      </c>
      <c r="O3557" s="36"/>
      <c r="P3557" s="37"/>
      <c r="Q3557" s="36" t="s">
        <v>901</v>
      </c>
      <c r="R3557" s="36">
        <v>1200.0</v>
      </c>
      <c r="S3557" s="36">
        <v>10.0</v>
      </c>
      <c r="T3557" s="83" t="s">
        <v>17169</v>
      </c>
      <c r="U3557" s="322" t="str">
        <f>HYPERLINK("https://www.ncbi.nlm.nih.gov/pubmed/22714676","PubMed")</f>
        <v>PubMed</v>
      </c>
      <c r="V3557" s="139"/>
      <c r="W3557" s="49"/>
      <c r="X3557" s="49"/>
      <c r="Y3557" s="35"/>
      <c r="Z3557" s="35"/>
      <c r="AA3557" s="35"/>
      <c r="AB3557" s="35"/>
      <c r="AC3557" s="35"/>
      <c r="AD3557" s="35"/>
      <c r="AE3557" s="35"/>
      <c r="AF3557" s="35"/>
      <c r="AG3557" s="35"/>
      <c r="AH3557" s="35"/>
      <c r="AI3557" s="35"/>
      <c r="AJ3557" s="35"/>
      <c r="AK3557" s="35"/>
      <c r="AL3557" s="35"/>
    </row>
    <row r="3558">
      <c r="A3558" s="207"/>
      <c r="B3558" s="19" t="s">
        <v>14099</v>
      </c>
      <c r="C3558" s="20" t="s">
        <v>17015</v>
      </c>
      <c r="D3558" s="47"/>
      <c r="E3558" s="57" t="s">
        <v>17170</v>
      </c>
      <c r="F3558" s="22" t="s">
        <v>41</v>
      </c>
      <c r="G3558" s="57">
        <v>2013.0</v>
      </c>
      <c r="H3558" s="57" t="s">
        <v>4975</v>
      </c>
      <c r="I3558" s="134" t="s">
        <v>17171</v>
      </c>
      <c r="J3558" s="23" t="s">
        <v>55</v>
      </c>
      <c r="K3558" s="23" t="s">
        <v>17050</v>
      </c>
      <c r="L3558" s="36">
        <v>810.0</v>
      </c>
      <c r="M3558" s="36">
        <v>100.0</v>
      </c>
      <c r="N3558" s="36"/>
      <c r="O3558" s="36">
        <v>3.0</v>
      </c>
      <c r="P3558" s="37"/>
      <c r="Q3558" s="36"/>
      <c r="R3558" s="36"/>
      <c r="S3558" s="36"/>
      <c r="T3558" s="83" t="s">
        <v>17172</v>
      </c>
      <c r="U3558" s="315" t="str">
        <f>HYPERLINK("https://www.ncbi.nlm.nih.gov/pubmed/22989160","PubMed")</f>
        <v>PubMed</v>
      </c>
      <c r="V3558" s="139"/>
      <c r="W3558" s="49"/>
      <c r="X3558" s="49"/>
      <c r="Y3558" s="35"/>
      <c r="Z3558" s="35"/>
      <c r="AA3558" s="35"/>
      <c r="AB3558" s="35"/>
      <c r="AC3558" s="35"/>
      <c r="AD3558" s="35"/>
      <c r="AE3558" s="35"/>
      <c r="AF3558" s="35"/>
      <c r="AG3558" s="35"/>
      <c r="AH3558" s="35"/>
      <c r="AI3558" s="35"/>
      <c r="AJ3558" s="35"/>
      <c r="AK3558" s="35"/>
      <c r="AL3558" s="35"/>
    </row>
    <row r="3559">
      <c r="A3559" s="207"/>
      <c r="B3559" s="19" t="s">
        <v>14099</v>
      </c>
      <c r="C3559" s="20" t="s">
        <v>17015</v>
      </c>
      <c r="D3559" s="47"/>
      <c r="E3559" s="57" t="s">
        <v>17173</v>
      </c>
      <c r="F3559" s="22" t="s">
        <v>41</v>
      </c>
      <c r="G3559" s="57">
        <v>2013.0</v>
      </c>
      <c r="H3559" s="57" t="s">
        <v>91</v>
      </c>
      <c r="I3559" s="134" t="s">
        <v>17174</v>
      </c>
      <c r="J3559" s="23" t="s">
        <v>55</v>
      </c>
      <c r="K3559" s="23" t="s">
        <v>607</v>
      </c>
      <c r="L3559" s="36">
        <v>780.0</v>
      </c>
      <c r="M3559" s="36"/>
      <c r="N3559" s="36"/>
      <c r="O3559" s="129">
        <v>42522.0</v>
      </c>
      <c r="P3559" s="37" t="s">
        <v>432</v>
      </c>
      <c r="Q3559" s="36"/>
      <c r="R3559" s="36" t="s">
        <v>17175</v>
      </c>
      <c r="S3559" s="36"/>
      <c r="T3559" s="83" t="s">
        <v>17176</v>
      </c>
      <c r="U3559" s="322" t="str">
        <f>HYPERLINK("https://www.ncbi.nlm.nih.gov/pubmed/23262549","PubMed")</f>
        <v>PubMed</v>
      </c>
      <c r="V3559" s="139"/>
      <c r="W3559" s="49"/>
      <c r="X3559" s="49"/>
      <c r="Y3559" s="35"/>
      <c r="Z3559" s="35"/>
      <c r="AA3559" s="35"/>
      <c r="AB3559" s="35"/>
      <c r="AC3559" s="35"/>
      <c r="AD3559" s="35"/>
      <c r="AE3559" s="35"/>
      <c r="AF3559" s="35"/>
      <c r="AG3559" s="35"/>
      <c r="AH3559" s="35"/>
      <c r="AI3559" s="35"/>
      <c r="AJ3559" s="35"/>
      <c r="AK3559" s="35"/>
      <c r="AL3559" s="35"/>
    </row>
    <row r="3560">
      <c r="A3560" s="207" t="s">
        <v>2</v>
      </c>
      <c r="B3560" s="19" t="s">
        <v>14099</v>
      </c>
      <c r="C3560" s="20" t="s">
        <v>17015</v>
      </c>
      <c r="D3560" s="47"/>
      <c r="E3560" s="57" t="s">
        <v>764</v>
      </c>
      <c r="F3560" s="22" t="s">
        <v>41</v>
      </c>
      <c r="G3560" s="57">
        <v>2013.0</v>
      </c>
      <c r="H3560" s="57" t="s">
        <v>4975</v>
      </c>
      <c r="I3560" s="134" t="s">
        <v>17177</v>
      </c>
      <c r="J3560" s="23" t="s">
        <v>55</v>
      </c>
      <c r="K3560" s="23" t="s">
        <v>17151</v>
      </c>
      <c r="L3560" s="36">
        <v>810.0</v>
      </c>
      <c r="M3560" s="36">
        <v>100.0</v>
      </c>
      <c r="N3560" s="36" t="s">
        <v>278</v>
      </c>
      <c r="O3560" s="36" t="s">
        <v>17097</v>
      </c>
      <c r="P3560" s="37"/>
      <c r="Q3560" s="36"/>
      <c r="R3560" s="36" t="s">
        <v>17099</v>
      </c>
      <c r="S3560" s="36"/>
      <c r="T3560" s="83" t="s">
        <v>17178</v>
      </c>
      <c r="U3560" s="315" t="str">
        <f>HYPERLINK("https://www.ncbi.nlm.nih.gov/pubmed/22937980","PubMed")</f>
        <v>PubMed</v>
      </c>
      <c r="V3560" s="139"/>
      <c r="W3560" s="49"/>
      <c r="X3560" s="49"/>
      <c r="Y3560" s="35"/>
      <c r="Z3560" s="35"/>
      <c r="AA3560" s="35"/>
      <c r="AB3560" s="35"/>
      <c r="AC3560" s="35"/>
      <c r="AD3560" s="35"/>
      <c r="AE3560" s="35"/>
      <c r="AF3560" s="35"/>
      <c r="AG3560" s="35"/>
      <c r="AH3560" s="35"/>
      <c r="AI3560" s="35"/>
      <c r="AJ3560" s="35"/>
      <c r="AK3560" s="35"/>
      <c r="AL3560" s="35"/>
    </row>
    <row r="3561">
      <c r="A3561" s="207"/>
      <c r="B3561" s="19" t="s">
        <v>14099</v>
      </c>
      <c r="C3561" s="20" t="s">
        <v>17015</v>
      </c>
      <c r="D3561" s="47"/>
      <c r="E3561" s="57" t="s">
        <v>10513</v>
      </c>
      <c r="F3561" s="22" t="s">
        <v>274</v>
      </c>
      <c r="G3561" s="57">
        <v>2013.0</v>
      </c>
      <c r="H3561" s="57" t="s">
        <v>207</v>
      </c>
      <c r="I3561" s="134" t="s">
        <v>17179</v>
      </c>
      <c r="J3561" s="23" t="s">
        <v>55</v>
      </c>
      <c r="K3561" s="23"/>
      <c r="L3561" s="36">
        <v>660.0</v>
      </c>
      <c r="M3561" s="36"/>
      <c r="N3561" s="36"/>
      <c r="O3561" s="129"/>
      <c r="P3561" s="37" t="s">
        <v>14148</v>
      </c>
      <c r="Q3561" s="36"/>
      <c r="R3561" s="36"/>
      <c r="S3561" s="36"/>
      <c r="T3561" s="83" t="s">
        <v>17180</v>
      </c>
      <c r="U3561" s="322" t="str">
        <f>HYPERLINK("https://www.ncbi.nlm.nih.gov/pubmed/23416710","PubMed")</f>
        <v>PubMed</v>
      </c>
      <c r="V3561" s="139"/>
      <c r="W3561" s="49"/>
      <c r="X3561" s="49"/>
      <c r="Y3561" s="35"/>
      <c r="Z3561" s="35"/>
      <c r="AA3561" s="35"/>
      <c r="AB3561" s="35"/>
      <c r="AC3561" s="35"/>
      <c r="AD3561" s="35"/>
      <c r="AE3561" s="35"/>
      <c r="AF3561" s="35"/>
      <c r="AG3561" s="35"/>
      <c r="AH3561" s="35"/>
      <c r="AI3561" s="35"/>
      <c r="AJ3561" s="35"/>
      <c r="AK3561" s="35"/>
      <c r="AL3561" s="35"/>
    </row>
    <row r="3562">
      <c r="A3562" s="207"/>
      <c r="B3562" s="19" t="s">
        <v>14099</v>
      </c>
      <c r="C3562" s="20" t="s">
        <v>17015</v>
      </c>
      <c r="D3562" s="47"/>
      <c r="E3562" s="57" t="s">
        <v>12919</v>
      </c>
      <c r="F3562" s="22" t="s">
        <v>274</v>
      </c>
      <c r="G3562" s="57">
        <v>2013.0</v>
      </c>
      <c r="H3562" s="57" t="s">
        <v>91</v>
      </c>
      <c r="I3562" s="134" t="s">
        <v>17181</v>
      </c>
      <c r="J3562" s="23" t="s">
        <v>55</v>
      </c>
      <c r="K3562" s="23" t="s">
        <v>17182</v>
      </c>
      <c r="L3562" s="36">
        <v>808.0</v>
      </c>
      <c r="M3562" s="36">
        <v>30.0</v>
      </c>
      <c r="N3562" s="129">
        <v>42585.0</v>
      </c>
      <c r="O3562" s="129">
        <v>42461.0</v>
      </c>
      <c r="P3562" s="37" t="s">
        <v>17045</v>
      </c>
      <c r="Q3562" s="36" t="s">
        <v>17183</v>
      </c>
      <c r="R3562" s="36">
        <v>47.0</v>
      </c>
      <c r="S3562" s="36">
        <v>4.0</v>
      </c>
      <c r="T3562" s="83" t="s">
        <v>17184</v>
      </c>
      <c r="U3562" s="322" t="str">
        <f>HYPERLINK("https://www.ncbi.nlm.nih.gov/pubmed/22898787","PubMed")</f>
        <v>PubMed</v>
      </c>
      <c r="V3562" s="139"/>
      <c r="W3562" s="49"/>
      <c r="X3562" s="49"/>
      <c r="Y3562" s="35"/>
      <c r="Z3562" s="35"/>
      <c r="AA3562" s="35"/>
      <c r="AB3562" s="35"/>
      <c r="AC3562" s="35"/>
      <c r="AD3562" s="35"/>
      <c r="AE3562" s="35"/>
      <c r="AF3562" s="35"/>
      <c r="AG3562" s="35"/>
      <c r="AH3562" s="35"/>
      <c r="AI3562" s="35"/>
      <c r="AJ3562" s="35"/>
      <c r="AK3562" s="35"/>
      <c r="AL3562" s="35"/>
    </row>
    <row r="3563">
      <c r="A3563" s="207"/>
      <c r="B3563" s="19" t="s">
        <v>14099</v>
      </c>
      <c r="C3563" s="20" t="s">
        <v>17015</v>
      </c>
      <c r="D3563" s="47"/>
      <c r="E3563" s="57" t="s">
        <v>714</v>
      </c>
      <c r="F3563" s="22" t="s">
        <v>41</v>
      </c>
      <c r="G3563" s="57">
        <v>2013.0</v>
      </c>
      <c r="H3563" s="57" t="s">
        <v>91</v>
      </c>
      <c r="I3563" s="134" t="s">
        <v>17185</v>
      </c>
      <c r="J3563" s="23" t="s">
        <v>55</v>
      </c>
      <c r="K3563" s="23" t="s">
        <v>17186</v>
      </c>
      <c r="L3563" s="36">
        <v>660.0</v>
      </c>
      <c r="M3563" s="36">
        <v>20.0</v>
      </c>
      <c r="N3563" s="36" t="s">
        <v>1185</v>
      </c>
      <c r="O3563" s="129"/>
      <c r="P3563" s="37" t="s">
        <v>432</v>
      </c>
      <c r="Q3563" s="36" t="s">
        <v>830</v>
      </c>
      <c r="R3563" s="36">
        <v>10.0</v>
      </c>
      <c r="S3563" s="36">
        <v>6.0</v>
      </c>
      <c r="T3563" s="83" t="s">
        <v>17187</v>
      </c>
      <c r="U3563" s="322" t="str">
        <f>HYPERLINK("https://www.ncbi.nlm.nih.gov/pubmed/23179308","PubMed")</f>
        <v>PubMed</v>
      </c>
      <c r="V3563" s="139"/>
      <c r="W3563" s="49"/>
      <c r="X3563" s="49"/>
      <c r="Y3563" s="35"/>
      <c r="Z3563" s="35"/>
      <c r="AA3563" s="35"/>
      <c r="AB3563" s="35"/>
      <c r="AC3563" s="35"/>
      <c r="AD3563" s="35"/>
      <c r="AE3563" s="35"/>
      <c r="AF3563" s="35"/>
      <c r="AG3563" s="35"/>
      <c r="AH3563" s="35"/>
      <c r="AI3563" s="35"/>
      <c r="AJ3563" s="35"/>
      <c r="AK3563" s="35"/>
      <c r="AL3563" s="35"/>
    </row>
    <row r="3564">
      <c r="A3564" s="207"/>
      <c r="B3564" s="19" t="s">
        <v>14099</v>
      </c>
      <c r="C3564" s="20" t="s">
        <v>17015</v>
      </c>
      <c r="D3564" s="47"/>
      <c r="E3564" s="57" t="s">
        <v>10513</v>
      </c>
      <c r="F3564" s="22" t="s">
        <v>274</v>
      </c>
      <c r="G3564" s="57">
        <v>2013.0</v>
      </c>
      <c r="H3564" s="57" t="s">
        <v>1873</v>
      </c>
      <c r="I3564" s="134" t="s">
        <v>17188</v>
      </c>
      <c r="J3564" s="23" t="s">
        <v>55</v>
      </c>
      <c r="K3564" s="23" t="s">
        <v>17182</v>
      </c>
      <c r="L3564" s="36">
        <v>660.0</v>
      </c>
      <c r="M3564" s="36"/>
      <c r="N3564" s="36"/>
      <c r="O3564" s="129"/>
      <c r="P3564" s="37" t="s">
        <v>14148</v>
      </c>
      <c r="Q3564" s="36"/>
      <c r="R3564" s="36"/>
      <c r="S3564" s="36"/>
      <c r="T3564" s="83" t="s">
        <v>17189</v>
      </c>
      <c r="U3564" s="322" t="str">
        <f>HYPERLINK("https://www.ncbi.nlm.nih.gov/pubmed/24301435","PubMed")</f>
        <v>PubMed</v>
      </c>
      <c r="V3564" s="139"/>
      <c r="W3564" s="49"/>
      <c r="X3564" s="49"/>
      <c r="Y3564" s="35"/>
      <c r="Z3564" s="35"/>
      <c r="AA3564" s="35"/>
      <c r="AB3564" s="35"/>
      <c r="AC3564" s="35"/>
      <c r="AD3564" s="35"/>
      <c r="AE3564" s="35"/>
      <c r="AF3564" s="35"/>
      <c r="AG3564" s="35"/>
      <c r="AH3564" s="35"/>
      <c r="AI3564" s="35"/>
      <c r="AJ3564" s="35"/>
      <c r="AK3564" s="35"/>
      <c r="AL3564" s="35"/>
    </row>
    <row r="3565">
      <c r="A3565" s="207"/>
      <c r="B3565" s="19" t="s">
        <v>14099</v>
      </c>
      <c r="C3565" s="20" t="s">
        <v>17015</v>
      </c>
      <c r="D3565" s="47"/>
      <c r="E3565" s="57" t="s">
        <v>17190</v>
      </c>
      <c r="F3565" s="22" t="s">
        <v>3322</v>
      </c>
      <c r="G3565" s="57">
        <v>2012.0</v>
      </c>
      <c r="H3565" s="57" t="s">
        <v>17191</v>
      </c>
      <c r="I3565" s="134" t="s">
        <v>17192</v>
      </c>
      <c r="J3565" s="23" t="s">
        <v>55</v>
      </c>
      <c r="K3565" s="23"/>
      <c r="L3565" s="36">
        <v>830.0</v>
      </c>
      <c r="M3565" s="36">
        <v>30.0</v>
      </c>
      <c r="N3565" s="36"/>
      <c r="O3565" s="36" t="s">
        <v>17193</v>
      </c>
      <c r="P3565" s="37" t="s">
        <v>480</v>
      </c>
      <c r="Q3565" s="36" t="s">
        <v>17194</v>
      </c>
      <c r="R3565" s="36">
        <v>29.0</v>
      </c>
      <c r="S3565" s="36">
        <v>5.0</v>
      </c>
      <c r="T3565" s="83" t="s">
        <v>17195</v>
      </c>
      <c r="U3565" s="322" t="str">
        <f>HYPERLINK("https://www.degruyter.com/view/j/plm.2012.1.issue-4/plm-2012-0035/plm-2012-0035.xml","De Gruyter")</f>
        <v>De Gruyter</v>
      </c>
      <c r="V3565" s="139"/>
      <c r="W3565" s="49"/>
      <c r="X3565" s="49"/>
      <c r="Y3565" s="35"/>
      <c r="Z3565" s="35"/>
      <c r="AA3565" s="35"/>
      <c r="AB3565" s="35"/>
      <c r="AC3565" s="35"/>
      <c r="AD3565" s="35"/>
      <c r="AE3565" s="35"/>
      <c r="AF3565" s="35"/>
      <c r="AG3565" s="35"/>
      <c r="AH3565" s="35"/>
      <c r="AI3565" s="35"/>
      <c r="AJ3565" s="35"/>
      <c r="AK3565" s="35"/>
      <c r="AL3565" s="35"/>
    </row>
    <row r="3566">
      <c r="A3566" s="207"/>
      <c r="B3566" s="19" t="s">
        <v>14099</v>
      </c>
      <c r="C3566" s="20" t="s">
        <v>17015</v>
      </c>
      <c r="D3566" s="47"/>
      <c r="E3566" s="57" t="s">
        <v>17196</v>
      </c>
      <c r="F3566" s="22" t="s">
        <v>1102</v>
      </c>
      <c r="G3566" s="57">
        <v>2012.0</v>
      </c>
      <c r="H3566" s="57" t="s">
        <v>9355</v>
      </c>
      <c r="I3566" s="134" t="s">
        <v>17197</v>
      </c>
      <c r="J3566" s="23" t="s">
        <v>55</v>
      </c>
      <c r="K3566" s="23" t="s">
        <v>17198</v>
      </c>
      <c r="L3566" s="36">
        <v>830.0</v>
      </c>
      <c r="M3566" s="36">
        <v>30.0</v>
      </c>
      <c r="N3566" s="36"/>
      <c r="O3566" s="36"/>
      <c r="P3566" s="37" t="s">
        <v>254</v>
      </c>
      <c r="Q3566" s="36"/>
      <c r="R3566" s="36"/>
      <c r="S3566" s="36"/>
      <c r="T3566" s="83" t="s">
        <v>17199</v>
      </c>
      <c r="U3566" s="322" t="str">
        <f>HYPERLINK("https://www.ncbi.nlm.nih.gov/pubmed/23060238","PubMed")</f>
        <v>PubMed</v>
      </c>
      <c r="V3566" s="139"/>
      <c r="W3566" s="49"/>
      <c r="X3566" s="49"/>
      <c r="Y3566" s="35"/>
      <c r="Z3566" s="35"/>
      <c r="AA3566" s="35"/>
      <c r="AB3566" s="35"/>
      <c r="AC3566" s="35"/>
      <c r="AD3566" s="35"/>
      <c r="AE3566" s="35"/>
      <c r="AF3566" s="35"/>
      <c r="AG3566" s="35"/>
      <c r="AH3566" s="35"/>
      <c r="AI3566" s="35"/>
      <c r="AJ3566" s="35"/>
      <c r="AK3566" s="35"/>
      <c r="AL3566" s="35"/>
    </row>
    <row r="3567">
      <c r="A3567" s="207"/>
      <c r="B3567" s="19" t="s">
        <v>14099</v>
      </c>
      <c r="C3567" s="20" t="s">
        <v>17015</v>
      </c>
      <c r="D3567" s="47"/>
      <c r="E3567" s="57" t="s">
        <v>88</v>
      </c>
      <c r="F3567" s="22" t="s">
        <v>41</v>
      </c>
      <c r="G3567" s="57">
        <v>2012.0</v>
      </c>
      <c r="H3567" s="57" t="s">
        <v>91</v>
      </c>
      <c r="I3567" s="134" t="s">
        <v>17200</v>
      </c>
      <c r="J3567" s="23" t="s">
        <v>44</v>
      </c>
      <c r="K3567" s="23" t="s">
        <v>17201</v>
      </c>
      <c r="L3567" s="36">
        <v>904.0</v>
      </c>
      <c r="M3567" s="36"/>
      <c r="N3567" s="36"/>
      <c r="O3567" s="36" t="s">
        <v>15045</v>
      </c>
      <c r="P3567" s="37"/>
      <c r="Q3567" s="36"/>
      <c r="R3567" s="36"/>
      <c r="S3567" s="36"/>
      <c r="T3567" s="83" t="s">
        <v>17202</v>
      </c>
      <c r="U3567" s="322" t="str">
        <f>HYPERLINK("https://www.ncbi.nlm.nih.gov/pubmed/22143119","PubMed")</f>
        <v>PubMed</v>
      </c>
      <c r="V3567" s="139"/>
      <c r="W3567" s="49"/>
      <c r="X3567" s="49"/>
      <c r="Y3567" s="35"/>
      <c r="Z3567" s="35"/>
      <c r="AA3567" s="35"/>
      <c r="AB3567" s="35"/>
      <c r="AC3567" s="35"/>
      <c r="AD3567" s="35"/>
      <c r="AE3567" s="35"/>
      <c r="AF3567" s="35"/>
      <c r="AG3567" s="35"/>
      <c r="AH3567" s="35"/>
      <c r="AI3567" s="35"/>
      <c r="AJ3567" s="35"/>
      <c r="AK3567" s="35"/>
      <c r="AL3567" s="35"/>
    </row>
    <row r="3568">
      <c r="A3568" s="207"/>
      <c r="B3568" s="19" t="s">
        <v>14099</v>
      </c>
      <c r="C3568" s="20" t="s">
        <v>17015</v>
      </c>
      <c r="D3568" s="47"/>
      <c r="E3568" s="57" t="s">
        <v>12919</v>
      </c>
      <c r="F3568" s="22" t="s">
        <v>274</v>
      </c>
      <c r="G3568" s="57">
        <v>2012.0</v>
      </c>
      <c r="H3568" s="57" t="s">
        <v>53</v>
      </c>
      <c r="I3568" s="134" t="s">
        <v>17203</v>
      </c>
      <c r="J3568" s="23" t="s">
        <v>55</v>
      </c>
      <c r="K3568" s="23"/>
      <c r="L3568" s="36">
        <v>808.0</v>
      </c>
      <c r="M3568" s="36">
        <v>30.0</v>
      </c>
      <c r="N3568" s="36" t="s">
        <v>17204</v>
      </c>
      <c r="O3568" s="129">
        <v>42461.0</v>
      </c>
      <c r="P3568" s="37">
        <v>180.0</v>
      </c>
      <c r="Q3568" s="36" t="s">
        <v>17183</v>
      </c>
      <c r="R3568" s="36">
        <v>47.0</v>
      </c>
      <c r="S3568" s="36">
        <v>4.0</v>
      </c>
      <c r="T3568" s="83" t="s">
        <v>17205</v>
      </c>
      <c r="U3568" s="322" t="str">
        <f>HYPERLINK("https://www.ncbi.nlm.nih.gov/pubmed/23001637","PubMed")</f>
        <v>PubMed</v>
      </c>
      <c r="V3568" s="139"/>
      <c r="W3568" s="49"/>
      <c r="X3568" s="49"/>
      <c r="Y3568" s="35"/>
      <c r="Z3568" s="35"/>
      <c r="AA3568" s="35"/>
      <c r="AB3568" s="35"/>
      <c r="AC3568" s="35"/>
      <c r="AD3568" s="35"/>
      <c r="AE3568" s="35"/>
      <c r="AF3568" s="35"/>
      <c r="AG3568" s="35"/>
      <c r="AH3568" s="35"/>
      <c r="AI3568" s="35"/>
      <c r="AJ3568" s="35"/>
      <c r="AK3568" s="35"/>
      <c r="AL3568" s="35"/>
    </row>
    <row r="3569">
      <c r="A3569" s="207"/>
      <c r="B3569" s="19" t="s">
        <v>14099</v>
      </c>
      <c r="C3569" s="20" t="s">
        <v>17015</v>
      </c>
      <c r="D3569" s="47"/>
      <c r="E3569" s="57" t="s">
        <v>10573</v>
      </c>
      <c r="F3569" s="22" t="s">
        <v>41</v>
      </c>
      <c r="G3569" s="57">
        <v>2011.0</v>
      </c>
      <c r="H3569" s="57" t="s">
        <v>91</v>
      </c>
      <c r="I3569" s="134" t="s">
        <v>17206</v>
      </c>
      <c r="J3569" s="23" t="s">
        <v>55</v>
      </c>
      <c r="K3569" s="23" t="s">
        <v>17092</v>
      </c>
      <c r="L3569" s="36">
        <v>660.0</v>
      </c>
      <c r="M3569" s="36">
        <v>20.0</v>
      </c>
      <c r="N3569" s="36" t="s">
        <v>17207</v>
      </c>
      <c r="O3569" s="36" t="s">
        <v>267</v>
      </c>
      <c r="P3569" s="37" t="s">
        <v>432</v>
      </c>
      <c r="Q3569" s="36" t="s">
        <v>830</v>
      </c>
      <c r="R3569" s="36">
        <v>10.0</v>
      </c>
      <c r="S3569" s="36">
        <v>9.0</v>
      </c>
      <c r="T3569" s="83" t="s">
        <v>17208</v>
      </c>
      <c r="U3569" s="322" t="str">
        <f>HYPERLINK("https://www.ncbi.nlm.nih.gov/pubmed/21761120","PubMed")</f>
        <v>PubMed</v>
      </c>
      <c r="V3569" s="139"/>
      <c r="W3569" s="49"/>
      <c r="X3569" s="49"/>
      <c r="Y3569" s="35"/>
      <c r="Z3569" s="35"/>
      <c r="AA3569" s="35"/>
      <c r="AB3569" s="35"/>
      <c r="AC3569" s="35"/>
      <c r="AD3569" s="35"/>
      <c r="AE3569" s="35"/>
      <c r="AF3569" s="35"/>
      <c r="AG3569" s="35"/>
      <c r="AH3569" s="35"/>
      <c r="AI3569" s="35"/>
      <c r="AJ3569" s="35"/>
      <c r="AK3569" s="35"/>
      <c r="AL3569" s="35"/>
    </row>
    <row r="3570">
      <c r="A3570" s="207"/>
      <c r="B3570" s="19" t="s">
        <v>14099</v>
      </c>
      <c r="C3570" s="20" t="s">
        <v>17015</v>
      </c>
      <c r="D3570" s="47"/>
      <c r="E3570" s="57" t="s">
        <v>17209</v>
      </c>
      <c r="F3570" s="22" t="s">
        <v>530</v>
      </c>
      <c r="G3570" s="57">
        <v>2011.0</v>
      </c>
      <c r="H3570" s="57" t="s">
        <v>658</v>
      </c>
      <c r="I3570" s="134" t="s">
        <v>17210</v>
      </c>
      <c r="J3570" s="23" t="s">
        <v>55</v>
      </c>
      <c r="K3570" s="23"/>
      <c r="L3570" s="36">
        <v>830.0</v>
      </c>
      <c r="M3570" s="36">
        <v>30.0</v>
      </c>
      <c r="N3570" s="37" t="s">
        <v>717</v>
      </c>
      <c r="O3570" s="36" t="s">
        <v>17211</v>
      </c>
      <c r="P3570" s="37" t="s">
        <v>1529</v>
      </c>
      <c r="Q3570" s="36" t="s">
        <v>280</v>
      </c>
      <c r="R3570" s="36">
        <v>47.0</v>
      </c>
      <c r="S3570" s="36">
        <v>6.0</v>
      </c>
      <c r="T3570" s="83" t="s">
        <v>17212</v>
      </c>
      <c r="U3570" s="322" t="str">
        <f>HYPERLINK("https://www.ncbi.nlm.nih.gov/pubmed/21166589","PubMed")</f>
        <v>PubMed</v>
      </c>
      <c r="V3570" s="139"/>
      <c r="W3570" s="49"/>
      <c r="X3570" s="49"/>
      <c r="Y3570" s="35"/>
      <c r="Z3570" s="35"/>
      <c r="AA3570" s="35"/>
      <c r="AB3570" s="35"/>
      <c r="AC3570" s="35"/>
      <c r="AD3570" s="35"/>
      <c r="AE3570" s="35"/>
      <c r="AF3570" s="35"/>
      <c r="AG3570" s="35"/>
      <c r="AH3570" s="35"/>
      <c r="AI3570" s="35"/>
      <c r="AJ3570" s="35"/>
      <c r="AK3570" s="35"/>
      <c r="AL3570" s="35"/>
    </row>
    <row r="3571">
      <c r="A3571" s="207"/>
      <c r="B3571" s="19" t="s">
        <v>14099</v>
      </c>
      <c r="C3571" s="20" t="s">
        <v>17015</v>
      </c>
      <c r="D3571" s="47"/>
      <c r="E3571" s="57" t="s">
        <v>17213</v>
      </c>
      <c r="F3571" s="22" t="s">
        <v>41</v>
      </c>
      <c r="G3571" s="57">
        <v>2011.0</v>
      </c>
      <c r="H3571" s="57" t="s">
        <v>658</v>
      </c>
      <c r="I3571" s="134" t="s">
        <v>17214</v>
      </c>
      <c r="J3571" s="23" t="s">
        <v>55</v>
      </c>
      <c r="K3571" s="23" t="s">
        <v>17092</v>
      </c>
      <c r="L3571" s="36">
        <v>660.0</v>
      </c>
      <c r="M3571" s="36">
        <v>20.0</v>
      </c>
      <c r="N3571" s="36" t="s">
        <v>1185</v>
      </c>
      <c r="O3571" s="129"/>
      <c r="P3571" s="37" t="s">
        <v>432</v>
      </c>
      <c r="Q3571" s="36"/>
      <c r="R3571" s="36">
        <v>10.0</v>
      </c>
      <c r="S3571" s="36"/>
      <c r="T3571" s="84" t="s">
        <v>17215</v>
      </c>
      <c r="U3571" s="322" t="str">
        <f>HYPERLINK("https://www.ncbi.nlm.nih.gov/pubmed/20701543","PubMed")</f>
        <v>PubMed</v>
      </c>
      <c r="V3571" s="139"/>
      <c r="W3571" s="49"/>
      <c r="X3571" s="49"/>
      <c r="Y3571" s="35"/>
      <c r="Z3571" s="35"/>
      <c r="AA3571" s="35"/>
      <c r="AB3571" s="35"/>
      <c r="AC3571" s="35"/>
      <c r="AD3571" s="35"/>
      <c r="AE3571" s="35"/>
      <c r="AF3571" s="35"/>
      <c r="AG3571" s="35"/>
      <c r="AH3571" s="35"/>
      <c r="AI3571" s="35"/>
      <c r="AJ3571" s="35"/>
      <c r="AK3571" s="35"/>
      <c r="AL3571" s="35"/>
    </row>
    <row r="3572">
      <c r="A3572" s="207"/>
      <c r="B3572" s="19" t="s">
        <v>14099</v>
      </c>
      <c r="C3572" s="20" t="s">
        <v>17015</v>
      </c>
      <c r="D3572" s="47"/>
      <c r="E3572" s="57" t="s">
        <v>1358</v>
      </c>
      <c r="F3572" s="22" t="s">
        <v>41</v>
      </c>
      <c r="G3572" s="57">
        <v>2011.0</v>
      </c>
      <c r="H3572" s="57" t="s">
        <v>91</v>
      </c>
      <c r="I3572" s="134" t="s">
        <v>17216</v>
      </c>
      <c r="J3572" s="23" t="s">
        <v>55</v>
      </c>
      <c r="K3572" s="23"/>
      <c r="L3572" s="36">
        <v>660.0</v>
      </c>
      <c r="M3572" s="36">
        <v>20.0</v>
      </c>
      <c r="N3572" s="36" t="s">
        <v>1185</v>
      </c>
      <c r="O3572" s="129"/>
      <c r="P3572" s="37" t="s">
        <v>432</v>
      </c>
      <c r="Q3572" s="36" t="s">
        <v>830</v>
      </c>
      <c r="R3572" s="36">
        <v>10.0</v>
      </c>
      <c r="S3572" s="36">
        <v>6.0</v>
      </c>
      <c r="T3572" s="83" t="s">
        <v>17217</v>
      </c>
      <c r="U3572" s="322" t="str">
        <f>HYPERLINK("https://www.ncbi.nlm.nih.gov/pubmed/21053039","PubMed")</f>
        <v>PubMed</v>
      </c>
      <c r="V3572" s="139"/>
      <c r="W3572" s="49"/>
      <c r="X3572" s="49"/>
      <c r="Y3572" s="35"/>
      <c r="Z3572" s="35"/>
      <c r="AA3572" s="35"/>
      <c r="AB3572" s="35"/>
      <c r="AC3572" s="35"/>
      <c r="AD3572" s="35"/>
      <c r="AE3572" s="35"/>
      <c r="AF3572" s="35"/>
      <c r="AG3572" s="35"/>
      <c r="AH3572" s="35"/>
      <c r="AI3572" s="35"/>
      <c r="AJ3572" s="35"/>
      <c r="AK3572" s="35"/>
      <c r="AL3572" s="35"/>
    </row>
    <row r="3573">
      <c r="A3573" s="18"/>
      <c r="B3573" s="19" t="s">
        <v>14099</v>
      </c>
      <c r="C3573" s="20" t="s">
        <v>17015</v>
      </c>
      <c r="D3573" s="47"/>
      <c r="E3573" s="57" t="s">
        <v>17005</v>
      </c>
      <c r="F3573" s="22" t="s">
        <v>1203</v>
      </c>
      <c r="G3573" s="57">
        <v>2010.0</v>
      </c>
      <c r="H3573" s="57" t="s">
        <v>16155</v>
      </c>
      <c r="I3573" s="134" t="s">
        <v>17218</v>
      </c>
      <c r="J3573" s="23" t="s">
        <v>55</v>
      </c>
      <c r="K3573" s="23" t="s">
        <v>56</v>
      </c>
      <c r="L3573" s="52" t="s">
        <v>17219</v>
      </c>
      <c r="M3573" s="52"/>
      <c r="N3573" s="200"/>
      <c r="O3573" s="189"/>
      <c r="P3573" s="189"/>
      <c r="Q3573" s="52"/>
      <c r="R3573" s="52">
        <v>300.0</v>
      </c>
      <c r="S3573" s="52"/>
      <c r="T3573" s="83" t="s">
        <v>17220</v>
      </c>
      <c r="U3573" s="322" t="str">
        <f>HYPERLINK("https://www.ncbi.nlm.nih.gov/pubmed/20544483","PubMed")</f>
        <v>PubMed</v>
      </c>
      <c r="V3573" s="136" t="s">
        <v>17221</v>
      </c>
      <c r="W3573" s="49"/>
      <c r="X3573" s="49"/>
      <c r="Y3573" s="35"/>
      <c r="Z3573" s="35"/>
      <c r="AA3573" s="35"/>
      <c r="AB3573" s="35"/>
      <c r="AC3573" s="35"/>
      <c r="AD3573" s="35"/>
      <c r="AE3573" s="35"/>
      <c r="AF3573" s="35"/>
      <c r="AG3573" s="35"/>
      <c r="AH3573" s="35"/>
      <c r="AI3573" s="35"/>
      <c r="AJ3573" s="35"/>
      <c r="AK3573" s="35"/>
      <c r="AL3573" s="35"/>
    </row>
    <row r="3574">
      <c r="A3574" s="207"/>
      <c r="B3574" s="19" t="s">
        <v>14099</v>
      </c>
      <c r="C3574" s="20" t="s">
        <v>17015</v>
      </c>
      <c r="D3574" s="47"/>
      <c r="E3574" s="57" t="s">
        <v>17222</v>
      </c>
      <c r="F3574" s="22" t="s">
        <v>17223</v>
      </c>
      <c r="G3574" s="57">
        <v>2010.0</v>
      </c>
      <c r="H3574" s="57" t="s">
        <v>53</v>
      </c>
      <c r="I3574" s="134" t="s">
        <v>17224</v>
      </c>
      <c r="J3574" s="23" t="s">
        <v>55</v>
      </c>
      <c r="K3574" s="23"/>
      <c r="L3574" s="36">
        <v>670.0</v>
      </c>
      <c r="M3574" s="36"/>
      <c r="N3574" s="36" t="s">
        <v>1439</v>
      </c>
      <c r="O3574" s="129"/>
      <c r="P3574" s="37" t="s">
        <v>254</v>
      </c>
      <c r="Q3574" s="36"/>
      <c r="R3574" s="36"/>
      <c r="S3574" s="36">
        <v>4.0</v>
      </c>
      <c r="T3574" s="83" t="s">
        <v>17225</v>
      </c>
      <c r="U3574" s="322" t="str">
        <f>HYPERLINK("https://www.ncbi.nlm.nih.gov/pubmed/20976806","PubMed")</f>
        <v>PubMed</v>
      </c>
      <c r="V3574" s="139"/>
      <c r="W3574" s="49"/>
      <c r="X3574" s="49"/>
      <c r="Y3574" s="35"/>
      <c r="Z3574" s="35"/>
      <c r="AA3574" s="35"/>
      <c r="AB3574" s="35"/>
      <c r="AC3574" s="35"/>
      <c r="AD3574" s="35"/>
      <c r="AE3574" s="35"/>
      <c r="AF3574" s="35"/>
      <c r="AG3574" s="35"/>
      <c r="AH3574" s="35"/>
      <c r="AI3574" s="35"/>
      <c r="AJ3574" s="35"/>
      <c r="AK3574" s="35"/>
      <c r="AL3574" s="35"/>
    </row>
    <row r="3575">
      <c r="A3575" s="207"/>
      <c r="B3575" s="19" t="s">
        <v>14099</v>
      </c>
      <c r="C3575" s="20" t="s">
        <v>17015</v>
      </c>
      <c r="D3575" s="47"/>
      <c r="E3575" s="57" t="s">
        <v>216</v>
      </c>
      <c r="F3575" s="22" t="s">
        <v>17226</v>
      </c>
      <c r="G3575" s="57">
        <v>2009.0</v>
      </c>
      <c r="H3575" s="57" t="s">
        <v>658</v>
      </c>
      <c r="I3575" s="134" t="s">
        <v>17227</v>
      </c>
      <c r="J3575" s="23" t="s">
        <v>55</v>
      </c>
      <c r="K3575" s="23" t="s">
        <v>17228</v>
      </c>
      <c r="L3575" s="36">
        <v>633.0</v>
      </c>
      <c r="M3575" s="36"/>
      <c r="N3575" s="36"/>
      <c r="O3575" s="129"/>
      <c r="P3575" s="37" t="s">
        <v>17229</v>
      </c>
      <c r="Q3575" s="36"/>
      <c r="R3575" s="36"/>
      <c r="S3575" s="183"/>
      <c r="T3575" s="83" t="s">
        <v>17230</v>
      </c>
      <c r="U3575" s="322" t="str">
        <f>HYPERLINK("https://www.ncbi.nlm.nih.gov/pubmed/19697999","PubMed")</f>
        <v>PubMed</v>
      </c>
      <c r="V3575" s="139"/>
      <c r="W3575" s="49"/>
      <c r="X3575" s="49"/>
      <c r="Y3575" s="35"/>
      <c r="Z3575" s="35"/>
      <c r="AA3575" s="35"/>
      <c r="AB3575" s="35"/>
      <c r="AC3575" s="35"/>
      <c r="AD3575" s="35"/>
      <c r="AE3575" s="35"/>
      <c r="AF3575" s="35"/>
      <c r="AG3575" s="35"/>
      <c r="AH3575" s="35"/>
      <c r="AI3575" s="35"/>
      <c r="AJ3575" s="35"/>
      <c r="AK3575" s="35"/>
      <c r="AL3575" s="35"/>
    </row>
    <row r="3576">
      <c r="A3576" s="207"/>
      <c r="B3576" s="19" t="s">
        <v>14099</v>
      </c>
      <c r="C3576" s="20" t="s">
        <v>17015</v>
      </c>
      <c r="D3576" s="47"/>
      <c r="E3576" s="57" t="s">
        <v>13008</v>
      </c>
      <c r="F3576" s="22" t="s">
        <v>41</v>
      </c>
      <c r="G3576" s="57">
        <v>2008.0</v>
      </c>
      <c r="H3576" s="57" t="s">
        <v>658</v>
      </c>
      <c r="I3576" s="134" t="s">
        <v>17231</v>
      </c>
      <c r="J3576" s="23" t="s">
        <v>55</v>
      </c>
      <c r="K3576" s="23" t="s">
        <v>17232</v>
      </c>
      <c r="L3576" s="36">
        <v>785.0</v>
      </c>
      <c r="M3576" s="36">
        <v>75.0</v>
      </c>
      <c r="N3576" s="36"/>
      <c r="O3576" s="129">
        <v>42553.0</v>
      </c>
      <c r="P3576" s="37"/>
      <c r="Q3576" s="36" t="s">
        <v>16965</v>
      </c>
      <c r="R3576" s="36">
        <v>36.0</v>
      </c>
      <c r="S3576" s="183">
        <v>42461.0</v>
      </c>
      <c r="T3576" s="83" t="s">
        <v>17233</v>
      </c>
      <c r="U3576" s="322" t="str">
        <f>HYPERLINK("https://www.ncbi.nlm.nih.gov/pubmed/18800950","PubMed")</f>
        <v>PubMed</v>
      </c>
      <c r="V3576" s="139"/>
      <c r="W3576" s="49"/>
      <c r="X3576" s="49"/>
      <c r="Y3576" s="35"/>
      <c r="Z3576" s="35"/>
      <c r="AA3576" s="35"/>
      <c r="AB3576" s="35"/>
      <c r="AC3576" s="35"/>
      <c r="AD3576" s="35"/>
      <c r="AE3576" s="35"/>
      <c r="AF3576" s="35"/>
      <c r="AG3576" s="35"/>
      <c r="AH3576" s="35"/>
      <c r="AI3576" s="35"/>
      <c r="AJ3576" s="35"/>
      <c r="AK3576" s="35"/>
      <c r="AL3576" s="35"/>
    </row>
    <row r="3577">
      <c r="A3577" s="207"/>
      <c r="B3577" s="19" t="s">
        <v>14099</v>
      </c>
      <c r="C3577" s="20" t="s">
        <v>17015</v>
      </c>
      <c r="D3577" s="47"/>
      <c r="E3577" s="57" t="s">
        <v>17234</v>
      </c>
      <c r="F3577" s="22" t="s">
        <v>291</v>
      </c>
      <c r="G3577" s="57">
        <v>2006.0</v>
      </c>
      <c r="H3577" s="57" t="s">
        <v>658</v>
      </c>
      <c r="I3577" s="134" t="s">
        <v>17235</v>
      </c>
      <c r="J3577" s="22" t="s">
        <v>125</v>
      </c>
      <c r="K3577" s="23"/>
      <c r="L3577" s="43" t="s">
        <v>17236</v>
      </c>
      <c r="M3577" s="44"/>
      <c r="N3577" s="44"/>
      <c r="O3577" s="44"/>
      <c r="P3577" s="44"/>
      <c r="Q3577" s="44"/>
      <c r="R3577" s="44"/>
      <c r="S3577" s="44"/>
      <c r="T3577" s="45"/>
      <c r="U3577" s="315" t="s">
        <v>61</v>
      </c>
      <c r="V3577" s="139"/>
      <c r="W3577" s="49"/>
      <c r="X3577" s="49"/>
      <c r="Y3577" s="35"/>
      <c r="Z3577" s="35"/>
      <c r="AA3577" s="35"/>
      <c r="AB3577" s="35"/>
      <c r="AC3577" s="35"/>
      <c r="AD3577" s="35"/>
      <c r="AE3577" s="35"/>
      <c r="AF3577" s="35"/>
      <c r="AG3577" s="35"/>
      <c r="AH3577" s="35"/>
      <c r="AI3577" s="35"/>
      <c r="AJ3577" s="35"/>
      <c r="AK3577" s="35"/>
      <c r="AL3577" s="35"/>
    </row>
    <row r="3578">
      <c r="A3578" s="207"/>
      <c r="B3578" s="19" t="s">
        <v>14099</v>
      </c>
      <c r="C3578" s="20" t="s">
        <v>17015</v>
      </c>
      <c r="D3578" s="47"/>
      <c r="E3578" s="57" t="s">
        <v>17237</v>
      </c>
      <c r="F3578" s="22" t="s">
        <v>2346</v>
      </c>
      <c r="G3578" s="57">
        <v>2006.0</v>
      </c>
      <c r="H3578" s="57" t="s">
        <v>17238</v>
      </c>
      <c r="I3578" s="134" t="s">
        <v>17239</v>
      </c>
      <c r="J3578" s="23" t="s">
        <v>55</v>
      </c>
      <c r="K3578" s="23" t="s">
        <v>17240</v>
      </c>
      <c r="L3578" s="36">
        <v>633.0</v>
      </c>
      <c r="M3578" s="36"/>
      <c r="N3578" s="36"/>
      <c r="O3578" s="129"/>
      <c r="P3578" s="37" t="s">
        <v>17241</v>
      </c>
      <c r="Q3578" s="36"/>
      <c r="R3578" s="36"/>
      <c r="S3578" s="36"/>
      <c r="T3578" s="83" t="s">
        <v>17242</v>
      </c>
      <c r="U3578" s="322" t="str">
        <f>HYPERLINK("https://www.ncbi.nlm.nih.gov/pubmed/17062402","PubMed")</f>
        <v>PubMed</v>
      </c>
      <c r="V3578" s="139"/>
      <c r="W3578" s="49"/>
      <c r="X3578" s="49"/>
      <c r="Y3578" s="35"/>
      <c r="Z3578" s="35"/>
      <c r="AA3578" s="35"/>
      <c r="AB3578" s="35"/>
      <c r="AC3578" s="35"/>
      <c r="AD3578" s="35"/>
      <c r="AE3578" s="35"/>
      <c r="AF3578" s="35"/>
      <c r="AG3578" s="35"/>
      <c r="AH3578" s="35"/>
      <c r="AI3578" s="35"/>
      <c r="AJ3578" s="35"/>
      <c r="AK3578" s="35"/>
      <c r="AL3578" s="35"/>
    </row>
    <row r="3579">
      <c r="A3579" s="207"/>
      <c r="B3579" s="19" t="s">
        <v>14099</v>
      </c>
      <c r="C3579" s="20" t="s">
        <v>17015</v>
      </c>
      <c r="D3579" s="47"/>
      <c r="E3579" s="57" t="s">
        <v>5351</v>
      </c>
      <c r="F3579" s="22" t="s">
        <v>400</v>
      </c>
      <c r="G3579" s="57">
        <v>2006.0</v>
      </c>
      <c r="H3579" s="57" t="s">
        <v>53</v>
      </c>
      <c r="I3579" s="134" t="s">
        <v>17243</v>
      </c>
      <c r="J3579" s="23" t="s">
        <v>55</v>
      </c>
      <c r="K3579" s="23"/>
      <c r="L3579" s="36">
        <v>904.0</v>
      </c>
      <c r="M3579" s="36">
        <v>45.0</v>
      </c>
      <c r="N3579" s="36"/>
      <c r="O3579" s="129"/>
      <c r="P3579" s="37" t="s">
        <v>432</v>
      </c>
      <c r="Q3579" s="36" t="s">
        <v>17244</v>
      </c>
      <c r="R3579" s="36">
        <v>35.0</v>
      </c>
      <c r="S3579" s="36"/>
      <c r="T3579" s="83" t="s">
        <v>17245</v>
      </c>
      <c r="U3579" s="322" t="str">
        <f>HYPERLINK("https://www.ncbi.nlm.nih.gov/pubmed/16799998","PubMed")</f>
        <v>PubMed</v>
      </c>
      <c r="V3579" s="139"/>
      <c r="W3579" s="49"/>
      <c r="X3579" s="49"/>
      <c r="Y3579" s="35"/>
      <c r="Z3579" s="35"/>
      <c r="AA3579" s="35"/>
      <c r="AB3579" s="35"/>
      <c r="AC3579" s="35"/>
      <c r="AD3579" s="35"/>
      <c r="AE3579" s="35"/>
      <c r="AF3579" s="35"/>
      <c r="AG3579" s="35"/>
      <c r="AH3579" s="35"/>
      <c r="AI3579" s="35"/>
      <c r="AJ3579" s="35"/>
      <c r="AK3579" s="35"/>
      <c r="AL3579" s="35"/>
    </row>
    <row r="3580">
      <c r="A3580" s="207"/>
      <c r="B3580" s="19" t="s">
        <v>14099</v>
      </c>
      <c r="C3580" s="20" t="s">
        <v>17015</v>
      </c>
      <c r="D3580" s="47"/>
      <c r="E3580" s="57" t="s">
        <v>17246</v>
      </c>
      <c r="F3580" s="22" t="s">
        <v>291</v>
      </c>
      <c r="G3580" s="57">
        <v>2005.0</v>
      </c>
      <c r="H3580" s="57" t="s">
        <v>658</v>
      </c>
      <c r="I3580" s="134" t="s">
        <v>17247</v>
      </c>
      <c r="J3580" s="23" t="s">
        <v>55</v>
      </c>
      <c r="K3580" s="23"/>
      <c r="L3580" s="36">
        <v>810.0</v>
      </c>
      <c r="M3580" s="36">
        <v>400.0</v>
      </c>
      <c r="N3580" s="36"/>
      <c r="O3580" s="129"/>
      <c r="P3580" s="37"/>
      <c r="Q3580" s="36"/>
      <c r="R3580" s="36"/>
      <c r="S3580" s="36"/>
      <c r="T3580" s="83" t="s">
        <v>17248</v>
      </c>
      <c r="U3580" s="322" t="str">
        <f>HYPERLINK("https://www.ncbi.nlm.nih.gov/pubmed/15954814","PubMed")</f>
        <v>PubMed</v>
      </c>
      <c r="V3580" s="139"/>
      <c r="W3580" s="49"/>
      <c r="X3580" s="49"/>
      <c r="Y3580" s="35"/>
      <c r="Z3580" s="35"/>
      <c r="AA3580" s="35"/>
      <c r="AB3580" s="35"/>
      <c r="AC3580" s="35"/>
      <c r="AD3580" s="35"/>
      <c r="AE3580" s="35"/>
      <c r="AF3580" s="35"/>
      <c r="AG3580" s="35"/>
      <c r="AH3580" s="35"/>
      <c r="AI3580" s="35"/>
      <c r="AJ3580" s="35"/>
      <c r="AK3580" s="35"/>
      <c r="AL3580" s="35"/>
    </row>
    <row r="3581">
      <c r="A3581" s="207"/>
      <c r="B3581" s="19" t="s">
        <v>14099</v>
      </c>
      <c r="C3581" s="20" t="s">
        <v>17015</v>
      </c>
      <c r="D3581" s="47"/>
      <c r="E3581" s="57" t="s">
        <v>856</v>
      </c>
      <c r="F3581" s="22" t="s">
        <v>274</v>
      </c>
      <c r="G3581" s="57">
        <v>1999.0</v>
      </c>
      <c r="H3581" s="57" t="s">
        <v>91</v>
      </c>
      <c r="I3581" s="134" t="s">
        <v>17249</v>
      </c>
      <c r="J3581" s="23" t="s">
        <v>44</v>
      </c>
      <c r="K3581" s="23"/>
      <c r="L3581" s="36">
        <v>904.0</v>
      </c>
      <c r="M3581" s="129">
        <v>44682.0</v>
      </c>
      <c r="N3581" s="36" t="s">
        <v>4626</v>
      </c>
      <c r="O3581" s="129"/>
      <c r="P3581" s="37" t="s">
        <v>17250</v>
      </c>
      <c r="Q3581" s="36" t="s">
        <v>9358</v>
      </c>
      <c r="R3581" s="36"/>
      <c r="S3581" s="36"/>
      <c r="T3581" s="82" t="s">
        <v>17251</v>
      </c>
      <c r="U3581" s="315" t="s">
        <v>61</v>
      </c>
      <c r="V3581" s="139"/>
      <c r="W3581" s="49"/>
      <c r="X3581" s="49"/>
      <c r="Y3581" s="35"/>
      <c r="Z3581" s="35"/>
      <c r="AA3581" s="35"/>
      <c r="AB3581" s="35"/>
      <c r="AC3581" s="35"/>
      <c r="AD3581" s="35"/>
      <c r="AE3581" s="35"/>
      <c r="AF3581" s="35"/>
      <c r="AG3581" s="35"/>
      <c r="AH3581" s="35"/>
      <c r="AI3581" s="35"/>
      <c r="AJ3581" s="35"/>
      <c r="AK3581" s="35"/>
      <c r="AL3581" s="35"/>
    </row>
    <row r="3582">
      <c r="A3582" s="207"/>
      <c r="B3582" s="19" t="s">
        <v>14099</v>
      </c>
      <c r="C3582" s="20" t="s">
        <v>17015</v>
      </c>
      <c r="D3582" s="47"/>
      <c r="E3582" s="57" t="s">
        <v>1886</v>
      </c>
      <c r="F3582" s="22" t="s">
        <v>230</v>
      </c>
      <c r="G3582" s="57">
        <v>1998.0</v>
      </c>
      <c r="H3582" s="57" t="s">
        <v>91</v>
      </c>
      <c r="I3582" s="134" t="s">
        <v>17252</v>
      </c>
      <c r="J3582" s="23" t="s">
        <v>253</v>
      </c>
      <c r="K3582" s="23" t="s">
        <v>1112</v>
      </c>
      <c r="L3582" s="36">
        <v>780.0</v>
      </c>
      <c r="M3582" s="36">
        <v>2500.0</v>
      </c>
      <c r="N3582" s="36"/>
      <c r="O3582" s="129"/>
      <c r="P3582" s="37" t="s">
        <v>17253</v>
      </c>
      <c r="Q3582" s="36"/>
      <c r="R3582" s="36"/>
      <c r="S3582" s="36"/>
      <c r="T3582" s="83" t="s">
        <v>17254</v>
      </c>
      <c r="U3582" s="322" t="str">
        <f>HYPERLINK("https://www.ncbi.nlm.nih.gov/pubmed/24710991","PubMed")</f>
        <v>PubMed</v>
      </c>
      <c r="V3582" s="139"/>
      <c r="W3582" s="49"/>
      <c r="X3582" s="49"/>
      <c r="Y3582" s="35"/>
      <c r="Z3582" s="35"/>
      <c r="AA3582" s="35"/>
      <c r="AB3582" s="35"/>
      <c r="AC3582" s="35"/>
      <c r="AD3582" s="35"/>
      <c r="AE3582" s="35"/>
      <c r="AF3582" s="35"/>
      <c r="AG3582" s="35"/>
      <c r="AH3582" s="35"/>
      <c r="AI3582" s="35"/>
      <c r="AJ3582" s="35"/>
      <c r="AK3582" s="35"/>
      <c r="AL3582" s="35"/>
    </row>
    <row r="3583">
      <c r="A3583" s="133"/>
      <c r="B3583" s="19" t="s">
        <v>14099</v>
      </c>
      <c r="C3583" s="20" t="s">
        <v>17015</v>
      </c>
      <c r="D3583" s="47"/>
      <c r="E3583" s="57" t="s">
        <v>17255</v>
      </c>
      <c r="F3583" s="23" t="s">
        <v>291</v>
      </c>
      <c r="G3583" s="57">
        <v>1995.0</v>
      </c>
      <c r="H3583" s="57" t="s">
        <v>17256</v>
      </c>
      <c r="I3583" s="134" t="s">
        <v>17257</v>
      </c>
      <c r="J3583" s="23" t="s">
        <v>17258</v>
      </c>
      <c r="K3583" s="23"/>
      <c r="L3583" s="36">
        <v>633.0</v>
      </c>
      <c r="M3583" s="36">
        <v>6.0</v>
      </c>
      <c r="N3583" s="36"/>
      <c r="O3583" s="36"/>
      <c r="P3583" s="37"/>
      <c r="Q3583" s="36"/>
      <c r="R3583" s="36"/>
      <c r="S3583" s="36"/>
      <c r="T3583" s="83" t="s">
        <v>17259</v>
      </c>
      <c r="U3583" s="248" t="str">
        <f>HYPERLINK("https://www.ncbi.nlm.nih.gov/pubmed/7879917","PubMed")</f>
        <v>PubMed</v>
      </c>
      <c r="V3583" s="139"/>
      <c r="W3583" s="49"/>
      <c r="X3583" s="49"/>
      <c r="Y3583" s="35"/>
      <c r="Z3583" s="35"/>
      <c r="AA3583" s="35"/>
      <c r="AB3583" s="35"/>
      <c r="AC3583" s="35"/>
      <c r="AD3583" s="35"/>
      <c r="AE3583" s="35"/>
      <c r="AF3583" s="35"/>
      <c r="AG3583" s="35"/>
      <c r="AH3583" s="35"/>
      <c r="AI3583" s="35"/>
      <c r="AJ3583" s="35"/>
      <c r="AK3583" s="35"/>
      <c r="AL3583" s="35"/>
    </row>
    <row r="3584">
      <c r="A3584" s="133"/>
      <c r="B3584" s="19" t="s">
        <v>14099</v>
      </c>
      <c r="C3584" s="20" t="s">
        <v>17015</v>
      </c>
      <c r="D3584" s="47"/>
      <c r="E3584" s="57" t="s">
        <v>17255</v>
      </c>
      <c r="F3584" s="23" t="s">
        <v>291</v>
      </c>
      <c r="G3584" s="57">
        <v>1994.0</v>
      </c>
      <c r="H3584" s="57" t="s">
        <v>53</v>
      </c>
      <c r="I3584" s="134" t="s">
        <v>17260</v>
      </c>
      <c r="J3584" s="23" t="s">
        <v>17258</v>
      </c>
      <c r="K3584" s="23" t="s">
        <v>1848</v>
      </c>
      <c r="L3584" s="36"/>
      <c r="M3584" s="36"/>
      <c r="N3584" s="36"/>
      <c r="O3584" s="36"/>
      <c r="P3584" s="37"/>
      <c r="Q3584" s="36"/>
      <c r="R3584" s="36"/>
      <c r="S3584" s="36"/>
      <c r="T3584" s="83" t="s">
        <v>17261</v>
      </c>
      <c r="U3584" s="248" t="str">
        <f>HYPERLINK("https://www.ncbi.nlm.nih.gov/pubmed/8078385","PubMed")</f>
        <v>PubMed</v>
      </c>
      <c r="V3584" s="139"/>
      <c r="W3584" s="49"/>
      <c r="X3584" s="49"/>
      <c r="Y3584" s="35"/>
      <c r="Z3584" s="35"/>
      <c r="AA3584" s="35"/>
      <c r="AB3584" s="35"/>
      <c r="AC3584" s="35"/>
      <c r="AD3584" s="35"/>
      <c r="AE3584" s="35"/>
      <c r="AF3584" s="35"/>
      <c r="AG3584" s="35"/>
      <c r="AH3584" s="35"/>
      <c r="AI3584" s="35"/>
      <c r="AJ3584" s="35"/>
      <c r="AK3584" s="35"/>
      <c r="AL3584" s="35"/>
    </row>
    <row r="3585">
      <c r="A3585" s="133"/>
      <c r="B3585" s="19" t="s">
        <v>14099</v>
      </c>
      <c r="C3585" s="20" t="s">
        <v>17015</v>
      </c>
      <c r="D3585" s="47"/>
      <c r="E3585" s="57" t="s">
        <v>17262</v>
      </c>
      <c r="F3585" s="325"/>
      <c r="G3585" s="57">
        <v>1994.0</v>
      </c>
      <c r="H3585" s="57" t="s">
        <v>17263</v>
      </c>
      <c r="I3585" s="134" t="s">
        <v>17264</v>
      </c>
      <c r="J3585" s="23" t="s">
        <v>17258</v>
      </c>
      <c r="K3585" s="23" t="s">
        <v>6111</v>
      </c>
      <c r="L3585" s="36"/>
      <c r="M3585" s="36"/>
      <c r="N3585" s="36"/>
      <c r="O3585" s="36"/>
      <c r="P3585" s="37"/>
      <c r="Q3585" s="36"/>
      <c r="R3585" s="36"/>
      <c r="S3585" s="36"/>
      <c r="T3585" s="83" t="s">
        <v>17265</v>
      </c>
      <c r="U3585" s="248" t="str">
        <f>HYPERLINK("https://www.ncbi.nlm.nih.gov/pubmed/7534455","PubMed")</f>
        <v>PubMed</v>
      </c>
      <c r="V3585" s="139"/>
      <c r="W3585" s="49"/>
      <c r="X3585" s="49"/>
      <c r="Y3585" s="35"/>
      <c r="Z3585" s="35"/>
      <c r="AA3585" s="35"/>
      <c r="AB3585" s="35"/>
      <c r="AC3585" s="35"/>
      <c r="AD3585" s="35"/>
      <c r="AE3585" s="35"/>
      <c r="AF3585" s="35"/>
      <c r="AG3585" s="35"/>
      <c r="AH3585" s="35"/>
      <c r="AI3585" s="35"/>
      <c r="AJ3585" s="35"/>
      <c r="AK3585" s="35"/>
      <c r="AL3585" s="35"/>
    </row>
    <row r="3586">
      <c r="A3586" s="133"/>
      <c r="B3586" s="19" t="s">
        <v>14099</v>
      </c>
      <c r="C3586" s="20" t="s">
        <v>17015</v>
      </c>
      <c r="D3586" s="47"/>
      <c r="E3586" s="57" t="s">
        <v>17255</v>
      </c>
      <c r="F3586" s="325"/>
      <c r="G3586" s="57">
        <v>1993.0</v>
      </c>
      <c r="H3586" s="57" t="s">
        <v>17256</v>
      </c>
      <c r="I3586" s="134" t="s">
        <v>17266</v>
      </c>
      <c r="J3586" s="23" t="s">
        <v>17258</v>
      </c>
      <c r="K3586" s="23" t="s">
        <v>17267</v>
      </c>
      <c r="L3586" s="36"/>
      <c r="M3586" s="36"/>
      <c r="N3586" s="36"/>
      <c r="O3586" s="36"/>
      <c r="P3586" s="37"/>
      <c r="Q3586" s="36"/>
      <c r="R3586" s="36"/>
      <c r="S3586" s="36"/>
      <c r="T3586" s="83" t="s">
        <v>17268</v>
      </c>
      <c r="U3586" s="248" t="str">
        <f>HYPERLINK("https://www.ncbi.nlm.nih.gov/pubmed/8430907","PubMed")</f>
        <v>PubMed</v>
      </c>
      <c r="V3586" s="139"/>
      <c r="W3586" s="49"/>
      <c r="X3586" s="49"/>
      <c r="Y3586" s="35"/>
      <c r="Z3586" s="35"/>
      <c r="AA3586" s="35"/>
      <c r="AB3586" s="35"/>
      <c r="AC3586" s="35"/>
      <c r="AD3586" s="35"/>
      <c r="AE3586" s="35"/>
      <c r="AF3586" s="35"/>
      <c r="AG3586" s="35"/>
      <c r="AH3586" s="35"/>
      <c r="AI3586" s="35"/>
      <c r="AJ3586" s="35"/>
      <c r="AK3586" s="35"/>
      <c r="AL3586" s="35"/>
    </row>
    <row r="3587">
      <c r="A3587" s="133"/>
      <c r="B3587" s="19" t="s">
        <v>14099</v>
      </c>
      <c r="C3587" s="20" t="s">
        <v>17015</v>
      </c>
      <c r="D3587" s="47"/>
      <c r="E3587" s="57" t="s">
        <v>17269</v>
      </c>
      <c r="F3587" s="325"/>
      <c r="G3587" s="57">
        <v>1992.0</v>
      </c>
      <c r="H3587" s="57" t="s">
        <v>17263</v>
      </c>
      <c r="I3587" s="134" t="s">
        <v>17270</v>
      </c>
      <c r="J3587" s="23" t="s">
        <v>55</v>
      </c>
      <c r="K3587" s="23" t="s">
        <v>17267</v>
      </c>
      <c r="L3587" s="36"/>
      <c r="M3587" s="36"/>
      <c r="N3587" s="36"/>
      <c r="O3587" s="36"/>
      <c r="P3587" s="37"/>
      <c r="Q3587" s="36"/>
      <c r="R3587" s="36"/>
      <c r="S3587" s="36"/>
      <c r="T3587" s="83" t="s">
        <v>17271</v>
      </c>
      <c r="U3587" s="326" t="s">
        <v>61</v>
      </c>
      <c r="V3587" s="139"/>
      <c r="W3587" s="49"/>
      <c r="X3587" s="49"/>
      <c r="Y3587" s="35"/>
      <c r="Z3587" s="35"/>
      <c r="AA3587" s="35"/>
      <c r="AB3587" s="35"/>
      <c r="AC3587" s="35"/>
      <c r="AD3587" s="35"/>
      <c r="AE3587" s="35"/>
      <c r="AF3587" s="35"/>
      <c r="AG3587" s="35"/>
      <c r="AH3587" s="35"/>
      <c r="AI3587" s="35"/>
      <c r="AJ3587" s="35"/>
      <c r="AK3587" s="35"/>
      <c r="AL3587" s="35"/>
    </row>
    <row r="3588">
      <c r="A3588" s="133"/>
      <c r="B3588" s="19" t="s">
        <v>14099</v>
      </c>
      <c r="C3588" s="20" t="s">
        <v>17272</v>
      </c>
      <c r="D3588" s="47"/>
      <c r="E3588" s="57" t="s">
        <v>17273</v>
      </c>
      <c r="F3588" s="23" t="s">
        <v>217</v>
      </c>
      <c r="G3588" s="57">
        <v>1990.0</v>
      </c>
      <c r="H3588" s="57" t="s">
        <v>292</v>
      </c>
      <c r="I3588" s="134" t="s">
        <v>17274</v>
      </c>
      <c r="J3588" s="23" t="s">
        <v>17275</v>
      </c>
      <c r="K3588" s="23"/>
      <c r="L3588" s="36" t="s">
        <v>17276</v>
      </c>
      <c r="M3588" s="36"/>
      <c r="N3588" s="36"/>
      <c r="O3588" s="36"/>
      <c r="P3588" s="37"/>
      <c r="Q3588" s="36"/>
      <c r="R3588" s="36"/>
      <c r="S3588" s="36"/>
      <c r="T3588" s="83" t="s">
        <v>17277</v>
      </c>
      <c r="U3588" s="248" t="str">
        <f>HYPERLINK("https://www.jstage.jst.go.jp/article/islsm/2/3/2_90-OR-10/_article/-char/en","J-STAGE")</f>
        <v>J-STAGE</v>
      </c>
      <c r="V3588" s="139"/>
      <c r="W3588" s="49"/>
      <c r="X3588" s="49"/>
      <c r="Y3588" s="35"/>
      <c r="Z3588" s="35"/>
      <c r="AA3588" s="35"/>
      <c r="AB3588" s="35"/>
      <c r="AC3588" s="35"/>
      <c r="AD3588" s="35"/>
      <c r="AE3588" s="35"/>
      <c r="AF3588" s="35"/>
      <c r="AG3588" s="35"/>
      <c r="AH3588" s="35"/>
      <c r="AI3588" s="35"/>
      <c r="AJ3588" s="35"/>
      <c r="AK3588" s="35"/>
      <c r="AL3588" s="35"/>
    </row>
    <row r="3589">
      <c r="A3589" s="133"/>
      <c r="B3589" s="19" t="s">
        <v>14099</v>
      </c>
      <c r="C3589" s="20" t="s">
        <v>17278</v>
      </c>
      <c r="D3589" s="47"/>
      <c r="E3589" s="57" t="s">
        <v>17279</v>
      </c>
      <c r="F3589" s="23" t="s">
        <v>332</v>
      </c>
      <c r="G3589" s="57">
        <v>2021.0</v>
      </c>
      <c r="H3589" s="57" t="s">
        <v>91</v>
      </c>
      <c r="I3589" s="134" t="s">
        <v>17280</v>
      </c>
      <c r="J3589" s="23" t="s">
        <v>17281</v>
      </c>
      <c r="K3589" s="23" t="s">
        <v>294</v>
      </c>
      <c r="L3589" s="36" t="s">
        <v>943</v>
      </c>
      <c r="M3589" s="36"/>
      <c r="N3589" s="36" t="s">
        <v>17282</v>
      </c>
      <c r="O3589" s="36" t="s">
        <v>17283</v>
      </c>
      <c r="P3589" s="37" t="s">
        <v>17284</v>
      </c>
      <c r="Q3589" s="36"/>
      <c r="R3589" s="36"/>
      <c r="S3589" s="36" t="s">
        <v>4905</v>
      </c>
      <c r="T3589" s="83" t="s">
        <v>17285</v>
      </c>
      <c r="U3589" s="248" t="s">
        <v>61</v>
      </c>
      <c r="V3589" s="139"/>
      <c r="W3589" s="49"/>
      <c r="X3589" s="49"/>
      <c r="Y3589" s="35"/>
      <c r="Z3589" s="35"/>
      <c r="AA3589" s="35"/>
      <c r="AB3589" s="35"/>
      <c r="AC3589" s="35"/>
      <c r="AD3589" s="35"/>
      <c r="AE3589" s="35"/>
      <c r="AF3589" s="35"/>
      <c r="AG3589" s="35"/>
      <c r="AH3589" s="35"/>
      <c r="AI3589" s="35"/>
      <c r="AJ3589" s="35"/>
      <c r="AK3589" s="35"/>
      <c r="AL3589" s="35"/>
    </row>
    <row r="3590">
      <c r="A3590" s="18"/>
      <c r="B3590" s="19" t="s">
        <v>14099</v>
      </c>
      <c r="C3590" s="20" t="s">
        <v>17286</v>
      </c>
      <c r="D3590" s="47"/>
      <c r="E3590" s="22" t="s">
        <v>17287</v>
      </c>
      <c r="F3590" s="23" t="s">
        <v>2196</v>
      </c>
      <c r="G3590" s="23">
        <v>2021.0</v>
      </c>
      <c r="H3590" s="22" t="s">
        <v>42</v>
      </c>
      <c r="I3590" s="24" t="s">
        <v>17288</v>
      </c>
      <c r="J3590" s="22" t="s">
        <v>31</v>
      </c>
      <c r="K3590" s="22" t="s">
        <v>15772</v>
      </c>
      <c r="L3590" s="36">
        <v>980.0</v>
      </c>
      <c r="M3590" s="36"/>
      <c r="N3590" s="36"/>
      <c r="O3590" s="36"/>
      <c r="P3590" s="37" t="s">
        <v>892</v>
      </c>
      <c r="Q3590" s="36"/>
      <c r="R3590" s="36"/>
      <c r="S3590" s="36"/>
      <c r="T3590" s="54" t="s">
        <v>17289</v>
      </c>
      <c r="U3590" s="29" t="s">
        <v>61</v>
      </c>
      <c r="V3590" s="30"/>
      <c r="W3590" s="31"/>
      <c r="X3590" s="31"/>
      <c r="Y3590" s="31"/>
      <c r="Z3590" s="32"/>
      <c r="AA3590" s="31"/>
      <c r="AB3590" s="31"/>
      <c r="AC3590" s="9"/>
      <c r="AD3590" s="31"/>
      <c r="AE3590" s="31"/>
      <c r="AF3590" s="33"/>
      <c r="AG3590" s="34"/>
      <c r="AH3590" s="31"/>
      <c r="AI3590" s="35"/>
      <c r="AJ3590" s="35"/>
      <c r="AK3590" s="35"/>
      <c r="AL3590" s="35"/>
    </row>
    <row r="3591">
      <c r="A3591" s="18"/>
      <c r="B3591" s="19" t="s">
        <v>14099</v>
      </c>
      <c r="C3591" s="20" t="s">
        <v>17286</v>
      </c>
      <c r="D3591" s="47"/>
      <c r="E3591" s="22" t="s">
        <v>2850</v>
      </c>
      <c r="F3591" s="23" t="s">
        <v>41</v>
      </c>
      <c r="G3591" s="23">
        <v>2020.0</v>
      </c>
      <c r="H3591" s="22" t="s">
        <v>4975</v>
      </c>
      <c r="I3591" s="24" t="s">
        <v>17290</v>
      </c>
      <c r="J3591" s="22" t="s">
        <v>31</v>
      </c>
      <c r="K3591" s="22" t="s">
        <v>17291</v>
      </c>
      <c r="L3591" s="36">
        <v>780.0</v>
      </c>
      <c r="M3591" s="36"/>
      <c r="N3591" s="36"/>
      <c r="O3591" s="36"/>
      <c r="P3591" s="37"/>
      <c r="Q3591" s="36"/>
      <c r="R3591" s="36"/>
      <c r="S3591" s="36"/>
      <c r="T3591" s="54" t="s">
        <v>17292</v>
      </c>
      <c r="U3591" s="38" t="str">
        <f>HYPERLINK("https://www.ncbi.nlm.nih.gov/pubmed/31907936","PubMed")</f>
        <v>PubMed</v>
      </c>
      <c r="V3591" s="30"/>
      <c r="W3591" s="31"/>
      <c r="X3591" s="31"/>
      <c r="Y3591" s="31"/>
      <c r="Z3591" s="32"/>
      <c r="AA3591" s="31"/>
      <c r="AB3591" s="31"/>
      <c r="AC3591" s="9"/>
      <c r="AD3591" s="31"/>
      <c r="AE3591" s="31"/>
      <c r="AF3591" s="33"/>
      <c r="AG3591" s="34"/>
      <c r="AH3591" s="31"/>
      <c r="AI3591" s="35"/>
      <c r="AJ3591" s="35"/>
      <c r="AK3591" s="35"/>
      <c r="AL3591" s="35"/>
    </row>
    <row r="3592">
      <c r="A3592" s="18"/>
      <c r="B3592" s="19" t="s">
        <v>14099</v>
      </c>
      <c r="C3592" s="20" t="s">
        <v>17286</v>
      </c>
      <c r="D3592" s="47"/>
      <c r="E3592" s="22" t="s">
        <v>7700</v>
      </c>
      <c r="F3592" s="23" t="s">
        <v>490</v>
      </c>
      <c r="G3592" s="23">
        <v>2018.0</v>
      </c>
      <c r="H3592" s="22" t="s">
        <v>91</v>
      </c>
      <c r="I3592" s="24" t="s">
        <v>17293</v>
      </c>
      <c r="J3592" s="22" t="s">
        <v>31</v>
      </c>
      <c r="K3592" s="22" t="s">
        <v>17294</v>
      </c>
      <c r="L3592" s="36">
        <v>660.0</v>
      </c>
      <c r="M3592" s="36">
        <v>20.0</v>
      </c>
      <c r="N3592" s="36"/>
      <c r="O3592" s="36"/>
      <c r="P3592" s="37" t="s">
        <v>269</v>
      </c>
      <c r="Q3592" s="36" t="s">
        <v>9307</v>
      </c>
      <c r="R3592" s="36" t="s">
        <v>13462</v>
      </c>
      <c r="S3592" s="36"/>
      <c r="T3592" s="54" t="s">
        <v>17295</v>
      </c>
      <c r="U3592" s="38" t="str">
        <f>HYPERLINK("https://www.ncbi.nlm.nih.gov/pubmed/29717386","PubMed")</f>
        <v>PubMed</v>
      </c>
      <c r="V3592" s="30"/>
      <c r="W3592" s="31"/>
      <c r="X3592" s="31"/>
      <c r="Y3592" s="31"/>
      <c r="Z3592" s="32"/>
      <c r="AA3592" s="31"/>
      <c r="AB3592" s="31"/>
      <c r="AC3592" s="9"/>
      <c r="AD3592" s="31"/>
      <c r="AE3592" s="31"/>
      <c r="AF3592" s="33"/>
      <c r="AG3592" s="34"/>
      <c r="AH3592" s="31"/>
      <c r="AI3592" s="35"/>
      <c r="AJ3592" s="35"/>
      <c r="AK3592" s="35"/>
      <c r="AL3592" s="35"/>
    </row>
    <row r="3593">
      <c r="A3593" s="18"/>
      <c r="B3593" s="19" t="s">
        <v>14099</v>
      </c>
      <c r="C3593" s="20" t="s">
        <v>17286</v>
      </c>
      <c r="D3593" s="47"/>
      <c r="E3593" s="22" t="s">
        <v>2316</v>
      </c>
      <c r="F3593" s="23" t="s">
        <v>224</v>
      </c>
      <c r="G3593" s="23">
        <v>2014.0</v>
      </c>
      <c r="H3593" s="22" t="s">
        <v>1000</v>
      </c>
      <c r="I3593" s="24" t="s">
        <v>17296</v>
      </c>
      <c r="J3593" s="22" t="s">
        <v>31</v>
      </c>
      <c r="K3593" s="22"/>
      <c r="L3593" s="36">
        <v>633.0</v>
      </c>
      <c r="M3593" s="36"/>
      <c r="N3593" s="36" t="s">
        <v>4004</v>
      </c>
      <c r="O3593" s="36"/>
      <c r="P3593" s="37"/>
      <c r="Q3593" s="36"/>
      <c r="R3593" s="36"/>
      <c r="S3593" s="36"/>
      <c r="T3593" s="54" t="s">
        <v>17297</v>
      </c>
      <c r="U3593" s="38" t="str">
        <f>HYPERLINK("https://www.hindawi.com/journals/ijp/2014/205839/","Hindawi")</f>
        <v>Hindawi</v>
      </c>
      <c r="V3593" s="30"/>
      <c r="W3593" s="31"/>
      <c r="X3593" s="31"/>
      <c r="Y3593" s="31"/>
      <c r="Z3593" s="32"/>
      <c r="AA3593" s="31"/>
      <c r="AB3593" s="31"/>
      <c r="AC3593" s="9"/>
      <c r="AD3593" s="31"/>
      <c r="AE3593" s="31"/>
      <c r="AF3593" s="33"/>
      <c r="AG3593" s="34"/>
      <c r="AH3593" s="31"/>
      <c r="AI3593" s="35"/>
      <c r="AJ3593" s="35"/>
      <c r="AK3593" s="35"/>
      <c r="AL3593" s="35"/>
    </row>
    <row r="3594">
      <c r="A3594" s="18"/>
      <c r="B3594" s="19" t="s">
        <v>14099</v>
      </c>
      <c r="C3594" s="20" t="s">
        <v>17286</v>
      </c>
      <c r="D3594" s="47"/>
      <c r="E3594" s="22" t="s">
        <v>2316</v>
      </c>
      <c r="F3594" s="23" t="s">
        <v>224</v>
      </c>
      <c r="G3594" s="23">
        <v>2014.0</v>
      </c>
      <c r="H3594" s="22" t="s">
        <v>1000</v>
      </c>
      <c r="I3594" s="24" t="s">
        <v>17298</v>
      </c>
      <c r="J3594" s="22" t="s">
        <v>31</v>
      </c>
      <c r="K3594" s="22"/>
      <c r="L3594" s="36">
        <v>633.0</v>
      </c>
      <c r="M3594" s="36">
        <v>55.0</v>
      </c>
      <c r="N3594" s="36" t="s">
        <v>4004</v>
      </c>
      <c r="O3594" s="36"/>
      <c r="P3594" s="37" t="s">
        <v>17299</v>
      </c>
      <c r="Q3594" s="36"/>
      <c r="R3594" s="36" t="s">
        <v>17300</v>
      </c>
      <c r="S3594" s="36"/>
      <c r="T3594" s="102" t="s">
        <v>17301</v>
      </c>
      <c r="U3594" s="38" t="str">
        <f>HYPERLINK("https://www.hindawi.com/journals/ijp/2014/290765/","Hindawi")</f>
        <v>Hindawi</v>
      </c>
      <c r="V3594" s="30"/>
      <c r="W3594" s="31"/>
      <c r="X3594" s="31"/>
      <c r="Y3594" s="31"/>
      <c r="Z3594" s="32"/>
      <c r="AA3594" s="31"/>
      <c r="AB3594" s="31"/>
      <c r="AC3594" s="9"/>
      <c r="AD3594" s="31"/>
      <c r="AE3594" s="31"/>
      <c r="AF3594" s="33"/>
      <c r="AG3594" s="34"/>
      <c r="AH3594" s="31"/>
      <c r="AI3594" s="35"/>
      <c r="AJ3594" s="35"/>
      <c r="AK3594" s="35"/>
      <c r="AL3594" s="35"/>
    </row>
    <row r="3595">
      <c r="A3595" s="18"/>
      <c r="B3595" s="19" t="s">
        <v>14099</v>
      </c>
      <c r="C3595" s="20" t="s">
        <v>17286</v>
      </c>
      <c r="D3595" s="47"/>
      <c r="E3595" s="22" t="s">
        <v>17302</v>
      </c>
      <c r="F3595" s="23" t="s">
        <v>17303</v>
      </c>
      <c r="G3595" s="23">
        <v>2001.0</v>
      </c>
      <c r="H3595" s="22" t="s">
        <v>5009</v>
      </c>
      <c r="I3595" s="24" t="s">
        <v>17304</v>
      </c>
      <c r="J3595" s="22" t="s">
        <v>31</v>
      </c>
      <c r="K3595" s="22"/>
      <c r="L3595" s="36">
        <v>633.0</v>
      </c>
      <c r="M3595" s="129">
        <v>43224.0</v>
      </c>
      <c r="N3595" s="36"/>
      <c r="O3595" s="36"/>
      <c r="P3595" s="37"/>
      <c r="Q3595" s="36" t="s">
        <v>17305</v>
      </c>
      <c r="R3595" s="36"/>
      <c r="S3595" s="36"/>
      <c r="T3595" s="54" t="s">
        <v>17306</v>
      </c>
      <c r="U3595" s="38" t="str">
        <f>HYPERLINK("https://www.ncbi.nlm.nih.gov/pubmed/11241351","PubMed")</f>
        <v>PubMed</v>
      </c>
      <c r="V3595" s="30"/>
      <c r="W3595" s="31"/>
      <c r="X3595" s="31"/>
      <c r="Y3595" s="31"/>
      <c r="Z3595" s="32"/>
      <c r="AA3595" s="31"/>
      <c r="AB3595" s="31"/>
      <c r="AC3595" s="9"/>
      <c r="AD3595" s="31"/>
      <c r="AE3595" s="31"/>
      <c r="AF3595" s="33"/>
      <c r="AG3595" s="34"/>
      <c r="AH3595" s="31"/>
      <c r="AI3595" s="35"/>
      <c r="AJ3595" s="35"/>
      <c r="AK3595" s="35"/>
      <c r="AL3595" s="35"/>
    </row>
    <row r="3596">
      <c r="A3596" s="207"/>
      <c r="B3596" s="19" t="s">
        <v>14099</v>
      </c>
      <c r="C3596" s="20" t="s">
        <v>17286</v>
      </c>
      <c r="D3596" s="47"/>
      <c r="E3596" s="57" t="s">
        <v>17302</v>
      </c>
      <c r="F3596" s="23" t="s">
        <v>291</v>
      </c>
      <c r="G3596" s="57">
        <v>2008.0</v>
      </c>
      <c r="H3596" s="57" t="s">
        <v>53</v>
      </c>
      <c r="I3596" s="134" t="s">
        <v>17307</v>
      </c>
      <c r="J3596" s="23" t="s">
        <v>31</v>
      </c>
      <c r="K3596" s="23" t="s">
        <v>17308</v>
      </c>
      <c r="L3596" s="36">
        <v>633.0</v>
      </c>
      <c r="M3596" s="129">
        <v>42859.0</v>
      </c>
      <c r="N3596" s="36" t="s">
        <v>1175</v>
      </c>
      <c r="O3596" s="36"/>
      <c r="P3596" s="37" t="s">
        <v>1468</v>
      </c>
      <c r="Q3596" s="36"/>
      <c r="R3596" s="36"/>
      <c r="S3596" s="36"/>
      <c r="T3596" s="83" t="s">
        <v>17309</v>
      </c>
      <c r="U3596" s="312" t="str">
        <f>HYPERLINK("https://www.ncbi.nlm.nih.gov/pubmed/18220266","PubMed")</f>
        <v>PubMed</v>
      </c>
      <c r="V3596" s="139"/>
      <c r="W3596" s="49"/>
      <c r="X3596" s="49"/>
      <c r="Y3596" s="35"/>
      <c r="Z3596" s="35"/>
      <c r="AA3596" s="35"/>
      <c r="AB3596" s="35"/>
      <c r="AC3596" s="35"/>
      <c r="AD3596" s="35"/>
      <c r="AE3596" s="35"/>
      <c r="AF3596" s="35"/>
      <c r="AG3596" s="35"/>
      <c r="AH3596" s="35"/>
      <c r="AI3596" s="35"/>
      <c r="AJ3596" s="35"/>
      <c r="AK3596" s="35"/>
      <c r="AL3596" s="35"/>
    </row>
    <row r="3597">
      <c r="A3597" s="207"/>
      <c r="B3597" s="19" t="s">
        <v>14099</v>
      </c>
      <c r="C3597" s="20" t="s">
        <v>17310</v>
      </c>
      <c r="D3597" s="47"/>
      <c r="E3597" s="57" t="s">
        <v>3827</v>
      </c>
      <c r="F3597" s="23" t="s">
        <v>237</v>
      </c>
      <c r="G3597" s="57">
        <v>2024.0</v>
      </c>
      <c r="H3597" s="57" t="s">
        <v>627</v>
      </c>
      <c r="I3597" s="134" t="s">
        <v>17311</v>
      </c>
      <c r="J3597" s="23" t="s">
        <v>209</v>
      </c>
      <c r="K3597" s="23" t="s">
        <v>157</v>
      </c>
      <c r="L3597" s="36">
        <v>850.0</v>
      </c>
      <c r="M3597" s="129"/>
      <c r="N3597" s="36"/>
      <c r="O3597" s="36"/>
      <c r="P3597" s="37"/>
      <c r="Q3597" s="36"/>
      <c r="R3597" s="36"/>
      <c r="S3597" s="36"/>
      <c r="T3597" s="83" t="s">
        <v>17312</v>
      </c>
      <c r="U3597" s="255" t="s">
        <v>61</v>
      </c>
      <c r="V3597" s="139"/>
      <c r="W3597" s="49"/>
      <c r="X3597" s="49"/>
      <c r="Y3597" s="35"/>
      <c r="Z3597" s="35"/>
      <c r="AA3597" s="35"/>
      <c r="AB3597" s="35"/>
      <c r="AC3597" s="35"/>
      <c r="AD3597" s="35"/>
      <c r="AE3597" s="35"/>
      <c r="AF3597" s="35"/>
      <c r="AG3597" s="35"/>
      <c r="AH3597" s="35"/>
      <c r="AI3597" s="35"/>
      <c r="AJ3597" s="35"/>
      <c r="AK3597" s="35"/>
      <c r="AL3597" s="35"/>
    </row>
    <row r="3598">
      <c r="A3598" s="207"/>
      <c r="B3598" s="19" t="s">
        <v>14099</v>
      </c>
      <c r="C3598" s="20" t="s">
        <v>17310</v>
      </c>
      <c r="D3598" s="47"/>
      <c r="E3598" s="57" t="s">
        <v>17313</v>
      </c>
      <c r="F3598" s="23" t="s">
        <v>237</v>
      </c>
      <c r="G3598" s="57">
        <v>2023.0</v>
      </c>
      <c r="H3598" s="57" t="s">
        <v>3950</v>
      </c>
      <c r="I3598" s="134" t="s">
        <v>17314</v>
      </c>
      <c r="J3598" s="23" t="s">
        <v>31</v>
      </c>
      <c r="K3598" s="23" t="s">
        <v>771</v>
      </c>
      <c r="L3598" s="36" t="s">
        <v>17315</v>
      </c>
      <c r="M3598" s="129"/>
      <c r="N3598" s="36"/>
      <c r="O3598" s="36"/>
      <c r="P3598" s="37" t="s">
        <v>671</v>
      </c>
      <c r="Q3598" s="36"/>
      <c r="R3598" s="36"/>
      <c r="S3598" s="36"/>
      <c r="T3598" s="83" t="s">
        <v>17316</v>
      </c>
      <c r="U3598" s="255" t="s">
        <v>61</v>
      </c>
      <c r="V3598" s="139"/>
      <c r="W3598" s="49"/>
      <c r="X3598" s="49"/>
      <c r="Y3598" s="35"/>
      <c r="Z3598" s="35"/>
      <c r="AA3598" s="35"/>
      <c r="AB3598" s="35"/>
      <c r="AC3598" s="35"/>
      <c r="AD3598" s="35"/>
      <c r="AE3598" s="35"/>
      <c r="AF3598" s="35"/>
      <c r="AG3598" s="35"/>
      <c r="AH3598" s="35"/>
      <c r="AI3598" s="35"/>
      <c r="AJ3598" s="35"/>
      <c r="AK3598" s="35"/>
      <c r="AL3598" s="35"/>
    </row>
    <row r="3599">
      <c r="A3599" s="207"/>
      <c r="B3599" s="19" t="s">
        <v>14099</v>
      </c>
      <c r="C3599" s="20" t="s">
        <v>17310</v>
      </c>
      <c r="D3599" s="47"/>
      <c r="E3599" s="57" t="s">
        <v>3827</v>
      </c>
      <c r="F3599" s="23" t="s">
        <v>237</v>
      </c>
      <c r="G3599" s="57">
        <v>2023.0</v>
      </c>
      <c r="H3599" s="57" t="s">
        <v>17317</v>
      </c>
      <c r="I3599" s="134" t="s">
        <v>17318</v>
      </c>
      <c r="J3599" s="23" t="s">
        <v>31</v>
      </c>
      <c r="K3599" s="23" t="s">
        <v>17319</v>
      </c>
      <c r="L3599" s="36"/>
      <c r="M3599" s="129"/>
      <c r="N3599" s="36"/>
      <c r="O3599" s="36"/>
      <c r="P3599" s="37"/>
      <c r="Q3599" s="36"/>
      <c r="R3599" s="36"/>
      <c r="S3599" s="36"/>
      <c r="T3599" s="83" t="s">
        <v>17320</v>
      </c>
      <c r="U3599" s="255" t="s">
        <v>61</v>
      </c>
      <c r="V3599" s="139"/>
      <c r="W3599" s="49"/>
      <c r="X3599" s="49"/>
      <c r="Y3599" s="35"/>
      <c r="Z3599" s="35"/>
      <c r="AA3599" s="35"/>
      <c r="AB3599" s="35"/>
      <c r="AC3599" s="35"/>
      <c r="AD3599" s="35"/>
      <c r="AE3599" s="35"/>
      <c r="AF3599" s="35"/>
      <c r="AG3599" s="35"/>
      <c r="AH3599" s="35"/>
      <c r="AI3599" s="35"/>
      <c r="AJ3599" s="35"/>
      <c r="AK3599" s="35"/>
      <c r="AL3599" s="35"/>
    </row>
    <row r="3600">
      <c r="A3600" s="207"/>
      <c r="B3600" s="19" t="s">
        <v>14099</v>
      </c>
      <c r="C3600" s="20" t="s">
        <v>17310</v>
      </c>
      <c r="D3600" s="47"/>
      <c r="E3600" s="57" t="s">
        <v>17321</v>
      </c>
      <c r="F3600" s="23" t="s">
        <v>41</v>
      </c>
      <c r="G3600" s="57">
        <v>2023.0</v>
      </c>
      <c r="H3600" s="57" t="s">
        <v>77</v>
      </c>
      <c r="I3600" s="134" t="s">
        <v>17322</v>
      </c>
      <c r="J3600" s="23" t="s">
        <v>31</v>
      </c>
      <c r="K3600" s="23"/>
      <c r="L3600" s="36"/>
      <c r="M3600" s="129"/>
      <c r="N3600" s="36"/>
      <c r="O3600" s="36" t="s">
        <v>17323</v>
      </c>
      <c r="P3600" s="37"/>
      <c r="Q3600" s="36"/>
      <c r="R3600" s="36"/>
      <c r="S3600" s="36"/>
      <c r="T3600" s="83" t="s">
        <v>17324</v>
      </c>
      <c r="U3600" s="255" t="s">
        <v>61</v>
      </c>
      <c r="V3600" s="139"/>
      <c r="W3600" s="49"/>
      <c r="X3600" s="49"/>
      <c r="Y3600" s="35"/>
      <c r="Z3600" s="35"/>
      <c r="AA3600" s="35"/>
      <c r="AB3600" s="35"/>
      <c r="AC3600" s="35"/>
      <c r="AD3600" s="35"/>
      <c r="AE3600" s="35"/>
      <c r="AF3600" s="35"/>
      <c r="AG3600" s="35"/>
      <c r="AH3600" s="35"/>
      <c r="AI3600" s="35"/>
      <c r="AJ3600" s="35"/>
      <c r="AK3600" s="35"/>
      <c r="AL3600" s="35"/>
    </row>
    <row r="3601">
      <c r="A3601" s="18"/>
      <c r="B3601" s="19" t="s">
        <v>14099</v>
      </c>
      <c r="C3601" s="20" t="s">
        <v>17310</v>
      </c>
      <c r="D3601" s="47"/>
      <c r="E3601" s="57" t="s">
        <v>2482</v>
      </c>
      <c r="F3601" s="23" t="s">
        <v>2702</v>
      </c>
      <c r="G3601" s="57">
        <v>2023.0</v>
      </c>
      <c r="H3601" s="57" t="s">
        <v>77</v>
      </c>
      <c r="I3601" s="134" t="s">
        <v>17325</v>
      </c>
      <c r="J3601" s="22" t="s">
        <v>202</v>
      </c>
      <c r="K3601" s="23"/>
      <c r="L3601" s="43"/>
      <c r="M3601" s="44"/>
      <c r="N3601" s="44"/>
      <c r="O3601" s="44"/>
      <c r="P3601" s="44"/>
      <c r="Q3601" s="44"/>
      <c r="R3601" s="44"/>
      <c r="S3601" s="44"/>
      <c r="T3601" s="45"/>
      <c r="U3601" s="255" t="s">
        <v>61</v>
      </c>
      <c r="V3601" s="139"/>
      <c r="W3601" s="49"/>
      <c r="X3601" s="49"/>
      <c r="Y3601" s="35"/>
      <c r="Z3601" s="35"/>
      <c r="AA3601" s="35"/>
      <c r="AB3601" s="35"/>
      <c r="AC3601" s="35"/>
      <c r="AD3601" s="35"/>
      <c r="AE3601" s="35"/>
      <c r="AF3601" s="35"/>
      <c r="AG3601" s="35"/>
      <c r="AH3601" s="35"/>
      <c r="AI3601" s="35"/>
      <c r="AJ3601" s="35"/>
      <c r="AK3601" s="35"/>
      <c r="AL3601" s="35"/>
    </row>
    <row r="3602">
      <c r="A3602" s="18"/>
      <c r="B3602" s="19" t="s">
        <v>14099</v>
      </c>
      <c r="C3602" s="20" t="s">
        <v>17310</v>
      </c>
      <c r="D3602" s="47"/>
      <c r="E3602" s="57" t="s">
        <v>17326</v>
      </c>
      <c r="F3602" s="23" t="s">
        <v>605</v>
      </c>
      <c r="G3602" s="57">
        <v>2022.0</v>
      </c>
      <c r="H3602" s="57" t="s">
        <v>91</v>
      </c>
      <c r="I3602" s="134" t="s">
        <v>17327</v>
      </c>
      <c r="J3602" s="23" t="s">
        <v>44</v>
      </c>
      <c r="K3602" s="23"/>
      <c r="L3602" s="36" t="s">
        <v>1773</v>
      </c>
      <c r="M3602" s="36"/>
      <c r="N3602" s="36"/>
      <c r="O3602" s="36"/>
      <c r="P3602" s="37"/>
      <c r="Q3602" s="36"/>
      <c r="R3602" s="36"/>
      <c r="S3602" s="36"/>
      <c r="T3602" s="83" t="s">
        <v>17328</v>
      </c>
      <c r="U3602" s="248" t="s">
        <v>61</v>
      </c>
      <c r="V3602" s="139"/>
      <c r="W3602" s="49"/>
      <c r="X3602" s="49"/>
      <c r="Y3602" s="35"/>
      <c r="Z3602" s="35"/>
      <c r="AA3602" s="35"/>
      <c r="AB3602" s="35"/>
      <c r="AC3602" s="35"/>
      <c r="AD3602" s="35"/>
      <c r="AE3602" s="35"/>
      <c r="AF3602" s="35"/>
      <c r="AG3602" s="35"/>
      <c r="AH3602" s="35"/>
      <c r="AI3602" s="35"/>
      <c r="AJ3602" s="35"/>
      <c r="AK3602" s="35"/>
      <c r="AL3602" s="35"/>
    </row>
    <row r="3603">
      <c r="A3603" s="18"/>
      <c r="B3603" s="19" t="s">
        <v>14099</v>
      </c>
      <c r="C3603" s="20" t="s">
        <v>17310</v>
      </c>
      <c r="D3603" s="47"/>
      <c r="E3603" s="57" t="s">
        <v>17313</v>
      </c>
      <c r="F3603" s="23" t="s">
        <v>237</v>
      </c>
      <c r="G3603" s="57">
        <v>2022.0</v>
      </c>
      <c r="H3603" s="57" t="s">
        <v>3950</v>
      </c>
      <c r="I3603" s="134" t="s">
        <v>17329</v>
      </c>
      <c r="J3603" s="23" t="s">
        <v>31</v>
      </c>
      <c r="K3603" s="23"/>
      <c r="L3603" s="36" t="s">
        <v>17315</v>
      </c>
      <c r="M3603" s="36"/>
      <c r="N3603" s="36"/>
      <c r="O3603" s="36"/>
      <c r="P3603" s="37"/>
      <c r="Q3603" s="36"/>
      <c r="R3603" s="36"/>
      <c r="S3603" s="36"/>
      <c r="T3603" s="83" t="s">
        <v>17330</v>
      </c>
      <c r="U3603" s="248" t="s">
        <v>61</v>
      </c>
      <c r="V3603" s="139"/>
      <c r="W3603" s="49"/>
      <c r="X3603" s="49"/>
      <c r="Y3603" s="35"/>
      <c r="Z3603" s="35"/>
      <c r="AA3603" s="35"/>
      <c r="AB3603" s="35"/>
      <c r="AC3603" s="35"/>
      <c r="AD3603" s="35"/>
      <c r="AE3603" s="35"/>
      <c r="AF3603" s="35"/>
      <c r="AG3603" s="35"/>
      <c r="AH3603" s="35"/>
      <c r="AI3603" s="35"/>
      <c r="AJ3603" s="35"/>
      <c r="AK3603" s="35"/>
      <c r="AL3603" s="35"/>
    </row>
    <row r="3604">
      <c r="A3604" s="18"/>
      <c r="B3604" s="19" t="s">
        <v>14099</v>
      </c>
      <c r="C3604" s="20" t="s">
        <v>17310</v>
      </c>
      <c r="D3604" s="47"/>
      <c r="E3604" s="57" t="s">
        <v>12585</v>
      </c>
      <c r="F3604" s="23" t="s">
        <v>16233</v>
      </c>
      <c r="G3604" s="57">
        <v>2020.0</v>
      </c>
      <c r="H3604" s="57" t="s">
        <v>627</v>
      </c>
      <c r="I3604" s="134" t="s">
        <v>17331</v>
      </c>
      <c r="J3604" s="23" t="s">
        <v>44</v>
      </c>
      <c r="K3604" s="23" t="s">
        <v>17332</v>
      </c>
      <c r="L3604" s="36" t="s">
        <v>194</v>
      </c>
      <c r="M3604" s="36"/>
      <c r="N3604" s="36"/>
      <c r="O3604" s="36"/>
      <c r="P3604" s="37"/>
      <c r="Q3604" s="36"/>
      <c r="R3604" s="36"/>
      <c r="S3604" s="36"/>
      <c r="T3604" s="83" t="s">
        <v>17333</v>
      </c>
      <c r="U3604" s="248" t="s">
        <v>61</v>
      </c>
      <c r="V3604" s="139"/>
      <c r="W3604" s="49"/>
      <c r="X3604" s="49"/>
      <c r="Y3604" s="35"/>
      <c r="Z3604" s="35"/>
      <c r="AA3604" s="35"/>
      <c r="AB3604" s="35"/>
      <c r="AC3604" s="35"/>
      <c r="AD3604" s="35"/>
      <c r="AE3604" s="35"/>
      <c r="AF3604" s="35"/>
      <c r="AG3604" s="35"/>
      <c r="AH3604" s="35"/>
      <c r="AI3604" s="35"/>
      <c r="AJ3604" s="35"/>
      <c r="AK3604" s="35"/>
      <c r="AL3604" s="35"/>
    </row>
    <row r="3605">
      <c r="A3605" s="18"/>
      <c r="B3605" s="19" t="s">
        <v>14099</v>
      </c>
      <c r="C3605" s="20" t="s">
        <v>17310</v>
      </c>
      <c r="D3605" s="47"/>
      <c r="E3605" s="57" t="s">
        <v>17334</v>
      </c>
      <c r="F3605" s="23" t="s">
        <v>237</v>
      </c>
      <c r="G3605" s="57">
        <v>2019.0</v>
      </c>
      <c r="H3605" s="57" t="s">
        <v>4975</v>
      </c>
      <c r="I3605" s="134" t="s">
        <v>17335</v>
      </c>
      <c r="J3605" s="23" t="s">
        <v>44</v>
      </c>
      <c r="K3605" s="23" t="s">
        <v>17336</v>
      </c>
      <c r="L3605" s="36">
        <v>830.0</v>
      </c>
      <c r="M3605" s="36">
        <v>30.0</v>
      </c>
      <c r="N3605" s="36" t="s">
        <v>6326</v>
      </c>
      <c r="O3605" s="36" t="s">
        <v>1468</v>
      </c>
      <c r="P3605" s="37" t="s">
        <v>969</v>
      </c>
      <c r="Q3605" s="36" t="s">
        <v>12376</v>
      </c>
      <c r="R3605" s="36">
        <v>20.0</v>
      </c>
      <c r="S3605" s="36">
        <v>6.0</v>
      </c>
      <c r="T3605" s="83" t="s">
        <v>17337</v>
      </c>
      <c r="U3605" s="312" t="str">
        <f>HYPERLINK("https://www.ncbi.nlm.nih.gov/pubmed/31733143","PubMed")</f>
        <v>PubMed</v>
      </c>
      <c r="V3605" s="139"/>
      <c r="W3605" s="49"/>
      <c r="X3605" s="49"/>
      <c r="Y3605" s="35"/>
      <c r="Z3605" s="35"/>
      <c r="AA3605" s="35"/>
      <c r="AB3605" s="35"/>
      <c r="AC3605" s="35"/>
      <c r="AD3605" s="35"/>
      <c r="AE3605" s="35"/>
      <c r="AF3605" s="35"/>
      <c r="AG3605" s="35"/>
      <c r="AH3605" s="35"/>
      <c r="AI3605" s="35"/>
      <c r="AJ3605" s="35"/>
      <c r="AK3605" s="35"/>
      <c r="AL3605" s="35"/>
    </row>
    <row r="3606">
      <c r="A3606" s="18" t="s">
        <v>17338</v>
      </c>
      <c r="B3606" s="19" t="s">
        <v>14099</v>
      </c>
      <c r="C3606" s="20" t="s">
        <v>17310</v>
      </c>
      <c r="D3606" s="47"/>
      <c r="E3606" s="57" t="s">
        <v>15806</v>
      </c>
      <c r="F3606" s="23" t="s">
        <v>41</v>
      </c>
      <c r="G3606" s="57" t="s">
        <v>90</v>
      </c>
      <c r="H3606" s="57" t="s">
        <v>91</v>
      </c>
      <c r="I3606" s="134" t="s">
        <v>17339</v>
      </c>
      <c r="J3606" s="23" t="s">
        <v>44</v>
      </c>
      <c r="K3606" s="23" t="s">
        <v>17340</v>
      </c>
      <c r="L3606" s="36" t="s">
        <v>16449</v>
      </c>
      <c r="M3606" s="36"/>
      <c r="N3606" s="36"/>
      <c r="O3606" s="36" t="s">
        <v>1408</v>
      </c>
      <c r="P3606" s="37"/>
      <c r="Q3606" s="36"/>
      <c r="R3606" s="36"/>
      <c r="S3606" s="36"/>
      <c r="T3606" s="83" t="s">
        <v>17341</v>
      </c>
      <c r="U3606" s="312" t="str">
        <f>HYPERLINK("https://www.ncbi.nlm.nih.gov/pubmed/29209866","PubMed")</f>
        <v>PubMed</v>
      </c>
      <c r="V3606" s="139"/>
      <c r="W3606" s="49"/>
      <c r="X3606" s="49"/>
      <c r="Y3606" s="35"/>
      <c r="Z3606" s="35"/>
      <c r="AA3606" s="35"/>
      <c r="AB3606" s="35"/>
      <c r="AC3606" s="35"/>
      <c r="AD3606" s="35"/>
      <c r="AE3606" s="35"/>
      <c r="AF3606" s="35"/>
      <c r="AG3606" s="35"/>
      <c r="AH3606" s="35"/>
      <c r="AI3606" s="35"/>
      <c r="AJ3606" s="35"/>
      <c r="AK3606" s="35"/>
      <c r="AL3606" s="35"/>
    </row>
    <row r="3607">
      <c r="A3607" s="207"/>
      <c r="B3607" s="19" t="s">
        <v>14099</v>
      </c>
      <c r="C3607" s="20" t="s">
        <v>17310</v>
      </c>
      <c r="D3607" s="47"/>
      <c r="E3607" s="57" t="s">
        <v>17342</v>
      </c>
      <c r="F3607" s="23" t="s">
        <v>17343</v>
      </c>
      <c r="G3607" s="57" t="s">
        <v>90</v>
      </c>
      <c r="H3607" s="57" t="s">
        <v>91</v>
      </c>
      <c r="I3607" s="134" t="s">
        <v>17344</v>
      </c>
      <c r="J3607" s="23" t="s">
        <v>55</v>
      </c>
      <c r="K3607" s="23" t="s">
        <v>17345</v>
      </c>
      <c r="L3607" s="36" t="s">
        <v>5640</v>
      </c>
      <c r="M3607" s="36" t="s">
        <v>12111</v>
      </c>
      <c r="N3607" s="36" t="s">
        <v>17346</v>
      </c>
      <c r="O3607" s="36"/>
      <c r="P3607" s="37" t="s">
        <v>17347</v>
      </c>
      <c r="Q3607" s="36" t="s">
        <v>17348</v>
      </c>
      <c r="R3607" s="36" t="s">
        <v>17349</v>
      </c>
      <c r="S3607" s="36" t="s">
        <v>17350</v>
      </c>
      <c r="T3607" s="83" t="s">
        <v>17351</v>
      </c>
      <c r="U3607" s="312" t="str">
        <f>HYPERLINK("https://www.ncbi.nlm.nih.gov/pubmed/28280999","PubMed")</f>
        <v>PubMed</v>
      </c>
      <c r="V3607" s="139"/>
      <c r="W3607" s="49"/>
      <c r="X3607" s="49"/>
      <c r="Y3607" s="35"/>
      <c r="Z3607" s="35"/>
      <c r="AA3607" s="35"/>
      <c r="AB3607" s="35"/>
      <c r="AC3607" s="35"/>
      <c r="AD3607" s="35"/>
      <c r="AE3607" s="35"/>
      <c r="AF3607" s="35"/>
      <c r="AG3607" s="35"/>
      <c r="AH3607" s="35"/>
      <c r="AI3607" s="35"/>
      <c r="AJ3607" s="35"/>
      <c r="AK3607" s="35"/>
      <c r="AL3607" s="35"/>
    </row>
    <row r="3608">
      <c r="A3608" s="207"/>
      <c r="B3608" s="19" t="s">
        <v>14099</v>
      </c>
      <c r="C3608" s="20" t="s">
        <v>17310</v>
      </c>
      <c r="D3608" s="47"/>
      <c r="E3608" s="57" t="s">
        <v>17352</v>
      </c>
      <c r="F3608" s="22" t="s">
        <v>490</v>
      </c>
      <c r="G3608" s="57" t="s">
        <v>90</v>
      </c>
      <c r="H3608" s="57" t="s">
        <v>207</v>
      </c>
      <c r="I3608" s="134" t="s">
        <v>17353</v>
      </c>
      <c r="J3608" s="23" t="s">
        <v>55</v>
      </c>
      <c r="K3608" s="23" t="s">
        <v>17354</v>
      </c>
      <c r="L3608" s="36">
        <v>904.0</v>
      </c>
      <c r="M3608" s="36">
        <v>50.0</v>
      </c>
      <c r="N3608" s="36" t="s">
        <v>360</v>
      </c>
      <c r="O3608" s="36" t="s">
        <v>17355</v>
      </c>
      <c r="P3608" s="37"/>
      <c r="Q3608" s="36" t="s">
        <v>9307</v>
      </c>
      <c r="R3608" s="36" t="s">
        <v>17356</v>
      </c>
      <c r="S3608" s="36">
        <v>5.0</v>
      </c>
      <c r="T3608" s="83" t="s">
        <v>17357</v>
      </c>
      <c r="U3608" s="312" t="str">
        <f>HYPERLINK("http://www.sciencedirect.com/science/article/pii/S1011134416307734","ScienceDirect")</f>
        <v>ScienceDirect</v>
      </c>
      <c r="V3608" s="139"/>
      <c r="W3608" s="49"/>
      <c r="X3608" s="49"/>
      <c r="Y3608" s="35"/>
      <c r="Z3608" s="35"/>
      <c r="AA3608" s="35"/>
      <c r="AB3608" s="35"/>
      <c r="AC3608" s="35"/>
      <c r="AD3608" s="35"/>
      <c r="AE3608" s="35"/>
      <c r="AF3608" s="35"/>
      <c r="AG3608" s="35"/>
      <c r="AH3608" s="35"/>
      <c r="AI3608" s="35"/>
      <c r="AJ3608" s="35"/>
      <c r="AK3608" s="35"/>
      <c r="AL3608" s="35"/>
    </row>
    <row r="3609">
      <c r="A3609" s="207"/>
      <c r="B3609" s="19" t="s">
        <v>14099</v>
      </c>
      <c r="C3609" s="20" t="s">
        <v>17310</v>
      </c>
      <c r="D3609" s="47"/>
      <c r="E3609" s="57" t="s">
        <v>577</v>
      </c>
      <c r="F3609" s="23" t="s">
        <v>237</v>
      </c>
      <c r="G3609" s="57">
        <v>2015.0</v>
      </c>
      <c r="H3609" s="57" t="s">
        <v>627</v>
      </c>
      <c r="I3609" s="134" t="s">
        <v>17358</v>
      </c>
      <c r="J3609" s="23" t="s">
        <v>31</v>
      </c>
      <c r="K3609" s="23" t="s">
        <v>17359</v>
      </c>
      <c r="L3609" s="36">
        <v>830.0</v>
      </c>
      <c r="M3609" s="36"/>
      <c r="N3609" s="36"/>
      <c r="O3609" s="36"/>
      <c r="P3609" s="37" t="s">
        <v>432</v>
      </c>
      <c r="Q3609" s="36"/>
      <c r="R3609" s="36"/>
      <c r="S3609" s="36"/>
      <c r="T3609" s="83" t="s">
        <v>17360</v>
      </c>
      <c r="U3609" s="312" t="str">
        <f>HYPERLINK("https://www.ncbi.nlm.nih.gov/pubmed/26083527","PubMed")</f>
        <v>PubMed</v>
      </c>
      <c r="V3609" s="139"/>
      <c r="W3609" s="49"/>
      <c r="X3609" s="49"/>
      <c r="Y3609" s="35"/>
      <c r="Z3609" s="35"/>
      <c r="AA3609" s="35"/>
      <c r="AB3609" s="35"/>
      <c r="AC3609" s="35"/>
      <c r="AD3609" s="35"/>
      <c r="AE3609" s="35"/>
      <c r="AF3609" s="35"/>
      <c r="AG3609" s="35"/>
      <c r="AH3609" s="35"/>
      <c r="AI3609" s="35"/>
      <c r="AJ3609" s="35"/>
      <c r="AK3609" s="35"/>
      <c r="AL3609" s="35"/>
    </row>
    <row r="3610">
      <c r="A3610" s="207"/>
      <c r="B3610" s="19" t="s">
        <v>14099</v>
      </c>
      <c r="C3610" s="20" t="s">
        <v>17310</v>
      </c>
      <c r="D3610" s="47"/>
      <c r="E3610" s="57" t="s">
        <v>88</v>
      </c>
      <c r="F3610" s="22" t="s">
        <v>41</v>
      </c>
      <c r="G3610" s="57">
        <v>2015.0</v>
      </c>
      <c r="H3610" s="57" t="s">
        <v>91</v>
      </c>
      <c r="I3610" s="134" t="s">
        <v>17361</v>
      </c>
      <c r="J3610" s="23" t="s">
        <v>44</v>
      </c>
      <c r="K3610" s="23" t="s">
        <v>17362</v>
      </c>
      <c r="L3610" s="36">
        <v>808.0</v>
      </c>
      <c r="M3610" s="36">
        <v>30.0</v>
      </c>
      <c r="N3610" s="36">
        <v>1071.0</v>
      </c>
      <c r="O3610" s="36">
        <v>3.0</v>
      </c>
      <c r="P3610" s="37" t="s">
        <v>3556</v>
      </c>
      <c r="Q3610" s="36" t="s">
        <v>280</v>
      </c>
      <c r="R3610" s="36">
        <v>100.0</v>
      </c>
      <c r="S3610" s="36">
        <v>3.0</v>
      </c>
      <c r="T3610" s="83" t="s">
        <v>17363</v>
      </c>
      <c r="U3610" s="312" t="str">
        <f>HYPERLINK("https://www.ncbi.nlm.nih.gov/pubmed/26076829","PubMed")</f>
        <v>PubMed</v>
      </c>
      <c r="V3610" s="139"/>
      <c r="W3610" s="49"/>
      <c r="X3610" s="49"/>
      <c r="Y3610" s="35"/>
      <c r="Z3610" s="35"/>
      <c r="AA3610" s="35"/>
      <c r="AB3610" s="35"/>
      <c r="AC3610" s="35"/>
      <c r="AD3610" s="35"/>
      <c r="AE3610" s="35"/>
      <c r="AF3610" s="35"/>
      <c r="AG3610" s="35"/>
      <c r="AH3610" s="35"/>
      <c r="AI3610" s="35"/>
      <c r="AJ3610" s="35"/>
      <c r="AK3610" s="35"/>
      <c r="AL3610" s="35"/>
    </row>
    <row r="3611">
      <c r="A3611" s="207" t="s">
        <v>17364</v>
      </c>
      <c r="B3611" s="19" t="s">
        <v>14099</v>
      </c>
      <c r="C3611" s="20" t="s">
        <v>17310</v>
      </c>
      <c r="D3611" s="47"/>
      <c r="E3611" s="57" t="s">
        <v>16093</v>
      </c>
      <c r="F3611" s="23" t="s">
        <v>17365</v>
      </c>
      <c r="G3611" s="57">
        <v>2014.0</v>
      </c>
      <c r="H3611" s="57" t="s">
        <v>627</v>
      </c>
      <c r="I3611" s="134" t="s">
        <v>17366</v>
      </c>
      <c r="J3611" s="23" t="s">
        <v>44</v>
      </c>
      <c r="K3611" s="23" t="s">
        <v>17362</v>
      </c>
      <c r="L3611" s="36">
        <v>904.0</v>
      </c>
      <c r="M3611" s="36">
        <v>15.0</v>
      </c>
      <c r="N3611" s="36" t="s">
        <v>7964</v>
      </c>
      <c r="O3611" s="36" t="s">
        <v>17367</v>
      </c>
      <c r="P3611" s="37" t="s">
        <v>17368</v>
      </c>
      <c r="Q3611" s="36" t="s">
        <v>17369</v>
      </c>
      <c r="R3611" s="36">
        <v>67.0</v>
      </c>
      <c r="S3611" s="36">
        <v>70.0</v>
      </c>
      <c r="T3611" s="83" t="s">
        <v>17370</v>
      </c>
      <c r="U3611" s="312" t="str">
        <f>HYPERLINK("https://www.ncbi.nlm.nih.gov/pubmed/24599021/","PubMed")</f>
        <v>PubMed</v>
      </c>
      <c r="V3611" s="139"/>
      <c r="W3611" s="49"/>
      <c r="X3611" s="49"/>
      <c r="Y3611" s="35"/>
      <c r="Z3611" s="35"/>
      <c r="AA3611" s="35"/>
      <c r="AB3611" s="35"/>
      <c r="AC3611" s="35"/>
      <c r="AD3611" s="35"/>
      <c r="AE3611" s="35"/>
      <c r="AF3611" s="35"/>
      <c r="AG3611" s="35"/>
      <c r="AH3611" s="35"/>
      <c r="AI3611" s="35"/>
      <c r="AJ3611" s="35"/>
      <c r="AK3611" s="35"/>
      <c r="AL3611" s="35"/>
    </row>
    <row r="3612">
      <c r="A3612" s="133"/>
      <c r="B3612" s="19" t="s">
        <v>14099</v>
      </c>
      <c r="C3612" s="20" t="s">
        <v>17310</v>
      </c>
      <c r="D3612" s="47"/>
      <c r="E3612" s="57" t="s">
        <v>17371</v>
      </c>
      <c r="F3612" s="23" t="s">
        <v>17343</v>
      </c>
      <c r="G3612" s="57">
        <v>2011.0</v>
      </c>
      <c r="H3612" s="57" t="s">
        <v>292</v>
      </c>
      <c r="I3612" s="134" t="s">
        <v>17372</v>
      </c>
      <c r="J3612" s="23" t="s">
        <v>55</v>
      </c>
      <c r="K3612" s="23" t="s">
        <v>17373</v>
      </c>
      <c r="L3612" s="36" t="s">
        <v>5640</v>
      </c>
      <c r="M3612" s="36" t="s">
        <v>12111</v>
      </c>
      <c r="N3612" s="36"/>
      <c r="O3612" s="36"/>
      <c r="P3612" s="37" t="s">
        <v>17347</v>
      </c>
      <c r="Q3612" s="36"/>
      <c r="R3612" s="36" t="s">
        <v>17349</v>
      </c>
      <c r="S3612" s="36" t="s">
        <v>1208</v>
      </c>
      <c r="T3612" s="83" t="s">
        <v>17374</v>
      </c>
      <c r="U3612" s="312" t="str">
        <f>HYPERLINK("https://www.ncbi.nlm.nih.gov/pubmed/24155539","PubMed")</f>
        <v>PubMed</v>
      </c>
      <c r="V3612" s="139"/>
      <c r="W3612" s="49"/>
      <c r="X3612" s="49"/>
      <c r="Y3612" s="35"/>
      <c r="Z3612" s="35"/>
      <c r="AA3612" s="35"/>
      <c r="AB3612" s="35"/>
      <c r="AC3612" s="35"/>
      <c r="AD3612" s="35"/>
      <c r="AE3612" s="35"/>
      <c r="AF3612" s="35"/>
      <c r="AG3612" s="35"/>
      <c r="AH3612" s="35"/>
      <c r="AI3612" s="35"/>
      <c r="AJ3612" s="35"/>
      <c r="AK3612" s="35"/>
      <c r="AL3612" s="35"/>
    </row>
    <row r="3613">
      <c r="A3613" s="133"/>
      <c r="B3613" s="19" t="s">
        <v>14099</v>
      </c>
      <c r="C3613" s="20" t="s">
        <v>17310</v>
      </c>
      <c r="D3613" s="47"/>
      <c r="E3613" s="57" t="s">
        <v>17342</v>
      </c>
      <c r="F3613" s="23" t="s">
        <v>17343</v>
      </c>
      <c r="G3613" s="57">
        <v>2010.0</v>
      </c>
      <c r="H3613" s="57" t="s">
        <v>53</v>
      </c>
      <c r="I3613" s="134" t="s">
        <v>17375</v>
      </c>
      <c r="J3613" s="23" t="s">
        <v>55</v>
      </c>
      <c r="K3613" s="23" t="s">
        <v>17373</v>
      </c>
      <c r="L3613" s="36" t="s">
        <v>5640</v>
      </c>
      <c r="M3613" s="36" t="s">
        <v>12111</v>
      </c>
      <c r="N3613" s="36"/>
      <c r="O3613" s="36"/>
      <c r="P3613" s="37" t="s">
        <v>17347</v>
      </c>
      <c r="Q3613" s="36"/>
      <c r="R3613" s="36" t="s">
        <v>17349</v>
      </c>
      <c r="S3613" s="36" t="s">
        <v>17350</v>
      </c>
      <c r="T3613" s="83" t="s">
        <v>17376</v>
      </c>
      <c r="U3613" s="312" t="str">
        <f>HYPERLINK("https://www.ncbi.nlm.nih.gov/pubmed/20662035","PubMed")</f>
        <v>PubMed</v>
      </c>
      <c r="V3613" s="139"/>
      <c r="W3613" s="49"/>
      <c r="X3613" s="49"/>
      <c r="Y3613" s="35"/>
      <c r="Z3613" s="35"/>
      <c r="AA3613" s="35"/>
      <c r="AB3613" s="35"/>
      <c r="AC3613" s="35"/>
      <c r="AD3613" s="35"/>
      <c r="AE3613" s="35"/>
      <c r="AF3613" s="35"/>
      <c r="AG3613" s="35"/>
      <c r="AH3613" s="35"/>
      <c r="AI3613" s="35"/>
      <c r="AJ3613" s="35"/>
      <c r="AK3613" s="35"/>
      <c r="AL3613" s="35"/>
    </row>
    <row r="3614">
      <c r="A3614" s="133"/>
      <c r="B3614" s="75" t="s">
        <v>14099</v>
      </c>
      <c r="C3614" s="76" t="s">
        <v>17377</v>
      </c>
      <c r="D3614" s="47"/>
      <c r="E3614" s="57" t="s">
        <v>17378</v>
      </c>
      <c r="F3614" s="22" t="s">
        <v>17379</v>
      </c>
      <c r="G3614" s="57">
        <v>2019.0</v>
      </c>
      <c r="H3614" s="57" t="s">
        <v>15835</v>
      </c>
      <c r="I3614" s="134" t="s">
        <v>17380</v>
      </c>
      <c r="J3614" s="23" t="s">
        <v>17381</v>
      </c>
      <c r="K3614" s="23"/>
      <c r="L3614" s="36">
        <v>830.0</v>
      </c>
      <c r="M3614" s="36"/>
      <c r="N3614" s="36"/>
      <c r="O3614" s="36">
        <v>180.0</v>
      </c>
      <c r="P3614" s="37"/>
      <c r="Q3614" s="36"/>
      <c r="R3614" s="36"/>
      <c r="S3614" s="36">
        <v>1.0</v>
      </c>
      <c r="T3614" s="84" t="s">
        <v>17382</v>
      </c>
      <c r="U3614" s="312" t="str">
        <f>HYPERLINK("https://www.ncbi.nlm.nih.gov/pubmed/31890228","PubMed")</f>
        <v>PubMed</v>
      </c>
      <c r="V3614" s="139"/>
      <c r="W3614" s="49"/>
      <c r="X3614" s="49"/>
      <c r="Y3614" s="35"/>
      <c r="Z3614" s="35"/>
      <c r="AA3614" s="35"/>
      <c r="AB3614" s="35"/>
      <c r="AC3614" s="35"/>
      <c r="AD3614" s="35"/>
      <c r="AE3614" s="35"/>
      <c r="AF3614" s="35"/>
      <c r="AG3614" s="35"/>
      <c r="AH3614" s="35"/>
      <c r="AI3614" s="35"/>
      <c r="AJ3614" s="35"/>
      <c r="AK3614" s="35"/>
      <c r="AL3614" s="35"/>
    </row>
    <row r="3615">
      <c r="A3615" s="133"/>
      <c r="B3615" s="19" t="s">
        <v>14099</v>
      </c>
      <c r="C3615" s="20" t="s">
        <v>17383</v>
      </c>
      <c r="D3615" s="47"/>
      <c r="E3615" s="57" t="s">
        <v>17302</v>
      </c>
      <c r="F3615" s="23" t="s">
        <v>17303</v>
      </c>
      <c r="G3615" s="57">
        <v>2003.0</v>
      </c>
      <c r="H3615" s="57" t="s">
        <v>14537</v>
      </c>
      <c r="I3615" s="134" t="s">
        <v>17384</v>
      </c>
      <c r="J3615" s="23" t="s">
        <v>31</v>
      </c>
      <c r="K3615" s="23"/>
      <c r="L3615" s="36"/>
      <c r="M3615" s="36"/>
      <c r="N3615" s="36"/>
      <c r="O3615" s="36"/>
      <c r="P3615" s="37"/>
      <c r="Q3615" s="36"/>
      <c r="R3615" s="36"/>
      <c r="S3615" s="36"/>
      <c r="T3615" s="83" t="s">
        <v>17385</v>
      </c>
      <c r="U3615" s="312" t="str">
        <f>HYPERLINK("https://www.ncbi.nlm.nih.gov/pubmed/12581857","PubMed")</f>
        <v>PubMed</v>
      </c>
      <c r="V3615" s="139"/>
      <c r="W3615" s="49"/>
      <c r="X3615" s="49"/>
      <c r="Y3615" s="35"/>
      <c r="Z3615" s="35"/>
      <c r="AA3615" s="35"/>
      <c r="AB3615" s="35"/>
      <c r="AC3615" s="35"/>
      <c r="AD3615" s="35"/>
      <c r="AE3615" s="35"/>
      <c r="AF3615" s="35"/>
      <c r="AG3615" s="35"/>
      <c r="AH3615" s="35"/>
      <c r="AI3615" s="35"/>
      <c r="AJ3615" s="35"/>
      <c r="AK3615" s="35"/>
      <c r="AL3615" s="35"/>
    </row>
    <row r="3616">
      <c r="A3616" s="1"/>
      <c r="B3616" s="19" t="s">
        <v>14099</v>
      </c>
      <c r="C3616" s="20" t="s">
        <v>2036</v>
      </c>
      <c r="D3616" s="47"/>
      <c r="E3616" s="22" t="s">
        <v>17386</v>
      </c>
      <c r="F3616" s="22" t="s">
        <v>41</v>
      </c>
      <c r="G3616" s="23">
        <v>2015.0</v>
      </c>
      <c r="H3616" s="22" t="s">
        <v>658</v>
      </c>
      <c r="I3616" s="24" t="s">
        <v>17387</v>
      </c>
      <c r="J3616" s="22" t="s">
        <v>3289</v>
      </c>
      <c r="L3616" s="105" t="s">
        <v>17388</v>
      </c>
      <c r="M3616" s="44"/>
      <c r="N3616" s="44"/>
      <c r="O3616" s="44"/>
      <c r="P3616" s="44"/>
      <c r="Q3616" s="44"/>
      <c r="R3616" s="44"/>
      <c r="S3616" s="44"/>
      <c r="T3616" s="45"/>
      <c r="U3616" s="38" t="str">
        <f>HYPERLINK("https://www.ncbi.nlm.nih.gov/pubmed/25654277","PubMed")</f>
        <v>PubMed</v>
      </c>
      <c r="V3616" s="30"/>
      <c r="W3616" s="31"/>
      <c r="X3616" s="31"/>
      <c r="Y3616" s="31"/>
      <c r="Z3616" s="32"/>
      <c r="AA3616" s="31"/>
      <c r="AB3616" s="31"/>
      <c r="AC3616" s="9"/>
      <c r="AD3616" s="31"/>
      <c r="AE3616" s="31"/>
      <c r="AF3616" s="33"/>
      <c r="AG3616" s="34"/>
      <c r="AH3616" s="31"/>
      <c r="AI3616" s="35"/>
      <c r="AJ3616" s="35"/>
      <c r="AK3616" s="35"/>
      <c r="AL3616" s="35"/>
    </row>
    <row r="3617">
      <c r="A3617" s="18"/>
      <c r="B3617" s="19" t="s">
        <v>14099</v>
      </c>
      <c r="C3617" s="20" t="s">
        <v>17389</v>
      </c>
      <c r="D3617" s="47"/>
      <c r="E3617" s="22" t="s">
        <v>13241</v>
      </c>
      <c r="F3617" s="22" t="s">
        <v>530</v>
      </c>
      <c r="G3617" s="23">
        <v>2018.0</v>
      </c>
      <c r="H3617" s="22" t="s">
        <v>17390</v>
      </c>
      <c r="I3617" s="24" t="s">
        <v>17391</v>
      </c>
      <c r="J3617" s="22" t="s">
        <v>17392</v>
      </c>
      <c r="K3617" s="22"/>
      <c r="L3617" s="36">
        <v>808.0</v>
      </c>
      <c r="M3617" s="36">
        <v>100.0</v>
      </c>
      <c r="N3617" s="36" t="s">
        <v>16013</v>
      </c>
      <c r="O3617" s="36" t="s">
        <v>17393</v>
      </c>
      <c r="P3617" s="37" t="s">
        <v>1071</v>
      </c>
      <c r="Q3617" s="36" t="s">
        <v>17394</v>
      </c>
      <c r="R3617" s="36"/>
      <c r="S3617" s="36" t="s">
        <v>2680</v>
      </c>
      <c r="T3617" s="102" t="s">
        <v>17395</v>
      </c>
      <c r="U3617" s="38" t="str">
        <f>HYPERLINK("http://www.scielo.br/scielo.php?script=sci_arttext&amp;pid=S0103-51502018000100206","SciELO")</f>
        <v>SciELO</v>
      </c>
      <c r="V3617" s="30"/>
      <c r="W3617" s="31"/>
      <c r="X3617" s="31"/>
      <c r="Y3617" s="31"/>
      <c r="Z3617" s="32"/>
      <c r="AA3617" s="31"/>
      <c r="AB3617" s="31"/>
      <c r="AC3617" s="9"/>
      <c r="AD3617" s="31"/>
      <c r="AE3617" s="31"/>
      <c r="AF3617" s="33"/>
      <c r="AG3617" s="34"/>
      <c r="AH3617" s="31"/>
      <c r="AI3617" s="35"/>
      <c r="AJ3617" s="35"/>
      <c r="AK3617" s="35"/>
      <c r="AL3617" s="35"/>
    </row>
    <row r="3618">
      <c r="A3618" s="18" t="s">
        <v>2</v>
      </c>
      <c r="B3618" s="19" t="s">
        <v>14099</v>
      </c>
      <c r="C3618" s="20" t="s">
        <v>17389</v>
      </c>
      <c r="D3618" s="47"/>
      <c r="E3618" s="22" t="s">
        <v>1689</v>
      </c>
      <c r="F3618" s="22" t="s">
        <v>65</v>
      </c>
      <c r="G3618" s="23">
        <v>2014.0</v>
      </c>
      <c r="H3618" s="22" t="s">
        <v>1000</v>
      </c>
      <c r="I3618" s="24" t="s">
        <v>17396</v>
      </c>
      <c r="J3618" s="22" t="s">
        <v>55</v>
      </c>
      <c r="K3618" s="22"/>
      <c r="L3618" s="36">
        <v>810.0</v>
      </c>
      <c r="M3618" s="36"/>
      <c r="N3618" s="36" t="s">
        <v>17397</v>
      </c>
      <c r="O3618" s="36"/>
      <c r="P3618" s="37" t="s">
        <v>1400</v>
      </c>
      <c r="Q3618" s="36" t="s">
        <v>901</v>
      </c>
      <c r="R3618" s="36">
        <v>30.0</v>
      </c>
      <c r="S3618" s="36"/>
      <c r="T3618" s="54" t="s">
        <v>17398</v>
      </c>
      <c r="U3618" s="38" t="str">
        <f>HYPERLINK("https://www.hindawi.com/journals/ijp/2014/384816/","Hindawi")</f>
        <v>Hindawi</v>
      </c>
      <c r="V3618" s="30"/>
      <c r="W3618" s="31"/>
      <c r="X3618" s="31"/>
      <c r="Y3618" s="31"/>
      <c r="Z3618" s="32"/>
      <c r="AA3618" s="31"/>
      <c r="AB3618" s="31"/>
      <c r="AC3618" s="9"/>
      <c r="AD3618" s="31"/>
      <c r="AE3618" s="31"/>
      <c r="AF3618" s="33"/>
      <c r="AG3618" s="34"/>
      <c r="AH3618" s="31"/>
      <c r="AI3618" s="35"/>
      <c r="AJ3618" s="35"/>
      <c r="AK3618" s="35"/>
      <c r="AL3618" s="35"/>
    </row>
    <row r="3619">
      <c r="A3619" s="18" t="s">
        <v>2</v>
      </c>
      <c r="B3619" s="19" t="s">
        <v>14099</v>
      </c>
      <c r="C3619" s="20" t="s">
        <v>17389</v>
      </c>
      <c r="D3619" s="47"/>
      <c r="E3619" s="22" t="s">
        <v>17399</v>
      </c>
      <c r="F3619" s="22" t="s">
        <v>1102</v>
      </c>
      <c r="G3619" s="23">
        <v>2013.0</v>
      </c>
      <c r="H3619" s="22" t="s">
        <v>91</v>
      </c>
      <c r="I3619" s="24" t="s">
        <v>17400</v>
      </c>
      <c r="J3619" s="22" t="s">
        <v>55</v>
      </c>
      <c r="K3619" s="22" t="s">
        <v>17401</v>
      </c>
      <c r="L3619" s="36">
        <v>850.0</v>
      </c>
      <c r="M3619" s="36">
        <v>100.0</v>
      </c>
      <c r="N3619" s="36"/>
      <c r="O3619" s="36"/>
      <c r="P3619" s="37" t="s">
        <v>279</v>
      </c>
      <c r="Q3619" s="36" t="s">
        <v>840</v>
      </c>
      <c r="R3619" s="36">
        <v>600.0</v>
      </c>
      <c r="S3619" s="36"/>
      <c r="T3619" s="54" t="s">
        <v>17402</v>
      </c>
      <c r="U3619" s="38" t="str">
        <f>HYPERLINK("https://www.ncbi.nlm.nih.gov/pubmed/23307440","PubMed")</f>
        <v>PubMed</v>
      </c>
      <c r="V3619" s="30"/>
      <c r="W3619" s="31"/>
      <c r="X3619" s="31"/>
      <c r="Y3619" s="31"/>
      <c r="Z3619" s="32"/>
      <c r="AA3619" s="31"/>
      <c r="AB3619" s="31"/>
      <c r="AC3619" s="9"/>
      <c r="AD3619" s="31"/>
      <c r="AE3619" s="31"/>
      <c r="AF3619" s="33"/>
      <c r="AG3619" s="34"/>
      <c r="AH3619" s="31"/>
      <c r="AI3619" s="35"/>
      <c r="AJ3619" s="35"/>
      <c r="AK3619" s="35"/>
      <c r="AL3619" s="35"/>
    </row>
    <row r="3620">
      <c r="A3620" s="18"/>
      <c r="B3620" s="19" t="s">
        <v>14099</v>
      </c>
      <c r="C3620" s="20" t="s">
        <v>17403</v>
      </c>
      <c r="D3620" s="47"/>
      <c r="E3620" s="22" t="s">
        <v>17302</v>
      </c>
      <c r="F3620" s="22" t="s">
        <v>17303</v>
      </c>
      <c r="G3620" s="23">
        <v>2002.0</v>
      </c>
      <c r="H3620" s="22" t="s">
        <v>17404</v>
      </c>
      <c r="I3620" s="24" t="s">
        <v>17405</v>
      </c>
      <c r="J3620" s="22" t="s">
        <v>31</v>
      </c>
      <c r="K3620" s="22"/>
      <c r="L3620" s="36">
        <v>633.0</v>
      </c>
      <c r="M3620" s="129">
        <v>43224.0</v>
      </c>
      <c r="N3620" s="36"/>
      <c r="O3620" s="36"/>
      <c r="P3620" s="37"/>
      <c r="Q3620" s="36" t="s">
        <v>17406</v>
      </c>
      <c r="R3620" s="36"/>
      <c r="S3620" s="36"/>
      <c r="T3620" s="54" t="s">
        <v>17407</v>
      </c>
      <c r="U3620" s="38" t="str">
        <f>HYPERLINK("https://www.ncbi.nlm.nih.gov/pubmed/11896194","PubMed")</f>
        <v>PubMed</v>
      </c>
      <c r="V3620" s="30"/>
      <c r="W3620" s="31"/>
      <c r="X3620" s="31"/>
      <c r="Y3620" s="31"/>
      <c r="Z3620" s="32"/>
      <c r="AA3620" s="31"/>
      <c r="AB3620" s="31"/>
      <c r="AC3620" s="9"/>
      <c r="AD3620" s="31"/>
      <c r="AE3620" s="31"/>
      <c r="AF3620" s="33"/>
      <c r="AG3620" s="34"/>
      <c r="AH3620" s="31"/>
      <c r="AI3620" s="35"/>
      <c r="AJ3620" s="35"/>
      <c r="AK3620" s="35"/>
      <c r="AL3620" s="35"/>
    </row>
    <row r="3621">
      <c r="A3621" s="18"/>
      <c r="B3621" s="19" t="s">
        <v>14099</v>
      </c>
      <c r="C3621" s="20" t="s">
        <v>17403</v>
      </c>
      <c r="D3621" s="47"/>
      <c r="E3621" s="22" t="s">
        <v>17408</v>
      </c>
      <c r="F3621" s="22" t="s">
        <v>17303</v>
      </c>
      <c r="G3621" s="23">
        <v>1999.0</v>
      </c>
      <c r="H3621" s="22" t="s">
        <v>14537</v>
      </c>
      <c r="I3621" s="24" t="s">
        <v>17409</v>
      </c>
      <c r="J3621" s="22" t="s">
        <v>31</v>
      </c>
      <c r="K3621" s="22"/>
      <c r="L3621" s="36">
        <v>633.0</v>
      </c>
      <c r="M3621" s="36"/>
      <c r="N3621" s="36"/>
      <c r="O3621" s="36"/>
      <c r="P3621" s="37"/>
      <c r="Q3621" s="36"/>
      <c r="R3621" s="36"/>
      <c r="S3621" s="36"/>
      <c r="T3621" s="54" t="s">
        <v>17410</v>
      </c>
      <c r="U3621" s="38" t="str">
        <f>HYPERLINK("https://www.ncbi.nlm.nih.gov/pubmed/9990289","PubMed")</f>
        <v>PubMed</v>
      </c>
      <c r="V3621" s="30"/>
      <c r="W3621" s="31"/>
      <c r="X3621" s="31"/>
      <c r="Y3621" s="31"/>
      <c r="Z3621" s="32"/>
      <c r="AA3621" s="31"/>
      <c r="AB3621" s="31"/>
      <c r="AC3621" s="9"/>
      <c r="AD3621" s="31"/>
      <c r="AE3621" s="31"/>
      <c r="AF3621" s="33"/>
      <c r="AG3621" s="34"/>
      <c r="AH3621" s="31"/>
      <c r="AI3621" s="35"/>
      <c r="AJ3621" s="35"/>
      <c r="AK3621" s="35"/>
      <c r="AL3621" s="35"/>
    </row>
    <row r="3622">
      <c r="A3622" s="18"/>
      <c r="B3622" s="19" t="s">
        <v>14099</v>
      </c>
      <c r="C3622" s="20" t="s">
        <v>17411</v>
      </c>
      <c r="D3622" s="47"/>
      <c r="E3622" s="22" t="s">
        <v>17412</v>
      </c>
      <c r="F3622" s="22" t="s">
        <v>17413</v>
      </c>
      <c r="G3622" s="23">
        <v>2024.0</v>
      </c>
      <c r="H3622" s="22" t="s">
        <v>91</v>
      </c>
      <c r="I3622" s="24" t="s">
        <v>17414</v>
      </c>
      <c r="J3622" s="22" t="s">
        <v>17415</v>
      </c>
      <c r="K3622" s="22"/>
      <c r="L3622" s="36">
        <v>780.0</v>
      </c>
      <c r="M3622" s="36"/>
      <c r="N3622" s="36" t="s">
        <v>17106</v>
      </c>
      <c r="O3622" s="36" t="s">
        <v>17416</v>
      </c>
      <c r="P3622" s="37" t="s">
        <v>17417</v>
      </c>
      <c r="Q3622" s="36" t="s">
        <v>17418</v>
      </c>
      <c r="R3622" s="36"/>
      <c r="S3622" s="36" t="s">
        <v>17419</v>
      </c>
      <c r="T3622" s="54" t="s">
        <v>17420</v>
      </c>
      <c r="U3622" s="38" t="s">
        <v>61</v>
      </c>
      <c r="V3622" s="30"/>
      <c r="W3622" s="31"/>
      <c r="X3622" s="31"/>
      <c r="Y3622" s="31"/>
      <c r="Z3622" s="32"/>
      <c r="AA3622" s="31"/>
      <c r="AB3622" s="31"/>
      <c r="AC3622" s="9"/>
      <c r="AD3622" s="31"/>
      <c r="AE3622" s="31"/>
      <c r="AF3622" s="33"/>
      <c r="AG3622" s="34"/>
      <c r="AH3622" s="31"/>
      <c r="AI3622" s="35"/>
      <c r="AJ3622" s="35"/>
      <c r="AK3622" s="35"/>
      <c r="AL3622" s="35"/>
    </row>
    <row r="3623">
      <c r="A3623" s="18"/>
      <c r="B3623" s="19" t="s">
        <v>14099</v>
      </c>
      <c r="C3623" s="20" t="s">
        <v>17411</v>
      </c>
      <c r="D3623" s="47"/>
      <c r="E3623" s="22" t="s">
        <v>992</v>
      </c>
      <c r="F3623" s="22" t="s">
        <v>41</v>
      </c>
      <c r="G3623" s="23">
        <v>2023.0</v>
      </c>
      <c r="H3623" s="22" t="s">
        <v>91</v>
      </c>
      <c r="I3623" s="24" t="s">
        <v>17421</v>
      </c>
      <c r="J3623" s="22" t="s">
        <v>17422</v>
      </c>
      <c r="K3623" s="22"/>
      <c r="L3623" s="36" t="s">
        <v>17423</v>
      </c>
      <c r="M3623" s="36">
        <v>300.0</v>
      </c>
      <c r="N3623" s="36"/>
      <c r="O3623" s="36">
        <v>36.0</v>
      </c>
      <c r="P3623" s="37"/>
      <c r="Q3623" s="36"/>
      <c r="R3623" s="36"/>
      <c r="S3623" s="36" t="s">
        <v>8494</v>
      </c>
      <c r="T3623" s="102" t="s">
        <v>17424</v>
      </c>
      <c r="U3623" s="38" t="s">
        <v>61</v>
      </c>
      <c r="V3623" s="30"/>
      <c r="W3623" s="31"/>
      <c r="X3623" s="31"/>
      <c r="Y3623" s="31"/>
      <c r="Z3623" s="32"/>
      <c r="AA3623" s="31"/>
      <c r="AB3623" s="31"/>
      <c r="AC3623" s="9"/>
      <c r="AD3623" s="31"/>
      <c r="AE3623" s="31"/>
      <c r="AF3623" s="33"/>
      <c r="AG3623" s="34"/>
      <c r="AH3623" s="31"/>
      <c r="AI3623" s="35"/>
      <c r="AJ3623" s="35"/>
      <c r="AK3623" s="35"/>
      <c r="AL3623" s="35"/>
    </row>
    <row r="3624">
      <c r="A3624" s="18"/>
      <c r="B3624" s="19" t="s">
        <v>14099</v>
      </c>
      <c r="C3624" s="20" t="s">
        <v>17411</v>
      </c>
      <c r="D3624" s="47"/>
      <c r="E3624" s="22" t="s">
        <v>17425</v>
      </c>
      <c r="F3624" s="22" t="s">
        <v>510</v>
      </c>
      <c r="G3624" s="23">
        <v>2021.0</v>
      </c>
      <c r="H3624" s="22" t="s">
        <v>1000</v>
      </c>
      <c r="I3624" s="24" t="s">
        <v>17426</v>
      </c>
      <c r="J3624" s="22" t="s">
        <v>125</v>
      </c>
      <c r="K3624" s="22"/>
      <c r="L3624" s="195" t="s">
        <v>17427</v>
      </c>
      <c r="M3624" s="44"/>
      <c r="N3624" s="44"/>
      <c r="O3624" s="44"/>
      <c r="P3624" s="44"/>
      <c r="Q3624" s="44"/>
      <c r="R3624" s="44"/>
      <c r="S3624" s="44"/>
      <c r="T3624" s="45"/>
      <c r="U3624" s="29" t="s">
        <v>6736</v>
      </c>
      <c r="V3624" s="30"/>
      <c r="W3624" s="31"/>
      <c r="X3624" s="31"/>
      <c r="Y3624" s="31"/>
      <c r="Z3624" s="32"/>
      <c r="AA3624" s="31"/>
      <c r="AB3624" s="31"/>
      <c r="AC3624" s="9"/>
      <c r="AD3624" s="31"/>
      <c r="AE3624" s="31"/>
      <c r="AF3624" s="33"/>
      <c r="AG3624" s="34"/>
      <c r="AH3624" s="31"/>
      <c r="AI3624" s="35"/>
      <c r="AJ3624" s="35"/>
      <c r="AK3624" s="35"/>
      <c r="AL3624" s="35"/>
    </row>
    <row r="3625">
      <c r="A3625" s="18"/>
      <c r="B3625" s="19" t="s">
        <v>14099</v>
      </c>
      <c r="C3625" s="20" t="s">
        <v>17411</v>
      </c>
      <c r="D3625" s="47"/>
      <c r="E3625" s="22" t="s">
        <v>17412</v>
      </c>
      <c r="F3625" s="22" t="s">
        <v>510</v>
      </c>
      <c r="G3625" s="23">
        <v>2019.0</v>
      </c>
      <c r="H3625" s="22" t="s">
        <v>91</v>
      </c>
      <c r="I3625" s="24" t="s">
        <v>17428</v>
      </c>
      <c r="J3625" s="22" t="s">
        <v>17429</v>
      </c>
      <c r="K3625" s="22"/>
      <c r="L3625" s="36">
        <v>808.0</v>
      </c>
      <c r="M3625" s="36">
        <v>100.0</v>
      </c>
      <c r="N3625" s="36"/>
      <c r="O3625" s="36" t="s">
        <v>271</v>
      </c>
      <c r="P3625" s="37" t="s">
        <v>17430</v>
      </c>
      <c r="Q3625" s="36"/>
      <c r="R3625" s="36"/>
      <c r="S3625" s="36" t="s">
        <v>4730</v>
      </c>
      <c r="T3625" s="102" t="s">
        <v>17431</v>
      </c>
      <c r="U3625" s="38" t="str">
        <f>HYPERLINK("https://www.ncbi.nlm.nih.gov/pubmed/31823135","PubMed")</f>
        <v>PubMed</v>
      </c>
      <c r="V3625" s="30"/>
      <c r="W3625" s="31"/>
      <c r="X3625" s="31"/>
      <c r="Y3625" s="31"/>
      <c r="Z3625" s="32"/>
      <c r="AA3625" s="31"/>
      <c r="AB3625" s="31"/>
      <c r="AC3625" s="9"/>
      <c r="AD3625" s="31"/>
      <c r="AE3625" s="31"/>
      <c r="AF3625" s="33"/>
      <c r="AG3625" s="34"/>
      <c r="AH3625" s="31"/>
      <c r="AI3625" s="35"/>
      <c r="AJ3625" s="35"/>
      <c r="AK3625" s="35"/>
      <c r="AL3625" s="35"/>
    </row>
    <row r="3626">
      <c r="A3626" s="18"/>
      <c r="B3626" s="19" t="s">
        <v>14099</v>
      </c>
      <c r="C3626" s="20" t="s">
        <v>17411</v>
      </c>
      <c r="D3626" s="47"/>
      <c r="E3626" s="22" t="s">
        <v>17412</v>
      </c>
      <c r="F3626" s="22" t="s">
        <v>510</v>
      </c>
      <c r="G3626" s="23">
        <v>2016.0</v>
      </c>
      <c r="H3626" s="22" t="s">
        <v>91</v>
      </c>
      <c r="I3626" s="24" t="s">
        <v>17432</v>
      </c>
      <c r="J3626" s="22" t="s">
        <v>17433</v>
      </c>
      <c r="K3626" s="22" t="s">
        <v>17434</v>
      </c>
      <c r="L3626" s="36">
        <v>808.0</v>
      </c>
      <c r="M3626" s="36">
        <v>100.0</v>
      </c>
      <c r="N3626" s="36"/>
      <c r="O3626" s="36"/>
      <c r="P3626" s="37" t="s">
        <v>17435</v>
      </c>
      <c r="Q3626" s="36" t="s">
        <v>989</v>
      </c>
      <c r="R3626" s="36">
        <v>40.0</v>
      </c>
      <c r="S3626" s="36">
        <v>1.0</v>
      </c>
      <c r="T3626" s="54" t="s">
        <v>17436</v>
      </c>
      <c r="U3626" s="38" t="str">
        <f>HYPERLINK("https://www.ncbi.nlm.nih.gov/pubmed/27299571","PubMed")</f>
        <v>PubMed</v>
      </c>
      <c r="V3626" s="30"/>
      <c r="W3626" s="31"/>
      <c r="X3626" s="31"/>
      <c r="Y3626" s="31"/>
      <c r="Z3626" s="32"/>
      <c r="AA3626" s="31"/>
      <c r="AB3626" s="31"/>
      <c r="AC3626" s="9"/>
      <c r="AD3626" s="31"/>
      <c r="AE3626" s="31"/>
      <c r="AF3626" s="33"/>
      <c r="AG3626" s="34"/>
      <c r="AH3626" s="31"/>
      <c r="AI3626" s="35"/>
      <c r="AJ3626" s="35"/>
      <c r="AK3626" s="35"/>
      <c r="AL3626" s="35"/>
    </row>
    <row r="3627">
      <c r="A3627" s="18"/>
      <c r="B3627" s="19" t="s">
        <v>14099</v>
      </c>
      <c r="C3627" s="20" t="s">
        <v>17411</v>
      </c>
      <c r="D3627" s="47"/>
      <c r="E3627" s="22" t="s">
        <v>17437</v>
      </c>
      <c r="F3627" s="22" t="s">
        <v>17438</v>
      </c>
      <c r="G3627" s="23">
        <v>2015.0</v>
      </c>
      <c r="H3627" s="22" t="s">
        <v>91</v>
      </c>
      <c r="I3627" s="24" t="s">
        <v>17439</v>
      </c>
      <c r="J3627" s="22" t="s">
        <v>17440</v>
      </c>
      <c r="K3627" s="22"/>
      <c r="L3627" s="36">
        <v>808.0</v>
      </c>
      <c r="M3627" s="36">
        <v>100.0</v>
      </c>
      <c r="N3627" s="36"/>
      <c r="O3627" s="36"/>
      <c r="P3627" s="37"/>
      <c r="Q3627" s="36"/>
      <c r="R3627" s="36"/>
      <c r="S3627" s="36"/>
      <c r="T3627" s="54" t="s">
        <v>17441</v>
      </c>
      <c r="U3627" s="38" t="str">
        <f>HYPERLINK("https://www.ncbi.nlm.nih.gov/pubmed/25614133","PubMed")</f>
        <v>PubMed</v>
      </c>
      <c r="V3627" s="30"/>
      <c r="W3627" s="31"/>
      <c r="X3627" s="31"/>
      <c r="Y3627" s="31"/>
      <c r="Z3627" s="32"/>
      <c r="AA3627" s="31"/>
      <c r="AB3627" s="31"/>
      <c r="AC3627" s="9"/>
      <c r="AD3627" s="31"/>
      <c r="AE3627" s="31"/>
      <c r="AF3627" s="33"/>
      <c r="AG3627" s="34"/>
      <c r="AH3627" s="31"/>
      <c r="AI3627" s="35"/>
      <c r="AJ3627" s="35"/>
      <c r="AK3627" s="35"/>
      <c r="AL3627" s="35"/>
    </row>
    <row r="3628">
      <c r="A3628" s="18"/>
      <c r="B3628" s="19" t="s">
        <v>14099</v>
      </c>
      <c r="C3628" s="20" t="s">
        <v>17411</v>
      </c>
      <c r="D3628" s="47"/>
      <c r="E3628" s="22" t="s">
        <v>17442</v>
      </c>
      <c r="F3628" s="22" t="s">
        <v>1398</v>
      </c>
      <c r="G3628" s="23">
        <v>2008.0</v>
      </c>
      <c r="H3628" s="22" t="s">
        <v>292</v>
      </c>
      <c r="I3628" s="24" t="s">
        <v>17443</v>
      </c>
      <c r="J3628" s="22" t="s">
        <v>17444</v>
      </c>
      <c r="K3628" s="22"/>
      <c r="L3628" s="36">
        <v>830.0</v>
      </c>
      <c r="M3628" s="36">
        <v>1000.0</v>
      </c>
      <c r="N3628" s="36" t="s">
        <v>17445</v>
      </c>
      <c r="O3628" s="36"/>
      <c r="P3628" s="37" t="s">
        <v>17446</v>
      </c>
      <c r="Q3628" s="36"/>
      <c r="R3628" s="36" t="s">
        <v>3744</v>
      </c>
      <c r="S3628" s="36" t="s">
        <v>9333</v>
      </c>
      <c r="T3628" s="54" t="s">
        <v>17447</v>
      </c>
      <c r="U3628" s="38" t="str">
        <f>HYPERLINK("https://www.jstage.jst.go.jp/article/islsm/17/2/17_2_95/_article/-char/en","J-STAGE")</f>
        <v>J-STAGE</v>
      </c>
      <c r="V3628" s="30"/>
      <c r="W3628" s="31"/>
      <c r="X3628" s="31"/>
      <c r="Y3628" s="31"/>
      <c r="Z3628" s="32"/>
      <c r="AA3628" s="31"/>
      <c r="AB3628" s="31"/>
      <c r="AC3628" s="9"/>
      <c r="AD3628" s="31"/>
      <c r="AE3628" s="31"/>
      <c r="AF3628" s="33"/>
      <c r="AG3628" s="34"/>
      <c r="AH3628" s="31"/>
      <c r="AI3628" s="35"/>
      <c r="AJ3628" s="35"/>
      <c r="AK3628" s="35"/>
      <c r="AL3628" s="35"/>
    </row>
    <row r="3629">
      <c r="A3629" s="18"/>
      <c r="B3629" s="19" t="s">
        <v>14099</v>
      </c>
      <c r="C3629" s="20" t="s">
        <v>17448</v>
      </c>
      <c r="D3629" s="47"/>
      <c r="E3629" s="22" t="s">
        <v>17449</v>
      </c>
      <c r="F3629" s="22" t="s">
        <v>17450</v>
      </c>
      <c r="G3629" s="23">
        <v>2024.0</v>
      </c>
      <c r="H3629" s="22" t="s">
        <v>15911</v>
      </c>
      <c r="I3629" s="24" t="s">
        <v>17451</v>
      </c>
      <c r="J3629" s="22" t="s">
        <v>1078</v>
      </c>
      <c r="K3629" s="22"/>
      <c r="L3629" s="195" t="s">
        <v>17452</v>
      </c>
      <c r="M3629" s="44"/>
      <c r="N3629" s="44"/>
      <c r="O3629" s="44"/>
      <c r="P3629" s="44"/>
      <c r="Q3629" s="44"/>
      <c r="R3629" s="44"/>
      <c r="S3629" s="44"/>
      <c r="T3629" s="45"/>
      <c r="U3629" s="38" t="s">
        <v>61</v>
      </c>
      <c r="V3629" s="30"/>
      <c r="W3629" s="31"/>
      <c r="X3629" s="31"/>
      <c r="Y3629" s="31"/>
      <c r="Z3629" s="32"/>
      <c r="AA3629" s="31"/>
      <c r="AB3629" s="31"/>
      <c r="AC3629" s="9"/>
      <c r="AD3629" s="31"/>
      <c r="AE3629" s="31"/>
      <c r="AF3629" s="33"/>
      <c r="AG3629" s="34"/>
      <c r="AH3629" s="31"/>
      <c r="AI3629" s="35"/>
      <c r="AJ3629" s="35"/>
      <c r="AK3629" s="35"/>
      <c r="AL3629" s="35"/>
    </row>
    <row r="3630">
      <c r="A3630" s="18"/>
      <c r="B3630" s="19" t="s">
        <v>14099</v>
      </c>
      <c r="C3630" s="20" t="s">
        <v>17448</v>
      </c>
      <c r="D3630" s="47"/>
      <c r="E3630" s="22" t="s">
        <v>17453</v>
      </c>
      <c r="F3630" s="22" t="s">
        <v>17454</v>
      </c>
      <c r="G3630" s="23">
        <v>2016.0</v>
      </c>
      <c r="H3630" s="22" t="s">
        <v>292</v>
      </c>
      <c r="I3630" s="24" t="s">
        <v>17455</v>
      </c>
      <c r="J3630" s="22" t="s">
        <v>17456</v>
      </c>
      <c r="K3630" s="22" t="s">
        <v>17457</v>
      </c>
      <c r="L3630" s="36">
        <v>830.0</v>
      </c>
      <c r="M3630" s="36"/>
      <c r="N3630" s="36" t="s">
        <v>1729</v>
      </c>
      <c r="O3630" s="36"/>
      <c r="P3630" s="37" t="s">
        <v>1028</v>
      </c>
      <c r="Q3630" s="36"/>
      <c r="R3630" s="36">
        <v>1200.0</v>
      </c>
      <c r="S3630" s="36" t="s">
        <v>17458</v>
      </c>
      <c r="T3630" s="54" t="s">
        <v>17459</v>
      </c>
      <c r="U3630" s="38" t="str">
        <f>HYPERLINK("https://www.ncbi.nlm.nih.gov/pubmed/27141153","PubMed")</f>
        <v>PubMed</v>
      </c>
      <c r="V3630" s="30"/>
      <c r="W3630" s="31"/>
      <c r="X3630" s="31"/>
      <c r="Y3630" s="31"/>
      <c r="Z3630" s="32"/>
      <c r="AA3630" s="31"/>
      <c r="AB3630" s="31"/>
      <c r="AC3630" s="9"/>
      <c r="AD3630" s="31"/>
      <c r="AE3630" s="31"/>
      <c r="AF3630" s="33"/>
      <c r="AG3630" s="34"/>
      <c r="AH3630" s="31"/>
      <c r="AI3630" s="35"/>
      <c r="AJ3630" s="35"/>
      <c r="AK3630" s="35"/>
      <c r="AL3630" s="35"/>
    </row>
    <row r="3631">
      <c r="A3631" s="18"/>
      <c r="B3631" s="19" t="s">
        <v>14099</v>
      </c>
      <c r="C3631" s="20" t="s">
        <v>17448</v>
      </c>
      <c r="D3631" s="47"/>
      <c r="E3631" s="22" t="s">
        <v>1507</v>
      </c>
      <c r="F3631" s="22" t="s">
        <v>206</v>
      </c>
      <c r="G3631" s="23">
        <v>2014.0</v>
      </c>
      <c r="H3631" s="22" t="s">
        <v>91</v>
      </c>
      <c r="I3631" s="24" t="s">
        <v>17460</v>
      </c>
      <c r="J3631" s="22" t="s">
        <v>17461</v>
      </c>
      <c r="K3631" s="22" t="s">
        <v>17462</v>
      </c>
      <c r="L3631" s="36" t="s">
        <v>17463</v>
      </c>
      <c r="M3631" s="36" t="s">
        <v>17464</v>
      </c>
      <c r="N3631" s="36"/>
      <c r="O3631" s="36" t="s">
        <v>17465</v>
      </c>
      <c r="P3631" s="37" t="s">
        <v>17055</v>
      </c>
      <c r="Q3631" s="36" t="s">
        <v>17466</v>
      </c>
      <c r="R3631" s="36"/>
      <c r="S3631" s="36" t="s">
        <v>17467</v>
      </c>
      <c r="T3631" s="102" t="s">
        <v>17468</v>
      </c>
      <c r="U3631" s="38" t="str">
        <f>HYPERLINK("https://www.ncbi.nlm.nih.gov/pubmed/24622816","PubMed")</f>
        <v>PubMed</v>
      </c>
      <c r="V3631" s="30"/>
      <c r="W3631" s="31"/>
      <c r="X3631" s="31"/>
      <c r="Y3631" s="31"/>
      <c r="Z3631" s="32"/>
      <c r="AA3631" s="31"/>
      <c r="AB3631" s="31"/>
      <c r="AC3631" s="9"/>
      <c r="AD3631" s="31"/>
      <c r="AE3631" s="31"/>
      <c r="AF3631" s="33"/>
      <c r="AG3631" s="34"/>
      <c r="AH3631" s="31"/>
      <c r="AI3631" s="35"/>
      <c r="AJ3631" s="35"/>
      <c r="AK3631" s="35"/>
      <c r="AL3631" s="35"/>
    </row>
    <row r="3632">
      <c r="A3632" s="40" t="s">
        <v>38</v>
      </c>
      <c r="B3632" s="19" t="s">
        <v>14099</v>
      </c>
      <c r="C3632" s="20" t="s">
        <v>17448</v>
      </c>
      <c r="D3632" s="47"/>
      <c r="E3632" s="22" t="s">
        <v>17469</v>
      </c>
      <c r="F3632" s="22" t="s">
        <v>1398</v>
      </c>
      <c r="G3632" s="23">
        <v>2013.0</v>
      </c>
      <c r="H3632" s="22" t="s">
        <v>292</v>
      </c>
      <c r="I3632" s="24" t="s">
        <v>17470</v>
      </c>
      <c r="J3632" s="22" t="s">
        <v>17471</v>
      </c>
      <c r="K3632" s="22"/>
      <c r="L3632" s="36">
        <v>830.0</v>
      </c>
      <c r="M3632" s="36">
        <v>10.0</v>
      </c>
      <c r="N3632" s="183">
        <v>43287.0</v>
      </c>
      <c r="O3632" s="36"/>
      <c r="P3632" s="37"/>
      <c r="Q3632" s="36"/>
      <c r="R3632" s="36" t="s">
        <v>8222</v>
      </c>
      <c r="S3632" s="36" t="s">
        <v>17472</v>
      </c>
      <c r="T3632" s="54" t="s">
        <v>17473</v>
      </c>
      <c r="U3632" s="38" t="str">
        <f>HYPERLINK("https://www.ncbi.nlm.nih.gov/pubmed/24155545","PubMed")</f>
        <v>PubMed</v>
      </c>
      <c r="V3632" s="30"/>
      <c r="W3632" s="31"/>
      <c r="X3632" s="31"/>
      <c r="Y3632" s="31"/>
      <c r="Z3632" s="32"/>
      <c r="AA3632" s="31"/>
      <c r="AB3632" s="31"/>
      <c r="AC3632" s="9"/>
      <c r="AD3632" s="31"/>
      <c r="AE3632" s="31"/>
      <c r="AF3632" s="33"/>
      <c r="AG3632" s="34"/>
      <c r="AH3632" s="31"/>
      <c r="AI3632" s="35"/>
      <c r="AJ3632" s="35"/>
      <c r="AK3632" s="35"/>
      <c r="AL3632" s="35"/>
    </row>
    <row r="3633">
      <c r="A3633" s="40"/>
      <c r="B3633" s="19" t="s">
        <v>14099</v>
      </c>
      <c r="C3633" s="20" t="s">
        <v>17448</v>
      </c>
      <c r="D3633" s="47"/>
      <c r="E3633" s="22" t="s">
        <v>14640</v>
      </c>
      <c r="F3633" s="22" t="s">
        <v>17474</v>
      </c>
      <c r="G3633" s="23">
        <v>2005.0</v>
      </c>
      <c r="H3633" s="22" t="s">
        <v>292</v>
      </c>
      <c r="I3633" s="24" t="s">
        <v>17475</v>
      </c>
      <c r="J3633" s="22" t="s">
        <v>17476</v>
      </c>
      <c r="K3633" s="22"/>
      <c r="L3633" s="36">
        <v>830.0</v>
      </c>
      <c r="M3633" s="36"/>
      <c r="N3633" s="36" t="s">
        <v>17477</v>
      </c>
      <c r="O3633" s="36"/>
      <c r="P3633" s="37"/>
      <c r="Q3633" s="36"/>
      <c r="R3633" s="36"/>
      <c r="S3633" s="36"/>
      <c r="T3633" s="54" t="s">
        <v>17478</v>
      </c>
      <c r="U3633" s="29" t="s">
        <v>3020</v>
      </c>
      <c r="V3633" s="30" t="s">
        <v>17479</v>
      </c>
      <c r="W3633" s="31"/>
      <c r="X3633" s="31"/>
      <c r="Y3633" s="31"/>
      <c r="Z3633" s="32"/>
      <c r="AA3633" s="31"/>
      <c r="AB3633" s="31"/>
      <c r="AC3633" s="9"/>
      <c r="AD3633" s="31"/>
      <c r="AE3633" s="31"/>
      <c r="AF3633" s="33"/>
      <c r="AG3633" s="34"/>
      <c r="AH3633" s="31"/>
      <c r="AI3633" s="35"/>
      <c r="AJ3633" s="35"/>
      <c r="AK3633" s="35"/>
      <c r="AL3633" s="35"/>
    </row>
    <row r="3634">
      <c r="A3634" s="18"/>
      <c r="B3634" s="19" t="s">
        <v>14099</v>
      </c>
      <c r="C3634" s="20" t="s">
        <v>17480</v>
      </c>
      <c r="D3634" s="47"/>
      <c r="E3634" s="22" t="s">
        <v>1948</v>
      </c>
      <c r="F3634" s="22" t="s">
        <v>1949</v>
      </c>
      <c r="G3634" s="23">
        <v>2024.0</v>
      </c>
      <c r="H3634" s="22" t="s">
        <v>91</v>
      </c>
      <c r="I3634" s="24" t="s">
        <v>17481</v>
      </c>
      <c r="J3634" s="22" t="s">
        <v>1078</v>
      </c>
      <c r="K3634" s="22"/>
      <c r="L3634" s="105" t="s">
        <v>17482</v>
      </c>
      <c r="M3634" s="44"/>
      <c r="N3634" s="44"/>
      <c r="O3634" s="44"/>
      <c r="P3634" s="44"/>
      <c r="Q3634" s="44"/>
      <c r="R3634" s="44"/>
      <c r="S3634" s="44"/>
      <c r="T3634" s="45"/>
      <c r="U3634" s="38" t="s">
        <v>61</v>
      </c>
      <c r="V3634" s="30"/>
      <c r="W3634" s="31"/>
      <c r="X3634" s="31"/>
      <c r="Y3634" s="31"/>
      <c r="Z3634" s="32"/>
      <c r="AA3634" s="31"/>
      <c r="AB3634" s="31"/>
      <c r="AC3634" s="9"/>
      <c r="AD3634" s="31"/>
      <c r="AE3634" s="31"/>
      <c r="AF3634" s="33"/>
      <c r="AG3634" s="34"/>
      <c r="AH3634" s="31"/>
      <c r="AI3634" s="35"/>
      <c r="AJ3634" s="35"/>
      <c r="AK3634" s="35"/>
      <c r="AL3634" s="35"/>
    </row>
    <row r="3635">
      <c r="A3635" s="18"/>
      <c r="B3635" s="19" t="s">
        <v>14099</v>
      </c>
      <c r="C3635" s="20" t="s">
        <v>17480</v>
      </c>
      <c r="D3635" s="47"/>
      <c r="E3635" s="22" t="s">
        <v>6520</v>
      </c>
      <c r="F3635" s="22" t="s">
        <v>6521</v>
      </c>
      <c r="G3635" s="23">
        <v>2019.0</v>
      </c>
      <c r="H3635" s="22" t="s">
        <v>6606</v>
      </c>
      <c r="I3635" s="24" t="s">
        <v>17483</v>
      </c>
      <c r="J3635" s="22" t="s">
        <v>17484</v>
      </c>
      <c r="K3635" s="22"/>
      <c r="L3635" s="36">
        <v>635.0</v>
      </c>
      <c r="M3635" s="36">
        <v>15.0</v>
      </c>
      <c r="N3635" s="36"/>
      <c r="O3635" s="36"/>
      <c r="P3635" s="37" t="s">
        <v>17485</v>
      </c>
      <c r="Q3635" s="36"/>
      <c r="R3635" s="36"/>
      <c r="S3635" s="36" t="s">
        <v>6308</v>
      </c>
      <c r="T3635" s="54" t="s">
        <v>17486</v>
      </c>
      <c r="U3635" s="38" t="str">
        <f>HYPERLINK("https://www.ncbi.nlm.nih.gov/pubmed/30882395","PubMed")</f>
        <v>PubMed</v>
      </c>
      <c r="V3635" s="30"/>
      <c r="W3635" s="31"/>
      <c r="X3635" s="31"/>
      <c r="Y3635" s="31"/>
      <c r="Z3635" s="32"/>
      <c r="AA3635" s="31"/>
      <c r="AB3635" s="31"/>
      <c r="AC3635" s="9"/>
      <c r="AD3635" s="31"/>
      <c r="AE3635" s="31"/>
      <c r="AF3635" s="33"/>
      <c r="AG3635" s="34"/>
      <c r="AH3635" s="31"/>
      <c r="AI3635" s="35"/>
      <c r="AJ3635" s="35"/>
      <c r="AK3635" s="35"/>
      <c r="AL3635" s="35"/>
    </row>
    <row r="3636">
      <c r="A3636" s="18"/>
      <c r="B3636" s="19" t="s">
        <v>14099</v>
      </c>
      <c r="C3636" s="20" t="s">
        <v>17480</v>
      </c>
      <c r="D3636" s="47"/>
      <c r="E3636" s="22" t="s">
        <v>17487</v>
      </c>
      <c r="F3636" s="22" t="s">
        <v>510</v>
      </c>
      <c r="G3636" s="23">
        <v>2018.0</v>
      </c>
      <c r="H3636" s="22" t="s">
        <v>91</v>
      </c>
      <c r="I3636" s="24" t="s">
        <v>17488</v>
      </c>
      <c r="J3636" s="22" t="s">
        <v>17489</v>
      </c>
      <c r="K3636" s="22" t="s">
        <v>157</v>
      </c>
      <c r="L3636" s="36">
        <v>627.0</v>
      </c>
      <c r="M3636" s="36">
        <v>60.0</v>
      </c>
      <c r="N3636" s="36"/>
      <c r="O3636" s="36" t="s">
        <v>17490</v>
      </c>
      <c r="P3636" s="37"/>
      <c r="Q3636" s="36" t="s">
        <v>17491</v>
      </c>
      <c r="R3636" s="36" t="s">
        <v>17492</v>
      </c>
      <c r="S3636" s="36" t="s">
        <v>13892</v>
      </c>
      <c r="T3636" s="54" t="s">
        <v>17493</v>
      </c>
      <c r="U3636" s="38" t="str">
        <f>HYPERLINK("https://www.ncbi.nlm.nih.gov/pubmed/29423840","PubMed")</f>
        <v>PubMed</v>
      </c>
      <c r="V3636" s="30"/>
      <c r="W3636" s="31"/>
      <c r="X3636" s="31"/>
      <c r="Y3636" s="31"/>
      <c r="Z3636" s="32"/>
      <c r="AA3636" s="31"/>
      <c r="AB3636" s="31"/>
      <c r="AC3636" s="9"/>
      <c r="AD3636" s="31"/>
      <c r="AE3636" s="31"/>
      <c r="AF3636" s="33"/>
      <c r="AG3636" s="34"/>
      <c r="AH3636" s="31"/>
      <c r="AI3636" s="35"/>
      <c r="AJ3636" s="35"/>
      <c r="AK3636" s="35"/>
      <c r="AL3636" s="35"/>
    </row>
    <row r="3637">
      <c r="A3637" s="18"/>
      <c r="B3637" s="19" t="s">
        <v>14099</v>
      </c>
      <c r="C3637" s="20" t="s">
        <v>17480</v>
      </c>
      <c r="D3637" s="47"/>
      <c r="E3637" s="22" t="s">
        <v>4900</v>
      </c>
      <c r="F3637" s="22" t="s">
        <v>17494</v>
      </c>
      <c r="G3637" s="23">
        <v>2017.0</v>
      </c>
      <c r="H3637" s="22" t="s">
        <v>13115</v>
      </c>
      <c r="I3637" s="24" t="s">
        <v>17495</v>
      </c>
      <c r="J3637" s="22" t="s">
        <v>17496</v>
      </c>
      <c r="K3637" s="22" t="s">
        <v>17497</v>
      </c>
      <c r="L3637" s="36" t="s">
        <v>4772</v>
      </c>
      <c r="M3637" s="36"/>
      <c r="N3637" s="36" t="s">
        <v>3587</v>
      </c>
      <c r="O3637" s="36"/>
      <c r="P3637" s="37"/>
      <c r="Q3637" s="36" t="s">
        <v>17498</v>
      </c>
      <c r="R3637" s="36"/>
      <c r="S3637" s="36" t="s">
        <v>3125</v>
      </c>
      <c r="T3637" s="54" t="s">
        <v>17499</v>
      </c>
      <c r="U3637" s="38" t="str">
        <f>HYPERLINK("https://www.ncbi.nlm.nih.gov/pubmed/26939828","PubMed")</f>
        <v>PubMed</v>
      </c>
      <c r="V3637" s="30"/>
      <c r="W3637" s="31"/>
      <c r="X3637" s="31"/>
      <c r="Y3637" s="31"/>
      <c r="Z3637" s="32"/>
      <c r="AA3637" s="31"/>
      <c r="AB3637" s="31"/>
      <c r="AC3637" s="9"/>
      <c r="AD3637" s="31"/>
      <c r="AE3637" s="31"/>
      <c r="AF3637" s="33"/>
      <c r="AG3637" s="34"/>
      <c r="AH3637" s="31"/>
      <c r="AI3637" s="35"/>
      <c r="AJ3637" s="35"/>
      <c r="AK3637" s="35"/>
      <c r="AL3637" s="35"/>
    </row>
    <row r="3638">
      <c r="A3638" s="18" t="s">
        <v>181</v>
      </c>
      <c r="B3638" s="19" t="s">
        <v>14099</v>
      </c>
      <c r="C3638" s="20" t="s">
        <v>17480</v>
      </c>
      <c r="D3638" s="47"/>
      <c r="E3638" s="22" t="s">
        <v>17500</v>
      </c>
      <c r="F3638" s="22" t="s">
        <v>3492</v>
      </c>
      <c r="G3638" s="23">
        <v>2013.0</v>
      </c>
      <c r="H3638" s="22" t="s">
        <v>17501</v>
      </c>
      <c r="I3638" s="24" t="s">
        <v>17502</v>
      </c>
      <c r="J3638" s="22" t="s">
        <v>17503</v>
      </c>
      <c r="K3638" s="22"/>
      <c r="L3638" s="36" t="s">
        <v>17504</v>
      </c>
      <c r="M3638" s="36"/>
      <c r="N3638" s="36"/>
      <c r="O3638" s="36"/>
      <c r="P3638" s="37"/>
      <c r="Q3638" s="36"/>
      <c r="R3638" s="36">
        <v>300.0</v>
      </c>
      <c r="S3638" s="36" t="s">
        <v>17505</v>
      </c>
      <c r="T3638" s="54" t="s">
        <v>17506</v>
      </c>
      <c r="U3638" s="38" t="str">
        <f>HYPERLINK("https://www.ncbi.nlm.nih.gov/pubmed/23888293","PubMed")</f>
        <v>PubMed</v>
      </c>
      <c r="V3638" s="30" t="s">
        <v>17507</v>
      </c>
      <c r="W3638" s="31"/>
      <c r="X3638" s="31"/>
      <c r="Y3638" s="31"/>
      <c r="Z3638" s="32"/>
      <c r="AA3638" s="31"/>
      <c r="AB3638" s="31"/>
      <c r="AC3638" s="9"/>
      <c r="AD3638" s="31"/>
      <c r="AE3638" s="31"/>
      <c r="AF3638" s="33"/>
      <c r="AG3638" s="34"/>
      <c r="AH3638" s="31"/>
      <c r="AI3638" s="35"/>
      <c r="AJ3638" s="35"/>
      <c r="AK3638" s="35"/>
      <c r="AL3638" s="35"/>
    </row>
    <row r="3639">
      <c r="A3639" s="18"/>
      <c r="B3639" s="19" t="s">
        <v>14099</v>
      </c>
      <c r="C3639" s="20" t="s">
        <v>17480</v>
      </c>
      <c r="D3639" s="47"/>
      <c r="E3639" s="22" t="s">
        <v>17508</v>
      </c>
      <c r="F3639" s="22" t="s">
        <v>17509</v>
      </c>
      <c r="G3639" s="23">
        <v>2004.0</v>
      </c>
      <c r="H3639" s="22" t="s">
        <v>1289</v>
      </c>
      <c r="I3639" s="24" t="s">
        <v>17510</v>
      </c>
      <c r="J3639" s="22" t="s">
        <v>17511</v>
      </c>
      <c r="K3639" s="22"/>
      <c r="L3639" s="36">
        <v>820.0</v>
      </c>
      <c r="M3639" s="36">
        <v>40.0</v>
      </c>
      <c r="N3639" s="36"/>
      <c r="O3639" s="36"/>
      <c r="P3639" s="37" t="s">
        <v>95</v>
      </c>
      <c r="Q3639" s="36"/>
      <c r="R3639" s="36"/>
      <c r="S3639" s="36" t="s">
        <v>6308</v>
      </c>
      <c r="T3639" s="54" t="s">
        <v>17512</v>
      </c>
      <c r="U3639" s="38" t="str">
        <f>HYPERLINK("https://www.ncbi.nlm.nih.gov/pubmed/15165387","PubMed")</f>
        <v>PubMed</v>
      </c>
      <c r="V3639" s="30"/>
      <c r="W3639" s="31"/>
      <c r="X3639" s="31"/>
      <c r="Y3639" s="31"/>
      <c r="Z3639" s="32"/>
      <c r="AA3639" s="31"/>
      <c r="AB3639" s="31"/>
      <c r="AC3639" s="9"/>
      <c r="AD3639" s="31"/>
      <c r="AE3639" s="31"/>
      <c r="AF3639" s="33"/>
      <c r="AG3639" s="34"/>
      <c r="AH3639" s="31"/>
      <c r="AI3639" s="35"/>
      <c r="AJ3639" s="35"/>
      <c r="AK3639" s="35"/>
      <c r="AL3639" s="35"/>
    </row>
    <row r="3640">
      <c r="A3640" s="18"/>
      <c r="B3640" s="19" t="s">
        <v>14099</v>
      </c>
      <c r="C3640" s="20" t="s">
        <v>17480</v>
      </c>
      <c r="D3640" s="47"/>
      <c r="E3640" s="22" t="s">
        <v>17513</v>
      </c>
      <c r="F3640" s="22" t="s">
        <v>17514</v>
      </c>
      <c r="G3640" s="23">
        <v>1998.0</v>
      </c>
      <c r="H3640" s="22" t="s">
        <v>4783</v>
      </c>
      <c r="I3640" s="24" t="s">
        <v>17515</v>
      </c>
      <c r="J3640" s="22" t="s">
        <v>17516</v>
      </c>
      <c r="K3640" s="22" t="s">
        <v>17517</v>
      </c>
      <c r="L3640" s="36">
        <v>904.0</v>
      </c>
      <c r="M3640" s="36" t="s">
        <v>17518</v>
      </c>
      <c r="N3640" s="36"/>
      <c r="O3640" s="36"/>
      <c r="P3640" s="37" t="s">
        <v>17519</v>
      </c>
      <c r="Q3640" s="36" t="s">
        <v>17520</v>
      </c>
      <c r="R3640" s="36" t="s">
        <v>17521</v>
      </c>
      <c r="S3640" s="36" t="s">
        <v>17522</v>
      </c>
      <c r="T3640" s="103" t="s">
        <v>17523</v>
      </c>
      <c r="U3640" s="38" t="str">
        <f>HYPERLINK("https://www.ncbi.nlm.nih.gov/pubmed/9821903","PubMed")</f>
        <v>PubMed</v>
      </c>
      <c r="V3640" s="30"/>
      <c r="W3640" s="31"/>
      <c r="X3640" s="31"/>
      <c r="Y3640" s="31"/>
      <c r="Z3640" s="32"/>
      <c r="AA3640" s="31"/>
      <c r="AB3640" s="31"/>
      <c r="AC3640" s="9"/>
      <c r="AD3640" s="31"/>
      <c r="AE3640" s="31"/>
      <c r="AF3640" s="33"/>
      <c r="AG3640" s="34"/>
      <c r="AH3640" s="31"/>
      <c r="AI3640" s="35"/>
      <c r="AJ3640" s="35"/>
      <c r="AK3640" s="35"/>
      <c r="AL3640" s="35"/>
    </row>
    <row r="3641">
      <c r="A3641" s="18"/>
      <c r="B3641" s="19" t="s">
        <v>14099</v>
      </c>
      <c r="C3641" s="20" t="s">
        <v>17524</v>
      </c>
      <c r="D3641" s="47"/>
      <c r="E3641" s="22" t="s">
        <v>5691</v>
      </c>
      <c r="F3641" s="22" t="s">
        <v>41</v>
      </c>
      <c r="G3641" s="23">
        <v>2018.0</v>
      </c>
      <c r="H3641" s="22" t="s">
        <v>658</v>
      </c>
      <c r="I3641" s="24" t="s">
        <v>17525</v>
      </c>
      <c r="J3641" s="22" t="s">
        <v>55</v>
      </c>
      <c r="K3641" s="22"/>
      <c r="L3641" s="36">
        <v>780.0</v>
      </c>
      <c r="M3641" s="36">
        <v>40.0</v>
      </c>
      <c r="N3641" s="36"/>
      <c r="O3641" s="36" t="s">
        <v>17119</v>
      </c>
      <c r="P3641" s="37" t="s">
        <v>17526</v>
      </c>
      <c r="Q3641" s="36"/>
      <c r="R3641" s="36" t="s">
        <v>17093</v>
      </c>
      <c r="S3641" s="36"/>
      <c r="T3641" s="54" t="s">
        <v>17527</v>
      </c>
      <c r="U3641" s="38" t="str">
        <f>HYPERLINK("https://www.ncbi.nlm.nih.gov/pubmed/29466099","PubMed")</f>
        <v>PubMed</v>
      </c>
      <c r="V3641" s="30"/>
      <c r="W3641" s="31"/>
      <c r="X3641" s="31"/>
      <c r="Y3641" s="31"/>
      <c r="Z3641" s="32"/>
      <c r="AA3641" s="31"/>
      <c r="AB3641" s="31"/>
      <c r="AC3641" s="9"/>
      <c r="AD3641" s="31"/>
      <c r="AE3641" s="31"/>
      <c r="AF3641" s="33"/>
      <c r="AG3641" s="34"/>
      <c r="AH3641" s="31"/>
      <c r="AI3641" s="35"/>
      <c r="AJ3641" s="35"/>
      <c r="AK3641" s="35"/>
      <c r="AL3641" s="35"/>
    </row>
    <row r="3642">
      <c r="A3642" s="18"/>
      <c r="B3642" s="19" t="s">
        <v>14099</v>
      </c>
      <c r="C3642" s="20"/>
      <c r="D3642" s="47"/>
      <c r="E3642" s="22" t="s">
        <v>11892</v>
      </c>
      <c r="F3642" s="22" t="s">
        <v>17528</v>
      </c>
      <c r="G3642" s="23">
        <v>2018.0</v>
      </c>
      <c r="H3642" s="22" t="s">
        <v>91</v>
      </c>
      <c r="I3642" s="24" t="s">
        <v>17529</v>
      </c>
      <c r="J3642" s="22" t="s">
        <v>55</v>
      </c>
      <c r="K3642" s="22"/>
      <c r="L3642" s="36" t="s">
        <v>17530</v>
      </c>
      <c r="M3642" s="36"/>
      <c r="N3642" s="36"/>
      <c r="O3642" s="36"/>
      <c r="P3642" s="37"/>
      <c r="Q3642" s="36"/>
      <c r="R3642" s="36"/>
      <c r="S3642" s="36"/>
      <c r="T3642" s="102" t="s">
        <v>17531</v>
      </c>
      <c r="U3642" s="38" t="str">
        <f>HYPERLINK("https://www.ncbi.nlm.nih.gov/pubmed/29134402","PubMed")</f>
        <v>PubMed</v>
      </c>
      <c r="V3642" s="30"/>
      <c r="W3642" s="31"/>
      <c r="X3642" s="31"/>
      <c r="Y3642" s="31"/>
      <c r="Z3642" s="32"/>
      <c r="AA3642" s="31"/>
      <c r="AB3642" s="31"/>
      <c r="AC3642" s="9"/>
      <c r="AD3642" s="31"/>
      <c r="AE3642" s="31"/>
      <c r="AF3642" s="33"/>
      <c r="AG3642" s="34"/>
      <c r="AH3642" s="31"/>
      <c r="AI3642" s="35"/>
      <c r="AJ3642" s="35"/>
      <c r="AK3642" s="35"/>
      <c r="AL3642" s="35"/>
    </row>
    <row r="3643">
      <c r="A3643" s="18"/>
      <c r="B3643" s="19" t="s">
        <v>14099</v>
      </c>
      <c r="C3643" s="20"/>
      <c r="D3643" s="47"/>
      <c r="E3643" s="22" t="s">
        <v>17532</v>
      </c>
      <c r="F3643" s="22" t="s">
        <v>530</v>
      </c>
      <c r="G3643" s="23">
        <v>2010.0</v>
      </c>
      <c r="H3643" s="22" t="s">
        <v>17533</v>
      </c>
      <c r="I3643" s="24" t="s">
        <v>17534</v>
      </c>
      <c r="J3643" s="22" t="s">
        <v>55</v>
      </c>
      <c r="K3643" s="22"/>
      <c r="L3643" s="36">
        <v>670.0</v>
      </c>
      <c r="M3643" s="36"/>
      <c r="N3643" s="36"/>
      <c r="O3643" s="36"/>
      <c r="P3643" s="37" t="s">
        <v>70</v>
      </c>
      <c r="Q3643" s="36"/>
      <c r="R3643" s="36"/>
      <c r="S3643" s="36"/>
      <c r="T3643" s="102" t="s">
        <v>17535</v>
      </c>
      <c r="U3643" s="38" t="str">
        <f>HYPERLINK("https://www.ncbi.nlm.nih.gov/pubmed/20930356","PubMed")</f>
        <v>PubMed</v>
      </c>
      <c r="V3643" s="30"/>
      <c r="W3643" s="31"/>
      <c r="X3643" s="31"/>
      <c r="Y3643" s="31"/>
      <c r="Z3643" s="32"/>
      <c r="AA3643" s="31"/>
      <c r="AB3643" s="31"/>
      <c r="AC3643" s="9"/>
      <c r="AD3643" s="31"/>
      <c r="AE3643" s="31"/>
      <c r="AF3643" s="33"/>
      <c r="AG3643" s="34"/>
      <c r="AH3643" s="31"/>
      <c r="AI3643" s="35"/>
      <c r="AJ3643" s="35"/>
      <c r="AK3643" s="35"/>
      <c r="AL3643" s="35"/>
    </row>
    <row r="3644">
      <c r="A3644" s="1"/>
      <c r="B3644" s="19" t="s">
        <v>17536</v>
      </c>
      <c r="C3644" s="20" t="s">
        <v>17537</v>
      </c>
      <c r="D3644" s="47"/>
      <c r="E3644" s="22" t="s">
        <v>17538</v>
      </c>
      <c r="F3644" s="22" t="s">
        <v>2161</v>
      </c>
      <c r="G3644" s="23">
        <v>2021.0</v>
      </c>
      <c r="H3644" s="22" t="s">
        <v>4791</v>
      </c>
      <c r="I3644" s="24" t="s">
        <v>17539</v>
      </c>
      <c r="J3644" s="22" t="s">
        <v>17540</v>
      </c>
      <c r="K3644" s="22"/>
      <c r="L3644" s="36">
        <v>890.0</v>
      </c>
      <c r="M3644" s="36"/>
      <c r="N3644" s="36"/>
      <c r="O3644" s="36"/>
      <c r="P3644" s="37"/>
      <c r="Q3644" s="36"/>
      <c r="R3644" s="36"/>
      <c r="S3644" s="36" t="s">
        <v>4820</v>
      </c>
      <c r="T3644" s="28" t="s">
        <v>17541</v>
      </c>
      <c r="U3644" s="29" t="s">
        <v>61</v>
      </c>
      <c r="V3644" s="30"/>
      <c r="W3644" s="49"/>
      <c r="X3644" s="49"/>
      <c r="Y3644" s="35"/>
      <c r="Z3644" s="35"/>
      <c r="AA3644" s="35"/>
      <c r="AB3644" s="35"/>
      <c r="AC3644" s="35"/>
      <c r="AD3644" s="35"/>
      <c r="AE3644" s="35"/>
      <c r="AF3644" s="35"/>
      <c r="AG3644" s="35"/>
      <c r="AH3644" s="35"/>
      <c r="AI3644" s="35"/>
      <c r="AJ3644" s="35"/>
      <c r="AK3644" s="35"/>
      <c r="AL3644" s="35"/>
    </row>
    <row r="3645">
      <c r="A3645" s="1"/>
      <c r="B3645" s="19" t="s">
        <v>17536</v>
      </c>
      <c r="C3645" s="20" t="s">
        <v>17542</v>
      </c>
      <c r="D3645" s="47"/>
      <c r="E3645" s="22" t="s">
        <v>12775</v>
      </c>
      <c r="F3645" s="22" t="s">
        <v>2346</v>
      </c>
      <c r="G3645" s="23">
        <v>2024.0</v>
      </c>
      <c r="H3645" s="22" t="s">
        <v>17543</v>
      </c>
      <c r="I3645" s="24" t="s">
        <v>17544</v>
      </c>
      <c r="J3645" s="22" t="s">
        <v>125</v>
      </c>
      <c r="K3645" s="22"/>
      <c r="L3645" s="132" t="s">
        <v>17545</v>
      </c>
      <c r="U3645" s="38" t="s">
        <v>61</v>
      </c>
      <c r="V3645" s="30"/>
      <c r="W3645" s="49"/>
      <c r="X3645" s="49"/>
      <c r="Y3645" s="35"/>
      <c r="Z3645" s="35"/>
      <c r="AA3645" s="35"/>
      <c r="AB3645" s="35"/>
      <c r="AC3645" s="35"/>
      <c r="AD3645" s="35"/>
      <c r="AE3645" s="35"/>
      <c r="AF3645" s="35"/>
      <c r="AG3645" s="35"/>
      <c r="AH3645" s="35"/>
      <c r="AI3645" s="35"/>
      <c r="AJ3645" s="35"/>
      <c r="AK3645" s="35"/>
      <c r="AL3645" s="35"/>
    </row>
    <row r="3646">
      <c r="A3646" s="1"/>
      <c r="B3646" s="19" t="s">
        <v>17536</v>
      </c>
      <c r="C3646" s="20" t="s">
        <v>17542</v>
      </c>
      <c r="D3646" s="47"/>
      <c r="E3646" s="22" t="s">
        <v>17546</v>
      </c>
      <c r="F3646" s="22" t="s">
        <v>3441</v>
      </c>
      <c r="G3646" s="23">
        <v>2009.0</v>
      </c>
      <c r="H3646" s="22" t="s">
        <v>53</v>
      </c>
      <c r="I3646" s="24" t="s">
        <v>17547</v>
      </c>
      <c r="J3646" s="23" t="s">
        <v>44</v>
      </c>
      <c r="K3646" s="22"/>
      <c r="L3646" s="52">
        <v>810.0</v>
      </c>
      <c r="M3646" s="52">
        <v>140.0</v>
      </c>
      <c r="N3646" s="52"/>
      <c r="O3646" s="52"/>
      <c r="P3646" s="189" t="s">
        <v>2848</v>
      </c>
      <c r="Q3646" s="52" t="s">
        <v>17548</v>
      </c>
      <c r="R3646" s="52">
        <v>120.0</v>
      </c>
      <c r="S3646" s="52"/>
      <c r="T3646" s="42" t="s">
        <v>17549</v>
      </c>
      <c r="U3646" s="38" t="s">
        <v>61</v>
      </c>
      <c r="V3646" s="30"/>
      <c r="W3646" s="49"/>
      <c r="X3646" s="49"/>
      <c r="Y3646" s="35"/>
      <c r="Z3646" s="35"/>
      <c r="AA3646" s="35"/>
      <c r="AB3646" s="35"/>
      <c r="AC3646" s="35"/>
      <c r="AD3646" s="35"/>
      <c r="AE3646" s="35"/>
      <c r="AF3646" s="35"/>
      <c r="AG3646" s="35"/>
      <c r="AH3646" s="35"/>
      <c r="AI3646" s="35"/>
      <c r="AJ3646" s="35"/>
      <c r="AK3646" s="35"/>
      <c r="AL3646" s="35"/>
    </row>
    <row r="3647">
      <c r="A3647" s="1"/>
      <c r="B3647" s="19" t="s">
        <v>17536</v>
      </c>
      <c r="C3647" s="20" t="s">
        <v>17550</v>
      </c>
      <c r="D3647" s="47"/>
      <c r="E3647" s="22" t="s">
        <v>17551</v>
      </c>
      <c r="F3647" s="22" t="s">
        <v>3522</v>
      </c>
      <c r="G3647" s="23">
        <v>2023.0</v>
      </c>
      <c r="H3647" s="22" t="s">
        <v>3523</v>
      </c>
      <c r="I3647" s="24" t="s">
        <v>17552</v>
      </c>
      <c r="J3647" s="22" t="s">
        <v>17553</v>
      </c>
      <c r="K3647" s="22" t="s">
        <v>17554</v>
      </c>
      <c r="L3647" s="36">
        <v>850.0</v>
      </c>
      <c r="M3647" s="36">
        <v>20.0</v>
      </c>
      <c r="N3647" s="36"/>
      <c r="O3647" s="36"/>
      <c r="P3647" s="37" t="s">
        <v>287</v>
      </c>
      <c r="Q3647" s="36"/>
      <c r="R3647" s="36"/>
      <c r="S3647" s="36"/>
      <c r="T3647" s="28" t="s">
        <v>17555</v>
      </c>
      <c r="U3647" s="38" t="s">
        <v>61</v>
      </c>
      <c r="V3647" s="30"/>
      <c r="W3647" s="49"/>
      <c r="X3647" s="49"/>
      <c r="Y3647" s="35"/>
      <c r="Z3647" s="35"/>
      <c r="AA3647" s="35"/>
      <c r="AB3647" s="35"/>
      <c r="AC3647" s="35"/>
      <c r="AD3647" s="35"/>
      <c r="AE3647" s="35"/>
      <c r="AF3647" s="35"/>
      <c r="AG3647" s="35"/>
      <c r="AH3647" s="35"/>
      <c r="AI3647" s="35"/>
      <c r="AJ3647" s="35"/>
      <c r="AK3647" s="35"/>
      <c r="AL3647" s="35"/>
    </row>
    <row r="3648">
      <c r="A3648" s="1"/>
      <c r="B3648" s="19" t="s">
        <v>17536</v>
      </c>
      <c r="C3648" s="20" t="s">
        <v>17556</v>
      </c>
      <c r="D3648" s="47"/>
      <c r="E3648" s="22" t="s">
        <v>4013</v>
      </c>
      <c r="F3648" s="22" t="s">
        <v>4697</v>
      </c>
      <c r="G3648" s="23">
        <v>2020.0</v>
      </c>
      <c r="H3648" s="22" t="s">
        <v>77</v>
      </c>
      <c r="I3648" s="24" t="s">
        <v>17557</v>
      </c>
      <c r="J3648" s="22" t="s">
        <v>17558</v>
      </c>
      <c r="K3648" s="22"/>
      <c r="L3648" s="36">
        <v>808.0</v>
      </c>
      <c r="M3648" s="36">
        <v>50.0</v>
      </c>
      <c r="N3648" s="36"/>
      <c r="O3648" s="36"/>
      <c r="P3648" s="37" t="s">
        <v>254</v>
      </c>
      <c r="Q3648" s="36"/>
      <c r="R3648" s="36"/>
      <c r="S3648" s="36" t="s">
        <v>1514</v>
      </c>
      <c r="T3648" s="28" t="s">
        <v>17559</v>
      </c>
      <c r="U3648" s="38" t="str">
        <f>HYPERLINK("https://www.ncbi.nlm.nih.gov/pubmed/32301668","PubMed")</f>
        <v>PubMed</v>
      </c>
      <c r="V3648" s="30"/>
      <c r="W3648" s="49"/>
      <c r="X3648" s="49"/>
      <c r="Y3648" s="35"/>
      <c r="Z3648" s="35"/>
      <c r="AA3648" s="35"/>
      <c r="AB3648" s="35"/>
      <c r="AC3648" s="35"/>
      <c r="AD3648" s="35"/>
      <c r="AE3648" s="35"/>
      <c r="AF3648" s="35"/>
      <c r="AG3648" s="35"/>
      <c r="AH3648" s="35"/>
      <c r="AI3648" s="35"/>
      <c r="AJ3648" s="35"/>
      <c r="AK3648" s="35"/>
      <c r="AL3648" s="35"/>
    </row>
    <row r="3649">
      <c r="A3649" s="1"/>
      <c r="B3649" s="19" t="s">
        <v>17536</v>
      </c>
      <c r="C3649" s="20" t="s">
        <v>3091</v>
      </c>
      <c r="D3649" s="47"/>
      <c r="E3649" s="22" t="s">
        <v>17560</v>
      </c>
      <c r="F3649" s="22" t="s">
        <v>10263</v>
      </c>
      <c r="G3649" s="23">
        <v>2016.0</v>
      </c>
      <c r="H3649" s="22" t="s">
        <v>4145</v>
      </c>
      <c r="I3649" s="24" t="s">
        <v>17561</v>
      </c>
      <c r="J3649" s="22" t="s">
        <v>31</v>
      </c>
      <c r="K3649" s="22" t="s">
        <v>17562</v>
      </c>
      <c r="L3649" s="36" t="s">
        <v>17563</v>
      </c>
      <c r="M3649" s="36"/>
      <c r="N3649" s="36"/>
      <c r="O3649" s="36"/>
      <c r="P3649" s="37"/>
      <c r="Q3649" s="36"/>
      <c r="R3649" s="36"/>
      <c r="S3649" s="36"/>
      <c r="T3649" s="28" t="s">
        <v>17564</v>
      </c>
      <c r="U3649" s="38" t="str">
        <f>HYPERLINK("https://www.ncbi.nlm.nih.gov/pubmed/27194427","PubMed")</f>
        <v>PubMed</v>
      </c>
      <c r="V3649" s="30"/>
      <c r="W3649" s="49"/>
      <c r="X3649" s="49"/>
      <c r="Y3649" s="35"/>
      <c r="Z3649" s="35"/>
      <c r="AA3649" s="35"/>
      <c r="AB3649" s="35"/>
      <c r="AC3649" s="35"/>
      <c r="AD3649" s="35"/>
      <c r="AE3649" s="35"/>
      <c r="AF3649" s="35"/>
      <c r="AG3649" s="35"/>
      <c r="AH3649" s="35"/>
      <c r="AI3649" s="35"/>
      <c r="AJ3649" s="35"/>
      <c r="AK3649" s="35"/>
      <c r="AL3649" s="35"/>
    </row>
    <row r="3650">
      <c r="A3650" s="1"/>
      <c r="B3650" s="19" t="s">
        <v>17536</v>
      </c>
      <c r="C3650" s="20" t="s">
        <v>17565</v>
      </c>
      <c r="D3650" s="47"/>
      <c r="E3650" s="22" t="s">
        <v>2275</v>
      </c>
      <c r="F3650" s="22" t="s">
        <v>224</v>
      </c>
      <c r="G3650" s="23">
        <v>2024.0</v>
      </c>
      <c r="H3650" s="22" t="s">
        <v>91</v>
      </c>
      <c r="I3650" s="24" t="s">
        <v>17566</v>
      </c>
      <c r="J3650" s="22" t="s">
        <v>17567</v>
      </c>
      <c r="K3650" s="22" t="s">
        <v>2686</v>
      </c>
      <c r="L3650" s="36" t="s">
        <v>4503</v>
      </c>
      <c r="M3650" s="36"/>
      <c r="N3650" s="36"/>
      <c r="O3650" s="36"/>
      <c r="P3650" s="37"/>
      <c r="Q3650" s="36"/>
      <c r="R3650" s="36"/>
      <c r="S3650" s="36" t="s">
        <v>1955</v>
      </c>
      <c r="T3650" s="28" t="s">
        <v>17568</v>
      </c>
      <c r="U3650" s="38" t="s">
        <v>61</v>
      </c>
      <c r="V3650" s="30"/>
      <c r="W3650" s="49"/>
      <c r="X3650" s="49"/>
      <c r="Y3650" s="35"/>
      <c r="Z3650" s="35"/>
      <c r="AA3650" s="35"/>
      <c r="AB3650" s="35"/>
      <c r="AC3650" s="35"/>
      <c r="AD3650" s="35"/>
      <c r="AE3650" s="35"/>
      <c r="AF3650" s="35"/>
      <c r="AG3650" s="35"/>
      <c r="AH3650" s="35"/>
      <c r="AI3650" s="35"/>
      <c r="AJ3650" s="35"/>
      <c r="AK3650" s="35"/>
      <c r="AL3650" s="35"/>
    </row>
    <row r="3651">
      <c r="A3651" s="1"/>
      <c r="B3651" s="19" t="s">
        <v>17536</v>
      </c>
      <c r="C3651" s="20" t="s">
        <v>17569</v>
      </c>
      <c r="D3651" s="47"/>
      <c r="E3651" s="22" t="s">
        <v>17570</v>
      </c>
      <c r="F3651" s="22" t="s">
        <v>6546</v>
      </c>
      <c r="G3651" s="23">
        <v>2023.0</v>
      </c>
      <c r="H3651" s="22" t="s">
        <v>3963</v>
      </c>
      <c r="I3651" s="24" t="s">
        <v>17571</v>
      </c>
      <c r="J3651" s="22" t="s">
        <v>17572</v>
      </c>
      <c r="K3651" s="22"/>
      <c r="L3651" s="36">
        <v>1064.0</v>
      </c>
      <c r="M3651" s="36"/>
      <c r="N3651" s="36" t="s">
        <v>4163</v>
      </c>
      <c r="O3651" s="36"/>
      <c r="P3651" s="37" t="s">
        <v>480</v>
      </c>
      <c r="Q3651" s="36" t="s">
        <v>17573</v>
      </c>
      <c r="R3651" s="36"/>
      <c r="S3651" s="36"/>
      <c r="T3651" s="28" t="s">
        <v>17574</v>
      </c>
      <c r="U3651" s="38" t="s">
        <v>61</v>
      </c>
      <c r="V3651" s="30"/>
      <c r="W3651" s="49"/>
      <c r="X3651" s="49"/>
      <c r="Y3651" s="35"/>
      <c r="Z3651" s="35"/>
      <c r="AA3651" s="35"/>
      <c r="AB3651" s="35"/>
      <c r="AC3651" s="35"/>
      <c r="AD3651" s="35"/>
      <c r="AE3651" s="35"/>
      <c r="AF3651" s="35"/>
      <c r="AG3651" s="35"/>
      <c r="AH3651" s="35"/>
      <c r="AI3651" s="35"/>
      <c r="AJ3651" s="35"/>
      <c r="AK3651" s="35"/>
      <c r="AL3651" s="35"/>
    </row>
    <row r="3652">
      <c r="A3652" s="1"/>
      <c r="B3652" s="19" t="s">
        <v>17536</v>
      </c>
      <c r="C3652" s="20" t="s">
        <v>17565</v>
      </c>
      <c r="D3652" s="47"/>
      <c r="E3652" s="22" t="s">
        <v>2275</v>
      </c>
      <c r="F3652" s="22" t="s">
        <v>224</v>
      </c>
      <c r="G3652" s="23">
        <v>2023.0</v>
      </c>
      <c r="H3652" s="22" t="s">
        <v>77</v>
      </c>
      <c r="I3652" s="24" t="s">
        <v>17575</v>
      </c>
      <c r="J3652" s="22" t="s">
        <v>17576</v>
      </c>
      <c r="K3652" s="22"/>
      <c r="L3652" s="36" t="s">
        <v>4503</v>
      </c>
      <c r="M3652" s="36" t="s">
        <v>17577</v>
      </c>
      <c r="N3652" s="36"/>
      <c r="O3652" s="36"/>
      <c r="P3652" s="37" t="s">
        <v>17578</v>
      </c>
      <c r="Q3652" s="36"/>
      <c r="R3652" s="36"/>
      <c r="S3652" s="36" t="s">
        <v>1955</v>
      </c>
      <c r="T3652" s="28" t="s">
        <v>17579</v>
      </c>
      <c r="U3652" s="38" t="s">
        <v>61</v>
      </c>
      <c r="V3652" s="30"/>
      <c r="W3652" s="49"/>
      <c r="X3652" s="49"/>
      <c r="Y3652" s="35"/>
      <c r="Z3652" s="35"/>
      <c r="AA3652" s="35"/>
      <c r="AB3652" s="35"/>
      <c r="AC3652" s="35"/>
      <c r="AD3652" s="35"/>
      <c r="AE3652" s="35"/>
      <c r="AF3652" s="35"/>
      <c r="AG3652" s="35"/>
      <c r="AH3652" s="35"/>
      <c r="AI3652" s="35"/>
      <c r="AJ3652" s="35"/>
      <c r="AK3652" s="35"/>
      <c r="AL3652" s="35"/>
    </row>
    <row r="3653">
      <c r="A3653" s="1"/>
      <c r="B3653" s="19" t="s">
        <v>17536</v>
      </c>
      <c r="C3653" s="20" t="s">
        <v>17565</v>
      </c>
      <c r="D3653" s="47"/>
      <c r="E3653" s="22" t="s">
        <v>1948</v>
      </c>
      <c r="F3653" s="22" t="s">
        <v>17580</v>
      </c>
      <c r="G3653" s="23">
        <v>2022.0</v>
      </c>
      <c r="H3653" s="22" t="s">
        <v>91</v>
      </c>
      <c r="I3653" s="24" t="s">
        <v>17581</v>
      </c>
      <c r="J3653" s="22" t="s">
        <v>17582</v>
      </c>
      <c r="K3653" s="22"/>
      <c r="L3653" s="36" t="s">
        <v>4503</v>
      </c>
      <c r="M3653" s="36" t="s">
        <v>17583</v>
      </c>
      <c r="N3653" s="36"/>
      <c r="O3653" s="36" t="s">
        <v>17584</v>
      </c>
      <c r="P3653" s="37" t="s">
        <v>17585</v>
      </c>
      <c r="Q3653" s="36" t="s">
        <v>17586</v>
      </c>
      <c r="R3653" s="36"/>
      <c r="S3653" s="36" t="s">
        <v>2688</v>
      </c>
      <c r="T3653" s="28" t="s">
        <v>17587</v>
      </c>
      <c r="U3653" s="38" t="s">
        <v>61</v>
      </c>
      <c r="V3653" s="30"/>
      <c r="W3653" s="49"/>
      <c r="X3653" s="49"/>
      <c r="Y3653" s="35"/>
      <c r="Z3653" s="35"/>
      <c r="AA3653" s="35"/>
      <c r="AB3653" s="35"/>
      <c r="AC3653" s="35"/>
      <c r="AD3653" s="35"/>
      <c r="AE3653" s="35"/>
      <c r="AF3653" s="35"/>
      <c r="AG3653" s="35"/>
      <c r="AH3653" s="35"/>
      <c r="AI3653" s="35"/>
      <c r="AJ3653" s="35"/>
      <c r="AK3653" s="35"/>
      <c r="AL3653" s="35"/>
    </row>
    <row r="3654">
      <c r="A3654" s="1"/>
      <c r="B3654" s="19" t="s">
        <v>17536</v>
      </c>
      <c r="C3654" s="20" t="s">
        <v>17565</v>
      </c>
      <c r="D3654" s="47"/>
      <c r="E3654" s="22" t="s">
        <v>17588</v>
      </c>
      <c r="F3654" s="22" t="s">
        <v>1943</v>
      </c>
      <c r="G3654" s="23">
        <v>2022.0</v>
      </c>
      <c r="H3654" s="22" t="s">
        <v>17589</v>
      </c>
      <c r="I3654" s="24" t="s">
        <v>17590</v>
      </c>
      <c r="J3654" s="22" t="s">
        <v>17591</v>
      </c>
      <c r="K3654" s="22" t="s">
        <v>17592</v>
      </c>
      <c r="L3654" s="36">
        <v>850.0</v>
      </c>
      <c r="M3654" s="36"/>
      <c r="N3654" s="36"/>
      <c r="O3654" s="36"/>
      <c r="P3654" s="37"/>
      <c r="Q3654" s="36"/>
      <c r="R3654" s="36"/>
      <c r="S3654" s="36"/>
      <c r="T3654" s="28" t="s">
        <v>17593</v>
      </c>
      <c r="U3654" s="38" t="s">
        <v>61</v>
      </c>
      <c r="V3654" s="30" t="s">
        <v>174</v>
      </c>
      <c r="W3654" s="49"/>
      <c r="X3654" s="49"/>
      <c r="Y3654" s="35"/>
      <c r="Z3654" s="35"/>
      <c r="AA3654" s="35"/>
      <c r="AB3654" s="35"/>
      <c r="AC3654" s="35"/>
      <c r="AD3654" s="35"/>
      <c r="AE3654" s="35"/>
      <c r="AF3654" s="35"/>
      <c r="AG3654" s="35"/>
      <c r="AH3654" s="35"/>
      <c r="AI3654" s="35"/>
      <c r="AJ3654" s="35"/>
      <c r="AK3654" s="35"/>
      <c r="AL3654" s="35"/>
    </row>
    <row r="3655">
      <c r="A3655" s="1"/>
      <c r="B3655" s="19" t="s">
        <v>17536</v>
      </c>
      <c r="C3655" s="20" t="s">
        <v>17565</v>
      </c>
      <c r="D3655" s="47"/>
      <c r="E3655" s="22" t="s">
        <v>12701</v>
      </c>
      <c r="F3655" s="22" t="s">
        <v>7945</v>
      </c>
      <c r="G3655" s="23">
        <v>2021.0</v>
      </c>
      <c r="H3655" s="22" t="s">
        <v>17594</v>
      </c>
      <c r="I3655" s="24" t="s">
        <v>17595</v>
      </c>
      <c r="J3655" s="22" t="s">
        <v>17596</v>
      </c>
      <c r="K3655" s="22" t="s">
        <v>2355</v>
      </c>
      <c r="L3655" s="36">
        <v>808.0</v>
      </c>
      <c r="M3655" s="36">
        <v>250.0</v>
      </c>
      <c r="N3655" s="36"/>
      <c r="O3655" s="36"/>
      <c r="P3655" s="37" t="s">
        <v>7303</v>
      </c>
      <c r="Q3655" s="36" t="s">
        <v>17597</v>
      </c>
      <c r="R3655" s="36"/>
      <c r="S3655" s="36" t="s">
        <v>17598</v>
      </c>
      <c r="T3655" s="28" t="s">
        <v>17599</v>
      </c>
      <c r="U3655" s="29" t="s">
        <v>61</v>
      </c>
      <c r="V3655" s="30" t="s">
        <v>17600</v>
      </c>
      <c r="W3655" s="49"/>
      <c r="X3655" s="49"/>
      <c r="Y3655" s="35"/>
      <c r="Z3655" s="35"/>
      <c r="AA3655" s="35"/>
      <c r="AB3655" s="35"/>
      <c r="AC3655" s="35"/>
      <c r="AD3655" s="35"/>
      <c r="AE3655" s="35"/>
      <c r="AF3655" s="35"/>
      <c r="AG3655" s="35"/>
      <c r="AH3655" s="35"/>
      <c r="AI3655" s="35"/>
      <c r="AJ3655" s="35"/>
      <c r="AK3655" s="35"/>
      <c r="AL3655" s="35"/>
    </row>
    <row r="3656">
      <c r="A3656" s="1"/>
      <c r="B3656" s="19" t="s">
        <v>17536</v>
      </c>
      <c r="C3656" s="20" t="s">
        <v>17565</v>
      </c>
      <c r="D3656" s="47"/>
      <c r="E3656" s="22" t="s">
        <v>17601</v>
      </c>
      <c r="F3656" s="22" t="s">
        <v>17602</v>
      </c>
      <c r="G3656" s="23">
        <v>2021.0</v>
      </c>
      <c r="H3656" s="22" t="s">
        <v>147</v>
      </c>
      <c r="I3656" s="24" t="s">
        <v>17603</v>
      </c>
      <c r="J3656" s="22" t="s">
        <v>17604</v>
      </c>
      <c r="K3656" s="22"/>
      <c r="L3656" s="36">
        <v>810.0</v>
      </c>
      <c r="M3656" s="36"/>
      <c r="N3656" s="36" t="s">
        <v>6326</v>
      </c>
      <c r="O3656" s="36"/>
      <c r="P3656" s="37"/>
      <c r="Q3656" s="36" t="s">
        <v>17605</v>
      </c>
      <c r="R3656" s="36"/>
      <c r="S3656" s="36" t="s">
        <v>3280</v>
      </c>
      <c r="T3656" s="42" t="s">
        <v>17606</v>
      </c>
      <c r="U3656" s="29" t="s">
        <v>61</v>
      </c>
      <c r="V3656" s="30"/>
      <c r="W3656" s="49"/>
      <c r="X3656" s="49"/>
      <c r="Y3656" s="35"/>
      <c r="Z3656" s="35"/>
      <c r="AA3656" s="35"/>
      <c r="AB3656" s="35"/>
      <c r="AC3656" s="35"/>
      <c r="AD3656" s="35"/>
      <c r="AE3656" s="35"/>
      <c r="AF3656" s="35"/>
      <c r="AG3656" s="35"/>
      <c r="AH3656" s="35"/>
      <c r="AI3656" s="35"/>
      <c r="AJ3656" s="35"/>
      <c r="AK3656" s="35"/>
      <c r="AL3656" s="35"/>
    </row>
    <row r="3657">
      <c r="A3657" s="1"/>
      <c r="B3657" s="19" t="s">
        <v>17536</v>
      </c>
      <c r="C3657" s="20" t="s">
        <v>17565</v>
      </c>
      <c r="D3657" s="47"/>
      <c r="E3657" s="22" t="s">
        <v>17607</v>
      </c>
      <c r="F3657" s="22" t="s">
        <v>540</v>
      </c>
      <c r="G3657" s="23">
        <v>2021.0</v>
      </c>
      <c r="H3657" s="22" t="s">
        <v>2483</v>
      </c>
      <c r="I3657" s="24" t="s">
        <v>17608</v>
      </c>
      <c r="J3657" s="22" t="s">
        <v>17609</v>
      </c>
      <c r="K3657" s="22"/>
      <c r="L3657" s="36">
        <v>808.0</v>
      </c>
      <c r="M3657" s="36">
        <v>1000.0</v>
      </c>
      <c r="N3657" s="36">
        <v>1.0</v>
      </c>
      <c r="O3657" s="36">
        <v>60.0</v>
      </c>
      <c r="P3657" s="37" t="s">
        <v>1028</v>
      </c>
      <c r="Q3657" s="36" t="s">
        <v>501</v>
      </c>
      <c r="R3657" s="36">
        <v>60.0</v>
      </c>
      <c r="S3657" s="36" t="s">
        <v>17610</v>
      </c>
      <c r="T3657" s="28" t="s">
        <v>17611</v>
      </c>
      <c r="U3657" s="29" t="s">
        <v>2453</v>
      </c>
      <c r="V3657" s="30"/>
      <c r="W3657" s="49"/>
      <c r="X3657" s="49"/>
      <c r="Y3657" s="35"/>
      <c r="Z3657" s="35"/>
      <c r="AA3657" s="35"/>
      <c r="AB3657" s="35"/>
      <c r="AC3657" s="35"/>
      <c r="AD3657" s="35"/>
      <c r="AE3657" s="35"/>
      <c r="AF3657" s="35"/>
      <c r="AG3657" s="35"/>
      <c r="AH3657" s="35"/>
      <c r="AI3657" s="35"/>
      <c r="AJ3657" s="35"/>
      <c r="AK3657" s="35"/>
      <c r="AL3657" s="35"/>
    </row>
    <row r="3658">
      <c r="A3658" s="1"/>
      <c r="B3658" s="19" t="s">
        <v>17536</v>
      </c>
      <c r="C3658" s="20" t="s">
        <v>17565</v>
      </c>
      <c r="D3658" s="47"/>
      <c r="E3658" s="22" t="s">
        <v>17612</v>
      </c>
      <c r="F3658" s="22" t="s">
        <v>17613</v>
      </c>
      <c r="G3658" s="23">
        <v>2020.0</v>
      </c>
      <c r="H3658" s="22" t="s">
        <v>17614</v>
      </c>
      <c r="I3658" s="24" t="s">
        <v>17615</v>
      </c>
      <c r="J3658" s="22" t="s">
        <v>2141</v>
      </c>
      <c r="K3658" s="22"/>
      <c r="L3658" s="168"/>
      <c r="M3658" s="168"/>
      <c r="N3658" s="168"/>
      <c r="O3658" s="168"/>
      <c r="P3658" s="169"/>
      <c r="Q3658" s="168"/>
      <c r="R3658" s="168"/>
      <c r="S3658" s="168"/>
      <c r="T3658" s="185" t="s">
        <v>17616</v>
      </c>
      <c r="U3658" s="29" t="s">
        <v>61</v>
      </c>
      <c r="V3658" s="30"/>
      <c r="W3658" s="49"/>
      <c r="X3658" s="49"/>
      <c r="Y3658" s="35"/>
      <c r="Z3658" s="35"/>
      <c r="AA3658" s="35"/>
      <c r="AB3658" s="35"/>
      <c r="AC3658" s="35"/>
      <c r="AD3658" s="35"/>
      <c r="AE3658" s="35"/>
      <c r="AF3658" s="35"/>
      <c r="AG3658" s="35"/>
      <c r="AH3658" s="35"/>
      <c r="AI3658" s="35"/>
      <c r="AJ3658" s="35"/>
      <c r="AK3658" s="35"/>
      <c r="AL3658" s="35"/>
    </row>
    <row r="3659">
      <c r="A3659" s="1"/>
      <c r="B3659" s="19" t="s">
        <v>17536</v>
      </c>
      <c r="C3659" s="20" t="s">
        <v>17565</v>
      </c>
      <c r="D3659" s="47"/>
      <c r="E3659" s="22" t="s">
        <v>17617</v>
      </c>
      <c r="F3659" s="22" t="s">
        <v>1046</v>
      </c>
      <c r="G3659" s="23">
        <v>2020.0</v>
      </c>
      <c r="H3659" s="22" t="s">
        <v>147</v>
      </c>
      <c r="I3659" s="24" t="s">
        <v>17618</v>
      </c>
      <c r="J3659" s="22" t="s">
        <v>17619</v>
      </c>
      <c r="K3659" s="22"/>
      <c r="L3659" s="36" t="s">
        <v>17620</v>
      </c>
      <c r="M3659" s="36">
        <v>334.0</v>
      </c>
      <c r="N3659" s="36"/>
      <c r="O3659" s="36"/>
      <c r="P3659" s="37" t="s">
        <v>709</v>
      </c>
      <c r="Q3659" s="36" t="s">
        <v>675</v>
      </c>
      <c r="R3659" s="36"/>
      <c r="S3659" s="36" t="s">
        <v>4905</v>
      </c>
      <c r="T3659" s="28" t="s">
        <v>17621</v>
      </c>
      <c r="U3659" s="29" t="s">
        <v>61</v>
      </c>
      <c r="V3659" s="30"/>
      <c r="W3659" s="49"/>
      <c r="X3659" s="49"/>
      <c r="Y3659" s="35"/>
      <c r="Z3659" s="35"/>
      <c r="AA3659" s="35"/>
      <c r="AB3659" s="35"/>
      <c r="AC3659" s="35"/>
      <c r="AD3659" s="35"/>
      <c r="AE3659" s="35"/>
      <c r="AF3659" s="35"/>
      <c r="AG3659" s="35"/>
      <c r="AH3659" s="35"/>
      <c r="AI3659" s="35"/>
      <c r="AJ3659" s="35"/>
      <c r="AK3659" s="35"/>
      <c r="AL3659" s="35"/>
    </row>
    <row r="3660">
      <c r="A3660" s="1"/>
      <c r="B3660" s="19" t="s">
        <v>17536</v>
      </c>
      <c r="C3660" s="20" t="s">
        <v>17565</v>
      </c>
      <c r="D3660" s="47"/>
      <c r="E3660" s="22" t="s">
        <v>17622</v>
      </c>
      <c r="F3660" s="22" t="s">
        <v>41</v>
      </c>
      <c r="G3660" s="23">
        <v>2020.0</v>
      </c>
      <c r="H3660" s="22" t="s">
        <v>77</v>
      </c>
      <c r="I3660" s="24" t="s">
        <v>17623</v>
      </c>
      <c r="J3660" s="22" t="s">
        <v>17624</v>
      </c>
      <c r="K3660" s="22"/>
      <c r="L3660" s="36" t="s">
        <v>6257</v>
      </c>
      <c r="M3660" s="36"/>
      <c r="N3660" s="36"/>
      <c r="O3660" s="36"/>
      <c r="P3660" s="37"/>
      <c r="Q3660" s="36"/>
      <c r="R3660" s="36"/>
      <c r="S3660" s="36" t="s">
        <v>6552</v>
      </c>
      <c r="T3660" s="28" t="s">
        <v>17625</v>
      </c>
      <c r="U3660" s="29" t="s">
        <v>61</v>
      </c>
      <c r="V3660" s="30"/>
      <c r="W3660" s="49"/>
      <c r="X3660" s="49"/>
      <c r="Y3660" s="35"/>
      <c r="Z3660" s="35"/>
      <c r="AA3660" s="35"/>
      <c r="AB3660" s="35"/>
      <c r="AC3660" s="35"/>
      <c r="AD3660" s="35"/>
      <c r="AE3660" s="35"/>
      <c r="AF3660" s="35"/>
      <c r="AG3660" s="35"/>
      <c r="AH3660" s="35"/>
      <c r="AI3660" s="35"/>
      <c r="AJ3660" s="35"/>
      <c r="AK3660" s="35"/>
      <c r="AL3660" s="35"/>
    </row>
    <row r="3661">
      <c r="A3661" s="18"/>
      <c r="B3661" s="19" t="s">
        <v>17536</v>
      </c>
      <c r="C3661" s="20" t="s">
        <v>17565</v>
      </c>
      <c r="D3661" s="47"/>
      <c r="E3661" s="22" t="s">
        <v>17626</v>
      </c>
      <c r="F3661" s="22" t="s">
        <v>323</v>
      </c>
      <c r="G3661" s="23">
        <v>2020.0</v>
      </c>
      <c r="H3661" s="22" t="s">
        <v>91</v>
      </c>
      <c r="I3661" s="24" t="s">
        <v>17627</v>
      </c>
      <c r="J3661" s="22" t="s">
        <v>649</v>
      </c>
      <c r="K3661" s="22"/>
      <c r="L3661" s="167" t="s">
        <v>17628</v>
      </c>
      <c r="M3661" s="44"/>
      <c r="N3661" s="44"/>
      <c r="O3661" s="44"/>
      <c r="P3661" s="44"/>
      <c r="Q3661" s="44"/>
      <c r="R3661" s="44"/>
      <c r="S3661" s="44"/>
      <c r="T3661" s="45"/>
      <c r="U3661" s="38" t="str">
        <f>HYPERLINK("https://www.ncbi.nlm.nih.gov/pubmed/32318918","PubMed")</f>
        <v>PubMed</v>
      </c>
      <c r="V3661" s="30"/>
      <c r="W3661" s="49"/>
      <c r="X3661" s="49"/>
      <c r="Y3661" s="35"/>
      <c r="Z3661" s="35"/>
      <c r="AA3661" s="35"/>
      <c r="AB3661" s="35"/>
      <c r="AC3661" s="35"/>
      <c r="AD3661" s="35"/>
      <c r="AE3661" s="35"/>
      <c r="AF3661" s="35"/>
      <c r="AG3661" s="35"/>
      <c r="AH3661" s="35"/>
      <c r="AI3661" s="35"/>
      <c r="AJ3661" s="35"/>
      <c r="AK3661" s="35"/>
      <c r="AL3661" s="35"/>
    </row>
    <row r="3662">
      <c r="A3662" s="18" t="s">
        <v>181</v>
      </c>
      <c r="B3662" s="19" t="s">
        <v>17536</v>
      </c>
      <c r="C3662" s="20" t="s">
        <v>17565</v>
      </c>
      <c r="D3662" s="47"/>
      <c r="E3662" s="22" t="s">
        <v>17629</v>
      </c>
      <c r="F3662" s="22" t="s">
        <v>41</v>
      </c>
      <c r="G3662" s="23">
        <v>2020.0</v>
      </c>
      <c r="H3662" s="22" t="s">
        <v>17630</v>
      </c>
      <c r="I3662" s="24" t="s">
        <v>17631</v>
      </c>
      <c r="J3662" s="22" t="s">
        <v>17632</v>
      </c>
      <c r="K3662" s="22"/>
      <c r="L3662" s="36">
        <v>808.0</v>
      </c>
      <c r="M3662" s="36">
        <v>100.0</v>
      </c>
      <c r="N3662" s="36"/>
      <c r="O3662" s="36" t="s">
        <v>17633</v>
      </c>
      <c r="P3662" s="37" t="s">
        <v>279</v>
      </c>
      <c r="Q3662" s="36"/>
      <c r="R3662" s="36" t="s">
        <v>17634</v>
      </c>
      <c r="S3662" s="36" t="s">
        <v>17635</v>
      </c>
      <c r="T3662" s="28" t="s">
        <v>17636</v>
      </c>
      <c r="U3662" s="38" t="str">
        <f>HYPERLINK("https://www.ncbi.nlm.nih.gov/pubmed/32231809","PubMed")</f>
        <v>PubMed</v>
      </c>
      <c r="V3662" s="30"/>
      <c r="W3662" s="49"/>
      <c r="X3662" s="49"/>
      <c r="Y3662" s="35"/>
      <c r="Z3662" s="35"/>
      <c r="AA3662" s="35"/>
      <c r="AB3662" s="35"/>
      <c r="AC3662" s="35"/>
      <c r="AD3662" s="35"/>
      <c r="AE3662" s="35"/>
      <c r="AF3662" s="35"/>
      <c r="AG3662" s="35"/>
      <c r="AH3662" s="35"/>
      <c r="AI3662" s="35"/>
      <c r="AJ3662" s="35"/>
      <c r="AK3662" s="35"/>
      <c r="AL3662" s="35"/>
    </row>
    <row r="3663">
      <c r="A3663" s="1"/>
      <c r="B3663" s="19" t="s">
        <v>17536</v>
      </c>
      <c r="C3663" s="20" t="s">
        <v>17565</v>
      </c>
      <c r="D3663" s="47"/>
      <c r="E3663" s="22" t="s">
        <v>17601</v>
      </c>
      <c r="F3663" s="22" t="s">
        <v>1508</v>
      </c>
      <c r="G3663" s="23">
        <v>2019.0</v>
      </c>
      <c r="H3663" s="22" t="s">
        <v>3828</v>
      </c>
      <c r="I3663" s="24" t="s">
        <v>17637</v>
      </c>
      <c r="J3663" s="22" t="s">
        <v>2141</v>
      </c>
      <c r="K3663" s="22"/>
      <c r="L3663" s="168"/>
      <c r="M3663" s="168"/>
      <c r="N3663" s="168"/>
      <c r="O3663" s="168"/>
      <c r="P3663" s="169"/>
      <c r="Q3663" s="168"/>
      <c r="R3663" s="168"/>
      <c r="S3663" s="168"/>
      <c r="T3663" s="185"/>
      <c r="U3663" s="38" t="str">
        <f>HYPERLINK("https://www.ncbi.nlm.nih.gov/pubmed/30985671","PubMed")</f>
        <v>PubMed</v>
      </c>
      <c r="V3663" s="30"/>
      <c r="W3663" s="49"/>
      <c r="X3663" s="49"/>
      <c r="Y3663" s="35"/>
      <c r="Z3663" s="35"/>
      <c r="AA3663" s="35"/>
      <c r="AB3663" s="35"/>
      <c r="AC3663" s="35"/>
      <c r="AD3663" s="35"/>
      <c r="AE3663" s="35"/>
      <c r="AF3663" s="35"/>
      <c r="AG3663" s="35"/>
      <c r="AH3663" s="35"/>
      <c r="AI3663" s="35"/>
      <c r="AJ3663" s="35"/>
      <c r="AK3663" s="35"/>
      <c r="AL3663" s="35"/>
    </row>
    <row r="3664">
      <c r="A3664" s="1"/>
      <c r="B3664" s="19" t="s">
        <v>17536</v>
      </c>
      <c r="C3664" s="20" t="s">
        <v>17565</v>
      </c>
      <c r="D3664" s="47"/>
      <c r="E3664" s="22" t="s">
        <v>17638</v>
      </c>
      <c r="F3664" s="22" t="s">
        <v>17639</v>
      </c>
      <c r="G3664" s="23">
        <v>2018.0</v>
      </c>
      <c r="H3664" s="22" t="s">
        <v>17640</v>
      </c>
      <c r="I3664" s="24" t="s">
        <v>17641</v>
      </c>
      <c r="J3664" s="22" t="s">
        <v>17642</v>
      </c>
      <c r="K3664" s="22" t="s">
        <v>17643</v>
      </c>
      <c r="L3664" s="36">
        <v>830.0</v>
      </c>
      <c r="M3664" s="36">
        <v>100.0</v>
      </c>
      <c r="N3664" s="36"/>
      <c r="O3664" s="36"/>
      <c r="P3664" s="37" t="s">
        <v>777</v>
      </c>
      <c r="Q3664" s="36"/>
      <c r="R3664" s="36" t="s">
        <v>12923</v>
      </c>
      <c r="S3664" s="36">
        <v>3.0</v>
      </c>
      <c r="T3664" s="28" t="s">
        <v>17644</v>
      </c>
      <c r="U3664" s="38" t="str">
        <f>HYPERLINK("https://www.ncbi.nlm.nih.gov/pubmed/30218464","PubMed")</f>
        <v>PubMed</v>
      </c>
      <c r="V3664" s="30"/>
      <c r="W3664" s="49"/>
      <c r="X3664" s="49"/>
      <c r="Y3664" s="35"/>
      <c r="Z3664" s="35"/>
      <c r="AA3664" s="35"/>
      <c r="AB3664" s="35"/>
      <c r="AC3664" s="35"/>
      <c r="AD3664" s="35"/>
      <c r="AE3664" s="35"/>
      <c r="AF3664" s="35"/>
      <c r="AG3664" s="35"/>
      <c r="AH3664" s="35"/>
      <c r="AI3664" s="35"/>
      <c r="AJ3664" s="35"/>
      <c r="AK3664" s="35"/>
      <c r="AL3664" s="35"/>
    </row>
    <row r="3665">
      <c r="A3665" s="1"/>
      <c r="B3665" s="19" t="s">
        <v>17536</v>
      </c>
      <c r="C3665" s="20" t="s">
        <v>17565</v>
      </c>
      <c r="D3665" s="47"/>
      <c r="E3665" s="22" t="s">
        <v>17645</v>
      </c>
      <c r="F3665" s="22" t="s">
        <v>13162</v>
      </c>
      <c r="G3665" s="23" t="s">
        <v>90</v>
      </c>
      <c r="H3665" s="22" t="s">
        <v>91</v>
      </c>
      <c r="I3665" s="24" t="s">
        <v>17646</v>
      </c>
      <c r="J3665" s="22" t="s">
        <v>17647</v>
      </c>
      <c r="K3665" s="22" t="s">
        <v>17648</v>
      </c>
      <c r="L3665" s="36">
        <v>830.0</v>
      </c>
      <c r="M3665" s="36">
        <v>100.0</v>
      </c>
      <c r="N3665" s="36"/>
      <c r="O3665" s="36"/>
      <c r="P3665" s="37" t="s">
        <v>17649</v>
      </c>
      <c r="Q3665" s="36"/>
      <c r="R3665" s="36"/>
      <c r="S3665" s="36" t="s">
        <v>3280</v>
      </c>
      <c r="T3665" s="28" t="s">
        <v>17650</v>
      </c>
      <c r="U3665" s="38" t="str">
        <f>HYPERLINK("https://www.ncbi.nlm.nih.gov/pubmed/28337563","PubMed")</f>
        <v>PubMed</v>
      </c>
      <c r="V3665" s="30"/>
      <c r="W3665" s="49"/>
      <c r="X3665" s="49"/>
      <c r="Y3665" s="35"/>
      <c r="Z3665" s="35"/>
      <c r="AA3665" s="35"/>
      <c r="AB3665" s="35"/>
      <c r="AC3665" s="35"/>
      <c r="AD3665" s="35"/>
      <c r="AE3665" s="35"/>
      <c r="AF3665" s="35"/>
      <c r="AG3665" s="35"/>
      <c r="AH3665" s="35"/>
      <c r="AI3665" s="35"/>
      <c r="AJ3665" s="35"/>
      <c r="AK3665" s="35"/>
      <c r="AL3665" s="35"/>
    </row>
    <row r="3666">
      <c r="A3666" s="1"/>
      <c r="B3666" s="19" t="s">
        <v>17536</v>
      </c>
      <c r="C3666" s="20" t="s">
        <v>17565</v>
      </c>
      <c r="D3666" s="47"/>
      <c r="E3666" s="22" t="s">
        <v>17651</v>
      </c>
      <c r="F3666" s="22" t="s">
        <v>1370</v>
      </c>
      <c r="G3666" s="23">
        <v>2014.0</v>
      </c>
      <c r="H3666" s="22" t="s">
        <v>14084</v>
      </c>
      <c r="I3666" s="24" t="s">
        <v>17652</v>
      </c>
      <c r="J3666" s="22" t="s">
        <v>17653</v>
      </c>
      <c r="K3666" s="22" t="s">
        <v>17654</v>
      </c>
      <c r="L3666" s="36">
        <v>890.0</v>
      </c>
      <c r="M3666" s="36"/>
      <c r="N3666" s="36"/>
      <c r="O3666" s="36"/>
      <c r="P3666" s="37"/>
      <c r="Q3666" s="36"/>
      <c r="R3666" s="36">
        <v>1800.0</v>
      </c>
      <c r="S3666" s="36" t="s">
        <v>17655</v>
      </c>
      <c r="T3666" s="42" t="s">
        <v>17656</v>
      </c>
      <c r="U3666" s="38" t="str">
        <f>HYPERLINK("https://www.ncbi.nlm.nih.gov/pubmed/25685117","PubMed")</f>
        <v>PubMed</v>
      </c>
      <c r="V3666" s="30"/>
      <c r="W3666" s="49"/>
      <c r="X3666" s="49"/>
      <c r="Y3666" s="35"/>
      <c r="Z3666" s="35"/>
      <c r="AA3666" s="35"/>
      <c r="AB3666" s="35"/>
      <c r="AC3666" s="35"/>
      <c r="AD3666" s="35"/>
      <c r="AE3666" s="35"/>
      <c r="AF3666" s="35"/>
      <c r="AG3666" s="35"/>
      <c r="AH3666" s="35"/>
      <c r="AI3666" s="35"/>
      <c r="AJ3666" s="35"/>
      <c r="AK3666" s="35"/>
      <c r="AL3666" s="35"/>
    </row>
    <row r="3667">
      <c r="A3667" s="1"/>
      <c r="B3667" s="19" t="s">
        <v>17536</v>
      </c>
      <c r="C3667" s="20" t="s">
        <v>17565</v>
      </c>
      <c r="D3667" s="47"/>
      <c r="E3667" s="22" t="s">
        <v>1948</v>
      </c>
      <c r="F3667" s="22" t="s">
        <v>1943</v>
      </c>
      <c r="G3667" s="23">
        <v>2014.0</v>
      </c>
      <c r="H3667" s="22" t="s">
        <v>91</v>
      </c>
      <c r="I3667" s="24" t="s">
        <v>17657</v>
      </c>
      <c r="J3667" s="22" t="s">
        <v>17658</v>
      </c>
      <c r="K3667" s="22" t="s">
        <v>17659</v>
      </c>
      <c r="L3667" s="36" t="s">
        <v>8531</v>
      </c>
      <c r="M3667" s="36"/>
      <c r="N3667" s="36"/>
      <c r="O3667" s="36" t="s">
        <v>17660</v>
      </c>
      <c r="P3667" s="37" t="s">
        <v>12937</v>
      </c>
      <c r="Q3667" s="36"/>
      <c r="R3667" s="36" t="s">
        <v>17661</v>
      </c>
      <c r="S3667" s="36" t="s">
        <v>3280</v>
      </c>
      <c r="T3667" s="28" t="s">
        <v>17662</v>
      </c>
      <c r="U3667" s="38" t="str">
        <f>HYPERLINK("https://www.ncbi.nlm.nih.gov/pubmed/23709010","PubMed")</f>
        <v>PubMed</v>
      </c>
      <c r="V3667" s="30"/>
      <c r="W3667" s="49"/>
      <c r="X3667" s="49"/>
      <c r="Y3667" s="35"/>
      <c r="Z3667" s="35"/>
      <c r="AA3667" s="35"/>
      <c r="AB3667" s="35"/>
      <c r="AC3667" s="35"/>
      <c r="AD3667" s="35"/>
      <c r="AE3667" s="35"/>
      <c r="AF3667" s="35"/>
      <c r="AG3667" s="35"/>
      <c r="AH3667" s="35"/>
      <c r="AI3667" s="35"/>
      <c r="AJ3667" s="35"/>
      <c r="AK3667" s="35"/>
      <c r="AL3667" s="35"/>
    </row>
    <row r="3668">
      <c r="A3668" s="1"/>
      <c r="B3668" s="19" t="s">
        <v>17536</v>
      </c>
      <c r="C3668" s="20" t="s">
        <v>17565</v>
      </c>
      <c r="D3668" s="47"/>
      <c r="E3668" s="22" t="s">
        <v>17663</v>
      </c>
      <c r="F3668" s="22" t="s">
        <v>17664</v>
      </c>
      <c r="G3668" s="23">
        <v>2013.0</v>
      </c>
      <c r="H3668" s="22" t="s">
        <v>14084</v>
      </c>
      <c r="I3668" s="24" t="s">
        <v>17665</v>
      </c>
      <c r="J3668" s="22" t="s">
        <v>17666</v>
      </c>
      <c r="K3668" s="22"/>
      <c r="L3668" s="36">
        <v>910.0</v>
      </c>
      <c r="M3668" s="36" t="s">
        <v>58</v>
      </c>
      <c r="N3668" s="36" t="s">
        <v>58</v>
      </c>
      <c r="O3668" s="36" t="s">
        <v>17667</v>
      </c>
      <c r="P3668" s="37" t="s">
        <v>58</v>
      </c>
      <c r="Q3668" s="36" t="s">
        <v>58</v>
      </c>
      <c r="R3668" s="36">
        <v>1020.0</v>
      </c>
      <c r="S3668" s="36">
        <v>2.0</v>
      </c>
      <c r="T3668" s="28" t="s">
        <v>17668</v>
      </c>
      <c r="U3668" s="38" t="str">
        <f>HYPERLINK("https://www.ncbi.nlm.nih.gov/pubmed/24396332","PubMed")</f>
        <v>PubMed</v>
      </c>
      <c r="V3668" s="30"/>
      <c r="W3668" s="49"/>
      <c r="X3668" s="49"/>
      <c r="Y3668" s="35"/>
      <c r="Z3668" s="35"/>
      <c r="AA3668" s="35"/>
      <c r="AB3668" s="35"/>
      <c r="AC3668" s="35"/>
      <c r="AD3668" s="35"/>
      <c r="AE3668" s="35"/>
      <c r="AF3668" s="35"/>
      <c r="AG3668" s="35"/>
      <c r="AH3668" s="35"/>
      <c r="AI3668" s="35"/>
      <c r="AJ3668" s="35"/>
      <c r="AK3668" s="35"/>
      <c r="AL3668" s="35"/>
    </row>
    <row r="3669">
      <c r="A3669" s="1"/>
      <c r="B3669" s="19" t="s">
        <v>17536</v>
      </c>
      <c r="C3669" s="20" t="s">
        <v>17565</v>
      </c>
      <c r="D3669" s="47"/>
      <c r="E3669" s="22" t="s">
        <v>17669</v>
      </c>
      <c r="F3669" s="22" t="s">
        <v>308</v>
      </c>
      <c r="G3669" s="23">
        <v>2013.0</v>
      </c>
      <c r="H3669" s="22" t="s">
        <v>4928</v>
      </c>
      <c r="I3669" s="24" t="s">
        <v>17670</v>
      </c>
      <c r="J3669" s="22" t="s">
        <v>7407</v>
      </c>
      <c r="K3669" s="22"/>
      <c r="L3669" s="36" t="s">
        <v>17671</v>
      </c>
      <c r="M3669" s="36"/>
      <c r="N3669" s="36"/>
      <c r="O3669" s="36"/>
      <c r="P3669" s="37"/>
      <c r="Q3669" s="36" t="s">
        <v>830</v>
      </c>
      <c r="R3669" s="36"/>
      <c r="S3669" s="36" t="s">
        <v>17672</v>
      </c>
      <c r="T3669" s="28" t="s">
        <v>17673</v>
      </c>
      <c r="U3669" s="38" t="str">
        <f>HYPERLINK("https://www.ncbi.nlm.nih.gov/pubmed/23140111","PubMed")</f>
        <v>PubMed</v>
      </c>
      <c r="V3669" s="30"/>
      <c r="W3669" s="49"/>
      <c r="X3669" s="49"/>
      <c r="Y3669" s="35"/>
      <c r="Z3669" s="35"/>
      <c r="AA3669" s="35"/>
      <c r="AB3669" s="35"/>
      <c r="AC3669" s="35"/>
      <c r="AD3669" s="35"/>
      <c r="AE3669" s="35"/>
      <c r="AF3669" s="35"/>
      <c r="AG3669" s="35"/>
      <c r="AH3669" s="35"/>
      <c r="AI3669" s="35"/>
      <c r="AJ3669" s="35"/>
      <c r="AK3669" s="35"/>
      <c r="AL3669" s="35"/>
    </row>
    <row r="3670">
      <c r="A3670" s="1"/>
      <c r="B3670" s="19" t="s">
        <v>17536</v>
      </c>
      <c r="C3670" s="20" t="s">
        <v>17565</v>
      </c>
      <c r="D3670" s="47"/>
      <c r="E3670" s="22" t="s">
        <v>13272</v>
      </c>
      <c r="F3670" s="22" t="s">
        <v>5042</v>
      </c>
      <c r="G3670" s="23">
        <v>1995.0</v>
      </c>
      <c r="H3670" s="22" t="s">
        <v>292</v>
      </c>
      <c r="I3670" s="24" t="s">
        <v>17674</v>
      </c>
      <c r="J3670" s="22" t="s">
        <v>17675</v>
      </c>
      <c r="K3670" s="22" t="s">
        <v>17676</v>
      </c>
      <c r="L3670" s="36">
        <v>830.0</v>
      </c>
      <c r="M3670" s="36">
        <v>150.0</v>
      </c>
      <c r="N3670" s="36"/>
      <c r="O3670" s="36" t="s">
        <v>17677</v>
      </c>
      <c r="P3670" s="37" t="s">
        <v>17678</v>
      </c>
      <c r="Q3670" s="36"/>
      <c r="R3670" s="36" t="s">
        <v>17679</v>
      </c>
      <c r="S3670" s="36"/>
      <c r="T3670" s="28" t="s">
        <v>17680</v>
      </c>
      <c r="U3670" s="38" t="str">
        <f>HYPERLINK("https://www.jstage.jst.go.jp/article/islsm/7/4/7_95-OR-19/_article/-char/en","J-STAGE")</f>
        <v>J-STAGE</v>
      </c>
      <c r="V3670" s="30"/>
      <c r="W3670" s="49"/>
      <c r="X3670" s="49"/>
      <c r="Y3670" s="35"/>
      <c r="Z3670" s="35"/>
      <c r="AA3670" s="35"/>
      <c r="AB3670" s="35"/>
      <c r="AC3670" s="35"/>
      <c r="AD3670" s="35"/>
      <c r="AE3670" s="35"/>
      <c r="AF3670" s="35"/>
      <c r="AG3670" s="35"/>
      <c r="AH3670" s="35"/>
      <c r="AI3670" s="35"/>
      <c r="AJ3670" s="35"/>
      <c r="AK3670" s="35"/>
      <c r="AL3670" s="35"/>
    </row>
    <row r="3671">
      <c r="A3671" s="1"/>
      <c r="B3671" s="19" t="s">
        <v>17536</v>
      </c>
      <c r="C3671" s="20" t="s">
        <v>17565</v>
      </c>
      <c r="D3671" s="47"/>
      <c r="E3671" s="22" t="s">
        <v>17681</v>
      </c>
      <c r="F3671" s="22" t="s">
        <v>17682</v>
      </c>
      <c r="G3671" s="23">
        <v>1993.0</v>
      </c>
      <c r="H3671" s="22" t="s">
        <v>292</v>
      </c>
      <c r="I3671" s="24" t="s">
        <v>17683</v>
      </c>
      <c r="J3671" s="22" t="s">
        <v>17684</v>
      </c>
      <c r="K3671" s="22"/>
      <c r="L3671" s="36" t="s">
        <v>4922</v>
      </c>
      <c r="M3671" s="36" t="s">
        <v>17685</v>
      </c>
      <c r="N3671" s="36"/>
      <c r="O3671" s="36"/>
      <c r="P3671" s="37"/>
      <c r="Q3671" s="36" t="s">
        <v>17686</v>
      </c>
      <c r="R3671" s="36"/>
      <c r="S3671" s="36" t="s">
        <v>17687</v>
      </c>
      <c r="T3671" s="28" t="s">
        <v>17688</v>
      </c>
      <c r="U3671" s="38" t="str">
        <f>HYPERLINK("https://www.jstage.jst.go.jp/article/islsm/5/2/5_93-OR-09/_article/-char/en","J-STAGE")</f>
        <v>J-STAGE</v>
      </c>
      <c r="V3671" s="30"/>
      <c r="W3671" s="49"/>
      <c r="X3671" s="49"/>
      <c r="Y3671" s="35"/>
      <c r="Z3671" s="35"/>
      <c r="AA3671" s="35"/>
      <c r="AB3671" s="35"/>
      <c r="AC3671" s="35"/>
      <c r="AD3671" s="35"/>
      <c r="AE3671" s="35"/>
      <c r="AF3671" s="35"/>
      <c r="AG3671" s="35"/>
      <c r="AH3671" s="35"/>
      <c r="AI3671" s="35"/>
      <c r="AJ3671" s="35"/>
      <c r="AK3671" s="35"/>
      <c r="AL3671" s="35"/>
    </row>
    <row r="3672">
      <c r="A3672" s="1"/>
      <c r="B3672" s="19" t="s">
        <v>17536</v>
      </c>
      <c r="C3672" s="20" t="s">
        <v>17565</v>
      </c>
      <c r="D3672" s="47"/>
      <c r="E3672" s="22" t="s">
        <v>17689</v>
      </c>
      <c r="F3672" s="22" t="s">
        <v>7811</v>
      </c>
      <c r="G3672" s="23">
        <v>1993.0</v>
      </c>
      <c r="H3672" s="22" t="s">
        <v>292</v>
      </c>
      <c r="I3672" s="24" t="s">
        <v>17690</v>
      </c>
      <c r="J3672" s="22" t="s">
        <v>17691</v>
      </c>
      <c r="K3672" s="22" t="s">
        <v>17692</v>
      </c>
      <c r="L3672" s="36">
        <v>830.0</v>
      </c>
      <c r="M3672" s="36">
        <v>60.0</v>
      </c>
      <c r="N3672" s="36"/>
      <c r="O3672" s="36"/>
      <c r="P3672" s="37"/>
      <c r="Q3672" s="36"/>
      <c r="R3672" s="36"/>
      <c r="S3672" s="36"/>
      <c r="T3672" s="42" t="s">
        <v>17693</v>
      </c>
      <c r="U3672" s="38" t="str">
        <f>HYPERLINK("https://www.jstage.jst.go.jp/article/islsm/5/3/5_93-OR-15/_article/-char/en","J-STAGE")</f>
        <v>J-STAGE</v>
      </c>
      <c r="V3672" s="30"/>
      <c r="W3672" s="49"/>
      <c r="X3672" s="49"/>
      <c r="Y3672" s="35"/>
      <c r="Z3672" s="35"/>
      <c r="AA3672" s="35"/>
      <c r="AB3672" s="35"/>
      <c r="AC3672" s="35"/>
      <c r="AD3672" s="35"/>
      <c r="AE3672" s="35"/>
      <c r="AF3672" s="35"/>
      <c r="AG3672" s="35"/>
      <c r="AH3672" s="35"/>
      <c r="AI3672" s="35"/>
      <c r="AJ3672" s="35"/>
      <c r="AK3672" s="35"/>
      <c r="AL3672" s="35"/>
    </row>
    <row r="3673">
      <c r="A3673" s="1"/>
      <c r="B3673" s="19" t="s">
        <v>17536</v>
      </c>
      <c r="C3673" s="20" t="s">
        <v>17694</v>
      </c>
      <c r="D3673" s="47"/>
      <c r="E3673" s="22" t="s">
        <v>992</v>
      </c>
      <c r="F3673" s="22" t="s">
        <v>510</v>
      </c>
      <c r="G3673" s="23">
        <v>2019.0</v>
      </c>
      <c r="H3673" s="22" t="s">
        <v>3828</v>
      </c>
      <c r="I3673" s="24" t="s">
        <v>17695</v>
      </c>
      <c r="J3673" s="22" t="s">
        <v>2141</v>
      </c>
      <c r="K3673" s="22"/>
      <c r="L3673" s="168"/>
      <c r="M3673" s="168"/>
      <c r="N3673" s="168"/>
      <c r="O3673" s="168"/>
      <c r="P3673" s="169"/>
      <c r="Q3673" s="168"/>
      <c r="R3673" s="168"/>
      <c r="S3673" s="168"/>
      <c r="T3673" s="185"/>
      <c r="U3673" s="153" t="str">
        <f>HYPERLINK("https://www.ncbi.nlm.nih.gov/pubmed/31232920","PubMed")</f>
        <v>PubMed</v>
      </c>
      <c r="V3673" s="30"/>
      <c r="W3673" s="49"/>
      <c r="X3673" s="49"/>
      <c r="Y3673" s="35"/>
      <c r="Z3673" s="35"/>
      <c r="AA3673" s="35"/>
      <c r="AB3673" s="35"/>
      <c r="AC3673" s="35"/>
      <c r="AD3673" s="35"/>
      <c r="AE3673" s="35"/>
      <c r="AF3673" s="35"/>
      <c r="AG3673" s="35"/>
      <c r="AH3673" s="35"/>
      <c r="AI3673" s="35"/>
      <c r="AJ3673" s="35"/>
      <c r="AK3673" s="35"/>
      <c r="AL3673" s="35"/>
    </row>
    <row r="3674">
      <c r="A3674" s="1"/>
      <c r="B3674" s="19" t="s">
        <v>17536</v>
      </c>
      <c r="C3674" s="20" t="s">
        <v>17696</v>
      </c>
      <c r="D3674" s="47"/>
      <c r="E3674" s="22" t="s">
        <v>17697</v>
      </c>
      <c r="F3674" s="22" t="s">
        <v>241</v>
      </c>
      <c r="G3674" s="23">
        <v>2024.0</v>
      </c>
      <c r="H3674" s="22" t="s">
        <v>459</v>
      </c>
      <c r="I3674" s="24" t="s">
        <v>17698</v>
      </c>
      <c r="J3674" s="22" t="s">
        <v>55</v>
      </c>
      <c r="K3674" s="22"/>
      <c r="L3674" s="36">
        <v>808.0</v>
      </c>
      <c r="M3674" s="36">
        <v>100.0</v>
      </c>
      <c r="N3674" s="36" t="s">
        <v>17699</v>
      </c>
      <c r="O3674" s="36">
        <v>12.0</v>
      </c>
      <c r="P3674" s="37" t="s">
        <v>17700</v>
      </c>
      <c r="Q3674" s="36" t="s">
        <v>17701</v>
      </c>
      <c r="R3674" s="36">
        <v>120.0</v>
      </c>
      <c r="S3674" s="36" t="s">
        <v>17702</v>
      </c>
      <c r="T3674" s="28" t="s">
        <v>17703</v>
      </c>
      <c r="U3674" s="38" t="s">
        <v>61</v>
      </c>
      <c r="V3674" s="30"/>
      <c r="W3674" s="49"/>
      <c r="X3674" s="49"/>
      <c r="Y3674" s="35"/>
      <c r="Z3674" s="35"/>
      <c r="AA3674" s="35"/>
      <c r="AB3674" s="35"/>
      <c r="AC3674" s="35"/>
      <c r="AD3674" s="35"/>
      <c r="AE3674" s="35"/>
      <c r="AF3674" s="35"/>
      <c r="AG3674" s="35"/>
      <c r="AH3674" s="35"/>
      <c r="AI3674" s="35"/>
      <c r="AJ3674" s="35"/>
      <c r="AK3674" s="35"/>
      <c r="AL3674" s="35"/>
    </row>
    <row r="3675">
      <c r="A3675" s="1"/>
      <c r="B3675" s="19" t="s">
        <v>17536</v>
      </c>
      <c r="C3675" s="20" t="s">
        <v>17704</v>
      </c>
      <c r="D3675" s="47"/>
      <c r="E3675" s="22" t="s">
        <v>17697</v>
      </c>
      <c r="F3675" s="22" t="s">
        <v>241</v>
      </c>
      <c r="G3675" s="23">
        <v>2023.0</v>
      </c>
      <c r="H3675" s="22" t="s">
        <v>17705</v>
      </c>
      <c r="I3675" s="24" t="s">
        <v>17706</v>
      </c>
      <c r="J3675" s="22" t="s">
        <v>55</v>
      </c>
      <c r="K3675" s="22"/>
      <c r="L3675" s="36">
        <v>808.0</v>
      </c>
      <c r="M3675" s="36">
        <v>100.0</v>
      </c>
      <c r="N3675" s="36" t="s">
        <v>17699</v>
      </c>
      <c r="O3675" s="36" t="s">
        <v>17707</v>
      </c>
      <c r="P3675" s="37" t="s">
        <v>17700</v>
      </c>
      <c r="Q3675" s="36"/>
      <c r="R3675" s="36" t="s">
        <v>17708</v>
      </c>
      <c r="S3675" s="36" t="s">
        <v>6951</v>
      </c>
      <c r="T3675" s="28" t="s">
        <v>17709</v>
      </c>
      <c r="U3675" s="38" t="s">
        <v>61</v>
      </c>
      <c r="V3675" s="30"/>
      <c r="W3675" s="49"/>
      <c r="X3675" s="49"/>
      <c r="Y3675" s="35"/>
      <c r="Z3675" s="35"/>
      <c r="AA3675" s="35"/>
      <c r="AB3675" s="35"/>
      <c r="AC3675" s="35"/>
      <c r="AD3675" s="35"/>
      <c r="AE3675" s="35"/>
      <c r="AF3675" s="35"/>
      <c r="AG3675" s="35"/>
      <c r="AH3675" s="35"/>
      <c r="AI3675" s="35"/>
      <c r="AJ3675" s="35"/>
      <c r="AK3675" s="35"/>
      <c r="AL3675" s="35"/>
    </row>
    <row r="3676">
      <c r="A3676" s="1"/>
      <c r="B3676" s="19" t="s">
        <v>17536</v>
      </c>
      <c r="C3676" s="20" t="s">
        <v>17704</v>
      </c>
      <c r="D3676" s="47"/>
      <c r="E3676" s="22" t="s">
        <v>17710</v>
      </c>
      <c r="F3676" s="22" t="s">
        <v>2152</v>
      </c>
      <c r="G3676" s="23">
        <v>2022.0</v>
      </c>
      <c r="H3676" s="22" t="s">
        <v>2139</v>
      </c>
      <c r="I3676" s="24" t="s">
        <v>17711</v>
      </c>
      <c r="J3676" s="22" t="s">
        <v>44</v>
      </c>
      <c r="K3676" s="22"/>
      <c r="L3676" s="36">
        <v>850.0</v>
      </c>
      <c r="M3676" s="36"/>
      <c r="N3676" s="36"/>
      <c r="O3676" s="36"/>
      <c r="P3676" s="37"/>
      <c r="Q3676" s="36"/>
      <c r="R3676" s="36"/>
      <c r="S3676" s="36" t="s">
        <v>17712</v>
      </c>
      <c r="T3676" s="28" t="s">
        <v>17713</v>
      </c>
      <c r="U3676" s="29" t="s">
        <v>61</v>
      </c>
      <c r="V3676" s="30"/>
      <c r="W3676" s="49"/>
      <c r="X3676" s="49"/>
      <c r="Y3676" s="35"/>
      <c r="Z3676" s="35"/>
      <c r="AA3676" s="35"/>
      <c r="AB3676" s="35"/>
      <c r="AC3676" s="35"/>
      <c r="AD3676" s="35"/>
      <c r="AE3676" s="35"/>
      <c r="AF3676" s="35"/>
      <c r="AG3676" s="35"/>
      <c r="AH3676" s="35"/>
      <c r="AI3676" s="35"/>
      <c r="AJ3676" s="35"/>
      <c r="AK3676" s="35"/>
      <c r="AL3676" s="35"/>
    </row>
    <row r="3677">
      <c r="A3677" s="1"/>
      <c r="B3677" s="19" t="s">
        <v>17536</v>
      </c>
      <c r="C3677" s="20" t="s">
        <v>17704</v>
      </c>
      <c r="D3677" s="47"/>
      <c r="E3677" s="22" t="s">
        <v>493</v>
      </c>
      <c r="F3677" s="22" t="s">
        <v>1905</v>
      </c>
      <c r="G3677" s="23">
        <v>2021.0</v>
      </c>
      <c r="H3677" s="22" t="s">
        <v>42</v>
      </c>
      <c r="I3677" s="24" t="s">
        <v>17714</v>
      </c>
      <c r="J3677" s="22" t="s">
        <v>55</v>
      </c>
      <c r="K3677" s="22" t="s">
        <v>17715</v>
      </c>
      <c r="L3677" s="36" t="s">
        <v>17716</v>
      </c>
      <c r="M3677" s="36"/>
      <c r="N3677" s="36"/>
      <c r="O3677" s="36"/>
      <c r="P3677" s="37"/>
      <c r="Q3677" s="36"/>
      <c r="R3677" s="36"/>
      <c r="S3677" s="36"/>
      <c r="T3677" s="42" t="s">
        <v>17717</v>
      </c>
      <c r="U3677" s="29" t="s">
        <v>61</v>
      </c>
      <c r="V3677" s="30"/>
      <c r="W3677" s="49"/>
      <c r="X3677" s="49"/>
      <c r="Y3677" s="35"/>
      <c r="Z3677" s="35"/>
      <c r="AA3677" s="35"/>
      <c r="AB3677" s="35"/>
      <c r="AC3677" s="35"/>
      <c r="AD3677" s="35"/>
      <c r="AE3677" s="35"/>
      <c r="AF3677" s="35"/>
      <c r="AG3677" s="35"/>
      <c r="AH3677" s="35"/>
      <c r="AI3677" s="35"/>
      <c r="AJ3677" s="35"/>
      <c r="AK3677" s="35"/>
      <c r="AL3677" s="35"/>
    </row>
    <row r="3678">
      <c r="A3678" s="1"/>
      <c r="B3678" s="19" t="s">
        <v>17536</v>
      </c>
      <c r="C3678" s="20" t="s">
        <v>17704</v>
      </c>
      <c r="D3678" s="47"/>
      <c r="E3678" s="22" t="s">
        <v>17718</v>
      </c>
      <c r="F3678" s="22" t="s">
        <v>224</v>
      </c>
      <c r="G3678" s="23">
        <v>2021.0</v>
      </c>
      <c r="H3678" s="22" t="s">
        <v>91</v>
      </c>
      <c r="I3678" s="24" t="s">
        <v>17719</v>
      </c>
      <c r="J3678" s="22" t="s">
        <v>55</v>
      </c>
      <c r="K3678" s="22" t="s">
        <v>1240</v>
      </c>
      <c r="L3678" s="36">
        <v>980.0</v>
      </c>
      <c r="M3678" s="36" t="s">
        <v>12449</v>
      </c>
      <c r="N3678" s="36" t="s">
        <v>17720</v>
      </c>
      <c r="O3678" s="36"/>
      <c r="P3678" s="37" t="s">
        <v>17721</v>
      </c>
      <c r="Q3678" s="36"/>
      <c r="R3678" s="36"/>
      <c r="S3678" s="36"/>
      <c r="T3678" s="28" t="s">
        <v>17722</v>
      </c>
      <c r="U3678" s="29" t="s">
        <v>61</v>
      </c>
      <c r="V3678" s="30"/>
      <c r="W3678" s="49"/>
      <c r="X3678" s="49"/>
      <c r="Y3678" s="35"/>
      <c r="Z3678" s="35"/>
      <c r="AA3678" s="35"/>
      <c r="AB3678" s="35"/>
      <c r="AC3678" s="35"/>
      <c r="AD3678" s="35"/>
      <c r="AE3678" s="35"/>
      <c r="AF3678" s="35"/>
      <c r="AG3678" s="35"/>
      <c r="AH3678" s="35"/>
      <c r="AI3678" s="35"/>
      <c r="AJ3678" s="35"/>
      <c r="AK3678" s="35"/>
      <c r="AL3678" s="35"/>
    </row>
    <row r="3679">
      <c r="A3679" s="1"/>
      <c r="B3679" s="19" t="s">
        <v>17536</v>
      </c>
      <c r="C3679" s="20" t="s">
        <v>17704</v>
      </c>
      <c r="D3679" s="47"/>
      <c r="E3679" s="22" t="s">
        <v>17723</v>
      </c>
      <c r="F3679" s="22" t="s">
        <v>605</v>
      </c>
      <c r="G3679" s="23">
        <v>2020.0</v>
      </c>
      <c r="H3679" s="22" t="s">
        <v>702</v>
      </c>
      <c r="I3679" s="24" t="s">
        <v>17724</v>
      </c>
      <c r="J3679" s="22" t="s">
        <v>55</v>
      </c>
      <c r="K3679" s="22"/>
      <c r="L3679" s="36">
        <v>850.0</v>
      </c>
      <c r="M3679" s="36"/>
      <c r="N3679" s="36" t="s">
        <v>414</v>
      </c>
      <c r="O3679" s="36"/>
      <c r="P3679" s="37"/>
      <c r="Q3679" s="36"/>
      <c r="R3679" s="36"/>
      <c r="S3679" s="36"/>
      <c r="T3679" s="42" t="s">
        <v>17725</v>
      </c>
      <c r="U3679" s="153" t="str">
        <f>HYPERLINK("https://www.ncbi.nlm.nih.gov/pubmed/32063482","PubMed")</f>
        <v>PubMed</v>
      </c>
      <c r="V3679" s="30"/>
      <c r="W3679" s="49"/>
      <c r="X3679" s="49"/>
      <c r="Y3679" s="35"/>
      <c r="Z3679" s="35"/>
      <c r="AA3679" s="35"/>
      <c r="AB3679" s="35"/>
      <c r="AC3679" s="35"/>
      <c r="AD3679" s="35"/>
      <c r="AE3679" s="35"/>
      <c r="AF3679" s="35"/>
      <c r="AG3679" s="35"/>
      <c r="AH3679" s="35"/>
      <c r="AI3679" s="35"/>
      <c r="AJ3679" s="35"/>
      <c r="AK3679" s="35"/>
      <c r="AL3679" s="35"/>
    </row>
    <row r="3680">
      <c r="A3680" s="1"/>
      <c r="B3680" s="19" t="s">
        <v>17536</v>
      </c>
      <c r="C3680" s="20" t="s">
        <v>17704</v>
      </c>
      <c r="D3680" s="47"/>
      <c r="E3680" s="22" t="s">
        <v>583</v>
      </c>
      <c r="F3680" s="22" t="s">
        <v>241</v>
      </c>
      <c r="G3680" s="23">
        <v>2017.0</v>
      </c>
      <c r="H3680" s="22" t="s">
        <v>207</v>
      </c>
      <c r="I3680" s="24" t="s">
        <v>17726</v>
      </c>
      <c r="J3680" s="22" t="s">
        <v>55</v>
      </c>
      <c r="K3680" s="22"/>
      <c r="L3680" s="36">
        <v>830.0</v>
      </c>
      <c r="M3680" s="36">
        <v>30.0</v>
      </c>
      <c r="N3680" s="36" t="s">
        <v>17727</v>
      </c>
      <c r="O3680" s="36" t="s">
        <v>17728</v>
      </c>
      <c r="P3680" s="37" t="s">
        <v>447</v>
      </c>
      <c r="Q3680" s="36" t="s">
        <v>245</v>
      </c>
      <c r="R3680" s="36">
        <v>72.0</v>
      </c>
      <c r="S3680" s="36">
        <v>15.0</v>
      </c>
      <c r="T3680" s="42" t="s">
        <v>17729</v>
      </c>
      <c r="U3680" s="153" t="str">
        <f>HYPERLINK("https://www.ncbi.nlm.nih.gov/pubmed/28846931","PubMed")</f>
        <v>PubMed</v>
      </c>
      <c r="V3680" s="30"/>
      <c r="W3680" s="49"/>
      <c r="X3680" s="49"/>
      <c r="Y3680" s="35"/>
      <c r="Z3680" s="35"/>
      <c r="AA3680" s="35"/>
      <c r="AB3680" s="35"/>
      <c r="AC3680" s="35"/>
      <c r="AD3680" s="35"/>
      <c r="AE3680" s="35"/>
      <c r="AF3680" s="35"/>
      <c r="AG3680" s="35"/>
      <c r="AH3680" s="35"/>
      <c r="AI3680" s="35"/>
      <c r="AJ3680" s="35"/>
      <c r="AK3680" s="35"/>
      <c r="AL3680" s="35"/>
    </row>
    <row r="3681">
      <c r="A3681" s="1" t="s">
        <v>17730</v>
      </c>
      <c r="B3681" s="19" t="s">
        <v>17536</v>
      </c>
      <c r="C3681" s="20" t="s">
        <v>17704</v>
      </c>
      <c r="D3681" s="47"/>
      <c r="E3681" s="22" t="s">
        <v>458</v>
      </c>
      <c r="F3681" s="22" t="s">
        <v>445</v>
      </c>
      <c r="G3681" s="23" t="s">
        <v>90</v>
      </c>
      <c r="H3681" s="22" t="s">
        <v>658</v>
      </c>
      <c r="I3681" s="24" t="s">
        <v>17731</v>
      </c>
      <c r="J3681" s="22" t="s">
        <v>55</v>
      </c>
      <c r="K3681" s="22" t="s">
        <v>17732</v>
      </c>
      <c r="L3681" s="36">
        <v>830.0</v>
      </c>
      <c r="M3681" s="36">
        <v>30.0</v>
      </c>
      <c r="N3681" s="36" t="s">
        <v>243</v>
      </c>
      <c r="O3681" s="36" t="s">
        <v>17728</v>
      </c>
      <c r="P3681" s="37" t="s">
        <v>447</v>
      </c>
      <c r="Q3681" s="36" t="s">
        <v>17733</v>
      </c>
      <c r="R3681" s="36" t="s">
        <v>17734</v>
      </c>
      <c r="S3681" s="36">
        <v>16.0</v>
      </c>
      <c r="T3681" s="28" t="s">
        <v>17735</v>
      </c>
      <c r="U3681" s="153" t="str">
        <f>HYPERLINK("https://www.ncbi.nlm.nih.gov/pubmed/28557664","PubMed")</f>
        <v>PubMed</v>
      </c>
      <c r="V3681" s="30"/>
      <c r="W3681" s="49"/>
      <c r="X3681" s="49"/>
      <c r="Y3681" s="35"/>
      <c r="Z3681" s="35"/>
      <c r="AA3681" s="35"/>
      <c r="AB3681" s="35"/>
      <c r="AC3681" s="35"/>
      <c r="AD3681" s="35"/>
      <c r="AE3681" s="35"/>
      <c r="AF3681" s="35"/>
      <c r="AG3681" s="35"/>
      <c r="AH3681" s="35"/>
      <c r="AI3681" s="35"/>
      <c r="AJ3681" s="35"/>
      <c r="AK3681" s="35"/>
      <c r="AL3681" s="35"/>
    </row>
    <row r="3682">
      <c r="A3682" s="1"/>
      <c r="B3682" s="19" t="s">
        <v>17536</v>
      </c>
      <c r="C3682" s="20" t="s">
        <v>17704</v>
      </c>
      <c r="D3682" s="47"/>
      <c r="E3682" s="22" t="s">
        <v>458</v>
      </c>
      <c r="F3682" s="22" t="s">
        <v>445</v>
      </c>
      <c r="G3682" s="23">
        <v>2016.0</v>
      </c>
      <c r="H3682" s="22" t="s">
        <v>91</v>
      </c>
      <c r="I3682" s="24" t="s">
        <v>17736</v>
      </c>
      <c r="J3682" s="22" t="s">
        <v>55</v>
      </c>
      <c r="K3682" s="22"/>
      <c r="L3682" s="36">
        <v>830.0</v>
      </c>
      <c r="M3682" s="36">
        <v>30.0</v>
      </c>
      <c r="N3682" s="36" t="s">
        <v>339</v>
      </c>
      <c r="O3682" s="36"/>
      <c r="P3682" s="37" t="s">
        <v>82</v>
      </c>
      <c r="Q3682" s="275" t="s">
        <v>245</v>
      </c>
      <c r="R3682" s="36" t="s">
        <v>17737</v>
      </c>
      <c r="S3682" s="36">
        <v>16.0</v>
      </c>
      <c r="T3682" s="28" t="s">
        <v>17738</v>
      </c>
      <c r="U3682" s="153" t="str">
        <f>HYPERLINK("https://www.ncbi.nlm.nih.gov/pubmed/27112578","PubMed")</f>
        <v>PubMed</v>
      </c>
      <c r="V3682" s="30"/>
      <c r="W3682" s="49"/>
      <c r="X3682" s="49"/>
      <c r="Y3682" s="35"/>
      <c r="Z3682" s="35"/>
      <c r="AA3682" s="35"/>
      <c r="AB3682" s="35"/>
      <c r="AC3682" s="35"/>
      <c r="AD3682" s="35"/>
      <c r="AE3682" s="35"/>
      <c r="AF3682" s="35"/>
      <c r="AG3682" s="35"/>
      <c r="AH3682" s="35"/>
      <c r="AI3682" s="35"/>
      <c r="AJ3682" s="35"/>
      <c r="AK3682" s="35"/>
      <c r="AL3682" s="35"/>
    </row>
    <row r="3683">
      <c r="A3683" s="1"/>
      <c r="B3683" s="19" t="s">
        <v>17536</v>
      </c>
      <c r="C3683" s="20" t="s">
        <v>17704</v>
      </c>
      <c r="D3683" s="47"/>
      <c r="E3683" s="22" t="s">
        <v>17739</v>
      </c>
      <c r="F3683" s="22" t="s">
        <v>3441</v>
      </c>
      <c r="G3683" s="23">
        <v>2002.0</v>
      </c>
      <c r="H3683" s="22" t="s">
        <v>53</v>
      </c>
      <c r="I3683" s="24" t="s">
        <v>17740</v>
      </c>
      <c r="J3683" s="22" t="s">
        <v>55</v>
      </c>
      <c r="K3683" s="22" t="s">
        <v>17741</v>
      </c>
      <c r="L3683" s="36">
        <v>633.0</v>
      </c>
      <c r="M3683" s="36"/>
      <c r="N3683" s="36"/>
      <c r="O3683" s="36"/>
      <c r="P3683" s="37"/>
      <c r="Q3683" s="275"/>
      <c r="R3683" s="36"/>
      <c r="S3683" s="36"/>
      <c r="T3683" s="28" t="s">
        <v>17742</v>
      </c>
      <c r="U3683" s="153" t="str">
        <f>HYPERLINK("https://www.ncbi.nlm.nih.gov/pubmed/12224097","PubMed")</f>
        <v>PubMed</v>
      </c>
      <c r="V3683" s="30"/>
      <c r="W3683" s="49"/>
      <c r="X3683" s="49"/>
      <c r="Y3683" s="35"/>
      <c r="Z3683" s="35"/>
      <c r="AA3683" s="35"/>
      <c r="AB3683" s="35"/>
      <c r="AC3683" s="35"/>
      <c r="AD3683" s="35"/>
      <c r="AE3683" s="35"/>
      <c r="AF3683" s="35"/>
      <c r="AG3683" s="35"/>
      <c r="AH3683" s="35"/>
      <c r="AI3683" s="35"/>
      <c r="AJ3683" s="35"/>
      <c r="AK3683" s="35"/>
      <c r="AL3683" s="35"/>
    </row>
    <row r="3684">
      <c r="A3684" s="1"/>
      <c r="B3684" s="19" t="s">
        <v>17536</v>
      </c>
      <c r="C3684" s="20" t="s">
        <v>17704</v>
      </c>
      <c r="D3684" s="47"/>
      <c r="E3684" s="22" t="s">
        <v>14335</v>
      </c>
      <c r="F3684" s="22" t="s">
        <v>3441</v>
      </c>
      <c r="G3684" s="23">
        <v>1993.0</v>
      </c>
      <c r="H3684" s="22" t="s">
        <v>53</v>
      </c>
      <c r="I3684" s="24" t="s">
        <v>17743</v>
      </c>
      <c r="J3684" s="22" t="s">
        <v>55</v>
      </c>
      <c r="K3684" s="22" t="s">
        <v>17744</v>
      </c>
      <c r="L3684" s="36" t="s">
        <v>17745</v>
      </c>
      <c r="M3684" s="36" t="s">
        <v>17746</v>
      </c>
      <c r="N3684" s="36"/>
      <c r="O3684" s="36"/>
      <c r="P3684" s="37"/>
      <c r="Q3684" s="275"/>
      <c r="R3684" s="36" t="s">
        <v>17747</v>
      </c>
      <c r="S3684" s="36" t="s">
        <v>17748</v>
      </c>
      <c r="T3684" s="28" t="s">
        <v>17749</v>
      </c>
      <c r="U3684" s="153" t="str">
        <f>HYPERLINK("https://www.ncbi.nlm.nih.gov/pubmed/8426530","PubMed")</f>
        <v>PubMed</v>
      </c>
      <c r="V3684" s="30"/>
      <c r="W3684" s="49"/>
      <c r="X3684" s="49"/>
      <c r="Y3684" s="35"/>
      <c r="Z3684" s="35"/>
      <c r="AA3684" s="35"/>
      <c r="AB3684" s="35"/>
      <c r="AC3684" s="35"/>
      <c r="AD3684" s="35"/>
      <c r="AE3684" s="35"/>
      <c r="AF3684" s="35"/>
      <c r="AG3684" s="35"/>
      <c r="AH3684" s="35"/>
      <c r="AI3684" s="35"/>
      <c r="AJ3684" s="35"/>
      <c r="AK3684" s="35"/>
      <c r="AL3684" s="35"/>
    </row>
    <row r="3685">
      <c r="A3685" s="1"/>
      <c r="B3685" s="19" t="s">
        <v>17536</v>
      </c>
      <c r="C3685" s="20" t="s">
        <v>17750</v>
      </c>
      <c r="D3685" s="47"/>
      <c r="E3685" s="22" t="s">
        <v>17751</v>
      </c>
      <c r="F3685" s="22" t="s">
        <v>323</v>
      </c>
      <c r="G3685" s="23">
        <v>2021.0</v>
      </c>
      <c r="H3685" s="22" t="s">
        <v>207</v>
      </c>
      <c r="I3685" s="24" t="s">
        <v>17752</v>
      </c>
      <c r="J3685" s="22" t="s">
        <v>17753</v>
      </c>
      <c r="K3685" s="22"/>
      <c r="L3685" s="36">
        <v>810.0</v>
      </c>
      <c r="M3685" s="36"/>
      <c r="N3685" s="36"/>
      <c r="O3685" s="36"/>
      <c r="P3685" s="37" t="s">
        <v>8519</v>
      </c>
      <c r="Q3685" s="36"/>
      <c r="R3685" s="36"/>
      <c r="S3685" s="36" t="s">
        <v>2688</v>
      </c>
      <c r="T3685" s="41" t="s">
        <v>17754</v>
      </c>
      <c r="U3685" s="29" t="s">
        <v>61</v>
      </c>
      <c r="V3685" s="30"/>
      <c r="W3685" s="49"/>
      <c r="X3685" s="49"/>
      <c r="Y3685" s="35"/>
      <c r="Z3685" s="35"/>
      <c r="AA3685" s="35"/>
      <c r="AB3685" s="35"/>
      <c r="AC3685" s="35"/>
      <c r="AD3685" s="35"/>
      <c r="AE3685" s="35"/>
      <c r="AF3685" s="35"/>
      <c r="AG3685" s="35"/>
      <c r="AH3685" s="35"/>
      <c r="AI3685" s="35"/>
      <c r="AJ3685" s="35"/>
      <c r="AK3685" s="35"/>
      <c r="AL3685" s="35"/>
    </row>
    <row r="3686">
      <c r="A3686" s="1"/>
      <c r="B3686" s="19" t="s">
        <v>17536</v>
      </c>
      <c r="C3686" s="20" t="s">
        <v>17755</v>
      </c>
      <c r="D3686" s="47"/>
      <c r="E3686" s="22" t="s">
        <v>17756</v>
      </c>
      <c r="F3686" s="22" t="s">
        <v>17757</v>
      </c>
      <c r="G3686" s="23">
        <v>2020.0</v>
      </c>
      <c r="H3686" s="22" t="s">
        <v>77</v>
      </c>
      <c r="I3686" s="24" t="s">
        <v>17758</v>
      </c>
      <c r="J3686" s="22" t="s">
        <v>2049</v>
      </c>
      <c r="K3686" s="22"/>
      <c r="L3686" s="52" t="s">
        <v>17759</v>
      </c>
      <c r="M3686" s="52"/>
      <c r="N3686" s="52"/>
      <c r="O3686" s="52"/>
      <c r="P3686" s="189" t="s">
        <v>17760</v>
      </c>
      <c r="Q3686" s="309"/>
      <c r="R3686" s="52"/>
      <c r="S3686" s="52"/>
      <c r="T3686" s="28" t="s">
        <v>17761</v>
      </c>
      <c r="U3686" s="29" t="s">
        <v>61</v>
      </c>
      <c r="V3686" s="30"/>
      <c r="W3686" s="49"/>
      <c r="X3686" s="49"/>
      <c r="Y3686" s="35"/>
      <c r="Z3686" s="35"/>
      <c r="AA3686" s="35"/>
      <c r="AB3686" s="35"/>
      <c r="AC3686" s="35"/>
      <c r="AD3686" s="35"/>
      <c r="AE3686" s="35"/>
      <c r="AF3686" s="35"/>
      <c r="AG3686" s="35"/>
      <c r="AH3686" s="35"/>
      <c r="AI3686" s="35"/>
      <c r="AJ3686" s="35"/>
      <c r="AK3686" s="35"/>
      <c r="AL3686" s="35"/>
    </row>
    <row r="3687">
      <c r="A3687" s="1"/>
      <c r="B3687" s="19" t="s">
        <v>17536</v>
      </c>
      <c r="C3687" s="20" t="s">
        <v>17762</v>
      </c>
      <c r="D3687" s="47"/>
      <c r="E3687" s="22" t="s">
        <v>17763</v>
      </c>
      <c r="F3687" s="22" t="s">
        <v>3511</v>
      </c>
      <c r="G3687" s="23">
        <v>2023.0</v>
      </c>
      <c r="H3687" s="22" t="s">
        <v>17764</v>
      </c>
      <c r="I3687" s="24" t="s">
        <v>17765</v>
      </c>
      <c r="J3687" s="22" t="s">
        <v>649</v>
      </c>
      <c r="K3687" s="22"/>
      <c r="L3687" s="173" t="s">
        <v>17766</v>
      </c>
      <c r="U3687" s="38" t="s">
        <v>61</v>
      </c>
      <c r="V3687" s="30"/>
      <c r="W3687" s="49"/>
      <c r="X3687" s="49"/>
      <c r="Y3687" s="35"/>
      <c r="Z3687" s="35"/>
      <c r="AA3687" s="35"/>
      <c r="AB3687" s="35"/>
      <c r="AC3687" s="35"/>
      <c r="AD3687" s="35"/>
      <c r="AE3687" s="35"/>
      <c r="AF3687" s="35"/>
      <c r="AG3687" s="35"/>
      <c r="AH3687" s="35"/>
      <c r="AI3687" s="35"/>
      <c r="AJ3687" s="35"/>
      <c r="AK3687" s="35"/>
      <c r="AL3687" s="35"/>
    </row>
    <row r="3688">
      <c r="A3688" s="1" t="s">
        <v>181</v>
      </c>
      <c r="B3688" s="19" t="s">
        <v>17536</v>
      </c>
      <c r="C3688" s="20" t="s">
        <v>17762</v>
      </c>
      <c r="D3688" s="47"/>
      <c r="E3688" s="22" t="s">
        <v>17767</v>
      </c>
      <c r="F3688" s="22" t="s">
        <v>323</v>
      </c>
      <c r="G3688" s="23">
        <v>2023.0</v>
      </c>
      <c r="H3688" s="22" t="s">
        <v>147</v>
      </c>
      <c r="I3688" s="24" t="s">
        <v>17768</v>
      </c>
      <c r="J3688" s="22" t="s">
        <v>17769</v>
      </c>
      <c r="K3688" s="22" t="s">
        <v>17770</v>
      </c>
      <c r="L3688" s="52" t="s">
        <v>17771</v>
      </c>
      <c r="M3688" s="52">
        <v>7.0</v>
      </c>
      <c r="N3688" s="52" t="s">
        <v>9755</v>
      </c>
      <c r="O3688" s="52" t="s">
        <v>58</v>
      </c>
      <c r="P3688" s="189" t="s">
        <v>17772</v>
      </c>
      <c r="Q3688" s="52" t="s">
        <v>17773</v>
      </c>
      <c r="R3688" s="52">
        <v>900.0</v>
      </c>
      <c r="S3688" s="52" t="s">
        <v>4905</v>
      </c>
      <c r="T3688" s="28" t="s">
        <v>17774</v>
      </c>
      <c r="U3688" s="38" t="s">
        <v>61</v>
      </c>
      <c r="V3688" s="30"/>
      <c r="W3688" s="49"/>
      <c r="X3688" s="49"/>
      <c r="Y3688" s="35"/>
      <c r="Z3688" s="35"/>
      <c r="AA3688" s="35"/>
      <c r="AB3688" s="35"/>
      <c r="AC3688" s="35"/>
      <c r="AD3688" s="35"/>
      <c r="AE3688" s="35"/>
      <c r="AF3688" s="35"/>
      <c r="AG3688" s="35"/>
      <c r="AH3688" s="35"/>
      <c r="AI3688" s="35"/>
      <c r="AJ3688" s="35"/>
      <c r="AK3688" s="35"/>
      <c r="AL3688" s="35"/>
    </row>
    <row r="3689">
      <c r="A3689" s="1"/>
      <c r="B3689" s="19" t="s">
        <v>17536</v>
      </c>
      <c r="C3689" s="20" t="s">
        <v>17762</v>
      </c>
      <c r="D3689" s="47"/>
      <c r="E3689" s="22" t="s">
        <v>3309</v>
      </c>
      <c r="F3689" s="22" t="s">
        <v>237</v>
      </c>
      <c r="G3689" s="23">
        <v>2022.0</v>
      </c>
      <c r="H3689" s="22" t="s">
        <v>2181</v>
      </c>
      <c r="I3689" s="24" t="s">
        <v>17775</v>
      </c>
      <c r="J3689" s="22" t="s">
        <v>55</v>
      </c>
      <c r="K3689" s="22"/>
      <c r="L3689" s="52">
        <v>904.0</v>
      </c>
      <c r="M3689" s="52">
        <v>70.0</v>
      </c>
      <c r="N3689" s="52">
        <v>7.0</v>
      </c>
      <c r="O3689" s="327">
        <v>44622.0</v>
      </c>
      <c r="P3689" s="189"/>
      <c r="Q3689" s="52" t="s">
        <v>17776</v>
      </c>
      <c r="R3689" s="52" t="s">
        <v>17777</v>
      </c>
      <c r="S3689" s="52"/>
      <c r="T3689" s="28" t="s">
        <v>17778</v>
      </c>
      <c r="U3689" s="38" t="s">
        <v>61</v>
      </c>
      <c r="V3689" s="30"/>
      <c r="W3689" s="49"/>
      <c r="X3689" s="49"/>
      <c r="Y3689" s="35"/>
      <c r="Z3689" s="35"/>
      <c r="AA3689" s="35"/>
      <c r="AB3689" s="35"/>
      <c r="AC3689" s="35"/>
      <c r="AD3689" s="35"/>
      <c r="AE3689" s="35"/>
      <c r="AF3689" s="35"/>
      <c r="AG3689" s="35"/>
      <c r="AH3689" s="35"/>
      <c r="AI3689" s="35"/>
      <c r="AJ3689" s="35"/>
      <c r="AK3689" s="35"/>
      <c r="AL3689" s="35"/>
    </row>
    <row r="3690">
      <c r="A3690" s="1"/>
      <c r="B3690" s="19" t="s">
        <v>17536</v>
      </c>
      <c r="C3690" s="20" t="s">
        <v>17762</v>
      </c>
      <c r="D3690" s="47"/>
      <c r="E3690" s="22" t="s">
        <v>626</v>
      </c>
      <c r="F3690" s="22" t="s">
        <v>2196</v>
      </c>
      <c r="G3690" s="23">
        <v>2022.0</v>
      </c>
      <c r="H3690" s="22" t="s">
        <v>6911</v>
      </c>
      <c r="I3690" s="24" t="s">
        <v>17779</v>
      </c>
      <c r="J3690" s="22" t="s">
        <v>17780</v>
      </c>
      <c r="K3690" s="22"/>
      <c r="L3690" s="197"/>
      <c r="U3690" s="38" t="s">
        <v>61</v>
      </c>
      <c r="V3690" s="30"/>
      <c r="W3690" s="49"/>
      <c r="X3690" s="49"/>
      <c r="Y3690" s="35"/>
      <c r="Z3690" s="35"/>
      <c r="AA3690" s="35"/>
      <c r="AB3690" s="35"/>
      <c r="AC3690" s="35"/>
      <c r="AD3690" s="35"/>
      <c r="AE3690" s="35"/>
      <c r="AF3690" s="35"/>
      <c r="AG3690" s="35"/>
      <c r="AH3690" s="35"/>
      <c r="AI3690" s="35"/>
      <c r="AJ3690" s="35"/>
      <c r="AK3690" s="35"/>
      <c r="AL3690" s="35"/>
    </row>
    <row r="3691">
      <c r="A3691" s="1"/>
      <c r="B3691" s="19" t="s">
        <v>17536</v>
      </c>
      <c r="C3691" s="20" t="s">
        <v>17762</v>
      </c>
      <c r="D3691" s="47"/>
      <c r="E3691" s="22" t="s">
        <v>2783</v>
      </c>
      <c r="F3691" s="22" t="s">
        <v>2196</v>
      </c>
      <c r="G3691" s="23">
        <v>2022.0</v>
      </c>
      <c r="H3691" s="22" t="s">
        <v>2863</v>
      </c>
      <c r="I3691" s="24" t="s">
        <v>17781</v>
      </c>
      <c r="J3691" s="22" t="s">
        <v>2141</v>
      </c>
      <c r="K3691" s="22"/>
      <c r="L3691" s="197">
        <v>10600.0</v>
      </c>
      <c r="M3691" s="197"/>
      <c r="N3691" s="197"/>
      <c r="O3691" s="197"/>
      <c r="P3691" s="198"/>
      <c r="Q3691" s="328"/>
      <c r="R3691" s="197"/>
      <c r="S3691" s="197"/>
      <c r="T3691" s="185"/>
      <c r="U3691" s="29" t="s">
        <v>61</v>
      </c>
      <c r="V3691" s="30"/>
      <c r="W3691" s="49"/>
      <c r="X3691" s="49"/>
      <c r="Y3691" s="35"/>
      <c r="Z3691" s="35"/>
      <c r="AA3691" s="35"/>
      <c r="AB3691" s="35"/>
      <c r="AC3691" s="35"/>
      <c r="AD3691" s="35"/>
      <c r="AE3691" s="35"/>
      <c r="AF3691" s="35"/>
      <c r="AG3691" s="35"/>
      <c r="AH3691" s="35"/>
      <c r="AI3691" s="35"/>
      <c r="AJ3691" s="35"/>
      <c r="AK3691" s="35"/>
      <c r="AL3691" s="35"/>
    </row>
    <row r="3692">
      <c r="A3692" s="1"/>
      <c r="B3692" s="19" t="s">
        <v>17536</v>
      </c>
      <c r="C3692" s="20" t="s">
        <v>17762</v>
      </c>
      <c r="D3692" s="47"/>
      <c r="E3692" s="22" t="s">
        <v>17782</v>
      </c>
      <c r="F3692" s="22" t="s">
        <v>3511</v>
      </c>
      <c r="G3692" s="23">
        <v>2021.0</v>
      </c>
      <c r="H3692" s="22" t="s">
        <v>17783</v>
      </c>
      <c r="I3692" s="24" t="s">
        <v>17784</v>
      </c>
      <c r="J3692" s="22" t="s">
        <v>55</v>
      </c>
      <c r="K3692" s="22"/>
      <c r="L3692" s="52" t="s">
        <v>17785</v>
      </c>
      <c r="M3692" s="52"/>
      <c r="N3692" s="52"/>
      <c r="O3692" s="52"/>
      <c r="P3692" s="189" t="s">
        <v>254</v>
      </c>
      <c r="Q3692" s="309"/>
      <c r="R3692" s="52"/>
      <c r="S3692" s="52"/>
      <c r="T3692" s="28" t="s">
        <v>17786</v>
      </c>
      <c r="U3692" s="29" t="s">
        <v>61</v>
      </c>
      <c r="V3692" s="30"/>
      <c r="W3692" s="49"/>
      <c r="X3692" s="49"/>
      <c r="Y3692" s="35"/>
      <c r="Z3692" s="35"/>
      <c r="AA3692" s="35"/>
      <c r="AB3692" s="35"/>
      <c r="AC3692" s="35"/>
      <c r="AD3692" s="35"/>
      <c r="AE3692" s="35"/>
      <c r="AF3692" s="35"/>
      <c r="AG3692" s="35"/>
      <c r="AH3692" s="35"/>
      <c r="AI3692" s="35"/>
      <c r="AJ3692" s="35"/>
      <c r="AK3692" s="35"/>
      <c r="AL3692" s="35"/>
    </row>
    <row r="3693">
      <c r="A3693" s="18"/>
      <c r="B3693" s="19" t="s">
        <v>17536</v>
      </c>
      <c r="C3693" s="20" t="s">
        <v>17762</v>
      </c>
      <c r="D3693" s="47"/>
      <c r="E3693" s="22" t="s">
        <v>2783</v>
      </c>
      <c r="F3693" s="22" t="s">
        <v>2196</v>
      </c>
      <c r="G3693" s="23">
        <v>2021.0</v>
      </c>
      <c r="H3693" s="22" t="s">
        <v>17787</v>
      </c>
      <c r="I3693" s="24" t="s">
        <v>17788</v>
      </c>
      <c r="J3693" s="22" t="s">
        <v>2141</v>
      </c>
      <c r="K3693" s="22"/>
      <c r="L3693" s="197" t="s">
        <v>17789</v>
      </c>
      <c r="U3693" s="29" t="s">
        <v>61</v>
      </c>
      <c r="V3693" s="30"/>
      <c r="W3693" s="49"/>
      <c r="X3693" s="49"/>
      <c r="Y3693" s="35"/>
      <c r="Z3693" s="35"/>
      <c r="AA3693" s="35"/>
      <c r="AB3693" s="35"/>
      <c r="AC3693" s="35"/>
      <c r="AD3693" s="35"/>
      <c r="AE3693" s="35"/>
      <c r="AF3693" s="35"/>
      <c r="AG3693" s="35"/>
      <c r="AH3693" s="35"/>
      <c r="AI3693" s="35"/>
      <c r="AJ3693" s="35"/>
      <c r="AK3693" s="35"/>
      <c r="AL3693" s="35"/>
    </row>
    <row r="3694">
      <c r="A3694" s="18"/>
      <c r="B3694" s="19" t="s">
        <v>17536</v>
      </c>
      <c r="C3694" s="20" t="s">
        <v>17762</v>
      </c>
      <c r="D3694" s="47"/>
      <c r="E3694" s="22" t="s">
        <v>8190</v>
      </c>
      <c r="F3694" s="22" t="s">
        <v>41</v>
      </c>
      <c r="G3694" s="23">
        <v>2021.0</v>
      </c>
      <c r="H3694" s="22" t="s">
        <v>3950</v>
      </c>
      <c r="I3694" s="24" t="s">
        <v>17790</v>
      </c>
      <c r="J3694" s="22" t="s">
        <v>55</v>
      </c>
      <c r="K3694" s="22"/>
      <c r="L3694" s="52">
        <v>904.0</v>
      </c>
      <c r="M3694" s="52">
        <v>45.0</v>
      </c>
      <c r="N3694" s="52"/>
      <c r="O3694" s="52"/>
      <c r="P3694" s="189" t="s">
        <v>17791</v>
      </c>
      <c r="Q3694" s="52" t="s">
        <v>1264</v>
      </c>
      <c r="R3694" s="52"/>
      <c r="S3694" s="52"/>
      <c r="T3694" s="28" t="s">
        <v>17792</v>
      </c>
      <c r="U3694" s="29" t="s">
        <v>61</v>
      </c>
      <c r="V3694" s="30"/>
      <c r="W3694" s="49"/>
      <c r="X3694" s="49"/>
      <c r="Y3694" s="35"/>
      <c r="Z3694" s="35"/>
      <c r="AA3694" s="35"/>
      <c r="AB3694" s="35"/>
      <c r="AC3694" s="35"/>
      <c r="AD3694" s="35"/>
      <c r="AE3694" s="35"/>
      <c r="AF3694" s="35"/>
      <c r="AG3694" s="35"/>
      <c r="AH3694" s="35"/>
      <c r="AI3694" s="35"/>
      <c r="AJ3694" s="35"/>
      <c r="AK3694" s="35"/>
      <c r="AL3694" s="35"/>
    </row>
    <row r="3695">
      <c r="A3695" s="18" t="s">
        <v>181</v>
      </c>
      <c r="B3695" s="19" t="s">
        <v>17536</v>
      </c>
      <c r="C3695" s="20" t="s">
        <v>17762</v>
      </c>
      <c r="D3695" s="47"/>
      <c r="E3695" s="22" t="s">
        <v>17793</v>
      </c>
      <c r="F3695" s="22" t="s">
        <v>3511</v>
      </c>
      <c r="G3695" s="23">
        <v>2020.0</v>
      </c>
      <c r="H3695" s="22" t="s">
        <v>17794</v>
      </c>
      <c r="I3695" s="24" t="s">
        <v>17795</v>
      </c>
      <c r="J3695" s="22" t="s">
        <v>17796</v>
      </c>
      <c r="K3695" s="22"/>
      <c r="L3695" s="52" t="s">
        <v>17797</v>
      </c>
      <c r="M3695" s="52"/>
      <c r="N3695" s="52"/>
      <c r="O3695" s="52"/>
      <c r="P3695" s="189" t="s">
        <v>12240</v>
      </c>
      <c r="Q3695" s="309"/>
      <c r="R3695" s="52">
        <v>540.0</v>
      </c>
      <c r="S3695" s="52" t="s">
        <v>17798</v>
      </c>
      <c r="T3695" s="28" t="s">
        <v>17799</v>
      </c>
      <c r="U3695" s="29" t="s">
        <v>61</v>
      </c>
      <c r="V3695" s="30"/>
      <c r="W3695" s="49"/>
      <c r="X3695" s="49"/>
      <c r="Y3695" s="35"/>
      <c r="Z3695" s="35"/>
      <c r="AA3695" s="35"/>
      <c r="AB3695" s="35"/>
      <c r="AC3695" s="35"/>
      <c r="AD3695" s="35"/>
      <c r="AE3695" s="35"/>
      <c r="AF3695" s="35"/>
      <c r="AG3695" s="35"/>
      <c r="AH3695" s="35"/>
      <c r="AI3695" s="35"/>
      <c r="AJ3695" s="35"/>
      <c r="AK3695" s="35"/>
      <c r="AL3695" s="35"/>
    </row>
    <row r="3696">
      <c r="A3696" s="1"/>
      <c r="B3696" s="19" t="s">
        <v>17536</v>
      </c>
      <c r="C3696" s="20" t="s">
        <v>17762</v>
      </c>
      <c r="D3696" s="47"/>
      <c r="E3696" s="22" t="s">
        <v>17800</v>
      </c>
      <c r="F3696" s="22" t="s">
        <v>510</v>
      </c>
      <c r="G3696" s="23">
        <v>2020.0</v>
      </c>
      <c r="H3696" s="22" t="s">
        <v>77</v>
      </c>
      <c r="I3696" s="24" t="s">
        <v>17801</v>
      </c>
      <c r="J3696" s="22" t="s">
        <v>17802</v>
      </c>
      <c r="K3696" s="22" t="s">
        <v>17803</v>
      </c>
      <c r="L3696" s="52">
        <v>660.0</v>
      </c>
      <c r="M3696" s="52">
        <v>100.0</v>
      </c>
      <c r="N3696" s="52" t="s">
        <v>17804</v>
      </c>
      <c r="O3696" s="52">
        <v>180.0</v>
      </c>
      <c r="P3696" s="189"/>
      <c r="Q3696" s="309"/>
      <c r="R3696" s="52">
        <v>1800.0</v>
      </c>
      <c r="S3696" s="52" t="s">
        <v>17805</v>
      </c>
      <c r="T3696" s="28" t="s">
        <v>17806</v>
      </c>
      <c r="U3696" s="153" t="str">
        <f>HYPERLINK("https://www.ncbi.nlm.nih.gov/pubmed/32195640","PubMed")</f>
        <v>PubMed</v>
      </c>
      <c r="V3696" s="30"/>
      <c r="W3696" s="49"/>
      <c r="X3696" s="49"/>
      <c r="Y3696" s="35"/>
      <c r="Z3696" s="35"/>
      <c r="AA3696" s="35"/>
      <c r="AB3696" s="35"/>
      <c r="AC3696" s="35"/>
      <c r="AD3696" s="35"/>
      <c r="AE3696" s="35"/>
      <c r="AF3696" s="35"/>
      <c r="AG3696" s="35"/>
      <c r="AH3696" s="35"/>
      <c r="AI3696" s="35"/>
      <c r="AJ3696" s="35"/>
      <c r="AK3696" s="35"/>
      <c r="AL3696" s="35"/>
    </row>
    <row r="3697">
      <c r="A3697" s="1"/>
      <c r="B3697" s="19" t="s">
        <v>17536</v>
      </c>
      <c r="C3697" s="20" t="s">
        <v>17762</v>
      </c>
      <c r="D3697" s="47"/>
      <c r="E3697" s="22" t="s">
        <v>17807</v>
      </c>
      <c r="F3697" s="22" t="s">
        <v>6233</v>
      </c>
      <c r="G3697" s="23">
        <v>2019.0</v>
      </c>
      <c r="H3697" s="22" t="s">
        <v>13190</v>
      </c>
      <c r="I3697" s="24" t="s">
        <v>17808</v>
      </c>
      <c r="J3697" s="22" t="s">
        <v>17809</v>
      </c>
      <c r="K3697" s="22" t="s">
        <v>17810</v>
      </c>
      <c r="L3697" s="36" t="s">
        <v>2914</v>
      </c>
      <c r="M3697" s="36"/>
      <c r="N3697" s="36" t="s">
        <v>102</v>
      </c>
      <c r="O3697" s="37"/>
      <c r="P3697" s="37"/>
      <c r="Q3697" s="36"/>
      <c r="R3697" s="36"/>
      <c r="S3697" s="36" t="s">
        <v>17811</v>
      </c>
      <c r="T3697" s="28" t="s">
        <v>17812</v>
      </c>
      <c r="U3697" s="38" t="str">
        <f>HYPERLINK("https://www.ncbi.nlm.nih.gov/pubmed/31405365","PubMed")</f>
        <v>PubMed</v>
      </c>
      <c r="V3697" s="30"/>
      <c r="W3697" s="49"/>
      <c r="X3697" s="49"/>
      <c r="Y3697" s="35"/>
      <c r="Z3697" s="35"/>
      <c r="AA3697" s="35"/>
      <c r="AB3697" s="35"/>
      <c r="AC3697" s="35"/>
      <c r="AD3697" s="35"/>
      <c r="AE3697" s="35"/>
      <c r="AF3697" s="35"/>
      <c r="AG3697" s="35"/>
      <c r="AH3697" s="35"/>
      <c r="AI3697" s="35"/>
      <c r="AJ3697" s="35"/>
      <c r="AK3697" s="35"/>
      <c r="AL3697" s="35"/>
    </row>
    <row r="3698">
      <c r="A3698" s="1"/>
      <c r="B3698" s="19" t="s">
        <v>17536</v>
      </c>
      <c r="C3698" s="20" t="s">
        <v>17762</v>
      </c>
      <c r="D3698" s="47"/>
      <c r="E3698" s="22" t="s">
        <v>3309</v>
      </c>
      <c r="F3698" s="22" t="s">
        <v>237</v>
      </c>
      <c r="G3698" s="23">
        <v>2019.0</v>
      </c>
      <c r="H3698" s="22" t="s">
        <v>42</v>
      </c>
      <c r="I3698" s="24" t="s">
        <v>17813</v>
      </c>
      <c r="J3698" s="22" t="s">
        <v>55</v>
      </c>
      <c r="K3698" s="22" t="s">
        <v>607</v>
      </c>
      <c r="L3698" s="36">
        <v>904.0</v>
      </c>
      <c r="M3698" s="36">
        <v>70.0</v>
      </c>
      <c r="N3698" s="36">
        <v>7.0</v>
      </c>
      <c r="O3698" s="37" t="s">
        <v>17814</v>
      </c>
      <c r="P3698" s="37"/>
      <c r="Q3698" s="36" t="s">
        <v>17815</v>
      </c>
      <c r="R3698" s="36" t="s">
        <v>17777</v>
      </c>
      <c r="S3698" s="36"/>
      <c r="T3698" s="28" t="s">
        <v>17816</v>
      </c>
      <c r="U3698" s="38" t="str">
        <f>HYPERLINK("https://www.ncbi.nlm.nih.gov/pubmed/31265175","PubMed")</f>
        <v>PubMed</v>
      </c>
      <c r="V3698" s="30"/>
      <c r="W3698" s="49"/>
      <c r="X3698" s="49"/>
      <c r="Y3698" s="35"/>
      <c r="Z3698" s="35"/>
      <c r="AA3698" s="35"/>
      <c r="AB3698" s="35"/>
      <c r="AC3698" s="35"/>
      <c r="AD3698" s="35"/>
      <c r="AE3698" s="35"/>
      <c r="AF3698" s="35"/>
      <c r="AG3698" s="35"/>
      <c r="AH3698" s="35"/>
      <c r="AI3698" s="35"/>
      <c r="AJ3698" s="35"/>
      <c r="AK3698" s="35"/>
      <c r="AL3698" s="35"/>
    </row>
    <row r="3699">
      <c r="A3699" s="1"/>
      <c r="B3699" s="19" t="s">
        <v>17536</v>
      </c>
      <c r="C3699" s="20" t="s">
        <v>17762</v>
      </c>
      <c r="D3699" s="47"/>
      <c r="E3699" s="22" t="s">
        <v>17793</v>
      </c>
      <c r="F3699" s="22" t="s">
        <v>3511</v>
      </c>
      <c r="G3699" s="23">
        <v>2019.0</v>
      </c>
      <c r="H3699" s="22" t="s">
        <v>17794</v>
      </c>
      <c r="I3699" s="24" t="s">
        <v>17817</v>
      </c>
      <c r="J3699" s="22" t="s">
        <v>17818</v>
      </c>
      <c r="K3699" s="22"/>
      <c r="L3699" s="52" t="s">
        <v>17819</v>
      </c>
      <c r="M3699" s="52"/>
      <c r="N3699" s="52"/>
      <c r="O3699" s="52"/>
      <c r="P3699" s="189" t="s">
        <v>17820</v>
      </c>
      <c r="Q3699" s="309"/>
      <c r="R3699" s="52"/>
      <c r="S3699" s="52" t="s">
        <v>17821</v>
      </c>
      <c r="T3699" s="28" t="s">
        <v>17822</v>
      </c>
      <c r="U3699" s="153" t="str">
        <f>HYPERLINK("https://www.ncbi.nlm.nih.gov/pubmed/31336449","PubMed")</f>
        <v>PubMed</v>
      </c>
      <c r="V3699" s="30"/>
      <c r="W3699" s="49"/>
      <c r="X3699" s="49"/>
      <c r="Y3699" s="35"/>
      <c r="Z3699" s="35"/>
      <c r="AA3699" s="35"/>
      <c r="AB3699" s="35"/>
      <c r="AC3699" s="35"/>
      <c r="AD3699" s="35"/>
      <c r="AE3699" s="35"/>
      <c r="AF3699" s="35"/>
      <c r="AG3699" s="35"/>
      <c r="AH3699" s="35"/>
      <c r="AI3699" s="35"/>
      <c r="AJ3699" s="35"/>
      <c r="AK3699" s="35"/>
      <c r="AL3699" s="35"/>
    </row>
    <row r="3700">
      <c r="A3700" s="1"/>
      <c r="B3700" s="19" t="s">
        <v>17536</v>
      </c>
      <c r="C3700" s="20" t="s">
        <v>17762</v>
      </c>
      <c r="D3700" s="47"/>
      <c r="E3700" s="22" t="s">
        <v>17793</v>
      </c>
      <c r="F3700" s="22" t="s">
        <v>3511</v>
      </c>
      <c r="G3700" s="23">
        <v>2019.0</v>
      </c>
      <c r="H3700" s="22" t="s">
        <v>17823</v>
      </c>
      <c r="I3700" s="24" t="s">
        <v>17824</v>
      </c>
      <c r="J3700" s="22" t="s">
        <v>649</v>
      </c>
      <c r="K3700" s="22"/>
      <c r="L3700" s="132" t="s">
        <v>17825</v>
      </c>
      <c r="U3700" s="153" t="str">
        <f>HYPERLINK("https://www.ncbi.nlm.nih.gov/pubmed/31405692","PubMed")</f>
        <v>PubMed</v>
      </c>
      <c r="V3700" s="30"/>
      <c r="W3700" s="49"/>
      <c r="X3700" s="49"/>
      <c r="Y3700" s="35"/>
      <c r="Z3700" s="35"/>
      <c r="AA3700" s="35"/>
      <c r="AB3700" s="35"/>
      <c r="AC3700" s="35"/>
      <c r="AD3700" s="35"/>
      <c r="AE3700" s="35"/>
      <c r="AF3700" s="35"/>
      <c r="AG3700" s="35"/>
      <c r="AH3700" s="35"/>
      <c r="AI3700" s="35"/>
      <c r="AJ3700" s="35"/>
      <c r="AK3700" s="35"/>
      <c r="AL3700" s="35"/>
    </row>
    <row r="3701">
      <c r="A3701" s="1"/>
      <c r="B3701" s="19" t="s">
        <v>17536</v>
      </c>
      <c r="C3701" s="20" t="s">
        <v>17762</v>
      </c>
      <c r="D3701" s="47"/>
      <c r="E3701" s="22" t="s">
        <v>17826</v>
      </c>
      <c r="F3701" s="22" t="s">
        <v>41</v>
      </c>
      <c r="G3701" s="23">
        <v>2018.0</v>
      </c>
      <c r="H3701" s="22" t="s">
        <v>42</v>
      </c>
      <c r="I3701" s="24" t="s">
        <v>17827</v>
      </c>
      <c r="J3701" s="22" t="s">
        <v>44</v>
      </c>
      <c r="K3701" s="22" t="s">
        <v>3782</v>
      </c>
      <c r="L3701" s="36">
        <v>660.0</v>
      </c>
      <c r="M3701" s="36">
        <v>30.0</v>
      </c>
      <c r="N3701" s="36"/>
      <c r="O3701" s="36"/>
      <c r="P3701" s="37" t="s">
        <v>5711</v>
      </c>
      <c r="Q3701" s="275" t="s">
        <v>12922</v>
      </c>
      <c r="R3701" s="36">
        <v>15.0</v>
      </c>
      <c r="S3701" s="36">
        <v>21.0</v>
      </c>
      <c r="T3701" s="28" t="s">
        <v>17828</v>
      </c>
      <c r="U3701" s="153" t="str">
        <f>HYPERLINK("https://www.ncbi.nlm.nih.gov/pubmed/29749025","PubMed")</f>
        <v>PubMed</v>
      </c>
      <c r="V3701" s="30"/>
      <c r="W3701" s="49"/>
      <c r="X3701" s="49"/>
      <c r="Y3701" s="35"/>
      <c r="Z3701" s="35"/>
      <c r="AA3701" s="35"/>
      <c r="AB3701" s="35"/>
      <c r="AC3701" s="35"/>
      <c r="AD3701" s="35"/>
      <c r="AE3701" s="35"/>
      <c r="AF3701" s="35"/>
      <c r="AG3701" s="35"/>
      <c r="AH3701" s="35"/>
      <c r="AI3701" s="35"/>
      <c r="AJ3701" s="35"/>
      <c r="AK3701" s="35"/>
      <c r="AL3701" s="35"/>
    </row>
    <row r="3702">
      <c r="A3702" s="1"/>
      <c r="B3702" s="19" t="s">
        <v>17536</v>
      </c>
      <c r="C3702" s="20" t="s">
        <v>17762</v>
      </c>
      <c r="D3702" s="47"/>
      <c r="E3702" s="22" t="s">
        <v>17829</v>
      </c>
      <c r="F3702" s="22" t="s">
        <v>1943</v>
      </c>
      <c r="G3702" s="23">
        <v>2018.0</v>
      </c>
      <c r="H3702" s="22" t="s">
        <v>17830</v>
      </c>
      <c r="I3702" s="24" t="s">
        <v>17831</v>
      </c>
      <c r="J3702" s="22" t="s">
        <v>55</v>
      </c>
      <c r="K3702" s="22" t="s">
        <v>17832</v>
      </c>
      <c r="L3702" s="36">
        <v>808.0</v>
      </c>
      <c r="M3702" s="36"/>
      <c r="N3702" s="36"/>
      <c r="O3702" s="36" t="s">
        <v>13462</v>
      </c>
      <c r="P3702" s="37"/>
      <c r="Q3702" s="275"/>
      <c r="R3702" s="36" t="s">
        <v>3744</v>
      </c>
      <c r="S3702" s="36" t="s">
        <v>17833</v>
      </c>
      <c r="T3702" s="28" t="s">
        <v>17834</v>
      </c>
      <c r="U3702" s="153" t="str">
        <f>HYPERLINK("https://www.ncbi.nlm.nih.gov/pubmed/29527628","PubMed")</f>
        <v>PubMed</v>
      </c>
      <c r="V3702" s="30"/>
      <c r="W3702" s="49"/>
      <c r="X3702" s="49"/>
      <c r="Y3702" s="35"/>
      <c r="Z3702" s="35"/>
      <c r="AA3702" s="35"/>
      <c r="AB3702" s="35"/>
      <c r="AC3702" s="35"/>
      <c r="AD3702" s="35"/>
      <c r="AE3702" s="35"/>
      <c r="AF3702" s="35"/>
      <c r="AG3702" s="35"/>
      <c r="AH3702" s="35"/>
      <c r="AI3702" s="35"/>
      <c r="AJ3702" s="35"/>
      <c r="AK3702" s="35"/>
      <c r="AL3702" s="35"/>
    </row>
    <row r="3703">
      <c r="A3703" s="18"/>
      <c r="B3703" s="19" t="s">
        <v>17536</v>
      </c>
      <c r="C3703" s="20" t="s">
        <v>17762</v>
      </c>
      <c r="D3703" s="47"/>
      <c r="E3703" s="22" t="s">
        <v>17835</v>
      </c>
      <c r="F3703" s="22" t="s">
        <v>8147</v>
      </c>
      <c r="G3703" s="23">
        <v>2017.0</v>
      </c>
      <c r="H3703" s="22" t="s">
        <v>91</v>
      </c>
      <c r="I3703" s="24" t="s">
        <v>17836</v>
      </c>
      <c r="J3703" s="22" t="s">
        <v>2036</v>
      </c>
      <c r="K3703" s="22"/>
      <c r="L3703" s="329" t="s">
        <v>17837</v>
      </c>
      <c r="M3703" s="44"/>
      <c r="N3703" s="44"/>
      <c r="O3703" s="44"/>
      <c r="P3703" s="44"/>
      <c r="Q3703" s="44"/>
      <c r="R3703" s="44"/>
      <c r="S3703" s="44"/>
      <c r="T3703" s="45"/>
      <c r="U3703" s="153" t="str">
        <f>HYPERLINK("https://www.ncbi.nlm.nih.gov/pubmed/28074305","PubMed")</f>
        <v>PubMed</v>
      </c>
      <c r="V3703" s="30"/>
      <c r="W3703" s="34"/>
      <c r="X3703" s="49"/>
      <c r="Y3703" s="35"/>
      <c r="Z3703" s="35"/>
      <c r="AA3703" s="35"/>
      <c r="AB3703" s="35"/>
      <c r="AC3703" s="35"/>
      <c r="AD3703" s="35"/>
      <c r="AE3703" s="35"/>
      <c r="AF3703" s="35"/>
      <c r="AG3703" s="35"/>
      <c r="AH3703" s="35"/>
      <c r="AI3703" s="35"/>
      <c r="AJ3703" s="35"/>
      <c r="AK3703" s="35"/>
      <c r="AL3703" s="35"/>
    </row>
    <row r="3704">
      <c r="A3704" s="18"/>
      <c r="B3704" s="19" t="s">
        <v>17536</v>
      </c>
      <c r="C3704" s="20" t="s">
        <v>17762</v>
      </c>
      <c r="D3704" s="47"/>
      <c r="E3704" s="22" t="s">
        <v>17838</v>
      </c>
      <c r="F3704" s="22" t="s">
        <v>797</v>
      </c>
      <c r="G3704" s="23">
        <v>2017.0</v>
      </c>
      <c r="H3704" s="22" t="s">
        <v>12224</v>
      </c>
      <c r="I3704" s="24" t="s">
        <v>17839</v>
      </c>
      <c r="J3704" s="22" t="s">
        <v>1078</v>
      </c>
      <c r="K3704" s="22"/>
      <c r="L3704" s="241" t="s">
        <v>17840</v>
      </c>
      <c r="M3704" s="44"/>
      <c r="N3704" s="44"/>
      <c r="O3704" s="44"/>
      <c r="P3704" s="44"/>
      <c r="Q3704" s="44"/>
      <c r="R3704" s="44"/>
      <c r="S3704" s="44"/>
      <c r="T3704" s="45"/>
      <c r="U3704" s="153" t="str">
        <f>HYPERLINK("https://www.ncbi.nlm.nih.gov/pubmed/28571697","PubMed")</f>
        <v>PubMed</v>
      </c>
      <c r="V3704" s="30"/>
      <c r="W3704" s="34"/>
      <c r="X3704" s="49"/>
      <c r="Y3704" s="35"/>
      <c r="Z3704" s="35"/>
      <c r="AA3704" s="35"/>
      <c r="AB3704" s="35"/>
      <c r="AC3704" s="35"/>
      <c r="AD3704" s="35"/>
      <c r="AE3704" s="35"/>
      <c r="AF3704" s="35"/>
      <c r="AG3704" s="35"/>
      <c r="AH3704" s="35"/>
      <c r="AI3704" s="35"/>
      <c r="AJ3704" s="35"/>
      <c r="AK3704" s="35"/>
      <c r="AL3704" s="35"/>
    </row>
    <row r="3705">
      <c r="A3705" s="18" t="s">
        <v>181</v>
      </c>
      <c r="B3705" s="19" t="s">
        <v>17536</v>
      </c>
      <c r="C3705" s="20" t="s">
        <v>17762</v>
      </c>
      <c r="D3705" s="47"/>
      <c r="E3705" s="22" t="s">
        <v>17841</v>
      </c>
      <c r="F3705" s="22" t="s">
        <v>3511</v>
      </c>
      <c r="G3705" s="23">
        <v>2015.0</v>
      </c>
      <c r="H3705" s="22" t="s">
        <v>292</v>
      </c>
      <c r="I3705" s="24" t="s">
        <v>17842</v>
      </c>
      <c r="J3705" s="22" t="s">
        <v>17843</v>
      </c>
      <c r="K3705" s="22"/>
      <c r="L3705" s="36" t="s">
        <v>17844</v>
      </c>
      <c r="M3705" s="36"/>
      <c r="N3705" s="36"/>
      <c r="O3705" s="36"/>
      <c r="P3705" s="37" t="s">
        <v>17845</v>
      </c>
      <c r="Q3705" s="275"/>
      <c r="R3705" s="36">
        <v>540.0</v>
      </c>
      <c r="S3705" s="36" t="s">
        <v>10290</v>
      </c>
      <c r="T3705" s="28" t="s">
        <v>17846</v>
      </c>
      <c r="U3705" s="153" t="str">
        <f>HYPERLINK("https://www.ncbi.nlm.nih.gov/pubmed/26557734","PubMed")</f>
        <v>PubMed</v>
      </c>
      <c r="V3705" s="30"/>
      <c r="W3705" s="34"/>
      <c r="X3705" s="49"/>
      <c r="Y3705" s="35"/>
      <c r="Z3705" s="35"/>
      <c r="AA3705" s="35"/>
      <c r="AB3705" s="35"/>
      <c r="AC3705" s="35"/>
      <c r="AD3705" s="35"/>
      <c r="AE3705" s="35"/>
      <c r="AF3705" s="35"/>
      <c r="AG3705" s="35"/>
      <c r="AH3705" s="35"/>
      <c r="AI3705" s="35"/>
      <c r="AJ3705" s="35"/>
      <c r="AK3705" s="35"/>
      <c r="AL3705" s="35"/>
    </row>
    <row r="3706">
      <c r="A3706" s="18" t="s">
        <v>181</v>
      </c>
      <c r="B3706" s="19" t="s">
        <v>17536</v>
      </c>
      <c r="C3706" s="20" t="s">
        <v>17762</v>
      </c>
      <c r="D3706" s="47"/>
      <c r="E3706" s="22" t="s">
        <v>17847</v>
      </c>
      <c r="F3706" s="22" t="s">
        <v>5850</v>
      </c>
      <c r="G3706" s="23">
        <v>2013.0</v>
      </c>
      <c r="H3706" s="22" t="s">
        <v>17848</v>
      </c>
      <c r="I3706" s="24" t="s">
        <v>17849</v>
      </c>
      <c r="J3706" s="22" t="s">
        <v>17850</v>
      </c>
      <c r="K3706" s="22"/>
      <c r="L3706" s="36" t="s">
        <v>17851</v>
      </c>
      <c r="M3706" s="36"/>
      <c r="N3706" s="36"/>
      <c r="O3706" s="36"/>
      <c r="P3706" s="37" t="s">
        <v>7500</v>
      </c>
      <c r="Q3706" s="275"/>
      <c r="R3706" s="36"/>
      <c r="S3706" s="36" t="s">
        <v>2099</v>
      </c>
      <c r="T3706" s="28" t="s">
        <v>17852</v>
      </c>
      <c r="U3706" s="153" t="str">
        <f>HYPERLINK("https://www.ncbi.nlm.nih.gov/pubmed/24026991","PubMed")</f>
        <v>PubMed</v>
      </c>
      <c r="V3706" s="30"/>
      <c r="W3706" s="34"/>
      <c r="X3706" s="49"/>
      <c r="Y3706" s="35"/>
      <c r="Z3706" s="35"/>
      <c r="AA3706" s="35"/>
      <c r="AB3706" s="35"/>
      <c r="AC3706" s="35"/>
      <c r="AD3706" s="35"/>
      <c r="AE3706" s="35"/>
      <c r="AF3706" s="35"/>
      <c r="AG3706" s="35"/>
      <c r="AH3706" s="35"/>
      <c r="AI3706" s="35"/>
      <c r="AJ3706" s="35"/>
      <c r="AK3706" s="35"/>
      <c r="AL3706" s="35"/>
    </row>
    <row r="3707">
      <c r="A3707" s="18" t="s">
        <v>181</v>
      </c>
      <c r="B3707" s="19" t="s">
        <v>17536</v>
      </c>
      <c r="C3707" s="20" t="s">
        <v>17762</v>
      </c>
      <c r="D3707" s="47"/>
      <c r="E3707" s="22" t="s">
        <v>17853</v>
      </c>
      <c r="F3707" s="22" t="s">
        <v>332</v>
      </c>
      <c r="G3707" s="23">
        <v>2012.0</v>
      </c>
      <c r="H3707" s="22" t="s">
        <v>17854</v>
      </c>
      <c r="I3707" s="24" t="s">
        <v>17855</v>
      </c>
      <c r="J3707" s="22" t="s">
        <v>8487</v>
      </c>
      <c r="K3707" s="22"/>
      <c r="L3707" s="36">
        <v>850.0</v>
      </c>
      <c r="M3707" s="36"/>
      <c r="N3707" s="36"/>
      <c r="O3707" s="36"/>
      <c r="P3707" s="37" t="s">
        <v>47</v>
      </c>
      <c r="Q3707" s="275"/>
      <c r="R3707" s="36">
        <v>900.0</v>
      </c>
      <c r="S3707" s="36" t="s">
        <v>4905</v>
      </c>
      <c r="T3707" s="28" t="s">
        <v>17856</v>
      </c>
      <c r="U3707" s="153" t="str">
        <f>HYPERLINK("http://www.sciencedirect.com/science/article/pii/S2090123211000361","ScienceDirect")</f>
        <v>ScienceDirect</v>
      </c>
      <c r="V3707" s="30"/>
      <c r="W3707" s="34"/>
      <c r="X3707" s="49"/>
      <c r="Y3707" s="35"/>
      <c r="Z3707" s="35"/>
      <c r="AA3707" s="35"/>
      <c r="AB3707" s="35"/>
      <c r="AC3707" s="35"/>
      <c r="AD3707" s="35"/>
      <c r="AE3707" s="35"/>
      <c r="AF3707" s="35"/>
      <c r="AG3707" s="35"/>
      <c r="AH3707" s="35"/>
      <c r="AI3707" s="35"/>
      <c r="AJ3707" s="35"/>
      <c r="AK3707" s="35"/>
      <c r="AL3707" s="35"/>
    </row>
    <row r="3708">
      <c r="A3708" s="1"/>
      <c r="B3708" s="19" t="s">
        <v>17536</v>
      </c>
      <c r="C3708" s="20" t="s">
        <v>17762</v>
      </c>
      <c r="D3708" s="47"/>
      <c r="E3708" s="22" t="s">
        <v>17857</v>
      </c>
      <c r="F3708" s="22" t="s">
        <v>17858</v>
      </c>
      <c r="G3708" s="23">
        <v>2011.0</v>
      </c>
      <c r="H3708" s="22" t="s">
        <v>17859</v>
      </c>
      <c r="I3708" s="24" t="s">
        <v>17860</v>
      </c>
      <c r="J3708" s="22" t="s">
        <v>17861</v>
      </c>
      <c r="K3708" s="22" t="s">
        <v>6556</v>
      </c>
      <c r="L3708" s="36">
        <v>890.0</v>
      </c>
      <c r="M3708" s="36"/>
      <c r="N3708" s="36"/>
      <c r="O3708" s="36"/>
      <c r="P3708" s="37"/>
      <c r="Q3708" s="275"/>
      <c r="R3708" s="36"/>
      <c r="S3708" s="36" t="s">
        <v>17862</v>
      </c>
      <c r="T3708" s="41" t="s">
        <v>17863</v>
      </c>
      <c r="U3708" s="153" t="str">
        <f>HYPERLINK("https://www.ncbi.nlm.nih.gov/pubmed/21947144","PubMed")</f>
        <v>PubMed</v>
      </c>
      <c r="V3708" s="30"/>
      <c r="W3708" s="34"/>
      <c r="X3708" s="49"/>
      <c r="Y3708" s="35"/>
      <c r="Z3708" s="35"/>
      <c r="AA3708" s="35"/>
      <c r="AB3708" s="35"/>
      <c r="AC3708" s="35"/>
      <c r="AD3708" s="35"/>
      <c r="AE3708" s="35"/>
      <c r="AF3708" s="35"/>
      <c r="AG3708" s="35"/>
      <c r="AH3708" s="35"/>
      <c r="AI3708" s="35"/>
      <c r="AJ3708" s="35"/>
      <c r="AK3708" s="35"/>
      <c r="AL3708" s="35"/>
    </row>
    <row r="3709">
      <c r="A3709" s="1"/>
      <c r="B3709" s="19" t="s">
        <v>17536</v>
      </c>
      <c r="C3709" s="20" t="s">
        <v>17762</v>
      </c>
      <c r="D3709" s="47"/>
      <c r="E3709" s="22" t="s">
        <v>17864</v>
      </c>
      <c r="F3709" s="22" t="s">
        <v>323</v>
      </c>
      <c r="G3709" s="23">
        <v>2011.0</v>
      </c>
      <c r="H3709" s="22" t="s">
        <v>91</v>
      </c>
      <c r="I3709" s="24" t="s">
        <v>17865</v>
      </c>
      <c r="J3709" s="22" t="s">
        <v>17866</v>
      </c>
      <c r="K3709" s="22"/>
      <c r="L3709" s="36" t="s">
        <v>4503</v>
      </c>
      <c r="M3709" s="36" t="s">
        <v>58</v>
      </c>
      <c r="N3709" s="36" t="s">
        <v>58</v>
      </c>
      <c r="O3709" s="36" t="s">
        <v>58</v>
      </c>
      <c r="P3709" s="37" t="s">
        <v>95</v>
      </c>
      <c r="Q3709" s="275" t="s">
        <v>675</v>
      </c>
      <c r="R3709" s="36" t="s">
        <v>58</v>
      </c>
      <c r="S3709" s="36" t="s">
        <v>17419</v>
      </c>
      <c r="T3709" s="28" t="s">
        <v>17867</v>
      </c>
      <c r="U3709" s="153" t="str">
        <f>HYPERLINK("https://www.ncbi.nlm.nih.gov/pubmed/21853320","PubMed")</f>
        <v>PubMed</v>
      </c>
      <c r="V3709" s="30"/>
      <c r="W3709" s="34"/>
      <c r="X3709" s="49"/>
      <c r="Y3709" s="35"/>
      <c r="Z3709" s="35"/>
      <c r="AA3709" s="35"/>
      <c r="AB3709" s="35"/>
      <c r="AC3709" s="35"/>
      <c r="AD3709" s="35"/>
      <c r="AE3709" s="35"/>
      <c r="AF3709" s="35"/>
      <c r="AG3709" s="35"/>
      <c r="AH3709" s="35"/>
      <c r="AI3709" s="35"/>
      <c r="AJ3709" s="35"/>
      <c r="AK3709" s="35"/>
      <c r="AL3709" s="35"/>
    </row>
    <row r="3710">
      <c r="A3710" s="1"/>
      <c r="B3710" s="19" t="s">
        <v>17536</v>
      </c>
      <c r="C3710" s="20" t="s">
        <v>17762</v>
      </c>
      <c r="D3710" s="47"/>
      <c r="E3710" s="22" t="s">
        <v>17868</v>
      </c>
      <c r="F3710" s="22" t="s">
        <v>17869</v>
      </c>
      <c r="G3710" s="23">
        <v>2010.0</v>
      </c>
      <c r="H3710" s="22" t="s">
        <v>17870</v>
      </c>
      <c r="I3710" s="24" t="s">
        <v>17871</v>
      </c>
      <c r="J3710" s="22" t="s">
        <v>17872</v>
      </c>
      <c r="K3710" s="22" t="s">
        <v>16292</v>
      </c>
      <c r="L3710" s="36">
        <v>870.0</v>
      </c>
      <c r="M3710" s="36" t="s">
        <v>17873</v>
      </c>
      <c r="N3710" s="36"/>
      <c r="O3710" s="36" t="s">
        <v>17874</v>
      </c>
      <c r="P3710" s="37"/>
      <c r="Q3710" s="275"/>
      <c r="R3710" s="36" t="s">
        <v>17875</v>
      </c>
      <c r="S3710" s="36" t="s">
        <v>17876</v>
      </c>
      <c r="T3710" s="42" t="s">
        <v>17877</v>
      </c>
      <c r="U3710" s="153" t="str">
        <f>HYPERLINK("https://www.ncbi.nlm.nih.gov/pubmed/19896325","PubMed")</f>
        <v>PubMed</v>
      </c>
      <c r="V3710" s="30"/>
      <c r="W3710" s="34"/>
      <c r="X3710" s="49"/>
      <c r="Y3710" s="35"/>
      <c r="Z3710" s="35"/>
      <c r="AA3710" s="35"/>
      <c r="AB3710" s="35"/>
      <c r="AC3710" s="35"/>
      <c r="AD3710" s="35"/>
      <c r="AE3710" s="35"/>
      <c r="AF3710" s="35"/>
      <c r="AG3710" s="35"/>
      <c r="AH3710" s="35"/>
      <c r="AI3710" s="35"/>
      <c r="AJ3710" s="35"/>
      <c r="AK3710" s="35"/>
      <c r="AL3710" s="35"/>
    </row>
    <row r="3711">
      <c r="A3711" s="1"/>
      <c r="B3711" s="19" t="s">
        <v>17536</v>
      </c>
      <c r="C3711" s="20" t="s">
        <v>17762</v>
      </c>
      <c r="D3711" s="47"/>
      <c r="E3711" s="22" t="s">
        <v>17878</v>
      </c>
      <c r="F3711" s="22" t="s">
        <v>2414</v>
      </c>
      <c r="G3711" s="23">
        <v>2008.0</v>
      </c>
      <c r="H3711" s="22" t="s">
        <v>17879</v>
      </c>
      <c r="I3711" s="24" t="s">
        <v>17880</v>
      </c>
      <c r="J3711" s="22" t="s">
        <v>17881</v>
      </c>
      <c r="K3711" s="22" t="s">
        <v>17882</v>
      </c>
      <c r="L3711" s="36">
        <v>890.0</v>
      </c>
      <c r="M3711" s="36" t="s">
        <v>58</v>
      </c>
      <c r="N3711" s="36" t="s">
        <v>58</v>
      </c>
      <c r="O3711" s="36" t="s">
        <v>58</v>
      </c>
      <c r="P3711" s="37" t="s">
        <v>17883</v>
      </c>
      <c r="Q3711" s="275" t="s">
        <v>58</v>
      </c>
      <c r="R3711" s="36">
        <v>2400.0</v>
      </c>
      <c r="S3711" s="36" t="s">
        <v>17884</v>
      </c>
      <c r="T3711" s="41" t="s">
        <v>17885</v>
      </c>
      <c r="U3711" s="153" t="str">
        <f>HYPERLINK("https://www.ncbi.nlm.nih.gov/pubmed/17977931","PubMed")</f>
        <v>PubMed</v>
      </c>
      <c r="V3711" s="30"/>
      <c r="W3711" s="34"/>
      <c r="X3711" s="49"/>
      <c r="Y3711" s="35"/>
      <c r="Z3711" s="35"/>
      <c r="AA3711" s="35"/>
      <c r="AB3711" s="35"/>
      <c r="AC3711" s="35"/>
      <c r="AD3711" s="35"/>
      <c r="AE3711" s="35"/>
      <c r="AF3711" s="35"/>
      <c r="AG3711" s="35"/>
      <c r="AH3711" s="35"/>
      <c r="AI3711" s="35"/>
      <c r="AJ3711" s="35"/>
      <c r="AK3711" s="35"/>
      <c r="AL3711" s="35"/>
    </row>
    <row r="3712">
      <c r="A3712" s="1"/>
      <c r="B3712" s="19" t="s">
        <v>17536</v>
      </c>
      <c r="C3712" s="20" t="s">
        <v>17762</v>
      </c>
      <c r="D3712" s="47"/>
      <c r="E3712" s="22" t="s">
        <v>17886</v>
      </c>
      <c r="F3712" s="22" t="s">
        <v>17887</v>
      </c>
      <c r="G3712" s="23">
        <v>2008.0</v>
      </c>
      <c r="H3712" s="22" t="s">
        <v>17888</v>
      </c>
      <c r="I3712" s="24" t="s">
        <v>17889</v>
      </c>
      <c r="J3712" s="22" t="s">
        <v>17890</v>
      </c>
      <c r="K3712" s="22"/>
      <c r="L3712" s="36">
        <v>890.0</v>
      </c>
      <c r="M3712" s="36" t="s">
        <v>58</v>
      </c>
      <c r="N3712" s="36" t="s">
        <v>58</v>
      </c>
      <c r="O3712" s="36" t="s">
        <v>58</v>
      </c>
      <c r="P3712" s="37" t="s">
        <v>17891</v>
      </c>
      <c r="Q3712" s="275" t="s">
        <v>58</v>
      </c>
      <c r="R3712" s="36">
        <v>1800.0</v>
      </c>
      <c r="S3712" s="36" t="s">
        <v>17892</v>
      </c>
      <c r="T3712" s="41" t="s">
        <v>17893</v>
      </c>
      <c r="U3712" s="29" t="s">
        <v>61</v>
      </c>
      <c r="V3712" s="30"/>
      <c r="W3712" s="34"/>
      <c r="X3712" s="49"/>
      <c r="Y3712" s="35"/>
      <c r="Z3712" s="35"/>
      <c r="AA3712" s="35"/>
      <c r="AB3712" s="35"/>
      <c r="AC3712" s="35"/>
      <c r="AD3712" s="35"/>
      <c r="AE3712" s="35"/>
      <c r="AF3712" s="35"/>
      <c r="AG3712" s="35"/>
      <c r="AH3712" s="35"/>
      <c r="AI3712" s="35"/>
      <c r="AJ3712" s="35"/>
      <c r="AK3712" s="35"/>
      <c r="AL3712" s="35"/>
    </row>
    <row r="3713">
      <c r="A3713" s="1"/>
      <c r="B3713" s="19" t="s">
        <v>17536</v>
      </c>
      <c r="C3713" s="20" t="s">
        <v>17762</v>
      </c>
      <c r="D3713" s="47"/>
      <c r="E3713" s="22" t="s">
        <v>17894</v>
      </c>
      <c r="F3713" s="22" t="s">
        <v>17895</v>
      </c>
      <c r="G3713" s="23">
        <v>2007.0</v>
      </c>
      <c r="H3713" s="22" t="s">
        <v>17896</v>
      </c>
      <c r="I3713" s="24" t="s">
        <v>17897</v>
      </c>
      <c r="J3713" s="22" t="s">
        <v>17898</v>
      </c>
      <c r="K3713" s="22" t="s">
        <v>17899</v>
      </c>
      <c r="L3713" s="36"/>
      <c r="M3713" s="36"/>
      <c r="N3713" s="36"/>
      <c r="O3713" s="36"/>
      <c r="P3713" s="37"/>
      <c r="Q3713" s="275"/>
      <c r="R3713" s="36"/>
      <c r="S3713" s="36"/>
      <c r="T3713" s="42" t="s">
        <v>17900</v>
      </c>
      <c r="U3713" s="153" t="str">
        <f>HYPERLINK("https://www.ncbi.nlm.nih.gov/pubmed/17633309","PubMed")</f>
        <v>PubMed</v>
      </c>
      <c r="V3713" s="30"/>
      <c r="W3713" s="34"/>
      <c r="X3713" s="49"/>
      <c r="Y3713" s="35"/>
      <c r="Z3713" s="35"/>
      <c r="AA3713" s="35"/>
      <c r="AB3713" s="35"/>
      <c r="AC3713" s="35"/>
      <c r="AD3713" s="35"/>
      <c r="AE3713" s="35"/>
      <c r="AF3713" s="35"/>
      <c r="AG3713" s="35"/>
      <c r="AH3713" s="35"/>
      <c r="AI3713" s="35"/>
      <c r="AJ3713" s="35"/>
      <c r="AK3713" s="35"/>
      <c r="AL3713" s="35"/>
    </row>
    <row r="3714">
      <c r="A3714" s="18" t="s">
        <v>181</v>
      </c>
      <c r="B3714" s="19" t="s">
        <v>17536</v>
      </c>
      <c r="C3714" s="20" t="s">
        <v>17762</v>
      </c>
      <c r="D3714" s="47"/>
      <c r="E3714" s="22" t="s">
        <v>17901</v>
      </c>
      <c r="F3714" s="22" t="s">
        <v>17902</v>
      </c>
      <c r="G3714" s="23">
        <v>2006.0</v>
      </c>
      <c r="H3714" s="22" t="s">
        <v>17903</v>
      </c>
      <c r="I3714" s="24" t="s">
        <v>17904</v>
      </c>
      <c r="J3714" s="22" t="s">
        <v>17905</v>
      </c>
      <c r="K3714" s="22" t="s">
        <v>17906</v>
      </c>
      <c r="L3714" s="36" t="s">
        <v>58</v>
      </c>
      <c r="M3714" s="36" t="s">
        <v>58</v>
      </c>
      <c r="N3714" s="36" t="s">
        <v>58</v>
      </c>
      <c r="O3714" s="36" t="s">
        <v>58</v>
      </c>
      <c r="P3714" s="37" t="s">
        <v>58</v>
      </c>
      <c r="Q3714" s="275" t="s">
        <v>58</v>
      </c>
      <c r="R3714" s="36" t="s">
        <v>58</v>
      </c>
      <c r="S3714" s="36" t="s">
        <v>58</v>
      </c>
      <c r="T3714" s="28" t="s">
        <v>17907</v>
      </c>
      <c r="U3714" s="153" t="str">
        <f>HYPERLINK("https://www.ncbi.nlm.nih.gov/pubmed/16303775","PubMed")</f>
        <v>PubMed</v>
      </c>
      <c r="V3714" s="30"/>
      <c r="W3714" s="34"/>
      <c r="X3714" s="49"/>
      <c r="Y3714" s="35"/>
      <c r="Z3714" s="35"/>
      <c r="AA3714" s="35"/>
      <c r="AB3714" s="35"/>
      <c r="AC3714" s="35"/>
      <c r="AD3714" s="35"/>
      <c r="AE3714" s="35"/>
      <c r="AF3714" s="35"/>
      <c r="AG3714" s="35"/>
      <c r="AH3714" s="35"/>
      <c r="AI3714" s="35"/>
      <c r="AJ3714" s="35"/>
      <c r="AK3714" s="35"/>
      <c r="AL3714" s="35"/>
    </row>
    <row r="3715">
      <c r="A3715" s="149" t="s">
        <v>181</v>
      </c>
      <c r="B3715" s="19" t="s">
        <v>17536</v>
      </c>
      <c r="C3715" s="20" t="s">
        <v>17762</v>
      </c>
      <c r="D3715" s="47"/>
      <c r="E3715" s="22" t="s">
        <v>17908</v>
      </c>
      <c r="F3715" s="22" t="s">
        <v>17909</v>
      </c>
      <c r="G3715" s="23">
        <v>2006.0</v>
      </c>
      <c r="H3715" s="22" t="s">
        <v>17910</v>
      </c>
      <c r="I3715" s="24" t="s">
        <v>17911</v>
      </c>
      <c r="J3715" s="22" t="s">
        <v>17912</v>
      </c>
      <c r="K3715" s="22" t="s">
        <v>16292</v>
      </c>
      <c r="L3715" s="36" t="s">
        <v>17913</v>
      </c>
      <c r="M3715" s="36" t="s">
        <v>58</v>
      </c>
      <c r="N3715" s="36" t="s">
        <v>58</v>
      </c>
      <c r="O3715" s="36" t="s">
        <v>58</v>
      </c>
      <c r="P3715" s="37" t="s">
        <v>58</v>
      </c>
      <c r="Q3715" s="275" t="s">
        <v>58</v>
      </c>
      <c r="R3715" s="36">
        <v>1800.0</v>
      </c>
      <c r="S3715" s="36" t="s">
        <v>6552</v>
      </c>
      <c r="T3715" s="28" t="s">
        <v>17914</v>
      </c>
      <c r="U3715" s="153" t="str">
        <f>HYPERLINK("https://www.ncbi.nlm.nih.gov/pubmed/16710647","PubMed")</f>
        <v>PubMed</v>
      </c>
      <c r="V3715" s="30"/>
      <c r="W3715" s="34"/>
      <c r="X3715" s="49"/>
      <c r="Y3715" s="35"/>
      <c r="Z3715" s="35"/>
      <c r="AA3715" s="35"/>
      <c r="AB3715" s="35"/>
      <c r="AC3715" s="35"/>
      <c r="AD3715" s="35"/>
      <c r="AE3715" s="35"/>
      <c r="AF3715" s="35"/>
      <c r="AG3715" s="35"/>
      <c r="AH3715" s="35"/>
      <c r="AI3715" s="35"/>
      <c r="AJ3715" s="35"/>
      <c r="AK3715" s="35"/>
      <c r="AL3715" s="35"/>
    </row>
    <row r="3716">
      <c r="A3716" s="1"/>
      <c r="B3716" s="19" t="s">
        <v>17536</v>
      </c>
      <c r="C3716" s="20" t="s">
        <v>17762</v>
      </c>
      <c r="D3716" s="47"/>
      <c r="E3716" s="22" t="s">
        <v>17915</v>
      </c>
      <c r="F3716" s="22" t="s">
        <v>17916</v>
      </c>
      <c r="G3716" s="23">
        <v>2005.0</v>
      </c>
      <c r="H3716" s="22" t="s">
        <v>17879</v>
      </c>
      <c r="I3716" s="24" t="s">
        <v>17917</v>
      </c>
      <c r="J3716" s="22" t="s">
        <v>17918</v>
      </c>
      <c r="K3716" s="22" t="s">
        <v>6556</v>
      </c>
      <c r="L3716" s="36">
        <v>890.0</v>
      </c>
      <c r="M3716" s="36"/>
      <c r="N3716" s="36"/>
      <c r="O3716" s="36"/>
      <c r="P3716" s="37"/>
      <c r="Q3716" s="275"/>
      <c r="R3716" s="36"/>
      <c r="S3716" s="36" t="s">
        <v>4905</v>
      </c>
      <c r="T3716" s="41" t="s">
        <v>17919</v>
      </c>
      <c r="U3716" s="153" t="str">
        <f>HYPERLINK("https://www.ncbi.nlm.nih.gov/pubmed/16306551","PubMed")</f>
        <v>PubMed</v>
      </c>
      <c r="V3716" s="30"/>
      <c r="W3716" s="130" t="str">
        <f>HYPERLINK("https://www.ncbi.nlm.nih.gov/pubmed/16685800","Comment")</f>
        <v>Comment</v>
      </c>
      <c r="X3716" s="49"/>
      <c r="Y3716" s="35"/>
      <c r="Z3716" s="35"/>
      <c r="AA3716" s="35"/>
      <c r="AB3716" s="35"/>
      <c r="AC3716" s="35"/>
      <c r="AD3716" s="35"/>
      <c r="AE3716" s="35"/>
      <c r="AF3716" s="35"/>
      <c r="AG3716" s="35"/>
      <c r="AH3716" s="35"/>
      <c r="AI3716" s="35"/>
      <c r="AJ3716" s="35"/>
      <c r="AK3716" s="35"/>
      <c r="AL3716" s="35"/>
    </row>
    <row r="3717">
      <c r="A3717" s="18" t="s">
        <v>181</v>
      </c>
      <c r="B3717" s="19" t="s">
        <v>17536</v>
      </c>
      <c r="C3717" s="20" t="s">
        <v>17762</v>
      </c>
      <c r="D3717" s="47"/>
      <c r="E3717" s="22" t="s">
        <v>17920</v>
      </c>
      <c r="F3717" s="22" t="s">
        <v>2445</v>
      </c>
      <c r="G3717" s="23">
        <v>2004.0</v>
      </c>
      <c r="H3717" s="22" t="s">
        <v>17879</v>
      </c>
      <c r="I3717" s="24" t="s">
        <v>17921</v>
      </c>
      <c r="J3717" s="22" t="s">
        <v>17922</v>
      </c>
      <c r="K3717" s="22" t="s">
        <v>6556</v>
      </c>
      <c r="L3717" s="36">
        <v>905.0</v>
      </c>
      <c r="M3717" s="36" t="s">
        <v>17923</v>
      </c>
      <c r="N3717" s="36"/>
      <c r="O3717" s="36"/>
      <c r="P3717" s="37"/>
      <c r="Q3717" s="275"/>
      <c r="R3717" s="36" t="s">
        <v>17924</v>
      </c>
      <c r="S3717" s="36" t="s">
        <v>2099</v>
      </c>
      <c r="T3717" s="41" t="s">
        <v>17925</v>
      </c>
      <c r="U3717" s="153" t="str">
        <f>HYPERLINK("https://www.ncbi.nlm.nih.gov/pubmed/15047649","PubMed")</f>
        <v>PubMed</v>
      </c>
      <c r="V3717" s="30"/>
      <c r="W3717" s="34"/>
      <c r="X3717" s="49"/>
      <c r="Y3717" s="35"/>
      <c r="Z3717" s="35"/>
      <c r="AA3717" s="35"/>
      <c r="AB3717" s="35"/>
      <c r="AC3717" s="35"/>
      <c r="AD3717" s="35"/>
      <c r="AE3717" s="35"/>
      <c r="AF3717" s="35"/>
      <c r="AG3717" s="35"/>
      <c r="AH3717" s="35"/>
      <c r="AI3717" s="35"/>
      <c r="AJ3717" s="35"/>
      <c r="AK3717" s="35"/>
      <c r="AL3717" s="35"/>
    </row>
    <row r="3718">
      <c r="A3718" s="18" t="s">
        <v>181</v>
      </c>
      <c r="B3718" s="19" t="s">
        <v>17536</v>
      </c>
      <c r="C3718" s="20" t="s">
        <v>17762</v>
      </c>
      <c r="D3718" s="47"/>
      <c r="E3718" s="22" t="s">
        <v>17901</v>
      </c>
      <c r="F3718" s="22" t="s">
        <v>17902</v>
      </c>
      <c r="G3718" s="23">
        <v>2004.0</v>
      </c>
      <c r="H3718" s="22" t="s">
        <v>17926</v>
      </c>
      <c r="I3718" s="24" t="s">
        <v>17927</v>
      </c>
      <c r="J3718" s="22" t="s">
        <v>17928</v>
      </c>
      <c r="K3718" s="22" t="s">
        <v>6556</v>
      </c>
      <c r="L3718" s="168"/>
      <c r="M3718" s="168"/>
      <c r="N3718" s="168"/>
      <c r="O3718" s="168"/>
      <c r="P3718" s="169"/>
      <c r="Q3718" s="274"/>
      <c r="R3718" s="168"/>
      <c r="S3718" s="168"/>
      <c r="T3718" s="28" t="s">
        <v>17929</v>
      </c>
      <c r="U3718" s="153" t="str">
        <f>HYPERLINK("https://www.ncbi.nlm.nih.gov/pubmed/15289717","PubMed")</f>
        <v>PubMed</v>
      </c>
      <c r="V3718" s="30"/>
      <c r="W3718" s="34"/>
      <c r="X3718" s="49"/>
      <c r="Y3718" s="35"/>
      <c r="Z3718" s="35"/>
      <c r="AA3718" s="35"/>
      <c r="AB3718" s="35"/>
      <c r="AC3718" s="35"/>
      <c r="AD3718" s="35"/>
      <c r="AE3718" s="35"/>
      <c r="AF3718" s="35"/>
      <c r="AG3718" s="35"/>
      <c r="AH3718" s="35"/>
      <c r="AI3718" s="35"/>
      <c r="AJ3718" s="35"/>
      <c r="AK3718" s="35"/>
      <c r="AL3718" s="35"/>
    </row>
    <row r="3719">
      <c r="A3719" s="1"/>
      <c r="B3719" s="19" t="s">
        <v>17536</v>
      </c>
      <c r="C3719" s="20" t="s">
        <v>17762</v>
      </c>
      <c r="D3719" s="47"/>
      <c r="E3719" s="22" t="s">
        <v>17930</v>
      </c>
      <c r="F3719" s="22" t="s">
        <v>17931</v>
      </c>
      <c r="G3719" s="23">
        <v>2004.0</v>
      </c>
      <c r="H3719" s="22" t="s">
        <v>17879</v>
      </c>
      <c r="I3719" s="24" t="s">
        <v>17932</v>
      </c>
      <c r="J3719" s="22" t="s">
        <v>17933</v>
      </c>
      <c r="K3719" s="22" t="s">
        <v>6556</v>
      </c>
      <c r="L3719" s="36">
        <v>890.0</v>
      </c>
      <c r="M3719" s="36"/>
      <c r="N3719" s="36"/>
      <c r="O3719" s="36"/>
      <c r="P3719" s="37"/>
      <c r="Q3719" s="275"/>
      <c r="R3719" s="36"/>
      <c r="S3719" s="36" t="s">
        <v>17934</v>
      </c>
      <c r="T3719" s="41" t="s">
        <v>17935</v>
      </c>
      <c r="U3719" s="153" t="str">
        <f>HYPERLINK("https://www.ncbi.nlm.nih.gov/pubmed/14693984","PubMed")</f>
        <v>PubMed</v>
      </c>
      <c r="V3719" s="30"/>
      <c r="W3719" s="34"/>
      <c r="X3719" s="49"/>
      <c r="Y3719" s="35"/>
      <c r="Z3719" s="35"/>
      <c r="AA3719" s="35"/>
      <c r="AB3719" s="35"/>
      <c r="AC3719" s="35"/>
      <c r="AD3719" s="35"/>
      <c r="AE3719" s="35"/>
      <c r="AF3719" s="35"/>
      <c r="AG3719" s="35"/>
      <c r="AH3719" s="35"/>
      <c r="AI3719" s="35"/>
      <c r="AJ3719" s="35"/>
      <c r="AK3719" s="35"/>
      <c r="AL3719" s="35"/>
    </row>
    <row r="3720">
      <c r="A3720" s="18" t="s">
        <v>181</v>
      </c>
      <c r="B3720" s="19" t="s">
        <v>17536</v>
      </c>
      <c r="C3720" s="20" t="s">
        <v>17762</v>
      </c>
      <c r="D3720" s="47"/>
      <c r="E3720" s="22" t="s">
        <v>17936</v>
      </c>
      <c r="F3720" s="22" t="s">
        <v>17937</v>
      </c>
      <c r="G3720" s="23">
        <v>2002.0</v>
      </c>
      <c r="H3720" s="22" t="s">
        <v>17938</v>
      </c>
      <c r="I3720" s="24" t="s">
        <v>17939</v>
      </c>
      <c r="J3720" s="22" t="s">
        <v>17940</v>
      </c>
      <c r="K3720" s="22"/>
      <c r="L3720" s="36"/>
      <c r="M3720" s="36"/>
      <c r="N3720" s="36"/>
      <c r="O3720" s="36"/>
      <c r="P3720" s="37"/>
      <c r="Q3720" s="275"/>
      <c r="R3720" s="36">
        <v>1800.0</v>
      </c>
      <c r="S3720" s="36" t="s">
        <v>867</v>
      </c>
      <c r="T3720" s="28" t="s">
        <v>17941</v>
      </c>
      <c r="U3720" s="153" t="str">
        <f>HYPERLINK("https://www.ncbi.nlm.nih.gov/pubmed/11904323","PubMed")</f>
        <v>PubMed</v>
      </c>
      <c r="V3720" s="30"/>
      <c r="W3720" s="34"/>
      <c r="X3720" s="49"/>
      <c r="Y3720" s="35"/>
      <c r="Z3720" s="35"/>
      <c r="AA3720" s="35"/>
      <c r="AB3720" s="35"/>
      <c r="AC3720" s="35"/>
      <c r="AD3720" s="35"/>
      <c r="AE3720" s="35"/>
      <c r="AF3720" s="35"/>
      <c r="AG3720" s="35"/>
      <c r="AH3720" s="35"/>
      <c r="AI3720" s="35"/>
      <c r="AJ3720" s="35"/>
      <c r="AK3720" s="35"/>
      <c r="AL3720" s="35"/>
    </row>
    <row r="3721">
      <c r="A3721" s="18"/>
      <c r="B3721" s="19" t="s">
        <v>17536</v>
      </c>
      <c r="C3721" s="20" t="s">
        <v>17942</v>
      </c>
      <c r="D3721" s="47"/>
      <c r="E3721" s="22" t="s">
        <v>5597</v>
      </c>
      <c r="F3721" s="22" t="s">
        <v>283</v>
      </c>
      <c r="G3721" s="23">
        <v>2005.0</v>
      </c>
      <c r="H3721" s="22" t="s">
        <v>91</v>
      </c>
      <c r="I3721" s="24" t="s">
        <v>17943</v>
      </c>
      <c r="J3721" s="22" t="s">
        <v>17944</v>
      </c>
      <c r="K3721" s="22" t="s">
        <v>157</v>
      </c>
      <c r="L3721" s="36">
        <v>950.0</v>
      </c>
      <c r="M3721" s="36">
        <v>160.0</v>
      </c>
      <c r="N3721" s="36"/>
      <c r="O3721" s="36"/>
      <c r="P3721" s="37" t="s">
        <v>717</v>
      </c>
      <c r="Q3721" s="275" t="s">
        <v>16722</v>
      </c>
      <c r="R3721" s="36">
        <v>120.0</v>
      </c>
      <c r="S3721" s="36">
        <v>1.0</v>
      </c>
      <c r="T3721" s="28" t="s">
        <v>17945</v>
      </c>
      <c r="U3721" s="153" t="str">
        <f>HYPERLINK("https://www.ncbi.nlm.nih.gov/pubmed/15895289","PubMed")</f>
        <v>PubMed</v>
      </c>
      <c r="V3721" s="30"/>
      <c r="W3721" s="34"/>
      <c r="X3721" s="49"/>
      <c r="Y3721" s="35"/>
      <c r="Z3721" s="35"/>
      <c r="AA3721" s="35"/>
      <c r="AB3721" s="35"/>
      <c r="AC3721" s="35"/>
      <c r="AD3721" s="35"/>
      <c r="AE3721" s="35"/>
      <c r="AF3721" s="35"/>
      <c r="AG3721" s="35"/>
      <c r="AH3721" s="35"/>
      <c r="AI3721" s="35"/>
      <c r="AJ3721" s="35"/>
      <c r="AK3721" s="35"/>
      <c r="AL3721" s="35"/>
    </row>
    <row r="3722">
      <c r="A3722" s="18"/>
      <c r="B3722" s="19" t="s">
        <v>17536</v>
      </c>
      <c r="C3722" s="20" t="s">
        <v>17942</v>
      </c>
      <c r="D3722" s="47"/>
      <c r="E3722" s="22" t="s">
        <v>17946</v>
      </c>
      <c r="F3722" s="22" t="s">
        <v>283</v>
      </c>
      <c r="G3722" s="23">
        <v>2000.0</v>
      </c>
      <c r="H3722" s="22" t="s">
        <v>91</v>
      </c>
      <c r="I3722" s="24" t="s">
        <v>17947</v>
      </c>
      <c r="J3722" s="22" t="s">
        <v>17948</v>
      </c>
      <c r="K3722" s="22"/>
      <c r="L3722" s="36">
        <v>830.0</v>
      </c>
      <c r="M3722" s="36" t="s">
        <v>17949</v>
      </c>
      <c r="N3722" s="36"/>
      <c r="O3722" s="36" t="s">
        <v>17950</v>
      </c>
      <c r="P3722" s="37" t="s">
        <v>17951</v>
      </c>
      <c r="Q3722" s="275"/>
      <c r="R3722" s="36"/>
      <c r="S3722" s="36"/>
      <c r="T3722" s="28" t="s">
        <v>17952</v>
      </c>
      <c r="U3722" s="153" t="str">
        <f>HYPERLINK("https://link.springer.com/article/10.1007/PL00011317","Springer")</f>
        <v>Springer</v>
      </c>
      <c r="V3722" s="30"/>
      <c r="W3722" s="34"/>
      <c r="X3722" s="49"/>
      <c r="Y3722" s="35"/>
      <c r="Z3722" s="35"/>
      <c r="AA3722" s="35"/>
      <c r="AB3722" s="35"/>
      <c r="AC3722" s="35"/>
      <c r="AD3722" s="35"/>
      <c r="AE3722" s="35"/>
      <c r="AF3722" s="35"/>
      <c r="AG3722" s="35"/>
      <c r="AH3722" s="35"/>
      <c r="AI3722" s="35"/>
      <c r="AJ3722" s="35"/>
      <c r="AK3722" s="35"/>
      <c r="AL3722" s="35"/>
    </row>
    <row r="3723">
      <c r="A3723" s="18"/>
      <c r="B3723" s="19" t="s">
        <v>17536</v>
      </c>
      <c r="C3723" s="20" t="s">
        <v>17942</v>
      </c>
      <c r="D3723" s="47"/>
      <c r="E3723" s="22" t="s">
        <v>17953</v>
      </c>
      <c r="F3723" s="22" t="s">
        <v>1416</v>
      </c>
      <c r="G3723" s="23">
        <v>1989.0</v>
      </c>
      <c r="H3723" s="22" t="s">
        <v>17954</v>
      </c>
      <c r="I3723" s="24" t="s">
        <v>17955</v>
      </c>
      <c r="J3723" s="22" t="s">
        <v>17956</v>
      </c>
      <c r="K3723" s="22"/>
      <c r="L3723" s="36"/>
      <c r="M3723" s="36"/>
      <c r="N3723" s="36"/>
      <c r="O3723" s="36"/>
      <c r="P3723" s="37"/>
      <c r="Q3723" s="275"/>
      <c r="R3723" s="36"/>
      <c r="S3723" s="36">
        <v>1.0</v>
      </c>
      <c r="T3723" s="42" t="s">
        <v>17957</v>
      </c>
      <c r="U3723" s="153" t="str">
        <f>HYPERLINK("https://www.ncbi.nlm.nih.gov/pubmed/2641430","PubMed")</f>
        <v>PubMed</v>
      </c>
      <c r="V3723" s="30"/>
      <c r="W3723" s="34"/>
      <c r="X3723" s="49"/>
      <c r="Y3723" s="35"/>
      <c r="Z3723" s="35"/>
      <c r="AA3723" s="35"/>
      <c r="AB3723" s="35"/>
      <c r="AC3723" s="35"/>
      <c r="AD3723" s="35"/>
      <c r="AE3723" s="35"/>
      <c r="AF3723" s="35"/>
      <c r="AG3723" s="35"/>
      <c r="AH3723" s="35"/>
      <c r="AI3723" s="35"/>
      <c r="AJ3723" s="35"/>
      <c r="AK3723" s="35"/>
      <c r="AL3723" s="35"/>
    </row>
    <row r="3724">
      <c r="A3724" s="18"/>
      <c r="B3724" s="19" t="s">
        <v>17536</v>
      </c>
      <c r="C3724" s="20" t="s">
        <v>17942</v>
      </c>
      <c r="D3724" s="47"/>
      <c r="E3724" s="22" t="s">
        <v>17958</v>
      </c>
      <c r="F3724" s="22" t="s">
        <v>2407</v>
      </c>
      <c r="G3724" s="23">
        <v>1988.0</v>
      </c>
      <c r="H3724" s="22" t="s">
        <v>13143</v>
      </c>
      <c r="I3724" s="24" t="s">
        <v>17959</v>
      </c>
      <c r="J3724" s="22" t="s">
        <v>16466</v>
      </c>
      <c r="K3724" s="22"/>
      <c r="L3724" s="36">
        <v>633.0</v>
      </c>
      <c r="M3724" s="36"/>
      <c r="N3724" s="36"/>
      <c r="O3724" s="36"/>
      <c r="P3724" s="37"/>
      <c r="Q3724" s="275"/>
      <c r="R3724" s="36">
        <v>20.0</v>
      </c>
      <c r="S3724" s="36">
        <v>1.0</v>
      </c>
      <c r="T3724" s="28" t="s">
        <v>17960</v>
      </c>
      <c r="U3724" s="153" t="str">
        <f>HYPERLINK("https://www.ncbi.nlm.nih.gov/pubmed/3340661","PubMed")</f>
        <v>PubMed</v>
      </c>
      <c r="V3724" s="30"/>
      <c r="W3724" s="34"/>
      <c r="X3724" s="49"/>
      <c r="Y3724" s="35"/>
      <c r="Z3724" s="35"/>
      <c r="AA3724" s="35"/>
      <c r="AB3724" s="35"/>
      <c r="AC3724" s="35"/>
      <c r="AD3724" s="35"/>
      <c r="AE3724" s="35"/>
      <c r="AF3724" s="35"/>
      <c r="AG3724" s="35"/>
      <c r="AH3724" s="35"/>
      <c r="AI3724" s="35"/>
      <c r="AJ3724" s="35"/>
      <c r="AK3724" s="35"/>
      <c r="AL3724" s="35"/>
    </row>
    <row r="3725">
      <c r="A3725" s="18"/>
      <c r="B3725" s="19" t="s">
        <v>17536</v>
      </c>
      <c r="C3725" s="20" t="s">
        <v>17942</v>
      </c>
      <c r="D3725" s="47"/>
      <c r="E3725" s="22" t="s">
        <v>1267</v>
      </c>
      <c r="F3725" s="22" t="s">
        <v>291</v>
      </c>
      <c r="G3725" s="23">
        <v>1988.0</v>
      </c>
      <c r="H3725" s="22" t="s">
        <v>17961</v>
      </c>
      <c r="I3725" s="24" t="s">
        <v>17962</v>
      </c>
      <c r="J3725" s="22" t="s">
        <v>55</v>
      </c>
      <c r="K3725" s="22" t="s">
        <v>1848</v>
      </c>
      <c r="L3725" s="36">
        <v>633.0</v>
      </c>
      <c r="M3725" s="36" t="s">
        <v>17963</v>
      </c>
      <c r="N3725" s="36"/>
      <c r="O3725" s="36"/>
      <c r="P3725" s="37"/>
      <c r="Q3725" s="275"/>
      <c r="R3725" s="36"/>
      <c r="S3725" s="36"/>
      <c r="T3725" s="28" t="s">
        <v>17964</v>
      </c>
      <c r="U3725" s="153" t="str">
        <f>HYPERLINK("https://www.ncbi.nlm.nih.gov/pubmed/3177050","PubMed")</f>
        <v>PubMed</v>
      </c>
      <c r="V3725" s="30"/>
      <c r="W3725" s="34"/>
      <c r="X3725" s="49"/>
      <c r="Y3725" s="35"/>
      <c r="Z3725" s="35"/>
      <c r="AA3725" s="35"/>
      <c r="AB3725" s="35"/>
      <c r="AC3725" s="35"/>
      <c r="AD3725" s="35"/>
      <c r="AE3725" s="35"/>
      <c r="AF3725" s="35"/>
      <c r="AG3725" s="35"/>
      <c r="AH3725" s="35"/>
      <c r="AI3725" s="35"/>
      <c r="AJ3725" s="35"/>
      <c r="AK3725" s="35"/>
      <c r="AL3725" s="35"/>
    </row>
    <row r="3726">
      <c r="A3726" s="1"/>
      <c r="B3726" s="19" t="s">
        <v>17536</v>
      </c>
      <c r="C3726" s="20" t="s">
        <v>1610</v>
      </c>
      <c r="D3726" s="47"/>
      <c r="E3726" s="22" t="s">
        <v>17965</v>
      </c>
      <c r="F3726" s="22" t="s">
        <v>206</v>
      </c>
      <c r="G3726" s="23">
        <v>2023.0</v>
      </c>
      <c r="H3726" s="22" t="s">
        <v>207</v>
      </c>
      <c r="I3726" s="24" t="s">
        <v>17966</v>
      </c>
      <c r="J3726" s="22" t="s">
        <v>31</v>
      </c>
      <c r="K3726" s="22" t="s">
        <v>294</v>
      </c>
      <c r="L3726" s="36" t="s">
        <v>17967</v>
      </c>
      <c r="M3726" s="36"/>
      <c r="N3726" s="36"/>
      <c r="O3726" s="36"/>
      <c r="P3726" s="37"/>
      <c r="Q3726" s="275"/>
      <c r="R3726" s="36"/>
      <c r="S3726" s="36"/>
      <c r="T3726" s="28" t="s">
        <v>17968</v>
      </c>
      <c r="U3726" s="38" t="s">
        <v>61</v>
      </c>
      <c r="V3726" s="30"/>
      <c r="W3726" s="49"/>
      <c r="X3726" s="49"/>
      <c r="Y3726" s="35"/>
      <c r="Z3726" s="35"/>
      <c r="AA3726" s="35"/>
      <c r="AB3726" s="35"/>
      <c r="AC3726" s="35"/>
      <c r="AD3726" s="35"/>
      <c r="AE3726" s="35"/>
      <c r="AF3726" s="35"/>
      <c r="AG3726" s="35"/>
      <c r="AH3726" s="35"/>
      <c r="AI3726" s="35"/>
      <c r="AJ3726" s="35"/>
      <c r="AK3726" s="35"/>
      <c r="AL3726" s="35"/>
    </row>
    <row r="3727">
      <c r="A3727" s="1"/>
      <c r="B3727" s="19" t="s">
        <v>17536</v>
      </c>
      <c r="C3727" s="20" t="s">
        <v>1610</v>
      </c>
      <c r="D3727" s="47"/>
      <c r="E3727" s="22" t="s">
        <v>2498</v>
      </c>
      <c r="F3727" s="22" t="s">
        <v>1622</v>
      </c>
      <c r="G3727" s="23">
        <v>2020.0</v>
      </c>
      <c r="H3727" s="22" t="s">
        <v>207</v>
      </c>
      <c r="I3727" s="24" t="s">
        <v>17969</v>
      </c>
      <c r="J3727" s="22" t="s">
        <v>31</v>
      </c>
      <c r="K3727" s="22" t="s">
        <v>1413</v>
      </c>
      <c r="L3727" s="36">
        <v>808.0</v>
      </c>
      <c r="M3727" s="36"/>
      <c r="N3727" s="36"/>
      <c r="O3727" s="36"/>
      <c r="P3727" s="37"/>
      <c r="Q3727" s="275"/>
      <c r="R3727" s="36"/>
      <c r="S3727" s="36"/>
      <c r="T3727" s="28" t="s">
        <v>17970</v>
      </c>
      <c r="U3727" s="29" t="s">
        <v>61</v>
      </c>
      <c r="V3727" s="30"/>
      <c r="W3727" s="49"/>
      <c r="X3727" s="49"/>
      <c r="Y3727" s="35"/>
      <c r="Z3727" s="35"/>
      <c r="AA3727" s="35"/>
      <c r="AB3727" s="35"/>
      <c r="AC3727" s="35"/>
      <c r="AD3727" s="35"/>
      <c r="AE3727" s="35"/>
      <c r="AF3727" s="35"/>
      <c r="AG3727" s="35"/>
      <c r="AH3727" s="35"/>
      <c r="AI3727" s="35"/>
      <c r="AJ3727" s="35"/>
      <c r="AK3727" s="35"/>
      <c r="AL3727" s="35"/>
    </row>
    <row r="3728">
      <c r="A3728" s="1"/>
      <c r="B3728" s="19" t="s">
        <v>17536</v>
      </c>
      <c r="C3728" s="20" t="s">
        <v>1610</v>
      </c>
      <c r="D3728" s="47"/>
      <c r="E3728" s="22" t="s">
        <v>223</v>
      </c>
      <c r="F3728" s="22" t="s">
        <v>2407</v>
      </c>
      <c r="G3728" s="23">
        <v>2014.0</v>
      </c>
      <c r="H3728" s="22" t="s">
        <v>42</v>
      </c>
      <c r="I3728" s="24" t="s">
        <v>17971</v>
      </c>
      <c r="J3728" s="22" t="s">
        <v>31</v>
      </c>
      <c r="K3728" s="22" t="s">
        <v>17972</v>
      </c>
      <c r="L3728" s="36">
        <v>810.0</v>
      </c>
      <c r="M3728" s="36"/>
      <c r="N3728" s="36" t="s">
        <v>1018</v>
      </c>
      <c r="O3728" s="36"/>
      <c r="P3728" s="37" t="s">
        <v>969</v>
      </c>
      <c r="Q3728" s="275"/>
      <c r="R3728" s="36">
        <v>120.0</v>
      </c>
      <c r="S3728" s="36"/>
      <c r="T3728" s="28" t="s">
        <v>17973</v>
      </c>
      <c r="U3728" s="153" t="str">
        <f>HYPERLINK("https://www.ncbi.nlm.nih.gov/pubmed/24127337","PubMed")</f>
        <v>PubMed</v>
      </c>
      <c r="V3728" s="30"/>
      <c r="W3728" s="49"/>
      <c r="X3728" s="49"/>
      <c r="Y3728" s="35"/>
      <c r="Z3728" s="35"/>
      <c r="AA3728" s="35"/>
      <c r="AB3728" s="35"/>
      <c r="AC3728" s="35"/>
      <c r="AD3728" s="35"/>
      <c r="AE3728" s="35"/>
      <c r="AF3728" s="35"/>
      <c r="AG3728" s="35"/>
      <c r="AH3728" s="35"/>
      <c r="AI3728" s="35"/>
      <c r="AJ3728" s="35"/>
      <c r="AK3728" s="35"/>
      <c r="AL3728" s="35"/>
    </row>
    <row r="3729">
      <c r="A3729" s="1"/>
      <c r="B3729" s="19" t="s">
        <v>17536</v>
      </c>
      <c r="C3729" s="20" t="s">
        <v>1610</v>
      </c>
      <c r="D3729" s="47"/>
      <c r="E3729" s="22" t="s">
        <v>17974</v>
      </c>
      <c r="F3729" s="22" t="s">
        <v>2288</v>
      </c>
      <c r="G3729" s="23">
        <v>2015.0</v>
      </c>
      <c r="H3729" s="22" t="s">
        <v>42</v>
      </c>
      <c r="I3729" s="24" t="s">
        <v>17975</v>
      </c>
      <c r="J3729" s="22" t="s">
        <v>31</v>
      </c>
      <c r="K3729" s="22" t="s">
        <v>157</v>
      </c>
      <c r="L3729" s="36">
        <v>645.0</v>
      </c>
      <c r="M3729" s="36"/>
      <c r="N3729" s="36"/>
      <c r="O3729" s="36"/>
      <c r="P3729" s="37"/>
      <c r="Q3729" s="275"/>
      <c r="R3729" s="36"/>
      <c r="S3729" s="36"/>
      <c r="T3729" s="28" t="s">
        <v>17976</v>
      </c>
      <c r="U3729" s="153" t="str">
        <f>HYPERLINK("https://www.ncbi.nlm.nih.gov/pubmed/25077453","PubMed")</f>
        <v>PubMed</v>
      </c>
      <c r="V3729" s="30"/>
      <c r="W3729" s="49"/>
      <c r="X3729" s="49"/>
      <c r="Y3729" s="35"/>
      <c r="Z3729" s="35"/>
      <c r="AA3729" s="35"/>
      <c r="AB3729" s="35"/>
      <c r="AC3729" s="35"/>
      <c r="AD3729" s="35"/>
      <c r="AE3729" s="35"/>
      <c r="AF3729" s="35"/>
      <c r="AG3729" s="35"/>
      <c r="AH3729" s="35"/>
      <c r="AI3729" s="35"/>
      <c r="AJ3729" s="35"/>
      <c r="AK3729" s="35"/>
      <c r="AL3729" s="35"/>
    </row>
    <row r="3730">
      <c r="A3730" s="1"/>
      <c r="B3730" s="19" t="s">
        <v>17536</v>
      </c>
      <c r="C3730" s="20" t="s">
        <v>1610</v>
      </c>
      <c r="D3730" s="47"/>
      <c r="E3730" s="22" t="s">
        <v>9379</v>
      </c>
      <c r="F3730" s="22" t="s">
        <v>230</v>
      </c>
      <c r="G3730" s="23">
        <v>2009.0</v>
      </c>
      <c r="H3730" s="22" t="s">
        <v>17977</v>
      </c>
      <c r="I3730" s="24" t="s">
        <v>17978</v>
      </c>
      <c r="J3730" s="22" t="s">
        <v>31</v>
      </c>
      <c r="K3730" s="22"/>
      <c r="L3730" s="36">
        <v>670.0</v>
      </c>
      <c r="M3730" s="36"/>
      <c r="N3730" s="36" t="s">
        <v>3132</v>
      </c>
      <c r="O3730" s="36"/>
      <c r="P3730" s="37" t="s">
        <v>17979</v>
      </c>
      <c r="Q3730" s="275"/>
      <c r="R3730" s="36"/>
      <c r="S3730" s="36"/>
      <c r="T3730" s="28" t="s">
        <v>17980</v>
      </c>
      <c r="U3730" s="153" t="str">
        <f>HYPERLINK("https://www.ncbi.nlm.nih.gov/pubmed/19368718","PubMed")</f>
        <v>PubMed</v>
      </c>
      <c r="V3730" s="30"/>
      <c r="W3730" s="49"/>
      <c r="X3730" s="49"/>
      <c r="Y3730" s="35"/>
      <c r="Z3730" s="35"/>
      <c r="AA3730" s="35"/>
      <c r="AB3730" s="35"/>
      <c r="AC3730" s="35"/>
      <c r="AD3730" s="35"/>
      <c r="AE3730" s="35"/>
      <c r="AF3730" s="35"/>
      <c r="AG3730" s="35"/>
      <c r="AH3730" s="35"/>
      <c r="AI3730" s="35"/>
      <c r="AJ3730" s="35"/>
      <c r="AK3730" s="35"/>
      <c r="AL3730" s="35"/>
    </row>
    <row r="3731">
      <c r="A3731" s="1"/>
      <c r="B3731" s="19" t="s">
        <v>17536</v>
      </c>
      <c r="C3731" s="20" t="s">
        <v>1610</v>
      </c>
      <c r="D3731" s="47"/>
      <c r="E3731" s="22" t="s">
        <v>17981</v>
      </c>
      <c r="F3731" s="22" t="s">
        <v>17982</v>
      </c>
      <c r="G3731" s="23">
        <v>2005.0</v>
      </c>
      <c r="H3731" s="22" t="s">
        <v>17983</v>
      </c>
      <c r="I3731" s="24" t="s">
        <v>17984</v>
      </c>
      <c r="J3731" s="22" t="s">
        <v>31</v>
      </c>
      <c r="K3731" s="22" t="s">
        <v>1848</v>
      </c>
      <c r="L3731" s="36">
        <v>633.0</v>
      </c>
      <c r="M3731" s="36"/>
      <c r="N3731" s="36"/>
      <c r="O3731" s="36"/>
      <c r="P3731" s="37"/>
      <c r="Q3731" s="275"/>
      <c r="R3731" s="36"/>
      <c r="S3731" s="36"/>
      <c r="T3731" s="28" t="s">
        <v>17985</v>
      </c>
      <c r="U3731" s="153" t="str">
        <f>HYPERLINK("https://www.ncbi.nlm.nih.gov/pubmed/16132269","PubMed")</f>
        <v>PubMed</v>
      </c>
      <c r="V3731" s="30"/>
      <c r="W3731" s="49"/>
      <c r="X3731" s="49"/>
      <c r="Y3731" s="35"/>
      <c r="Z3731" s="35"/>
      <c r="AA3731" s="35"/>
      <c r="AB3731" s="35"/>
      <c r="AC3731" s="35"/>
      <c r="AD3731" s="35"/>
      <c r="AE3731" s="35"/>
      <c r="AF3731" s="35"/>
      <c r="AG3731" s="35"/>
      <c r="AH3731" s="35"/>
      <c r="AI3731" s="35"/>
      <c r="AJ3731" s="35"/>
      <c r="AK3731" s="35"/>
      <c r="AL3731" s="35"/>
    </row>
    <row r="3732">
      <c r="A3732" s="1"/>
      <c r="B3732" s="19" t="s">
        <v>17536</v>
      </c>
      <c r="C3732" s="20" t="s">
        <v>17986</v>
      </c>
      <c r="D3732" s="47"/>
      <c r="E3732" s="22" t="s">
        <v>10282</v>
      </c>
      <c r="F3732" s="22" t="s">
        <v>1426</v>
      </c>
      <c r="G3732" s="23">
        <v>2002.0</v>
      </c>
      <c r="H3732" s="22" t="s">
        <v>207</v>
      </c>
      <c r="I3732" s="24" t="s">
        <v>17987</v>
      </c>
      <c r="J3732" s="22" t="s">
        <v>31</v>
      </c>
      <c r="K3732" s="22"/>
      <c r="L3732" s="36">
        <v>633.0</v>
      </c>
      <c r="M3732" s="36"/>
      <c r="N3732" s="36"/>
      <c r="O3732" s="129"/>
      <c r="P3732" s="37" t="s">
        <v>969</v>
      </c>
      <c r="Q3732" s="275"/>
      <c r="R3732" s="36"/>
      <c r="S3732" s="36"/>
      <c r="T3732" s="28" t="s">
        <v>17988</v>
      </c>
      <c r="U3732" s="38" t="str">
        <f>HYPERLINK("https://www.ncbi.nlm.nih.gov/pubmed/11960729","PubMed")</f>
        <v>PubMed</v>
      </c>
      <c r="V3732" s="30"/>
      <c r="W3732" s="49"/>
      <c r="X3732" s="49"/>
      <c r="Y3732" s="35"/>
      <c r="Z3732" s="35"/>
      <c r="AA3732" s="35"/>
      <c r="AB3732" s="35"/>
      <c r="AC3732" s="35"/>
      <c r="AD3732" s="35"/>
      <c r="AE3732" s="35"/>
      <c r="AF3732" s="35"/>
      <c r="AG3732" s="35"/>
      <c r="AH3732" s="35"/>
      <c r="AI3732" s="35"/>
      <c r="AJ3732" s="35"/>
      <c r="AK3732" s="35"/>
      <c r="AL3732" s="35"/>
    </row>
    <row r="3733">
      <c r="A3733" s="1"/>
      <c r="B3733" s="19" t="s">
        <v>17536</v>
      </c>
      <c r="C3733" s="20" t="s">
        <v>17989</v>
      </c>
      <c r="D3733" s="47"/>
      <c r="E3733" s="22" t="s">
        <v>17990</v>
      </c>
      <c r="F3733" s="22" t="s">
        <v>17991</v>
      </c>
      <c r="G3733" s="23">
        <v>2024.0</v>
      </c>
      <c r="H3733" s="22" t="s">
        <v>546</v>
      </c>
      <c r="I3733" s="24" t="s">
        <v>17992</v>
      </c>
      <c r="J3733" s="22" t="s">
        <v>55</v>
      </c>
      <c r="K3733" s="22"/>
      <c r="L3733" s="52">
        <v>808.0</v>
      </c>
      <c r="M3733" s="52">
        <v>790.0</v>
      </c>
      <c r="N3733" s="52"/>
      <c r="O3733" s="52"/>
      <c r="P3733" s="189"/>
      <c r="Q3733" s="189" t="s">
        <v>17993</v>
      </c>
      <c r="R3733" s="52"/>
      <c r="S3733" s="52"/>
      <c r="T3733" s="42" t="s">
        <v>17994</v>
      </c>
      <c r="U3733" s="38" t="s">
        <v>61</v>
      </c>
      <c r="V3733" s="30"/>
      <c r="W3733" s="49"/>
      <c r="X3733" s="49"/>
      <c r="Y3733" s="35"/>
      <c r="Z3733" s="35"/>
      <c r="AA3733" s="35"/>
      <c r="AB3733" s="35"/>
      <c r="AC3733" s="35"/>
      <c r="AD3733" s="35"/>
      <c r="AE3733" s="35"/>
      <c r="AF3733" s="35"/>
      <c r="AG3733" s="35"/>
      <c r="AH3733" s="35"/>
      <c r="AI3733" s="35"/>
      <c r="AJ3733" s="35"/>
      <c r="AK3733" s="35"/>
      <c r="AL3733" s="35"/>
    </row>
    <row r="3734">
      <c r="A3734" s="1"/>
      <c r="B3734" s="19" t="s">
        <v>17536</v>
      </c>
      <c r="C3734" s="20" t="s">
        <v>17989</v>
      </c>
      <c r="D3734" s="47"/>
      <c r="E3734" s="22" t="s">
        <v>17995</v>
      </c>
      <c r="F3734" s="22" t="s">
        <v>17991</v>
      </c>
      <c r="G3734" s="23">
        <v>2024.0</v>
      </c>
      <c r="H3734" s="22" t="s">
        <v>546</v>
      </c>
      <c r="I3734" s="24" t="s">
        <v>17996</v>
      </c>
      <c r="J3734" s="22" t="s">
        <v>55</v>
      </c>
      <c r="K3734" s="22"/>
      <c r="L3734" s="52"/>
      <c r="M3734" s="52"/>
      <c r="N3734" s="52"/>
      <c r="O3734" s="52"/>
      <c r="P3734" s="189"/>
      <c r="Q3734" s="189"/>
      <c r="R3734" s="52"/>
      <c r="S3734" s="52"/>
      <c r="T3734" s="42" t="s">
        <v>17997</v>
      </c>
      <c r="U3734" s="38" t="s">
        <v>61</v>
      </c>
      <c r="V3734" s="30" t="s">
        <v>174</v>
      </c>
      <c r="W3734" s="49"/>
      <c r="X3734" s="49"/>
      <c r="Y3734" s="35"/>
      <c r="Z3734" s="35"/>
      <c r="AA3734" s="35"/>
      <c r="AB3734" s="35"/>
      <c r="AC3734" s="35"/>
      <c r="AD3734" s="35"/>
      <c r="AE3734" s="35"/>
      <c r="AF3734" s="35"/>
      <c r="AG3734" s="35"/>
      <c r="AH3734" s="35"/>
      <c r="AI3734" s="35"/>
      <c r="AJ3734" s="35"/>
      <c r="AK3734" s="35"/>
      <c r="AL3734" s="35"/>
    </row>
    <row r="3735">
      <c r="A3735" s="1"/>
      <c r="B3735" s="19" t="s">
        <v>17536</v>
      </c>
      <c r="C3735" s="20" t="s">
        <v>17989</v>
      </c>
      <c r="D3735" s="47"/>
      <c r="E3735" s="22" t="s">
        <v>17995</v>
      </c>
      <c r="F3735" s="22" t="s">
        <v>17991</v>
      </c>
      <c r="G3735" s="23">
        <v>2023.0</v>
      </c>
      <c r="H3735" s="22" t="s">
        <v>3963</v>
      </c>
      <c r="I3735" s="24" t="s">
        <v>17998</v>
      </c>
      <c r="J3735" s="22" t="s">
        <v>55</v>
      </c>
      <c r="K3735" s="22" t="s">
        <v>4400</v>
      </c>
      <c r="L3735" s="52">
        <v>808.0</v>
      </c>
      <c r="M3735" s="52">
        <v>790.0</v>
      </c>
      <c r="N3735" s="52">
        <v>1.0</v>
      </c>
      <c r="O3735" s="52" t="s">
        <v>58</v>
      </c>
      <c r="P3735" s="189" t="s">
        <v>17045</v>
      </c>
      <c r="Q3735" s="189" t="s">
        <v>7690</v>
      </c>
      <c r="R3735" s="52">
        <v>180.0</v>
      </c>
      <c r="S3735" s="52">
        <v>1.0</v>
      </c>
      <c r="T3735" s="28" t="s">
        <v>17999</v>
      </c>
      <c r="U3735" s="38" t="s">
        <v>61</v>
      </c>
      <c r="V3735" s="30"/>
      <c r="W3735" s="49"/>
      <c r="X3735" s="49"/>
      <c r="Y3735" s="35"/>
      <c r="Z3735" s="35"/>
      <c r="AA3735" s="35"/>
      <c r="AB3735" s="35"/>
      <c r="AC3735" s="35"/>
      <c r="AD3735" s="35"/>
      <c r="AE3735" s="35"/>
      <c r="AF3735" s="35"/>
      <c r="AG3735" s="35"/>
      <c r="AH3735" s="35"/>
      <c r="AI3735" s="35"/>
      <c r="AJ3735" s="35"/>
      <c r="AK3735" s="35"/>
      <c r="AL3735" s="35"/>
    </row>
    <row r="3736">
      <c r="A3736" s="1"/>
      <c r="B3736" s="19" t="s">
        <v>17536</v>
      </c>
      <c r="C3736" s="20" t="s">
        <v>17989</v>
      </c>
      <c r="D3736" s="47"/>
      <c r="E3736" s="22" t="s">
        <v>17995</v>
      </c>
      <c r="F3736" s="22" t="s">
        <v>17991</v>
      </c>
      <c r="G3736" s="23">
        <v>2023.0</v>
      </c>
      <c r="H3736" s="22" t="s">
        <v>348</v>
      </c>
      <c r="I3736" s="24" t="s">
        <v>18000</v>
      </c>
      <c r="J3736" s="22" t="s">
        <v>55</v>
      </c>
      <c r="K3736" s="22"/>
      <c r="L3736" s="52">
        <v>808.0</v>
      </c>
      <c r="M3736" s="52"/>
      <c r="N3736" s="52"/>
      <c r="O3736" s="200"/>
      <c r="P3736" s="189"/>
      <c r="Q3736" s="309"/>
      <c r="R3736" s="52"/>
      <c r="S3736" s="52"/>
      <c r="T3736" s="28" t="s">
        <v>18001</v>
      </c>
      <c r="U3736" s="38" t="s">
        <v>61</v>
      </c>
      <c r="V3736" s="30"/>
      <c r="W3736" s="49"/>
      <c r="X3736" s="49"/>
      <c r="Y3736" s="35"/>
      <c r="Z3736" s="35"/>
      <c r="AA3736" s="35"/>
      <c r="AB3736" s="35"/>
      <c r="AC3736" s="35"/>
      <c r="AD3736" s="35"/>
      <c r="AE3736" s="35"/>
      <c r="AF3736" s="35"/>
      <c r="AG3736" s="35"/>
      <c r="AH3736" s="35"/>
      <c r="AI3736" s="35"/>
      <c r="AJ3736" s="35"/>
      <c r="AK3736" s="35"/>
      <c r="AL3736" s="35"/>
    </row>
    <row r="3737">
      <c r="A3737" s="1"/>
      <c r="B3737" s="19" t="s">
        <v>17536</v>
      </c>
      <c r="C3737" s="20" t="s">
        <v>17989</v>
      </c>
      <c r="D3737" s="47"/>
      <c r="E3737" s="22" t="s">
        <v>18002</v>
      </c>
      <c r="F3737" s="22" t="s">
        <v>13592</v>
      </c>
      <c r="G3737" s="23">
        <v>2020.0</v>
      </c>
      <c r="H3737" s="22" t="s">
        <v>3531</v>
      </c>
      <c r="I3737" s="24" t="s">
        <v>18003</v>
      </c>
      <c r="J3737" s="22" t="s">
        <v>125</v>
      </c>
      <c r="K3737" s="22"/>
      <c r="L3737" s="132" t="s">
        <v>18004</v>
      </c>
      <c r="U3737" s="29" t="s">
        <v>2360</v>
      </c>
      <c r="V3737" s="30"/>
      <c r="W3737" s="49"/>
      <c r="X3737" s="49"/>
      <c r="Y3737" s="35"/>
      <c r="Z3737" s="35"/>
      <c r="AA3737" s="35"/>
      <c r="AB3737" s="35"/>
      <c r="AC3737" s="35"/>
      <c r="AD3737" s="35"/>
      <c r="AE3737" s="35"/>
      <c r="AF3737" s="35"/>
      <c r="AG3737" s="35"/>
      <c r="AH3737" s="35"/>
      <c r="AI3737" s="35"/>
      <c r="AJ3737" s="35"/>
      <c r="AK3737" s="35"/>
      <c r="AL3737" s="35"/>
    </row>
    <row r="3738">
      <c r="A3738" s="1"/>
      <c r="B3738" s="19" t="s">
        <v>17536</v>
      </c>
      <c r="C3738" s="20" t="s">
        <v>17989</v>
      </c>
      <c r="D3738" s="47"/>
      <c r="E3738" s="22" t="s">
        <v>18005</v>
      </c>
      <c r="F3738" s="22" t="s">
        <v>18006</v>
      </c>
      <c r="G3738" s="23">
        <v>2017.0</v>
      </c>
      <c r="H3738" s="22" t="s">
        <v>42</v>
      </c>
      <c r="I3738" s="24" t="s">
        <v>18007</v>
      </c>
      <c r="J3738" s="22" t="s">
        <v>31</v>
      </c>
      <c r="K3738" s="22" t="s">
        <v>18008</v>
      </c>
      <c r="L3738" s="36">
        <v>1470.0</v>
      </c>
      <c r="M3738" s="36"/>
      <c r="N3738" s="36"/>
      <c r="O3738" s="129"/>
      <c r="P3738" s="37"/>
      <c r="Q3738" s="275"/>
      <c r="R3738" s="36"/>
      <c r="S3738" s="36"/>
      <c r="T3738" s="28" t="s">
        <v>18009</v>
      </c>
      <c r="U3738" s="38" t="str">
        <f>HYPERLINK("https://www.ncbi.nlm.nih.gov/pubmed/28700117","PubMed")</f>
        <v>PubMed</v>
      </c>
      <c r="V3738" s="30"/>
      <c r="W3738" s="49"/>
      <c r="X3738" s="49"/>
      <c r="Y3738" s="35"/>
      <c r="Z3738" s="35"/>
      <c r="AA3738" s="35"/>
      <c r="AB3738" s="35"/>
      <c r="AC3738" s="35"/>
      <c r="AD3738" s="35"/>
      <c r="AE3738" s="35"/>
      <c r="AF3738" s="35"/>
      <c r="AG3738" s="35"/>
      <c r="AH3738" s="35"/>
      <c r="AI3738" s="35"/>
      <c r="AJ3738" s="35"/>
      <c r="AK3738" s="35"/>
      <c r="AL3738" s="35"/>
    </row>
    <row r="3739">
      <c r="A3739" s="1"/>
      <c r="B3739" s="19" t="s">
        <v>17536</v>
      </c>
      <c r="C3739" s="20" t="s">
        <v>17989</v>
      </c>
      <c r="D3739" s="47"/>
      <c r="E3739" s="22" t="s">
        <v>18010</v>
      </c>
      <c r="F3739" s="22" t="s">
        <v>4491</v>
      </c>
      <c r="G3739" s="23">
        <v>2011.0</v>
      </c>
      <c r="H3739" s="22" t="s">
        <v>18011</v>
      </c>
      <c r="I3739" s="24" t="s">
        <v>18012</v>
      </c>
      <c r="J3739" s="22" t="s">
        <v>55</v>
      </c>
      <c r="K3739" s="22" t="s">
        <v>157</v>
      </c>
      <c r="L3739" s="36">
        <v>620.0</v>
      </c>
      <c r="M3739" s="36"/>
      <c r="N3739" s="36"/>
      <c r="O3739" s="129"/>
      <c r="P3739" s="37"/>
      <c r="Q3739" s="275"/>
      <c r="R3739" s="36"/>
      <c r="S3739" s="36"/>
      <c r="T3739" s="28" t="s">
        <v>18013</v>
      </c>
      <c r="U3739" s="29" t="s">
        <v>61</v>
      </c>
      <c r="V3739" s="30"/>
      <c r="W3739" s="49"/>
      <c r="X3739" s="49"/>
      <c r="Y3739" s="35"/>
      <c r="Z3739" s="35"/>
      <c r="AA3739" s="35"/>
      <c r="AB3739" s="35"/>
      <c r="AC3739" s="35"/>
      <c r="AD3739" s="35"/>
      <c r="AE3739" s="35"/>
      <c r="AF3739" s="35"/>
      <c r="AG3739" s="35"/>
      <c r="AH3739" s="35"/>
      <c r="AI3739" s="35"/>
      <c r="AJ3739" s="35"/>
      <c r="AK3739" s="35"/>
      <c r="AL3739" s="35"/>
    </row>
    <row r="3740">
      <c r="A3740" s="1"/>
      <c r="B3740" s="19" t="s">
        <v>17536</v>
      </c>
      <c r="C3740" s="20" t="s">
        <v>17989</v>
      </c>
      <c r="D3740" s="47"/>
      <c r="E3740" s="22" t="s">
        <v>18014</v>
      </c>
      <c r="F3740" s="22" t="s">
        <v>1398</v>
      </c>
      <c r="G3740" s="23">
        <v>2005.0</v>
      </c>
      <c r="H3740" s="22" t="s">
        <v>18015</v>
      </c>
      <c r="I3740" s="24" t="s">
        <v>18016</v>
      </c>
      <c r="J3740" s="22" t="s">
        <v>31</v>
      </c>
      <c r="K3740" s="22" t="s">
        <v>18017</v>
      </c>
      <c r="L3740" s="36">
        <v>830.0</v>
      </c>
      <c r="M3740" s="129">
        <v>43147.0</v>
      </c>
      <c r="N3740" s="36"/>
      <c r="O3740" s="129"/>
      <c r="P3740" s="37" t="s">
        <v>18018</v>
      </c>
      <c r="Q3740" s="275"/>
      <c r="R3740" s="36"/>
      <c r="S3740" s="36"/>
      <c r="T3740" s="28" t="s">
        <v>18019</v>
      </c>
      <c r="U3740" s="38" t="str">
        <f>HYPERLINK("https://www.jstage.jst.go.jp/article/pain/20/3/20_05/_article/-char/en","J-STAGE")</f>
        <v>J-STAGE</v>
      </c>
      <c r="V3740" s="30"/>
      <c r="W3740" s="49"/>
      <c r="X3740" s="49"/>
      <c r="Y3740" s="35"/>
      <c r="Z3740" s="35"/>
      <c r="AA3740" s="35"/>
      <c r="AB3740" s="35"/>
      <c r="AC3740" s="35"/>
      <c r="AD3740" s="35"/>
      <c r="AE3740" s="35"/>
      <c r="AF3740" s="35"/>
      <c r="AG3740" s="35"/>
      <c r="AH3740" s="35"/>
      <c r="AI3740" s="35"/>
      <c r="AJ3740" s="35"/>
      <c r="AK3740" s="35"/>
      <c r="AL3740" s="35"/>
    </row>
    <row r="3741">
      <c r="A3741" s="1"/>
      <c r="B3741" s="19" t="s">
        <v>17536</v>
      </c>
      <c r="C3741" s="20" t="s">
        <v>17989</v>
      </c>
      <c r="D3741" s="47"/>
      <c r="E3741" s="22" t="s">
        <v>18020</v>
      </c>
      <c r="F3741" s="22" t="s">
        <v>18021</v>
      </c>
      <c r="G3741" s="23">
        <v>1998.0</v>
      </c>
      <c r="H3741" s="22" t="s">
        <v>2558</v>
      </c>
      <c r="I3741" s="24" t="s">
        <v>18022</v>
      </c>
      <c r="J3741" s="22" t="s">
        <v>31</v>
      </c>
      <c r="K3741" s="22" t="s">
        <v>18017</v>
      </c>
      <c r="L3741" s="36">
        <v>830.0</v>
      </c>
      <c r="M3741" s="129">
        <v>43147.0</v>
      </c>
      <c r="N3741" s="36"/>
      <c r="O3741" s="129"/>
      <c r="P3741" s="37"/>
      <c r="Q3741" s="275"/>
      <c r="R3741" s="36"/>
      <c r="S3741" s="36"/>
      <c r="T3741" s="28" t="s">
        <v>18023</v>
      </c>
      <c r="U3741" s="38" t="str">
        <f>HYPERLINK("https://www.ncbi.nlm.nih.gov/pubmed/9486480","PubMed")</f>
        <v>PubMed</v>
      </c>
      <c r="V3741" s="30"/>
      <c r="W3741" s="49"/>
      <c r="X3741" s="49"/>
      <c r="Y3741" s="35"/>
      <c r="Z3741" s="35"/>
      <c r="AA3741" s="35"/>
      <c r="AB3741" s="35"/>
      <c r="AC3741" s="35"/>
      <c r="AD3741" s="35"/>
      <c r="AE3741" s="35"/>
      <c r="AF3741" s="35"/>
      <c r="AG3741" s="35"/>
      <c r="AH3741" s="35"/>
      <c r="AI3741" s="35"/>
      <c r="AJ3741" s="35"/>
      <c r="AK3741" s="35"/>
      <c r="AL3741" s="35"/>
    </row>
    <row r="3742">
      <c r="A3742" s="1"/>
      <c r="B3742" s="19" t="s">
        <v>17536</v>
      </c>
      <c r="C3742" s="20" t="s">
        <v>17989</v>
      </c>
      <c r="D3742" s="47"/>
      <c r="E3742" s="22" t="s">
        <v>18024</v>
      </c>
      <c r="F3742" s="22" t="s">
        <v>7796</v>
      </c>
      <c r="G3742" s="23">
        <v>1996.0</v>
      </c>
      <c r="H3742" s="22" t="s">
        <v>1289</v>
      </c>
      <c r="I3742" s="24" t="s">
        <v>18025</v>
      </c>
      <c r="J3742" s="22" t="s">
        <v>253</v>
      </c>
      <c r="K3742" s="22"/>
      <c r="L3742" s="36" t="s">
        <v>18026</v>
      </c>
      <c r="M3742" s="36"/>
      <c r="N3742" s="36"/>
      <c r="O3742" s="129"/>
      <c r="P3742" s="37"/>
      <c r="Q3742" s="275"/>
      <c r="R3742" s="36"/>
      <c r="S3742" s="36"/>
      <c r="T3742" s="28" t="s">
        <v>18027</v>
      </c>
      <c r="U3742" s="38" t="str">
        <f>HYPERLINK("https://www.ncbi.nlm.nih.gov/pubmed/9484084","PubMed")</f>
        <v>PubMed</v>
      </c>
      <c r="V3742" s="30"/>
      <c r="W3742" s="49"/>
      <c r="X3742" s="49"/>
      <c r="Y3742" s="35"/>
      <c r="Z3742" s="35"/>
      <c r="AA3742" s="35"/>
      <c r="AB3742" s="35"/>
      <c r="AC3742" s="35"/>
      <c r="AD3742" s="35"/>
      <c r="AE3742" s="35"/>
      <c r="AF3742" s="35"/>
      <c r="AG3742" s="35"/>
      <c r="AH3742" s="35"/>
      <c r="AI3742" s="35"/>
      <c r="AJ3742" s="35"/>
      <c r="AK3742" s="35"/>
      <c r="AL3742" s="35"/>
    </row>
    <row r="3743">
      <c r="A3743" s="1"/>
      <c r="B3743" s="19" t="s">
        <v>17536</v>
      </c>
      <c r="C3743" s="20" t="s">
        <v>17989</v>
      </c>
      <c r="D3743" s="47"/>
      <c r="E3743" s="22" t="s">
        <v>18024</v>
      </c>
      <c r="F3743" s="22" t="s">
        <v>7796</v>
      </c>
      <c r="G3743" s="23">
        <v>1994.0</v>
      </c>
      <c r="H3743" s="22" t="s">
        <v>1289</v>
      </c>
      <c r="I3743" s="24" t="s">
        <v>18028</v>
      </c>
      <c r="J3743" s="22" t="s">
        <v>253</v>
      </c>
      <c r="K3743" s="22"/>
      <c r="L3743" s="36">
        <v>633.0</v>
      </c>
      <c r="M3743" s="36">
        <v>1.0</v>
      </c>
      <c r="N3743" s="36"/>
      <c r="O3743" s="129"/>
      <c r="P3743" s="37"/>
      <c r="Q3743" s="275"/>
      <c r="R3743" s="36"/>
      <c r="S3743" s="36"/>
      <c r="T3743" s="28" t="s">
        <v>18029</v>
      </c>
      <c r="U3743" s="38" t="str">
        <f>HYPERLINK("https://www.ncbi.nlm.nih.gov/pubmed/10147481","PubMed")</f>
        <v>PubMed</v>
      </c>
      <c r="V3743" s="30"/>
      <c r="W3743" s="49"/>
      <c r="X3743" s="49"/>
      <c r="Y3743" s="35"/>
      <c r="Z3743" s="35"/>
      <c r="AA3743" s="35"/>
      <c r="AB3743" s="35"/>
      <c r="AC3743" s="35"/>
      <c r="AD3743" s="35"/>
      <c r="AE3743" s="35"/>
      <c r="AF3743" s="35"/>
      <c r="AG3743" s="35"/>
      <c r="AH3743" s="35"/>
      <c r="AI3743" s="35"/>
      <c r="AJ3743" s="35"/>
      <c r="AK3743" s="35"/>
      <c r="AL3743" s="35"/>
    </row>
    <row r="3744">
      <c r="A3744" s="1"/>
      <c r="B3744" s="19" t="s">
        <v>17536</v>
      </c>
      <c r="C3744" s="20" t="s">
        <v>17989</v>
      </c>
      <c r="D3744" s="47"/>
      <c r="E3744" s="22" t="s">
        <v>18030</v>
      </c>
      <c r="F3744" s="22" t="s">
        <v>5552</v>
      </c>
      <c r="G3744" s="23">
        <v>1994.0</v>
      </c>
      <c r="H3744" s="22" t="s">
        <v>18031</v>
      </c>
      <c r="I3744" s="24" t="s">
        <v>18032</v>
      </c>
      <c r="J3744" s="22" t="s">
        <v>9864</v>
      </c>
      <c r="K3744" s="22" t="s">
        <v>18033</v>
      </c>
      <c r="L3744" s="36">
        <v>790.0</v>
      </c>
      <c r="M3744" s="36">
        <v>30.0</v>
      </c>
      <c r="N3744" s="36"/>
      <c r="O3744" s="129"/>
      <c r="P3744" s="37"/>
      <c r="Q3744" s="275"/>
      <c r="R3744" s="36"/>
      <c r="S3744" s="36"/>
      <c r="T3744" s="42" t="s">
        <v>18034</v>
      </c>
      <c r="U3744" s="38" t="str">
        <f>HYPERLINK("https://www.jstage.jst.go.jp/article/jibirin1925/87/8/87_8_1135/_article/-char/en","J-STAGE")</f>
        <v>J-STAGE</v>
      </c>
      <c r="V3744" s="30"/>
      <c r="W3744" s="49"/>
      <c r="X3744" s="49"/>
      <c r="Y3744" s="35"/>
      <c r="Z3744" s="35"/>
      <c r="AA3744" s="35"/>
      <c r="AB3744" s="35"/>
      <c r="AC3744" s="35"/>
      <c r="AD3744" s="35"/>
      <c r="AE3744" s="35"/>
      <c r="AF3744" s="35"/>
      <c r="AG3744" s="35"/>
      <c r="AH3744" s="35"/>
      <c r="AI3744" s="35"/>
      <c r="AJ3744" s="35"/>
      <c r="AK3744" s="35"/>
      <c r="AL3744" s="35"/>
    </row>
    <row r="3745">
      <c r="A3745" s="1"/>
      <c r="B3745" s="19" t="s">
        <v>17536</v>
      </c>
      <c r="C3745" s="20" t="s">
        <v>17989</v>
      </c>
      <c r="D3745" s="47"/>
      <c r="E3745" s="22" t="s">
        <v>18035</v>
      </c>
      <c r="F3745" s="22" t="s">
        <v>16732</v>
      </c>
      <c r="G3745" s="23">
        <v>1994.0</v>
      </c>
      <c r="H3745" s="22" t="s">
        <v>53</v>
      </c>
      <c r="I3745" s="24" t="s">
        <v>18036</v>
      </c>
      <c r="J3745" s="22" t="s">
        <v>18037</v>
      </c>
      <c r="K3745" s="22" t="s">
        <v>1848</v>
      </c>
      <c r="L3745" s="36">
        <v>830.0</v>
      </c>
      <c r="M3745" s="36"/>
      <c r="N3745" s="36"/>
      <c r="O3745" s="129"/>
      <c r="P3745" s="37" t="s">
        <v>18038</v>
      </c>
      <c r="Q3745" s="275"/>
      <c r="R3745" s="36"/>
      <c r="S3745" s="36">
        <v>1.0</v>
      </c>
      <c r="T3745" s="42" t="s">
        <v>18039</v>
      </c>
      <c r="U3745" s="38" t="str">
        <f>HYPERLINK("https://www.ncbi.nlm.nih.gov/pubmed/8127206","PubMed")</f>
        <v>PubMed</v>
      </c>
      <c r="V3745" s="30"/>
      <c r="W3745" s="49"/>
      <c r="X3745" s="49"/>
      <c r="Y3745" s="35"/>
      <c r="Z3745" s="35"/>
      <c r="AA3745" s="35"/>
      <c r="AB3745" s="35"/>
      <c r="AC3745" s="35"/>
      <c r="AD3745" s="35"/>
      <c r="AE3745" s="35"/>
      <c r="AF3745" s="35"/>
      <c r="AG3745" s="35"/>
      <c r="AH3745" s="35"/>
      <c r="AI3745" s="35"/>
      <c r="AJ3745" s="35"/>
      <c r="AK3745" s="35"/>
      <c r="AL3745" s="35"/>
    </row>
    <row r="3746">
      <c r="A3746" s="1"/>
      <c r="B3746" s="19" t="s">
        <v>17536</v>
      </c>
      <c r="C3746" s="20" t="s">
        <v>17989</v>
      </c>
      <c r="D3746" s="47"/>
      <c r="E3746" s="22" t="s">
        <v>14640</v>
      </c>
      <c r="F3746" s="22" t="s">
        <v>16732</v>
      </c>
      <c r="G3746" s="23">
        <v>1994.0</v>
      </c>
      <c r="H3746" s="22" t="s">
        <v>16963</v>
      </c>
      <c r="I3746" s="24" t="s">
        <v>18040</v>
      </c>
      <c r="J3746" s="22" t="s">
        <v>18041</v>
      </c>
      <c r="K3746" s="22"/>
      <c r="L3746" s="36">
        <v>830.0</v>
      </c>
      <c r="M3746" s="36">
        <v>40.0</v>
      </c>
      <c r="N3746" s="36"/>
      <c r="O3746" s="36" t="s">
        <v>18042</v>
      </c>
      <c r="P3746" s="37" t="s">
        <v>17526</v>
      </c>
      <c r="Q3746" s="275"/>
      <c r="R3746" s="36">
        <v>30.0</v>
      </c>
      <c r="S3746" s="36">
        <v>1.0</v>
      </c>
      <c r="T3746" s="28" t="s">
        <v>18043</v>
      </c>
      <c r="U3746" s="38" t="str">
        <f>HYPERLINK("https://www.ncbi.nlm.nih.gov/pubmed/8003306","PubMed")</f>
        <v>PubMed</v>
      </c>
      <c r="V3746" s="30"/>
      <c r="W3746" s="49"/>
      <c r="X3746" s="49"/>
      <c r="Y3746" s="35"/>
      <c r="Z3746" s="35"/>
      <c r="AA3746" s="35"/>
      <c r="AB3746" s="35"/>
      <c r="AC3746" s="35"/>
      <c r="AD3746" s="35"/>
      <c r="AE3746" s="35"/>
      <c r="AF3746" s="35"/>
      <c r="AG3746" s="35"/>
      <c r="AH3746" s="35"/>
      <c r="AI3746" s="35"/>
      <c r="AJ3746" s="35"/>
      <c r="AK3746" s="35"/>
      <c r="AL3746" s="35"/>
    </row>
    <row r="3747">
      <c r="A3747" s="1"/>
      <c r="B3747" s="19" t="s">
        <v>17536</v>
      </c>
      <c r="C3747" s="20" t="s">
        <v>17989</v>
      </c>
      <c r="D3747" s="47"/>
      <c r="E3747" s="22" t="s">
        <v>18044</v>
      </c>
      <c r="F3747" s="22" t="s">
        <v>7796</v>
      </c>
      <c r="G3747" s="23">
        <v>1993.0</v>
      </c>
      <c r="H3747" s="22" t="s">
        <v>1289</v>
      </c>
      <c r="I3747" s="24" t="s">
        <v>18045</v>
      </c>
      <c r="J3747" s="22" t="s">
        <v>18046</v>
      </c>
      <c r="K3747" s="22"/>
      <c r="L3747" s="36">
        <v>633.0</v>
      </c>
      <c r="M3747" s="36"/>
      <c r="N3747" s="36"/>
      <c r="O3747" s="129"/>
      <c r="P3747" s="37"/>
      <c r="Q3747" s="275"/>
      <c r="R3747" s="36"/>
      <c r="S3747" s="36"/>
      <c r="T3747" s="28" t="s">
        <v>18047</v>
      </c>
      <c r="U3747" s="38" t="str">
        <f>HYPERLINK("https://www.ncbi.nlm.nih.gov/pubmed/10146265","PubMed")</f>
        <v>PubMed</v>
      </c>
      <c r="V3747" s="30"/>
      <c r="W3747" s="49"/>
      <c r="X3747" s="49"/>
      <c r="Y3747" s="35"/>
      <c r="Z3747" s="35"/>
      <c r="AA3747" s="35"/>
      <c r="AB3747" s="35"/>
      <c r="AC3747" s="35"/>
      <c r="AD3747" s="35"/>
      <c r="AE3747" s="35"/>
      <c r="AF3747" s="35"/>
      <c r="AG3747" s="35"/>
      <c r="AH3747" s="35"/>
      <c r="AI3747" s="35"/>
      <c r="AJ3747" s="35"/>
      <c r="AK3747" s="35"/>
      <c r="AL3747" s="35"/>
    </row>
    <row r="3748">
      <c r="A3748" s="1"/>
      <c r="B3748" s="19" t="s">
        <v>17536</v>
      </c>
      <c r="C3748" s="20" t="s">
        <v>17989</v>
      </c>
      <c r="D3748" s="47"/>
      <c r="E3748" s="22" t="s">
        <v>18048</v>
      </c>
      <c r="F3748" s="22" t="s">
        <v>18049</v>
      </c>
      <c r="G3748" s="23">
        <v>1992.0</v>
      </c>
      <c r="H3748" s="22" t="s">
        <v>53</v>
      </c>
      <c r="I3748" s="24" t="s">
        <v>18050</v>
      </c>
      <c r="J3748" s="22" t="s">
        <v>18051</v>
      </c>
      <c r="K3748" s="22"/>
      <c r="L3748" s="36">
        <v>633.0</v>
      </c>
      <c r="M3748" s="36"/>
      <c r="N3748" s="36"/>
      <c r="O3748" s="129"/>
      <c r="P3748" s="37"/>
      <c r="Q3748" s="275"/>
      <c r="R3748" s="36"/>
      <c r="S3748" s="36"/>
      <c r="T3748" s="28" t="s">
        <v>18052</v>
      </c>
      <c r="U3748" s="38" t="str">
        <f>HYPERLINK("https://www.ncbi.nlm.nih.gov/pubmed/1508029","PubMed")</f>
        <v>PubMed</v>
      </c>
      <c r="V3748" s="30"/>
      <c r="W3748" s="49"/>
      <c r="X3748" s="49"/>
      <c r="Y3748" s="35"/>
      <c r="Z3748" s="35"/>
      <c r="AA3748" s="35"/>
      <c r="AB3748" s="35"/>
      <c r="AC3748" s="35"/>
      <c r="AD3748" s="35"/>
      <c r="AE3748" s="35"/>
      <c r="AF3748" s="35"/>
      <c r="AG3748" s="35"/>
      <c r="AH3748" s="35"/>
      <c r="AI3748" s="35"/>
      <c r="AJ3748" s="35"/>
      <c r="AK3748" s="35"/>
      <c r="AL3748" s="35"/>
    </row>
    <row r="3749">
      <c r="A3749" s="1"/>
      <c r="B3749" s="19" t="s">
        <v>17536</v>
      </c>
      <c r="C3749" s="20" t="s">
        <v>18053</v>
      </c>
      <c r="D3749" s="47"/>
      <c r="E3749" s="22" t="s">
        <v>1425</v>
      </c>
      <c r="F3749" s="22" t="s">
        <v>1426</v>
      </c>
      <c r="G3749" s="23">
        <v>1991.0</v>
      </c>
      <c r="H3749" s="22" t="s">
        <v>292</v>
      </c>
      <c r="I3749" s="24" t="s">
        <v>18054</v>
      </c>
      <c r="J3749" s="22" t="s">
        <v>55</v>
      </c>
      <c r="K3749" s="22" t="s">
        <v>18055</v>
      </c>
      <c r="L3749" s="36" t="s">
        <v>18056</v>
      </c>
      <c r="M3749" s="36"/>
      <c r="N3749" s="36"/>
      <c r="O3749" s="129"/>
      <c r="P3749" s="37"/>
      <c r="Q3749" s="275"/>
      <c r="R3749" s="36"/>
      <c r="S3749" s="36"/>
      <c r="T3749" s="28" t="s">
        <v>18057</v>
      </c>
      <c r="U3749" s="38" t="str">
        <f>HYPERLINK("https://www.jstage.jst.go.jp/article/islsm/3/1/3_91-OR-02/_article/-char/en","J-STAGE")</f>
        <v>J-STAGE</v>
      </c>
      <c r="V3749" s="30"/>
      <c r="W3749" s="49"/>
      <c r="X3749" s="49"/>
      <c r="Y3749" s="35"/>
      <c r="Z3749" s="35"/>
      <c r="AA3749" s="35"/>
      <c r="AB3749" s="35"/>
      <c r="AC3749" s="35"/>
      <c r="AD3749" s="35"/>
      <c r="AE3749" s="35"/>
      <c r="AF3749" s="35"/>
      <c r="AG3749" s="35"/>
      <c r="AH3749" s="35"/>
      <c r="AI3749" s="35"/>
      <c r="AJ3749" s="35"/>
      <c r="AK3749" s="35"/>
      <c r="AL3749" s="35"/>
    </row>
    <row r="3750">
      <c r="A3750" s="1"/>
      <c r="B3750" s="19" t="s">
        <v>17536</v>
      </c>
      <c r="C3750" s="20" t="s">
        <v>18053</v>
      </c>
      <c r="D3750" s="47"/>
      <c r="E3750" s="22" t="s">
        <v>13745</v>
      </c>
      <c r="F3750" s="22" t="s">
        <v>5649</v>
      </c>
      <c r="G3750" s="23">
        <v>1990.0</v>
      </c>
      <c r="H3750" s="22" t="s">
        <v>53</v>
      </c>
      <c r="I3750" s="24" t="s">
        <v>18058</v>
      </c>
      <c r="J3750" s="22" t="s">
        <v>16466</v>
      </c>
      <c r="K3750" s="22"/>
      <c r="L3750" s="36">
        <v>633.0</v>
      </c>
      <c r="M3750" s="36" t="s">
        <v>5068</v>
      </c>
      <c r="N3750" s="36"/>
      <c r="O3750" s="129"/>
      <c r="P3750" s="37"/>
      <c r="Q3750" s="275"/>
      <c r="R3750" s="36" t="s">
        <v>4800</v>
      </c>
      <c r="S3750" s="36"/>
      <c r="T3750" s="41" t="s">
        <v>18059</v>
      </c>
      <c r="U3750" s="38" t="str">
        <f>HYPERLINK("https://www.ncbi.nlm.nih.gov/pubmed/2308462","PubMed")</f>
        <v>PubMed</v>
      </c>
      <c r="V3750" s="30"/>
      <c r="W3750" s="49"/>
      <c r="X3750" s="49"/>
      <c r="Y3750" s="35"/>
      <c r="Z3750" s="35"/>
      <c r="AA3750" s="35"/>
      <c r="AB3750" s="35"/>
      <c r="AC3750" s="35"/>
      <c r="AD3750" s="35"/>
      <c r="AE3750" s="35"/>
      <c r="AF3750" s="35"/>
      <c r="AG3750" s="35"/>
      <c r="AH3750" s="35"/>
      <c r="AI3750" s="35"/>
      <c r="AJ3750" s="35"/>
      <c r="AK3750" s="35"/>
      <c r="AL3750" s="35"/>
    </row>
    <row r="3751">
      <c r="A3751" s="1"/>
      <c r="B3751" s="19" t="s">
        <v>17536</v>
      </c>
      <c r="C3751" s="20" t="s">
        <v>18053</v>
      </c>
      <c r="D3751" s="47"/>
      <c r="E3751" s="22" t="s">
        <v>18060</v>
      </c>
      <c r="F3751" s="22" t="s">
        <v>2765</v>
      </c>
      <c r="G3751" s="23">
        <v>1985.0</v>
      </c>
      <c r="H3751" s="22" t="s">
        <v>13143</v>
      </c>
      <c r="I3751" s="24" t="s">
        <v>18061</v>
      </c>
      <c r="J3751" s="22" t="s">
        <v>18062</v>
      </c>
      <c r="K3751" s="22"/>
      <c r="L3751" s="36">
        <v>904.0</v>
      </c>
      <c r="M3751" s="36" t="s">
        <v>58</v>
      </c>
      <c r="N3751" s="36" t="s">
        <v>58</v>
      </c>
      <c r="O3751" s="36" t="s">
        <v>58</v>
      </c>
      <c r="P3751" s="37" t="s">
        <v>58</v>
      </c>
      <c r="Q3751" s="275" t="s">
        <v>58</v>
      </c>
      <c r="R3751" s="36" t="s">
        <v>18063</v>
      </c>
      <c r="S3751" s="36">
        <v>1.0</v>
      </c>
      <c r="T3751" s="41" t="s">
        <v>18064</v>
      </c>
      <c r="U3751" s="38" t="str">
        <f>HYPERLINK("https://www.ncbi.nlm.nih.gov/pubmed/4023064","PubMed")</f>
        <v>PubMed</v>
      </c>
      <c r="V3751" s="30"/>
      <c r="W3751" s="49"/>
      <c r="X3751" s="49"/>
      <c r="Y3751" s="35"/>
      <c r="Z3751" s="35"/>
      <c r="AA3751" s="35"/>
      <c r="AB3751" s="35"/>
      <c r="AC3751" s="35"/>
      <c r="AD3751" s="35"/>
      <c r="AE3751" s="35"/>
      <c r="AF3751" s="35"/>
      <c r="AG3751" s="35"/>
      <c r="AH3751" s="35"/>
      <c r="AI3751" s="35"/>
      <c r="AJ3751" s="35"/>
      <c r="AK3751" s="35"/>
      <c r="AL3751" s="35"/>
    </row>
    <row r="3752">
      <c r="A3752" s="1"/>
      <c r="B3752" s="19" t="s">
        <v>17536</v>
      </c>
      <c r="C3752" s="20" t="s">
        <v>18065</v>
      </c>
      <c r="D3752" s="47"/>
      <c r="E3752" s="22" t="s">
        <v>18066</v>
      </c>
      <c r="F3752" s="22" t="s">
        <v>7853</v>
      </c>
      <c r="G3752" s="23">
        <v>2019.0</v>
      </c>
      <c r="H3752" s="22" t="s">
        <v>91</v>
      </c>
      <c r="I3752" s="24" t="s">
        <v>18067</v>
      </c>
      <c r="J3752" s="22" t="s">
        <v>31</v>
      </c>
      <c r="K3752" s="22"/>
      <c r="L3752" s="36" t="s">
        <v>7858</v>
      </c>
      <c r="M3752" s="36"/>
      <c r="N3752" s="36"/>
      <c r="O3752" s="129"/>
      <c r="P3752" s="37"/>
      <c r="Q3752" s="275"/>
      <c r="R3752" s="36"/>
      <c r="S3752" s="36"/>
      <c r="T3752" s="42" t="s">
        <v>18068</v>
      </c>
      <c r="U3752" s="38" t="str">
        <f>HYPERLINK("https://www.ncbi.nlm.nih.gov/pubmed/30911931","PubMed")</f>
        <v>PubMed</v>
      </c>
      <c r="V3752" s="30"/>
      <c r="W3752" s="49"/>
      <c r="X3752" s="49"/>
      <c r="Y3752" s="35"/>
      <c r="Z3752" s="35"/>
      <c r="AA3752" s="35"/>
      <c r="AB3752" s="35"/>
      <c r="AC3752" s="35"/>
      <c r="AD3752" s="35"/>
      <c r="AE3752" s="35"/>
      <c r="AF3752" s="35"/>
      <c r="AG3752" s="35"/>
      <c r="AH3752" s="35"/>
      <c r="AI3752" s="35"/>
      <c r="AJ3752" s="35"/>
      <c r="AK3752" s="35"/>
      <c r="AL3752" s="35"/>
    </row>
    <row r="3753">
      <c r="A3753" s="1"/>
      <c r="B3753" s="19" t="s">
        <v>17536</v>
      </c>
      <c r="C3753" s="20" t="s">
        <v>18069</v>
      </c>
      <c r="D3753" s="47"/>
      <c r="E3753" s="22" t="s">
        <v>17352</v>
      </c>
      <c r="F3753" s="22" t="s">
        <v>16196</v>
      </c>
      <c r="G3753" s="23" t="s">
        <v>11799</v>
      </c>
      <c r="H3753" s="22" t="s">
        <v>207</v>
      </c>
      <c r="I3753" s="24" t="s">
        <v>18070</v>
      </c>
      <c r="J3753" s="22" t="s">
        <v>55</v>
      </c>
      <c r="K3753" s="22" t="s">
        <v>18071</v>
      </c>
      <c r="L3753" s="36">
        <v>904.0</v>
      </c>
      <c r="M3753" s="36">
        <v>50.0</v>
      </c>
      <c r="N3753" s="36"/>
      <c r="O3753" s="129">
        <v>42951.0</v>
      </c>
      <c r="P3753" s="37"/>
      <c r="Q3753" s="275" t="s">
        <v>9307</v>
      </c>
      <c r="R3753" s="36">
        <v>48.0</v>
      </c>
      <c r="S3753" s="36">
        <v>5.0</v>
      </c>
      <c r="T3753" s="42" t="s">
        <v>18072</v>
      </c>
      <c r="U3753" s="38" t="str">
        <f>HYPERLINK("http://www.sciencedirect.com/science/article/pii/S1011134416308211","ScienceDirect")</f>
        <v>ScienceDirect</v>
      </c>
      <c r="V3753" s="30"/>
      <c r="W3753" s="49"/>
      <c r="X3753" s="49"/>
      <c r="Y3753" s="35"/>
      <c r="Z3753" s="35"/>
      <c r="AA3753" s="35"/>
      <c r="AB3753" s="35"/>
      <c r="AC3753" s="35"/>
      <c r="AD3753" s="35"/>
      <c r="AE3753" s="35"/>
      <c r="AF3753" s="35"/>
      <c r="AG3753" s="35"/>
      <c r="AH3753" s="35"/>
      <c r="AI3753" s="35"/>
      <c r="AJ3753" s="35"/>
      <c r="AK3753" s="35"/>
      <c r="AL3753" s="35"/>
    </row>
    <row r="3754">
      <c r="A3754" s="1"/>
      <c r="B3754" s="19" t="s">
        <v>17536</v>
      </c>
      <c r="C3754" s="20" t="s">
        <v>18069</v>
      </c>
      <c r="D3754" s="47"/>
      <c r="E3754" s="22" t="s">
        <v>18073</v>
      </c>
      <c r="F3754" s="22" t="s">
        <v>400</v>
      </c>
      <c r="G3754" s="23">
        <v>2004.0</v>
      </c>
      <c r="H3754" s="22" t="s">
        <v>53</v>
      </c>
      <c r="I3754" s="24" t="s">
        <v>18074</v>
      </c>
      <c r="J3754" s="22" t="s">
        <v>44</v>
      </c>
      <c r="K3754" s="22"/>
      <c r="L3754" s="36">
        <v>655.0</v>
      </c>
      <c r="M3754" s="36"/>
      <c r="N3754" s="36"/>
      <c r="O3754" s="36"/>
      <c r="P3754" s="37"/>
      <c r="Q3754" s="275"/>
      <c r="R3754" s="36"/>
      <c r="S3754" s="36"/>
      <c r="T3754" s="42" t="s">
        <v>18075</v>
      </c>
      <c r="U3754" s="38" t="str">
        <f>HYPERLINK("https://www.ncbi.nlm.nih.gov/pubmed/15022258","PubMed")</f>
        <v>PubMed</v>
      </c>
      <c r="V3754" s="30"/>
      <c r="W3754" s="49"/>
      <c r="X3754" s="49"/>
      <c r="Y3754" s="35"/>
      <c r="Z3754" s="35"/>
      <c r="AA3754" s="35"/>
      <c r="AB3754" s="35"/>
      <c r="AC3754" s="35"/>
      <c r="AD3754" s="35"/>
      <c r="AE3754" s="35"/>
      <c r="AF3754" s="35"/>
      <c r="AG3754" s="35"/>
      <c r="AH3754" s="35"/>
      <c r="AI3754" s="35"/>
      <c r="AJ3754" s="35"/>
      <c r="AK3754" s="35"/>
      <c r="AL3754" s="35"/>
    </row>
    <row r="3755">
      <c r="A3755" s="1"/>
      <c r="B3755" s="19" t="s">
        <v>17536</v>
      </c>
      <c r="C3755" s="20" t="s">
        <v>18076</v>
      </c>
      <c r="D3755" s="47"/>
      <c r="E3755" s="22" t="s">
        <v>1267</v>
      </c>
      <c r="F3755" s="22" t="s">
        <v>291</v>
      </c>
      <c r="G3755" s="23">
        <v>2009.0</v>
      </c>
      <c r="H3755" s="22" t="s">
        <v>53</v>
      </c>
      <c r="I3755" s="24" t="s">
        <v>18077</v>
      </c>
      <c r="J3755" s="22" t="s">
        <v>31</v>
      </c>
      <c r="K3755" s="22" t="s">
        <v>1240</v>
      </c>
      <c r="L3755" s="36">
        <v>780.0</v>
      </c>
      <c r="M3755" s="36" t="s">
        <v>18078</v>
      </c>
      <c r="N3755" s="36"/>
      <c r="O3755" s="36"/>
      <c r="P3755" s="37"/>
      <c r="Q3755" s="275"/>
      <c r="R3755" s="36" t="s">
        <v>18079</v>
      </c>
      <c r="S3755" s="36"/>
      <c r="T3755" s="28" t="s">
        <v>18080</v>
      </c>
      <c r="U3755" s="38" t="str">
        <f>HYPERLINK("https://www.ncbi.nlm.nih.gov/pubmed/19347939","PubMed")</f>
        <v>PubMed</v>
      </c>
      <c r="V3755" s="30"/>
      <c r="W3755" s="49"/>
      <c r="X3755" s="49"/>
      <c r="Y3755" s="35"/>
      <c r="Z3755" s="35"/>
      <c r="AA3755" s="35"/>
      <c r="AB3755" s="35"/>
      <c r="AC3755" s="35"/>
      <c r="AD3755" s="35"/>
      <c r="AE3755" s="35"/>
      <c r="AF3755" s="35"/>
      <c r="AG3755" s="35"/>
      <c r="AH3755" s="35"/>
      <c r="AI3755" s="35"/>
      <c r="AJ3755" s="35"/>
      <c r="AK3755" s="35"/>
      <c r="AL3755" s="35"/>
    </row>
    <row r="3756">
      <c r="A3756" s="149"/>
      <c r="B3756" s="19" t="s">
        <v>17536</v>
      </c>
      <c r="C3756" s="20" t="s">
        <v>18081</v>
      </c>
      <c r="D3756" s="47"/>
      <c r="E3756" s="22" t="s">
        <v>18082</v>
      </c>
      <c r="F3756" s="22" t="s">
        <v>18083</v>
      </c>
      <c r="G3756" s="23">
        <v>2023.0</v>
      </c>
      <c r="H3756" s="22" t="s">
        <v>91</v>
      </c>
      <c r="I3756" s="24" t="s">
        <v>18084</v>
      </c>
      <c r="J3756" s="22" t="s">
        <v>31</v>
      </c>
      <c r="K3756" s="22" t="s">
        <v>18085</v>
      </c>
      <c r="L3756" s="52">
        <v>670.0</v>
      </c>
      <c r="M3756" s="52"/>
      <c r="N3756" s="52"/>
      <c r="O3756" s="52"/>
      <c r="P3756" s="189"/>
      <c r="Q3756" s="309"/>
      <c r="R3756" s="52"/>
      <c r="S3756" s="52"/>
      <c r="T3756" s="28" t="s">
        <v>18086</v>
      </c>
      <c r="U3756" s="38" t="s">
        <v>61</v>
      </c>
      <c r="V3756" s="30"/>
      <c r="W3756" s="49"/>
      <c r="X3756" s="49"/>
      <c r="Y3756" s="35"/>
      <c r="Z3756" s="35"/>
      <c r="AA3756" s="35"/>
      <c r="AB3756" s="35"/>
      <c r="AC3756" s="35"/>
      <c r="AD3756" s="35"/>
      <c r="AE3756" s="35"/>
      <c r="AF3756" s="35"/>
      <c r="AG3756" s="35"/>
      <c r="AH3756" s="35"/>
      <c r="AI3756" s="35"/>
      <c r="AJ3756" s="35"/>
      <c r="AK3756" s="35"/>
      <c r="AL3756" s="35"/>
    </row>
    <row r="3757">
      <c r="A3757" s="149" t="s">
        <v>181</v>
      </c>
      <c r="B3757" s="19" t="s">
        <v>17536</v>
      </c>
      <c r="C3757" s="20" t="s">
        <v>18081</v>
      </c>
      <c r="D3757" s="47"/>
      <c r="E3757" s="22" t="s">
        <v>18087</v>
      </c>
      <c r="F3757" s="22" t="s">
        <v>1943</v>
      </c>
      <c r="G3757" s="23">
        <v>2021.0</v>
      </c>
      <c r="H3757" s="22" t="s">
        <v>18088</v>
      </c>
      <c r="I3757" s="24" t="s">
        <v>18089</v>
      </c>
      <c r="J3757" s="22" t="s">
        <v>55</v>
      </c>
      <c r="K3757" s="22" t="s">
        <v>18090</v>
      </c>
      <c r="L3757" s="52">
        <v>808.0</v>
      </c>
      <c r="M3757" s="52"/>
      <c r="N3757" s="52"/>
      <c r="O3757" s="52"/>
      <c r="P3757" s="189"/>
      <c r="Q3757" s="309"/>
      <c r="R3757" s="52"/>
      <c r="S3757" s="52"/>
      <c r="T3757" s="28" t="s">
        <v>18091</v>
      </c>
      <c r="U3757" s="29" t="s">
        <v>61</v>
      </c>
      <c r="V3757" s="30"/>
      <c r="W3757" s="49"/>
      <c r="X3757" s="49"/>
      <c r="Y3757" s="35"/>
      <c r="Z3757" s="35"/>
      <c r="AA3757" s="35"/>
      <c r="AB3757" s="35"/>
      <c r="AC3757" s="35"/>
      <c r="AD3757" s="35"/>
      <c r="AE3757" s="35"/>
      <c r="AF3757" s="35"/>
      <c r="AG3757" s="35"/>
      <c r="AH3757" s="35"/>
      <c r="AI3757" s="35"/>
      <c r="AJ3757" s="35"/>
      <c r="AK3757" s="35"/>
      <c r="AL3757" s="35"/>
    </row>
    <row r="3758">
      <c r="A3758" s="1"/>
      <c r="B3758" s="19" t="s">
        <v>17536</v>
      </c>
      <c r="C3758" s="20" t="s">
        <v>18092</v>
      </c>
      <c r="D3758" s="47"/>
      <c r="E3758" s="22" t="s">
        <v>12105</v>
      </c>
      <c r="F3758" s="22" t="s">
        <v>358</v>
      </c>
      <c r="G3758" s="23">
        <v>2013.0</v>
      </c>
      <c r="H3758" s="22" t="s">
        <v>941</v>
      </c>
      <c r="I3758" s="24" t="s">
        <v>18093</v>
      </c>
      <c r="J3758" s="22" t="s">
        <v>55</v>
      </c>
      <c r="K3758" s="22" t="s">
        <v>18094</v>
      </c>
      <c r="L3758" s="36">
        <v>830.0</v>
      </c>
      <c r="M3758" s="36">
        <v>30.0</v>
      </c>
      <c r="N3758" s="36"/>
      <c r="O3758" s="36" t="s">
        <v>18042</v>
      </c>
      <c r="P3758" s="37" t="s">
        <v>18095</v>
      </c>
      <c r="Q3758" s="275" t="s">
        <v>245</v>
      </c>
      <c r="R3758" s="36"/>
      <c r="S3758" s="36">
        <v>14.0</v>
      </c>
      <c r="T3758" s="41" t="s">
        <v>18096</v>
      </c>
      <c r="U3758" s="38" t="str">
        <f>HYPERLINK("https://www.ncbi.nlm.nih.gov/pubmed/24453650","PubMed")</f>
        <v>PubMed</v>
      </c>
      <c r="V3758" s="30"/>
      <c r="W3758" s="49"/>
      <c r="X3758" s="49"/>
      <c r="Y3758" s="35"/>
      <c r="Z3758" s="35"/>
      <c r="AA3758" s="35"/>
      <c r="AB3758" s="35"/>
      <c r="AC3758" s="35"/>
      <c r="AD3758" s="35"/>
      <c r="AE3758" s="35"/>
      <c r="AF3758" s="35"/>
      <c r="AG3758" s="35"/>
      <c r="AH3758" s="35"/>
      <c r="AI3758" s="35"/>
      <c r="AJ3758" s="35"/>
      <c r="AK3758" s="35"/>
      <c r="AL3758" s="35"/>
    </row>
    <row r="3759">
      <c r="A3759" s="1"/>
      <c r="B3759" s="19" t="s">
        <v>17536</v>
      </c>
      <c r="C3759" s="20" t="s">
        <v>18092</v>
      </c>
      <c r="D3759" s="47"/>
      <c r="E3759" s="22" t="s">
        <v>18097</v>
      </c>
      <c r="F3759" s="22" t="s">
        <v>358</v>
      </c>
      <c r="G3759" s="23">
        <v>2013.0</v>
      </c>
      <c r="H3759" s="22" t="s">
        <v>941</v>
      </c>
      <c r="I3759" s="24" t="s">
        <v>18098</v>
      </c>
      <c r="J3759" s="22" t="s">
        <v>55</v>
      </c>
      <c r="K3759" s="22" t="s">
        <v>18099</v>
      </c>
      <c r="L3759" s="36">
        <v>830.0</v>
      </c>
      <c r="M3759" s="36">
        <v>30.0</v>
      </c>
      <c r="N3759" s="36"/>
      <c r="O3759" s="36"/>
      <c r="P3759" s="37" t="s">
        <v>760</v>
      </c>
      <c r="Q3759" s="275" t="s">
        <v>18100</v>
      </c>
      <c r="R3759" s="36"/>
      <c r="S3759" s="36">
        <v>21.0</v>
      </c>
      <c r="T3759" s="41" t="s">
        <v>18101</v>
      </c>
      <c r="U3759" s="38" t="str">
        <f>HYPERLINK("https://www.ncbi.nlm.nih.gov/pubmed/24453680","PubMed")</f>
        <v>PubMed</v>
      </c>
      <c r="V3759" s="30"/>
      <c r="W3759" s="49"/>
      <c r="X3759" s="49"/>
      <c r="Y3759" s="35"/>
      <c r="Z3759" s="35"/>
      <c r="AA3759" s="35"/>
      <c r="AB3759" s="35"/>
      <c r="AC3759" s="35"/>
      <c r="AD3759" s="35"/>
      <c r="AE3759" s="35"/>
      <c r="AF3759" s="35"/>
      <c r="AG3759" s="35"/>
      <c r="AH3759" s="35"/>
      <c r="AI3759" s="35"/>
      <c r="AJ3759" s="35"/>
      <c r="AK3759" s="35"/>
      <c r="AL3759" s="35"/>
    </row>
    <row r="3760">
      <c r="A3760" s="1"/>
      <c r="B3760" s="19" t="s">
        <v>17536</v>
      </c>
      <c r="C3760" s="20" t="s">
        <v>18102</v>
      </c>
      <c r="D3760" s="47"/>
      <c r="E3760" s="22" t="s">
        <v>18103</v>
      </c>
      <c r="F3760" s="22" t="s">
        <v>323</v>
      </c>
      <c r="G3760" s="23">
        <v>2012.0</v>
      </c>
      <c r="H3760" s="22" t="s">
        <v>207</v>
      </c>
      <c r="I3760" s="24" t="s">
        <v>18104</v>
      </c>
      <c r="J3760" s="22" t="s">
        <v>31</v>
      </c>
      <c r="K3760" s="22" t="s">
        <v>1434</v>
      </c>
      <c r="L3760" s="36">
        <v>810.0</v>
      </c>
      <c r="M3760" s="36">
        <v>50.0</v>
      </c>
      <c r="N3760" s="36"/>
      <c r="O3760" s="36"/>
      <c r="P3760" s="37" t="s">
        <v>18105</v>
      </c>
      <c r="Q3760" s="275"/>
      <c r="R3760" s="36"/>
      <c r="S3760" s="36"/>
      <c r="T3760" s="28" t="s">
        <v>18106</v>
      </c>
      <c r="U3760" s="153" t="str">
        <f>HYPERLINK("https://www.ncbi.nlm.nih.gov/pubmed/22178388","PubMed")</f>
        <v>PubMed</v>
      </c>
      <c r="V3760" s="30"/>
      <c r="W3760" s="49"/>
      <c r="X3760" s="49"/>
      <c r="Y3760" s="35"/>
      <c r="Z3760" s="35"/>
      <c r="AA3760" s="35"/>
      <c r="AB3760" s="35"/>
      <c r="AC3760" s="35"/>
      <c r="AD3760" s="35"/>
      <c r="AE3760" s="35"/>
      <c r="AF3760" s="35"/>
      <c r="AG3760" s="35"/>
      <c r="AH3760" s="35"/>
      <c r="AI3760" s="35"/>
      <c r="AJ3760" s="35"/>
      <c r="AK3760" s="35"/>
      <c r="AL3760" s="35"/>
    </row>
    <row r="3761">
      <c r="A3761" s="1"/>
      <c r="B3761" s="19" t="s">
        <v>17536</v>
      </c>
      <c r="C3761" s="20" t="s">
        <v>18107</v>
      </c>
      <c r="D3761" s="47"/>
      <c r="E3761" s="22" t="s">
        <v>13745</v>
      </c>
      <c r="F3761" s="22" t="s">
        <v>5649</v>
      </c>
      <c r="G3761" s="23">
        <v>1993.0</v>
      </c>
      <c r="H3761" s="22" t="s">
        <v>53</v>
      </c>
      <c r="I3761" s="24" t="s">
        <v>18108</v>
      </c>
      <c r="J3761" s="22" t="s">
        <v>18109</v>
      </c>
      <c r="K3761" s="22"/>
      <c r="L3761" s="36">
        <v>830.0</v>
      </c>
      <c r="M3761" s="36">
        <v>40.0</v>
      </c>
      <c r="N3761" s="36"/>
      <c r="O3761" s="36"/>
      <c r="P3761" s="37" t="s">
        <v>325</v>
      </c>
      <c r="Q3761" s="275"/>
      <c r="R3761" s="36"/>
      <c r="S3761" s="36">
        <v>1.0</v>
      </c>
      <c r="T3761" s="42" t="s">
        <v>18110</v>
      </c>
      <c r="U3761" s="153" t="str">
        <f>HYPERLINK("https://www.ncbi.nlm.nih.gov/pubmed/8295467","PubMed")</f>
        <v>PubMed</v>
      </c>
      <c r="V3761" s="30"/>
      <c r="W3761" s="49"/>
      <c r="X3761" s="49"/>
      <c r="Y3761" s="35"/>
      <c r="Z3761" s="35"/>
      <c r="AA3761" s="35"/>
      <c r="AB3761" s="35"/>
      <c r="AC3761" s="35"/>
      <c r="AD3761" s="35"/>
      <c r="AE3761" s="35"/>
      <c r="AF3761" s="35"/>
      <c r="AG3761" s="35"/>
      <c r="AH3761" s="35"/>
      <c r="AI3761" s="35"/>
      <c r="AJ3761" s="35"/>
      <c r="AK3761" s="35"/>
      <c r="AL3761" s="35"/>
    </row>
    <row r="3762">
      <c r="A3762" s="1"/>
      <c r="B3762" s="19" t="s">
        <v>17536</v>
      </c>
      <c r="C3762" s="20" t="s">
        <v>18111</v>
      </c>
      <c r="D3762" s="47"/>
      <c r="E3762" s="22" t="s">
        <v>18112</v>
      </c>
      <c r="F3762" s="22" t="s">
        <v>89</v>
      </c>
      <c r="G3762" s="23">
        <v>2021.0</v>
      </c>
      <c r="H3762" s="22" t="s">
        <v>4975</v>
      </c>
      <c r="I3762" s="24" t="s">
        <v>18113</v>
      </c>
      <c r="J3762" s="22" t="s">
        <v>55</v>
      </c>
      <c r="K3762" s="22" t="s">
        <v>18114</v>
      </c>
      <c r="L3762" s="36">
        <v>630.0</v>
      </c>
      <c r="M3762" s="36"/>
      <c r="N3762" s="36"/>
      <c r="O3762" s="36"/>
      <c r="P3762" s="37" t="s">
        <v>2395</v>
      </c>
      <c r="Q3762" s="275"/>
      <c r="R3762" s="36">
        <v>30.0</v>
      </c>
      <c r="S3762" s="36">
        <v>5.0</v>
      </c>
      <c r="T3762" s="28" t="s">
        <v>18115</v>
      </c>
      <c r="U3762" s="29" t="s">
        <v>61</v>
      </c>
      <c r="V3762" s="30"/>
      <c r="W3762" s="49"/>
      <c r="X3762" s="49"/>
      <c r="Y3762" s="35"/>
      <c r="Z3762" s="35"/>
      <c r="AA3762" s="35"/>
      <c r="AB3762" s="35"/>
      <c r="AC3762" s="35"/>
      <c r="AD3762" s="35"/>
      <c r="AE3762" s="35"/>
      <c r="AF3762" s="35"/>
      <c r="AG3762" s="35"/>
      <c r="AH3762" s="35"/>
      <c r="AI3762" s="35"/>
      <c r="AJ3762" s="35"/>
      <c r="AK3762" s="35"/>
      <c r="AL3762" s="35"/>
    </row>
    <row r="3763">
      <c r="A3763" s="1"/>
      <c r="B3763" s="19" t="s">
        <v>17536</v>
      </c>
      <c r="C3763" s="20" t="s">
        <v>18111</v>
      </c>
      <c r="D3763" s="47"/>
      <c r="E3763" s="22" t="s">
        <v>450</v>
      </c>
      <c r="F3763" s="22" t="s">
        <v>89</v>
      </c>
      <c r="G3763" s="23">
        <v>2012.0</v>
      </c>
      <c r="H3763" s="22" t="s">
        <v>91</v>
      </c>
      <c r="I3763" s="24" t="s">
        <v>18116</v>
      </c>
      <c r="J3763" s="22" t="s">
        <v>55</v>
      </c>
      <c r="K3763" s="22"/>
      <c r="L3763" s="36">
        <v>904.0</v>
      </c>
      <c r="M3763" s="36">
        <v>40.0</v>
      </c>
      <c r="N3763" s="36"/>
      <c r="O3763" s="129">
        <v>42407.0</v>
      </c>
      <c r="P3763" s="37" t="s">
        <v>2395</v>
      </c>
      <c r="Q3763" s="275" t="s">
        <v>9358</v>
      </c>
      <c r="R3763" s="36">
        <v>180.0</v>
      </c>
      <c r="S3763" s="36">
        <v>10.0</v>
      </c>
      <c r="T3763" s="28" t="s">
        <v>18117</v>
      </c>
      <c r="U3763" s="153" t="str">
        <f>HYPERLINK("https://www.ncbi.nlm.nih.gov/pubmed/21833555","PubMed")</f>
        <v>PubMed</v>
      </c>
      <c r="V3763" s="30"/>
      <c r="W3763" s="49"/>
      <c r="X3763" s="49"/>
      <c r="Y3763" s="35"/>
      <c r="Z3763" s="35"/>
      <c r="AA3763" s="35"/>
      <c r="AB3763" s="35"/>
      <c r="AC3763" s="35"/>
      <c r="AD3763" s="35"/>
      <c r="AE3763" s="35"/>
      <c r="AF3763" s="35"/>
      <c r="AG3763" s="35"/>
      <c r="AH3763" s="35"/>
      <c r="AI3763" s="35"/>
      <c r="AJ3763" s="35"/>
      <c r="AK3763" s="35"/>
      <c r="AL3763" s="35"/>
    </row>
    <row r="3764">
      <c r="A3764" s="1"/>
      <c r="B3764" s="19" t="s">
        <v>17536</v>
      </c>
      <c r="C3764" s="20" t="s">
        <v>18111</v>
      </c>
      <c r="D3764" s="47"/>
      <c r="E3764" s="22" t="s">
        <v>18118</v>
      </c>
      <c r="F3764" s="22" t="s">
        <v>18119</v>
      </c>
      <c r="G3764" s="23">
        <v>2004.0</v>
      </c>
      <c r="H3764" s="22" t="s">
        <v>91</v>
      </c>
      <c r="I3764" s="24" t="s">
        <v>18120</v>
      </c>
      <c r="J3764" s="22" t="s">
        <v>55</v>
      </c>
      <c r="K3764" s="22"/>
      <c r="L3764" s="36" t="s">
        <v>18121</v>
      </c>
      <c r="M3764" s="36"/>
      <c r="N3764" s="36"/>
      <c r="O3764" s="36"/>
      <c r="P3764" s="37"/>
      <c r="Q3764" s="275"/>
      <c r="R3764" s="36"/>
      <c r="S3764" s="36"/>
      <c r="T3764" s="28" t="s">
        <v>18122</v>
      </c>
      <c r="U3764" s="153" t="str">
        <f>HYPERLINK("https://www.ncbi.nlm.nih.gov/pubmed/15316855","PubMed")</f>
        <v>PubMed</v>
      </c>
      <c r="V3764" s="30"/>
      <c r="W3764" s="49"/>
      <c r="X3764" s="49"/>
      <c r="Y3764" s="35"/>
      <c r="Z3764" s="35"/>
      <c r="AA3764" s="35"/>
      <c r="AB3764" s="35"/>
      <c r="AC3764" s="35"/>
      <c r="AD3764" s="35"/>
      <c r="AE3764" s="35"/>
      <c r="AF3764" s="35"/>
      <c r="AG3764" s="35"/>
      <c r="AH3764" s="35"/>
      <c r="AI3764" s="35"/>
      <c r="AJ3764" s="35"/>
      <c r="AK3764" s="35"/>
      <c r="AL3764" s="35"/>
    </row>
    <row r="3765">
      <c r="A3765" s="1"/>
      <c r="B3765" s="19" t="s">
        <v>17536</v>
      </c>
      <c r="C3765" s="20" t="s">
        <v>18123</v>
      </c>
      <c r="D3765" s="47"/>
      <c r="E3765" s="22" t="s">
        <v>1267</v>
      </c>
      <c r="F3765" s="22" t="s">
        <v>291</v>
      </c>
      <c r="G3765" s="23">
        <v>2007.0</v>
      </c>
      <c r="H3765" s="22" t="s">
        <v>658</v>
      </c>
      <c r="I3765" s="24" t="s">
        <v>18124</v>
      </c>
      <c r="J3765" s="22" t="s">
        <v>18125</v>
      </c>
      <c r="K3765" s="22"/>
      <c r="L3765" s="36">
        <v>780.0</v>
      </c>
      <c r="M3765" s="36">
        <v>250.0</v>
      </c>
      <c r="N3765" s="36"/>
      <c r="O3765" s="36"/>
      <c r="P3765" s="37"/>
      <c r="Q3765" s="275"/>
      <c r="R3765" s="36" t="s">
        <v>18126</v>
      </c>
      <c r="S3765" s="36" t="s">
        <v>3849</v>
      </c>
      <c r="T3765" s="28" t="s">
        <v>18127</v>
      </c>
      <c r="U3765" s="153" t="str">
        <f>HYPERLINK("https://www.ncbi.nlm.nih.gov/pubmed/17975958/","PubMed")</f>
        <v>PubMed</v>
      </c>
      <c r="V3765" s="30"/>
      <c r="W3765" s="49"/>
      <c r="X3765" s="49"/>
      <c r="Y3765" s="35"/>
      <c r="Z3765" s="35"/>
      <c r="AA3765" s="35"/>
      <c r="AB3765" s="35"/>
      <c r="AC3765" s="35"/>
      <c r="AD3765" s="35"/>
      <c r="AE3765" s="35"/>
      <c r="AF3765" s="35"/>
      <c r="AG3765" s="35"/>
      <c r="AH3765" s="35"/>
      <c r="AI3765" s="35"/>
      <c r="AJ3765" s="35"/>
      <c r="AK3765" s="35"/>
      <c r="AL3765" s="35"/>
    </row>
    <row r="3766">
      <c r="A3766" s="1"/>
      <c r="B3766" s="19" t="s">
        <v>17536</v>
      </c>
      <c r="C3766" s="20" t="s">
        <v>18123</v>
      </c>
      <c r="D3766" s="47"/>
      <c r="E3766" s="22" t="s">
        <v>18128</v>
      </c>
      <c r="F3766" s="22" t="s">
        <v>1258</v>
      </c>
      <c r="G3766" s="23">
        <v>1993.0</v>
      </c>
      <c r="H3766" s="22" t="s">
        <v>292</v>
      </c>
      <c r="I3766" s="24" t="s">
        <v>18129</v>
      </c>
      <c r="J3766" s="22" t="s">
        <v>18130</v>
      </c>
      <c r="K3766" s="22"/>
      <c r="L3766" s="36">
        <v>830.0</v>
      </c>
      <c r="M3766" s="36">
        <v>70.0</v>
      </c>
      <c r="N3766" s="36"/>
      <c r="O3766" s="36"/>
      <c r="P3766" s="37" t="s">
        <v>82</v>
      </c>
      <c r="Q3766" s="275"/>
      <c r="R3766" s="36"/>
      <c r="S3766" s="36"/>
      <c r="T3766" s="28" t="s">
        <v>18131</v>
      </c>
      <c r="U3766" s="153" t="str">
        <f>HYPERLINK("https://www.jstage.jst.go.jp/article/islsm/5/3/5_93-OR-14/_article/-char/en","J-STAGE")</f>
        <v>J-STAGE</v>
      </c>
      <c r="V3766" s="30"/>
      <c r="W3766" s="49"/>
      <c r="X3766" s="49"/>
      <c r="Y3766" s="35"/>
      <c r="Z3766" s="35"/>
      <c r="AA3766" s="35"/>
      <c r="AB3766" s="35"/>
      <c r="AC3766" s="35"/>
      <c r="AD3766" s="35"/>
      <c r="AE3766" s="35"/>
      <c r="AF3766" s="35"/>
      <c r="AG3766" s="35"/>
      <c r="AH3766" s="35"/>
      <c r="AI3766" s="35"/>
      <c r="AJ3766" s="35"/>
      <c r="AK3766" s="35"/>
      <c r="AL3766" s="35"/>
    </row>
    <row r="3767">
      <c r="A3767" s="1"/>
      <c r="B3767" s="19" t="s">
        <v>17536</v>
      </c>
      <c r="C3767" s="20" t="s">
        <v>18123</v>
      </c>
      <c r="D3767" s="47"/>
      <c r="E3767" s="22" t="s">
        <v>1267</v>
      </c>
      <c r="F3767" s="22" t="s">
        <v>291</v>
      </c>
      <c r="G3767" s="23">
        <v>1978.0</v>
      </c>
      <c r="H3767" s="22" t="s">
        <v>18132</v>
      </c>
      <c r="I3767" s="24" t="s">
        <v>18133</v>
      </c>
      <c r="J3767" s="22"/>
      <c r="K3767" s="22"/>
      <c r="L3767" s="36"/>
      <c r="M3767" s="36"/>
      <c r="N3767" s="36"/>
      <c r="O3767" s="36"/>
      <c r="P3767" s="37"/>
      <c r="Q3767" s="275"/>
      <c r="R3767" s="36"/>
      <c r="S3767" s="36"/>
      <c r="T3767" s="28"/>
      <c r="U3767" s="330"/>
      <c r="V3767" s="30"/>
      <c r="W3767" s="49"/>
      <c r="X3767" s="49"/>
      <c r="Y3767" s="35"/>
      <c r="Z3767" s="35"/>
      <c r="AA3767" s="35"/>
      <c r="AB3767" s="35"/>
      <c r="AC3767" s="35"/>
      <c r="AD3767" s="35"/>
      <c r="AE3767" s="35"/>
      <c r="AF3767" s="35"/>
      <c r="AG3767" s="35"/>
      <c r="AH3767" s="35"/>
      <c r="AI3767" s="35"/>
      <c r="AJ3767" s="35"/>
      <c r="AK3767" s="35"/>
      <c r="AL3767" s="35"/>
    </row>
    <row r="3768">
      <c r="A3768" s="1" t="s">
        <v>2</v>
      </c>
      <c r="B3768" s="19" t="s">
        <v>17536</v>
      </c>
      <c r="C3768" s="20" t="s">
        <v>18134</v>
      </c>
      <c r="D3768" s="47"/>
      <c r="E3768" s="22" t="s">
        <v>14335</v>
      </c>
      <c r="F3768" s="22" t="s">
        <v>3441</v>
      </c>
      <c r="G3768" s="23">
        <v>2014.0</v>
      </c>
      <c r="H3768" s="22" t="s">
        <v>53</v>
      </c>
      <c r="I3768" s="24" t="s">
        <v>18135</v>
      </c>
      <c r="J3768" s="22" t="s">
        <v>18136</v>
      </c>
      <c r="K3768" s="22" t="s">
        <v>18137</v>
      </c>
      <c r="L3768" s="36" t="s">
        <v>18138</v>
      </c>
      <c r="M3768" s="36">
        <v>1000.0</v>
      </c>
      <c r="N3768" s="36" t="s">
        <v>2554</v>
      </c>
      <c r="O3768" s="36"/>
      <c r="P3768" s="37" t="s">
        <v>18139</v>
      </c>
      <c r="Q3768" s="275"/>
      <c r="R3768" s="36"/>
      <c r="S3768" s="36"/>
      <c r="T3768" s="28" t="s">
        <v>18140</v>
      </c>
      <c r="U3768" s="153" t="str">
        <f>HYPERLINK("https://www.ncbi.nlm.nih.gov/pubmed/24338500","PubMed")</f>
        <v>PubMed</v>
      </c>
      <c r="V3768" s="30"/>
      <c r="W3768" s="49"/>
      <c r="X3768" s="49"/>
      <c r="Y3768" s="35"/>
      <c r="Z3768" s="35"/>
      <c r="AA3768" s="35"/>
      <c r="AB3768" s="35"/>
      <c r="AC3768" s="35"/>
      <c r="AD3768" s="35"/>
      <c r="AE3768" s="35"/>
      <c r="AF3768" s="35"/>
      <c r="AG3768" s="35"/>
      <c r="AH3768" s="35"/>
      <c r="AI3768" s="35"/>
      <c r="AJ3768" s="35"/>
      <c r="AK3768" s="35"/>
      <c r="AL3768" s="35"/>
    </row>
    <row r="3769">
      <c r="A3769" s="1"/>
      <c r="B3769" s="19" t="s">
        <v>17536</v>
      </c>
      <c r="C3769" s="20" t="s">
        <v>18134</v>
      </c>
      <c r="D3769" s="47"/>
      <c r="E3769" s="22" t="s">
        <v>3949</v>
      </c>
      <c r="F3769" s="22" t="s">
        <v>1808</v>
      </c>
      <c r="G3769" s="23">
        <v>2007.0</v>
      </c>
      <c r="H3769" s="22" t="s">
        <v>658</v>
      </c>
      <c r="I3769" s="24" t="s">
        <v>18141</v>
      </c>
      <c r="J3769" s="22" t="s">
        <v>253</v>
      </c>
      <c r="K3769" s="22"/>
      <c r="L3769" s="36">
        <v>901.0</v>
      </c>
      <c r="M3769" s="36">
        <v>10.0</v>
      </c>
      <c r="N3769" s="36"/>
      <c r="O3769" s="36"/>
      <c r="P3769" s="37"/>
      <c r="Q3769" s="275" t="s">
        <v>18142</v>
      </c>
      <c r="R3769" s="36">
        <v>600.0</v>
      </c>
      <c r="S3769" s="36">
        <v>11.0</v>
      </c>
      <c r="T3769" s="28" t="s">
        <v>18143</v>
      </c>
      <c r="U3769" s="153" t="str">
        <f>HYPERLINK("https://www.ncbi.nlm.nih.gov/pubmed/17508846","PubMed")</f>
        <v>PubMed</v>
      </c>
      <c r="V3769" s="30"/>
      <c r="W3769" s="49"/>
      <c r="X3769" s="49"/>
      <c r="Y3769" s="35"/>
      <c r="Z3769" s="35"/>
      <c r="AA3769" s="35"/>
      <c r="AB3769" s="35"/>
      <c r="AC3769" s="35"/>
      <c r="AD3769" s="35"/>
      <c r="AE3769" s="35"/>
      <c r="AF3769" s="35"/>
      <c r="AG3769" s="35"/>
      <c r="AH3769" s="35"/>
      <c r="AI3769" s="35"/>
      <c r="AJ3769" s="35"/>
      <c r="AK3769" s="35"/>
      <c r="AL3769" s="35"/>
    </row>
    <row r="3770">
      <c r="A3770" s="1"/>
      <c r="B3770" s="19" t="s">
        <v>17536</v>
      </c>
      <c r="C3770" s="20" t="s">
        <v>18144</v>
      </c>
      <c r="D3770" s="47"/>
      <c r="E3770" s="22" t="s">
        <v>13650</v>
      </c>
      <c r="F3770" s="22" t="s">
        <v>1416</v>
      </c>
      <c r="G3770" s="23">
        <v>2018.0</v>
      </c>
      <c r="H3770" s="22" t="s">
        <v>292</v>
      </c>
      <c r="I3770" s="24" t="s">
        <v>18145</v>
      </c>
      <c r="J3770" s="22" t="s">
        <v>18146</v>
      </c>
      <c r="K3770" s="22"/>
      <c r="L3770" s="36">
        <v>830.0</v>
      </c>
      <c r="M3770" s="36"/>
      <c r="N3770" s="36"/>
      <c r="O3770" s="36"/>
      <c r="P3770" s="37" t="s">
        <v>17446</v>
      </c>
      <c r="Q3770" s="275"/>
      <c r="R3770" s="36"/>
      <c r="S3770" s="36" t="s">
        <v>18147</v>
      </c>
      <c r="T3770" s="28" t="s">
        <v>18148</v>
      </c>
      <c r="U3770" s="38" t="str">
        <f>HYPERLINK("https://www.ncbi.nlm.nih.gov/pubmed/29795972","PubMed")</f>
        <v>PubMed</v>
      </c>
      <c r="V3770" s="30"/>
      <c r="W3770" s="49"/>
      <c r="X3770" s="49"/>
      <c r="Y3770" s="35"/>
      <c r="Z3770" s="35"/>
      <c r="AA3770" s="35"/>
      <c r="AB3770" s="35"/>
      <c r="AC3770" s="35"/>
      <c r="AD3770" s="35"/>
      <c r="AE3770" s="35"/>
      <c r="AF3770" s="35"/>
      <c r="AG3770" s="35"/>
      <c r="AH3770" s="35"/>
      <c r="AI3770" s="35"/>
      <c r="AJ3770" s="35"/>
      <c r="AK3770" s="35"/>
      <c r="AL3770" s="35"/>
    </row>
    <row r="3771">
      <c r="A3771" s="40"/>
      <c r="B3771" s="19" t="s">
        <v>17536</v>
      </c>
      <c r="C3771" s="20" t="s">
        <v>18149</v>
      </c>
      <c r="D3771" s="47"/>
      <c r="E3771" s="22" t="s">
        <v>18150</v>
      </c>
      <c r="F3771" s="22" t="s">
        <v>18151</v>
      </c>
      <c r="G3771" s="23">
        <v>2013.0</v>
      </c>
      <c r="H3771" s="22" t="s">
        <v>147</v>
      </c>
      <c r="I3771" s="24" t="s">
        <v>18152</v>
      </c>
      <c r="J3771" s="22" t="s">
        <v>18153</v>
      </c>
      <c r="K3771" s="22" t="s">
        <v>18154</v>
      </c>
      <c r="L3771" s="36" t="s">
        <v>18155</v>
      </c>
      <c r="M3771" s="36"/>
      <c r="N3771" s="36"/>
      <c r="O3771" s="36"/>
      <c r="P3771" s="37" t="s">
        <v>82</v>
      </c>
      <c r="Q3771" s="275"/>
      <c r="R3771" s="36" t="s">
        <v>18156</v>
      </c>
      <c r="S3771" s="36">
        <v>1.0</v>
      </c>
      <c r="T3771" s="41" t="s">
        <v>18157</v>
      </c>
      <c r="U3771" s="153" t="str">
        <f>HYPERLINK("https://www.ncbi.nlm.nih.gov/pubmed/25606302","PubMed")</f>
        <v>PubMed</v>
      </c>
      <c r="V3771" s="30"/>
      <c r="W3771" s="49"/>
      <c r="X3771" s="49"/>
      <c r="Y3771" s="35"/>
      <c r="Z3771" s="35"/>
      <c r="AA3771" s="35"/>
      <c r="AB3771" s="35"/>
      <c r="AC3771" s="35"/>
      <c r="AD3771" s="35"/>
      <c r="AE3771" s="35"/>
      <c r="AF3771" s="35"/>
      <c r="AG3771" s="35"/>
      <c r="AH3771" s="35"/>
      <c r="AI3771" s="35"/>
      <c r="AJ3771" s="35"/>
      <c r="AK3771" s="35"/>
      <c r="AL3771" s="35"/>
    </row>
    <row r="3772">
      <c r="A3772" s="1"/>
      <c r="B3772" s="19" t="s">
        <v>17536</v>
      </c>
      <c r="C3772" s="20" t="s">
        <v>18149</v>
      </c>
      <c r="D3772" s="47"/>
      <c r="E3772" s="22" t="s">
        <v>18158</v>
      </c>
      <c r="F3772" s="22" t="s">
        <v>16732</v>
      </c>
      <c r="G3772" s="23">
        <v>2000.0</v>
      </c>
      <c r="H3772" s="22" t="s">
        <v>53</v>
      </c>
      <c r="I3772" s="24" t="s">
        <v>18159</v>
      </c>
      <c r="J3772" s="22" t="s">
        <v>18153</v>
      </c>
      <c r="K3772" s="22"/>
      <c r="L3772" s="36">
        <v>820.0</v>
      </c>
      <c r="M3772" s="36" t="s">
        <v>18160</v>
      </c>
      <c r="N3772" s="36"/>
      <c r="O3772" s="36" t="s">
        <v>18161</v>
      </c>
      <c r="P3772" s="37" t="s">
        <v>18162</v>
      </c>
      <c r="Q3772" s="275"/>
      <c r="R3772" s="36"/>
      <c r="S3772" s="36">
        <v>1.0</v>
      </c>
      <c r="T3772" s="41" t="s">
        <v>18163</v>
      </c>
      <c r="U3772" s="153" t="str">
        <f>HYPERLINK("https://www.ncbi.nlm.nih.gov/pubmed/10861704","PubMed")</f>
        <v>PubMed</v>
      </c>
      <c r="V3772" s="30"/>
      <c r="W3772" s="49"/>
      <c r="X3772" s="49"/>
      <c r="Y3772" s="35"/>
      <c r="Z3772" s="35"/>
      <c r="AA3772" s="35"/>
      <c r="AB3772" s="35"/>
      <c r="AC3772" s="35"/>
      <c r="AD3772" s="35"/>
      <c r="AE3772" s="35"/>
      <c r="AF3772" s="35"/>
      <c r="AG3772" s="35"/>
      <c r="AH3772" s="35"/>
      <c r="AI3772" s="35"/>
      <c r="AJ3772" s="35"/>
      <c r="AK3772" s="35"/>
      <c r="AL3772" s="35"/>
    </row>
    <row r="3773">
      <c r="A3773" s="1"/>
      <c r="B3773" s="75" t="s">
        <v>17536</v>
      </c>
      <c r="C3773" s="77" t="s">
        <v>18164</v>
      </c>
      <c r="D3773" s="47"/>
      <c r="E3773" s="22" t="s">
        <v>18165</v>
      </c>
      <c r="F3773" s="22" t="s">
        <v>7177</v>
      </c>
      <c r="G3773" s="23">
        <v>2023.0</v>
      </c>
      <c r="H3773" s="22" t="s">
        <v>348</v>
      </c>
      <c r="I3773" s="24" t="s">
        <v>18166</v>
      </c>
      <c r="J3773" s="22" t="s">
        <v>55</v>
      </c>
      <c r="K3773" s="22"/>
      <c r="L3773" s="36">
        <v>780.0</v>
      </c>
      <c r="M3773" s="36"/>
      <c r="N3773" s="36"/>
      <c r="O3773" s="36"/>
      <c r="P3773" s="37" t="s">
        <v>5401</v>
      </c>
      <c r="Q3773" s="275"/>
      <c r="R3773" s="36"/>
      <c r="S3773" s="36"/>
      <c r="T3773" s="28" t="s">
        <v>18167</v>
      </c>
      <c r="U3773" s="29" t="s">
        <v>61</v>
      </c>
      <c r="V3773" s="30"/>
      <c r="W3773" s="49"/>
      <c r="X3773" s="49"/>
      <c r="Y3773" s="35"/>
      <c r="Z3773" s="35"/>
      <c r="AA3773" s="35"/>
      <c r="AB3773" s="35"/>
      <c r="AC3773" s="35"/>
      <c r="AD3773" s="35"/>
      <c r="AE3773" s="35"/>
      <c r="AF3773" s="35"/>
      <c r="AG3773" s="35"/>
      <c r="AH3773" s="35"/>
      <c r="AI3773" s="35"/>
      <c r="AJ3773" s="35"/>
      <c r="AK3773" s="35"/>
      <c r="AL3773" s="35"/>
    </row>
    <row r="3774">
      <c r="A3774" s="1"/>
      <c r="B3774" s="19" t="s">
        <v>17536</v>
      </c>
      <c r="C3774" s="20" t="s">
        <v>18164</v>
      </c>
      <c r="D3774" s="47"/>
      <c r="E3774" s="22" t="s">
        <v>13953</v>
      </c>
      <c r="F3774" s="22" t="s">
        <v>18168</v>
      </c>
      <c r="G3774" s="23">
        <v>2022.0</v>
      </c>
      <c r="H3774" s="22" t="s">
        <v>3950</v>
      </c>
      <c r="I3774" s="24" t="s">
        <v>18169</v>
      </c>
      <c r="J3774" s="22" t="s">
        <v>55</v>
      </c>
      <c r="K3774" s="22" t="s">
        <v>653</v>
      </c>
      <c r="L3774" s="36" t="s">
        <v>654</v>
      </c>
      <c r="M3774" s="36" t="s">
        <v>18170</v>
      </c>
      <c r="N3774" s="36"/>
      <c r="O3774" s="36" t="s">
        <v>18171</v>
      </c>
      <c r="P3774" s="37"/>
      <c r="Q3774" s="275"/>
      <c r="R3774" s="36"/>
      <c r="S3774" s="36"/>
      <c r="T3774" s="28" t="s">
        <v>18172</v>
      </c>
      <c r="U3774" s="38" t="s">
        <v>61</v>
      </c>
      <c r="V3774" s="30"/>
      <c r="W3774" s="49"/>
      <c r="X3774" s="49"/>
      <c r="Y3774" s="35"/>
      <c r="Z3774" s="35"/>
      <c r="AA3774" s="35"/>
      <c r="AB3774" s="35"/>
      <c r="AC3774" s="35"/>
      <c r="AD3774" s="35"/>
      <c r="AE3774" s="35"/>
      <c r="AF3774" s="35"/>
      <c r="AG3774" s="35"/>
      <c r="AH3774" s="35"/>
      <c r="AI3774" s="35"/>
      <c r="AJ3774" s="35"/>
      <c r="AK3774" s="35"/>
      <c r="AL3774" s="35"/>
    </row>
    <row r="3775">
      <c r="A3775" s="1"/>
      <c r="B3775" s="19" t="s">
        <v>17536</v>
      </c>
      <c r="C3775" s="20" t="s">
        <v>18164</v>
      </c>
      <c r="D3775" s="47"/>
      <c r="E3775" s="22" t="s">
        <v>18173</v>
      </c>
      <c r="F3775" s="22" t="s">
        <v>993</v>
      </c>
      <c r="G3775" s="23">
        <v>2022.0</v>
      </c>
      <c r="H3775" s="22" t="s">
        <v>91</v>
      </c>
      <c r="I3775" s="24" t="s">
        <v>18174</v>
      </c>
      <c r="J3775" s="22" t="s">
        <v>55</v>
      </c>
      <c r="K3775" s="22" t="s">
        <v>294</v>
      </c>
      <c r="L3775" s="36" t="s">
        <v>5357</v>
      </c>
      <c r="M3775" s="36">
        <v>100.0</v>
      </c>
      <c r="N3775" s="36"/>
      <c r="O3775" s="36"/>
      <c r="P3775" s="37" t="s">
        <v>18175</v>
      </c>
      <c r="Q3775" s="275"/>
      <c r="R3775" s="36">
        <v>40.0</v>
      </c>
      <c r="S3775" s="36"/>
      <c r="T3775" s="28" t="s">
        <v>18176</v>
      </c>
      <c r="U3775" s="29" t="s">
        <v>61</v>
      </c>
      <c r="V3775" s="30"/>
      <c r="W3775" s="49"/>
      <c r="X3775" s="49"/>
      <c r="Y3775" s="35"/>
      <c r="Z3775" s="35"/>
      <c r="AA3775" s="35"/>
      <c r="AB3775" s="35"/>
      <c r="AC3775" s="35"/>
      <c r="AD3775" s="35"/>
      <c r="AE3775" s="35"/>
      <c r="AF3775" s="35"/>
      <c r="AG3775" s="35"/>
      <c r="AH3775" s="35"/>
      <c r="AI3775" s="35"/>
      <c r="AJ3775" s="35"/>
      <c r="AK3775" s="35"/>
      <c r="AL3775" s="35"/>
    </row>
    <row r="3776">
      <c r="A3776" s="1"/>
      <c r="B3776" s="19" t="s">
        <v>17536</v>
      </c>
      <c r="C3776" s="20" t="s">
        <v>18164</v>
      </c>
      <c r="D3776" s="47"/>
      <c r="E3776" s="22" t="s">
        <v>10573</v>
      </c>
      <c r="F3776" s="22" t="s">
        <v>14931</v>
      </c>
      <c r="G3776" s="23">
        <v>2020.0</v>
      </c>
      <c r="H3776" s="22" t="s">
        <v>91</v>
      </c>
      <c r="I3776" s="24" t="s">
        <v>18177</v>
      </c>
      <c r="J3776" s="22" t="s">
        <v>44</v>
      </c>
      <c r="K3776" s="22" t="s">
        <v>18178</v>
      </c>
      <c r="L3776" s="36">
        <v>660.0</v>
      </c>
      <c r="M3776" s="36">
        <v>30.0</v>
      </c>
      <c r="N3776" s="36"/>
      <c r="O3776" s="36" t="s">
        <v>1468</v>
      </c>
      <c r="P3776" s="37" t="s">
        <v>95</v>
      </c>
      <c r="Q3776" s="275" t="s">
        <v>14936</v>
      </c>
      <c r="R3776" s="36"/>
      <c r="S3776" s="36">
        <v>28.0</v>
      </c>
      <c r="T3776" s="42" t="s">
        <v>18179</v>
      </c>
      <c r="U3776" s="29" t="s">
        <v>61</v>
      </c>
      <c r="V3776" s="30"/>
      <c r="W3776" s="49"/>
      <c r="X3776" s="49"/>
      <c r="Y3776" s="35"/>
      <c r="Z3776" s="35"/>
      <c r="AA3776" s="35"/>
      <c r="AB3776" s="35"/>
      <c r="AC3776" s="35"/>
      <c r="AD3776" s="35"/>
      <c r="AE3776" s="35"/>
      <c r="AF3776" s="35"/>
      <c r="AG3776" s="35"/>
      <c r="AH3776" s="35"/>
      <c r="AI3776" s="35"/>
      <c r="AJ3776" s="35"/>
      <c r="AK3776" s="35"/>
      <c r="AL3776" s="35"/>
    </row>
    <row r="3777">
      <c r="A3777" s="1"/>
      <c r="B3777" s="19" t="s">
        <v>17536</v>
      </c>
      <c r="C3777" s="20" t="s">
        <v>18164</v>
      </c>
      <c r="D3777" s="47"/>
      <c r="E3777" s="22" t="s">
        <v>18180</v>
      </c>
      <c r="F3777" s="22" t="s">
        <v>12890</v>
      </c>
      <c r="G3777" s="23">
        <v>2020.0</v>
      </c>
      <c r="H3777" s="22" t="s">
        <v>147</v>
      </c>
      <c r="I3777" s="24" t="s">
        <v>18181</v>
      </c>
      <c r="J3777" s="22"/>
      <c r="K3777" s="22"/>
      <c r="L3777" s="36">
        <v>830.0</v>
      </c>
      <c r="M3777" s="36">
        <v>30.0</v>
      </c>
      <c r="N3777" s="36" t="s">
        <v>892</v>
      </c>
      <c r="O3777" s="36"/>
      <c r="P3777" s="37" t="s">
        <v>480</v>
      </c>
      <c r="Q3777" s="275"/>
      <c r="R3777" s="36"/>
      <c r="S3777" s="36"/>
      <c r="T3777" s="42" t="s">
        <v>18182</v>
      </c>
      <c r="U3777" s="38" t="str">
        <f>HYPERLINK("https://www.ncbi.nlm.nih.gov/pubmed/32099628","PubMed")</f>
        <v>PubMed</v>
      </c>
      <c r="V3777" s="30"/>
      <c r="W3777" s="49"/>
      <c r="X3777" s="49"/>
      <c r="Y3777" s="35"/>
      <c r="Z3777" s="35"/>
      <c r="AA3777" s="35"/>
      <c r="AB3777" s="35"/>
      <c r="AC3777" s="35"/>
      <c r="AD3777" s="35"/>
      <c r="AE3777" s="35"/>
      <c r="AF3777" s="35"/>
      <c r="AG3777" s="35"/>
      <c r="AH3777" s="35"/>
      <c r="AI3777" s="35"/>
      <c r="AJ3777" s="35"/>
      <c r="AK3777" s="35"/>
      <c r="AL3777" s="35"/>
    </row>
    <row r="3778">
      <c r="A3778" s="1"/>
      <c r="B3778" s="19" t="s">
        <v>17536</v>
      </c>
      <c r="C3778" s="20" t="s">
        <v>18164</v>
      </c>
      <c r="D3778" s="47"/>
      <c r="E3778" s="22" t="s">
        <v>1948</v>
      </c>
      <c r="F3778" s="22" t="s">
        <v>1949</v>
      </c>
      <c r="G3778" s="23">
        <v>2020.0</v>
      </c>
      <c r="H3778" s="22" t="s">
        <v>91</v>
      </c>
      <c r="I3778" s="24" t="s">
        <v>18183</v>
      </c>
      <c r="J3778" s="22" t="s">
        <v>55</v>
      </c>
      <c r="K3778" s="22" t="s">
        <v>1112</v>
      </c>
      <c r="L3778" s="36">
        <v>1064.0</v>
      </c>
      <c r="M3778" s="36">
        <v>10500.0</v>
      </c>
      <c r="N3778" s="36"/>
      <c r="O3778" s="36"/>
      <c r="P3778" s="37" t="s">
        <v>18184</v>
      </c>
      <c r="Q3778" s="275"/>
      <c r="R3778" s="36" t="s">
        <v>18185</v>
      </c>
      <c r="S3778" s="36">
        <v>15.0</v>
      </c>
      <c r="T3778" s="28" t="s">
        <v>18186</v>
      </c>
      <c r="U3778" s="38" t="str">
        <f>HYPERLINK("https://www.ncbi.nlm.nih.gov/pubmed/32193821","PubMed")</f>
        <v>PubMed</v>
      </c>
      <c r="V3778" s="30"/>
      <c r="W3778" s="49"/>
      <c r="X3778" s="49"/>
      <c r="Y3778" s="35"/>
      <c r="Z3778" s="35"/>
      <c r="AA3778" s="35"/>
      <c r="AB3778" s="35"/>
      <c r="AC3778" s="35"/>
      <c r="AD3778" s="35"/>
      <c r="AE3778" s="35"/>
      <c r="AF3778" s="35"/>
      <c r="AG3778" s="35"/>
      <c r="AH3778" s="35"/>
      <c r="AI3778" s="35"/>
      <c r="AJ3778" s="35"/>
      <c r="AK3778" s="35"/>
      <c r="AL3778" s="35"/>
    </row>
    <row r="3779">
      <c r="A3779" s="1"/>
      <c r="B3779" s="19" t="s">
        <v>17536</v>
      </c>
      <c r="C3779" s="20" t="s">
        <v>18164</v>
      </c>
      <c r="D3779" s="47"/>
      <c r="E3779" s="22" t="s">
        <v>8908</v>
      </c>
      <c r="F3779" s="22" t="s">
        <v>3351</v>
      </c>
      <c r="G3779" s="23">
        <v>2020.0</v>
      </c>
      <c r="H3779" s="22" t="s">
        <v>13786</v>
      </c>
      <c r="I3779" s="24" t="s">
        <v>18187</v>
      </c>
      <c r="J3779" s="22" t="s">
        <v>55</v>
      </c>
      <c r="K3779" s="22" t="s">
        <v>294</v>
      </c>
      <c r="L3779" s="36" t="s">
        <v>5858</v>
      </c>
      <c r="M3779" s="36"/>
      <c r="N3779" s="36"/>
      <c r="O3779" s="36"/>
      <c r="P3779" s="37"/>
      <c r="Q3779" s="275"/>
      <c r="R3779" s="36"/>
      <c r="S3779" s="36"/>
      <c r="T3779" s="41" t="s">
        <v>18188</v>
      </c>
      <c r="U3779" s="29" t="s">
        <v>61</v>
      </c>
      <c r="V3779" s="30"/>
      <c r="W3779" s="49"/>
      <c r="X3779" s="49"/>
      <c r="Y3779" s="35"/>
      <c r="Z3779" s="35"/>
      <c r="AA3779" s="35"/>
      <c r="AB3779" s="35"/>
      <c r="AC3779" s="35"/>
      <c r="AD3779" s="35"/>
      <c r="AE3779" s="35"/>
      <c r="AF3779" s="35"/>
      <c r="AG3779" s="35"/>
      <c r="AH3779" s="35"/>
      <c r="AI3779" s="35"/>
      <c r="AJ3779" s="35"/>
      <c r="AK3779" s="35"/>
      <c r="AL3779" s="35"/>
    </row>
    <row r="3780">
      <c r="A3780" s="1"/>
      <c r="B3780" s="19" t="s">
        <v>17536</v>
      </c>
      <c r="C3780" s="20" t="s">
        <v>18164</v>
      </c>
      <c r="D3780" s="47"/>
      <c r="E3780" s="22" t="s">
        <v>18189</v>
      </c>
      <c r="F3780" s="22" t="s">
        <v>1808</v>
      </c>
      <c r="G3780" s="23">
        <v>2019.0</v>
      </c>
      <c r="H3780" s="22" t="s">
        <v>18190</v>
      </c>
      <c r="I3780" s="24" t="s">
        <v>18191</v>
      </c>
      <c r="J3780" s="22" t="s">
        <v>253</v>
      </c>
      <c r="K3780" s="22"/>
      <c r="L3780" s="36">
        <v>633.0</v>
      </c>
      <c r="M3780" s="36" t="s">
        <v>18192</v>
      </c>
      <c r="N3780" s="36"/>
      <c r="O3780" s="36"/>
      <c r="P3780" s="37" t="s">
        <v>8310</v>
      </c>
      <c r="Q3780" s="275" t="s">
        <v>18193</v>
      </c>
      <c r="R3780" s="36">
        <v>240.0</v>
      </c>
      <c r="S3780" s="36">
        <v>10.0</v>
      </c>
      <c r="T3780" s="28" t="s">
        <v>18194</v>
      </c>
      <c r="U3780" s="38" t="str">
        <f>HYPERLINK("https://www.ncbi.nlm.nih.gov/pubmed/30679899","PubMed")</f>
        <v>PubMed</v>
      </c>
      <c r="V3780" s="30"/>
      <c r="W3780" s="49"/>
      <c r="X3780" s="49"/>
      <c r="Y3780" s="35"/>
      <c r="Z3780" s="35"/>
      <c r="AA3780" s="35"/>
      <c r="AB3780" s="35"/>
      <c r="AC3780" s="35"/>
      <c r="AD3780" s="35"/>
      <c r="AE3780" s="35"/>
      <c r="AF3780" s="35"/>
      <c r="AG3780" s="35"/>
      <c r="AH3780" s="35"/>
      <c r="AI3780" s="35"/>
      <c r="AJ3780" s="35"/>
      <c r="AK3780" s="35"/>
      <c r="AL3780" s="35"/>
    </row>
    <row r="3781">
      <c r="A3781" s="1"/>
      <c r="B3781" s="19" t="s">
        <v>17536</v>
      </c>
      <c r="C3781" s="20" t="s">
        <v>18164</v>
      </c>
      <c r="D3781" s="47"/>
      <c r="E3781" s="22" t="s">
        <v>18165</v>
      </c>
      <c r="F3781" s="22" t="s">
        <v>7177</v>
      </c>
      <c r="G3781" s="23">
        <v>2019.0</v>
      </c>
      <c r="H3781" s="22" t="s">
        <v>627</v>
      </c>
      <c r="I3781" s="24" t="s">
        <v>18195</v>
      </c>
      <c r="J3781" s="22" t="s">
        <v>55</v>
      </c>
      <c r="K3781" s="22"/>
      <c r="L3781" s="36">
        <v>780.0</v>
      </c>
      <c r="M3781" s="36">
        <v>30.0</v>
      </c>
      <c r="N3781" s="36"/>
      <c r="O3781" s="36"/>
      <c r="P3781" s="37" t="s">
        <v>5401</v>
      </c>
      <c r="Q3781" s="275"/>
      <c r="R3781" s="36"/>
      <c r="S3781" s="36"/>
      <c r="T3781" s="42" t="s">
        <v>18196</v>
      </c>
      <c r="U3781" s="38" t="str">
        <f>HYPERLINK("https://www.ncbi.nlm.nih.gov/pubmed/30625210","PubMed")</f>
        <v>PubMed</v>
      </c>
      <c r="V3781" s="30"/>
      <c r="W3781" s="49"/>
      <c r="X3781" s="49"/>
      <c r="Y3781" s="35"/>
      <c r="Z3781" s="35"/>
      <c r="AA3781" s="35"/>
      <c r="AB3781" s="35"/>
      <c r="AC3781" s="35"/>
      <c r="AD3781" s="35"/>
      <c r="AE3781" s="35"/>
      <c r="AF3781" s="35"/>
      <c r="AG3781" s="35"/>
      <c r="AH3781" s="35"/>
      <c r="AI3781" s="35"/>
      <c r="AJ3781" s="35"/>
      <c r="AK3781" s="35"/>
      <c r="AL3781" s="35"/>
    </row>
    <row r="3782">
      <c r="A3782" s="1"/>
      <c r="B3782" s="19" t="s">
        <v>17536</v>
      </c>
      <c r="C3782" s="20" t="s">
        <v>18164</v>
      </c>
      <c r="D3782" s="47"/>
      <c r="E3782" s="22" t="s">
        <v>16942</v>
      </c>
      <c r="F3782" s="22" t="s">
        <v>18168</v>
      </c>
      <c r="G3782" s="23">
        <v>2018.0</v>
      </c>
      <c r="H3782" s="22" t="s">
        <v>4975</v>
      </c>
      <c r="I3782" s="24" t="s">
        <v>18197</v>
      </c>
      <c r="J3782" s="22" t="s">
        <v>55</v>
      </c>
      <c r="K3782" s="22" t="s">
        <v>18198</v>
      </c>
      <c r="L3782" s="36">
        <v>780.0</v>
      </c>
      <c r="M3782" s="36">
        <v>40.0</v>
      </c>
      <c r="N3782" s="36" t="s">
        <v>2554</v>
      </c>
      <c r="O3782" s="129">
        <v>43134.0</v>
      </c>
      <c r="P3782" s="37" t="s">
        <v>18199</v>
      </c>
      <c r="Q3782" s="36" t="s">
        <v>830</v>
      </c>
      <c r="R3782" s="36" t="s">
        <v>18200</v>
      </c>
      <c r="S3782" s="36">
        <v>20.0</v>
      </c>
      <c r="T3782" s="42" t="s">
        <v>18201</v>
      </c>
      <c r="U3782" s="38" t="str">
        <f>HYPERLINK("https://www.ncbi.nlm.nih.gov/pubmed/30411797","PubMed")</f>
        <v>PubMed</v>
      </c>
      <c r="V3782" s="30"/>
      <c r="W3782" s="49"/>
      <c r="X3782" s="49"/>
      <c r="Y3782" s="35"/>
      <c r="Z3782" s="35"/>
      <c r="AA3782" s="35"/>
      <c r="AB3782" s="35"/>
      <c r="AC3782" s="35"/>
      <c r="AD3782" s="35"/>
      <c r="AE3782" s="35"/>
      <c r="AF3782" s="35"/>
      <c r="AG3782" s="35"/>
      <c r="AH3782" s="35"/>
      <c r="AI3782" s="35"/>
      <c r="AJ3782" s="35"/>
      <c r="AK3782" s="35"/>
      <c r="AL3782" s="35"/>
    </row>
    <row r="3783">
      <c r="A3783" s="1"/>
      <c r="B3783" s="19" t="s">
        <v>17536</v>
      </c>
      <c r="C3783" s="20" t="s">
        <v>18164</v>
      </c>
      <c r="D3783" s="47"/>
      <c r="E3783" s="22" t="s">
        <v>18202</v>
      </c>
      <c r="F3783" s="22" t="s">
        <v>7657</v>
      </c>
      <c r="G3783" s="23">
        <v>2018.0</v>
      </c>
      <c r="H3783" s="22" t="s">
        <v>91</v>
      </c>
      <c r="I3783" s="24" t="s">
        <v>18203</v>
      </c>
      <c r="J3783" s="22" t="s">
        <v>55</v>
      </c>
      <c r="K3783" s="22" t="s">
        <v>294</v>
      </c>
      <c r="L3783" s="36" t="s">
        <v>5357</v>
      </c>
      <c r="M3783" s="36" t="s">
        <v>403</v>
      </c>
      <c r="N3783" s="36"/>
      <c r="O3783" s="36"/>
      <c r="P3783" s="37" t="s">
        <v>18204</v>
      </c>
      <c r="Q3783" s="275"/>
      <c r="R3783" s="36" t="s">
        <v>18205</v>
      </c>
      <c r="S3783" s="36"/>
      <c r="T3783" s="28" t="s">
        <v>18206</v>
      </c>
      <c r="U3783" s="38" t="str">
        <f>HYPERLINK("https://www.ncbi.nlm.nih.gov/pubmed/30244400","PubMed")</f>
        <v>PubMed</v>
      </c>
      <c r="V3783" s="30"/>
      <c r="W3783" s="49"/>
      <c r="X3783" s="49"/>
      <c r="Y3783" s="35"/>
      <c r="Z3783" s="35"/>
      <c r="AA3783" s="35"/>
      <c r="AB3783" s="35"/>
      <c r="AC3783" s="35"/>
      <c r="AD3783" s="35"/>
      <c r="AE3783" s="35"/>
      <c r="AF3783" s="35"/>
      <c r="AG3783" s="35"/>
      <c r="AH3783" s="35"/>
      <c r="AI3783" s="35"/>
      <c r="AJ3783" s="35"/>
      <c r="AK3783" s="35"/>
      <c r="AL3783" s="35"/>
    </row>
    <row r="3784">
      <c r="A3784" s="1"/>
      <c r="B3784" s="19" t="s">
        <v>17536</v>
      </c>
      <c r="C3784" s="20" t="s">
        <v>18164</v>
      </c>
      <c r="D3784" s="47"/>
      <c r="E3784" s="22" t="s">
        <v>10573</v>
      </c>
      <c r="F3784" s="22" t="s">
        <v>14931</v>
      </c>
      <c r="G3784" s="23">
        <v>2018.0</v>
      </c>
      <c r="H3784" s="22" t="s">
        <v>91</v>
      </c>
      <c r="I3784" s="24" t="s">
        <v>18207</v>
      </c>
      <c r="J3784" s="22" t="s">
        <v>44</v>
      </c>
      <c r="K3784" s="22" t="s">
        <v>12907</v>
      </c>
      <c r="L3784" s="36">
        <v>660.0</v>
      </c>
      <c r="M3784" s="36"/>
      <c r="N3784" s="36"/>
      <c r="O3784" s="36" t="s">
        <v>1468</v>
      </c>
      <c r="P3784" s="37" t="s">
        <v>95</v>
      </c>
      <c r="Q3784" s="275"/>
      <c r="R3784" s="36">
        <v>20.0</v>
      </c>
      <c r="S3784" s="36">
        <v>28.0</v>
      </c>
      <c r="T3784" s="28" t="s">
        <v>18208</v>
      </c>
      <c r="U3784" s="38" t="str">
        <f>HYPERLINK("https://www.ncbi.nlm.nih.gov/pubmed/29611064","PubMed")</f>
        <v>PubMed</v>
      </c>
      <c r="V3784" s="30"/>
      <c r="W3784" s="49"/>
      <c r="X3784" s="49"/>
      <c r="Y3784" s="35"/>
      <c r="Z3784" s="35"/>
      <c r="AA3784" s="35"/>
      <c r="AB3784" s="35"/>
      <c r="AC3784" s="35"/>
      <c r="AD3784" s="35"/>
      <c r="AE3784" s="35"/>
      <c r="AF3784" s="35"/>
      <c r="AG3784" s="35"/>
      <c r="AH3784" s="35"/>
      <c r="AI3784" s="35"/>
      <c r="AJ3784" s="35"/>
      <c r="AK3784" s="35"/>
      <c r="AL3784" s="35"/>
    </row>
    <row r="3785">
      <c r="A3785" s="1"/>
      <c r="B3785" s="19" t="s">
        <v>17536</v>
      </c>
      <c r="C3785" s="20" t="s">
        <v>18164</v>
      </c>
      <c r="D3785" s="47"/>
      <c r="E3785" s="22" t="s">
        <v>18209</v>
      </c>
      <c r="F3785" s="22" t="s">
        <v>323</v>
      </c>
      <c r="G3785" s="23">
        <v>2017.0</v>
      </c>
      <c r="H3785" s="22" t="s">
        <v>147</v>
      </c>
      <c r="I3785" s="24" t="s">
        <v>18210</v>
      </c>
      <c r="J3785" s="22" t="s">
        <v>55</v>
      </c>
      <c r="K3785" s="22"/>
      <c r="L3785" s="36">
        <v>780.0</v>
      </c>
      <c r="M3785" s="36"/>
      <c r="N3785" s="36"/>
      <c r="O3785" s="36"/>
      <c r="P3785" s="37"/>
      <c r="Q3785" s="275"/>
      <c r="R3785" s="36"/>
      <c r="S3785" s="36"/>
      <c r="T3785" s="54" t="s">
        <v>18211</v>
      </c>
      <c r="U3785" s="38" t="str">
        <f>HYPERLINK("https://www.ncbi.nlm.nih.gov/pubmed/29071033","PubMed")</f>
        <v>PubMed</v>
      </c>
      <c r="V3785" s="30"/>
      <c r="W3785" s="49"/>
      <c r="X3785" s="49"/>
      <c r="Y3785" s="35"/>
      <c r="Z3785" s="35"/>
      <c r="AA3785" s="35"/>
      <c r="AB3785" s="35"/>
      <c r="AC3785" s="35"/>
      <c r="AD3785" s="35"/>
      <c r="AE3785" s="35"/>
      <c r="AF3785" s="35"/>
      <c r="AG3785" s="35"/>
      <c r="AH3785" s="35"/>
      <c r="AI3785" s="35"/>
      <c r="AJ3785" s="35"/>
      <c r="AK3785" s="35"/>
      <c r="AL3785" s="35"/>
    </row>
    <row r="3786">
      <c r="A3786" s="1"/>
      <c r="B3786" s="19" t="s">
        <v>17536</v>
      </c>
      <c r="C3786" s="20" t="s">
        <v>18164</v>
      </c>
      <c r="D3786" s="47"/>
      <c r="E3786" s="22" t="s">
        <v>18212</v>
      </c>
      <c r="F3786" s="22" t="s">
        <v>358</v>
      </c>
      <c r="G3786" s="23" t="s">
        <v>90</v>
      </c>
      <c r="H3786" s="22" t="s">
        <v>91</v>
      </c>
      <c r="I3786" s="24" t="s">
        <v>18213</v>
      </c>
      <c r="J3786" s="22" t="s">
        <v>55</v>
      </c>
      <c r="K3786" s="22"/>
      <c r="L3786" s="36">
        <v>830.0</v>
      </c>
      <c r="M3786" s="36"/>
      <c r="N3786" s="36"/>
      <c r="O3786" s="36"/>
      <c r="P3786" s="37" t="s">
        <v>18214</v>
      </c>
      <c r="Q3786" s="275"/>
      <c r="R3786" s="36"/>
      <c r="S3786" s="36"/>
      <c r="T3786" s="54" t="s">
        <v>18215</v>
      </c>
      <c r="U3786" s="38" t="str">
        <f>HYPERLINK("https://www.ncbi.nlm.nih.gov/pubmed/28261743","PubMed")</f>
        <v>PubMed</v>
      </c>
      <c r="V3786" s="30"/>
      <c r="W3786" s="49"/>
      <c r="X3786" s="49"/>
      <c r="Y3786" s="35"/>
      <c r="Z3786" s="35"/>
      <c r="AA3786" s="35"/>
      <c r="AB3786" s="35"/>
      <c r="AC3786" s="35"/>
      <c r="AD3786" s="35"/>
      <c r="AE3786" s="35"/>
      <c r="AF3786" s="35"/>
      <c r="AG3786" s="35"/>
      <c r="AH3786" s="35"/>
      <c r="AI3786" s="35"/>
      <c r="AJ3786" s="35"/>
      <c r="AK3786" s="35"/>
      <c r="AL3786" s="35"/>
    </row>
    <row r="3787">
      <c r="A3787" s="1"/>
      <c r="B3787" s="19" t="s">
        <v>17536</v>
      </c>
      <c r="C3787" s="20" t="s">
        <v>18164</v>
      </c>
      <c r="D3787" s="47"/>
      <c r="E3787" s="22" t="s">
        <v>18216</v>
      </c>
      <c r="F3787" s="22" t="s">
        <v>358</v>
      </c>
      <c r="G3787" s="23" t="s">
        <v>90</v>
      </c>
      <c r="H3787" s="22" t="s">
        <v>91</v>
      </c>
      <c r="I3787" s="24" t="s">
        <v>18217</v>
      </c>
      <c r="J3787" s="22" t="s">
        <v>55</v>
      </c>
      <c r="K3787" s="22" t="s">
        <v>1827</v>
      </c>
      <c r="L3787" s="36">
        <v>780.0</v>
      </c>
      <c r="M3787" s="36">
        <v>40.0</v>
      </c>
      <c r="N3787" s="36"/>
      <c r="O3787" s="36"/>
      <c r="P3787" s="37" t="s">
        <v>18184</v>
      </c>
      <c r="Q3787" s="275" t="s">
        <v>830</v>
      </c>
      <c r="R3787" s="36"/>
      <c r="S3787" s="36"/>
      <c r="T3787" s="28" t="s">
        <v>18218</v>
      </c>
      <c r="U3787" s="38" t="str">
        <f>HYPERLINK("https://www.ncbi.nlm.nih.gov/pubmed/28063018","PubMed")</f>
        <v>PubMed</v>
      </c>
      <c r="V3787" s="30"/>
      <c r="W3787" s="49"/>
      <c r="X3787" s="49"/>
      <c r="Y3787" s="35"/>
      <c r="Z3787" s="35"/>
      <c r="AA3787" s="35"/>
      <c r="AB3787" s="35"/>
      <c r="AC3787" s="35"/>
      <c r="AD3787" s="35"/>
      <c r="AE3787" s="35"/>
      <c r="AF3787" s="35"/>
      <c r="AG3787" s="35"/>
      <c r="AH3787" s="35"/>
      <c r="AI3787" s="35"/>
      <c r="AJ3787" s="35"/>
      <c r="AK3787" s="35"/>
      <c r="AL3787" s="35"/>
    </row>
    <row r="3788">
      <c r="A3788" s="1"/>
      <c r="B3788" s="19" t="s">
        <v>17536</v>
      </c>
      <c r="C3788" s="20" t="s">
        <v>18164</v>
      </c>
      <c r="D3788" s="47"/>
      <c r="E3788" s="22" t="s">
        <v>18219</v>
      </c>
      <c r="F3788" s="22" t="s">
        <v>1508</v>
      </c>
      <c r="G3788" s="23">
        <v>2016.0</v>
      </c>
      <c r="H3788" s="22" t="s">
        <v>2015</v>
      </c>
      <c r="I3788" s="24" t="s">
        <v>18220</v>
      </c>
      <c r="J3788" s="22" t="s">
        <v>55</v>
      </c>
      <c r="K3788" s="22"/>
      <c r="L3788" s="36">
        <v>660.0</v>
      </c>
      <c r="M3788" s="36">
        <v>30.0</v>
      </c>
      <c r="N3788" s="36"/>
      <c r="O3788" s="36"/>
      <c r="P3788" s="37" t="s">
        <v>2395</v>
      </c>
      <c r="Q3788" s="275" t="s">
        <v>9358</v>
      </c>
      <c r="R3788" s="36">
        <v>240.0</v>
      </c>
      <c r="S3788" s="36">
        <v>7.0</v>
      </c>
      <c r="T3788" s="28" t="s">
        <v>18221</v>
      </c>
      <c r="U3788" s="38" t="str">
        <f>HYPERLINK("https://www.ncbi.nlm.nih.gov/pubmed/23468370","PubMed")</f>
        <v>PubMed</v>
      </c>
      <c r="V3788" s="30"/>
      <c r="W3788" s="49"/>
      <c r="X3788" s="49"/>
      <c r="Y3788" s="35"/>
      <c r="Z3788" s="35"/>
      <c r="AA3788" s="35"/>
      <c r="AB3788" s="35"/>
      <c r="AC3788" s="35"/>
      <c r="AD3788" s="35"/>
      <c r="AE3788" s="35"/>
      <c r="AF3788" s="35"/>
      <c r="AG3788" s="35"/>
      <c r="AH3788" s="35"/>
      <c r="AI3788" s="35"/>
      <c r="AJ3788" s="35"/>
      <c r="AK3788" s="35"/>
      <c r="AL3788" s="35"/>
    </row>
    <row r="3789">
      <c r="A3789" s="1"/>
      <c r="B3789" s="19" t="s">
        <v>17536</v>
      </c>
      <c r="C3789" s="20" t="s">
        <v>18164</v>
      </c>
      <c r="D3789" s="47"/>
      <c r="E3789" s="22" t="s">
        <v>18222</v>
      </c>
      <c r="F3789" s="22" t="s">
        <v>291</v>
      </c>
      <c r="G3789" s="23">
        <v>2016.0</v>
      </c>
      <c r="H3789" s="22" t="s">
        <v>658</v>
      </c>
      <c r="I3789" s="24" t="s">
        <v>18223</v>
      </c>
      <c r="J3789" s="22" t="s">
        <v>55</v>
      </c>
      <c r="K3789" s="22"/>
      <c r="L3789" s="36">
        <v>780.0</v>
      </c>
      <c r="M3789" s="36"/>
      <c r="N3789" s="36"/>
      <c r="O3789" s="36"/>
      <c r="P3789" s="37"/>
      <c r="Q3789" s="275"/>
      <c r="R3789" s="36"/>
      <c r="S3789" s="36"/>
      <c r="T3789" s="28" t="s">
        <v>18224</v>
      </c>
      <c r="U3789" s="38" t="str">
        <f>HYPERLINK("https://www.ncbi.nlm.nih.gov/pubmed/28001757","PubMed")</f>
        <v>PubMed</v>
      </c>
      <c r="V3789" s="30"/>
      <c r="W3789" s="49"/>
      <c r="X3789" s="49"/>
      <c r="Y3789" s="35"/>
      <c r="Z3789" s="35"/>
      <c r="AA3789" s="35"/>
      <c r="AB3789" s="35"/>
      <c r="AC3789" s="35"/>
      <c r="AD3789" s="35"/>
      <c r="AE3789" s="35"/>
      <c r="AF3789" s="35"/>
      <c r="AG3789" s="35"/>
      <c r="AH3789" s="35"/>
      <c r="AI3789" s="35"/>
      <c r="AJ3789" s="35"/>
      <c r="AK3789" s="35"/>
      <c r="AL3789" s="35"/>
    </row>
    <row r="3790">
      <c r="A3790" s="1"/>
      <c r="B3790" s="19" t="s">
        <v>17536</v>
      </c>
      <c r="C3790" s="20" t="s">
        <v>18164</v>
      </c>
      <c r="D3790" s="47"/>
      <c r="E3790" s="22" t="s">
        <v>18165</v>
      </c>
      <c r="F3790" s="22" t="s">
        <v>358</v>
      </c>
      <c r="G3790" s="23">
        <v>2015.0</v>
      </c>
      <c r="H3790" s="22" t="s">
        <v>18225</v>
      </c>
      <c r="I3790" s="24" t="s">
        <v>18226</v>
      </c>
      <c r="J3790" s="22" t="s">
        <v>55</v>
      </c>
      <c r="K3790" s="22" t="s">
        <v>18227</v>
      </c>
      <c r="L3790" s="36">
        <v>780.0</v>
      </c>
      <c r="M3790" s="36">
        <v>30.0</v>
      </c>
      <c r="N3790" s="36" t="s">
        <v>14021</v>
      </c>
      <c r="O3790" s="129">
        <v>42583.0</v>
      </c>
      <c r="P3790" s="37" t="s">
        <v>5401</v>
      </c>
      <c r="Q3790" s="275" t="s">
        <v>18228</v>
      </c>
      <c r="R3790" s="36">
        <v>60.0</v>
      </c>
      <c r="S3790" s="36">
        <v>6.0</v>
      </c>
      <c r="T3790" s="42" t="s">
        <v>18229</v>
      </c>
      <c r="U3790" s="38" t="str">
        <f>HYPERLINK("https://www.ncbi.nlm.nih.gov/pubmed/25619570","PubMed")</f>
        <v>PubMed</v>
      </c>
      <c r="V3790" s="30"/>
      <c r="W3790" s="49"/>
      <c r="X3790" s="49"/>
      <c r="Y3790" s="35"/>
      <c r="Z3790" s="35"/>
      <c r="AA3790" s="35"/>
      <c r="AB3790" s="35"/>
      <c r="AC3790" s="35"/>
      <c r="AD3790" s="35"/>
      <c r="AE3790" s="35"/>
      <c r="AF3790" s="35"/>
      <c r="AG3790" s="35"/>
      <c r="AH3790" s="35"/>
      <c r="AI3790" s="35"/>
      <c r="AJ3790" s="35"/>
      <c r="AK3790" s="35"/>
      <c r="AL3790" s="35"/>
    </row>
    <row r="3791">
      <c r="A3791" s="1"/>
      <c r="B3791" s="19" t="s">
        <v>17536</v>
      </c>
      <c r="C3791" s="20" t="s">
        <v>18164</v>
      </c>
      <c r="D3791" s="47"/>
      <c r="E3791" s="22" t="s">
        <v>14228</v>
      </c>
      <c r="F3791" s="22" t="s">
        <v>4724</v>
      </c>
      <c r="G3791" s="23">
        <v>2015.0</v>
      </c>
      <c r="H3791" s="22" t="s">
        <v>91</v>
      </c>
      <c r="I3791" s="24" t="s">
        <v>18230</v>
      </c>
      <c r="J3791" s="22" t="s">
        <v>55</v>
      </c>
      <c r="K3791" s="22"/>
      <c r="L3791" s="36">
        <v>685.0</v>
      </c>
      <c r="M3791" s="36">
        <v>15.0</v>
      </c>
      <c r="N3791" s="36"/>
      <c r="O3791" s="36"/>
      <c r="P3791" s="37" t="s">
        <v>969</v>
      </c>
      <c r="Q3791" s="275" t="s">
        <v>280</v>
      </c>
      <c r="R3791" s="36"/>
      <c r="S3791" s="36">
        <v>21.0</v>
      </c>
      <c r="T3791" s="28" t="s">
        <v>18231</v>
      </c>
      <c r="U3791" s="38" t="str">
        <f>HYPERLINK("https://www.ncbi.nlm.nih.gov/pubmed/25595127","PubMed")</f>
        <v>PubMed</v>
      </c>
      <c r="V3791" s="30"/>
      <c r="W3791" s="49"/>
      <c r="X3791" s="49"/>
      <c r="Y3791" s="35"/>
      <c r="Z3791" s="35"/>
      <c r="AA3791" s="35"/>
      <c r="AB3791" s="35"/>
      <c r="AC3791" s="35"/>
      <c r="AD3791" s="35"/>
      <c r="AE3791" s="35"/>
      <c r="AF3791" s="35"/>
      <c r="AG3791" s="35"/>
      <c r="AH3791" s="35"/>
      <c r="AI3791" s="35"/>
      <c r="AJ3791" s="35"/>
      <c r="AK3791" s="35"/>
      <c r="AL3791" s="35"/>
    </row>
    <row r="3792">
      <c r="A3792" s="1"/>
      <c r="B3792" s="19" t="s">
        <v>17536</v>
      </c>
      <c r="C3792" s="20" t="s">
        <v>18164</v>
      </c>
      <c r="D3792" s="47"/>
      <c r="E3792" s="22" t="s">
        <v>18232</v>
      </c>
      <c r="F3792" s="22" t="s">
        <v>4724</v>
      </c>
      <c r="G3792" s="23">
        <v>2015.0</v>
      </c>
      <c r="H3792" s="22" t="s">
        <v>91</v>
      </c>
      <c r="I3792" s="24" t="s">
        <v>18233</v>
      </c>
      <c r="J3792" s="22" t="s">
        <v>253</v>
      </c>
      <c r="K3792" s="22" t="s">
        <v>18234</v>
      </c>
      <c r="L3792" s="36" t="s">
        <v>18235</v>
      </c>
      <c r="M3792" s="36">
        <v>10.0</v>
      </c>
      <c r="N3792" s="36"/>
      <c r="O3792" s="36"/>
      <c r="P3792" s="37" t="s">
        <v>18236</v>
      </c>
      <c r="Q3792" s="36" t="s">
        <v>18237</v>
      </c>
      <c r="R3792" s="36" t="s">
        <v>18238</v>
      </c>
      <c r="S3792" s="36" t="s">
        <v>18239</v>
      </c>
      <c r="T3792" s="42" t="s">
        <v>18240</v>
      </c>
      <c r="U3792" s="38" t="str">
        <f>HYPERLINK("http://www.ncbi.nlm.nih.gov/pubmed/26415928","PubMed")</f>
        <v>PubMed</v>
      </c>
      <c r="V3792" s="30" t="s">
        <v>18241</v>
      </c>
      <c r="W3792" s="49"/>
      <c r="X3792" s="49"/>
      <c r="Y3792" s="35"/>
      <c r="Z3792" s="35"/>
      <c r="AA3792" s="35"/>
      <c r="AB3792" s="35"/>
      <c r="AC3792" s="35"/>
      <c r="AD3792" s="35"/>
      <c r="AE3792" s="35"/>
      <c r="AF3792" s="35"/>
      <c r="AG3792" s="35"/>
      <c r="AH3792" s="35"/>
      <c r="AI3792" s="35"/>
      <c r="AJ3792" s="35"/>
      <c r="AK3792" s="35"/>
      <c r="AL3792" s="35"/>
    </row>
    <row r="3793">
      <c r="A3793" s="40" t="s">
        <v>2</v>
      </c>
      <c r="B3793" s="19" t="s">
        <v>17536</v>
      </c>
      <c r="C3793" s="20" t="s">
        <v>18164</v>
      </c>
      <c r="D3793" s="47"/>
      <c r="E3793" s="22" t="s">
        <v>626</v>
      </c>
      <c r="F3793" s="22" t="s">
        <v>494</v>
      </c>
      <c r="G3793" s="23">
        <v>2014.0</v>
      </c>
      <c r="H3793" s="22" t="s">
        <v>627</v>
      </c>
      <c r="I3793" s="24" t="s">
        <v>18242</v>
      </c>
      <c r="J3793" s="22" t="s">
        <v>55</v>
      </c>
      <c r="K3793" s="22" t="s">
        <v>18243</v>
      </c>
      <c r="L3793" s="36">
        <v>808.0</v>
      </c>
      <c r="M3793" s="36">
        <v>170.0</v>
      </c>
      <c r="N3793" s="36" t="s">
        <v>7890</v>
      </c>
      <c r="O3793" s="36"/>
      <c r="P3793" s="37" t="s">
        <v>18244</v>
      </c>
      <c r="Q3793" s="275" t="s">
        <v>18245</v>
      </c>
      <c r="R3793" s="36" t="s">
        <v>18246</v>
      </c>
      <c r="S3793" s="36">
        <v>20.0</v>
      </c>
      <c r="T3793" s="28" t="s">
        <v>18247</v>
      </c>
      <c r="U3793" s="153" t="str">
        <f>HYPERLINK("https://www.ncbi.nlm.nih.gov/pubmed/25119457","PubMed")</f>
        <v>PubMed</v>
      </c>
      <c r="V3793" s="30"/>
      <c r="W3793" s="49"/>
      <c r="X3793" s="49"/>
      <c r="Y3793" s="35"/>
      <c r="Z3793" s="35"/>
      <c r="AA3793" s="35"/>
      <c r="AB3793" s="35"/>
      <c r="AC3793" s="35"/>
      <c r="AD3793" s="35"/>
      <c r="AE3793" s="35"/>
      <c r="AF3793" s="35"/>
      <c r="AG3793" s="35"/>
      <c r="AH3793" s="35"/>
      <c r="AI3793" s="35"/>
      <c r="AJ3793" s="35"/>
      <c r="AK3793" s="35"/>
      <c r="AL3793" s="35"/>
    </row>
    <row r="3794">
      <c r="A3794" s="40" t="s">
        <v>38</v>
      </c>
      <c r="B3794" s="19" t="s">
        <v>17536</v>
      </c>
      <c r="C3794" s="20" t="s">
        <v>18164</v>
      </c>
      <c r="D3794" s="47"/>
      <c r="E3794" s="22" t="s">
        <v>2432</v>
      </c>
      <c r="F3794" s="22" t="s">
        <v>1508</v>
      </c>
      <c r="G3794" s="23">
        <v>2013.0</v>
      </c>
      <c r="H3794" s="22" t="s">
        <v>300</v>
      </c>
      <c r="I3794" s="24" t="s">
        <v>18248</v>
      </c>
      <c r="J3794" s="22" t="s">
        <v>55</v>
      </c>
      <c r="K3794" s="22"/>
      <c r="L3794" s="52">
        <v>660.0</v>
      </c>
      <c r="M3794" s="52">
        <v>50.0</v>
      </c>
      <c r="N3794" s="52"/>
      <c r="O3794" s="52"/>
      <c r="P3794" s="189"/>
      <c r="Q3794" s="309" t="s">
        <v>18249</v>
      </c>
      <c r="R3794" s="52">
        <v>120.0</v>
      </c>
      <c r="S3794" s="52" t="s">
        <v>18250</v>
      </c>
      <c r="T3794" s="28" t="s">
        <v>18251</v>
      </c>
      <c r="U3794" s="29" t="s">
        <v>61</v>
      </c>
      <c r="V3794" s="30"/>
      <c r="W3794" s="49"/>
      <c r="X3794" s="49"/>
      <c r="Y3794" s="35"/>
      <c r="Z3794" s="35"/>
      <c r="AA3794" s="35"/>
      <c r="AB3794" s="35"/>
      <c r="AC3794" s="35"/>
      <c r="AD3794" s="35"/>
      <c r="AE3794" s="35"/>
      <c r="AF3794" s="35"/>
      <c r="AG3794" s="35"/>
      <c r="AH3794" s="35"/>
      <c r="AI3794" s="35"/>
      <c r="AJ3794" s="35"/>
      <c r="AK3794" s="35"/>
      <c r="AL3794" s="35"/>
    </row>
    <row r="3795">
      <c r="A3795" s="40"/>
      <c r="B3795" s="19" t="s">
        <v>17536</v>
      </c>
      <c r="C3795" s="20" t="s">
        <v>18164</v>
      </c>
      <c r="D3795" s="47"/>
      <c r="E3795" s="22" t="s">
        <v>18165</v>
      </c>
      <c r="F3795" s="22" t="s">
        <v>41</v>
      </c>
      <c r="G3795" s="23">
        <v>2013.0</v>
      </c>
      <c r="H3795" s="22" t="s">
        <v>960</v>
      </c>
      <c r="I3795" s="24" t="s">
        <v>18252</v>
      </c>
      <c r="J3795" s="22" t="s">
        <v>55</v>
      </c>
      <c r="K3795" s="22" t="s">
        <v>18227</v>
      </c>
      <c r="L3795" s="52">
        <v>780.0</v>
      </c>
      <c r="M3795" s="52"/>
      <c r="N3795" s="52"/>
      <c r="O3795" s="52"/>
      <c r="P3795" s="189"/>
      <c r="Q3795" s="309"/>
      <c r="R3795" s="52"/>
      <c r="S3795" s="52"/>
      <c r="T3795" s="28" t="s">
        <v>18253</v>
      </c>
      <c r="U3795" s="29" t="s">
        <v>61</v>
      </c>
      <c r="V3795" s="30"/>
      <c r="W3795" s="49"/>
      <c r="X3795" s="49"/>
      <c r="Y3795" s="35"/>
      <c r="Z3795" s="35"/>
      <c r="AA3795" s="35"/>
      <c r="AB3795" s="35"/>
      <c r="AC3795" s="35"/>
      <c r="AD3795" s="35"/>
      <c r="AE3795" s="35"/>
      <c r="AF3795" s="35"/>
      <c r="AG3795" s="35"/>
      <c r="AH3795" s="35"/>
      <c r="AI3795" s="35"/>
      <c r="AJ3795" s="35"/>
      <c r="AK3795" s="35"/>
      <c r="AL3795" s="35"/>
    </row>
    <row r="3796">
      <c r="A3796" s="40"/>
      <c r="B3796" s="19" t="s">
        <v>17536</v>
      </c>
      <c r="C3796" s="20" t="s">
        <v>18164</v>
      </c>
      <c r="D3796" s="47"/>
      <c r="E3796" s="22" t="s">
        <v>2432</v>
      </c>
      <c r="F3796" s="22" t="s">
        <v>1508</v>
      </c>
      <c r="G3796" s="23">
        <v>2013.0</v>
      </c>
      <c r="H3796" s="22" t="s">
        <v>531</v>
      </c>
      <c r="I3796" s="24" t="s">
        <v>18254</v>
      </c>
      <c r="J3796" s="22" t="s">
        <v>55</v>
      </c>
      <c r="K3796" s="22"/>
      <c r="L3796" s="52">
        <v>660.0</v>
      </c>
      <c r="M3796" s="52">
        <v>50.0</v>
      </c>
      <c r="N3796" s="52"/>
      <c r="O3796" s="52"/>
      <c r="P3796" s="189"/>
      <c r="Q3796" s="309"/>
      <c r="R3796" s="52">
        <v>120.0</v>
      </c>
      <c r="S3796" s="52">
        <v>10.0</v>
      </c>
      <c r="T3796" s="28" t="s">
        <v>18255</v>
      </c>
      <c r="U3796" s="153" t="str">
        <f>HYPERLINK("https://www.ncbi.nlm.nih.gov/pubmed/23427146","PubMed")</f>
        <v>PubMed</v>
      </c>
      <c r="V3796" s="30"/>
      <c r="W3796" s="49"/>
      <c r="X3796" s="49"/>
      <c r="Y3796" s="35"/>
      <c r="Z3796" s="35"/>
      <c r="AA3796" s="35"/>
      <c r="AB3796" s="35"/>
      <c r="AC3796" s="35"/>
      <c r="AD3796" s="35"/>
      <c r="AE3796" s="35"/>
      <c r="AF3796" s="35"/>
      <c r="AG3796" s="35"/>
      <c r="AH3796" s="35"/>
      <c r="AI3796" s="35"/>
      <c r="AJ3796" s="35"/>
      <c r="AK3796" s="35"/>
      <c r="AL3796" s="35"/>
    </row>
    <row r="3797">
      <c r="A3797" s="40"/>
      <c r="B3797" s="19" t="s">
        <v>17536</v>
      </c>
      <c r="C3797" s="20" t="s">
        <v>18164</v>
      </c>
      <c r="D3797" s="47"/>
      <c r="E3797" s="22" t="s">
        <v>18256</v>
      </c>
      <c r="F3797" s="22" t="s">
        <v>274</v>
      </c>
      <c r="G3797" s="23">
        <v>2013.0</v>
      </c>
      <c r="H3797" s="22" t="s">
        <v>53</v>
      </c>
      <c r="I3797" s="24" t="s">
        <v>18257</v>
      </c>
      <c r="J3797" s="22" t="s">
        <v>55</v>
      </c>
      <c r="K3797" s="22" t="s">
        <v>18258</v>
      </c>
      <c r="L3797" s="36">
        <v>660.0</v>
      </c>
      <c r="M3797" s="36"/>
      <c r="N3797" s="36" t="s">
        <v>1439</v>
      </c>
      <c r="O3797" s="36"/>
      <c r="P3797" s="37" t="s">
        <v>1028</v>
      </c>
      <c r="Q3797" s="275"/>
      <c r="R3797" s="36"/>
      <c r="S3797" s="36"/>
      <c r="T3797" s="42" t="s">
        <v>18259</v>
      </c>
      <c r="U3797" s="153" t="str">
        <f>HYPERLINK("https://www.ncbi.nlm.nih.gov/pubmed/23568823","PubMed")</f>
        <v>PubMed</v>
      </c>
      <c r="V3797" s="30"/>
      <c r="W3797" s="49"/>
      <c r="X3797" s="49"/>
      <c r="Y3797" s="35"/>
      <c r="Z3797" s="35"/>
      <c r="AA3797" s="35"/>
      <c r="AB3797" s="35"/>
      <c r="AC3797" s="35"/>
      <c r="AD3797" s="35"/>
      <c r="AE3797" s="35"/>
      <c r="AF3797" s="35"/>
      <c r="AG3797" s="35"/>
      <c r="AH3797" s="35"/>
      <c r="AI3797" s="35"/>
      <c r="AJ3797" s="35"/>
      <c r="AK3797" s="35"/>
      <c r="AL3797" s="35"/>
    </row>
    <row r="3798">
      <c r="A3798" s="40"/>
      <c r="B3798" s="19" t="s">
        <v>17536</v>
      </c>
      <c r="C3798" s="20" t="s">
        <v>18164</v>
      </c>
      <c r="D3798" s="47"/>
      <c r="E3798" s="22" t="s">
        <v>18260</v>
      </c>
      <c r="F3798" s="22" t="s">
        <v>16031</v>
      </c>
      <c r="G3798" s="23">
        <v>2013.0</v>
      </c>
      <c r="H3798" s="22" t="s">
        <v>18261</v>
      </c>
      <c r="I3798" s="24" t="s">
        <v>18262</v>
      </c>
      <c r="J3798" s="22" t="s">
        <v>44</v>
      </c>
      <c r="K3798" s="22" t="s">
        <v>157</v>
      </c>
      <c r="L3798" s="36">
        <v>950.0</v>
      </c>
      <c r="M3798" s="36"/>
      <c r="N3798" s="36" t="s">
        <v>6622</v>
      </c>
      <c r="O3798" s="36"/>
      <c r="P3798" s="37" t="s">
        <v>18263</v>
      </c>
      <c r="Q3798" s="275"/>
      <c r="R3798" s="36"/>
      <c r="S3798" s="36">
        <v>15.0</v>
      </c>
      <c r="T3798" s="42" t="s">
        <v>18264</v>
      </c>
      <c r="U3798" s="153" t="str">
        <f>HYPERLINK("https://www.ncbi.nlm.nih.gov/pubmed/23339021","PubMed")</f>
        <v>PubMed</v>
      </c>
      <c r="V3798" s="30"/>
      <c r="W3798" s="49"/>
      <c r="X3798" s="49"/>
      <c r="Y3798" s="35"/>
      <c r="Z3798" s="35"/>
      <c r="AA3798" s="35"/>
      <c r="AB3798" s="35"/>
      <c r="AC3798" s="35"/>
      <c r="AD3798" s="35"/>
      <c r="AE3798" s="35"/>
      <c r="AF3798" s="35"/>
      <c r="AG3798" s="35"/>
      <c r="AH3798" s="35"/>
      <c r="AI3798" s="35"/>
      <c r="AJ3798" s="35"/>
      <c r="AK3798" s="35"/>
      <c r="AL3798" s="35"/>
    </row>
    <row r="3799">
      <c r="A3799" s="40"/>
      <c r="B3799" s="19" t="s">
        <v>17536</v>
      </c>
      <c r="C3799" s="20" t="s">
        <v>18164</v>
      </c>
      <c r="D3799" s="47"/>
      <c r="E3799" s="22" t="s">
        <v>2432</v>
      </c>
      <c r="F3799" s="22" t="s">
        <v>1508</v>
      </c>
      <c r="G3799" s="23">
        <v>2013.0</v>
      </c>
      <c r="H3799" s="22" t="s">
        <v>531</v>
      </c>
      <c r="I3799" s="24" t="s">
        <v>18265</v>
      </c>
      <c r="J3799" s="22" t="s">
        <v>55</v>
      </c>
      <c r="K3799" s="22"/>
      <c r="L3799" s="52">
        <v>660.0</v>
      </c>
      <c r="M3799" s="52">
        <v>50.0</v>
      </c>
      <c r="N3799" s="52"/>
      <c r="O3799" s="52"/>
      <c r="P3799" s="189"/>
      <c r="Q3799" s="309"/>
      <c r="R3799" s="52"/>
      <c r="S3799" s="52"/>
      <c r="T3799" s="28" t="s">
        <v>18266</v>
      </c>
      <c r="U3799" s="330"/>
      <c r="V3799" s="30"/>
      <c r="W3799" s="49"/>
      <c r="X3799" s="49"/>
      <c r="Y3799" s="35"/>
      <c r="Z3799" s="35"/>
      <c r="AA3799" s="35"/>
      <c r="AB3799" s="35"/>
      <c r="AC3799" s="35"/>
      <c r="AD3799" s="35"/>
      <c r="AE3799" s="35"/>
      <c r="AF3799" s="35"/>
      <c r="AG3799" s="35"/>
      <c r="AH3799" s="35"/>
      <c r="AI3799" s="35"/>
      <c r="AJ3799" s="35"/>
      <c r="AK3799" s="35"/>
      <c r="AL3799" s="35"/>
    </row>
    <row r="3800">
      <c r="A3800" s="40"/>
      <c r="B3800" s="19" t="s">
        <v>17536</v>
      </c>
      <c r="C3800" s="20" t="s">
        <v>18164</v>
      </c>
      <c r="D3800" s="47"/>
      <c r="E3800" s="22" t="s">
        <v>18267</v>
      </c>
      <c r="F3800" s="22" t="s">
        <v>358</v>
      </c>
      <c r="G3800" s="23">
        <v>2013.0</v>
      </c>
      <c r="H3800" s="22" t="s">
        <v>18268</v>
      </c>
      <c r="I3800" s="24" t="s">
        <v>18269</v>
      </c>
      <c r="J3800" s="22" t="s">
        <v>55</v>
      </c>
      <c r="K3800" s="22"/>
      <c r="L3800" s="36">
        <v>830.0</v>
      </c>
      <c r="M3800" s="36">
        <v>30.0</v>
      </c>
      <c r="N3800" s="36"/>
      <c r="O3800" s="36" t="s">
        <v>18270</v>
      </c>
      <c r="P3800" s="37" t="s">
        <v>18271</v>
      </c>
      <c r="Q3800" s="275" t="s">
        <v>245</v>
      </c>
      <c r="R3800" s="36" t="s">
        <v>18272</v>
      </c>
      <c r="S3800" s="36">
        <v>21.0</v>
      </c>
      <c r="T3800" s="28" t="s">
        <v>18273</v>
      </c>
      <c r="U3800" s="153" t="str">
        <f>HYPERLINK("https://www.ncbi.nlm.nih.gov/pubmed/24426674","PubMed")</f>
        <v>PubMed</v>
      </c>
      <c r="V3800" s="30"/>
      <c r="W3800" s="49"/>
      <c r="X3800" s="49"/>
      <c r="Y3800" s="35"/>
      <c r="Z3800" s="35"/>
      <c r="AA3800" s="35"/>
      <c r="AB3800" s="35"/>
      <c r="AC3800" s="35"/>
      <c r="AD3800" s="35"/>
      <c r="AE3800" s="35"/>
      <c r="AF3800" s="35"/>
      <c r="AG3800" s="35"/>
      <c r="AH3800" s="35"/>
      <c r="AI3800" s="35"/>
      <c r="AJ3800" s="35"/>
      <c r="AK3800" s="35"/>
      <c r="AL3800" s="35"/>
    </row>
    <row r="3801">
      <c r="A3801" s="1"/>
      <c r="B3801" s="19" t="s">
        <v>17536</v>
      </c>
      <c r="C3801" s="20" t="s">
        <v>18164</v>
      </c>
      <c r="D3801" s="47"/>
      <c r="E3801" s="22" t="s">
        <v>18274</v>
      </c>
      <c r="F3801" s="22" t="s">
        <v>5207</v>
      </c>
      <c r="G3801" s="23">
        <v>2012.0</v>
      </c>
      <c r="H3801" s="22" t="s">
        <v>91</v>
      </c>
      <c r="I3801" s="24" t="s">
        <v>18275</v>
      </c>
      <c r="J3801" s="22" t="s">
        <v>55</v>
      </c>
      <c r="K3801" s="22" t="s">
        <v>18276</v>
      </c>
      <c r="L3801" s="36">
        <v>940.0</v>
      </c>
      <c r="M3801" s="129">
        <v>42499.0</v>
      </c>
      <c r="N3801" s="36"/>
      <c r="O3801" s="36"/>
      <c r="P3801" s="37" t="s">
        <v>254</v>
      </c>
      <c r="Q3801" s="275" t="s">
        <v>675</v>
      </c>
      <c r="R3801" s="36">
        <v>420.0</v>
      </c>
      <c r="S3801" s="36">
        <v>10.0</v>
      </c>
      <c r="T3801" s="28" t="s">
        <v>18277</v>
      </c>
      <c r="U3801" s="38" t="str">
        <f>HYPERLINK("https://www.ncbi.nlm.nih.gov/pubmed/21547474","PubMed")</f>
        <v>PubMed</v>
      </c>
      <c r="V3801" s="30"/>
      <c r="W3801" s="49"/>
      <c r="X3801" s="49"/>
      <c r="Y3801" s="35"/>
      <c r="Z3801" s="35"/>
      <c r="AA3801" s="35"/>
      <c r="AB3801" s="35"/>
      <c r="AC3801" s="35"/>
      <c r="AD3801" s="35"/>
      <c r="AE3801" s="35"/>
      <c r="AF3801" s="35"/>
      <c r="AG3801" s="35"/>
      <c r="AH3801" s="35"/>
      <c r="AI3801" s="35"/>
      <c r="AJ3801" s="35"/>
      <c r="AK3801" s="35"/>
      <c r="AL3801" s="35"/>
    </row>
    <row r="3802">
      <c r="A3802" s="1"/>
      <c r="B3802" s="19" t="s">
        <v>17536</v>
      </c>
      <c r="C3802" s="20" t="s">
        <v>18164</v>
      </c>
      <c r="D3802" s="47"/>
      <c r="E3802" s="22" t="s">
        <v>12932</v>
      </c>
      <c r="F3802" s="22" t="s">
        <v>1508</v>
      </c>
      <c r="G3802" s="23">
        <v>2012.0</v>
      </c>
      <c r="H3802" s="22" t="s">
        <v>4177</v>
      </c>
      <c r="I3802" s="24" t="s">
        <v>18278</v>
      </c>
      <c r="J3802" s="22" t="s">
        <v>55</v>
      </c>
      <c r="K3802" s="22" t="s">
        <v>18279</v>
      </c>
      <c r="L3802" s="36">
        <v>660.0</v>
      </c>
      <c r="M3802" s="36"/>
      <c r="N3802" s="36"/>
      <c r="O3802" s="129"/>
      <c r="P3802" s="37" t="s">
        <v>2395</v>
      </c>
      <c r="Q3802" s="275" t="s">
        <v>9358</v>
      </c>
      <c r="R3802" s="36"/>
      <c r="S3802" s="36">
        <v>7.0</v>
      </c>
      <c r="T3802" s="28" t="s">
        <v>18280</v>
      </c>
      <c r="U3802" s="153" t="str">
        <f>HYPERLINK("https://www.ncbi.nlm.nih.gov/pubmed/22351621","PubMed")</f>
        <v>PubMed</v>
      </c>
      <c r="V3802" s="30"/>
      <c r="W3802" s="49"/>
      <c r="X3802" s="49"/>
      <c r="Y3802" s="35"/>
      <c r="Z3802" s="35"/>
      <c r="AA3802" s="35"/>
      <c r="AB3802" s="35"/>
      <c r="AC3802" s="35"/>
      <c r="AD3802" s="35"/>
      <c r="AE3802" s="35"/>
      <c r="AF3802" s="35"/>
      <c r="AG3802" s="35"/>
      <c r="AH3802" s="35"/>
      <c r="AI3802" s="35"/>
      <c r="AJ3802" s="35"/>
      <c r="AK3802" s="35"/>
      <c r="AL3802" s="35"/>
    </row>
    <row r="3803">
      <c r="A3803" s="1"/>
      <c r="B3803" s="19" t="s">
        <v>17536</v>
      </c>
      <c r="C3803" s="20" t="s">
        <v>18164</v>
      </c>
      <c r="D3803" s="47"/>
      <c r="E3803" s="22" t="s">
        <v>16618</v>
      </c>
      <c r="F3803" s="22" t="s">
        <v>18281</v>
      </c>
      <c r="G3803" s="23">
        <v>2012.0</v>
      </c>
      <c r="H3803" s="22" t="s">
        <v>658</v>
      </c>
      <c r="I3803" s="24" t="s">
        <v>18282</v>
      </c>
      <c r="J3803" s="22" t="s">
        <v>55</v>
      </c>
      <c r="K3803" s="22" t="s">
        <v>18283</v>
      </c>
      <c r="L3803" s="36">
        <v>633.0</v>
      </c>
      <c r="M3803" s="36"/>
      <c r="N3803" s="36" t="s">
        <v>18284</v>
      </c>
      <c r="O3803" s="129"/>
      <c r="P3803" s="37" t="s">
        <v>95</v>
      </c>
      <c r="Q3803" s="275" t="s">
        <v>18285</v>
      </c>
      <c r="R3803" s="36">
        <v>20.0</v>
      </c>
      <c r="S3803" s="36"/>
      <c r="T3803" s="28" t="s">
        <v>18286</v>
      </c>
      <c r="U3803" s="153" t="str">
        <f>HYPERLINK("https://www.ncbi.nlm.nih.gov/pubmed/23003120","PubMed")</f>
        <v>PubMed</v>
      </c>
      <c r="V3803" s="30"/>
      <c r="W3803" s="49"/>
      <c r="X3803" s="49"/>
      <c r="Y3803" s="35"/>
      <c r="Z3803" s="35"/>
      <c r="AA3803" s="35"/>
      <c r="AB3803" s="35"/>
      <c r="AC3803" s="35"/>
      <c r="AD3803" s="35"/>
      <c r="AE3803" s="35"/>
      <c r="AF3803" s="35"/>
      <c r="AG3803" s="35"/>
      <c r="AH3803" s="35"/>
      <c r="AI3803" s="35"/>
      <c r="AJ3803" s="35"/>
      <c r="AK3803" s="35"/>
      <c r="AL3803" s="35"/>
    </row>
    <row r="3804">
      <c r="A3804" s="1"/>
      <c r="B3804" s="19" t="s">
        <v>17536</v>
      </c>
      <c r="C3804" s="20" t="s">
        <v>18164</v>
      </c>
      <c r="D3804" s="47"/>
      <c r="E3804" s="22" t="s">
        <v>17040</v>
      </c>
      <c r="F3804" s="22" t="s">
        <v>1862</v>
      </c>
      <c r="G3804" s="23">
        <v>2011.0</v>
      </c>
      <c r="H3804" s="22" t="s">
        <v>18287</v>
      </c>
      <c r="I3804" s="24" t="s">
        <v>18288</v>
      </c>
      <c r="J3804" s="22" t="s">
        <v>55</v>
      </c>
      <c r="K3804" s="22"/>
      <c r="L3804" s="36" t="s">
        <v>14897</v>
      </c>
      <c r="M3804" s="36"/>
      <c r="N3804" s="36"/>
      <c r="O3804" s="36"/>
      <c r="P3804" s="37"/>
      <c r="Q3804" s="275"/>
      <c r="R3804" s="52"/>
      <c r="S3804" s="36"/>
      <c r="T3804" s="28" t="s">
        <v>18289</v>
      </c>
      <c r="U3804" s="153" t="str">
        <f>HYPERLINK("https://www.ncbi.nlm.nih.gov/pubmed/21692912","PubMed")</f>
        <v>PubMed</v>
      </c>
      <c r="V3804" s="30"/>
      <c r="W3804" s="49"/>
      <c r="X3804" s="49"/>
      <c r="Y3804" s="35"/>
      <c r="Z3804" s="35"/>
      <c r="AA3804" s="35"/>
      <c r="AB3804" s="35"/>
      <c r="AC3804" s="35"/>
      <c r="AD3804" s="35"/>
      <c r="AE3804" s="35"/>
      <c r="AF3804" s="35"/>
      <c r="AG3804" s="35"/>
      <c r="AH3804" s="35"/>
      <c r="AI3804" s="35"/>
      <c r="AJ3804" s="35"/>
      <c r="AK3804" s="35"/>
      <c r="AL3804" s="35"/>
    </row>
    <row r="3805">
      <c r="A3805" s="1"/>
      <c r="B3805" s="19" t="s">
        <v>17536</v>
      </c>
      <c r="C3805" s="20" t="s">
        <v>18164</v>
      </c>
      <c r="D3805" s="47"/>
      <c r="E3805" s="22" t="s">
        <v>18290</v>
      </c>
      <c r="F3805" s="22" t="s">
        <v>18291</v>
      </c>
      <c r="G3805" s="23">
        <v>2011.0</v>
      </c>
      <c r="H3805" s="22" t="s">
        <v>309</v>
      </c>
      <c r="I3805" s="24" t="s">
        <v>18292</v>
      </c>
      <c r="J3805" s="22" t="s">
        <v>55</v>
      </c>
      <c r="K3805" s="22"/>
      <c r="L3805" s="36">
        <v>904.0</v>
      </c>
      <c r="M3805" s="129">
        <v>42455.0</v>
      </c>
      <c r="N3805" s="36" t="s">
        <v>18293</v>
      </c>
      <c r="O3805" s="36"/>
      <c r="P3805" s="37" t="s">
        <v>254</v>
      </c>
      <c r="Q3805" s="275" t="s">
        <v>18294</v>
      </c>
      <c r="R3805" s="36">
        <v>192.0</v>
      </c>
      <c r="S3805" s="36">
        <v>21.0</v>
      </c>
      <c r="T3805" s="28" t="s">
        <v>18295</v>
      </c>
      <c r="U3805" s="153" t="str">
        <f>HYPERLINK("https://www.ncbi.nlm.nih.gov/pubmed/21271198","PubMed")</f>
        <v>PubMed</v>
      </c>
      <c r="V3805" s="30"/>
      <c r="W3805" s="49"/>
      <c r="X3805" s="49"/>
      <c r="Y3805" s="35"/>
      <c r="Z3805" s="35"/>
      <c r="AA3805" s="35"/>
      <c r="AB3805" s="35"/>
      <c r="AC3805" s="35"/>
      <c r="AD3805" s="35"/>
      <c r="AE3805" s="35"/>
      <c r="AF3805" s="35"/>
      <c r="AG3805" s="35"/>
      <c r="AH3805" s="35"/>
      <c r="AI3805" s="35"/>
      <c r="AJ3805" s="35"/>
      <c r="AK3805" s="35"/>
      <c r="AL3805" s="35"/>
    </row>
    <row r="3806">
      <c r="A3806" s="1"/>
      <c r="B3806" s="19" t="s">
        <v>17536</v>
      </c>
      <c r="C3806" s="20" t="s">
        <v>18164</v>
      </c>
      <c r="D3806" s="47"/>
      <c r="E3806" s="22" t="s">
        <v>2432</v>
      </c>
      <c r="F3806" s="22" t="s">
        <v>1508</v>
      </c>
      <c r="G3806" s="23">
        <v>2011.0</v>
      </c>
      <c r="H3806" s="22" t="s">
        <v>598</v>
      </c>
      <c r="I3806" s="24" t="s">
        <v>18296</v>
      </c>
      <c r="J3806" s="22" t="s">
        <v>55</v>
      </c>
      <c r="K3806" s="22" t="s">
        <v>11793</v>
      </c>
      <c r="L3806" s="36">
        <v>660.0</v>
      </c>
      <c r="M3806" s="36" t="s">
        <v>18297</v>
      </c>
      <c r="N3806" s="36" t="s">
        <v>18298</v>
      </c>
      <c r="O3806" s="36"/>
      <c r="P3806" s="37" t="s">
        <v>18299</v>
      </c>
      <c r="Q3806" s="275" t="s">
        <v>18300</v>
      </c>
      <c r="R3806" s="52">
        <v>300.0</v>
      </c>
      <c r="S3806" s="36">
        <v>21.0</v>
      </c>
      <c r="T3806" s="28" t="s">
        <v>18301</v>
      </c>
      <c r="U3806" s="153" t="str">
        <f>HYPERLINK("https://www.ncbi.nlm.nih.gov/pubmed/21397226","PubMed")</f>
        <v>PubMed</v>
      </c>
      <c r="V3806" s="30"/>
      <c r="W3806" s="49"/>
      <c r="X3806" s="49"/>
      <c r="Y3806" s="35"/>
      <c r="Z3806" s="35"/>
      <c r="AA3806" s="35"/>
      <c r="AB3806" s="35"/>
      <c r="AC3806" s="35"/>
      <c r="AD3806" s="35"/>
      <c r="AE3806" s="35"/>
      <c r="AF3806" s="35"/>
      <c r="AG3806" s="35"/>
      <c r="AH3806" s="35"/>
      <c r="AI3806" s="35"/>
      <c r="AJ3806" s="35"/>
      <c r="AK3806" s="35"/>
      <c r="AL3806" s="35"/>
    </row>
    <row r="3807">
      <c r="A3807" s="1"/>
      <c r="B3807" s="19" t="s">
        <v>17536</v>
      </c>
      <c r="C3807" s="20" t="s">
        <v>18164</v>
      </c>
      <c r="D3807" s="47"/>
      <c r="E3807" s="22" t="s">
        <v>18302</v>
      </c>
      <c r="F3807" s="22" t="s">
        <v>6028</v>
      </c>
      <c r="G3807" s="23">
        <v>2010.0</v>
      </c>
      <c r="H3807" s="22" t="s">
        <v>18303</v>
      </c>
      <c r="I3807" s="24" t="s">
        <v>18304</v>
      </c>
      <c r="J3807" s="22" t="s">
        <v>55</v>
      </c>
      <c r="K3807" s="22" t="s">
        <v>157</v>
      </c>
      <c r="L3807" s="36">
        <v>660.0</v>
      </c>
      <c r="M3807" s="36"/>
      <c r="N3807" s="36"/>
      <c r="O3807" s="36"/>
      <c r="P3807" s="37"/>
      <c r="Q3807" s="275"/>
      <c r="R3807" s="36"/>
      <c r="S3807" s="36"/>
      <c r="T3807" s="28" t="s">
        <v>18305</v>
      </c>
      <c r="U3807" s="153" t="str">
        <f>HYPERLINK("https://www.ncbi.nlm.nih.gov/pubmed/20358337","PubMed")</f>
        <v>PubMed</v>
      </c>
      <c r="V3807" s="30"/>
      <c r="W3807" s="49"/>
      <c r="X3807" s="49"/>
      <c r="Y3807" s="35"/>
      <c r="Z3807" s="35"/>
      <c r="AA3807" s="35"/>
      <c r="AB3807" s="35"/>
      <c r="AC3807" s="35"/>
      <c r="AD3807" s="35"/>
      <c r="AE3807" s="35"/>
      <c r="AF3807" s="35"/>
      <c r="AG3807" s="35"/>
      <c r="AH3807" s="35"/>
      <c r="AI3807" s="35"/>
      <c r="AJ3807" s="35"/>
      <c r="AK3807" s="35"/>
      <c r="AL3807" s="35"/>
    </row>
    <row r="3808">
      <c r="A3808" s="1"/>
      <c r="B3808" s="19" t="s">
        <v>17536</v>
      </c>
      <c r="C3808" s="20" t="s">
        <v>18164</v>
      </c>
      <c r="D3808" s="47"/>
      <c r="E3808" s="22" t="s">
        <v>2316</v>
      </c>
      <c r="F3808" s="22" t="s">
        <v>18306</v>
      </c>
      <c r="G3808" s="23">
        <v>2010.0</v>
      </c>
      <c r="H3808" s="22" t="s">
        <v>18307</v>
      </c>
      <c r="I3808" s="24" t="s">
        <v>18308</v>
      </c>
      <c r="J3808" s="22" t="s">
        <v>55</v>
      </c>
      <c r="K3808" s="22"/>
      <c r="L3808" s="36">
        <v>660.0</v>
      </c>
      <c r="M3808" s="36" t="s">
        <v>18309</v>
      </c>
      <c r="N3808" s="36"/>
      <c r="O3808" s="36"/>
      <c r="P3808" s="37"/>
      <c r="Q3808" s="275"/>
      <c r="R3808" s="36">
        <v>1800.0</v>
      </c>
      <c r="S3808" s="36">
        <v>20.0</v>
      </c>
      <c r="T3808" s="28" t="s">
        <v>18310</v>
      </c>
      <c r="U3808" s="153" t="str">
        <f>HYPERLINK("https://www.ncbi.nlm.nih.gov/pubmed/19852068","PubMed")</f>
        <v>PubMed</v>
      </c>
      <c r="V3808" s="30"/>
      <c r="W3808" s="49"/>
      <c r="X3808" s="49"/>
      <c r="Y3808" s="35"/>
      <c r="Z3808" s="35"/>
      <c r="AA3808" s="35"/>
      <c r="AB3808" s="35"/>
      <c r="AC3808" s="35"/>
      <c r="AD3808" s="35"/>
      <c r="AE3808" s="35"/>
      <c r="AF3808" s="35"/>
      <c r="AG3808" s="35"/>
      <c r="AH3808" s="35"/>
      <c r="AI3808" s="35"/>
      <c r="AJ3808" s="35"/>
      <c r="AK3808" s="35"/>
      <c r="AL3808" s="35"/>
    </row>
    <row r="3809">
      <c r="A3809" s="1"/>
      <c r="B3809" s="19" t="s">
        <v>17536</v>
      </c>
      <c r="C3809" s="20" t="s">
        <v>18164</v>
      </c>
      <c r="D3809" s="47"/>
      <c r="E3809" s="22" t="s">
        <v>18118</v>
      </c>
      <c r="F3809" s="22" t="s">
        <v>274</v>
      </c>
      <c r="G3809" s="23">
        <v>2010.0</v>
      </c>
      <c r="H3809" s="22" t="s">
        <v>53</v>
      </c>
      <c r="I3809" s="24" t="s">
        <v>18311</v>
      </c>
      <c r="J3809" s="22" t="s">
        <v>55</v>
      </c>
      <c r="K3809" s="22" t="s">
        <v>1240</v>
      </c>
      <c r="L3809" s="36" t="s">
        <v>1750</v>
      </c>
      <c r="M3809" s="36"/>
      <c r="N3809" s="36"/>
      <c r="O3809" s="36"/>
      <c r="P3809" s="37" t="s">
        <v>18312</v>
      </c>
      <c r="Q3809" s="275"/>
      <c r="S3809" s="36"/>
      <c r="T3809" s="28" t="s">
        <v>18313</v>
      </c>
      <c r="U3809" s="153" t="str">
        <f>HYPERLINK("https://www.ncbi.nlm.nih.gov/pubmed/20976807","PubMed")</f>
        <v>PubMed</v>
      </c>
      <c r="V3809" s="30"/>
      <c r="W3809" s="49"/>
      <c r="X3809" s="49"/>
      <c r="Y3809" s="35"/>
      <c r="Z3809" s="35"/>
      <c r="AA3809" s="35"/>
      <c r="AB3809" s="35"/>
      <c r="AC3809" s="35"/>
      <c r="AD3809" s="35"/>
      <c r="AE3809" s="35"/>
      <c r="AF3809" s="35"/>
      <c r="AG3809" s="35"/>
      <c r="AH3809" s="35"/>
      <c r="AI3809" s="35"/>
      <c r="AJ3809" s="35"/>
      <c r="AK3809" s="35"/>
      <c r="AL3809" s="35"/>
    </row>
    <row r="3810">
      <c r="A3810" s="1"/>
      <c r="B3810" s="19" t="s">
        <v>17536</v>
      </c>
      <c r="C3810" s="20" t="s">
        <v>18164</v>
      </c>
      <c r="D3810" s="47"/>
      <c r="E3810" s="22" t="s">
        <v>114</v>
      </c>
      <c r="F3810" s="22" t="s">
        <v>358</v>
      </c>
      <c r="G3810" s="23">
        <v>2010.0</v>
      </c>
      <c r="H3810" s="22" t="s">
        <v>91</v>
      </c>
      <c r="I3810" s="24" t="s">
        <v>18314</v>
      </c>
      <c r="J3810" s="22" t="s">
        <v>55</v>
      </c>
      <c r="K3810" s="22" t="s">
        <v>294</v>
      </c>
      <c r="L3810" s="36" t="s">
        <v>943</v>
      </c>
      <c r="M3810" s="36" t="s">
        <v>18205</v>
      </c>
      <c r="N3810" s="36"/>
      <c r="O3810" s="36"/>
      <c r="P3810" s="37" t="s">
        <v>1208</v>
      </c>
      <c r="Q3810" s="36" t="s">
        <v>18315</v>
      </c>
      <c r="R3810" s="36" t="s">
        <v>18316</v>
      </c>
      <c r="S3810" s="36">
        <v>21.0</v>
      </c>
      <c r="T3810" s="42" t="s">
        <v>18317</v>
      </c>
      <c r="U3810" s="153" t="str">
        <f>HYPERLINK("https://www.ncbi.nlm.nih.gov/pubmed/20135336","PubMed")</f>
        <v>PubMed</v>
      </c>
      <c r="V3810" s="30"/>
      <c r="W3810" s="49"/>
      <c r="X3810" s="49"/>
      <c r="Y3810" s="35"/>
      <c r="Z3810" s="35"/>
      <c r="AA3810" s="35"/>
      <c r="AB3810" s="35"/>
      <c r="AC3810" s="35"/>
      <c r="AD3810" s="35"/>
      <c r="AE3810" s="35"/>
      <c r="AF3810" s="35"/>
      <c r="AG3810" s="35"/>
      <c r="AH3810" s="35"/>
      <c r="AI3810" s="35"/>
      <c r="AJ3810" s="35"/>
      <c r="AK3810" s="35"/>
      <c r="AL3810" s="35"/>
    </row>
    <row r="3811">
      <c r="A3811" s="1"/>
      <c r="B3811" s="19" t="s">
        <v>17536</v>
      </c>
      <c r="C3811" s="20" t="s">
        <v>18164</v>
      </c>
      <c r="D3811" s="47"/>
      <c r="E3811" s="22" t="s">
        <v>18318</v>
      </c>
      <c r="F3811" s="22" t="s">
        <v>1034</v>
      </c>
      <c r="G3811" s="23">
        <v>2009.0</v>
      </c>
      <c r="H3811" s="22" t="s">
        <v>91</v>
      </c>
      <c r="I3811" s="24" t="s">
        <v>18319</v>
      </c>
      <c r="J3811" s="22" t="s">
        <v>55</v>
      </c>
      <c r="K3811" s="22"/>
      <c r="L3811" s="36">
        <v>660.0</v>
      </c>
      <c r="M3811" s="129">
        <v>42455.0</v>
      </c>
      <c r="N3811" s="36"/>
      <c r="O3811" s="36"/>
      <c r="P3811" s="37" t="s">
        <v>254</v>
      </c>
      <c r="Q3811" s="275" t="s">
        <v>18294</v>
      </c>
      <c r="R3811" s="36"/>
      <c r="S3811" s="36">
        <v>20.0</v>
      </c>
      <c r="T3811" s="28" t="s">
        <v>18320</v>
      </c>
      <c r="U3811" s="153" t="str">
        <f>HYPERLINK("https://www.ncbi.nlm.nih.gov/pubmed/19198971","PubMed")</f>
        <v>PubMed</v>
      </c>
      <c r="V3811" s="30"/>
      <c r="W3811" s="49"/>
      <c r="X3811" s="49"/>
      <c r="Y3811" s="35"/>
      <c r="Z3811" s="35"/>
      <c r="AA3811" s="35"/>
      <c r="AB3811" s="35"/>
      <c r="AC3811" s="35"/>
      <c r="AD3811" s="35"/>
      <c r="AE3811" s="35"/>
      <c r="AF3811" s="35"/>
      <c r="AG3811" s="35"/>
      <c r="AH3811" s="35"/>
      <c r="AI3811" s="35"/>
      <c r="AJ3811" s="35"/>
      <c r="AK3811" s="35"/>
      <c r="AL3811" s="35"/>
    </row>
    <row r="3812">
      <c r="A3812" s="1"/>
      <c r="B3812" s="19" t="s">
        <v>17536</v>
      </c>
      <c r="C3812" s="20" t="s">
        <v>18164</v>
      </c>
      <c r="D3812" s="47"/>
      <c r="E3812" s="22" t="s">
        <v>17437</v>
      </c>
      <c r="F3812" s="22" t="s">
        <v>1034</v>
      </c>
      <c r="G3812" s="23">
        <v>2009.0</v>
      </c>
      <c r="H3812" s="22" t="s">
        <v>91</v>
      </c>
      <c r="I3812" s="24" t="s">
        <v>18321</v>
      </c>
      <c r="J3812" s="22" t="s">
        <v>55</v>
      </c>
      <c r="K3812" s="22"/>
      <c r="L3812" s="36">
        <v>660.0</v>
      </c>
      <c r="M3812" s="129">
        <v>42455.0</v>
      </c>
      <c r="N3812" s="36"/>
      <c r="O3812" s="36"/>
      <c r="P3812" s="37" t="s">
        <v>254</v>
      </c>
      <c r="Q3812" s="36" t="s">
        <v>18322</v>
      </c>
      <c r="R3812" s="36"/>
      <c r="S3812" s="36">
        <v>20.0</v>
      </c>
      <c r="T3812" s="42" t="s">
        <v>18323</v>
      </c>
      <c r="U3812" s="153" t="str">
        <f>HYPERLINK("https://www.ncbi.nlm.nih.gov/pubmed/19104907","PubMed")</f>
        <v>PubMed</v>
      </c>
      <c r="V3812" s="30"/>
      <c r="W3812" s="49"/>
      <c r="X3812" s="49"/>
      <c r="Y3812" s="35"/>
      <c r="Z3812" s="35"/>
      <c r="AA3812" s="35"/>
      <c r="AB3812" s="35"/>
      <c r="AC3812" s="35"/>
      <c r="AD3812" s="35"/>
      <c r="AE3812" s="35"/>
      <c r="AF3812" s="35"/>
      <c r="AG3812" s="35"/>
      <c r="AH3812" s="35"/>
      <c r="AI3812" s="35"/>
      <c r="AJ3812" s="35"/>
      <c r="AK3812" s="35"/>
      <c r="AL3812" s="35"/>
    </row>
    <row r="3813">
      <c r="A3813" s="1"/>
      <c r="B3813" s="19" t="s">
        <v>17536</v>
      </c>
      <c r="C3813" s="20" t="s">
        <v>18164</v>
      </c>
      <c r="D3813" s="47"/>
      <c r="E3813" s="22" t="s">
        <v>1267</v>
      </c>
      <c r="F3813" s="22" t="s">
        <v>291</v>
      </c>
      <c r="G3813" s="23">
        <v>2007.0</v>
      </c>
      <c r="H3813" s="22" t="s">
        <v>658</v>
      </c>
      <c r="I3813" s="24" t="s">
        <v>18324</v>
      </c>
      <c r="J3813" s="22" t="s">
        <v>55</v>
      </c>
      <c r="K3813" s="22"/>
      <c r="L3813" s="36">
        <v>780.0</v>
      </c>
      <c r="M3813" s="36">
        <v>200.0</v>
      </c>
      <c r="N3813" s="36"/>
      <c r="O3813" s="36"/>
      <c r="P3813" s="37"/>
      <c r="Q3813" s="36" t="s">
        <v>18325</v>
      </c>
      <c r="R3813" s="36" t="s">
        <v>18326</v>
      </c>
      <c r="S3813" s="36">
        <v>14.0</v>
      </c>
      <c r="T3813" s="28" t="s">
        <v>18327</v>
      </c>
      <c r="U3813" s="153" t="str">
        <f>HYPERLINK("https://www.ncbi.nlm.nih.gov/pubmed/17603852","PubMed")</f>
        <v>PubMed</v>
      </c>
      <c r="V3813" s="30"/>
      <c r="W3813" s="49"/>
      <c r="X3813" s="49"/>
      <c r="Y3813" s="35"/>
      <c r="Z3813" s="35"/>
      <c r="AA3813" s="35"/>
      <c r="AB3813" s="35"/>
      <c r="AC3813" s="35"/>
      <c r="AD3813" s="35"/>
      <c r="AE3813" s="35"/>
      <c r="AF3813" s="35"/>
      <c r="AG3813" s="35"/>
      <c r="AH3813" s="35"/>
      <c r="AI3813" s="35"/>
      <c r="AJ3813" s="35"/>
      <c r="AK3813" s="35"/>
      <c r="AL3813" s="35"/>
    </row>
    <row r="3814">
      <c r="A3814" s="1"/>
      <c r="B3814" s="19" t="s">
        <v>17536</v>
      </c>
      <c r="C3814" s="20" t="s">
        <v>18164</v>
      </c>
      <c r="D3814" s="47"/>
      <c r="E3814" s="22" t="s">
        <v>2195</v>
      </c>
      <c r="F3814" s="22" t="s">
        <v>1508</v>
      </c>
      <c r="G3814" s="23">
        <v>2005.0</v>
      </c>
      <c r="H3814" s="22" t="s">
        <v>18328</v>
      </c>
      <c r="I3814" s="24" t="s">
        <v>18329</v>
      </c>
      <c r="J3814" s="22" t="s">
        <v>55</v>
      </c>
      <c r="K3814" s="22" t="s">
        <v>18330</v>
      </c>
      <c r="L3814" s="36">
        <v>904.0</v>
      </c>
      <c r="M3814" s="36"/>
      <c r="N3814" s="36"/>
      <c r="O3814" s="36"/>
      <c r="P3814" s="37"/>
      <c r="Q3814" s="275"/>
      <c r="R3814" s="36"/>
      <c r="S3814" s="36"/>
      <c r="T3814" s="41" t="s">
        <v>18331</v>
      </c>
      <c r="U3814" s="153" t="str">
        <f>HYPERLINK("https://www.ncbi.nlm.nih.gov/pubmed/15481035","PubMed")</f>
        <v>PubMed</v>
      </c>
      <c r="V3814" s="30" t="s">
        <v>18332</v>
      </c>
      <c r="W3814" s="130" t="str">
        <f>HYPERLINK("https://www.ncbi.nlm.nih.gov/pubmed/19205062","Comment")</f>
        <v>Comment</v>
      </c>
      <c r="X3814" s="49"/>
      <c r="Y3814" s="35"/>
      <c r="Z3814" s="35"/>
      <c r="AA3814" s="35"/>
      <c r="AB3814" s="35"/>
      <c r="AC3814" s="35"/>
      <c r="AD3814" s="35"/>
      <c r="AE3814" s="35"/>
      <c r="AF3814" s="35"/>
      <c r="AG3814" s="35"/>
      <c r="AH3814" s="35"/>
      <c r="AI3814" s="35"/>
      <c r="AJ3814" s="35"/>
      <c r="AK3814" s="35"/>
      <c r="AL3814" s="35"/>
    </row>
    <row r="3815">
      <c r="A3815" s="1"/>
      <c r="B3815" s="19" t="s">
        <v>17536</v>
      </c>
      <c r="C3815" s="20" t="s">
        <v>18164</v>
      </c>
      <c r="D3815" s="47"/>
      <c r="E3815" s="22" t="s">
        <v>1759</v>
      </c>
      <c r="F3815" s="22" t="s">
        <v>299</v>
      </c>
      <c r="G3815" s="23">
        <v>2003.0</v>
      </c>
      <c r="H3815" s="22" t="s">
        <v>2558</v>
      </c>
      <c r="I3815" s="24" t="s">
        <v>18333</v>
      </c>
      <c r="J3815" s="22" t="s">
        <v>55</v>
      </c>
      <c r="K3815" s="22"/>
      <c r="L3815" s="36">
        <v>650.0</v>
      </c>
      <c r="M3815" s="36">
        <v>5.0</v>
      </c>
      <c r="N3815" s="36"/>
      <c r="O3815" s="36"/>
      <c r="P3815" s="37"/>
      <c r="Q3815" s="275"/>
      <c r="R3815" s="36">
        <v>300.0</v>
      </c>
      <c r="S3815" s="36">
        <v>5.0</v>
      </c>
      <c r="T3815" s="28" t="s">
        <v>18334</v>
      </c>
      <c r="U3815" s="153" t="str">
        <f>HYPERLINK("https://www.ncbi.nlm.nih.gov/pubmed/12782330","PubMed")</f>
        <v>PubMed</v>
      </c>
      <c r="V3815" s="30"/>
      <c r="W3815" s="49"/>
      <c r="X3815" s="49"/>
      <c r="Y3815" s="35"/>
      <c r="Z3815" s="35"/>
      <c r="AA3815" s="35"/>
      <c r="AB3815" s="35"/>
      <c r="AC3815" s="35"/>
      <c r="AD3815" s="35"/>
      <c r="AE3815" s="35"/>
      <c r="AF3815" s="35"/>
      <c r="AG3815" s="35"/>
      <c r="AH3815" s="35"/>
      <c r="AI3815" s="35"/>
      <c r="AJ3815" s="35"/>
      <c r="AK3815" s="35"/>
      <c r="AL3815" s="35"/>
    </row>
    <row r="3816">
      <c r="A3816" s="1"/>
      <c r="B3816" s="19" t="s">
        <v>17536</v>
      </c>
      <c r="C3816" s="20" t="s">
        <v>18164</v>
      </c>
      <c r="D3816" s="47"/>
      <c r="E3816" s="22" t="s">
        <v>18335</v>
      </c>
      <c r="F3816" s="22" t="s">
        <v>13151</v>
      </c>
      <c r="G3816" s="23">
        <v>2003.0</v>
      </c>
      <c r="H3816" s="22" t="s">
        <v>91</v>
      </c>
      <c r="I3816" s="24" t="s">
        <v>18336</v>
      </c>
      <c r="J3816" s="22" t="s">
        <v>55</v>
      </c>
      <c r="K3816" s="22"/>
      <c r="L3816" s="36">
        <v>904.0</v>
      </c>
      <c r="M3816" s="36"/>
      <c r="N3816" s="36"/>
      <c r="O3816" s="36"/>
      <c r="P3816" s="37" t="s">
        <v>18337</v>
      </c>
      <c r="Q3816" s="275" t="s">
        <v>12922</v>
      </c>
      <c r="R3816" s="36">
        <v>900.0</v>
      </c>
      <c r="S3816" s="36">
        <v>7.0</v>
      </c>
      <c r="T3816" s="41" t="s">
        <v>18338</v>
      </c>
      <c r="U3816" s="153" t="str">
        <f>HYPERLINK("https://www.ncbi.nlm.nih.gov/pubmed/12928817","PubMed")</f>
        <v>PubMed</v>
      </c>
      <c r="V3816" s="30"/>
      <c r="W3816" s="49"/>
      <c r="X3816" s="49"/>
      <c r="Y3816" s="35"/>
      <c r="Z3816" s="35"/>
      <c r="AA3816" s="35"/>
      <c r="AB3816" s="35"/>
      <c r="AC3816" s="35"/>
      <c r="AD3816" s="35"/>
      <c r="AE3816" s="35"/>
      <c r="AF3816" s="35"/>
      <c r="AG3816" s="35"/>
      <c r="AH3816" s="35"/>
      <c r="AI3816" s="35"/>
      <c r="AJ3816" s="35"/>
      <c r="AK3816" s="35"/>
      <c r="AL3816" s="35"/>
    </row>
    <row r="3817">
      <c r="A3817" s="1"/>
      <c r="B3817" s="19" t="s">
        <v>17536</v>
      </c>
      <c r="C3817" s="20" t="s">
        <v>18164</v>
      </c>
      <c r="D3817" s="47"/>
      <c r="E3817" s="22" t="s">
        <v>1267</v>
      </c>
      <c r="F3817" s="22" t="s">
        <v>291</v>
      </c>
      <c r="G3817" s="23">
        <v>2001.0</v>
      </c>
      <c r="H3817" s="22" t="s">
        <v>53</v>
      </c>
      <c r="I3817" s="24" t="s">
        <v>18339</v>
      </c>
      <c r="J3817" s="22" t="s">
        <v>55</v>
      </c>
      <c r="K3817" s="22" t="s">
        <v>18137</v>
      </c>
      <c r="L3817" s="36">
        <v>633.0</v>
      </c>
      <c r="M3817" s="36">
        <v>16.0</v>
      </c>
      <c r="N3817" s="36"/>
      <c r="O3817" s="36"/>
      <c r="P3817" s="37" t="s">
        <v>17045</v>
      </c>
      <c r="Q3817" s="275"/>
      <c r="R3817" s="36"/>
      <c r="S3817" s="36">
        <v>21.0</v>
      </c>
      <c r="T3817" s="28" t="s">
        <v>18340</v>
      </c>
      <c r="U3817" s="153" t="str">
        <f>HYPERLINK("https://www.ncbi.nlm.nih.gov/pubmed/11295755","PubMed")</f>
        <v>PubMed</v>
      </c>
      <c r="V3817" s="30"/>
      <c r="W3817" s="49"/>
      <c r="X3817" s="49"/>
      <c r="Y3817" s="35"/>
      <c r="Z3817" s="35"/>
      <c r="AA3817" s="35"/>
      <c r="AB3817" s="35"/>
      <c r="AC3817" s="35"/>
      <c r="AD3817" s="35"/>
      <c r="AE3817" s="35"/>
      <c r="AF3817" s="35"/>
      <c r="AG3817" s="35"/>
      <c r="AH3817" s="35"/>
      <c r="AI3817" s="35"/>
      <c r="AJ3817" s="35"/>
      <c r="AK3817" s="35"/>
      <c r="AL3817" s="35"/>
    </row>
    <row r="3818">
      <c r="A3818" s="1"/>
      <c r="B3818" s="19" t="s">
        <v>17536</v>
      </c>
      <c r="C3818" s="20" t="s">
        <v>18164</v>
      </c>
      <c r="D3818" s="47"/>
      <c r="E3818" s="22" t="s">
        <v>18341</v>
      </c>
      <c r="F3818" s="22" t="s">
        <v>291</v>
      </c>
      <c r="G3818" s="23">
        <v>2001.0</v>
      </c>
      <c r="H3818" s="22" t="s">
        <v>18342</v>
      </c>
      <c r="I3818" s="24" t="s">
        <v>18343</v>
      </c>
      <c r="J3818" s="22" t="s">
        <v>55</v>
      </c>
      <c r="K3818" s="22" t="s">
        <v>18344</v>
      </c>
      <c r="L3818" s="36">
        <v>780.0</v>
      </c>
      <c r="M3818" s="36"/>
      <c r="N3818" s="36"/>
      <c r="O3818" s="36"/>
      <c r="P3818" s="37"/>
      <c r="Q3818" s="275"/>
      <c r="R3818" s="36">
        <v>1800.0</v>
      </c>
      <c r="S3818" s="36">
        <v>21.0</v>
      </c>
      <c r="T3818" s="28" t="s">
        <v>18345</v>
      </c>
      <c r="U3818" s="153" t="str">
        <f>HYPERLINK("https://www.ncbi.nlm.nih.gov/pubmed/11310751","PubMed")</f>
        <v>PubMed</v>
      </c>
      <c r="V3818" s="30"/>
      <c r="W3818" s="49"/>
      <c r="X3818" s="49"/>
      <c r="Y3818" s="35"/>
      <c r="Z3818" s="35"/>
      <c r="AA3818" s="35"/>
      <c r="AB3818" s="35"/>
      <c r="AC3818" s="35"/>
      <c r="AD3818" s="35"/>
      <c r="AE3818" s="35"/>
      <c r="AF3818" s="35"/>
      <c r="AG3818" s="35"/>
      <c r="AH3818" s="35"/>
      <c r="AI3818" s="35"/>
      <c r="AJ3818" s="35"/>
      <c r="AK3818" s="35"/>
      <c r="AL3818" s="35"/>
    </row>
    <row r="3819">
      <c r="A3819" s="1"/>
      <c r="B3819" s="19" t="s">
        <v>17536</v>
      </c>
      <c r="C3819" s="20" t="s">
        <v>18164</v>
      </c>
      <c r="D3819" s="47"/>
      <c r="E3819" s="22" t="s">
        <v>18346</v>
      </c>
      <c r="F3819" s="22" t="s">
        <v>1258</v>
      </c>
      <c r="G3819" s="23">
        <v>1995.0</v>
      </c>
      <c r="H3819" s="22" t="s">
        <v>12085</v>
      </c>
      <c r="I3819" s="24" t="s">
        <v>18347</v>
      </c>
      <c r="J3819" s="22" t="s">
        <v>55</v>
      </c>
      <c r="K3819" s="22"/>
      <c r="L3819" s="36" t="s">
        <v>18348</v>
      </c>
      <c r="M3819" s="36">
        <v>70.0</v>
      </c>
      <c r="N3819" s="36" t="s">
        <v>2410</v>
      </c>
      <c r="O3819" s="36">
        <v>6.0</v>
      </c>
      <c r="P3819" s="37" t="s">
        <v>7303</v>
      </c>
      <c r="Q3819" s="275" t="s">
        <v>1264</v>
      </c>
      <c r="R3819" s="36">
        <v>85.0</v>
      </c>
      <c r="S3819" s="36">
        <v>28.0</v>
      </c>
      <c r="T3819" s="42" t="s">
        <v>18349</v>
      </c>
      <c r="U3819" s="153" t="str">
        <f>HYPERLINK("https://www.ncbi.nlm.nih.gov/pubmed/8521121","PubMed")</f>
        <v>PubMed</v>
      </c>
      <c r="V3819" s="30"/>
      <c r="W3819" s="49"/>
      <c r="X3819" s="49"/>
      <c r="Y3819" s="35"/>
      <c r="Z3819" s="35"/>
      <c r="AA3819" s="35"/>
      <c r="AB3819" s="35"/>
      <c r="AC3819" s="35"/>
      <c r="AD3819" s="35"/>
      <c r="AE3819" s="35"/>
      <c r="AF3819" s="35"/>
      <c r="AG3819" s="35"/>
      <c r="AH3819" s="35"/>
      <c r="AI3819" s="35"/>
      <c r="AJ3819" s="35"/>
      <c r="AK3819" s="35"/>
      <c r="AL3819" s="35"/>
    </row>
    <row r="3820">
      <c r="A3820" s="1"/>
      <c r="B3820" s="19" t="s">
        <v>17536</v>
      </c>
      <c r="C3820" s="20" t="s">
        <v>18164</v>
      </c>
      <c r="D3820" s="47"/>
      <c r="E3820" s="22" t="s">
        <v>1267</v>
      </c>
      <c r="F3820" s="22" t="s">
        <v>291</v>
      </c>
      <c r="G3820" s="23">
        <v>1987.0</v>
      </c>
      <c r="H3820" s="22" t="s">
        <v>18350</v>
      </c>
      <c r="I3820" s="24" t="s">
        <v>18351</v>
      </c>
      <c r="J3820" s="22" t="s">
        <v>55</v>
      </c>
      <c r="K3820" s="22" t="s">
        <v>18344</v>
      </c>
      <c r="L3820" s="36">
        <v>633.0</v>
      </c>
      <c r="M3820" s="36">
        <v>17.0</v>
      </c>
      <c r="N3820" s="36"/>
      <c r="O3820" s="36"/>
      <c r="P3820" s="37"/>
      <c r="Q3820" s="275"/>
      <c r="R3820" s="36"/>
      <c r="S3820" s="36"/>
      <c r="T3820" s="28" t="s">
        <v>18352</v>
      </c>
      <c r="U3820" s="153" t="str">
        <f>HYPERLINK("https://www.ncbi.nlm.nih.gov/pubmed/3614562","PubMed")</f>
        <v>PubMed</v>
      </c>
      <c r="V3820" s="30"/>
      <c r="W3820" s="49"/>
      <c r="X3820" s="49"/>
      <c r="Y3820" s="35"/>
      <c r="Z3820" s="35"/>
      <c r="AA3820" s="35"/>
      <c r="AB3820" s="35"/>
      <c r="AC3820" s="35"/>
      <c r="AD3820" s="35"/>
      <c r="AE3820" s="35"/>
      <c r="AF3820" s="35"/>
      <c r="AG3820" s="35"/>
      <c r="AH3820" s="35"/>
      <c r="AI3820" s="35"/>
      <c r="AJ3820" s="35"/>
      <c r="AK3820" s="35"/>
      <c r="AL3820" s="35"/>
    </row>
    <row r="3821">
      <c r="A3821" s="1"/>
      <c r="B3821" s="19" t="s">
        <v>17536</v>
      </c>
      <c r="C3821" s="20" t="s">
        <v>18164</v>
      </c>
      <c r="D3821" s="47"/>
      <c r="E3821" s="22" t="s">
        <v>1267</v>
      </c>
      <c r="F3821" s="22" t="s">
        <v>291</v>
      </c>
      <c r="G3821" s="23">
        <v>1987.0</v>
      </c>
      <c r="H3821" s="22" t="s">
        <v>53</v>
      </c>
      <c r="I3821" s="24" t="s">
        <v>18353</v>
      </c>
      <c r="J3821" s="22" t="s">
        <v>55</v>
      </c>
      <c r="K3821" s="22"/>
      <c r="L3821" s="36">
        <v>633.0</v>
      </c>
      <c r="M3821" s="36"/>
      <c r="N3821" s="36"/>
      <c r="O3821" s="36"/>
      <c r="P3821" s="37"/>
      <c r="Q3821" s="275"/>
      <c r="R3821" s="36"/>
      <c r="S3821" s="36"/>
      <c r="T3821" s="28" t="s">
        <v>18354</v>
      </c>
      <c r="U3821" s="153" t="str">
        <f>HYPERLINK("https://www.ncbi.nlm.nih.gov/pubmed/3695787","PubMed")</f>
        <v>PubMed</v>
      </c>
      <c r="V3821" s="30"/>
      <c r="W3821" s="49"/>
      <c r="X3821" s="49"/>
      <c r="Y3821" s="35"/>
      <c r="Z3821" s="35"/>
      <c r="AA3821" s="35"/>
      <c r="AB3821" s="35"/>
      <c r="AC3821" s="35"/>
      <c r="AD3821" s="35"/>
      <c r="AE3821" s="35"/>
      <c r="AF3821" s="35"/>
      <c r="AG3821" s="35"/>
      <c r="AH3821" s="35"/>
      <c r="AI3821" s="35"/>
      <c r="AJ3821" s="35"/>
      <c r="AK3821" s="35"/>
      <c r="AL3821" s="35"/>
    </row>
    <row r="3822">
      <c r="A3822" s="1"/>
      <c r="B3822" s="19" t="s">
        <v>17536</v>
      </c>
      <c r="C3822" s="20" t="s">
        <v>18164</v>
      </c>
      <c r="D3822" s="47"/>
      <c r="E3822" s="22" t="s">
        <v>1267</v>
      </c>
      <c r="F3822" s="22" t="s">
        <v>291</v>
      </c>
      <c r="G3822" s="23">
        <v>1986.0</v>
      </c>
      <c r="H3822" s="22" t="s">
        <v>17961</v>
      </c>
      <c r="I3822" s="24" t="s">
        <v>18355</v>
      </c>
      <c r="J3822" s="22" t="s">
        <v>55</v>
      </c>
      <c r="K3822" s="22"/>
      <c r="L3822" s="36">
        <v>633.0</v>
      </c>
      <c r="M3822" s="36"/>
      <c r="N3822" s="36"/>
      <c r="O3822" s="36"/>
      <c r="P3822" s="37"/>
      <c r="Q3822" s="275"/>
      <c r="R3822" s="36"/>
      <c r="S3822" s="36"/>
      <c r="T3822" s="28" t="s">
        <v>18356</v>
      </c>
      <c r="U3822" s="153" t="str">
        <f>HYPERLINK("https://www.ncbi.nlm.nih.gov/pubmed/3028047","PubMed")</f>
        <v>PubMed</v>
      </c>
      <c r="V3822" s="30"/>
      <c r="W3822" s="49"/>
      <c r="X3822" s="49"/>
      <c r="Y3822" s="35"/>
      <c r="Z3822" s="35"/>
      <c r="AA3822" s="35"/>
      <c r="AB3822" s="35"/>
      <c r="AC3822" s="35"/>
      <c r="AD3822" s="35"/>
      <c r="AE3822" s="35"/>
      <c r="AF3822" s="35"/>
      <c r="AG3822" s="35"/>
      <c r="AH3822" s="35"/>
      <c r="AI3822" s="35"/>
      <c r="AJ3822" s="35"/>
      <c r="AK3822" s="35"/>
      <c r="AL3822" s="35"/>
    </row>
    <row r="3823">
      <c r="A3823" s="1"/>
      <c r="B3823" s="19" t="s">
        <v>17536</v>
      </c>
      <c r="C3823" s="20" t="s">
        <v>18164</v>
      </c>
      <c r="D3823" s="47"/>
      <c r="E3823" s="22" t="s">
        <v>1237</v>
      </c>
      <c r="F3823" s="22" t="s">
        <v>4466</v>
      </c>
      <c r="G3823" s="23">
        <v>1986.0</v>
      </c>
      <c r="H3823" s="22" t="s">
        <v>53</v>
      </c>
      <c r="I3823" s="24" t="s">
        <v>18357</v>
      </c>
      <c r="J3823" s="22" t="s">
        <v>55</v>
      </c>
      <c r="K3823" s="22"/>
      <c r="L3823" s="36">
        <v>633.0</v>
      </c>
      <c r="M3823" s="36">
        <v>16.0</v>
      </c>
      <c r="N3823" s="36"/>
      <c r="O3823" s="36" t="s">
        <v>18358</v>
      </c>
      <c r="P3823" s="37" t="s">
        <v>18359</v>
      </c>
      <c r="Q3823" s="275" t="s">
        <v>4567</v>
      </c>
      <c r="R3823" s="36"/>
      <c r="S3823" s="36">
        <v>20.0</v>
      </c>
      <c r="T3823" s="28" t="s">
        <v>18360</v>
      </c>
      <c r="U3823" s="153" t="str">
        <f>HYPERLINK("https://www.ncbi.nlm.nih.gov/pubmed/3807630","PubMed")</f>
        <v>PubMed</v>
      </c>
      <c r="V3823" s="30"/>
      <c r="W3823" s="49"/>
      <c r="X3823" s="49"/>
      <c r="Y3823" s="35"/>
      <c r="Z3823" s="35"/>
      <c r="AA3823" s="35"/>
      <c r="AB3823" s="35"/>
      <c r="AC3823" s="35"/>
      <c r="AD3823" s="35"/>
      <c r="AE3823" s="35"/>
      <c r="AF3823" s="35"/>
      <c r="AG3823" s="35"/>
      <c r="AH3823" s="35"/>
      <c r="AI3823" s="35"/>
      <c r="AJ3823" s="35"/>
      <c r="AK3823" s="35"/>
      <c r="AL3823" s="35"/>
    </row>
    <row r="3824">
      <c r="A3824" s="1"/>
      <c r="B3824" s="19" t="s">
        <v>17536</v>
      </c>
      <c r="C3824" s="20" t="s">
        <v>18361</v>
      </c>
      <c r="D3824" s="47"/>
      <c r="E3824" s="22" t="s">
        <v>458</v>
      </c>
      <c r="F3824" s="22" t="s">
        <v>241</v>
      </c>
      <c r="G3824" s="23">
        <v>2015.0</v>
      </c>
      <c r="H3824" s="22" t="s">
        <v>598</v>
      </c>
      <c r="I3824" s="24" t="s">
        <v>18362</v>
      </c>
      <c r="J3824" s="22" t="s">
        <v>55</v>
      </c>
      <c r="K3824" s="22" t="s">
        <v>18363</v>
      </c>
      <c r="L3824" s="36">
        <v>830.0</v>
      </c>
      <c r="M3824" s="36">
        <v>30.0</v>
      </c>
      <c r="N3824" s="36"/>
      <c r="O3824" s="36"/>
      <c r="P3824" s="37" t="s">
        <v>254</v>
      </c>
      <c r="Q3824" s="275" t="s">
        <v>245</v>
      </c>
      <c r="R3824" s="36" t="s">
        <v>18364</v>
      </c>
      <c r="S3824" s="36">
        <v>16.0</v>
      </c>
      <c r="T3824" s="28" t="s">
        <v>18365</v>
      </c>
      <c r="U3824" s="38" t="str">
        <f>HYPERLINK("https://www.ncbi.nlm.nih.gov/pubmed/25669962","PubMed")</f>
        <v>PubMed</v>
      </c>
      <c r="V3824" s="30"/>
      <c r="W3824" s="49"/>
      <c r="X3824" s="49"/>
      <c r="Y3824" s="35"/>
      <c r="Z3824" s="35"/>
      <c r="AA3824" s="35"/>
      <c r="AB3824" s="35"/>
      <c r="AC3824" s="35"/>
      <c r="AD3824" s="35"/>
      <c r="AE3824" s="35"/>
      <c r="AF3824" s="35"/>
      <c r="AG3824" s="35"/>
      <c r="AH3824" s="35"/>
      <c r="AI3824" s="35"/>
      <c r="AJ3824" s="35"/>
      <c r="AK3824" s="35"/>
      <c r="AL3824" s="35"/>
    </row>
    <row r="3825">
      <c r="A3825" s="1"/>
      <c r="B3825" s="19" t="s">
        <v>17536</v>
      </c>
      <c r="C3825" s="20" t="s">
        <v>18366</v>
      </c>
      <c r="D3825" s="47"/>
      <c r="E3825" s="22" t="s">
        <v>18367</v>
      </c>
      <c r="F3825" s="22" t="s">
        <v>3441</v>
      </c>
      <c r="G3825" s="23">
        <v>2023.0</v>
      </c>
      <c r="H3825" s="22" t="s">
        <v>77</v>
      </c>
      <c r="I3825" s="24" t="s">
        <v>18368</v>
      </c>
      <c r="J3825" s="22" t="s">
        <v>125</v>
      </c>
      <c r="K3825" s="22"/>
      <c r="L3825" s="132" t="s">
        <v>18369</v>
      </c>
      <c r="U3825" s="38" t="s">
        <v>61</v>
      </c>
      <c r="V3825" s="30"/>
      <c r="W3825" s="49"/>
      <c r="X3825" s="49"/>
      <c r="Y3825" s="35"/>
      <c r="Z3825" s="35"/>
      <c r="AA3825" s="35"/>
      <c r="AB3825" s="35"/>
      <c r="AC3825" s="35"/>
      <c r="AD3825" s="35"/>
      <c r="AE3825" s="35"/>
      <c r="AF3825" s="35"/>
      <c r="AG3825" s="35"/>
      <c r="AH3825" s="35"/>
      <c r="AI3825" s="35"/>
      <c r="AJ3825" s="35"/>
      <c r="AK3825" s="35"/>
      <c r="AL3825" s="35"/>
    </row>
    <row r="3826">
      <c r="A3826" s="1"/>
      <c r="B3826" s="19" t="s">
        <v>17536</v>
      </c>
      <c r="C3826" s="20" t="s">
        <v>18366</v>
      </c>
      <c r="D3826" s="47"/>
      <c r="E3826" s="22" t="s">
        <v>18370</v>
      </c>
      <c r="F3826" s="22" t="s">
        <v>291</v>
      </c>
      <c r="G3826" s="23">
        <v>2021.0</v>
      </c>
      <c r="H3826" s="22" t="s">
        <v>77</v>
      </c>
      <c r="I3826" s="24" t="s">
        <v>18371</v>
      </c>
      <c r="J3826" s="22" t="s">
        <v>202</v>
      </c>
      <c r="K3826" s="22"/>
      <c r="L3826" s="132"/>
      <c r="U3826" s="29" t="s">
        <v>61</v>
      </c>
      <c r="V3826" s="30"/>
      <c r="W3826" s="49"/>
      <c r="X3826" s="49"/>
      <c r="Y3826" s="35"/>
      <c r="Z3826" s="35"/>
      <c r="AA3826" s="35"/>
      <c r="AB3826" s="35"/>
      <c r="AC3826" s="35"/>
      <c r="AD3826" s="35"/>
      <c r="AE3826" s="35"/>
      <c r="AF3826" s="35"/>
      <c r="AG3826" s="35"/>
      <c r="AH3826" s="35"/>
      <c r="AI3826" s="35"/>
      <c r="AJ3826" s="35"/>
      <c r="AK3826" s="35"/>
      <c r="AL3826" s="35"/>
    </row>
    <row r="3827">
      <c r="A3827" s="1"/>
      <c r="B3827" s="19" t="s">
        <v>17536</v>
      </c>
      <c r="C3827" s="20" t="s">
        <v>18366</v>
      </c>
      <c r="D3827" s="47"/>
      <c r="E3827" s="22" t="s">
        <v>16953</v>
      </c>
      <c r="F3827" s="22" t="s">
        <v>400</v>
      </c>
      <c r="G3827" s="23">
        <v>2021.0</v>
      </c>
      <c r="H3827" s="22" t="s">
        <v>18372</v>
      </c>
      <c r="I3827" s="24" t="s">
        <v>18373</v>
      </c>
      <c r="J3827" s="22" t="s">
        <v>125</v>
      </c>
      <c r="K3827" s="22"/>
      <c r="L3827" s="196" t="s">
        <v>18374</v>
      </c>
      <c r="U3827" s="29" t="s">
        <v>61</v>
      </c>
      <c r="V3827" s="30"/>
      <c r="W3827" s="49"/>
      <c r="X3827" s="49"/>
      <c r="Y3827" s="35"/>
      <c r="Z3827" s="35"/>
      <c r="AA3827" s="35"/>
      <c r="AB3827" s="35"/>
      <c r="AC3827" s="35"/>
      <c r="AD3827" s="35"/>
      <c r="AE3827" s="35"/>
      <c r="AF3827" s="35"/>
      <c r="AG3827" s="35"/>
      <c r="AH3827" s="35"/>
      <c r="AI3827" s="35"/>
      <c r="AJ3827" s="35"/>
      <c r="AK3827" s="35"/>
      <c r="AL3827" s="35"/>
    </row>
    <row r="3828">
      <c r="A3828" s="1"/>
      <c r="B3828" s="19" t="s">
        <v>17536</v>
      </c>
      <c r="C3828" s="20" t="s">
        <v>18366</v>
      </c>
      <c r="D3828" s="47"/>
      <c r="E3828" s="22" t="s">
        <v>583</v>
      </c>
      <c r="F3828" s="22" t="s">
        <v>241</v>
      </c>
      <c r="G3828" s="23">
        <v>2018.0</v>
      </c>
      <c r="H3828" s="22" t="s">
        <v>318</v>
      </c>
      <c r="I3828" s="24" t="s">
        <v>18375</v>
      </c>
      <c r="J3828" s="22" t="s">
        <v>18376</v>
      </c>
      <c r="K3828" s="22"/>
      <c r="L3828" s="43" t="s">
        <v>18377</v>
      </c>
      <c r="M3828" s="44"/>
      <c r="N3828" s="44"/>
      <c r="O3828" s="44"/>
      <c r="P3828" s="44"/>
      <c r="Q3828" s="44"/>
      <c r="R3828" s="44"/>
      <c r="S3828" s="44"/>
      <c r="T3828" s="45"/>
      <c r="U3828" s="38" t="str">
        <f>HYPERLINK("https://www.ncbi.nlm.nih.gov/pubmed/29890728","PubMed")</f>
        <v>PubMed</v>
      </c>
      <c r="V3828" s="30"/>
      <c r="W3828" s="49"/>
      <c r="X3828" s="49"/>
      <c r="Y3828" s="35"/>
      <c r="Z3828" s="35"/>
      <c r="AA3828" s="35"/>
      <c r="AB3828" s="35"/>
      <c r="AC3828" s="35"/>
      <c r="AD3828" s="35"/>
      <c r="AE3828" s="35"/>
      <c r="AF3828" s="35"/>
      <c r="AG3828" s="35"/>
      <c r="AH3828" s="35"/>
      <c r="AI3828" s="35"/>
      <c r="AJ3828" s="35"/>
      <c r="AK3828" s="35"/>
      <c r="AL3828" s="35"/>
    </row>
    <row r="3829">
      <c r="A3829" s="1"/>
      <c r="B3829" s="19" t="s">
        <v>17536</v>
      </c>
      <c r="C3829" s="20" t="s">
        <v>18366</v>
      </c>
      <c r="D3829" s="47"/>
      <c r="E3829" s="22" t="s">
        <v>16942</v>
      </c>
      <c r="F3829" s="22" t="s">
        <v>41</v>
      </c>
      <c r="G3829" s="23">
        <v>2017.0</v>
      </c>
      <c r="H3829" s="22" t="s">
        <v>91</v>
      </c>
      <c r="I3829" s="24" t="s">
        <v>18378</v>
      </c>
      <c r="J3829" s="22" t="s">
        <v>18379</v>
      </c>
      <c r="K3829" s="22"/>
      <c r="L3829" s="43" t="s">
        <v>18380</v>
      </c>
      <c r="M3829" s="44"/>
      <c r="N3829" s="44"/>
      <c r="O3829" s="44"/>
      <c r="P3829" s="44"/>
      <c r="Q3829" s="44"/>
      <c r="R3829" s="44"/>
      <c r="S3829" s="44"/>
      <c r="T3829" s="45"/>
      <c r="U3829" s="38" t="str">
        <f>HYPERLINK("https://www.ncbi.nlm.nih.gov/pubmed/29063472","PubMed")</f>
        <v>PubMed</v>
      </c>
      <c r="V3829" s="30"/>
      <c r="W3829" s="49"/>
      <c r="X3829" s="49"/>
      <c r="Y3829" s="35"/>
      <c r="Z3829" s="35"/>
      <c r="AA3829" s="35"/>
      <c r="AB3829" s="35"/>
      <c r="AC3829" s="35"/>
      <c r="AD3829" s="35"/>
      <c r="AE3829" s="35"/>
      <c r="AF3829" s="35"/>
      <c r="AG3829" s="35"/>
      <c r="AH3829" s="35"/>
      <c r="AI3829" s="35"/>
      <c r="AJ3829" s="35"/>
      <c r="AK3829" s="35"/>
      <c r="AL3829" s="35"/>
    </row>
    <row r="3830">
      <c r="A3830" s="1"/>
      <c r="B3830" s="19" t="s">
        <v>17536</v>
      </c>
      <c r="C3830" s="20" t="s">
        <v>18366</v>
      </c>
      <c r="D3830" s="47"/>
      <c r="E3830" s="22" t="s">
        <v>17835</v>
      </c>
      <c r="F3830" s="22" t="s">
        <v>8147</v>
      </c>
      <c r="G3830" s="23" t="s">
        <v>90</v>
      </c>
      <c r="H3830" s="22" t="s">
        <v>91</v>
      </c>
      <c r="I3830" s="24" t="s">
        <v>17836</v>
      </c>
      <c r="J3830" s="22" t="s">
        <v>18381</v>
      </c>
      <c r="K3830" s="22" t="s">
        <v>18382</v>
      </c>
      <c r="L3830" s="105" t="s">
        <v>18383</v>
      </c>
      <c r="M3830" s="44"/>
      <c r="N3830" s="44"/>
      <c r="O3830" s="44"/>
      <c r="P3830" s="44"/>
      <c r="Q3830" s="44"/>
      <c r="R3830" s="44"/>
      <c r="S3830" s="44"/>
      <c r="T3830" s="45"/>
      <c r="U3830" s="38" t="str">
        <f>HYPERLINK("https://www.ncbi.nlm.nih.gov/pubmed/28074305","PubMed")</f>
        <v>PubMed</v>
      </c>
      <c r="V3830" s="30"/>
      <c r="W3830" s="49"/>
      <c r="X3830" s="49"/>
      <c r="Y3830" s="35"/>
      <c r="Z3830" s="35"/>
      <c r="AA3830" s="35"/>
      <c r="AB3830" s="35"/>
      <c r="AC3830" s="35"/>
      <c r="AD3830" s="35"/>
      <c r="AE3830" s="35"/>
      <c r="AF3830" s="35"/>
      <c r="AG3830" s="35"/>
      <c r="AH3830" s="35"/>
      <c r="AI3830" s="35"/>
      <c r="AJ3830" s="35"/>
      <c r="AK3830" s="35"/>
      <c r="AL3830" s="35"/>
    </row>
    <row r="3831">
      <c r="A3831" s="18" t="s">
        <v>2</v>
      </c>
      <c r="B3831" s="19" t="s">
        <v>17536</v>
      </c>
      <c r="C3831" s="20" t="s">
        <v>18366</v>
      </c>
      <c r="D3831" s="47"/>
      <c r="E3831" s="22" t="s">
        <v>388</v>
      </c>
      <c r="F3831" s="22" t="s">
        <v>41</v>
      </c>
      <c r="G3831" s="23">
        <v>2015.0</v>
      </c>
      <c r="H3831" s="22" t="s">
        <v>91</v>
      </c>
      <c r="I3831" s="24" t="s">
        <v>18384</v>
      </c>
      <c r="J3831" s="22" t="s">
        <v>125</v>
      </c>
      <c r="K3831" s="22" t="s">
        <v>4202</v>
      </c>
      <c r="L3831" s="105" t="s">
        <v>18385</v>
      </c>
      <c r="M3831" s="44"/>
      <c r="N3831" s="44"/>
      <c r="O3831" s="44"/>
      <c r="P3831" s="44"/>
      <c r="Q3831" s="44"/>
      <c r="R3831" s="44"/>
      <c r="S3831" s="44"/>
      <c r="T3831" s="45"/>
      <c r="U3831" s="38" t="str">
        <f>HYPERLINK("https://www.ncbi.nlm.nih.gov/pubmed/24519261","PubMed")</f>
        <v>PubMed</v>
      </c>
      <c r="V3831" s="30"/>
      <c r="W3831" s="49"/>
      <c r="X3831" s="49"/>
      <c r="Y3831" s="35"/>
      <c r="Z3831" s="35"/>
      <c r="AA3831" s="35"/>
      <c r="AB3831" s="35"/>
      <c r="AC3831" s="35"/>
      <c r="AD3831" s="35"/>
      <c r="AE3831" s="35"/>
      <c r="AF3831" s="35"/>
      <c r="AG3831" s="35"/>
      <c r="AH3831" s="35"/>
      <c r="AI3831" s="35"/>
      <c r="AJ3831" s="35"/>
      <c r="AK3831" s="35"/>
      <c r="AL3831" s="35"/>
    </row>
    <row r="3832">
      <c r="A3832" s="18"/>
      <c r="B3832" s="19" t="s">
        <v>17536</v>
      </c>
      <c r="C3832" s="20" t="s">
        <v>18366</v>
      </c>
      <c r="D3832" s="47"/>
      <c r="E3832" s="22" t="s">
        <v>216</v>
      </c>
      <c r="F3832" s="22" t="s">
        <v>1508</v>
      </c>
      <c r="G3832" s="23">
        <v>2014.0</v>
      </c>
      <c r="H3832" s="22" t="s">
        <v>2225</v>
      </c>
      <c r="I3832" s="24" t="s">
        <v>18386</v>
      </c>
      <c r="J3832" s="22" t="s">
        <v>125</v>
      </c>
      <c r="K3832" s="22"/>
      <c r="L3832" s="173" t="s">
        <v>18387</v>
      </c>
      <c r="U3832" s="29" t="s">
        <v>61</v>
      </c>
      <c r="V3832" s="30"/>
      <c r="W3832" s="49"/>
      <c r="X3832" s="49"/>
      <c r="Y3832" s="35"/>
      <c r="Z3832" s="35"/>
      <c r="AA3832" s="35"/>
      <c r="AB3832" s="35"/>
      <c r="AC3832" s="35"/>
      <c r="AD3832" s="35"/>
      <c r="AE3832" s="35"/>
      <c r="AF3832" s="35"/>
      <c r="AG3832" s="35"/>
      <c r="AH3832" s="35"/>
      <c r="AI3832" s="35"/>
      <c r="AJ3832" s="35"/>
      <c r="AK3832" s="35"/>
      <c r="AL3832" s="35"/>
    </row>
    <row r="3833">
      <c r="A3833" s="1" t="s">
        <v>2</v>
      </c>
      <c r="B3833" s="19" t="s">
        <v>17536</v>
      </c>
      <c r="C3833" s="20" t="s">
        <v>18366</v>
      </c>
      <c r="D3833" s="47"/>
      <c r="E3833" s="22" t="s">
        <v>18388</v>
      </c>
      <c r="F3833" s="22" t="s">
        <v>18389</v>
      </c>
      <c r="G3833" s="23">
        <v>2014.0</v>
      </c>
      <c r="H3833" s="22" t="s">
        <v>4619</v>
      </c>
      <c r="I3833" s="24" t="s">
        <v>18390</v>
      </c>
      <c r="J3833" s="22" t="s">
        <v>125</v>
      </c>
      <c r="K3833" s="22"/>
      <c r="L3833" s="196" t="s">
        <v>18391</v>
      </c>
      <c r="U3833" s="153" t="str">
        <f>HYPERLINK("https://www.ncbi.nlm.nih.gov/pubmed/24552573","PubMed")</f>
        <v>PubMed</v>
      </c>
      <c r="V3833" s="30"/>
      <c r="W3833" s="49"/>
      <c r="X3833" s="49"/>
      <c r="Y3833" s="35"/>
      <c r="Z3833" s="35"/>
      <c r="AA3833" s="35"/>
      <c r="AB3833" s="35"/>
      <c r="AC3833" s="35"/>
      <c r="AD3833" s="35"/>
      <c r="AE3833" s="35"/>
      <c r="AF3833" s="35"/>
      <c r="AG3833" s="35"/>
      <c r="AH3833" s="35"/>
      <c r="AI3833" s="35"/>
      <c r="AJ3833" s="35"/>
      <c r="AK3833" s="35"/>
      <c r="AL3833" s="35"/>
    </row>
    <row r="3834">
      <c r="A3834" s="1"/>
      <c r="B3834" s="19" t="s">
        <v>17536</v>
      </c>
      <c r="C3834" s="20" t="s">
        <v>18366</v>
      </c>
      <c r="D3834" s="47"/>
      <c r="E3834" s="22" t="s">
        <v>18392</v>
      </c>
      <c r="F3834" s="22" t="s">
        <v>291</v>
      </c>
      <c r="G3834" s="23">
        <v>2013.0</v>
      </c>
      <c r="H3834" s="22" t="s">
        <v>658</v>
      </c>
      <c r="I3834" s="24" t="s">
        <v>18393</v>
      </c>
      <c r="J3834" s="22" t="s">
        <v>3289</v>
      </c>
      <c r="K3834" s="22"/>
      <c r="L3834" s="105" t="s">
        <v>18394</v>
      </c>
      <c r="M3834" s="44"/>
      <c r="N3834" s="44"/>
      <c r="O3834" s="44"/>
      <c r="P3834" s="44"/>
      <c r="Q3834" s="44"/>
      <c r="R3834" s="44"/>
      <c r="S3834" s="44"/>
      <c r="T3834" s="45"/>
      <c r="U3834" s="38" t="str">
        <f>HYPERLINK("https://www.ncbi.nlm.nih.gov/pubmed/19382831","PubMed")</f>
        <v>PubMed</v>
      </c>
      <c r="V3834" s="30"/>
      <c r="W3834" s="49"/>
      <c r="X3834" s="49"/>
      <c r="Y3834" s="35"/>
      <c r="Z3834" s="35"/>
      <c r="AA3834" s="35"/>
      <c r="AB3834" s="35"/>
      <c r="AC3834" s="35"/>
      <c r="AD3834" s="35"/>
      <c r="AE3834" s="35"/>
      <c r="AF3834" s="35"/>
      <c r="AG3834" s="35"/>
      <c r="AH3834" s="35"/>
      <c r="AI3834" s="35"/>
      <c r="AJ3834" s="35"/>
      <c r="AK3834" s="35"/>
      <c r="AL3834" s="35"/>
    </row>
    <row r="3835">
      <c r="A3835" s="1"/>
      <c r="B3835" s="19" t="s">
        <v>17536</v>
      </c>
      <c r="C3835" s="20" t="s">
        <v>18366</v>
      </c>
      <c r="D3835" s="47"/>
      <c r="E3835" s="22" t="s">
        <v>1267</v>
      </c>
      <c r="F3835" s="22" t="s">
        <v>291</v>
      </c>
      <c r="G3835" s="23">
        <v>2013.0</v>
      </c>
      <c r="H3835" s="22" t="s">
        <v>18395</v>
      </c>
      <c r="I3835" s="24" t="s">
        <v>18396</v>
      </c>
      <c r="J3835" s="22" t="s">
        <v>18397</v>
      </c>
      <c r="K3835" s="22"/>
      <c r="L3835" s="105" t="s">
        <v>18398</v>
      </c>
      <c r="M3835" s="44"/>
      <c r="N3835" s="44"/>
      <c r="O3835" s="44"/>
      <c r="P3835" s="44"/>
      <c r="Q3835" s="44"/>
      <c r="R3835" s="44"/>
      <c r="S3835" s="44"/>
      <c r="T3835" s="45"/>
      <c r="U3835" s="38" t="str">
        <f>HYPERLINK("https://www.ncbi.nlm.nih.gov/pubmed/24093608","PubMed")</f>
        <v>PubMed</v>
      </c>
      <c r="V3835" s="30"/>
      <c r="W3835" s="49"/>
      <c r="X3835" s="49"/>
      <c r="Y3835" s="35"/>
      <c r="Z3835" s="35"/>
      <c r="AA3835" s="35"/>
      <c r="AB3835" s="35"/>
      <c r="AC3835" s="35"/>
      <c r="AD3835" s="35"/>
      <c r="AE3835" s="35"/>
      <c r="AF3835" s="35"/>
      <c r="AG3835" s="35"/>
      <c r="AH3835" s="35"/>
      <c r="AI3835" s="35"/>
      <c r="AJ3835" s="35"/>
      <c r="AK3835" s="35"/>
      <c r="AL3835" s="35"/>
    </row>
    <row r="3836">
      <c r="A3836" s="1"/>
      <c r="B3836" s="19" t="s">
        <v>17536</v>
      </c>
      <c r="C3836" s="20" t="s">
        <v>18366</v>
      </c>
      <c r="D3836" s="47"/>
      <c r="E3836" s="22" t="s">
        <v>18399</v>
      </c>
      <c r="F3836" s="22" t="s">
        <v>1862</v>
      </c>
      <c r="G3836" s="23">
        <v>2011.0</v>
      </c>
      <c r="H3836" s="22" t="s">
        <v>658</v>
      </c>
      <c r="I3836" s="24" t="s">
        <v>18400</v>
      </c>
      <c r="J3836" s="22" t="s">
        <v>202</v>
      </c>
      <c r="K3836" s="22"/>
      <c r="L3836" s="105" t="s">
        <v>18401</v>
      </c>
      <c r="M3836" s="44"/>
      <c r="N3836" s="44"/>
      <c r="O3836" s="44"/>
      <c r="P3836" s="44"/>
      <c r="Q3836" s="44"/>
      <c r="R3836" s="44"/>
      <c r="S3836" s="44"/>
      <c r="T3836" s="45"/>
      <c r="U3836" s="153" t="str">
        <f>HYPERLINK("https://www.ncbi.nlm.nih.gov/pubmed/21895528","PubMed")</f>
        <v>PubMed</v>
      </c>
      <c r="V3836" s="30"/>
      <c r="W3836" s="49"/>
      <c r="X3836" s="49"/>
      <c r="Y3836" s="35"/>
      <c r="Z3836" s="35"/>
      <c r="AA3836" s="35"/>
      <c r="AB3836" s="35"/>
      <c r="AC3836" s="35"/>
      <c r="AD3836" s="35"/>
      <c r="AE3836" s="35"/>
      <c r="AF3836" s="35"/>
      <c r="AG3836" s="35"/>
      <c r="AH3836" s="35"/>
      <c r="AI3836" s="35"/>
      <c r="AJ3836" s="35"/>
      <c r="AK3836" s="35"/>
      <c r="AL3836" s="35"/>
    </row>
    <row r="3837">
      <c r="A3837" s="1"/>
      <c r="B3837" s="19" t="s">
        <v>17536</v>
      </c>
      <c r="C3837" s="20" t="s">
        <v>18366</v>
      </c>
      <c r="D3837" s="47"/>
      <c r="E3837" s="22" t="s">
        <v>1267</v>
      </c>
      <c r="F3837" s="22" t="s">
        <v>291</v>
      </c>
      <c r="G3837" s="23">
        <v>2009.0</v>
      </c>
      <c r="H3837" s="22" t="s">
        <v>18402</v>
      </c>
      <c r="I3837" s="24" t="s">
        <v>18403</v>
      </c>
      <c r="J3837" s="22" t="s">
        <v>125</v>
      </c>
      <c r="K3837" s="22"/>
      <c r="L3837" s="105" t="s">
        <v>18404</v>
      </c>
      <c r="M3837" s="44"/>
      <c r="N3837" s="44"/>
      <c r="O3837" s="44"/>
      <c r="P3837" s="44"/>
      <c r="Q3837" s="44"/>
      <c r="R3837" s="44"/>
      <c r="S3837" s="44"/>
      <c r="T3837" s="45"/>
      <c r="U3837" s="153" t="str">
        <f>HYPERLINK("https://www.ncbi.nlm.nih.gov/pubmed/19199510","PubMed")</f>
        <v>PubMed</v>
      </c>
      <c r="V3837" s="30"/>
      <c r="W3837" s="49"/>
      <c r="X3837" s="49"/>
      <c r="Y3837" s="35"/>
      <c r="Z3837" s="35"/>
      <c r="AA3837" s="35"/>
      <c r="AB3837" s="35"/>
      <c r="AC3837" s="35"/>
      <c r="AD3837" s="35"/>
      <c r="AE3837" s="35"/>
      <c r="AF3837" s="35"/>
      <c r="AG3837" s="35"/>
      <c r="AH3837" s="35"/>
      <c r="AI3837" s="35"/>
      <c r="AJ3837" s="35"/>
      <c r="AK3837" s="35"/>
      <c r="AL3837" s="35"/>
    </row>
    <row r="3838">
      <c r="A3838" s="1"/>
      <c r="B3838" s="19" t="s">
        <v>17536</v>
      </c>
      <c r="C3838" s="20" t="s">
        <v>18366</v>
      </c>
      <c r="D3838" s="47"/>
      <c r="E3838" s="22" t="s">
        <v>1267</v>
      </c>
      <c r="F3838" s="22" t="s">
        <v>291</v>
      </c>
      <c r="G3838" s="23">
        <v>2009.0</v>
      </c>
      <c r="H3838" s="22" t="s">
        <v>292</v>
      </c>
      <c r="I3838" s="24" t="s">
        <v>18405</v>
      </c>
      <c r="J3838" s="22" t="s">
        <v>125</v>
      </c>
      <c r="K3838" s="22"/>
      <c r="L3838" s="105" t="s">
        <v>18406</v>
      </c>
      <c r="M3838" s="44"/>
      <c r="N3838" s="44"/>
      <c r="O3838" s="44"/>
      <c r="P3838" s="44"/>
      <c r="Q3838" s="44"/>
      <c r="R3838" s="44"/>
      <c r="S3838" s="44"/>
      <c r="T3838" s="45"/>
      <c r="U3838" s="153" t="str">
        <f>HYPERLINK("https://www.jstage.jst.go.jp/article/islsm/18/1/18_1_27/_article/-char/en","J-STAGE")</f>
        <v>J-STAGE</v>
      </c>
      <c r="V3838" s="30"/>
      <c r="W3838" s="49"/>
      <c r="X3838" s="49"/>
      <c r="Y3838" s="35"/>
      <c r="Z3838" s="35"/>
      <c r="AA3838" s="35"/>
      <c r="AB3838" s="35"/>
      <c r="AC3838" s="35"/>
      <c r="AD3838" s="35"/>
      <c r="AE3838" s="35"/>
      <c r="AF3838" s="35"/>
      <c r="AG3838" s="35"/>
      <c r="AH3838" s="35"/>
      <c r="AI3838" s="35"/>
      <c r="AJ3838" s="35"/>
      <c r="AK3838" s="35"/>
      <c r="AL3838" s="35"/>
    </row>
    <row r="3839">
      <c r="A3839" s="1"/>
      <c r="B3839" s="19" t="s">
        <v>17536</v>
      </c>
      <c r="C3839" s="20" t="s">
        <v>18366</v>
      </c>
      <c r="D3839" s="47"/>
      <c r="E3839" s="22" t="s">
        <v>1267</v>
      </c>
      <c r="F3839" s="22" t="s">
        <v>291</v>
      </c>
      <c r="G3839" s="23">
        <v>2009.0</v>
      </c>
      <c r="H3839" s="22" t="s">
        <v>18395</v>
      </c>
      <c r="I3839" s="24" t="s">
        <v>18407</v>
      </c>
      <c r="J3839" s="22" t="s">
        <v>125</v>
      </c>
      <c r="K3839" s="22"/>
      <c r="L3839" s="105" t="s">
        <v>18408</v>
      </c>
      <c r="M3839" s="44"/>
      <c r="N3839" s="44"/>
      <c r="O3839" s="44"/>
      <c r="P3839" s="44"/>
      <c r="Q3839" s="44"/>
      <c r="R3839" s="44"/>
      <c r="S3839" s="44"/>
      <c r="T3839" s="45"/>
      <c r="U3839" s="153" t="str">
        <f>HYPERLINK("https://www.ncbi.nlm.nih.gov/pubmed/19682654","PubMed")</f>
        <v>PubMed</v>
      </c>
      <c r="V3839" s="30"/>
      <c r="W3839" s="49"/>
      <c r="X3839" s="49"/>
      <c r="Y3839" s="35"/>
      <c r="Z3839" s="35"/>
      <c r="AA3839" s="35"/>
      <c r="AB3839" s="35"/>
      <c r="AC3839" s="35"/>
      <c r="AD3839" s="35"/>
      <c r="AE3839" s="35"/>
      <c r="AF3839" s="35"/>
      <c r="AG3839" s="35"/>
      <c r="AH3839" s="35"/>
      <c r="AI3839" s="35"/>
      <c r="AJ3839" s="35"/>
      <c r="AK3839" s="35"/>
      <c r="AL3839" s="35"/>
    </row>
    <row r="3840">
      <c r="A3840" s="1"/>
      <c r="B3840" s="19" t="s">
        <v>17536</v>
      </c>
      <c r="C3840" s="20" t="s">
        <v>18366</v>
      </c>
      <c r="D3840" s="47"/>
      <c r="E3840" s="22" t="s">
        <v>18118</v>
      </c>
      <c r="F3840" s="22" t="s">
        <v>18119</v>
      </c>
      <c r="G3840" s="23">
        <v>2005.0</v>
      </c>
      <c r="H3840" s="22" t="s">
        <v>4909</v>
      </c>
      <c r="I3840" s="24" t="s">
        <v>18409</v>
      </c>
      <c r="J3840" s="22" t="s">
        <v>125</v>
      </c>
      <c r="K3840" s="22"/>
      <c r="L3840" s="105" t="s">
        <v>18410</v>
      </c>
      <c r="M3840" s="44"/>
      <c r="N3840" s="44"/>
      <c r="O3840" s="44"/>
      <c r="P3840" s="44"/>
      <c r="Q3840" s="44"/>
      <c r="R3840" s="44"/>
      <c r="S3840" s="44"/>
      <c r="T3840" s="45"/>
      <c r="U3840" s="153" t="str">
        <f>HYPERLINK("https://www.ncbi.nlm.nih.gov/pubmed/15742372","PubMed")</f>
        <v>PubMed</v>
      </c>
      <c r="V3840" s="30"/>
      <c r="W3840" s="49"/>
      <c r="X3840" s="49"/>
      <c r="Y3840" s="35"/>
      <c r="Z3840" s="35"/>
      <c r="AA3840" s="35"/>
      <c r="AB3840" s="35"/>
      <c r="AC3840" s="35"/>
      <c r="AD3840" s="35"/>
      <c r="AE3840" s="35"/>
      <c r="AF3840" s="35"/>
      <c r="AG3840" s="35"/>
      <c r="AH3840" s="35"/>
      <c r="AI3840" s="35"/>
      <c r="AJ3840" s="35"/>
      <c r="AK3840" s="35"/>
      <c r="AL3840" s="35"/>
    </row>
    <row r="3841">
      <c r="A3841" s="1"/>
      <c r="B3841" s="19" t="s">
        <v>17536</v>
      </c>
      <c r="C3841" s="20" t="s">
        <v>18366</v>
      </c>
      <c r="D3841" s="47"/>
      <c r="E3841" s="22" t="s">
        <v>14335</v>
      </c>
      <c r="F3841" s="22" t="s">
        <v>3441</v>
      </c>
      <c r="G3841" s="23">
        <v>2004.0</v>
      </c>
      <c r="H3841" s="22" t="s">
        <v>18411</v>
      </c>
      <c r="I3841" s="24" t="s">
        <v>18412</v>
      </c>
      <c r="J3841" s="22" t="s">
        <v>125</v>
      </c>
      <c r="K3841" s="22"/>
      <c r="L3841" s="105" t="s">
        <v>18413</v>
      </c>
      <c r="M3841" s="44"/>
      <c r="N3841" s="44"/>
      <c r="O3841" s="44"/>
      <c r="P3841" s="44"/>
      <c r="Q3841" s="44"/>
      <c r="R3841" s="44"/>
      <c r="S3841" s="44"/>
      <c r="T3841" s="45"/>
      <c r="U3841" s="153" t="str">
        <f>HYPERLINK("https://www.ncbi.nlm.nih.gov/pubmed/15072645","PubMed")</f>
        <v>PubMed</v>
      </c>
      <c r="V3841" s="30"/>
      <c r="W3841" s="49"/>
      <c r="X3841" s="49"/>
      <c r="Y3841" s="35"/>
      <c r="Z3841" s="35"/>
      <c r="AA3841" s="35"/>
      <c r="AB3841" s="35"/>
      <c r="AC3841" s="35"/>
      <c r="AD3841" s="35"/>
      <c r="AE3841" s="35"/>
      <c r="AF3841" s="35"/>
      <c r="AG3841" s="35"/>
      <c r="AH3841" s="35"/>
      <c r="AI3841" s="35"/>
      <c r="AJ3841" s="35"/>
      <c r="AK3841" s="35"/>
      <c r="AL3841" s="35"/>
    </row>
    <row r="3842">
      <c r="A3842" s="18"/>
      <c r="B3842" s="19" t="s">
        <v>17536</v>
      </c>
      <c r="C3842" s="20" t="s">
        <v>2036</v>
      </c>
      <c r="D3842" s="47"/>
      <c r="E3842" s="22" t="s">
        <v>3338</v>
      </c>
      <c r="F3842" s="22" t="s">
        <v>1046</v>
      </c>
      <c r="G3842" s="23">
        <v>2024.0</v>
      </c>
      <c r="H3842" s="22" t="s">
        <v>3984</v>
      </c>
      <c r="I3842" s="24" t="s">
        <v>18414</v>
      </c>
      <c r="J3842" s="22" t="s">
        <v>18415</v>
      </c>
      <c r="K3842" s="22"/>
      <c r="L3842" s="105" t="s">
        <v>18416</v>
      </c>
      <c r="M3842" s="44"/>
      <c r="N3842" s="44"/>
      <c r="O3842" s="44"/>
      <c r="P3842" s="44"/>
      <c r="Q3842" s="44"/>
      <c r="R3842" s="44"/>
      <c r="S3842" s="44"/>
      <c r="T3842" s="45"/>
      <c r="U3842" s="38" t="s">
        <v>61</v>
      </c>
      <c r="V3842" s="30"/>
      <c r="W3842" s="49"/>
      <c r="X3842" s="49"/>
      <c r="Y3842" s="35"/>
      <c r="Z3842" s="35"/>
      <c r="AA3842" s="35"/>
      <c r="AB3842" s="35"/>
      <c r="AC3842" s="35"/>
      <c r="AD3842" s="35"/>
      <c r="AE3842" s="35"/>
      <c r="AF3842" s="35"/>
      <c r="AG3842" s="35"/>
      <c r="AH3842" s="35"/>
      <c r="AI3842" s="35"/>
      <c r="AJ3842" s="35"/>
      <c r="AK3842" s="35"/>
      <c r="AL3842" s="35"/>
    </row>
    <row r="3843">
      <c r="A3843" s="18"/>
      <c r="B3843" s="19" t="s">
        <v>17536</v>
      </c>
      <c r="C3843" s="20" t="s">
        <v>2036</v>
      </c>
      <c r="D3843" s="47"/>
      <c r="E3843" s="22" t="s">
        <v>18417</v>
      </c>
      <c r="F3843" s="22" t="s">
        <v>323</v>
      </c>
      <c r="G3843" s="23">
        <v>2021.0</v>
      </c>
      <c r="H3843" s="22" t="s">
        <v>91</v>
      </c>
      <c r="I3843" s="24" t="s">
        <v>18418</v>
      </c>
      <c r="J3843" s="22" t="s">
        <v>125</v>
      </c>
      <c r="K3843" s="22"/>
      <c r="L3843" s="43" t="s">
        <v>18419</v>
      </c>
      <c r="M3843" s="44"/>
      <c r="N3843" s="44"/>
      <c r="O3843" s="44"/>
      <c r="P3843" s="44"/>
      <c r="Q3843" s="44"/>
      <c r="R3843" s="44"/>
      <c r="S3843" s="44"/>
      <c r="T3843" s="45"/>
      <c r="U3843" s="29" t="s">
        <v>61</v>
      </c>
      <c r="V3843" s="30"/>
      <c r="W3843" s="49"/>
      <c r="X3843" s="49"/>
      <c r="Y3843" s="35"/>
      <c r="Z3843" s="35"/>
      <c r="AA3843" s="35"/>
      <c r="AB3843" s="35"/>
      <c r="AC3843" s="35"/>
      <c r="AD3843" s="35"/>
      <c r="AE3843" s="35"/>
      <c r="AF3843" s="35"/>
      <c r="AG3843" s="35"/>
      <c r="AH3843" s="35"/>
      <c r="AI3843" s="35"/>
      <c r="AJ3843" s="35"/>
      <c r="AK3843" s="35"/>
      <c r="AL3843" s="35"/>
    </row>
    <row r="3844">
      <c r="A3844" s="18" t="s">
        <v>2</v>
      </c>
      <c r="B3844" s="19" t="s">
        <v>17536</v>
      </c>
      <c r="C3844" s="20" t="s">
        <v>2036</v>
      </c>
      <c r="D3844" s="47"/>
      <c r="E3844" s="22" t="s">
        <v>1267</v>
      </c>
      <c r="F3844" s="22" t="s">
        <v>291</v>
      </c>
      <c r="G3844" s="23">
        <v>2017.0</v>
      </c>
      <c r="H3844" s="22" t="s">
        <v>658</v>
      </c>
      <c r="I3844" s="24" t="s">
        <v>18420</v>
      </c>
      <c r="J3844" s="22" t="s">
        <v>125</v>
      </c>
      <c r="K3844" s="22"/>
      <c r="L3844" s="105" t="s">
        <v>18421</v>
      </c>
      <c r="M3844" s="44"/>
      <c r="N3844" s="44"/>
      <c r="O3844" s="44"/>
      <c r="P3844" s="44"/>
      <c r="Q3844" s="44"/>
      <c r="R3844" s="44"/>
      <c r="S3844" s="44"/>
      <c r="T3844" s="45"/>
      <c r="U3844" s="153" t="str">
        <f>HYPERLINK("https://www.ncbi.nlm.nih.gov/pubmed/29099679","PubMed")</f>
        <v>PubMed</v>
      </c>
      <c r="V3844" s="30"/>
      <c r="W3844" s="49"/>
      <c r="X3844" s="49"/>
      <c r="Y3844" s="35"/>
      <c r="Z3844" s="35"/>
      <c r="AA3844" s="35"/>
      <c r="AB3844" s="35"/>
      <c r="AC3844" s="35"/>
      <c r="AD3844" s="35"/>
      <c r="AE3844" s="35"/>
      <c r="AF3844" s="35"/>
      <c r="AG3844" s="35"/>
      <c r="AH3844" s="35"/>
      <c r="AI3844" s="35"/>
      <c r="AJ3844" s="35"/>
      <c r="AK3844" s="35"/>
      <c r="AL3844" s="35"/>
    </row>
    <row r="3845">
      <c r="A3845" s="1"/>
      <c r="B3845" s="19" t="s">
        <v>17536</v>
      </c>
      <c r="C3845" s="20" t="s">
        <v>18422</v>
      </c>
      <c r="D3845" s="47"/>
      <c r="E3845" s="22" t="s">
        <v>18423</v>
      </c>
      <c r="F3845" s="22" t="s">
        <v>18424</v>
      </c>
      <c r="G3845" s="23">
        <v>2024.0</v>
      </c>
      <c r="H3845" s="22" t="s">
        <v>3950</v>
      </c>
      <c r="I3845" s="24" t="s">
        <v>18425</v>
      </c>
      <c r="J3845" s="22" t="s">
        <v>55</v>
      </c>
      <c r="K3845" s="22"/>
      <c r="L3845" s="36">
        <v>660.0</v>
      </c>
      <c r="M3845" s="36"/>
      <c r="N3845" s="37" t="s">
        <v>18426</v>
      </c>
      <c r="O3845" s="36"/>
      <c r="P3845" s="37"/>
      <c r="Q3845" s="36" t="s">
        <v>18427</v>
      </c>
      <c r="R3845" s="36"/>
      <c r="S3845" s="36"/>
      <c r="T3845" s="28" t="s">
        <v>18428</v>
      </c>
      <c r="U3845" s="38" t="s">
        <v>61</v>
      </c>
      <c r="V3845" s="30" t="s">
        <v>18429</v>
      </c>
      <c r="W3845" s="49"/>
      <c r="X3845" s="49"/>
      <c r="Y3845" s="35"/>
      <c r="Z3845" s="35"/>
      <c r="AA3845" s="35"/>
      <c r="AB3845" s="35"/>
      <c r="AC3845" s="35"/>
      <c r="AD3845" s="35"/>
      <c r="AE3845" s="35"/>
      <c r="AF3845" s="35"/>
      <c r="AG3845" s="35"/>
      <c r="AH3845" s="35"/>
      <c r="AI3845" s="35"/>
      <c r="AJ3845" s="35"/>
      <c r="AK3845" s="35"/>
      <c r="AL3845" s="35"/>
    </row>
    <row r="3846">
      <c r="A3846" s="1"/>
      <c r="B3846" s="19" t="s">
        <v>17536</v>
      </c>
      <c r="C3846" s="20" t="s">
        <v>18422</v>
      </c>
      <c r="D3846" s="47"/>
      <c r="E3846" s="22" t="s">
        <v>18430</v>
      </c>
      <c r="F3846" s="22" t="s">
        <v>2087</v>
      </c>
      <c r="G3846" s="23">
        <v>2023.0</v>
      </c>
      <c r="H3846" s="22" t="s">
        <v>3950</v>
      </c>
      <c r="I3846" s="24" t="s">
        <v>18431</v>
      </c>
      <c r="J3846" s="22" t="s">
        <v>55</v>
      </c>
      <c r="K3846" s="22"/>
      <c r="L3846" s="36">
        <v>660.0</v>
      </c>
      <c r="M3846" s="36"/>
      <c r="N3846" s="37"/>
      <c r="O3846" s="36"/>
      <c r="P3846" s="37"/>
      <c r="Q3846" s="36"/>
      <c r="R3846" s="36" t="s">
        <v>18432</v>
      </c>
      <c r="S3846" s="36"/>
      <c r="T3846" s="28" t="s">
        <v>18433</v>
      </c>
      <c r="U3846" s="38" t="s">
        <v>61</v>
      </c>
      <c r="V3846" s="30"/>
      <c r="W3846" s="49"/>
      <c r="X3846" s="49"/>
      <c r="Y3846" s="35"/>
      <c r="Z3846" s="35"/>
      <c r="AA3846" s="35"/>
      <c r="AB3846" s="35"/>
      <c r="AC3846" s="35"/>
      <c r="AD3846" s="35"/>
      <c r="AE3846" s="35"/>
      <c r="AF3846" s="35"/>
      <c r="AG3846" s="35"/>
      <c r="AH3846" s="35"/>
      <c r="AI3846" s="35"/>
      <c r="AJ3846" s="35"/>
      <c r="AK3846" s="35"/>
      <c r="AL3846" s="35"/>
    </row>
    <row r="3847">
      <c r="A3847" s="1"/>
      <c r="B3847" s="19" t="s">
        <v>17536</v>
      </c>
      <c r="C3847" s="20" t="s">
        <v>18422</v>
      </c>
      <c r="D3847" s="47"/>
      <c r="E3847" s="22" t="s">
        <v>2316</v>
      </c>
      <c r="F3847" s="22" t="s">
        <v>3301</v>
      </c>
      <c r="G3847" s="23">
        <v>2024.0</v>
      </c>
      <c r="H3847" s="22" t="s">
        <v>2225</v>
      </c>
      <c r="I3847" s="24" t="s">
        <v>18434</v>
      </c>
      <c r="J3847" s="22" t="s">
        <v>209</v>
      </c>
      <c r="K3847" s="22"/>
      <c r="L3847" s="36">
        <v>810.0</v>
      </c>
      <c r="M3847" s="36"/>
      <c r="N3847" s="37" t="s">
        <v>3911</v>
      </c>
      <c r="O3847" s="36"/>
      <c r="P3847" s="37"/>
      <c r="Q3847" s="36"/>
      <c r="R3847" s="36">
        <v>3000.0</v>
      </c>
      <c r="S3847" s="36" t="s">
        <v>35</v>
      </c>
      <c r="T3847" s="28" t="s">
        <v>18435</v>
      </c>
      <c r="U3847" s="38" t="s">
        <v>61</v>
      </c>
      <c r="V3847" s="30"/>
      <c r="W3847" s="49"/>
      <c r="X3847" s="49"/>
      <c r="Y3847" s="35"/>
      <c r="Z3847" s="35"/>
      <c r="AA3847" s="35"/>
      <c r="AB3847" s="35"/>
      <c r="AC3847" s="35"/>
      <c r="AD3847" s="35"/>
      <c r="AE3847" s="35"/>
      <c r="AF3847" s="35"/>
      <c r="AG3847" s="35"/>
      <c r="AH3847" s="35"/>
      <c r="AI3847" s="35"/>
      <c r="AJ3847" s="35"/>
      <c r="AK3847" s="35"/>
      <c r="AL3847" s="35"/>
    </row>
    <row r="3848">
      <c r="A3848" s="1"/>
      <c r="B3848" s="19" t="s">
        <v>17536</v>
      </c>
      <c r="C3848" s="20" t="s">
        <v>18422</v>
      </c>
      <c r="D3848" s="47"/>
      <c r="E3848" s="22" t="s">
        <v>18436</v>
      </c>
      <c r="F3848" s="22" t="s">
        <v>41</v>
      </c>
      <c r="G3848" s="23">
        <v>2023.0</v>
      </c>
      <c r="H3848" s="22" t="s">
        <v>53</v>
      </c>
      <c r="I3848" s="24" t="s">
        <v>18437</v>
      </c>
      <c r="J3848" s="22" t="s">
        <v>55</v>
      </c>
      <c r="K3848" s="22" t="s">
        <v>18438</v>
      </c>
      <c r="L3848" s="36">
        <v>780.0</v>
      </c>
      <c r="M3848" s="36">
        <v>40.0</v>
      </c>
      <c r="N3848" s="37"/>
      <c r="O3848" s="36" t="s">
        <v>18439</v>
      </c>
      <c r="P3848" s="37" t="s">
        <v>6397</v>
      </c>
      <c r="Q3848" s="36"/>
      <c r="R3848" s="36"/>
      <c r="S3848" s="36" t="s">
        <v>3295</v>
      </c>
      <c r="T3848" s="28" t="s">
        <v>18440</v>
      </c>
      <c r="U3848" s="38" t="s">
        <v>61</v>
      </c>
      <c r="V3848" s="30"/>
      <c r="W3848" s="49"/>
      <c r="X3848" s="49"/>
      <c r="Y3848" s="35"/>
      <c r="Z3848" s="35"/>
      <c r="AA3848" s="35"/>
      <c r="AB3848" s="35"/>
      <c r="AC3848" s="35"/>
      <c r="AD3848" s="35"/>
      <c r="AE3848" s="35"/>
      <c r="AF3848" s="35"/>
      <c r="AG3848" s="35"/>
      <c r="AH3848" s="35"/>
      <c r="AI3848" s="35"/>
      <c r="AJ3848" s="35"/>
      <c r="AK3848" s="35"/>
      <c r="AL3848" s="35"/>
    </row>
    <row r="3849">
      <c r="A3849" s="1"/>
      <c r="B3849" s="19" t="s">
        <v>17536</v>
      </c>
      <c r="C3849" s="20" t="s">
        <v>18422</v>
      </c>
      <c r="D3849" s="47"/>
      <c r="E3849" s="22" t="s">
        <v>1689</v>
      </c>
      <c r="F3849" s="22" t="s">
        <v>483</v>
      </c>
      <c r="G3849" s="23">
        <v>2023.0</v>
      </c>
      <c r="H3849" s="22" t="s">
        <v>2225</v>
      </c>
      <c r="I3849" s="24" t="s">
        <v>18441</v>
      </c>
      <c r="J3849" s="22" t="s">
        <v>55</v>
      </c>
      <c r="K3849" s="22"/>
      <c r="L3849" s="36">
        <v>810.0</v>
      </c>
      <c r="M3849" s="36">
        <v>150.0</v>
      </c>
      <c r="N3849" s="37"/>
      <c r="O3849" s="36"/>
      <c r="P3849" s="37"/>
      <c r="Q3849" s="36"/>
      <c r="R3849" s="36">
        <v>3600.0</v>
      </c>
      <c r="S3849" s="36" t="s">
        <v>3295</v>
      </c>
      <c r="T3849" s="28" t="s">
        <v>18442</v>
      </c>
      <c r="U3849" s="38" t="s">
        <v>61</v>
      </c>
      <c r="V3849" s="30"/>
      <c r="W3849" s="49"/>
      <c r="X3849" s="49"/>
      <c r="Y3849" s="35"/>
      <c r="Z3849" s="35"/>
      <c r="AA3849" s="35"/>
      <c r="AB3849" s="35"/>
      <c r="AC3849" s="35"/>
      <c r="AD3849" s="35"/>
      <c r="AE3849" s="35"/>
      <c r="AF3849" s="35"/>
      <c r="AG3849" s="35"/>
      <c r="AH3849" s="35"/>
      <c r="AI3849" s="35"/>
      <c r="AJ3849" s="35"/>
      <c r="AK3849" s="35"/>
      <c r="AL3849" s="35"/>
    </row>
    <row r="3850">
      <c r="A3850" s="1"/>
      <c r="B3850" s="19" t="s">
        <v>17536</v>
      </c>
      <c r="C3850" s="20" t="s">
        <v>18422</v>
      </c>
      <c r="D3850" s="47"/>
      <c r="E3850" s="22" t="s">
        <v>18443</v>
      </c>
      <c r="F3850" s="22" t="s">
        <v>3301</v>
      </c>
      <c r="G3850" s="23">
        <v>2023.0</v>
      </c>
      <c r="H3850" s="22" t="s">
        <v>18444</v>
      </c>
      <c r="I3850" s="24" t="s">
        <v>18445</v>
      </c>
      <c r="J3850" s="22" t="s">
        <v>209</v>
      </c>
      <c r="K3850" s="22"/>
      <c r="L3850" s="36">
        <v>808.0</v>
      </c>
      <c r="M3850" s="36">
        <v>1000.0</v>
      </c>
      <c r="N3850" s="37" t="s">
        <v>3911</v>
      </c>
      <c r="O3850" s="36"/>
      <c r="P3850" s="37"/>
      <c r="Q3850" s="36"/>
      <c r="R3850" s="36">
        <v>3000.0</v>
      </c>
      <c r="S3850" s="36" t="s">
        <v>18446</v>
      </c>
      <c r="T3850" s="28" t="s">
        <v>18447</v>
      </c>
      <c r="U3850" s="38" t="s">
        <v>61</v>
      </c>
      <c r="V3850" s="30"/>
      <c r="W3850" s="49"/>
      <c r="X3850" s="49"/>
      <c r="Y3850" s="35"/>
      <c r="Z3850" s="35"/>
      <c r="AA3850" s="35"/>
      <c r="AB3850" s="35"/>
      <c r="AC3850" s="35"/>
      <c r="AD3850" s="35"/>
      <c r="AE3850" s="35"/>
      <c r="AF3850" s="35"/>
      <c r="AG3850" s="35"/>
      <c r="AH3850" s="35"/>
      <c r="AI3850" s="35"/>
      <c r="AJ3850" s="35"/>
      <c r="AK3850" s="35"/>
      <c r="AL3850" s="35"/>
    </row>
    <row r="3851">
      <c r="A3851" s="1"/>
      <c r="B3851" s="19" t="s">
        <v>17536</v>
      </c>
      <c r="C3851" s="20" t="s">
        <v>18422</v>
      </c>
      <c r="D3851" s="47"/>
      <c r="E3851" s="22" t="s">
        <v>18443</v>
      </c>
      <c r="F3851" s="22" t="s">
        <v>3301</v>
      </c>
      <c r="G3851" s="23">
        <v>2023.0</v>
      </c>
      <c r="H3851" s="22" t="s">
        <v>2225</v>
      </c>
      <c r="I3851" s="24" t="s">
        <v>18448</v>
      </c>
      <c r="J3851" s="22" t="s">
        <v>209</v>
      </c>
      <c r="K3851" s="22"/>
      <c r="L3851" s="36">
        <v>810.0</v>
      </c>
      <c r="M3851" s="36"/>
      <c r="N3851" s="37"/>
      <c r="O3851" s="36"/>
      <c r="P3851" s="37"/>
      <c r="Q3851" s="36"/>
      <c r="R3851" s="36"/>
      <c r="S3851" s="36"/>
      <c r="T3851" s="28" t="s">
        <v>18449</v>
      </c>
      <c r="U3851" s="38" t="s">
        <v>61</v>
      </c>
      <c r="V3851" s="30"/>
      <c r="W3851" s="49"/>
      <c r="X3851" s="49"/>
      <c r="Y3851" s="35"/>
      <c r="Z3851" s="35"/>
      <c r="AA3851" s="35"/>
      <c r="AB3851" s="35"/>
      <c r="AC3851" s="35"/>
      <c r="AD3851" s="35"/>
      <c r="AE3851" s="35"/>
      <c r="AF3851" s="35"/>
      <c r="AG3851" s="35"/>
      <c r="AH3851" s="35"/>
      <c r="AI3851" s="35"/>
      <c r="AJ3851" s="35"/>
      <c r="AK3851" s="35"/>
      <c r="AL3851" s="35"/>
    </row>
    <row r="3852">
      <c r="A3852" s="1"/>
      <c r="B3852" s="19" t="s">
        <v>17536</v>
      </c>
      <c r="C3852" s="20" t="s">
        <v>18422</v>
      </c>
      <c r="D3852" s="47"/>
      <c r="E3852" s="22" t="s">
        <v>1921</v>
      </c>
      <c r="F3852" s="22" t="s">
        <v>7062</v>
      </c>
      <c r="G3852" s="23">
        <v>2022.0</v>
      </c>
      <c r="H3852" s="22" t="s">
        <v>6123</v>
      </c>
      <c r="I3852" s="24" t="s">
        <v>18450</v>
      </c>
      <c r="J3852" s="22" t="s">
        <v>55</v>
      </c>
      <c r="K3852" s="22"/>
      <c r="L3852" s="36">
        <v>810.0</v>
      </c>
      <c r="M3852" s="36"/>
      <c r="N3852" s="37"/>
      <c r="O3852" s="36"/>
      <c r="P3852" s="37"/>
      <c r="Q3852" s="36"/>
      <c r="R3852" s="36">
        <v>3600.0</v>
      </c>
      <c r="S3852" s="36" t="s">
        <v>3295</v>
      </c>
      <c r="T3852" s="28" t="s">
        <v>18451</v>
      </c>
      <c r="U3852" s="38" t="s">
        <v>61</v>
      </c>
      <c r="V3852" s="30"/>
      <c r="W3852" s="49"/>
      <c r="X3852" s="49"/>
      <c r="Y3852" s="35"/>
      <c r="Z3852" s="35"/>
      <c r="AA3852" s="35"/>
      <c r="AB3852" s="35"/>
      <c r="AC3852" s="35"/>
      <c r="AD3852" s="35"/>
      <c r="AE3852" s="35"/>
      <c r="AF3852" s="35"/>
      <c r="AG3852" s="35"/>
      <c r="AH3852" s="35"/>
      <c r="AI3852" s="35"/>
      <c r="AJ3852" s="35"/>
      <c r="AK3852" s="35"/>
      <c r="AL3852" s="35"/>
    </row>
    <row r="3853">
      <c r="A3853" s="1"/>
      <c r="B3853" s="19" t="s">
        <v>17536</v>
      </c>
      <c r="C3853" s="20" t="s">
        <v>18422</v>
      </c>
      <c r="D3853" s="47"/>
      <c r="E3853" s="22" t="s">
        <v>1921</v>
      </c>
      <c r="F3853" s="22" t="s">
        <v>3301</v>
      </c>
      <c r="G3853" s="23">
        <v>2022.0</v>
      </c>
      <c r="H3853" s="22" t="s">
        <v>4306</v>
      </c>
      <c r="I3853" s="24" t="s">
        <v>18452</v>
      </c>
      <c r="J3853" s="22" t="s">
        <v>55</v>
      </c>
      <c r="K3853" s="22"/>
      <c r="L3853" s="36" t="s">
        <v>18453</v>
      </c>
      <c r="M3853" s="36"/>
      <c r="N3853" s="37" t="s">
        <v>18454</v>
      </c>
      <c r="O3853" s="36">
        <v>540.0</v>
      </c>
      <c r="P3853" s="37" t="s">
        <v>18455</v>
      </c>
      <c r="Q3853" s="36" t="s">
        <v>18456</v>
      </c>
      <c r="R3853" s="36" t="s">
        <v>18457</v>
      </c>
      <c r="S3853" s="36" t="s">
        <v>18458</v>
      </c>
      <c r="T3853" s="28" t="s">
        <v>18459</v>
      </c>
      <c r="U3853" s="38" t="s">
        <v>61</v>
      </c>
      <c r="V3853" s="30"/>
      <c r="W3853" s="49"/>
      <c r="X3853" s="49"/>
      <c r="Y3853" s="35"/>
      <c r="Z3853" s="35"/>
      <c r="AA3853" s="35"/>
      <c r="AB3853" s="35"/>
      <c r="AC3853" s="35"/>
      <c r="AD3853" s="35"/>
      <c r="AE3853" s="35"/>
      <c r="AF3853" s="35"/>
      <c r="AG3853" s="35"/>
      <c r="AH3853" s="35"/>
      <c r="AI3853" s="35"/>
      <c r="AJ3853" s="35"/>
      <c r="AK3853" s="35"/>
      <c r="AL3853" s="35"/>
    </row>
    <row r="3854">
      <c r="A3854" s="1"/>
      <c r="B3854" s="19" t="s">
        <v>17536</v>
      </c>
      <c r="C3854" s="20" t="s">
        <v>18422</v>
      </c>
      <c r="D3854" s="47"/>
      <c r="E3854" s="22" t="s">
        <v>18460</v>
      </c>
      <c r="F3854" s="22" t="s">
        <v>323</v>
      </c>
      <c r="G3854" s="23">
        <v>2022.0</v>
      </c>
      <c r="H3854" s="22" t="s">
        <v>77</v>
      </c>
      <c r="I3854" s="24" t="s">
        <v>18461</v>
      </c>
      <c r="J3854" s="22" t="s">
        <v>55</v>
      </c>
      <c r="K3854" s="22"/>
      <c r="L3854" s="36">
        <v>660.0</v>
      </c>
      <c r="M3854" s="36"/>
      <c r="N3854" s="37"/>
      <c r="O3854" s="36"/>
      <c r="P3854" s="37"/>
      <c r="Q3854" s="36"/>
      <c r="R3854" s="36" t="s">
        <v>18462</v>
      </c>
      <c r="S3854" s="36" t="s">
        <v>18463</v>
      </c>
      <c r="T3854" s="28" t="s">
        <v>18464</v>
      </c>
      <c r="U3854" s="38" t="s">
        <v>61</v>
      </c>
      <c r="V3854" s="30"/>
      <c r="W3854" s="49"/>
      <c r="X3854" s="49"/>
      <c r="Y3854" s="35"/>
      <c r="Z3854" s="35"/>
      <c r="AA3854" s="35"/>
      <c r="AB3854" s="35"/>
      <c r="AC3854" s="35"/>
      <c r="AD3854" s="35"/>
      <c r="AE3854" s="35"/>
      <c r="AF3854" s="35"/>
      <c r="AG3854" s="35"/>
      <c r="AH3854" s="35"/>
      <c r="AI3854" s="35"/>
      <c r="AJ3854" s="35"/>
      <c r="AK3854" s="35"/>
      <c r="AL3854" s="35"/>
    </row>
    <row r="3855">
      <c r="A3855" s="1"/>
      <c r="B3855" s="19" t="s">
        <v>17536</v>
      </c>
      <c r="C3855" s="20" t="s">
        <v>18422</v>
      </c>
      <c r="D3855" s="47"/>
      <c r="E3855" s="22" t="s">
        <v>2593</v>
      </c>
      <c r="F3855" s="22" t="s">
        <v>7062</v>
      </c>
      <c r="G3855" s="23">
        <v>2022.0</v>
      </c>
      <c r="H3855" s="22" t="s">
        <v>91</v>
      </c>
      <c r="I3855" s="24" t="s">
        <v>18465</v>
      </c>
      <c r="J3855" s="22" t="s">
        <v>18466</v>
      </c>
      <c r="K3855" s="22"/>
      <c r="L3855" s="36">
        <v>810.0</v>
      </c>
      <c r="M3855" s="36">
        <v>300.0</v>
      </c>
      <c r="N3855" s="37"/>
      <c r="O3855" s="36"/>
      <c r="P3855" s="37"/>
      <c r="Q3855" s="36"/>
      <c r="R3855" s="36">
        <v>1800.0</v>
      </c>
      <c r="S3855" s="36" t="s">
        <v>35</v>
      </c>
      <c r="T3855" s="28" t="s">
        <v>18467</v>
      </c>
      <c r="U3855" s="29" t="s">
        <v>61</v>
      </c>
      <c r="V3855" s="30"/>
      <c r="W3855" s="49"/>
      <c r="X3855" s="49"/>
      <c r="Y3855" s="35"/>
      <c r="Z3855" s="35"/>
      <c r="AA3855" s="35"/>
      <c r="AB3855" s="35"/>
      <c r="AC3855" s="35"/>
      <c r="AD3855" s="35"/>
      <c r="AE3855" s="35"/>
      <c r="AF3855" s="35"/>
      <c r="AG3855" s="35"/>
      <c r="AH3855" s="35"/>
      <c r="AI3855" s="35"/>
      <c r="AJ3855" s="35"/>
      <c r="AK3855" s="35"/>
      <c r="AL3855" s="35"/>
    </row>
    <row r="3856">
      <c r="A3856" s="1"/>
      <c r="B3856" s="19" t="s">
        <v>17536</v>
      </c>
      <c r="C3856" s="20" t="s">
        <v>18422</v>
      </c>
      <c r="D3856" s="47"/>
      <c r="E3856" s="22" t="s">
        <v>18468</v>
      </c>
      <c r="F3856" s="22" t="s">
        <v>41</v>
      </c>
      <c r="G3856" s="23">
        <v>2022.0</v>
      </c>
      <c r="H3856" s="22" t="s">
        <v>42</v>
      </c>
      <c r="I3856" s="24" t="s">
        <v>18469</v>
      </c>
      <c r="J3856" s="22" t="s">
        <v>533</v>
      </c>
      <c r="K3856" s="22"/>
      <c r="L3856" s="331" t="s">
        <v>18470</v>
      </c>
      <c r="M3856" s="44"/>
      <c r="N3856" s="44"/>
      <c r="O3856" s="44"/>
      <c r="P3856" s="44"/>
      <c r="Q3856" s="44"/>
      <c r="R3856" s="44"/>
      <c r="S3856" s="44"/>
      <c r="T3856" s="45"/>
      <c r="U3856" s="29" t="s">
        <v>61</v>
      </c>
      <c r="V3856" s="30"/>
      <c r="W3856" s="49"/>
      <c r="X3856" s="49"/>
      <c r="Y3856" s="35"/>
      <c r="Z3856" s="35"/>
      <c r="AA3856" s="35"/>
      <c r="AB3856" s="35"/>
      <c r="AC3856" s="35"/>
      <c r="AD3856" s="35"/>
      <c r="AE3856" s="35"/>
      <c r="AF3856" s="35"/>
      <c r="AG3856" s="35"/>
      <c r="AH3856" s="35"/>
      <c r="AI3856" s="35"/>
      <c r="AJ3856" s="35"/>
      <c r="AK3856" s="35"/>
      <c r="AL3856" s="35"/>
    </row>
    <row r="3857">
      <c r="A3857" s="1"/>
      <c r="B3857" s="19" t="s">
        <v>17536</v>
      </c>
      <c r="C3857" s="20" t="s">
        <v>18422</v>
      </c>
      <c r="D3857" s="47"/>
      <c r="E3857" s="22" t="s">
        <v>4286</v>
      </c>
      <c r="F3857" s="22" t="s">
        <v>3301</v>
      </c>
      <c r="G3857" s="23">
        <v>2022.0</v>
      </c>
      <c r="H3857" s="22" t="s">
        <v>12052</v>
      </c>
      <c r="I3857" s="24" t="s">
        <v>18471</v>
      </c>
      <c r="J3857" s="22" t="s">
        <v>44</v>
      </c>
      <c r="K3857" s="22"/>
      <c r="L3857" s="36">
        <v>808.0</v>
      </c>
      <c r="M3857" s="36"/>
      <c r="N3857" s="37" t="s">
        <v>3911</v>
      </c>
      <c r="O3857" s="36"/>
      <c r="P3857" s="37"/>
      <c r="Q3857" s="36"/>
      <c r="R3857" s="36">
        <v>3000.0</v>
      </c>
      <c r="S3857" s="183"/>
      <c r="T3857" s="28" t="s">
        <v>18472</v>
      </c>
      <c r="U3857" s="29" t="s">
        <v>61</v>
      </c>
      <c r="V3857" s="30"/>
      <c r="W3857" s="49"/>
      <c r="X3857" s="49"/>
      <c r="Y3857" s="35"/>
      <c r="Z3857" s="35"/>
      <c r="AA3857" s="35"/>
      <c r="AB3857" s="35"/>
      <c r="AC3857" s="35"/>
      <c r="AD3857" s="35"/>
      <c r="AE3857" s="35"/>
      <c r="AF3857" s="35"/>
      <c r="AG3857" s="35"/>
      <c r="AH3857" s="35"/>
      <c r="AI3857" s="35"/>
      <c r="AJ3857" s="35"/>
      <c r="AK3857" s="35"/>
      <c r="AL3857" s="35"/>
    </row>
    <row r="3858">
      <c r="A3858" s="1"/>
      <c r="B3858" s="19" t="s">
        <v>17536</v>
      </c>
      <c r="C3858" s="20" t="s">
        <v>18422</v>
      </c>
      <c r="D3858" s="47"/>
      <c r="E3858" s="22" t="s">
        <v>626</v>
      </c>
      <c r="F3858" s="22" t="s">
        <v>3301</v>
      </c>
      <c r="G3858" s="23">
        <v>2021.0</v>
      </c>
      <c r="H3858" s="22" t="s">
        <v>2122</v>
      </c>
      <c r="I3858" s="24" t="s">
        <v>18473</v>
      </c>
      <c r="J3858" s="22" t="s">
        <v>55</v>
      </c>
      <c r="K3858" s="22"/>
      <c r="L3858" s="36">
        <v>810.0</v>
      </c>
      <c r="M3858" s="36"/>
      <c r="N3858" s="37"/>
      <c r="O3858" s="36"/>
      <c r="P3858" s="37"/>
      <c r="Q3858" s="36"/>
      <c r="R3858" s="36"/>
      <c r="S3858" s="183"/>
      <c r="T3858" s="28" t="s">
        <v>18474</v>
      </c>
      <c r="U3858" s="29" t="s">
        <v>61</v>
      </c>
      <c r="V3858" s="30"/>
      <c r="W3858" s="49"/>
      <c r="X3858" s="49"/>
      <c r="Y3858" s="35"/>
      <c r="Z3858" s="35"/>
      <c r="AA3858" s="35"/>
      <c r="AB3858" s="35"/>
      <c r="AC3858" s="35"/>
      <c r="AD3858" s="35"/>
      <c r="AE3858" s="35"/>
      <c r="AF3858" s="35"/>
      <c r="AG3858" s="35"/>
      <c r="AH3858" s="35"/>
      <c r="AI3858" s="35"/>
      <c r="AJ3858" s="35"/>
      <c r="AK3858" s="35"/>
      <c r="AL3858" s="35"/>
    </row>
    <row r="3859">
      <c r="A3859" s="1"/>
      <c r="B3859" s="19" t="s">
        <v>17536</v>
      </c>
      <c r="C3859" s="20" t="s">
        <v>18422</v>
      </c>
      <c r="D3859" s="47"/>
      <c r="E3859" s="22" t="s">
        <v>18475</v>
      </c>
      <c r="F3859" s="22" t="s">
        <v>323</v>
      </c>
      <c r="G3859" s="23">
        <v>2021.0</v>
      </c>
      <c r="H3859" s="22" t="s">
        <v>18476</v>
      </c>
      <c r="I3859" s="24" t="s">
        <v>18477</v>
      </c>
      <c r="J3859" s="22" t="s">
        <v>55</v>
      </c>
      <c r="K3859" s="22"/>
      <c r="L3859" s="36">
        <v>810.0</v>
      </c>
      <c r="M3859" s="36">
        <v>150.0</v>
      </c>
      <c r="N3859" s="37"/>
      <c r="O3859" s="36" t="s">
        <v>18478</v>
      </c>
      <c r="P3859" s="37" t="s">
        <v>18479</v>
      </c>
      <c r="Q3859" s="36"/>
      <c r="R3859" s="36">
        <v>3000.0</v>
      </c>
      <c r="S3859" s="183"/>
      <c r="T3859" s="28" t="s">
        <v>18480</v>
      </c>
      <c r="U3859" s="29" t="s">
        <v>61</v>
      </c>
      <c r="V3859" s="30"/>
      <c r="W3859" s="49"/>
      <c r="X3859" s="49"/>
      <c r="Y3859" s="35"/>
      <c r="Z3859" s="35"/>
      <c r="AA3859" s="35"/>
      <c r="AB3859" s="35"/>
      <c r="AC3859" s="35"/>
      <c r="AD3859" s="35"/>
      <c r="AE3859" s="35"/>
      <c r="AF3859" s="35"/>
      <c r="AG3859" s="35"/>
      <c r="AH3859" s="35"/>
      <c r="AI3859" s="35"/>
      <c r="AJ3859" s="35"/>
      <c r="AK3859" s="35"/>
      <c r="AL3859" s="35"/>
    </row>
    <row r="3860">
      <c r="A3860" s="1"/>
      <c r="B3860" s="19" t="s">
        <v>17536</v>
      </c>
      <c r="C3860" s="20" t="s">
        <v>18422</v>
      </c>
      <c r="D3860" s="47"/>
      <c r="E3860" s="22" t="s">
        <v>626</v>
      </c>
      <c r="F3860" s="22" t="s">
        <v>7062</v>
      </c>
      <c r="G3860" s="23">
        <v>2021.0</v>
      </c>
      <c r="H3860" s="22" t="s">
        <v>2276</v>
      </c>
      <c r="I3860" s="24" t="s">
        <v>18481</v>
      </c>
      <c r="J3860" s="22" t="s">
        <v>55</v>
      </c>
      <c r="K3860" s="22"/>
      <c r="L3860" s="36">
        <v>810.0</v>
      </c>
      <c r="M3860" s="36">
        <v>150.0</v>
      </c>
      <c r="N3860" s="37"/>
      <c r="O3860" s="36"/>
      <c r="P3860" s="37"/>
      <c r="Q3860" s="36"/>
      <c r="R3860" s="36">
        <v>3600.0</v>
      </c>
      <c r="S3860" s="183"/>
      <c r="T3860" s="28" t="s">
        <v>18482</v>
      </c>
      <c r="U3860" s="29" t="s">
        <v>61</v>
      </c>
      <c r="V3860" s="30"/>
      <c r="W3860" s="49"/>
      <c r="X3860" s="49"/>
      <c r="Y3860" s="35"/>
      <c r="Z3860" s="35"/>
      <c r="AA3860" s="35"/>
      <c r="AB3860" s="35"/>
      <c r="AC3860" s="35"/>
      <c r="AD3860" s="35"/>
      <c r="AE3860" s="35"/>
      <c r="AF3860" s="35"/>
      <c r="AG3860" s="35"/>
      <c r="AH3860" s="35"/>
      <c r="AI3860" s="35"/>
      <c r="AJ3860" s="35"/>
      <c r="AK3860" s="35"/>
      <c r="AL3860" s="35"/>
    </row>
    <row r="3861">
      <c r="A3861" s="1"/>
      <c r="B3861" s="19" t="s">
        <v>17536</v>
      </c>
      <c r="C3861" s="20" t="s">
        <v>18422</v>
      </c>
      <c r="D3861" s="47"/>
      <c r="E3861" s="22" t="s">
        <v>18483</v>
      </c>
      <c r="F3861" s="22" t="s">
        <v>323</v>
      </c>
      <c r="G3861" s="23">
        <v>2021.0</v>
      </c>
      <c r="H3861" s="22" t="s">
        <v>91</v>
      </c>
      <c r="I3861" s="24" t="s">
        <v>18484</v>
      </c>
      <c r="J3861" s="22" t="s">
        <v>557</v>
      </c>
      <c r="K3861" s="22"/>
      <c r="L3861" s="105" t="s">
        <v>18485</v>
      </c>
      <c r="M3861" s="44"/>
      <c r="N3861" s="44"/>
      <c r="O3861" s="44"/>
      <c r="P3861" s="44"/>
      <c r="Q3861" s="44"/>
      <c r="R3861" s="44"/>
      <c r="S3861" s="44"/>
      <c r="T3861" s="45"/>
      <c r="U3861" s="29" t="s">
        <v>61</v>
      </c>
      <c r="V3861" s="30"/>
      <c r="W3861" s="49"/>
      <c r="X3861" s="49"/>
      <c r="Y3861" s="35"/>
      <c r="Z3861" s="35"/>
      <c r="AA3861" s="35"/>
      <c r="AB3861" s="35"/>
      <c r="AC3861" s="35"/>
      <c r="AD3861" s="35"/>
      <c r="AE3861" s="35"/>
      <c r="AF3861" s="35"/>
      <c r="AG3861" s="35"/>
      <c r="AH3861" s="35"/>
      <c r="AI3861" s="35"/>
      <c r="AJ3861" s="35"/>
      <c r="AK3861" s="35"/>
      <c r="AL3861" s="35"/>
    </row>
    <row r="3862">
      <c r="A3862" s="1"/>
      <c r="B3862" s="19" t="s">
        <v>17536</v>
      </c>
      <c r="C3862" s="20" t="s">
        <v>18422</v>
      </c>
      <c r="D3862" s="47"/>
      <c r="E3862" s="22" t="s">
        <v>18417</v>
      </c>
      <c r="F3862" s="22" t="s">
        <v>323</v>
      </c>
      <c r="G3862" s="23">
        <v>2020.0</v>
      </c>
      <c r="H3862" s="22" t="s">
        <v>3189</v>
      </c>
      <c r="I3862" s="24" t="s">
        <v>18486</v>
      </c>
      <c r="J3862" s="22" t="s">
        <v>557</v>
      </c>
      <c r="K3862" s="22"/>
      <c r="L3862" s="105" t="s">
        <v>18487</v>
      </c>
      <c r="M3862" s="44"/>
      <c r="N3862" s="44"/>
      <c r="O3862" s="44"/>
      <c r="P3862" s="44"/>
      <c r="Q3862" s="44"/>
      <c r="R3862" s="44"/>
      <c r="S3862" s="44"/>
      <c r="T3862" s="45"/>
      <c r="U3862" s="29" t="s">
        <v>61</v>
      </c>
      <c r="V3862" s="30"/>
      <c r="W3862" s="49"/>
      <c r="X3862" s="49"/>
      <c r="Y3862" s="35"/>
      <c r="Z3862" s="35"/>
      <c r="AA3862" s="35"/>
      <c r="AB3862" s="35"/>
      <c r="AC3862" s="35"/>
      <c r="AD3862" s="35"/>
      <c r="AE3862" s="35"/>
      <c r="AF3862" s="35"/>
      <c r="AG3862" s="35"/>
      <c r="AH3862" s="35"/>
      <c r="AI3862" s="35"/>
      <c r="AJ3862" s="35"/>
      <c r="AK3862" s="35"/>
      <c r="AL3862" s="35"/>
    </row>
    <row r="3863">
      <c r="A3863" s="1"/>
      <c r="B3863" s="19" t="s">
        <v>17536</v>
      </c>
      <c r="C3863" s="20" t="s">
        <v>18422</v>
      </c>
      <c r="D3863" s="47"/>
      <c r="E3863" s="22" t="s">
        <v>2195</v>
      </c>
      <c r="F3863" s="22" t="s">
        <v>2437</v>
      </c>
      <c r="G3863" s="23">
        <v>2020.0</v>
      </c>
      <c r="H3863" s="22" t="s">
        <v>5009</v>
      </c>
      <c r="I3863" s="24" t="s">
        <v>18488</v>
      </c>
      <c r="J3863" s="22" t="s">
        <v>55</v>
      </c>
      <c r="K3863" s="22"/>
      <c r="L3863" s="36">
        <v>630.0</v>
      </c>
      <c r="M3863" s="36"/>
      <c r="N3863" s="37" t="s">
        <v>414</v>
      </c>
      <c r="O3863" s="36"/>
      <c r="P3863" s="37"/>
      <c r="Q3863" s="36"/>
      <c r="R3863" s="36">
        <v>1200.0</v>
      </c>
      <c r="S3863" s="183"/>
      <c r="T3863" s="28" t="s">
        <v>18489</v>
      </c>
      <c r="U3863" s="29" t="s">
        <v>61</v>
      </c>
      <c r="V3863" s="30"/>
      <c r="W3863" s="49"/>
      <c r="X3863" s="49"/>
      <c r="Y3863" s="35"/>
      <c r="Z3863" s="35"/>
      <c r="AA3863" s="35"/>
      <c r="AB3863" s="35"/>
      <c r="AC3863" s="35"/>
      <c r="AD3863" s="35"/>
      <c r="AE3863" s="35"/>
      <c r="AF3863" s="35"/>
      <c r="AG3863" s="35"/>
      <c r="AH3863" s="35"/>
      <c r="AI3863" s="35"/>
      <c r="AJ3863" s="35"/>
      <c r="AK3863" s="35"/>
      <c r="AL3863" s="35"/>
    </row>
    <row r="3864">
      <c r="A3864" s="1"/>
      <c r="B3864" s="19" t="s">
        <v>17536</v>
      </c>
      <c r="C3864" s="20" t="s">
        <v>18422</v>
      </c>
      <c r="D3864" s="47"/>
      <c r="E3864" s="22" t="s">
        <v>3035</v>
      </c>
      <c r="F3864" s="22" t="s">
        <v>9927</v>
      </c>
      <c r="G3864" s="23">
        <v>2020.0</v>
      </c>
      <c r="H3864" s="22" t="s">
        <v>2809</v>
      </c>
      <c r="I3864" s="24" t="s">
        <v>18490</v>
      </c>
      <c r="J3864" s="22" t="s">
        <v>55</v>
      </c>
      <c r="K3864" s="22" t="s">
        <v>157</v>
      </c>
      <c r="L3864" s="36">
        <v>670.0</v>
      </c>
      <c r="M3864" s="36"/>
      <c r="N3864" s="37" t="s">
        <v>9755</v>
      </c>
      <c r="O3864" s="36"/>
      <c r="P3864" s="37"/>
      <c r="Q3864" s="36"/>
      <c r="R3864" s="36">
        <v>1800.0</v>
      </c>
      <c r="S3864" s="183">
        <v>44013.0</v>
      </c>
      <c r="T3864" s="28" t="s">
        <v>18491</v>
      </c>
      <c r="U3864" s="29" t="s">
        <v>61</v>
      </c>
      <c r="V3864" s="30"/>
      <c r="W3864" s="49"/>
      <c r="X3864" s="49"/>
      <c r="Y3864" s="35"/>
      <c r="Z3864" s="35"/>
      <c r="AA3864" s="35"/>
      <c r="AB3864" s="35"/>
      <c r="AC3864" s="35"/>
      <c r="AD3864" s="35"/>
      <c r="AE3864" s="35"/>
      <c r="AF3864" s="35"/>
      <c r="AG3864" s="35"/>
      <c r="AH3864" s="35"/>
      <c r="AI3864" s="35"/>
      <c r="AJ3864" s="35"/>
      <c r="AK3864" s="35"/>
      <c r="AL3864" s="35"/>
    </row>
    <row r="3865">
      <c r="A3865" s="1"/>
      <c r="B3865" s="19" t="s">
        <v>17536</v>
      </c>
      <c r="C3865" s="20" t="s">
        <v>18422</v>
      </c>
      <c r="D3865" s="47"/>
      <c r="E3865" s="22" t="s">
        <v>3827</v>
      </c>
      <c r="F3865" s="22" t="s">
        <v>41</v>
      </c>
      <c r="G3865" s="23">
        <v>2020.0</v>
      </c>
      <c r="H3865" s="22" t="s">
        <v>91</v>
      </c>
      <c r="I3865" s="24" t="s">
        <v>18492</v>
      </c>
      <c r="J3865" s="22" t="s">
        <v>18493</v>
      </c>
      <c r="K3865" s="22"/>
      <c r="L3865" s="36">
        <v>808.0</v>
      </c>
      <c r="M3865" s="36">
        <v>120.0</v>
      </c>
      <c r="N3865" s="37"/>
      <c r="O3865" s="36"/>
      <c r="P3865" s="37" t="s">
        <v>18494</v>
      </c>
      <c r="Q3865" s="36"/>
      <c r="R3865" s="36"/>
      <c r="S3865" s="36" t="s">
        <v>4905</v>
      </c>
      <c r="T3865" s="42" t="s">
        <v>18495</v>
      </c>
      <c r="U3865" s="153" t="str">
        <f>HYPERLINK("https://www.ncbi.nlm.nih.gov/pubmed/32337679","PubMed")</f>
        <v>PubMed</v>
      </c>
      <c r="V3865" s="30"/>
      <c r="W3865" s="49"/>
      <c r="X3865" s="49"/>
      <c r="Y3865" s="35"/>
      <c r="Z3865" s="35"/>
      <c r="AA3865" s="35"/>
      <c r="AB3865" s="35"/>
      <c r="AC3865" s="35"/>
      <c r="AD3865" s="35"/>
      <c r="AE3865" s="35"/>
      <c r="AF3865" s="35"/>
      <c r="AG3865" s="35"/>
      <c r="AH3865" s="35"/>
      <c r="AI3865" s="35"/>
      <c r="AJ3865" s="35"/>
      <c r="AK3865" s="35"/>
      <c r="AL3865" s="35"/>
    </row>
    <row r="3866">
      <c r="A3866" s="1" t="s">
        <v>18496</v>
      </c>
      <c r="B3866" s="19" t="s">
        <v>17536</v>
      </c>
      <c r="C3866" s="20" t="s">
        <v>18422</v>
      </c>
      <c r="D3866" s="47"/>
      <c r="E3866" s="22" t="s">
        <v>2593</v>
      </c>
      <c r="F3866" s="22" t="s">
        <v>7062</v>
      </c>
      <c r="G3866" s="23">
        <v>2019.0</v>
      </c>
      <c r="H3866" s="22" t="s">
        <v>42</v>
      </c>
      <c r="I3866" s="24" t="s">
        <v>18497</v>
      </c>
      <c r="J3866" s="22" t="s">
        <v>18498</v>
      </c>
      <c r="K3866" s="22" t="s">
        <v>18499</v>
      </c>
      <c r="L3866" s="36">
        <v>810.0</v>
      </c>
      <c r="M3866" s="36" t="s">
        <v>18500</v>
      </c>
      <c r="N3866" s="37"/>
      <c r="O3866" s="36"/>
      <c r="P3866" s="37"/>
      <c r="Q3866" s="36"/>
      <c r="R3866" s="36"/>
      <c r="S3866" s="36">
        <v>14.0</v>
      </c>
      <c r="T3866" s="28" t="s">
        <v>18501</v>
      </c>
      <c r="U3866" s="153" t="str">
        <f>HYPERLINK("https://www.ncbi.nlm.nih.gov/pubmed/31670897","PubMed")</f>
        <v>PubMed</v>
      </c>
      <c r="V3866" s="30"/>
      <c r="W3866" s="49"/>
      <c r="X3866" s="49"/>
      <c r="Y3866" s="35"/>
      <c r="Z3866" s="35"/>
      <c r="AA3866" s="35"/>
      <c r="AB3866" s="35"/>
      <c r="AC3866" s="35"/>
      <c r="AD3866" s="35"/>
      <c r="AE3866" s="35"/>
      <c r="AF3866" s="35"/>
      <c r="AG3866" s="35"/>
      <c r="AH3866" s="35"/>
      <c r="AI3866" s="35"/>
      <c r="AJ3866" s="35"/>
      <c r="AK3866" s="35"/>
      <c r="AL3866" s="35"/>
    </row>
    <row r="3867">
      <c r="A3867" s="1"/>
      <c r="B3867" s="19" t="s">
        <v>17536</v>
      </c>
      <c r="C3867" s="20" t="s">
        <v>18422</v>
      </c>
      <c r="D3867" s="47"/>
      <c r="E3867" s="22" t="s">
        <v>18502</v>
      </c>
      <c r="F3867" s="22" t="s">
        <v>11580</v>
      </c>
      <c r="G3867" s="23">
        <v>2019.0</v>
      </c>
      <c r="H3867" s="22" t="s">
        <v>2181</v>
      </c>
      <c r="I3867" s="24" t="s">
        <v>18503</v>
      </c>
      <c r="J3867" s="22" t="s">
        <v>55</v>
      </c>
      <c r="K3867" s="22"/>
      <c r="L3867" s="36" t="s">
        <v>4503</v>
      </c>
      <c r="M3867" s="36"/>
      <c r="N3867" s="37"/>
      <c r="O3867" s="36"/>
      <c r="P3867" s="37"/>
      <c r="Q3867" s="36"/>
      <c r="R3867" s="36"/>
      <c r="S3867" s="36"/>
      <c r="T3867" s="28" t="s">
        <v>18504</v>
      </c>
      <c r="U3867" s="153" t="str">
        <f>HYPERLINK("https://www.ncbi.nlm.nih.gov/pubmed/31113985","PubMed")</f>
        <v>PubMed</v>
      </c>
      <c r="V3867" s="30"/>
      <c r="W3867" s="49"/>
      <c r="X3867" s="49"/>
      <c r="Y3867" s="35"/>
      <c r="Z3867" s="35"/>
      <c r="AA3867" s="35"/>
      <c r="AB3867" s="35"/>
      <c r="AC3867" s="35"/>
      <c r="AD3867" s="35"/>
      <c r="AE3867" s="35"/>
      <c r="AF3867" s="35"/>
      <c r="AG3867" s="35"/>
      <c r="AH3867" s="35"/>
      <c r="AI3867" s="35"/>
      <c r="AJ3867" s="35"/>
      <c r="AK3867" s="35"/>
      <c r="AL3867" s="35"/>
    </row>
    <row r="3868">
      <c r="A3868" s="18"/>
      <c r="B3868" s="19" t="s">
        <v>17536</v>
      </c>
      <c r="C3868" s="20" t="s">
        <v>18422</v>
      </c>
      <c r="D3868" s="47"/>
      <c r="E3868" s="22" t="s">
        <v>6053</v>
      </c>
      <c r="F3868" s="22" t="s">
        <v>7062</v>
      </c>
      <c r="G3868" s="23">
        <v>2019.0</v>
      </c>
      <c r="H3868" s="22" t="s">
        <v>3192</v>
      </c>
      <c r="I3868" s="24" t="s">
        <v>18505</v>
      </c>
      <c r="J3868" s="22" t="s">
        <v>209</v>
      </c>
      <c r="K3868" s="22"/>
      <c r="L3868" s="36" t="s">
        <v>18506</v>
      </c>
      <c r="M3868" s="36"/>
      <c r="N3868" s="37" t="s">
        <v>5674</v>
      </c>
      <c r="O3868" s="36" t="s">
        <v>18507</v>
      </c>
      <c r="P3868" s="37" t="s">
        <v>14027</v>
      </c>
      <c r="Q3868" s="36" t="s">
        <v>18508</v>
      </c>
      <c r="R3868" s="36">
        <v>440.0</v>
      </c>
      <c r="S3868" s="36" t="s">
        <v>18509</v>
      </c>
      <c r="T3868" s="28" t="s">
        <v>18510</v>
      </c>
      <c r="U3868" s="153" t="str">
        <f>HYPERLINK("https://www.ncbi.nlm.nih.gov/pubmed/31446561","PubMed")</f>
        <v>PubMed</v>
      </c>
      <c r="V3868" s="30"/>
      <c r="W3868" s="49"/>
      <c r="X3868" s="49"/>
      <c r="Y3868" s="35"/>
      <c r="Z3868" s="35"/>
      <c r="AA3868" s="35"/>
      <c r="AB3868" s="35"/>
      <c r="AC3868" s="35"/>
      <c r="AD3868" s="35"/>
      <c r="AE3868" s="35"/>
      <c r="AF3868" s="35"/>
      <c r="AG3868" s="35"/>
      <c r="AH3868" s="35"/>
      <c r="AI3868" s="35"/>
      <c r="AJ3868" s="35"/>
      <c r="AK3868" s="35"/>
      <c r="AL3868" s="35"/>
    </row>
    <row r="3869">
      <c r="A3869" s="18"/>
      <c r="B3869" s="19" t="s">
        <v>17536</v>
      </c>
      <c r="C3869" s="20" t="s">
        <v>18422</v>
      </c>
      <c r="D3869" s="47"/>
      <c r="E3869" s="22" t="s">
        <v>10487</v>
      </c>
      <c r="F3869" s="22" t="s">
        <v>323</v>
      </c>
      <c r="G3869" s="23">
        <v>2019.0</v>
      </c>
      <c r="H3869" s="22" t="s">
        <v>484</v>
      </c>
      <c r="I3869" s="24" t="s">
        <v>18511</v>
      </c>
      <c r="J3869" s="22" t="s">
        <v>55</v>
      </c>
      <c r="K3869" s="22"/>
      <c r="L3869" s="36">
        <v>660.0</v>
      </c>
      <c r="M3869" s="36">
        <v>100.0</v>
      </c>
      <c r="N3869" s="37"/>
      <c r="O3869" s="36"/>
      <c r="P3869" s="37"/>
      <c r="Q3869" s="36"/>
      <c r="R3869" s="36"/>
      <c r="S3869" s="36"/>
      <c r="T3869" s="28" t="s">
        <v>18512</v>
      </c>
      <c r="U3869" s="153" t="str">
        <f>HYPERLINK("https://www.ncbi.nlm.nih.gov/pubmed/31234929","PubMed")</f>
        <v>PubMed</v>
      </c>
      <c r="V3869" s="30"/>
      <c r="W3869" s="49"/>
      <c r="X3869" s="49"/>
      <c r="Y3869" s="35"/>
      <c r="Z3869" s="35"/>
      <c r="AA3869" s="35"/>
      <c r="AB3869" s="35"/>
      <c r="AC3869" s="35"/>
      <c r="AD3869" s="35"/>
      <c r="AE3869" s="35"/>
      <c r="AF3869" s="35"/>
      <c r="AG3869" s="35"/>
      <c r="AH3869" s="35"/>
      <c r="AI3869" s="35"/>
      <c r="AJ3869" s="35"/>
      <c r="AK3869" s="35"/>
      <c r="AL3869" s="35"/>
    </row>
    <row r="3870">
      <c r="A3870" s="18"/>
      <c r="B3870" s="19" t="s">
        <v>17536</v>
      </c>
      <c r="C3870" s="20" t="s">
        <v>18422</v>
      </c>
      <c r="D3870" s="47"/>
      <c r="E3870" s="22" t="s">
        <v>18513</v>
      </c>
      <c r="F3870" s="22" t="s">
        <v>323</v>
      </c>
      <c r="G3870" s="23">
        <v>2018.0</v>
      </c>
      <c r="H3870" s="22" t="s">
        <v>207</v>
      </c>
      <c r="I3870" s="24" t="s">
        <v>18514</v>
      </c>
      <c r="J3870" s="22" t="s">
        <v>55</v>
      </c>
      <c r="K3870" s="22" t="s">
        <v>18515</v>
      </c>
      <c r="L3870" s="36">
        <v>810.0</v>
      </c>
      <c r="M3870" s="36"/>
      <c r="N3870" s="37" t="s">
        <v>1175</v>
      </c>
      <c r="O3870" s="36"/>
      <c r="P3870" s="37" t="s">
        <v>82</v>
      </c>
      <c r="Q3870" s="36"/>
      <c r="R3870" s="36">
        <v>8.0</v>
      </c>
      <c r="S3870" s="36"/>
      <c r="T3870" s="42" t="s">
        <v>18516</v>
      </c>
      <c r="U3870" s="153" t="str">
        <f>HYPERLINK("https://www.ncbi.nlm.nih.gov/pubmed/30312920","PubMed")</f>
        <v>PubMed</v>
      </c>
      <c r="V3870" s="30"/>
      <c r="W3870" s="49"/>
      <c r="X3870" s="49"/>
      <c r="Y3870" s="35"/>
      <c r="Z3870" s="35"/>
      <c r="AA3870" s="35"/>
      <c r="AB3870" s="35"/>
      <c r="AC3870" s="35"/>
      <c r="AD3870" s="35"/>
      <c r="AE3870" s="35"/>
      <c r="AF3870" s="35"/>
      <c r="AG3870" s="35"/>
      <c r="AH3870" s="35"/>
      <c r="AI3870" s="35"/>
      <c r="AJ3870" s="35"/>
      <c r="AK3870" s="35"/>
      <c r="AL3870" s="35"/>
    </row>
    <row r="3871">
      <c r="A3871" s="18"/>
      <c r="B3871" s="19" t="s">
        <v>17536</v>
      </c>
      <c r="C3871" s="20" t="s">
        <v>18422</v>
      </c>
      <c r="D3871" s="47"/>
      <c r="E3871" s="22" t="s">
        <v>3827</v>
      </c>
      <c r="F3871" s="22" t="s">
        <v>41</v>
      </c>
      <c r="G3871" s="23">
        <v>2018.0</v>
      </c>
      <c r="H3871" s="22" t="s">
        <v>91</v>
      </c>
      <c r="I3871" s="24" t="s">
        <v>18517</v>
      </c>
      <c r="J3871" s="22" t="s">
        <v>18518</v>
      </c>
      <c r="K3871" s="22"/>
      <c r="L3871" s="36">
        <v>808.0</v>
      </c>
      <c r="M3871" s="36">
        <v>120.0</v>
      </c>
      <c r="N3871" s="37" t="s">
        <v>18519</v>
      </c>
      <c r="O3871" s="36" t="s">
        <v>18520</v>
      </c>
      <c r="P3871" s="37" t="s">
        <v>18494</v>
      </c>
      <c r="Q3871" s="36" t="s">
        <v>18521</v>
      </c>
      <c r="R3871" s="36" t="s">
        <v>18522</v>
      </c>
      <c r="S3871" s="36" t="s">
        <v>4905</v>
      </c>
      <c r="T3871" s="42" t="s">
        <v>18523</v>
      </c>
      <c r="U3871" s="153" t="str">
        <f>HYPERLINK("https://www.ncbi.nlm.nih.gov/pubmed/29441450","PubMed")</f>
        <v>PubMed</v>
      </c>
      <c r="V3871" s="30"/>
      <c r="W3871" s="49"/>
      <c r="X3871" s="49"/>
      <c r="Y3871" s="35"/>
      <c r="Z3871" s="35"/>
      <c r="AA3871" s="35"/>
      <c r="AB3871" s="35"/>
      <c r="AC3871" s="35"/>
      <c r="AD3871" s="35"/>
      <c r="AE3871" s="35"/>
      <c r="AF3871" s="35"/>
      <c r="AG3871" s="35"/>
      <c r="AH3871" s="35"/>
      <c r="AI3871" s="35"/>
      <c r="AJ3871" s="35"/>
      <c r="AK3871" s="35"/>
      <c r="AL3871" s="35"/>
    </row>
    <row r="3872">
      <c r="A3872" s="18"/>
      <c r="B3872" s="19" t="s">
        <v>17536</v>
      </c>
      <c r="C3872" s="20" t="s">
        <v>18422</v>
      </c>
      <c r="D3872" s="47"/>
      <c r="E3872" s="22" t="s">
        <v>17838</v>
      </c>
      <c r="F3872" s="22" t="s">
        <v>18524</v>
      </c>
      <c r="G3872" s="23">
        <v>2017.0</v>
      </c>
      <c r="H3872" s="22" t="s">
        <v>658</v>
      </c>
      <c r="I3872" s="24" t="s">
        <v>18525</v>
      </c>
      <c r="J3872" s="22" t="s">
        <v>125</v>
      </c>
      <c r="K3872" s="22"/>
      <c r="L3872" s="167"/>
      <c r="M3872" s="44"/>
      <c r="N3872" s="44"/>
      <c r="O3872" s="44"/>
      <c r="P3872" s="44"/>
      <c r="Q3872" s="44"/>
      <c r="R3872" s="44"/>
      <c r="S3872" s="44"/>
      <c r="T3872" s="45"/>
      <c r="U3872" s="153" t="str">
        <f>HYPERLINK("https://www.ncbi.nlm.nih.gov/pubmed/29099681","PubMed")</f>
        <v>PubMed</v>
      </c>
      <c r="V3872" s="30"/>
      <c r="W3872" s="49"/>
      <c r="X3872" s="49"/>
      <c r="Y3872" s="35"/>
      <c r="Z3872" s="35"/>
      <c r="AA3872" s="35"/>
      <c r="AB3872" s="35"/>
      <c r="AC3872" s="35"/>
      <c r="AD3872" s="35"/>
      <c r="AE3872" s="35"/>
      <c r="AF3872" s="35"/>
      <c r="AG3872" s="35"/>
      <c r="AH3872" s="35"/>
      <c r="AI3872" s="35"/>
      <c r="AJ3872" s="35"/>
      <c r="AK3872" s="35"/>
      <c r="AL3872" s="35"/>
    </row>
    <row r="3873">
      <c r="A3873" s="18"/>
      <c r="B3873" s="19" t="s">
        <v>17536</v>
      </c>
      <c r="C3873" s="20" t="s">
        <v>18422</v>
      </c>
      <c r="D3873" s="47"/>
      <c r="E3873" s="22" t="s">
        <v>18526</v>
      </c>
      <c r="F3873" s="22" t="s">
        <v>323</v>
      </c>
      <c r="G3873" s="23">
        <v>2017.0</v>
      </c>
      <c r="H3873" s="22" t="s">
        <v>18527</v>
      </c>
      <c r="I3873" s="24" t="s">
        <v>18528</v>
      </c>
      <c r="J3873" s="22" t="s">
        <v>55</v>
      </c>
      <c r="K3873" s="22" t="s">
        <v>18529</v>
      </c>
      <c r="L3873" s="36">
        <v>660.0</v>
      </c>
      <c r="M3873" s="36">
        <v>100.0</v>
      </c>
      <c r="N3873" s="37" t="s">
        <v>18426</v>
      </c>
      <c r="O3873" s="36"/>
      <c r="P3873" s="37" t="s">
        <v>4163</v>
      </c>
      <c r="Q3873" s="36" t="s">
        <v>18530</v>
      </c>
      <c r="R3873" s="36" t="s">
        <v>18531</v>
      </c>
      <c r="S3873" s="36">
        <v>14.0</v>
      </c>
      <c r="T3873" s="28" t="s">
        <v>18532</v>
      </c>
      <c r="U3873" s="153" t="str">
        <f>HYPERLINK("https://www.ncbi.nlm.nih.gov/pubmed/28716393","PubMed")</f>
        <v>PubMed</v>
      </c>
      <c r="V3873" s="30"/>
      <c r="W3873" s="49"/>
      <c r="X3873" s="49"/>
      <c r="Y3873" s="35"/>
      <c r="Z3873" s="35"/>
      <c r="AA3873" s="35"/>
      <c r="AB3873" s="35"/>
      <c r="AC3873" s="35"/>
      <c r="AD3873" s="35"/>
      <c r="AE3873" s="35"/>
      <c r="AF3873" s="35"/>
      <c r="AG3873" s="35"/>
      <c r="AH3873" s="35"/>
      <c r="AI3873" s="35"/>
      <c r="AJ3873" s="35"/>
      <c r="AK3873" s="35"/>
      <c r="AL3873" s="35"/>
    </row>
    <row r="3874">
      <c r="A3874" s="18" t="s">
        <v>2</v>
      </c>
      <c r="B3874" s="19" t="s">
        <v>17536</v>
      </c>
      <c r="C3874" s="20" t="s">
        <v>18422</v>
      </c>
      <c r="D3874" s="47"/>
      <c r="E3874" s="22" t="s">
        <v>18533</v>
      </c>
      <c r="F3874" s="22" t="s">
        <v>323</v>
      </c>
      <c r="G3874" s="23">
        <v>2017.0</v>
      </c>
      <c r="H3874" s="22" t="s">
        <v>18476</v>
      </c>
      <c r="I3874" s="24" t="s">
        <v>18534</v>
      </c>
      <c r="J3874" s="22" t="s">
        <v>55</v>
      </c>
      <c r="K3874" s="22" t="s">
        <v>18535</v>
      </c>
      <c r="L3874" s="36">
        <v>660.0</v>
      </c>
      <c r="M3874" s="36">
        <v>100.0</v>
      </c>
      <c r="N3874" s="37" t="s">
        <v>18426</v>
      </c>
      <c r="O3874" s="36"/>
      <c r="P3874" s="37" t="s">
        <v>4163</v>
      </c>
      <c r="Q3874" s="36" t="s">
        <v>18530</v>
      </c>
      <c r="R3874" s="36" t="s">
        <v>18531</v>
      </c>
      <c r="S3874" s="36" t="s">
        <v>13822</v>
      </c>
      <c r="T3874" s="28" t="s">
        <v>18536</v>
      </c>
      <c r="U3874" s="153" t="str">
        <f>HYPERLINK("https://www.ncbi.nlm.nih.gov/pubmed/28428016","PubMed")</f>
        <v>PubMed</v>
      </c>
      <c r="V3874" s="30"/>
      <c r="W3874" s="49"/>
      <c r="X3874" s="49"/>
      <c r="Y3874" s="35"/>
      <c r="Z3874" s="35"/>
      <c r="AA3874" s="35"/>
      <c r="AB3874" s="35"/>
      <c r="AC3874" s="35"/>
      <c r="AD3874" s="35"/>
      <c r="AE3874" s="35"/>
      <c r="AF3874" s="35"/>
      <c r="AG3874" s="35"/>
      <c r="AH3874" s="35"/>
      <c r="AI3874" s="35"/>
      <c r="AJ3874" s="35"/>
      <c r="AK3874" s="35"/>
      <c r="AL3874" s="35"/>
    </row>
    <row r="3875">
      <c r="A3875" s="1"/>
      <c r="B3875" s="19" t="s">
        <v>17536</v>
      </c>
      <c r="C3875" s="20" t="s">
        <v>18422</v>
      </c>
      <c r="D3875" s="47"/>
      <c r="E3875" s="22" t="s">
        <v>1080</v>
      </c>
      <c r="F3875" s="22" t="s">
        <v>299</v>
      </c>
      <c r="G3875" s="23">
        <v>2017.0</v>
      </c>
      <c r="H3875" s="22" t="s">
        <v>1709</v>
      </c>
      <c r="I3875" s="24" t="s">
        <v>18537</v>
      </c>
      <c r="J3875" s="22" t="s">
        <v>55</v>
      </c>
      <c r="K3875" s="22" t="s">
        <v>1112</v>
      </c>
      <c r="L3875" s="36">
        <v>850.0</v>
      </c>
      <c r="M3875" s="36"/>
      <c r="N3875" s="37"/>
      <c r="O3875" s="36" t="s">
        <v>18538</v>
      </c>
      <c r="P3875" s="37"/>
      <c r="Q3875" s="36"/>
      <c r="R3875" s="36"/>
      <c r="S3875" s="36"/>
      <c r="T3875" s="28" t="s">
        <v>18539</v>
      </c>
      <c r="U3875" s="29" t="s">
        <v>61</v>
      </c>
      <c r="V3875" s="30"/>
      <c r="W3875" s="49"/>
      <c r="X3875" s="49"/>
      <c r="Y3875" s="35"/>
      <c r="Z3875" s="35"/>
      <c r="AA3875" s="35"/>
      <c r="AB3875" s="35"/>
      <c r="AC3875" s="35"/>
      <c r="AD3875" s="35"/>
      <c r="AE3875" s="35"/>
      <c r="AF3875" s="35"/>
      <c r="AG3875" s="35"/>
      <c r="AH3875" s="35"/>
      <c r="AI3875" s="35"/>
      <c r="AJ3875" s="35"/>
      <c r="AK3875" s="35"/>
      <c r="AL3875" s="35"/>
    </row>
    <row r="3876">
      <c r="A3876" s="1"/>
      <c r="B3876" s="19" t="s">
        <v>17536</v>
      </c>
      <c r="C3876" s="20" t="s">
        <v>18422</v>
      </c>
      <c r="D3876" s="47"/>
      <c r="E3876" s="22" t="s">
        <v>3617</v>
      </c>
      <c r="F3876" s="22" t="s">
        <v>3301</v>
      </c>
      <c r="G3876" s="23">
        <v>2017.0</v>
      </c>
      <c r="H3876" s="22" t="s">
        <v>2181</v>
      </c>
      <c r="I3876" s="24" t="s">
        <v>18540</v>
      </c>
      <c r="J3876" s="22" t="s">
        <v>55</v>
      </c>
      <c r="K3876" s="22" t="s">
        <v>18541</v>
      </c>
      <c r="L3876" s="36">
        <v>810.0</v>
      </c>
      <c r="M3876" s="36">
        <v>150.0</v>
      </c>
      <c r="N3876" s="37"/>
      <c r="O3876" s="36"/>
      <c r="P3876" s="37"/>
      <c r="Q3876" s="36" t="s">
        <v>16965</v>
      </c>
      <c r="R3876" s="36">
        <v>3000.0</v>
      </c>
      <c r="S3876" s="36">
        <v>14.0</v>
      </c>
      <c r="T3876" s="28" t="s">
        <v>18542</v>
      </c>
      <c r="U3876" s="153" t="str">
        <f>HYPERLINK("https://www.ncbi.nlm.nih.gov/pubmed/28377600","PubMed")</f>
        <v>PubMed</v>
      </c>
      <c r="V3876" s="30"/>
      <c r="W3876" s="49"/>
      <c r="X3876" s="49"/>
      <c r="Y3876" s="35"/>
      <c r="Z3876" s="35"/>
      <c r="AA3876" s="35"/>
      <c r="AB3876" s="35"/>
      <c r="AC3876" s="35"/>
      <c r="AD3876" s="35"/>
      <c r="AE3876" s="35"/>
      <c r="AF3876" s="35"/>
      <c r="AG3876" s="35"/>
      <c r="AH3876" s="35"/>
      <c r="AI3876" s="35"/>
      <c r="AJ3876" s="35"/>
      <c r="AK3876" s="35"/>
      <c r="AL3876" s="35"/>
    </row>
    <row r="3877">
      <c r="A3877" s="1"/>
      <c r="B3877" s="19" t="s">
        <v>17536</v>
      </c>
      <c r="C3877" s="20" t="s">
        <v>18422</v>
      </c>
      <c r="D3877" s="47"/>
      <c r="E3877" s="22" t="s">
        <v>18543</v>
      </c>
      <c r="F3877" s="22" t="s">
        <v>41</v>
      </c>
      <c r="G3877" s="23">
        <v>2017.0</v>
      </c>
      <c r="H3877" s="22" t="s">
        <v>91</v>
      </c>
      <c r="I3877" s="24" t="s">
        <v>18544</v>
      </c>
      <c r="J3877" s="22" t="s">
        <v>55</v>
      </c>
      <c r="K3877" s="22"/>
      <c r="L3877" s="36">
        <v>808.0</v>
      </c>
      <c r="M3877" s="36">
        <v>30.0</v>
      </c>
      <c r="N3877" s="37" t="s">
        <v>717</v>
      </c>
      <c r="O3877" s="36"/>
      <c r="P3877" s="37" t="s">
        <v>18545</v>
      </c>
      <c r="Q3877" s="36" t="s">
        <v>280</v>
      </c>
      <c r="R3877" s="36" t="s">
        <v>18546</v>
      </c>
      <c r="S3877" s="36">
        <v>7.0</v>
      </c>
      <c r="T3877" s="28" t="s">
        <v>18547</v>
      </c>
      <c r="U3877" s="153" t="str">
        <f>HYPERLINK("https://www.ncbi.nlm.nih.gov/pubmed/27909916","PubMed")</f>
        <v>PubMed</v>
      </c>
      <c r="V3877" s="30"/>
      <c r="W3877" s="49"/>
      <c r="X3877" s="49"/>
      <c r="Y3877" s="35"/>
      <c r="Z3877" s="35"/>
      <c r="AA3877" s="35"/>
      <c r="AB3877" s="35"/>
      <c r="AC3877" s="35"/>
      <c r="AD3877" s="35"/>
      <c r="AE3877" s="35"/>
      <c r="AF3877" s="35"/>
      <c r="AG3877" s="35"/>
      <c r="AH3877" s="35"/>
      <c r="AI3877" s="35"/>
      <c r="AJ3877" s="35"/>
      <c r="AK3877" s="35"/>
      <c r="AL3877" s="35"/>
    </row>
    <row r="3878">
      <c r="A3878" s="1"/>
      <c r="B3878" s="19" t="s">
        <v>17536</v>
      </c>
      <c r="C3878" s="20" t="s">
        <v>18422</v>
      </c>
      <c r="D3878" s="47"/>
      <c r="E3878" s="22" t="s">
        <v>3035</v>
      </c>
      <c r="F3878" s="22" t="s">
        <v>9927</v>
      </c>
      <c r="G3878" s="23">
        <v>2016.0</v>
      </c>
      <c r="H3878" s="22" t="s">
        <v>2276</v>
      </c>
      <c r="I3878" s="24" t="s">
        <v>18548</v>
      </c>
      <c r="J3878" s="22" t="s">
        <v>55</v>
      </c>
      <c r="K3878" s="22" t="s">
        <v>18549</v>
      </c>
      <c r="L3878" s="36">
        <v>670.0</v>
      </c>
      <c r="M3878" s="36"/>
      <c r="N3878" s="37" t="s">
        <v>2259</v>
      </c>
      <c r="O3878" s="36"/>
      <c r="P3878" s="37" t="s">
        <v>18550</v>
      </c>
      <c r="Q3878" s="36" t="s">
        <v>18551</v>
      </c>
      <c r="R3878" s="36">
        <v>1800.0</v>
      </c>
      <c r="S3878" s="36"/>
      <c r="T3878" s="28" t="s">
        <v>18552</v>
      </c>
      <c r="U3878" s="153" t="str">
        <f>HYPERLINK("https://www.ncbi.nlm.nih.gov/pubmed/27561854","PubMed")</f>
        <v>PubMed</v>
      </c>
      <c r="V3878" s="30"/>
      <c r="W3878" s="49"/>
      <c r="X3878" s="49"/>
      <c r="Y3878" s="35"/>
      <c r="Z3878" s="35"/>
      <c r="AA3878" s="35"/>
      <c r="AB3878" s="35"/>
      <c r="AC3878" s="35"/>
      <c r="AD3878" s="35"/>
      <c r="AE3878" s="35"/>
      <c r="AF3878" s="35"/>
      <c r="AG3878" s="35"/>
      <c r="AH3878" s="35"/>
      <c r="AI3878" s="35"/>
      <c r="AJ3878" s="35"/>
      <c r="AK3878" s="35"/>
      <c r="AL3878" s="35"/>
    </row>
    <row r="3879">
      <c r="A3879" s="1" t="s">
        <v>2</v>
      </c>
      <c r="B3879" s="19" t="s">
        <v>17536</v>
      </c>
      <c r="C3879" s="20" t="s">
        <v>18422</v>
      </c>
      <c r="D3879" s="47"/>
      <c r="E3879" s="22" t="s">
        <v>2195</v>
      </c>
      <c r="F3879" s="22" t="s">
        <v>494</v>
      </c>
      <c r="G3879" s="23">
        <v>2014.0</v>
      </c>
      <c r="H3879" s="22" t="s">
        <v>627</v>
      </c>
      <c r="I3879" s="24" t="s">
        <v>18553</v>
      </c>
      <c r="J3879" s="22" t="s">
        <v>55</v>
      </c>
      <c r="K3879" s="22" t="s">
        <v>18554</v>
      </c>
      <c r="L3879" s="36">
        <v>808.0</v>
      </c>
      <c r="M3879" s="36">
        <v>190.0</v>
      </c>
      <c r="N3879" s="37" t="s">
        <v>18555</v>
      </c>
      <c r="O3879" s="36"/>
      <c r="P3879" s="37" t="s">
        <v>18556</v>
      </c>
      <c r="Q3879" s="36" t="s">
        <v>840</v>
      </c>
      <c r="R3879" s="36" t="s">
        <v>18557</v>
      </c>
      <c r="S3879" s="36">
        <v>8.0</v>
      </c>
      <c r="T3879" s="28" t="s">
        <v>18558</v>
      </c>
      <c r="U3879" s="153" t="str">
        <f>HYPERLINK("https://www.ncbi.nlm.nih.gov/pubmed/24594641","PubMed")</f>
        <v>PubMed</v>
      </c>
      <c r="V3879" s="30"/>
      <c r="W3879" s="49"/>
      <c r="X3879" s="49"/>
      <c r="Y3879" s="35"/>
      <c r="Z3879" s="35"/>
      <c r="AA3879" s="35"/>
      <c r="AB3879" s="35"/>
      <c r="AC3879" s="35"/>
      <c r="AD3879" s="35"/>
      <c r="AE3879" s="35"/>
      <c r="AF3879" s="35"/>
      <c r="AG3879" s="35"/>
      <c r="AH3879" s="35"/>
      <c r="AI3879" s="35"/>
      <c r="AJ3879" s="35"/>
      <c r="AK3879" s="35"/>
      <c r="AL3879" s="35"/>
    </row>
    <row r="3880">
      <c r="A3880" s="1" t="s">
        <v>2</v>
      </c>
      <c r="B3880" s="19" t="s">
        <v>17536</v>
      </c>
      <c r="C3880" s="20" t="s">
        <v>18422</v>
      </c>
      <c r="D3880" s="47"/>
      <c r="E3880" s="22" t="s">
        <v>18559</v>
      </c>
      <c r="F3880" s="22" t="s">
        <v>510</v>
      </c>
      <c r="G3880" s="23">
        <v>2014.0</v>
      </c>
      <c r="H3880" s="22" t="s">
        <v>53</v>
      </c>
      <c r="I3880" s="24" t="s">
        <v>18560</v>
      </c>
      <c r="J3880" s="22" t="s">
        <v>55</v>
      </c>
      <c r="K3880" s="22"/>
      <c r="L3880" s="36">
        <v>780.0</v>
      </c>
      <c r="M3880" s="36">
        <v>44.0</v>
      </c>
      <c r="N3880" s="37" t="s">
        <v>18561</v>
      </c>
      <c r="O3880" s="36" t="s">
        <v>18562</v>
      </c>
      <c r="P3880" s="37" t="s">
        <v>82</v>
      </c>
      <c r="Q3880" s="36" t="s">
        <v>4458</v>
      </c>
      <c r="R3880" s="36" t="s">
        <v>18563</v>
      </c>
      <c r="S3880" s="36">
        <v>21.0</v>
      </c>
      <c r="T3880" s="28" t="s">
        <v>18564</v>
      </c>
      <c r="U3880" s="153" t="str">
        <f>HYPERLINK("https://www.ncbi.nlm.nih.gov/pubmed/24858233","PubMed")</f>
        <v>PubMed</v>
      </c>
      <c r="V3880" s="30"/>
      <c r="W3880" s="49"/>
      <c r="X3880" s="49"/>
      <c r="Y3880" s="35"/>
      <c r="Z3880" s="35"/>
      <c r="AA3880" s="35"/>
      <c r="AB3880" s="35"/>
      <c r="AC3880" s="35"/>
      <c r="AD3880" s="35"/>
      <c r="AE3880" s="35"/>
      <c r="AF3880" s="35"/>
      <c r="AG3880" s="35"/>
      <c r="AH3880" s="35"/>
      <c r="AI3880" s="35"/>
      <c r="AJ3880" s="35"/>
      <c r="AK3880" s="35"/>
      <c r="AL3880" s="35"/>
    </row>
    <row r="3881">
      <c r="A3881" s="1"/>
      <c r="B3881" s="19" t="s">
        <v>17536</v>
      </c>
      <c r="C3881" s="20" t="s">
        <v>18422</v>
      </c>
      <c r="D3881" s="47"/>
      <c r="E3881" s="22" t="s">
        <v>2977</v>
      </c>
      <c r="F3881" s="22" t="s">
        <v>5042</v>
      </c>
      <c r="G3881" s="23">
        <v>2013.0</v>
      </c>
      <c r="H3881" s="22" t="s">
        <v>1025</v>
      </c>
      <c r="I3881" s="24" t="s">
        <v>18565</v>
      </c>
      <c r="J3881" s="22" t="s">
        <v>55</v>
      </c>
      <c r="K3881" s="22" t="s">
        <v>12235</v>
      </c>
      <c r="L3881" s="36">
        <v>808.0</v>
      </c>
      <c r="M3881" s="36">
        <v>25.0</v>
      </c>
      <c r="N3881" s="37" t="s">
        <v>8939</v>
      </c>
      <c r="O3881" s="36"/>
      <c r="P3881" s="37" t="s">
        <v>17526</v>
      </c>
      <c r="Q3881" s="36" t="s">
        <v>18566</v>
      </c>
      <c r="R3881" s="36">
        <v>1200.0</v>
      </c>
      <c r="S3881" s="36" t="s">
        <v>909</v>
      </c>
      <c r="T3881" s="28" t="s">
        <v>18567</v>
      </c>
      <c r="U3881" s="153" t="str">
        <f>HYPERLINK("https://www.ncbi.nlm.nih.gov/pubmed/24030687","PubMed")</f>
        <v>PubMed</v>
      </c>
      <c r="V3881" s="30"/>
      <c r="W3881" s="49"/>
      <c r="X3881" s="49"/>
      <c r="Y3881" s="35"/>
      <c r="Z3881" s="35"/>
      <c r="AA3881" s="35"/>
      <c r="AB3881" s="35"/>
      <c r="AC3881" s="35"/>
      <c r="AD3881" s="35"/>
      <c r="AE3881" s="35"/>
      <c r="AF3881" s="35"/>
      <c r="AG3881" s="35"/>
      <c r="AH3881" s="35"/>
      <c r="AI3881" s="35"/>
      <c r="AJ3881" s="35"/>
      <c r="AK3881" s="35"/>
      <c r="AL3881" s="35"/>
    </row>
    <row r="3882">
      <c r="A3882" s="1"/>
      <c r="B3882" s="19" t="s">
        <v>17536</v>
      </c>
      <c r="C3882" s="20" t="s">
        <v>18422</v>
      </c>
      <c r="D3882" s="47"/>
      <c r="E3882" s="22" t="s">
        <v>2275</v>
      </c>
      <c r="F3882" s="22" t="s">
        <v>3441</v>
      </c>
      <c r="G3882" s="23">
        <v>2012.0</v>
      </c>
      <c r="H3882" s="22" t="s">
        <v>91</v>
      </c>
      <c r="I3882" s="24" t="s">
        <v>18568</v>
      </c>
      <c r="J3882" s="22" t="s">
        <v>55</v>
      </c>
      <c r="K3882" s="22"/>
      <c r="L3882" s="36">
        <v>808.0</v>
      </c>
      <c r="M3882" s="36" t="s">
        <v>18569</v>
      </c>
      <c r="N3882" s="37" t="s">
        <v>4163</v>
      </c>
      <c r="O3882" s="36"/>
      <c r="P3882" s="37" t="s">
        <v>18479</v>
      </c>
      <c r="Q3882" s="36" t="s">
        <v>9545</v>
      </c>
      <c r="R3882" s="36">
        <v>3000.0</v>
      </c>
      <c r="S3882" s="36">
        <v>14.0</v>
      </c>
      <c r="T3882" s="28" t="s">
        <v>18570</v>
      </c>
      <c r="U3882" s="153" t="str">
        <f>HYPERLINK("https://www.ncbi.nlm.nih.gov/pubmed/21909711","PubMed")</f>
        <v>PubMed</v>
      </c>
      <c r="V3882" s="30"/>
      <c r="W3882" s="49"/>
      <c r="X3882" s="49"/>
      <c r="Y3882" s="35"/>
      <c r="Z3882" s="35"/>
      <c r="AA3882" s="35"/>
      <c r="AB3882" s="35"/>
      <c r="AC3882" s="35"/>
      <c r="AD3882" s="35"/>
      <c r="AE3882" s="35"/>
      <c r="AF3882" s="35"/>
      <c r="AG3882" s="35"/>
      <c r="AH3882" s="35"/>
      <c r="AI3882" s="35"/>
      <c r="AJ3882" s="35"/>
      <c r="AK3882" s="35"/>
      <c r="AL3882" s="35"/>
    </row>
    <row r="3883">
      <c r="A3883" s="40" t="s">
        <v>2</v>
      </c>
      <c r="B3883" s="19" t="s">
        <v>17536</v>
      </c>
      <c r="C3883" s="20" t="s">
        <v>18422</v>
      </c>
      <c r="D3883" s="47"/>
      <c r="E3883" s="22" t="s">
        <v>223</v>
      </c>
      <c r="F3883" s="22" t="s">
        <v>206</v>
      </c>
      <c r="G3883" s="23">
        <v>2012.0</v>
      </c>
      <c r="H3883" s="22" t="s">
        <v>658</v>
      </c>
      <c r="I3883" s="24" t="s">
        <v>18571</v>
      </c>
      <c r="J3883" s="22" t="s">
        <v>18572</v>
      </c>
      <c r="K3883" s="22" t="s">
        <v>13940</v>
      </c>
      <c r="L3883" s="36">
        <v>633.0</v>
      </c>
      <c r="M3883" s="36">
        <v>4.0</v>
      </c>
      <c r="N3883" s="37" t="s">
        <v>7689</v>
      </c>
      <c r="O3883" s="129">
        <v>42474.0</v>
      </c>
      <c r="P3883" s="37" t="s">
        <v>18573</v>
      </c>
      <c r="Q3883" s="36" t="s">
        <v>18574</v>
      </c>
      <c r="R3883" s="36">
        <v>3600.0</v>
      </c>
      <c r="S3883" s="36" t="s">
        <v>4708</v>
      </c>
      <c r="T3883" s="28" t="s">
        <v>18575</v>
      </c>
      <c r="U3883" s="38" t="str">
        <f>HYPERLINK("https://www.ncbi.nlm.nih.gov/pubmed/22891782","PubMed")</f>
        <v>PubMed</v>
      </c>
      <c r="V3883" s="30"/>
      <c r="W3883" s="49"/>
      <c r="X3883" s="49"/>
      <c r="Y3883" s="35"/>
      <c r="Z3883" s="35"/>
      <c r="AA3883" s="35"/>
      <c r="AB3883" s="35"/>
      <c r="AC3883" s="35"/>
      <c r="AD3883" s="35"/>
      <c r="AE3883" s="35"/>
      <c r="AF3883" s="35"/>
      <c r="AG3883" s="35"/>
      <c r="AH3883" s="35"/>
      <c r="AI3883" s="35"/>
      <c r="AJ3883" s="35"/>
      <c r="AK3883" s="35"/>
      <c r="AL3883" s="35"/>
    </row>
    <row r="3884">
      <c r="A3884" s="39" t="s">
        <v>2</v>
      </c>
      <c r="B3884" s="19" t="s">
        <v>17536</v>
      </c>
      <c r="C3884" s="20" t="s">
        <v>18422</v>
      </c>
      <c r="D3884" s="47"/>
      <c r="E3884" s="22" t="s">
        <v>2275</v>
      </c>
      <c r="F3884" s="22" t="s">
        <v>3441</v>
      </c>
      <c r="G3884" s="23">
        <v>2009.0</v>
      </c>
      <c r="H3884" s="22" t="s">
        <v>53</v>
      </c>
      <c r="I3884" s="24" t="s">
        <v>18576</v>
      </c>
      <c r="J3884" s="22" t="s">
        <v>55</v>
      </c>
      <c r="K3884" s="22"/>
      <c r="L3884" s="36">
        <v>810.0</v>
      </c>
      <c r="M3884" s="36">
        <v>150.0</v>
      </c>
      <c r="N3884" s="37" t="s">
        <v>18577</v>
      </c>
      <c r="O3884" s="36">
        <v>450.0</v>
      </c>
      <c r="P3884" s="37" t="s">
        <v>18578</v>
      </c>
      <c r="Q3884" s="36" t="s">
        <v>18579</v>
      </c>
      <c r="R3884" s="36">
        <v>2997.0</v>
      </c>
      <c r="S3884" s="36">
        <v>14.0</v>
      </c>
      <c r="T3884" s="28" t="s">
        <v>18580</v>
      </c>
      <c r="U3884" s="153" t="str">
        <f>HYPERLINK("https://www.ncbi.nlm.nih.gov/pubmed/19143019","PubMed")</f>
        <v>PubMed</v>
      </c>
      <c r="V3884" s="30"/>
      <c r="W3884" s="49"/>
      <c r="X3884" s="49"/>
      <c r="Y3884" s="35"/>
      <c r="Z3884" s="35"/>
      <c r="AA3884" s="35"/>
      <c r="AB3884" s="35"/>
      <c r="AC3884" s="35"/>
      <c r="AD3884" s="35"/>
      <c r="AE3884" s="35"/>
      <c r="AF3884" s="35"/>
      <c r="AG3884" s="35"/>
      <c r="AH3884" s="35"/>
      <c r="AI3884" s="35"/>
      <c r="AJ3884" s="35"/>
      <c r="AK3884" s="35"/>
      <c r="AL3884" s="35"/>
    </row>
    <row r="3885">
      <c r="A3885" s="39" t="s">
        <v>2</v>
      </c>
      <c r="B3885" s="19" t="s">
        <v>17536</v>
      </c>
      <c r="C3885" s="20" t="s">
        <v>18422</v>
      </c>
      <c r="D3885" s="47"/>
      <c r="E3885" s="22" t="s">
        <v>5389</v>
      </c>
      <c r="F3885" s="22" t="s">
        <v>3441</v>
      </c>
      <c r="G3885" s="23">
        <v>2005.0</v>
      </c>
      <c r="H3885" s="22" t="s">
        <v>53</v>
      </c>
      <c r="I3885" s="24" t="s">
        <v>18581</v>
      </c>
      <c r="J3885" s="22" t="s">
        <v>55</v>
      </c>
      <c r="K3885" s="22"/>
      <c r="L3885" s="36">
        <v>810.0</v>
      </c>
      <c r="M3885" s="36">
        <v>150.0</v>
      </c>
      <c r="N3885" s="37" t="s">
        <v>18577</v>
      </c>
      <c r="O3885" s="36">
        <v>450.0</v>
      </c>
      <c r="P3885" s="37" t="s">
        <v>18578</v>
      </c>
      <c r="Q3885" s="36" t="s">
        <v>18579</v>
      </c>
      <c r="R3885" s="36">
        <v>2997.0</v>
      </c>
      <c r="S3885" s="36">
        <v>14.0</v>
      </c>
      <c r="T3885" s="28" t="s">
        <v>18582</v>
      </c>
      <c r="U3885" s="153" t="str">
        <f>HYPERLINK("https://www.ncbi.nlm.nih.gov/pubmed/15704098","PubMed")</f>
        <v>PubMed</v>
      </c>
      <c r="V3885" s="30"/>
      <c r="W3885" s="49"/>
      <c r="X3885" s="49"/>
      <c r="Y3885" s="35"/>
      <c r="Z3885" s="35"/>
      <c r="AA3885" s="35"/>
      <c r="AB3885" s="35"/>
      <c r="AC3885" s="35"/>
      <c r="AD3885" s="35"/>
      <c r="AE3885" s="35"/>
      <c r="AF3885" s="35"/>
      <c r="AG3885" s="35"/>
      <c r="AH3885" s="35"/>
      <c r="AI3885" s="35"/>
      <c r="AJ3885" s="35"/>
      <c r="AK3885" s="35"/>
      <c r="AL3885" s="35"/>
    </row>
    <row r="3886">
      <c r="A3886" s="18"/>
      <c r="B3886" s="19" t="s">
        <v>17536</v>
      </c>
      <c r="C3886" s="20" t="s">
        <v>18422</v>
      </c>
      <c r="D3886" s="47"/>
      <c r="E3886" s="22" t="s">
        <v>1267</v>
      </c>
      <c r="F3886" s="22" t="s">
        <v>291</v>
      </c>
      <c r="G3886" s="23">
        <v>2002.0</v>
      </c>
      <c r="H3886" s="22" t="s">
        <v>18411</v>
      </c>
      <c r="I3886" s="24" t="s">
        <v>18583</v>
      </c>
      <c r="J3886" s="22" t="s">
        <v>55</v>
      </c>
      <c r="K3886" s="22"/>
      <c r="L3886" s="36">
        <v>780.0</v>
      </c>
      <c r="M3886" s="36">
        <v>250.0</v>
      </c>
      <c r="N3886" s="37"/>
      <c r="O3886" s="36"/>
      <c r="P3886" s="37"/>
      <c r="Q3886" s="36"/>
      <c r="R3886" s="36">
        <v>1800.0</v>
      </c>
      <c r="S3886" s="36">
        <v>14.0</v>
      </c>
      <c r="T3886" s="28" t="s">
        <v>18584</v>
      </c>
      <c r="U3886" s="153" t="str">
        <f>HYPERLINK("https://www.ncbi.nlm.nih.gov/pubmed/12069281","PubMed")</f>
        <v>PubMed</v>
      </c>
      <c r="V3886" s="30"/>
      <c r="W3886" s="49"/>
      <c r="X3886" s="49"/>
      <c r="Y3886" s="35"/>
      <c r="Z3886" s="35"/>
      <c r="AA3886" s="35"/>
      <c r="AB3886" s="35"/>
      <c r="AC3886" s="35"/>
      <c r="AD3886" s="35"/>
      <c r="AE3886" s="35"/>
      <c r="AF3886" s="35"/>
      <c r="AG3886" s="35"/>
      <c r="AH3886" s="35"/>
      <c r="AI3886" s="35"/>
      <c r="AJ3886" s="35"/>
      <c r="AK3886" s="35"/>
      <c r="AL3886" s="35"/>
    </row>
    <row r="3887">
      <c r="A3887" s="18"/>
      <c r="B3887" s="19" t="s">
        <v>17536</v>
      </c>
      <c r="C3887" s="20" t="s">
        <v>18422</v>
      </c>
      <c r="D3887" s="47"/>
      <c r="E3887" s="22" t="s">
        <v>1267</v>
      </c>
      <c r="F3887" s="22" t="s">
        <v>291</v>
      </c>
      <c r="G3887" s="23">
        <v>1991.0</v>
      </c>
      <c r="H3887" s="22" t="s">
        <v>292</v>
      </c>
      <c r="I3887" s="24" t="s">
        <v>18585</v>
      </c>
      <c r="J3887" s="22" t="s">
        <v>18586</v>
      </c>
      <c r="K3887" s="22"/>
      <c r="L3887" s="36">
        <v>633.0</v>
      </c>
      <c r="M3887" s="36"/>
      <c r="N3887" s="37"/>
      <c r="O3887" s="36"/>
      <c r="P3887" s="37" t="s">
        <v>2532</v>
      </c>
      <c r="Q3887" s="36"/>
      <c r="R3887" s="36"/>
      <c r="S3887" s="36"/>
      <c r="T3887" s="28" t="s">
        <v>18587</v>
      </c>
      <c r="U3887" s="153" t="str">
        <f>HYPERLINK("https://www.jstage.jst.go.jp/article/islsm/3/3/3_91-OR-16/_article/-char/en","J-STAGE")</f>
        <v>J-STAGE</v>
      </c>
      <c r="V3887" s="30"/>
      <c r="W3887" s="49"/>
      <c r="X3887" s="49"/>
      <c r="Y3887" s="35"/>
      <c r="Z3887" s="35"/>
      <c r="AA3887" s="35"/>
      <c r="AB3887" s="35"/>
      <c r="AC3887" s="35"/>
      <c r="AD3887" s="35"/>
      <c r="AE3887" s="35"/>
      <c r="AF3887" s="35"/>
      <c r="AG3887" s="35"/>
      <c r="AH3887" s="35"/>
      <c r="AI3887" s="35"/>
      <c r="AJ3887" s="35"/>
      <c r="AK3887" s="35"/>
      <c r="AL3887" s="35"/>
    </row>
    <row r="3888">
      <c r="A3888" s="1"/>
      <c r="B3888" s="19" t="s">
        <v>17536</v>
      </c>
      <c r="C3888" s="20" t="s">
        <v>2158</v>
      </c>
      <c r="D3888" s="47"/>
      <c r="E3888" s="22" t="s">
        <v>1267</v>
      </c>
      <c r="F3888" s="22" t="s">
        <v>291</v>
      </c>
      <c r="G3888" s="23">
        <v>1989.0</v>
      </c>
      <c r="H3888" s="22" t="s">
        <v>53</v>
      </c>
      <c r="I3888" s="24" t="s">
        <v>18588</v>
      </c>
      <c r="J3888" s="22" t="s">
        <v>55</v>
      </c>
      <c r="K3888" s="22" t="s">
        <v>18589</v>
      </c>
      <c r="L3888" s="36"/>
      <c r="M3888" s="36"/>
      <c r="N3888" s="36"/>
      <c r="O3888" s="36"/>
      <c r="P3888" s="37"/>
      <c r="Q3888" s="275"/>
      <c r="R3888" s="36"/>
      <c r="S3888" s="36"/>
      <c r="T3888" s="28" t="s">
        <v>18590</v>
      </c>
      <c r="U3888" s="153" t="str">
        <f>HYPERLINK("https://www.ncbi.nlm.nih.gov/pubmed/2716462","PubMed")</f>
        <v>PubMed</v>
      </c>
      <c r="V3888" s="30"/>
      <c r="W3888" s="49"/>
      <c r="X3888" s="49"/>
      <c r="Y3888" s="35"/>
      <c r="Z3888" s="35"/>
      <c r="AA3888" s="35"/>
      <c r="AB3888" s="35"/>
      <c r="AC3888" s="35"/>
      <c r="AD3888" s="35"/>
      <c r="AE3888" s="35"/>
      <c r="AF3888" s="35"/>
      <c r="AG3888" s="35"/>
      <c r="AH3888" s="35"/>
      <c r="AI3888" s="35"/>
      <c r="AJ3888" s="35"/>
      <c r="AK3888" s="35"/>
      <c r="AL3888" s="35"/>
    </row>
    <row r="3889">
      <c r="A3889" s="1"/>
      <c r="B3889" s="19" t="s">
        <v>17536</v>
      </c>
      <c r="C3889" s="20"/>
      <c r="D3889" s="47"/>
      <c r="E3889" s="22" t="s">
        <v>10422</v>
      </c>
      <c r="F3889" s="22" t="s">
        <v>1426</v>
      </c>
      <c r="G3889" s="23">
        <v>1994.0</v>
      </c>
      <c r="H3889" s="22" t="s">
        <v>18591</v>
      </c>
      <c r="I3889" s="24" t="s">
        <v>18592</v>
      </c>
      <c r="J3889" s="22" t="s">
        <v>125</v>
      </c>
      <c r="K3889" s="22"/>
      <c r="L3889" s="105" t="s">
        <v>18593</v>
      </c>
      <c r="M3889" s="44"/>
      <c r="N3889" s="44"/>
      <c r="O3889" s="44"/>
      <c r="P3889" s="44"/>
      <c r="Q3889" s="44"/>
      <c r="R3889" s="44"/>
      <c r="S3889" s="44"/>
      <c r="T3889" s="45"/>
      <c r="U3889" s="153" t="str">
        <f>HYPERLINK("https://www.ncbi.nlm.nih.gov/pubmed/7521524","PubMed")</f>
        <v>PubMed</v>
      </c>
      <c r="V3889" s="30"/>
      <c r="W3889" s="49"/>
      <c r="X3889" s="49"/>
      <c r="Y3889" s="35"/>
      <c r="Z3889" s="35"/>
      <c r="AA3889" s="35"/>
      <c r="AB3889" s="35"/>
      <c r="AC3889" s="35"/>
      <c r="AD3889" s="35"/>
      <c r="AE3889" s="35"/>
      <c r="AF3889" s="35"/>
      <c r="AG3889" s="35"/>
      <c r="AH3889" s="35"/>
      <c r="AI3889" s="35"/>
      <c r="AJ3889" s="35"/>
      <c r="AK3889" s="35"/>
      <c r="AL3889" s="35"/>
    </row>
    <row r="3890">
      <c r="A3890" s="1"/>
      <c r="B3890" s="19" t="s">
        <v>17536</v>
      </c>
      <c r="C3890" s="20"/>
      <c r="D3890" s="47"/>
      <c r="E3890" s="22" t="s">
        <v>18594</v>
      </c>
      <c r="F3890" s="22" t="s">
        <v>291</v>
      </c>
      <c r="G3890" s="23">
        <v>1992.0</v>
      </c>
      <c r="H3890" s="22" t="s">
        <v>18411</v>
      </c>
      <c r="I3890" s="24" t="s">
        <v>18595</v>
      </c>
      <c r="J3890" s="22" t="s">
        <v>125</v>
      </c>
      <c r="K3890" s="22"/>
      <c r="L3890" s="105" t="s">
        <v>18596</v>
      </c>
      <c r="M3890" s="44"/>
      <c r="N3890" s="44"/>
      <c r="O3890" s="44"/>
      <c r="P3890" s="44"/>
      <c r="Q3890" s="44"/>
      <c r="R3890" s="44"/>
      <c r="S3890" s="44"/>
      <c r="T3890" s="45"/>
      <c r="U3890" s="153" t="str">
        <f>HYPERLINK("https://www.ncbi.nlm.nih.gov/pubmed/1351254","PubMed")</f>
        <v>PubMed</v>
      </c>
      <c r="V3890" s="30"/>
      <c r="W3890" s="49"/>
      <c r="X3890" s="49"/>
      <c r="Y3890" s="35"/>
      <c r="Z3890" s="35"/>
      <c r="AA3890" s="35"/>
      <c r="AB3890" s="35"/>
      <c r="AC3890" s="35"/>
      <c r="AD3890" s="35"/>
      <c r="AE3890" s="35"/>
      <c r="AF3890" s="35"/>
      <c r="AG3890" s="35"/>
      <c r="AH3890" s="35"/>
      <c r="AI3890" s="35"/>
      <c r="AJ3890" s="35"/>
      <c r="AK3890" s="35"/>
      <c r="AL3890" s="35"/>
    </row>
    <row r="3891">
      <c r="A3891" s="1"/>
      <c r="B3891" s="19" t="s">
        <v>18597</v>
      </c>
      <c r="C3891" s="20" t="s">
        <v>18598</v>
      </c>
      <c r="D3891" s="47"/>
      <c r="E3891" s="22" t="s">
        <v>2275</v>
      </c>
      <c r="F3891" s="22" t="s">
        <v>494</v>
      </c>
      <c r="G3891" s="23">
        <v>2023.0</v>
      </c>
      <c r="H3891" s="22" t="s">
        <v>2706</v>
      </c>
      <c r="I3891" s="24" t="s">
        <v>18599</v>
      </c>
      <c r="J3891" s="23" t="s">
        <v>18600</v>
      </c>
      <c r="K3891" s="22" t="s">
        <v>18601</v>
      </c>
      <c r="L3891" s="94"/>
      <c r="M3891" s="94"/>
      <c r="N3891" s="94"/>
      <c r="O3891" s="332"/>
      <c r="P3891" s="332"/>
      <c r="Q3891" s="332"/>
      <c r="R3891" s="36">
        <v>20.0</v>
      </c>
      <c r="S3891" s="332"/>
      <c r="T3891" s="102" t="s">
        <v>18602</v>
      </c>
      <c r="U3891" s="38" t="s">
        <v>61</v>
      </c>
      <c r="V3891" s="30"/>
      <c r="W3891" s="49"/>
      <c r="X3891" s="49"/>
      <c r="Y3891" s="35"/>
      <c r="Z3891" s="35"/>
      <c r="AA3891" s="35"/>
      <c r="AB3891" s="35"/>
      <c r="AC3891" s="35"/>
      <c r="AD3891" s="35"/>
      <c r="AE3891" s="35"/>
      <c r="AF3891" s="35"/>
      <c r="AG3891" s="35"/>
      <c r="AH3891" s="35"/>
      <c r="AI3891" s="35"/>
      <c r="AJ3891" s="35"/>
      <c r="AK3891" s="35"/>
      <c r="AL3891" s="35"/>
    </row>
    <row r="3892">
      <c r="A3892" s="1"/>
      <c r="B3892" s="19" t="s">
        <v>18603</v>
      </c>
      <c r="C3892" s="20" t="s">
        <v>18604</v>
      </c>
      <c r="D3892" s="47"/>
      <c r="E3892" s="22" t="s">
        <v>18605</v>
      </c>
      <c r="F3892" s="22" t="s">
        <v>41</v>
      </c>
      <c r="G3892" s="23">
        <v>2022.0</v>
      </c>
      <c r="H3892" s="22" t="s">
        <v>4975</v>
      </c>
      <c r="I3892" s="24" t="s">
        <v>18606</v>
      </c>
      <c r="J3892" s="22" t="s">
        <v>31</v>
      </c>
      <c r="K3892" s="22" t="s">
        <v>1112</v>
      </c>
      <c r="L3892" s="94">
        <v>660.0</v>
      </c>
      <c r="M3892" s="94">
        <v>100.0</v>
      </c>
      <c r="N3892" s="94">
        <v>1.0</v>
      </c>
      <c r="O3892" s="332"/>
      <c r="P3892" s="332"/>
      <c r="Q3892" s="332"/>
      <c r="R3892" s="36" t="s">
        <v>18607</v>
      </c>
      <c r="S3892" s="332"/>
      <c r="T3892" s="102" t="s">
        <v>18608</v>
      </c>
      <c r="U3892" s="29" t="s">
        <v>61</v>
      </c>
      <c r="V3892" s="30"/>
      <c r="W3892" s="49"/>
      <c r="X3892" s="49"/>
      <c r="Y3892" s="35"/>
      <c r="Z3892" s="35"/>
      <c r="AA3892" s="35"/>
      <c r="AB3892" s="35"/>
      <c r="AC3892" s="35"/>
      <c r="AD3892" s="35"/>
      <c r="AE3892" s="35"/>
      <c r="AF3892" s="35"/>
      <c r="AG3892" s="35"/>
      <c r="AH3892" s="35"/>
      <c r="AI3892" s="35"/>
      <c r="AJ3892" s="35"/>
      <c r="AK3892" s="35"/>
      <c r="AL3892" s="35"/>
    </row>
    <row r="3893">
      <c r="A3893" s="1"/>
      <c r="B3893" s="19" t="s">
        <v>18603</v>
      </c>
      <c r="C3893" s="20" t="s">
        <v>18609</v>
      </c>
      <c r="D3893" s="47"/>
      <c r="E3893" s="22" t="s">
        <v>18610</v>
      </c>
      <c r="F3893" s="22" t="s">
        <v>18611</v>
      </c>
      <c r="G3893" s="23">
        <v>2022.0</v>
      </c>
      <c r="H3893" s="22" t="s">
        <v>8177</v>
      </c>
      <c r="I3893" s="24" t="s">
        <v>18612</v>
      </c>
      <c r="J3893" s="23" t="s">
        <v>18613</v>
      </c>
      <c r="K3893" s="23"/>
      <c r="L3893" s="208">
        <v>658.0</v>
      </c>
      <c r="M3893" s="94">
        <v>8.0</v>
      </c>
      <c r="N3893" s="209"/>
      <c r="O3893" s="94" t="s">
        <v>18614</v>
      </c>
      <c r="P3893" s="209"/>
      <c r="Q3893" s="52"/>
      <c r="R3893" s="209"/>
      <c r="S3893" s="208" t="s">
        <v>2688</v>
      </c>
      <c r="T3893" s="42" t="s">
        <v>18615</v>
      </c>
      <c r="U3893" s="38" t="s">
        <v>61</v>
      </c>
      <c r="V3893" s="30" t="s">
        <v>18616</v>
      </c>
      <c r="W3893" s="49"/>
      <c r="X3893" s="49"/>
      <c r="Y3893" s="35"/>
      <c r="Z3893" s="35"/>
      <c r="AA3893" s="35"/>
      <c r="AB3893" s="35"/>
      <c r="AC3893" s="35"/>
      <c r="AD3893" s="35"/>
      <c r="AE3893" s="35"/>
      <c r="AF3893" s="35"/>
      <c r="AG3893" s="35"/>
      <c r="AH3893" s="35"/>
      <c r="AI3893" s="35"/>
      <c r="AJ3893" s="35"/>
      <c r="AK3893" s="35"/>
      <c r="AL3893" s="35"/>
    </row>
    <row r="3894">
      <c r="A3894" s="1"/>
      <c r="B3894" s="19" t="s">
        <v>18603</v>
      </c>
      <c r="C3894" s="20" t="s">
        <v>18609</v>
      </c>
      <c r="D3894" s="47"/>
      <c r="E3894" s="22" t="s">
        <v>11230</v>
      </c>
      <c r="F3894" s="22" t="s">
        <v>4149</v>
      </c>
      <c r="G3894" s="23">
        <v>2020.0</v>
      </c>
      <c r="H3894" s="22" t="s">
        <v>77</v>
      </c>
      <c r="I3894" s="24" t="s">
        <v>18617</v>
      </c>
      <c r="J3894" s="22" t="s">
        <v>125</v>
      </c>
      <c r="K3894" s="22"/>
      <c r="L3894" s="53" t="s">
        <v>18618</v>
      </c>
      <c r="U3894" s="29" t="s">
        <v>61</v>
      </c>
      <c r="V3894" s="30"/>
      <c r="W3894" s="49"/>
      <c r="X3894" s="49"/>
      <c r="Y3894" s="35"/>
      <c r="Z3894" s="35"/>
      <c r="AA3894" s="35"/>
      <c r="AB3894" s="35"/>
      <c r="AC3894" s="35"/>
      <c r="AD3894" s="35"/>
      <c r="AE3894" s="35"/>
      <c r="AF3894" s="35"/>
      <c r="AG3894" s="35"/>
      <c r="AH3894" s="35"/>
      <c r="AI3894" s="35"/>
      <c r="AJ3894" s="35"/>
      <c r="AK3894" s="35"/>
      <c r="AL3894" s="35"/>
    </row>
    <row r="3895">
      <c r="A3895" s="191"/>
      <c r="B3895" s="19" t="s">
        <v>18603</v>
      </c>
      <c r="C3895" s="20" t="s">
        <v>18609</v>
      </c>
      <c r="D3895" s="47"/>
      <c r="E3895" s="22" t="s">
        <v>18619</v>
      </c>
      <c r="F3895" s="22" t="s">
        <v>18620</v>
      </c>
      <c r="G3895" s="23">
        <v>2020.0</v>
      </c>
      <c r="H3895" s="22" t="s">
        <v>18621</v>
      </c>
      <c r="I3895" s="24" t="s">
        <v>18622</v>
      </c>
      <c r="J3895" s="22" t="s">
        <v>125</v>
      </c>
      <c r="K3895" s="22"/>
      <c r="L3895" s="196" t="s">
        <v>18623</v>
      </c>
      <c r="U3895" s="153" t="str">
        <f>HYPERLINK("https://www.ncbi.nlm.nih.gov/pubmed/32118502","PubMed")</f>
        <v>PubMed</v>
      </c>
      <c r="V3895" s="30"/>
      <c r="W3895" s="49"/>
      <c r="X3895" s="49"/>
      <c r="Y3895" s="35"/>
      <c r="Z3895" s="35"/>
      <c r="AA3895" s="35"/>
      <c r="AB3895" s="35"/>
      <c r="AC3895" s="35"/>
      <c r="AD3895" s="35"/>
      <c r="AE3895" s="35"/>
      <c r="AF3895" s="35"/>
      <c r="AG3895" s="35"/>
      <c r="AH3895" s="35"/>
      <c r="AI3895" s="35"/>
      <c r="AJ3895" s="35"/>
      <c r="AK3895" s="35"/>
      <c r="AL3895" s="35"/>
    </row>
    <row r="3896">
      <c r="A3896" s="191"/>
      <c r="B3896" s="19" t="s">
        <v>18603</v>
      </c>
      <c r="C3896" s="20" t="s">
        <v>18609</v>
      </c>
      <c r="D3896" s="47"/>
      <c r="E3896" s="22" t="s">
        <v>18010</v>
      </c>
      <c r="F3896" s="22" t="s">
        <v>18624</v>
      </c>
      <c r="G3896" s="23">
        <v>2018.0</v>
      </c>
      <c r="H3896" s="22" t="s">
        <v>18625</v>
      </c>
      <c r="I3896" s="24" t="s">
        <v>18626</v>
      </c>
      <c r="J3896" s="22" t="s">
        <v>125</v>
      </c>
      <c r="K3896" s="22" t="s">
        <v>18627</v>
      </c>
      <c r="L3896" s="196" t="s">
        <v>18628</v>
      </c>
      <c r="U3896" s="153" t="str">
        <f>HYPERLINK("https://www.ncbi.nlm.nih.gov/pubmed/30508986","PubMed")</f>
        <v>PubMed</v>
      </c>
      <c r="V3896" s="30"/>
      <c r="W3896" s="49"/>
      <c r="X3896" s="49"/>
      <c r="Y3896" s="35"/>
      <c r="Z3896" s="35"/>
      <c r="AA3896" s="35"/>
      <c r="AB3896" s="35"/>
      <c r="AC3896" s="35"/>
      <c r="AD3896" s="35"/>
      <c r="AE3896" s="35"/>
      <c r="AF3896" s="35"/>
      <c r="AG3896" s="35"/>
      <c r="AH3896" s="35"/>
      <c r="AI3896" s="35"/>
      <c r="AJ3896" s="35"/>
      <c r="AK3896" s="35"/>
      <c r="AL3896" s="35"/>
    </row>
    <row r="3897">
      <c r="A3897" s="1"/>
      <c r="B3897" s="19" t="s">
        <v>18603</v>
      </c>
      <c r="C3897" s="20" t="s">
        <v>18609</v>
      </c>
      <c r="D3897" s="47"/>
      <c r="E3897" s="22" t="s">
        <v>11230</v>
      </c>
      <c r="F3897" s="22" t="s">
        <v>8204</v>
      </c>
      <c r="G3897" s="23">
        <v>2022.0</v>
      </c>
      <c r="H3897" s="22" t="s">
        <v>8177</v>
      </c>
      <c r="I3897" s="24" t="s">
        <v>18629</v>
      </c>
      <c r="J3897" s="23" t="s">
        <v>18630</v>
      </c>
      <c r="K3897" s="23"/>
      <c r="L3897" s="208" t="s">
        <v>4503</v>
      </c>
      <c r="M3897" s="209"/>
      <c r="N3897" s="209"/>
      <c r="O3897" s="209"/>
      <c r="P3897" s="209"/>
      <c r="Q3897" s="52"/>
      <c r="R3897" s="209"/>
      <c r="S3897" s="208" t="s">
        <v>1455</v>
      </c>
      <c r="T3897" s="42" t="s">
        <v>18631</v>
      </c>
      <c r="U3897" s="29" t="s">
        <v>61</v>
      </c>
      <c r="V3897" s="30"/>
      <c r="W3897" s="49"/>
      <c r="X3897" s="49"/>
      <c r="Y3897" s="35"/>
      <c r="Z3897" s="35"/>
      <c r="AA3897" s="35"/>
      <c r="AB3897" s="35"/>
      <c r="AC3897" s="35"/>
      <c r="AD3897" s="35"/>
      <c r="AE3897" s="35"/>
      <c r="AF3897" s="35"/>
      <c r="AG3897" s="35"/>
      <c r="AH3897" s="35"/>
      <c r="AI3897" s="35"/>
      <c r="AJ3897" s="35"/>
      <c r="AK3897" s="35"/>
      <c r="AL3897" s="35"/>
    </row>
    <row r="3898">
      <c r="A3898" s="1"/>
      <c r="B3898" s="19" t="s">
        <v>18603</v>
      </c>
      <c r="C3898" s="20" t="s">
        <v>18609</v>
      </c>
      <c r="D3898" s="47"/>
      <c r="E3898" s="22" t="s">
        <v>12932</v>
      </c>
      <c r="F3898" s="22" t="s">
        <v>1508</v>
      </c>
      <c r="G3898" s="23">
        <v>2016.0</v>
      </c>
      <c r="H3898" s="22" t="s">
        <v>3467</v>
      </c>
      <c r="I3898" s="24" t="s">
        <v>18632</v>
      </c>
      <c r="J3898" s="23" t="s">
        <v>18633</v>
      </c>
      <c r="K3898" s="23"/>
      <c r="L3898" s="94">
        <v>780.0</v>
      </c>
      <c r="M3898" s="209">
        <v>80.0</v>
      </c>
      <c r="N3898" s="209"/>
      <c r="O3898" s="209"/>
      <c r="P3898" s="209"/>
      <c r="Q3898" s="36" t="s">
        <v>18634</v>
      </c>
      <c r="R3898" s="209"/>
      <c r="S3898" s="208" t="s">
        <v>4905</v>
      </c>
      <c r="T3898" s="28" t="s">
        <v>18635</v>
      </c>
      <c r="U3898" s="29" t="s">
        <v>61</v>
      </c>
      <c r="V3898" s="30"/>
      <c r="W3898" s="49"/>
      <c r="X3898" s="49"/>
      <c r="Y3898" s="35"/>
      <c r="Z3898" s="35"/>
      <c r="AA3898" s="35"/>
      <c r="AB3898" s="35"/>
      <c r="AC3898" s="35"/>
      <c r="AD3898" s="35"/>
      <c r="AE3898" s="35"/>
      <c r="AF3898" s="35"/>
      <c r="AG3898" s="35"/>
      <c r="AH3898" s="35"/>
      <c r="AI3898" s="35"/>
      <c r="AJ3898" s="35"/>
      <c r="AK3898" s="35"/>
      <c r="AL3898" s="35"/>
    </row>
    <row r="3899">
      <c r="A3899" s="1"/>
      <c r="B3899" s="19" t="s">
        <v>18603</v>
      </c>
      <c r="C3899" s="20" t="s">
        <v>18636</v>
      </c>
      <c r="D3899" s="47"/>
      <c r="E3899" s="22" t="s">
        <v>18637</v>
      </c>
      <c r="F3899" s="22" t="s">
        <v>41</v>
      </c>
      <c r="G3899" s="23">
        <v>2024.0</v>
      </c>
      <c r="H3899" s="22" t="s">
        <v>6911</v>
      </c>
      <c r="I3899" s="24" t="s">
        <v>18638</v>
      </c>
      <c r="J3899" s="23" t="s">
        <v>2141</v>
      </c>
      <c r="K3899" s="23"/>
      <c r="L3899" s="168"/>
      <c r="M3899" s="185"/>
      <c r="N3899" s="185"/>
      <c r="O3899" s="185"/>
      <c r="P3899" s="185"/>
      <c r="Q3899" s="168"/>
      <c r="R3899" s="185"/>
      <c r="S3899" s="197"/>
      <c r="T3899" s="185" t="s">
        <v>18639</v>
      </c>
      <c r="U3899" s="38" t="s">
        <v>61</v>
      </c>
      <c r="V3899" s="30"/>
      <c r="W3899" s="49"/>
      <c r="X3899" s="49"/>
      <c r="Y3899" s="35"/>
      <c r="Z3899" s="35"/>
      <c r="AA3899" s="35"/>
      <c r="AB3899" s="35"/>
      <c r="AC3899" s="35"/>
      <c r="AD3899" s="35"/>
      <c r="AE3899" s="35"/>
      <c r="AF3899" s="35"/>
      <c r="AG3899" s="35"/>
      <c r="AH3899" s="35"/>
      <c r="AI3899" s="35"/>
      <c r="AJ3899" s="35"/>
      <c r="AK3899" s="35"/>
      <c r="AL3899" s="35"/>
    </row>
    <row r="3900">
      <c r="A3900" s="1"/>
      <c r="B3900" s="19" t="s">
        <v>18603</v>
      </c>
      <c r="C3900" s="20" t="s">
        <v>18640</v>
      </c>
      <c r="D3900" s="47"/>
      <c r="E3900" s="22" t="s">
        <v>18641</v>
      </c>
      <c r="F3900" s="22" t="s">
        <v>18642</v>
      </c>
      <c r="G3900" s="23">
        <v>2016.0</v>
      </c>
      <c r="H3900" s="22" t="s">
        <v>658</v>
      </c>
      <c r="I3900" s="24" t="s">
        <v>18643</v>
      </c>
      <c r="J3900" s="23" t="s">
        <v>3289</v>
      </c>
      <c r="K3900" s="23"/>
      <c r="L3900" s="171" t="s">
        <v>18644</v>
      </c>
      <c r="M3900" s="44"/>
      <c r="N3900" s="44"/>
      <c r="O3900" s="44"/>
      <c r="P3900" s="44"/>
      <c r="Q3900" s="44"/>
      <c r="R3900" s="44"/>
      <c r="S3900" s="44"/>
      <c r="T3900" s="45"/>
      <c r="U3900" s="38" t="str">
        <f>HYPERLINK("https://www.ncbi.nlm.nih.gov/pubmed/27244348","PubMed")</f>
        <v>PubMed</v>
      </c>
      <c r="V3900" s="30"/>
      <c r="W3900" s="49"/>
      <c r="X3900" s="49"/>
      <c r="Y3900" s="35"/>
      <c r="Z3900" s="35"/>
      <c r="AA3900" s="35"/>
      <c r="AB3900" s="35"/>
      <c r="AC3900" s="35"/>
      <c r="AD3900" s="35"/>
      <c r="AE3900" s="35"/>
      <c r="AF3900" s="35"/>
      <c r="AG3900" s="35"/>
      <c r="AH3900" s="35"/>
      <c r="AI3900" s="35"/>
      <c r="AJ3900" s="35"/>
      <c r="AK3900" s="35"/>
      <c r="AL3900" s="35"/>
    </row>
    <row r="3901">
      <c r="A3901" s="1"/>
      <c r="B3901" s="19" t="s">
        <v>18603</v>
      </c>
      <c r="C3901" s="20" t="s">
        <v>18645</v>
      </c>
      <c r="D3901" s="47"/>
      <c r="E3901" s="22" t="s">
        <v>7700</v>
      </c>
      <c r="F3901" s="22" t="s">
        <v>41</v>
      </c>
      <c r="G3901" s="23">
        <v>2024.0</v>
      </c>
      <c r="H3901" s="22" t="s">
        <v>42</v>
      </c>
      <c r="I3901" s="24" t="s">
        <v>18646</v>
      </c>
      <c r="J3901" s="23" t="s">
        <v>18647</v>
      </c>
      <c r="K3901" s="23" t="s">
        <v>18648</v>
      </c>
      <c r="L3901" s="94">
        <v>660.0</v>
      </c>
      <c r="M3901" s="94">
        <v>100.0</v>
      </c>
      <c r="N3901" s="93">
        <v>45292.0</v>
      </c>
      <c r="O3901" s="94"/>
      <c r="P3901" s="93">
        <v>45512.0</v>
      </c>
      <c r="Q3901" s="172"/>
      <c r="R3901" s="94"/>
      <c r="S3901" s="94"/>
      <c r="T3901" s="28" t="s">
        <v>18649</v>
      </c>
      <c r="U3901" s="38" t="s">
        <v>61</v>
      </c>
      <c r="V3901" s="30"/>
      <c r="W3901" s="49"/>
      <c r="X3901" s="49"/>
      <c r="Y3901" s="35"/>
      <c r="Z3901" s="35"/>
      <c r="AA3901" s="35"/>
      <c r="AB3901" s="35"/>
      <c r="AC3901" s="35"/>
      <c r="AD3901" s="35"/>
      <c r="AE3901" s="35"/>
      <c r="AF3901" s="35"/>
      <c r="AG3901" s="35"/>
      <c r="AH3901" s="35"/>
      <c r="AI3901" s="35"/>
      <c r="AJ3901" s="35"/>
      <c r="AK3901" s="35"/>
      <c r="AL3901" s="35"/>
    </row>
    <row r="3902">
      <c r="A3902" s="18" t="s">
        <v>181</v>
      </c>
      <c r="B3902" s="19" t="s">
        <v>18603</v>
      </c>
      <c r="C3902" s="20" t="s">
        <v>18650</v>
      </c>
      <c r="D3902" s="47"/>
      <c r="E3902" s="22" t="s">
        <v>18651</v>
      </c>
      <c r="F3902" s="22" t="s">
        <v>18652</v>
      </c>
      <c r="G3902" s="23">
        <v>2019.0</v>
      </c>
      <c r="H3902" s="22" t="s">
        <v>8177</v>
      </c>
      <c r="I3902" s="24" t="s">
        <v>18653</v>
      </c>
      <c r="J3902" s="23" t="s">
        <v>18654</v>
      </c>
      <c r="K3902" s="22"/>
      <c r="L3902" s="94" t="s">
        <v>18655</v>
      </c>
      <c r="M3902" s="94"/>
      <c r="N3902" s="94"/>
      <c r="O3902" s="94"/>
      <c r="P3902" s="94">
        <v>2.0</v>
      </c>
      <c r="Q3902" s="172"/>
      <c r="R3902" s="94"/>
      <c r="S3902" s="94" t="s">
        <v>2302</v>
      </c>
      <c r="T3902" s="28" t="s">
        <v>18656</v>
      </c>
      <c r="U3902" s="153" t="str">
        <f>HYPERLINK("https://www.ncbi.nlm.nih.gov/pubmed/31754836","PubMed")</f>
        <v>PubMed</v>
      </c>
      <c r="V3902" s="30" t="s">
        <v>18657</v>
      </c>
      <c r="W3902" s="49"/>
      <c r="X3902" s="49"/>
      <c r="Y3902" s="35"/>
      <c r="Z3902" s="35"/>
      <c r="AA3902" s="35"/>
      <c r="AB3902" s="35"/>
      <c r="AC3902" s="35"/>
      <c r="AD3902" s="35"/>
      <c r="AE3902" s="35"/>
      <c r="AF3902" s="35"/>
      <c r="AG3902" s="35"/>
      <c r="AH3902" s="35"/>
      <c r="AI3902" s="35"/>
      <c r="AJ3902" s="35"/>
      <c r="AK3902" s="35"/>
      <c r="AL3902" s="35"/>
    </row>
    <row r="3903">
      <c r="A3903" s="133"/>
      <c r="B3903" s="19" t="s">
        <v>18603</v>
      </c>
      <c r="C3903" s="20" t="s">
        <v>18640</v>
      </c>
      <c r="D3903" s="47"/>
      <c r="E3903" s="22" t="s">
        <v>8203</v>
      </c>
      <c r="F3903" s="22" t="s">
        <v>8204</v>
      </c>
      <c r="G3903" s="23">
        <v>2022.0</v>
      </c>
      <c r="H3903" s="57" t="s">
        <v>53</v>
      </c>
      <c r="I3903" s="134" t="s">
        <v>18658</v>
      </c>
      <c r="J3903" s="23" t="s">
        <v>18659</v>
      </c>
      <c r="K3903" s="23"/>
      <c r="L3903" s="94" t="s">
        <v>18660</v>
      </c>
      <c r="M3903" s="94"/>
      <c r="N3903" s="94"/>
      <c r="O3903" s="94"/>
      <c r="P3903" s="94">
        <v>4.0</v>
      </c>
      <c r="Q3903" s="172"/>
      <c r="R3903" s="94"/>
      <c r="S3903" s="94"/>
      <c r="T3903" s="54" t="s">
        <v>18661</v>
      </c>
      <c r="U3903" s="135" t="s">
        <v>61</v>
      </c>
      <c r="V3903" s="139"/>
      <c r="W3903" s="49"/>
      <c r="X3903" s="49"/>
      <c r="Y3903" s="35"/>
      <c r="Z3903" s="35"/>
      <c r="AA3903" s="35"/>
      <c r="AB3903" s="35"/>
      <c r="AC3903" s="35"/>
      <c r="AD3903" s="35"/>
      <c r="AE3903" s="35"/>
      <c r="AF3903" s="35"/>
      <c r="AG3903" s="35"/>
      <c r="AH3903" s="35"/>
      <c r="AI3903" s="35"/>
      <c r="AJ3903" s="35"/>
      <c r="AK3903" s="35"/>
      <c r="AL3903" s="35"/>
    </row>
    <row r="3904">
      <c r="A3904" s="133"/>
      <c r="B3904" s="19" t="s">
        <v>18603</v>
      </c>
      <c r="C3904" s="20" t="s">
        <v>18640</v>
      </c>
      <c r="D3904" s="47"/>
      <c r="E3904" s="22" t="s">
        <v>18662</v>
      </c>
      <c r="F3904" s="22" t="s">
        <v>18663</v>
      </c>
      <c r="G3904" s="23">
        <v>2020.0</v>
      </c>
      <c r="H3904" s="57" t="s">
        <v>91</v>
      </c>
      <c r="I3904" s="134" t="s">
        <v>18664</v>
      </c>
      <c r="J3904" s="23" t="s">
        <v>18665</v>
      </c>
      <c r="K3904" s="23" t="s">
        <v>18666</v>
      </c>
      <c r="L3904" s="94">
        <v>660.0</v>
      </c>
      <c r="M3904" s="94"/>
      <c r="N3904" s="94"/>
      <c r="O3904" s="94"/>
      <c r="P3904" s="94"/>
      <c r="Q3904" s="172"/>
      <c r="R3904" s="94"/>
      <c r="S3904" s="94"/>
      <c r="T3904" s="54" t="s">
        <v>18667</v>
      </c>
      <c r="U3904" s="138" t="s">
        <v>61</v>
      </c>
      <c r="V3904" s="139"/>
      <c r="W3904" s="49"/>
      <c r="X3904" s="49"/>
      <c r="Y3904" s="35"/>
      <c r="Z3904" s="35"/>
      <c r="AA3904" s="35"/>
      <c r="AB3904" s="35"/>
      <c r="AC3904" s="35"/>
      <c r="AD3904" s="35"/>
      <c r="AE3904" s="35"/>
      <c r="AF3904" s="35"/>
      <c r="AG3904" s="35"/>
      <c r="AH3904" s="35"/>
      <c r="AI3904" s="35"/>
      <c r="AJ3904" s="35"/>
      <c r="AK3904" s="35"/>
      <c r="AL3904" s="35"/>
    </row>
    <row r="3905">
      <c r="A3905" s="133"/>
      <c r="B3905" s="19" t="s">
        <v>18603</v>
      </c>
      <c r="C3905" s="20" t="s">
        <v>18640</v>
      </c>
      <c r="D3905" s="47"/>
      <c r="E3905" s="22" t="s">
        <v>18668</v>
      </c>
      <c r="F3905" s="22" t="s">
        <v>2346</v>
      </c>
      <c r="G3905" s="23">
        <v>2000.0</v>
      </c>
      <c r="H3905" s="57" t="s">
        <v>18669</v>
      </c>
      <c r="I3905" s="134" t="s">
        <v>18670</v>
      </c>
      <c r="J3905" s="23" t="s">
        <v>18671</v>
      </c>
      <c r="K3905" s="23" t="s">
        <v>18672</v>
      </c>
      <c r="L3905" s="94">
        <v>890.0</v>
      </c>
      <c r="M3905" s="94"/>
      <c r="N3905" s="94"/>
      <c r="O3905" s="94"/>
      <c r="P3905" s="94"/>
      <c r="Q3905" s="172"/>
      <c r="R3905" s="94"/>
      <c r="S3905" s="94" t="s">
        <v>18673</v>
      </c>
      <c r="T3905" s="54" t="s">
        <v>18674</v>
      </c>
      <c r="U3905" s="135" t="str">
        <f>HYPERLINK("http://proceedings.spiedigitallibrary.org/proceeding.aspx?articleid=923398","SPIE")</f>
        <v>SPIE</v>
      </c>
      <c r="V3905" s="139"/>
      <c r="W3905" s="49"/>
      <c r="X3905" s="49"/>
      <c r="Y3905" s="35"/>
      <c r="Z3905" s="35"/>
      <c r="AA3905" s="35"/>
      <c r="AB3905" s="35"/>
      <c r="AC3905" s="35"/>
      <c r="AD3905" s="35"/>
      <c r="AE3905" s="35"/>
      <c r="AF3905" s="35"/>
      <c r="AG3905" s="35"/>
      <c r="AH3905" s="35"/>
      <c r="AI3905" s="35"/>
      <c r="AJ3905" s="35"/>
      <c r="AK3905" s="35"/>
      <c r="AL3905" s="35"/>
    </row>
    <row r="3906">
      <c r="A3906" s="191"/>
      <c r="B3906" s="19" t="s">
        <v>18603</v>
      </c>
      <c r="C3906" s="20" t="s">
        <v>18675</v>
      </c>
      <c r="D3906" s="47"/>
      <c r="E3906" s="22" t="s">
        <v>6580</v>
      </c>
      <c r="F3906" s="22" t="s">
        <v>748</v>
      </c>
      <c r="G3906" s="23">
        <v>1991.0</v>
      </c>
      <c r="H3906" s="22" t="s">
        <v>292</v>
      </c>
      <c r="I3906" s="24" t="s">
        <v>18676</v>
      </c>
      <c r="J3906" s="23" t="s">
        <v>18677</v>
      </c>
      <c r="K3906" s="22" t="s">
        <v>18678</v>
      </c>
      <c r="L3906" s="94" t="s">
        <v>18679</v>
      </c>
      <c r="M3906" s="94"/>
      <c r="N3906" s="94"/>
      <c r="O3906" s="94"/>
      <c r="P3906" s="94"/>
      <c r="Q3906" s="172"/>
      <c r="R3906" s="94"/>
      <c r="S3906" s="94"/>
      <c r="T3906" s="42" t="s">
        <v>18680</v>
      </c>
      <c r="U3906" s="153" t="str">
        <f>HYPERLINK("https://www.jstage.jst.go.jp/article/islsm/3/4/3_91-OR-23/_article/-char/en","J-STAGE")</f>
        <v>J-STAGE</v>
      </c>
      <c r="V3906" s="30"/>
      <c r="W3906" s="49"/>
      <c r="X3906" s="49"/>
      <c r="Y3906" s="35"/>
      <c r="Z3906" s="35"/>
      <c r="AA3906" s="35"/>
      <c r="AB3906" s="35"/>
      <c r="AC3906" s="35"/>
      <c r="AD3906" s="35"/>
      <c r="AE3906" s="35"/>
      <c r="AF3906" s="35"/>
      <c r="AG3906" s="35"/>
      <c r="AH3906" s="35"/>
      <c r="AI3906" s="35"/>
      <c r="AJ3906" s="35"/>
      <c r="AK3906" s="35"/>
      <c r="AL3906" s="35"/>
    </row>
    <row r="3907">
      <c r="A3907" s="191"/>
      <c r="B3907" s="19" t="s">
        <v>18603</v>
      </c>
      <c r="C3907" s="20" t="s">
        <v>18681</v>
      </c>
      <c r="D3907" s="47"/>
      <c r="E3907" s="22" t="s">
        <v>18682</v>
      </c>
      <c r="F3907" s="22" t="s">
        <v>3064</v>
      </c>
      <c r="G3907" s="23">
        <v>2017.0</v>
      </c>
      <c r="H3907" s="22" t="s">
        <v>207</v>
      </c>
      <c r="I3907" s="24" t="s">
        <v>18683</v>
      </c>
      <c r="J3907" s="23" t="s">
        <v>18684</v>
      </c>
      <c r="K3907" s="22" t="s">
        <v>56</v>
      </c>
      <c r="L3907" s="208" t="s">
        <v>4772</v>
      </c>
      <c r="M3907" s="208"/>
      <c r="N3907" s="208"/>
      <c r="O3907" s="208"/>
      <c r="P3907" s="208"/>
      <c r="Q3907" s="333"/>
      <c r="R3907" s="208"/>
      <c r="S3907" s="208" t="s">
        <v>35</v>
      </c>
      <c r="T3907" s="41" t="s">
        <v>18685</v>
      </c>
      <c r="U3907" s="153" t="str">
        <f>HYPERLINK("https://www.ncbi.nlm.nih.gov/pubmed/27865134","PubMed")</f>
        <v>PubMed</v>
      </c>
      <c r="V3907" s="30"/>
      <c r="W3907" s="49"/>
      <c r="X3907" s="49"/>
      <c r="Y3907" s="35"/>
      <c r="Z3907" s="35"/>
      <c r="AA3907" s="35"/>
      <c r="AB3907" s="35"/>
      <c r="AC3907" s="35"/>
      <c r="AD3907" s="35"/>
      <c r="AE3907" s="35"/>
      <c r="AF3907" s="35"/>
      <c r="AG3907" s="35"/>
      <c r="AH3907" s="35"/>
      <c r="AI3907" s="35"/>
      <c r="AJ3907" s="35"/>
      <c r="AK3907" s="35"/>
      <c r="AL3907" s="35"/>
    </row>
    <row r="3908">
      <c r="A3908" s="191"/>
      <c r="B3908" s="19" t="s">
        <v>18603</v>
      </c>
      <c r="C3908" s="20" t="s">
        <v>18686</v>
      </c>
      <c r="D3908" s="47"/>
      <c r="E3908" s="22" t="s">
        <v>18687</v>
      </c>
      <c r="F3908" s="22" t="s">
        <v>5429</v>
      </c>
      <c r="G3908" s="23">
        <v>2021.0</v>
      </c>
      <c r="H3908" s="22" t="s">
        <v>2204</v>
      </c>
      <c r="I3908" s="24" t="s">
        <v>18688</v>
      </c>
      <c r="J3908" s="22" t="s">
        <v>125</v>
      </c>
      <c r="K3908" s="22"/>
      <c r="L3908" s="53" t="s">
        <v>18689</v>
      </c>
      <c r="U3908" s="29" t="s">
        <v>61</v>
      </c>
      <c r="V3908" s="30"/>
      <c r="W3908" s="49"/>
      <c r="X3908" s="49"/>
      <c r="Y3908" s="35"/>
      <c r="Z3908" s="35"/>
      <c r="AA3908" s="35"/>
      <c r="AB3908" s="35"/>
      <c r="AC3908" s="35"/>
      <c r="AD3908" s="35"/>
      <c r="AE3908" s="35"/>
      <c r="AF3908" s="35"/>
      <c r="AG3908" s="35"/>
      <c r="AH3908" s="35"/>
      <c r="AI3908" s="35"/>
      <c r="AJ3908" s="35"/>
      <c r="AK3908" s="35"/>
      <c r="AL3908" s="35"/>
    </row>
    <row r="3909">
      <c r="A3909" s="191"/>
      <c r="B3909" s="19" t="s">
        <v>18603</v>
      </c>
      <c r="C3909" s="20" t="s">
        <v>18690</v>
      </c>
      <c r="D3909" s="47"/>
      <c r="E3909" s="22" t="s">
        <v>2338</v>
      </c>
      <c r="F3909" s="22" t="s">
        <v>2196</v>
      </c>
      <c r="G3909" s="23">
        <v>2022.0</v>
      </c>
      <c r="H3909" s="22" t="s">
        <v>18691</v>
      </c>
      <c r="I3909" s="24" t="s">
        <v>18692</v>
      </c>
      <c r="J3909" s="22" t="s">
        <v>125</v>
      </c>
      <c r="K3909" s="22"/>
      <c r="L3909" s="173" t="s">
        <v>18693</v>
      </c>
      <c r="U3909" s="38" t="s">
        <v>61</v>
      </c>
      <c r="V3909" s="30"/>
      <c r="W3909" s="49"/>
      <c r="X3909" s="49"/>
      <c r="Y3909" s="35"/>
      <c r="Z3909" s="35"/>
      <c r="AA3909" s="35"/>
      <c r="AB3909" s="35"/>
      <c r="AC3909" s="35"/>
      <c r="AD3909" s="35"/>
      <c r="AE3909" s="35"/>
      <c r="AF3909" s="35"/>
      <c r="AG3909" s="35"/>
      <c r="AH3909" s="35"/>
      <c r="AI3909" s="35"/>
      <c r="AJ3909" s="35"/>
      <c r="AK3909" s="35"/>
      <c r="AL3909" s="35"/>
    </row>
    <row r="3910">
      <c r="A3910" s="191"/>
      <c r="B3910" s="19" t="s">
        <v>18603</v>
      </c>
      <c r="C3910" s="20" t="s">
        <v>2036</v>
      </c>
      <c r="D3910" s="47"/>
      <c r="E3910" s="22" t="s">
        <v>18694</v>
      </c>
      <c r="F3910" s="22" t="s">
        <v>2346</v>
      </c>
      <c r="G3910" s="23">
        <v>2022.0</v>
      </c>
      <c r="H3910" s="22" t="s">
        <v>4326</v>
      </c>
      <c r="I3910" s="24" t="s">
        <v>18695</v>
      </c>
      <c r="J3910" s="22" t="s">
        <v>125</v>
      </c>
      <c r="K3910" s="22"/>
      <c r="L3910" s="132" t="s">
        <v>18696</v>
      </c>
      <c r="U3910" s="38" t="s">
        <v>61</v>
      </c>
      <c r="V3910" s="30"/>
      <c r="W3910" s="49"/>
      <c r="X3910" s="49"/>
      <c r="Y3910" s="35"/>
      <c r="Z3910" s="35"/>
      <c r="AA3910" s="35"/>
      <c r="AB3910" s="35"/>
      <c r="AC3910" s="35"/>
      <c r="AD3910" s="35"/>
      <c r="AE3910" s="35"/>
      <c r="AF3910" s="35"/>
      <c r="AG3910" s="35"/>
      <c r="AH3910" s="35"/>
      <c r="AI3910" s="35"/>
      <c r="AJ3910" s="35"/>
      <c r="AK3910" s="35"/>
      <c r="AL3910" s="35"/>
    </row>
    <row r="3911">
      <c r="A3911" s="191"/>
      <c r="B3911" s="19" t="s">
        <v>18603</v>
      </c>
      <c r="C3911" s="20" t="s">
        <v>2036</v>
      </c>
      <c r="D3911" s="47"/>
      <c r="E3911" s="22" t="s">
        <v>18697</v>
      </c>
      <c r="F3911" s="22" t="s">
        <v>7945</v>
      </c>
      <c r="G3911" s="23">
        <v>2020.0</v>
      </c>
      <c r="H3911" s="22" t="s">
        <v>18698</v>
      </c>
      <c r="I3911" s="24" t="s">
        <v>18699</v>
      </c>
      <c r="J3911" s="23" t="s">
        <v>649</v>
      </c>
      <c r="K3911" s="22"/>
      <c r="L3911" s="132" t="s">
        <v>18700</v>
      </c>
      <c r="U3911" s="29" t="s">
        <v>61</v>
      </c>
      <c r="V3911" s="30"/>
      <c r="W3911" s="49"/>
      <c r="X3911" s="49"/>
      <c r="Y3911" s="35"/>
      <c r="Z3911" s="35"/>
      <c r="AA3911" s="35"/>
      <c r="AB3911" s="35"/>
      <c r="AC3911" s="35"/>
      <c r="AD3911" s="35"/>
      <c r="AE3911" s="35"/>
      <c r="AF3911" s="35"/>
      <c r="AG3911" s="35"/>
      <c r="AH3911" s="35"/>
      <c r="AI3911" s="35"/>
      <c r="AJ3911" s="35"/>
      <c r="AK3911" s="35"/>
      <c r="AL3911" s="35"/>
    </row>
    <row r="3912">
      <c r="A3912" s="191"/>
      <c r="B3912" s="19" t="s">
        <v>18603</v>
      </c>
      <c r="C3912" s="20" t="s">
        <v>2036</v>
      </c>
      <c r="D3912" s="47"/>
      <c r="E3912" s="22" t="s">
        <v>18701</v>
      </c>
      <c r="F3912" s="22" t="s">
        <v>18702</v>
      </c>
      <c r="G3912" s="23">
        <v>2020.0</v>
      </c>
      <c r="H3912" s="22" t="s">
        <v>18691</v>
      </c>
      <c r="I3912" s="24" t="s">
        <v>18703</v>
      </c>
      <c r="J3912" s="22" t="s">
        <v>125</v>
      </c>
      <c r="K3912" s="22" t="s">
        <v>4071</v>
      </c>
      <c r="L3912" s="196" t="s">
        <v>18704</v>
      </c>
      <c r="U3912" s="29" t="s">
        <v>61</v>
      </c>
      <c r="V3912" s="30"/>
      <c r="W3912" s="49"/>
      <c r="X3912" s="49"/>
      <c r="Y3912" s="35"/>
      <c r="Z3912" s="35"/>
      <c r="AA3912" s="35"/>
      <c r="AB3912" s="35"/>
      <c r="AC3912" s="35"/>
      <c r="AD3912" s="35"/>
      <c r="AE3912" s="35"/>
      <c r="AF3912" s="35"/>
      <c r="AG3912" s="35"/>
      <c r="AH3912" s="35"/>
      <c r="AI3912" s="35"/>
      <c r="AJ3912" s="35"/>
      <c r="AK3912" s="35"/>
      <c r="AL3912" s="35"/>
    </row>
    <row r="3913">
      <c r="A3913" s="191"/>
      <c r="B3913" s="19" t="s">
        <v>18603</v>
      </c>
      <c r="C3913" s="20" t="s">
        <v>2036</v>
      </c>
      <c r="D3913" s="47"/>
      <c r="E3913" s="22" t="s">
        <v>8319</v>
      </c>
      <c r="F3913" s="22" t="s">
        <v>2407</v>
      </c>
      <c r="G3913" s="23">
        <v>2018.0</v>
      </c>
      <c r="H3913" s="22" t="s">
        <v>658</v>
      </c>
      <c r="I3913" s="24" t="s">
        <v>18705</v>
      </c>
      <c r="J3913" s="22" t="s">
        <v>125</v>
      </c>
      <c r="K3913" s="22"/>
      <c r="L3913" s="196" t="s">
        <v>18706</v>
      </c>
      <c r="U3913" s="153" t="str">
        <f>HYPERLINK("https://www.ncbi.nlm.nih.gov/pubmed/29466089","PubMed")</f>
        <v>PubMed</v>
      </c>
      <c r="V3913" s="30"/>
      <c r="W3913" s="49"/>
      <c r="X3913" s="49"/>
      <c r="Y3913" s="35"/>
      <c r="Z3913" s="35"/>
      <c r="AA3913" s="35"/>
      <c r="AB3913" s="35"/>
      <c r="AC3913" s="35"/>
      <c r="AD3913" s="35"/>
      <c r="AE3913" s="35"/>
      <c r="AF3913" s="35"/>
      <c r="AG3913" s="35"/>
      <c r="AH3913" s="35"/>
      <c r="AI3913" s="35"/>
      <c r="AJ3913" s="35"/>
      <c r="AK3913" s="35"/>
      <c r="AL3913" s="35"/>
    </row>
    <row r="3914">
      <c r="A3914" s="1"/>
      <c r="B3914" s="19" t="s">
        <v>18603</v>
      </c>
      <c r="C3914" s="20" t="s">
        <v>10426</v>
      </c>
      <c r="D3914" s="47"/>
      <c r="E3914" s="22" t="s">
        <v>18707</v>
      </c>
      <c r="F3914" s="22" t="s">
        <v>323</v>
      </c>
      <c r="G3914" s="23">
        <v>2021.0</v>
      </c>
      <c r="H3914" s="22" t="s">
        <v>4975</v>
      </c>
      <c r="I3914" s="24" t="s">
        <v>18708</v>
      </c>
      <c r="J3914" s="23" t="s">
        <v>8564</v>
      </c>
      <c r="K3914" s="22"/>
      <c r="L3914" s="52" t="s">
        <v>2217</v>
      </c>
      <c r="M3914" s="30"/>
      <c r="N3914" s="30"/>
      <c r="O3914" s="30"/>
      <c r="P3914" s="30"/>
      <c r="Q3914" s="30"/>
      <c r="R3914" s="30"/>
      <c r="S3914" s="30"/>
      <c r="T3914" s="28" t="s">
        <v>18709</v>
      </c>
      <c r="U3914" s="29" t="s">
        <v>61</v>
      </c>
      <c r="V3914" s="30"/>
      <c r="W3914" s="49"/>
      <c r="X3914" s="49"/>
      <c r="Y3914" s="35"/>
      <c r="Z3914" s="35"/>
      <c r="AA3914" s="35"/>
      <c r="AB3914" s="35"/>
      <c r="AC3914" s="35"/>
      <c r="AD3914" s="35"/>
      <c r="AE3914" s="35"/>
      <c r="AF3914" s="35"/>
      <c r="AG3914" s="35"/>
      <c r="AH3914" s="35"/>
      <c r="AI3914" s="35"/>
      <c r="AJ3914" s="35"/>
      <c r="AK3914" s="35"/>
      <c r="AL3914" s="35"/>
    </row>
    <row r="3915">
      <c r="A3915" s="1"/>
      <c r="B3915" s="19" t="s">
        <v>18603</v>
      </c>
      <c r="C3915" s="20" t="s">
        <v>10426</v>
      </c>
      <c r="D3915" s="47"/>
      <c r="E3915" s="22" t="s">
        <v>18710</v>
      </c>
      <c r="F3915" s="22" t="s">
        <v>18652</v>
      </c>
      <c r="G3915" s="23">
        <v>2019.0</v>
      </c>
      <c r="H3915" s="22" t="s">
        <v>8177</v>
      </c>
      <c r="I3915" s="24" t="s">
        <v>18711</v>
      </c>
      <c r="J3915" s="23" t="s">
        <v>18712</v>
      </c>
      <c r="K3915" s="22" t="s">
        <v>18713</v>
      </c>
      <c r="L3915" s="52">
        <v>630.0</v>
      </c>
      <c r="M3915" s="30"/>
      <c r="N3915" s="30"/>
      <c r="O3915" s="30"/>
      <c r="P3915" s="30"/>
      <c r="Q3915" s="30"/>
      <c r="R3915" s="30"/>
      <c r="S3915" s="30"/>
      <c r="T3915" s="132" t="s">
        <v>18714</v>
      </c>
      <c r="U3915" s="153" t="str">
        <f>HYPERLINK("https://www.ncbi.nlm.nih.gov/pubmed/31502227","PubMed")</f>
        <v>PubMed</v>
      </c>
      <c r="V3915" s="30"/>
      <c r="W3915" s="49"/>
      <c r="X3915" s="49"/>
      <c r="Y3915" s="35"/>
      <c r="Z3915" s="35"/>
      <c r="AA3915" s="35"/>
      <c r="AB3915" s="35"/>
      <c r="AC3915" s="35"/>
      <c r="AD3915" s="35"/>
      <c r="AE3915" s="35"/>
      <c r="AF3915" s="35"/>
      <c r="AG3915" s="35"/>
      <c r="AH3915" s="35"/>
      <c r="AI3915" s="35"/>
      <c r="AJ3915" s="35"/>
      <c r="AK3915" s="35"/>
      <c r="AL3915" s="35"/>
    </row>
    <row r="3916">
      <c r="A3916" s="1"/>
      <c r="B3916" s="19" t="s">
        <v>18603</v>
      </c>
      <c r="C3916" s="20" t="s">
        <v>10426</v>
      </c>
      <c r="D3916" s="47"/>
      <c r="E3916" s="22" t="s">
        <v>18715</v>
      </c>
      <c r="F3916" s="22" t="s">
        <v>1102</v>
      </c>
      <c r="G3916" s="23">
        <v>2019.0</v>
      </c>
      <c r="H3916" s="22" t="s">
        <v>18716</v>
      </c>
      <c r="I3916" s="24" t="s">
        <v>18717</v>
      </c>
      <c r="J3916" s="23" t="s">
        <v>649</v>
      </c>
      <c r="K3916" s="22"/>
      <c r="L3916" s="132" t="s">
        <v>18718</v>
      </c>
      <c r="U3916" s="153" t="str">
        <f>HYPERLINK("https://www.ncbi.nlm.nih.gov/pubmed/31109692","PubMed")</f>
        <v>PubMed</v>
      </c>
      <c r="V3916" s="30"/>
      <c r="W3916" s="49"/>
      <c r="X3916" s="49"/>
      <c r="Y3916" s="35"/>
      <c r="Z3916" s="35"/>
      <c r="AA3916" s="35"/>
      <c r="AB3916" s="35"/>
      <c r="AC3916" s="35"/>
      <c r="AD3916" s="35"/>
      <c r="AE3916" s="35"/>
      <c r="AF3916" s="35"/>
      <c r="AG3916" s="35"/>
      <c r="AH3916" s="35"/>
      <c r="AI3916" s="35"/>
      <c r="AJ3916" s="35"/>
      <c r="AK3916" s="35"/>
      <c r="AL3916" s="35"/>
    </row>
    <row r="3917">
      <c r="A3917" s="1"/>
      <c r="B3917" s="19" t="s">
        <v>18603</v>
      </c>
      <c r="C3917" s="20" t="s">
        <v>18719</v>
      </c>
      <c r="D3917" s="47"/>
      <c r="E3917" s="22" t="s">
        <v>18720</v>
      </c>
      <c r="F3917" s="22" t="s">
        <v>18721</v>
      </c>
      <c r="G3917" s="23">
        <v>2023.0</v>
      </c>
      <c r="H3917" s="22" t="s">
        <v>18722</v>
      </c>
      <c r="I3917" s="24" t="s">
        <v>18723</v>
      </c>
      <c r="J3917" s="22" t="s">
        <v>125</v>
      </c>
      <c r="K3917" s="22"/>
      <c r="L3917" s="132" t="s">
        <v>18724</v>
      </c>
      <c r="U3917" s="38" t="s">
        <v>61</v>
      </c>
      <c r="V3917" s="30"/>
      <c r="W3917" s="49"/>
      <c r="X3917" s="49"/>
      <c r="Y3917" s="35"/>
      <c r="Z3917" s="35"/>
      <c r="AA3917" s="35"/>
      <c r="AB3917" s="35"/>
      <c r="AC3917" s="35"/>
      <c r="AD3917" s="35"/>
      <c r="AE3917" s="35"/>
      <c r="AF3917" s="35"/>
      <c r="AG3917" s="35"/>
      <c r="AH3917" s="35"/>
      <c r="AI3917" s="35"/>
      <c r="AJ3917" s="35"/>
      <c r="AK3917" s="35"/>
      <c r="AL3917" s="35"/>
    </row>
    <row r="3918">
      <c r="A3918" s="1"/>
      <c r="B3918" s="19" t="s">
        <v>18603</v>
      </c>
      <c r="C3918" s="20" t="s">
        <v>18719</v>
      </c>
      <c r="D3918" s="47"/>
      <c r="E3918" s="22" t="s">
        <v>8176</v>
      </c>
      <c r="F3918" s="22" t="s">
        <v>18725</v>
      </c>
      <c r="G3918" s="23">
        <v>2023.0</v>
      </c>
      <c r="H3918" s="22" t="s">
        <v>8177</v>
      </c>
      <c r="I3918" s="24" t="s">
        <v>18726</v>
      </c>
      <c r="J3918" s="22" t="s">
        <v>125</v>
      </c>
      <c r="K3918" s="22"/>
      <c r="L3918" s="132" t="s">
        <v>18727</v>
      </c>
      <c r="U3918" s="38" t="s">
        <v>61</v>
      </c>
      <c r="V3918" s="30"/>
      <c r="W3918" s="49"/>
      <c r="X3918" s="49"/>
      <c r="Y3918" s="35"/>
      <c r="Z3918" s="35"/>
      <c r="AA3918" s="35"/>
      <c r="AB3918" s="35"/>
      <c r="AC3918" s="35"/>
      <c r="AD3918" s="35"/>
      <c r="AE3918" s="35"/>
      <c r="AF3918" s="35"/>
      <c r="AG3918" s="35"/>
      <c r="AH3918" s="35"/>
      <c r="AI3918" s="35"/>
      <c r="AJ3918" s="35"/>
      <c r="AK3918" s="35"/>
      <c r="AL3918" s="35"/>
    </row>
    <row r="3919">
      <c r="A3919" s="1"/>
      <c r="B3919" s="19" t="s">
        <v>18603</v>
      </c>
      <c r="C3919" s="20" t="s">
        <v>18719</v>
      </c>
      <c r="D3919" s="47"/>
      <c r="E3919" s="22" t="s">
        <v>2482</v>
      </c>
      <c r="F3919" s="22" t="s">
        <v>2702</v>
      </c>
      <c r="G3919" s="23">
        <v>2023.0</v>
      </c>
      <c r="H3919" s="22" t="s">
        <v>77</v>
      </c>
      <c r="I3919" s="24" t="s">
        <v>18728</v>
      </c>
      <c r="J3919" s="23" t="s">
        <v>202</v>
      </c>
      <c r="K3919" s="22"/>
      <c r="L3919" s="132"/>
      <c r="U3919" s="38" t="s">
        <v>61</v>
      </c>
      <c r="V3919" s="30"/>
      <c r="W3919" s="49"/>
      <c r="X3919" s="49"/>
      <c r="Y3919" s="35"/>
      <c r="Z3919" s="35"/>
      <c r="AA3919" s="35"/>
      <c r="AB3919" s="35"/>
      <c r="AC3919" s="35"/>
      <c r="AD3919" s="35"/>
      <c r="AE3919" s="35"/>
      <c r="AF3919" s="35"/>
      <c r="AG3919" s="35"/>
      <c r="AH3919" s="35"/>
      <c r="AI3919" s="35"/>
      <c r="AJ3919" s="35"/>
      <c r="AK3919" s="35"/>
      <c r="AL3919" s="35"/>
    </row>
    <row r="3920">
      <c r="A3920" s="1"/>
      <c r="B3920" s="19" t="s">
        <v>18603</v>
      </c>
      <c r="C3920" s="20" t="s">
        <v>18719</v>
      </c>
      <c r="D3920" s="47"/>
      <c r="E3920" s="22" t="s">
        <v>8203</v>
      </c>
      <c r="F3920" s="22" t="s">
        <v>18729</v>
      </c>
      <c r="G3920" s="23">
        <v>2022.0</v>
      </c>
      <c r="H3920" s="22" t="s">
        <v>18691</v>
      </c>
      <c r="I3920" s="24" t="s">
        <v>18730</v>
      </c>
      <c r="J3920" s="22" t="s">
        <v>18731</v>
      </c>
      <c r="K3920" s="22"/>
      <c r="L3920" s="132" t="s">
        <v>18732</v>
      </c>
      <c r="U3920" s="38" t="s">
        <v>61</v>
      </c>
      <c r="V3920" s="30"/>
      <c r="W3920" s="49"/>
      <c r="X3920" s="49"/>
      <c r="Y3920" s="35"/>
      <c r="Z3920" s="35"/>
      <c r="AA3920" s="35"/>
      <c r="AB3920" s="35"/>
      <c r="AC3920" s="35"/>
      <c r="AD3920" s="35"/>
      <c r="AE3920" s="35"/>
      <c r="AF3920" s="35"/>
      <c r="AG3920" s="35"/>
      <c r="AH3920" s="35"/>
      <c r="AI3920" s="35"/>
      <c r="AJ3920" s="35"/>
      <c r="AK3920" s="35"/>
      <c r="AL3920" s="35"/>
    </row>
    <row r="3921">
      <c r="A3921" s="1"/>
      <c r="B3921" s="19" t="s">
        <v>18603</v>
      </c>
      <c r="C3921" s="20" t="s">
        <v>18719</v>
      </c>
      <c r="D3921" s="47"/>
      <c r="E3921" s="22" t="s">
        <v>8176</v>
      </c>
      <c r="F3921" s="22" t="s">
        <v>18725</v>
      </c>
      <c r="G3921" s="23">
        <v>2022.0</v>
      </c>
      <c r="H3921" s="22" t="s">
        <v>18733</v>
      </c>
      <c r="I3921" s="24" t="s">
        <v>18734</v>
      </c>
      <c r="J3921" s="22" t="s">
        <v>125</v>
      </c>
      <c r="K3921" s="22"/>
      <c r="L3921" s="132" t="s">
        <v>18735</v>
      </c>
      <c r="U3921" s="38" t="s">
        <v>61</v>
      </c>
      <c r="V3921" s="30"/>
      <c r="W3921" s="49"/>
      <c r="X3921" s="49"/>
      <c r="Y3921" s="35"/>
      <c r="Z3921" s="35"/>
      <c r="AA3921" s="35"/>
      <c r="AB3921" s="35"/>
      <c r="AC3921" s="35"/>
      <c r="AD3921" s="35"/>
      <c r="AE3921" s="35"/>
      <c r="AF3921" s="35"/>
      <c r="AG3921" s="35"/>
      <c r="AH3921" s="35"/>
      <c r="AI3921" s="35"/>
      <c r="AJ3921" s="35"/>
      <c r="AK3921" s="35"/>
      <c r="AL3921" s="35"/>
    </row>
    <row r="3922">
      <c r="A3922" s="1"/>
      <c r="B3922" s="19" t="s">
        <v>18603</v>
      </c>
      <c r="C3922" s="20" t="s">
        <v>18719</v>
      </c>
      <c r="D3922" s="47"/>
      <c r="E3922" s="22" t="s">
        <v>14284</v>
      </c>
      <c r="F3922" s="22" t="s">
        <v>183</v>
      </c>
      <c r="G3922" s="23">
        <v>2022.0</v>
      </c>
      <c r="H3922" s="22" t="s">
        <v>8177</v>
      </c>
      <c r="I3922" s="24" t="s">
        <v>18736</v>
      </c>
      <c r="J3922" s="23" t="s">
        <v>18737</v>
      </c>
      <c r="K3922" s="22" t="s">
        <v>18738</v>
      </c>
      <c r="L3922" s="52">
        <v>660.0</v>
      </c>
      <c r="M3922" s="30" t="s">
        <v>18739</v>
      </c>
      <c r="N3922" s="30"/>
      <c r="O3922" s="52" t="s">
        <v>18740</v>
      </c>
      <c r="P3922" s="30"/>
      <c r="Q3922" s="30"/>
      <c r="R3922" s="52" t="s">
        <v>18741</v>
      </c>
      <c r="S3922" s="30" t="s">
        <v>18742</v>
      </c>
      <c r="T3922" s="28" t="s">
        <v>18743</v>
      </c>
      <c r="U3922" s="29" t="s">
        <v>61</v>
      </c>
      <c r="V3922" s="30"/>
      <c r="W3922" s="49"/>
      <c r="X3922" s="49"/>
      <c r="Y3922" s="35"/>
      <c r="Z3922" s="35"/>
      <c r="AA3922" s="35"/>
      <c r="AB3922" s="35"/>
      <c r="AC3922" s="35"/>
      <c r="AD3922" s="35"/>
      <c r="AE3922" s="35"/>
      <c r="AF3922" s="35"/>
      <c r="AG3922" s="35"/>
      <c r="AH3922" s="35"/>
      <c r="AI3922" s="35"/>
      <c r="AJ3922" s="35"/>
      <c r="AK3922" s="35"/>
      <c r="AL3922" s="35"/>
    </row>
    <row r="3923">
      <c r="A3923" s="1"/>
      <c r="B3923" s="19" t="s">
        <v>18603</v>
      </c>
      <c r="C3923" s="20" t="s">
        <v>18719</v>
      </c>
      <c r="D3923" s="47"/>
      <c r="E3923" s="22" t="s">
        <v>1080</v>
      </c>
      <c r="F3923" s="22" t="s">
        <v>2052</v>
      </c>
      <c r="G3923" s="23">
        <v>2022.0</v>
      </c>
      <c r="H3923" s="22" t="s">
        <v>18342</v>
      </c>
      <c r="I3923" s="24" t="s">
        <v>18744</v>
      </c>
      <c r="J3923" s="22" t="s">
        <v>125</v>
      </c>
      <c r="K3923" s="22"/>
      <c r="L3923" s="196" t="s">
        <v>18745</v>
      </c>
      <c r="U3923" s="29" t="s">
        <v>61</v>
      </c>
      <c r="V3923" s="30"/>
      <c r="W3923" s="49"/>
      <c r="X3923" s="49"/>
      <c r="Y3923" s="35"/>
      <c r="Z3923" s="35"/>
      <c r="AA3923" s="35"/>
      <c r="AB3923" s="35"/>
      <c r="AC3923" s="35"/>
      <c r="AD3923" s="35"/>
      <c r="AE3923" s="35"/>
      <c r="AF3923" s="35"/>
      <c r="AG3923" s="35"/>
      <c r="AH3923" s="35"/>
      <c r="AI3923" s="35"/>
      <c r="AJ3923" s="35"/>
      <c r="AK3923" s="35"/>
      <c r="AL3923" s="35"/>
    </row>
    <row r="3924">
      <c r="A3924" s="1"/>
      <c r="B3924" s="19" t="s">
        <v>18603</v>
      </c>
      <c r="C3924" s="20" t="s">
        <v>18719</v>
      </c>
      <c r="D3924" s="47"/>
      <c r="E3924" s="22" t="s">
        <v>18746</v>
      </c>
      <c r="F3924" s="22" t="s">
        <v>2152</v>
      </c>
      <c r="G3924" s="23">
        <v>2021.0</v>
      </c>
      <c r="H3924" s="22" t="s">
        <v>8177</v>
      </c>
      <c r="I3924" s="24" t="s">
        <v>18747</v>
      </c>
      <c r="J3924" s="23" t="s">
        <v>202</v>
      </c>
      <c r="K3924" s="22"/>
      <c r="L3924" s="132" t="s">
        <v>18748</v>
      </c>
      <c r="U3924" s="29" t="s">
        <v>61</v>
      </c>
      <c r="V3924" s="30"/>
      <c r="W3924" s="49"/>
      <c r="X3924" s="49"/>
      <c r="Y3924" s="35"/>
      <c r="Z3924" s="35"/>
      <c r="AA3924" s="35"/>
      <c r="AB3924" s="35"/>
      <c r="AC3924" s="35"/>
      <c r="AD3924" s="35"/>
      <c r="AE3924" s="35"/>
      <c r="AF3924" s="35"/>
      <c r="AG3924" s="35"/>
      <c r="AH3924" s="35"/>
      <c r="AI3924" s="35"/>
      <c r="AJ3924" s="35"/>
      <c r="AK3924" s="35"/>
      <c r="AL3924" s="35"/>
    </row>
    <row r="3925">
      <c r="A3925" s="1"/>
      <c r="B3925" s="19" t="s">
        <v>18603</v>
      </c>
      <c r="C3925" s="20" t="s">
        <v>18719</v>
      </c>
      <c r="D3925" s="47"/>
      <c r="E3925" s="22" t="s">
        <v>18749</v>
      </c>
      <c r="F3925" s="22" t="s">
        <v>1102</v>
      </c>
      <c r="G3925" s="23">
        <v>2021.0</v>
      </c>
      <c r="H3925" s="22" t="s">
        <v>8177</v>
      </c>
      <c r="I3925" s="24" t="s">
        <v>18750</v>
      </c>
      <c r="J3925" s="23" t="s">
        <v>649</v>
      </c>
      <c r="K3925" s="22"/>
      <c r="L3925" s="132" t="s">
        <v>18751</v>
      </c>
      <c r="U3925" s="29" t="s">
        <v>61</v>
      </c>
      <c r="V3925" s="30"/>
      <c r="W3925" s="49"/>
      <c r="X3925" s="49"/>
      <c r="Y3925" s="35"/>
      <c r="Z3925" s="35"/>
      <c r="AA3925" s="35"/>
      <c r="AB3925" s="35"/>
      <c r="AC3925" s="35"/>
      <c r="AD3925" s="35"/>
      <c r="AE3925" s="35"/>
      <c r="AF3925" s="35"/>
      <c r="AG3925" s="35"/>
      <c r="AH3925" s="35"/>
      <c r="AI3925" s="35"/>
      <c r="AJ3925" s="35"/>
      <c r="AK3925" s="35"/>
      <c r="AL3925" s="35"/>
    </row>
    <row r="3926">
      <c r="A3926" s="1"/>
      <c r="B3926" s="19" t="s">
        <v>18603</v>
      </c>
      <c r="C3926" s="20" t="s">
        <v>18719</v>
      </c>
      <c r="D3926" s="47"/>
      <c r="E3926" s="22" t="s">
        <v>5311</v>
      </c>
      <c r="F3926" s="22" t="s">
        <v>5312</v>
      </c>
      <c r="G3926" s="23">
        <v>2021.0</v>
      </c>
      <c r="H3926" s="22" t="s">
        <v>8177</v>
      </c>
      <c r="I3926" s="24" t="s">
        <v>18752</v>
      </c>
      <c r="J3926" s="23" t="s">
        <v>18753</v>
      </c>
      <c r="K3926" s="22" t="s">
        <v>18754</v>
      </c>
      <c r="L3926" s="208">
        <v>808.0</v>
      </c>
      <c r="M3926" s="208">
        <v>250.0</v>
      </c>
      <c r="N3926" s="208"/>
      <c r="O3926" s="208"/>
      <c r="P3926" s="208"/>
      <c r="Q3926" s="208"/>
      <c r="R3926" s="208"/>
      <c r="S3926" s="208"/>
      <c r="T3926" s="28" t="s">
        <v>18755</v>
      </c>
      <c r="U3926" s="29" t="s">
        <v>61</v>
      </c>
      <c r="V3926" s="30" t="s">
        <v>18756</v>
      </c>
      <c r="W3926" s="49"/>
      <c r="X3926" s="49"/>
      <c r="Y3926" s="35"/>
      <c r="Z3926" s="35"/>
      <c r="AA3926" s="35"/>
      <c r="AB3926" s="35"/>
      <c r="AC3926" s="35"/>
      <c r="AD3926" s="35"/>
      <c r="AE3926" s="35"/>
      <c r="AF3926" s="35"/>
      <c r="AG3926" s="35"/>
      <c r="AH3926" s="35"/>
      <c r="AI3926" s="35"/>
      <c r="AJ3926" s="35"/>
      <c r="AK3926" s="35"/>
      <c r="AL3926" s="35"/>
    </row>
    <row r="3927">
      <c r="A3927" s="1"/>
      <c r="B3927" s="19" t="s">
        <v>18603</v>
      </c>
      <c r="C3927" s="20" t="s">
        <v>18719</v>
      </c>
      <c r="D3927" s="47"/>
      <c r="E3927" s="22" t="s">
        <v>18697</v>
      </c>
      <c r="F3927" s="22" t="s">
        <v>7945</v>
      </c>
      <c r="G3927" s="23">
        <v>2020.0</v>
      </c>
      <c r="H3927" s="22" t="s">
        <v>77</v>
      </c>
      <c r="I3927" s="24" t="s">
        <v>18757</v>
      </c>
      <c r="J3927" s="23" t="s">
        <v>3289</v>
      </c>
      <c r="K3927" s="22"/>
      <c r="L3927" s="196" t="s">
        <v>18758</v>
      </c>
      <c r="U3927" s="153" t="str">
        <f>HYPERLINK("https://www.ncbi.nlm.nih.gov/pubmed/32364823","PubMed")</f>
        <v>PubMed</v>
      </c>
      <c r="V3927" s="30"/>
      <c r="W3927" s="49"/>
      <c r="X3927" s="49"/>
      <c r="Y3927" s="35"/>
      <c r="Z3927" s="35"/>
      <c r="AA3927" s="35"/>
      <c r="AB3927" s="35"/>
      <c r="AC3927" s="35"/>
      <c r="AD3927" s="35"/>
      <c r="AE3927" s="35"/>
      <c r="AF3927" s="35"/>
      <c r="AG3927" s="35"/>
      <c r="AH3927" s="35"/>
      <c r="AI3927" s="35"/>
      <c r="AJ3927" s="35"/>
      <c r="AK3927" s="35"/>
      <c r="AL3927" s="35"/>
    </row>
    <row r="3928">
      <c r="A3928" s="1"/>
      <c r="B3928" s="19" t="s">
        <v>18603</v>
      </c>
      <c r="C3928" s="20" t="s">
        <v>18719</v>
      </c>
      <c r="D3928" s="47"/>
      <c r="E3928" s="22" t="s">
        <v>18715</v>
      </c>
      <c r="F3928" s="22" t="s">
        <v>41</v>
      </c>
      <c r="G3928" s="23">
        <v>2019.0</v>
      </c>
      <c r="H3928" s="22" t="s">
        <v>8177</v>
      </c>
      <c r="I3928" s="24" t="s">
        <v>18759</v>
      </c>
      <c r="J3928" s="23" t="s">
        <v>649</v>
      </c>
      <c r="K3928" s="22"/>
      <c r="L3928" s="132" t="s">
        <v>18760</v>
      </c>
      <c r="U3928" s="153" t="str">
        <f>HYPERLINK("https://www.ncbi.nlm.nih.gov/pubmed/31264186","PubMed")</f>
        <v>PubMed</v>
      </c>
      <c r="V3928" s="30"/>
      <c r="W3928" s="49"/>
      <c r="X3928" s="49"/>
      <c r="Y3928" s="35"/>
      <c r="Z3928" s="35"/>
      <c r="AA3928" s="35"/>
      <c r="AB3928" s="35"/>
      <c r="AC3928" s="35"/>
      <c r="AD3928" s="35"/>
      <c r="AE3928" s="35"/>
      <c r="AF3928" s="35"/>
      <c r="AG3928" s="35"/>
      <c r="AH3928" s="35"/>
      <c r="AI3928" s="35"/>
      <c r="AJ3928" s="35"/>
      <c r="AK3928" s="35"/>
      <c r="AL3928" s="35"/>
    </row>
    <row r="3929">
      <c r="A3929" s="1"/>
      <c r="B3929" s="19" t="s">
        <v>18603</v>
      </c>
      <c r="C3929" s="20" t="s">
        <v>18719</v>
      </c>
      <c r="D3929" s="47"/>
      <c r="E3929" s="22" t="s">
        <v>18697</v>
      </c>
      <c r="F3929" s="22" t="s">
        <v>7945</v>
      </c>
      <c r="G3929" s="23">
        <v>2018.0</v>
      </c>
      <c r="H3929" s="22" t="s">
        <v>8235</v>
      </c>
      <c r="I3929" s="24" t="s">
        <v>18761</v>
      </c>
      <c r="J3929" s="22" t="s">
        <v>125</v>
      </c>
      <c r="K3929" s="22"/>
      <c r="L3929" s="132" t="s">
        <v>18762</v>
      </c>
      <c r="U3929" s="153" t="str">
        <f>HYPERLINK("https://www.ncbi.nlm.nih.gov/pubmed/29794809","PubMed")</f>
        <v>PubMed</v>
      </c>
      <c r="V3929" s="30"/>
      <c r="W3929" s="49"/>
      <c r="X3929" s="49"/>
      <c r="Y3929" s="35"/>
      <c r="Z3929" s="35"/>
      <c r="AA3929" s="35"/>
      <c r="AB3929" s="35"/>
      <c r="AC3929" s="35"/>
      <c r="AD3929" s="35"/>
      <c r="AE3929" s="35"/>
      <c r="AF3929" s="35"/>
      <c r="AG3929" s="35"/>
      <c r="AH3929" s="35"/>
      <c r="AI3929" s="35"/>
      <c r="AJ3929" s="35"/>
      <c r="AK3929" s="35"/>
      <c r="AL3929" s="35"/>
    </row>
    <row r="3930">
      <c r="A3930" s="1" t="s">
        <v>18763</v>
      </c>
      <c r="B3930" s="19" t="s">
        <v>18603</v>
      </c>
      <c r="C3930" s="20" t="s">
        <v>18719</v>
      </c>
      <c r="D3930" s="47"/>
      <c r="E3930" s="22" t="s">
        <v>8203</v>
      </c>
      <c r="F3930" s="22" t="s">
        <v>8204</v>
      </c>
      <c r="G3930" s="23">
        <v>2017.0</v>
      </c>
      <c r="H3930" s="22" t="s">
        <v>18764</v>
      </c>
      <c r="I3930" s="24" t="s">
        <v>18765</v>
      </c>
      <c r="J3930" s="22" t="s">
        <v>125</v>
      </c>
      <c r="K3930" s="22"/>
      <c r="L3930" s="132" t="s">
        <v>18766</v>
      </c>
      <c r="U3930" s="153" t="str">
        <f>HYPERLINK("https://uhdspace.uhasselt.be/dspace/handle/1942/25521","UHASSELT")</f>
        <v>UHASSELT</v>
      </c>
      <c r="V3930" s="30"/>
      <c r="W3930" s="49"/>
      <c r="X3930" s="49"/>
      <c r="Y3930" s="35"/>
      <c r="Z3930" s="35"/>
      <c r="AA3930" s="35"/>
      <c r="AB3930" s="35"/>
      <c r="AC3930" s="35"/>
      <c r="AD3930" s="35"/>
      <c r="AE3930" s="35"/>
      <c r="AF3930" s="35"/>
      <c r="AG3930" s="35"/>
      <c r="AH3930" s="35"/>
      <c r="AI3930" s="35"/>
      <c r="AJ3930" s="35"/>
      <c r="AK3930" s="35"/>
      <c r="AL3930" s="35"/>
    </row>
    <row r="3931">
      <c r="A3931" s="191"/>
      <c r="B3931" s="19" t="s">
        <v>18603</v>
      </c>
      <c r="C3931" s="20" t="s">
        <v>18719</v>
      </c>
      <c r="D3931" s="47"/>
      <c r="E3931" s="22" t="s">
        <v>8203</v>
      </c>
      <c r="F3931" s="22" t="s">
        <v>8204</v>
      </c>
      <c r="G3931" s="23" t="s">
        <v>11799</v>
      </c>
      <c r="H3931" s="22" t="s">
        <v>91</v>
      </c>
      <c r="I3931" s="24" t="s">
        <v>18767</v>
      </c>
      <c r="J3931" s="22" t="s">
        <v>125</v>
      </c>
      <c r="K3931" s="22"/>
      <c r="L3931" s="132" t="s">
        <v>18768</v>
      </c>
      <c r="U3931" s="153" t="str">
        <f>HYPERLINK("https://www.ncbi.nlm.nih.gov/pubmed/27539464","PubMed")</f>
        <v>PubMed</v>
      </c>
      <c r="V3931" s="30"/>
      <c r="W3931" s="49"/>
      <c r="X3931" s="49"/>
      <c r="Y3931" s="35"/>
      <c r="Z3931" s="35"/>
      <c r="AA3931" s="35"/>
      <c r="AB3931" s="35"/>
      <c r="AC3931" s="35"/>
      <c r="AD3931" s="35"/>
      <c r="AE3931" s="35"/>
      <c r="AF3931" s="35"/>
      <c r="AG3931" s="35"/>
      <c r="AH3931" s="35"/>
      <c r="AI3931" s="35"/>
      <c r="AJ3931" s="35"/>
      <c r="AK3931" s="35"/>
      <c r="AL3931" s="35"/>
    </row>
    <row r="3932">
      <c r="A3932" s="191" t="s">
        <v>181</v>
      </c>
      <c r="B3932" s="19" t="s">
        <v>18603</v>
      </c>
      <c r="C3932" s="20" t="s">
        <v>18719</v>
      </c>
      <c r="D3932" s="47"/>
      <c r="E3932" s="22" t="s">
        <v>18769</v>
      </c>
      <c r="F3932" s="22" t="s">
        <v>10377</v>
      </c>
      <c r="G3932" s="23">
        <v>2016.0</v>
      </c>
      <c r="H3932" s="22" t="s">
        <v>18770</v>
      </c>
      <c r="I3932" s="24" t="s">
        <v>18771</v>
      </c>
      <c r="J3932" s="23" t="s">
        <v>18772</v>
      </c>
      <c r="K3932" s="22" t="s">
        <v>18773</v>
      </c>
      <c r="L3932" s="36" t="s">
        <v>18774</v>
      </c>
      <c r="M3932" s="36"/>
      <c r="N3932" s="36"/>
      <c r="O3932" s="36"/>
      <c r="P3932" s="37"/>
      <c r="Q3932" s="36"/>
      <c r="R3932" s="36">
        <v>1800.0</v>
      </c>
      <c r="S3932" s="36" t="s">
        <v>3280</v>
      </c>
      <c r="T3932" s="28" t="s">
        <v>18775</v>
      </c>
      <c r="U3932" s="153" t="str">
        <f>HYPERLINK("https://www.ncbi.nlm.nih.gov/pubmed/27887804","PubMed")</f>
        <v>PubMed</v>
      </c>
      <c r="V3932" s="30"/>
      <c r="W3932" s="49"/>
      <c r="X3932" s="49"/>
      <c r="Y3932" s="35"/>
      <c r="Z3932" s="35"/>
      <c r="AA3932" s="35"/>
      <c r="AB3932" s="35"/>
      <c r="AC3932" s="35"/>
      <c r="AD3932" s="35"/>
      <c r="AE3932" s="35"/>
      <c r="AF3932" s="35"/>
      <c r="AG3932" s="35"/>
      <c r="AH3932" s="35"/>
      <c r="AI3932" s="35"/>
      <c r="AJ3932" s="35"/>
      <c r="AK3932" s="35"/>
      <c r="AL3932" s="35"/>
    </row>
    <row r="3933">
      <c r="A3933" s="1" t="s">
        <v>2</v>
      </c>
      <c r="B3933" s="19" t="s">
        <v>18603</v>
      </c>
      <c r="C3933" s="20" t="s">
        <v>18719</v>
      </c>
      <c r="D3933" s="47"/>
      <c r="E3933" s="22" t="s">
        <v>18776</v>
      </c>
      <c r="F3933" s="22" t="s">
        <v>5649</v>
      </c>
      <c r="G3933" s="23">
        <v>2014.0</v>
      </c>
      <c r="H3933" s="22" t="s">
        <v>18777</v>
      </c>
      <c r="I3933" s="24" t="s">
        <v>18778</v>
      </c>
      <c r="J3933" s="22" t="s">
        <v>125</v>
      </c>
      <c r="K3933" s="22"/>
      <c r="L3933" s="43" t="s">
        <v>18779</v>
      </c>
      <c r="M3933" s="44"/>
      <c r="N3933" s="44"/>
      <c r="O3933" s="44"/>
      <c r="P3933" s="44"/>
      <c r="Q3933" s="44"/>
      <c r="R3933" s="44"/>
      <c r="S3933" s="44"/>
      <c r="T3933" s="45"/>
      <c r="U3933" s="153" t="str">
        <f>HYPERLINK("https://www.ncbi.nlm.nih.gov/pubmed/24799472","PubMed")</f>
        <v>PubMed</v>
      </c>
      <c r="V3933" s="30"/>
      <c r="W3933" s="49"/>
      <c r="X3933" s="49"/>
      <c r="Y3933" s="35"/>
      <c r="Z3933" s="35"/>
      <c r="AA3933" s="35"/>
      <c r="AB3933" s="35"/>
      <c r="AC3933" s="35"/>
      <c r="AD3933" s="35"/>
      <c r="AE3933" s="35"/>
      <c r="AF3933" s="35"/>
      <c r="AG3933" s="35"/>
      <c r="AH3933" s="35"/>
      <c r="AI3933" s="35"/>
      <c r="AJ3933" s="35"/>
      <c r="AK3933" s="35"/>
      <c r="AL3933" s="35"/>
    </row>
    <row r="3934">
      <c r="A3934" s="191"/>
      <c r="B3934" s="19" t="s">
        <v>18603</v>
      </c>
      <c r="C3934" s="20" t="s">
        <v>18719</v>
      </c>
      <c r="D3934" s="47"/>
      <c r="E3934" s="22" t="s">
        <v>15223</v>
      </c>
      <c r="F3934" s="22" t="s">
        <v>9858</v>
      </c>
      <c r="G3934" s="23">
        <v>2002.0</v>
      </c>
      <c r="H3934" s="22" t="s">
        <v>18780</v>
      </c>
      <c r="I3934" s="24" t="s">
        <v>18781</v>
      </c>
      <c r="J3934" s="23" t="s">
        <v>18782</v>
      </c>
      <c r="K3934" s="22" t="s">
        <v>18783</v>
      </c>
      <c r="L3934" s="36">
        <v>904.0</v>
      </c>
      <c r="M3934" s="36"/>
      <c r="N3934" s="36"/>
      <c r="O3934" s="36"/>
      <c r="P3934" s="37" t="s">
        <v>517</v>
      </c>
      <c r="Q3934" s="36"/>
      <c r="R3934" s="36"/>
      <c r="S3934" s="36"/>
      <c r="T3934" s="28" t="s">
        <v>18784</v>
      </c>
      <c r="U3934" s="153" t="str">
        <f>HYPERLINK("https://www.ncbi.nlm.nih.gov/pubmed/12374675","PubMed")</f>
        <v>PubMed</v>
      </c>
      <c r="V3934" s="30"/>
      <c r="W3934" s="49"/>
      <c r="X3934" s="49"/>
      <c r="Y3934" s="35"/>
      <c r="Z3934" s="35"/>
      <c r="AA3934" s="35"/>
      <c r="AB3934" s="35"/>
      <c r="AC3934" s="35"/>
      <c r="AD3934" s="35"/>
      <c r="AE3934" s="35"/>
      <c r="AF3934" s="35"/>
      <c r="AG3934" s="35"/>
      <c r="AH3934" s="35"/>
      <c r="AI3934" s="35"/>
      <c r="AJ3934" s="35"/>
      <c r="AK3934" s="35"/>
      <c r="AL3934" s="35"/>
    </row>
    <row r="3935">
      <c r="A3935" s="191"/>
      <c r="B3935" s="19" t="s">
        <v>18603</v>
      </c>
      <c r="C3935" s="20" t="s">
        <v>18719</v>
      </c>
      <c r="D3935" s="47"/>
      <c r="E3935" s="22" t="s">
        <v>18785</v>
      </c>
      <c r="F3935" s="22" t="s">
        <v>13492</v>
      </c>
      <c r="G3935" s="23">
        <v>1994.0</v>
      </c>
      <c r="H3935" s="22" t="s">
        <v>18786</v>
      </c>
      <c r="I3935" s="24" t="s">
        <v>18787</v>
      </c>
      <c r="J3935" s="23" t="s">
        <v>18788</v>
      </c>
      <c r="K3935" s="22"/>
      <c r="L3935" s="36" t="s">
        <v>18789</v>
      </c>
      <c r="M3935" s="36"/>
      <c r="N3935" s="36"/>
      <c r="O3935" s="36"/>
      <c r="P3935" s="37"/>
      <c r="Q3935" s="36"/>
      <c r="R3935" s="36"/>
      <c r="S3935" s="36"/>
      <c r="T3935" s="28" t="s">
        <v>18790</v>
      </c>
      <c r="U3935" s="29" t="s">
        <v>61</v>
      </c>
      <c r="V3935" s="30"/>
      <c r="W3935" s="49"/>
      <c r="X3935" s="49"/>
      <c r="Y3935" s="35"/>
      <c r="Z3935" s="35"/>
      <c r="AA3935" s="35"/>
      <c r="AB3935" s="35"/>
      <c r="AC3935" s="35"/>
      <c r="AD3935" s="35"/>
      <c r="AE3935" s="35"/>
      <c r="AF3935" s="35"/>
      <c r="AG3935" s="35"/>
      <c r="AH3935" s="35"/>
      <c r="AI3935" s="35"/>
      <c r="AJ3935" s="35"/>
      <c r="AK3935" s="35"/>
      <c r="AL3935" s="35"/>
    </row>
    <row r="3936">
      <c r="A3936" s="191"/>
      <c r="B3936" s="19" t="s">
        <v>18603</v>
      </c>
      <c r="C3936" s="20" t="s">
        <v>18791</v>
      </c>
      <c r="D3936" s="47"/>
      <c r="E3936" s="22" t="s">
        <v>18792</v>
      </c>
      <c r="F3936" s="22" t="s">
        <v>41</v>
      </c>
      <c r="G3936" s="23">
        <v>2024.0</v>
      </c>
      <c r="H3936" s="22" t="s">
        <v>1485</v>
      </c>
      <c r="I3936" s="24" t="s">
        <v>18793</v>
      </c>
      <c r="J3936" s="23" t="s">
        <v>18794</v>
      </c>
      <c r="K3936" s="22"/>
      <c r="L3936" s="36"/>
      <c r="M3936" s="36"/>
      <c r="N3936" s="36"/>
      <c r="O3936" s="36"/>
      <c r="P3936" s="37"/>
      <c r="Q3936" s="36"/>
      <c r="R3936" s="36"/>
      <c r="S3936" s="36"/>
      <c r="T3936" s="28" t="s">
        <v>18795</v>
      </c>
      <c r="U3936" s="38" t="s">
        <v>61</v>
      </c>
      <c r="V3936" s="30"/>
      <c r="W3936" s="49"/>
      <c r="X3936" s="49"/>
      <c r="Y3936" s="35"/>
      <c r="Z3936" s="35"/>
      <c r="AA3936" s="35"/>
      <c r="AB3936" s="35"/>
      <c r="AC3936" s="35"/>
      <c r="AD3936" s="35"/>
      <c r="AE3936" s="35"/>
      <c r="AF3936" s="35"/>
      <c r="AG3936" s="35"/>
      <c r="AH3936" s="35"/>
      <c r="AI3936" s="35"/>
      <c r="AJ3936" s="35"/>
      <c r="AK3936" s="35"/>
      <c r="AL3936" s="35"/>
    </row>
    <row r="3937">
      <c r="A3937" s="191"/>
      <c r="B3937" s="19" t="s">
        <v>18603</v>
      </c>
      <c r="C3937" s="20" t="s">
        <v>18796</v>
      </c>
      <c r="D3937" s="47"/>
      <c r="E3937" s="22" t="s">
        <v>18797</v>
      </c>
      <c r="F3937" s="22" t="s">
        <v>323</v>
      </c>
      <c r="G3937" s="23">
        <v>2021.0</v>
      </c>
      <c r="H3937" s="22" t="s">
        <v>91</v>
      </c>
      <c r="I3937" s="24" t="s">
        <v>18798</v>
      </c>
      <c r="J3937" s="23" t="s">
        <v>31</v>
      </c>
      <c r="K3937" s="22"/>
      <c r="L3937" s="36" t="s">
        <v>18799</v>
      </c>
      <c r="M3937" s="36"/>
      <c r="N3937" s="36"/>
      <c r="O3937" s="36"/>
      <c r="P3937" s="37"/>
      <c r="Q3937" s="36"/>
      <c r="R3937" s="36"/>
      <c r="S3937" s="36"/>
      <c r="T3937" s="28" t="s">
        <v>18800</v>
      </c>
      <c r="U3937" s="29" t="s">
        <v>61</v>
      </c>
      <c r="V3937" s="30"/>
      <c r="W3937" s="49"/>
      <c r="X3937" s="49"/>
      <c r="Y3937" s="35"/>
      <c r="Z3937" s="35"/>
      <c r="AA3937" s="35"/>
      <c r="AB3937" s="35"/>
      <c r="AC3937" s="35"/>
      <c r="AD3937" s="35"/>
      <c r="AE3937" s="35"/>
      <c r="AF3937" s="35"/>
      <c r="AG3937" s="35"/>
      <c r="AH3937" s="35"/>
      <c r="AI3937" s="35"/>
      <c r="AJ3937" s="35"/>
      <c r="AK3937" s="35"/>
      <c r="AL3937" s="35"/>
    </row>
    <row r="3938">
      <c r="A3938" s="191"/>
      <c r="B3938" s="19" t="s">
        <v>18603</v>
      </c>
      <c r="C3938" s="20" t="s">
        <v>18796</v>
      </c>
      <c r="D3938" s="47"/>
      <c r="E3938" s="22" t="s">
        <v>2167</v>
      </c>
      <c r="F3938" s="22" t="s">
        <v>323</v>
      </c>
      <c r="G3938" s="23">
        <v>2021.0</v>
      </c>
      <c r="H3938" s="22" t="s">
        <v>147</v>
      </c>
      <c r="I3938" s="24" t="s">
        <v>18801</v>
      </c>
      <c r="J3938" s="23" t="s">
        <v>31</v>
      </c>
      <c r="K3938" s="22" t="s">
        <v>18802</v>
      </c>
      <c r="L3938" s="36">
        <v>655.0</v>
      </c>
      <c r="M3938" s="36">
        <v>200.0</v>
      </c>
      <c r="N3938" s="36"/>
      <c r="O3938" s="36"/>
      <c r="P3938" s="37" t="s">
        <v>432</v>
      </c>
      <c r="Q3938" s="36"/>
      <c r="R3938" s="36"/>
      <c r="S3938" s="36"/>
      <c r="T3938" s="28" t="s">
        <v>18803</v>
      </c>
      <c r="U3938" s="29" t="s">
        <v>61</v>
      </c>
      <c r="V3938" s="30"/>
      <c r="W3938" s="49"/>
      <c r="X3938" s="49"/>
      <c r="Y3938" s="35"/>
      <c r="Z3938" s="35"/>
      <c r="AA3938" s="35"/>
      <c r="AB3938" s="35"/>
      <c r="AC3938" s="35"/>
      <c r="AD3938" s="35"/>
      <c r="AE3938" s="35"/>
      <c r="AF3938" s="35"/>
      <c r="AG3938" s="35"/>
      <c r="AH3938" s="35"/>
      <c r="AI3938" s="35"/>
      <c r="AJ3938" s="35"/>
      <c r="AK3938" s="35"/>
      <c r="AL3938" s="35"/>
    </row>
    <row r="3939">
      <c r="A3939" s="191"/>
      <c r="B3939" s="19" t="s">
        <v>18603</v>
      </c>
      <c r="C3939" s="20" t="s">
        <v>18796</v>
      </c>
      <c r="D3939" s="47"/>
      <c r="E3939" s="22" t="s">
        <v>18804</v>
      </c>
      <c r="F3939" s="22" t="s">
        <v>18805</v>
      </c>
      <c r="G3939" s="23">
        <v>2020.0</v>
      </c>
      <c r="H3939" s="22" t="s">
        <v>18806</v>
      </c>
      <c r="I3939" s="24" t="s">
        <v>18807</v>
      </c>
      <c r="J3939" s="23" t="s">
        <v>31</v>
      </c>
      <c r="K3939" s="22"/>
      <c r="L3939" s="36"/>
      <c r="M3939" s="36"/>
      <c r="N3939" s="36"/>
      <c r="O3939" s="36"/>
      <c r="P3939" s="37"/>
      <c r="Q3939" s="36"/>
      <c r="R3939" s="36"/>
      <c r="S3939" s="36"/>
      <c r="T3939" s="28" t="s">
        <v>18808</v>
      </c>
      <c r="U3939" s="153" t="str">
        <f>HYPERLINK("https://www.ncbi.nlm.nih.gov/pubmed/32356430","PubMed")</f>
        <v>PubMed</v>
      </c>
      <c r="V3939" s="30"/>
      <c r="W3939" s="49"/>
      <c r="X3939" s="49"/>
      <c r="Y3939" s="35"/>
      <c r="Z3939" s="35"/>
      <c r="AA3939" s="35"/>
      <c r="AB3939" s="35"/>
      <c r="AC3939" s="35"/>
      <c r="AD3939" s="35"/>
      <c r="AE3939" s="35"/>
      <c r="AF3939" s="35"/>
      <c r="AG3939" s="35"/>
      <c r="AH3939" s="35"/>
      <c r="AI3939" s="35"/>
      <c r="AJ3939" s="35"/>
      <c r="AK3939" s="35"/>
      <c r="AL3939" s="35"/>
    </row>
    <row r="3940">
      <c r="A3940" s="191"/>
      <c r="B3940" s="19" t="s">
        <v>18603</v>
      </c>
      <c r="C3940" s="20" t="s">
        <v>18796</v>
      </c>
      <c r="D3940" s="47"/>
      <c r="E3940" s="22" t="s">
        <v>1089</v>
      </c>
      <c r="F3940" s="22" t="s">
        <v>1576</v>
      </c>
      <c r="G3940" s="23">
        <v>2019.0</v>
      </c>
      <c r="H3940" s="22" t="s">
        <v>4975</v>
      </c>
      <c r="I3940" s="24" t="s">
        <v>18809</v>
      </c>
      <c r="J3940" s="23" t="s">
        <v>31</v>
      </c>
      <c r="K3940" s="22"/>
      <c r="L3940" s="36">
        <v>660.0</v>
      </c>
      <c r="M3940" s="36">
        <v>60.0</v>
      </c>
      <c r="N3940" s="36" t="s">
        <v>18810</v>
      </c>
      <c r="O3940" s="36" t="s">
        <v>18811</v>
      </c>
      <c r="P3940" s="37" t="s">
        <v>18812</v>
      </c>
      <c r="Q3940" s="36"/>
      <c r="R3940" s="36">
        <v>6.0</v>
      </c>
      <c r="S3940" s="36"/>
      <c r="T3940" s="28" t="s">
        <v>18813</v>
      </c>
      <c r="U3940" s="153" t="str">
        <f>HYPERLINK("https://www.ncbi.nlm.nih.gov/pubmed/31424557","PubMed")</f>
        <v>PubMed</v>
      </c>
      <c r="V3940" s="30"/>
      <c r="W3940" s="49"/>
      <c r="X3940" s="49"/>
      <c r="Y3940" s="35"/>
      <c r="Z3940" s="35"/>
      <c r="AA3940" s="35"/>
      <c r="AB3940" s="35"/>
      <c r="AC3940" s="35"/>
      <c r="AD3940" s="35"/>
      <c r="AE3940" s="35"/>
      <c r="AF3940" s="35"/>
      <c r="AG3940" s="35"/>
      <c r="AH3940" s="35"/>
      <c r="AI3940" s="35"/>
      <c r="AJ3940" s="35"/>
      <c r="AK3940" s="35"/>
      <c r="AL3940" s="35"/>
    </row>
    <row r="3941">
      <c r="A3941" s="191"/>
      <c r="B3941" s="19" t="s">
        <v>18603</v>
      </c>
      <c r="C3941" s="20" t="s">
        <v>18814</v>
      </c>
      <c r="D3941" s="47"/>
      <c r="E3941" s="22" t="s">
        <v>18815</v>
      </c>
      <c r="F3941" s="22" t="s">
        <v>15511</v>
      </c>
      <c r="G3941" s="23">
        <v>2022.0</v>
      </c>
      <c r="H3941" s="22" t="s">
        <v>91</v>
      </c>
      <c r="I3941" s="24" t="s">
        <v>18816</v>
      </c>
      <c r="J3941" s="23" t="s">
        <v>31</v>
      </c>
      <c r="K3941" s="22"/>
      <c r="L3941" s="36">
        <v>660.0</v>
      </c>
      <c r="M3941" s="36"/>
      <c r="N3941" s="36"/>
      <c r="O3941" s="36"/>
      <c r="P3941" s="37" t="s">
        <v>1600</v>
      </c>
      <c r="Q3941" s="36"/>
      <c r="R3941" s="36"/>
      <c r="S3941" s="36"/>
      <c r="T3941" s="28" t="s">
        <v>18817</v>
      </c>
      <c r="U3941" s="38" t="s">
        <v>61</v>
      </c>
      <c r="V3941" s="30"/>
      <c r="W3941" s="49"/>
      <c r="X3941" s="49"/>
      <c r="Y3941" s="35"/>
      <c r="Z3941" s="35"/>
      <c r="AA3941" s="35"/>
      <c r="AB3941" s="35"/>
      <c r="AC3941" s="35"/>
      <c r="AD3941" s="35"/>
      <c r="AE3941" s="35"/>
      <c r="AF3941" s="35"/>
      <c r="AG3941" s="35"/>
      <c r="AH3941" s="35"/>
      <c r="AI3941" s="35"/>
      <c r="AJ3941" s="35"/>
      <c r="AK3941" s="35"/>
      <c r="AL3941" s="35"/>
    </row>
    <row r="3942">
      <c r="A3942" s="191"/>
      <c r="B3942" s="19" t="s">
        <v>18603</v>
      </c>
      <c r="C3942" s="20" t="s">
        <v>18814</v>
      </c>
      <c r="D3942" s="47"/>
      <c r="E3942" s="22" t="s">
        <v>18818</v>
      </c>
      <c r="F3942" s="22" t="s">
        <v>41</v>
      </c>
      <c r="G3942" s="23">
        <v>2021.0</v>
      </c>
      <c r="H3942" s="22" t="s">
        <v>207</v>
      </c>
      <c r="I3942" s="24" t="s">
        <v>18819</v>
      </c>
      <c r="J3942" s="23" t="s">
        <v>209</v>
      </c>
      <c r="K3942" s="22"/>
      <c r="L3942" s="36"/>
      <c r="M3942" s="36"/>
      <c r="N3942" s="36"/>
      <c r="O3942" s="36"/>
      <c r="P3942" s="37"/>
      <c r="Q3942" s="36"/>
      <c r="R3942" s="36"/>
      <c r="S3942" s="36"/>
      <c r="T3942" s="28" t="s">
        <v>18820</v>
      </c>
      <c r="U3942" s="29" t="s">
        <v>61</v>
      </c>
      <c r="V3942" s="30"/>
      <c r="W3942" s="49"/>
      <c r="X3942" s="49"/>
      <c r="Y3942" s="35"/>
      <c r="Z3942" s="35"/>
      <c r="AA3942" s="35"/>
      <c r="AB3942" s="35"/>
      <c r="AC3942" s="35"/>
      <c r="AD3942" s="35"/>
      <c r="AE3942" s="35"/>
      <c r="AF3942" s="35"/>
      <c r="AG3942" s="35"/>
      <c r="AH3942" s="35"/>
      <c r="AI3942" s="35"/>
      <c r="AJ3942" s="35"/>
      <c r="AK3942" s="35"/>
      <c r="AL3942" s="35"/>
    </row>
    <row r="3943">
      <c r="A3943" s="191"/>
      <c r="B3943" s="19" t="s">
        <v>18603</v>
      </c>
      <c r="C3943" s="20" t="s">
        <v>18814</v>
      </c>
      <c r="D3943" s="47"/>
      <c r="E3943" s="22" t="s">
        <v>18821</v>
      </c>
      <c r="F3943" s="22" t="s">
        <v>18822</v>
      </c>
      <c r="G3943" s="23">
        <v>2020.0</v>
      </c>
      <c r="H3943" s="22" t="s">
        <v>91</v>
      </c>
      <c r="I3943" s="24" t="s">
        <v>18823</v>
      </c>
      <c r="J3943" s="23" t="s">
        <v>31</v>
      </c>
      <c r="K3943" s="22"/>
      <c r="L3943" s="36">
        <v>660.0</v>
      </c>
      <c r="M3943" s="36"/>
      <c r="N3943" s="36"/>
      <c r="O3943" s="36"/>
      <c r="P3943" s="37"/>
      <c r="Q3943" s="36"/>
      <c r="R3943" s="36"/>
      <c r="S3943" s="36"/>
      <c r="T3943" s="42" t="s">
        <v>18824</v>
      </c>
      <c r="U3943" s="29" t="s">
        <v>61</v>
      </c>
      <c r="V3943" s="30"/>
      <c r="W3943" s="49"/>
      <c r="X3943" s="49"/>
      <c r="Y3943" s="35"/>
      <c r="Z3943" s="35"/>
      <c r="AA3943" s="35"/>
      <c r="AB3943" s="35"/>
      <c r="AC3943" s="35"/>
      <c r="AD3943" s="35"/>
      <c r="AE3943" s="35"/>
      <c r="AF3943" s="35"/>
      <c r="AG3943" s="35"/>
      <c r="AH3943" s="35"/>
      <c r="AI3943" s="35"/>
      <c r="AJ3943" s="35"/>
      <c r="AK3943" s="35"/>
      <c r="AL3943" s="35"/>
    </row>
    <row r="3944">
      <c r="A3944" s="191"/>
      <c r="B3944" s="19" t="s">
        <v>18603</v>
      </c>
      <c r="C3944" s="20" t="s">
        <v>18814</v>
      </c>
      <c r="D3944" s="47"/>
      <c r="E3944" s="22" t="s">
        <v>18825</v>
      </c>
      <c r="F3944" s="22" t="s">
        <v>3681</v>
      </c>
      <c r="G3944" s="23">
        <v>2020.0</v>
      </c>
      <c r="H3944" s="22" t="s">
        <v>207</v>
      </c>
      <c r="I3944" s="24" t="s">
        <v>18826</v>
      </c>
      <c r="J3944" s="23" t="s">
        <v>31</v>
      </c>
      <c r="K3944" s="22"/>
      <c r="L3944" s="36"/>
      <c r="M3944" s="36"/>
      <c r="N3944" s="36"/>
      <c r="O3944" s="36"/>
      <c r="P3944" s="37"/>
      <c r="Q3944" s="36"/>
      <c r="R3944" s="36"/>
      <c r="S3944" s="36"/>
      <c r="T3944" s="41" t="s">
        <v>18827</v>
      </c>
      <c r="U3944" s="29" t="s">
        <v>61</v>
      </c>
      <c r="V3944" s="30"/>
      <c r="W3944" s="49"/>
      <c r="X3944" s="49"/>
      <c r="Y3944" s="35"/>
      <c r="Z3944" s="35"/>
      <c r="AA3944" s="35"/>
      <c r="AB3944" s="35"/>
      <c r="AC3944" s="35"/>
      <c r="AD3944" s="35"/>
      <c r="AE3944" s="35"/>
      <c r="AF3944" s="35"/>
      <c r="AG3944" s="35"/>
      <c r="AH3944" s="35"/>
      <c r="AI3944" s="35"/>
      <c r="AJ3944" s="35"/>
      <c r="AK3944" s="35"/>
      <c r="AL3944" s="35"/>
    </row>
    <row r="3945">
      <c r="A3945" s="191"/>
      <c r="B3945" s="19" t="s">
        <v>18603</v>
      </c>
      <c r="C3945" s="20" t="s">
        <v>18814</v>
      </c>
      <c r="D3945" s="47"/>
      <c r="E3945" s="22" t="s">
        <v>18828</v>
      </c>
      <c r="F3945" s="22" t="s">
        <v>323</v>
      </c>
      <c r="G3945" s="23">
        <v>2015.0</v>
      </c>
      <c r="H3945" s="22" t="s">
        <v>658</v>
      </c>
      <c r="I3945" s="24" t="s">
        <v>18829</v>
      </c>
      <c r="J3945" s="23" t="s">
        <v>31</v>
      </c>
      <c r="K3945" s="22"/>
      <c r="L3945" s="36" t="s">
        <v>1206</v>
      </c>
      <c r="M3945" s="36"/>
      <c r="N3945" s="36"/>
      <c r="O3945" s="36"/>
      <c r="P3945" s="37"/>
      <c r="Q3945" s="36"/>
      <c r="R3945" s="36"/>
      <c r="S3945" s="36"/>
      <c r="T3945" s="28" t="s">
        <v>18830</v>
      </c>
      <c r="U3945" s="29" t="s">
        <v>61</v>
      </c>
      <c r="V3945" s="30"/>
      <c r="W3945" s="49"/>
      <c r="X3945" s="49"/>
      <c r="Y3945" s="35"/>
      <c r="Z3945" s="35"/>
      <c r="AA3945" s="35"/>
      <c r="AB3945" s="35"/>
      <c r="AC3945" s="35"/>
      <c r="AD3945" s="35"/>
      <c r="AE3945" s="35"/>
      <c r="AF3945" s="35"/>
      <c r="AG3945" s="35"/>
      <c r="AH3945" s="35"/>
      <c r="AI3945" s="35"/>
      <c r="AJ3945" s="35"/>
      <c r="AK3945" s="35"/>
      <c r="AL3945" s="35"/>
    </row>
    <row r="3946">
      <c r="A3946" s="191"/>
      <c r="B3946" s="75" t="s">
        <v>18603</v>
      </c>
      <c r="C3946" s="77" t="s">
        <v>18831</v>
      </c>
      <c r="D3946" s="47"/>
      <c r="E3946" s="22" t="s">
        <v>18832</v>
      </c>
      <c r="F3946" s="22" t="s">
        <v>323</v>
      </c>
      <c r="G3946" s="23">
        <v>2024.0</v>
      </c>
      <c r="H3946" s="22" t="s">
        <v>4975</v>
      </c>
      <c r="I3946" s="24" t="s">
        <v>18833</v>
      </c>
      <c r="J3946" s="23" t="s">
        <v>31</v>
      </c>
      <c r="K3946" s="22"/>
      <c r="L3946" s="36">
        <v>660.0</v>
      </c>
      <c r="M3946" s="36"/>
      <c r="N3946" s="36"/>
      <c r="O3946" s="36"/>
      <c r="P3946" s="37"/>
      <c r="Q3946" s="36"/>
      <c r="R3946" s="36"/>
      <c r="S3946" s="36"/>
      <c r="T3946" s="42" t="s">
        <v>18834</v>
      </c>
      <c r="U3946" s="38" t="s">
        <v>61</v>
      </c>
      <c r="V3946" s="30"/>
      <c r="W3946" s="49"/>
      <c r="X3946" s="49"/>
      <c r="Y3946" s="35"/>
      <c r="Z3946" s="35"/>
      <c r="AA3946" s="35"/>
      <c r="AB3946" s="35"/>
      <c r="AC3946" s="35"/>
      <c r="AD3946" s="35"/>
      <c r="AE3946" s="35"/>
      <c r="AF3946" s="35"/>
      <c r="AG3946" s="35"/>
      <c r="AH3946" s="35"/>
      <c r="AI3946" s="35"/>
      <c r="AJ3946" s="35"/>
      <c r="AK3946" s="35"/>
      <c r="AL3946" s="35"/>
    </row>
    <row r="3947">
      <c r="A3947" s="191"/>
      <c r="B3947" s="75" t="s">
        <v>18603</v>
      </c>
      <c r="C3947" s="77" t="s">
        <v>18831</v>
      </c>
      <c r="D3947" s="47"/>
      <c r="E3947" s="22" t="s">
        <v>8707</v>
      </c>
      <c r="F3947" s="22" t="s">
        <v>18835</v>
      </c>
      <c r="G3947" s="23">
        <v>2024.0</v>
      </c>
      <c r="H3947" s="22" t="s">
        <v>42</v>
      </c>
      <c r="I3947" s="24" t="s">
        <v>18836</v>
      </c>
      <c r="J3947" s="23" t="s">
        <v>31</v>
      </c>
      <c r="K3947" s="22" t="s">
        <v>1725</v>
      </c>
      <c r="L3947" s="36">
        <v>460.0</v>
      </c>
      <c r="M3947" s="36"/>
      <c r="N3947" s="36"/>
      <c r="O3947" s="36"/>
      <c r="P3947" s="37"/>
      <c r="Q3947" s="36"/>
      <c r="R3947" s="36"/>
      <c r="S3947" s="36"/>
      <c r="T3947" s="28" t="s">
        <v>18837</v>
      </c>
      <c r="U3947" s="38" t="s">
        <v>61</v>
      </c>
      <c r="V3947" s="30"/>
      <c r="W3947" s="49"/>
      <c r="X3947" s="49"/>
      <c r="Y3947" s="35"/>
      <c r="Z3947" s="35"/>
      <c r="AA3947" s="35"/>
      <c r="AB3947" s="35"/>
      <c r="AC3947" s="35"/>
      <c r="AD3947" s="35"/>
      <c r="AE3947" s="35"/>
      <c r="AF3947" s="35"/>
      <c r="AG3947" s="35"/>
      <c r="AH3947" s="35"/>
      <c r="AI3947" s="35"/>
      <c r="AJ3947" s="35"/>
      <c r="AK3947" s="35"/>
      <c r="AL3947" s="35"/>
    </row>
    <row r="3948">
      <c r="A3948" s="191"/>
      <c r="B3948" s="19" t="s">
        <v>18603</v>
      </c>
      <c r="C3948" s="334" t="s">
        <v>18831</v>
      </c>
      <c r="D3948" s="47"/>
      <c r="E3948" s="22" t="s">
        <v>6044</v>
      </c>
      <c r="F3948" s="22" t="s">
        <v>2196</v>
      </c>
      <c r="G3948" s="23">
        <v>2024.0</v>
      </c>
      <c r="H3948" s="22" t="s">
        <v>207</v>
      </c>
      <c r="I3948" s="24" t="s">
        <v>18838</v>
      </c>
      <c r="J3948" s="23" t="s">
        <v>31</v>
      </c>
      <c r="K3948" s="22" t="s">
        <v>1725</v>
      </c>
      <c r="L3948" s="36">
        <v>420.0</v>
      </c>
      <c r="M3948" s="36"/>
      <c r="N3948" s="36"/>
      <c r="O3948" s="36"/>
      <c r="P3948" s="37"/>
      <c r="Q3948" s="36"/>
      <c r="R3948" s="36"/>
      <c r="S3948" s="36"/>
      <c r="T3948" s="28" t="s">
        <v>18839</v>
      </c>
      <c r="U3948" s="38" t="s">
        <v>61</v>
      </c>
      <c r="V3948" s="30"/>
      <c r="W3948" s="49"/>
      <c r="X3948" s="49"/>
      <c r="Y3948" s="35"/>
      <c r="Z3948" s="35"/>
      <c r="AA3948" s="35"/>
      <c r="AB3948" s="35"/>
      <c r="AC3948" s="35"/>
      <c r="AD3948" s="35"/>
      <c r="AE3948" s="35"/>
      <c r="AF3948" s="35"/>
      <c r="AG3948" s="35"/>
      <c r="AH3948" s="35"/>
      <c r="AI3948" s="35"/>
      <c r="AJ3948" s="35"/>
      <c r="AK3948" s="35"/>
      <c r="AL3948" s="35"/>
    </row>
    <row r="3949">
      <c r="A3949" s="191"/>
      <c r="B3949" s="19" t="s">
        <v>18603</v>
      </c>
      <c r="C3949" s="334" t="s">
        <v>18831</v>
      </c>
      <c r="D3949" s="47"/>
      <c r="E3949" s="22" t="s">
        <v>18840</v>
      </c>
      <c r="F3949" s="22" t="s">
        <v>993</v>
      </c>
      <c r="G3949" s="23">
        <v>2024.0</v>
      </c>
      <c r="H3949" s="22" t="s">
        <v>91</v>
      </c>
      <c r="I3949" s="24" t="s">
        <v>18841</v>
      </c>
      <c r="J3949" s="23" t="s">
        <v>31</v>
      </c>
      <c r="K3949" s="22" t="s">
        <v>1725</v>
      </c>
      <c r="L3949" s="36" t="s">
        <v>18842</v>
      </c>
      <c r="M3949" s="36"/>
      <c r="N3949" s="36"/>
      <c r="O3949" s="36"/>
      <c r="P3949" s="37"/>
      <c r="Q3949" s="36"/>
      <c r="R3949" s="36"/>
      <c r="S3949" s="36"/>
      <c r="T3949" s="42" t="s">
        <v>18843</v>
      </c>
      <c r="U3949" s="38" t="s">
        <v>61</v>
      </c>
      <c r="V3949" s="30"/>
      <c r="W3949" s="49"/>
      <c r="X3949" s="49"/>
      <c r="Y3949" s="35"/>
      <c r="Z3949" s="35"/>
      <c r="AA3949" s="35"/>
      <c r="AB3949" s="35"/>
      <c r="AC3949" s="35"/>
      <c r="AD3949" s="35"/>
      <c r="AE3949" s="35"/>
      <c r="AF3949" s="35"/>
      <c r="AG3949" s="35"/>
      <c r="AH3949" s="35"/>
      <c r="AI3949" s="35"/>
      <c r="AJ3949" s="35"/>
      <c r="AK3949" s="35"/>
      <c r="AL3949" s="35"/>
    </row>
    <row r="3950">
      <c r="A3950" s="191"/>
      <c r="B3950" s="19" t="s">
        <v>18603</v>
      </c>
      <c r="C3950" s="334" t="s">
        <v>18831</v>
      </c>
      <c r="D3950" s="47"/>
      <c r="E3950" s="22" t="s">
        <v>18844</v>
      </c>
      <c r="F3950" s="22" t="s">
        <v>18845</v>
      </c>
      <c r="G3950" s="23">
        <v>2024.0</v>
      </c>
      <c r="H3950" s="22" t="s">
        <v>91</v>
      </c>
      <c r="I3950" s="24" t="s">
        <v>18846</v>
      </c>
      <c r="J3950" s="23" t="s">
        <v>31</v>
      </c>
      <c r="K3950" s="22" t="s">
        <v>18847</v>
      </c>
      <c r="L3950" s="36"/>
      <c r="M3950" s="36"/>
      <c r="N3950" s="36"/>
      <c r="O3950" s="36"/>
      <c r="P3950" s="37"/>
      <c r="Q3950" s="36"/>
      <c r="R3950" s="36"/>
      <c r="S3950" s="36"/>
      <c r="T3950" s="28" t="s">
        <v>18848</v>
      </c>
      <c r="U3950" s="38" t="s">
        <v>61</v>
      </c>
      <c r="V3950" s="30"/>
      <c r="W3950" s="49"/>
      <c r="X3950" s="49"/>
      <c r="Y3950" s="35"/>
      <c r="Z3950" s="35"/>
      <c r="AA3950" s="35"/>
      <c r="AB3950" s="35"/>
      <c r="AC3950" s="35"/>
      <c r="AD3950" s="35"/>
      <c r="AE3950" s="35"/>
      <c r="AF3950" s="35"/>
      <c r="AG3950" s="35"/>
      <c r="AH3950" s="35"/>
      <c r="AI3950" s="35"/>
      <c r="AJ3950" s="35"/>
      <c r="AK3950" s="35"/>
      <c r="AL3950" s="35"/>
    </row>
    <row r="3951">
      <c r="A3951" s="191"/>
      <c r="B3951" s="19" t="s">
        <v>18603</v>
      </c>
      <c r="C3951" s="334" t="s">
        <v>18831</v>
      </c>
      <c r="D3951" s="47"/>
      <c r="E3951" s="22" t="s">
        <v>2338</v>
      </c>
      <c r="F3951" s="22" t="s">
        <v>2196</v>
      </c>
      <c r="G3951" s="23">
        <v>2023.0</v>
      </c>
      <c r="H3951" s="22" t="s">
        <v>207</v>
      </c>
      <c r="I3951" s="24" t="s">
        <v>18849</v>
      </c>
      <c r="J3951" s="23" t="s">
        <v>31</v>
      </c>
      <c r="K3951" s="22" t="s">
        <v>1725</v>
      </c>
      <c r="L3951" s="36"/>
      <c r="M3951" s="36"/>
      <c r="N3951" s="36"/>
      <c r="O3951" s="36"/>
      <c r="P3951" s="37"/>
      <c r="Q3951" s="36"/>
      <c r="R3951" s="36"/>
      <c r="S3951" s="36"/>
      <c r="T3951" s="28" t="s">
        <v>18850</v>
      </c>
      <c r="U3951" s="38" t="s">
        <v>61</v>
      </c>
      <c r="V3951" s="30"/>
      <c r="W3951" s="49"/>
      <c r="X3951" s="49"/>
      <c r="Y3951" s="35"/>
      <c r="Z3951" s="35"/>
      <c r="AA3951" s="35"/>
      <c r="AB3951" s="35"/>
      <c r="AC3951" s="35"/>
      <c r="AD3951" s="35"/>
      <c r="AE3951" s="35"/>
      <c r="AF3951" s="35"/>
      <c r="AG3951" s="35"/>
      <c r="AH3951" s="35"/>
      <c r="AI3951" s="35"/>
      <c r="AJ3951" s="35"/>
      <c r="AK3951" s="35"/>
      <c r="AL3951" s="35"/>
    </row>
    <row r="3952">
      <c r="A3952" s="191"/>
      <c r="B3952" s="19" t="s">
        <v>18603</v>
      </c>
      <c r="C3952" s="334" t="s">
        <v>18831</v>
      </c>
      <c r="D3952" s="47"/>
      <c r="E3952" s="22" t="s">
        <v>18851</v>
      </c>
      <c r="F3952" s="22" t="s">
        <v>1943</v>
      </c>
      <c r="G3952" s="23">
        <v>2023.0</v>
      </c>
      <c r="H3952" s="22" t="s">
        <v>18852</v>
      </c>
      <c r="I3952" s="24" t="s">
        <v>18853</v>
      </c>
      <c r="J3952" s="23" t="s">
        <v>31</v>
      </c>
      <c r="K3952" s="22"/>
      <c r="L3952" s="36">
        <v>650.0</v>
      </c>
      <c r="M3952" s="36"/>
      <c r="N3952" s="36"/>
      <c r="O3952" s="36"/>
      <c r="P3952" s="37"/>
      <c r="Q3952" s="36"/>
      <c r="R3952" s="36"/>
      <c r="S3952" s="36"/>
      <c r="T3952" s="28" t="s">
        <v>18854</v>
      </c>
      <c r="U3952" s="38" t="s">
        <v>61</v>
      </c>
      <c r="V3952" s="30"/>
      <c r="W3952" s="49"/>
      <c r="X3952" s="49"/>
      <c r="Y3952" s="35"/>
      <c r="Z3952" s="35"/>
      <c r="AA3952" s="35"/>
      <c r="AB3952" s="35"/>
      <c r="AC3952" s="35"/>
      <c r="AD3952" s="35"/>
      <c r="AE3952" s="35"/>
      <c r="AF3952" s="35"/>
      <c r="AG3952" s="35"/>
      <c r="AH3952" s="35"/>
      <c r="AI3952" s="35"/>
      <c r="AJ3952" s="35"/>
      <c r="AK3952" s="35"/>
      <c r="AL3952" s="35"/>
    </row>
    <row r="3953">
      <c r="A3953" s="191"/>
      <c r="B3953" s="19" t="s">
        <v>18603</v>
      </c>
      <c r="C3953" s="334" t="s">
        <v>18831</v>
      </c>
      <c r="D3953" s="47"/>
      <c r="E3953" s="22" t="s">
        <v>18855</v>
      </c>
      <c r="F3953" s="22" t="s">
        <v>18856</v>
      </c>
      <c r="G3953" s="23">
        <v>2023.0</v>
      </c>
      <c r="H3953" s="22" t="s">
        <v>42</v>
      </c>
      <c r="I3953" s="24" t="s">
        <v>18857</v>
      </c>
      <c r="J3953" s="23" t="s">
        <v>31</v>
      </c>
      <c r="K3953" s="22"/>
      <c r="L3953" s="36">
        <v>640.0</v>
      </c>
      <c r="M3953" s="36"/>
      <c r="N3953" s="36" t="s">
        <v>3023</v>
      </c>
      <c r="O3953" s="36"/>
      <c r="P3953" s="37"/>
      <c r="Q3953" s="36"/>
      <c r="R3953" s="36">
        <v>900.0</v>
      </c>
      <c r="S3953" s="36" t="s">
        <v>10290</v>
      </c>
      <c r="T3953" s="41" t="s">
        <v>18858</v>
      </c>
      <c r="U3953" s="38" t="s">
        <v>61</v>
      </c>
      <c r="V3953" s="30"/>
      <c r="W3953" s="49"/>
      <c r="X3953" s="49"/>
      <c r="Y3953" s="35"/>
      <c r="Z3953" s="35"/>
      <c r="AA3953" s="35"/>
      <c r="AB3953" s="35"/>
      <c r="AC3953" s="35"/>
      <c r="AD3953" s="35"/>
      <c r="AE3953" s="35"/>
      <c r="AF3953" s="35"/>
      <c r="AG3953" s="35"/>
      <c r="AH3953" s="35"/>
      <c r="AI3953" s="35"/>
      <c r="AJ3953" s="35"/>
      <c r="AK3953" s="35"/>
      <c r="AL3953" s="35"/>
    </row>
    <row r="3954">
      <c r="A3954" s="191"/>
      <c r="B3954" s="19" t="s">
        <v>18603</v>
      </c>
      <c r="C3954" s="334" t="s">
        <v>18831</v>
      </c>
      <c r="D3954" s="47"/>
      <c r="E3954" s="22" t="s">
        <v>3827</v>
      </c>
      <c r="F3954" s="22" t="s">
        <v>993</v>
      </c>
      <c r="G3954" s="23">
        <v>2023.0</v>
      </c>
      <c r="H3954" s="22" t="s">
        <v>91</v>
      </c>
      <c r="I3954" s="24" t="s">
        <v>18859</v>
      </c>
      <c r="J3954" s="23" t="s">
        <v>31</v>
      </c>
      <c r="K3954" s="22" t="s">
        <v>18860</v>
      </c>
      <c r="L3954" s="36" t="s">
        <v>18861</v>
      </c>
      <c r="M3954" s="36" t="s">
        <v>18862</v>
      </c>
      <c r="N3954" s="36" t="s">
        <v>18863</v>
      </c>
      <c r="O3954" s="36"/>
      <c r="P3954" s="37"/>
      <c r="Q3954" s="36"/>
      <c r="R3954" s="36"/>
      <c r="S3954" s="36"/>
      <c r="T3954" s="28" t="s">
        <v>18864</v>
      </c>
      <c r="U3954" s="38" t="s">
        <v>61</v>
      </c>
      <c r="V3954" s="30"/>
      <c r="W3954" s="49"/>
      <c r="X3954" s="49"/>
      <c r="Y3954" s="35"/>
      <c r="Z3954" s="35"/>
      <c r="AA3954" s="35"/>
      <c r="AB3954" s="35"/>
      <c r="AC3954" s="35"/>
      <c r="AD3954" s="35"/>
      <c r="AE3954" s="35"/>
      <c r="AF3954" s="35"/>
      <c r="AG3954" s="35"/>
      <c r="AH3954" s="35"/>
      <c r="AI3954" s="35"/>
      <c r="AJ3954" s="35"/>
      <c r="AK3954" s="35"/>
      <c r="AL3954" s="35"/>
    </row>
    <row r="3955">
      <c r="A3955" s="191"/>
      <c r="B3955" s="19" t="s">
        <v>18603</v>
      </c>
      <c r="C3955" s="334" t="s">
        <v>18831</v>
      </c>
      <c r="D3955" s="47"/>
      <c r="E3955" s="22" t="s">
        <v>6044</v>
      </c>
      <c r="F3955" s="22" t="s">
        <v>2196</v>
      </c>
      <c r="G3955" s="23">
        <v>2023.0</v>
      </c>
      <c r="H3955" s="22" t="s">
        <v>42</v>
      </c>
      <c r="I3955" s="24" t="s">
        <v>18865</v>
      </c>
      <c r="J3955" s="23" t="s">
        <v>31</v>
      </c>
      <c r="K3955" s="22" t="s">
        <v>1725</v>
      </c>
      <c r="L3955" s="36"/>
      <c r="M3955" s="36"/>
      <c r="N3955" s="36"/>
      <c r="O3955" s="36"/>
      <c r="P3955" s="37"/>
      <c r="Q3955" s="36"/>
      <c r="R3955" s="36"/>
      <c r="S3955" s="36"/>
      <c r="T3955" s="28" t="s">
        <v>18866</v>
      </c>
      <c r="U3955" s="38" t="s">
        <v>61</v>
      </c>
      <c r="V3955" s="30"/>
      <c r="W3955" s="49"/>
      <c r="X3955" s="49"/>
      <c r="Y3955" s="35"/>
      <c r="Z3955" s="35"/>
      <c r="AA3955" s="35"/>
      <c r="AB3955" s="35"/>
      <c r="AC3955" s="35"/>
      <c r="AD3955" s="35"/>
      <c r="AE3955" s="35"/>
      <c r="AF3955" s="35"/>
      <c r="AG3955" s="35"/>
      <c r="AH3955" s="35"/>
      <c r="AI3955" s="35"/>
      <c r="AJ3955" s="35"/>
      <c r="AK3955" s="35"/>
      <c r="AL3955" s="35"/>
    </row>
    <row r="3956">
      <c r="A3956" s="40"/>
      <c r="B3956" s="19" t="s">
        <v>18603</v>
      </c>
      <c r="C3956" s="334" t="s">
        <v>18831</v>
      </c>
      <c r="D3956" s="47"/>
      <c r="E3956" s="22" t="s">
        <v>18867</v>
      </c>
      <c r="F3956" s="22" t="s">
        <v>4091</v>
      </c>
      <c r="G3956" s="23">
        <v>2023.0</v>
      </c>
      <c r="H3956" s="22" t="s">
        <v>2392</v>
      </c>
      <c r="I3956" s="24" t="s">
        <v>18868</v>
      </c>
      <c r="J3956" s="23" t="s">
        <v>31</v>
      </c>
      <c r="K3956" s="22"/>
      <c r="L3956" s="36">
        <v>808.0</v>
      </c>
      <c r="M3956" s="36"/>
      <c r="N3956" s="37" t="s">
        <v>5658</v>
      </c>
      <c r="O3956" s="36"/>
      <c r="P3956" s="37"/>
      <c r="Q3956" s="36"/>
      <c r="R3956" s="36">
        <v>120.0</v>
      </c>
      <c r="S3956" s="36"/>
      <c r="T3956" s="42" t="s">
        <v>18869</v>
      </c>
      <c r="U3956" s="38" t="s">
        <v>61</v>
      </c>
      <c r="V3956" s="50"/>
      <c r="W3956" s="49"/>
      <c r="X3956" s="49"/>
      <c r="Y3956" s="35"/>
      <c r="Z3956" s="35"/>
      <c r="AA3956" s="35"/>
      <c r="AB3956" s="35"/>
      <c r="AC3956" s="35"/>
      <c r="AD3956" s="35"/>
      <c r="AE3956" s="35"/>
      <c r="AF3956" s="35"/>
      <c r="AG3956" s="35"/>
      <c r="AH3956" s="35"/>
      <c r="AI3956" s="35"/>
      <c r="AJ3956" s="35"/>
      <c r="AK3956" s="35"/>
      <c r="AL3956" s="35"/>
    </row>
    <row r="3957">
      <c r="A3957" s="40"/>
      <c r="B3957" s="19" t="s">
        <v>18603</v>
      </c>
      <c r="C3957" s="334" t="s">
        <v>18831</v>
      </c>
      <c r="D3957" s="47"/>
      <c r="E3957" s="22" t="s">
        <v>216</v>
      </c>
      <c r="F3957" s="22" t="s">
        <v>65</v>
      </c>
      <c r="G3957" s="23">
        <v>2023.0</v>
      </c>
      <c r="H3957" s="22" t="s">
        <v>3950</v>
      </c>
      <c r="I3957" s="24" t="s">
        <v>18870</v>
      </c>
      <c r="J3957" s="23" t="s">
        <v>31</v>
      </c>
      <c r="K3957" s="22"/>
      <c r="L3957" s="36">
        <v>633.0</v>
      </c>
      <c r="M3957" s="36"/>
      <c r="N3957" s="37"/>
      <c r="O3957" s="36"/>
      <c r="P3957" s="37" t="s">
        <v>5401</v>
      </c>
      <c r="Q3957" s="36"/>
      <c r="R3957" s="36"/>
      <c r="S3957" s="36"/>
      <c r="T3957" s="28" t="s">
        <v>18871</v>
      </c>
      <c r="U3957" s="38" t="s">
        <v>61</v>
      </c>
      <c r="V3957" s="50"/>
      <c r="W3957" s="49"/>
      <c r="X3957" s="49"/>
      <c r="Y3957" s="35"/>
      <c r="Z3957" s="35"/>
      <c r="AA3957" s="35"/>
      <c r="AB3957" s="35"/>
      <c r="AC3957" s="35"/>
      <c r="AD3957" s="35"/>
      <c r="AE3957" s="35"/>
      <c r="AF3957" s="35"/>
      <c r="AG3957" s="35"/>
      <c r="AH3957" s="35"/>
      <c r="AI3957" s="35"/>
      <c r="AJ3957" s="35"/>
      <c r="AK3957" s="35"/>
      <c r="AL3957" s="35"/>
    </row>
    <row r="3958">
      <c r="A3958" s="40"/>
      <c r="B3958" s="19" t="s">
        <v>18603</v>
      </c>
      <c r="C3958" s="334" t="s">
        <v>18831</v>
      </c>
      <c r="D3958" s="47"/>
      <c r="E3958" s="22" t="s">
        <v>2195</v>
      </c>
      <c r="F3958" s="22" t="s">
        <v>18872</v>
      </c>
      <c r="G3958" s="23">
        <v>2023.0</v>
      </c>
      <c r="H3958" s="22" t="s">
        <v>91</v>
      </c>
      <c r="I3958" s="24" t="s">
        <v>18873</v>
      </c>
      <c r="J3958" s="23" t="s">
        <v>31</v>
      </c>
      <c r="K3958" s="22" t="s">
        <v>18874</v>
      </c>
      <c r="L3958" s="36"/>
      <c r="M3958" s="36"/>
      <c r="N3958" s="37"/>
      <c r="O3958" s="36"/>
      <c r="P3958" s="37"/>
      <c r="Q3958" s="36"/>
      <c r="R3958" s="36"/>
      <c r="S3958" s="36"/>
      <c r="T3958" s="28" t="s">
        <v>18875</v>
      </c>
      <c r="U3958" s="38" t="s">
        <v>61</v>
      </c>
      <c r="V3958" s="50"/>
      <c r="W3958" s="49"/>
      <c r="X3958" s="49"/>
      <c r="Y3958" s="35"/>
      <c r="Z3958" s="35"/>
      <c r="AA3958" s="35"/>
      <c r="AB3958" s="35"/>
      <c r="AC3958" s="35"/>
      <c r="AD3958" s="35"/>
      <c r="AE3958" s="35"/>
      <c r="AF3958" s="35"/>
      <c r="AG3958" s="35"/>
      <c r="AH3958" s="35"/>
      <c r="AI3958" s="35"/>
      <c r="AJ3958" s="35"/>
      <c r="AK3958" s="35"/>
      <c r="AL3958" s="35"/>
    </row>
    <row r="3959">
      <c r="A3959" s="40"/>
      <c r="B3959" s="19" t="s">
        <v>18603</v>
      </c>
      <c r="C3959" s="334" t="s">
        <v>18831</v>
      </c>
      <c r="D3959" s="47"/>
      <c r="E3959" s="22" t="s">
        <v>18876</v>
      </c>
      <c r="F3959" s="22" t="s">
        <v>41</v>
      </c>
      <c r="G3959" s="23">
        <v>2022.0</v>
      </c>
      <c r="H3959" s="22" t="s">
        <v>207</v>
      </c>
      <c r="I3959" s="24" t="s">
        <v>18877</v>
      </c>
      <c r="J3959" s="22" t="s">
        <v>6020</v>
      </c>
      <c r="K3959" s="22"/>
      <c r="L3959" s="36" t="s">
        <v>1804</v>
      </c>
      <c r="M3959" s="36"/>
      <c r="N3959" s="37"/>
      <c r="O3959" s="36"/>
      <c r="P3959" s="37" t="s">
        <v>18878</v>
      </c>
      <c r="Q3959" s="36"/>
      <c r="R3959" s="36"/>
      <c r="S3959" s="36"/>
      <c r="T3959" s="28" t="s">
        <v>18879</v>
      </c>
      <c r="U3959" s="38" t="s">
        <v>61</v>
      </c>
      <c r="V3959" s="50"/>
      <c r="W3959" s="49"/>
      <c r="X3959" s="49"/>
      <c r="Y3959" s="35"/>
      <c r="Z3959" s="35"/>
      <c r="AA3959" s="35"/>
      <c r="AB3959" s="35"/>
      <c r="AC3959" s="35"/>
      <c r="AD3959" s="35"/>
      <c r="AE3959" s="35"/>
      <c r="AF3959" s="35"/>
      <c r="AG3959" s="35"/>
      <c r="AH3959" s="35"/>
      <c r="AI3959" s="35"/>
      <c r="AJ3959" s="35"/>
      <c r="AK3959" s="35"/>
      <c r="AL3959" s="35"/>
    </row>
    <row r="3960">
      <c r="A3960" s="40"/>
      <c r="B3960" s="19" t="s">
        <v>18603</v>
      </c>
      <c r="C3960" s="334" t="s">
        <v>18831</v>
      </c>
      <c r="D3960" s="47"/>
      <c r="E3960" s="22" t="s">
        <v>18880</v>
      </c>
      <c r="F3960" s="22" t="s">
        <v>323</v>
      </c>
      <c r="G3960" s="23">
        <v>2022.0</v>
      </c>
      <c r="H3960" s="22" t="s">
        <v>91</v>
      </c>
      <c r="I3960" s="24" t="s">
        <v>18881</v>
      </c>
      <c r="J3960" s="22" t="s">
        <v>31</v>
      </c>
      <c r="K3960" s="22" t="s">
        <v>157</v>
      </c>
      <c r="L3960" s="36">
        <v>650.0</v>
      </c>
      <c r="M3960" s="36"/>
      <c r="N3960" s="37"/>
      <c r="O3960" s="36"/>
      <c r="P3960" s="37" t="s">
        <v>18882</v>
      </c>
      <c r="Q3960" s="36"/>
      <c r="R3960" s="36"/>
      <c r="S3960" s="36" t="s">
        <v>3125</v>
      </c>
      <c r="T3960" s="28" t="s">
        <v>18883</v>
      </c>
      <c r="U3960" s="29" t="s">
        <v>61</v>
      </c>
      <c r="V3960" s="50"/>
      <c r="W3960" s="49"/>
      <c r="X3960" s="49"/>
      <c r="Y3960" s="35"/>
      <c r="Z3960" s="35"/>
      <c r="AA3960" s="35"/>
      <c r="AB3960" s="35"/>
      <c r="AC3960" s="35"/>
      <c r="AD3960" s="35"/>
      <c r="AE3960" s="35"/>
      <c r="AF3960" s="35"/>
      <c r="AG3960" s="35"/>
      <c r="AH3960" s="35"/>
      <c r="AI3960" s="35"/>
      <c r="AJ3960" s="35"/>
      <c r="AK3960" s="35"/>
      <c r="AL3960" s="35"/>
    </row>
    <row r="3961">
      <c r="A3961" s="40"/>
      <c r="B3961" s="19" t="s">
        <v>18603</v>
      </c>
      <c r="C3961" s="334" t="s">
        <v>18831</v>
      </c>
      <c r="D3961" s="47"/>
      <c r="E3961" s="22" t="s">
        <v>18884</v>
      </c>
      <c r="F3961" s="22" t="s">
        <v>2702</v>
      </c>
      <c r="G3961" s="23">
        <v>2022.0</v>
      </c>
      <c r="H3961" s="22" t="s">
        <v>18885</v>
      </c>
      <c r="I3961" s="24" t="s">
        <v>18886</v>
      </c>
      <c r="J3961" s="22" t="s">
        <v>31</v>
      </c>
      <c r="K3961" s="22" t="s">
        <v>18887</v>
      </c>
      <c r="L3961" s="36">
        <v>680.0</v>
      </c>
      <c r="M3961" s="36"/>
      <c r="N3961" s="37"/>
      <c r="O3961" s="36"/>
      <c r="P3961" s="37"/>
      <c r="Q3961" s="36"/>
      <c r="R3961" s="36"/>
      <c r="S3961" s="36"/>
      <c r="T3961" s="42" t="s">
        <v>18888</v>
      </c>
      <c r="U3961" s="38" t="s">
        <v>61</v>
      </c>
      <c r="V3961" s="50"/>
      <c r="W3961" s="49"/>
      <c r="X3961" s="49"/>
      <c r="Y3961" s="35"/>
      <c r="Z3961" s="35"/>
      <c r="AA3961" s="35"/>
      <c r="AB3961" s="35"/>
      <c r="AC3961" s="35"/>
      <c r="AD3961" s="35"/>
      <c r="AE3961" s="35"/>
      <c r="AF3961" s="35"/>
      <c r="AG3961" s="35"/>
      <c r="AH3961" s="35"/>
      <c r="AI3961" s="35"/>
      <c r="AJ3961" s="35"/>
      <c r="AK3961" s="35"/>
      <c r="AL3961" s="35"/>
    </row>
    <row r="3962">
      <c r="A3962" s="40"/>
      <c r="B3962" s="19" t="s">
        <v>18603</v>
      </c>
      <c r="C3962" s="334" t="s">
        <v>18831</v>
      </c>
      <c r="D3962" s="47"/>
      <c r="E3962" s="22" t="s">
        <v>18889</v>
      </c>
      <c r="F3962" s="22" t="s">
        <v>12537</v>
      </c>
      <c r="G3962" s="23">
        <v>2022.0</v>
      </c>
      <c r="H3962" s="22" t="s">
        <v>91</v>
      </c>
      <c r="I3962" s="24" t="s">
        <v>18890</v>
      </c>
      <c r="J3962" s="22" t="s">
        <v>31</v>
      </c>
      <c r="K3962" s="22"/>
      <c r="L3962" s="36" t="s">
        <v>18891</v>
      </c>
      <c r="M3962" s="36" t="s">
        <v>18892</v>
      </c>
      <c r="N3962" s="37"/>
      <c r="O3962" s="36"/>
      <c r="P3962" s="37"/>
      <c r="Q3962" s="36" t="s">
        <v>18893</v>
      </c>
      <c r="R3962" s="36"/>
      <c r="S3962" s="36"/>
      <c r="T3962" s="42" t="s">
        <v>18894</v>
      </c>
      <c r="U3962" s="29" t="s">
        <v>61</v>
      </c>
      <c r="V3962" s="50"/>
      <c r="W3962" s="49"/>
      <c r="X3962" s="49"/>
      <c r="Y3962" s="35"/>
      <c r="Z3962" s="35"/>
      <c r="AA3962" s="35"/>
      <c r="AB3962" s="35"/>
      <c r="AC3962" s="35"/>
      <c r="AD3962" s="35"/>
      <c r="AE3962" s="35"/>
      <c r="AF3962" s="35"/>
      <c r="AG3962" s="35"/>
      <c r="AH3962" s="35"/>
      <c r="AI3962" s="35"/>
      <c r="AJ3962" s="35"/>
      <c r="AK3962" s="35"/>
      <c r="AL3962" s="35"/>
    </row>
    <row r="3963">
      <c r="A3963" s="40"/>
      <c r="B3963" s="19" t="s">
        <v>18603</v>
      </c>
      <c r="C3963" s="334" t="s">
        <v>18831</v>
      </c>
      <c r="D3963" s="47"/>
      <c r="E3963" s="22" t="s">
        <v>18895</v>
      </c>
      <c r="F3963" s="22" t="s">
        <v>323</v>
      </c>
      <c r="G3963" s="23">
        <v>2022.0</v>
      </c>
      <c r="H3963" s="22" t="s">
        <v>4975</v>
      </c>
      <c r="I3963" s="24" t="s">
        <v>18896</v>
      </c>
      <c r="J3963" s="22" t="s">
        <v>31</v>
      </c>
      <c r="K3963" s="22"/>
      <c r="L3963" s="36" t="s">
        <v>1933</v>
      </c>
      <c r="M3963" s="36" t="s">
        <v>12916</v>
      </c>
      <c r="N3963" s="37"/>
      <c r="O3963" s="36"/>
      <c r="P3963" s="37" t="s">
        <v>8848</v>
      </c>
      <c r="Q3963" s="36"/>
      <c r="R3963" s="36"/>
      <c r="S3963" s="36"/>
      <c r="T3963" s="28" t="s">
        <v>18897</v>
      </c>
      <c r="U3963" s="29" t="s">
        <v>61</v>
      </c>
      <c r="V3963" s="50"/>
      <c r="W3963" s="49"/>
      <c r="X3963" s="49"/>
      <c r="Y3963" s="35"/>
      <c r="Z3963" s="35"/>
      <c r="AA3963" s="35"/>
      <c r="AB3963" s="35"/>
      <c r="AC3963" s="35"/>
      <c r="AD3963" s="35"/>
      <c r="AE3963" s="35"/>
      <c r="AF3963" s="35"/>
      <c r="AG3963" s="35"/>
      <c r="AH3963" s="35"/>
      <c r="AI3963" s="35"/>
      <c r="AJ3963" s="35"/>
      <c r="AK3963" s="35"/>
      <c r="AL3963" s="35"/>
    </row>
    <row r="3964">
      <c r="A3964" s="40"/>
      <c r="B3964" s="19" t="s">
        <v>18603</v>
      </c>
      <c r="C3964" s="334" t="s">
        <v>18831</v>
      </c>
      <c r="D3964" s="47"/>
      <c r="E3964" s="22" t="s">
        <v>14869</v>
      </c>
      <c r="F3964" s="22" t="s">
        <v>540</v>
      </c>
      <c r="G3964" s="23">
        <v>2021.0</v>
      </c>
      <c r="H3964" s="22" t="s">
        <v>18898</v>
      </c>
      <c r="I3964" s="24" t="s">
        <v>18899</v>
      </c>
      <c r="J3964" s="22" t="s">
        <v>31</v>
      </c>
      <c r="K3964" s="22"/>
      <c r="L3964" s="36">
        <v>808.0</v>
      </c>
      <c r="M3964" s="36"/>
      <c r="N3964" s="37"/>
      <c r="O3964" s="36"/>
      <c r="P3964" s="37" t="s">
        <v>18900</v>
      </c>
      <c r="Q3964" s="36"/>
      <c r="R3964" s="36"/>
      <c r="S3964" s="36"/>
      <c r="T3964" s="28" t="s">
        <v>18901</v>
      </c>
      <c r="U3964" s="29" t="s">
        <v>61</v>
      </c>
      <c r="V3964" s="50"/>
      <c r="W3964" s="49"/>
      <c r="X3964" s="49"/>
      <c r="Y3964" s="35"/>
      <c r="Z3964" s="35"/>
      <c r="AA3964" s="35"/>
      <c r="AB3964" s="35"/>
      <c r="AC3964" s="35"/>
      <c r="AD3964" s="35"/>
      <c r="AE3964" s="35"/>
      <c r="AF3964" s="35"/>
      <c r="AG3964" s="35"/>
      <c r="AH3964" s="35"/>
      <c r="AI3964" s="35"/>
      <c r="AJ3964" s="35"/>
      <c r="AK3964" s="35"/>
      <c r="AL3964" s="35"/>
    </row>
    <row r="3965">
      <c r="A3965" s="40"/>
      <c r="B3965" s="19" t="s">
        <v>18603</v>
      </c>
      <c r="C3965" s="334" t="s">
        <v>18831</v>
      </c>
      <c r="D3965" s="47"/>
      <c r="E3965" s="22" t="s">
        <v>18902</v>
      </c>
      <c r="F3965" s="22" t="s">
        <v>323</v>
      </c>
      <c r="G3965" s="23">
        <v>2021.0</v>
      </c>
      <c r="H3965" s="22" t="s">
        <v>147</v>
      </c>
      <c r="I3965" s="24" t="s">
        <v>18903</v>
      </c>
      <c r="J3965" s="22" t="s">
        <v>31</v>
      </c>
      <c r="K3965" s="22"/>
      <c r="L3965" s="36">
        <v>660.0</v>
      </c>
      <c r="M3965" s="36"/>
      <c r="N3965" s="37"/>
      <c r="O3965" s="36"/>
      <c r="P3965" s="37" t="s">
        <v>969</v>
      </c>
      <c r="Q3965" s="36"/>
      <c r="R3965" s="36"/>
      <c r="S3965" s="36"/>
      <c r="T3965" s="42" t="s">
        <v>18904</v>
      </c>
      <c r="U3965" s="29" t="s">
        <v>61</v>
      </c>
      <c r="V3965" s="50"/>
      <c r="W3965" s="49"/>
      <c r="X3965" s="49"/>
      <c r="Y3965" s="35"/>
      <c r="Z3965" s="35"/>
      <c r="AA3965" s="35"/>
      <c r="AB3965" s="35"/>
      <c r="AC3965" s="35"/>
      <c r="AD3965" s="35"/>
      <c r="AE3965" s="35"/>
      <c r="AF3965" s="35"/>
      <c r="AG3965" s="35"/>
      <c r="AH3965" s="35"/>
      <c r="AI3965" s="35"/>
      <c r="AJ3965" s="35"/>
      <c r="AK3965" s="35"/>
      <c r="AL3965" s="35"/>
    </row>
    <row r="3966">
      <c r="A3966" s="40"/>
      <c r="B3966" s="19" t="s">
        <v>18603</v>
      </c>
      <c r="C3966" s="334" t="s">
        <v>18831</v>
      </c>
      <c r="D3966" s="47"/>
      <c r="E3966" s="22" t="s">
        <v>18905</v>
      </c>
      <c r="F3966" s="22" t="s">
        <v>274</v>
      </c>
      <c r="G3966" s="23">
        <v>2021.0</v>
      </c>
      <c r="H3966" s="22" t="s">
        <v>2479</v>
      </c>
      <c r="I3966" s="24" t="s">
        <v>18906</v>
      </c>
      <c r="J3966" s="22" t="s">
        <v>31</v>
      </c>
      <c r="K3966" s="22"/>
      <c r="L3966" s="36">
        <v>780.0</v>
      </c>
      <c r="M3966" s="36"/>
      <c r="N3966" s="37"/>
      <c r="O3966" s="36"/>
      <c r="P3966" s="37"/>
      <c r="Q3966" s="36"/>
      <c r="R3966" s="36"/>
      <c r="S3966" s="36"/>
      <c r="T3966" s="42" t="s">
        <v>18907</v>
      </c>
      <c r="U3966" s="29" t="s">
        <v>61</v>
      </c>
      <c r="V3966" s="50"/>
      <c r="W3966" s="49"/>
      <c r="X3966" s="49"/>
      <c r="Y3966" s="35"/>
      <c r="Z3966" s="35"/>
      <c r="AA3966" s="35"/>
      <c r="AB3966" s="35"/>
      <c r="AC3966" s="35"/>
      <c r="AD3966" s="35"/>
      <c r="AE3966" s="35"/>
      <c r="AF3966" s="35"/>
      <c r="AG3966" s="35"/>
      <c r="AH3966" s="35"/>
      <c r="AI3966" s="35"/>
      <c r="AJ3966" s="35"/>
      <c r="AK3966" s="35"/>
      <c r="AL3966" s="35"/>
    </row>
    <row r="3967">
      <c r="A3967" s="133"/>
      <c r="B3967" s="19" t="s">
        <v>18603</v>
      </c>
      <c r="C3967" s="77" t="s">
        <v>18831</v>
      </c>
      <c r="D3967" s="47"/>
      <c r="E3967" s="22" t="s">
        <v>18797</v>
      </c>
      <c r="F3967" s="22" t="s">
        <v>323</v>
      </c>
      <c r="G3967" s="23">
        <v>2021.0</v>
      </c>
      <c r="H3967" s="22" t="s">
        <v>147</v>
      </c>
      <c r="I3967" s="134" t="s">
        <v>18908</v>
      </c>
      <c r="J3967" s="23" t="s">
        <v>31</v>
      </c>
      <c r="K3967" s="23"/>
      <c r="L3967" s="94" t="s">
        <v>18799</v>
      </c>
      <c r="M3967" s="94"/>
      <c r="N3967" s="94"/>
      <c r="O3967" s="94"/>
      <c r="P3967" s="94"/>
      <c r="Q3967" s="172"/>
      <c r="R3967" s="94"/>
      <c r="S3967" s="94"/>
      <c r="T3967" s="102" t="s">
        <v>18909</v>
      </c>
      <c r="U3967" s="138" t="s">
        <v>61</v>
      </c>
      <c r="V3967" s="139"/>
      <c r="W3967" s="49"/>
      <c r="X3967" s="49"/>
      <c r="Y3967" s="35"/>
      <c r="Z3967" s="35"/>
      <c r="AA3967" s="35"/>
      <c r="AB3967" s="35"/>
      <c r="AC3967" s="35"/>
      <c r="AD3967" s="35"/>
      <c r="AE3967" s="35"/>
      <c r="AF3967" s="35"/>
      <c r="AG3967" s="35"/>
      <c r="AH3967" s="35"/>
      <c r="AI3967" s="35"/>
      <c r="AJ3967" s="35"/>
      <c r="AK3967" s="35"/>
      <c r="AL3967" s="35"/>
    </row>
    <row r="3968">
      <c r="A3968" s="133"/>
      <c r="B3968" s="19" t="s">
        <v>18603</v>
      </c>
      <c r="C3968" s="77" t="s">
        <v>18831</v>
      </c>
      <c r="D3968" s="47"/>
      <c r="E3968" s="22" t="s">
        <v>2338</v>
      </c>
      <c r="F3968" s="22" t="s">
        <v>18910</v>
      </c>
      <c r="G3968" s="23">
        <v>2021.0</v>
      </c>
      <c r="H3968" s="22" t="s">
        <v>18911</v>
      </c>
      <c r="I3968" s="134" t="s">
        <v>18912</v>
      </c>
      <c r="J3968" s="23" t="s">
        <v>31</v>
      </c>
      <c r="K3968" s="23"/>
      <c r="L3968" s="94" t="s">
        <v>18913</v>
      </c>
      <c r="M3968" s="94"/>
      <c r="N3968" s="94"/>
      <c r="O3968" s="94"/>
      <c r="P3968" s="94"/>
      <c r="Q3968" s="172"/>
      <c r="R3968" s="94"/>
      <c r="S3968" s="94"/>
      <c r="T3968" s="102" t="s">
        <v>18914</v>
      </c>
      <c r="U3968" s="138" t="s">
        <v>61</v>
      </c>
      <c r="V3968" s="139"/>
      <c r="W3968" s="49"/>
      <c r="X3968" s="49"/>
      <c r="Y3968" s="35"/>
      <c r="Z3968" s="35"/>
      <c r="AA3968" s="35"/>
      <c r="AB3968" s="35"/>
      <c r="AC3968" s="35"/>
      <c r="AD3968" s="35"/>
      <c r="AE3968" s="35"/>
      <c r="AF3968" s="35"/>
      <c r="AG3968" s="35"/>
      <c r="AH3968" s="35"/>
      <c r="AI3968" s="35"/>
      <c r="AJ3968" s="35"/>
      <c r="AK3968" s="35"/>
      <c r="AL3968" s="35"/>
    </row>
    <row r="3969">
      <c r="A3969" s="133"/>
      <c r="B3969" s="19" t="s">
        <v>18603</v>
      </c>
      <c r="C3969" s="77" t="s">
        <v>18831</v>
      </c>
      <c r="D3969" s="47"/>
      <c r="E3969" s="22" t="s">
        <v>10678</v>
      </c>
      <c r="F3969" s="22" t="s">
        <v>993</v>
      </c>
      <c r="G3969" s="23">
        <v>2021.0</v>
      </c>
      <c r="H3969" s="22" t="s">
        <v>967</v>
      </c>
      <c r="I3969" s="134" t="s">
        <v>18915</v>
      </c>
      <c r="J3969" s="23" t="s">
        <v>31</v>
      </c>
      <c r="K3969" s="23"/>
      <c r="L3969" s="94"/>
      <c r="M3969" s="94"/>
      <c r="N3969" s="94"/>
      <c r="O3969" s="94"/>
      <c r="P3969" s="94" t="s">
        <v>18916</v>
      </c>
      <c r="Q3969" s="172"/>
      <c r="R3969" s="94"/>
      <c r="S3969" s="94"/>
      <c r="T3969" s="103" t="s">
        <v>18917</v>
      </c>
      <c r="U3969" s="138" t="s">
        <v>2360</v>
      </c>
      <c r="V3969" s="139"/>
      <c r="W3969" s="49"/>
      <c r="X3969" s="49"/>
      <c r="Y3969" s="35"/>
      <c r="Z3969" s="35"/>
      <c r="AA3969" s="35"/>
      <c r="AB3969" s="35"/>
      <c r="AC3969" s="35"/>
      <c r="AD3969" s="35"/>
      <c r="AE3969" s="35"/>
      <c r="AF3969" s="35"/>
      <c r="AG3969" s="35"/>
      <c r="AH3969" s="35"/>
      <c r="AI3969" s="35"/>
      <c r="AJ3969" s="35"/>
      <c r="AK3969" s="35"/>
      <c r="AL3969" s="35"/>
    </row>
    <row r="3970">
      <c r="A3970" s="133"/>
      <c r="B3970" s="19" t="s">
        <v>18603</v>
      </c>
      <c r="C3970" s="77" t="s">
        <v>18831</v>
      </c>
      <c r="D3970" s="47"/>
      <c r="E3970" s="22" t="s">
        <v>18918</v>
      </c>
      <c r="F3970" s="22" t="s">
        <v>313</v>
      </c>
      <c r="G3970" s="23">
        <v>2021.0</v>
      </c>
      <c r="H3970" s="22" t="s">
        <v>18691</v>
      </c>
      <c r="I3970" s="134" t="s">
        <v>18919</v>
      </c>
      <c r="J3970" s="23" t="s">
        <v>31</v>
      </c>
      <c r="K3970" s="23"/>
      <c r="L3970" s="94"/>
      <c r="M3970" s="94"/>
      <c r="N3970" s="94"/>
      <c r="O3970" s="94"/>
      <c r="P3970" s="94"/>
      <c r="Q3970" s="172"/>
      <c r="R3970" s="94"/>
      <c r="S3970" s="94"/>
      <c r="T3970" s="54" t="s">
        <v>18920</v>
      </c>
      <c r="U3970" s="138"/>
      <c r="V3970" s="139"/>
      <c r="W3970" s="49"/>
      <c r="X3970" s="49"/>
      <c r="Y3970" s="35"/>
      <c r="Z3970" s="35"/>
      <c r="AA3970" s="35"/>
      <c r="AB3970" s="35"/>
      <c r="AC3970" s="35"/>
      <c r="AD3970" s="35"/>
      <c r="AE3970" s="35"/>
      <c r="AF3970" s="35"/>
      <c r="AG3970" s="35"/>
      <c r="AH3970" s="35"/>
      <c r="AI3970" s="35"/>
      <c r="AJ3970" s="35"/>
      <c r="AK3970" s="35"/>
      <c r="AL3970" s="35"/>
    </row>
    <row r="3971">
      <c r="A3971" s="191"/>
      <c r="B3971" s="75" t="s">
        <v>18603</v>
      </c>
      <c r="C3971" s="77" t="s">
        <v>18831</v>
      </c>
      <c r="D3971" s="47"/>
      <c r="E3971" s="22" t="s">
        <v>6288</v>
      </c>
      <c r="F3971" s="22" t="s">
        <v>18845</v>
      </c>
      <c r="G3971" s="23">
        <v>2021.0</v>
      </c>
      <c r="H3971" s="22" t="s">
        <v>91</v>
      </c>
      <c r="I3971" s="24" t="s">
        <v>18921</v>
      </c>
      <c r="J3971" s="23" t="s">
        <v>31</v>
      </c>
      <c r="K3971" s="22" t="s">
        <v>6802</v>
      </c>
      <c r="L3971" s="36">
        <v>532.0</v>
      </c>
      <c r="M3971" s="36"/>
      <c r="N3971" s="36"/>
      <c r="O3971" s="36"/>
      <c r="P3971" s="37"/>
      <c r="Q3971" s="36"/>
      <c r="R3971" s="36"/>
      <c r="S3971" s="36"/>
      <c r="T3971" s="28" t="s">
        <v>18922</v>
      </c>
      <c r="U3971" s="29" t="s">
        <v>61</v>
      </c>
      <c r="V3971" s="30"/>
      <c r="W3971" s="49"/>
      <c r="X3971" s="49"/>
      <c r="Y3971" s="35"/>
      <c r="Z3971" s="35"/>
      <c r="AA3971" s="35"/>
      <c r="AB3971" s="35"/>
      <c r="AC3971" s="35"/>
      <c r="AD3971" s="35"/>
      <c r="AE3971" s="35"/>
      <c r="AF3971" s="35"/>
      <c r="AG3971" s="35"/>
      <c r="AH3971" s="35"/>
      <c r="AI3971" s="35"/>
      <c r="AJ3971" s="35"/>
      <c r="AK3971" s="35"/>
      <c r="AL3971" s="35"/>
    </row>
    <row r="3972">
      <c r="A3972" s="191"/>
      <c r="B3972" s="75" t="s">
        <v>18603</v>
      </c>
      <c r="C3972" s="77" t="s">
        <v>18831</v>
      </c>
      <c r="D3972" s="47"/>
      <c r="E3972" s="22" t="s">
        <v>18923</v>
      </c>
      <c r="F3972" s="22" t="s">
        <v>323</v>
      </c>
      <c r="G3972" s="23">
        <v>2021.0</v>
      </c>
      <c r="H3972" s="22" t="s">
        <v>91</v>
      </c>
      <c r="I3972" s="24" t="s">
        <v>18924</v>
      </c>
      <c r="J3972" s="23" t="s">
        <v>31</v>
      </c>
      <c r="K3972" s="22"/>
      <c r="L3972" s="36">
        <v>660.0</v>
      </c>
      <c r="M3972" s="36"/>
      <c r="N3972" s="36" t="s">
        <v>2325</v>
      </c>
      <c r="O3972" s="36"/>
      <c r="P3972" s="37"/>
      <c r="Q3972" s="36"/>
      <c r="R3972" s="36">
        <v>90.0</v>
      </c>
      <c r="S3972" s="36"/>
      <c r="T3972" s="42" t="s">
        <v>18925</v>
      </c>
      <c r="U3972" s="29" t="s">
        <v>61</v>
      </c>
      <c r="V3972" s="30"/>
      <c r="W3972" s="49"/>
      <c r="X3972" s="49"/>
      <c r="Y3972" s="35"/>
      <c r="Z3972" s="35"/>
      <c r="AA3972" s="35"/>
      <c r="AB3972" s="35"/>
      <c r="AC3972" s="35"/>
      <c r="AD3972" s="35"/>
      <c r="AE3972" s="35"/>
      <c r="AF3972" s="35"/>
      <c r="AG3972" s="35"/>
      <c r="AH3972" s="35"/>
      <c r="AI3972" s="35"/>
      <c r="AJ3972" s="35"/>
      <c r="AK3972" s="35"/>
      <c r="AL3972" s="35"/>
    </row>
    <row r="3973">
      <c r="A3973" s="191"/>
      <c r="B3973" s="75" t="s">
        <v>18603</v>
      </c>
      <c r="C3973" s="77" t="s">
        <v>18831</v>
      </c>
      <c r="D3973" s="47"/>
      <c r="E3973" s="22" t="s">
        <v>18926</v>
      </c>
      <c r="F3973" s="22" t="s">
        <v>18927</v>
      </c>
      <c r="G3973" s="23">
        <v>2021.0</v>
      </c>
      <c r="H3973" s="22" t="s">
        <v>207</v>
      </c>
      <c r="I3973" s="24" t="s">
        <v>18928</v>
      </c>
      <c r="J3973" s="23" t="s">
        <v>31</v>
      </c>
      <c r="K3973" s="22" t="s">
        <v>18929</v>
      </c>
      <c r="L3973" s="36">
        <v>660.0</v>
      </c>
      <c r="M3973" s="36"/>
      <c r="N3973" s="36"/>
      <c r="O3973" s="36"/>
      <c r="P3973" s="37" t="s">
        <v>2659</v>
      </c>
      <c r="Q3973" s="36"/>
      <c r="R3973" s="36"/>
      <c r="S3973" s="36"/>
      <c r="T3973" s="28" t="s">
        <v>18930</v>
      </c>
      <c r="U3973" s="29" t="s">
        <v>61</v>
      </c>
      <c r="V3973" s="30"/>
      <c r="W3973" s="49"/>
      <c r="X3973" s="49"/>
      <c r="Y3973" s="35"/>
      <c r="Z3973" s="35"/>
      <c r="AA3973" s="35"/>
      <c r="AB3973" s="35"/>
      <c r="AC3973" s="35"/>
      <c r="AD3973" s="35"/>
      <c r="AE3973" s="35"/>
      <c r="AF3973" s="35"/>
      <c r="AG3973" s="35"/>
      <c r="AH3973" s="35"/>
      <c r="AI3973" s="35"/>
      <c r="AJ3973" s="35"/>
      <c r="AK3973" s="35"/>
      <c r="AL3973" s="35"/>
    </row>
    <row r="3974">
      <c r="A3974" s="191"/>
      <c r="B3974" s="75" t="s">
        <v>18603</v>
      </c>
      <c r="C3974" s="77" t="s">
        <v>18831</v>
      </c>
      <c r="D3974" s="47"/>
      <c r="E3974" s="22" t="s">
        <v>2195</v>
      </c>
      <c r="F3974" s="22" t="s">
        <v>2196</v>
      </c>
      <c r="G3974" s="23">
        <v>2021.0</v>
      </c>
      <c r="H3974" s="22" t="s">
        <v>3292</v>
      </c>
      <c r="I3974" s="24" t="s">
        <v>18931</v>
      </c>
      <c r="J3974" s="22" t="s">
        <v>125</v>
      </c>
      <c r="K3974" s="22"/>
      <c r="L3974" s="167" t="s">
        <v>18932</v>
      </c>
      <c r="M3974" s="44"/>
      <c r="N3974" s="44"/>
      <c r="O3974" s="44"/>
      <c r="P3974" s="44"/>
      <c r="Q3974" s="44"/>
      <c r="R3974" s="44"/>
      <c r="S3974" s="44"/>
      <c r="T3974" s="45"/>
      <c r="U3974" s="29" t="s">
        <v>61</v>
      </c>
      <c r="V3974" s="30"/>
      <c r="W3974" s="49"/>
      <c r="X3974" s="49"/>
      <c r="Y3974" s="35"/>
      <c r="Z3974" s="35"/>
      <c r="AA3974" s="35"/>
      <c r="AB3974" s="35"/>
      <c r="AC3974" s="35"/>
      <c r="AD3974" s="35"/>
      <c r="AE3974" s="35"/>
      <c r="AF3974" s="35"/>
      <c r="AG3974" s="35"/>
      <c r="AH3974" s="35"/>
      <c r="AI3974" s="35"/>
      <c r="AJ3974" s="35"/>
      <c r="AK3974" s="35"/>
      <c r="AL3974" s="35"/>
    </row>
    <row r="3975">
      <c r="A3975" s="191"/>
      <c r="B3975" s="75" t="s">
        <v>18603</v>
      </c>
      <c r="C3975" s="77" t="s">
        <v>18831</v>
      </c>
      <c r="D3975" s="47"/>
      <c r="E3975" s="22" t="s">
        <v>12050</v>
      </c>
      <c r="F3975" s="22" t="s">
        <v>1905</v>
      </c>
      <c r="G3975" s="23">
        <v>2021.0</v>
      </c>
      <c r="H3975" s="22" t="s">
        <v>18933</v>
      </c>
      <c r="I3975" s="24" t="s">
        <v>18934</v>
      </c>
      <c r="J3975" s="23" t="s">
        <v>31</v>
      </c>
      <c r="K3975" s="22" t="s">
        <v>1725</v>
      </c>
      <c r="L3975" s="36">
        <v>470.0</v>
      </c>
      <c r="M3975" s="36"/>
      <c r="N3975" s="36"/>
      <c r="O3975" s="36"/>
      <c r="P3975" s="37" t="s">
        <v>18935</v>
      </c>
      <c r="Q3975" s="36"/>
      <c r="R3975" s="36"/>
      <c r="S3975" s="36"/>
      <c r="T3975" s="28" t="s">
        <v>18936</v>
      </c>
      <c r="U3975" s="29" t="s">
        <v>61</v>
      </c>
      <c r="V3975" s="30"/>
      <c r="W3975" s="49"/>
      <c r="X3975" s="49"/>
      <c r="Y3975" s="35"/>
      <c r="Z3975" s="35"/>
      <c r="AA3975" s="35"/>
      <c r="AB3975" s="35"/>
      <c r="AC3975" s="35"/>
      <c r="AD3975" s="35"/>
      <c r="AE3975" s="35"/>
      <c r="AF3975" s="35"/>
      <c r="AG3975" s="35"/>
      <c r="AH3975" s="35"/>
      <c r="AI3975" s="35"/>
      <c r="AJ3975" s="35"/>
      <c r="AK3975" s="35"/>
      <c r="AL3975" s="35"/>
    </row>
    <row r="3976">
      <c r="A3976" s="191"/>
      <c r="B3976" s="75" t="s">
        <v>18603</v>
      </c>
      <c r="C3976" s="77" t="s">
        <v>18831</v>
      </c>
      <c r="D3976" s="47"/>
      <c r="E3976" s="22" t="s">
        <v>2195</v>
      </c>
      <c r="F3976" s="22" t="s">
        <v>2196</v>
      </c>
      <c r="G3976" s="23">
        <v>2021.0</v>
      </c>
      <c r="H3976" s="22" t="s">
        <v>207</v>
      </c>
      <c r="I3976" s="24" t="s">
        <v>18937</v>
      </c>
      <c r="J3976" s="23" t="s">
        <v>31</v>
      </c>
      <c r="K3976" s="22" t="s">
        <v>1413</v>
      </c>
      <c r="L3976" s="36">
        <v>457.0</v>
      </c>
      <c r="M3976" s="36"/>
      <c r="N3976" s="36"/>
      <c r="O3976" s="36"/>
      <c r="P3976" s="37"/>
      <c r="Q3976" s="36"/>
      <c r="R3976" s="36"/>
      <c r="S3976" s="36"/>
      <c r="T3976" s="28" t="s">
        <v>18938</v>
      </c>
      <c r="U3976" s="29" t="s">
        <v>61</v>
      </c>
      <c r="V3976" s="30"/>
      <c r="W3976" s="49"/>
      <c r="X3976" s="49"/>
      <c r="Y3976" s="35"/>
      <c r="Z3976" s="35"/>
      <c r="AA3976" s="35"/>
      <c r="AB3976" s="35"/>
      <c r="AC3976" s="35"/>
      <c r="AD3976" s="35"/>
      <c r="AE3976" s="35"/>
      <c r="AF3976" s="35"/>
      <c r="AG3976" s="35"/>
      <c r="AH3976" s="35"/>
      <c r="AI3976" s="35"/>
      <c r="AJ3976" s="35"/>
      <c r="AK3976" s="35"/>
      <c r="AL3976" s="35"/>
    </row>
    <row r="3977">
      <c r="A3977" s="191"/>
      <c r="B3977" s="75" t="s">
        <v>18603</v>
      </c>
      <c r="C3977" s="77" t="s">
        <v>18831</v>
      </c>
      <c r="D3977" s="47"/>
      <c r="E3977" s="22" t="s">
        <v>16942</v>
      </c>
      <c r="F3977" s="22" t="s">
        <v>41</v>
      </c>
      <c r="G3977" s="23">
        <v>2020.0</v>
      </c>
      <c r="H3977" s="22" t="s">
        <v>4975</v>
      </c>
      <c r="I3977" s="24" t="s">
        <v>18939</v>
      </c>
      <c r="J3977" s="23" t="s">
        <v>31</v>
      </c>
      <c r="K3977" s="22"/>
      <c r="L3977" s="36" t="s">
        <v>1750</v>
      </c>
      <c r="M3977" s="36"/>
      <c r="N3977" s="36"/>
      <c r="O3977" s="36"/>
      <c r="P3977" s="37"/>
      <c r="Q3977" s="36"/>
      <c r="R3977" s="36"/>
      <c r="S3977" s="36"/>
      <c r="T3977" s="41" t="s">
        <v>18940</v>
      </c>
      <c r="U3977" s="29" t="s">
        <v>61</v>
      </c>
      <c r="V3977" s="30"/>
      <c r="W3977" s="49"/>
      <c r="X3977" s="49"/>
      <c r="Y3977" s="35"/>
      <c r="Z3977" s="35"/>
      <c r="AA3977" s="35"/>
      <c r="AB3977" s="35"/>
      <c r="AC3977" s="35"/>
      <c r="AD3977" s="35"/>
      <c r="AE3977" s="35"/>
      <c r="AF3977" s="35"/>
      <c r="AG3977" s="35"/>
      <c r="AH3977" s="35"/>
      <c r="AI3977" s="35"/>
      <c r="AJ3977" s="35"/>
      <c r="AK3977" s="35"/>
      <c r="AL3977" s="35"/>
    </row>
    <row r="3978">
      <c r="A3978" s="191"/>
      <c r="B3978" s="75" t="s">
        <v>18603</v>
      </c>
      <c r="C3978" s="77" t="s">
        <v>18831</v>
      </c>
      <c r="D3978" s="47"/>
      <c r="E3978" s="22" t="s">
        <v>2243</v>
      </c>
      <c r="F3978" s="22" t="s">
        <v>1081</v>
      </c>
      <c r="G3978" s="23">
        <v>2020.0</v>
      </c>
      <c r="H3978" s="22" t="s">
        <v>91</v>
      </c>
      <c r="I3978" s="24" t="s">
        <v>18941</v>
      </c>
      <c r="J3978" s="23" t="s">
        <v>31</v>
      </c>
      <c r="K3978" s="22" t="s">
        <v>6802</v>
      </c>
      <c r="L3978" s="36">
        <v>532.0</v>
      </c>
      <c r="M3978" s="36"/>
      <c r="N3978" s="36"/>
      <c r="O3978" s="36"/>
      <c r="P3978" s="37"/>
      <c r="Q3978" s="36"/>
      <c r="R3978" s="36"/>
      <c r="S3978" s="36"/>
      <c r="T3978" s="28" t="s">
        <v>18942</v>
      </c>
      <c r="U3978" s="29" t="s">
        <v>61</v>
      </c>
      <c r="V3978" s="30"/>
      <c r="W3978" s="49"/>
      <c r="X3978" s="49"/>
      <c r="Y3978" s="35"/>
      <c r="Z3978" s="35"/>
      <c r="AA3978" s="35"/>
      <c r="AB3978" s="35"/>
      <c r="AC3978" s="35"/>
      <c r="AD3978" s="35"/>
      <c r="AE3978" s="35"/>
      <c r="AF3978" s="35"/>
      <c r="AG3978" s="35"/>
      <c r="AH3978" s="35"/>
      <c r="AI3978" s="35"/>
      <c r="AJ3978" s="35"/>
      <c r="AK3978" s="35"/>
      <c r="AL3978" s="35"/>
    </row>
    <row r="3979">
      <c r="A3979" s="191"/>
      <c r="B3979" s="75" t="s">
        <v>18603</v>
      </c>
      <c r="C3979" s="77" t="s">
        <v>18831</v>
      </c>
      <c r="D3979" s="47"/>
      <c r="E3979" s="22" t="s">
        <v>18943</v>
      </c>
      <c r="F3979" s="22" t="s">
        <v>41</v>
      </c>
      <c r="G3979" s="23">
        <v>2020.0</v>
      </c>
      <c r="H3979" s="22" t="s">
        <v>91</v>
      </c>
      <c r="I3979" s="24" t="s">
        <v>18944</v>
      </c>
      <c r="J3979" s="23" t="s">
        <v>31</v>
      </c>
      <c r="K3979" s="22"/>
      <c r="L3979" s="36"/>
      <c r="M3979" s="36"/>
      <c r="N3979" s="36"/>
      <c r="O3979" s="36"/>
      <c r="P3979" s="37" t="s">
        <v>4852</v>
      </c>
      <c r="Q3979" s="36"/>
      <c r="R3979" s="36"/>
      <c r="S3979" s="36"/>
      <c r="T3979" s="28" t="s">
        <v>18945</v>
      </c>
      <c r="U3979" s="29" t="s">
        <v>61</v>
      </c>
      <c r="V3979" s="30"/>
      <c r="W3979" s="49"/>
      <c r="X3979" s="49"/>
      <c r="Y3979" s="35"/>
      <c r="Z3979" s="35"/>
      <c r="AA3979" s="35"/>
      <c r="AB3979" s="35"/>
      <c r="AC3979" s="35"/>
      <c r="AD3979" s="35"/>
      <c r="AE3979" s="35"/>
      <c r="AF3979" s="35"/>
      <c r="AG3979" s="35"/>
      <c r="AH3979" s="35"/>
      <c r="AI3979" s="35"/>
      <c r="AJ3979" s="35"/>
      <c r="AK3979" s="35"/>
      <c r="AL3979" s="35"/>
    </row>
    <row r="3980">
      <c r="A3980" s="191"/>
      <c r="B3980" s="75" t="s">
        <v>18603</v>
      </c>
      <c r="C3980" s="77" t="s">
        <v>18831</v>
      </c>
      <c r="D3980" s="47"/>
      <c r="E3980" s="22" t="s">
        <v>109</v>
      </c>
      <c r="F3980" s="22" t="s">
        <v>3691</v>
      </c>
      <c r="G3980" s="23">
        <v>2020.0</v>
      </c>
      <c r="H3980" s="22" t="s">
        <v>207</v>
      </c>
      <c r="I3980" s="24" t="s">
        <v>18946</v>
      </c>
      <c r="J3980" s="23" t="s">
        <v>31</v>
      </c>
      <c r="K3980" s="23" t="s">
        <v>31</v>
      </c>
      <c r="L3980" s="36">
        <v>660.0</v>
      </c>
      <c r="M3980" s="36"/>
      <c r="N3980" s="36"/>
      <c r="O3980" s="36"/>
      <c r="P3980" s="37"/>
      <c r="Q3980" s="36"/>
      <c r="R3980" s="36"/>
      <c r="S3980" s="36"/>
      <c r="T3980" s="28" t="s">
        <v>18947</v>
      </c>
      <c r="U3980" s="29" t="s">
        <v>61</v>
      </c>
      <c r="V3980" s="30"/>
      <c r="W3980" s="49"/>
      <c r="X3980" s="49"/>
      <c r="Y3980" s="35"/>
      <c r="Z3980" s="35"/>
      <c r="AA3980" s="35"/>
      <c r="AB3980" s="35"/>
      <c r="AC3980" s="35"/>
      <c r="AD3980" s="35"/>
      <c r="AE3980" s="35"/>
      <c r="AF3980" s="35"/>
      <c r="AG3980" s="35"/>
      <c r="AH3980" s="35"/>
      <c r="AI3980" s="35"/>
      <c r="AJ3980" s="35"/>
      <c r="AK3980" s="35"/>
      <c r="AL3980" s="35"/>
    </row>
    <row r="3981">
      <c r="A3981" s="191"/>
      <c r="B3981" s="75" t="s">
        <v>18603</v>
      </c>
      <c r="C3981" s="77" t="s">
        <v>18831</v>
      </c>
      <c r="D3981" s="47"/>
      <c r="E3981" s="22" t="s">
        <v>18948</v>
      </c>
      <c r="F3981" s="22" t="s">
        <v>1046</v>
      </c>
      <c r="G3981" s="23">
        <v>2020.0</v>
      </c>
      <c r="H3981" s="22" t="s">
        <v>147</v>
      </c>
      <c r="I3981" s="24" t="s">
        <v>18949</v>
      </c>
      <c r="J3981" s="23" t="s">
        <v>31</v>
      </c>
      <c r="K3981" s="22"/>
      <c r="L3981" s="36">
        <v>630.0</v>
      </c>
      <c r="M3981" s="36"/>
      <c r="N3981" s="36"/>
      <c r="O3981" s="36"/>
      <c r="P3981" s="37"/>
      <c r="Q3981" s="36"/>
      <c r="R3981" s="36"/>
      <c r="S3981" s="36"/>
      <c r="T3981" s="28" t="s">
        <v>18950</v>
      </c>
      <c r="U3981" s="153" t="str">
        <f>HYPERLINK("https://www.ncbi.nlm.nih.gov/pubmed/32273959","PubMed")</f>
        <v>PubMed</v>
      </c>
      <c r="V3981" s="30"/>
      <c r="W3981" s="49"/>
      <c r="X3981" s="49"/>
      <c r="Y3981" s="35"/>
      <c r="Z3981" s="35"/>
      <c r="AA3981" s="35"/>
      <c r="AB3981" s="35"/>
      <c r="AC3981" s="35"/>
      <c r="AD3981" s="35"/>
      <c r="AE3981" s="35"/>
      <c r="AF3981" s="35"/>
      <c r="AG3981" s="35"/>
      <c r="AH3981" s="35"/>
      <c r="AI3981" s="35"/>
      <c r="AJ3981" s="35"/>
      <c r="AK3981" s="35"/>
      <c r="AL3981" s="35"/>
    </row>
    <row r="3982">
      <c r="A3982" s="191"/>
      <c r="B3982" s="19" t="s">
        <v>18603</v>
      </c>
      <c r="C3982" s="20" t="s">
        <v>18831</v>
      </c>
      <c r="D3982" s="47"/>
      <c r="E3982" s="22" t="s">
        <v>18923</v>
      </c>
      <c r="F3982" s="22" t="s">
        <v>323</v>
      </c>
      <c r="G3982" s="23">
        <v>2020.0</v>
      </c>
      <c r="H3982" s="22" t="s">
        <v>18951</v>
      </c>
      <c r="I3982" s="24" t="s">
        <v>18952</v>
      </c>
      <c r="J3982" s="23" t="s">
        <v>31</v>
      </c>
      <c r="K3982" s="22"/>
      <c r="L3982" s="36">
        <v>660.0</v>
      </c>
      <c r="M3982" s="36"/>
      <c r="N3982" s="36"/>
      <c r="O3982" s="36"/>
      <c r="P3982" s="37" t="s">
        <v>969</v>
      </c>
      <c r="Q3982" s="36"/>
      <c r="R3982" s="36">
        <v>90.0</v>
      </c>
      <c r="S3982" s="36"/>
      <c r="T3982" s="28" t="s">
        <v>18953</v>
      </c>
      <c r="U3982" s="153" t="str">
        <f>HYPERLINK("https://www.ncbi.nlm.nih.gov/pubmed/31956296","PubMed")</f>
        <v>PubMed</v>
      </c>
      <c r="V3982" s="30"/>
      <c r="W3982" s="49"/>
      <c r="X3982" s="49"/>
      <c r="Y3982" s="35"/>
      <c r="Z3982" s="35"/>
      <c r="AA3982" s="35"/>
      <c r="AB3982" s="35"/>
      <c r="AC3982" s="35"/>
      <c r="AD3982" s="35"/>
      <c r="AE3982" s="35"/>
      <c r="AF3982" s="35"/>
      <c r="AG3982" s="35"/>
      <c r="AH3982" s="35"/>
      <c r="AI3982" s="35"/>
      <c r="AJ3982" s="35"/>
      <c r="AK3982" s="35"/>
      <c r="AL3982" s="35"/>
    </row>
    <row r="3983">
      <c r="A3983" s="191"/>
      <c r="B3983" s="19" t="s">
        <v>18603</v>
      </c>
      <c r="C3983" s="20" t="s">
        <v>18831</v>
      </c>
      <c r="D3983" s="47"/>
      <c r="E3983" s="22" t="s">
        <v>18954</v>
      </c>
      <c r="F3983" s="22" t="s">
        <v>323</v>
      </c>
      <c r="G3983" s="23">
        <v>2020.0</v>
      </c>
      <c r="H3983" s="22" t="s">
        <v>1485</v>
      </c>
      <c r="I3983" s="24" t="s">
        <v>18955</v>
      </c>
      <c r="J3983" s="23" t="s">
        <v>31</v>
      </c>
      <c r="K3983" s="22" t="s">
        <v>1725</v>
      </c>
      <c r="L3983" s="36" t="s">
        <v>18956</v>
      </c>
      <c r="M3983" s="36"/>
      <c r="N3983" s="36"/>
      <c r="O3983" s="36"/>
      <c r="P3983" s="37"/>
      <c r="Q3983" s="36"/>
      <c r="R3983" s="36"/>
      <c r="S3983" s="36"/>
      <c r="T3983" s="42" t="s">
        <v>18957</v>
      </c>
      <c r="U3983" s="153" t="str">
        <f>HYPERLINK("https://www.ncbi.nlm.nih.gov/pubmed/32109618","PubMed")</f>
        <v>PubMed</v>
      </c>
      <c r="V3983" s="30"/>
      <c r="W3983" s="49"/>
      <c r="X3983" s="49"/>
      <c r="Y3983" s="35"/>
      <c r="Z3983" s="35"/>
      <c r="AA3983" s="35"/>
      <c r="AB3983" s="35"/>
      <c r="AC3983" s="35"/>
      <c r="AD3983" s="35"/>
      <c r="AE3983" s="35"/>
      <c r="AF3983" s="35"/>
      <c r="AG3983" s="35"/>
      <c r="AH3983" s="35"/>
      <c r="AI3983" s="35"/>
      <c r="AJ3983" s="35"/>
      <c r="AK3983" s="35"/>
      <c r="AL3983" s="35"/>
    </row>
    <row r="3984">
      <c r="A3984" s="191"/>
      <c r="B3984" s="19" t="s">
        <v>18603</v>
      </c>
      <c r="C3984" s="20" t="s">
        <v>18831</v>
      </c>
      <c r="D3984" s="47"/>
      <c r="E3984" s="22" t="s">
        <v>18958</v>
      </c>
      <c r="F3984" s="22" t="s">
        <v>3064</v>
      </c>
      <c r="G3984" s="23">
        <v>2019.0</v>
      </c>
      <c r="H3984" s="22" t="s">
        <v>292</v>
      </c>
      <c r="I3984" s="24" t="s">
        <v>18959</v>
      </c>
      <c r="J3984" s="23" t="s">
        <v>18960</v>
      </c>
      <c r="K3984" s="22" t="s">
        <v>56</v>
      </c>
      <c r="L3984" s="36" t="s">
        <v>4772</v>
      </c>
      <c r="M3984" s="36"/>
      <c r="N3984" s="36"/>
      <c r="O3984" s="36"/>
      <c r="P3984" s="37"/>
      <c r="Q3984" s="36"/>
      <c r="R3984" s="36"/>
      <c r="S3984" s="36"/>
      <c r="T3984" s="42" t="s">
        <v>18961</v>
      </c>
      <c r="U3984" s="153" t="str">
        <f>HYPERLINK("https://www.ncbi.nlm.nih.gov/pubmed/32009729","PubMed")</f>
        <v>PubMed</v>
      </c>
      <c r="V3984" s="30"/>
      <c r="W3984" s="49"/>
      <c r="X3984" s="49"/>
      <c r="Y3984" s="35"/>
      <c r="Z3984" s="35"/>
      <c r="AA3984" s="35"/>
      <c r="AB3984" s="35"/>
      <c r="AC3984" s="35"/>
      <c r="AD3984" s="35"/>
      <c r="AE3984" s="35"/>
      <c r="AF3984" s="35"/>
      <c r="AG3984" s="35"/>
      <c r="AH3984" s="35"/>
      <c r="AI3984" s="35"/>
      <c r="AJ3984" s="35"/>
      <c r="AK3984" s="35"/>
      <c r="AL3984" s="35"/>
    </row>
    <row r="3985">
      <c r="A3985" s="191"/>
      <c r="B3985" s="19" t="s">
        <v>18603</v>
      </c>
      <c r="C3985" s="20" t="s">
        <v>18831</v>
      </c>
      <c r="D3985" s="47"/>
      <c r="E3985" s="22" t="s">
        <v>2195</v>
      </c>
      <c r="F3985" s="22" t="s">
        <v>2196</v>
      </c>
      <c r="G3985" s="23">
        <v>2019.0</v>
      </c>
      <c r="H3985" s="22" t="s">
        <v>2479</v>
      </c>
      <c r="I3985" s="24" t="s">
        <v>18962</v>
      </c>
      <c r="J3985" s="23" t="s">
        <v>31</v>
      </c>
      <c r="K3985" s="22" t="s">
        <v>18963</v>
      </c>
      <c r="L3985" s="36" t="s">
        <v>18964</v>
      </c>
      <c r="M3985" s="36"/>
      <c r="N3985" s="36"/>
      <c r="O3985" s="36"/>
      <c r="P3985" s="37" t="s">
        <v>18965</v>
      </c>
      <c r="Q3985" s="36"/>
      <c r="R3985" s="36"/>
      <c r="S3985" s="36"/>
      <c r="T3985" s="28" t="s">
        <v>18966</v>
      </c>
      <c r="U3985" s="153" t="str">
        <f>HYPERLINK("https://www.ncbi.nlm.nih.gov/pubmed/32010497","PubMed")</f>
        <v>PubMed</v>
      </c>
      <c r="V3985" s="30"/>
      <c r="W3985" s="49"/>
      <c r="X3985" s="49"/>
      <c r="Y3985" s="35"/>
      <c r="Z3985" s="35"/>
      <c r="AA3985" s="35"/>
      <c r="AB3985" s="35"/>
      <c r="AC3985" s="35"/>
      <c r="AD3985" s="35"/>
      <c r="AE3985" s="35"/>
      <c r="AF3985" s="35"/>
      <c r="AG3985" s="35"/>
      <c r="AH3985" s="35"/>
      <c r="AI3985" s="35"/>
      <c r="AJ3985" s="35"/>
      <c r="AK3985" s="35"/>
      <c r="AL3985" s="35"/>
    </row>
    <row r="3986">
      <c r="A3986" s="191"/>
      <c r="B3986" s="19" t="s">
        <v>18603</v>
      </c>
      <c r="C3986" s="20" t="s">
        <v>18831</v>
      </c>
      <c r="D3986" s="47"/>
      <c r="E3986" s="22" t="s">
        <v>18967</v>
      </c>
      <c r="F3986" s="22" t="s">
        <v>237</v>
      </c>
      <c r="G3986" s="23">
        <v>2019.0</v>
      </c>
      <c r="H3986" s="22" t="s">
        <v>207</v>
      </c>
      <c r="I3986" s="24" t="s">
        <v>18968</v>
      </c>
      <c r="J3986" s="23" t="s">
        <v>31</v>
      </c>
      <c r="K3986" s="22" t="s">
        <v>157</v>
      </c>
      <c r="L3986" s="36">
        <v>660.0</v>
      </c>
      <c r="M3986" s="36"/>
      <c r="N3986" s="36"/>
      <c r="O3986" s="36"/>
      <c r="P3986" s="37" t="s">
        <v>2659</v>
      </c>
      <c r="Q3986" s="36"/>
      <c r="R3986" s="36"/>
      <c r="S3986" s="36"/>
      <c r="T3986" s="28" t="s">
        <v>18969</v>
      </c>
      <c r="U3986" s="153" t="str">
        <f>HYPERLINK("https://www.ncbi.nlm.nih.gov/pubmed/31479916","PubMed")</f>
        <v>PubMed</v>
      </c>
      <c r="V3986" s="30"/>
      <c r="W3986" s="49"/>
      <c r="X3986" s="49"/>
      <c r="Y3986" s="35"/>
      <c r="Z3986" s="35"/>
      <c r="AA3986" s="35"/>
      <c r="AB3986" s="35"/>
      <c r="AC3986" s="35"/>
      <c r="AD3986" s="35"/>
      <c r="AE3986" s="35"/>
      <c r="AF3986" s="35"/>
      <c r="AG3986" s="35"/>
      <c r="AH3986" s="35"/>
      <c r="AI3986" s="35"/>
      <c r="AJ3986" s="35"/>
      <c r="AK3986" s="35"/>
      <c r="AL3986" s="35"/>
    </row>
    <row r="3987">
      <c r="A3987" s="191"/>
      <c r="B3987" s="19" t="s">
        <v>18603</v>
      </c>
      <c r="C3987" s="20" t="s">
        <v>18831</v>
      </c>
      <c r="D3987" s="47"/>
      <c r="E3987" s="22" t="s">
        <v>18970</v>
      </c>
      <c r="F3987" s="22" t="s">
        <v>18971</v>
      </c>
      <c r="G3987" s="23">
        <v>2019.0</v>
      </c>
      <c r="H3987" s="22" t="s">
        <v>42</v>
      </c>
      <c r="I3987" s="24" t="s">
        <v>18972</v>
      </c>
      <c r="J3987" s="23" t="s">
        <v>31</v>
      </c>
      <c r="K3987" s="22"/>
      <c r="L3987" s="36">
        <v>808.0</v>
      </c>
      <c r="M3987" s="36"/>
      <c r="N3987" s="36"/>
      <c r="O3987" s="36"/>
      <c r="P3987" s="37"/>
      <c r="Q3987" s="36"/>
      <c r="R3987" s="36"/>
      <c r="S3987" s="36"/>
      <c r="T3987" s="42" t="s">
        <v>18973</v>
      </c>
      <c r="U3987" s="153" t="str">
        <f>HYPERLINK("https://www.ncbi.nlm.nih.gov/pubmed/31339662","PubMed")</f>
        <v>PubMed</v>
      </c>
      <c r="V3987" s="30"/>
      <c r="W3987" s="49"/>
      <c r="X3987" s="49"/>
      <c r="Y3987" s="35"/>
      <c r="Z3987" s="35"/>
      <c r="AA3987" s="35"/>
      <c r="AB3987" s="35"/>
      <c r="AC3987" s="35"/>
      <c r="AD3987" s="35"/>
      <c r="AE3987" s="35"/>
      <c r="AF3987" s="35"/>
      <c r="AG3987" s="35"/>
      <c r="AH3987" s="35"/>
      <c r="AI3987" s="35"/>
      <c r="AJ3987" s="35"/>
      <c r="AK3987" s="35"/>
      <c r="AL3987" s="35"/>
    </row>
    <row r="3988">
      <c r="A3988" s="191"/>
      <c r="B3988" s="19" t="s">
        <v>18603</v>
      </c>
      <c r="C3988" s="20" t="s">
        <v>18831</v>
      </c>
      <c r="D3988" s="47"/>
      <c r="E3988" s="22" t="s">
        <v>18974</v>
      </c>
      <c r="F3988" s="22" t="s">
        <v>1782</v>
      </c>
      <c r="G3988" s="23">
        <v>2019.0</v>
      </c>
      <c r="H3988" s="22" t="s">
        <v>1783</v>
      </c>
      <c r="I3988" s="24" t="s">
        <v>18975</v>
      </c>
      <c r="J3988" s="23" t="s">
        <v>31</v>
      </c>
      <c r="K3988" s="22" t="s">
        <v>157</v>
      </c>
      <c r="L3988" s="36">
        <v>630.0</v>
      </c>
      <c r="M3988" s="36"/>
      <c r="N3988" s="36"/>
      <c r="O3988" s="36"/>
      <c r="P3988" s="37"/>
      <c r="Q3988" s="36"/>
      <c r="R3988" s="36"/>
      <c r="S3988" s="36"/>
      <c r="T3988" s="41" t="s">
        <v>18976</v>
      </c>
      <c r="U3988" s="153" t="str">
        <f>HYPERLINK("https://www.ncbi.nlm.nih.gov/pubmed/31327864","PubMed")</f>
        <v>PubMed</v>
      </c>
      <c r="V3988" s="30"/>
      <c r="W3988" s="49"/>
      <c r="X3988" s="49"/>
      <c r="Y3988" s="35"/>
      <c r="Z3988" s="35"/>
      <c r="AA3988" s="35"/>
      <c r="AB3988" s="35"/>
      <c r="AC3988" s="35"/>
      <c r="AD3988" s="35"/>
      <c r="AE3988" s="35"/>
      <c r="AF3988" s="35"/>
      <c r="AG3988" s="35"/>
      <c r="AH3988" s="35"/>
      <c r="AI3988" s="35"/>
      <c r="AJ3988" s="35"/>
      <c r="AK3988" s="35"/>
      <c r="AL3988" s="35"/>
    </row>
    <row r="3989">
      <c r="A3989" s="191"/>
      <c r="B3989" s="19" t="s">
        <v>18603</v>
      </c>
      <c r="C3989" s="20" t="s">
        <v>18831</v>
      </c>
      <c r="D3989" s="47"/>
      <c r="E3989" s="22" t="s">
        <v>18977</v>
      </c>
      <c r="F3989" s="22" t="s">
        <v>323</v>
      </c>
      <c r="G3989" s="23">
        <v>2019.0</v>
      </c>
      <c r="H3989" s="22" t="s">
        <v>18978</v>
      </c>
      <c r="I3989" s="24" t="s">
        <v>18979</v>
      </c>
      <c r="J3989" s="23" t="s">
        <v>31</v>
      </c>
      <c r="K3989" s="22" t="s">
        <v>18980</v>
      </c>
      <c r="L3989" s="36"/>
      <c r="M3989" s="36"/>
      <c r="N3989" s="36"/>
      <c r="O3989" s="36"/>
      <c r="P3989" s="37"/>
      <c r="Q3989" s="36"/>
      <c r="R3989" s="36"/>
      <c r="S3989" s="36"/>
      <c r="T3989" s="42" t="s">
        <v>18981</v>
      </c>
      <c r="U3989" s="153" t="str">
        <f>HYPERLINK("https://www.ncbi.nlm.nih.gov/pubmed/30855528","PubMed")</f>
        <v>PubMed</v>
      </c>
      <c r="V3989" s="30"/>
      <c r="W3989" s="49"/>
      <c r="X3989" s="49"/>
      <c r="Y3989" s="35"/>
      <c r="Z3989" s="35"/>
      <c r="AA3989" s="35"/>
      <c r="AB3989" s="35"/>
      <c r="AC3989" s="35"/>
      <c r="AD3989" s="35"/>
      <c r="AE3989" s="35"/>
      <c r="AF3989" s="35"/>
      <c r="AG3989" s="35"/>
      <c r="AH3989" s="35"/>
      <c r="AI3989" s="35"/>
      <c r="AJ3989" s="35"/>
      <c r="AK3989" s="35"/>
      <c r="AL3989" s="35"/>
    </row>
    <row r="3990">
      <c r="A3990" s="191"/>
      <c r="B3990" s="19" t="s">
        <v>18603</v>
      </c>
      <c r="C3990" s="20" t="s">
        <v>18831</v>
      </c>
      <c r="D3990" s="47"/>
      <c r="E3990" s="22" t="s">
        <v>3827</v>
      </c>
      <c r="F3990" s="22" t="s">
        <v>5207</v>
      </c>
      <c r="G3990" s="23" t="s">
        <v>76</v>
      </c>
      <c r="H3990" s="22" t="s">
        <v>91</v>
      </c>
      <c r="I3990" s="24" t="s">
        <v>18982</v>
      </c>
      <c r="J3990" s="23" t="s">
        <v>18983</v>
      </c>
      <c r="K3990" s="22"/>
      <c r="L3990" s="167" t="s">
        <v>18984</v>
      </c>
      <c r="M3990" s="44"/>
      <c r="N3990" s="44"/>
      <c r="O3990" s="44"/>
      <c r="P3990" s="44"/>
      <c r="Q3990" s="44"/>
      <c r="R3990" s="44"/>
      <c r="S3990" s="44"/>
      <c r="T3990" s="45"/>
      <c r="U3990" s="153" t="str">
        <f>HYPERLINK("https://www.ncbi.nlm.nih.gov/pubmed/31209588","PubMed")</f>
        <v>PubMed</v>
      </c>
      <c r="V3990" s="30"/>
      <c r="W3990" s="49"/>
      <c r="X3990" s="49"/>
      <c r="Y3990" s="35"/>
      <c r="Z3990" s="35"/>
      <c r="AA3990" s="35"/>
      <c r="AB3990" s="35"/>
      <c r="AC3990" s="35"/>
      <c r="AD3990" s="35"/>
      <c r="AE3990" s="35"/>
      <c r="AF3990" s="35"/>
      <c r="AG3990" s="35"/>
      <c r="AH3990" s="35"/>
      <c r="AI3990" s="35"/>
      <c r="AJ3990" s="35"/>
      <c r="AK3990" s="35"/>
      <c r="AL3990" s="35"/>
    </row>
    <row r="3991">
      <c r="A3991" s="191"/>
      <c r="B3991" s="19" t="s">
        <v>18603</v>
      </c>
      <c r="C3991" s="20" t="s">
        <v>18831</v>
      </c>
      <c r="D3991" s="47"/>
      <c r="E3991" s="22" t="s">
        <v>5058</v>
      </c>
      <c r="F3991" s="22" t="s">
        <v>41</v>
      </c>
      <c r="G3991" s="23">
        <v>2019.0</v>
      </c>
      <c r="H3991" s="22" t="s">
        <v>3950</v>
      </c>
      <c r="I3991" s="24" t="s">
        <v>18985</v>
      </c>
      <c r="J3991" s="23" t="s">
        <v>649</v>
      </c>
      <c r="K3991" s="22"/>
      <c r="L3991" s="167" t="s">
        <v>18986</v>
      </c>
      <c r="M3991" s="44"/>
      <c r="N3991" s="44"/>
      <c r="O3991" s="44"/>
      <c r="P3991" s="44"/>
      <c r="Q3991" s="44"/>
      <c r="R3991" s="44"/>
      <c r="S3991" s="44"/>
      <c r="T3991" s="45"/>
      <c r="U3991" s="153" t="str">
        <f>HYPERLINK("https://www.ncbi.nlm.nih.gov/pubmed/31197302","PubMed")</f>
        <v>PubMed</v>
      </c>
      <c r="V3991" s="30"/>
      <c r="W3991" s="49"/>
      <c r="X3991" s="49"/>
      <c r="Y3991" s="35"/>
      <c r="Z3991" s="35"/>
      <c r="AA3991" s="35"/>
      <c r="AB3991" s="35"/>
      <c r="AC3991" s="35"/>
      <c r="AD3991" s="35"/>
      <c r="AE3991" s="35"/>
      <c r="AF3991" s="35"/>
      <c r="AG3991" s="35"/>
      <c r="AH3991" s="35"/>
      <c r="AI3991" s="35"/>
      <c r="AJ3991" s="35"/>
      <c r="AK3991" s="35"/>
      <c r="AL3991" s="35"/>
    </row>
    <row r="3992">
      <c r="A3992" s="191"/>
      <c r="B3992" s="19" t="s">
        <v>18603</v>
      </c>
      <c r="C3992" s="20" t="s">
        <v>18831</v>
      </c>
      <c r="D3992" s="47"/>
      <c r="E3992" s="22" t="s">
        <v>18987</v>
      </c>
      <c r="F3992" s="22" t="s">
        <v>1943</v>
      </c>
      <c r="G3992" s="23">
        <v>2019.0</v>
      </c>
      <c r="H3992" s="22" t="s">
        <v>18988</v>
      </c>
      <c r="I3992" s="24" t="s">
        <v>18989</v>
      </c>
      <c r="J3992" s="23" t="s">
        <v>31</v>
      </c>
      <c r="K3992" s="22"/>
      <c r="L3992" s="36">
        <v>660.0</v>
      </c>
      <c r="M3992" s="36"/>
      <c r="N3992" s="36" t="s">
        <v>5323</v>
      </c>
      <c r="O3992" s="36"/>
      <c r="P3992" s="37"/>
      <c r="Q3992" s="36"/>
      <c r="R3992" s="36"/>
      <c r="S3992" s="36"/>
      <c r="T3992" s="42" t="s">
        <v>18990</v>
      </c>
      <c r="U3992" s="153" t="str">
        <f>HYPERLINK("https://www.ncbi.nlm.nih.gov/pubmed/30781627","PubMed")</f>
        <v>PubMed</v>
      </c>
      <c r="V3992" s="30"/>
      <c r="W3992" s="49"/>
      <c r="X3992" s="49"/>
      <c r="Y3992" s="35"/>
      <c r="Z3992" s="35"/>
      <c r="AA3992" s="35"/>
      <c r="AB3992" s="35"/>
      <c r="AC3992" s="35"/>
      <c r="AD3992" s="35"/>
      <c r="AE3992" s="35"/>
      <c r="AF3992" s="35"/>
      <c r="AG3992" s="35"/>
      <c r="AH3992" s="35"/>
      <c r="AI3992" s="35"/>
      <c r="AJ3992" s="35"/>
      <c r="AK3992" s="35"/>
      <c r="AL3992" s="35"/>
    </row>
    <row r="3993">
      <c r="A3993" s="191"/>
      <c r="B3993" s="19" t="s">
        <v>18603</v>
      </c>
      <c r="C3993" s="20" t="s">
        <v>18831</v>
      </c>
      <c r="D3993" s="47"/>
      <c r="E3993" s="22" t="s">
        <v>18991</v>
      </c>
      <c r="F3993" s="22" t="s">
        <v>1386</v>
      </c>
      <c r="G3993" s="23">
        <v>2019.0</v>
      </c>
      <c r="H3993" s="22" t="s">
        <v>18992</v>
      </c>
      <c r="I3993" s="24" t="s">
        <v>18993</v>
      </c>
      <c r="J3993" s="23" t="s">
        <v>31</v>
      </c>
      <c r="K3993" s="22" t="s">
        <v>294</v>
      </c>
      <c r="L3993" s="36" t="s">
        <v>18994</v>
      </c>
      <c r="M3993" s="36" t="s">
        <v>18995</v>
      </c>
      <c r="N3993" s="36" t="s">
        <v>18996</v>
      </c>
      <c r="O3993" s="36"/>
      <c r="P3993" s="37" t="s">
        <v>18997</v>
      </c>
      <c r="Q3993" s="36"/>
      <c r="R3993" s="36"/>
      <c r="S3993" s="36"/>
      <c r="T3993" s="28" t="s">
        <v>18998</v>
      </c>
      <c r="U3993" s="153" t="str">
        <f>HYPERLINK("http://www.heraldopenaccess.us/fulltext/Stem-Cells-Research-Development-&amp;-Therapy/The-Effect-of-Low-Intensity-Laser-Irradiation-on-Breast-Cancer-Cells.pdf","HeraldOpenAccess")</f>
        <v>HeraldOpenAccess</v>
      </c>
      <c r="V3993" s="30"/>
      <c r="W3993" s="49"/>
      <c r="X3993" s="49"/>
      <c r="Y3993" s="35"/>
      <c r="Z3993" s="35"/>
      <c r="AA3993" s="35"/>
      <c r="AB3993" s="35"/>
      <c r="AC3993" s="35"/>
      <c r="AD3993" s="35"/>
      <c r="AE3993" s="35"/>
      <c r="AF3993" s="35"/>
      <c r="AG3993" s="35"/>
      <c r="AH3993" s="35"/>
      <c r="AI3993" s="35"/>
      <c r="AJ3993" s="35"/>
      <c r="AK3993" s="35"/>
      <c r="AL3993" s="35"/>
    </row>
    <row r="3994">
      <c r="A3994" s="191"/>
      <c r="B3994" s="19" t="s">
        <v>18603</v>
      </c>
      <c r="C3994" s="20" t="s">
        <v>18831</v>
      </c>
      <c r="D3994" s="47"/>
      <c r="E3994" s="22" t="s">
        <v>18999</v>
      </c>
      <c r="F3994" s="22" t="s">
        <v>14223</v>
      </c>
      <c r="G3994" s="23">
        <v>2018.0</v>
      </c>
      <c r="H3994" s="22" t="s">
        <v>19000</v>
      </c>
      <c r="I3994" s="24" t="s">
        <v>19001</v>
      </c>
      <c r="J3994" s="23" t="s">
        <v>31</v>
      </c>
      <c r="K3994" s="22" t="s">
        <v>19002</v>
      </c>
      <c r="L3994" s="36">
        <v>465.0</v>
      </c>
      <c r="M3994" s="36"/>
      <c r="N3994" s="36" t="s">
        <v>2325</v>
      </c>
      <c r="O3994" s="36"/>
      <c r="P3994" s="37"/>
      <c r="Q3994" s="36"/>
      <c r="R3994" s="36"/>
      <c r="S3994" s="36"/>
      <c r="T3994" s="28" t="s">
        <v>19003</v>
      </c>
      <c r="U3994" s="38" t="s">
        <v>61</v>
      </c>
      <c r="V3994" s="30"/>
      <c r="W3994" s="49"/>
      <c r="X3994" s="49"/>
      <c r="Y3994" s="35"/>
      <c r="Z3994" s="35"/>
      <c r="AA3994" s="35"/>
      <c r="AB3994" s="35"/>
      <c r="AC3994" s="35"/>
      <c r="AD3994" s="35"/>
      <c r="AE3994" s="35"/>
      <c r="AF3994" s="35"/>
      <c r="AG3994" s="35"/>
      <c r="AH3994" s="35"/>
      <c r="AI3994" s="35"/>
      <c r="AJ3994" s="35"/>
      <c r="AK3994" s="35"/>
      <c r="AL3994" s="35"/>
    </row>
    <row r="3995">
      <c r="A3995" s="191"/>
      <c r="B3995" s="19" t="s">
        <v>18603</v>
      </c>
      <c r="C3995" s="20" t="s">
        <v>18831</v>
      </c>
      <c r="D3995" s="47"/>
      <c r="E3995" s="22" t="s">
        <v>19004</v>
      </c>
      <c r="F3995" s="22" t="s">
        <v>2346</v>
      </c>
      <c r="G3995" s="23">
        <v>2018.0</v>
      </c>
      <c r="H3995" s="22" t="s">
        <v>15174</v>
      </c>
      <c r="I3995" s="24" t="s">
        <v>19005</v>
      </c>
      <c r="J3995" s="23" t="s">
        <v>31</v>
      </c>
      <c r="K3995" s="22"/>
      <c r="L3995" s="36">
        <v>835.0</v>
      </c>
      <c r="M3995" s="36"/>
      <c r="N3995" s="36"/>
      <c r="O3995" s="36"/>
      <c r="P3995" s="37" t="s">
        <v>1263</v>
      </c>
      <c r="Q3995" s="36"/>
      <c r="R3995" s="36"/>
      <c r="S3995" s="36"/>
      <c r="T3995" s="28" t="s">
        <v>19006</v>
      </c>
      <c r="U3995" s="153" t="str">
        <f>HYPERLINK("https://www.ncbi.nlm.nih.gov/pubmed/30633244","PubMed")</f>
        <v>PubMed</v>
      </c>
      <c r="V3995" s="30"/>
      <c r="W3995" s="49"/>
      <c r="X3995" s="49"/>
      <c r="Y3995" s="35"/>
      <c r="Z3995" s="35"/>
      <c r="AA3995" s="35"/>
      <c r="AB3995" s="35"/>
      <c r="AC3995" s="35"/>
      <c r="AD3995" s="35"/>
      <c r="AE3995" s="35"/>
      <c r="AF3995" s="35"/>
      <c r="AG3995" s="35"/>
      <c r="AH3995" s="35"/>
      <c r="AI3995" s="35"/>
      <c r="AJ3995" s="35"/>
      <c r="AK3995" s="35"/>
      <c r="AL3995" s="35"/>
    </row>
    <row r="3996">
      <c r="A3996" s="191"/>
      <c r="B3996" s="19" t="s">
        <v>18603</v>
      </c>
      <c r="C3996" s="20" t="s">
        <v>18831</v>
      </c>
      <c r="D3996" s="47"/>
      <c r="E3996" s="22" t="s">
        <v>19007</v>
      </c>
      <c r="F3996" s="22" t="s">
        <v>6207</v>
      </c>
      <c r="G3996" s="23">
        <v>2018.0</v>
      </c>
      <c r="H3996" s="22" t="s">
        <v>18691</v>
      </c>
      <c r="I3996" s="24" t="s">
        <v>19008</v>
      </c>
      <c r="J3996" s="23" t="s">
        <v>31</v>
      </c>
      <c r="K3996" s="22" t="s">
        <v>19009</v>
      </c>
      <c r="L3996" s="36">
        <v>830.0</v>
      </c>
      <c r="M3996" s="36">
        <v>150.0</v>
      </c>
      <c r="N3996" s="36"/>
      <c r="O3996" s="36"/>
      <c r="P3996" s="37" t="s">
        <v>1819</v>
      </c>
      <c r="Q3996" s="36"/>
      <c r="R3996" s="36"/>
      <c r="S3996" s="36"/>
      <c r="T3996" s="28" t="s">
        <v>19010</v>
      </c>
      <c r="U3996" s="153" t="str">
        <f>HYPERLINK("https://www.ncbi.nlm.nih.gov/pubmed/30211121","PubMed")</f>
        <v>PubMed</v>
      </c>
      <c r="V3996" s="30"/>
      <c r="W3996" s="49"/>
      <c r="X3996" s="49"/>
      <c r="Y3996" s="35"/>
      <c r="Z3996" s="35"/>
      <c r="AA3996" s="35"/>
      <c r="AB3996" s="35"/>
      <c r="AC3996" s="35"/>
      <c r="AD3996" s="35"/>
      <c r="AE3996" s="35"/>
      <c r="AF3996" s="35"/>
      <c r="AG3996" s="35"/>
      <c r="AH3996" s="35"/>
      <c r="AI3996" s="35"/>
      <c r="AJ3996" s="35"/>
      <c r="AK3996" s="35"/>
      <c r="AL3996" s="35"/>
    </row>
    <row r="3997">
      <c r="A3997" s="191"/>
      <c r="B3997" s="19" t="s">
        <v>18603</v>
      </c>
      <c r="C3997" s="20" t="s">
        <v>18831</v>
      </c>
      <c r="D3997" s="47"/>
      <c r="E3997" s="22" t="s">
        <v>19011</v>
      </c>
      <c r="F3997" s="22" t="s">
        <v>41</v>
      </c>
      <c r="G3997" s="23">
        <v>2018.0</v>
      </c>
      <c r="H3997" s="22" t="s">
        <v>91</v>
      </c>
      <c r="I3997" s="24" t="s">
        <v>19012</v>
      </c>
      <c r="J3997" s="23" t="s">
        <v>31</v>
      </c>
      <c r="K3997" s="22"/>
      <c r="L3997" s="36" t="s">
        <v>19013</v>
      </c>
      <c r="M3997" s="36" t="s">
        <v>19014</v>
      </c>
      <c r="N3997" s="36" t="s">
        <v>19015</v>
      </c>
      <c r="O3997" s="36"/>
      <c r="P3997" s="37" t="s">
        <v>19016</v>
      </c>
      <c r="Q3997" s="36" t="s">
        <v>19017</v>
      </c>
      <c r="R3997" s="36"/>
      <c r="S3997" s="36">
        <v>1.0</v>
      </c>
      <c r="T3997" s="28" t="s">
        <v>19018</v>
      </c>
      <c r="U3997" s="153" t="str">
        <f>HYPERLINK("https://www.ncbi.nlm.nih.gov/pubmed/30232646","PubMed")</f>
        <v>PubMed</v>
      </c>
      <c r="V3997" s="30"/>
      <c r="W3997" s="49"/>
      <c r="X3997" s="49"/>
      <c r="Y3997" s="35"/>
      <c r="Z3997" s="35"/>
      <c r="AA3997" s="35"/>
      <c r="AB3997" s="35"/>
      <c r="AC3997" s="35"/>
      <c r="AD3997" s="35"/>
      <c r="AE3997" s="35"/>
      <c r="AF3997" s="35"/>
      <c r="AG3997" s="35"/>
      <c r="AH3997" s="35"/>
      <c r="AI3997" s="35"/>
      <c r="AJ3997" s="35"/>
      <c r="AK3997" s="35"/>
      <c r="AL3997" s="35"/>
    </row>
    <row r="3998">
      <c r="A3998" s="191"/>
      <c r="B3998" s="19" t="s">
        <v>18603</v>
      </c>
      <c r="C3998" s="20" t="s">
        <v>18831</v>
      </c>
      <c r="D3998" s="47"/>
      <c r="E3998" s="22" t="s">
        <v>15555</v>
      </c>
      <c r="F3998" s="22" t="s">
        <v>993</v>
      </c>
      <c r="G3998" s="23">
        <v>2017.0</v>
      </c>
      <c r="H3998" s="22" t="s">
        <v>967</v>
      </c>
      <c r="I3998" s="24" t="s">
        <v>19019</v>
      </c>
      <c r="J3998" s="23" t="s">
        <v>31</v>
      </c>
      <c r="K3998" s="22" t="s">
        <v>294</v>
      </c>
      <c r="L3998" s="36" t="s">
        <v>112</v>
      </c>
      <c r="M3998" s="36"/>
      <c r="N3998" s="36"/>
      <c r="O3998" s="36"/>
      <c r="P3998" s="37"/>
      <c r="Q3998" s="36"/>
      <c r="R3998" s="36"/>
      <c r="S3998" s="36"/>
      <c r="T3998" s="42" t="s">
        <v>19020</v>
      </c>
      <c r="U3998" s="29" t="s">
        <v>2360</v>
      </c>
      <c r="V3998" s="30"/>
      <c r="W3998" s="49"/>
      <c r="X3998" s="49"/>
      <c r="Y3998" s="35"/>
      <c r="Z3998" s="35"/>
      <c r="AA3998" s="35"/>
      <c r="AB3998" s="35"/>
      <c r="AC3998" s="35"/>
      <c r="AD3998" s="35"/>
      <c r="AE3998" s="35"/>
      <c r="AF3998" s="35"/>
      <c r="AG3998" s="35"/>
      <c r="AH3998" s="35"/>
      <c r="AI3998" s="35"/>
      <c r="AJ3998" s="35"/>
      <c r="AK3998" s="35"/>
      <c r="AL3998" s="35"/>
    </row>
    <row r="3999">
      <c r="A3999" s="191"/>
      <c r="B3999" s="19" t="s">
        <v>18603</v>
      </c>
      <c r="C3999" s="20" t="s">
        <v>18831</v>
      </c>
      <c r="D3999" s="47"/>
      <c r="E3999" s="22" t="s">
        <v>19021</v>
      </c>
      <c r="F3999" s="22" t="s">
        <v>19022</v>
      </c>
      <c r="G3999" s="23">
        <v>2017.0</v>
      </c>
      <c r="H3999" s="22" t="s">
        <v>19023</v>
      </c>
      <c r="I3999" s="24" t="s">
        <v>19024</v>
      </c>
      <c r="J3999" s="23" t="s">
        <v>31</v>
      </c>
      <c r="K3999" s="22" t="s">
        <v>19025</v>
      </c>
      <c r="L3999" s="36" t="s">
        <v>19026</v>
      </c>
      <c r="M3999" s="36"/>
      <c r="N3999" s="36"/>
      <c r="O3999" s="36"/>
      <c r="P3999" s="37"/>
      <c r="Q3999" s="36"/>
      <c r="R3999" s="36"/>
      <c r="S3999" s="36"/>
      <c r="T3999" s="28" t="s">
        <v>19027</v>
      </c>
      <c r="U3999" s="29" t="s">
        <v>61</v>
      </c>
      <c r="V3999" s="30"/>
      <c r="W3999" s="49"/>
      <c r="X3999" s="49"/>
      <c r="Y3999" s="35"/>
      <c r="Z3999" s="35"/>
      <c r="AA3999" s="35"/>
      <c r="AB3999" s="35"/>
      <c r="AC3999" s="35"/>
      <c r="AD3999" s="35"/>
      <c r="AE3999" s="35"/>
      <c r="AF3999" s="35"/>
      <c r="AG3999" s="35"/>
      <c r="AH3999" s="35"/>
      <c r="AI3999" s="35"/>
      <c r="AJ3999" s="35"/>
      <c r="AK3999" s="35"/>
      <c r="AL3999" s="35"/>
    </row>
    <row r="4000">
      <c r="A4000" s="191"/>
      <c r="B4000" s="19" t="s">
        <v>18603</v>
      </c>
      <c r="C4000" s="20" t="s">
        <v>18831</v>
      </c>
      <c r="D4000" s="47"/>
      <c r="E4000" s="22" t="s">
        <v>6387</v>
      </c>
      <c r="F4000" s="22" t="s">
        <v>4943</v>
      </c>
      <c r="G4000" s="23">
        <v>2017.0</v>
      </c>
      <c r="H4000" s="22" t="s">
        <v>5009</v>
      </c>
      <c r="I4000" s="24" t="s">
        <v>19028</v>
      </c>
      <c r="J4000" s="23" t="s">
        <v>209</v>
      </c>
      <c r="K4000" s="22" t="s">
        <v>11295</v>
      </c>
      <c r="L4000" s="36">
        <v>450.0</v>
      </c>
      <c r="M4000" s="36"/>
      <c r="N4000" s="36" t="s">
        <v>19029</v>
      </c>
      <c r="O4000" s="36"/>
      <c r="P4000" s="37"/>
      <c r="Q4000" s="36"/>
      <c r="R4000" s="36"/>
      <c r="S4000" s="36"/>
      <c r="T4000" s="28" t="s">
        <v>19030</v>
      </c>
      <c r="U4000" s="153" t="str">
        <f>HYPERLINK("https://www.ncbi.nlm.nih.gov/pubmed/28098340","PubMed")</f>
        <v>PubMed</v>
      </c>
      <c r="V4000" s="30"/>
      <c r="W4000" s="49"/>
      <c r="X4000" s="49"/>
      <c r="Y4000" s="35"/>
      <c r="Z4000" s="35"/>
      <c r="AA4000" s="35"/>
      <c r="AB4000" s="35"/>
      <c r="AC4000" s="35"/>
      <c r="AD4000" s="35"/>
      <c r="AE4000" s="35"/>
      <c r="AF4000" s="35"/>
      <c r="AG4000" s="35"/>
      <c r="AH4000" s="35"/>
      <c r="AI4000" s="35"/>
      <c r="AJ4000" s="35"/>
      <c r="AK4000" s="35"/>
      <c r="AL4000" s="35"/>
    </row>
    <row r="4001">
      <c r="A4001" s="191"/>
      <c r="B4001" s="19" t="s">
        <v>18603</v>
      </c>
      <c r="C4001" s="20" t="s">
        <v>18831</v>
      </c>
      <c r="D4001" s="47"/>
      <c r="E4001" s="22" t="s">
        <v>18828</v>
      </c>
      <c r="F4001" s="22" t="s">
        <v>323</v>
      </c>
      <c r="G4001" s="23">
        <v>2017.0</v>
      </c>
      <c r="H4001" s="22" t="s">
        <v>42</v>
      </c>
      <c r="I4001" s="24" t="s">
        <v>19031</v>
      </c>
      <c r="J4001" s="23" t="s">
        <v>31</v>
      </c>
      <c r="K4001" s="22" t="s">
        <v>19032</v>
      </c>
      <c r="L4001" s="36">
        <v>685.0</v>
      </c>
      <c r="M4001" s="36"/>
      <c r="N4001" s="36"/>
      <c r="O4001" s="36"/>
      <c r="P4001" s="37"/>
      <c r="Q4001" s="36"/>
      <c r="R4001" s="36"/>
      <c r="S4001" s="36"/>
      <c r="T4001" s="28" t="s">
        <v>19033</v>
      </c>
      <c r="U4001" s="153" t="str">
        <f>HYPERLINK("https://www.ncbi.nlm.nih.gov/pubmed/28464474","PubMed")</f>
        <v>PubMed</v>
      </c>
      <c r="V4001" s="30"/>
      <c r="W4001" s="49"/>
      <c r="X4001" s="49"/>
      <c r="Y4001" s="35"/>
      <c r="Z4001" s="35"/>
      <c r="AA4001" s="35"/>
      <c r="AB4001" s="35"/>
      <c r="AC4001" s="35"/>
      <c r="AD4001" s="35"/>
      <c r="AE4001" s="35"/>
      <c r="AF4001" s="35"/>
      <c r="AG4001" s="35"/>
      <c r="AH4001" s="35"/>
      <c r="AI4001" s="35"/>
      <c r="AJ4001" s="35"/>
      <c r="AK4001" s="35"/>
      <c r="AL4001" s="35"/>
    </row>
    <row r="4002">
      <c r="A4002" s="191"/>
      <c r="B4002" s="19" t="s">
        <v>18603</v>
      </c>
      <c r="C4002" s="20" t="s">
        <v>18831</v>
      </c>
      <c r="D4002" s="47"/>
      <c r="E4002" s="22" t="s">
        <v>19034</v>
      </c>
      <c r="F4002" s="22" t="s">
        <v>19035</v>
      </c>
      <c r="G4002" s="23" t="s">
        <v>90</v>
      </c>
      <c r="H4002" s="22" t="s">
        <v>19036</v>
      </c>
      <c r="I4002" s="24" t="s">
        <v>19037</v>
      </c>
      <c r="J4002" s="23" t="s">
        <v>31</v>
      </c>
      <c r="K4002" s="22" t="s">
        <v>19038</v>
      </c>
      <c r="L4002" s="36">
        <v>1064.0</v>
      </c>
      <c r="M4002" s="36"/>
      <c r="N4002" s="36"/>
      <c r="O4002" s="36"/>
      <c r="P4002" s="37"/>
      <c r="Q4002" s="36"/>
      <c r="R4002" s="36"/>
      <c r="S4002" s="36" t="s">
        <v>103</v>
      </c>
      <c r="T4002" s="41" t="s">
        <v>19039</v>
      </c>
      <c r="U4002" s="153" t="str">
        <f>HYPERLINK("https://www.ncbi.nlm.nih.gov/pubmed/29160001","PubMed")</f>
        <v>PubMed</v>
      </c>
      <c r="V4002" s="30"/>
      <c r="W4002" s="49"/>
      <c r="X4002" s="49"/>
      <c r="Y4002" s="35"/>
      <c r="Z4002" s="35"/>
      <c r="AA4002" s="35"/>
      <c r="AB4002" s="35"/>
      <c r="AC4002" s="35"/>
      <c r="AD4002" s="35"/>
      <c r="AE4002" s="35"/>
      <c r="AF4002" s="35"/>
      <c r="AG4002" s="35"/>
      <c r="AH4002" s="35"/>
      <c r="AI4002" s="35"/>
      <c r="AJ4002" s="35"/>
      <c r="AK4002" s="35"/>
      <c r="AL4002" s="35"/>
    </row>
    <row r="4003">
      <c r="A4003" s="1"/>
      <c r="B4003" s="19" t="s">
        <v>18603</v>
      </c>
      <c r="C4003" s="20" t="s">
        <v>18831</v>
      </c>
      <c r="D4003" s="47"/>
      <c r="E4003" s="22" t="s">
        <v>18991</v>
      </c>
      <c r="F4003" s="22" t="s">
        <v>19040</v>
      </c>
      <c r="G4003" s="23">
        <v>2017.0</v>
      </c>
      <c r="H4003" s="22" t="s">
        <v>19041</v>
      </c>
      <c r="I4003" s="24" t="s">
        <v>19042</v>
      </c>
      <c r="J4003" s="22" t="s">
        <v>125</v>
      </c>
      <c r="K4003" s="23"/>
      <c r="L4003" s="105" t="s">
        <v>19043</v>
      </c>
      <c r="M4003" s="44"/>
      <c r="N4003" s="44"/>
      <c r="O4003" s="44"/>
      <c r="P4003" s="44"/>
      <c r="Q4003" s="44"/>
      <c r="R4003" s="44"/>
      <c r="S4003" s="44"/>
      <c r="T4003" s="45"/>
      <c r="U4003" s="38" t="str">
        <f>HYPERLINK("https://www.ncbi.nlm.nih.gov/pubmed/28653884","PubMed")</f>
        <v>PubMed</v>
      </c>
      <c r="V4003" s="30"/>
      <c r="W4003" s="49"/>
      <c r="X4003" s="49"/>
      <c r="Y4003" s="35"/>
      <c r="Z4003" s="35"/>
      <c r="AA4003" s="35"/>
      <c r="AB4003" s="35"/>
      <c r="AC4003" s="35"/>
      <c r="AD4003" s="35"/>
      <c r="AE4003" s="35"/>
      <c r="AF4003" s="35"/>
      <c r="AG4003" s="35"/>
      <c r="AH4003" s="35"/>
      <c r="AI4003" s="35"/>
      <c r="AJ4003" s="35"/>
      <c r="AK4003" s="35"/>
      <c r="AL4003" s="35"/>
    </row>
    <row r="4004">
      <c r="A4004" s="1"/>
      <c r="B4004" s="19" t="s">
        <v>18603</v>
      </c>
      <c r="C4004" s="20" t="s">
        <v>18831</v>
      </c>
      <c r="D4004" s="47"/>
      <c r="E4004" s="22" t="s">
        <v>1662</v>
      </c>
      <c r="F4004" s="22" t="s">
        <v>1386</v>
      </c>
      <c r="G4004" s="23">
        <v>2016.0</v>
      </c>
      <c r="H4004" s="22" t="s">
        <v>658</v>
      </c>
      <c r="I4004" s="24" t="s">
        <v>19044</v>
      </c>
      <c r="J4004" s="23" t="s">
        <v>31</v>
      </c>
      <c r="K4004" s="23" t="s">
        <v>19045</v>
      </c>
      <c r="L4004" s="36">
        <v>636.0</v>
      </c>
      <c r="M4004" s="36">
        <v>85.0</v>
      </c>
      <c r="N4004" s="36"/>
      <c r="O4004" s="36"/>
      <c r="P4004" s="37" t="s">
        <v>760</v>
      </c>
      <c r="Q4004" s="36"/>
      <c r="R4004" s="36"/>
      <c r="S4004" s="36"/>
      <c r="T4004" s="28" t="s">
        <v>19046</v>
      </c>
      <c r="U4004" s="38" t="str">
        <f>HYPERLINK("https://www.ncbi.nlm.nih.gov/pubmed/26690309","PubMed")</f>
        <v>PubMed</v>
      </c>
      <c r="V4004" s="30"/>
      <c r="W4004" s="49"/>
      <c r="X4004" s="49"/>
      <c r="Y4004" s="35"/>
      <c r="Z4004" s="35"/>
      <c r="AA4004" s="35"/>
      <c r="AB4004" s="35"/>
      <c r="AC4004" s="35"/>
      <c r="AD4004" s="35"/>
      <c r="AE4004" s="35"/>
      <c r="AF4004" s="35"/>
      <c r="AG4004" s="35"/>
      <c r="AH4004" s="35"/>
      <c r="AI4004" s="35"/>
      <c r="AJ4004" s="35"/>
      <c r="AK4004" s="35"/>
      <c r="AL4004" s="35"/>
    </row>
    <row r="4005">
      <c r="A4005" s="1" t="s">
        <v>2</v>
      </c>
      <c r="B4005" s="19" t="s">
        <v>18603</v>
      </c>
      <c r="C4005" s="20" t="s">
        <v>18831</v>
      </c>
      <c r="D4005" s="47"/>
      <c r="E4005" s="22" t="s">
        <v>19047</v>
      </c>
      <c r="F4005" s="22" t="s">
        <v>2407</v>
      </c>
      <c r="G4005" s="23">
        <v>2016.0</v>
      </c>
      <c r="H4005" s="22" t="s">
        <v>19048</v>
      </c>
      <c r="I4005" s="24" t="s">
        <v>19049</v>
      </c>
      <c r="J4005" s="23" t="s">
        <v>31</v>
      </c>
      <c r="K4005" s="23"/>
      <c r="L4005" s="36">
        <v>808.0</v>
      </c>
      <c r="M4005" s="36"/>
      <c r="N4005" s="36"/>
      <c r="O4005" s="36"/>
      <c r="P4005" s="37" t="s">
        <v>19050</v>
      </c>
      <c r="Q4005" s="36"/>
      <c r="R4005" s="36"/>
      <c r="S4005" s="36"/>
      <c r="T4005" s="28" t="s">
        <v>19051</v>
      </c>
      <c r="U4005" s="38" t="str">
        <f>HYPERLINK("https://open.bu.edu/handle/2144/16719","OpenBU")</f>
        <v>OpenBU</v>
      </c>
      <c r="V4005" s="30"/>
      <c r="W4005" s="49"/>
      <c r="X4005" s="49"/>
      <c r="Y4005" s="35"/>
      <c r="Z4005" s="35"/>
      <c r="AA4005" s="35"/>
      <c r="AB4005" s="35"/>
      <c r="AC4005" s="35"/>
      <c r="AD4005" s="35"/>
      <c r="AE4005" s="35"/>
      <c r="AF4005" s="35"/>
      <c r="AG4005" s="35"/>
      <c r="AH4005" s="35"/>
      <c r="AI4005" s="35"/>
      <c r="AJ4005" s="35"/>
      <c r="AK4005" s="35"/>
      <c r="AL4005" s="35"/>
    </row>
    <row r="4006">
      <c r="A4006" s="1"/>
      <c r="B4006" s="19" t="s">
        <v>18603</v>
      </c>
      <c r="C4006" s="20" t="s">
        <v>18831</v>
      </c>
      <c r="D4006" s="47"/>
      <c r="E4006" s="22" t="s">
        <v>19052</v>
      </c>
      <c r="F4006" s="22" t="s">
        <v>41</v>
      </c>
      <c r="G4006" s="23">
        <v>2016.0</v>
      </c>
      <c r="H4006" s="22" t="s">
        <v>42</v>
      </c>
      <c r="I4006" s="24" t="s">
        <v>19053</v>
      </c>
      <c r="J4006" s="23" t="s">
        <v>31</v>
      </c>
      <c r="K4006" s="23" t="s">
        <v>19054</v>
      </c>
      <c r="L4006" s="36">
        <v>660.0</v>
      </c>
      <c r="M4006" s="36">
        <v>40.0</v>
      </c>
      <c r="N4006" s="36"/>
      <c r="O4006" s="36" t="s">
        <v>19055</v>
      </c>
      <c r="P4006" s="37" t="s">
        <v>19056</v>
      </c>
      <c r="Q4006" s="36" t="s">
        <v>19057</v>
      </c>
      <c r="R4006" s="36" t="s">
        <v>19056</v>
      </c>
      <c r="S4006" s="36"/>
      <c r="T4006" s="28" t="s">
        <v>19058</v>
      </c>
      <c r="U4006" s="38" t="str">
        <f>HYPERLINK("https://www.ncbi.nlm.nih.gov/pubmed/27322660","PubMed")</f>
        <v>PubMed</v>
      </c>
      <c r="V4006" s="30"/>
      <c r="W4006" s="49"/>
      <c r="X4006" s="49"/>
      <c r="Y4006" s="35"/>
      <c r="Z4006" s="35"/>
      <c r="AA4006" s="35"/>
      <c r="AB4006" s="35"/>
      <c r="AC4006" s="35"/>
      <c r="AD4006" s="35"/>
      <c r="AE4006" s="35"/>
      <c r="AF4006" s="35"/>
      <c r="AG4006" s="35"/>
      <c r="AH4006" s="35"/>
      <c r="AI4006" s="35"/>
      <c r="AJ4006" s="35"/>
      <c r="AK4006" s="35"/>
      <c r="AL4006" s="35"/>
    </row>
    <row r="4007">
      <c r="A4007" s="1"/>
      <c r="B4007" s="19" t="s">
        <v>18603</v>
      </c>
      <c r="C4007" s="20" t="s">
        <v>18831</v>
      </c>
      <c r="D4007" s="47"/>
      <c r="E4007" s="22" t="s">
        <v>19059</v>
      </c>
      <c r="F4007" s="22" t="s">
        <v>5157</v>
      </c>
      <c r="G4007" s="23">
        <v>2016.0</v>
      </c>
      <c r="H4007" s="22" t="s">
        <v>19060</v>
      </c>
      <c r="I4007" s="24" t="s">
        <v>19061</v>
      </c>
      <c r="J4007" s="23" t="s">
        <v>31</v>
      </c>
      <c r="K4007" s="23" t="s">
        <v>19062</v>
      </c>
      <c r="L4007" s="36" t="s">
        <v>19063</v>
      </c>
      <c r="M4007" s="36"/>
      <c r="N4007" s="36"/>
      <c r="O4007" s="36"/>
      <c r="P4007" s="37"/>
      <c r="Q4007" s="36"/>
      <c r="R4007" s="36"/>
      <c r="S4007" s="36"/>
      <c r="T4007" s="28" t="s">
        <v>19064</v>
      </c>
      <c r="U4007" s="38" t="str">
        <f>HYPERLINK("https://www.ncbi.nlm.nih.gov/pubmed/26002595","PubMed")</f>
        <v>PubMed</v>
      </c>
      <c r="V4007" s="30"/>
      <c r="W4007" s="49"/>
      <c r="X4007" s="49"/>
      <c r="Y4007" s="35"/>
      <c r="Z4007" s="35"/>
      <c r="AA4007" s="35"/>
      <c r="AB4007" s="35"/>
      <c r="AC4007" s="35"/>
      <c r="AD4007" s="35"/>
      <c r="AE4007" s="35"/>
      <c r="AF4007" s="35"/>
      <c r="AG4007" s="35"/>
      <c r="AH4007" s="35"/>
      <c r="AI4007" s="35"/>
      <c r="AJ4007" s="35"/>
      <c r="AK4007" s="35"/>
      <c r="AL4007" s="35"/>
    </row>
    <row r="4008">
      <c r="A4008" s="1"/>
      <c r="B4008" s="19" t="s">
        <v>18603</v>
      </c>
      <c r="C4008" s="20" t="s">
        <v>18831</v>
      </c>
      <c r="D4008" s="47"/>
      <c r="E4008" s="22" t="s">
        <v>19065</v>
      </c>
      <c r="F4008" s="22" t="s">
        <v>19066</v>
      </c>
      <c r="G4008" s="23">
        <v>2016.0</v>
      </c>
      <c r="H4008" s="22" t="s">
        <v>8177</v>
      </c>
      <c r="I4008" s="24" t="s">
        <v>19067</v>
      </c>
      <c r="J4008" s="23" t="s">
        <v>31</v>
      </c>
      <c r="K4008" s="23"/>
      <c r="L4008" s="36">
        <v>633.0</v>
      </c>
      <c r="M4008" s="36">
        <v>35.0</v>
      </c>
      <c r="N4008" s="36" t="s">
        <v>9755</v>
      </c>
      <c r="O4008" s="36"/>
      <c r="P4008" s="37" t="s">
        <v>19068</v>
      </c>
      <c r="Q4008" s="36" t="s">
        <v>675</v>
      </c>
      <c r="R4008" s="36" t="s">
        <v>19069</v>
      </c>
      <c r="S4008" s="36"/>
      <c r="T4008" s="28" t="s">
        <v>19070</v>
      </c>
      <c r="U4008" s="38" t="str">
        <f>HYPERLINK("https://www.ncbi.nlm.nih.gov/pubmed/26670917","PubMed")</f>
        <v>PubMed</v>
      </c>
      <c r="V4008" s="30"/>
      <c r="W4008" s="49"/>
      <c r="X4008" s="49"/>
      <c r="Y4008" s="35"/>
      <c r="Z4008" s="35"/>
      <c r="AA4008" s="35"/>
      <c r="AB4008" s="35"/>
      <c r="AC4008" s="35"/>
      <c r="AD4008" s="35"/>
      <c r="AE4008" s="35"/>
      <c r="AF4008" s="35"/>
      <c r="AG4008" s="35"/>
      <c r="AH4008" s="35"/>
      <c r="AI4008" s="35"/>
      <c r="AJ4008" s="35"/>
      <c r="AK4008" s="35"/>
      <c r="AL4008" s="35"/>
    </row>
    <row r="4009">
      <c r="A4009" s="1"/>
      <c r="B4009" s="19" t="s">
        <v>18603</v>
      </c>
      <c r="C4009" s="20" t="s">
        <v>18831</v>
      </c>
      <c r="D4009" s="47"/>
      <c r="E4009" s="22" t="s">
        <v>19071</v>
      </c>
      <c r="F4009" s="22" t="s">
        <v>1046</v>
      </c>
      <c r="G4009" s="23">
        <v>2016.0</v>
      </c>
      <c r="H4009" s="22" t="s">
        <v>91</v>
      </c>
      <c r="I4009" s="24" t="s">
        <v>19072</v>
      </c>
      <c r="J4009" s="23" t="s">
        <v>31</v>
      </c>
      <c r="K4009" s="23" t="s">
        <v>19073</v>
      </c>
      <c r="L4009" s="36">
        <v>675.0</v>
      </c>
      <c r="M4009" s="36">
        <v>80.0</v>
      </c>
      <c r="N4009" s="36"/>
      <c r="O4009" s="36"/>
      <c r="P4009" s="37" t="s">
        <v>19074</v>
      </c>
      <c r="Q4009" s="36" t="s">
        <v>19075</v>
      </c>
      <c r="R4009" s="36">
        <v>60.0</v>
      </c>
      <c r="S4009" s="36">
        <v>1.0</v>
      </c>
      <c r="T4009" s="28" t="s">
        <v>19076</v>
      </c>
      <c r="U4009" s="38" t="str">
        <f>HYPERLINK("https://www.ncbi.nlm.nih.gov/pubmed/27365110","PubMed")</f>
        <v>PubMed</v>
      </c>
      <c r="V4009" s="30"/>
      <c r="W4009" s="49"/>
      <c r="X4009" s="49"/>
      <c r="Y4009" s="35"/>
      <c r="Z4009" s="35"/>
      <c r="AA4009" s="35"/>
      <c r="AB4009" s="35"/>
      <c r="AC4009" s="35"/>
      <c r="AD4009" s="35"/>
      <c r="AE4009" s="35"/>
      <c r="AF4009" s="35"/>
      <c r="AG4009" s="35"/>
      <c r="AH4009" s="35"/>
      <c r="AI4009" s="35"/>
      <c r="AJ4009" s="35"/>
      <c r="AK4009" s="35"/>
      <c r="AL4009" s="35"/>
    </row>
    <row r="4010">
      <c r="A4010" s="1"/>
      <c r="B4010" s="19" t="s">
        <v>18603</v>
      </c>
      <c r="C4010" s="20" t="s">
        <v>18831</v>
      </c>
      <c r="D4010" s="47"/>
      <c r="E4010" s="22" t="s">
        <v>19077</v>
      </c>
      <c r="F4010" s="22" t="s">
        <v>17982</v>
      </c>
      <c r="G4010" s="23">
        <v>2016.0</v>
      </c>
      <c r="H4010" s="22" t="s">
        <v>658</v>
      </c>
      <c r="I4010" s="24" t="s">
        <v>19078</v>
      </c>
      <c r="J4010" s="23" t="s">
        <v>31</v>
      </c>
      <c r="K4010" s="23" t="s">
        <v>56</v>
      </c>
      <c r="L4010" s="36" t="s">
        <v>4772</v>
      </c>
      <c r="M4010" s="36"/>
      <c r="N4010" s="36"/>
      <c r="O4010" s="36"/>
      <c r="P4010" s="37" t="s">
        <v>19079</v>
      </c>
      <c r="Q4010" s="36"/>
      <c r="R4010" s="36"/>
      <c r="S4010" s="36"/>
      <c r="T4010" s="28" t="s">
        <v>19080</v>
      </c>
      <c r="U4010" s="38" t="str">
        <f>HYPERLINK("https://www.ncbi.nlm.nih.gov/pubmed/27575833","PubMed")</f>
        <v>PubMed</v>
      </c>
      <c r="V4010" s="30"/>
      <c r="W4010" s="49"/>
      <c r="X4010" s="49"/>
      <c r="Y4010" s="35"/>
      <c r="Z4010" s="35"/>
      <c r="AA4010" s="35"/>
      <c r="AB4010" s="35"/>
      <c r="AC4010" s="35"/>
      <c r="AD4010" s="35"/>
      <c r="AE4010" s="35"/>
      <c r="AF4010" s="35"/>
      <c r="AG4010" s="35"/>
      <c r="AH4010" s="35"/>
      <c r="AI4010" s="35"/>
      <c r="AJ4010" s="35"/>
      <c r="AK4010" s="35"/>
      <c r="AL4010" s="35"/>
    </row>
    <row r="4011">
      <c r="A4011" s="1"/>
      <c r="B4011" s="19" t="s">
        <v>18603</v>
      </c>
      <c r="C4011" s="20" t="s">
        <v>18831</v>
      </c>
      <c r="D4011" s="47"/>
      <c r="E4011" s="22" t="s">
        <v>6612</v>
      </c>
      <c r="F4011" s="22" t="s">
        <v>17982</v>
      </c>
      <c r="G4011" s="23">
        <v>2015.0</v>
      </c>
      <c r="H4011" s="22" t="s">
        <v>658</v>
      </c>
      <c r="I4011" s="24" t="s">
        <v>19081</v>
      </c>
      <c r="J4011" s="23" t="s">
        <v>19082</v>
      </c>
      <c r="K4011" s="23" t="s">
        <v>56</v>
      </c>
      <c r="L4011" s="36" t="s">
        <v>4772</v>
      </c>
      <c r="M4011" s="36"/>
      <c r="N4011" s="36"/>
      <c r="O4011" s="36"/>
      <c r="P4011" s="37"/>
      <c r="Q4011" s="36"/>
      <c r="R4011" s="36"/>
      <c r="S4011" s="36" t="s">
        <v>35</v>
      </c>
      <c r="T4011" s="28" t="s">
        <v>19083</v>
      </c>
      <c r="U4011" s="38" t="str">
        <f>HYPERLINK("https://www.ncbi.nlm.nih.gov/pubmed/26436466","PubMed")</f>
        <v>PubMed</v>
      </c>
      <c r="V4011" s="30"/>
      <c r="W4011" s="49"/>
      <c r="X4011" s="49"/>
      <c r="Y4011" s="35"/>
      <c r="Z4011" s="35"/>
      <c r="AA4011" s="35"/>
      <c r="AB4011" s="35"/>
      <c r="AC4011" s="35"/>
      <c r="AD4011" s="35"/>
      <c r="AE4011" s="35"/>
      <c r="AF4011" s="35"/>
      <c r="AG4011" s="35"/>
      <c r="AH4011" s="35"/>
      <c r="AI4011" s="35"/>
      <c r="AJ4011" s="35"/>
      <c r="AK4011" s="35"/>
      <c r="AL4011" s="35"/>
    </row>
    <row r="4012">
      <c r="A4012" s="1"/>
      <c r="B4012" s="19" t="s">
        <v>18603</v>
      </c>
      <c r="C4012" s="20" t="s">
        <v>18831</v>
      </c>
      <c r="D4012" s="47"/>
      <c r="E4012" s="22" t="s">
        <v>19077</v>
      </c>
      <c r="F4012" s="22" t="s">
        <v>17982</v>
      </c>
      <c r="G4012" s="23">
        <v>2015.0</v>
      </c>
      <c r="H4012" s="22" t="s">
        <v>658</v>
      </c>
      <c r="I4012" s="24" t="s">
        <v>19084</v>
      </c>
      <c r="J4012" s="23" t="s">
        <v>19085</v>
      </c>
      <c r="K4012" s="23" t="s">
        <v>56</v>
      </c>
      <c r="L4012" s="36" t="s">
        <v>4772</v>
      </c>
      <c r="M4012" s="36"/>
      <c r="N4012" s="36"/>
      <c r="O4012" s="36"/>
      <c r="P4012" s="37"/>
      <c r="Q4012" s="36"/>
      <c r="R4012" s="36"/>
      <c r="S4012" s="36"/>
      <c r="T4012" s="28" t="s">
        <v>19086</v>
      </c>
      <c r="U4012" s="38" t="str">
        <f>HYPERLINK("https://www.ncbi.nlm.nih.gov/pubmed/25789943","PubMed")</f>
        <v>PubMed</v>
      </c>
      <c r="V4012" s="30"/>
      <c r="W4012" s="49"/>
      <c r="X4012" s="49"/>
      <c r="Y4012" s="35"/>
      <c r="Z4012" s="35"/>
      <c r="AA4012" s="35"/>
      <c r="AB4012" s="35"/>
      <c r="AC4012" s="35"/>
      <c r="AD4012" s="35"/>
      <c r="AE4012" s="35"/>
      <c r="AF4012" s="35"/>
      <c r="AG4012" s="35"/>
      <c r="AH4012" s="35"/>
      <c r="AI4012" s="35"/>
      <c r="AJ4012" s="35"/>
      <c r="AK4012" s="35"/>
      <c r="AL4012" s="35"/>
    </row>
    <row r="4013">
      <c r="A4013" s="191" t="s">
        <v>181</v>
      </c>
      <c r="B4013" s="19" t="s">
        <v>18603</v>
      </c>
      <c r="C4013" s="20" t="s">
        <v>18831</v>
      </c>
      <c r="D4013" s="112"/>
      <c r="E4013" s="113" t="s">
        <v>19087</v>
      </c>
      <c r="F4013" s="113" t="s">
        <v>12004</v>
      </c>
      <c r="G4013" s="23">
        <v>2015.0</v>
      </c>
      <c r="H4013" s="113" t="s">
        <v>19088</v>
      </c>
      <c r="I4013" s="114" t="s">
        <v>19089</v>
      </c>
      <c r="J4013" s="113" t="s">
        <v>31</v>
      </c>
      <c r="K4013" s="23"/>
      <c r="L4013" s="36">
        <v>915.0</v>
      </c>
      <c r="M4013" s="36"/>
      <c r="N4013" s="36"/>
      <c r="O4013" s="36"/>
      <c r="P4013" s="37"/>
      <c r="Q4013" s="36"/>
      <c r="R4013" s="36"/>
      <c r="S4013" s="36"/>
      <c r="T4013" s="28" t="s">
        <v>19090</v>
      </c>
      <c r="U4013" s="38" t="str">
        <f>HYPERLINK("https://www.ncbi.nlm.nih.gov/pubmed/26622761","PubMed")</f>
        <v>PubMed</v>
      </c>
      <c r="V4013" s="30"/>
      <c r="W4013" s="49"/>
      <c r="X4013" s="49"/>
      <c r="Y4013" s="35"/>
      <c r="Z4013" s="35"/>
      <c r="AA4013" s="35"/>
      <c r="AB4013" s="35"/>
      <c r="AC4013" s="35"/>
      <c r="AD4013" s="35"/>
      <c r="AE4013" s="35"/>
      <c r="AF4013" s="35"/>
      <c r="AG4013" s="35"/>
      <c r="AH4013" s="35"/>
      <c r="AI4013" s="35"/>
      <c r="AJ4013" s="35"/>
      <c r="AK4013" s="35"/>
      <c r="AL4013" s="35"/>
    </row>
    <row r="4014">
      <c r="A4014" s="1"/>
      <c r="B4014" s="19" t="s">
        <v>18603</v>
      </c>
      <c r="C4014" s="20" t="s">
        <v>18831</v>
      </c>
      <c r="D4014" s="112"/>
      <c r="E4014" s="115" t="s">
        <v>19091</v>
      </c>
      <c r="F4014" s="115" t="s">
        <v>2705</v>
      </c>
      <c r="G4014" s="23">
        <v>2015.0</v>
      </c>
      <c r="H4014" s="115" t="s">
        <v>207</v>
      </c>
      <c r="I4014" s="120" t="s">
        <v>19092</v>
      </c>
      <c r="J4014" s="113" t="s">
        <v>31</v>
      </c>
      <c r="K4014" s="23"/>
      <c r="L4014" s="36" t="s">
        <v>8245</v>
      </c>
      <c r="M4014" s="36"/>
      <c r="N4014" s="36"/>
      <c r="O4014" s="36"/>
      <c r="P4014" s="37"/>
      <c r="Q4014" s="36"/>
      <c r="R4014" s="36"/>
      <c r="S4014" s="36"/>
      <c r="T4014" s="28" t="s">
        <v>19093</v>
      </c>
      <c r="U4014" s="38" t="str">
        <f>HYPERLINK("https://www.ncbi.nlm.nih.gov/pubmed/26355716","PubMed")</f>
        <v>PubMed</v>
      </c>
      <c r="V4014" s="30"/>
      <c r="W4014" s="49"/>
      <c r="X4014" s="49"/>
      <c r="Y4014" s="35"/>
      <c r="Z4014" s="35"/>
      <c r="AA4014" s="35"/>
      <c r="AB4014" s="35"/>
      <c r="AC4014" s="35"/>
      <c r="AD4014" s="35"/>
      <c r="AE4014" s="35"/>
      <c r="AF4014" s="35"/>
      <c r="AG4014" s="35"/>
      <c r="AH4014" s="35"/>
      <c r="AI4014" s="35"/>
      <c r="AJ4014" s="35"/>
      <c r="AK4014" s="35"/>
      <c r="AL4014" s="35"/>
    </row>
    <row r="4015">
      <c r="A4015" s="1"/>
      <c r="B4015" s="19" t="s">
        <v>18603</v>
      </c>
      <c r="C4015" s="20" t="s">
        <v>18831</v>
      </c>
      <c r="D4015" s="47"/>
      <c r="E4015" s="22" t="s">
        <v>19094</v>
      </c>
      <c r="F4015" s="22" t="s">
        <v>323</v>
      </c>
      <c r="G4015" s="23">
        <v>2015.0</v>
      </c>
      <c r="H4015" s="22" t="s">
        <v>147</v>
      </c>
      <c r="I4015" s="24" t="s">
        <v>19095</v>
      </c>
      <c r="J4015" s="23" t="s">
        <v>31</v>
      </c>
      <c r="K4015" s="23"/>
      <c r="L4015" s="36">
        <v>810.0</v>
      </c>
      <c r="M4015" s="36"/>
      <c r="N4015" s="36"/>
      <c r="O4015" s="36"/>
      <c r="P4015" s="37" t="s">
        <v>760</v>
      </c>
      <c r="Q4015" s="36"/>
      <c r="R4015" s="36"/>
      <c r="S4015" s="36"/>
      <c r="T4015" s="41" t="s">
        <v>19096</v>
      </c>
      <c r="U4015" s="38" t="str">
        <f>HYPERLINK("https://www.ncbi.nlm.nih.gov/pubmed/25987972","PubMed")</f>
        <v>PubMed</v>
      </c>
      <c r="V4015" s="30"/>
      <c r="W4015" s="49"/>
      <c r="X4015" s="49"/>
      <c r="Y4015" s="35"/>
      <c r="Z4015" s="35"/>
      <c r="AA4015" s="35"/>
      <c r="AB4015" s="35"/>
      <c r="AC4015" s="35"/>
      <c r="AD4015" s="35"/>
      <c r="AE4015" s="35"/>
      <c r="AF4015" s="35"/>
      <c r="AG4015" s="35"/>
      <c r="AH4015" s="35"/>
      <c r="AI4015" s="35"/>
      <c r="AJ4015" s="35"/>
      <c r="AK4015" s="35"/>
      <c r="AL4015" s="35"/>
    </row>
    <row r="4016">
      <c r="A4016" s="1"/>
      <c r="B4016" s="19" t="s">
        <v>18603</v>
      </c>
      <c r="C4016" s="20" t="s">
        <v>18831</v>
      </c>
      <c r="D4016" s="47"/>
      <c r="E4016" s="22" t="s">
        <v>19097</v>
      </c>
      <c r="F4016" s="22" t="s">
        <v>720</v>
      </c>
      <c r="G4016" s="23">
        <v>2014.0</v>
      </c>
      <c r="H4016" s="57" t="s">
        <v>91</v>
      </c>
      <c r="I4016" s="24" t="s">
        <v>19098</v>
      </c>
      <c r="J4016" s="23" t="s">
        <v>31</v>
      </c>
      <c r="K4016" s="23" t="s">
        <v>19099</v>
      </c>
      <c r="L4016" s="36">
        <v>660.0</v>
      </c>
      <c r="M4016" s="36"/>
      <c r="N4016" s="36"/>
      <c r="O4016" s="36"/>
      <c r="P4016" s="37" t="s">
        <v>5451</v>
      </c>
      <c r="Q4016" s="36"/>
      <c r="R4016" s="36"/>
      <c r="S4016" s="36"/>
      <c r="T4016" s="41" t="s">
        <v>19100</v>
      </c>
      <c r="U4016" s="38" t="str">
        <f>HYPERLINK("https://www.ncbi.nlm.nih.gov/pubmed/24526326","PubMed")</f>
        <v>PubMed</v>
      </c>
      <c r="V4016" s="30"/>
      <c r="W4016" s="49"/>
      <c r="X4016" s="49"/>
      <c r="Y4016" s="35"/>
      <c r="Z4016" s="35"/>
      <c r="AA4016" s="35"/>
      <c r="AB4016" s="35"/>
      <c r="AC4016" s="35"/>
      <c r="AD4016" s="35"/>
      <c r="AE4016" s="35"/>
      <c r="AF4016" s="35"/>
      <c r="AG4016" s="35"/>
      <c r="AH4016" s="35"/>
      <c r="AI4016" s="35"/>
      <c r="AJ4016" s="35"/>
      <c r="AK4016" s="35"/>
      <c r="AL4016" s="35"/>
    </row>
    <row r="4017">
      <c r="A4017" s="1"/>
      <c r="B4017" s="19" t="s">
        <v>18603</v>
      </c>
      <c r="C4017" s="20" t="s">
        <v>18831</v>
      </c>
      <c r="D4017" s="47"/>
      <c r="E4017" s="22" t="s">
        <v>1128</v>
      </c>
      <c r="F4017" s="22" t="s">
        <v>14223</v>
      </c>
      <c r="G4017" s="23">
        <v>2014.0</v>
      </c>
      <c r="H4017" s="57" t="s">
        <v>18933</v>
      </c>
      <c r="I4017" s="24" t="s">
        <v>19101</v>
      </c>
      <c r="J4017" s="23" t="s">
        <v>31</v>
      </c>
      <c r="K4017" s="23" t="s">
        <v>19102</v>
      </c>
      <c r="L4017" s="36" t="s">
        <v>19103</v>
      </c>
      <c r="M4017" s="36" t="s">
        <v>19104</v>
      </c>
      <c r="N4017" s="36"/>
      <c r="O4017" s="36"/>
      <c r="P4017" s="37"/>
      <c r="Q4017" s="36"/>
      <c r="R4017" s="36" t="s">
        <v>19105</v>
      </c>
      <c r="S4017" s="36" t="s">
        <v>12915</v>
      </c>
      <c r="T4017" s="28" t="s">
        <v>19106</v>
      </c>
      <c r="U4017" s="38" t="str">
        <f>HYPERLINK("https://www.ncbi.nlm.nih.gov/pubmed/25202048","PubMed")</f>
        <v>PubMed</v>
      </c>
      <c r="V4017" s="30"/>
      <c r="W4017" s="49"/>
      <c r="X4017" s="49"/>
      <c r="Y4017" s="35"/>
      <c r="Z4017" s="35"/>
      <c r="AA4017" s="35"/>
      <c r="AB4017" s="35"/>
      <c r="AC4017" s="35"/>
      <c r="AD4017" s="35"/>
      <c r="AE4017" s="35"/>
      <c r="AF4017" s="35"/>
      <c r="AG4017" s="35"/>
      <c r="AH4017" s="35"/>
      <c r="AI4017" s="35"/>
      <c r="AJ4017" s="35"/>
      <c r="AK4017" s="35"/>
      <c r="AL4017" s="35"/>
    </row>
    <row r="4018">
      <c r="A4018" s="1"/>
      <c r="B4018" s="19" t="s">
        <v>18603</v>
      </c>
      <c r="C4018" s="20" t="s">
        <v>18831</v>
      </c>
      <c r="D4018" s="47"/>
      <c r="E4018" s="22" t="s">
        <v>19107</v>
      </c>
      <c r="F4018" s="22" t="s">
        <v>41</v>
      </c>
      <c r="G4018" s="23">
        <v>2013.0</v>
      </c>
      <c r="H4018" s="22" t="s">
        <v>42</v>
      </c>
      <c r="I4018" s="24" t="s">
        <v>19108</v>
      </c>
      <c r="J4018" s="23" t="s">
        <v>31</v>
      </c>
      <c r="K4018" s="23" t="s">
        <v>294</v>
      </c>
      <c r="L4018" s="36" t="s">
        <v>1750</v>
      </c>
      <c r="M4018" s="36">
        <v>40.0</v>
      </c>
      <c r="N4018" s="36"/>
      <c r="O4018" s="36"/>
      <c r="P4018" s="37" t="s">
        <v>19109</v>
      </c>
      <c r="Q4018" s="36" t="s">
        <v>19110</v>
      </c>
      <c r="R4018" s="36"/>
      <c r="S4018" s="36"/>
      <c r="T4018" s="41" t="s">
        <v>19111</v>
      </c>
      <c r="U4018" s="38" t="str">
        <f>HYPERLINK("https://www.ncbi.nlm.nih.gov/pubmed/23554211","PubMed")</f>
        <v>PubMed</v>
      </c>
      <c r="V4018" s="30"/>
      <c r="W4018" s="49"/>
      <c r="X4018" s="49"/>
      <c r="Y4018" s="35"/>
      <c r="Z4018" s="35"/>
      <c r="AA4018" s="35"/>
      <c r="AB4018" s="35"/>
      <c r="AC4018" s="35"/>
      <c r="AD4018" s="35"/>
      <c r="AE4018" s="35"/>
      <c r="AF4018" s="35"/>
      <c r="AG4018" s="35"/>
      <c r="AH4018" s="35"/>
      <c r="AI4018" s="35"/>
      <c r="AJ4018" s="35"/>
      <c r="AK4018" s="35"/>
      <c r="AL4018" s="35"/>
    </row>
    <row r="4019">
      <c r="A4019" s="1"/>
      <c r="B4019" s="19" t="s">
        <v>18603</v>
      </c>
      <c r="C4019" s="20" t="s">
        <v>18831</v>
      </c>
      <c r="D4019" s="47"/>
      <c r="E4019" s="22" t="s">
        <v>19077</v>
      </c>
      <c r="F4019" s="22" t="s">
        <v>17982</v>
      </c>
      <c r="G4019" s="23">
        <v>2013.0</v>
      </c>
      <c r="H4019" s="22" t="s">
        <v>19112</v>
      </c>
      <c r="I4019" s="24" t="s">
        <v>19113</v>
      </c>
      <c r="J4019" s="23" t="s">
        <v>31</v>
      </c>
      <c r="K4019" s="23" t="s">
        <v>56</v>
      </c>
      <c r="L4019" s="36" t="s">
        <v>4772</v>
      </c>
      <c r="M4019" s="36"/>
      <c r="N4019" s="36"/>
      <c r="O4019" s="36"/>
      <c r="P4019" s="37" t="s">
        <v>19114</v>
      </c>
      <c r="Q4019" s="36"/>
      <c r="R4019" s="36"/>
      <c r="S4019" s="36"/>
      <c r="T4019" s="42" t="s">
        <v>19115</v>
      </c>
      <c r="U4019" s="38" t="str">
        <f>HYPERLINK("https://link.springer.com/article/10.1134/S1990519X13010082","Springer")</f>
        <v>Springer</v>
      </c>
      <c r="V4019" s="30"/>
      <c r="W4019" s="49"/>
      <c r="X4019" s="49"/>
      <c r="Y4019" s="35"/>
      <c r="Z4019" s="35"/>
      <c r="AA4019" s="35"/>
      <c r="AB4019" s="35"/>
      <c r="AC4019" s="35"/>
      <c r="AD4019" s="35"/>
      <c r="AE4019" s="35"/>
      <c r="AF4019" s="35"/>
      <c r="AG4019" s="35"/>
      <c r="AH4019" s="35"/>
      <c r="AI4019" s="35"/>
      <c r="AJ4019" s="35"/>
      <c r="AK4019" s="35"/>
      <c r="AL4019" s="35"/>
    </row>
    <row r="4020">
      <c r="A4020" s="133"/>
      <c r="B4020" s="19" t="s">
        <v>18603</v>
      </c>
      <c r="C4020" s="20" t="s">
        <v>18831</v>
      </c>
      <c r="D4020" s="47"/>
      <c r="E4020" s="22" t="s">
        <v>19116</v>
      </c>
      <c r="F4020" s="22" t="s">
        <v>19117</v>
      </c>
      <c r="G4020" s="23">
        <v>2012.0</v>
      </c>
      <c r="H4020" s="57" t="s">
        <v>8177</v>
      </c>
      <c r="I4020" s="134" t="s">
        <v>19118</v>
      </c>
      <c r="J4020" s="23" t="s">
        <v>31</v>
      </c>
      <c r="K4020" s="23" t="s">
        <v>19119</v>
      </c>
      <c r="L4020" s="94">
        <v>660.0</v>
      </c>
      <c r="M4020" s="94"/>
      <c r="N4020" s="94"/>
      <c r="O4020" s="94"/>
      <c r="P4020" s="94"/>
      <c r="Q4020" s="172"/>
      <c r="R4020" s="94"/>
      <c r="S4020" s="94"/>
      <c r="T4020" s="54" t="s">
        <v>19120</v>
      </c>
      <c r="U4020" s="135" t="str">
        <f>HYPERLINK("https://www.ncbi.nlm.nih.gov/pubmed/21340656","PubMed")</f>
        <v>PubMed</v>
      </c>
      <c r="V4020" s="139"/>
      <c r="W4020" s="49"/>
      <c r="X4020" s="49"/>
      <c r="Y4020" s="35"/>
      <c r="Z4020" s="35"/>
      <c r="AA4020" s="35"/>
      <c r="AB4020" s="35"/>
      <c r="AC4020" s="35"/>
      <c r="AD4020" s="35"/>
      <c r="AE4020" s="35"/>
      <c r="AF4020" s="35"/>
      <c r="AG4020" s="35"/>
      <c r="AH4020" s="35"/>
      <c r="AI4020" s="35"/>
      <c r="AJ4020" s="35"/>
      <c r="AK4020" s="35"/>
      <c r="AL4020" s="35"/>
    </row>
    <row r="4021">
      <c r="A4021" s="133"/>
      <c r="B4021" s="19" t="s">
        <v>18603</v>
      </c>
      <c r="C4021" s="20" t="s">
        <v>18831</v>
      </c>
      <c r="D4021" s="47"/>
      <c r="E4021" s="22" t="s">
        <v>19121</v>
      </c>
      <c r="F4021" s="22" t="s">
        <v>6082</v>
      </c>
      <c r="G4021" s="23">
        <v>2012.0</v>
      </c>
      <c r="H4021" s="57" t="s">
        <v>1025</v>
      </c>
      <c r="I4021" s="134" t="s">
        <v>19122</v>
      </c>
      <c r="J4021" s="23" t="s">
        <v>31</v>
      </c>
      <c r="K4021" s="23"/>
      <c r="L4021" s="94">
        <v>633.0</v>
      </c>
      <c r="M4021" s="94"/>
      <c r="N4021" s="94"/>
      <c r="O4021" s="94"/>
      <c r="P4021" s="94" t="s">
        <v>19123</v>
      </c>
      <c r="Q4021" s="172"/>
      <c r="R4021" s="94"/>
      <c r="S4021" s="94"/>
      <c r="T4021" s="102" t="s">
        <v>19124</v>
      </c>
      <c r="U4021" s="135" t="str">
        <f>HYPERLINK("https://www.ncbi.nlm.nih.gov/pubmed/23223992","PubMed")</f>
        <v>PubMed</v>
      </c>
      <c r="V4021" s="139"/>
      <c r="W4021" s="49"/>
      <c r="X4021" s="49"/>
      <c r="Y4021" s="35"/>
      <c r="Z4021" s="35"/>
      <c r="AA4021" s="35"/>
      <c r="AB4021" s="35"/>
      <c r="AC4021" s="35"/>
      <c r="AD4021" s="35"/>
      <c r="AE4021" s="35"/>
      <c r="AF4021" s="35"/>
      <c r="AG4021" s="35"/>
      <c r="AH4021" s="35"/>
      <c r="AI4021" s="35"/>
      <c r="AJ4021" s="35"/>
      <c r="AK4021" s="35"/>
      <c r="AL4021" s="35"/>
    </row>
    <row r="4022">
      <c r="A4022" s="133"/>
      <c r="B4022" s="19" t="s">
        <v>18603</v>
      </c>
      <c r="C4022" s="20" t="s">
        <v>18831</v>
      </c>
      <c r="D4022" s="47"/>
      <c r="E4022" s="22" t="s">
        <v>175</v>
      </c>
      <c r="F4022" s="22" t="s">
        <v>176</v>
      </c>
      <c r="G4022" s="23">
        <v>2012.0</v>
      </c>
      <c r="H4022" s="57" t="s">
        <v>19125</v>
      </c>
      <c r="I4022" s="134" t="s">
        <v>19126</v>
      </c>
      <c r="J4022" s="23" t="s">
        <v>31</v>
      </c>
      <c r="K4022" s="23" t="s">
        <v>19127</v>
      </c>
      <c r="L4022" s="94" t="s">
        <v>179</v>
      </c>
      <c r="M4022" s="94"/>
      <c r="N4022" s="94"/>
      <c r="O4022" s="94"/>
      <c r="P4022" s="94"/>
      <c r="Q4022" s="172"/>
      <c r="R4022" s="94"/>
      <c r="S4022" s="94"/>
      <c r="T4022" s="54" t="s">
        <v>19128</v>
      </c>
      <c r="U4022" s="135" t="str">
        <f>HYPERLINK("https://www.ncbi.nlm.nih.gov/pubmed/22515193","PubMed")</f>
        <v>PubMed</v>
      </c>
      <c r="V4022" s="139"/>
      <c r="W4022" s="49"/>
      <c r="X4022" s="49"/>
      <c r="Y4022" s="35"/>
      <c r="Z4022" s="35"/>
      <c r="AA4022" s="35"/>
      <c r="AB4022" s="35"/>
      <c r="AC4022" s="35"/>
      <c r="AD4022" s="35"/>
      <c r="AE4022" s="35"/>
      <c r="AF4022" s="35"/>
      <c r="AG4022" s="35"/>
      <c r="AH4022" s="35"/>
      <c r="AI4022" s="35"/>
      <c r="AJ4022" s="35"/>
      <c r="AK4022" s="35"/>
      <c r="AL4022" s="35"/>
    </row>
    <row r="4023">
      <c r="A4023" s="133"/>
      <c r="B4023" s="19" t="s">
        <v>18603</v>
      </c>
      <c r="C4023" s="20" t="s">
        <v>18831</v>
      </c>
      <c r="D4023" s="47"/>
      <c r="E4023" s="22" t="s">
        <v>19129</v>
      </c>
      <c r="F4023" s="22" t="s">
        <v>1398</v>
      </c>
      <c r="G4023" s="23">
        <v>2012.0</v>
      </c>
      <c r="H4023" s="57" t="s">
        <v>91</v>
      </c>
      <c r="I4023" s="134" t="s">
        <v>19130</v>
      </c>
      <c r="J4023" s="23" t="s">
        <v>31</v>
      </c>
      <c r="K4023" s="23"/>
      <c r="L4023" s="94">
        <v>808.0</v>
      </c>
      <c r="M4023" s="94"/>
      <c r="N4023" s="94"/>
      <c r="O4023" s="94"/>
      <c r="P4023" s="94" t="s">
        <v>19131</v>
      </c>
      <c r="Q4023" s="172"/>
      <c r="R4023" s="94" t="s">
        <v>15799</v>
      </c>
      <c r="S4023" s="94"/>
      <c r="T4023" s="54" t="s">
        <v>19132</v>
      </c>
      <c r="U4023" s="135" t="str">
        <f>HYPERLINK("https://www.ncbi.nlm.nih.gov/pubmed/21538143","PubMed")</f>
        <v>PubMed</v>
      </c>
      <c r="V4023" s="139"/>
      <c r="W4023" s="49"/>
      <c r="X4023" s="49"/>
      <c r="Y4023" s="35"/>
      <c r="Z4023" s="35"/>
      <c r="AA4023" s="35"/>
      <c r="AB4023" s="35"/>
      <c r="AC4023" s="35"/>
      <c r="AD4023" s="35"/>
      <c r="AE4023" s="35"/>
      <c r="AF4023" s="35"/>
      <c r="AG4023" s="35"/>
      <c r="AH4023" s="35"/>
      <c r="AI4023" s="35"/>
      <c r="AJ4023" s="35"/>
      <c r="AK4023" s="35"/>
      <c r="AL4023" s="35"/>
    </row>
    <row r="4024">
      <c r="A4024" s="18" t="s">
        <v>2</v>
      </c>
      <c r="B4024" s="19" t="s">
        <v>18603</v>
      </c>
      <c r="C4024" s="20" t="s">
        <v>18831</v>
      </c>
      <c r="D4024" s="47"/>
      <c r="E4024" s="22" t="s">
        <v>5606</v>
      </c>
      <c r="F4024" s="22" t="s">
        <v>18389</v>
      </c>
      <c r="G4024" s="23">
        <v>2012.0</v>
      </c>
      <c r="H4024" s="57" t="s">
        <v>91</v>
      </c>
      <c r="I4024" s="134" t="s">
        <v>19133</v>
      </c>
      <c r="J4024" s="23" t="s">
        <v>31</v>
      </c>
      <c r="K4024" s="23" t="s">
        <v>19134</v>
      </c>
      <c r="L4024" s="94">
        <v>633.0</v>
      </c>
      <c r="M4024" s="94">
        <v>35.0</v>
      </c>
      <c r="N4024" s="94" t="s">
        <v>5609</v>
      </c>
      <c r="O4024" s="94"/>
      <c r="P4024" s="94" t="s">
        <v>19135</v>
      </c>
      <c r="Q4024" s="172"/>
      <c r="R4024" s="94" t="s">
        <v>19136</v>
      </c>
      <c r="S4024" s="94"/>
      <c r="T4024" s="102" t="s">
        <v>19137</v>
      </c>
      <c r="U4024" s="135" t="str">
        <f>HYPERLINK("https://www.ncbi.nlm.nih.gov/pubmed/22205470","PubMed")</f>
        <v>PubMed</v>
      </c>
      <c r="V4024" s="139"/>
      <c r="W4024" s="49"/>
      <c r="X4024" s="49"/>
      <c r="Y4024" s="35"/>
      <c r="Z4024" s="35"/>
      <c r="AA4024" s="35"/>
      <c r="AB4024" s="35"/>
      <c r="AC4024" s="35"/>
      <c r="AD4024" s="35"/>
      <c r="AE4024" s="35"/>
      <c r="AF4024" s="35"/>
      <c r="AG4024" s="35"/>
      <c r="AH4024" s="35"/>
      <c r="AI4024" s="35"/>
      <c r="AJ4024" s="35"/>
      <c r="AK4024" s="35"/>
      <c r="AL4024" s="35"/>
    </row>
    <row r="4025">
      <c r="A4025" s="133"/>
      <c r="B4025" s="19" t="s">
        <v>18603</v>
      </c>
      <c r="C4025" s="20" t="s">
        <v>18831</v>
      </c>
      <c r="D4025" s="47"/>
      <c r="E4025" s="22" t="s">
        <v>17901</v>
      </c>
      <c r="F4025" s="22" t="s">
        <v>14321</v>
      </c>
      <c r="G4025" s="23">
        <v>2010.0</v>
      </c>
      <c r="H4025" s="57" t="s">
        <v>658</v>
      </c>
      <c r="I4025" s="134" t="s">
        <v>19138</v>
      </c>
      <c r="J4025" s="23" t="s">
        <v>31</v>
      </c>
      <c r="K4025" s="23" t="s">
        <v>294</v>
      </c>
      <c r="L4025" s="94" t="s">
        <v>19139</v>
      </c>
      <c r="M4025" s="94"/>
      <c r="N4025" s="94"/>
      <c r="O4025" s="94"/>
      <c r="P4025" s="94" t="s">
        <v>19140</v>
      </c>
      <c r="Q4025" s="172"/>
      <c r="R4025" s="94"/>
      <c r="S4025" s="94"/>
      <c r="T4025" s="102" t="s">
        <v>19141</v>
      </c>
      <c r="U4025" s="135" t="str">
        <f>HYPERLINK("https://www.ncbi.nlm.nih.gov/pubmed/19811082","PubMed")</f>
        <v>PubMed</v>
      </c>
      <c r="V4025" s="139"/>
      <c r="W4025" s="49"/>
      <c r="X4025" s="49"/>
      <c r="Y4025" s="35"/>
      <c r="Z4025" s="35"/>
      <c r="AA4025" s="35"/>
      <c r="AB4025" s="35"/>
      <c r="AC4025" s="35"/>
      <c r="AD4025" s="35"/>
      <c r="AE4025" s="35"/>
      <c r="AF4025" s="35"/>
      <c r="AG4025" s="35"/>
      <c r="AH4025" s="35"/>
      <c r="AI4025" s="35"/>
      <c r="AJ4025" s="35"/>
      <c r="AK4025" s="35"/>
      <c r="AL4025" s="35"/>
    </row>
    <row r="4026">
      <c r="A4026" s="133"/>
      <c r="B4026" s="19" t="s">
        <v>18603</v>
      </c>
      <c r="C4026" s="20" t="s">
        <v>18831</v>
      </c>
      <c r="D4026" s="47"/>
      <c r="E4026" s="22" t="s">
        <v>16961</v>
      </c>
      <c r="F4026" s="22" t="s">
        <v>1416</v>
      </c>
      <c r="G4026" s="23">
        <v>2010.0</v>
      </c>
      <c r="H4026" s="57" t="s">
        <v>19142</v>
      </c>
      <c r="I4026" s="134" t="s">
        <v>19143</v>
      </c>
      <c r="J4026" s="23" t="s">
        <v>31</v>
      </c>
      <c r="K4026" s="23"/>
      <c r="L4026" s="94"/>
      <c r="M4026" s="94"/>
      <c r="N4026" s="94"/>
      <c r="O4026" s="94"/>
      <c r="P4026" s="94"/>
      <c r="Q4026" s="172"/>
      <c r="R4026" s="94"/>
      <c r="S4026" s="94"/>
      <c r="T4026" s="102" t="s">
        <v>19144</v>
      </c>
      <c r="U4026" s="135" t="str">
        <f>HYPERLINK("https://www.jstage.jst.go.jp/article/jjpnsoclaserdent/21/3/21_173/_article/-char/en","J-STAGE")</f>
        <v>J-STAGE</v>
      </c>
      <c r="V4026" s="139"/>
      <c r="W4026" s="49"/>
      <c r="X4026" s="49"/>
      <c r="Y4026" s="35"/>
      <c r="Z4026" s="35"/>
      <c r="AA4026" s="35"/>
      <c r="AB4026" s="35"/>
      <c r="AC4026" s="35"/>
      <c r="AD4026" s="35"/>
      <c r="AE4026" s="35"/>
      <c r="AF4026" s="35"/>
      <c r="AG4026" s="35"/>
      <c r="AH4026" s="35"/>
      <c r="AI4026" s="35"/>
      <c r="AJ4026" s="35"/>
      <c r="AK4026" s="35"/>
      <c r="AL4026" s="35"/>
    </row>
    <row r="4027">
      <c r="A4027" s="133"/>
      <c r="B4027" s="19" t="s">
        <v>18603</v>
      </c>
      <c r="C4027" s="20" t="s">
        <v>18831</v>
      </c>
      <c r="D4027" s="47"/>
      <c r="E4027" s="22" t="s">
        <v>19145</v>
      </c>
      <c r="F4027" s="22" t="s">
        <v>2445</v>
      </c>
      <c r="G4027" s="23">
        <v>2007.0</v>
      </c>
      <c r="H4027" s="57" t="s">
        <v>53</v>
      </c>
      <c r="I4027" s="134" t="s">
        <v>19146</v>
      </c>
      <c r="J4027" s="23" t="s">
        <v>31</v>
      </c>
      <c r="K4027" s="23" t="s">
        <v>19147</v>
      </c>
      <c r="L4027" s="94" t="s">
        <v>19148</v>
      </c>
      <c r="M4027" s="94"/>
      <c r="N4027" s="94"/>
      <c r="O4027" s="94"/>
      <c r="P4027" s="94" t="s">
        <v>9338</v>
      </c>
      <c r="Q4027" s="172"/>
      <c r="R4027" s="94"/>
      <c r="S4027" s="94"/>
      <c r="T4027" s="54" t="s">
        <v>19149</v>
      </c>
      <c r="U4027" s="135" t="str">
        <f>HYPERLINK("https://www.ncbi.nlm.nih.gov/pubmed/17886284","PubMed")</f>
        <v>PubMed</v>
      </c>
      <c r="V4027" s="139"/>
      <c r="W4027" s="49"/>
      <c r="X4027" s="49"/>
      <c r="Y4027" s="35"/>
      <c r="Z4027" s="35"/>
      <c r="AA4027" s="35"/>
      <c r="AB4027" s="35"/>
      <c r="AC4027" s="35"/>
      <c r="AD4027" s="35"/>
      <c r="AE4027" s="35"/>
      <c r="AF4027" s="35"/>
      <c r="AG4027" s="35"/>
      <c r="AH4027" s="35"/>
      <c r="AI4027" s="35"/>
      <c r="AJ4027" s="35"/>
      <c r="AK4027" s="35"/>
      <c r="AL4027" s="35"/>
    </row>
    <row r="4028">
      <c r="A4028" s="133"/>
      <c r="B4028" s="19" t="s">
        <v>18603</v>
      </c>
      <c r="C4028" s="20" t="s">
        <v>18831</v>
      </c>
      <c r="D4028" s="47"/>
      <c r="E4028" s="22" t="s">
        <v>216</v>
      </c>
      <c r="F4028" s="22" t="s">
        <v>1508</v>
      </c>
      <c r="G4028" s="23">
        <v>2006.0</v>
      </c>
      <c r="H4028" s="57" t="s">
        <v>91</v>
      </c>
      <c r="I4028" s="134" t="s">
        <v>19150</v>
      </c>
      <c r="J4028" s="23" t="s">
        <v>31</v>
      </c>
      <c r="K4028" s="23"/>
      <c r="L4028" s="94">
        <v>808.0</v>
      </c>
      <c r="M4028" s="94"/>
      <c r="N4028" s="94"/>
      <c r="O4028" s="94"/>
      <c r="P4028" s="94"/>
      <c r="Q4028" s="172"/>
      <c r="R4028" s="94"/>
      <c r="S4028" s="94"/>
      <c r="T4028" s="54" t="s">
        <v>19151</v>
      </c>
      <c r="U4028" s="135" t="str">
        <f>HYPERLINK("https://www.ncbi.nlm.nih.gov/pubmed/16570120","PubMed")</f>
        <v>PubMed</v>
      </c>
      <c r="V4028" s="139"/>
      <c r="W4028" s="49"/>
      <c r="X4028" s="49"/>
      <c r="Y4028" s="35"/>
      <c r="Z4028" s="35"/>
      <c r="AA4028" s="35"/>
      <c r="AB4028" s="35"/>
      <c r="AC4028" s="35"/>
      <c r="AD4028" s="35"/>
      <c r="AE4028" s="35"/>
      <c r="AF4028" s="35"/>
      <c r="AG4028" s="35"/>
      <c r="AH4028" s="35"/>
      <c r="AI4028" s="35"/>
      <c r="AJ4028" s="35"/>
      <c r="AK4028" s="35"/>
      <c r="AL4028" s="35"/>
    </row>
    <row r="4029">
      <c r="A4029" s="133"/>
      <c r="B4029" s="19" t="s">
        <v>18603</v>
      </c>
      <c r="C4029" s="20" t="s">
        <v>18831</v>
      </c>
      <c r="D4029" s="47"/>
      <c r="E4029" s="22" t="s">
        <v>216</v>
      </c>
      <c r="F4029" s="22" t="s">
        <v>1508</v>
      </c>
      <c r="G4029" s="23">
        <v>2004.0</v>
      </c>
      <c r="H4029" s="57" t="s">
        <v>19152</v>
      </c>
      <c r="I4029" s="134" t="s">
        <v>19153</v>
      </c>
      <c r="J4029" s="23" t="s">
        <v>31</v>
      </c>
      <c r="K4029" s="23"/>
      <c r="L4029" s="94">
        <v>808.0</v>
      </c>
      <c r="M4029" s="94">
        <v>130.0</v>
      </c>
      <c r="N4029" s="94"/>
      <c r="O4029" s="94"/>
      <c r="P4029" s="94" t="s">
        <v>19154</v>
      </c>
      <c r="Q4029" s="172"/>
      <c r="R4029" s="94" t="s">
        <v>19155</v>
      </c>
      <c r="S4029" s="94"/>
      <c r="T4029" s="54" t="s">
        <v>19156</v>
      </c>
      <c r="U4029" s="135" t="str">
        <f>HYPERLINK("https://www.ncbi.nlm.nih.gov/pubmed/17564317","PubMed")</f>
        <v>PubMed</v>
      </c>
      <c r="V4029" s="139"/>
      <c r="W4029" s="49"/>
      <c r="X4029" s="49"/>
      <c r="Y4029" s="35"/>
      <c r="Z4029" s="35"/>
      <c r="AA4029" s="35"/>
      <c r="AB4029" s="35"/>
      <c r="AC4029" s="35"/>
      <c r="AD4029" s="35"/>
      <c r="AE4029" s="35"/>
      <c r="AF4029" s="35"/>
      <c r="AG4029" s="35"/>
      <c r="AH4029" s="35"/>
      <c r="AI4029" s="35"/>
      <c r="AJ4029" s="35"/>
      <c r="AK4029" s="35"/>
      <c r="AL4029" s="35"/>
    </row>
    <row r="4030">
      <c r="A4030" s="133"/>
      <c r="B4030" s="19" t="s">
        <v>18603</v>
      </c>
      <c r="C4030" s="20" t="s">
        <v>18831</v>
      </c>
      <c r="D4030" s="47"/>
      <c r="E4030" s="22" t="s">
        <v>19157</v>
      </c>
      <c r="F4030" s="22" t="s">
        <v>19158</v>
      </c>
      <c r="G4030" s="23">
        <v>2003.0</v>
      </c>
      <c r="H4030" s="57" t="s">
        <v>91</v>
      </c>
      <c r="I4030" s="134" t="s">
        <v>19159</v>
      </c>
      <c r="J4030" s="23" t="s">
        <v>31</v>
      </c>
      <c r="K4030" s="23"/>
      <c r="L4030" s="94">
        <v>809.0</v>
      </c>
      <c r="M4030" s="94"/>
      <c r="N4030" s="94"/>
      <c r="O4030" s="94"/>
      <c r="P4030" s="94"/>
      <c r="Q4030" s="172"/>
      <c r="R4030" s="94"/>
      <c r="S4030" s="94"/>
      <c r="T4030" s="103" t="s">
        <v>19160</v>
      </c>
      <c r="U4030" s="135" t="str">
        <f>HYPERLINK("https://www.ncbi.nlm.nih.gov/pubmed/12928820","PubMed")</f>
        <v>PubMed</v>
      </c>
      <c r="V4030" s="139"/>
      <c r="W4030" s="49"/>
      <c r="X4030" s="49"/>
      <c r="Y4030" s="35"/>
      <c r="Z4030" s="35"/>
      <c r="AA4030" s="35"/>
      <c r="AB4030" s="35"/>
      <c r="AC4030" s="35"/>
      <c r="AD4030" s="35"/>
      <c r="AE4030" s="35"/>
      <c r="AF4030" s="35"/>
      <c r="AG4030" s="35"/>
      <c r="AH4030" s="35"/>
      <c r="AI4030" s="35"/>
      <c r="AJ4030" s="35"/>
      <c r="AK4030" s="35"/>
      <c r="AL4030" s="35"/>
    </row>
    <row r="4031">
      <c r="A4031" s="133"/>
      <c r="B4031" s="19" t="s">
        <v>18603</v>
      </c>
      <c r="C4031" s="20" t="s">
        <v>18831</v>
      </c>
      <c r="D4031" s="47"/>
      <c r="E4031" s="22" t="s">
        <v>651</v>
      </c>
      <c r="F4031" s="22" t="s">
        <v>183</v>
      </c>
      <c r="G4031" s="23">
        <v>2002.0</v>
      </c>
      <c r="H4031" s="57" t="s">
        <v>837</v>
      </c>
      <c r="I4031" s="134" t="s">
        <v>19161</v>
      </c>
      <c r="J4031" s="23" t="s">
        <v>31</v>
      </c>
      <c r="K4031" s="23" t="s">
        <v>294</v>
      </c>
      <c r="L4031" s="94" t="s">
        <v>19162</v>
      </c>
      <c r="M4031" s="94">
        <v>5.0</v>
      </c>
      <c r="N4031" s="94"/>
      <c r="O4031" s="94"/>
      <c r="P4031" s="94" t="s">
        <v>19163</v>
      </c>
      <c r="Q4031" s="172"/>
      <c r="R4031" s="94"/>
      <c r="S4031" s="94"/>
      <c r="T4031" s="102" t="s">
        <v>19164</v>
      </c>
      <c r="U4031" s="135" t="str">
        <f>HYPERLINK("https://www.ncbi.nlm.nih.gov/pubmed/12238800","PubMed")</f>
        <v>PubMed</v>
      </c>
      <c r="V4031" s="139"/>
      <c r="W4031" s="49"/>
      <c r="X4031" s="49"/>
      <c r="Y4031" s="35"/>
      <c r="Z4031" s="35"/>
      <c r="AA4031" s="35"/>
      <c r="AB4031" s="35"/>
      <c r="AC4031" s="35"/>
      <c r="AD4031" s="35"/>
      <c r="AE4031" s="35"/>
      <c r="AF4031" s="35"/>
      <c r="AG4031" s="35"/>
      <c r="AH4031" s="35"/>
      <c r="AI4031" s="35"/>
      <c r="AJ4031" s="35"/>
      <c r="AK4031" s="35"/>
      <c r="AL4031" s="35"/>
    </row>
    <row r="4032">
      <c r="A4032" s="133"/>
      <c r="B4032" s="19" t="s">
        <v>18603</v>
      </c>
      <c r="C4032" s="20" t="s">
        <v>18831</v>
      </c>
      <c r="D4032" s="47"/>
      <c r="E4032" s="22" t="s">
        <v>651</v>
      </c>
      <c r="F4032" s="22" t="s">
        <v>183</v>
      </c>
      <c r="G4032" s="23">
        <v>2002.0</v>
      </c>
      <c r="H4032" s="57" t="s">
        <v>1289</v>
      </c>
      <c r="I4032" s="134" t="s">
        <v>19165</v>
      </c>
      <c r="J4032" s="23" t="s">
        <v>31</v>
      </c>
      <c r="K4032" s="23" t="s">
        <v>294</v>
      </c>
      <c r="L4032" s="94" t="s">
        <v>19162</v>
      </c>
      <c r="M4032" s="94">
        <v>5.0</v>
      </c>
      <c r="N4032" s="94"/>
      <c r="O4032" s="94"/>
      <c r="P4032" s="94" t="s">
        <v>19166</v>
      </c>
      <c r="Q4032" s="172"/>
      <c r="R4032" s="94"/>
      <c r="S4032" s="94"/>
      <c r="T4032" s="103" t="s">
        <v>19167</v>
      </c>
      <c r="U4032" s="135" t="str">
        <f>HYPERLINK("https://www.ncbi.nlm.nih.gov/pubmed/11902350","PubMed")</f>
        <v>PubMed</v>
      </c>
      <c r="V4032" s="139"/>
      <c r="W4032" s="49"/>
      <c r="X4032" s="49"/>
      <c r="Y4032" s="35"/>
      <c r="Z4032" s="35"/>
      <c r="AA4032" s="35"/>
      <c r="AB4032" s="35"/>
      <c r="AC4032" s="35"/>
      <c r="AD4032" s="35"/>
      <c r="AE4032" s="35"/>
      <c r="AF4032" s="35"/>
      <c r="AG4032" s="35"/>
      <c r="AH4032" s="35"/>
      <c r="AI4032" s="35"/>
      <c r="AJ4032" s="35"/>
      <c r="AK4032" s="35"/>
      <c r="AL4032" s="35"/>
    </row>
    <row r="4033">
      <c r="A4033" s="133"/>
      <c r="B4033" s="19" t="s">
        <v>18603</v>
      </c>
      <c r="C4033" s="20" t="s">
        <v>18831</v>
      </c>
      <c r="D4033" s="47"/>
      <c r="E4033" s="22" t="s">
        <v>6570</v>
      </c>
      <c r="F4033" s="22" t="s">
        <v>19168</v>
      </c>
      <c r="G4033" s="23">
        <v>1997.0</v>
      </c>
      <c r="H4033" s="22" t="s">
        <v>207</v>
      </c>
      <c r="I4033" s="134" t="s">
        <v>19169</v>
      </c>
      <c r="J4033" s="23" t="s">
        <v>31</v>
      </c>
      <c r="K4033" s="23"/>
      <c r="L4033" s="94">
        <v>805.0</v>
      </c>
      <c r="M4033" s="94"/>
      <c r="N4033" s="94"/>
      <c r="O4033" s="94"/>
      <c r="P4033" s="94"/>
      <c r="Q4033" s="172"/>
      <c r="R4033" s="94"/>
      <c r="S4033" s="94"/>
      <c r="T4033" s="54" t="s">
        <v>19170</v>
      </c>
      <c r="U4033" s="135" t="str">
        <f>HYPERLINK("https://www.ncbi.nlm.nih.gov/pubmed/9372613","PubMed")</f>
        <v>PubMed</v>
      </c>
      <c r="V4033" s="139"/>
      <c r="W4033" s="49"/>
      <c r="X4033" s="49"/>
      <c r="Y4033" s="35"/>
      <c r="Z4033" s="35"/>
      <c r="AA4033" s="35"/>
      <c r="AB4033" s="35"/>
      <c r="AC4033" s="35"/>
      <c r="AD4033" s="35"/>
      <c r="AE4033" s="35"/>
      <c r="AF4033" s="35"/>
      <c r="AG4033" s="35"/>
      <c r="AH4033" s="35"/>
      <c r="AI4033" s="35"/>
      <c r="AJ4033" s="35"/>
      <c r="AK4033" s="35"/>
      <c r="AL4033" s="35"/>
    </row>
    <row r="4034">
      <c r="A4034" s="133"/>
      <c r="B4034" s="19" t="s">
        <v>18603</v>
      </c>
      <c r="C4034" s="20" t="s">
        <v>18831</v>
      </c>
      <c r="D4034" s="47"/>
      <c r="E4034" s="22" t="s">
        <v>19171</v>
      </c>
      <c r="F4034" s="22" t="s">
        <v>206</v>
      </c>
      <c r="G4034" s="23">
        <v>1991.0</v>
      </c>
      <c r="H4034" s="22" t="s">
        <v>1289</v>
      </c>
      <c r="I4034" s="134" t="s">
        <v>19172</v>
      </c>
      <c r="J4034" s="23" t="s">
        <v>31</v>
      </c>
      <c r="K4034" s="23"/>
      <c r="L4034" s="94">
        <v>633.0</v>
      </c>
      <c r="M4034" s="94"/>
      <c r="N4034" s="94"/>
      <c r="O4034" s="94"/>
      <c r="P4034" s="94"/>
      <c r="Q4034" s="172"/>
      <c r="R4034" s="94"/>
      <c r="S4034" s="94"/>
      <c r="T4034" s="103" t="s">
        <v>19173</v>
      </c>
      <c r="U4034" s="135" t="str">
        <f>HYPERLINK("https://www.ncbi.nlm.nih.gov/pubmed/10149442","PubMed")</f>
        <v>PubMed</v>
      </c>
      <c r="V4034" s="139"/>
      <c r="W4034" s="49"/>
      <c r="X4034" s="49"/>
      <c r="Y4034" s="35"/>
      <c r="Z4034" s="35"/>
      <c r="AA4034" s="35"/>
      <c r="AB4034" s="35"/>
      <c r="AC4034" s="35"/>
      <c r="AD4034" s="35"/>
      <c r="AE4034" s="35"/>
      <c r="AF4034" s="35"/>
      <c r="AG4034" s="35"/>
      <c r="AH4034" s="35"/>
      <c r="AI4034" s="35"/>
      <c r="AJ4034" s="35"/>
      <c r="AK4034" s="35"/>
      <c r="AL4034" s="35"/>
    </row>
    <row r="4035">
      <c r="A4035" s="191"/>
      <c r="B4035" s="75" t="s">
        <v>18603</v>
      </c>
      <c r="C4035" s="20" t="s">
        <v>19174</v>
      </c>
      <c r="D4035" s="47"/>
      <c r="E4035" s="22" t="s">
        <v>8977</v>
      </c>
      <c r="F4035" s="22" t="s">
        <v>299</v>
      </c>
      <c r="G4035" s="23">
        <v>2024.0</v>
      </c>
      <c r="H4035" s="22" t="s">
        <v>207</v>
      </c>
      <c r="I4035" s="24" t="s">
        <v>19175</v>
      </c>
      <c r="J4035" s="23" t="s">
        <v>209</v>
      </c>
      <c r="K4035" s="22"/>
      <c r="L4035" s="36">
        <v>670.0</v>
      </c>
      <c r="M4035" s="36"/>
      <c r="N4035" s="36"/>
      <c r="O4035" s="36"/>
      <c r="P4035" s="37" t="s">
        <v>8012</v>
      </c>
      <c r="Q4035" s="36"/>
      <c r="R4035" s="36"/>
      <c r="S4035" s="36"/>
      <c r="T4035" s="41" t="s">
        <v>19176</v>
      </c>
      <c r="U4035" s="38" t="s">
        <v>61</v>
      </c>
      <c r="V4035" s="30"/>
      <c r="W4035" s="49"/>
      <c r="X4035" s="49"/>
      <c r="Y4035" s="35"/>
      <c r="Z4035" s="35"/>
      <c r="AA4035" s="35"/>
      <c r="AB4035" s="35"/>
      <c r="AC4035" s="35"/>
      <c r="AD4035" s="35"/>
      <c r="AE4035" s="35"/>
      <c r="AF4035" s="35"/>
      <c r="AG4035" s="35"/>
      <c r="AH4035" s="35"/>
      <c r="AI4035" s="35"/>
      <c r="AJ4035" s="35"/>
      <c r="AK4035" s="35"/>
      <c r="AL4035" s="35"/>
    </row>
    <row r="4036">
      <c r="A4036" s="133"/>
      <c r="B4036" s="19" t="s">
        <v>18603</v>
      </c>
      <c r="C4036" s="20" t="s">
        <v>19174</v>
      </c>
      <c r="D4036" s="47"/>
      <c r="E4036" s="22" t="s">
        <v>19177</v>
      </c>
      <c r="F4036" s="22" t="s">
        <v>1081</v>
      </c>
      <c r="G4036" s="23">
        <v>2024.0</v>
      </c>
      <c r="H4036" s="22" t="s">
        <v>207</v>
      </c>
      <c r="I4036" s="134" t="s">
        <v>19178</v>
      </c>
      <c r="J4036" s="23" t="s">
        <v>19179</v>
      </c>
      <c r="K4036" s="23"/>
      <c r="L4036" s="94" t="s">
        <v>19180</v>
      </c>
      <c r="M4036" s="94"/>
      <c r="N4036" s="94"/>
      <c r="O4036" s="94"/>
      <c r="P4036" s="94"/>
      <c r="Q4036" s="172"/>
      <c r="R4036" s="94"/>
      <c r="S4036" s="94"/>
      <c r="T4036" s="103" t="s">
        <v>19181</v>
      </c>
      <c r="U4036" s="135" t="s">
        <v>61</v>
      </c>
      <c r="V4036" s="136" t="s">
        <v>174</v>
      </c>
      <c r="W4036" s="49"/>
      <c r="X4036" s="49"/>
      <c r="Y4036" s="35"/>
      <c r="Z4036" s="35"/>
      <c r="AA4036" s="35"/>
      <c r="AB4036" s="35"/>
      <c r="AC4036" s="35"/>
      <c r="AD4036" s="35"/>
      <c r="AE4036" s="35"/>
      <c r="AF4036" s="35"/>
      <c r="AG4036" s="35"/>
      <c r="AH4036" s="35"/>
      <c r="AI4036" s="35"/>
      <c r="AJ4036" s="35"/>
      <c r="AK4036" s="35"/>
      <c r="AL4036" s="35"/>
    </row>
    <row r="4037">
      <c r="A4037" s="133"/>
      <c r="B4037" s="19" t="s">
        <v>18603</v>
      </c>
      <c r="C4037" s="20" t="s">
        <v>19174</v>
      </c>
      <c r="D4037" s="47"/>
      <c r="E4037" s="22" t="s">
        <v>19182</v>
      </c>
      <c r="F4037" s="22" t="s">
        <v>2391</v>
      </c>
      <c r="G4037" s="23">
        <v>2024.0</v>
      </c>
      <c r="H4037" s="22" t="s">
        <v>191</v>
      </c>
      <c r="I4037" s="134" t="s">
        <v>19183</v>
      </c>
      <c r="J4037" s="23" t="s">
        <v>55</v>
      </c>
      <c r="K4037" s="23" t="s">
        <v>19184</v>
      </c>
      <c r="L4037" s="94">
        <v>1050.0</v>
      </c>
      <c r="M4037" s="94"/>
      <c r="N4037" s="94"/>
      <c r="O4037" s="94"/>
      <c r="P4037" s="94"/>
      <c r="Q4037" s="172"/>
      <c r="R4037" s="94"/>
      <c r="S4037" s="94"/>
      <c r="T4037" s="54" t="s">
        <v>19185</v>
      </c>
      <c r="U4037" s="135" t="s">
        <v>61</v>
      </c>
      <c r="V4037" s="136"/>
      <c r="W4037" s="49"/>
      <c r="X4037" s="49"/>
      <c r="Y4037" s="35"/>
      <c r="Z4037" s="35"/>
      <c r="AA4037" s="35"/>
      <c r="AB4037" s="35"/>
      <c r="AC4037" s="35"/>
      <c r="AD4037" s="35"/>
      <c r="AE4037" s="35"/>
      <c r="AF4037" s="35"/>
      <c r="AG4037" s="35"/>
      <c r="AH4037" s="35"/>
      <c r="AI4037" s="35"/>
      <c r="AJ4037" s="35"/>
      <c r="AK4037" s="35"/>
      <c r="AL4037" s="35"/>
    </row>
    <row r="4038">
      <c r="A4038" s="133"/>
      <c r="B4038" s="19" t="s">
        <v>18603</v>
      </c>
      <c r="C4038" s="20" t="s">
        <v>19174</v>
      </c>
      <c r="D4038" s="47"/>
      <c r="E4038" s="22" t="s">
        <v>19186</v>
      </c>
      <c r="F4038" s="22" t="s">
        <v>4724</v>
      </c>
      <c r="G4038" s="23">
        <v>2023.0</v>
      </c>
      <c r="H4038" s="22" t="s">
        <v>147</v>
      </c>
      <c r="I4038" s="134" t="s">
        <v>19187</v>
      </c>
      <c r="J4038" s="23" t="s">
        <v>209</v>
      </c>
      <c r="K4038" s="23" t="s">
        <v>19188</v>
      </c>
      <c r="L4038" s="94" t="s">
        <v>19189</v>
      </c>
      <c r="M4038" s="94"/>
      <c r="N4038" s="94"/>
      <c r="O4038" s="94"/>
      <c r="P4038" s="94"/>
      <c r="Q4038" s="172"/>
      <c r="R4038" s="94"/>
      <c r="S4038" s="94"/>
      <c r="T4038" s="54" t="s">
        <v>19190</v>
      </c>
      <c r="U4038" s="135" t="s">
        <v>61</v>
      </c>
      <c r="V4038" s="136"/>
      <c r="W4038" s="49"/>
      <c r="X4038" s="49"/>
      <c r="Y4038" s="35"/>
      <c r="Z4038" s="35"/>
      <c r="AA4038" s="35"/>
      <c r="AB4038" s="35"/>
      <c r="AC4038" s="35"/>
      <c r="AD4038" s="35"/>
      <c r="AE4038" s="35"/>
      <c r="AF4038" s="35"/>
      <c r="AG4038" s="35"/>
      <c r="AH4038" s="35"/>
      <c r="AI4038" s="35"/>
      <c r="AJ4038" s="35"/>
      <c r="AK4038" s="35"/>
      <c r="AL4038" s="35"/>
    </row>
    <row r="4039">
      <c r="A4039" s="133"/>
      <c r="B4039" s="19" t="s">
        <v>18603</v>
      </c>
      <c r="C4039" s="20" t="s">
        <v>19174</v>
      </c>
      <c r="D4039" s="47"/>
      <c r="E4039" s="22" t="s">
        <v>88</v>
      </c>
      <c r="F4039" s="22" t="s">
        <v>41</v>
      </c>
      <c r="G4039" s="23">
        <v>2023.0</v>
      </c>
      <c r="H4039" s="22" t="s">
        <v>15572</v>
      </c>
      <c r="I4039" s="134" t="s">
        <v>19191</v>
      </c>
      <c r="J4039" s="23" t="s">
        <v>44</v>
      </c>
      <c r="K4039" s="23"/>
      <c r="L4039" s="94"/>
      <c r="M4039" s="94"/>
      <c r="N4039" s="94"/>
      <c r="O4039" s="94"/>
      <c r="P4039" s="94"/>
      <c r="Q4039" s="172"/>
      <c r="R4039" s="94"/>
      <c r="S4039" s="94"/>
      <c r="T4039" s="54" t="s">
        <v>19192</v>
      </c>
      <c r="U4039" s="135" t="s">
        <v>61</v>
      </c>
      <c r="V4039" s="136" t="s">
        <v>19193</v>
      </c>
      <c r="W4039" s="49"/>
      <c r="X4039" s="49"/>
      <c r="Y4039" s="35"/>
      <c r="Z4039" s="35"/>
      <c r="AA4039" s="35"/>
      <c r="AB4039" s="35"/>
      <c r="AC4039" s="35"/>
      <c r="AD4039" s="35"/>
      <c r="AE4039" s="35"/>
      <c r="AF4039" s="35"/>
      <c r="AG4039" s="35"/>
      <c r="AH4039" s="35"/>
      <c r="AI4039" s="35"/>
      <c r="AJ4039" s="35"/>
      <c r="AK4039" s="35"/>
      <c r="AL4039" s="35"/>
    </row>
    <row r="4040">
      <c r="A4040" s="133"/>
      <c r="B4040" s="19" t="s">
        <v>18603</v>
      </c>
      <c r="C4040" s="20" t="s">
        <v>19174</v>
      </c>
      <c r="D4040" s="47"/>
      <c r="E4040" s="22" t="s">
        <v>19194</v>
      </c>
      <c r="F4040" s="22" t="s">
        <v>19195</v>
      </c>
      <c r="G4040" s="23">
        <v>2023.0</v>
      </c>
      <c r="H4040" s="22" t="s">
        <v>191</v>
      </c>
      <c r="I4040" s="134" t="s">
        <v>19196</v>
      </c>
      <c r="J4040" s="23" t="s">
        <v>44</v>
      </c>
      <c r="K4040" s="23" t="s">
        <v>19197</v>
      </c>
      <c r="L4040" s="94" t="s">
        <v>19198</v>
      </c>
      <c r="M4040" s="94"/>
      <c r="N4040" s="94"/>
      <c r="O4040" s="94"/>
      <c r="P4040" s="94"/>
      <c r="Q4040" s="172"/>
      <c r="R4040" s="94"/>
      <c r="S4040" s="94" t="s">
        <v>19199</v>
      </c>
      <c r="T4040" s="54" t="s">
        <v>19200</v>
      </c>
      <c r="U4040" s="135" t="s">
        <v>61</v>
      </c>
      <c r="V4040" s="136"/>
      <c r="W4040" s="49"/>
      <c r="X4040" s="49"/>
      <c r="Y4040" s="35"/>
      <c r="Z4040" s="35"/>
      <c r="AA4040" s="35"/>
      <c r="AB4040" s="35"/>
      <c r="AC4040" s="35"/>
      <c r="AD4040" s="35"/>
      <c r="AE4040" s="35"/>
      <c r="AF4040" s="35"/>
      <c r="AG4040" s="35"/>
      <c r="AH4040" s="35"/>
      <c r="AI4040" s="35"/>
      <c r="AJ4040" s="35"/>
      <c r="AK4040" s="35"/>
      <c r="AL4040" s="35"/>
    </row>
    <row r="4041">
      <c r="A4041" s="133"/>
      <c r="B4041" s="19" t="s">
        <v>18603</v>
      </c>
      <c r="C4041" s="20" t="s">
        <v>19174</v>
      </c>
      <c r="D4041" s="47"/>
      <c r="E4041" s="22" t="s">
        <v>2783</v>
      </c>
      <c r="F4041" s="22" t="s">
        <v>206</v>
      </c>
      <c r="G4041" s="23">
        <v>2023.0</v>
      </c>
      <c r="H4041" s="22" t="s">
        <v>3523</v>
      </c>
      <c r="I4041" s="134" t="s">
        <v>19201</v>
      </c>
      <c r="J4041" s="23" t="s">
        <v>209</v>
      </c>
      <c r="K4041" s="23"/>
      <c r="L4041" s="94">
        <v>660.0</v>
      </c>
      <c r="M4041" s="94"/>
      <c r="N4041" s="94" t="s">
        <v>3911</v>
      </c>
      <c r="O4041" s="94"/>
      <c r="P4041" s="94" t="s">
        <v>6128</v>
      </c>
      <c r="Q4041" s="172"/>
      <c r="R4041" s="94">
        <v>600.0</v>
      </c>
      <c r="S4041" s="94" t="s">
        <v>3125</v>
      </c>
      <c r="T4041" s="103" t="s">
        <v>19202</v>
      </c>
      <c r="U4041" s="135" t="s">
        <v>61</v>
      </c>
      <c r="V4041" s="136"/>
      <c r="W4041" s="49"/>
      <c r="X4041" s="49"/>
      <c r="Y4041" s="35"/>
      <c r="Z4041" s="35"/>
      <c r="AA4041" s="35"/>
      <c r="AB4041" s="35"/>
      <c r="AC4041" s="35"/>
      <c r="AD4041" s="35"/>
      <c r="AE4041" s="35"/>
      <c r="AF4041" s="35"/>
      <c r="AG4041" s="35"/>
      <c r="AH4041" s="35"/>
      <c r="AI4041" s="35"/>
      <c r="AJ4041" s="35"/>
      <c r="AK4041" s="35"/>
      <c r="AL4041" s="35"/>
    </row>
    <row r="4042">
      <c r="A4042" s="133"/>
      <c r="B4042" s="19" t="s">
        <v>18603</v>
      </c>
      <c r="C4042" s="20" t="s">
        <v>19174</v>
      </c>
      <c r="D4042" s="47"/>
      <c r="E4042" s="22" t="s">
        <v>19203</v>
      </c>
      <c r="F4042" s="22" t="s">
        <v>797</v>
      </c>
      <c r="G4042" s="23">
        <v>2022.0</v>
      </c>
      <c r="H4042" s="22" t="s">
        <v>207</v>
      </c>
      <c r="I4042" s="134" t="s">
        <v>19204</v>
      </c>
      <c r="J4042" s="23" t="s">
        <v>44</v>
      </c>
      <c r="K4042" s="23"/>
      <c r="L4042" s="94" t="s">
        <v>1773</v>
      </c>
      <c r="M4042" s="94" t="s">
        <v>19205</v>
      </c>
      <c r="N4042" s="94"/>
      <c r="O4042" s="94" t="s">
        <v>19206</v>
      </c>
      <c r="P4042" s="94"/>
      <c r="Q4042" s="172" t="s">
        <v>280</v>
      </c>
      <c r="R4042" s="94"/>
      <c r="S4042" s="94" t="s">
        <v>434</v>
      </c>
      <c r="T4042" s="54" t="s">
        <v>19207</v>
      </c>
      <c r="U4042" s="135" t="s">
        <v>61</v>
      </c>
      <c r="V4042" s="136" t="s">
        <v>174</v>
      </c>
      <c r="W4042" s="49"/>
      <c r="X4042" s="49"/>
      <c r="Y4042" s="35"/>
      <c r="Z4042" s="35"/>
      <c r="AA4042" s="35"/>
      <c r="AB4042" s="35"/>
      <c r="AC4042" s="35"/>
      <c r="AD4042" s="35"/>
      <c r="AE4042" s="35"/>
      <c r="AF4042" s="35"/>
      <c r="AG4042" s="35"/>
      <c r="AH4042" s="35"/>
      <c r="AI4042" s="35"/>
      <c r="AJ4042" s="35"/>
      <c r="AK4042" s="35"/>
      <c r="AL4042" s="35"/>
    </row>
    <row r="4043">
      <c r="A4043" s="133"/>
      <c r="B4043" s="19" t="s">
        <v>18603</v>
      </c>
      <c r="C4043" s="20" t="s">
        <v>19174</v>
      </c>
      <c r="D4043" s="47"/>
      <c r="E4043" s="22" t="s">
        <v>19208</v>
      </c>
      <c r="F4043" s="22" t="s">
        <v>19209</v>
      </c>
      <c r="G4043" s="23">
        <v>2022.0</v>
      </c>
      <c r="H4043" s="22" t="s">
        <v>5320</v>
      </c>
      <c r="I4043" s="134" t="s">
        <v>19210</v>
      </c>
      <c r="J4043" s="23" t="s">
        <v>44</v>
      </c>
      <c r="K4043" s="23"/>
      <c r="L4043" s="94" t="s">
        <v>19211</v>
      </c>
      <c r="M4043" s="94"/>
      <c r="N4043" s="94"/>
      <c r="O4043" s="94"/>
      <c r="P4043" s="94"/>
      <c r="Q4043" s="172"/>
      <c r="R4043" s="94"/>
      <c r="S4043" s="94"/>
      <c r="T4043" s="54" t="s">
        <v>19212</v>
      </c>
      <c r="U4043" s="135" t="s">
        <v>61</v>
      </c>
      <c r="V4043" s="136"/>
      <c r="W4043" s="49"/>
      <c r="X4043" s="49"/>
      <c r="Y4043" s="35"/>
      <c r="Z4043" s="35"/>
      <c r="AA4043" s="35"/>
      <c r="AB4043" s="35"/>
      <c r="AC4043" s="35"/>
      <c r="AD4043" s="35"/>
      <c r="AE4043" s="35"/>
      <c r="AF4043" s="35"/>
      <c r="AG4043" s="35"/>
      <c r="AH4043" s="35"/>
      <c r="AI4043" s="35"/>
      <c r="AJ4043" s="35"/>
      <c r="AK4043" s="35"/>
      <c r="AL4043" s="35"/>
    </row>
    <row r="4044">
      <c r="A4044" s="133"/>
      <c r="B4044" s="19" t="s">
        <v>18603</v>
      </c>
      <c r="C4044" s="20" t="s">
        <v>19174</v>
      </c>
      <c r="D4044" s="47"/>
      <c r="E4044" s="22" t="s">
        <v>19213</v>
      </c>
      <c r="F4044" s="22" t="s">
        <v>3681</v>
      </c>
      <c r="G4044" s="23">
        <v>2022.0</v>
      </c>
      <c r="H4044" s="22" t="s">
        <v>11664</v>
      </c>
      <c r="I4044" s="134" t="s">
        <v>19214</v>
      </c>
      <c r="J4044" s="23" t="s">
        <v>55</v>
      </c>
      <c r="K4044" s="23"/>
      <c r="L4044" s="94" t="s">
        <v>19215</v>
      </c>
      <c r="M4044" s="94"/>
      <c r="N4044" s="94"/>
      <c r="O4044" s="94"/>
      <c r="P4044" s="94" t="s">
        <v>19216</v>
      </c>
      <c r="Q4044" s="172"/>
      <c r="R4044" s="94"/>
      <c r="S4044" s="94"/>
      <c r="T4044" s="102" t="s">
        <v>19217</v>
      </c>
      <c r="U4044" s="135" t="s">
        <v>6709</v>
      </c>
      <c r="V4044" s="136"/>
      <c r="W4044" s="49"/>
      <c r="X4044" s="49"/>
      <c r="Y4044" s="35"/>
      <c r="Z4044" s="35"/>
      <c r="AA4044" s="35"/>
      <c r="AB4044" s="35"/>
      <c r="AC4044" s="35"/>
      <c r="AD4044" s="35"/>
      <c r="AE4044" s="35"/>
      <c r="AF4044" s="35"/>
      <c r="AG4044" s="35"/>
      <c r="AH4044" s="35"/>
      <c r="AI4044" s="35"/>
      <c r="AJ4044" s="35"/>
      <c r="AK4044" s="35"/>
      <c r="AL4044" s="35"/>
    </row>
    <row r="4045">
      <c r="A4045" s="133"/>
      <c r="B4045" s="19" t="s">
        <v>18603</v>
      </c>
      <c r="C4045" s="20" t="s">
        <v>19174</v>
      </c>
      <c r="D4045" s="47"/>
      <c r="E4045" s="22" t="s">
        <v>1080</v>
      </c>
      <c r="F4045" s="22" t="s">
        <v>1081</v>
      </c>
      <c r="G4045" s="23">
        <v>2022.0</v>
      </c>
      <c r="H4045" s="22" t="s">
        <v>207</v>
      </c>
      <c r="I4045" s="134" t="s">
        <v>19218</v>
      </c>
      <c r="J4045" s="23" t="s">
        <v>209</v>
      </c>
      <c r="K4045" s="23"/>
      <c r="L4045" s="94" t="s">
        <v>19219</v>
      </c>
      <c r="M4045" s="94"/>
      <c r="N4045" s="94"/>
      <c r="O4045" s="94" t="s">
        <v>19220</v>
      </c>
      <c r="P4045" s="93"/>
      <c r="Q4045" s="172"/>
      <c r="R4045" s="94"/>
      <c r="S4045" s="94"/>
      <c r="T4045" s="54" t="s">
        <v>19221</v>
      </c>
      <c r="U4045" s="135" t="s">
        <v>61</v>
      </c>
      <c r="V4045" s="136"/>
      <c r="W4045" s="49"/>
      <c r="X4045" s="49"/>
      <c r="Y4045" s="35"/>
      <c r="Z4045" s="35"/>
      <c r="AA4045" s="35"/>
      <c r="AB4045" s="35"/>
      <c r="AC4045" s="35"/>
      <c r="AD4045" s="35"/>
      <c r="AE4045" s="35"/>
      <c r="AF4045" s="35"/>
      <c r="AG4045" s="35"/>
      <c r="AH4045" s="35"/>
      <c r="AI4045" s="35"/>
      <c r="AJ4045" s="35"/>
      <c r="AK4045" s="35"/>
      <c r="AL4045" s="35"/>
    </row>
    <row r="4046">
      <c r="A4046" s="133"/>
      <c r="B4046" s="19" t="s">
        <v>18603</v>
      </c>
      <c r="C4046" s="20" t="s">
        <v>19174</v>
      </c>
      <c r="D4046" s="47"/>
      <c r="E4046" s="22" t="s">
        <v>19222</v>
      </c>
      <c r="F4046" s="22" t="s">
        <v>3522</v>
      </c>
      <c r="G4046" s="23">
        <v>2022.0</v>
      </c>
      <c r="H4046" s="22" t="s">
        <v>3523</v>
      </c>
      <c r="I4046" s="134" t="s">
        <v>19223</v>
      </c>
      <c r="J4046" s="23" t="s">
        <v>19224</v>
      </c>
      <c r="K4046" s="23"/>
      <c r="L4046" s="94">
        <v>830.0</v>
      </c>
      <c r="M4046" s="94"/>
      <c r="N4046" s="94"/>
      <c r="O4046" s="94"/>
      <c r="P4046" s="93"/>
      <c r="Q4046" s="172"/>
      <c r="R4046" s="94"/>
      <c r="S4046" s="94"/>
      <c r="T4046" s="54" t="s">
        <v>19225</v>
      </c>
      <c r="U4046" s="138" t="s">
        <v>61</v>
      </c>
      <c r="V4046" s="136"/>
      <c r="W4046" s="49"/>
      <c r="X4046" s="49"/>
      <c r="Y4046" s="35"/>
      <c r="Z4046" s="35"/>
      <c r="AA4046" s="35"/>
      <c r="AB4046" s="35"/>
      <c r="AC4046" s="35"/>
      <c r="AD4046" s="35"/>
      <c r="AE4046" s="35"/>
      <c r="AF4046" s="35"/>
      <c r="AG4046" s="35"/>
      <c r="AH4046" s="35"/>
      <c r="AI4046" s="35"/>
      <c r="AJ4046" s="35"/>
      <c r="AK4046" s="35"/>
      <c r="AL4046" s="35"/>
    </row>
    <row r="4047">
      <c r="A4047" s="133"/>
      <c r="B4047" s="19" t="s">
        <v>18603</v>
      </c>
      <c r="C4047" s="20" t="s">
        <v>19174</v>
      </c>
      <c r="D4047" s="47"/>
      <c r="E4047" s="22" t="s">
        <v>7614</v>
      </c>
      <c r="F4047" s="22" t="s">
        <v>4999</v>
      </c>
      <c r="G4047" s="23">
        <v>2022.0</v>
      </c>
      <c r="H4047" s="22" t="s">
        <v>18691</v>
      </c>
      <c r="I4047" s="134" t="s">
        <v>19226</v>
      </c>
      <c r="J4047" s="23" t="s">
        <v>209</v>
      </c>
      <c r="K4047" s="23"/>
      <c r="L4047" s="94">
        <v>633.0</v>
      </c>
      <c r="M4047" s="94"/>
      <c r="N4047" s="94" t="s">
        <v>7416</v>
      </c>
      <c r="O4047" s="94" t="s">
        <v>19227</v>
      </c>
      <c r="P4047" s="93"/>
      <c r="Q4047" s="172"/>
      <c r="R4047" s="94"/>
      <c r="S4047" s="94"/>
      <c r="T4047" s="54" t="s">
        <v>19228</v>
      </c>
      <c r="U4047" s="138" t="s">
        <v>61</v>
      </c>
      <c r="V4047" s="136" t="s">
        <v>19229</v>
      </c>
      <c r="W4047" s="49"/>
      <c r="X4047" s="49"/>
      <c r="Y4047" s="35"/>
      <c r="Z4047" s="35"/>
      <c r="AA4047" s="35"/>
      <c r="AB4047" s="35"/>
      <c r="AC4047" s="35"/>
      <c r="AD4047" s="35"/>
      <c r="AE4047" s="35"/>
      <c r="AF4047" s="35"/>
      <c r="AG4047" s="35"/>
      <c r="AH4047" s="35"/>
      <c r="AI4047" s="35"/>
      <c r="AJ4047" s="35"/>
      <c r="AK4047" s="35"/>
      <c r="AL4047" s="35"/>
    </row>
    <row r="4048">
      <c r="A4048" s="133"/>
      <c r="B4048" s="19" t="s">
        <v>18603</v>
      </c>
      <c r="C4048" s="20" t="s">
        <v>19174</v>
      </c>
      <c r="D4048" s="47"/>
      <c r="E4048" s="22" t="s">
        <v>6140</v>
      </c>
      <c r="F4048" s="22" t="s">
        <v>6828</v>
      </c>
      <c r="G4048" s="23">
        <v>2022.0</v>
      </c>
      <c r="H4048" s="22" t="s">
        <v>960</v>
      </c>
      <c r="I4048" s="134" t="s">
        <v>19230</v>
      </c>
      <c r="J4048" s="23" t="s">
        <v>44</v>
      </c>
      <c r="K4048" s="23" t="s">
        <v>157</v>
      </c>
      <c r="L4048" s="94">
        <v>863.0</v>
      </c>
      <c r="M4048" s="94"/>
      <c r="N4048" s="94" t="s">
        <v>19231</v>
      </c>
      <c r="O4048" s="94"/>
      <c r="P4048" s="93"/>
      <c r="Q4048" s="172"/>
      <c r="R4048" s="94">
        <v>1800.0</v>
      </c>
      <c r="S4048" s="94"/>
      <c r="T4048" s="102" t="s">
        <v>19232</v>
      </c>
      <c r="U4048" s="138" t="s">
        <v>61</v>
      </c>
      <c r="V4048" s="139"/>
      <c r="W4048" s="49"/>
      <c r="X4048" s="49"/>
      <c r="Y4048" s="35"/>
      <c r="Z4048" s="35"/>
      <c r="AA4048" s="35"/>
      <c r="AB4048" s="35"/>
      <c r="AC4048" s="35"/>
      <c r="AD4048" s="35"/>
      <c r="AE4048" s="35"/>
      <c r="AF4048" s="35"/>
      <c r="AG4048" s="35"/>
      <c r="AH4048" s="35"/>
      <c r="AI4048" s="35"/>
      <c r="AJ4048" s="35"/>
      <c r="AK4048" s="35"/>
      <c r="AL4048" s="35"/>
    </row>
    <row r="4049">
      <c r="A4049" s="133"/>
      <c r="B4049" s="19" t="s">
        <v>18603</v>
      </c>
      <c r="C4049" s="20" t="s">
        <v>19174</v>
      </c>
      <c r="D4049" s="47"/>
      <c r="E4049" s="22" t="s">
        <v>9405</v>
      </c>
      <c r="F4049" s="22" t="s">
        <v>1905</v>
      </c>
      <c r="G4049" s="23">
        <v>2021.0</v>
      </c>
      <c r="H4049" s="22" t="s">
        <v>2479</v>
      </c>
      <c r="I4049" s="134" t="s">
        <v>19233</v>
      </c>
      <c r="J4049" s="23" t="s">
        <v>44</v>
      </c>
      <c r="K4049" s="23" t="s">
        <v>157</v>
      </c>
      <c r="L4049" s="94">
        <v>642.0</v>
      </c>
      <c r="M4049" s="94"/>
      <c r="N4049" s="94"/>
      <c r="O4049" s="94"/>
      <c r="P4049" s="93">
        <v>44368.0</v>
      </c>
      <c r="Q4049" s="172"/>
      <c r="R4049" s="94">
        <v>1800.0</v>
      </c>
      <c r="S4049" s="94"/>
      <c r="T4049" s="103" t="s">
        <v>19234</v>
      </c>
      <c r="U4049" s="138" t="s">
        <v>61</v>
      </c>
      <c r="V4049" s="139"/>
      <c r="W4049" s="49"/>
      <c r="X4049" s="49"/>
      <c r="Y4049" s="35"/>
      <c r="Z4049" s="35"/>
      <c r="AA4049" s="35"/>
      <c r="AB4049" s="35"/>
      <c r="AC4049" s="35"/>
      <c r="AD4049" s="35"/>
      <c r="AE4049" s="35"/>
      <c r="AF4049" s="35"/>
      <c r="AG4049" s="35"/>
      <c r="AH4049" s="35"/>
      <c r="AI4049" s="35"/>
      <c r="AJ4049" s="35"/>
      <c r="AK4049" s="35"/>
      <c r="AL4049" s="35"/>
    </row>
    <row r="4050">
      <c r="A4050" s="133"/>
      <c r="B4050" s="19" t="s">
        <v>18603</v>
      </c>
      <c r="C4050" s="20" t="s">
        <v>19174</v>
      </c>
      <c r="D4050" s="47"/>
      <c r="E4050" s="22" t="s">
        <v>5058</v>
      </c>
      <c r="F4050" s="22" t="s">
        <v>237</v>
      </c>
      <c r="G4050" s="23">
        <v>2021.0</v>
      </c>
      <c r="H4050" s="22" t="s">
        <v>19235</v>
      </c>
      <c r="I4050" s="134" t="s">
        <v>19236</v>
      </c>
      <c r="J4050" s="23" t="s">
        <v>44</v>
      </c>
      <c r="K4050" s="23"/>
      <c r="L4050" s="94">
        <v>660.0</v>
      </c>
      <c r="M4050" s="94">
        <v>100.0</v>
      </c>
      <c r="N4050" s="94"/>
      <c r="O4050" s="94" t="s">
        <v>19237</v>
      </c>
      <c r="P4050" s="94">
        <v>6.0</v>
      </c>
      <c r="Q4050" s="172"/>
      <c r="R4050" s="94"/>
      <c r="S4050" s="94">
        <v>84.0</v>
      </c>
      <c r="T4050" s="54" t="s">
        <v>19238</v>
      </c>
      <c r="U4050" s="138" t="s">
        <v>61</v>
      </c>
      <c r="V4050" s="139"/>
      <c r="W4050" s="49"/>
      <c r="X4050" s="49"/>
      <c r="Y4050" s="35"/>
      <c r="Z4050" s="35"/>
      <c r="AA4050" s="35"/>
      <c r="AB4050" s="35"/>
      <c r="AC4050" s="35"/>
      <c r="AD4050" s="35"/>
      <c r="AE4050" s="35"/>
      <c r="AF4050" s="35"/>
      <c r="AG4050" s="35"/>
      <c r="AH4050" s="35"/>
      <c r="AI4050" s="35"/>
      <c r="AJ4050" s="35"/>
      <c r="AK4050" s="35"/>
      <c r="AL4050" s="35"/>
    </row>
    <row r="4051">
      <c r="A4051" s="133"/>
      <c r="B4051" s="19" t="s">
        <v>18603</v>
      </c>
      <c r="C4051" s="20" t="s">
        <v>19174</v>
      </c>
      <c r="D4051" s="47"/>
      <c r="E4051" s="22" t="s">
        <v>88</v>
      </c>
      <c r="F4051" s="22" t="s">
        <v>400</v>
      </c>
      <c r="G4051" s="23">
        <v>2021.0</v>
      </c>
      <c r="H4051" s="22" t="s">
        <v>207</v>
      </c>
      <c r="I4051" s="134" t="s">
        <v>19239</v>
      </c>
      <c r="J4051" s="23" t="s">
        <v>44</v>
      </c>
      <c r="K4051" s="23"/>
      <c r="L4051" s="94">
        <v>660.0</v>
      </c>
      <c r="M4051" s="94">
        <v>20.0</v>
      </c>
      <c r="N4051" s="94" t="s">
        <v>1185</v>
      </c>
      <c r="O4051" s="94"/>
      <c r="P4051" s="94">
        <v>150.0</v>
      </c>
      <c r="Q4051" s="172" t="s">
        <v>19240</v>
      </c>
      <c r="R4051" s="94"/>
      <c r="S4051" s="94"/>
      <c r="T4051" s="54" t="s">
        <v>19241</v>
      </c>
      <c r="U4051" s="138" t="s">
        <v>61</v>
      </c>
      <c r="V4051" s="139"/>
      <c r="W4051" s="49"/>
      <c r="X4051" s="49"/>
      <c r="Y4051" s="35"/>
      <c r="Z4051" s="35"/>
      <c r="AA4051" s="35"/>
      <c r="AB4051" s="35"/>
      <c r="AC4051" s="35"/>
      <c r="AD4051" s="35"/>
      <c r="AE4051" s="35"/>
      <c r="AF4051" s="35"/>
      <c r="AG4051" s="35"/>
      <c r="AH4051" s="35"/>
      <c r="AI4051" s="35"/>
      <c r="AJ4051" s="35"/>
      <c r="AK4051" s="35"/>
      <c r="AL4051" s="35"/>
    </row>
    <row r="4052">
      <c r="A4052" s="133"/>
      <c r="B4052" s="19" t="s">
        <v>18603</v>
      </c>
      <c r="C4052" s="20" t="s">
        <v>19174</v>
      </c>
      <c r="D4052" s="47"/>
      <c r="E4052" s="22" t="s">
        <v>1101</v>
      </c>
      <c r="F4052" s="22" t="s">
        <v>41</v>
      </c>
      <c r="G4052" s="23">
        <v>2020.0</v>
      </c>
      <c r="H4052" s="22" t="s">
        <v>4975</v>
      </c>
      <c r="I4052" s="134" t="s">
        <v>19242</v>
      </c>
      <c r="J4052" s="23" t="s">
        <v>44</v>
      </c>
      <c r="K4052" s="23"/>
      <c r="L4052" s="94">
        <v>660.0</v>
      </c>
      <c r="M4052" s="94"/>
      <c r="N4052" s="94"/>
      <c r="O4052" s="94" t="s">
        <v>19055</v>
      </c>
      <c r="P4052" s="93"/>
      <c r="Q4052" s="172"/>
      <c r="R4052" s="94"/>
      <c r="S4052" s="94"/>
      <c r="T4052" s="54" t="s">
        <v>19243</v>
      </c>
      <c r="U4052" s="138" t="s">
        <v>61</v>
      </c>
      <c r="V4052" s="139"/>
      <c r="W4052" s="49"/>
      <c r="X4052" s="49"/>
      <c r="Y4052" s="35"/>
      <c r="Z4052" s="35"/>
      <c r="AA4052" s="35"/>
      <c r="AB4052" s="35"/>
      <c r="AC4052" s="35"/>
      <c r="AD4052" s="35"/>
      <c r="AE4052" s="35"/>
      <c r="AF4052" s="35"/>
      <c r="AG4052" s="35"/>
      <c r="AH4052" s="35"/>
      <c r="AI4052" s="35"/>
      <c r="AJ4052" s="35"/>
      <c r="AK4052" s="35"/>
      <c r="AL4052" s="35"/>
    </row>
    <row r="4053">
      <c r="A4053" s="133"/>
      <c r="B4053" s="19" t="s">
        <v>18603</v>
      </c>
      <c r="C4053" s="20" t="s">
        <v>19174</v>
      </c>
      <c r="D4053" s="47"/>
      <c r="E4053" s="22" t="s">
        <v>19065</v>
      </c>
      <c r="F4053" s="22" t="s">
        <v>2052</v>
      </c>
      <c r="G4053" s="23">
        <v>2020.0</v>
      </c>
      <c r="H4053" s="22" t="s">
        <v>8177</v>
      </c>
      <c r="I4053" s="134" t="s">
        <v>19244</v>
      </c>
      <c r="J4053" s="23" t="s">
        <v>44</v>
      </c>
      <c r="K4053" s="23"/>
      <c r="L4053" s="94">
        <v>660.0</v>
      </c>
      <c r="M4053" s="94"/>
      <c r="N4053" s="94"/>
      <c r="O4053" s="94"/>
      <c r="P4053" s="93">
        <v>43939.0</v>
      </c>
      <c r="Q4053" s="172"/>
      <c r="R4053" s="94"/>
      <c r="S4053" s="94"/>
      <c r="T4053" s="102" t="s">
        <v>19245</v>
      </c>
      <c r="U4053" s="135" t="str">
        <f>HYPERLINK("https://www.ncbi.nlm.nih.gov/pubmed/31705378","PubMed")</f>
        <v>PubMed</v>
      </c>
      <c r="V4053" s="139"/>
      <c r="W4053" s="49"/>
      <c r="X4053" s="49"/>
      <c r="Y4053" s="35"/>
      <c r="Z4053" s="35"/>
      <c r="AA4053" s="35"/>
      <c r="AB4053" s="35"/>
      <c r="AC4053" s="35"/>
      <c r="AD4053" s="35"/>
      <c r="AE4053" s="35"/>
      <c r="AF4053" s="35"/>
      <c r="AG4053" s="35"/>
      <c r="AH4053" s="35"/>
      <c r="AI4053" s="35"/>
      <c r="AJ4053" s="35"/>
      <c r="AK4053" s="35"/>
      <c r="AL4053" s="35"/>
    </row>
    <row r="4054">
      <c r="A4054" s="191"/>
      <c r="B4054" s="19" t="s">
        <v>18603</v>
      </c>
      <c r="C4054" s="20" t="s">
        <v>19174</v>
      </c>
      <c r="D4054" s="47"/>
      <c r="E4054" s="22" t="s">
        <v>19246</v>
      </c>
      <c r="F4054" s="22" t="s">
        <v>19247</v>
      </c>
      <c r="G4054" s="23">
        <v>2020.0</v>
      </c>
      <c r="H4054" s="22" t="s">
        <v>8177</v>
      </c>
      <c r="I4054" s="24" t="s">
        <v>19248</v>
      </c>
      <c r="J4054" s="23" t="s">
        <v>3887</v>
      </c>
      <c r="K4054" s="335"/>
      <c r="L4054" s="105" t="s">
        <v>19249</v>
      </c>
      <c r="M4054" s="44"/>
      <c r="N4054" s="44"/>
      <c r="O4054" s="44"/>
      <c r="P4054" s="44"/>
      <c r="Q4054" s="44"/>
      <c r="R4054" s="44"/>
      <c r="S4054" s="44"/>
      <c r="T4054" s="45"/>
      <c r="U4054" s="153" t="str">
        <f>HYPERLINK("https://www.ncbi.nlm.nih.gov/pubmed/32198559","PubMed")</f>
        <v>PubMed</v>
      </c>
      <c r="V4054" s="30"/>
      <c r="W4054" s="49"/>
      <c r="X4054" s="49"/>
      <c r="Y4054" s="35"/>
      <c r="Z4054" s="35"/>
      <c r="AA4054" s="35"/>
      <c r="AB4054" s="35"/>
      <c r="AC4054" s="35"/>
      <c r="AD4054" s="35"/>
      <c r="AE4054" s="35"/>
      <c r="AF4054" s="35"/>
      <c r="AG4054" s="35"/>
      <c r="AH4054" s="35"/>
      <c r="AI4054" s="35"/>
      <c r="AJ4054" s="35"/>
      <c r="AK4054" s="35"/>
      <c r="AL4054" s="35"/>
    </row>
    <row r="4055">
      <c r="A4055" s="191"/>
      <c r="B4055" s="19" t="s">
        <v>18603</v>
      </c>
      <c r="C4055" s="20" t="s">
        <v>19174</v>
      </c>
      <c r="D4055" s="47"/>
      <c r="E4055" s="22" t="s">
        <v>19250</v>
      </c>
      <c r="F4055" s="22" t="s">
        <v>2407</v>
      </c>
      <c r="G4055" s="23">
        <v>2019.0</v>
      </c>
      <c r="H4055" s="22" t="s">
        <v>8177</v>
      </c>
      <c r="I4055" s="24" t="s">
        <v>19251</v>
      </c>
      <c r="J4055" s="23" t="s">
        <v>3887</v>
      </c>
      <c r="K4055" s="335"/>
      <c r="L4055" s="195" t="s">
        <v>19252</v>
      </c>
      <c r="M4055" s="44"/>
      <c r="N4055" s="44"/>
      <c r="O4055" s="44"/>
      <c r="P4055" s="44"/>
      <c r="Q4055" s="44"/>
      <c r="R4055" s="44"/>
      <c r="S4055" s="44"/>
      <c r="T4055" s="45"/>
      <c r="U4055" s="153" t="str">
        <f>HYPERLINK("https://www.ncbi.nlm.nih.gov/pubmed/31720803","PubMed")</f>
        <v>PubMed</v>
      </c>
      <c r="V4055" s="30"/>
      <c r="W4055" s="49"/>
      <c r="X4055" s="49"/>
      <c r="Y4055" s="35"/>
      <c r="Z4055" s="35"/>
      <c r="AA4055" s="35"/>
      <c r="AB4055" s="35"/>
      <c r="AC4055" s="35"/>
      <c r="AD4055" s="35"/>
      <c r="AE4055" s="35"/>
      <c r="AF4055" s="35"/>
      <c r="AG4055" s="35"/>
      <c r="AH4055" s="35"/>
      <c r="AI4055" s="35"/>
      <c r="AJ4055" s="35"/>
      <c r="AK4055" s="35"/>
      <c r="AL4055" s="35"/>
    </row>
    <row r="4056">
      <c r="A4056" s="191"/>
      <c r="B4056" s="19" t="s">
        <v>18603</v>
      </c>
      <c r="C4056" s="20" t="s">
        <v>19174</v>
      </c>
      <c r="D4056" s="47"/>
      <c r="E4056" s="22" t="s">
        <v>19065</v>
      </c>
      <c r="F4056" s="22" t="s">
        <v>2052</v>
      </c>
      <c r="G4056" s="23">
        <v>2019.0</v>
      </c>
      <c r="H4056" s="22" t="s">
        <v>8177</v>
      </c>
      <c r="I4056" s="24" t="s">
        <v>19244</v>
      </c>
      <c r="J4056" s="23" t="s">
        <v>44</v>
      </c>
      <c r="K4056" s="335"/>
      <c r="L4056" s="36" t="s">
        <v>19253</v>
      </c>
      <c r="M4056" s="36"/>
      <c r="N4056" s="36"/>
      <c r="O4056" s="36"/>
      <c r="P4056" s="37" t="s">
        <v>19254</v>
      </c>
      <c r="Q4056" s="36"/>
      <c r="R4056" s="36"/>
      <c r="S4056" s="36"/>
      <c r="T4056" s="28" t="s">
        <v>19255</v>
      </c>
      <c r="U4056" s="153" t="str">
        <f>HYPERLINK("https://www.ncbi.nlm.nih.gov/pubmed/31705378","PubMed")</f>
        <v>PubMed</v>
      </c>
      <c r="V4056" s="30"/>
      <c r="W4056" s="49"/>
      <c r="X4056" s="49"/>
      <c r="Y4056" s="35"/>
      <c r="Z4056" s="35"/>
      <c r="AA4056" s="35"/>
      <c r="AB4056" s="35"/>
      <c r="AC4056" s="35"/>
      <c r="AD4056" s="35"/>
      <c r="AE4056" s="35"/>
      <c r="AF4056" s="35"/>
      <c r="AG4056" s="35"/>
      <c r="AH4056" s="35"/>
      <c r="AI4056" s="35"/>
      <c r="AJ4056" s="35"/>
      <c r="AK4056" s="35"/>
      <c r="AL4056" s="35"/>
    </row>
    <row r="4057">
      <c r="A4057" s="191"/>
      <c r="B4057" s="19" t="s">
        <v>18603</v>
      </c>
      <c r="C4057" s="20" t="s">
        <v>19174</v>
      </c>
      <c r="D4057" s="47"/>
      <c r="E4057" s="22" t="s">
        <v>5540</v>
      </c>
      <c r="F4057" s="22" t="s">
        <v>41</v>
      </c>
      <c r="G4057" s="23">
        <v>2018.0</v>
      </c>
      <c r="H4057" s="22" t="s">
        <v>91</v>
      </c>
      <c r="I4057" s="24" t="s">
        <v>19256</v>
      </c>
      <c r="J4057" s="23" t="s">
        <v>44</v>
      </c>
      <c r="K4057" s="335"/>
      <c r="L4057" s="36"/>
      <c r="M4057" s="36"/>
      <c r="N4057" s="36"/>
      <c r="O4057" s="36" t="s">
        <v>19257</v>
      </c>
      <c r="P4057" s="37" t="s">
        <v>19258</v>
      </c>
      <c r="Q4057" s="36"/>
      <c r="R4057" s="36"/>
      <c r="S4057" s="36"/>
      <c r="T4057" s="41" t="s">
        <v>19259</v>
      </c>
      <c r="U4057" s="153" t="str">
        <f>HYPERLINK("https://www.ncbi.nlm.nih.gov/pubmed/29623521","PubMed")</f>
        <v>PubMed</v>
      </c>
      <c r="V4057" s="30"/>
      <c r="W4057" s="49"/>
      <c r="X4057" s="49"/>
      <c r="Y4057" s="35"/>
      <c r="Z4057" s="35"/>
      <c r="AA4057" s="35"/>
      <c r="AB4057" s="35"/>
      <c r="AC4057" s="35"/>
      <c r="AD4057" s="35"/>
      <c r="AE4057" s="35"/>
      <c r="AF4057" s="35"/>
      <c r="AG4057" s="35"/>
      <c r="AH4057" s="35"/>
      <c r="AI4057" s="35"/>
      <c r="AJ4057" s="35"/>
      <c r="AK4057" s="35"/>
      <c r="AL4057" s="35"/>
    </row>
    <row r="4058">
      <c r="A4058" s="191"/>
      <c r="B4058" s="19" t="s">
        <v>18603</v>
      </c>
      <c r="C4058" s="20" t="s">
        <v>19174</v>
      </c>
      <c r="D4058" s="47"/>
      <c r="E4058" s="22" t="s">
        <v>1080</v>
      </c>
      <c r="F4058" s="22" t="s">
        <v>1622</v>
      </c>
      <c r="G4058" s="23">
        <v>2018.0</v>
      </c>
      <c r="H4058" s="22" t="s">
        <v>91</v>
      </c>
      <c r="I4058" s="24" t="s">
        <v>19260</v>
      </c>
      <c r="J4058" s="23" t="s">
        <v>209</v>
      </c>
      <c r="K4058" s="335" t="s">
        <v>157</v>
      </c>
      <c r="L4058" s="36">
        <v>635.0</v>
      </c>
      <c r="M4058" s="36"/>
      <c r="N4058" s="36"/>
      <c r="O4058" s="36"/>
      <c r="P4058" s="37"/>
      <c r="Q4058" s="36"/>
      <c r="R4058" s="36"/>
      <c r="S4058" s="36"/>
      <c r="T4058" s="28" t="s">
        <v>19261</v>
      </c>
      <c r="U4058" s="153" t="str">
        <f>HYPERLINK("https://www.ncbi.nlm.nih.gov/pubmed/28956217","PubMed")</f>
        <v>PubMed</v>
      </c>
      <c r="V4058" s="30"/>
      <c r="W4058" s="49"/>
      <c r="X4058" s="49"/>
      <c r="Y4058" s="35"/>
      <c r="Z4058" s="35"/>
      <c r="AA4058" s="35"/>
      <c r="AB4058" s="35"/>
      <c r="AC4058" s="35"/>
      <c r="AD4058" s="35"/>
      <c r="AE4058" s="35"/>
      <c r="AF4058" s="35"/>
      <c r="AG4058" s="35"/>
      <c r="AH4058" s="35"/>
      <c r="AI4058" s="35"/>
      <c r="AJ4058" s="35"/>
      <c r="AK4058" s="35"/>
      <c r="AL4058" s="35"/>
    </row>
    <row r="4059">
      <c r="A4059" s="191"/>
      <c r="B4059" s="19" t="s">
        <v>18603</v>
      </c>
      <c r="C4059" s="20" t="s">
        <v>19174</v>
      </c>
      <c r="D4059" s="47"/>
      <c r="E4059" s="22" t="s">
        <v>19262</v>
      </c>
      <c r="F4059" s="22" t="s">
        <v>41</v>
      </c>
      <c r="G4059" s="23">
        <v>2017.0</v>
      </c>
      <c r="H4059" s="22" t="s">
        <v>207</v>
      </c>
      <c r="I4059" s="24" t="s">
        <v>19263</v>
      </c>
      <c r="J4059" s="23" t="s">
        <v>55</v>
      </c>
      <c r="K4059" s="335" t="s">
        <v>19264</v>
      </c>
      <c r="L4059" s="36">
        <v>660.0</v>
      </c>
      <c r="M4059" s="36">
        <v>100.0</v>
      </c>
      <c r="N4059" s="36"/>
      <c r="O4059" s="36"/>
      <c r="P4059" s="37"/>
      <c r="Q4059" s="36"/>
      <c r="R4059" s="36"/>
      <c r="S4059" s="36"/>
      <c r="T4059" s="42" t="s">
        <v>19265</v>
      </c>
      <c r="U4059" s="153" t="str">
        <f>HYPERLINK("https://www.ncbi.nlm.nih.gov/pubmed/29107204","PubMed")</f>
        <v>PubMed</v>
      </c>
      <c r="V4059" s="30"/>
      <c r="W4059" s="49"/>
      <c r="X4059" s="49"/>
      <c r="Y4059" s="35"/>
      <c r="Z4059" s="35"/>
      <c r="AA4059" s="35"/>
      <c r="AB4059" s="35"/>
      <c r="AC4059" s="35"/>
      <c r="AD4059" s="35"/>
      <c r="AE4059" s="35"/>
      <c r="AF4059" s="35"/>
      <c r="AG4059" s="35"/>
      <c r="AH4059" s="35"/>
      <c r="AI4059" s="35"/>
      <c r="AJ4059" s="35"/>
      <c r="AK4059" s="35"/>
      <c r="AL4059" s="35"/>
    </row>
    <row r="4060">
      <c r="A4060" s="1"/>
      <c r="B4060" s="19" t="s">
        <v>18603</v>
      </c>
      <c r="C4060" s="20" t="s">
        <v>19174</v>
      </c>
      <c r="D4060" s="47"/>
      <c r="E4060" s="22" t="s">
        <v>19266</v>
      </c>
      <c r="F4060" s="22" t="s">
        <v>19267</v>
      </c>
      <c r="G4060" s="23">
        <v>2016.0</v>
      </c>
      <c r="H4060" s="22" t="s">
        <v>91</v>
      </c>
      <c r="I4060" s="24" t="s">
        <v>19268</v>
      </c>
      <c r="J4060" s="23" t="s">
        <v>44</v>
      </c>
      <c r="K4060" s="23" t="s">
        <v>5440</v>
      </c>
      <c r="L4060" s="36" t="s">
        <v>19269</v>
      </c>
      <c r="M4060" s="183">
        <v>42795.0</v>
      </c>
      <c r="N4060" s="36"/>
      <c r="O4060" s="36"/>
      <c r="P4060" s="37"/>
      <c r="Q4060" s="36"/>
      <c r="R4060" s="36"/>
      <c r="S4060" s="36">
        <v>10.0</v>
      </c>
      <c r="T4060" s="42" t="s">
        <v>19270</v>
      </c>
      <c r="U4060" s="38" t="str">
        <f>HYPERLINK("https://www.ncbi.nlm.nih.gov/pubmed/27517690","PubMed")</f>
        <v>PubMed</v>
      </c>
      <c r="V4060" s="30"/>
      <c r="W4060" s="49"/>
      <c r="X4060" s="49"/>
      <c r="Y4060" s="35"/>
      <c r="Z4060" s="35"/>
      <c r="AA4060" s="35"/>
      <c r="AB4060" s="35"/>
      <c r="AC4060" s="35"/>
      <c r="AD4060" s="35"/>
      <c r="AE4060" s="35"/>
      <c r="AF4060" s="35"/>
      <c r="AG4060" s="35"/>
      <c r="AH4060" s="35"/>
      <c r="AI4060" s="35"/>
      <c r="AJ4060" s="35"/>
      <c r="AK4060" s="35"/>
      <c r="AL4060" s="35"/>
    </row>
    <row r="4061">
      <c r="A4061" s="1" t="s">
        <v>19271</v>
      </c>
      <c r="B4061" s="19" t="s">
        <v>18603</v>
      </c>
      <c r="C4061" s="20" t="s">
        <v>19174</v>
      </c>
      <c r="D4061" s="47"/>
      <c r="E4061" s="22" t="s">
        <v>5718</v>
      </c>
      <c r="F4061" s="22" t="s">
        <v>1905</v>
      </c>
      <c r="G4061" s="23">
        <v>2016.0</v>
      </c>
      <c r="H4061" s="22" t="s">
        <v>658</v>
      </c>
      <c r="I4061" s="24" t="s">
        <v>19272</v>
      </c>
      <c r="J4061" s="23" t="s">
        <v>44</v>
      </c>
      <c r="K4061" s="23"/>
      <c r="L4061" s="36">
        <v>650.0</v>
      </c>
      <c r="M4061" s="36"/>
      <c r="N4061" s="36" t="s">
        <v>892</v>
      </c>
      <c r="O4061" s="36" t="s">
        <v>19273</v>
      </c>
      <c r="P4061" s="37" t="s">
        <v>11689</v>
      </c>
      <c r="Q4061" s="36" t="s">
        <v>821</v>
      </c>
      <c r="R4061" s="36" t="s">
        <v>19274</v>
      </c>
      <c r="S4061" s="36">
        <v>1.0</v>
      </c>
      <c r="T4061" s="41" t="s">
        <v>19275</v>
      </c>
      <c r="U4061" s="38" t="str">
        <f>HYPERLINK("https://www.ncbi.nlm.nih.gov/pubmed/27078192","PubMed")</f>
        <v>PubMed</v>
      </c>
      <c r="V4061" s="30"/>
      <c r="W4061" s="49"/>
      <c r="X4061" s="49"/>
      <c r="Y4061" s="35"/>
      <c r="Z4061" s="35"/>
      <c r="AA4061" s="35"/>
      <c r="AB4061" s="35"/>
      <c r="AC4061" s="35"/>
      <c r="AD4061" s="35"/>
      <c r="AE4061" s="35"/>
      <c r="AF4061" s="35"/>
      <c r="AG4061" s="35"/>
      <c r="AH4061" s="35"/>
      <c r="AI4061" s="35"/>
      <c r="AJ4061" s="35"/>
      <c r="AK4061" s="35"/>
      <c r="AL4061" s="35"/>
    </row>
    <row r="4062">
      <c r="A4062" s="1"/>
      <c r="B4062" s="19" t="s">
        <v>18603</v>
      </c>
      <c r="C4062" s="20" t="s">
        <v>19174</v>
      </c>
      <c r="D4062" s="47"/>
      <c r="E4062" s="22" t="s">
        <v>19276</v>
      </c>
      <c r="F4062" s="22" t="s">
        <v>7853</v>
      </c>
      <c r="G4062" s="23">
        <v>2016.0</v>
      </c>
      <c r="H4062" s="22" t="s">
        <v>19277</v>
      </c>
      <c r="I4062" s="24" t="s">
        <v>19278</v>
      </c>
      <c r="J4062" s="23" t="s">
        <v>44</v>
      </c>
      <c r="K4062" s="23" t="s">
        <v>19279</v>
      </c>
      <c r="L4062" s="36" t="s">
        <v>19280</v>
      </c>
      <c r="M4062" s="36"/>
      <c r="N4062" s="36" t="s">
        <v>19281</v>
      </c>
      <c r="O4062" s="36"/>
      <c r="P4062" s="37" t="s">
        <v>19282</v>
      </c>
      <c r="Q4062" s="36" t="s">
        <v>4129</v>
      </c>
      <c r="R4062" s="36" t="s">
        <v>19283</v>
      </c>
      <c r="S4062" s="36">
        <v>4.0</v>
      </c>
      <c r="T4062" s="28" t="s">
        <v>19284</v>
      </c>
      <c r="U4062" s="38" t="str">
        <f>HYPERLINK("https://www.ncbi.nlm.nih.gov/pubmed/27475897","PubMed")</f>
        <v>PubMed</v>
      </c>
      <c r="V4062" s="30"/>
      <c r="W4062" s="49"/>
      <c r="X4062" s="49"/>
      <c r="Y4062" s="35"/>
      <c r="Z4062" s="35"/>
      <c r="AA4062" s="35"/>
      <c r="AB4062" s="35"/>
      <c r="AC4062" s="35"/>
      <c r="AD4062" s="35"/>
      <c r="AE4062" s="35"/>
      <c r="AF4062" s="35"/>
      <c r="AG4062" s="35"/>
      <c r="AH4062" s="35"/>
      <c r="AI4062" s="35"/>
      <c r="AJ4062" s="35"/>
      <c r="AK4062" s="35"/>
      <c r="AL4062" s="35"/>
    </row>
    <row r="4063">
      <c r="A4063" s="1"/>
      <c r="B4063" s="19" t="s">
        <v>18603</v>
      </c>
      <c r="C4063" s="20" t="s">
        <v>19174</v>
      </c>
      <c r="D4063" s="47"/>
      <c r="E4063" s="22" t="s">
        <v>19285</v>
      </c>
      <c r="F4063" s="22" t="s">
        <v>183</v>
      </c>
      <c r="G4063" s="23">
        <v>2013.0</v>
      </c>
      <c r="H4063" s="22" t="s">
        <v>91</v>
      </c>
      <c r="I4063" s="24" t="s">
        <v>19286</v>
      </c>
      <c r="J4063" s="23" t="s">
        <v>8564</v>
      </c>
      <c r="K4063" s="23"/>
      <c r="L4063" s="36">
        <v>660.0</v>
      </c>
      <c r="M4063" s="36">
        <v>50.0</v>
      </c>
      <c r="N4063" s="36" t="s">
        <v>1655</v>
      </c>
      <c r="O4063" s="36" t="s">
        <v>19287</v>
      </c>
      <c r="P4063" s="37" t="s">
        <v>19288</v>
      </c>
      <c r="Q4063" s="36" t="s">
        <v>809</v>
      </c>
      <c r="R4063" s="36">
        <v>133.0</v>
      </c>
      <c r="S4063" s="36"/>
      <c r="T4063" s="336" t="s">
        <v>19289</v>
      </c>
      <c r="U4063" s="38" t="str">
        <f>HYPERLINK("https://www.ncbi.nlm.nih.gov/pubmed/22941426","PubMed")</f>
        <v>PubMed</v>
      </c>
      <c r="V4063" s="30"/>
      <c r="W4063" s="49"/>
      <c r="X4063" s="49"/>
      <c r="Y4063" s="35"/>
      <c r="Z4063" s="35"/>
      <c r="AA4063" s="35"/>
      <c r="AB4063" s="35"/>
      <c r="AC4063" s="35"/>
      <c r="AD4063" s="35"/>
      <c r="AE4063" s="35"/>
      <c r="AF4063" s="35"/>
      <c r="AG4063" s="35"/>
      <c r="AH4063" s="35"/>
      <c r="AI4063" s="35"/>
      <c r="AJ4063" s="35"/>
      <c r="AK4063" s="35"/>
      <c r="AL4063" s="35"/>
    </row>
    <row r="4064">
      <c r="A4064" s="133"/>
      <c r="B4064" s="19" t="s">
        <v>18603</v>
      </c>
      <c r="C4064" s="20" t="s">
        <v>19174</v>
      </c>
      <c r="D4064" s="47"/>
      <c r="E4064" s="57" t="s">
        <v>19290</v>
      </c>
      <c r="F4064" s="23" t="s">
        <v>748</v>
      </c>
      <c r="G4064" s="23">
        <v>2013.0</v>
      </c>
      <c r="H4064" s="57" t="s">
        <v>14462</v>
      </c>
      <c r="I4064" s="134" t="s">
        <v>19291</v>
      </c>
      <c r="J4064" s="23" t="s">
        <v>44</v>
      </c>
      <c r="K4064" s="23" t="s">
        <v>19292</v>
      </c>
      <c r="L4064" s="36" t="s">
        <v>19293</v>
      </c>
      <c r="M4064" s="36"/>
      <c r="N4064" s="36"/>
      <c r="O4064" s="36"/>
      <c r="P4064" s="37"/>
      <c r="Q4064" s="36"/>
      <c r="R4064" s="36"/>
      <c r="S4064" s="36"/>
      <c r="T4064" s="102" t="s">
        <v>19294</v>
      </c>
      <c r="U4064" s="135" t="str">
        <f>HYPERLINK("https://www.ncbi.nlm.nih.gov/pubmed/25481959","PubMed")</f>
        <v>PubMed</v>
      </c>
      <c r="V4064" s="139"/>
      <c r="W4064" s="49"/>
      <c r="X4064" s="49"/>
      <c r="Y4064" s="35"/>
      <c r="Z4064" s="35"/>
      <c r="AA4064" s="35"/>
      <c r="AB4064" s="35"/>
      <c r="AC4064" s="35"/>
      <c r="AD4064" s="35"/>
      <c r="AE4064" s="35"/>
      <c r="AF4064" s="35"/>
      <c r="AG4064" s="35"/>
      <c r="AH4064" s="35"/>
      <c r="AI4064" s="35"/>
      <c r="AJ4064" s="35"/>
      <c r="AK4064" s="35"/>
      <c r="AL4064" s="35"/>
    </row>
    <row r="4065">
      <c r="A4065" s="133"/>
      <c r="B4065" s="19" t="s">
        <v>18603</v>
      </c>
      <c r="C4065" s="20" t="s">
        <v>19174</v>
      </c>
      <c r="D4065" s="47"/>
      <c r="E4065" s="57" t="s">
        <v>8937</v>
      </c>
      <c r="F4065" s="23" t="s">
        <v>19295</v>
      </c>
      <c r="G4065" s="23">
        <v>2012.0</v>
      </c>
      <c r="H4065" s="57" t="s">
        <v>658</v>
      </c>
      <c r="I4065" s="134" t="s">
        <v>19296</v>
      </c>
      <c r="J4065" s="23" t="s">
        <v>44</v>
      </c>
      <c r="K4065" s="23"/>
      <c r="L4065" s="36"/>
      <c r="M4065" s="36"/>
      <c r="N4065" s="36"/>
      <c r="O4065" s="36"/>
      <c r="P4065" s="37"/>
      <c r="Q4065" s="36"/>
      <c r="R4065" s="36"/>
      <c r="S4065" s="36"/>
      <c r="T4065" s="54" t="s">
        <v>19297</v>
      </c>
      <c r="U4065" s="135" t="str">
        <f>HYPERLINK("http://www.ncbi.nlm.nih.gov/pubmed/22853435","PubMed")</f>
        <v>PubMed</v>
      </c>
      <c r="V4065" s="139"/>
      <c r="W4065" s="49"/>
      <c r="X4065" s="49"/>
      <c r="Y4065" s="35"/>
      <c r="Z4065" s="35"/>
      <c r="AA4065" s="35"/>
      <c r="AB4065" s="35"/>
      <c r="AC4065" s="35"/>
      <c r="AD4065" s="35"/>
      <c r="AE4065" s="35"/>
      <c r="AF4065" s="35"/>
      <c r="AG4065" s="35"/>
      <c r="AH4065" s="35"/>
      <c r="AI4065" s="35"/>
      <c r="AJ4065" s="35"/>
      <c r="AK4065" s="35"/>
      <c r="AL4065" s="35"/>
    </row>
    <row r="4066">
      <c r="A4066" s="133"/>
      <c r="B4066" s="19" t="s">
        <v>18603</v>
      </c>
      <c r="C4066" s="20" t="s">
        <v>19174</v>
      </c>
      <c r="D4066" s="47"/>
      <c r="E4066" s="57" t="s">
        <v>19285</v>
      </c>
      <c r="F4066" s="23" t="s">
        <v>183</v>
      </c>
      <c r="G4066" s="23">
        <v>2011.0</v>
      </c>
      <c r="H4066" s="57" t="s">
        <v>658</v>
      </c>
      <c r="I4066" s="134" t="s">
        <v>19298</v>
      </c>
      <c r="J4066" s="23" t="s">
        <v>8564</v>
      </c>
      <c r="K4066" s="23"/>
      <c r="L4066" s="36">
        <v>660.0</v>
      </c>
      <c r="M4066" s="36">
        <v>30.0</v>
      </c>
      <c r="N4066" s="36" t="s">
        <v>19299</v>
      </c>
      <c r="O4066" s="36">
        <v>4.0</v>
      </c>
      <c r="P4066" s="37" t="s">
        <v>19300</v>
      </c>
      <c r="Q4066" s="36" t="s">
        <v>809</v>
      </c>
      <c r="R4066" s="36">
        <v>133.0</v>
      </c>
      <c r="S4066" s="36">
        <v>14.0</v>
      </c>
      <c r="T4066" s="103" t="s">
        <v>19301</v>
      </c>
      <c r="U4066" s="135" t="str">
        <f>HYPERLINK("https://www.ncbi.nlm.nih.gov/pubmed/21718118","PubMed")</f>
        <v>PubMed</v>
      </c>
      <c r="V4066" s="139"/>
      <c r="W4066" s="49"/>
      <c r="X4066" s="49"/>
      <c r="Y4066" s="35"/>
      <c r="Z4066" s="35"/>
      <c r="AA4066" s="35"/>
      <c r="AB4066" s="35"/>
      <c r="AC4066" s="35"/>
      <c r="AD4066" s="35"/>
      <c r="AE4066" s="35"/>
      <c r="AF4066" s="35"/>
      <c r="AG4066" s="35"/>
      <c r="AH4066" s="35"/>
      <c r="AI4066" s="35"/>
      <c r="AJ4066" s="35"/>
      <c r="AK4066" s="35"/>
      <c r="AL4066" s="35"/>
    </row>
    <row r="4067">
      <c r="A4067" s="133"/>
      <c r="B4067" s="19" t="s">
        <v>18603</v>
      </c>
      <c r="C4067" s="20" t="s">
        <v>19174</v>
      </c>
      <c r="D4067" s="47"/>
      <c r="E4067" s="57" t="s">
        <v>2316</v>
      </c>
      <c r="F4067" s="22" t="s">
        <v>2437</v>
      </c>
      <c r="G4067" s="23">
        <v>2009.0</v>
      </c>
      <c r="H4067" s="57" t="s">
        <v>19302</v>
      </c>
      <c r="I4067" s="134" t="s">
        <v>19303</v>
      </c>
      <c r="J4067" s="23" t="s">
        <v>44</v>
      </c>
      <c r="K4067" s="23" t="s">
        <v>157</v>
      </c>
      <c r="L4067" s="94">
        <v>650.0</v>
      </c>
      <c r="M4067" s="94"/>
      <c r="N4067" s="94" t="s">
        <v>19304</v>
      </c>
      <c r="O4067" s="94"/>
      <c r="P4067" s="94"/>
      <c r="Q4067" s="94"/>
      <c r="R4067" s="94"/>
      <c r="S4067" s="94"/>
      <c r="T4067" s="54" t="s">
        <v>19305</v>
      </c>
      <c r="U4067" s="135" t="str">
        <f>HYPERLINK("https://www.ncbi.nlm.nih.gov/pubmed/19164885","PubMed")</f>
        <v>PubMed</v>
      </c>
      <c r="V4067" s="139"/>
      <c r="W4067" s="49"/>
      <c r="X4067" s="49"/>
      <c r="Y4067" s="35"/>
      <c r="Z4067" s="35"/>
      <c r="AA4067" s="35"/>
      <c r="AB4067" s="35"/>
      <c r="AC4067" s="35"/>
      <c r="AD4067" s="35"/>
      <c r="AE4067" s="35"/>
      <c r="AF4067" s="35"/>
      <c r="AG4067" s="35"/>
      <c r="AH4067" s="35"/>
      <c r="AI4067" s="35"/>
      <c r="AJ4067" s="35"/>
      <c r="AK4067" s="35"/>
      <c r="AL4067" s="35"/>
    </row>
    <row r="4068">
      <c r="A4068" s="133"/>
      <c r="B4068" s="19" t="s">
        <v>18603</v>
      </c>
      <c r="C4068" s="20" t="s">
        <v>19174</v>
      </c>
      <c r="D4068" s="47"/>
      <c r="E4068" s="57" t="s">
        <v>5540</v>
      </c>
      <c r="F4068" s="22" t="s">
        <v>41</v>
      </c>
      <c r="G4068" s="23">
        <v>2009.0</v>
      </c>
      <c r="H4068" s="57" t="s">
        <v>14601</v>
      </c>
      <c r="I4068" s="134" t="s">
        <v>19306</v>
      </c>
      <c r="J4068" s="23" t="s">
        <v>19307</v>
      </c>
      <c r="K4068" s="23" t="s">
        <v>18802</v>
      </c>
      <c r="L4068" s="94">
        <v>660.0</v>
      </c>
      <c r="M4068" s="94">
        <v>50.0</v>
      </c>
      <c r="N4068" s="93">
        <v>42492.0</v>
      </c>
      <c r="O4068" s="94"/>
      <c r="P4068" s="94" t="s">
        <v>5544</v>
      </c>
      <c r="Q4068" s="94" t="s">
        <v>5545</v>
      </c>
      <c r="R4068" s="94" t="s">
        <v>5546</v>
      </c>
      <c r="S4068" s="94">
        <v>3.0</v>
      </c>
      <c r="T4068" s="102" t="s">
        <v>19308</v>
      </c>
      <c r="U4068" s="135" t="str">
        <f>HYPERLINK("https://www.ncbi.nlm.nih.gov/pubmed/19930543","PubMed")</f>
        <v>PubMed</v>
      </c>
      <c r="V4068" s="139"/>
      <c r="W4068" s="49"/>
      <c r="X4068" s="49"/>
      <c r="Y4068" s="35"/>
      <c r="Z4068" s="35"/>
      <c r="AA4068" s="35"/>
      <c r="AB4068" s="35"/>
      <c r="AC4068" s="35"/>
      <c r="AD4068" s="35"/>
      <c r="AE4068" s="35"/>
      <c r="AF4068" s="35"/>
      <c r="AG4068" s="35"/>
      <c r="AH4068" s="35"/>
      <c r="AI4068" s="35"/>
      <c r="AJ4068" s="35"/>
      <c r="AK4068" s="35"/>
      <c r="AL4068" s="35"/>
    </row>
    <row r="4069">
      <c r="A4069" s="191"/>
      <c r="B4069" s="19" t="s">
        <v>18603</v>
      </c>
      <c r="C4069" s="20" t="s">
        <v>19174</v>
      </c>
      <c r="D4069" s="47"/>
      <c r="E4069" s="22" t="s">
        <v>19309</v>
      </c>
      <c r="F4069" s="22" t="s">
        <v>19310</v>
      </c>
      <c r="G4069" s="23">
        <v>2004.0</v>
      </c>
      <c r="H4069" s="22" t="s">
        <v>3065</v>
      </c>
      <c r="I4069" s="24" t="s">
        <v>19311</v>
      </c>
      <c r="J4069" s="23" t="s">
        <v>44</v>
      </c>
      <c r="K4069" s="22" t="s">
        <v>19312</v>
      </c>
      <c r="L4069" s="36">
        <v>670.0</v>
      </c>
      <c r="M4069" s="36"/>
      <c r="N4069" s="36"/>
      <c r="O4069" s="36"/>
      <c r="P4069" s="37"/>
      <c r="Q4069" s="36"/>
      <c r="R4069" s="36"/>
      <c r="S4069" s="36"/>
      <c r="T4069" s="28" t="s">
        <v>19313</v>
      </c>
      <c r="U4069" s="29" t="s">
        <v>61</v>
      </c>
      <c r="V4069" s="30"/>
      <c r="W4069" s="49"/>
      <c r="X4069" s="49"/>
      <c r="Y4069" s="35"/>
      <c r="Z4069" s="35"/>
      <c r="AA4069" s="35"/>
      <c r="AB4069" s="35"/>
      <c r="AC4069" s="35"/>
      <c r="AD4069" s="35"/>
      <c r="AE4069" s="35"/>
      <c r="AF4069" s="35"/>
      <c r="AG4069" s="35"/>
      <c r="AH4069" s="35"/>
      <c r="AI4069" s="35"/>
      <c r="AJ4069" s="35"/>
      <c r="AK4069" s="35"/>
      <c r="AL4069" s="35"/>
    </row>
    <row r="4070">
      <c r="A4070" s="191"/>
      <c r="B4070" s="19" t="s">
        <v>18603</v>
      </c>
      <c r="C4070" s="20" t="s">
        <v>19174</v>
      </c>
      <c r="D4070" s="47"/>
      <c r="E4070" s="22" t="s">
        <v>19314</v>
      </c>
      <c r="F4070" s="22" t="s">
        <v>19315</v>
      </c>
      <c r="G4070" s="23">
        <v>2003.0</v>
      </c>
      <c r="H4070" s="22" t="s">
        <v>19316</v>
      </c>
      <c r="I4070" s="24" t="s">
        <v>19317</v>
      </c>
      <c r="J4070" s="23" t="s">
        <v>44</v>
      </c>
      <c r="K4070" s="22"/>
      <c r="L4070" s="36">
        <v>633.0</v>
      </c>
      <c r="M4070" s="36"/>
      <c r="N4070" s="36"/>
      <c r="O4070" s="36"/>
      <c r="P4070" s="37"/>
      <c r="Q4070" s="36"/>
      <c r="R4070" s="36"/>
      <c r="S4070" s="36"/>
      <c r="T4070" s="42" t="s">
        <v>19318</v>
      </c>
      <c r="U4070" s="29" t="s">
        <v>3913</v>
      </c>
      <c r="V4070" s="30"/>
      <c r="W4070" s="49"/>
      <c r="X4070" s="49"/>
      <c r="Y4070" s="35"/>
      <c r="Z4070" s="35"/>
      <c r="AA4070" s="35"/>
      <c r="AB4070" s="35"/>
      <c r="AC4070" s="35"/>
      <c r="AD4070" s="35"/>
      <c r="AE4070" s="35"/>
      <c r="AF4070" s="35"/>
      <c r="AG4070" s="35"/>
      <c r="AH4070" s="35"/>
      <c r="AI4070" s="35"/>
      <c r="AJ4070" s="35"/>
      <c r="AK4070" s="35"/>
      <c r="AL4070" s="35"/>
    </row>
    <row r="4071">
      <c r="A4071" s="133"/>
      <c r="B4071" s="19" t="s">
        <v>18603</v>
      </c>
      <c r="C4071" s="20" t="s">
        <v>19174</v>
      </c>
      <c r="D4071" s="47"/>
      <c r="E4071" s="57" t="s">
        <v>19319</v>
      </c>
      <c r="F4071" s="23" t="s">
        <v>19320</v>
      </c>
      <c r="G4071" s="23">
        <v>1996.0</v>
      </c>
      <c r="H4071" s="57" t="s">
        <v>19321</v>
      </c>
      <c r="I4071" s="134" t="s">
        <v>19322</v>
      </c>
      <c r="J4071" s="23" t="s">
        <v>55</v>
      </c>
      <c r="K4071" s="23"/>
      <c r="L4071" s="36">
        <v>830.0</v>
      </c>
      <c r="M4071" s="36"/>
      <c r="N4071" s="36" t="s">
        <v>1069</v>
      </c>
      <c r="O4071" s="36"/>
      <c r="P4071" s="37" t="s">
        <v>19323</v>
      </c>
      <c r="Q4071" s="36"/>
      <c r="R4071" s="36"/>
      <c r="S4071" s="36"/>
      <c r="T4071" s="54" t="s">
        <v>19324</v>
      </c>
      <c r="U4071" s="135" t="str">
        <f>HYPERLINK("http://link.springer.com/chapter/10.1007/978-3-642-80264-5_48","Springer")</f>
        <v>Springer</v>
      </c>
      <c r="V4071" s="139"/>
      <c r="W4071" s="49"/>
      <c r="X4071" s="49"/>
      <c r="Y4071" s="35"/>
      <c r="Z4071" s="35"/>
      <c r="AA4071" s="35"/>
      <c r="AB4071" s="35"/>
      <c r="AC4071" s="35"/>
      <c r="AD4071" s="35"/>
      <c r="AE4071" s="35"/>
      <c r="AF4071" s="35"/>
      <c r="AG4071" s="35"/>
      <c r="AH4071" s="35"/>
      <c r="AI4071" s="35"/>
      <c r="AJ4071" s="35"/>
      <c r="AK4071" s="35"/>
      <c r="AL4071" s="35"/>
    </row>
    <row r="4072">
      <c r="A4072" s="1"/>
      <c r="B4072" s="19" t="s">
        <v>18603</v>
      </c>
      <c r="C4072" s="20" t="s">
        <v>19174</v>
      </c>
      <c r="D4072" s="47"/>
      <c r="E4072" s="22" t="s">
        <v>18668</v>
      </c>
      <c r="F4072" s="22" t="s">
        <v>2346</v>
      </c>
      <c r="G4072" s="23">
        <v>1993.0</v>
      </c>
      <c r="H4072" s="22"/>
      <c r="I4072" s="24" t="s">
        <v>19325</v>
      </c>
      <c r="J4072" s="23" t="s">
        <v>44</v>
      </c>
      <c r="K4072" s="23"/>
      <c r="L4072" s="36">
        <v>890.0</v>
      </c>
      <c r="M4072" s="36"/>
      <c r="N4072" s="36"/>
      <c r="O4072" s="36"/>
      <c r="P4072" s="37" t="s">
        <v>19326</v>
      </c>
      <c r="Q4072" s="36"/>
      <c r="R4072" s="36"/>
      <c r="S4072" s="36"/>
      <c r="T4072" s="42" t="s">
        <v>19327</v>
      </c>
      <c r="U4072" s="153" t="str">
        <f>HYPERLINK("https://www.jstage.jst.go.jp/article/islsm/5/1/5_93-OR-03/_article","J-STAGE")</f>
        <v>J-STAGE</v>
      </c>
      <c r="V4072" s="30"/>
      <c r="W4072" s="49"/>
      <c r="X4072" s="49"/>
      <c r="Y4072" s="35"/>
      <c r="Z4072" s="35"/>
      <c r="AA4072" s="35"/>
      <c r="AB4072" s="35"/>
      <c r="AC4072" s="35"/>
      <c r="AD4072" s="35"/>
      <c r="AE4072" s="35"/>
      <c r="AF4072" s="35"/>
      <c r="AG4072" s="35"/>
      <c r="AH4072" s="35"/>
      <c r="AI4072" s="35"/>
      <c r="AJ4072" s="35"/>
      <c r="AK4072" s="35"/>
      <c r="AL4072" s="35"/>
    </row>
    <row r="4073">
      <c r="A4073" s="1"/>
      <c r="B4073" s="19" t="s">
        <v>18603</v>
      </c>
      <c r="C4073" s="20" t="s">
        <v>19174</v>
      </c>
      <c r="D4073" s="47"/>
      <c r="E4073" s="22" t="s">
        <v>8589</v>
      </c>
      <c r="F4073" s="22" t="s">
        <v>1416</v>
      </c>
      <c r="G4073" s="23">
        <v>1993.0</v>
      </c>
      <c r="H4073" s="22" t="s">
        <v>14398</v>
      </c>
      <c r="I4073" s="24" t="s">
        <v>19328</v>
      </c>
      <c r="J4073" s="23" t="s">
        <v>44</v>
      </c>
      <c r="K4073" s="23"/>
      <c r="L4073" s="36">
        <v>830.0</v>
      </c>
      <c r="M4073" s="36">
        <v>60.0</v>
      </c>
      <c r="N4073" s="36"/>
      <c r="O4073" s="36"/>
      <c r="P4073" s="37"/>
      <c r="Q4073" s="36"/>
      <c r="R4073" s="36"/>
      <c r="S4073" s="36"/>
      <c r="T4073" s="42" t="s">
        <v>19329</v>
      </c>
      <c r="U4073" s="38" t="str">
        <f>HYPERLINK("http://www.ncbi.nlm.nih.gov/pubmed/8126974","PubMed")</f>
        <v>PubMed</v>
      </c>
      <c r="V4073" s="30"/>
      <c r="W4073" s="49"/>
      <c r="X4073" s="49"/>
      <c r="Y4073" s="35"/>
      <c r="Z4073" s="35"/>
      <c r="AA4073" s="35"/>
      <c r="AB4073" s="35"/>
      <c r="AC4073" s="35"/>
      <c r="AD4073" s="35"/>
      <c r="AE4073" s="35"/>
      <c r="AF4073" s="35"/>
      <c r="AG4073" s="35"/>
      <c r="AH4073" s="35"/>
      <c r="AI4073" s="35"/>
      <c r="AJ4073" s="35"/>
      <c r="AK4073" s="35"/>
      <c r="AL4073" s="35"/>
    </row>
    <row r="4074">
      <c r="A4074" s="133"/>
      <c r="B4074" s="19" t="s">
        <v>18603</v>
      </c>
      <c r="C4074" s="20"/>
      <c r="D4074" s="47"/>
      <c r="E4074" s="57" t="s">
        <v>19330</v>
      </c>
      <c r="F4074" s="23" t="s">
        <v>19295</v>
      </c>
      <c r="G4074" s="23">
        <v>2011.0</v>
      </c>
      <c r="H4074" s="57" t="s">
        <v>658</v>
      </c>
      <c r="I4074" s="134" t="s">
        <v>19331</v>
      </c>
      <c r="J4074" s="23" t="s">
        <v>202</v>
      </c>
      <c r="K4074" s="23"/>
      <c r="L4074" s="236"/>
      <c r="M4074" s="44"/>
      <c r="N4074" s="44"/>
      <c r="O4074" s="44"/>
      <c r="P4074" s="44"/>
      <c r="Q4074" s="44"/>
      <c r="R4074" s="44"/>
      <c r="S4074" s="44"/>
      <c r="T4074" s="45"/>
      <c r="U4074" s="337" t="s">
        <v>61</v>
      </c>
      <c r="V4074" s="139"/>
      <c r="W4074" s="49"/>
      <c r="X4074" s="49"/>
      <c r="Y4074" s="35"/>
      <c r="Z4074" s="35"/>
      <c r="AA4074" s="35"/>
      <c r="AB4074" s="35"/>
      <c r="AC4074" s="35"/>
      <c r="AD4074" s="35"/>
      <c r="AE4074" s="35"/>
      <c r="AF4074" s="35"/>
      <c r="AG4074" s="35"/>
      <c r="AH4074" s="35"/>
      <c r="AI4074" s="35"/>
      <c r="AJ4074" s="35"/>
      <c r="AK4074" s="35"/>
      <c r="AL4074" s="35"/>
    </row>
    <row r="4075">
      <c r="A4075" s="1"/>
      <c r="B4075" s="19" t="s">
        <v>19332</v>
      </c>
      <c r="C4075" s="20" t="s">
        <v>19333</v>
      </c>
      <c r="D4075" s="47"/>
      <c r="E4075" s="22" t="s">
        <v>7510</v>
      </c>
      <c r="F4075" s="22" t="s">
        <v>15303</v>
      </c>
      <c r="G4075" s="23">
        <v>2022.0</v>
      </c>
      <c r="H4075" s="22" t="s">
        <v>77</v>
      </c>
      <c r="I4075" s="24" t="s">
        <v>19334</v>
      </c>
      <c r="J4075" s="22" t="s">
        <v>19335</v>
      </c>
      <c r="K4075" s="22" t="s">
        <v>19336</v>
      </c>
      <c r="L4075" s="36"/>
      <c r="M4075" s="36"/>
      <c r="N4075" s="36"/>
      <c r="O4075" s="36"/>
      <c r="P4075" s="37"/>
      <c r="Q4075" s="36"/>
      <c r="R4075" s="36"/>
      <c r="S4075" s="36" t="s">
        <v>19337</v>
      </c>
      <c r="T4075" s="137" t="s">
        <v>19338</v>
      </c>
      <c r="U4075" s="29" t="s">
        <v>61</v>
      </c>
      <c r="V4075" s="50"/>
      <c r="W4075" s="49"/>
      <c r="X4075" s="49"/>
      <c r="Y4075" s="35"/>
      <c r="Z4075" s="35"/>
      <c r="AA4075" s="35"/>
      <c r="AB4075" s="35"/>
      <c r="AC4075" s="35"/>
      <c r="AD4075" s="35"/>
      <c r="AE4075" s="35"/>
      <c r="AF4075" s="35"/>
      <c r="AG4075" s="35"/>
      <c r="AH4075" s="35"/>
      <c r="AI4075" s="35"/>
      <c r="AJ4075" s="35"/>
      <c r="AK4075" s="35"/>
      <c r="AL4075" s="35"/>
    </row>
    <row r="4076">
      <c r="A4076" s="1"/>
      <c r="B4076" s="19" t="s">
        <v>19332</v>
      </c>
      <c r="C4076" s="20" t="s">
        <v>19339</v>
      </c>
      <c r="D4076" s="47"/>
      <c r="E4076" s="22" t="s">
        <v>19340</v>
      </c>
      <c r="F4076" s="22" t="s">
        <v>1943</v>
      </c>
      <c r="G4076" s="23">
        <v>2023.0</v>
      </c>
      <c r="H4076" s="22" t="s">
        <v>19341</v>
      </c>
      <c r="I4076" s="24" t="s">
        <v>19342</v>
      </c>
      <c r="J4076" s="22" t="s">
        <v>19343</v>
      </c>
      <c r="K4076" s="22" t="s">
        <v>19344</v>
      </c>
      <c r="L4076" s="36">
        <v>980.0</v>
      </c>
      <c r="M4076" s="36">
        <v>400.0</v>
      </c>
      <c r="N4076" s="36" t="s">
        <v>58</v>
      </c>
      <c r="O4076" s="36" t="s">
        <v>19345</v>
      </c>
      <c r="P4076" s="37" t="s">
        <v>19346</v>
      </c>
      <c r="Q4076" s="36" t="s">
        <v>19347</v>
      </c>
      <c r="R4076" s="36" t="s">
        <v>3759</v>
      </c>
      <c r="S4076" s="36">
        <v>1.0</v>
      </c>
      <c r="T4076" s="54" t="s">
        <v>19348</v>
      </c>
      <c r="U4076" s="38" t="s">
        <v>61</v>
      </c>
      <c r="V4076" s="30" t="s">
        <v>19349</v>
      </c>
      <c r="W4076" s="49"/>
      <c r="X4076" s="49"/>
      <c r="Y4076" s="35"/>
      <c r="Z4076" s="35"/>
      <c r="AA4076" s="35"/>
      <c r="AB4076" s="35"/>
      <c r="AC4076" s="35"/>
      <c r="AD4076" s="35"/>
      <c r="AE4076" s="35"/>
      <c r="AF4076" s="35"/>
      <c r="AG4076" s="35"/>
      <c r="AH4076" s="35"/>
      <c r="AI4076" s="35"/>
      <c r="AJ4076" s="35"/>
      <c r="AK4076" s="35"/>
      <c r="AL4076" s="35"/>
    </row>
    <row r="4077">
      <c r="A4077" s="1"/>
      <c r="B4077" s="19" t="s">
        <v>19332</v>
      </c>
      <c r="C4077" s="20" t="s">
        <v>19339</v>
      </c>
      <c r="D4077" s="47"/>
      <c r="E4077" s="22" t="s">
        <v>19350</v>
      </c>
      <c r="F4077" s="22" t="s">
        <v>14321</v>
      </c>
      <c r="G4077" s="23">
        <v>2022.0</v>
      </c>
      <c r="H4077" s="22" t="s">
        <v>91</v>
      </c>
      <c r="I4077" s="24" t="s">
        <v>19351</v>
      </c>
      <c r="J4077" s="22" t="s">
        <v>649</v>
      </c>
      <c r="K4077" s="22"/>
      <c r="L4077" s="167" t="s">
        <v>19352</v>
      </c>
      <c r="M4077" s="44"/>
      <c r="N4077" s="44"/>
      <c r="O4077" s="44"/>
      <c r="P4077" s="44"/>
      <c r="Q4077" s="44"/>
      <c r="R4077" s="44"/>
      <c r="S4077" s="44"/>
      <c r="T4077" s="45"/>
      <c r="U4077" s="29" t="s">
        <v>61</v>
      </c>
      <c r="V4077" s="50"/>
      <c r="W4077" s="49"/>
      <c r="X4077" s="49"/>
      <c r="Y4077" s="35"/>
      <c r="Z4077" s="35"/>
      <c r="AA4077" s="35"/>
      <c r="AB4077" s="35"/>
      <c r="AC4077" s="35"/>
      <c r="AD4077" s="35"/>
      <c r="AE4077" s="35"/>
      <c r="AF4077" s="35"/>
      <c r="AG4077" s="35"/>
      <c r="AH4077" s="35"/>
      <c r="AI4077" s="35"/>
      <c r="AJ4077" s="35"/>
      <c r="AK4077" s="35"/>
      <c r="AL4077" s="35"/>
    </row>
    <row r="4078">
      <c r="A4078" s="1"/>
      <c r="B4078" s="19" t="s">
        <v>19332</v>
      </c>
      <c r="C4078" s="20" t="s">
        <v>19339</v>
      </c>
      <c r="D4078" s="47"/>
      <c r="E4078" s="22" t="s">
        <v>2770</v>
      </c>
      <c r="F4078" s="22" t="s">
        <v>1862</v>
      </c>
      <c r="G4078" s="23">
        <v>2012.0</v>
      </c>
      <c r="H4078" s="22" t="s">
        <v>15324</v>
      </c>
      <c r="I4078" s="24" t="s">
        <v>19353</v>
      </c>
      <c r="J4078" s="22" t="s">
        <v>19354</v>
      </c>
      <c r="K4078" s="22" t="s">
        <v>19355</v>
      </c>
      <c r="L4078" s="36">
        <v>1064.0</v>
      </c>
      <c r="M4078" s="36">
        <v>1100.0</v>
      </c>
      <c r="N4078" s="36"/>
      <c r="O4078" s="36" t="s">
        <v>19356</v>
      </c>
      <c r="P4078" s="37" t="s">
        <v>19357</v>
      </c>
      <c r="Q4078" s="36"/>
      <c r="R4078" s="36"/>
      <c r="S4078" s="36">
        <v>1.0</v>
      </c>
      <c r="T4078" s="137" t="s">
        <v>19358</v>
      </c>
      <c r="U4078" s="38" t="str">
        <f>HYPERLINK("https://www.ncbi.nlm.nih.gov/pubmed/22699673","PubMed")</f>
        <v>PubMed</v>
      </c>
      <c r="V4078" s="50"/>
      <c r="W4078" s="49"/>
      <c r="X4078" s="49"/>
      <c r="Y4078" s="35"/>
      <c r="Z4078" s="35"/>
      <c r="AA4078" s="35"/>
      <c r="AB4078" s="35"/>
      <c r="AC4078" s="35"/>
      <c r="AD4078" s="35"/>
      <c r="AE4078" s="35"/>
      <c r="AF4078" s="35"/>
      <c r="AG4078" s="35"/>
      <c r="AH4078" s="35"/>
      <c r="AI4078" s="35"/>
      <c r="AJ4078" s="35"/>
      <c r="AK4078" s="35"/>
      <c r="AL4078" s="35"/>
    </row>
    <row r="4079">
      <c r="A4079" s="205"/>
      <c r="B4079" s="19" t="s">
        <v>19332</v>
      </c>
      <c r="C4079" s="20" t="s">
        <v>19359</v>
      </c>
      <c r="D4079" s="47"/>
      <c r="E4079" s="22" t="s">
        <v>19360</v>
      </c>
      <c r="F4079" s="22" t="s">
        <v>4750</v>
      </c>
      <c r="G4079" s="23">
        <v>2024.0</v>
      </c>
      <c r="H4079" s="22" t="s">
        <v>1682</v>
      </c>
      <c r="I4079" s="24" t="s">
        <v>19361</v>
      </c>
      <c r="J4079" s="22" t="s">
        <v>19362</v>
      </c>
      <c r="K4079" s="22" t="s">
        <v>294</v>
      </c>
      <c r="L4079" s="36" t="s">
        <v>19363</v>
      </c>
      <c r="M4079" s="36" t="s">
        <v>19364</v>
      </c>
      <c r="N4079" s="36" t="s">
        <v>19365</v>
      </c>
      <c r="O4079" s="36" t="s">
        <v>19366</v>
      </c>
      <c r="P4079" s="37"/>
      <c r="Q4079" s="36"/>
      <c r="R4079" s="36"/>
      <c r="S4079" s="36"/>
      <c r="T4079" s="54" t="s">
        <v>19367</v>
      </c>
      <c r="U4079" s="38" t="s">
        <v>61</v>
      </c>
      <c r="V4079" s="30"/>
      <c r="W4079" s="49"/>
      <c r="X4079" s="49"/>
      <c r="Y4079" s="35"/>
      <c r="Z4079" s="35"/>
      <c r="AA4079" s="35"/>
      <c r="AB4079" s="35"/>
      <c r="AC4079" s="35"/>
      <c r="AD4079" s="35"/>
      <c r="AE4079" s="35"/>
      <c r="AF4079" s="35"/>
      <c r="AG4079" s="35"/>
      <c r="AH4079" s="35"/>
      <c r="AI4079" s="35"/>
      <c r="AJ4079" s="35"/>
      <c r="AK4079" s="35"/>
      <c r="AL4079" s="35"/>
    </row>
    <row r="4080">
      <c r="A4080" s="205"/>
      <c r="B4080" s="19" t="s">
        <v>19332</v>
      </c>
      <c r="C4080" s="20" t="s">
        <v>19359</v>
      </c>
      <c r="D4080" s="47"/>
      <c r="E4080" s="22" t="s">
        <v>19368</v>
      </c>
      <c r="F4080" s="22" t="s">
        <v>2028</v>
      </c>
      <c r="G4080" s="23">
        <v>2024.0</v>
      </c>
      <c r="H4080" s="22" t="s">
        <v>17640</v>
      </c>
      <c r="I4080" s="24" t="s">
        <v>19369</v>
      </c>
      <c r="J4080" s="22" t="s">
        <v>19370</v>
      </c>
      <c r="K4080" s="22"/>
      <c r="L4080" s="36">
        <v>660.0</v>
      </c>
      <c r="M4080" s="36"/>
      <c r="N4080" s="36"/>
      <c r="O4080" s="36"/>
      <c r="P4080" s="37"/>
      <c r="Q4080" s="36"/>
      <c r="R4080" s="36"/>
      <c r="S4080" s="36"/>
      <c r="T4080" s="54" t="s">
        <v>19371</v>
      </c>
      <c r="U4080" s="38" t="s">
        <v>61</v>
      </c>
      <c r="V4080" s="30"/>
      <c r="W4080" s="49"/>
      <c r="X4080" s="49"/>
      <c r="Y4080" s="35"/>
      <c r="Z4080" s="35"/>
      <c r="AA4080" s="35"/>
      <c r="AB4080" s="35"/>
      <c r="AC4080" s="35"/>
      <c r="AD4080" s="35"/>
      <c r="AE4080" s="35"/>
      <c r="AF4080" s="35"/>
      <c r="AG4080" s="35"/>
      <c r="AH4080" s="35"/>
      <c r="AI4080" s="35"/>
      <c r="AJ4080" s="35"/>
      <c r="AK4080" s="35"/>
      <c r="AL4080" s="35"/>
    </row>
    <row r="4081">
      <c r="A4081" s="205"/>
      <c r="B4081" s="19" t="s">
        <v>19332</v>
      </c>
      <c r="C4081" s="20" t="s">
        <v>19359</v>
      </c>
      <c r="D4081" s="47"/>
      <c r="E4081" s="22" t="s">
        <v>19372</v>
      </c>
      <c r="F4081" s="22" t="s">
        <v>323</v>
      </c>
      <c r="G4081" s="23">
        <v>2023.0</v>
      </c>
      <c r="H4081" s="22" t="s">
        <v>91</v>
      </c>
      <c r="I4081" s="24" t="s">
        <v>19373</v>
      </c>
      <c r="J4081" s="22" t="s">
        <v>19374</v>
      </c>
      <c r="K4081" s="22"/>
      <c r="L4081" s="36">
        <v>808.0</v>
      </c>
      <c r="M4081" s="36">
        <v>250.0</v>
      </c>
      <c r="N4081" s="36"/>
      <c r="O4081" s="36"/>
      <c r="P4081" s="37" t="s">
        <v>19375</v>
      </c>
      <c r="Q4081" s="36" t="s">
        <v>19376</v>
      </c>
      <c r="R4081" s="36">
        <v>23.0</v>
      </c>
      <c r="S4081" s="36"/>
      <c r="T4081" s="102" t="s">
        <v>19377</v>
      </c>
      <c r="U4081" s="38" t="s">
        <v>61</v>
      </c>
      <c r="V4081" s="30"/>
      <c r="W4081" s="49"/>
      <c r="X4081" s="49"/>
      <c r="Y4081" s="35"/>
      <c r="Z4081" s="35"/>
      <c r="AA4081" s="35"/>
      <c r="AB4081" s="35"/>
      <c r="AC4081" s="35"/>
      <c r="AD4081" s="35"/>
      <c r="AE4081" s="35"/>
      <c r="AF4081" s="35"/>
      <c r="AG4081" s="35"/>
      <c r="AH4081" s="35"/>
      <c r="AI4081" s="35"/>
      <c r="AJ4081" s="35"/>
      <c r="AK4081" s="35"/>
      <c r="AL4081" s="35"/>
    </row>
    <row r="4082">
      <c r="A4082" s="205" t="s">
        <v>38</v>
      </c>
      <c r="B4082" s="19" t="s">
        <v>19332</v>
      </c>
      <c r="C4082" s="20" t="s">
        <v>19359</v>
      </c>
      <c r="D4082" s="47"/>
      <c r="E4082" s="22" t="s">
        <v>19378</v>
      </c>
      <c r="F4082" s="22" t="s">
        <v>19379</v>
      </c>
      <c r="G4082" s="23">
        <v>2023.0</v>
      </c>
      <c r="H4082" s="22" t="s">
        <v>19380</v>
      </c>
      <c r="I4082" s="24" t="s">
        <v>19381</v>
      </c>
      <c r="J4082" s="22" t="s">
        <v>19382</v>
      </c>
      <c r="K4082" s="22" t="s">
        <v>294</v>
      </c>
      <c r="L4082" s="36" t="s">
        <v>3149</v>
      </c>
      <c r="M4082" s="36">
        <v>100.0</v>
      </c>
      <c r="N4082" s="36" t="s">
        <v>58</v>
      </c>
      <c r="O4082" s="36" t="s">
        <v>58</v>
      </c>
      <c r="P4082" s="37" t="s">
        <v>19383</v>
      </c>
      <c r="Q4082" s="36" t="s">
        <v>58</v>
      </c>
      <c r="R4082" s="36" t="s">
        <v>19384</v>
      </c>
      <c r="S4082" s="36">
        <v>1.0</v>
      </c>
      <c r="T4082" s="54" t="s">
        <v>19385</v>
      </c>
      <c r="U4082" s="38" t="s">
        <v>61</v>
      </c>
      <c r="V4082" s="30" t="s">
        <v>19386</v>
      </c>
      <c r="W4082" s="49"/>
      <c r="X4082" s="49"/>
      <c r="Y4082" s="35"/>
      <c r="Z4082" s="35"/>
      <c r="AA4082" s="35"/>
      <c r="AB4082" s="35"/>
      <c r="AC4082" s="35"/>
      <c r="AD4082" s="35"/>
      <c r="AE4082" s="35"/>
      <c r="AF4082" s="35"/>
      <c r="AG4082" s="35"/>
      <c r="AH4082" s="35"/>
      <c r="AI4082" s="35"/>
      <c r="AJ4082" s="35"/>
      <c r="AK4082" s="35"/>
      <c r="AL4082" s="35"/>
    </row>
    <row r="4083">
      <c r="A4083" s="1"/>
      <c r="B4083" s="19" t="s">
        <v>19332</v>
      </c>
      <c r="C4083" s="20" t="s">
        <v>19359</v>
      </c>
      <c r="D4083" s="47"/>
      <c r="E4083" s="22" t="s">
        <v>19387</v>
      </c>
      <c r="F4083" s="22" t="s">
        <v>323</v>
      </c>
      <c r="G4083" s="23">
        <v>2019.0</v>
      </c>
      <c r="H4083" s="22" t="s">
        <v>91</v>
      </c>
      <c r="I4083" s="24" t="s">
        <v>19388</v>
      </c>
      <c r="J4083" s="22" t="s">
        <v>19389</v>
      </c>
      <c r="K4083" s="22"/>
      <c r="L4083" s="36">
        <v>810.0</v>
      </c>
      <c r="M4083" s="36"/>
      <c r="N4083" s="36"/>
      <c r="O4083" s="36"/>
      <c r="P4083" s="37"/>
      <c r="Q4083" s="36"/>
      <c r="R4083" s="36"/>
      <c r="S4083" s="36" t="s">
        <v>3576</v>
      </c>
      <c r="T4083" s="54" t="s">
        <v>19390</v>
      </c>
      <c r="U4083" s="38" t="str">
        <f>HYPERLINK("https://www.ncbi.nlm.nih.gov/pubmed/31376016","PubMed")</f>
        <v>PubMed</v>
      </c>
      <c r="V4083" s="50"/>
      <c r="W4083" s="49"/>
      <c r="X4083" s="49"/>
      <c r="Y4083" s="35"/>
      <c r="Z4083" s="35"/>
      <c r="AA4083" s="35"/>
      <c r="AB4083" s="35"/>
      <c r="AC4083" s="35"/>
      <c r="AD4083" s="35"/>
      <c r="AE4083" s="35"/>
      <c r="AF4083" s="35"/>
      <c r="AG4083" s="35"/>
      <c r="AH4083" s="35"/>
      <c r="AI4083" s="35"/>
      <c r="AJ4083" s="35"/>
      <c r="AK4083" s="35"/>
      <c r="AL4083" s="35"/>
    </row>
    <row r="4084">
      <c r="A4084" s="1"/>
      <c r="B4084" s="19" t="s">
        <v>19332</v>
      </c>
      <c r="C4084" s="20" t="s">
        <v>19391</v>
      </c>
      <c r="D4084" s="47"/>
      <c r="E4084" s="22" t="s">
        <v>19392</v>
      </c>
      <c r="F4084" s="22" t="s">
        <v>2028</v>
      </c>
      <c r="G4084" s="23">
        <v>2024.0</v>
      </c>
      <c r="H4084" s="22" t="s">
        <v>12502</v>
      </c>
      <c r="I4084" s="24" t="s">
        <v>19393</v>
      </c>
      <c r="J4084" s="22" t="s">
        <v>19394</v>
      </c>
      <c r="K4084" s="22"/>
      <c r="L4084" s="52">
        <v>660.0</v>
      </c>
      <c r="M4084" s="52">
        <v>100.0</v>
      </c>
      <c r="N4084" s="52"/>
      <c r="O4084" s="52">
        <v>6.0</v>
      </c>
      <c r="P4084" s="189" t="s">
        <v>2848</v>
      </c>
      <c r="Q4084" s="52" t="s">
        <v>19395</v>
      </c>
      <c r="R4084" s="52">
        <v>60.0</v>
      </c>
      <c r="S4084" s="52"/>
      <c r="T4084" s="54" t="s">
        <v>19396</v>
      </c>
      <c r="U4084" s="38" t="s">
        <v>61</v>
      </c>
      <c r="V4084" s="30" t="s">
        <v>19397</v>
      </c>
      <c r="W4084" s="49"/>
      <c r="X4084" s="49"/>
      <c r="Y4084" s="35"/>
      <c r="Z4084" s="35"/>
      <c r="AA4084" s="35"/>
      <c r="AB4084" s="35"/>
      <c r="AC4084" s="35"/>
      <c r="AD4084" s="35"/>
      <c r="AE4084" s="35"/>
      <c r="AF4084" s="35"/>
      <c r="AG4084" s="35"/>
      <c r="AH4084" s="35"/>
      <c r="AI4084" s="35"/>
      <c r="AJ4084" s="35"/>
      <c r="AK4084" s="35"/>
      <c r="AL4084" s="35"/>
    </row>
    <row r="4085">
      <c r="A4085" s="1"/>
      <c r="B4085" s="19" t="s">
        <v>19332</v>
      </c>
      <c r="C4085" s="20" t="s">
        <v>19391</v>
      </c>
      <c r="D4085" s="47"/>
      <c r="E4085" s="22" t="s">
        <v>19398</v>
      </c>
      <c r="F4085" s="22" t="s">
        <v>323</v>
      </c>
      <c r="G4085" s="23">
        <v>2024.0</v>
      </c>
      <c r="H4085" s="22" t="s">
        <v>4975</v>
      </c>
      <c r="I4085" s="24" t="s">
        <v>19399</v>
      </c>
      <c r="J4085" s="22" t="s">
        <v>1078</v>
      </c>
      <c r="K4085" s="22"/>
      <c r="L4085" s="173" t="s">
        <v>19400</v>
      </c>
      <c r="U4085" s="38" t="s">
        <v>61</v>
      </c>
      <c r="V4085" s="50"/>
      <c r="W4085" s="49"/>
      <c r="X4085" s="49"/>
      <c r="Y4085" s="35"/>
      <c r="Z4085" s="35"/>
      <c r="AA4085" s="35"/>
      <c r="AB4085" s="35"/>
      <c r="AC4085" s="35"/>
      <c r="AD4085" s="35"/>
      <c r="AE4085" s="35"/>
      <c r="AF4085" s="35"/>
      <c r="AG4085" s="35"/>
      <c r="AH4085" s="35"/>
      <c r="AI4085" s="35"/>
      <c r="AJ4085" s="35"/>
      <c r="AK4085" s="35"/>
      <c r="AL4085" s="35"/>
    </row>
    <row r="4086">
      <c r="A4086" s="1"/>
      <c r="B4086" s="19" t="s">
        <v>19332</v>
      </c>
      <c r="C4086" s="20" t="s">
        <v>19391</v>
      </c>
      <c r="D4086" s="47"/>
      <c r="E4086" s="22" t="s">
        <v>19401</v>
      </c>
      <c r="F4086" s="22" t="s">
        <v>5227</v>
      </c>
      <c r="G4086" s="23">
        <v>2024.0</v>
      </c>
      <c r="H4086" s="22" t="s">
        <v>19380</v>
      </c>
      <c r="I4086" s="24" t="s">
        <v>19402</v>
      </c>
      <c r="J4086" s="22" t="s">
        <v>649</v>
      </c>
      <c r="K4086" s="22"/>
      <c r="L4086" s="54" t="s">
        <v>19403</v>
      </c>
      <c r="U4086" s="38" t="s">
        <v>61</v>
      </c>
      <c r="V4086" s="50"/>
      <c r="W4086" s="49"/>
      <c r="X4086" s="49"/>
      <c r="Y4086" s="35"/>
      <c r="Z4086" s="35"/>
      <c r="AA4086" s="35"/>
      <c r="AB4086" s="35"/>
      <c r="AC4086" s="35"/>
      <c r="AD4086" s="35"/>
      <c r="AE4086" s="35"/>
      <c r="AF4086" s="35"/>
      <c r="AG4086" s="35"/>
      <c r="AH4086" s="35"/>
      <c r="AI4086" s="35"/>
      <c r="AJ4086" s="35"/>
      <c r="AK4086" s="35"/>
      <c r="AL4086" s="35"/>
    </row>
    <row r="4087">
      <c r="A4087" s="1"/>
      <c r="B4087" s="19" t="s">
        <v>19332</v>
      </c>
      <c r="C4087" s="20" t="s">
        <v>19391</v>
      </c>
      <c r="D4087" s="47"/>
      <c r="E4087" s="22" t="s">
        <v>19404</v>
      </c>
      <c r="F4087" s="22" t="s">
        <v>870</v>
      </c>
      <c r="G4087" s="23">
        <v>2024.0</v>
      </c>
      <c r="H4087" s="22" t="s">
        <v>10015</v>
      </c>
      <c r="I4087" s="24" t="s">
        <v>19405</v>
      </c>
      <c r="J4087" s="22" t="s">
        <v>649</v>
      </c>
      <c r="K4087" s="22"/>
      <c r="L4087" s="103" t="s">
        <v>19406</v>
      </c>
      <c r="U4087" s="38" t="s">
        <v>61</v>
      </c>
      <c r="V4087" s="50"/>
      <c r="W4087" s="49"/>
      <c r="X4087" s="49"/>
      <c r="Y4087" s="35"/>
      <c r="Z4087" s="35"/>
      <c r="AA4087" s="35"/>
      <c r="AB4087" s="35"/>
      <c r="AC4087" s="35"/>
      <c r="AD4087" s="35"/>
      <c r="AE4087" s="35"/>
      <c r="AF4087" s="35"/>
      <c r="AG4087" s="35"/>
      <c r="AH4087" s="35"/>
      <c r="AI4087" s="35"/>
      <c r="AJ4087" s="35"/>
      <c r="AK4087" s="35"/>
      <c r="AL4087" s="35"/>
    </row>
    <row r="4088">
      <c r="A4088" s="1"/>
      <c r="B4088" s="19" t="s">
        <v>19332</v>
      </c>
      <c r="C4088" s="20" t="s">
        <v>19391</v>
      </c>
      <c r="D4088" s="47"/>
      <c r="E4088" s="22" t="s">
        <v>19407</v>
      </c>
      <c r="F4088" s="22" t="s">
        <v>19408</v>
      </c>
      <c r="G4088" s="23">
        <v>2024.0</v>
      </c>
      <c r="H4088" s="22" t="s">
        <v>477</v>
      </c>
      <c r="I4088" s="24" t="s">
        <v>19409</v>
      </c>
      <c r="J4088" s="22" t="s">
        <v>19410</v>
      </c>
      <c r="K4088" s="22"/>
      <c r="L4088" s="36">
        <v>940.0</v>
      </c>
      <c r="M4088" s="36">
        <v>500.0</v>
      </c>
      <c r="N4088" s="36"/>
      <c r="O4088" s="36"/>
      <c r="P4088" s="37" t="s">
        <v>95</v>
      </c>
      <c r="Q4088" s="36"/>
      <c r="R4088" s="36"/>
      <c r="S4088" s="36"/>
      <c r="T4088" s="54" t="s">
        <v>19411</v>
      </c>
      <c r="U4088" s="38" t="s">
        <v>61</v>
      </c>
      <c r="V4088" s="50"/>
      <c r="W4088" s="49"/>
      <c r="X4088" s="49"/>
      <c r="Y4088" s="35"/>
      <c r="Z4088" s="35"/>
      <c r="AA4088" s="35"/>
      <c r="AB4088" s="35"/>
      <c r="AC4088" s="35"/>
      <c r="AD4088" s="35"/>
      <c r="AE4088" s="35"/>
      <c r="AF4088" s="35"/>
      <c r="AG4088" s="35"/>
      <c r="AH4088" s="35"/>
      <c r="AI4088" s="35"/>
      <c r="AJ4088" s="35"/>
      <c r="AK4088" s="35"/>
      <c r="AL4088" s="35"/>
    </row>
    <row r="4089">
      <c r="A4089" s="1"/>
      <c r="B4089" s="19" t="s">
        <v>19332</v>
      </c>
      <c r="C4089" s="20" t="s">
        <v>19391</v>
      </c>
      <c r="D4089" s="47"/>
      <c r="E4089" s="22" t="s">
        <v>12741</v>
      </c>
      <c r="F4089" s="22" t="s">
        <v>3636</v>
      </c>
      <c r="G4089" s="23">
        <v>2023.0</v>
      </c>
      <c r="H4089" s="22" t="s">
        <v>19412</v>
      </c>
      <c r="I4089" s="24" t="s">
        <v>19413</v>
      </c>
      <c r="J4089" s="22" t="s">
        <v>19414</v>
      </c>
      <c r="K4089" s="22" t="s">
        <v>19415</v>
      </c>
      <c r="L4089" s="36">
        <v>980.0</v>
      </c>
      <c r="M4089" s="36"/>
      <c r="N4089" s="36"/>
      <c r="O4089" s="36"/>
      <c r="P4089" s="37" t="s">
        <v>5401</v>
      </c>
      <c r="Q4089" s="36"/>
      <c r="R4089" s="36">
        <v>20.0</v>
      </c>
      <c r="S4089" s="36"/>
      <c r="T4089" s="54" t="s">
        <v>19416</v>
      </c>
      <c r="U4089" s="38" t="s">
        <v>61</v>
      </c>
      <c r="V4089" s="50"/>
      <c r="W4089" s="49"/>
      <c r="X4089" s="49"/>
      <c r="Y4089" s="35"/>
      <c r="Z4089" s="35"/>
      <c r="AA4089" s="35"/>
      <c r="AB4089" s="35"/>
      <c r="AC4089" s="35"/>
      <c r="AD4089" s="35"/>
      <c r="AE4089" s="35"/>
      <c r="AF4089" s="35"/>
      <c r="AG4089" s="35"/>
      <c r="AH4089" s="35"/>
      <c r="AI4089" s="35"/>
      <c r="AJ4089" s="35"/>
      <c r="AK4089" s="35"/>
      <c r="AL4089" s="35"/>
    </row>
    <row r="4090">
      <c r="A4090" s="1"/>
      <c r="B4090" s="19" t="s">
        <v>19332</v>
      </c>
      <c r="C4090" s="20" t="s">
        <v>19391</v>
      </c>
      <c r="D4090" s="47"/>
      <c r="E4090" s="22" t="s">
        <v>7700</v>
      </c>
      <c r="F4090" s="22" t="s">
        <v>41</v>
      </c>
      <c r="G4090" s="23">
        <v>2023.0</v>
      </c>
      <c r="H4090" s="22" t="s">
        <v>42</v>
      </c>
      <c r="I4090" s="24" t="s">
        <v>19417</v>
      </c>
      <c r="J4090" s="22" t="s">
        <v>19418</v>
      </c>
      <c r="K4090" s="22"/>
      <c r="L4090" s="36">
        <v>808.0</v>
      </c>
      <c r="M4090" s="36"/>
      <c r="N4090" s="36"/>
      <c r="O4090" s="36"/>
      <c r="P4090" s="37"/>
      <c r="Q4090" s="36"/>
      <c r="R4090" s="36"/>
      <c r="S4090" s="36"/>
      <c r="T4090" s="54" t="s">
        <v>19419</v>
      </c>
      <c r="U4090" s="38" t="s">
        <v>61</v>
      </c>
      <c r="V4090" s="50"/>
      <c r="W4090" s="49"/>
      <c r="X4090" s="49"/>
      <c r="Y4090" s="35"/>
      <c r="Z4090" s="35"/>
      <c r="AA4090" s="35"/>
      <c r="AB4090" s="35"/>
      <c r="AC4090" s="35"/>
      <c r="AD4090" s="35"/>
      <c r="AE4090" s="35"/>
      <c r="AF4090" s="35"/>
      <c r="AG4090" s="35"/>
      <c r="AH4090" s="35"/>
      <c r="AI4090" s="35"/>
      <c r="AJ4090" s="35"/>
      <c r="AK4090" s="35"/>
      <c r="AL4090" s="35"/>
    </row>
    <row r="4091">
      <c r="A4091" s="1"/>
      <c r="B4091" s="19" t="s">
        <v>19332</v>
      </c>
      <c r="C4091" s="20" t="s">
        <v>19391</v>
      </c>
      <c r="D4091" s="47"/>
      <c r="E4091" s="22" t="s">
        <v>19387</v>
      </c>
      <c r="F4091" s="22" t="s">
        <v>323</v>
      </c>
      <c r="G4091" s="23">
        <v>2023.0</v>
      </c>
      <c r="H4091" s="22" t="s">
        <v>147</v>
      </c>
      <c r="I4091" s="24" t="s">
        <v>19420</v>
      </c>
      <c r="J4091" s="22" t="s">
        <v>19421</v>
      </c>
      <c r="K4091" s="22"/>
      <c r="L4091" s="36">
        <v>810.0</v>
      </c>
      <c r="M4091" s="36">
        <v>200.0</v>
      </c>
      <c r="N4091" s="36" t="s">
        <v>17125</v>
      </c>
      <c r="O4091" s="36" t="s">
        <v>58</v>
      </c>
      <c r="P4091" s="37" t="s">
        <v>19422</v>
      </c>
      <c r="Q4091" s="36" t="s">
        <v>433</v>
      </c>
      <c r="R4091" s="36" t="s">
        <v>19423</v>
      </c>
      <c r="S4091" s="36">
        <v>1.0</v>
      </c>
      <c r="T4091" s="103" t="s">
        <v>19424</v>
      </c>
      <c r="U4091" s="38" t="s">
        <v>61</v>
      </c>
      <c r="V4091" s="30" t="s">
        <v>19425</v>
      </c>
      <c r="W4091" s="49"/>
      <c r="X4091" s="49"/>
      <c r="Y4091" s="35"/>
      <c r="Z4091" s="35"/>
      <c r="AA4091" s="35"/>
      <c r="AB4091" s="35"/>
      <c r="AC4091" s="35"/>
      <c r="AD4091" s="35"/>
      <c r="AE4091" s="35"/>
      <c r="AF4091" s="35"/>
      <c r="AG4091" s="35"/>
      <c r="AH4091" s="35"/>
      <c r="AI4091" s="35"/>
      <c r="AJ4091" s="35"/>
      <c r="AK4091" s="35"/>
      <c r="AL4091" s="35"/>
    </row>
    <row r="4092">
      <c r="A4092" s="1"/>
      <c r="B4092" s="19" t="s">
        <v>19332</v>
      </c>
      <c r="C4092" s="20" t="s">
        <v>19391</v>
      </c>
      <c r="D4092" s="47"/>
      <c r="E4092" s="22" t="s">
        <v>19426</v>
      </c>
      <c r="F4092" s="22" t="s">
        <v>878</v>
      </c>
      <c r="G4092" s="23">
        <v>2023.0</v>
      </c>
      <c r="H4092" s="22" t="s">
        <v>7726</v>
      </c>
      <c r="I4092" s="24" t="s">
        <v>19427</v>
      </c>
      <c r="J4092" s="22" t="s">
        <v>19428</v>
      </c>
      <c r="K4092" s="22"/>
      <c r="L4092" s="36">
        <v>940.0</v>
      </c>
      <c r="M4092" s="36">
        <v>300.0</v>
      </c>
      <c r="N4092" s="36"/>
      <c r="O4092" s="36"/>
      <c r="P4092" s="37"/>
      <c r="Q4092" s="36"/>
      <c r="R4092" s="36" t="s">
        <v>19429</v>
      </c>
      <c r="S4092" s="36"/>
      <c r="T4092" s="103" t="s">
        <v>19430</v>
      </c>
      <c r="U4092" s="38" t="s">
        <v>61</v>
      </c>
      <c r="V4092" s="50"/>
      <c r="W4092" s="49"/>
      <c r="X4092" s="49"/>
      <c r="Y4092" s="35"/>
      <c r="Z4092" s="35"/>
      <c r="AA4092" s="35"/>
      <c r="AB4092" s="35"/>
      <c r="AC4092" s="35"/>
      <c r="AD4092" s="35"/>
      <c r="AE4092" s="35"/>
      <c r="AF4092" s="35"/>
      <c r="AG4092" s="35"/>
      <c r="AH4092" s="35"/>
      <c r="AI4092" s="35"/>
      <c r="AJ4092" s="35"/>
      <c r="AK4092" s="35"/>
      <c r="AL4092" s="35"/>
    </row>
    <row r="4093">
      <c r="A4093" s="1"/>
      <c r="B4093" s="19" t="s">
        <v>19332</v>
      </c>
      <c r="C4093" s="20" t="s">
        <v>19391</v>
      </c>
      <c r="D4093" s="47"/>
      <c r="E4093" s="22" t="s">
        <v>19431</v>
      </c>
      <c r="F4093" s="22" t="s">
        <v>878</v>
      </c>
      <c r="G4093" s="23">
        <v>2022.0</v>
      </c>
      <c r="H4093" s="22" t="s">
        <v>91</v>
      </c>
      <c r="I4093" s="24" t="s">
        <v>19432</v>
      </c>
      <c r="J4093" s="22" t="s">
        <v>19428</v>
      </c>
      <c r="K4093" s="22"/>
      <c r="L4093" s="36">
        <v>940.0</v>
      </c>
      <c r="M4093" s="36" t="s">
        <v>19433</v>
      </c>
      <c r="N4093" s="36"/>
      <c r="O4093" s="36"/>
      <c r="P4093" s="37"/>
      <c r="Q4093" s="36"/>
      <c r="R4093" s="36"/>
      <c r="S4093" s="36"/>
      <c r="T4093" s="54" t="s">
        <v>19434</v>
      </c>
      <c r="U4093" s="38" t="s">
        <v>61</v>
      </c>
      <c r="V4093" s="50"/>
      <c r="W4093" s="49"/>
      <c r="X4093" s="49"/>
      <c r="Y4093" s="35"/>
      <c r="Z4093" s="35"/>
      <c r="AA4093" s="35"/>
      <c r="AB4093" s="35"/>
      <c r="AC4093" s="35"/>
      <c r="AD4093" s="35"/>
      <c r="AE4093" s="35"/>
      <c r="AF4093" s="35"/>
      <c r="AG4093" s="35"/>
      <c r="AH4093" s="35"/>
      <c r="AI4093" s="35"/>
      <c r="AJ4093" s="35"/>
      <c r="AK4093" s="35"/>
      <c r="AL4093" s="35"/>
    </row>
    <row r="4094">
      <c r="A4094" s="1"/>
      <c r="B4094" s="19" t="s">
        <v>19332</v>
      </c>
      <c r="C4094" s="20" t="s">
        <v>19391</v>
      </c>
      <c r="D4094" s="47"/>
      <c r="E4094" s="22" t="s">
        <v>19435</v>
      </c>
      <c r="F4094" s="22" t="s">
        <v>323</v>
      </c>
      <c r="G4094" s="23">
        <v>2022.0</v>
      </c>
      <c r="H4094" s="22" t="s">
        <v>13399</v>
      </c>
      <c r="I4094" s="24" t="s">
        <v>19436</v>
      </c>
      <c r="J4094" s="22" t="s">
        <v>19437</v>
      </c>
      <c r="K4094" s="22"/>
      <c r="L4094" s="36">
        <v>940.0</v>
      </c>
      <c r="M4094" s="36">
        <v>200.0</v>
      </c>
      <c r="N4094" s="36"/>
      <c r="O4094" s="36"/>
      <c r="P4094" s="37" t="s">
        <v>3954</v>
      </c>
      <c r="Q4094" s="36"/>
      <c r="R4094" s="36">
        <v>60.0</v>
      </c>
      <c r="S4094" s="36"/>
      <c r="T4094" s="102" t="s">
        <v>19438</v>
      </c>
      <c r="U4094" s="38" t="s">
        <v>61</v>
      </c>
      <c r="V4094" s="50"/>
      <c r="W4094" s="49"/>
      <c r="X4094" s="49"/>
      <c r="Y4094" s="35"/>
      <c r="Z4094" s="35"/>
      <c r="AA4094" s="35"/>
      <c r="AB4094" s="35"/>
      <c r="AC4094" s="35"/>
      <c r="AD4094" s="35"/>
      <c r="AE4094" s="35"/>
      <c r="AF4094" s="35"/>
      <c r="AG4094" s="35"/>
      <c r="AH4094" s="35"/>
      <c r="AI4094" s="35"/>
      <c r="AJ4094" s="35"/>
      <c r="AK4094" s="35"/>
      <c r="AL4094" s="35"/>
    </row>
    <row r="4095">
      <c r="A4095" s="1"/>
      <c r="B4095" s="19" t="s">
        <v>19332</v>
      </c>
      <c r="C4095" s="20" t="s">
        <v>19391</v>
      </c>
      <c r="D4095" s="47"/>
      <c r="E4095" s="22" t="s">
        <v>19439</v>
      </c>
      <c r="F4095" s="22" t="s">
        <v>323</v>
      </c>
      <c r="G4095" s="23">
        <v>2022.0</v>
      </c>
      <c r="H4095" s="22" t="s">
        <v>4975</v>
      </c>
      <c r="I4095" s="24" t="s">
        <v>19440</v>
      </c>
      <c r="J4095" s="22" t="s">
        <v>19441</v>
      </c>
      <c r="K4095" s="22"/>
      <c r="L4095" s="36">
        <v>915.0</v>
      </c>
      <c r="M4095" s="36" t="s">
        <v>19442</v>
      </c>
      <c r="N4095" s="36"/>
      <c r="O4095" s="36"/>
      <c r="P4095" s="37" t="s">
        <v>6491</v>
      </c>
      <c r="Q4095" s="36"/>
      <c r="R4095" s="36"/>
      <c r="S4095" s="36" t="s">
        <v>3576</v>
      </c>
      <c r="T4095" s="54" t="s">
        <v>19443</v>
      </c>
      <c r="U4095" s="29" t="s">
        <v>61</v>
      </c>
      <c r="V4095" s="50"/>
      <c r="W4095" s="49"/>
      <c r="X4095" s="49"/>
      <c r="Y4095" s="35"/>
      <c r="Z4095" s="35"/>
      <c r="AA4095" s="35"/>
      <c r="AB4095" s="35"/>
      <c r="AC4095" s="35"/>
      <c r="AD4095" s="35"/>
      <c r="AE4095" s="35"/>
      <c r="AF4095" s="35"/>
      <c r="AG4095" s="35"/>
      <c r="AH4095" s="35"/>
      <c r="AI4095" s="35"/>
      <c r="AJ4095" s="35"/>
      <c r="AK4095" s="35"/>
      <c r="AL4095" s="35"/>
    </row>
    <row r="4096">
      <c r="A4096" s="1"/>
      <c r="B4096" s="19" t="s">
        <v>19332</v>
      </c>
      <c r="C4096" s="20" t="s">
        <v>19391</v>
      </c>
      <c r="D4096" s="47"/>
      <c r="E4096" s="22" t="s">
        <v>19444</v>
      </c>
      <c r="F4096" s="22" t="s">
        <v>323</v>
      </c>
      <c r="G4096" s="23">
        <v>2022.0</v>
      </c>
      <c r="H4096" s="22" t="s">
        <v>4975</v>
      </c>
      <c r="I4096" s="24" t="s">
        <v>19445</v>
      </c>
      <c r="J4096" s="22" t="s">
        <v>19446</v>
      </c>
      <c r="K4096" s="22"/>
      <c r="L4096" s="36">
        <v>808.0</v>
      </c>
      <c r="M4096" s="36">
        <v>250.0</v>
      </c>
      <c r="N4096" s="36"/>
      <c r="O4096" s="36" t="s">
        <v>19447</v>
      </c>
      <c r="P4096" s="37" t="s">
        <v>19448</v>
      </c>
      <c r="Q4096" s="36"/>
      <c r="R4096" s="36"/>
      <c r="S4096" s="36"/>
      <c r="T4096" s="54" t="s">
        <v>19449</v>
      </c>
      <c r="U4096" s="29" t="s">
        <v>61</v>
      </c>
      <c r="V4096" s="50"/>
      <c r="W4096" s="49"/>
      <c r="X4096" s="49"/>
      <c r="Y4096" s="35"/>
      <c r="Z4096" s="35"/>
      <c r="AA4096" s="35"/>
      <c r="AB4096" s="35"/>
      <c r="AC4096" s="35"/>
      <c r="AD4096" s="35"/>
      <c r="AE4096" s="35"/>
      <c r="AF4096" s="35"/>
      <c r="AG4096" s="35"/>
      <c r="AH4096" s="35"/>
      <c r="AI4096" s="35"/>
      <c r="AJ4096" s="35"/>
      <c r="AK4096" s="35"/>
      <c r="AL4096" s="35"/>
    </row>
    <row r="4097">
      <c r="A4097" s="205" t="s">
        <v>38</v>
      </c>
      <c r="B4097" s="19" t="s">
        <v>19332</v>
      </c>
      <c r="C4097" s="20" t="s">
        <v>19391</v>
      </c>
      <c r="D4097" s="47"/>
      <c r="E4097" s="22" t="s">
        <v>19450</v>
      </c>
      <c r="F4097" s="22" t="s">
        <v>19379</v>
      </c>
      <c r="G4097" s="23">
        <v>2021.0</v>
      </c>
      <c r="H4097" s="22" t="s">
        <v>19412</v>
      </c>
      <c r="I4097" s="24" t="s">
        <v>19451</v>
      </c>
      <c r="J4097" s="22" t="s">
        <v>19452</v>
      </c>
      <c r="K4097" s="22" t="s">
        <v>19453</v>
      </c>
      <c r="L4097" s="36">
        <v>980.0</v>
      </c>
      <c r="M4097" s="36"/>
      <c r="N4097" s="36"/>
      <c r="O4097" s="183">
        <v>44654.0</v>
      </c>
      <c r="P4097" s="37"/>
      <c r="Q4097" s="36"/>
      <c r="R4097" s="36"/>
      <c r="S4097" s="36"/>
      <c r="T4097" s="54" t="s">
        <v>19454</v>
      </c>
      <c r="U4097" s="38" t="s">
        <v>61</v>
      </c>
      <c r="V4097" s="50"/>
      <c r="W4097" s="49"/>
      <c r="X4097" s="49"/>
      <c r="Y4097" s="35"/>
      <c r="Z4097" s="35"/>
      <c r="AA4097" s="35"/>
      <c r="AB4097" s="35"/>
      <c r="AC4097" s="35"/>
      <c r="AD4097" s="35"/>
      <c r="AE4097" s="35"/>
      <c r="AF4097" s="35"/>
      <c r="AG4097" s="35"/>
      <c r="AH4097" s="35"/>
      <c r="AI4097" s="35"/>
      <c r="AJ4097" s="35"/>
      <c r="AK4097" s="35"/>
      <c r="AL4097" s="35"/>
    </row>
    <row r="4098">
      <c r="A4098" s="1"/>
      <c r="B4098" s="19" t="s">
        <v>19332</v>
      </c>
      <c r="C4098" s="20" t="s">
        <v>19391</v>
      </c>
      <c r="D4098" s="47"/>
      <c r="E4098" s="22" t="s">
        <v>19455</v>
      </c>
      <c r="F4098" s="22" t="s">
        <v>878</v>
      </c>
      <c r="G4098" s="23">
        <v>2021.0</v>
      </c>
      <c r="H4098" s="22" t="s">
        <v>17640</v>
      </c>
      <c r="I4098" s="24" t="s">
        <v>19456</v>
      </c>
      <c r="J4098" s="22" t="s">
        <v>19457</v>
      </c>
      <c r="K4098" s="22"/>
      <c r="L4098" s="36">
        <v>810.0</v>
      </c>
      <c r="M4098" s="36">
        <v>300.0</v>
      </c>
      <c r="N4098" s="36"/>
      <c r="O4098" s="36"/>
      <c r="P4098" s="37" t="s">
        <v>17146</v>
      </c>
      <c r="Q4098" s="36"/>
      <c r="R4098" s="36">
        <v>20.0</v>
      </c>
      <c r="S4098" s="36"/>
      <c r="T4098" s="54" t="s">
        <v>19458</v>
      </c>
      <c r="U4098" s="29" t="s">
        <v>61</v>
      </c>
      <c r="V4098" s="50"/>
      <c r="W4098" s="49"/>
      <c r="X4098" s="49"/>
      <c r="Y4098" s="35"/>
      <c r="Z4098" s="35"/>
      <c r="AA4098" s="35"/>
      <c r="AB4098" s="35"/>
      <c r="AC4098" s="35"/>
      <c r="AD4098" s="35"/>
      <c r="AE4098" s="35"/>
      <c r="AF4098" s="35"/>
      <c r="AG4098" s="35"/>
      <c r="AH4098" s="35"/>
      <c r="AI4098" s="35"/>
      <c r="AJ4098" s="35"/>
      <c r="AK4098" s="35"/>
      <c r="AL4098" s="35"/>
    </row>
    <row r="4099">
      <c r="A4099" s="1"/>
      <c r="B4099" s="19" t="s">
        <v>19332</v>
      </c>
      <c r="C4099" s="20" t="s">
        <v>19391</v>
      </c>
      <c r="D4099" s="47"/>
      <c r="E4099" s="22" t="s">
        <v>19459</v>
      </c>
      <c r="F4099" s="22" t="s">
        <v>323</v>
      </c>
      <c r="G4099" s="23">
        <v>2020.0</v>
      </c>
      <c r="H4099" s="22" t="s">
        <v>169</v>
      </c>
      <c r="I4099" s="24" t="s">
        <v>19460</v>
      </c>
      <c r="J4099" s="22" t="s">
        <v>19461</v>
      </c>
      <c r="K4099" s="22"/>
      <c r="L4099" s="36">
        <v>980.0</v>
      </c>
      <c r="M4099" s="36"/>
      <c r="N4099" s="36"/>
      <c r="O4099" s="36"/>
      <c r="P4099" s="37"/>
      <c r="Q4099" s="36"/>
      <c r="R4099" s="36"/>
      <c r="S4099" s="36"/>
      <c r="T4099" s="103" t="s">
        <v>19462</v>
      </c>
      <c r="U4099" s="29" t="s">
        <v>61</v>
      </c>
      <c r="V4099" s="50"/>
      <c r="W4099" s="49"/>
      <c r="X4099" s="49"/>
      <c r="Y4099" s="35"/>
      <c r="Z4099" s="35"/>
      <c r="AA4099" s="35"/>
      <c r="AB4099" s="35"/>
      <c r="AC4099" s="35"/>
      <c r="AD4099" s="35"/>
      <c r="AE4099" s="35"/>
      <c r="AF4099" s="35"/>
      <c r="AG4099" s="35"/>
      <c r="AH4099" s="35"/>
      <c r="AI4099" s="35"/>
      <c r="AJ4099" s="35"/>
      <c r="AK4099" s="35"/>
      <c r="AL4099" s="35"/>
    </row>
    <row r="4100">
      <c r="A4100" s="205" t="s">
        <v>11251</v>
      </c>
      <c r="B4100" s="19" t="s">
        <v>19332</v>
      </c>
      <c r="C4100" s="20" t="s">
        <v>19391</v>
      </c>
      <c r="D4100" s="47"/>
      <c r="E4100" s="22" t="s">
        <v>19463</v>
      </c>
      <c r="F4100" s="22" t="s">
        <v>19464</v>
      </c>
      <c r="G4100" s="23">
        <v>2019.0</v>
      </c>
      <c r="H4100" s="57" t="s">
        <v>19380</v>
      </c>
      <c r="I4100" s="24" t="s">
        <v>19465</v>
      </c>
      <c r="J4100" s="22" t="s">
        <v>19466</v>
      </c>
      <c r="K4100" s="22"/>
      <c r="L4100" s="36">
        <v>660.0</v>
      </c>
      <c r="M4100" s="36">
        <v>60.0</v>
      </c>
      <c r="N4100" s="36"/>
      <c r="O4100" s="36"/>
      <c r="P4100" s="37"/>
      <c r="Q4100" s="36"/>
      <c r="R4100" s="36"/>
      <c r="S4100" s="36"/>
      <c r="T4100" s="28" t="s">
        <v>19467</v>
      </c>
      <c r="U4100" s="38" t="str">
        <f>HYPERLINK("https://www.ncbi.nlm.nih.gov/pubmed/31338422","PubMed")</f>
        <v>PubMed</v>
      </c>
      <c r="V4100" s="30"/>
      <c r="W4100" s="49"/>
      <c r="X4100" s="49"/>
      <c r="Y4100" s="35"/>
      <c r="Z4100" s="35"/>
      <c r="AA4100" s="35"/>
      <c r="AB4100" s="35"/>
      <c r="AC4100" s="35"/>
      <c r="AD4100" s="35"/>
      <c r="AE4100" s="35"/>
      <c r="AF4100" s="35"/>
      <c r="AG4100" s="35"/>
      <c r="AH4100" s="35"/>
      <c r="AI4100" s="35"/>
      <c r="AJ4100" s="35"/>
      <c r="AK4100" s="35"/>
      <c r="AL4100" s="35"/>
    </row>
    <row r="4101">
      <c r="A4101" s="40"/>
      <c r="B4101" s="19" t="s">
        <v>19332</v>
      </c>
      <c r="C4101" s="20" t="s">
        <v>19391</v>
      </c>
      <c r="D4101" s="159"/>
      <c r="E4101" s="57" t="s">
        <v>19468</v>
      </c>
      <c r="F4101" s="22" t="s">
        <v>3473</v>
      </c>
      <c r="G4101" s="57">
        <v>2017.0</v>
      </c>
      <c r="H4101" s="22" t="s">
        <v>994</v>
      </c>
      <c r="I4101" s="134" t="s">
        <v>19469</v>
      </c>
      <c r="J4101" s="22" t="s">
        <v>19470</v>
      </c>
      <c r="K4101" s="23"/>
      <c r="L4101" s="36">
        <v>810.0</v>
      </c>
      <c r="M4101" s="36">
        <v>198.0</v>
      </c>
      <c r="N4101" s="36" t="s">
        <v>58</v>
      </c>
      <c r="O4101" s="36" t="s">
        <v>19471</v>
      </c>
      <c r="P4101" s="37" t="s">
        <v>19472</v>
      </c>
      <c r="Q4101" s="36" t="s">
        <v>19473</v>
      </c>
      <c r="R4101" s="36" t="s">
        <v>19474</v>
      </c>
      <c r="S4101" s="36">
        <v>1.0</v>
      </c>
      <c r="T4101" s="82" t="s">
        <v>19475</v>
      </c>
      <c r="U4101" s="250" t="str">
        <f>HYPERLINK("https://www.ncbi.nlm.nih.gov/pubmed/28690083","PubMed")</f>
        <v>PubMed</v>
      </c>
      <c r="V4101" s="50"/>
      <c r="W4101" s="49"/>
      <c r="X4101" s="49"/>
      <c r="Y4101" s="35"/>
      <c r="Z4101" s="35"/>
      <c r="AA4101" s="35"/>
      <c r="AB4101" s="35"/>
      <c r="AC4101" s="35"/>
      <c r="AD4101" s="35"/>
      <c r="AE4101" s="35"/>
      <c r="AF4101" s="35"/>
      <c r="AG4101" s="35"/>
      <c r="AH4101" s="35"/>
      <c r="AI4101" s="35"/>
      <c r="AJ4101" s="35"/>
      <c r="AK4101" s="35"/>
      <c r="AL4101" s="35"/>
    </row>
    <row r="4102">
      <c r="A4102" s="1"/>
      <c r="B4102" s="19" t="s">
        <v>19332</v>
      </c>
      <c r="C4102" s="20" t="s">
        <v>19391</v>
      </c>
      <c r="D4102" s="47"/>
      <c r="E4102" s="22" t="s">
        <v>19476</v>
      </c>
      <c r="F4102" s="22" t="s">
        <v>19477</v>
      </c>
      <c r="G4102" s="23">
        <v>2014.0</v>
      </c>
      <c r="H4102" s="22" t="s">
        <v>658</v>
      </c>
      <c r="I4102" s="24" t="s">
        <v>19478</v>
      </c>
      <c r="J4102" s="22" t="s">
        <v>18037</v>
      </c>
      <c r="K4102" s="22" t="s">
        <v>19479</v>
      </c>
      <c r="L4102" s="36">
        <v>790.0</v>
      </c>
      <c r="M4102" s="36">
        <v>30.0</v>
      </c>
      <c r="N4102" s="36"/>
      <c r="O4102" s="129">
        <v>43254.0</v>
      </c>
      <c r="P4102" s="37" t="s">
        <v>19480</v>
      </c>
      <c r="Q4102" s="36" t="s">
        <v>19481</v>
      </c>
      <c r="R4102" s="36"/>
      <c r="S4102" s="36">
        <v>1.0</v>
      </c>
      <c r="T4102" s="222" t="s">
        <v>19482</v>
      </c>
      <c r="U4102" s="38" t="str">
        <f>HYPERLINK("https://www.ncbi.nlm.nih.gov/pubmed/25372219","PubMed")</f>
        <v>PubMed</v>
      </c>
      <c r="V4102" s="50"/>
      <c r="W4102" s="49"/>
      <c r="X4102" s="49"/>
      <c r="Y4102" s="35"/>
      <c r="Z4102" s="35"/>
      <c r="AA4102" s="35"/>
      <c r="AB4102" s="35"/>
      <c r="AC4102" s="35"/>
      <c r="AD4102" s="35"/>
      <c r="AE4102" s="35"/>
      <c r="AF4102" s="35"/>
      <c r="AG4102" s="35"/>
      <c r="AH4102" s="35"/>
      <c r="AI4102" s="35"/>
      <c r="AJ4102" s="35"/>
      <c r="AK4102" s="35"/>
      <c r="AL4102" s="35"/>
    </row>
    <row r="4103">
      <c r="A4103" s="18"/>
      <c r="B4103" s="19" t="s">
        <v>19332</v>
      </c>
      <c r="C4103" s="20" t="s">
        <v>19483</v>
      </c>
      <c r="D4103" s="47"/>
      <c r="E4103" s="22" t="s">
        <v>19484</v>
      </c>
      <c r="F4103" s="22" t="s">
        <v>1930</v>
      </c>
      <c r="G4103" s="23">
        <v>2023.0</v>
      </c>
      <c r="H4103" s="22" t="s">
        <v>77</v>
      </c>
      <c r="I4103" s="24" t="s">
        <v>19485</v>
      </c>
      <c r="J4103" s="22" t="s">
        <v>16987</v>
      </c>
      <c r="K4103" s="22"/>
      <c r="L4103" s="36">
        <v>810.0</v>
      </c>
      <c r="M4103" s="36">
        <v>300.0</v>
      </c>
      <c r="N4103" s="36"/>
      <c r="O4103" s="36"/>
      <c r="P4103" s="37" t="s">
        <v>5401</v>
      </c>
      <c r="Q4103" s="36"/>
      <c r="R4103" s="36">
        <v>20.0</v>
      </c>
      <c r="S4103" s="36">
        <v>1.0</v>
      </c>
      <c r="T4103" s="41" t="s">
        <v>19486</v>
      </c>
      <c r="U4103" s="38" t="s">
        <v>61</v>
      </c>
      <c r="V4103" s="30"/>
      <c r="W4103" s="156"/>
      <c r="X4103" s="49"/>
      <c r="Y4103" s="35"/>
      <c r="Z4103" s="35"/>
      <c r="AA4103" s="35"/>
      <c r="AB4103" s="35"/>
      <c r="AC4103" s="35"/>
      <c r="AD4103" s="35"/>
      <c r="AE4103" s="35"/>
      <c r="AF4103" s="35"/>
      <c r="AG4103" s="35"/>
      <c r="AH4103" s="35"/>
      <c r="AI4103" s="35"/>
      <c r="AJ4103" s="35"/>
      <c r="AK4103" s="35"/>
      <c r="AL4103" s="35"/>
    </row>
    <row r="4104">
      <c r="A4104" s="18"/>
      <c r="B4104" s="19" t="s">
        <v>19332</v>
      </c>
      <c r="C4104" s="20" t="s">
        <v>19483</v>
      </c>
      <c r="D4104" s="47"/>
      <c r="E4104" s="22" t="s">
        <v>19487</v>
      </c>
      <c r="F4104" s="22" t="s">
        <v>19488</v>
      </c>
      <c r="G4104" s="23">
        <v>2023.0</v>
      </c>
      <c r="H4104" s="22" t="s">
        <v>1204</v>
      </c>
      <c r="I4104" s="24" t="s">
        <v>19489</v>
      </c>
      <c r="J4104" s="22" t="s">
        <v>19490</v>
      </c>
      <c r="K4104" s="22"/>
      <c r="L4104" s="36">
        <v>980.0</v>
      </c>
      <c r="M4104" s="36"/>
      <c r="N4104" s="36"/>
      <c r="O4104" s="36"/>
      <c r="P4104" s="37"/>
      <c r="Q4104" s="36"/>
      <c r="R4104" s="36">
        <v>20.0</v>
      </c>
      <c r="S4104" s="36">
        <v>1.0</v>
      </c>
      <c r="T4104" s="28" t="s">
        <v>19491</v>
      </c>
      <c r="U4104" s="38" t="s">
        <v>61</v>
      </c>
      <c r="V4104" s="30"/>
      <c r="W4104" s="156"/>
      <c r="X4104" s="49"/>
      <c r="Y4104" s="35"/>
      <c r="Z4104" s="35"/>
      <c r="AA4104" s="35"/>
      <c r="AB4104" s="35"/>
      <c r="AC4104" s="35"/>
      <c r="AD4104" s="35"/>
      <c r="AE4104" s="35"/>
      <c r="AF4104" s="35"/>
      <c r="AG4104" s="35"/>
      <c r="AH4104" s="35"/>
      <c r="AI4104" s="35"/>
      <c r="AJ4104" s="35"/>
      <c r="AK4104" s="35"/>
      <c r="AL4104" s="35"/>
    </row>
    <row r="4105">
      <c r="A4105" s="18"/>
      <c r="B4105" s="19" t="s">
        <v>19332</v>
      </c>
      <c r="C4105" s="20" t="s">
        <v>19483</v>
      </c>
      <c r="D4105" s="47"/>
      <c r="E4105" s="22" t="s">
        <v>19492</v>
      </c>
      <c r="F4105" s="22" t="s">
        <v>878</v>
      </c>
      <c r="G4105" s="23">
        <v>2023.0</v>
      </c>
      <c r="H4105" s="22" t="s">
        <v>17640</v>
      </c>
      <c r="I4105" s="24" t="s">
        <v>19493</v>
      </c>
      <c r="J4105" s="22" t="s">
        <v>19494</v>
      </c>
      <c r="K4105" s="22"/>
      <c r="L4105" s="36">
        <v>940.0</v>
      </c>
      <c r="M4105" s="36">
        <v>500.0</v>
      </c>
      <c r="N4105" s="36"/>
      <c r="O4105" s="36"/>
      <c r="P4105" s="37" t="s">
        <v>19495</v>
      </c>
      <c r="Q4105" s="36"/>
      <c r="R4105" s="36"/>
      <c r="S4105" s="36">
        <v>1.0</v>
      </c>
      <c r="T4105" s="28" t="s">
        <v>19496</v>
      </c>
      <c r="U4105" s="38" t="s">
        <v>61</v>
      </c>
      <c r="V4105" s="30"/>
      <c r="W4105" s="156"/>
      <c r="X4105" s="49"/>
      <c r="Y4105" s="35"/>
      <c r="Z4105" s="35"/>
      <c r="AA4105" s="35"/>
      <c r="AB4105" s="35"/>
      <c r="AC4105" s="35"/>
      <c r="AD4105" s="35"/>
      <c r="AE4105" s="35"/>
      <c r="AF4105" s="35"/>
      <c r="AG4105" s="35"/>
      <c r="AH4105" s="35"/>
      <c r="AI4105" s="35"/>
      <c r="AJ4105" s="35"/>
      <c r="AK4105" s="35"/>
      <c r="AL4105" s="35"/>
    </row>
    <row r="4106">
      <c r="A4106" s="18"/>
      <c r="B4106" s="19" t="s">
        <v>19332</v>
      </c>
      <c r="C4106" s="20" t="s">
        <v>19483</v>
      </c>
      <c r="D4106" s="47"/>
      <c r="E4106" s="22" t="s">
        <v>19497</v>
      </c>
      <c r="F4106" s="22" t="s">
        <v>814</v>
      </c>
      <c r="G4106" s="23">
        <v>2021.0</v>
      </c>
      <c r="H4106" s="22" t="s">
        <v>19498</v>
      </c>
      <c r="I4106" s="24" t="s">
        <v>19499</v>
      </c>
      <c r="J4106" s="22" t="s">
        <v>19500</v>
      </c>
      <c r="K4106" s="22"/>
      <c r="L4106" s="36">
        <v>940.0</v>
      </c>
      <c r="M4106" s="36"/>
      <c r="N4106" s="36"/>
      <c r="O4106" s="36"/>
      <c r="P4106" s="37"/>
      <c r="Q4106" s="36"/>
      <c r="R4106" s="36"/>
      <c r="S4106" s="36">
        <v>1.0</v>
      </c>
      <c r="T4106" s="28" t="s">
        <v>19501</v>
      </c>
      <c r="U4106" s="29" t="s">
        <v>61</v>
      </c>
      <c r="V4106" s="30"/>
      <c r="W4106" s="156"/>
      <c r="X4106" s="49"/>
      <c r="Y4106" s="35"/>
      <c r="Z4106" s="35"/>
      <c r="AA4106" s="35"/>
      <c r="AB4106" s="35"/>
      <c r="AC4106" s="35"/>
      <c r="AD4106" s="35"/>
      <c r="AE4106" s="35"/>
      <c r="AF4106" s="35"/>
      <c r="AG4106" s="35"/>
      <c r="AH4106" s="35"/>
      <c r="AI4106" s="35"/>
      <c r="AJ4106" s="35"/>
      <c r="AK4106" s="35"/>
      <c r="AL4106" s="35"/>
    </row>
    <row r="4107">
      <c r="A4107" s="191"/>
      <c r="B4107" s="75" t="s">
        <v>19332</v>
      </c>
      <c r="C4107" s="20" t="s">
        <v>19502</v>
      </c>
      <c r="D4107" s="47"/>
      <c r="E4107" s="22" t="s">
        <v>19503</v>
      </c>
      <c r="F4107" s="22" t="s">
        <v>19504</v>
      </c>
      <c r="G4107" s="23">
        <v>2024.0</v>
      </c>
      <c r="H4107" s="22" t="s">
        <v>17787</v>
      </c>
      <c r="I4107" s="24" t="s">
        <v>19505</v>
      </c>
      <c r="J4107" s="22" t="s">
        <v>1078</v>
      </c>
      <c r="K4107" s="22"/>
      <c r="L4107" s="105" t="s">
        <v>19506</v>
      </c>
      <c r="M4107" s="44"/>
      <c r="N4107" s="44"/>
      <c r="O4107" s="44"/>
      <c r="P4107" s="44"/>
      <c r="Q4107" s="44"/>
      <c r="R4107" s="44"/>
      <c r="S4107" s="44"/>
      <c r="T4107" s="45"/>
      <c r="U4107" s="38" t="s">
        <v>61</v>
      </c>
      <c r="V4107" s="50"/>
      <c r="W4107" s="49"/>
      <c r="X4107" s="49"/>
      <c r="Y4107" s="35"/>
      <c r="Z4107" s="35"/>
      <c r="AA4107" s="35"/>
      <c r="AB4107" s="35"/>
      <c r="AC4107" s="35"/>
      <c r="AD4107" s="35"/>
      <c r="AE4107" s="35"/>
      <c r="AF4107" s="35"/>
      <c r="AG4107" s="35"/>
      <c r="AH4107" s="35"/>
      <c r="AI4107" s="35"/>
      <c r="AJ4107" s="35"/>
      <c r="AK4107" s="35"/>
      <c r="AL4107" s="35"/>
    </row>
    <row r="4108">
      <c r="A4108" s="191"/>
      <c r="B4108" s="75" t="s">
        <v>19332</v>
      </c>
      <c r="C4108" s="20" t="s">
        <v>19502</v>
      </c>
      <c r="D4108" s="47"/>
      <c r="E4108" s="22" t="s">
        <v>19507</v>
      </c>
      <c r="F4108" s="22" t="s">
        <v>1808</v>
      </c>
      <c r="G4108" s="23">
        <v>2024.0</v>
      </c>
      <c r="H4108" s="22" t="s">
        <v>91</v>
      </c>
      <c r="I4108" s="24" t="s">
        <v>19508</v>
      </c>
      <c r="J4108" s="22" t="s">
        <v>19509</v>
      </c>
      <c r="K4108" s="22"/>
      <c r="L4108" s="36">
        <v>980.0</v>
      </c>
      <c r="M4108" s="36"/>
      <c r="N4108" s="36"/>
      <c r="O4108" s="36"/>
      <c r="P4108" s="37"/>
      <c r="Q4108" s="36"/>
      <c r="R4108" s="36" t="s">
        <v>19510</v>
      </c>
      <c r="S4108" s="36">
        <v>1.0</v>
      </c>
      <c r="T4108" s="54" t="s">
        <v>19511</v>
      </c>
      <c r="U4108" s="38" t="s">
        <v>61</v>
      </c>
      <c r="V4108" s="50"/>
      <c r="W4108" s="49"/>
      <c r="X4108" s="49"/>
      <c r="Y4108" s="35"/>
      <c r="Z4108" s="35"/>
      <c r="AA4108" s="35"/>
      <c r="AB4108" s="35"/>
      <c r="AC4108" s="35"/>
      <c r="AD4108" s="35"/>
      <c r="AE4108" s="35"/>
      <c r="AF4108" s="35"/>
      <c r="AG4108" s="35"/>
      <c r="AH4108" s="35"/>
      <c r="AI4108" s="35"/>
      <c r="AJ4108" s="35"/>
      <c r="AK4108" s="35"/>
      <c r="AL4108" s="35"/>
    </row>
    <row r="4109">
      <c r="A4109" s="191"/>
      <c r="B4109" s="75" t="s">
        <v>19332</v>
      </c>
      <c r="C4109" s="20" t="s">
        <v>19502</v>
      </c>
      <c r="D4109" s="47"/>
      <c r="E4109" s="22" t="s">
        <v>19512</v>
      </c>
      <c r="F4109" s="22" t="s">
        <v>7630</v>
      </c>
      <c r="G4109" s="23">
        <v>2024.0</v>
      </c>
      <c r="H4109" s="22" t="s">
        <v>7041</v>
      </c>
      <c r="I4109" s="24" t="s">
        <v>19513</v>
      </c>
      <c r="J4109" s="22" t="s">
        <v>2273</v>
      </c>
      <c r="K4109" s="22"/>
      <c r="L4109" s="36">
        <v>980.0</v>
      </c>
      <c r="M4109" s="36"/>
      <c r="N4109" s="36"/>
      <c r="O4109" s="36"/>
      <c r="P4109" s="37"/>
      <c r="Q4109" s="36"/>
      <c r="R4109" s="36"/>
      <c r="S4109" s="36"/>
      <c r="T4109" s="54" t="s">
        <v>19514</v>
      </c>
      <c r="U4109" s="38" t="s">
        <v>61</v>
      </c>
      <c r="V4109" s="50"/>
      <c r="W4109" s="49"/>
      <c r="X4109" s="49"/>
      <c r="Y4109" s="35"/>
      <c r="Z4109" s="35"/>
      <c r="AA4109" s="35"/>
      <c r="AB4109" s="35"/>
      <c r="AC4109" s="35"/>
      <c r="AD4109" s="35"/>
      <c r="AE4109" s="35"/>
      <c r="AF4109" s="35"/>
      <c r="AG4109" s="35"/>
      <c r="AH4109" s="35"/>
      <c r="AI4109" s="35"/>
      <c r="AJ4109" s="35"/>
      <c r="AK4109" s="35"/>
      <c r="AL4109" s="35"/>
    </row>
    <row r="4110">
      <c r="A4110" s="191" t="s">
        <v>38</v>
      </c>
      <c r="B4110" s="75" t="s">
        <v>19332</v>
      </c>
      <c r="C4110" s="20" t="s">
        <v>19502</v>
      </c>
      <c r="D4110" s="47"/>
      <c r="E4110" s="22" t="s">
        <v>539</v>
      </c>
      <c r="F4110" s="22" t="s">
        <v>540</v>
      </c>
      <c r="G4110" s="23">
        <v>2024.0</v>
      </c>
      <c r="H4110" s="22" t="s">
        <v>3963</v>
      </c>
      <c r="I4110" s="24" t="s">
        <v>19515</v>
      </c>
      <c r="J4110" s="22" t="s">
        <v>19516</v>
      </c>
      <c r="K4110" s="22"/>
      <c r="L4110" s="36">
        <v>980.0</v>
      </c>
      <c r="M4110" s="36">
        <v>300.0</v>
      </c>
      <c r="N4110" s="36"/>
      <c r="O4110" s="36">
        <v>18.0</v>
      </c>
      <c r="P4110" s="37"/>
      <c r="Q4110" s="36" t="s">
        <v>19517</v>
      </c>
      <c r="R4110" s="36">
        <v>60.0</v>
      </c>
      <c r="S4110" s="36" t="s">
        <v>1455</v>
      </c>
      <c r="T4110" s="54" t="s">
        <v>19518</v>
      </c>
      <c r="U4110" s="38" t="s">
        <v>61</v>
      </c>
      <c r="V4110" s="50"/>
      <c r="W4110" s="49"/>
      <c r="X4110" s="49"/>
      <c r="Y4110" s="35"/>
      <c r="Z4110" s="35"/>
      <c r="AA4110" s="35"/>
      <c r="AB4110" s="35"/>
      <c r="AC4110" s="35"/>
      <c r="AD4110" s="35"/>
      <c r="AE4110" s="35"/>
      <c r="AF4110" s="35"/>
      <c r="AG4110" s="35"/>
      <c r="AH4110" s="35"/>
      <c r="AI4110" s="35"/>
      <c r="AJ4110" s="35"/>
      <c r="AK4110" s="35"/>
      <c r="AL4110" s="35"/>
    </row>
    <row r="4111">
      <c r="A4111" s="191"/>
      <c r="B4111" s="75" t="s">
        <v>19332</v>
      </c>
      <c r="C4111" s="20" t="s">
        <v>19502</v>
      </c>
      <c r="D4111" s="47"/>
      <c r="E4111" s="22" t="s">
        <v>412</v>
      </c>
      <c r="F4111" s="22" t="s">
        <v>323</v>
      </c>
      <c r="G4111" s="23">
        <v>2023.0</v>
      </c>
      <c r="H4111" s="22" t="s">
        <v>13399</v>
      </c>
      <c r="I4111" s="24" t="s">
        <v>19519</v>
      </c>
      <c r="J4111" s="22" t="s">
        <v>19520</v>
      </c>
      <c r="K4111" s="22"/>
      <c r="L4111" s="36" t="s">
        <v>13068</v>
      </c>
      <c r="M4111" s="36"/>
      <c r="N4111" s="36" t="s">
        <v>19521</v>
      </c>
      <c r="O4111" s="129"/>
      <c r="P4111" s="37" t="s">
        <v>19522</v>
      </c>
      <c r="Q4111" s="36" t="s">
        <v>19523</v>
      </c>
      <c r="R4111" s="36"/>
      <c r="S4111" s="36" t="s">
        <v>6403</v>
      </c>
      <c r="T4111" s="54" t="s">
        <v>19524</v>
      </c>
      <c r="U4111" s="38" t="s">
        <v>61</v>
      </c>
      <c r="V4111" s="50"/>
      <c r="W4111" s="49"/>
      <c r="X4111" s="49"/>
      <c r="Y4111" s="35"/>
      <c r="Z4111" s="35"/>
      <c r="AA4111" s="35"/>
      <c r="AB4111" s="35"/>
      <c r="AC4111" s="35"/>
      <c r="AD4111" s="35"/>
      <c r="AE4111" s="35"/>
      <c r="AF4111" s="35"/>
      <c r="AG4111" s="35"/>
      <c r="AH4111" s="35"/>
      <c r="AI4111" s="35"/>
      <c r="AJ4111" s="35"/>
      <c r="AK4111" s="35"/>
      <c r="AL4111" s="35"/>
    </row>
    <row r="4112">
      <c r="A4112" s="191"/>
      <c r="B4112" s="75" t="s">
        <v>19332</v>
      </c>
      <c r="C4112" s="20" t="s">
        <v>19502</v>
      </c>
      <c r="D4112" s="47"/>
      <c r="E4112" s="22" t="s">
        <v>19525</v>
      </c>
      <c r="F4112" s="22" t="s">
        <v>1808</v>
      </c>
      <c r="G4112" s="23">
        <v>2022.0</v>
      </c>
      <c r="H4112" s="22" t="s">
        <v>19526</v>
      </c>
      <c r="I4112" s="24" t="s">
        <v>19527</v>
      </c>
      <c r="J4112" s="22" t="s">
        <v>19528</v>
      </c>
      <c r="K4112" s="22" t="s">
        <v>19529</v>
      </c>
      <c r="L4112" s="36">
        <v>940.0</v>
      </c>
      <c r="M4112" s="36">
        <v>500.0</v>
      </c>
      <c r="N4112" s="36"/>
      <c r="O4112" s="129"/>
      <c r="P4112" s="37"/>
      <c r="Q4112" s="36"/>
      <c r="R4112" s="36">
        <v>135.0</v>
      </c>
      <c r="S4112" s="36" t="s">
        <v>19530</v>
      </c>
      <c r="T4112" s="54" t="s">
        <v>19531</v>
      </c>
      <c r="U4112" s="29" t="s">
        <v>61</v>
      </c>
      <c r="V4112" s="50"/>
      <c r="W4112" s="49"/>
      <c r="X4112" s="49"/>
      <c r="Y4112" s="35"/>
      <c r="Z4112" s="35"/>
      <c r="AA4112" s="35"/>
      <c r="AB4112" s="35"/>
      <c r="AC4112" s="35"/>
      <c r="AD4112" s="35"/>
      <c r="AE4112" s="35"/>
      <c r="AF4112" s="35"/>
      <c r="AG4112" s="35"/>
      <c r="AH4112" s="35"/>
      <c r="AI4112" s="35"/>
      <c r="AJ4112" s="35"/>
      <c r="AK4112" s="35"/>
      <c r="AL4112" s="35"/>
    </row>
    <row r="4113">
      <c r="A4113" s="191" t="s">
        <v>181</v>
      </c>
      <c r="B4113" s="75" t="s">
        <v>19332</v>
      </c>
      <c r="C4113" s="20" t="s">
        <v>19502</v>
      </c>
      <c r="D4113" s="47"/>
      <c r="E4113" s="22" t="s">
        <v>19532</v>
      </c>
      <c r="F4113" s="22" t="s">
        <v>19533</v>
      </c>
      <c r="G4113" s="23">
        <v>2021.0</v>
      </c>
      <c r="H4113" s="22" t="s">
        <v>19534</v>
      </c>
      <c r="I4113" s="24" t="s">
        <v>19535</v>
      </c>
      <c r="J4113" s="22" t="s">
        <v>19536</v>
      </c>
      <c r="K4113" s="22" t="s">
        <v>19537</v>
      </c>
      <c r="L4113" s="36">
        <v>976.0</v>
      </c>
      <c r="M4113" s="36"/>
      <c r="N4113" s="36"/>
      <c r="O4113" s="129"/>
      <c r="P4113" s="37"/>
      <c r="Q4113" s="36"/>
      <c r="R4113" s="36"/>
      <c r="S4113" s="36"/>
      <c r="T4113" s="137" t="s">
        <v>19538</v>
      </c>
      <c r="U4113" s="29" t="s">
        <v>61</v>
      </c>
      <c r="V4113" s="50"/>
      <c r="W4113" s="49"/>
      <c r="X4113" s="49"/>
      <c r="Y4113" s="35"/>
      <c r="Z4113" s="35"/>
      <c r="AA4113" s="35"/>
      <c r="AB4113" s="35"/>
      <c r="AC4113" s="35"/>
      <c r="AD4113" s="35"/>
      <c r="AE4113" s="35"/>
      <c r="AF4113" s="35"/>
      <c r="AG4113" s="35"/>
      <c r="AH4113" s="35"/>
      <c r="AI4113" s="35"/>
      <c r="AJ4113" s="35"/>
      <c r="AK4113" s="35"/>
      <c r="AL4113" s="35"/>
    </row>
    <row r="4114">
      <c r="A4114" s="1"/>
      <c r="B4114" s="75" t="s">
        <v>19332</v>
      </c>
      <c r="C4114" s="20" t="s">
        <v>19502</v>
      </c>
      <c r="D4114" s="47"/>
      <c r="E4114" s="22" t="s">
        <v>19539</v>
      </c>
      <c r="F4114" s="22" t="s">
        <v>19540</v>
      </c>
      <c r="G4114" s="23">
        <v>2020.0</v>
      </c>
      <c r="H4114" s="22" t="s">
        <v>91</v>
      </c>
      <c r="I4114" s="24" t="s">
        <v>19541</v>
      </c>
      <c r="J4114" s="22" t="s">
        <v>19542</v>
      </c>
      <c r="K4114" s="22" t="s">
        <v>19543</v>
      </c>
      <c r="L4114" s="36">
        <v>810.0</v>
      </c>
      <c r="M4114" s="36">
        <v>1000.0</v>
      </c>
      <c r="N4114" s="36"/>
      <c r="O4114" s="129"/>
      <c r="P4114" s="37"/>
      <c r="Q4114" s="36"/>
      <c r="R4114" s="36"/>
      <c r="S4114" s="36" t="s">
        <v>6403</v>
      </c>
      <c r="T4114" s="137" t="s">
        <v>19544</v>
      </c>
      <c r="U4114" s="29" t="s">
        <v>61</v>
      </c>
      <c r="V4114" s="50"/>
      <c r="W4114" s="49"/>
      <c r="X4114" s="49"/>
      <c r="Y4114" s="35"/>
      <c r="Z4114" s="35"/>
      <c r="AA4114" s="35"/>
      <c r="AB4114" s="35"/>
      <c r="AC4114" s="35"/>
      <c r="AD4114" s="35"/>
      <c r="AE4114" s="35"/>
      <c r="AF4114" s="35"/>
      <c r="AG4114" s="35"/>
      <c r="AH4114" s="35"/>
      <c r="AI4114" s="35"/>
      <c r="AJ4114" s="35"/>
      <c r="AK4114" s="35"/>
      <c r="AL4114" s="35"/>
    </row>
    <row r="4115">
      <c r="A4115" s="1"/>
      <c r="B4115" s="75" t="s">
        <v>19332</v>
      </c>
      <c r="C4115" s="20" t="s">
        <v>19502</v>
      </c>
      <c r="D4115" s="47"/>
      <c r="E4115" s="22" t="s">
        <v>19545</v>
      </c>
      <c r="F4115" s="22" t="s">
        <v>19546</v>
      </c>
      <c r="G4115" s="23">
        <v>2020.0</v>
      </c>
      <c r="H4115" s="22" t="s">
        <v>19547</v>
      </c>
      <c r="I4115" s="24" t="s">
        <v>19548</v>
      </c>
      <c r="J4115" s="22" t="s">
        <v>125</v>
      </c>
      <c r="K4115" s="22" t="s">
        <v>19549</v>
      </c>
      <c r="L4115" s="167" t="s">
        <v>19550</v>
      </c>
      <c r="M4115" s="44"/>
      <c r="N4115" s="44"/>
      <c r="O4115" s="44"/>
      <c r="P4115" s="44"/>
      <c r="Q4115" s="44"/>
      <c r="R4115" s="44"/>
      <c r="S4115" s="44"/>
      <c r="T4115" s="45"/>
      <c r="U4115" s="29" t="s">
        <v>61</v>
      </c>
      <c r="V4115" s="50"/>
      <c r="W4115" s="49"/>
      <c r="X4115" s="49"/>
      <c r="Y4115" s="35"/>
      <c r="Z4115" s="35"/>
      <c r="AA4115" s="35"/>
      <c r="AB4115" s="35"/>
      <c r="AC4115" s="35"/>
      <c r="AD4115" s="35"/>
      <c r="AE4115" s="35"/>
      <c r="AF4115" s="35"/>
      <c r="AG4115" s="35"/>
      <c r="AH4115" s="35"/>
      <c r="AI4115" s="35"/>
      <c r="AJ4115" s="35"/>
      <c r="AK4115" s="35"/>
      <c r="AL4115" s="35"/>
    </row>
    <row r="4116">
      <c r="A4116" s="1"/>
      <c r="B4116" s="75" t="s">
        <v>19332</v>
      </c>
      <c r="C4116" s="20" t="s">
        <v>19502</v>
      </c>
      <c r="D4116" s="47"/>
      <c r="E4116" s="22" t="s">
        <v>19551</v>
      </c>
      <c r="F4116" s="22" t="s">
        <v>1773</v>
      </c>
      <c r="G4116" s="23">
        <v>2020.0</v>
      </c>
      <c r="H4116" s="22" t="s">
        <v>19552</v>
      </c>
      <c r="I4116" s="24" t="s">
        <v>19553</v>
      </c>
      <c r="J4116" s="22" t="s">
        <v>19554</v>
      </c>
      <c r="K4116" s="22"/>
      <c r="L4116" s="36">
        <v>645.0</v>
      </c>
      <c r="M4116" s="36"/>
      <c r="N4116" s="36"/>
      <c r="O4116" s="129"/>
      <c r="P4116" s="37"/>
      <c r="Q4116" s="36"/>
      <c r="R4116" s="36"/>
      <c r="S4116" s="36" t="s">
        <v>6403</v>
      </c>
      <c r="T4116" s="222" t="s">
        <v>19555</v>
      </c>
      <c r="U4116" s="38" t="str">
        <f>HYPERLINK("https://www.ncbi.nlm.nih.gov/pubmed/32388522","PubMed")</f>
        <v>PubMed</v>
      </c>
      <c r="V4116" s="50"/>
      <c r="W4116" s="49"/>
      <c r="X4116" s="49"/>
      <c r="Y4116" s="35"/>
      <c r="Z4116" s="35"/>
      <c r="AA4116" s="35"/>
      <c r="AB4116" s="35"/>
      <c r="AC4116" s="35"/>
      <c r="AD4116" s="35"/>
      <c r="AE4116" s="35"/>
      <c r="AF4116" s="35"/>
      <c r="AG4116" s="35"/>
      <c r="AH4116" s="35"/>
      <c r="AI4116" s="35"/>
      <c r="AJ4116" s="35"/>
      <c r="AK4116" s="35"/>
      <c r="AL4116" s="35"/>
    </row>
    <row r="4117">
      <c r="A4117" s="205"/>
      <c r="B4117" s="75" t="s">
        <v>19332</v>
      </c>
      <c r="C4117" s="20" t="s">
        <v>19502</v>
      </c>
      <c r="D4117" s="47"/>
      <c r="E4117" s="22" t="s">
        <v>19556</v>
      </c>
      <c r="F4117" s="22" t="s">
        <v>7553</v>
      </c>
      <c r="G4117" s="23">
        <v>2019.0</v>
      </c>
      <c r="H4117" s="22" t="s">
        <v>477</v>
      </c>
      <c r="I4117" s="24" t="s">
        <v>19557</v>
      </c>
      <c r="J4117" s="22" t="s">
        <v>19558</v>
      </c>
      <c r="K4117" s="22"/>
      <c r="L4117" s="43" t="s">
        <v>19559</v>
      </c>
      <c r="M4117" s="44"/>
      <c r="N4117" s="44"/>
      <c r="O4117" s="44"/>
      <c r="P4117" s="44"/>
      <c r="Q4117" s="44"/>
      <c r="R4117" s="44"/>
      <c r="S4117" s="44"/>
      <c r="T4117" s="45"/>
      <c r="U4117" s="38" t="str">
        <f>HYPERLINK("https://www.ncbi.nlm.nih.gov/pubmed/31720851","PubMed")</f>
        <v>PubMed</v>
      </c>
      <c r="V4117" s="30"/>
      <c r="W4117" s="156"/>
      <c r="X4117" s="49"/>
      <c r="Y4117" s="35"/>
      <c r="Z4117" s="35"/>
      <c r="AA4117" s="35"/>
      <c r="AB4117" s="35"/>
      <c r="AC4117" s="35"/>
      <c r="AD4117" s="35"/>
      <c r="AE4117" s="35"/>
      <c r="AF4117" s="35"/>
      <c r="AG4117" s="35"/>
      <c r="AH4117" s="35"/>
      <c r="AI4117" s="35"/>
      <c r="AJ4117" s="35"/>
      <c r="AK4117" s="35"/>
      <c r="AL4117" s="35"/>
    </row>
    <row r="4118">
      <c r="A4118" s="205"/>
      <c r="B4118" s="75" t="s">
        <v>19332</v>
      </c>
      <c r="C4118" s="20" t="s">
        <v>19502</v>
      </c>
      <c r="D4118" s="47"/>
      <c r="E4118" s="22" t="s">
        <v>19560</v>
      </c>
      <c r="F4118" s="22" t="s">
        <v>19546</v>
      </c>
      <c r="G4118" s="23">
        <v>2019.0</v>
      </c>
      <c r="H4118" s="22" t="s">
        <v>13399</v>
      </c>
      <c r="I4118" s="24" t="s">
        <v>19561</v>
      </c>
      <c r="J4118" s="22" t="s">
        <v>19562</v>
      </c>
      <c r="K4118" s="22"/>
      <c r="L4118" s="36">
        <v>635.0</v>
      </c>
      <c r="M4118" s="36"/>
      <c r="N4118" s="36"/>
      <c r="O4118" s="36"/>
      <c r="P4118" s="37" t="s">
        <v>254</v>
      </c>
      <c r="Q4118" s="36"/>
      <c r="R4118" s="36"/>
      <c r="S4118" s="36" t="s">
        <v>11849</v>
      </c>
      <c r="T4118" s="54" t="s">
        <v>19563</v>
      </c>
      <c r="U4118" s="38" t="str">
        <f>HYPERLINK("https://www.ncbi.nlm.nih.gov/pubmed/31577077","PubMed")</f>
        <v>PubMed</v>
      </c>
      <c r="V4118" s="30"/>
      <c r="W4118" s="156"/>
      <c r="X4118" s="49"/>
      <c r="Y4118" s="35"/>
      <c r="Z4118" s="35"/>
      <c r="AA4118" s="35"/>
      <c r="AB4118" s="35"/>
      <c r="AC4118" s="35"/>
      <c r="AD4118" s="35"/>
      <c r="AE4118" s="35"/>
      <c r="AF4118" s="35"/>
      <c r="AG4118" s="35"/>
      <c r="AH4118" s="35"/>
      <c r="AI4118" s="35"/>
      <c r="AJ4118" s="35"/>
      <c r="AK4118" s="35"/>
      <c r="AL4118" s="35"/>
    </row>
    <row r="4119">
      <c r="A4119" s="205" t="s">
        <v>38</v>
      </c>
      <c r="B4119" s="75" t="s">
        <v>19332</v>
      </c>
      <c r="C4119" s="20" t="s">
        <v>19502</v>
      </c>
      <c r="D4119" s="47"/>
      <c r="E4119" s="22" t="s">
        <v>19564</v>
      </c>
      <c r="F4119" s="22" t="s">
        <v>2028</v>
      </c>
      <c r="G4119" s="23">
        <v>2019.0</v>
      </c>
      <c r="H4119" s="22" t="s">
        <v>19565</v>
      </c>
      <c r="I4119" s="24" t="s">
        <v>19566</v>
      </c>
      <c r="J4119" s="22" t="s">
        <v>19567</v>
      </c>
      <c r="K4119" s="22" t="s">
        <v>19568</v>
      </c>
      <c r="L4119" s="36">
        <v>660.0</v>
      </c>
      <c r="M4119" s="36" t="s">
        <v>19569</v>
      </c>
      <c r="N4119" s="36"/>
      <c r="O4119" s="36"/>
      <c r="P4119" s="37" t="s">
        <v>254</v>
      </c>
      <c r="Q4119" s="36"/>
      <c r="R4119" s="36"/>
      <c r="S4119" s="36">
        <v>1.0</v>
      </c>
      <c r="T4119" s="54" t="s">
        <v>19570</v>
      </c>
      <c r="U4119" s="38" t="str">
        <f>HYPERLINK("https://www.ncbi.nlm.nih.gov/pubmed/31198466","PubMed")</f>
        <v>PubMed</v>
      </c>
      <c r="V4119" s="30"/>
      <c r="W4119" s="156"/>
      <c r="X4119" s="49"/>
      <c r="Y4119" s="35"/>
      <c r="Z4119" s="35"/>
      <c r="AA4119" s="35"/>
      <c r="AB4119" s="35"/>
      <c r="AC4119" s="35"/>
      <c r="AD4119" s="35"/>
      <c r="AE4119" s="35"/>
      <c r="AF4119" s="35"/>
      <c r="AG4119" s="35"/>
      <c r="AH4119" s="35"/>
      <c r="AI4119" s="35"/>
      <c r="AJ4119" s="35"/>
      <c r="AK4119" s="35"/>
      <c r="AL4119" s="35"/>
    </row>
    <row r="4120">
      <c r="A4120" s="18"/>
      <c r="B4120" s="75" t="s">
        <v>19332</v>
      </c>
      <c r="C4120" s="20" t="s">
        <v>19502</v>
      </c>
      <c r="D4120" s="47"/>
      <c r="E4120" s="22" t="s">
        <v>19571</v>
      </c>
      <c r="F4120" s="22" t="s">
        <v>19572</v>
      </c>
      <c r="G4120" s="23">
        <v>2018.0</v>
      </c>
      <c r="H4120" s="22" t="s">
        <v>19573</v>
      </c>
      <c r="I4120" s="24" t="s">
        <v>19574</v>
      </c>
      <c r="J4120" s="22" t="s">
        <v>19575</v>
      </c>
      <c r="K4120" s="22" t="s">
        <v>19576</v>
      </c>
      <c r="L4120" s="36">
        <v>915.0</v>
      </c>
      <c r="M4120" s="36">
        <v>200.0</v>
      </c>
      <c r="N4120" s="36"/>
      <c r="O4120" s="36"/>
      <c r="P4120" s="37"/>
      <c r="Q4120" s="36"/>
      <c r="R4120" s="36"/>
      <c r="S4120" s="36">
        <v>2.0</v>
      </c>
      <c r="T4120" s="54" t="s">
        <v>19577</v>
      </c>
      <c r="U4120" s="38" t="str">
        <f>HYPERLINK("https://www.ncbi.nlm.nih.gov/pubmed/30574224","PubMed")</f>
        <v>PubMed</v>
      </c>
      <c r="V4120" s="30"/>
      <c r="W4120" s="156"/>
      <c r="X4120" s="49"/>
      <c r="Y4120" s="35"/>
      <c r="Z4120" s="35"/>
      <c r="AA4120" s="35"/>
      <c r="AB4120" s="35"/>
      <c r="AC4120" s="35"/>
      <c r="AD4120" s="35"/>
      <c r="AE4120" s="35"/>
      <c r="AF4120" s="35"/>
      <c r="AG4120" s="35"/>
      <c r="AH4120" s="35"/>
      <c r="AI4120" s="35"/>
      <c r="AJ4120" s="35"/>
      <c r="AK4120" s="35"/>
      <c r="AL4120" s="35"/>
    </row>
    <row r="4121">
      <c r="A4121" s="1"/>
      <c r="B4121" s="19" t="s">
        <v>19332</v>
      </c>
      <c r="C4121" s="20" t="s">
        <v>19502</v>
      </c>
      <c r="D4121" s="47"/>
      <c r="E4121" s="22" t="s">
        <v>19578</v>
      </c>
      <c r="F4121" s="22" t="s">
        <v>19540</v>
      </c>
      <c r="G4121" s="23">
        <v>2018.0</v>
      </c>
      <c r="H4121" s="22" t="s">
        <v>207</v>
      </c>
      <c r="I4121" s="24" t="s">
        <v>19579</v>
      </c>
      <c r="J4121" s="22" t="s">
        <v>19580</v>
      </c>
      <c r="K4121" s="22" t="s">
        <v>5045</v>
      </c>
      <c r="L4121" s="36" t="s">
        <v>19581</v>
      </c>
      <c r="M4121" s="36"/>
      <c r="N4121" s="36"/>
      <c r="O4121" s="129"/>
      <c r="P4121" s="37"/>
      <c r="Q4121" s="36"/>
      <c r="R4121" s="36"/>
      <c r="S4121" s="36"/>
      <c r="T4121" s="222" t="s">
        <v>19582</v>
      </c>
      <c r="U4121" s="38" t="s">
        <v>61</v>
      </c>
      <c r="V4121" s="50"/>
      <c r="W4121" s="49"/>
      <c r="X4121" s="49"/>
      <c r="Y4121" s="35"/>
      <c r="Z4121" s="35"/>
      <c r="AA4121" s="35"/>
      <c r="AB4121" s="35"/>
      <c r="AC4121" s="35"/>
      <c r="AD4121" s="35"/>
      <c r="AE4121" s="35"/>
      <c r="AF4121" s="35"/>
      <c r="AG4121" s="35"/>
      <c r="AH4121" s="35"/>
      <c r="AI4121" s="35"/>
      <c r="AJ4121" s="35"/>
      <c r="AK4121" s="35"/>
      <c r="AL4121" s="35"/>
    </row>
    <row r="4122">
      <c r="A4122" s="1"/>
      <c r="B4122" s="19" t="s">
        <v>19332</v>
      </c>
      <c r="C4122" s="20" t="s">
        <v>19502</v>
      </c>
      <c r="D4122" s="47"/>
      <c r="E4122" s="22" t="s">
        <v>19583</v>
      </c>
      <c r="F4122" s="22" t="s">
        <v>19584</v>
      </c>
      <c r="G4122" s="23" t="s">
        <v>90</v>
      </c>
      <c r="H4122" s="22" t="s">
        <v>91</v>
      </c>
      <c r="I4122" s="24" t="s">
        <v>19585</v>
      </c>
      <c r="J4122" s="22" t="s">
        <v>649</v>
      </c>
      <c r="K4122" s="22"/>
      <c r="L4122" s="167" t="s">
        <v>19586</v>
      </c>
      <c r="M4122" s="44"/>
      <c r="N4122" s="44"/>
      <c r="O4122" s="44"/>
      <c r="P4122" s="44"/>
      <c r="Q4122" s="44"/>
      <c r="R4122" s="44"/>
      <c r="S4122" s="44"/>
      <c r="T4122" s="45"/>
      <c r="U4122" s="38" t="str">
        <f>HYPERLINK("https://www.ncbi.nlm.nih.gov/pubmed/28345122","PubMed")</f>
        <v>PubMed</v>
      </c>
      <c r="V4122" s="30"/>
      <c r="W4122" s="49"/>
      <c r="X4122" s="49"/>
      <c r="Y4122" s="35"/>
      <c r="Z4122" s="35"/>
      <c r="AA4122" s="35"/>
      <c r="AB4122" s="35"/>
      <c r="AC4122" s="35"/>
      <c r="AD4122" s="35"/>
      <c r="AE4122" s="35"/>
      <c r="AF4122" s="35"/>
      <c r="AG4122" s="35"/>
      <c r="AH4122" s="35"/>
      <c r="AI4122" s="35"/>
      <c r="AJ4122" s="35"/>
      <c r="AK4122" s="35"/>
      <c r="AL4122" s="35"/>
    </row>
    <row r="4123">
      <c r="A4123" s="1"/>
      <c r="B4123" s="19" t="s">
        <v>19332</v>
      </c>
      <c r="C4123" s="20" t="s">
        <v>19502</v>
      </c>
      <c r="D4123" s="47"/>
      <c r="E4123" s="22" t="s">
        <v>19587</v>
      </c>
      <c r="F4123" s="22" t="s">
        <v>697</v>
      </c>
      <c r="G4123" s="23">
        <v>2017.0</v>
      </c>
      <c r="H4123" s="22" t="s">
        <v>19588</v>
      </c>
      <c r="I4123" s="24" t="s">
        <v>19589</v>
      </c>
      <c r="J4123" s="22" t="s">
        <v>19590</v>
      </c>
      <c r="K4123" s="22" t="s">
        <v>19591</v>
      </c>
      <c r="L4123" s="36" t="s">
        <v>19592</v>
      </c>
      <c r="M4123" s="36" t="s">
        <v>19593</v>
      </c>
      <c r="N4123" s="36"/>
      <c r="O4123" s="36"/>
      <c r="P4123" s="37" t="s">
        <v>969</v>
      </c>
      <c r="Q4123" s="36" t="s">
        <v>19594</v>
      </c>
      <c r="R4123" s="36" t="s">
        <v>19595</v>
      </c>
      <c r="S4123" s="36">
        <v>1.0</v>
      </c>
      <c r="T4123" s="41" t="s">
        <v>19596</v>
      </c>
      <c r="U4123" s="38" t="str">
        <f>HYPERLINK("https://www.ncbi.nlm.nih.gov/pubmed/28280755","PubMed")</f>
        <v>PubMed</v>
      </c>
      <c r="V4123" s="30"/>
      <c r="W4123" s="49"/>
      <c r="X4123" s="49"/>
      <c r="Y4123" s="35"/>
      <c r="Z4123" s="35"/>
      <c r="AA4123" s="35"/>
      <c r="AB4123" s="35"/>
      <c r="AC4123" s="35"/>
      <c r="AD4123" s="35"/>
      <c r="AE4123" s="35"/>
      <c r="AF4123" s="35"/>
      <c r="AG4123" s="35"/>
      <c r="AH4123" s="35"/>
      <c r="AI4123" s="35"/>
      <c r="AJ4123" s="35"/>
      <c r="AK4123" s="35"/>
      <c r="AL4123" s="35"/>
    </row>
    <row r="4124">
      <c r="A4124" s="1"/>
      <c r="B4124" s="19" t="s">
        <v>19332</v>
      </c>
      <c r="C4124" s="20" t="s">
        <v>19502</v>
      </c>
      <c r="D4124" s="47"/>
      <c r="E4124" s="22" t="s">
        <v>19597</v>
      </c>
      <c r="F4124" s="22" t="s">
        <v>10477</v>
      </c>
      <c r="G4124" s="23">
        <v>2016.0</v>
      </c>
      <c r="H4124" s="22" t="s">
        <v>994</v>
      </c>
      <c r="I4124" s="24" t="s">
        <v>19598</v>
      </c>
      <c r="J4124" s="22" t="s">
        <v>19599</v>
      </c>
      <c r="K4124" s="22" t="s">
        <v>19600</v>
      </c>
      <c r="L4124" s="36">
        <v>810.0</v>
      </c>
      <c r="M4124" s="36">
        <v>100.0</v>
      </c>
      <c r="N4124" s="36"/>
      <c r="O4124" s="36"/>
      <c r="P4124" s="37" t="s">
        <v>82</v>
      </c>
      <c r="Q4124" s="36"/>
      <c r="R4124" s="36">
        <v>90.0</v>
      </c>
      <c r="S4124" s="36" t="s">
        <v>19601</v>
      </c>
      <c r="T4124" s="42" t="s">
        <v>19602</v>
      </c>
      <c r="U4124" s="38" t="str">
        <f>HYPERLINK("https://www.ncbi.nlm.nih.gov/pubmed/26868469","PubMed")</f>
        <v>PubMed</v>
      </c>
      <c r="V4124" s="30"/>
      <c r="W4124" s="49"/>
      <c r="X4124" s="49"/>
      <c r="Y4124" s="35"/>
      <c r="Z4124" s="35"/>
      <c r="AA4124" s="35"/>
      <c r="AB4124" s="35"/>
      <c r="AC4124" s="35"/>
      <c r="AD4124" s="35"/>
      <c r="AE4124" s="35"/>
      <c r="AF4124" s="35"/>
      <c r="AG4124" s="35"/>
      <c r="AH4124" s="35"/>
      <c r="AI4124" s="35"/>
      <c r="AJ4124" s="35"/>
      <c r="AK4124" s="35"/>
      <c r="AL4124" s="338" t="s">
        <v>58</v>
      </c>
    </row>
    <row r="4125">
      <c r="A4125" s="1"/>
      <c r="B4125" s="19" t="s">
        <v>19332</v>
      </c>
      <c r="C4125" s="20" t="s">
        <v>19502</v>
      </c>
      <c r="D4125" s="47"/>
      <c r="E4125" s="22" t="s">
        <v>7573</v>
      </c>
      <c r="F4125" s="22" t="s">
        <v>4296</v>
      </c>
      <c r="G4125" s="23">
        <v>2016.0</v>
      </c>
      <c r="H4125" s="22" t="s">
        <v>19603</v>
      </c>
      <c r="I4125" s="24" t="s">
        <v>19604</v>
      </c>
      <c r="J4125" s="22" t="s">
        <v>649</v>
      </c>
      <c r="K4125" s="22"/>
      <c r="L4125" s="331" t="s">
        <v>19605</v>
      </c>
      <c r="M4125" s="44"/>
      <c r="N4125" s="44"/>
      <c r="O4125" s="44"/>
      <c r="P4125" s="44"/>
      <c r="Q4125" s="44"/>
      <c r="R4125" s="44"/>
      <c r="S4125" s="44"/>
      <c r="T4125" s="45"/>
      <c r="U4125" s="38" t="str">
        <f>HYPERLINK("https://www.ncbi.nlm.nih.gov/pubmed/28078164","PubMed")</f>
        <v>PubMed</v>
      </c>
      <c r="V4125" s="50"/>
      <c r="W4125" s="49"/>
      <c r="X4125" s="49"/>
      <c r="Y4125" s="35"/>
      <c r="Z4125" s="35"/>
      <c r="AA4125" s="35"/>
      <c r="AB4125" s="35"/>
      <c r="AC4125" s="35"/>
      <c r="AD4125" s="35"/>
      <c r="AE4125" s="35"/>
      <c r="AF4125" s="35"/>
      <c r="AG4125" s="35"/>
      <c r="AH4125" s="35"/>
      <c r="AI4125" s="35"/>
      <c r="AJ4125" s="35"/>
      <c r="AK4125" s="35"/>
      <c r="AL4125" s="35"/>
    </row>
    <row r="4126">
      <c r="A4126" s="1"/>
      <c r="B4126" s="19" t="s">
        <v>19332</v>
      </c>
      <c r="C4126" s="20" t="s">
        <v>19502</v>
      </c>
      <c r="D4126" s="47"/>
      <c r="E4126" s="22" t="s">
        <v>19606</v>
      </c>
      <c r="F4126" s="22" t="s">
        <v>19607</v>
      </c>
      <c r="G4126" s="23">
        <v>2015.0</v>
      </c>
      <c r="H4126" s="22" t="s">
        <v>3766</v>
      </c>
      <c r="I4126" s="24" t="s">
        <v>19608</v>
      </c>
      <c r="J4126" s="22" t="s">
        <v>649</v>
      </c>
      <c r="K4126" s="22"/>
      <c r="L4126" s="195" t="s">
        <v>19609</v>
      </c>
      <c r="M4126" s="44"/>
      <c r="N4126" s="44"/>
      <c r="O4126" s="44"/>
      <c r="P4126" s="44"/>
      <c r="Q4126" s="44"/>
      <c r="R4126" s="44"/>
      <c r="S4126" s="44"/>
      <c r="T4126" s="45"/>
      <c r="U4126" s="38" t="str">
        <f>HYPERLINK("https://www.ncbi.nlm.nih.gov/pubmed/26495699","PubMed")</f>
        <v>PubMed</v>
      </c>
      <c r="V4126" s="50"/>
      <c r="W4126" s="49"/>
      <c r="X4126" s="49"/>
      <c r="Y4126" s="35"/>
      <c r="Z4126" s="35"/>
      <c r="AA4126" s="35"/>
      <c r="AB4126" s="35"/>
      <c r="AC4126" s="35"/>
      <c r="AD4126" s="35"/>
      <c r="AE4126" s="35"/>
      <c r="AF4126" s="35"/>
      <c r="AG4126" s="35"/>
      <c r="AH4126" s="35"/>
      <c r="AI4126" s="35"/>
      <c r="AJ4126" s="35"/>
      <c r="AK4126" s="35"/>
      <c r="AL4126" s="35"/>
    </row>
    <row r="4127">
      <c r="A4127" s="1"/>
      <c r="B4127" s="19" t="s">
        <v>19332</v>
      </c>
      <c r="C4127" s="20" t="s">
        <v>19502</v>
      </c>
      <c r="D4127" s="47"/>
      <c r="E4127" s="22" t="s">
        <v>5453</v>
      </c>
      <c r="F4127" s="22" t="s">
        <v>41</v>
      </c>
      <c r="G4127" s="23">
        <v>2015.0</v>
      </c>
      <c r="H4127" s="22" t="s">
        <v>11554</v>
      </c>
      <c r="I4127" s="24" t="s">
        <v>19610</v>
      </c>
      <c r="J4127" s="22" t="s">
        <v>649</v>
      </c>
      <c r="K4127" s="22"/>
      <c r="L4127" s="105" t="s">
        <v>19611</v>
      </c>
      <c r="M4127" s="44"/>
      <c r="N4127" s="44"/>
      <c r="O4127" s="44"/>
      <c r="P4127" s="44"/>
      <c r="Q4127" s="44"/>
      <c r="R4127" s="44"/>
      <c r="S4127" s="44"/>
      <c r="T4127" s="45"/>
      <c r="U4127" s="38" t="str">
        <f>HYPERLINK("https://www.ncbi.nlm.nih.gov/pubmed/25879049","PubMed")</f>
        <v>PubMed</v>
      </c>
      <c r="V4127" s="50"/>
      <c r="W4127" s="49"/>
      <c r="X4127" s="49"/>
      <c r="Y4127" s="35"/>
      <c r="Z4127" s="35"/>
      <c r="AA4127" s="35"/>
      <c r="AB4127" s="35"/>
      <c r="AC4127" s="35"/>
      <c r="AD4127" s="35"/>
      <c r="AE4127" s="35"/>
      <c r="AF4127" s="35"/>
      <c r="AG4127" s="35"/>
      <c r="AH4127" s="35"/>
      <c r="AI4127" s="35"/>
      <c r="AJ4127" s="35"/>
      <c r="AK4127" s="35"/>
      <c r="AL4127" s="35"/>
    </row>
    <row r="4128">
      <c r="A4128" s="1"/>
      <c r="B4128" s="19" t="s">
        <v>19332</v>
      </c>
      <c r="C4128" s="20" t="s">
        <v>19502</v>
      </c>
      <c r="D4128" s="47"/>
      <c r="E4128" s="22" t="s">
        <v>19612</v>
      </c>
      <c r="F4128" s="22" t="s">
        <v>19613</v>
      </c>
      <c r="G4128" s="23">
        <v>2015.0</v>
      </c>
      <c r="H4128" s="22" t="s">
        <v>19614</v>
      </c>
      <c r="I4128" s="24" t="s">
        <v>19615</v>
      </c>
      <c r="J4128" s="22" t="s">
        <v>19616</v>
      </c>
      <c r="K4128" s="22" t="s">
        <v>19617</v>
      </c>
      <c r="L4128" s="36">
        <v>660.0</v>
      </c>
      <c r="M4128" s="36">
        <v>40.0</v>
      </c>
      <c r="N4128" s="36"/>
      <c r="O4128" s="129">
        <v>44593.0</v>
      </c>
      <c r="P4128" s="37" t="s">
        <v>82</v>
      </c>
      <c r="Q4128" s="36"/>
      <c r="R4128" s="36" t="s">
        <v>19618</v>
      </c>
      <c r="S4128" s="36" t="s">
        <v>3125</v>
      </c>
      <c r="T4128" s="28" t="s">
        <v>19619</v>
      </c>
      <c r="U4128" s="29" t="s">
        <v>8774</v>
      </c>
      <c r="V4128" s="30"/>
      <c r="W4128" s="49"/>
      <c r="X4128" s="49"/>
      <c r="Y4128" s="35"/>
      <c r="Z4128" s="35"/>
      <c r="AA4128" s="35"/>
      <c r="AB4128" s="35"/>
      <c r="AC4128" s="35"/>
      <c r="AD4128" s="35"/>
      <c r="AE4128" s="35"/>
      <c r="AF4128" s="35"/>
      <c r="AG4128" s="35"/>
      <c r="AH4128" s="35"/>
      <c r="AI4128" s="35"/>
      <c r="AJ4128" s="35"/>
      <c r="AK4128" s="35"/>
      <c r="AL4128" s="35"/>
    </row>
    <row r="4129">
      <c r="A4129" s="1"/>
      <c r="B4129" s="19" t="s">
        <v>19332</v>
      </c>
      <c r="C4129" s="20" t="s">
        <v>19502</v>
      </c>
      <c r="D4129" s="47"/>
      <c r="E4129" s="22" t="s">
        <v>19620</v>
      </c>
      <c r="F4129" s="22" t="s">
        <v>19621</v>
      </c>
      <c r="G4129" s="23">
        <v>2014.0</v>
      </c>
      <c r="H4129" s="22" t="s">
        <v>19622</v>
      </c>
      <c r="I4129" s="24" t="s">
        <v>19623</v>
      </c>
      <c r="J4129" s="22" t="s">
        <v>19624</v>
      </c>
      <c r="K4129" s="22"/>
      <c r="L4129" s="36">
        <v>500.0</v>
      </c>
      <c r="M4129" s="36">
        <v>810.0</v>
      </c>
      <c r="N4129" s="36"/>
      <c r="O4129" s="36"/>
      <c r="P4129" s="37"/>
      <c r="Q4129" s="36"/>
      <c r="R4129" s="36"/>
      <c r="S4129" s="36"/>
      <c r="T4129" s="28" t="s">
        <v>19625</v>
      </c>
      <c r="U4129" s="38" t="str">
        <f>HYPERLINK("https://www.ncbi.nlm.nih.gov/pubmed/24701539","PubMed")</f>
        <v>PubMed</v>
      </c>
      <c r="V4129" s="30"/>
      <c r="W4129" s="49"/>
      <c r="X4129" s="49"/>
      <c r="Y4129" s="35"/>
      <c r="Z4129" s="35"/>
      <c r="AA4129" s="35"/>
      <c r="AB4129" s="35"/>
      <c r="AC4129" s="35"/>
      <c r="AD4129" s="35"/>
      <c r="AE4129" s="35"/>
      <c r="AF4129" s="35"/>
      <c r="AG4129" s="35"/>
      <c r="AH4129" s="35"/>
      <c r="AI4129" s="35"/>
      <c r="AJ4129" s="35"/>
      <c r="AK4129" s="35"/>
      <c r="AL4129" s="35"/>
    </row>
    <row r="4130">
      <c r="A4130" s="1"/>
      <c r="B4130" s="19" t="s">
        <v>19332</v>
      </c>
      <c r="C4130" s="20" t="s">
        <v>19502</v>
      </c>
      <c r="D4130" s="47"/>
      <c r="E4130" s="22" t="s">
        <v>19626</v>
      </c>
      <c r="F4130" s="22" t="s">
        <v>19627</v>
      </c>
      <c r="G4130" s="23">
        <v>2014.0</v>
      </c>
      <c r="H4130" s="22" t="s">
        <v>994</v>
      </c>
      <c r="I4130" s="24" t="s">
        <v>19628</v>
      </c>
      <c r="J4130" s="22" t="s">
        <v>19629</v>
      </c>
      <c r="K4130" s="22" t="s">
        <v>19630</v>
      </c>
      <c r="L4130" s="36">
        <v>809.0</v>
      </c>
      <c r="M4130" s="36">
        <v>60.0</v>
      </c>
      <c r="N4130" s="36"/>
      <c r="O4130" s="36"/>
      <c r="P4130" s="37" t="s">
        <v>19631</v>
      </c>
      <c r="Q4130" s="36"/>
      <c r="R4130" s="36">
        <v>80.0</v>
      </c>
      <c r="S4130" s="36" t="s">
        <v>6403</v>
      </c>
      <c r="T4130" s="28" t="s">
        <v>19632</v>
      </c>
      <c r="U4130" s="38" t="str">
        <f>HYPERLINK("https://www.ncbi.nlm.nih.gov/pubmed/24725989","PubMed")</f>
        <v>PubMed</v>
      </c>
      <c r="V4130" s="30"/>
      <c r="W4130" s="49"/>
      <c r="X4130" s="49"/>
      <c r="Y4130" s="35"/>
      <c r="Z4130" s="35"/>
      <c r="AA4130" s="35"/>
      <c r="AB4130" s="35"/>
      <c r="AC4130" s="35"/>
      <c r="AD4130" s="35"/>
      <c r="AE4130" s="35"/>
      <c r="AF4130" s="35"/>
      <c r="AG4130" s="35"/>
      <c r="AH4130" s="35"/>
      <c r="AI4130" s="35"/>
      <c r="AJ4130" s="35"/>
      <c r="AK4130" s="35"/>
      <c r="AL4130" s="35"/>
    </row>
    <row r="4131">
      <c r="A4131" s="1"/>
      <c r="B4131" s="19" t="s">
        <v>19332</v>
      </c>
      <c r="C4131" s="20" t="s">
        <v>19502</v>
      </c>
      <c r="D4131" s="47"/>
      <c r="E4131" s="22" t="s">
        <v>19633</v>
      </c>
      <c r="F4131" s="22" t="s">
        <v>13492</v>
      </c>
      <c r="G4131" s="23">
        <v>2014.0</v>
      </c>
      <c r="H4131" s="22" t="s">
        <v>19634</v>
      </c>
      <c r="I4131" s="24" t="s">
        <v>19635</v>
      </c>
      <c r="J4131" s="22" t="s">
        <v>19636</v>
      </c>
      <c r="K4131" s="22"/>
      <c r="L4131" s="36">
        <v>658.0</v>
      </c>
      <c r="M4131" s="36">
        <v>27.0</v>
      </c>
      <c r="N4131" s="36"/>
      <c r="O4131" s="36"/>
      <c r="P4131" s="37" t="s">
        <v>269</v>
      </c>
      <c r="Q4131" s="36"/>
      <c r="R4131" s="36" t="s">
        <v>19637</v>
      </c>
      <c r="S4131" s="36" t="s">
        <v>19638</v>
      </c>
      <c r="T4131" s="28" t="s">
        <v>19639</v>
      </c>
      <c r="U4131" s="38" t="str">
        <f>HYPERLINK("https://www.ncbi.nlm.nih.gov/pubmed/26019580","PubMed")</f>
        <v>PubMed</v>
      </c>
      <c r="V4131" s="30"/>
      <c r="W4131" s="49"/>
      <c r="X4131" s="49"/>
      <c r="Y4131" s="35"/>
      <c r="Z4131" s="35"/>
      <c r="AA4131" s="35"/>
      <c r="AB4131" s="35"/>
      <c r="AC4131" s="35"/>
      <c r="AD4131" s="35"/>
      <c r="AE4131" s="35"/>
      <c r="AF4131" s="35"/>
      <c r="AG4131" s="35"/>
      <c r="AH4131" s="35"/>
      <c r="AI4131" s="35"/>
      <c r="AJ4131" s="35"/>
      <c r="AK4131" s="35"/>
      <c r="AL4131" s="35"/>
    </row>
    <row r="4132">
      <c r="A4132" s="40" t="s">
        <v>38</v>
      </c>
      <c r="B4132" s="19" t="s">
        <v>19332</v>
      </c>
      <c r="C4132" s="20" t="s">
        <v>19502</v>
      </c>
      <c r="D4132" s="47"/>
      <c r="E4132" s="22" t="s">
        <v>19640</v>
      </c>
      <c r="F4132" s="22" t="s">
        <v>10477</v>
      </c>
      <c r="G4132" s="23">
        <v>2013.0</v>
      </c>
      <c r="H4132" s="22" t="s">
        <v>17533</v>
      </c>
      <c r="I4132" s="24" t="s">
        <v>19641</v>
      </c>
      <c r="J4132" s="22" t="s">
        <v>19642</v>
      </c>
      <c r="K4132" s="22"/>
      <c r="L4132" s="36">
        <v>940.0</v>
      </c>
      <c r="M4132" s="36" t="s">
        <v>19643</v>
      </c>
      <c r="N4132" s="36"/>
      <c r="O4132" s="36"/>
      <c r="P4132" s="37"/>
      <c r="Q4132" s="36"/>
      <c r="R4132" s="36"/>
      <c r="S4132" s="36"/>
      <c r="T4132" s="28" t="s">
        <v>19644</v>
      </c>
      <c r="U4132" s="38" t="str">
        <f>HYPERLINK("https://www.ncbi.nlm.nih.gov/pubmed/23965460","PubMed")</f>
        <v>PubMed</v>
      </c>
      <c r="V4132" s="30"/>
      <c r="W4132" s="49"/>
      <c r="X4132" s="49"/>
      <c r="Y4132" s="35"/>
      <c r="Z4132" s="35"/>
      <c r="AA4132" s="35"/>
      <c r="AB4132" s="35"/>
      <c r="AC4132" s="35"/>
      <c r="AD4132" s="35"/>
      <c r="AE4132" s="35"/>
      <c r="AF4132" s="35"/>
      <c r="AG4132" s="35"/>
      <c r="AH4132" s="35"/>
      <c r="AI4132" s="35"/>
      <c r="AJ4132" s="35"/>
      <c r="AK4132" s="35"/>
      <c r="AL4132" s="35"/>
    </row>
    <row r="4133">
      <c r="A4133" s="40" t="s">
        <v>38</v>
      </c>
      <c r="B4133" s="19" t="s">
        <v>19332</v>
      </c>
      <c r="C4133" s="20" t="s">
        <v>19502</v>
      </c>
      <c r="D4133" s="47"/>
      <c r="E4133" s="22" t="s">
        <v>19645</v>
      </c>
      <c r="F4133" s="22" t="s">
        <v>19646</v>
      </c>
      <c r="G4133" s="23">
        <v>2013.0</v>
      </c>
      <c r="H4133" s="22" t="s">
        <v>4455</v>
      </c>
      <c r="I4133" s="24" t="s">
        <v>19647</v>
      </c>
      <c r="J4133" s="22" t="s">
        <v>19648</v>
      </c>
      <c r="K4133" s="22" t="s">
        <v>19649</v>
      </c>
      <c r="L4133" s="36">
        <v>940.0</v>
      </c>
      <c r="M4133" s="36">
        <v>100.0</v>
      </c>
      <c r="N4133" s="36"/>
      <c r="O4133" s="36"/>
      <c r="P4133" s="37" t="s">
        <v>969</v>
      </c>
      <c r="Q4133" s="36"/>
      <c r="R4133" s="36" t="s">
        <v>11781</v>
      </c>
      <c r="S4133" s="36"/>
      <c r="T4133" s="28" t="s">
        <v>19650</v>
      </c>
      <c r="U4133" s="38" t="str">
        <f>HYPERLINK("https://www.ncbi.nlm.nih.gov/pubmed/23598930","PubMed")</f>
        <v>PubMed</v>
      </c>
      <c r="V4133" s="30"/>
      <c r="W4133" s="49"/>
      <c r="X4133" s="49"/>
      <c r="Y4133" s="35"/>
      <c r="Z4133" s="35"/>
      <c r="AA4133" s="35"/>
      <c r="AB4133" s="35"/>
      <c r="AC4133" s="35"/>
      <c r="AD4133" s="35"/>
      <c r="AE4133" s="35"/>
      <c r="AF4133" s="35"/>
      <c r="AG4133" s="35"/>
      <c r="AH4133" s="35"/>
      <c r="AI4133" s="35"/>
      <c r="AJ4133" s="35"/>
      <c r="AK4133" s="35"/>
      <c r="AL4133" s="35"/>
    </row>
    <row r="4134">
      <c r="A4134" s="40"/>
      <c r="B4134" s="19" t="s">
        <v>19332</v>
      </c>
      <c r="C4134" s="20" t="s">
        <v>19502</v>
      </c>
      <c r="D4134" s="47"/>
      <c r="E4134" s="22" t="s">
        <v>19651</v>
      </c>
      <c r="F4134" s="22" t="s">
        <v>9717</v>
      </c>
      <c r="G4134" s="23">
        <v>2013.0</v>
      </c>
      <c r="H4134" s="22" t="s">
        <v>994</v>
      </c>
      <c r="I4134" s="24" t="s">
        <v>19652</v>
      </c>
      <c r="J4134" s="22" t="s">
        <v>19653</v>
      </c>
      <c r="K4134" s="22" t="s">
        <v>19654</v>
      </c>
      <c r="L4134" s="36">
        <v>10600.0</v>
      </c>
      <c r="M4134" s="36">
        <v>700.0</v>
      </c>
      <c r="N4134" s="36"/>
      <c r="O4134" s="36"/>
      <c r="P4134" s="37"/>
      <c r="Q4134" s="36"/>
      <c r="R4134" s="183">
        <v>42952.0</v>
      </c>
      <c r="S4134" s="36">
        <v>1.0</v>
      </c>
      <c r="T4134" s="28" t="s">
        <v>19655</v>
      </c>
      <c r="U4134" s="38" t="str">
        <f>HYPERLINK("https://www.ncbi.nlm.nih.gov/pubmed/23622766","PubMed")</f>
        <v>PubMed</v>
      </c>
      <c r="V4134" s="30"/>
      <c r="W4134" s="49"/>
      <c r="X4134" s="49"/>
      <c r="Y4134" s="35"/>
      <c r="Z4134" s="35"/>
      <c r="AA4134" s="35"/>
      <c r="AB4134" s="35"/>
      <c r="AC4134" s="35"/>
      <c r="AD4134" s="35"/>
      <c r="AE4134" s="35"/>
      <c r="AF4134" s="35"/>
      <c r="AG4134" s="35"/>
      <c r="AH4134" s="35"/>
      <c r="AI4134" s="35"/>
      <c r="AJ4134" s="35"/>
      <c r="AK4134" s="35"/>
      <c r="AL4134" s="35"/>
    </row>
    <row r="4135">
      <c r="A4135" s="40"/>
      <c r="B4135" s="19" t="s">
        <v>19332</v>
      </c>
      <c r="C4135" s="20" t="s">
        <v>19502</v>
      </c>
      <c r="D4135" s="47"/>
      <c r="E4135" s="22" t="s">
        <v>19656</v>
      </c>
      <c r="F4135" s="22" t="s">
        <v>7679</v>
      </c>
      <c r="G4135" s="23">
        <v>2012.0</v>
      </c>
      <c r="H4135" s="22" t="s">
        <v>3950</v>
      </c>
      <c r="I4135" s="24" t="s">
        <v>19657</v>
      </c>
      <c r="J4135" s="22" t="s">
        <v>31</v>
      </c>
      <c r="K4135" s="22"/>
      <c r="L4135" s="36">
        <v>660.0</v>
      </c>
      <c r="M4135" s="36">
        <v>100.0</v>
      </c>
      <c r="N4135" s="36"/>
      <c r="O4135" s="36"/>
      <c r="P4135" s="37" t="s">
        <v>19658</v>
      </c>
      <c r="Q4135" s="36"/>
      <c r="R4135" s="183"/>
      <c r="S4135" s="36"/>
      <c r="T4135" s="42" t="s">
        <v>19659</v>
      </c>
      <c r="U4135" s="38" t="str">
        <f>HYPERLINK("https://www.ncbi.nlm.nih.gov/pubmed/22766761","PubMed")</f>
        <v>PubMed</v>
      </c>
      <c r="V4135" s="30"/>
      <c r="W4135" s="49"/>
      <c r="X4135" s="49"/>
      <c r="Y4135" s="35"/>
      <c r="Z4135" s="35"/>
      <c r="AA4135" s="35"/>
      <c r="AB4135" s="35"/>
      <c r="AC4135" s="35"/>
      <c r="AD4135" s="35"/>
      <c r="AE4135" s="35"/>
      <c r="AF4135" s="35"/>
      <c r="AG4135" s="35"/>
      <c r="AH4135" s="35"/>
      <c r="AI4135" s="35"/>
      <c r="AJ4135" s="35"/>
      <c r="AK4135" s="35"/>
      <c r="AL4135" s="35"/>
    </row>
    <row r="4136">
      <c r="A4136" s="40"/>
      <c r="B4136" s="19" t="s">
        <v>19332</v>
      </c>
      <c r="C4136" s="20" t="s">
        <v>19502</v>
      </c>
      <c r="D4136" s="47"/>
      <c r="E4136" s="22" t="s">
        <v>19660</v>
      </c>
      <c r="F4136" s="22" t="s">
        <v>323</v>
      </c>
      <c r="G4136" s="23">
        <v>2012.0</v>
      </c>
      <c r="H4136" s="22" t="s">
        <v>658</v>
      </c>
      <c r="I4136" s="24" t="s">
        <v>19661</v>
      </c>
      <c r="J4136" s="22" t="s">
        <v>19662</v>
      </c>
      <c r="K4136" s="22" t="s">
        <v>19654</v>
      </c>
      <c r="L4136" s="36">
        <v>10600.0</v>
      </c>
      <c r="M4136" s="36"/>
      <c r="N4136" s="36"/>
      <c r="O4136" s="36"/>
      <c r="P4136" s="37"/>
      <c r="Q4136" s="36"/>
      <c r="R4136" s="183"/>
      <c r="S4136" s="36">
        <v>1.0</v>
      </c>
      <c r="T4136" s="28" t="s">
        <v>19663</v>
      </c>
      <c r="U4136" s="38" t="str">
        <f>HYPERLINK("https://www.ncbi.nlm.nih.gov/pubmed/23113511","PubMed")</f>
        <v>PubMed</v>
      </c>
      <c r="V4136" s="30"/>
      <c r="W4136" s="49"/>
      <c r="X4136" s="49"/>
      <c r="Y4136" s="35"/>
      <c r="Z4136" s="35"/>
      <c r="AA4136" s="35"/>
      <c r="AB4136" s="35"/>
      <c r="AC4136" s="35"/>
      <c r="AD4136" s="35"/>
      <c r="AE4136" s="35"/>
      <c r="AF4136" s="35"/>
      <c r="AG4136" s="35"/>
      <c r="AH4136" s="35"/>
      <c r="AI4136" s="35"/>
      <c r="AJ4136" s="35"/>
      <c r="AK4136" s="35"/>
      <c r="AL4136" s="35"/>
    </row>
    <row r="4137">
      <c r="A4137" s="40" t="s">
        <v>38</v>
      </c>
      <c r="B4137" s="19" t="s">
        <v>19332</v>
      </c>
      <c r="C4137" s="20" t="s">
        <v>19502</v>
      </c>
      <c r="D4137" s="47"/>
      <c r="E4137" s="22" t="s">
        <v>19664</v>
      </c>
      <c r="F4137" s="22" t="s">
        <v>41</v>
      </c>
      <c r="G4137" s="23">
        <v>2012.0</v>
      </c>
      <c r="H4137" s="22" t="s">
        <v>12990</v>
      </c>
      <c r="I4137" s="24" t="s">
        <v>19665</v>
      </c>
      <c r="J4137" s="22" t="s">
        <v>19666</v>
      </c>
      <c r="K4137" s="22"/>
      <c r="L4137" s="36">
        <v>660.0</v>
      </c>
      <c r="M4137" s="36">
        <v>30.0</v>
      </c>
      <c r="N4137" s="36" t="s">
        <v>19667</v>
      </c>
      <c r="O4137" s="36" t="s">
        <v>7653</v>
      </c>
      <c r="P4137" s="37" t="s">
        <v>13354</v>
      </c>
      <c r="Q4137" s="36" t="s">
        <v>809</v>
      </c>
      <c r="R4137" s="36" t="s">
        <v>19668</v>
      </c>
      <c r="S4137" s="36"/>
      <c r="T4137" s="28" t="s">
        <v>19669</v>
      </c>
      <c r="U4137" s="38" t="str">
        <f>HYPERLINK("https://www.ncbi.nlm.nih.gov/pubmed/23346114","PubMed")</f>
        <v>PubMed</v>
      </c>
      <c r="V4137" s="30"/>
      <c r="W4137" s="49"/>
      <c r="X4137" s="49"/>
      <c r="Y4137" s="35"/>
      <c r="Z4137" s="35"/>
      <c r="AA4137" s="35"/>
      <c r="AB4137" s="35"/>
      <c r="AC4137" s="35"/>
      <c r="AD4137" s="35"/>
      <c r="AE4137" s="35"/>
      <c r="AF4137" s="35"/>
      <c r="AG4137" s="35"/>
      <c r="AH4137" s="35"/>
      <c r="AI4137" s="35"/>
      <c r="AJ4137" s="35"/>
      <c r="AK4137" s="35"/>
      <c r="AL4137" s="35"/>
    </row>
    <row r="4138">
      <c r="A4138" s="40"/>
      <c r="B4138" s="19" t="s">
        <v>19332</v>
      </c>
      <c r="C4138" s="20" t="s">
        <v>19502</v>
      </c>
      <c r="D4138" s="47"/>
      <c r="E4138" s="22" t="s">
        <v>19670</v>
      </c>
      <c r="F4138" s="22" t="s">
        <v>41</v>
      </c>
      <c r="G4138" s="23">
        <v>2010.0</v>
      </c>
      <c r="H4138" s="22" t="s">
        <v>658</v>
      </c>
      <c r="I4138" s="24" t="s">
        <v>19671</v>
      </c>
      <c r="J4138" s="22" t="s">
        <v>19672</v>
      </c>
      <c r="K4138" s="22" t="s">
        <v>19673</v>
      </c>
      <c r="L4138" s="36">
        <v>670.0</v>
      </c>
      <c r="M4138" s="36">
        <v>50.0</v>
      </c>
      <c r="N4138" s="36"/>
      <c r="O4138" s="36"/>
      <c r="P4138" s="37" t="s">
        <v>969</v>
      </c>
      <c r="Q4138" s="36"/>
      <c r="R4138" s="183"/>
      <c r="S4138" s="36"/>
      <c r="T4138" s="28" t="s">
        <v>19674</v>
      </c>
      <c r="U4138" s="38" t="str">
        <f>HYPERLINK("https://www.ncbi.nlm.nih.gov/pubmed/20950190","PubMed")</f>
        <v>PubMed</v>
      </c>
      <c r="V4138" s="30"/>
      <c r="W4138" s="49"/>
      <c r="X4138" s="49"/>
      <c r="Y4138" s="35"/>
      <c r="Z4138" s="35"/>
      <c r="AA4138" s="35"/>
      <c r="AB4138" s="35"/>
      <c r="AC4138" s="35"/>
      <c r="AD4138" s="35"/>
      <c r="AE4138" s="35"/>
      <c r="AF4138" s="35"/>
      <c r="AG4138" s="35"/>
      <c r="AH4138" s="35"/>
      <c r="AI4138" s="35"/>
      <c r="AJ4138" s="35"/>
      <c r="AK4138" s="35"/>
      <c r="AL4138" s="35"/>
    </row>
    <row r="4139">
      <c r="A4139" s="40"/>
      <c r="B4139" s="19" t="s">
        <v>19332</v>
      </c>
      <c r="C4139" s="20" t="s">
        <v>19502</v>
      </c>
      <c r="D4139" s="47"/>
      <c r="E4139" s="22" t="s">
        <v>19675</v>
      </c>
      <c r="F4139" s="22" t="s">
        <v>408</v>
      </c>
      <c r="G4139" s="23">
        <v>2009.0</v>
      </c>
      <c r="H4139" s="22" t="s">
        <v>658</v>
      </c>
      <c r="I4139" s="24" t="s">
        <v>19676</v>
      </c>
      <c r="J4139" s="22" t="s">
        <v>19677</v>
      </c>
      <c r="K4139" s="22" t="s">
        <v>19678</v>
      </c>
      <c r="L4139" s="36">
        <v>1064.0</v>
      </c>
      <c r="M4139" s="36" t="s">
        <v>19679</v>
      </c>
      <c r="N4139" s="36"/>
      <c r="O4139" s="36" t="s">
        <v>19680</v>
      </c>
      <c r="P4139" s="37"/>
      <c r="Q4139" s="36"/>
      <c r="R4139" s="36" t="s">
        <v>10277</v>
      </c>
      <c r="S4139" s="36"/>
      <c r="T4139" s="28" t="s">
        <v>19681</v>
      </c>
      <c r="U4139" s="38" t="str">
        <f>HYPERLINK("https://www.ncbi.nlm.nih.gov/pubmed/18687056","PubMed")</f>
        <v>PubMed</v>
      </c>
      <c r="V4139" s="30"/>
      <c r="W4139" s="49"/>
      <c r="X4139" s="49"/>
      <c r="Y4139" s="35"/>
      <c r="Z4139" s="35"/>
      <c r="AA4139" s="35"/>
      <c r="AB4139" s="35"/>
      <c r="AC4139" s="35"/>
      <c r="AD4139" s="35"/>
      <c r="AE4139" s="35"/>
      <c r="AF4139" s="35"/>
      <c r="AG4139" s="35"/>
      <c r="AH4139" s="35"/>
      <c r="AI4139" s="35"/>
      <c r="AJ4139" s="35"/>
      <c r="AK4139" s="35"/>
      <c r="AL4139" s="35"/>
    </row>
    <row r="4140">
      <c r="A4140" s="40"/>
      <c r="B4140" s="19" t="s">
        <v>19332</v>
      </c>
      <c r="C4140" s="20" t="s">
        <v>19502</v>
      </c>
      <c r="D4140" s="47"/>
      <c r="E4140" s="22" t="s">
        <v>19660</v>
      </c>
      <c r="F4140" s="22" t="s">
        <v>323</v>
      </c>
      <c r="G4140" s="23">
        <v>2009.0</v>
      </c>
      <c r="H4140" s="22" t="s">
        <v>91</v>
      </c>
      <c r="I4140" s="24" t="s">
        <v>19682</v>
      </c>
      <c r="J4140" s="22" t="s">
        <v>19683</v>
      </c>
      <c r="K4140" s="22" t="s">
        <v>19654</v>
      </c>
      <c r="L4140" s="36">
        <v>10600.0</v>
      </c>
      <c r="M4140" s="36" t="s">
        <v>19684</v>
      </c>
      <c r="N4140" s="36"/>
      <c r="O4140" s="36"/>
      <c r="P4140" s="37"/>
      <c r="Q4140" s="36"/>
      <c r="R4140" s="36"/>
      <c r="S4140" s="36">
        <v>1.0</v>
      </c>
      <c r="T4140" s="28" t="s">
        <v>19685</v>
      </c>
      <c r="U4140" s="38" t="str">
        <f>HYPERLINK("https://www.ncbi.nlm.nih.gov/pubmed/18408986","PubMed")</f>
        <v>PubMed</v>
      </c>
      <c r="V4140" s="30"/>
      <c r="W4140" s="49"/>
      <c r="X4140" s="49"/>
      <c r="Y4140" s="35"/>
      <c r="Z4140" s="35"/>
      <c r="AA4140" s="35"/>
      <c r="AB4140" s="35"/>
      <c r="AC4140" s="35"/>
      <c r="AD4140" s="35"/>
      <c r="AE4140" s="35"/>
      <c r="AF4140" s="35"/>
      <c r="AG4140" s="35"/>
      <c r="AH4140" s="35"/>
      <c r="AI4140" s="35"/>
      <c r="AJ4140" s="35"/>
      <c r="AK4140" s="35"/>
      <c r="AL4140" s="35"/>
    </row>
    <row r="4141">
      <c r="A4141" s="40"/>
      <c r="B4141" s="19" t="s">
        <v>19332</v>
      </c>
      <c r="C4141" s="20" t="s">
        <v>19502</v>
      </c>
      <c r="D4141" s="47"/>
      <c r="E4141" s="22" t="s">
        <v>19686</v>
      </c>
      <c r="F4141" s="22" t="s">
        <v>5312</v>
      </c>
      <c r="G4141" s="23">
        <v>2004.0</v>
      </c>
      <c r="H4141" s="22" t="s">
        <v>1259</v>
      </c>
      <c r="I4141" s="24" t="s">
        <v>19687</v>
      </c>
      <c r="J4141" s="22" t="s">
        <v>19688</v>
      </c>
      <c r="K4141" s="22" t="s">
        <v>19654</v>
      </c>
      <c r="L4141" s="36">
        <v>10600.0</v>
      </c>
      <c r="M4141" s="36" t="s">
        <v>19689</v>
      </c>
      <c r="N4141" s="36"/>
      <c r="O4141" s="36"/>
      <c r="P4141" s="37"/>
      <c r="Q4141" s="36"/>
      <c r="R4141" s="36">
        <v>5.0</v>
      </c>
      <c r="S4141" s="36"/>
      <c r="T4141" s="28" t="s">
        <v>19690</v>
      </c>
      <c r="U4141" s="38" t="str">
        <f>HYPERLINK("https://www.ncbi.nlm.nih.gov/pubmed/15024356","PubMed")</f>
        <v>PubMed</v>
      </c>
      <c r="V4141" s="30"/>
      <c r="W4141" s="49"/>
      <c r="X4141" s="49"/>
      <c r="Y4141" s="35"/>
      <c r="Z4141" s="35"/>
      <c r="AA4141" s="35"/>
      <c r="AB4141" s="35"/>
      <c r="AC4141" s="35"/>
      <c r="AD4141" s="35"/>
      <c r="AE4141" s="35"/>
      <c r="AF4141" s="35"/>
      <c r="AG4141" s="35"/>
      <c r="AH4141" s="35"/>
      <c r="AI4141" s="35"/>
      <c r="AJ4141" s="35"/>
      <c r="AK4141" s="35"/>
      <c r="AL4141" s="35"/>
    </row>
    <row r="4142">
      <c r="A4142" s="40"/>
      <c r="B4142" s="19" t="s">
        <v>19332</v>
      </c>
      <c r="C4142" s="20" t="s">
        <v>19502</v>
      </c>
      <c r="D4142" s="47"/>
      <c r="E4142" s="22" t="s">
        <v>19691</v>
      </c>
      <c r="F4142" s="22" t="s">
        <v>19692</v>
      </c>
      <c r="G4142" s="23">
        <v>1991.0</v>
      </c>
      <c r="H4142" s="22" t="s">
        <v>19693</v>
      </c>
      <c r="I4142" s="24" t="s">
        <v>19694</v>
      </c>
      <c r="J4142" s="22" t="s">
        <v>19695</v>
      </c>
      <c r="K4142" s="22" t="s">
        <v>19654</v>
      </c>
      <c r="L4142" s="36">
        <v>10600.0</v>
      </c>
      <c r="M4142" s="36"/>
      <c r="N4142" s="36"/>
      <c r="O4142" s="36"/>
      <c r="P4142" s="37"/>
      <c r="Q4142" s="36"/>
      <c r="R4142" s="36"/>
      <c r="S4142" s="36"/>
      <c r="T4142" s="28" t="s">
        <v>19696</v>
      </c>
      <c r="U4142" s="38" t="str">
        <f>HYPERLINK("https://www.ncbi.nlm.nih.gov/pubmed/2066520","PubMed")</f>
        <v>PubMed</v>
      </c>
      <c r="V4142" s="30"/>
      <c r="W4142" s="49"/>
      <c r="X4142" s="49"/>
      <c r="Y4142" s="35"/>
      <c r="Z4142" s="35"/>
      <c r="AA4142" s="35"/>
      <c r="AB4142" s="35"/>
      <c r="AC4142" s="35"/>
      <c r="AD4142" s="35"/>
      <c r="AE4142" s="35"/>
      <c r="AF4142" s="35"/>
      <c r="AG4142" s="35"/>
      <c r="AH4142" s="35"/>
      <c r="AI4142" s="35"/>
      <c r="AJ4142" s="35"/>
      <c r="AK4142" s="35"/>
      <c r="AL4142" s="35"/>
    </row>
    <row r="4143">
      <c r="A4143" s="40"/>
      <c r="B4143" s="19" t="s">
        <v>19332</v>
      </c>
      <c r="C4143" s="20" t="s">
        <v>19502</v>
      </c>
      <c r="D4143" s="47"/>
      <c r="E4143" s="22" t="s">
        <v>19697</v>
      </c>
      <c r="F4143" s="22" t="s">
        <v>1773</v>
      </c>
      <c r="G4143" s="23">
        <v>1988.0</v>
      </c>
      <c r="H4143" s="22" t="s">
        <v>19698</v>
      </c>
      <c r="I4143" s="24" t="s">
        <v>19699</v>
      </c>
      <c r="J4143" s="22" t="s">
        <v>58</v>
      </c>
      <c r="K4143" s="22"/>
      <c r="L4143" s="36" t="s">
        <v>58</v>
      </c>
      <c r="M4143" s="36"/>
      <c r="N4143" s="36"/>
      <c r="O4143" s="36"/>
      <c r="P4143" s="37"/>
      <c r="Q4143" s="36"/>
      <c r="R4143" s="36"/>
      <c r="S4143" s="36"/>
      <c r="T4143" s="28" t="s">
        <v>58</v>
      </c>
      <c r="U4143" s="38" t="str">
        <f>HYPERLINK("https://www.ncbi.nlm.nih.gov/pubmed/3218939","PubMed")</f>
        <v>PubMed</v>
      </c>
      <c r="V4143" s="30"/>
      <c r="W4143" s="49"/>
      <c r="X4143" s="49"/>
      <c r="Y4143" s="35"/>
      <c r="Z4143" s="35"/>
      <c r="AA4143" s="35"/>
      <c r="AB4143" s="35"/>
      <c r="AC4143" s="35"/>
      <c r="AD4143" s="35"/>
      <c r="AE4143" s="35"/>
      <c r="AF4143" s="35"/>
      <c r="AG4143" s="35"/>
      <c r="AH4143" s="35"/>
      <c r="AI4143" s="35"/>
      <c r="AJ4143" s="35"/>
      <c r="AK4143" s="35"/>
      <c r="AL4143" s="35"/>
    </row>
    <row r="4144">
      <c r="A4144" s="40"/>
      <c r="B4144" s="19" t="s">
        <v>19332</v>
      </c>
      <c r="C4144" s="20" t="s">
        <v>19700</v>
      </c>
      <c r="D4144" s="47"/>
      <c r="E4144" s="22" t="s">
        <v>19701</v>
      </c>
      <c r="F4144" s="22" t="s">
        <v>1943</v>
      </c>
      <c r="G4144" s="23">
        <v>2021.0</v>
      </c>
      <c r="H4144" s="22" t="s">
        <v>477</v>
      </c>
      <c r="I4144" s="24" t="s">
        <v>19702</v>
      </c>
      <c r="J4144" s="22" t="s">
        <v>19703</v>
      </c>
      <c r="K4144" s="22" t="s">
        <v>19704</v>
      </c>
      <c r="L4144" s="36">
        <v>980.0</v>
      </c>
      <c r="M4144" s="36">
        <v>100.0</v>
      </c>
      <c r="N4144" s="36">
        <v>1.0</v>
      </c>
      <c r="O4144" s="36">
        <v>6.0</v>
      </c>
      <c r="P4144" s="37" t="s">
        <v>6531</v>
      </c>
      <c r="Q4144" s="36"/>
      <c r="R4144" s="36" t="s">
        <v>19705</v>
      </c>
      <c r="S4144" s="36">
        <v>1.0</v>
      </c>
      <c r="T4144" s="42" t="s">
        <v>19706</v>
      </c>
      <c r="U4144" s="29" t="s">
        <v>61</v>
      </c>
      <c r="V4144" s="30"/>
      <c r="W4144" s="49"/>
      <c r="X4144" s="49"/>
      <c r="Y4144" s="35"/>
      <c r="Z4144" s="35"/>
      <c r="AA4144" s="35"/>
      <c r="AB4144" s="35"/>
      <c r="AC4144" s="35"/>
      <c r="AD4144" s="35"/>
      <c r="AE4144" s="35"/>
      <c r="AF4144" s="35"/>
      <c r="AG4144" s="35"/>
      <c r="AH4144" s="35"/>
      <c r="AI4144" s="35"/>
      <c r="AJ4144" s="35"/>
      <c r="AK4144" s="35"/>
      <c r="AL4144" s="35"/>
    </row>
    <row r="4145">
      <c r="A4145" s="40"/>
      <c r="B4145" s="19" t="s">
        <v>19332</v>
      </c>
      <c r="C4145" s="20" t="s">
        <v>19700</v>
      </c>
      <c r="D4145" s="47"/>
      <c r="E4145" s="22" t="s">
        <v>19707</v>
      </c>
      <c r="F4145" s="22" t="s">
        <v>19708</v>
      </c>
      <c r="G4145" s="23">
        <v>2016.0</v>
      </c>
      <c r="H4145" s="22" t="s">
        <v>17630</v>
      </c>
      <c r="I4145" s="24" t="s">
        <v>19709</v>
      </c>
      <c r="J4145" s="22" t="s">
        <v>19710</v>
      </c>
      <c r="K4145" s="22"/>
      <c r="L4145" s="36">
        <v>980.0</v>
      </c>
      <c r="M4145" s="36" t="s">
        <v>19711</v>
      </c>
      <c r="N4145" s="36"/>
      <c r="O4145" s="36"/>
      <c r="P4145" s="37"/>
      <c r="Q4145" s="36"/>
      <c r="R4145" s="36">
        <v>45.0</v>
      </c>
      <c r="S4145" s="36"/>
      <c r="T4145" s="42" t="s">
        <v>19712</v>
      </c>
      <c r="U4145" s="29" t="s">
        <v>61</v>
      </c>
      <c r="V4145" s="30" t="s">
        <v>19713</v>
      </c>
      <c r="W4145" s="49"/>
      <c r="X4145" s="49"/>
      <c r="Y4145" s="35"/>
      <c r="Z4145" s="35"/>
      <c r="AA4145" s="35"/>
      <c r="AB4145" s="35"/>
      <c r="AC4145" s="35"/>
      <c r="AD4145" s="35"/>
      <c r="AE4145" s="35"/>
      <c r="AF4145" s="35"/>
      <c r="AG4145" s="35"/>
      <c r="AH4145" s="35"/>
      <c r="AI4145" s="35"/>
      <c r="AJ4145" s="35"/>
      <c r="AK4145" s="35"/>
      <c r="AL4145" s="35"/>
    </row>
    <row r="4146">
      <c r="A4146" s="40"/>
      <c r="B4146" s="19" t="s">
        <v>19332</v>
      </c>
      <c r="C4146" s="20" t="s">
        <v>19714</v>
      </c>
      <c r="D4146" s="47"/>
      <c r="E4146" s="22" t="s">
        <v>19715</v>
      </c>
      <c r="F4146" s="22" t="s">
        <v>6973</v>
      </c>
      <c r="G4146" s="23">
        <v>2023.0</v>
      </c>
      <c r="H4146" s="22" t="s">
        <v>10563</v>
      </c>
      <c r="I4146" s="24" t="s">
        <v>19716</v>
      </c>
      <c r="J4146" s="22" t="s">
        <v>19717</v>
      </c>
      <c r="K4146" s="22"/>
      <c r="L4146" s="36">
        <v>810.0</v>
      </c>
      <c r="M4146" s="36">
        <v>500.0</v>
      </c>
      <c r="N4146" s="36"/>
      <c r="O4146" s="36"/>
      <c r="P4146" s="37" t="s">
        <v>5401</v>
      </c>
      <c r="Q4146" s="36"/>
      <c r="R4146" s="36">
        <v>30.0</v>
      </c>
      <c r="S4146" s="36">
        <v>1.0</v>
      </c>
      <c r="T4146" s="28" t="s">
        <v>19718</v>
      </c>
      <c r="U4146" s="38" t="s">
        <v>61</v>
      </c>
      <c r="V4146" s="30"/>
      <c r="W4146" s="49"/>
      <c r="X4146" s="49"/>
      <c r="Y4146" s="35"/>
      <c r="Z4146" s="35"/>
      <c r="AA4146" s="35"/>
      <c r="AB4146" s="35"/>
      <c r="AC4146" s="35"/>
      <c r="AD4146" s="35"/>
      <c r="AE4146" s="35"/>
      <c r="AF4146" s="35"/>
      <c r="AG4146" s="35"/>
      <c r="AH4146" s="35"/>
      <c r="AI4146" s="35"/>
      <c r="AJ4146" s="35"/>
      <c r="AK4146" s="35"/>
      <c r="AL4146" s="35"/>
    </row>
    <row r="4147">
      <c r="A4147" s="40"/>
      <c r="B4147" s="19" t="s">
        <v>19332</v>
      </c>
      <c r="C4147" s="20" t="s">
        <v>19714</v>
      </c>
      <c r="D4147" s="47"/>
      <c r="E4147" s="22" t="s">
        <v>19719</v>
      </c>
      <c r="F4147" s="22" t="s">
        <v>3351</v>
      </c>
      <c r="G4147" s="23">
        <v>2022.0</v>
      </c>
      <c r="H4147" s="22" t="s">
        <v>91</v>
      </c>
      <c r="I4147" s="24" t="s">
        <v>19720</v>
      </c>
      <c r="J4147" s="22" t="s">
        <v>19721</v>
      </c>
      <c r="K4147" s="22"/>
      <c r="L4147" s="36">
        <v>808.0</v>
      </c>
      <c r="M4147" s="36">
        <v>100.0</v>
      </c>
      <c r="N4147" s="36"/>
      <c r="O4147" s="36">
        <v>3.0</v>
      </c>
      <c r="P4147" s="37" t="s">
        <v>777</v>
      </c>
      <c r="Q4147" s="36"/>
      <c r="R4147" s="36"/>
      <c r="S4147" s="36" t="s">
        <v>19722</v>
      </c>
      <c r="T4147" s="41" t="s">
        <v>19723</v>
      </c>
      <c r="U4147" s="38" t="s">
        <v>61</v>
      </c>
      <c r="V4147" s="30"/>
      <c r="W4147" s="49"/>
      <c r="X4147" s="49"/>
      <c r="Y4147" s="35"/>
      <c r="Z4147" s="35"/>
      <c r="AA4147" s="35"/>
      <c r="AB4147" s="35"/>
      <c r="AC4147" s="35"/>
      <c r="AD4147" s="35"/>
      <c r="AE4147" s="35"/>
      <c r="AF4147" s="35"/>
      <c r="AG4147" s="35"/>
      <c r="AH4147" s="35"/>
      <c r="AI4147" s="35"/>
      <c r="AJ4147" s="35"/>
      <c r="AK4147" s="35"/>
      <c r="AL4147" s="35"/>
    </row>
    <row r="4148">
      <c r="A4148" s="40"/>
      <c r="B4148" s="19" t="s">
        <v>19332</v>
      </c>
      <c r="C4148" s="20" t="s">
        <v>19714</v>
      </c>
      <c r="D4148" s="47"/>
      <c r="E4148" s="22" t="s">
        <v>2837</v>
      </c>
      <c r="F4148" s="22" t="s">
        <v>18291</v>
      </c>
      <c r="G4148" s="23">
        <v>2022.0</v>
      </c>
      <c r="H4148" s="22" t="s">
        <v>91</v>
      </c>
      <c r="I4148" s="24" t="s">
        <v>19724</v>
      </c>
      <c r="J4148" s="22" t="s">
        <v>649</v>
      </c>
      <c r="K4148" s="22"/>
      <c r="L4148" s="105" t="s">
        <v>19725</v>
      </c>
      <c r="M4148" s="44"/>
      <c r="N4148" s="44"/>
      <c r="O4148" s="44"/>
      <c r="P4148" s="44"/>
      <c r="Q4148" s="44"/>
      <c r="R4148" s="44"/>
      <c r="S4148" s="44"/>
      <c r="T4148" s="45"/>
      <c r="U4148" s="29" t="s">
        <v>61</v>
      </c>
      <c r="V4148" s="30"/>
      <c r="W4148" s="49"/>
      <c r="X4148" s="49"/>
      <c r="Y4148" s="35"/>
      <c r="Z4148" s="35"/>
      <c r="AA4148" s="35"/>
      <c r="AB4148" s="35"/>
      <c r="AC4148" s="35"/>
      <c r="AD4148" s="35"/>
      <c r="AE4148" s="35"/>
      <c r="AF4148" s="35"/>
      <c r="AG4148" s="35"/>
      <c r="AH4148" s="35"/>
      <c r="AI4148" s="35"/>
      <c r="AJ4148" s="35"/>
      <c r="AK4148" s="35"/>
      <c r="AL4148" s="35"/>
    </row>
    <row r="4149">
      <c r="A4149" s="40"/>
      <c r="B4149" s="19" t="s">
        <v>19332</v>
      </c>
      <c r="C4149" s="20" t="s">
        <v>19714</v>
      </c>
      <c r="D4149" s="47"/>
      <c r="E4149" s="22" t="s">
        <v>19726</v>
      </c>
      <c r="F4149" s="22" t="s">
        <v>19727</v>
      </c>
      <c r="G4149" s="23">
        <v>2022.0</v>
      </c>
      <c r="H4149" s="22" t="s">
        <v>77</v>
      </c>
      <c r="I4149" s="24" t="s">
        <v>19728</v>
      </c>
      <c r="J4149" s="22" t="s">
        <v>1078</v>
      </c>
      <c r="K4149" s="22"/>
      <c r="L4149" s="105" t="s">
        <v>19729</v>
      </c>
      <c r="M4149" s="44"/>
      <c r="N4149" s="44"/>
      <c r="O4149" s="44"/>
      <c r="P4149" s="44"/>
      <c r="Q4149" s="44"/>
      <c r="R4149" s="44"/>
      <c r="S4149" s="44"/>
      <c r="T4149" s="45"/>
      <c r="U4149" s="29" t="s">
        <v>61</v>
      </c>
      <c r="V4149" s="30"/>
      <c r="W4149" s="49"/>
      <c r="X4149" s="49"/>
      <c r="Y4149" s="35"/>
      <c r="Z4149" s="35"/>
      <c r="AA4149" s="35"/>
      <c r="AB4149" s="35"/>
      <c r="AC4149" s="35"/>
      <c r="AD4149" s="35"/>
      <c r="AE4149" s="35"/>
      <c r="AF4149" s="35"/>
      <c r="AG4149" s="35"/>
      <c r="AH4149" s="35"/>
      <c r="AI4149" s="35"/>
      <c r="AJ4149" s="35"/>
      <c r="AK4149" s="35"/>
      <c r="AL4149" s="35"/>
    </row>
    <row r="4150">
      <c r="A4150" s="40"/>
      <c r="B4150" s="19" t="s">
        <v>19332</v>
      </c>
      <c r="C4150" s="20" t="s">
        <v>19714</v>
      </c>
      <c r="D4150" s="47"/>
      <c r="E4150" s="22" t="s">
        <v>88</v>
      </c>
      <c r="F4150" s="22" t="s">
        <v>765</v>
      </c>
      <c r="G4150" s="23">
        <v>2022.0</v>
      </c>
      <c r="H4150" s="22" t="s">
        <v>611</v>
      </c>
      <c r="I4150" s="24" t="s">
        <v>19730</v>
      </c>
      <c r="J4150" s="22" t="s">
        <v>55</v>
      </c>
      <c r="K4150" s="22"/>
      <c r="L4150" s="36">
        <v>808.0</v>
      </c>
      <c r="M4150" s="36"/>
      <c r="N4150" s="36"/>
      <c r="O4150" s="36"/>
      <c r="P4150" s="37"/>
      <c r="Q4150" s="36"/>
      <c r="R4150" s="36">
        <v>30.0</v>
      </c>
      <c r="S4150" s="36"/>
      <c r="T4150" s="28" t="s">
        <v>19731</v>
      </c>
      <c r="U4150" s="29" t="s">
        <v>61</v>
      </c>
      <c r="V4150" s="30"/>
      <c r="W4150" s="49"/>
      <c r="X4150" s="49"/>
      <c r="Y4150" s="35"/>
      <c r="Z4150" s="35"/>
      <c r="AA4150" s="35"/>
      <c r="AB4150" s="35"/>
      <c r="AC4150" s="35"/>
      <c r="AD4150" s="35"/>
      <c r="AE4150" s="35"/>
      <c r="AF4150" s="35"/>
      <c r="AG4150" s="35"/>
      <c r="AH4150" s="35"/>
      <c r="AI4150" s="35"/>
      <c r="AJ4150" s="35"/>
      <c r="AK4150" s="35"/>
      <c r="AL4150" s="35"/>
    </row>
    <row r="4151">
      <c r="A4151" s="40" t="s">
        <v>38</v>
      </c>
      <c r="B4151" s="19" t="s">
        <v>19332</v>
      </c>
      <c r="C4151" s="20" t="s">
        <v>19714</v>
      </c>
      <c r="D4151" s="47"/>
      <c r="E4151" s="22" t="s">
        <v>19732</v>
      </c>
      <c r="F4151" s="22" t="s">
        <v>11479</v>
      </c>
      <c r="G4151" s="23">
        <v>2022.0</v>
      </c>
      <c r="H4151" s="22" t="s">
        <v>19733</v>
      </c>
      <c r="I4151" s="24" t="s">
        <v>19734</v>
      </c>
      <c r="J4151" s="22" t="s">
        <v>19735</v>
      </c>
      <c r="K4151" s="22"/>
      <c r="L4151" s="36" t="s">
        <v>19736</v>
      </c>
      <c r="M4151" s="36">
        <v>90.0</v>
      </c>
      <c r="N4151" s="36"/>
      <c r="O4151" s="36"/>
      <c r="P4151" s="37"/>
      <c r="Q4151" s="36"/>
      <c r="R4151" s="36"/>
      <c r="S4151" s="36"/>
      <c r="T4151" s="42" t="s">
        <v>19737</v>
      </c>
      <c r="U4151" s="29" t="s">
        <v>61</v>
      </c>
      <c r="V4151" s="30"/>
      <c r="W4151" s="49"/>
      <c r="X4151" s="49"/>
      <c r="Y4151" s="35"/>
      <c r="Z4151" s="35"/>
      <c r="AA4151" s="35"/>
      <c r="AB4151" s="35"/>
      <c r="AC4151" s="35"/>
      <c r="AD4151" s="35"/>
      <c r="AE4151" s="35"/>
      <c r="AF4151" s="35"/>
      <c r="AG4151" s="35"/>
      <c r="AH4151" s="35"/>
      <c r="AI4151" s="35"/>
      <c r="AJ4151" s="35"/>
      <c r="AK4151" s="35"/>
      <c r="AL4151" s="35"/>
    </row>
    <row r="4152">
      <c r="A4152" s="40"/>
      <c r="B4152" s="19" t="s">
        <v>19332</v>
      </c>
      <c r="C4152" s="20" t="s">
        <v>19714</v>
      </c>
      <c r="D4152" s="47"/>
      <c r="E4152" s="22" t="s">
        <v>16445</v>
      </c>
      <c r="F4152" s="22" t="s">
        <v>16174</v>
      </c>
      <c r="G4152" s="23">
        <v>2022.0</v>
      </c>
      <c r="H4152" s="22" t="s">
        <v>477</v>
      </c>
      <c r="I4152" s="24" t="s">
        <v>19738</v>
      </c>
      <c r="J4152" s="22" t="s">
        <v>19739</v>
      </c>
      <c r="K4152" s="22"/>
      <c r="L4152" s="36">
        <v>940.0</v>
      </c>
      <c r="M4152" s="36">
        <v>160.0</v>
      </c>
      <c r="N4152" s="36" t="s">
        <v>1511</v>
      </c>
      <c r="O4152" s="36"/>
      <c r="P4152" s="37" t="s">
        <v>254</v>
      </c>
      <c r="Q4152" s="36" t="s">
        <v>17520</v>
      </c>
      <c r="R4152" s="36">
        <v>600.0</v>
      </c>
      <c r="S4152" s="36"/>
      <c r="T4152" s="28" t="s">
        <v>19740</v>
      </c>
      <c r="U4152" s="29" t="s">
        <v>61</v>
      </c>
      <c r="V4152" s="30"/>
      <c r="W4152" s="49"/>
      <c r="X4152" s="49"/>
      <c r="Y4152" s="35"/>
      <c r="Z4152" s="35"/>
      <c r="AA4152" s="35"/>
      <c r="AB4152" s="35"/>
      <c r="AC4152" s="35"/>
      <c r="AD4152" s="35"/>
      <c r="AE4152" s="35"/>
      <c r="AF4152" s="35"/>
      <c r="AG4152" s="35"/>
      <c r="AH4152" s="35"/>
      <c r="AI4152" s="35"/>
      <c r="AJ4152" s="35"/>
      <c r="AK4152" s="35"/>
      <c r="AL4152" s="35"/>
    </row>
    <row r="4153">
      <c r="A4153" s="1"/>
      <c r="B4153" s="19" t="s">
        <v>19332</v>
      </c>
      <c r="C4153" s="20" t="s">
        <v>19714</v>
      </c>
      <c r="D4153" s="47"/>
      <c r="E4153" s="22" t="s">
        <v>19741</v>
      </c>
      <c r="F4153" s="22" t="s">
        <v>19742</v>
      </c>
      <c r="G4153" s="23">
        <v>2021.0</v>
      </c>
      <c r="H4153" s="22" t="s">
        <v>627</v>
      </c>
      <c r="I4153" s="24" t="s">
        <v>19743</v>
      </c>
      <c r="J4153" s="22" t="s">
        <v>19744</v>
      </c>
      <c r="K4153" s="22"/>
      <c r="L4153" s="36">
        <v>808.0</v>
      </c>
      <c r="M4153" s="36">
        <v>100.0</v>
      </c>
      <c r="N4153" s="36"/>
      <c r="O4153" s="129">
        <v>44378.0</v>
      </c>
      <c r="P4153" s="37" t="s">
        <v>1028</v>
      </c>
      <c r="Q4153" s="36"/>
      <c r="R4153" s="36"/>
      <c r="S4153" s="36"/>
      <c r="T4153" s="42" t="s">
        <v>19745</v>
      </c>
      <c r="U4153" s="29" t="s">
        <v>61</v>
      </c>
      <c r="V4153" s="50"/>
      <c r="W4153" s="49"/>
      <c r="X4153" s="49"/>
      <c r="Y4153" s="35"/>
      <c r="Z4153" s="35"/>
      <c r="AA4153" s="35"/>
      <c r="AB4153" s="35"/>
      <c r="AC4153" s="35"/>
      <c r="AD4153" s="35"/>
      <c r="AE4153" s="35"/>
      <c r="AF4153" s="35"/>
      <c r="AG4153" s="35"/>
      <c r="AH4153" s="35"/>
      <c r="AI4153" s="35"/>
      <c r="AJ4153" s="35"/>
      <c r="AK4153" s="35"/>
      <c r="AL4153" s="35"/>
    </row>
    <row r="4154">
      <c r="A4154" s="40"/>
      <c r="B4154" s="19" t="s">
        <v>19332</v>
      </c>
      <c r="C4154" s="20" t="s">
        <v>19714</v>
      </c>
      <c r="D4154" s="47"/>
      <c r="E4154" s="22" t="s">
        <v>19746</v>
      </c>
      <c r="F4154" s="22" t="s">
        <v>765</v>
      </c>
      <c r="G4154" s="23">
        <v>2020.0</v>
      </c>
      <c r="H4154" s="22" t="s">
        <v>477</v>
      </c>
      <c r="I4154" s="24" t="s">
        <v>19747</v>
      </c>
      <c r="J4154" s="22" t="s">
        <v>55</v>
      </c>
      <c r="K4154" s="22"/>
      <c r="L4154" s="36" t="s">
        <v>112</v>
      </c>
      <c r="M4154" s="36"/>
      <c r="N4154" s="36"/>
      <c r="O4154" s="36"/>
      <c r="P4154" s="37"/>
      <c r="Q4154" s="36"/>
      <c r="R4154" s="36"/>
      <c r="S4154" s="36"/>
      <c r="T4154" s="42" t="s">
        <v>19748</v>
      </c>
      <c r="U4154" s="38" t="str">
        <f>HYPERLINK("https://www.ncbi.nlm.nih.gov/pubmed/32198660","PubMed")</f>
        <v>PubMed</v>
      </c>
      <c r="V4154" s="30"/>
      <c r="W4154" s="49"/>
      <c r="X4154" s="49"/>
      <c r="Y4154" s="35"/>
      <c r="Z4154" s="35"/>
      <c r="AA4154" s="35"/>
      <c r="AB4154" s="35"/>
      <c r="AC4154" s="35"/>
      <c r="AD4154" s="35"/>
      <c r="AE4154" s="35"/>
      <c r="AF4154" s="35"/>
      <c r="AG4154" s="35"/>
      <c r="AH4154" s="35"/>
      <c r="AI4154" s="35"/>
      <c r="AJ4154" s="35"/>
      <c r="AK4154" s="35"/>
      <c r="AL4154" s="35"/>
    </row>
    <row r="4155">
      <c r="A4155" s="40"/>
      <c r="B4155" s="19" t="s">
        <v>19332</v>
      </c>
      <c r="C4155" s="20" t="s">
        <v>19714</v>
      </c>
      <c r="D4155" s="47"/>
      <c r="E4155" s="22" t="s">
        <v>19749</v>
      </c>
      <c r="F4155" s="22" t="s">
        <v>765</v>
      </c>
      <c r="G4155" s="23">
        <v>2018.0</v>
      </c>
      <c r="H4155" s="22" t="s">
        <v>477</v>
      </c>
      <c r="I4155" s="24" t="s">
        <v>19750</v>
      </c>
      <c r="J4155" s="22" t="s">
        <v>649</v>
      </c>
      <c r="K4155" s="22"/>
      <c r="L4155" s="167" t="s">
        <v>19751</v>
      </c>
      <c r="M4155" s="44"/>
      <c r="N4155" s="44"/>
      <c r="O4155" s="44"/>
      <c r="P4155" s="44"/>
      <c r="Q4155" s="44"/>
      <c r="R4155" s="44"/>
      <c r="S4155" s="44"/>
      <c r="T4155" s="45"/>
      <c r="U4155" s="38" t="str">
        <f>HYPERLINK("https://www.ncbi.nlm.nih.gov/pubmed/29230545","PubMed")</f>
        <v>PubMed</v>
      </c>
      <c r="V4155" s="30"/>
      <c r="W4155" s="49"/>
      <c r="X4155" s="49"/>
      <c r="Y4155" s="35"/>
      <c r="Z4155" s="35"/>
      <c r="AA4155" s="35"/>
      <c r="AB4155" s="35"/>
      <c r="AC4155" s="35"/>
      <c r="AD4155" s="35"/>
      <c r="AE4155" s="35"/>
      <c r="AF4155" s="35"/>
      <c r="AG4155" s="35"/>
      <c r="AH4155" s="35"/>
      <c r="AI4155" s="35"/>
      <c r="AJ4155" s="35"/>
      <c r="AK4155" s="35"/>
      <c r="AL4155" s="35"/>
    </row>
    <row r="4156">
      <c r="A4156" s="40"/>
      <c r="B4156" s="19" t="s">
        <v>19332</v>
      </c>
      <c r="C4156" s="20" t="s">
        <v>19714</v>
      </c>
      <c r="D4156" s="47"/>
      <c r="E4156" s="22" t="s">
        <v>19752</v>
      </c>
      <c r="F4156" s="22" t="s">
        <v>19753</v>
      </c>
      <c r="G4156" s="23">
        <v>2018.0</v>
      </c>
      <c r="H4156" s="22" t="s">
        <v>477</v>
      </c>
      <c r="I4156" s="24" t="s">
        <v>19754</v>
      </c>
      <c r="J4156" s="22" t="s">
        <v>19755</v>
      </c>
      <c r="K4156" s="22" t="s">
        <v>19756</v>
      </c>
      <c r="L4156" s="36">
        <v>808.0</v>
      </c>
      <c r="M4156" s="36"/>
      <c r="N4156" s="36"/>
      <c r="O4156" s="129">
        <v>43282.0</v>
      </c>
      <c r="P4156" s="37" t="s">
        <v>1028</v>
      </c>
      <c r="Q4156" s="36" t="s">
        <v>12485</v>
      </c>
      <c r="R4156" s="36">
        <v>16.0</v>
      </c>
      <c r="S4156" s="36"/>
      <c r="T4156" s="28" t="s">
        <v>19757</v>
      </c>
      <c r="U4156" s="38" t="str">
        <f>HYPERLINK("https://www.ncbi.nlm.nih.gov/pubmed/30361793","PubMed")</f>
        <v>PubMed</v>
      </c>
      <c r="V4156" s="30"/>
      <c r="W4156" s="49"/>
      <c r="X4156" s="49"/>
      <c r="Y4156" s="35"/>
      <c r="Z4156" s="35"/>
      <c r="AA4156" s="35"/>
      <c r="AB4156" s="35"/>
      <c r="AC4156" s="35"/>
      <c r="AD4156" s="35"/>
      <c r="AE4156" s="35"/>
      <c r="AF4156" s="35"/>
      <c r="AG4156" s="35"/>
      <c r="AH4156" s="35"/>
      <c r="AI4156" s="35"/>
      <c r="AJ4156" s="35"/>
      <c r="AK4156" s="35"/>
      <c r="AL4156" s="35"/>
    </row>
    <row r="4157">
      <c r="A4157" s="40"/>
      <c r="B4157" s="19" t="s">
        <v>19332</v>
      </c>
      <c r="C4157" s="20" t="s">
        <v>19714</v>
      </c>
      <c r="D4157" s="47"/>
      <c r="E4157" s="22" t="s">
        <v>19758</v>
      </c>
      <c r="F4157" s="22" t="s">
        <v>1891</v>
      </c>
      <c r="G4157" s="23">
        <v>2018.0</v>
      </c>
      <c r="H4157" s="22" t="s">
        <v>19759</v>
      </c>
      <c r="I4157" s="24" t="s">
        <v>19760</v>
      </c>
      <c r="J4157" s="22" t="s">
        <v>19761</v>
      </c>
      <c r="K4157" s="22" t="s">
        <v>294</v>
      </c>
      <c r="L4157" s="36" t="s">
        <v>14960</v>
      </c>
      <c r="M4157" s="36"/>
      <c r="N4157" s="36"/>
      <c r="O4157" s="36"/>
      <c r="P4157" s="37"/>
      <c r="Q4157" s="36"/>
      <c r="R4157" s="36"/>
      <c r="S4157" s="36"/>
      <c r="T4157" s="28" t="s">
        <v>19762</v>
      </c>
      <c r="U4157" s="38" t="str">
        <f>HYPERLINK("https://www.ncbi.nlm.nih.gov/pubmed/30233651","PubMed")</f>
        <v>PubMed</v>
      </c>
      <c r="V4157" s="30"/>
      <c r="W4157" s="49"/>
      <c r="X4157" s="49"/>
      <c r="Y4157" s="35"/>
      <c r="Z4157" s="35"/>
      <c r="AA4157" s="35"/>
      <c r="AB4157" s="35"/>
      <c r="AC4157" s="35"/>
      <c r="AD4157" s="35"/>
      <c r="AE4157" s="35"/>
      <c r="AF4157" s="35"/>
      <c r="AG4157" s="35"/>
      <c r="AH4157" s="35"/>
      <c r="AI4157" s="35"/>
      <c r="AJ4157" s="35"/>
      <c r="AK4157" s="35"/>
      <c r="AL4157" s="35"/>
    </row>
    <row r="4158">
      <c r="A4158" s="40"/>
      <c r="B4158" s="19" t="s">
        <v>19332</v>
      </c>
      <c r="C4158" s="20" t="s">
        <v>19714</v>
      </c>
      <c r="D4158" s="47"/>
      <c r="E4158" s="22" t="s">
        <v>19763</v>
      </c>
      <c r="F4158" s="22" t="s">
        <v>19764</v>
      </c>
      <c r="G4158" s="23">
        <v>2018.0</v>
      </c>
      <c r="H4158" s="22" t="s">
        <v>19765</v>
      </c>
      <c r="I4158" s="24" t="s">
        <v>19766</v>
      </c>
      <c r="J4158" s="22" t="s">
        <v>19767</v>
      </c>
      <c r="K4158" s="22"/>
      <c r="L4158" s="36">
        <v>808.0</v>
      </c>
      <c r="M4158" s="36"/>
      <c r="N4158" s="36" t="s">
        <v>1400</v>
      </c>
      <c r="O4158" s="36"/>
      <c r="P4158" s="37" t="s">
        <v>1028</v>
      </c>
      <c r="Q4158" s="37" t="s">
        <v>280</v>
      </c>
      <c r="R4158" s="36">
        <v>16.0</v>
      </c>
      <c r="S4158" s="36"/>
      <c r="T4158" s="42" t="s">
        <v>19768</v>
      </c>
      <c r="U4158" s="38" t="str">
        <f>HYPERLINK("https://www.ncbi.nlm.nih.gov/pubmed/30079637","PubMed")</f>
        <v>PubMed</v>
      </c>
      <c r="V4158" s="30"/>
      <c r="W4158" s="49"/>
      <c r="X4158" s="49"/>
      <c r="Y4158" s="35"/>
      <c r="Z4158" s="35"/>
      <c r="AA4158" s="35"/>
      <c r="AB4158" s="35"/>
      <c r="AC4158" s="35"/>
      <c r="AD4158" s="35"/>
      <c r="AE4158" s="35"/>
      <c r="AF4158" s="35"/>
      <c r="AG4158" s="35"/>
      <c r="AH4158" s="35"/>
      <c r="AI4158" s="35"/>
      <c r="AJ4158" s="35"/>
      <c r="AK4158" s="35"/>
      <c r="AL4158" s="35"/>
    </row>
    <row r="4159">
      <c r="A4159" s="1"/>
      <c r="B4159" s="19" t="s">
        <v>19332</v>
      </c>
      <c r="C4159" s="20" t="s">
        <v>19714</v>
      </c>
      <c r="D4159" s="47"/>
      <c r="E4159" s="22" t="s">
        <v>19769</v>
      </c>
      <c r="F4159" s="22" t="s">
        <v>41</v>
      </c>
      <c r="G4159" s="23">
        <v>2017.0</v>
      </c>
      <c r="H4159" s="22" t="s">
        <v>658</v>
      </c>
      <c r="I4159" s="24" t="s">
        <v>19770</v>
      </c>
      <c r="J4159" s="22" t="s">
        <v>19771</v>
      </c>
      <c r="K4159" s="22"/>
      <c r="L4159" s="36">
        <v>780.0</v>
      </c>
      <c r="M4159" s="36">
        <v>40.0</v>
      </c>
      <c r="N4159" s="36"/>
      <c r="O4159" s="36" t="s">
        <v>19772</v>
      </c>
      <c r="P4159" s="37" t="s">
        <v>95</v>
      </c>
      <c r="Q4159" s="36"/>
      <c r="R4159" s="36"/>
      <c r="S4159" s="36"/>
      <c r="T4159" s="41" t="s">
        <v>19773</v>
      </c>
      <c r="U4159" s="38" t="str">
        <f>HYPERLINK("https://www.ncbi.nlm.nih.gov/pubmed/28783465","PubMed")</f>
        <v>PubMed</v>
      </c>
      <c r="V4159" s="50"/>
      <c r="W4159" s="49"/>
      <c r="X4159" s="49"/>
      <c r="Y4159" s="35"/>
      <c r="Z4159" s="35"/>
      <c r="AA4159" s="35"/>
      <c r="AB4159" s="35"/>
      <c r="AC4159" s="35"/>
      <c r="AD4159" s="35"/>
      <c r="AE4159" s="35"/>
      <c r="AF4159" s="35"/>
      <c r="AG4159" s="35"/>
      <c r="AH4159" s="35"/>
      <c r="AI4159" s="35"/>
      <c r="AJ4159" s="35"/>
      <c r="AK4159" s="35"/>
      <c r="AL4159" s="35"/>
    </row>
    <row r="4160">
      <c r="A4160" s="40"/>
      <c r="B4160" s="19" t="s">
        <v>19332</v>
      </c>
      <c r="C4160" s="20" t="s">
        <v>19714</v>
      </c>
      <c r="D4160" s="47"/>
      <c r="E4160" s="22" t="s">
        <v>19749</v>
      </c>
      <c r="F4160" s="22" t="s">
        <v>765</v>
      </c>
      <c r="G4160" s="23">
        <v>2017.0</v>
      </c>
      <c r="H4160" s="22" t="s">
        <v>477</v>
      </c>
      <c r="I4160" s="24" t="s">
        <v>19750</v>
      </c>
      <c r="J4160" s="22" t="s">
        <v>649</v>
      </c>
      <c r="K4160" s="22"/>
      <c r="L4160" s="238" t="s">
        <v>19774</v>
      </c>
      <c r="M4160" s="44"/>
      <c r="N4160" s="44"/>
      <c r="O4160" s="44"/>
      <c r="P4160" s="44"/>
      <c r="Q4160" s="44"/>
      <c r="R4160" s="44"/>
      <c r="S4160" s="44"/>
      <c r="T4160" s="45"/>
      <c r="U4160" s="38" t="str">
        <f>HYPERLINK("https://www.ncbi.nlm.nih.gov/pubmed/29230545","PubMed")</f>
        <v>PubMed</v>
      </c>
      <c r="V4160" s="30"/>
      <c r="W4160" s="49"/>
      <c r="X4160" s="49"/>
      <c r="Y4160" s="35"/>
      <c r="Z4160" s="35"/>
      <c r="AA4160" s="35"/>
      <c r="AB4160" s="35"/>
      <c r="AC4160" s="35"/>
      <c r="AD4160" s="35"/>
      <c r="AE4160" s="35"/>
      <c r="AF4160" s="35"/>
      <c r="AG4160" s="35"/>
      <c r="AH4160" s="35"/>
      <c r="AI4160" s="35"/>
      <c r="AJ4160" s="35"/>
      <c r="AK4160" s="35"/>
      <c r="AL4160" s="35"/>
    </row>
    <row r="4161">
      <c r="A4161" s="40"/>
      <c r="B4161" s="19" t="s">
        <v>19332</v>
      </c>
      <c r="C4161" s="20" t="s">
        <v>19714</v>
      </c>
      <c r="D4161" s="47"/>
      <c r="E4161" s="22" t="s">
        <v>19775</v>
      </c>
      <c r="F4161" s="22" t="s">
        <v>11529</v>
      </c>
      <c r="G4161" s="23">
        <v>2016.0</v>
      </c>
      <c r="H4161" s="22" t="s">
        <v>91</v>
      </c>
      <c r="I4161" s="24" t="s">
        <v>19776</v>
      </c>
      <c r="J4161" s="22" t="s">
        <v>19777</v>
      </c>
      <c r="K4161" s="22" t="s">
        <v>19778</v>
      </c>
      <c r="L4161" s="36" t="s">
        <v>2217</v>
      </c>
      <c r="M4161" s="36">
        <v>200.0</v>
      </c>
      <c r="N4161" s="36"/>
      <c r="O4161" s="36"/>
      <c r="P4161" s="37" t="s">
        <v>2848</v>
      </c>
      <c r="Q4161" s="36"/>
      <c r="R4161" s="36">
        <v>15.0</v>
      </c>
      <c r="S4161" s="36">
        <v>2.0</v>
      </c>
      <c r="T4161" s="28" t="s">
        <v>19779</v>
      </c>
      <c r="U4161" s="38" t="str">
        <f>HYPERLINK("https://www.ncbi.nlm.nih.gov/pubmed/26964798","PubMed")</f>
        <v>PubMed</v>
      </c>
      <c r="V4161" s="30"/>
      <c r="W4161" s="49"/>
      <c r="X4161" s="49"/>
      <c r="Y4161" s="35"/>
      <c r="Z4161" s="35"/>
      <c r="AA4161" s="35"/>
      <c r="AB4161" s="35"/>
      <c r="AC4161" s="35"/>
      <c r="AD4161" s="35"/>
      <c r="AE4161" s="35"/>
      <c r="AF4161" s="35"/>
      <c r="AG4161" s="35"/>
      <c r="AH4161" s="35"/>
      <c r="AI4161" s="35"/>
      <c r="AJ4161" s="35"/>
      <c r="AK4161" s="35"/>
      <c r="AL4161" s="35"/>
    </row>
    <row r="4162">
      <c r="A4162" s="40"/>
      <c r="B4162" s="19" t="s">
        <v>19332</v>
      </c>
      <c r="C4162" s="20" t="s">
        <v>19714</v>
      </c>
      <c r="D4162" s="47"/>
      <c r="E4162" s="22" t="s">
        <v>19780</v>
      </c>
      <c r="F4162" s="22" t="s">
        <v>3351</v>
      </c>
      <c r="G4162" s="23">
        <v>2014.0</v>
      </c>
      <c r="H4162" s="22" t="s">
        <v>658</v>
      </c>
      <c r="I4162" s="24" t="s">
        <v>19781</v>
      </c>
      <c r="J4162" s="22" t="s">
        <v>19782</v>
      </c>
      <c r="K4162" s="22"/>
      <c r="L4162" s="52" t="s">
        <v>19783</v>
      </c>
      <c r="M4162" s="52"/>
      <c r="N4162" s="52" t="s">
        <v>2165</v>
      </c>
      <c r="O4162" s="52"/>
      <c r="P4162" s="189"/>
      <c r="Q4162" s="52"/>
      <c r="R4162" s="52"/>
      <c r="S4162" s="52"/>
      <c r="T4162" s="41" t="s">
        <v>19784</v>
      </c>
      <c r="U4162" s="38" t="str">
        <f>HYPERLINK("https://www.ncbi.nlm.nih.gov/pubmed/24992277","PubMed")</f>
        <v>PubMed</v>
      </c>
      <c r="V4162" s="30"/>
      <c r="W4162" s="49"/>
      <c r="X4162" s="49"/>
      <c r="Y4162" s="35"/>
      <c r="Z4162" s="35"/>
      <c r="AA4162" s="35"/>
      <c r="AB4162" s="35"/>
      <c r="AC4162" s="35"/>
      <c r="AD4162" s="35"/>
      <c r="AE4162" s="35"/>
      <c r="AF4162" s="35"/>
      <c r="AG4162" s="35"/>
      <c r="AH4162" s="35"/>
      <c r="AI4162" s="35"/>
      <c r="AJ4162" s="35"/>
      <c r="AK4162" s="35"/>
      <c r="AL4162" s="35"/>
    </row>
    <row r="4163">
      <c r="A4163" s="40"/>
      <c r="B4163" s="19" t="s">
        <v>19332</v>
      </c>
      <c r="C4163" s="20" t="s">
        <v>19714</v>
      </c>
      <c r="D4163" s="47"/>
      <c r="E4163" s="22" t="s">
        <v>14885</v>
      </c>
      <c r="F4163" s="22" t="s">
        <v>1102</v>
      </c>
      <c r="G4163" s="23">
        <v>2014.0</v>
      </c>
      <c r="H4163" s="22" t="s">
        <v>4975</v>
      </c>
      <c r="I4163" s="24" t="s">
        <v>19785</v>
      </c>
      <c r="J4163" s="22" t="s">
        <v>31</v>
      </c>
      <c r="K4163" s="22"/>
      <c r="L4163" s="52">
        <v>780.0</v>
      </c>
      <c r="M4163" s="52">
        <v>25.0</v>
      </c>
      <c r="N4163" s="52"/>
      <c r="O4163" s="52"/>
      <c r="P4163" s="189" t="s">
        <v>19786</v>
      </c>
      <c r="Q4163" s="52" t="s">
        <v>6761</v>
      </c>
      <c r="R4163" s="52"/>
      <c r="S4163" s="52">
        <v>1.0</v>
      </c>
      <c r="T4163" s="41" t="s">
        <v>19787</v>
      </c>
      <c r="U4163" s="38" t="str">
        <f>HYPERLINK("https://www.ncbi.nlm.nih.gov/pubmed/23931553","PubMed")</f>
        <v>PubMed</v>
      </c>
      <c r="V4163" s="30"/>
      <c r="W4163" s="49"/>
      <c r="X4163" s="49"/>
      <c r="Y4163" s="35"/>
      <c r="Z4163" s="35"/>
      <c r="AA4163" s="35"/>
      <c r="AB4163" s="35"/>
      <c r="AC4163" s="35"/>
      <c r="AD4163" s="35"/>
      <c r="AE4163" s="35"/>
      <c r="AF4163" s="35"/>
      <c r="AG4163" s="35"/>
      <c r="AH4163" s="35"/>
      <c r="AI4163" s="35"/>
      <c r="AJ4163" s="35"/>
      <c r="AK4163" s="35"/>
      <c r="AL4163" s="35"/>
    </row>
    <row r="4164">
      <c r="A4164" s="40"/>
      <c r="B4164" s="19" t="s">
        <v>19332</v>
      </c>
      <c r="C4164" s="20" t="s">
        <v>19714</v>
      </c>
      <c r="D4164" s="47"/>
      <c r="E4164" s="22" t="s">
        <v>19788</v>
      </c>
      <c r="F4164" s="22" t="s">
        <v>400</v>
      </c>
      <c r="G4164" s="23">
        <v>2013.0</v>
      </c>
      <c r="H4164" s="22" t="s">
        <v>9550</v>
      </c>
      <c r="I4164" s="24" t="s">
        <v>19789</v>
      </c>
      <c r="J4164" s="22" t="s">
        <v>19790</v>
      </c>
      <c r="K4164" s="22" t="s">
        <v>19791</v>
      </c>
      <c r="L4164" s="52"/>
      <c r="M4164" s="52"/>
      <c r="N4164" s="52"/>
      <c r="O4164" s="52"/>
      <c r="P4164" s="189"/>
      <c r="Q4164" s="52"/>
      <c r="R4164" s="52"/>
      <c r="S4164" s="52"/>
      <c r="T4164" s="41" t="s">
        <v>19792</v>
      </c>
      <c r="U4164" s="38" t="str">
        <f>HYPERLINK("http://iopscience.iop.org/article/10.1088/1612-2011/10/8/085601/meta","IOP")</f>
        <v>IOP</v>
      </c>
      <c r="V4164" s="30"/>
      <c r="W4164" s="49"/>
      <c r="X4164" s="49"/>
      <c r="Y4164" s="35"/>
      <c r="Z4164" s="35"/>
      <c r="AA4164" s="35"/>
      <c r="AB4164" s="35"/>
      <c r="AC4164" s="35"/>
      <c r="AD4164" s="35"/>
      <c r="AE4164" s="35"/>
      <c r="AF4164" s="35"/>
      <c r="AG4164" s="35"/>
      <c r="AH4164" s="35"/>
      <c r="AI4164" s="35"/>
      <c r="AJ4164" s="35"/>
      <c r="AK4164" s="35"/>
      <c r="AL4164" s="35"/>
    </row>
    <row r="4165">
      <c r="A4165" s="40"/>
      <c r="B4165" s="19" t="s">
        <v>19332</v>
      </c>
      <c r="C4165" s="20" t="s">
        <v>19793</v>
      </c>
      <c r="D4165" s="47"/>
      <c r="E4165" s="22" t="s">
        <v>12701</v>
      </c>
      <c r="F4165" s="22" t="s">
        <v>7945</v>
      </c>
      <c r="G4165" s="23">
        <v>2021.0</v>
      </c>
      <c r="H4165" s="22" t="s">
        <v>147</v>
      </c>
      <c r="I4165" s="24" t="s">
        <v>19794</v>
      </c>
      <c r="J4165" s="22" t="s">
        <v>125</v>
      </c>
      <c r="K4165" s="22"/>
      <c r="L4165" s="202" t="s">
        <v>19795</v>
      </c>
      <c r="U4165" s="29" t="s">
        <v>61</v>
      </c>
      <c r="V4165" s="30"/>
      <c r="W4165" s="49"/>
      <c r="X4165" s="49"/>
      <c r="Y4165" s="35"/>
      <c r="Z4165" s="35"/>
      <c r="AA4165" s="35"/>
      <c r="AB4165" s="35"/>
      <c r="AC4165" s="35"/>
      <c r="AD4165" s="35"/>
      <c r="AE4165" s="35"/>
      <c r="AF4165" s="35"/>
      <c r="AG4165" s="35"/>
      <c r="AH4165" s="35"/>
      <c r="AI4165" s="35"/>
      <c r="AJ4165" s="35"/>
      <c r="AK4165" s="35"/>
      <c r="AL4165" s="35"/>
    </row>
    <row r="4166">
      <c r="A4166" s="40"/>
      <c r="B4166" s="19" t="s">
        <v>19332</v>
      </c>
      <c r="C4166" s="20" t="s">
        <v>19796</v>
      </c>
      <c r="D4166" s="47"/>
      <c r="E4166" s="22" t="s">
        <v>10326</v>
      </c>
      <c r="F4166" s="22" t="s">
        <v>206</v>
      </c>
      <c r="G4166" s="23">
        <v>2023.0</v>
      </c>
      <c r="H4166" s="22" t="s">
        <v>91</v>
      </c>
      <c r="I4166" s="24" t="s">
        <v>19797</v>
      </c>
      <c r="J4166" s="22" t="s">
        <v>125</v>
      </c>
      <c r="K4166" s="22"/>
      <c r="L4166" s="173" t="s">
        <v>19798</v>
      </c>
      <c r="U4166" s="38" t="s">
        <v>61</v>
      </c>
      <c r="V4166" s="30"/>
      <c r="W4166" s="49"/>
      <c r="X4166" s="49"/>
      <c r="Y4166" s="35"/>
      <c r="Z4166" s="35"/>
      <c r="AA4166" s="35"/>
      <c r="AB4166" s="35"/>
      <c r="AC4166" s="35"/>
      <c r="AD4166" s="35"/>
      <c r="AE4166" s="35"/>
      <c r="AF4166" s="35"/>
      <c r="AG4166" s="35"/>
      <c r="AH4166" s="35"/>
      <c r="AI4166" s="35"/>
      <c r="AJ4166" s="35"/>
      <c r="AK4166" s="35"/>
      <c r="AL4166" s="35"/>
    </row>
    <row r="4167" ht="52.5" customHeight="1">
      <c r="A4167" s="89"/>
      <c r="B4167" s="19" t="s">
        <v>19332</v>
      </c>
      <c r="C4167" s="20" t="s">
        <v>19799</v>
      </c>
      <c r="D4167" s="47"/>
      <c r="E4167" s="56" t="s">
        <v>1059</v>
      </c>
      <c r="F4167" s="22" t="s">
        <v>870</v>
      </c>
      <c r="G4167" s="57">
        <v>2022.0</v>
      </c>
      <c r="H4167" s="56" t="s">
        <v>77</v>
      </c>
      <c r="I4167" s="58" t="s">
        <v>19800</v>
      </c>
      <c r="J4167" s="56" t="s">
        <v>649</v>
      </c>
      <c r="K4167" s="56"/>
      <c r="L4167" s="132" t="s">
        <v>19801</v>
      </c>
      <c r="U4167" s="29" t="s">
        <v>61</v>
      </c>
      <c r="V4167" s="30"/>
      <c r="W4167" s="49"/>
      <c r="X4167" s="49"/>
      <c r="Y4167" s="35"/>
      <c r="Z4167" s="35"/>
      <c r="AA4167" s="35"/>
      <c r="AB4167" s="35"/>
      <c r="AC4167" s="35"/>
      <c r="AD4167" s="35"/>
      <c r="AE4167" s="35"/>
      <c r="AF4167" s="35"/>
      <c r="AG4167" s="35"/>
      <c r="AH4167" s="35"/>
      <c r="AI4167" s="35"/>
      <c r="AJ4167" s="35"/>
      <c r="AK4167" s="35"/>
      <c r="AL4167" s="35"/>
    </row>
    <row r="4168">
      <c r="A4168" s="1"/>
      <c r="B4168" s="19" t="s">
        <v>19332</v>
      </c>
      <c r="C4168" s="20" t="s">
        <v>19799</v>
      </c>
      <c r="D4168" s="47"/>
      <c r="E4168" s="22" t="s">
        <v>550</v>
      </c>
      <c r="F4168" s="22" t="s">
        <v>765</v>
      </c>
      <c r="G4168" s="23">
        <v>2017.0</v>
      </c>
      <c r="H4168" s="22" t="s">
        <v>207</v>
      </c>
      <c r="I4168" s="24" t="s">
        <v>19802</v>
      </c>
      <c r="J4168" s="22" t="s">
        <v>649</v>
      </c>
      <c r="K4168" s="22"/>
      <c r="L4168" s="132" t="s">
        <v>19803</v>
      </c>
      <c r="U4168" s="38" t="str">
        <f>HYPERLINK("http://www.sciencedirect.com/science/article/pii/S101113441630793X","PubMed")</f>
        <v>PubMed</v>
      </c>
      <c r="V4168" s="30"/>
      <c r="W4168" s="49"/>
      <c r="X4168" s="49"/>
      <c r="Y4168" s="35"/>
      <c r="Z4168" s="35"/>
      <c r="AA4168" s="35"/>
      <c r="AB4168" s="35"/>
      <c r="AC4168" s="35"/>
      <c r="AD4168" s="35"/>
      <c r="AE4168" s="35"/>
      <c r="AF4168" s="35"/>
      <c r="AG4168" s="35"/>
      <c r="AH4168" s="35"/>
      <c r="AI4168" s="35"/>
      <c r="AJ4168" s="35"/>
      <c r="AK4168" s="35"/>
      <c r="AL4168" s="35"/>
    </row>
    <row r="4169" ht="52.5" customHeight="1">
      <c r="A4169" s="89"/>
      <c r="B4169" s="19" t="s">
        <v>19332</v>
      </c>
      <c r="C4169" s="20" t="s">
        <v>19799</v>
      </c>
      <c r="D4169" s="47"/>
      <c r="E4169" s="56" t="s">
        <v>19804</v>
      </c>
      <c r="F4169" s="22" t="s">
        <v>560</v>
      </c>
      <c r="G4169" s="57">
        <v>2015.0</v>
      </c>
      <c r="H4169" s="56" t="s">
        <v>561</v>
      </c>
      <c r="I4169" s="58" t="s">
        <v>19805</v>
      </c>
      <c r="J4169" s="56" t="s">
        <v>19806</v>
      </c>
      <c r="K4169" s="56"/>
      <c r="L4169" s="67">
        <v>830.0</v>
      </c>
      <c r="M4169" s="67">
        <v>40.0</v>
      </c>
      <c r="N4169" s="67"/>
      <c r="O4169" s="78"/>
      <c r="P4169" s="68" t="s">
        <v>19807</v>
      </c>
      <c r="Q4169" s="52"/>
      <c r="R4169" s="200"/>
      <c r="S4169" s="52" t="s">
        <v>19808</v>
      </c>
      <c r="T4169" s="28" t="s">
        <v>19809</v>
      </c>
      <c r="U4169" s="38" t="str">
        <f>HYPERLINK("https://www.ncbi.nlm.nih.gov/pubmed/26468834","PubMed")</f>
        <v>PubMed</v>
      </c>
      <c r="V4169" s="30"/>
      <c r="W4169" s="49"/>
      <c r="X4169" s="49"/>
      <c r="Y4169" s="35"/>
      <c r="Z4169" s="35"/>
      <c r="AA4169" s="35"/>
      <c r="AB4169" s="35"/>
      <c r="AC4169" s="35"/>
      <c r="AD4169" s="35"/>
      <c r="AE4169" s="35"/>
      <c r="AF4169" s="35"/>
      <c r="AG4169" s="35"/>
      <c r="AH4169" s="35"/>
      <c r="AI4169" s="35"/>
      <c r="AJ4169" s="35"/>
      <c r="AK4169" s="35"/>
      <c r="AL4169" s="35"/>
    </row>
    <row r="4170" ht="52.5" customHeight="1">
      <c r="A4170" s="89"/>
      <c r="B4170" s="19" t="s">
        <v>19332</v>
      </c>
      <c r="C4170" s="20" t="s">
        <v>19799</v>
      </c>
      <c r="D4170" s="47"/>
      <c r="E4170" s="56" t="s">
        <v>19810</v>
      </c>
      <c r="F4170" s="22" t="s">
        <v>8008</v>
      </c>
      <c r="G4170" s="57">
        <v>2015.0</v>
      </c>
      <c r="H4170" s="56" t="s">
        <v>284</v>
      </c>
      <c r="I4170" s="58" t="s">
        <v>19811</v>
      </c>
      <c r="J4170" s="56" t="s">
        <v>19812</v>
      </c>
      <c r="K4170" s="56"/>
      <c r="L4170" s="67">
        <v>905.0</v>
      </c>
      <c r="M4170" s="67">
        <v>500.0</v>
      </c>
      <c r="N4170" s="67"/>
      <c r="O4170" s="78"/>
      <c r="P4170" s="68"/>
      <c r="Q4170" s="52"/>
      <c r="R4170" s="52">
        <v>120.0</v>
      </c>
      <c r="S4170" s="52" t="s">
        <v>19813</v>
      </c>
      <c r="T4170" s="28" t="s">
        <v>19814</v>
      </c>
      <c r="U4170" s="38" t="s">
        <v>61</v>
      </c>
      <c r="V4170" s="30"/>
      <c r="W4170" s="49"/>
      <c r="X4170" s="49"/>
      <c r="Y4170" s="35"/>
      <c r="Z4170" s="35"/>
      <c r="AA4170" s="35"/>
      <c r="AB4170" s="35"/>
      <c r="AC4170" s="35"/>
      <c r="AD4170" s="35"/>
      <c r="AE4170" s="35"/>
      <c r="AF4170" s="35"/>
      <c r="AG4170" s="35"/>
      <c r="AH4170" s="35"/>
      <c r="AI4170" s="35"/>
      <c r="AJ4170" s="35"/>
      <c r="AK4170" s="35"/>
      <c r="AL4170" s="35"/>
    </row>
    <row r="4171" ht="52.5" customHeight="1">
      <c r="A4171" s="89"/>
      <c r="B4171" s="19" t="s">
        <v>19332</v>
      </c>
      <c r="C4171" s="20" t="s">
        <v>19799</v>
      </c>
      <c r="D4171" s="47"/>
      <c r="E4171" s="56" t="s">
        <v>19815</v>
      </c>
      <c r="F4171" s="22" t="s">
        <v>323</v>
      </c>
      <c r="G4171" s="57">
        <v>2014.0</v>
      </c>
      <c r="H4171" s="56" t="s">
        <v>658</v>
      </c>
      <c r="I4171" s="58" t="s">
        <v>19816</v>
      </c>
      <c r="J4171" s="56" t="s">
        <v>253</v>
      </c>
      <c r="K4171" s="56"/>
      <c r="L4171" s="69">
        <v>810.0</v>
      </c>
      <c r="M4171" s="69">
        <v>200.0</v>
      </c>
      <c r="N4171" s="69" t="s">
        <v>17125</v>
      </c>
      <c r="O4171" s="72">
        <v>42491.0</v>
      </c>
      <c r="P4171" s="70" t="s">
        <v>969</v>
      </c>
      <c r="Q4171" s="36" t="s">
        <v>19817</v>
      </c>
      <c r="R4171" s="129">
        <v>42497.0</v>
      </c>
      <c r="S4171" s="36">
        <v>7.0</v>
      </c>
      <c r="T4171" s="28" t="s">
        <v>19818</v>
      </c>
      <c r="U4171" s="38" t="str">
        <f>HYPERLINK("https://www.ncbi.nlm.nih.gov/pubmed/24905927","PubMed")</f>
        <v>PubMed</v>
      </c>
      <c r="V4171" s="30"/>
      <c r="W4171" s="49"/>
      <c r="X4171" s="49"/>
      <c r="Y4171" s="35"/>
      <c r="Z4171" s="35"/>
      <c r="AA4171" s="35"/>
      <c r="AB4171" s="35"/>
      <c r="AC4171" s="35"/>
      <c r="AD4171" s="35"/>
      <c r="AE4171" s="35"/>
      <c r="AF4171" s="35"/>
      <c r="AG4171" s="35"/>
      <c r="AH4171" s="35"/>
      <c r="AI4171" s="35"/>
      <c r="AJ4171" s="35"/>
      <c r="AK4171" s="35"/>
      <c r="AL4171" s="35"/>
    </row>
    <row r="4172">
      <c r="A4172" s="1"/>
      <c r="B4172" s="19" t="s">
        <v>19332</v>
      </c>
      <c r="C4172" s="20" t="s">
        <v>19799</v>
      </c>
      <c r="D4172" s="47"/>
      <c r="E4172" s="22" t="s">
        <v>1507</v>
      </c>
      <c r="F4172" s="22" t="s">
        <v>206</v>
      </c>
      <c r="G4172" s="23">
        <v>2014.0</v>
      </c>
      <c r="H4172" s="22" t="s">
        <v>19819</v>
      </c>
      <c r="I4172" s="24" t="s">
        <v>19820</v>
      </c>
      <c r="J4172" s="22" t="s">
        <v>55</v>
      </c>
      <c r="K4172" s="22" t="s">
        <v>19821</v>
      </c>
      <c r="L4172" s="36" t="s">
        <v>19822</v>
      </c>
      <c r="M4172" s="36"/>
      <c r="N4172" s="36"/>
      <c r="O4172" s="36"/>
      <c r="P4172" s="37" t="s">
        <v>2907</v>
      </c>
      <c r="Q4172" s="36"/>
      <c r="R4172" s="36"/>
      <c r="S4172" s="36"/>
      <c r="T4172" s="28" t="s">
        <v>19823</v>
      </c>
      <c r="U4172" s="38" t="str">
        <f>HYPERLINK("https://www.ncbi.nlm.nih.gov/pubmed/25139309","PubMed")</f>
        <v>PubMed</v>
      </c>
      <c r="V4172" s="30"/>
      <c r="W4172" s="49"/>
      <c r="X4172" s="49"/>
      <c r="Y4172" s="35"/>
      <c r="Z4172" s="35"/>
      <c r="AA4172" s="35"/>
      <c r="AB4172" s="35"/>
      <c r="AC4172" s="35"/>
      <c r="AD4172" s="35"/>
      <c r="AE4172" s="35"/>
      <c r="AF4172" s="35"/>
      <c r="AG4172" s="35"/>
      <c r="AH4172" s="35"/>
      <c r="AI4172" s="35"/>
      <c r="AJ4172" s="35"/>
      <c r="AK4172" s="35"/>
      <c r="AL4172" s="35"/>
    </row>
    <row r="4173">
      <c r="A4173" s="1"/>
      <c r="B4173" s="19" t="s">
        <v>19332</v>
      </c>
      <c r="C4173" s="20" t="s">
        <v>19799</v>
      </c>
      <c r="D4173" s="47"/>
      <c r="E4173" s="22" t="s">
        <v>796</v>
      </c>
      <c r="F4173" s="22" t="s">
        <v>797</v>
      </c>
      <c r="G4173" s="23">
        <v>2014.0</v>
      </c>
      <c r="H4173" s="56" t="s">
        <v>658</v>
      </c>
      <c r="I4173" s="24" t="s">
        <v>19824</v>
      </c>
      <c r="J4173" s="22" t="s">
        <v>522</v>
      </c>
      <c r="K4173" s="22"/>
      <c r="L4173" s="36">
        <v>830.0</v>
      </c>
      <c r="M4173" s="36">
        <v>35.0</v>
      </c>
      <c r="N4173" s="36"/>
      <c r="O4173" s="36"/>
      <c r="P4173" s="37"/>
      <c r="Q4173" s="36"/>
      <c r="R4173" s="36"/>
      <c r="S4173" s="36"/>
      <c r="T4173" s="42" t="s">
        <v>19825</v>
      </c>
      <c r="U4173" s="38" t="str">
        <f>HYPERLINK("https://www.ncbi.nlm.nih.gov/pubmed/25054426","PubMed")</f>
        <v>PubMed</v>
      </c>
      <c r="V4173" s="30"/>
      <c r="W4173" s="49"/>
      <c r="X4173" s="49"/>
      <c r="Y4173" s="35"/>
      <c r="Z4173" s="35"/>
      <c r="AA4173" s="35"/>
      <c r="AB4173" s="35"/>
      <c r="AC4173" s="35"/>
      <c r="AD4173" s="35"/>
      <c r="AE4173" s="35"/>
      <c r="AF4173" s="35"/>
      <c r="AG4173" s="35"/>
      <c r="AH4173" s="35"/>
      <c r="AI4173" s="35"/>
      <c r="AJ4173" s="35"/>
      <c r="AK4173" s="35"/>
      <c r="AL4173" s="35"/>
    </row>
    <row r="4174">
      <c r="A4174" s="1"/>
      <c r="B4174" s="19" t="s">
        <v>19332</v>
      </c>
      <c r="C4174" s="20" t="s">
        <v>19799</v>
      </c>
      <c r="D4174" s="47"/>
      <c r="E4174" s="22" t="s">
        <v>19826</v>
      </c>
      <c r="F4174" s="22" t="s">
        <v>993</v>
      </c>
      <c r="G4174" s="23">
        <v>2013.0</v>
      </c>
      <c r="H4174" s="22" t="s">
        <v>798</v>
      </c>
      <c r="I4174" s="24" t="s">
        <v>19827</v>
      </c>
      <c r="J4174" s="22" t="s">
        <v>253</v>
      </c>
      <c r="K4174" s="22" t="s">
        <v>2158</v>
      </c>
      <c r="L4174" s="36">
        <v>808.0</v>
      </c>
      <c r="M4174" s="36">
        <v>100.0</v>
      </c>
      <c r="N4174" s="36"/>
      <c r="O4174" s="36"/>
      <c r="P4174" s="37" t="s">
        <v>82</v>
      </c>
      <c r="Q4174" s="36"/>
      <c r="R4174" s="36"/>
      <c r="S4174" s="36"/>
      <c r="T4174" s="28" t="s">
        <v>19828</v>
      </c>
      <c r="U4174" s="38" t="str">
        <f>HYPERLINK("https://www.ncbi.nlm.nih.gov/pubmed/23351480","PubMed")</f>
        <v>PubMed</v>
      </c>
      <c r="V4174" s="30"/>
      <c r="W4174" s="49"/>
      <c r="X4174" s="49"/>
      <c r="Y4174" s="35"/>
      <c r="Z4174" s="35"/>
      <c r="AA4174" s="35"/>
      <c r="AB4174" s="35"/>
      <c r="AC4174" s="35"/>
      <c r="AD4174" s="35"/>
      <c r="AE4174" s="35"/>
      <c r="AF4174" s="35"/>
      <c r="AG4174" s="35"/>
      <c r="AH4174" s="35"/>
      <c r="AI4174" s="35"/>
      <c r="AJ4174" s="35"/>
      <c r="AK4174" s="35"/>
      <c r="AL4174" s="35"/>
    </row>
    <row r="4175">
      <c r="A4175" s="40" t="s">
        <v>181</v>
      </c>
      <c r="B4175" s="19" t="s">
        <v>19332</v>
      </c>
      <c r="C4175" s="20" t="s">
        <v>19799</v>
      </c>
      <c r="D4175" s="47"/>
      <c r="E4175" s="22" t="s">
        <v>19829</v>
      </c>
      <c r="F4175" s="22" t="s">
        <v>183</v>
      </c>
      <c r="G4175" s="23">
        <v>2007.0</v>
      </c>
      <c r="H4175" s="22" t="s">
        <v>309</v>
      </c>
      <c r="I4175" s="24" t="s">
        <v>19830</v>
      </c>
      <c r="J4175" s="22"/>
      <c r="K4175" s="22"/>
      <c r="L4175" s="36">
        <v>830.0</v>
      </c>
      <c r="M4175" s="36">
        <v>40.0</v>
      </c>
      <c r="N4175" s="36"/>
      <c r="O4175" s="36" t="s">
        <v>19831</v>
      </c>
      <c r="P4175" s="37" t="s">
        <v>19831</v>
      </c>
      <c r="Q4175" s="36"/>
      <c r="R4175" s="36"/>
      <c r="S4175" s="36">
        <v>5.0</v>
      </c>
      <c r="T4175" s="28" t="s">
        <v>19832</v>
      </c>
      <c r="U4175" s="38" t="str">
        <f>HYPERLINK("http://www.scielo.br/scielo.php?pid=S0102-86502007000200003&amp;script=sci_arttext","SciELO")</f>
        <v>SciELO</v>
      </c>
      <c r="V4175" s="30"/>
      <c r="W4175" s="49"/>
      <c r="X4175" s="49"/>
      <c r="Y4175" s="35"/>
      <c r="Z4175" s="35"/>
      <c r="AA4175" s="35"/>
      <c r="AB4175" s="35"/>
      <c r="AC4175" s="35"/>
      <c r="AD4175" s="35"/>
      <c r="AE4175" s="35"/>
      <c r="AF4175" s="35"/>
      <c r="AG4175" s="35"/>
      <c r="AH4175" s="35"/>
      <c r="AI4175" s="35"/>
      <c r="AJ4175" s="35"/>
      <c r="AK4175" s="35"/>
      <c r="AL4175" s="35"/>
    </row>
    <row r="4176">
      <c r="A4176" s="1"/>
      <c r="B4176" s="19" t="s">
        <v>19332</v>
      </c>
      <c r="C4176" s="20" t="s">
        <v>19833</v>
      </c>
      <c r="D4176" s="47"/>
      <c r="E4176" s="22" t="s">
        <v>19834</v>
      </c>
      <c r="F4176" s="22" t="s">
        <v>41</v>
      </c>
      <c r="G4176" s="23">
        <v>2017.0</v>
      </c>
      <c r="H4176" s="22" t="s">
        <v>17977</v>
      </c>
      <c r="I4176" s="24" t="s">
        <v>19835</v>
      </c>
      <c r="J4176" s="22" t="s">
        <v>2141</v>
      </c>
      <c r="K4176" s="22"/>
      <c r="L4176" s="168"/>
      <c r="M4176" s="168"/>
      <c r="N4176" s="168"/>
      <c r="O4176" s="168"/>
      <c r="P4176" s="339"/>
      <c r="Q4176" s="340"/>
      <c r="R4176" s="168"/>
      <c r="S4176" s="168"/>
      <c r="T4176" s="185"/>
      <c r="U4176" s="38" t="str">
        <f>HYPERLINK("https://www.ncbi.nlm.nih.gov/pubmed/28789647","PubMed")</f>
        <v>PubMed</v>
      </c>
      <c r="V4176" s="30"/>
      <c r="W4176" s="49"/>
      <c r="X4176" s="49"/>
      <c r="Y4176" s="35"/>
      <c r="Z4176" s="35"/>
      <c r="AA4176" s="35"/>
      <c r="AB4176" s="35"/>
      <c r="AC4176" s="35"/>
      <c r="AD4176" s="35"/>
      <c r="AE4176" s="35"/>
      <c r="AF4176" s="35"/>
      <c r="AG4176" s="35"/>
      <c r="AH4176" s="35"/>
      <c r="AI4176" s="35"/>
      <c r="AJ4176" s="35"/>
      <c r="AK4176" s="35"/>
      <c r="AL4176" s="35"/>
    </row>
    <row r="4177">
      <c r="A4177" s="1"/>
      <c r="B4177" s="19" t="s">
        <v>19332</v>
      </c>
      <c r="C4177" s="20" t="s">
        <v>19836</v>
      </c>
      <c r="D4177" s="47"/>
      <c r="E4177" s="22" t="s">
        <v>19837</v>
      </c>
      <c r="F4177" s="22" t="s">
        <v>41</v>
      </c>
      <c r="G4177" s="23">
        <v>2018.0</v>
      </c>
      <c r="H4177" s="22" t="s">
        <v>658</v>
      </c>
      <c r="I4177" s="24" t="s">
        <v>19838</v>
      </c>
      <c r="J4177" s="22" t="s">
        <v>19839</v>
      </c>
      <c r="K4177" s="22" t="s">
        <v>19840</v>
      </c>
      <c r="L4177" s="36" t="s">
        <v>19841</v>
      </c>
      <c r="M4177" s="36" t="s">
        <v>19842</v>
      </c>
      <c r="N4177" s="36" t="s">
        <v>19843</v>
      </c>
      <c r="O4177" s="36" t="s">
        <v>19844</v>
      </c>
      <c r="P4177" s="37" t="s">
        <v>19845</v>
      </c>
      <c r="Q4177" s="36" t="s">
        <v>3825</v>
      </c>
      <c r="R4177" s="36" t="s">
        <v>19846</v>
      </c>
      <c r="S4177" s="36" t="s">
        <v>6403</v>
      </c>
      <c r="T4177" s="28" t="s">
        <v>19847</v>
      </c>
      <c r="U4177" s="38" t="str">
        <f>HYPERLINK("https://www.ncbi.nlm.nih.gov/pubmed/29920150","PubMed")</f>
        <v>PubMed</v>
      </c>
      <c r="V4177" s="30"/>
      <c r="W4177" s="49"/>
      <c r="X4177" s="49"/>
      <c r="Y4177" s="35"/>
      <c r="Z4177" s="35"/>
      <c r="AA4177" s="35"/>
      <c r="AB4177" s="35"/>
      <c r="AC4177" s="35"/>
      <c r="AD4177" s="35"/>
      <c r="AE4177" s="35"/>
      <c r="AF4177" s="35"/>
      <c r="AG4177" s="35"/>
      <c r="AH4177" s="35"/>
      <c r="AI4177" s="35"/>
      <c r="AJ4177" s="35"/>
      <c r="AK4177" s="35"/>
      <c r="AL4177" s="35"/>
    </row>
    <row r="4178">
      <c r="A4178" s="205"/>
      <c r="B4178" s="19" t="s">
        <v>19332</v>
      </c>
      <c r="C4178" s="20" t="s">
        <v>19848</v>
      </c>
      <c r="D4178" s="47"/>
      <c r="E4178" s="22" t="s">
        <v>19849</v>
      </c>
      <c r="F4178" s="22" t="s">
        <v>19850</v>
      </c>
      <c r="G4178" s="23">
        <v>2024.0</v>
      </c>
      <c r="H4178" s="22" t="s">
        <v>191</v>
      </c>
      <c r="I4178" s="24" t="s">
        <v>19851</v>
      </c>
      <c r="J4178" s="22" t="s">
        <v>19852</v>
      </c>
      <c r="K4178" s="22" t="s">
        <v>19853</v>
      </c>
      <c r="L4178" s="52"/>
      <c r="M4178" s="52"/>
      <c r="N4178" s="52"/>
      <c r="O4178" s="52"/>
      <c r="P4178" s="189"/>
      <c r="Q4178" s="52"/>
      <c r="R4178" s="52"/>
      <c r="S4178" s="52" t="s">
        <v>8418</v>
      </c>
      <c r="T4178" s="28" t="s">
        <v>19854</v>
      </c>
      <c r="U4178" s="38" t="s">
        <v>61</v>
      </c>
      <c r="V4178" s="30" t="s">
        <v>19855</v>
      </c>
      <c r="W4178" s="49"/>
      <c r="X4178" s="49"/>
      <c r="Y4178" s="35"/>
      <c r="Z4178" s="35"/>
      <c r="AA4178" s="35"/>
      <c r="AB4178" s="35"/>
      <c r="AC4178" s="35"/>
      <c r="AD4178" s="35"/>
      <c r="AE4178" s="35"/>
      <c r="AF4178" s="35"/>
      <c r="AG4178" s="35"/>
      <c r="AH4178" s="35"/>
      <c r="AI4178" s="35"/>
      <c r="AJ4178" s="35"/>
      <c r="AK4178" s="35"/>
      <c r="AL4178" s="35"/>
    </row>
    <row r="4179">
      <c r="A4179" s="205"/>
      <c r="B4179" s="19" t="s">
        <v>19332</v>
      </c>
      <c r="C4179" s="20" t="s">
        <v>19848</v>
      </c>
      <c r="D4179" s="47"/>
      <c r="E4179" s="22" t="s">
        <v>19856</v>
      </c>
      <c r="F4179" s="22" t="s">
        <v>5312</v>
      </c>
      <c r="G4179" s="23">
        <v>2024.0</v>
      </c>
      <c r="H4179" s="22" t="s">
        <v>19235</v>
      </c>
      <c r="I4179" s="24" t="s">
        <v>19857</v>
      </c>
      <c r="J4179" s="22" t="s">
        <v>19858</v>
      </c>
      <c r="K4179" s="22"/>
      <c r="L4179" s="52"/>
      <c r="M4179" s="52"/>
      <c r="N4179" s="52"/>
      <c r="O4179" s="52"/>
      <c r="P4179" s="189"/>
      <c r="Q4179" s="52"/>
      <c r="R4179" s="52"/>
      <c r="S4179" s="52"/>
      <c r="T4179" s="28"/>
      <c r="U4179" s="38" t="s">
        <v>61</v>
      </c>
      <c r="V4179" s="30" t="s">
        <v>174</v>
      </c>
      <c r="W4179" s="49"/>
      <c r="X4179" s="49"/>
      <c r="Y4179" s="35"/>
      <c r="Z4179" s="35"/>
      <c r="AA4179" s="35"/>
      <c r="AB4179" s="35"/>
      <c r="AC4179" s="35"/>
      <c r="AD4179" s="35"/>
      <c r="AE4179" s="35"/>
      <c r="AF4179" s="35"/>
      <c r="AG4179" s="35"/>
      <c r="AH4179" s="35"/>
      <c r="AI4179" s="35"/>
      <c r="AJ4179" s="35"/>
      <c r="AK4179" s="35"/>
      <c r="AL4179" s="35"/>
    </row>
    <row r="4180">
      <c r="A4180" s="205"/>
      <c r="B4180" s="19" t="s">
        <v>19332</v>
      </c>
      <c r="C4180" s="20" t="s">
        <v>19848</v>
      </c>
      <c r="D4180" s="47"/>
      <c r="E4180" s="22" t="s">
        <v>19859</v>
      </c>
      <c r="F4180" s="22" t="s">
        <v>224</v>
      </c>
      <c r="G4180" s="23">
        <v>2024.0</v>
      </c>
      <c r="H4180" s="22" t="s">
        <v>19235</v>
      </c>
      <c r="I4180" s="24" t="s">
        <v>19857</v>
      </c>
      <c r="J4180" s="22" t="s">
        <v>19860</v>
      </c>
      <c r="K4180" s="22"/>
      <c r="L4180" s="52"/>
      <c r="M4180" s="52"/>
      <c r="N4180" s="52"/>
      <c r="O4180" s="52"/>
      <c r="P4180" s="189"/>
      <c r="Q4180" s="52"/>
      <c r="R4180" s="52"/>
      <c r="S4180" s="52"/>
      <c r="T4180" s="28"/>
      <c r="U4180" s="38" t="s">
        <v>61</v>
      </c>
      <c r="V4180" s="30" t="s">
        <v>174</v>
      </c>
      <c r="W4180" s="49"/>
      <c r="X4180" s="49"/>
      <c r="Y4180" s="35"/>
      <c r="Z4180" s="35"/>
      <c r="AA4180" s="35"/>
      <c r="AB4180" s="35"/>
      <c r="AC4180" s="35"/>
      <c r="AD4180" s="35"/>
      <c r="AE4180" s="35"/>
      <c r="AF4180" s="35"/>
      <c r="AG4180" s="35"/>
      <c r="AH4180" s="35"/>
      <c r="AI4180" s="35"/>
      <c r="AJ4180" s="35"/>
      <c r="AK4180" s="35"/>
      <c r="AL4180" s="35"/>
    </row>
    <row r="4181">
      <c r="A4181" s="205"/>
      <c r="B4181" s="19" t="s">
        <v>19332</v>
      </c>
      <c r="C4181" s="20" t="s">
        <v>19848</v>
      </c>
      <c r="D4181" s="47"/>
      <c r="E4181" s="22" t="s">
        <v>19856</v>
      </c>
      <c r="F4181" s="22" t="s">
        <v>5312</v>
      </c>
      <c r="G4181" s="23">
        <v>2024.0</v>
      </c>
      <c r="H4181" s="22" t="s">
        <v>19235</v>
      </c>
      <c r="I4181" s="24" t="s">
        <v>19861</v>
      </c>
      <c r="J4181" s="22" t="s">
        <v>19862</v>
      </c>
      <c r="K4181" s="22"/>
      <c r="L4181" s="52">
        <v>940.0</v>
      </c>
      <c r="M4181" s="52"/>
      <c r="N4181" s="52"/>
      <c r="O4181" s="52"/>
      <c r="P4181" s="189"/>
      <c r="Q4181" s="52"/>
      <c r="R4181" s="52"/>
      <c r="S4181" s="52"/>
      <c r="T4181" s="28" t="s">
        <v>19863</v>
      </c>
      <c r="U4181" s="38" t="s">
        <v>61</v>
      </c>
      <c r="V4181" s="30" t="s">
        <v>174</v>
      </c>
      <c r="W4181" s="49"/>
      <c r="X4181" s="49"/>
      <c r="Y4181" s="35"/>
      <c r="Z4181" s="35"/>
      <c r="AA4181" s="35"/>
      <c r="AB4181" s="35"/>
      <c r="AC4181" s="35"/>
      <c r="AD4181" s="35"/>
      <c r="AE4181" s="35"/>
      <c r="AF4181" s="35"/>
      <c r="AG4181" s="35"/>
      <c r="AH4181" s="35"/>
      <c r="AI4181" s="35"/>
      <c r="AJ4181" s="35"/>
      <c r="AK4181" s="35"/>
      <c r="AL4181" s="35"/>
    </row>
    <row r="4182">
      <c r="A4182" s="205"/>
      <c r="B4182" s="19" t="s">
        <v>19332</v>
      </c>
      <c r="C4182" s="20" t="s">
        <v>19848</v>
      </c>
      <c r="D4182" s="47"/>
      <c r="E4182" s="22" t="s">
        <v>19864</v>
      </c>
      <c r="F4182" s="22" t="s">
        <v>41</v>
      </c>
      <c r="G4182" s="23">
        <v>2024.0</v>
      </c>
      <c r="H4182" s="22" t="s">
        <v>77</v>
      </c>
      <c r="I4182" s="24" t="s">
        <v>19865</v>
      </c>
      <c r="J4182" s="22" t="s">
        <v>19866</v>
      </c>
      <c r="K4182" s="22"/>
      <c r="L4182" s="52">
        <v>660.0</v>
      </c>
      <c r="M4182" s="52">
        <v>100.0</v>
      </c>
      <c r="N4182" s="52"/>
      <c r="O4182" s="52"/>
      <c r="P4182" s="189" t="s">
        <v>82</v>
      </c>
      <c r="Q4182" s="52" t="s">
        <v>19867</v>
      </c>
      <c r="R4182" s="52"/>
      <c r="S4182" s="52" t="s">
        <v>7132</v>
      </c>
      <c r="T4182" s="41" t="s">
        <v>19868</v>
      </c>
      <c r="U4182" s="38" t="s">
        <v>61</v>
      </c>
      <c r="V4182" s="30"/>
      <c r="W4182" s="49"/>
      <c r="X4182" s="49"/>
      <c r="Y4182" s="35"/>
      <c r="Z4182" s="35"/>
      <c r="AA4182" s="35"/>
      <c r="AB4182" s="35"/>
      <c r="AC4182" s="35"/>
      <c r="AD4182" s="35"/>
      <c r="AE4182" s="35"/>
      <c r="AF4182" s="35"/>
      <c r="AG4182" s="35"/>
      <c r="AH4182" s="35"/>
      <c r="AI4182" s="35"/>
      <c r="AJ4182" s="35"/>
      <c r="AK4182" s="35"/>
      <c r="AL4182" s="35"/>
    </row>
    <row r="4183">
      <c r="A4183" s="205"/>
      <c r="B4183" s="19" t="s">
        <v>19332</v>
      </c>
      <c r="C4183" s="20" t="s">
        <v>19848</v>
      </c>
      <c r="D4183" s="47"/>
      <c r="E4183" s="22" t="s">
        <v>312</v>
      </c>
      <c r="F4183" s="22" t="s">
        <v>19869</v>
      </c>
      <c r="G4183" s="23">
        <v>2023.0</v>
      </c>
      <c r="H4183" s="22" t="s">
        <v>12502</v>
      </c>
      <c r="I4183" s="24" t="s">
        <v>19870</v>
      </c>
      <c r="J4183" s="22" t="s">
        <v>1078</v>
      </c>
      <c r="K4183" s="22"/>
      <c r="L4183" s="132" t="s">
        <v>19871</v>
      </c>
      <c r="U4183" s="38" t="s">
        <v>61</v>
      </c>
      <c r="V4183" s="30"/>
      <c r="W4183" s="49"/>
      <c r="X4183" s="49"/>
      <c r="Y4183" s="35"/>
      <c r="Z4183" s="35"/>
      <c r="AA4183" s="35"/>
      <c r="AB4183" s="35"/>
      <c r="AC4183" s="35"/>
      <c r="AD4183" s="35"/>
      <c r="AE4183" s="35"/>
      <c r="AF4183" s="35"/>
      <c r="AG4183" s="35"/>
      <c r="AH4183" s="35"/>
      <c r="AI4183" s="35"/>
      <c r="AJ4183" s="35"/>
      <c r="AK4183" s="35"/>
      <c r="AL4183" s="35"/>
    </row>
    <row r="4184">
      <c r="A4184" s="205" t="s">
        <v>38</v>
      </c>
      <c r="B4184" s="19" t="s">
        <v>19332</v>
      </c>
      <c r="C4184" s="20" t="s">
        <v>19848</v>
      </c>
      <c r="D4184" s="47"/>
      <c r="E4184" s="22" t="s">
        <v>19872</v>
      </c>
      <c r="F4184" s="22" t="s">
        <v>720</v>
      </c>
      <c r="G4184" s="23">
        <v>2023.0</v>
      </c>
      <c r="H4184" s="22" t="s">
        <v>477</v>
      </c>
      <c r="I4184" s="24" t="s">
        <v>19873</v>
      </c>
      <c r="J4184" s="22" t="s">
        <v>19874</v>
      </c>
      <c r="K4184" s="22"/>
      <c r="L4184" s="52">
        <v>808.0</v>
      </c>
      <c r="M4184" s="52">
        <v>100.0</v>
      </c>
      <c r="N4184" s="52" t="s">
        <v>13172</v>
      </c>
      <c r="O4184" s="52" t="s">
        <v>19875</v>
      </c>
      <c r="P4184" s="189" t="s">
        <v>454</v>
      </c>
      <c r="Q4184" s="52" t="s">
        <v>19876</v>
      </c>
      <c r="R4184" s="52" t="s">
        <v>19877</v>
      </c>
      <c r="S4184" s="52" t="s">
        <v>2799</v>
      </c>
      <c r="T4184" s="42" t="s">
        <v>19878</v>
      </c>
      <c r="U4184" s="38" t="s">
        <v>61</v>
      </c>
      <c r="V4184" s="30" t="s">
        <v>19879</v>
      </c>
      <c r="W4184" s="49"/>
      <c r="X4184" s="49"/>
      <c r="Y4184" s="35"/>
      <c r="Z4184" s="35"/>
      <c r="AA4184" s="35"/>
      <c r="AB4184" s="35"/>
      <c r="AC4184" s="35"/>
      <c r="AD4184" s="35"/>
      <c r="AE4184" s="35"/>
      <c r="AF4184" s="35"/>
      <c r="AG4184" s="35"/>
      <c r="AH4184" s="35"/>
      <c r="AI4184" s="35"/>
      <c r="AJ4184" s="35"/>
      <c r="AK4184" s="35"/>
      <c r="AL4184" s="35"/>
    </row>
    <row r="4185">
      <c r="A4185" s="205" t="s">
        <v>38</v>
      </c>
      <c r="B4185" s="19" t="s">
        <v>19332</v>
      </c>
      <c r="C4185" s="20" t="s">
        <v>19848</v>
      </c>
      <c r="D4185" s="47"/>
      <c r="E4185" s="22" t="s">
        <v>539</v>
      </c>
      <c r="F4185" s="22" t="s">
        <v>5223</v>
      </c>
      <c r="G4185" s="23">
        <v>2022.0</v>
      </c>
      <c r="H4185" s="22" t="s">
        <v>4473</v>
      </c>
      <c r="I4185" s="24" t="s">
        <v>19880</v>
      </c>
      <c r="J4185" s="22" t="s">
        <v>19881</v>
      </c>
      <c r="K4185" s="22" t="s">
        <v>19882</v>
      </c>
      <c r="L4185" s="52">
        <v>810.0</v>
      </c>
      <c r="M4185" s="52"/>
      <c r="N4185" s="52"/>
      <c r="O4185" s="52"/>
      <c r="P4185" s="189"/>
      <c r="Q4185" s="52"/>
      <c r="R4185" s="52"/>
      <c r="S4185" s="52" t="s">
        <v>7333</v>
      </c>
      <c r="T4185" s="28" t="s">
        <v>19883</v>
      </c>
      <c r="U4185" s="38" t="s">
        <v>61</v>
      </c>
      <c r="V4185" s="30"/>
      <c r="W4185" s="49"/>
      <c r="X4185" s="49"/>
      <c r="Y4185" s="35"/>
      <c r="Z4185" s="35"/>
      <c r="AA4185" s="35"/>
      <c r="AB4185" s="35"/>
      <c r="AC4185" s="35"/>
      <c r="AD4185" s="35"/>
      <c r="AE4185" s="35"/>
      <c r="AF4185" s="35"/>
      <c r="AG4185" s="35"/>
      <c r="AH4185" s="35"/>
      <c r="AI4185" s="35"/>
      <c r="AJ4185" s="35"/>
      <c r="AK4185" s="35"/>
      <c r="AL4185" s="35"/>
    </row>
    <row r="4186">
      <c r="A4186" s="1"/>
      <c r="B4186" s="19" t="s">
        <v>19332</v>
      </c>
      <c r="C4186" s="20" t="s">
        <v>19848</v>
      </c>
      <c r="D4186" s="47"/>
      <c r="E4186" s="22" t="s">
        <v>19884</v>
      </c>
      <c r="F4186" s="22" t="s">
        <v>8389</v>
      </c>
      <c r="G4186" s="23">
        <v>2022.0</v>
      </c>
      <c r="H4186" s="22" t="s">
        <v>10563</v>
      </c>
      <c r="I4186" s="24" t="s">
        <v>19885</v>
      </c>
      <c r="J4186" s="22" t="s">
        <v>19886</v>
      </c>
      <c r="K4186" s="22" t="s">
        <v>19887</v>
      </c>
      <c r="L4186" s="52">
        <v>685.0</v>
      </c>
      <c r="M4186" s="52">
        <v>30.0</v>
      </c>
      <c r="N4186" s="52" t="s">
        <v>3132</v>
      </c>
      <c r="O4186" s="52"/>
      <c r="P4186" s="189" t="s">
        <v>269</v>
      </c>
      <c r="Q4186" s="52" t="s">
        <v>19888</v>
      </c>
      <c r="R4186" s="52">
        <v>381.0</v>
      </c>
      <c r="S4186" s="52" t="s">
        <v>1514</v>
      </c>
      <c r="T4186" s="42" t="s">
        <v>19889</v>
      </c>
      <c r="U4186" s="29" t="s">
        <v>61</v>
      </c>
      <c r="V4186" s="30"/>
      <c r="W4186" s="49"/>
      <c r="X4186" s="49"/>
      <c r="Y4186" s="35"/>
      <c r="Z4186" s="35"/>
      <c r="AA4186" s="35"/>
      <c r="AB4186" s="35"/>
      <c r="AC4186" s="35"/>
      <c r="AD4186" s="35"/>
      <c r="AE4186" s="35"/>
      <c r="AF4186" s="35"/>
      <c r="AG4186" s="35"/>
      <c r="AH4186" s="35"/>
      <c r="AI4186" s="35"/>
      <c r="AJ4186" s="35"/>
      <c r="AK4186" s="35"/>
      <c r="AL4186" s="35"/>
    </row>
    <row r="4187">
      <c r="A4187" s="1"/>
      <c r="B4187" s="19" t="s">
        <v>19332</v>
      </c>
      <c r="C4187" s="20" t="s">
        <v>19848</v>
      </c>
      <c r="D4187" s="47"/>
      <c r="E4187" s="22" t="s">
        <v>19890</v>
      </c>
      <c r="F4187" s="22" t="s">
        <v>4513</v>
      </c>
      <c r="G4187" s="23">
        <v>2022.0</v>
      </c>
      <c r="H4187" s="22" t="s">
        <v>91</v>
      </c>
      <c r="I4187" s="24" t="s">
        <v>19891</v>
      </c>
      <c r="J4187" s="22" t="s">
        <v>1078</v>
      </c>
      <c r="K4187" s="22" t="s">
        <v>294</v>
      </c>
      <c r="L4187" s="132" t="s">
        <v>19892</v>
      </c>
      <c r="U4187" s="29" t="s">
        <v>61</v>
      </c>
      <c r="V4187" s="30"/>
      <c r="W4187" s="49"/>
      <c r="X4187" s="49"/>
      <c r="Y4187" s="35"/>
      <c r="Z4187" s="35"/>
      <c r="AA4187" s="35"/>
      <c r="AB4187" s="35"/>
      <c r="AC4187" s="35"/>
      <c r="AD4187" s="35"/>
      <c r="AE4187" s="35"/>
      <c r="AF4187" s="35"/>
      <c r="AG4187" s="35"/>
      <c r="AH4187" s="35"/>
      <c r="AI4187" s="35"/>
      <c r="AJ4187" s="35"/>
      <c r="AK4187" s="35"/>
      <c r="AL4187" s="35"/>
    </row>
    <row r="4188">
      <c r="A4188" s="1"/>
      <c r="B4188" s="19" t="s">
        <v>19332</v>
      </c>
      <c r="C4188" s="20" t="s">
        <v>19848</v>
      </c>
      <c r="D4188" s="47"/>
      <c r="E4188" s="22" t="s">
        <v>539</v>
      </c>
      <c r="F4188" s="22" t="s">
        <v>540</v>
      </c>
      <c r="G4188" s="23">
        <v>2021.0</v>
      </c>
      <c r="H4188" s="22" t="s">
        <v>2235</v>
      </c>
      <c r="I4188" s="24" t="s">
        <v>19893</v>
      </c>
      <c r="J4188" s="22" t="s">
        <v>1078</v>
      </c>
      <c r="K4188" s="22"/>
      <c r="L4188" s="132" t="s">
        <v>19894</v>
      </c>
      <c r="U4188" s="29" t="s">
        <v>61</v>
      </c>
      <c r="V4188" s="30"/>
      <c r="W4188" s="49"/>
      <c r="X4188" s="49"/>
      <c r="Y4188" s="35"/>
      <c r="Z4188" s="35"/>
      <c r="AA4188" s="35"/>
      <c r="AB4188" s="35"/>
      <c r="AC4188" s="35"/>
      <c r="AD4188" s="35"/>
      <c r="AE4188" s="35"/>
      <c r="AF4188" s="35"/>
      <c r="AG4188" s="35"/>
      <c r="AH4188" s="35"/>
      <c r="AI4188" s="35"/>
      <c r="AJ4188" s="35"/>
      <c r="AK4188" s="35"/>
      <c r="AL4188" s="35"/>
    </row>
    <row r="4189">
      <c r="A4189" s="1"/>
      <c r="B4189" s="19" t="s">
        <v>19332</v>
      </c>
      <c r="C4189" s="20" t="s">
        <v>19848</v>
      </c>
      <c r="D4189" s="47"/>
      <c r="E4189" s="22" t="s">
        <v>19895</v>
      </c>
      <c r="F4189" s="22" t="s">
        <v>19896</v>
      </c>
      <c r="G4189" s="23">
        <v>2021.0</v>
      </c>
      <c r="H4189" s="22" t="s">
        <v>19897</v>
      </c>
      <c r="I4189" s="24" t="s">
        <v>19898</v>
      </c>
      <c r="J4189" s="22" t="s">
        <v>649</v>
      </c>
      <c r="K4189" s="22"/>
      <c r="L4189" s="42" t="s">
        <v>19899</v>
      </c>
      <c r="U4189" s="29" t="s">
        <v>61</v>
      </c>
      <c r="V4189" s="30"/>
      <c r="W4189" s="49"/>
      <c r="X4189" s="49"/>
      <c r="Y4189" s="35"/>
      <c r="Z4189" s="35"/>
      <c r="AA4189" s="35"/>
      <c r="AB4189" s="35"/>
      <c r="AC4189" s="35"/>
      <c r="AD4189" s="35"/>
      <c r="AE4189" s="35"/>
      <c r="AF4189" s="35"/>
      <c r="AG4189" s="35"/>
      <c r="AH4189" s="35"/>
      <c r="AI4189" s="35"/>
      <c r="AJ4189" s="35"/>
      <c r="AK4189" s="35"/>
      <c r="AL4189" s="35"/>
    </row>
    <row r="4190">
      <c r="A4190" s="1"/>
      <c r="B4190" s="19" t="s">
        <v>19332</v>
      </c>
      <c r="C4190" s="20" t="s">
        <v>19848</v>
      </c>
      <c r="D4190" s="47"/>
      <c r="E4190" s="22" t="s">
        <v>19900</v>
      </c>
      <c r="F4190" s="22" t="s">
        <v>19901</v>
      </c>
      <c r="G4190" s="23">
        <v>2020.0</v>
      </c>
      <c r="H4190" s="22" t="s">
        <v>10563</v>
      </c>
      <c r="I4190" s="24" t="s">
        <v>19902</v>
      </c>
      <c r="J4190" s="22" t="s">
        <v>19903</v>
      </c>
      <c r="K4190" s="22"/>
      <c r="L4190" s="36">
        <v>800.0</v>
      </c>
      <c r="M4190" s="36">
        <v>60.0</v>
      </c>
      <c r="N4190" s="36" t="s">
        <v>17477</v>
      </c>
      <c r="O4190" s="36">
        <v>1200.0</v>
      </c>
      <c r="P4190" s="37" t="s">
        <v>1529</v>
      </c>
      <c r="Q4190" s="36"/>
      <c r="R4190" s="36">
        <v>300.0</v>
      </c>
      <c r="S4190" s="36" t="s">
        <v>2099</v>
      </c>
      <c r="T4190" s="28" t="s">
        <v>19904</v>
      </c>
      <c r="U4190" s="29" t="s">
        <v>61</v>
      </c>
      <c r="V4190" s="30"/>
      <c r="W4190" s="49"/>
      <c r="X4190" s="49"/>
      <c r="Y4190" s="35"/>
      <c r="Z4190" s="35"/>
      <c r="AA4190" s="35"/>
      <c r="AB4190" s="35"/>
      <c r="AC4190" s="35"/>
      <c r="AD4190" s="35"/>
      <c r="AE4190" s="35"/>
      <c r="AF4190" s="35"/>
      <c r="AG4190" s="35"/>
      <c r="AH4190" s="35"/>
      <c r="AI4190" s="35"/>
      <c r="AJ4190" s="35"/>
      <c r="AK4190" s="35"/>
      <c r="AL4190" s="35"/>
    </row>
    <row r="4191">
      <c r="A4191" s="1"/>
      <c r="B4191" s="19" t="s">
        <v>19332</v>
      </c>
      <c r="C4191" s="20" t="s">
        <v>19848</v>
      </c>
      <c r="D4191" s="47"/>
      <c r="E4191" s="22" t="s">
        <v>2316</v>
      </c>
      <c r="F4191" s="22" t="s">
        <v>224</v>
      </c>
      <c r="G4191" s="23">
        <v>2020.0</v>
      </c>
      <c r="H4191" s="22" t="s">
        <v>91</v>
      </c>
      <c r="I4191" s="24" t="s">
        <v>19905</v>
      </c>
      <c r="J4191" s="22" t="s">
        <v>1078</v>
      </c>
      <c r="K4191" s="22"/>
      <c r="L4191" s="43" t="s">
        <v>19906</v>
      </c>
      <c r="M4191" s="44"/>
      <c r="N4191" s="44"/>
      <c r="O4191" s="44"/>
      <c r="P4191" s="44"/>
      <c r="Q4191" s="44"/>
      <c r="R4191" s="44"/>
      <c r="S4191" s="44"/>
      <c r="T4191" s="45"/>
      <c r="U4191" s="29" t="s">
        <v>61</v>
      </c>
      <c r="V4191" s="30"/>
      <c r="W4191" s="49"/>
      <c r="X4191" s="49"/>
      <c r="Y4191" s="35"/>
      <c r="Z4191" s="35"/>
      <c r="AA4191" s="35"/>
      <c r="AB4191" s="35"/>
      <c r="AC4191" s="35"/>
      <c r="AD4191" s="35"/>
      <c r="AE4191" s="35"/>
      <c r="AF4191" s="35"/>
      <c r="AG4191" s="35"/>
      <c r="AH4191" s="35"/>
      <c r="AI4191" s="35"/>
      <c r="AJ4191" s="35"/>
      <c r="AK4191" s="35"/>
      <c r="AL4191" s="35"/>
    </row>
    <row r="4192">
      <c r="A4192" s="18"/>
      <c r="B4192" s="19" t="s">
        <v>19332</v>
      </c>
      <c r="C4192" s="20" t="s">
        <v>19848</v>
      </c>
      <c r="D4192" s="47"/>
      <c r="E4192" s="22" t="s">
        <v>19907</v>
      </c>
      <c r="F4192" s="22" t="s">
        <v>8389</v>
      </c>
      <c r="G4192" s="23">
        <v>2020.0</v>
      </c>
      <c r="H4192" s="22" t="s">
        <v>19908</v>
      </c>
      <c r="I4192" s="24" t="s">
        <v>19909</v>
      </c>
      <c r="J4192" s="22" t="s">
        <v>19910</v>
      </c>
      <c r="K4192" s="22" t="s">
        <v>19911</v>
      </c>
      <c r="L4192" s="36">
        <v>685.0</v>
      </c>
      <c r="M4192" s="36"/>
      <c r="N4192" s="36"/>
      <c r="O4192" s="36"/>
      <c r="P4192" s="37"/>
      <c r="Q4192" s="36"/>
      <c r="R4192" s="36"/>
      <c r="S4192" s="36" t="s">
        <v>1514</v>
      </c>
      <c r="T4192" s="41" t="s">
        <v>19912</v>
      </c>
      <c r="U4192" s="29" t="s">
        <v>61</v>
      </c>
      <c r="V4192" s="30"/>
      <c r="W4192" s="49"/>
      <c r="X4192" s="49"/>
      <c r="Y4192" s="35"/>
      <c r="Z4192" s="35"/>
      <c r="AA4192" s="35"/>
      <c r="AB4192" s="35"/>
      <c r="AC4192" s="35"/>
      <c r="AD4192" s="35"/>
      <c r="AE4192" s="35"/>
      <c r="AF4192" s="35"/>
      <c r="AG4192" s="35"/>
      <c r="AH4192" s="35"/>
      <c r="AI4192" s="35"/>
      <c r="AJ4192" s="35"/>
      <c r="AK4192" s="35"/>
      <c r="AL4192" s="35"/>
    </row>
    <row r="4193">
      <c r="A4193" s="18"/>
      <c r="B4193" s="19" t="s">
        <v>19332</v>
      </c>
      <c r="C4193" s="20" t="s">
        <v>19848</v>
      </c>
      <c r="D4193" s="47"/>
      <c r="E4193" s="22" t="s">
        <v>19913</v>
      </c>
      <c r="F4193" s="22" t="s">
        <v>3885</v>
      </c>
      <c r="G4193" s="23">
        <v>2020.0</v>
      </c>
      <c r="H4193" s="22" t="s">
        <v>19235</v>
      </c>
      <c r="I4193" s="24" t="s">
        <v>19914</v>
      </c>
      <c r="J4193" s="22" t="s">
        <v>19915</v>
      </c>
      <c r="K4193" s="22"/>
      <c r="L4193" s="36">
        <v>810.0</v>
      </c>
      <c r="M4193" s="36"/>
      <c r="N4193" s="36"/>
      <c r="O4193" s="36"/>
      <c r="P4193" s="37" t="s">
        <v>2848</v>
      </c>
      <c r="Q4193" s="36"/>
      <c r="R4193" s="36"/>
      <c r="S4193" s="36" t="s">
        <v>7333</v>
      </c>
      <c r="T4193" s="28" t="s">
        <v>19916</v>
      </c>
      <c r="U4193" s="29" t="s">
        <v>61</v>
      </c>
      <c r="V4193" s="30"/>
      <c r="W4193" s="49"/>
      <c r="X4193" s="49"/>
      <c r="Y4193" s="35"/>
      <c r="Z4193" s="35"/>
      <c r="AA4193" s="35"/>
      <c r="AB4193" s="35"/>
      <c r="AC4193" s="35"/>
      <c r="AD4193" s="35"/>
      <c r="AE4193" s="35"/>
      <c r="AF4193" s="35"/>
      <c r="AG4193" s="35"/>
      <c r="AH4193" s="35"/>
      <c r="AI4193" s="35"/>
      <c r="AJ4193" s="35"/>
      <c r="AK4193" s="35"/>
      <c r="AL4193" s="35"/>
    </row>
    <row r="4194">
      <c r="A4194" s="18" t="s">
        <v>2</v>
      </c>
      <c r="B4194" s="19" t="s">
        <v>19332</v>
      </c>
      <c r="C4194" s="20" t="s">
        <v>19848</v>
      </c>
      <c r="D4194" s="47"/>
      <c r="E4194" s="22" t="s">
        <v>19551</v>
      </c>
      <c r="F4194" s="22" t="s">
        <v>1392</v>
      </c>
      <c r="G4194" s="23">
        <v>2019.0</v>
      </c>
      <c r="H4194" s="22" t="s">
        <v>19552</v>
      </c>
      <c r="I4194" s="24" t="s">
        <v>19917</v>
      </c>
      <c r="J4194" s="22" t="s">
        <v>19918</v>
      </c>
      <c r="K4194" s="22"/>
      <c r="L4194" s="36" t="s">
        <v>19919</v>
      </c>
      <c r="M4194" s="36"/>
      <c r="N4194" s="36"/>
      <c r="O4194" s="36"/>
      <c r="P4194" s="37"/>
      <c r="Q4194" s="36" t="s">
        <v>6449</v>
      </c>
      <c r="R4194" s="36"/>
      <c r="S4194" s="36" t="s">
        <v>7132</v>
      </c>
      <c r="T4194" s="28" t="s">
        <v>19920</v>
      </c>
      <c r="U4194" s="38" t="str">
        <f>HYPERLINK("https://www.ncbi.nlm.nih.gov/pubmed/31655841","PubMed")</f>
        <v>PubMed</v>
      </c>
      <c r="V4194" s="30"/>
      <c r="W4194" s="49"/>
      <c r="X4194" s="49"/>
      <c r="Y4194" s="35"/>
      <c r="Z4194" s="35"/>
      <c r="AA4194" s="35"/>
      <c r="AB4194" s="35"/>
      <c r="AC4194" s="35"/>
      <c r="AD4194" s="35"/>
      <c r="AE4194" s="35"/>
      <c r="AF4194" s="35"/>
      <c r="AG4194" s="35"/>
      <c r="AH4194" s="35"/>
      <c r="AI4194" s="35"/>
      <c r="AJ4194" s="35"/>
      <c r="AK4194" s="35"/>
      <c r="AL4194" s="35"/>
    </row>
    <row r="4195">
      <c r="A4195" s="1"/>
      <c r="B4195" s="19" t="s">
        <v>19332</v>
      </c>
      <c r="C4195" s="20" t="s">
        <v>19848</v>
      </c>
      <c r="D4195" s="47"/>
      <c r="E4195" s="22" t="s">
        <v>19921</v>
      </c>
      <c r="F4195" s="22" t="s">
        <v>1337</v>
      </c>
      <c r="G4195" s="23">
        <v>2019.0</v>
      </c>
      <c r="H4195" s="22" t="s">
        <v>469</v>
      </c>
      <c r="I4195" s="24" t="s">
        <v>19922</v>
      </c>
      <c r="J4195" s="22" t="s">
        <v>19923</v>
      </c>
      <c r="K4195" s="22"/>
      <c r="L4195" s="36">
        <v>808.0</v>
      </c>
      <c r="M4195" s="36">
        <v>200.0</v>
      </c>
      <c r="N4195" s="36" t="s">
        <v>19924</v>
      </c>
      <c r="O4195" s="36" t="s">
        <v>13462</v>
      </c>
      <c r="P4195" s="37"/>
      <c r="Q4195" s="36"/>
      <c r="R4195" s="36" t="s">
        <v>19925</v>
      </c>
      <c r="S4195" s="36" t="s">
        <v>2099</v>
      </c>
      <c r="T4195" s="42" t="s">
        <v>19926</v>
      </c>
      <c r="U4195" s="38" t="str">
        <f>HYPERLINK("https://www.ncbi.nlm.nih.gov/pubmed/30805121","PubMed")</f>
        <v>PubMed</v>
      </c>
      <c r="V4195" s="30"/>
      <c r="W4195" s="49"/>
      <c r="X4195" s="49"/>
      <c r="Y4195" s="35"/>
      <c r="Z4195" s="35"/>
      <c r="AA4195" s="35"/>
      <c r="AB4195" s="35"/>
      <c r="AC4195" s="35"/>
      <c r="AD4195" s="35"/>
      <c r="AE4195" s="35"/>
      <c r="AF4195" s="35"/>
      <c r="AG4195" s="35"/>
      <c r="AH4195" s="35"/>
      <c r="AI4195" s="35"/>
      <c r="AJ4195" s="35"/>
      <c r="AK4195" s="35"/>
      <c r="AL4195" s="35"/>
    </row>
    <row r="4196">
      <c r="A4196" s="1"/>
      <c r="B4196" s="19" t="s">
        <v>19332</v>
      </c>
      <c r="C4196" s="20" t="s">
        <v>19848</v>
      </c>
      <c r="D4196" s="47"/>
      <c r="E4196" s="22" t="s">
        <v>19927</v>
      </c>
      <c r="F4196" s="22" t="s">
        <v>19928</v>
      </c>
      <c r="G4196" s="23">
        <v>2018.0</v>
      </c>
      <c r="H4196" s="22" t="s">
        <v>19929</v>
      </c>
      <c r="I4196" s="24" t="s">
        <v>19930</v>
      </c>
      <c r="J4196" s="22" t="s">
        <v>19931</v>
      </c>
      <c r="K4196" s="22"/>
      <c r="L4196" s="36">
        <v>830.0</v>
      </c>
      <c r="M4196" s="36"/>
      <c r="N4196" s="36"/>
      <c r="O4196" s="36"/>
      <c r="P4196" s="37" t="s">
        <v>2848</v>
      </c>
      <c r="Q4196" s="36" t="s">
        <v>675</v>
      </c>
      <c r="R4196" s="36"/>
      <c r="S4196" s="36" t="s">
        <v>1514</v>
      </c>
      <c r="T4196" s="41" t="s">
        <v>19932</v>
      </c>
      <c r="U4196" s="38" t="str">
        <f>HYPERLINK("https://www.ncbi.nlm.nih.gov/pubmed/30431725","PubMed")</f>
        <v>PubMed</v>
      </c>
      <c r="V4196" s="30"/>
      <c r="W4196" s="49"/>
      <c r="X4196" s="49"/>
      <c r="Y4196" s="35"/>
      <c r="Z4196" s="35"/>
      <c r="AA4196" s="35"/>
      <c r="AB4196" s="35"/>
      <c r="AC4196" s="35"/>
      <c r="AD4196" s="35"/>
      <c r="AE4196" s="35"/>
      <c r="AF4196" s="35"/>
      <c r="AG4196" s="35"/>
      <c r="AH4196" s="35"/>
      <c r="AI4196" s="35"/>
      <c r="AJ4196" s="35"/>
      <c r="AK4196" s="35"/>
      <c r="AL4196" s="35"/>
    </row>
    <row r="4197">
      <c r="A4197" s="1"/>
      <c r="B4197" s="19" t="s">
        <v>19332</v>
      </c>
      <c r="C4197" s="20" t="s">
        <v>19848</v>
      </c>
      <c r="D4197" s="47"/>
      <c r="E4197" s="22" t="s">
        <v>19933</v>
      </c>
      <c r="F4197" s="22" t="s">
        <v>1718</v>
      </c>
      <c r="G4197" s="23">
        <v>2018.0</v>
      </c>
      <c r="H4197" s="22" t="s">
        <v>15324</v>
      </c>
      <c r="I4197" s="24" t="s">
        <v>19934</v>
      </c>
      <c r="J4197" s="22" t="s">
        <v>125</v>
      </c>
      <c r="K4197" s="22"/>
      <c r="L4197" s="43" t="s">
        <v>19935</v>
      </c>
      <c r="M4197" s="44"/>
      <c r="N4197" s="44"/>
      <c r="O4197" s="44"/>
      <c r="P4197" s="44"/>
      <c r="Q4197" s="44"/>
      <c r="R4197" s="44"/>
      <c r="S4197" s="44"/>
      <c r="T4197" s="45"/>
      <c r="U4197" s="38" t="str">
        <f>HYPERLINK("https://www.ncbi.nlm.nih.gov/pubmed/29913093","PubMed")</f>
        <v>PubMed</v>
      </c>
      <c r="V4197" s="30"/>
      <c r="W4197" s="49"/>
      <c r="X4197" s="49"/>
      <c r="Y4197" s="35"/>
      <c r="Z4197" s="35"/>
      <c r="AA4197" s="35"/>
      <c r="AB4197" s="35"/>
      <c r="AC4197" s="35"/>
      <c r="AD4197" s="35"/>
      <c r="AE4197" s="35"/>
      <c r="AF4197" s="35"/>
      <c r="AG4197" s="35"/>
      <c r="AH4197" s="35"/>
      <c r="AI4197" s="35"/>
      <c r="AJ4197" s="35"/>
      <c r="AK4197" s="35"/>
      <c r="AL4197" s="35"/>
    </row>
    <row r="4198">
      <c r="A4198" s="1"/>
      <c r="B4198" s="19" t="s">
        <v>19332</v>
      </c>
      <c r="C4198" s="20" t="s">
        <v>19848</v>
      </c>
      <c r="D4198" s="47"/>
      <c r="E4198" s="22" t="s">
        <v>114</v>
      </c>
      <c r="F4198" s="22" t="s">
        <v>720</v>
      </c>
      <c r="G4198" s="23">
        <v>2018.0</v>
      </c>
      <c r="H4198" s="22" t="s">
        <v>91</v>
      </c>
      <c r="I4198" s="24" t="s">
        <v>19936</v>
      </c>
      <c r="J4198" s="22" t="s">
        <v>19937</v>
      </c>
      <c r="K4198" s="22" t="s">
        <v>19938</v>
      </c>
      <c r="L4198" s="36">
        <v>660.0</v>
      </c>
      <c r="M4198" s="36">
        <v>30.0</v>
      </c>
      <c r="N4198" s="36"/>
      <c r="O4198" s="36"/>
      <c r="P4198" s="37" t="s">
        <v>969</v>
      </c>
      <c r="Q4198" s="36"/>
      <c r="R4198" s="36" t="s">
        <v>12605</v>
      </c>
      <c r="S4198" s="36" t="s">
        <v>8418</v>
      </c>
      <c r="T4198" s="28" t="s">
        <v>19939</v>
      </c>
      <c r="U4198" s="38" t="str">
        <f>HYPERLINK("https://www.ncbi.nlm.nih.gov/pubmed/29502160","PubMed")</f>
        <v>PubMed</v>
      </c>
      <c r="V4198" s="30"/>
      <c r="W4198" s="49"/>
      <c r="X4198" s="49"/>
      <c r="Y4198" s="35"/>
      <c r="Z4198" s="35"/>
      <c r="AA4198" s="35"/>
      <c r="AB4198" s="35"/>
      <c r="AC4198" s="35"/>
      <c r="AD4198" s="35"/>
      <c r="AE4198" s="35"/>
      <c r="AF4198" s="35"/>
      <c r="AG4198" s="35"/>
      <c r="AH4198" s="35"/>
      <c r="AI4198" s="35"/>
      <c r="AJ4198" s="35"/>
      <c r="AK4198" s="35"/>
      <c r="AL4198" s="35"/>
    </row>
    <row r="4199">
      <c r="A4199" s="1"/>
      <c r="B4199" s="19" t="s">
        <v>19332</v>
      </c>
      <c r="C4199" s="20" t="s">
        <v>19848</v>
      </c>
      <c r="D4199" s="47"/>
      <c r="E4199" s="22" t="s">
        <v>19940</v>
      </c>
      <c r="F4199" s="22" t="s">
        <v>19850</v>
      </c>
      <c r="G4199" s="23">
        <v>2017.0</v>
      </c>
      <c r="H4199" s="22" t="s">
        <v>1144</v>
      </c>
      <c r="I4199" s="24" t="s">
        <v>19941</v>
      </c>
      <c r="J4199" s="22" t="s">
        <v>19937</v>
      </c>
      <c r="K4199" s="22"/>
      <c r="L4199" s="36">
        <v>815.0</v>
      </c>
      <c r="M4199" s="36">
        <v>1000.0</v>
      </c>
      <c r="N4199" s="36"/>
      <c r="O4199" s="36" t="s">
        <v>404</v>
      </c>
      <c r="P4199" s="37" t="s">
        <v>19942</v>
      </c>
      <c r="Q4199" s="36"/>
      <c r="R4199" s="36" t="s">
        <v>404</v>
      </c>
      <c r="S4199" s="36" t="s">
        <v>8418</v>
      </c>
      <c r="T4199" s="42" t="s">
        <v>19943</v>
      </c>
      <c r="U4199" s="38" t="str">
        <f>HYPERLINK("https://www.ncbi.nlm.nih.gov/pubmed/27893167","PubMed")</f>
        <v>PubMed</v>
      </c>
      <c r="V4199" s="30"/>
      <c r="W4199" s="49"/>
      <c r="X4199" s="49"/>
      <c r="Y4199" s="35"/>
      <c r="Z4199" s="35"/>
      <c r="AA4199" s="35"/>
      <c r="AB4199" s="35"/>
      <c r="AC4199" s="35"/>
      <c r="AD4199" s="35"/>
      <c r="AE4199" s="35"/>
      <c r="AF4199" s="35"/>
      <c r="AG4199" s="35"/>
      <c r="AH4199" s="35"/>
      <c r="AI4199" s="35"/>
      <c r="AJ4199" s="35"/>
      <c r="AK4199" s="35"/>
      <c r="AL4199" s="35"/>
    </row>
    <row r="4200">
      <c r="A4200" s="1"/>
      <c r="B4200" s="75" t="s">
        <v>19332</v>
      </c>
      <c r="C4200" s="77" t="s">
        <v>19848</v>
      </c>
      <c r="D4200" s="47"/>
      <c r="E4200" s="22" t="s">
        <v>7661</v>
      </c>
      <c r="F4200" s="22" t="s">
        <v>19944</v>
      </c>
      <c r="G4200" s="23">
        <v>2016.0</v>
      </c>
      <c r="H4200" s="22" t="s">
        <v>1485</v>
      </c>
      <c r="I4200" s="24" t="s">
        <v>19945</v>
      </c>
      <c r="J4200" s="22" t="s">
        <v>649</v>
      </c>
      <c r="K4200" s="22"/>
      <c r="L4200" s="43" t="s">
        <v>19946</v>
      </c>
      <c r="M4200" s="44"/>
      <c r="N4200" s="44"/>
      <c r="O4200" s="44"/>
      <c r="P4200" s="44"/>
      <c r="Q4200" s="44"/>
      <c r="R4200" s="44"/>
      <c r="S4200" s="44"/>
      <c r="T4200" s="45"/>
      <c r="U4200" s="38" t="str">
        <f>HYPERLINK("https://www.ncbi.nlm.nih.gov/pubmed/27919663","PubMed")</f>
        <v>PubMed</v>
      </c>
      <c r="V4200" s="30"/>
      <c r="W4200" s="49"/>
      <c r="X4200" s="49"/>
      <c r="Y4200" s="35"/>
      <c r="Z4200" s="35"/>
      <c r="AA4200" s="35"/>
      <c r="AB4200" s="35"/>
      <c r="AC4200" s="35"/>
      <c r="AD4200" s="35"/>
      <c r="AE4200" s="35"/>
      <c r="AF4200" s="35"/>
      <c r="AG4200" s="35"/>
      <c r="AH4200" s="35"/>
      <c r="AI4200" s="35"/>
      <c r="AJ4200" s="35"/>
      <c r="AK4200" s="35"/>
      <c r="AL4200" s="35"/>
    </row>
    <row r="4201">
      <c r="A4201" s="1"/>
      <c r="B4201" s="19" t="s">
        <v>19332</v>
      </c>
      <c r="C4201" s="20" t="s">
        <v>19848</v>
      </c>
      <c r="D4201" s="47"/>
      <c r="E4201" s="22" t="s">
        <v>19947</v>
      </c>
      <c r="F4201" s="22" t="s">
        <v>41</v>
      </c>
      <c r="G4201" s="23">
        <v>2016.0</v>
      </c>
      <c r="H4201" s="22" t="s">
        <v>756</v>
      </c>
      <c r="I4201" s="24" t="s">
        <v>19948</v>
      </c>
      <c r="J4201" s="22" t="s">
        <v>19949</v>
      </c>
      <c r="K4201" s="22"/>
      <c r="L4201" s="36">
        <v>790.0</v>
      </c>
      <c r="M4201" s="36" t="s">
        <v>19950</v>
      </c>
      <c r="N4201" s="36">
        <v>4.0</v>
      </c>
      <c r="O4201" s="36" t="s">
        <v>962</v>
      </c>
      <c r="P4201" s="37" t="s">
        <v>909</v>
      </c>
      <c r="Q4201" s="36" t="s">
        <v>13174</v>
      </c>
      <c r="R4201" s="36" t="s">
        <v>13463</v>
      </c>
      <c r="S4201" s="36" t="s">
        <v>7986</v>
      </c>
      <c r="T4201" s="41" t="s">
        <v>19951</v>
      </c>
      <c r="U4201" s="38" t="str">
        <f>HYPERLINK("https://www.ncbi.nlm.nih.gov/pubmed/27737361","PubMed")</f>
        <v>PubMed</v>
      </c>
      <c r="V4201" s="30"/>
      <c r="W4201" s="49"/>
      <c r="X4201" s="49"/>
      <c r="Y4201" s="35"/>
      <c r="Z4201" s="35"/>
      <c r="AA4201" s="35"/>
      <c r="AB4201" s="35"/>
      <c r="AC4201" s="35"/>
      <c r="AD4201" s="35"/>
      <c r="AE4201" s="35"/>
      <c r="AF4201" s="35"/>
      <c r="AG4201" s="35"/>
      <c r="AH4201" s="35"/>
      <c r="AI4201" s="35"/>
      <c r="AJ4201" s="35"/>
      <c r="AK4201" s="35"/>
      <c r="AL4201" s="35"/>
    </row>
    <row r="4202">
      <c r="A4202" s="1"/>
      <c r="B4202" s="19" t="s">
        <v>19332</v>
      </c>
      <c r="C4202" s="20" t="s">
        <v>19848</v>
      </c>
      <c r="D4202" s="47"/>
      <c r="E4202" s="22" t="s">
        <v>19952</v>
      </c>
      <c r="F4202" s="22" t="s">
        <v>2635</v>
      </c>
      <c r="G4202" s="23">
        <v>2016.0</v>
      </c>
      <c r="H4202" s="22" t="s">
        <v>91</v>
      </c>
      <c r="I4202" s="24" t="s">
        <v>19953</v>
      </c>
      <c r="J4202" s="22" t="s">
        <v>19954</v>
      </c>
      <c r="K4202" s="22" t="s">
        <v>19955</v>
      </c>
      <c r="L4202" s="36">
        <v>980.0</v>
      </c>
      <c r="M4202" s="36">
        <v>300.0</v>
      </c>
      <c r="N4202" s="36">
        <v>1.0</v>
      </c>
      <c r="O4202" s="36"/>
      <c r="P4202" s="37" t="s">
        <v>95</v>
      </c>
      <c r="Q4202" s="36"/>
      <c r="R4202" s="36"/>
      <c r="S4202" s="36" t="s">
        <v>7333</v>
      </c>
      <c r="T4202" s="28" t="s">
        <v>19956</v>
      </c>
      <c r="U4202" s="38" t="str">
        <f>HYPERLINK("https://www.ncbi.nlm.nih.gov/pubmed/26873501","PubMed")</f>
        <v>PubMed</v>
      </c>
      <c r="V4202" s="30"/>
      <c r="W4202" s="49"/>
      <c r="X4202" s="49"/>
      <c r="Y4202" s="35"/>
      <c r="Z4202" s="35"/>
      <c r="AA4202" s="35"/>
      <c r="AB4202" s="35"/>
      <c r="AC4202" s="35"/>
      <c r="AD4202" s="35"/>
      <c r="AE4202" s="35"/>
      <c r="AF4202" s="35"/>
      <c r="AG4202" s="35"/>
      <c r="AH4202" s="35"/>
      <c r="AI4202" s="35"/>
      <c r="AJ4202" s="35"/>
      <c r="AK4202" s="35"/>
      <c r="AL4202" s="35"/>
    </row>
    <row r="4203">
      <c r="A4203" s="1"/>
      <c r="B4203" s="19" t="s">
        <v>19332</v>
      </c>
      <c r="C4203" s="20" t="s">
        <v>19848</v>
      </c>
      <c r="D4203" s="47"/>
      <c r="E4203" s="22" t="s">
        <v>19957</v>
      </c>
      <c r="F4203" s="22" t="s">
        <v>7665</v>
      </c>
      <c r="G4203" s="23">
        <v>2015.0</v>
      </c>
      <c r="H4203" s="22" t="s">
        <v>469</v>
      </c>
      <c r="I4203" s="24" t="s">
        <v>19958</v>
      </c>
      <c r="J4203" s="22" t="s">
        <v>19959</v>
      </c>
      <c r="K4203" s="22"/>
      <c r="L4203" s="36">
        <v>630.0</v>
      </c>
      <c r="M4203" s="36">
        <v>30.0</v>
      </c>
      <c r="N4203" s="36"/>
      <c r="O4203" s="36"/>
      <c r="P4203" s="37"/>
      <c r="Q4203" s="36"/>
      <c r="R4203" s="36">
        <v>10.0</v>
      </c>
      <c r="S4203" s="36" t="s">
        <v>2099</v>
      </c>
      <c r="T4203" s="28" t="s">
        <v>19960</v>
      </c>
      <c r="U4203" s="29" t="s">
        <v>61</v>
      </c>
      <c r="V4203" s="30"/>
      <c r="W4203" s="49"/>
      <c r="X4203" s="49"/>
      <c r="Y4203" s="35"/>
      <c r="Z4203" s="35"/>
      <c r="AA4203" s="35"/>
      <c r="AB4203" s="35"/>
      <c r="AC4203" s="35"/>
      <c r="AD4203" s="35"/>
      <c r="AE4203" s="35"/>
      <c r="AF4203" s="35"/>
      <c r="AG4203" s="35"/>
      <c r="AH4203" s="35"/>
      <c r="AI4203" s="35"/>
      <c r="AJ4203" s="35"/>
      <c r="AK4203" s="35"/>
      <c r="AL4203" s="35"/>
    </row>
    <row r="4204">
      <c r="A4204" s="1"/>
      <c r="B4204" s="19" t="s">
        <v>19332</v>
      </c>
      <c r="C4204" s="20" t="s">
        <v>19848</v>
      </c>
      <c r="D4204" s="47"/>
      <c r="E4204" s="22" t="s">
        <v>19921</v>
      </c>
      <c r="F4204" s="22" t="s">
        <v>400</v>
      </c>
      <c r="G4204" s="23">
        <v>2015.0</v>
      </c>
      <c r="H4204" s="22" t="s">
        <v>1025</v>
      </c>
      <c r="I4204" s="24" t="s">
        <v>19961</v>
      </c>
      <c r="J4204" s="22" t="s">
        <v>19962</v>
      </c>
      <c r="K4204" s="22" t="s">
        <v>294</v>
      </c>
      <c r="L4204" s="36" t="s">
        <v>19963</v>
      </c>
      <c r="M4204" s="36">
        <v>100.0</v>
      </c>
      <c r="N4204" s="36"/>
      <c r="O4204" s="36">
        <v>5.0</v>
      </c>
      <c r="P4204" s="37"/>
      <c r="Q4204" s="36"/>
      <c r="R4204" s="36">
        <v>50.0</v>
      </c>
      <c r="S4204" s="36" t="s">
        <v>19964</v>
      </c>
      <c r="T4204" s="28" t="s">
        <v>19965</v>
      </c>
      <c r="U4204" s="29" t="s">
        <v>61</v>
      </c>
      <c r="V4204" s="30" t="s">
        <v>19966</v>
      </c>
      <c r="W4204" s="49"/>
      <c r="X4204" s="49"/>
      <c r="Y4204" s="35"/>
      <c r="Z4204" s="35"/>
      <c r="AA4204" s="35"/>
      <c r="AB4204" s="35"/>
      <c r="AC4204" s="35"/>
      <c r="AD4204" s="35"/>
      <c r="AE4204" s="35"/>
      <c r="AF4204" s="35"/>
      <c r="AG4204" s="35"/>
      <c r="AH4204" s="35"/>
      <c r="AI4204" s="35"/>
      <c r="AJ4204" s="35"/>
      <c r="AK4204" s="35"/>
      <c r="AL4204" s="35"/>
    </row>
    <row r="4205">
      <c r="A4205" s="1"/>
      <c r="B4205" s="19" t="s">
        <v>19332</v>
      </c>
      <c r="C4205" s="20" t="s">
        <v>19848</v>
      </c>
      <c r="D4205" s="47"/>
      <c r="E4205" s="22" t="s">
        <v>19967</v>
      </c>
      <c r="F4205" s="22" t="s">
        <v>41</v>
      </c>
      <c r="G4205" s="23">
        <v>2015.0</v>
      </c>
      <c r="H4205" s="22" t="s">
        <v>4975</v>
      </c>
      <c r="I4205" s="24" t="s">
        <v>19968</v>
      </c>
      <c r="J4205" s="22" t="s">
        <v>19969</v>
      </c>
      <c r="K4205" s="22"/>
      <c r="L4205" s="36">
        <v>660.0</v>
      </c>
      <c r="M4205" s="36">
        <v>40.0</v>
      </c>
      <c r="N4205" s="36"/>
      <c r="O4205" s="36" t="s">
        <v>19772</v>
      </c>
      <c r="P4205" s="37" t="s">
        <v>95</v>
      </c>
      <c r="Q4205" s="36" t="s">
        <v>830</v>
      </c>
      <c r="R4205" s="36" t="s">
        <v>12605</v>
      </c>
      <c r="S4205" s="36" t="s">
        <v>7132</v>
      </c>
      <c r="T4205" s="28" t="s">
        <v>19970</v>
      </c>
      <c r="U4205" s="38" t="str">
        <f>HYPERLINK("https://www.ncbi.nlm.nih.gov/pubmed/26138316","PubMed")</f>
        <v>PubMed</v>
      </c>
      <c r="V4205" s="30"/>
      <c r="W4205" s="49"/>
      <c r="X4205" s="49"/>
      <c r="Y4205" s="35"/>
      <c r="Z4205" s="35"/>
      <c r="AA4205" s="35"/>
      <c r="AB4205" s="35"/>
      <c r="AC4205" s="35"/>
      <c r="AD4205" s="35"/>
      <c r="AE4205" s="35"/>
      <c r="AF4205" s="35"/>
      <c r="AG4205" s="35"/>
      <c r="AH4205" s="35"/>
      <c r="AI4205" s="35"/>
      <c r="AJ4205" s="35"/>
      <c r="AK4205" s="35"/>
      <c r="AL4205" s="35"/>
    </row>
    <row r="4206">
      <c r="A4206" s="1"/>
      <c r="B4206" s="19" t="s">
        <v>19332</v>
      </c>
      <c r="C4206" s="20" t="s">
        <v>19848</v>
      </c>
      <c r="D4206" s="47"/>
      <c r="E4206" s="22" t="s">
        <v>19971</v>
      </c>
      <c r="F4206" s="22" t="s">
        <v>19972</v>
      </c>
      <c r="G4206" s="23">
        <v>2013.0</v>
      </c>
      <c r="H4206" s="22" t="s">
        <v>91</v>
      </c>
      <c r="I4206" s="24" t="s">
        <v>19973</v>
      </c>
      <c r="J4206" s="22" t="s">
        <v>19974</v>
      </c>
      <c r="K4206" s="22"/>
      <c r="L4206" s="36">
        <v>685.0</v>
      </c>
      <c r="M4206" s="36">
        <v>30.0</v>
      </c>
      <c r="N4206" s="36"/>
      <c r="O4206" s="36"/>
      <c r="P4206" s="37"/>
      <c r="Q4206" s="36"/>
      <c r="R4206" s="36">
        <v>600.0</v>
      </c>
      <c r="S4206" s="36" t="s">
        <v>85</v>
      </c>
      <c r="T4206" s="41" t="s">
        <v>19975</v>
      </c>
      <c r="U4206" s="38" t="str">
        <f>HYPERLINK("http://www.ncbi.nlm.nih.gov/pubmed/22773117","PubMed")</f>
        <v>PubMed</v>
      </c>
      <c r="V4206" s="30"/>
      <c r="W4206" s="49"/>
      <c r="X4206" s="49"/>
      <c r="Y4206" s="35"/>
      <c r="Z4206" s="35"/>
      <c r="AA4206" s="35"/>
      <c r="AB4206" s="35"/>
      <c r="AC4206" s="35"/>
      <c r="AD4206" s="35"/>
      <c r="AE4206" s="35"/>
      <c r="AF4206" s="35"/>
      <c r="AG4206" s="35"/>
      <c r="AH4206" s="35"/>
      <c r="AI4206" s="35"/>
      <c r="AJ4206" s="35"/>
      <c r="AK4206" s="35"/>
      <c r="AL4206" s="35"/>
    </row>
    <row r="4207">
      <c r="A4207" s="205" t="s">
        <v>38</v>
      </c>
      <c r="B4207" s="19" t="s">
        <v>19332</v>
      </c>
      <c r="C4207" s="20" t="s">
        <v>19848</v>
      </c>
      <c r="D4207" s="47"/>
      <c r="E4207" s="22" t="s">
        <v>18219</v>
      </c>
      <c r="F4207" s="22" t="s">
        <v>1508</v>
      </c>
      <c r="G4207" s="23">
        <v>2011.0</v>
      </c>
      <c r="H4207" s="22" t="s">
        <v>658</v>
      </c>
      <c r="I4207" s="24" t="s">
        <v>19976</v>
      </c>
      <c r="J4207" s="22" t="s">
        <v>19977</v>
      </c>
      <c r="K4207" s="22"/>
      <c r="L4207" s="36">
        <v>800.0</v>
      </c>
      <c r="M4207" s="36"/>
      <c r="N4207" s="36"/>
      <c r="O4207" s="36"/>
      <c r="P4207" s="37" t="s">
        <v>14065</v>
      </c>
      <c r="Q4207" s="36" t="s">
        <v>19978</v>
      </c>
      <c r="R4207" s="36">
        <v>70.0</v>
      </c>
      <c r="S4207" s="36" t="s">
        <v>19979</v>
      </c>
      <c r="T4207" s="28" t="s">
        <v>19980</v>
      </c>
      <c r="U4207" s="38" t="str">
        <f>HYPERLINK("https://www.ncbi.nlm.nih.gov/pubmed/20969436","PubMed")</f>
        <v>PubMed</v>
      </c>
      <c r="V4207" s="30"/>
      <c r="W4207" s="130" t="str">
        <f>HYPERLINK("https://www.ncbi.nlm.nih.gov/pubmed/21492001","Comment")</f>
        <v>Comment</v>
      </c>
      <c r="X4207" s="130" t="str">
        <f>HYPERLINK("http://online.liebertpub.com/doi/pdfplus/10.1089/pho.2011.3064","Reply")</f>
        <v>Reply</v>
      </c>
      <c r="Y4207" s="35"/>
      <c r="Z4207" s="35"/>
      <c r="AA4207" s="35"/>
      <c r="AB4207" s="35"/>
      <c r="AC4207" s="35"/>
      <c r="AD4207" s="35"/>
      <c r="AE4207" s="35"/>
      <c r="AF4207" s="35"/>
      <c r="AG4207" s="35"/>
      <c r="AH4207" s="35"/>
      <c r="AI4207" s="35"/>
      <c r="AJ4207" s="35"/>
      <c r="AK4207" s="35"/>
      <c r="AL4207" s="35"/>
    </row>
    <row r="4208">
      <c r="A4208" s="1"/>
      <c r="B4208" s="19" t="s">
        <v>19332</v>
      </c>
      <c r="C4208" s="20" t="s">
        <v>19848</v>
      </c>
      <c r="D4208" s="47"/>
      <c r="E4208" s="22" t="s">
        <v>19967</v>
      </c>
      <c r="F4208" s="22" t="s">
        <v>1154</v>
      </c>
      <c r="G4208" s="23">
        <v>2011.0</v>
      </c>
      <c r="H4208" s="22" t="s">
        <v>658</v>
      </c>
      <c r="I4208" s="24" t="s">
        <v>19981</v>
      </c>
      <c r="J4208" s="22" t="s">
        <v>19982</v>
      </c>
      <c r="K4208" s="22"/>
      <c r="L4208" s="36">
        <v>660.0</v>
      </c>
      <c r="M4208" s="36">
        <v>40.0</v>
      </c>
      <c r="N4208" s="36"/>
      <c r="O4208" s="36" t="s">
        <v>19983</v>
      </c>
      <c r="P4208" s="37" t="s">
        <v>287</v>
      </c>
      <c r="Q4208" s="36"/>
      <c r="R4208" s="36" t="s">
        <v>12605</v>
      </c>
      <c r="S4208" s="36">
        <v>10.0</v>
      </c>
      <c r="T4208" s="28" t="s">
        <v>19984</v>
      </c>
      <c r="U4208" s="38" t="str">
        <f>HYPERLINK("https://www.ncbi.nlm.nih.gov/pubmed/22150094","PubMed")</f>
        <v>PubMed</v>
      </c>
      <c r="V4208" s="30"/>
      <c r="W4208" s="49"/>
      <c r="X4208" s="49"/>
      <c r="Y4208" s="35"/>
      <c r="Z4208" s="35"/>
      <c r="AA4208" s="35"/>
      <c r="AB4208" s="35"/>
      <c r="AC4208" s="35"/>
      <c r="AD4208" s="35"/>
      <c r="AE4208" s="35"/>
      <c r="AF4208" s="35"/>
      <c r="AG4208" s="35"/>
      <c r="AH4208" s="35"/>
      <c r="AI4208" s="35"/>
      <c r="AJ4208" s="35"/>
      <c r="AK4208" s="35"/>
      <c r="AL4208" s="35"/>
    </row>
    <row r="4209">
      <c r="A4209" s="18" t="s">
        <v>38</v>
      </c>
      <c r="B4209" s="19" t="s">
        <v>19332</v>
      </c>
      <c r="C4209" s="20" t="s">
        <v>19848</v>
      </c>
      <c r="D4209" s="47"/>
      <c r="E4209" s="22" t="s">
        <v>10473</v>
      </c>
      <c r="F4209" s="22" t="s">
        <v>4033</v>
      </c>
      <c r="G4209" s="23">
        <v>2010.0</v>
      </c>
      <c r="H4209" s="22" t="s">
        <v>19985</v>
      </c>
      <c r="I4209" s="24" t="s">
        <v>19986</v>
      </c>
      <c r="J4209" s="22" t="s">
        <v>3059</v>
      </c>
      <c r="K4209" s="22"/>
      <c r="L4209" s="36" t="s">
        <v>19987</v>
      </c>
      <c r="M4209" s="36"/>
      <c r="N4209" s="36"/>
      <c r="O4209" s="36"/>
      <c r="P4209" s="37"/>
      <c r="Q4209" s="36"/>
      <c r="R4209" s="36">
        <v>900.0</v>
      </c>
      <c r="S4209" s="36" t="s">
        <v>2099</v>
      </c>
      <c r="T4209" s="42" t="s">
        <v>19988</v>
      </c>
      <c r="U4209" s="38" t="str">
        <f>HYPERLINK("https://www.ncbi.nlm.nih.gov/pubmed/22238700","PubMed")</f>
        <v>PubMed</v>
      </c>
      <c r="V4209" s="30"/>
      <c r="W4209" s="49"/>
      <c r="X4209" s="49"/>
      <c r="Y4209" s="35"/>
      <c r="Z4209" s="35"/>
      <c r="AA4209" s="35"/>
      <c r="AB4209" s="35"/>
      <c r="AC4209" s="35"/>
      <c r="AD4209" s="35"/>
      <c r="AE4209" s="35"/>
      <c r="AF4209" s="35"/>
      <c r="AG4209" s="35"/>
      <c r="AH4209" s="35"/>
      <c r="AI4209" s="35"/>
      <c r="AJ4209" s="35"/>
      <c r="AK4209" s="35"/>
      <c r="AL4209" s="35"/>
    </row>
    <row r="4210">
      <c r="A4210" s="1"/>
      <c r="B4210" s="19" t="s">
        <v>19332</v>
      </c>
      <c r="C4210" s="20" t="s">
        <v>19848</v>
      </c>
      <c r="D4210" s="47"/>
      <c r="E4210" s="22" t="s">
        <v>19989</v>
      </c>
      <c r="F4210" s="22" t="s">
        <v>41</v>
      </c>
      <c r="G4210" s="23">
        <v>2010.0</v>
      </c>
      <c r="H4210" s="22" t="s">
        <v>658</v>
      </c>
      <c r="I4210" s="24" t="s">
        <v>19990</v>
      </c>
      <c r="J4210" s="22" t="s">
        <v>19991</v>
      </c>
      <c r="K4210" s="22"/>
      <c r="L4210" s="36">
        <v>790.0</v>
      </c>
      <c r="M4210" s="36">
        <v>120.0</v>
      </c>
      <c r="N4210" s="36"/>
      <c r="O4210" s="36"/>
      <c r="P4210" s="37" t="s">
        <v>82</v>
      </c>
      <c r="Q4210" s="36"/>
      <c r="R4210" s="36"/>
      <c r="S4210" s="36" t="s">
        <v>7321</v>
      </c>
      <c r="T4210" s="28" t="s">
        <v>19992</v>
      </c>
      <c r="U4210" s="38" t="str">
        <f>HYPERLINK("https://www.ncbi.nlm.nih.gov/pubmed/21142725","PubMed")</f>
        <v>PubMed</v>
      </c>
      <c r="V4210" s="30"/>
      <c r="W4210" s="49"/>
      <c r="X4210" s="49"/>
      <c r="Y4210" s="35"/>
      <c r="Z4210" s="35"/>
      <c r="AA4210" s="35"/>
      <c r="AB4210" s="35"/>
      <c r="AC4210" s="35"/>
      <c r="AD4210" s="35"/>
      <c r="AE4210" s="35"/>
      <c r="AF4210" s="35"/>
      <c r="AG4210" s="35"/>
      <c r="AH4210" s="35"/>
      <c r="AI4210" s="35"/>
      <c r="AJ4210" s="35"/>
      <c r="AK4210" s="35"/>
      <c r="AL4210" s="35"/>
    </row>
    <row r="4211">
      <c r="A4211" s="1"/>
      <c r="B4211" s="19" t="s">
        <v>19332</v>
      </c>
      <c r="C4211" s="20" t="s">
        <v>19993</v>
      </c>
      <c r="D4211" s="47"/>
      <c r="E4211" s="22" t="s">
        <v>19994</v>
      </c>
      <c r="F4211" s="22" t="s">
        <v>6546</v>
      </c>
      <c r="G4211" s="23">
        <v>2019.0</v>
      </c>
      <c r="H4211" s="22" t="s">
        <v>91</v>
      </c>
      <c r="I4211" s="24" t="s">
        <v>19995</v>
      </c>
      <c r="J4211" s="22" t="s">
        <v>19996</v>
      </c>
      <c r="K4211" s="22" t="s">
        <v>19997</v>
      </c>
      <c r="L4211" s="36" t="s">
        <v>19998</v>
      </c>
      <c r="M4211" s="36"/>
      <c r="N4211" s="36"/>
      <c r="O4211" s="36"/>
      <c r="P4211" s="37"/>
      <c r="Q4211" s="36"/>
      <c r="R4211" s="36"/>
      <c r="S4211" s="36" t="s">
        <v>4905</v>
      </c>
      <c r="T4211" s="28" t="s">
        <v>19999</v>
      </c>
      <c r="U4211" s="38" t="str">
        <f>HYPERLINK("https://www.ncbi.nlm.nih.gov/pubmed/31325124","PubMed")</f>
        <v>PubMed</v>
      </c>
      <c r="V4211" s="50"/>
      <c r="W4211" s="49"/>
      <c r="X4211" s="49"/>
      <c r="Y4211" s="35"/>
      <c r="Z4211" s="35"/>
      <c r="AA4211" s="35"/>
      <c r="AB4211" s="35"/>
      <c r="AC4211" s="35"/>
      <c r="AD4211" s="35"/>
      <c r="AE4211" s="35"/>
      <c r="AF4211" s="35"/>
      <c r="AG4211" s="35"/>
      <c r="AH4211" s="35"/>
      <c r="AI4211" s="35"/>
      <c r="AJ4211" s="35"/>
      <c r="AK4211" s="35"/>
      <c r="AL4211" s="35"/>
    </row>
    <row r="4212">
      <c r="A4212" s="1"/>
      <c r="B4212" s="19" t="s">
        <v>19332</v>
      </c>
      <c r="C4212" s="20" t="s">
        <v>19993</v>
      </c>
      <c r="D4212" s="47"/>
      <c r="E4212" s="22" t="s">
        <v>20000</v>
      </c>
      <c r="F4212" s="22" t="s">
        <v>41</v>
      </c>
      <c r="G4212" s="23">
        <v>2007.0</v>
      </c>
      <c r="H4212" s="22" t="s">
        <v>555</v>
      </c>
      <c r="I4212" s="24" t="s">
        <v>20001</v>
      </c>
      <c r="J4212" s="22" t="s">
        <v>55</v>
      </c>
      <c r="K4212" s="22"/>
      <c r="L4212" s="36">
        <v>660.0</v>
      </c>
      <c r="M4212" s="36">
        <v>30.0</v>
      </c>
      <c r="N4212" s="36"/>
      <c r="O4212" s="36"/>
      <c r="P4212" s="37" t="s">
        <v>432</v>
      </c>
      <c r="Q4212" s="36" t="s">
        <v>1039</v>
      </c>
      <c r="R4212" s="36">
        <v>5.0</v>
      </c>
      <c r="S4212" s="36"/>
      <c r="T4212" s="41" t="s">
        <v>20002</v>
      </c>
      <c r="U4212" s="38" t="str">
        <f>HYPERLINK("https://www.ncbi.nlm.nih.gov/pubmed/17292847","PubMed")</f>
        <v>PubMed</v>
      </c>
      <c r="V4212" s="50"/>
      <c r="W4212" s="49"/>
      <c r="X4212" s="49"/>
      <c r="Y4212" s="35"/>
      <c r="Z4212" s="35"/>
      <c r="AA4212" s="35"/>
      <c r="AB4212" s="35"/>
      <c r="AC4212" s="35"/>
      <c r="AD4212" s="35"/>
      <c r="AE4212" s="35"/>
      <c r="AF4212" s="35"/>
      <c r="AG4212" s="35"/>
      <c r="AH4212" s="35"/>
      <c r="AI4212" s="35"/>
      <c r="AJ4212" s="35"/>
      <c r="AK4212" s="35"/>
      <c r="AL4212" s="35"/>
    </row>
    <row r="4213">
      <c r="A4213" s="1"/>
      <c r="B4213" s="19" t="s">
        <v>19332</v>
      </c>
      <c r="C4213" s="20" t="s">
        <v>20003</v>
      </c>
      <c r="D4213" s="47"/>
      <c r="E4213" s="22" t="s">
        <v>19715</v>
      </c>
      <c r="F4213" s="22" t="s">
        <v>6973</v>
      </c>
      <c r="G4213" s="23">
        <v>2018.0</v>
      </c>
      <c r="H4213" s="22" t="s">
        <v>20004</v>
      </c>
      <c r="I4213" s="24" t="s">
        <v>20005</v>
      </c>
      <c r="J4213" s="22" t="s">
        <v>20006</v>
      </c>
      <c r="K4213" s="22"/>
      <c r="L4213" s="36" t="s">
        <v>58</v>
      </c>
      <c r="M4213" s="36" t="s">
        <v>58</v>
      </c>
      <c r="N4213" s="36" t="s">
        <v>58</v>
      </c>
      <c r="O4213" s="36" t="s">
        <v>58</v>
      </c>
      <c r="P4213" s="37" t="s">
        <v>58</v>
      </c>
      <c r="Q4213" s="36" t="s">
        <v>58</v>
      </c>
      <c r="R4213" s="36" t="s">
        <v>58</v>
      </c>
      <c r="S4213" s="36" t="s">
        <v>58</v>
      </c>
      <c r="T4213" s="28" t="s">
        <v>20007</v>
      </c>
      <c r="U4213" s="38" t="str">
        <f>HYPERLINK("https://www.ncbi.nlm.nih.gov/pubmed/30346674","PubMed")</f>
        <v>PubMed</v>
      </c>
      <c r="V4213" s="50"/>
      <c r="W4213" s="49"/>
      <c r="X4213" s="49"/>
      <c r="Y4213" s="35"/>
      <c r="Z4213" s="35"/>
      <c r="AA4213" s="35"/>
      <c r="AB4213" s="35"/>
      <c r="AC4213" s="35"/>
      <c r="AD4213" s="35"/>
      <c r="AE4213" s="35"/>
      <c r="AF4213" s="35"/>
      <c r="AG4213" s="35"/>
      <c r="AH4213" s="35"/>
      <c r="AI4213" s="35"/>
      <c r="AJ4213" s="35"/>
      <c r="AK4213" s="35"/>
      <c r="AL4213" s="35"/>
    </row>
    <row r="4214">
      <c r="A4214" s="1"/>
      <c r="B4214" s="19" t="s">
        <v>19332</v>
      </c>
      <c r="C4214" s="20" t="s">
        <v>20003</v>
      </c>
      <c r="D4214" s="47"/>
      <c r="E4214" s="22" t="s">
        <v>20008</v>
      </c>
      <c r="F4214" s="22" t="s">
        <v>605</v>
      </c>
      <c r="G4214" s="23">
        <v>2011.0</v>
      </c>
      <c r="H4214" s="22" t="s">
        <v>20009</v>
      </c>
      <c r="I4214" s="24" t="s">
        <v>20010</v>
      </c>
      <c r="J4214" s="22" t="s">
        <v>20011</v>
      </c>
      <c r="K4214" s="22" t="s">
        <v>20012</v>
      </c>
      <c r="L4214" s="36">
        <v>2940.0</v>
      </c>
      <c r="M4214" s="36"/>
      <c r="N4214" s="36"/>
      <c r="O4214" s="36" t="s">
        <v>20013</v>
      </c>
      <c r="P4214" s="37"/>
      <c r="Q4214" s="36"/>
      <c r="R4214" s="36"/>
      <c r="S4214" s="36">
        <v>1.0</v>
      </c>
      <c r="T4214" s="28" t="s">
        <v>20014</v>
      </c>
      <c r="U4214" s="38" t="str">
        <f>HYPERLINK("https://www.ncbi.nlm.nih.gov/pubmed/21473840","PubMed")</f>
        <v>PubMed</v>
      </c>
      <c r="V4214" s="50"/>
      <c r="W4214" s="49"/>
      <c r="X4214" s="49"/>
      <c r="Y4214" s="35"/>
      <c r="Z4214" s="35"/>
      <c r="AA4214" s="35"/>
      <c r="AB4214" s="35"/>
      <c r="AC4214" s="35"/>
      <c r="AD4214" s="35"/>
      <c r="AE4214" s="35"/>
      <c r="AF4214" s="35"/>
      <c r="AG4214" s="35"/>
      <c r="AH4214" s="35"/>
      <c r="AI4214" s="35"/>
      <c r="AJ4214" s="35"/>
      <c r="AK4214" s="35"/>
      <c r="AL4214" s="35"/>
    </row>
    <row r="4215">
      <c r="A4215" s="1"/>
      <c r="B4215" s="19" t="s">
        <v>19332</v>
      </c>
      <c r="C4215" s="20" t="s">
        <v>20015</v>
      </c>
      <c r="D4215" s="47"/>
      <c r="E4215" s="22" t="s">
        <v>20016</v>
      </c>
      <c r="F4215" s="22" t="s">
        <v>1714</v>
      </c>
      <c r="G4215" s="23">
        <v>2024.0</v>
      </c>
      <c r="H4215" s="22" t="s">
        <v>91</v>
      </c>
      <c r="I4215" s="24" t="s">
        <v>20017</v>
      </c>
      <c r="J4215" s="22" t="s">
        <v>31</v>
      </c>
      <c r="K4215" s="22"/>
      <c r="L4215" s="36">
        <v>910.0</v>
      </c>
      <c r="M4215" s="36"/>
      <c r="N4215" s="36"/>
      <c r="O4215" s="36"/>
      <c r="P4215" s="37" t="s">
        <v>8012</v>
      </c>
      <c r="Q4215" s="36"/>
      <c r="R4215" s="36"/>
      <c r="S4215" s="36"/>
      <c r="T4215" s="28" t="s">
        <v>20018</v>
      </c>
      <c r="U4215" s="38" t="s">
        <v>61</v>
      </c>
      <c r="V4215" s="50"/>
      <c r="W4215" s="49"/>
      <c r="X4215" s="49"/>
      <c r="Y4215" s="35"/>
      <c r="Z4215" s="35"/>
      <c r="AA4215" s="35"/>
      <c r="AB4215" s="35"/>
      <c r="AC4215" s="35"/>
      <c r="AD4215" s="35"/>
      <c r="AE4215" s="35"/>
      <c r="AF4215" s="35"/>
      <c r="AG4215" s="35"/>
      <c r="AH4215" s="35"/>
      <c r="AI4215" s="35"/>
      <c r="AJ4215" s="35"/>
      <c r="AK4215" s="35"/>
      <c r="AL4215" s="35"/>
    </row>
    <row r="4216">
      <c r="A4216" s="1"/>
      <c r="B4216" s="19" t="s">
        <v>19332</v>
      </c>
      <c r="C4216" s="20" t="s">
        <v>20015</v>
      </c>
      <c r="D4216" s="47"/>
      <c r="E4216" s="22" t="s">
        <v>20019</v>
      </c>
      <c r="F4216" s="22" t="s">
        <v>814</v>
      </c>
      <c r="G4216" s="23">
        <v>2017.0</v>
      </c>
      <c r="H4216" s="22" t="s">
        <v>91</v>
      </c>
      <c r="I4216" s="24" t="s">
        <v>20020</v>
      </c>
      <c r="J4216" s="22" t="s">
        <v>31</v>
      </c>
      <c r="K4216" s="22"/>
      <c r="L4216" s="36"/>
      <c r="M4216" s="36">
        <v>300.0</v>
      </c>
      <c r="N4216" s="36"/>
      <c r="O4216" s="36"/>
      <c r="P4216" s="37"/>
      <c r="Q4216" s="36"/>
      <c r="R4216" s="36"/>
      <c r="S4216" s="36"/>
      <c r="T4216" s="28" t="s">
        <v>20021</v>
      </c>
      <c r="U4216" s="38" t="str">
        <f>HYPERLINK("https://www.ncbi.nlm.nih.gov/pubmed/28332131","PubMed")</f>
        <v>PubMed</v>
      </c>
      <c r="V4216" s="50"/>
      <c r="W4216" s="49"/>
      <c r="X4216" s="49"/>
      <c r="Y4216" s="35"/>
      <c r="Z4216" s="35"/>
      <c r="AA4216" s="35"/>
      <c r="AB4216" s="35"/>
      <c r="AC4216" s="35"/>
      <c r="AD4216" s="35"/>
      <c r="AE4216" s="35"/>
      <c r="AF4216" s="35"/>
      <c r="AG4216" s="35"/>
      <c r="AH4216" s="35"/>
      <c r="AI4216" s="35"/>
      <c r="AJ4216" s="35"/>
      <c r="AK4216" s="35"/>
      <c r="AL4216" s="35"/>
    </row>
    <row r="4217">
      <c r="A4217" s="1"/>
      <c r="B4217" s="19" t="s">
        <v>19332</v>
      </c>
      <c r="C4217" s="20" t="s">
        <v>20022</v>
      </c>
      <c r="D4217" s="47"/>
      <c r="E4217" s="22" t="s">
        <v>20023</v>
      </c>
      <c r="F4217" s="22" t="s">
        <v>4908</v>
      </c>
      <c r="G4217" s="23">
        <v>2015.0</v>
      </c>
      <c r="H4217" s="22" t="s">
        <v>10656</v>
      </c>
      <c r="I4217" s="24" t="s">
        <v>20024</v>
      </c>
      <c r="J4217" s="22" t="s">
        <v>55</v>
      </c>
      <c r="K4217" s="22"/>
      <c r="L4217" s="36">
        <v>830.0</v>
      </c>
      <c r="M4217" s="36"/>
      <c r="N4217" s="36"/>
      <c r="O4217" s="36"/>
      <c r="P4217" s="37"/>
      <c r="Q4217" s="36"/>
      <c r="R4217" s="36"/>
      <c r="S4217" s="36"/>
      <c r="T4217" s="28" t="s">
        <v>20025</v>
      </c>
      <c r="U4217" s="38" t="str">
        <f>HYPERLINK("https://www.ncbi.nlm.nih.gov/pubmed/25619953","PubMed")</f>
        <v>PubMed</v>
      </c>
      <c r="V4217" s="50"/>
      <c r="W4217" s="49"/>
      <c r="X4217" s="49"/>
      <c r="Y4217" s="35"/>
      <c r="Z4217" s="35"/>
      <c r="AA4217" s="35"/>
      <c r="AB4217" s="35"/>
      <c r="AC4217" s="35"/>
      <c r="AD4217" s="35"/>
      <c r="AE4217" s="35"/>
      <c r="AF4217" s="35"/>
      <c r="AG4217" s="35"/>
      <c r="AH4217" s="35"/>
      <c r="AI4217" s="35"/>
      <c r="AJ4217" s="35"/>
      <c r="AK4217" s="35"/>
      <c r="AL4217" s="35"/>
    </row>
    <row r="4218">
      <c r="A4218" s="1"/>
      <c r="B4218" s="19" t="s">
        <v>19332</v>
      </c>
      <c r="C4218" s="20" t="s">
        <v>20026</v>
      </c>
      <c r="D4218" s="47"/>
      <c r="E4218" s="22" t="s">
        <v>20027</v>
      </c>
      <c r="F4218" s="22" t="s">
        <v>3492</v>
      </c>
      <c r="G4218" s="23">
        <v>2020.0</v>
      </c>
      <c r="H4218" s="22" t="s">
        <v>1760</v>
      </c>
      <c r="I4218" s="24" t="s">
        <v>20028</v>
      </c>
      <c r="J4218" s="22" t="s">
        <v>20029</v>
      </c>
      <c r="K4218" s="22"/>
      <c r="L4218" s="36" t="s">
        <v>20030</v>
      </c>
      <c r="M4218" s="36">
        <v>300.0</v>
      </c>
      <c r="N4218" s="36"/>
      <c r="O4218" s="36"/>
      <c r="P4218" s="37"/>
      <c r="Q4218" s="36"/>
      <c r="R4218" s="36"/>
      <c r="S4218" s="36" t="s">
        <v>4905</v>
      </c>
      <c r="T4218" s="28" t="s">
        <v>20031</v>
      </c>
      <c r="U4218" s="29" t="s">
        <v>61</v>
      </c>
      <c r="V4218" s="50"/>
      <c r="W4218" s="49"/>
      <c r="X4218" s="49"/>
      <c r="Y4218" s="35"/>
      <c r="Z4218" s="35"/>
      <c r="AA4218" s="35"/>
      <c r="AB4218" s="35"/>
      <c r="AC4218" s="35"/>
      <c r="AD4218" s="35"/>
      <c r="AE4218" s="35"/>
      <c r="AF4218" s="35"/>
      <c r="AG4218" s="35"/>
      <c r="AH4218" s="35"/>
      <c r="AI4218" s="35"/>
      <c r="AJ4218" s="35"/>
      <c r="AK4218" s="35"/>
      <c r="AL4218" s="35"/>
    </row>
    <row r="4219">
      <c r="A4219" s="1"/>
      <c r="B4219" s="19" t="s">
        <v>19332</v>
      </c>
      <c r="C4219" s="20" t="s">
        <v>20032</v>
      </c>
      <c r="D4219" s="47"/>
      <c r="E4219" s="22" t="s">
        <v>856</v>
      </c>
      <c r="F4219" s="22" t="s">
        <v>183</v>
      </c>
      <c r="G4219" s="23">
        <v>2009.0</v>
      </c>
      <c r="H4219" s="22" t="s">
        <v>658</v>
      </c>
      <c r="I4219" s="24" t="s">
        <v>20033</v>
      </c>
      <c r="J4219" s="22" t="s">
        <v>20034</v>
      </c>
      <c r="K4219" s="22"/>
      <c r="L4219" s="36">
        <v>660.0</v>
      </c>
      <c r="M4219" s="36">
        <v>30.0</v>
      </c>
      <c r="N4219" s="36"/>
      <c r="O4219" s="36"/>
      <c r="P4219" s="37" t="s">
        <v>1028</v>
      </c>
      <c r="Q4219" s="36" t="s">
        <v>9545</v>
      </c>
      <c r="R4219" s="36"/>
      <c r="S4219" s="36" t="s">
        <v>20035</v>
      </c>
      <c r="T4219" s="28" t="s">
        <v>20036</v>
      </c>
      <c r="U4219" s="38" t="str">
        <f>HYPERLINK("https://www.ncbi.nlm.nih.gov/pubmed/19878031","PubMed")</f>
        <v>PubMed</v>
      </c>
      <c r="V4219" s="50"/>
      <c r="W4219" s="49"/>
      <c r="X4219" s="49"/>
      <c r="Y4219" s="35"/>
      <c r="Z4219" s="35"/>
      <c r="AA4219" s="35"/>
      <c r="AB4219" s="35"/>
      <c r="AC4219" s="35"/>
      <c r="AD4219" s="35"/>
      <c r="AE4219" s="35"/>
      <c r="AF4219" s="35"/>
      <c r="AG4219" s="35"/>
      <c r="AH4219" s="35"/>
      <c r="AI4219" s="35"/>
      <c r="AJ4219" s="35"/>
      <c r="AK4219" s="35"/>
      <c r="AL4219" s="35"/>
    </row>
    <row r="4220">
      <c r="A4220" s="1"/>
      <c r="B4220" s="19" t="s">
        <v>19332</v>
      </c>
      <c r="C4220" s="20" t="s">
        <v>20037</v>
      </c>
      <c r="D4220" s="47"/>
      <c r="E4220" s="22" t="s">
        <v>20038</v>
      </c>
      <c r="F4220" s="22" t="s">
        <v>20039</v>
      </c>
      <c r="G4220" s="23">
        <v>2022.0</v>
      </c>
      <c r="H4220" s="22" t="s">
        <v>8420</v>
      </c>
      <c r="I4220" s="24" t="s">
        <v>20040</v>
      </c>
      <c r="J4220" s="22" t="s">
        <v>8456</v>
      </c>
      <c r="K4220" s="22"/>
      <c r="L4220" s="94" t="s">
        <v>58</v>
      </c>
      <c r="M4220" s="94" t="s">
        <v>58</v>
      </c>
      <c r="N4220" s="94" t="s">
        <v>58</v>
      </c>
      <c r="O4220" s="94" t="s">
        <v>58</v>
      </c>
      <c r="P4220" s="94" t="s">
        <v>58</v>
      </c>
      <c r="Q4220" s="94" t="s">
        <v>58</v>
      </c>
      <c r="R4220" s="94" t="s">
        <v>58</v>
      </c>
      <c r="S4220" s="94">
        <v>3.0</v>
      </c>
      <c r="T4220" s="54" t="s">
        <v>20041</v>
      </c>
      <c r="U4220" s="38" t="s">
        <v>61</v>
      </c>
      <c r="V4220" s="30"/>
      <c r="W4220" s="49"/>
      <c r="X4220" s="49"/>
      <c r="Y4220" s="35"/>
      <c r="Z4220" s="35"/>
      <c r="AA4220" s="35"/>
      <c r="AB4220" s="35"/>
      <c r="AC4220" s="35"/>
      <c r="AD4220" s="35"/>
      <c r="AE4220" s="35"/>
      <c r="AF4220" s="35"/>
      <c r="AG4220" s="35"/>
      <c r="AH4220" s="35"/>
      <c r="AI4220" s="35"/>
      <c r="AJ4220" s="35"/>
      <c r="AK4220" s="35"/>
      <c r="AL4220" s="35"/>
    </row>
    <row r="4221">
      <c r="A4221" s="1"/>
      <c r="B4221" s="19" t="s">
        <v>19332</v>
      </c>
      <c r="C4221" s="20" t="s">
        <v>20037</v>
      </c>
      <c r="D4221" s="47"/>
      <c r="E4221" s="22" t="s">
        <v>1801</v>
      </c>
      <c r="F4221" s="22" t="s">
        <v>358</v>
      </c>
      <c r="G4221" s="23">
        <v>2022.0</v>
      </c>
      <c r="H4221" s="22" t="s">
        <v>20042</v>
      </c>
      <c r="I4221" s="24" t="s">
        <v>20043</v>
      </c>
      <c r="J4221" s="22" t="s">
        <v>1078</v>
      </c>
      <c r="K4221" s="22"/>
      <c r="L4221" s="53" t="s">
        <v>20044</v>
      </c>
      <c r="U4221" s="29" t="s">
        <v>61</v>
      </c>
      <c r="V4221" s="30"/>
      <c r="W4221" s="49"/>
      <c r="X4221" s="49"/>
      <c r="Y4221" s="35"/>
      <c r="Z4221" s="35"/>
      <c r="AA4221" s="35"/>
      <c r="AB4221" s="35"/>
      <c r="AC4221" s="35"/>
      <c r="AD4221" s="35"/>
      <c r="AE4221" s="35"/>
      <c r="AF4221" s="35"/>
      <c r="AG4221" s="35"/>
      <c r="AH4221" s="35"/>
      <c r="AI4221" s="35"/>
      <c r="AJ4221" s="35"/>
      <c r="AK4221" s="35"/>
      <c r="AL4221" s="35"/>
    </row>
    <row r="4222">
      <c r="A4222" s="1"/>
      <c r="B4222" s="19" t="s">
        <v>19332</v>
      </c>
      <c r="C4222" s="20" t="s">
        <v>20037</v>
      </c>
      <c r="D4222" s="47"/>
      <c r="E4222" s="22" t="s">
        <v>20045</v>
      </c>
      <c r="F4222" s="22" t="s">
        <v>41</v>
      </c>
      <c r="G4222" s="23">
        <v>2022.0</v>
      </c>
      <c r="H4222" s="22" t="s">
        <v>1485</v>
      </c>
      <c r="I4222" s="24" t="s">
        <v>20046</v>
      </c>
      <c r="J4222" s="22" t="s">
        <v>17572</v>
      </c>
      <c r="K4222" s="22" t="s">
        <v>19336</v>
      </c>
      <c r="L4222" s="52" t="s">
        <v>20047</v>
      </c>
      <c r="M4222" s="52"/>
      <c r="N4222" s="52"/>
      <c r="O4222" s="52"/>
      <c r="P4222" s="189"/>
      <c r="Q4222" s="52"/>
      <c r="R4222" s="52"/>
      <c r="S4222" s="52"/>
      <c r="T4222" s="28" t="s">
        <v>20048</v>
      </c>
      <c r="U4222" s="29" t="s">
        <v>61</v>
      </c>
      <c r="V4222" s="30"/>
      <c r="W4222" s="49"/>
      <c r="X4222" s="49"/>
      <c r="Y4222" s="35"/>
      <c r="Z4222" s="35"/>
      <c r="AA4222" s="35"/>
      <c r="AB4222" s="35"/>
      <c r="AC4222" s="35"/>
      <c r="AD4222" s="35"/>
      <c r="AE4222" s="35"/>
      <c r="AF4222" s="35"/>
      <c r="AG4222" s="35"/>
      <c r="AH4222" s="35"/>
      <c r="AI4222" s="35"/>
      <c r="AJ4222" s="35"/>
      <c r="AK4222" s="35"/>
      <c r="AL4222" s="35"/>
    </row>
    <row r="4223">
      <c r="A4223" s="1"/>
      <c r="B4223" s="19" t="s">
        <v>19332</v>
      </c>
      <c r="C4223" s="20" t="s">
        <v>20037</v>
      </c>
      <c r="D4223" s="47"/>
      <c r="E4223" s="22" t="s">
        <v>15555</v>
      </c>
      <c r="F4223" s="22" t="s">
        <v>16031</v>
      </c>
      <c r="G4223" s="23">
        <v>2021.0</v>
      </c>
      <c r="H4223" s="22" t="s">
        <v>1485</v>
      </c>
      <c r="I4223" s="24" t="s">
        <v>20049</v>
      </c>
      <c r="J4223" s="22" t="s">
        <v>20050</v>
      </c>
      <c r="K4223" s="22" t="s">
        <v>20051</v>
      </c>
      <c r="L4223" s="36">
        <v>660.0</v>
      </c>
      <c r="M4223" s="36">
        <v>100.0</v>
      </c>
      <c r="N4223" s="36"/>
      <c r="O4223" s="36"/>
      <c r="P4223" s="37" t="s">
        <v>3463</v>
      </c>
      <c r="Q4223" s="36"/>
      <c r="R4223" s="36"/>
      <c r="S4223" s="36"/>
      <c r="T4223" s="28" t="s">
        <v>20052</v>
      </c>
      <c r="U4223" s="29" t="s">
        <v>61</v>
      </c>
      <c r="V4223" s="50"/>
      <c r="W4223" s="49"/>
      <c r="X4223" s="49"/>
      <c r="Y4223" s="35"/>
      <c r="Z4223" s="35"/>
      <c r="AA4223" s="35"/>
      <c r="AB4223" s="35"/>
      <c r="AC4223" s="35"/>
      <c r="AD4223" s="35"/>
      <c r="AE4223" s="35"/>
      <c r="AF4223" s="35"/>
      <c r="AG4223" s="35"/>
      <c r="AH4223" s="35"/>
      <c r="AI4223" s="35"/>
      <c r="AJ4223" s="35"/>
      <c r="AK4223" s="35"/>
      <c r="AL4223" s="35"/>
    </row>
    <row r="4224">
      <c r="A4224" s="1"/>
      <c r="B4224" s="75" t="s">
        <v>19332</v>
      </c>
      <c r="C4224" s="76" t="s">
        <v>20053</v>
      </c>
      <c r="D4224" s="47"/>
      <c r="E4224" s="22" t="s">
        <v>20054</v>
      </c>
      <c r="F4224" s="22" t="s">
        <v>237</v>
      </c>
      <c r="G4224" s="23">
        <v>2021.0</v>
      </c>
      <c r="H4224" s="22" t="s">
        <v>1417</v>
      </c>
      <c r="I4224" s="24" t="s">
        <v>20055</v>
      </c>
      <c r="J4224" s="22" t="s">
        <v>20056</v>
      </c>
      <c r="K4224" s="22" t="s">
        <v>20057</v>
      </c>
      <c r="L4224" s="36">
        <v>660.0</v>
      </c>
      <c r="M4224" s="36">
        <v>100.0</v>
      </c>
      <c r="N4224" s="36"/>
      <c r="O4224" s="36">
        <v>60.0</v>
      </c>
      <c r="P4224" s="37"/>
      <c r="Q4224" s="36"/>
      <c r="R4224" s="36"/>
      <c r="S4224" s="36"/>
      <c r="T4224" s="42" t="s">
        <v>20058</v>
      </c>
      <c r="U4224" s="29" t="s">
        <v>61</v>
      </c>
      <c r="V4224" s="30" t="s">
        <v>20059</v>
      </c>
      <c r="W4224" s="49"/>
      <c r="X4224" s="49"/>
      <c r="Y4224" s="35"/>
      <c r="Z4224" s="35"/>
      <c r="AA4224" s="35"/>
      <c r="AB4224" s="35"/>
      <c r="AC4224" s="35"/>
      <c r="AD4224" s="35"/>
      <c r="AE4224" s="35"/>
      <c r="AF4224" s="35"/>
      <c r="AG4224" s="35"/>
      <c r="AH4224" s="35"/>
      <c r="AI4224" s="35"/>
      <c r="AJ4224" s="35"/>
      <c r="AK4224" s="35"/>
      <c r="AL4224" s="35"/>
    </row>
    <row r="4225">
      <c r="A4225" s="40" t="s">
        <v>38</v>
      </c>
      <c r="B4225" s="75" t="s">
        <v>19332</v>
      </c>
      <c r="C4225" s="76" t="s">
        <v>20060</v>
      </c>
      <c r="D4225" s="47"/>
      <c r="E4225" s="22" t="s">
        <v>20061</v>
      </c>
      <c r="F4225" s="22" t="s">
        <v>468</v>
      </c>
      <c r="G4225" s="23">
        <v>2023.0</v>
      </c>
      <c r="H4225" s="22" t="s">
        <v>469</v>
      </c>
      <c r="I4225" s="24" t="s">
        <v>20062</v>
      </c>
      <c r="J4225" s="22" t="s">
        <v>20063</v>
      </c>
      <c r="K4225" s="22"/>
      <c r="L4225" s="36" t="s">
        <v>20064</v>
      </c>
      <c r="M4225" s="36" t="s">
        <v>20065</v>
      </c>
      <c r="N4225" s="36"/>
      <c r="O4225" s="36" t="s">
        <v>20066</v>
      </c>
      <c r="P4225" s="37"/>
      <c r="Q4225" s="36"/>
      <c r="R4225" s="36"/>
      <c r="S4225" s="36" t="s">
        <v>20067</v>
      </c>
      <c r="T4225" s="28" t="s">
        <v>20068</v>
      </c>
      <c r="U4225" s="38" t="s">
        <v>61</v>
      </c>
      <c r="V4225" s="50"/>
      <c r="W4225" s="49"/>
      <c r="X4225" s="49"/>
      <c r="Y4225" s="35"/>
      <c r="Z4225" s="35"/>
      <c r="AA4225" s="35"/>
      <c r="AB4225" s="35"/>
      <c r="AC4225" s="35"/>
      <c r="AD4225" s="35"/>
      <c r="AE4225" s="35"/>
      <c r="AF4225" s="35"/>
      <c r="AG4225" s="35"/>
      <c r="AH4225" s="35"/>
      <c r="AI4225" s="35"/>
      <c r="AJ4225" s="35"/>
      <c r="AK4225" s="35"/>
      <c r="AL4225" s="35"/>
    </row>
    <row r="4226">
      <c r="A4226" s="1"/>
      <c r="B4226" s="75" t="s">
        <v>19332</v>
      </c>
      <c r="C4226" s="76" t="s">
        <v>20060</v>
      </c>
      <c r="D4226" s="47"/>
      <c r="E4226" s="22" t="s">
        <v>20069</v>
      </c>
      <c r="F4226" s="22" t="s">
        <v>9717</v>
      </c>
      <c r="G4226" s="23">
        <v>2023.0</v>
      </c>
      <c r="H4226" s="22" t="s">
        <v>8884</v>
      </c>
      <c r="I4226" s="24" t="s">
        <v>20070</v>
      </c>
      <c r="J4226" s="22" t="s">
        <v>19677</v>
      </c>
      <c r="K4226" s="22"/>
      <c r="L4226" s="36">
        <v>810.0</v>
      </c>
      <c r="M4226" s="36">
        <v>100.0</v>
      </c>
      <c r="N4226" s="36"/>
      <c r="O4226" s="36"/>
      <c r="P4226" s="37" t="s">
        <v>82</v>
      </c>
      <c r="Q4226" s="36"/>
      <c r="R4226" s="36" t="s">
        <v>420</v>
      </c>
      <c r="S4226" s="36"/>
      <c r="T4226" s="41" t="s">
        <v>20071</v>
      </c>
      <c r="U4226" s="38" t="s">
        <v>61</v>
      </c>
      <c r="V4226" s="50"/>
      <c r="W4226" s="49"/>
      <c r="X4226" s="49"/>
      <c r="Y4226" s="35"/>
      <c r="Z4226" s="35"/>
      <c r="AA4226" s="35"/>
      <c r="AB4226" s="35"/>
      <c r="AC4226" s="35"/>
      <c r="AD4226" s="35"/>
      <c r="AE4226" s="35"/>
      <c r="AF4226" s="35"/>
      <c r="AG4226" s="35"/>
      <c r="AH4226" s="35"/>
      <c r="AI4226" s="35"/>
      <c r="AJ4226" s="35"/>
      <c r="AK4226" s="35"/>
      <c r="AL4226" s="35"/>
    </row>
    <row r="4227">
      <c r="A4227" s="1"/>
      <c r="B4227" s="75" t="s">
        <v>19332</v>
      </c>
      <c r="C4227" s="76" t="s">
        <v>20060</v>
      </c>
      <c r="D4227" s="47"/>
      <c r="E4227" s="22" t="s">
        <v>20072</v>
      </c>
      <c r="F4227" s="22" t="s">
        <v>20073</v>
      </c>
      <c r="G4227" s="23">
        <v>2019.0</v>
      </c>
      <c r="H4227" s="22" t="s">
        <v>20074</v>
      </c>
      <c r="I4227" s="24" t="s">
        <v>20075</v>
      </c>
      <c r="J4227" s="22" t="s">
        <v>20076</v>
      </c>
      <c r="K4227" s="22"/>
      <c r="L4227" s="36" t="s">
        <v>20077</v>
      </c>
      <c r="M4227" s="36"/>
      <c r="N4227" s="36" t="s">
        <v>1018</v>
      </c>
      <c r="O4227" s="36"/>
      <c r="P4227" s="37"/>
      <c r="Q4227" s="36"/>
      <c r="R4227" s="36">
        <v>300.0</v>
      </c>
      <c r="S4227" s="36" t="s">
        <v>20078</v>
      </c>
      <c r="T4227" s="28" t="s">
        <v>20079</v>
      </c>
      <c r="U4227" s="38" t="str">
        <f>HYPERLINK("https://www.ncbi.nlm.nih.gov/pubmed/31293929","PubMed")</f>
        <v>PubMed</v>
      </c>
      <c r="V4227" s="50"/>
      <c r="W4227" s="49"/>
      <c r="X4227" s="49"/>
      <c r="Y4227" s="35"/>
      <c r="Z4227" s="35"/>
      <c r="AA4227" s="35"/>
      <c r="AB4227" s="35"/>
      <c r="AC4227" s="35"/>
      <c r="AD4227" s="35"/>
      <c r="AE4227" s="35"/>
      <c r="AF4227" s="35"/>
      <c r="AG4227" s="35"/>
      <c r="AH4227" s="35"/>
      <c r="AI4227" s="35"/>
      <c r="AJ4227" s="35"/>
      <c r="AK4227" s="35"/>
      <c r="AL4227" s="35"/>
    </row>
    <row r="4228">
      <c r="A4228" s="1"/>
      <c r="B4228" s="75" t="s">
        <v>19332</v>
      </c>
      <c r="C4228" s="76" t="s">
        <v>20060</v>
      </c>
      <c r="D4228" s="47"/>
      <c r="E4228" s="22" t="s">
        <v>5978</v>
      </c>
      <c r="F4228" s="22" t="s">
        <v>765</v>
      </c>
      <c r="G4228" s="23">
        <v>2018.0</v>
      </c>
      <c r="H4228" s="22" t="s">
        <v>20080</v>
      </c>
      <c r="I4228" s="24" t="s">
        <v>20081</v>
      </c>
      <c r="J4228" s="22" t="s">
        <v>20082</v>
      </c>
      <c r="K4228" s="22"/>
      <c r="L4228" s="36">
        <v>830.0</v>
      </c>
      <c r="M4228" s="36">
        <v>40.0</v>
      </c>
      <c r="N4228" s="36" t="s">
        <v>20083</v>
      </c>
      <c r="O4228" s="36" t="s">
        <v>20084</v>
      </c>
      <c r="P4228" s="37"/>
      <c r="Q4228" s="36" t="s">
        <v>20085</v>
      </c>
      <c r="R4228" s="36"/>
      <c r="S4228" s="36">
        <v>1.0</v>
      </c>
      <c r="T4228" s="42" t="s">
        <v>20086</v>
      </c>
      <c r="U4228" s="38" t="str">
        <f>HYPERLINK("https://www.ncbi.nlm.nih.gov/pubmed/30059390","PubMed")</f>
        <v>PubMed</v>
      </c>
      <c r="V4228" s="50"/>
      <c r="W4228" s="49"/>
      <c r="X4228" s="49"/>
      <c r="Y4228" s="35"/>
      <c r="Z4228" s="35"/>
      <c r="AA4228" s="35"/>
      <c r="AB4228" s="35"/>
      <c r="AC4228" s="35"/>
      <c r="AD4228" s="35"/>
      <c r="AE4228" s="35"/>
      <c r="AF4228" s="35"/>
      <c r="AG4228" s="35"/>
      <c r="AH4228" s="35"/>
      <c r="AI4228" s="35"/>
      <c r="AJ4228" s="35"/>
      <c r="AK4228" s="35"/>
      <c r="AL4228" s="35"/>
    </row>
    <row r="4229">
      <c r="A4229" s="1"/>
      <c r="B4229" s="75" t="s">
        <v>19332</v>
      </c>
      <c r="C4229" s="76" t="s">
        <v>20087</v>
      </c>
      <c r="D4229" s="47"/>
      <c r="E4229" s="22" t="s">
        <v>20088</v>
      </c>
      <c r="F4229" s="22" t="s">
        <v>1943</v>
      </c>
      <c r="G4229" s="23">
        <v>2023.0</v>
      </c>
      <c r="H4229" s="22" t="s">
        <v>2375</v>
      </c>
      <c r="I4229" s="24" t="s">
        <v>20089</v>
      </c>
      <c r="J4229" s="22" t="s">
        <v>20090</v>
      </c>
      <c r="K4229" s="22" t="s">
        <v>19911</v>
      </c>
      <c r="L4229" s="36">
        <v>808.0</v>
      </c>
      <c r="M4229" s="36">
        <v>50.0</v>
      </c>
      <c r="N4229" s="36"/>
      <c r="O4229" s="36"/>
      <c r="P4229" s="37"/>
      <c r="Q4229" s="36" t="s">
        <v>20091</v>
      </c>
      <c r="R4229" s="36"/>
      <c r="S4229" s="36"/>
      <c r="T4229" s="41" t="s">
        <v>20092</v>
      </c>
      <c r="U4229" s="38" t="s">
        <v>61</v>
      </c>
      <c r="V4229" s="50"/>
      <c r="W4229" s="49"/>
      <c r="X4229" s="49"/>
      <c r="Y4229" s="35"/>
      <c r="Z4229" s="35"/>
      <c r="AA4229" s="35"/>
      <c r="AB4229" s="35"/>
      <c r="AC4229" s="35"/>
      <c r="AD4229" s="35"/>
      <c r="AE4229" s="35"/>
      <c r="AF4229" s="35"/>
      <c r="AG4229" s="35"/>
      <c r="AH4229" s="35"/>
      <c r="AI4229" s="35"/>
      <c r="AJ4229" s="35"/>
      <c r="AK4229" s="35"/>
      <c r="AL4229" s="35"/>
    </row>
    <row r="4230">
      <c r="A4230" s="1"/>
      <c r="B4230" s="75" t="s">
        <v>19332</v>
      </c>
      <c r="C4230" s="76" t="s">
        <v>20093</v>
      </c>
      <c r="D4230" s="47"/>
      <c r="E4230" s="22" t="s">
        <v>20094</v>
      </c>
      <c r="F4230" s="22" t="s">
        <v>20095</v>
      </c>
      <c r="G4230" s="23">
        <v>2020.0</v>
      </c>
      <c r="H4230" s="22" t="s">
        <v>819</v>
      </c>
      <c r="I4230" s="24" t="s">
        <v>20096</v>
      </c>
      <c r="J4230" s="22" t="s">
        <v>20097</v>
      </c>
      <c r="K4230" s="22"/>
      <c r="L4230" s="36"/>
      <c r="M4230" s="36"/>
      <c r="N4230" s="36"/>
      <c r="O4230" s="36" t="s">
        <v>20098</v>
      </c>
      <c r="P4230" s="37" t="s">
        <v>269</v>
      </c>
      <c r="Q4230" s="36"/>
      <c r="R4230" s="36"/>
      <c r="S4230" s="36"/>
      <c r="T4230" s="42" t="s">
        <v>20099</v>
      </c>
      <c r="U4230" s="29" t="s">
        <v>61</v>
      </c>
      <c r="V4230" s="30" t="s">
        <v>174</v>
      </c>
      <c r="W4230" s="49"/>
      <c r="X4230" s="49"/>
      <c r="Y4230" s="35"/>
      <c r="Z4230" s="35"/>
      <c r="AA4230" s="35"/>
      <c r="AB4230" s="35"/>
      <c r="AC4230" s="35"/>
      <c r="AD4230" s="35"/>
      <c r="AE4230" s="35"/>
      <c r="AF4230" s="35"/>
      <c r="AG4230" s="35"/>
      <c r="AH4230" s="35"/>
      <c r="AI4230" s="35"/>
      <c r="AJ4230" s="35"/>
      <c r="AK4230" s="35"/>
      <c r="AL4230" s="35"/>
    </row>
    <row r="4231">
      <c r="A4231" s="1"/>
      <c r="B4231" s="75" t="s">
        <v>19332</v>
      </c>
      <c r="C4231" s="76" t="s">
        <v>20100</v>
      </c>
      <c r="D4231" s="47"/>
      <c r="E4231" s="22" t="s">
        <v>20101</v>
      </c>
      <c r="F4231" s="22" t="s">
        <v>358</v>
      </c>
      <c r="G4231" s="23">
        <v>2021.0</v>
      </c>
      <c r="H4231" s="22" t="s">
        <v>91</v>
      </c>
      <c r="I4231" s="24" t="s">
        <v>20102</v>
      </c>
      <c r="J4231" s="22" t="s">
        <v>31</v>
      </c>
      <c r="K4231" s="22" t="s">
        <v>740</v>
      </c>
      <c r="L4231" s="36">
        <v>810.0</v>
      </c>
      <c r="M4231" s="36">
        <v>20.0</v>
      </c>
      <c r="N4231" s="36"/>
      <c r="O4231" s="36"/>
      <c r="P4231" s="37" t="s">
        <v>969</v>
      </c>
      <c r="Q4231" s="36"/>
      <c r="R4231" s="36"/>
      <c r="S4231" s="36"/>
      <c r="T4231" s="28" t="s">
        <v>20103</v>
      </c>
      <c r="U4231" s="29" t="s">
        <v>61</v>
      </c>
      <c r="V4231" s="50"/>
      <c r="W4231" s="49"/>
      <c r="X4231" s="49"/>
      <c r="Y4231" s="35"/>
      <c r="Z4231" s="35"/>
      <c r="AA4231" s="35"/>
      <c r="AB4231" s="35"/>
      <c r="AC4231" s="35"/>
      <c r="AD4231" s="35"/>
      <c r="AE4231" s="35"/>
      <c r="AF4231" s="35"/>
      <c r="AG4231" s="35"/>
      <c r="AH4231" s="35"/>
      <c r="AI4231" s="35"/>
      <c r="AJ4231" s="35"/>
      <c r="AK4231" s="35"/>
      <c r="AL4231" s="35"/>
    </row>
    <row r="4232">
      <c r="A4232" s="1"/>
      <c r="B4232" s="75" t="s">
        <v>19332</v>
      </c>
      <c r="C4232" s="76" t="s">
        <v>20104</v>
      </c>
      <c r="D4232" s="47"/>
      <c r="E4232" s="22" t="s">
        <v>20105</v>
      </c>
      <c r="F4232" s="22" t="s">
        <v>20106</v>
      </c>
      <c r="G4232" s="23">
        <v>2022.0</v>
      </c>
      <c r="H4232" s="22" t="s">
        <v>7041</v>
      </c>
      <c r="I4232" s="24" t="s">
        <v>20107</v>
      </c>
      <c r="J4232" s="22" t="s">
        <v>20108</v>
      </c>
      <c r="K4232" s="22" t="s">
        <v>2158</v>
      </c>
      <c r="L4232" s="36">
        <v>810.0</v>
      </c>
      <c r="M4232" s="36">
        <v>100.0</v>
      </c>
      <c r="N4232" s="36"/>
      <c r="O4232" s="36"/>
      <c r="P4232" s="37"/>
      <c r="Q4232" s="36"/>
      <c r="R4232" s="36" t="s">
        <v>20109</v>
      </c>
      <c r="S4232" s="36" t="s">
        <v>20110</v>
      </c>
      <c r="T4232" s="28" t="s">
        <v>20111</v>
      </c>
      <c r="U4232" s="29" t="s">
        <v>61</v>
      </c>
      <c r="V4232" s="50"/>
      <c r="W4232" s="49"/>
      <c r="X4232" s="49"/>
      <c r="Y4232" s="35"/>
      <c r="Z4232" s="35"/>
      <c r="AA4232" s="35"/>
      <c r="AB4232" s="35"/>
      <c r="AC4232" s="35"/>
      <c r="AD4232" s="35"/>
      <c r="AE4232" s="35"/>
      <c r="AF4232" s="35"/>
      <c r="AG4232" s="35"/>
      <c r="AH4232" s="35"/>
      <c r="AI4232" s="35"/>
      <c r="AJ4232" s="35"/>
      <c r="AK4232" s="35"/>
      <c r="AL4232" s="35"/>
    </row>
    <row r="4233">
      <c r="A4233" s="1"/>
      <c r="B4233" s="75" t="s">
        <v>19332</v>
      </c>
      <c r="C4233" s="76" t="s">
        <v>20112</v>
      </c>
      <c r="D4233" s="47"/>
      <c r="E4233" s="22" t="s">
        <v>20113</v>
      </c>
      <c r="F4233" s="22" t="s">
        <v>5429</v>
      </c>
      <c r="G4233" s="23">
        <v>2022.0</v>
      </c>
      <c r="H4233" s="22" t="s">
        <v>15946</v>
      </c>
      <c r="I4233" s="24" t="s">
        <v>20114</v>
      </c>
      <c r="J4233" s="22" t="s">
        <v>20115</v>
      </c>
      <c r="K4233" s="22" t="s">
        <v>56</v>
      </c>
      <c r="L4233" s="36" t="s">
        <v>4772</v>
      </c>
      <c r="M4233" s="36"/>
      <c r="N4233" s="36" t="s">
        <v>3587</v>
      </c>
      <c r="O4233" s="36"/>
      <c r="P4233" s="37" t="s">
        <v>6551</v>
      </c>
      <c r="Q4233" s="36"/>
      <c r="R4233" s="36"/>
      <c r="S4233" s="36" t="s">
        <v>2099</v>
      </c>
      <c r="T4233" s="28" t="s">
        <v>20116</v>
      </c>
      <c r="U4233" s="29" t="s">
        <v>61</v>
      </c>
      <c r="V4233" s="50"/>
      <c r="W4233" s="49"/>
      <c r="X4233" s="49"/>
      <c r="Y4233" s="35"/>
      <c r="Z4233" s="35"/>
      <c r="AA4233" s="35"/>
      <c r="AB4233" s="35"/>
      <c r="AC4233" s="35"/>
      <c r="AD4233" s="35"/>
      <c r="AE4233" s="35"/>
      <c r="AF4233" s="35"/>
      <c r="AG4233" s="35"/>
      <c r="AH4233" s="35"/>
      <c r="AI4233" s="35"/>
      <c r="AJ4233" s="35"/>
      <c r="AK4233" s="35"/>
      <c r="AL4233" s="35"/>
    </row>
    <row r="4234">
      <c r="A4234" s="1"/>
      <c r="B4234" s="75" t="s">
        <v>19332</v>
      </c>
      <c r="C4234" s="76" t="s">
        <v>20112</v>
      </c>
      <c r="D4234" s="47"/>
      <c r="E4234" s="22" t="s">
        <v>20117</v>
      </c>
      <c r="F4234" s="22" t="s">
        <v>20118</v>
      </c>
      <c r="G4234" s="23">
        <v>2022.0</v>
      </c>
      <c r="H4234" s="22" t="s">
        <v>3292</v>
      </c>
      <c r="I4234" s="24" t="s">
        <v>20119</v>
      </c>
      <c r="J4234" s="22" t="s">
        <v>20120</v>
      </c>
      <c r="K4234" s="22"/>
      <c r="L4234" s="36">
        <v>940.0</v>
      </c>
      <c r="M4234" s="36">
        <v>300.0</v>
      </c>
      <c r="N4234" s="36"/>
      <c r="O4234" s="36"/>
      <c r="P4234" s="37" t="s">
        <v>20121</v>
      </c>
      <c r="Q4234" s="36" t="s">
        <v>20122</v>
      </c>
      <c r="R4234" s="36">
        <v>20.0</v>
      </c>
      <c r="S4234" s="36">
        <v>1.0</v>
      </c>
      <c r="T4234" s="41" t="s">
        <v>20123</v>
      </c>
      <c r="U4234" s="29" t="s">
        <v>61</v>
      </c>
      <c r="V4234" s="30" t="s">
        <v>20124</v>
      </c>
      <c r="W4234" s="49"/>
      <c r="X4234" s="49"/>
      <c r="Y4234" s="35"/>
      <c r="Z4234" s="35"/>
      <c r="AA4234" s="35"/>
      <c r="AB4234" s="35"/>
      <c r="AC4234" s="35"/>
      <c r="AD4234" s="35"/>
      <c r="AE4234" s="35"/>
      <c r="AF4234" s="35"/>
      <c r="AG4234" s="35"/>
      <c r="AH4234" s="35"/>
      <c r="AI4234" s="35"/>
      <c r="AJ4234" s="35"/>
      <c r="AK4234" s="35"/>
      <c r="AL4234" s="35"/>
    </row>
    <row r="4235">
      <c r="A4235" s="1"/>
      <c r="B4235" s="75" t="s">
        <v>19332</v>
      </c>
      <c r="C4235" s="76" t="s">
        <v>20112</v>
      </c>
      <c r="D4235" s="47"/>
      <c r="E4235" s="22" t="s">
        <v>20125</v>
      </c>
      <c r="F4235" s="22" t="s">
        <v>8008</v>
      </c>
      <c r="G4235" s="23">
        <v>2021.0</v>
      </c>
      <c r="H4235" s="22" t="s">
        <v>20126</v>
      </c>
      <c r="I4235" s="24" t="s">
        <v>20127</v>
      </c>
      <c r="J4235" s="22" t="s">
        <v>20128</v>
      </c>
      <c r="K4235" s="22" t="s">
        <v>20129</v>
      </c>
      <c r="L4235" s="36" t="s">
        <v>20130</v>
      </c>
      <c r="M4235" s="36" t="s">
        <v>20131</v>
      </c>
      <c r="N4235" s="36" t="s">
        <v>17477</v>
      </c>
      <c r="O4235" s="36"/>
      <c r="P4235" s="37" t="s">
        <v>20132</v>
      </c>
      <c r="Q4235" s="36"/>
      <c r="R4235" s="36" t="s">
        <v>20133</v>
      </c>
      <c r="S4235" s="36"/>
      <c r="T4235" s="28" t="s">
        <v>20134</v>
      </c>
      <c r="U4235" s="29" t="s">
        <v>61</v>
      </c>
      <c r="V4235" s="50"/>
      <c r="W4235" s="49"/>
      <c r="X4235" s="49"/>
      <c r="Y4235" s="35"/>
      <c r="Z4235" s="35"/>
      <c r="AA4235" s="35"/>
      <c r="AB4235" s="35"/>
      <c r="AC4235" s="35"/>
      <c r="AD4235" s="35"/>
      <c r="AE4235" s="35"/>
      <c r="AF4235" s="35"/>
      <c r="AG4235" s="35"/>
      <c r="AH4235" s="35"/>
      <c r="AI4235" s="35"/>
      <c r="AJ4235" s="35"/>
      <c r="AK4235" s="35"/>
      <c r="AL4235" s="35"/>
    </row>
    <row r="4236">
      <c r="A4236" s="1"/>
      <c r="B4236" s="75" t="s">
        <v>19332</v>
      </c>
      <c r="C4236" s="76" t="s">
        <v>20112</v>
      </c>
      <c r="D4236" s="47"/>
      <c r="E4236" s="22" t="s">
        <v>20135</v>
      </c>
      <c r="F4236" s="22" t="s">
        <v>1773</v>
      </c>
      <c r="G4236" s="23">
        <v>2021.0</v>
      </c>
      <c r="H4236" s="22" t="s">
        <v>401</v>
      </c>
      <c r="I4236" s="24" t="s">
        <v>20136</v>
      </c>
      <c r="J4236" s="22" t="s">
        <v>20137</v>
      </c>
      <c r="K4236" s="22" t="s">
        <v>20138</v>
      </c>
      <c r="L4236" s="36"/>
      <c r="M4236" s="36"/>
      <c r="N4236" s="36"/>
      <c r="O4236" s="36"/>
      <c r="P4236" s="37" t="s">
        <v>20139</v>
      </c>
      <c r="Q4236" s="36"/>
      <c r="R4236" s="36"/>
      <c r="S4236" s="36" t="s">
        <v>20140</v>
      </c>
      <c r="T4236" s="41" t="s">
        <v>20141</v>
      </c>
      <c r="U4236" s="29" t="s">
        <v>61</v>
      </c>
      <c r="V4236" s="50"/>
      <c r="W4236" s="49"/>
      <c r="X4236" s="49"/>
      <c r="Y4236" s="35"/>
      <c r="Z4236" s="35"/>
      <c r="AA4236" s="35"/>
      <c r="AB4236" s="35"/>
      <c r="AC4236" s="35"/>
      <c r="AD4236" s="35"/>
      <c r="AE4236" s="35"/>
      <c r="AF4236" s="35"/>
      <c r="AG4236" s="35"/>
      <c r="AH4236" s="35"/>
      <c r="AI4236" s="35"/>
      <c r="AJ4236" s="35"/>
      <c r="AK4236" s="35"/>
      <c r="AL4236" s="35"/>
    </row>
    <row r="4237">
      <c r="A4237" s="341"/>
      <c r="B4237" s="75" t="s">
        <v>19332</v>
      </c>
      <c r="C4237" s="76" t="s">
        <v>20112</v>
      </c>
      <c r="D4237" s="47"/>
      <c r="E4237" s="22" t="s">
        <v>20142</v>
      </c>
      <c r="F4237" s="22" t="s">
        <v>20143</v>
      </c>
      <c r="G4237" s="23">
        <v>2020.0</v>
      </c>
      <c r="H4237" s="22" t="s">
        <v>819</v>
      </c>
      <c r="I4237" s="24" t="s">
        <v>20144</v>
      </c>
      <c r="J4237" s="22" t="s">
        <v>20145</v>
      </c>
      <c r="K4237" s="22"/>
      <c r="L4237" s="36">
        <v>940.0</v>
      </c>
      <c r="M4237" s="36">
        <v>300.0</v>
      </c>
      <c r="N4237" s="36"/>
      <c r="O4237" s="36"/>
      <c r="P4237" s="37" t="s">
        <v>20121</v>
      </c>
      <c r="Q4237" s="36" t="s">
        <v>20122</v>
      </c>
      <c r="R4237" s="36"/>
      <c r="S4237" s="36">
        <v>1.0</v>
      </c>
      <c r="T4237" s="28" t="s">
        <v>20146</v>
      </c>
      <c r="U4237" s="38" t="str">
        <f>HYPERLINK("https://www.ncbi.nlm.nih.gov/pubmed/32369570","PubMed")</f>
        <v>PubMed</v>
      </c>
      <c r="V4237" s="50"/>
      <c r="W4237" s="49"/>
      <c r="X4237" s="49"/>
      <c r="Y4237" s="35"/>
      <c r="Z4237" s="35"/>
      <c r="AA4237" s="35"/>
      <c r="AB4237" s="35"/>
      <c r="AC4237" s="35"/>
      <c r="AD4237" s="35"/>
      <c r="AE4237" s="35"/>
      <c r="AF4237" s="35"/>
      <c r="AG4237" s="35"/>
      <c r="AH4237" s="35"/>
      <c r="AI4237" s="35"/>
      <c r="AJ4237" s="35"/>
      <c r="AK4237" s="35"/>
      <c r="AL4237" s="35"/>
    </row>
    <row r="4238">
      <c r="A4238" s="205"/>
      <c r="B4238" s="75" t="s">
        <v>19332</v>
      </c>
      <c r="C4238" s="76" t="s">
        <v>20147</v>
      </c>
      <c r="D4238" s="47"/>
      <c r="E4238" s="22" t="s">
        <v>20148</v>
      </c>
      <c r="F4238" s="22" t="s">
        <v>20149</v>
      </c>
      <c r="G4238" s="23">
        <v>2022.0</v>
      </c>
      <c r="H4238" s="22" t="s">
        <v>20150</v>
      </c>
      <c r="I4238" s="24" t="s">
        <v>20151</v>
      </c>
      <c r="J4238" s="22" t="s">
        <v>20152</v>
      </c>
      <c r="K4238" s="22"/>
      <c r="L4238" s="36">
        <v>980.0</v>
      </c>
      <c r="M4238" s="36">
        <v>100.0</v>
      </c>
      <c r="N4238" s="36"/>
      <c r="O4238" s="36"/>
      <c r="P4238" s="37"/>
      <c r="Q4238" s="36"/>
      <c r="R4238" s="36">
        <v>60.0</v>
      </c>
      <c r="S4238" s="36"/>
      <c r="T4238" s="28" t="s">
        <v>20153</v>
      </c>
      <c r="U4238" s="38" t="s">
        <v>61</v>
      </c>
      <c r="V4238" s="30"/>
      <c r="W4238" s="49"/>
      <c r="X4238" s="49"/>
      <c r="Y4238" s="35"/>
      <c r="Z4238" s="35"/>
      <c r="AA4238" s="35"/>
      <c r="AB4238" s="35"/>
      <c r="AC4238" s="35"/>
      <c r="AD4238" s="35"/>
      <c r="AE4238" s="35"/>
      <c r="AF4238" s="35"/>
      <c r="AG4238" s="35"/>
      <c r="AH4238" s="35"/>
      <c r="AI4238" s="35"/>
      <c r="AJ4238" s="35"/>
      <c r="AK4238" s="35"/>
      <c r="AL4238" s="35"/>
    </row>
    <row r="4239">
      <c r="A4239" s="205" t="s">
        <v>38</v>
      </c>
      <c r="B4239" s="75" t="s">
        <v>19332</v>
      </c>
      <c r="C4239" s="76" t="s">
        <v>20147</v>
      </c>
      <c r="D4239" s="47"/>
      <c r="E4239" s="22" t="s">
        <v>20154</v>
      </c>
      <c r="F4239" s="22" t="s">
        <v>1891</v>
      </c>
      <c r="G4239" s="23">
        <v>2021.0</v>
      </c>
      <c r="H4239" s="22" t="s">
        <v>15237</v>
      </c>
      <c r="I4239" s="24" t="s">
        <v>20155</v>
      </c>
      <c r="J4239" s="22" t="s">
        <v>20156</v>
      </c>
      <c r="K4239" s="22"/>
      <c r="L4239" s="36" t="s">
        <v>3519</v>
      </c>
      <c r="M4239" s="36" t="s">
        <v>20157</v>
      </c>
      <c r="N4239" s="36"/>
      <c r="O4239" s="36">
        <v>12.0</v>
      </c>
      <c r="P4239" s="37" t="s">
        <v>20158</v>
      </c>
      <c r="Q4239" s="36" t="s">
        <v>675</v>
      </c>
      <c r="R4239" s="36" t="s">
        <v>20159</v>
      </c>
      <c r="S4239" s="36">
        <v>2.0</v>
      </c>
      <c r="T4239" s="28" t="s">
        <v>20160</v>
      </c>
      <c r="U4239" s="29" t="s">
        <v>8353</v>
      </c>
      <c r="V4239" s="30" t="s">
        <v>20161</v>
      </c>
      <c r="W4239" s="49"/>
      <c r="X4239" s="49"/>
      <c r="Y4239" s="35"/>
      <c r="Z4239" s="35"/>
      <c r="AA4239" s="35"/>
      <c r="AB4239" s="35"/>
      <c r="AC4239" s="35"/>
      <c r="AD4239" s="35"/>
      <c r="AE4239" s="35"/>
      <c r="AF4239" s="35"/>
      <c r="AG4239" s="35"/>
      <c r="AH4239" s="35"/>
      <c r="AI4239" s="35"/>
      <c r="AJ4239" s="35"/>
      <c r="AK4239" s="35"/>
      <c r="AL4239" s="35"/>
    </row>
    <row r="4240">
      <c r="A4240" s="205" t="s">
        <v>38</v>
      </c>
      <c r="B4240" s="75" t="s">
        <v>19332</v>
      </c>
      <c r="C4240" s="76" t="s">
        <v>20147</v>
      </c>
      <c r="D4240" s="47"/>
      <c r="E4240" s="22" t="s">
        <v>7510</v>
      </c>
      <c r="F4240" s="22" t="s">
        <v>3027</v>
      </c>
      <c r="G4240" s="23">
        <v>2020.0</v>
      </c>
      <c r="H4240" s="22" t="s">
        <v>19552</v>
      </c>
      <c r="I4240" s="24" t="s">
        <v>20162</v>
      </c>
      <c r="J4240" s="22" t="s">
        <v>20163</v>
      </c>
      <c r="K4240" s="22" t="s">
        <v>56</v>
      </c>
      <c r="L4240" s="36" t="s">
        <v>20164</v>
      </c>
      <c r="M4240" s="36"/>
      <c r="N4240" s="36"/>
      <c r="O4240" s="36"/>
      <c r="P4240" s="37" t="s">
        <v>20165</v>
      </c>
      <c r="Q4240" s="36"/>
      <c r="R4240" s="36"/>
      <c r="S4240" s="36" t="s">
        <v>20166</v>
      </c>
      <c r="T4240" s="28" t="s">
        <v>20167</v>
      </c>
      <c r="U4240" s="38" t="str">
        <f>HYPERLINK("https://www.ncbi.nlm.nih.gov/pubmed/31967979","PubMed")</f>
        <v>PubMed</v>
      </c>
      <c r="V4240" s="50"/>
      <c r="W4240" s="49"/>
      <c r="X4240" s="49"/>
      <c r="Y4240" s="35"/>
      <c r="Z4240" s="35"/>
      <c r="AA4240" s="35"/>
      <c r="AB4240" s="35"/>
      <c r="AC4240" s="35"/>
      <c r="AD4240" s="35"/>
      <c r="AE4240" s="35"/>
      <c r="AF4240" s="35"/>
      <c r="AG4240" s="35"/>
      <c r="AH4240" s="35"/>
      <c r="AI4240" s="35"/>
      <c r="AJ4240" s="35"/>
      <c r="AK4240" s="35"/>
      <c r="AL4240" s="35"/>
    </row>
    <row r="4241">
      <c r="A4241" s="205" t="s">
        <v>38</v>
      </c>
      <c r="B4241" s="75" t="s">
        <v>19332</v>
      </c>
      <c r="C4241" s="76" t="s">
        <v>20147</v>
      </c>
      <c r="D4241" s="47"/>
      <c r="E4241" s="22" t="s">
        <v>20168</v>
      </c>
      <c r="F4241" s="22" t="s">
        <v>1891</v>
      </c>
      <c r="G4241" s="23">
        <v>2018.0</v>
      </c>
      <c r="H4241" s="22" t="s">
        <v>147</v>
      </c>
      <c r="I4241" s="24" t="s">
        <v>20169</v>
      </c>
      <c r="J4241" s="22" t="s">
        <v>20170</v>
      </c>
      <c r="K4241" s="22"/>
      <c r="L4241" s="36">
        <v>830.0</v>
      </c>
      <c r="M4241" s="36"/>
      <c r="N4241" s="36"/>
      <c r="O4241" s="36"/>
      <c r="P4241" s="37" t="s">
        <v>432</v>
      </c>
      <c r="Q4241" s="36"/>
      <c r="R4241" s="36"/>
      <c r="S4241" s="36" t="s">
        <v>20171</v>
      </c>
      <c r="T4241" s="28" t="s">
        <v>20172</v>
      </c>
      <c r="U4241" s="38" t="str">
        <f>HYPERLINK("https://www.ncbi.nlm.nih.gov/pubmed/30809333","PubMed")</f>
        <v>PubMed</v>
      </c>
      <c r="V4241" s="50"/>
      <c r="W4241" s="49"/>
      <c r="X4241" s="49"/>
      <c r="Y4241" s="35"/>
      <c r="Z4241" s="35"/>
      <c r="AA4241" s="35"/>
      <c r="AB4241" s="35"/>
      <c r="AC4241" s="35"/>
      <c r="AD4241" s="35"/>
      <c r="AE4241" s="35"/>
      <c r="AF4241" s="35"/>
      <c r="AG4241" s="35"/>
      <c r="AH4241" s="35"/>
      <c r="AI4241" s="35"/>
      <c r="AJ4241" s="35"/>
      <c r="AK4241" s="35"/>
      <c r="AL4241" s="35"/>
    </row>
    <row r="4242">
      <c r="A4242" s="205"/>
      <c r="B4242" s="75" t="s">
        <v>19332</v>
      </c>
      <c r="C4242" s="76" t="s">
        <v>20173</v>
      </c>
      <c r="D4242" s="47"/>
      <c r="E4242" s="22" t="s">
        <v>20174</v>
      </c>
      <c r="F4242" s="22" t="s">
        <v>20175</v>
      </c>
      <c r="G4242" s="23">
        <v>2024.0</v>
      </c>
      <c r="H4242" s="22" t="s">
        <v>1485</v>
      </c>
      <c r="I4242" s="24" t="s">
        <v>20176</v>
      </c>
      <c r="J4242" s="22" t="s">
        <v>1078</v>
      </c>
      <c r="K4242" s="22"/>
      <c r="L4242" s="195" t="s">
        <v>20177</v>
      </c>
      <c r="M4242" s="44"/>
      <c r="N4242" s="44"/>
      <c r="O4242" s="44"/>
      <c r="P4242" s="44"/>
      <c r="Q4242" s="44"/>
      <c r="R4242" s="44"/>
      <c r="S4242" s="44"/>
      <c r="T4242" s="45"/>
      <c r="U4242" s="38" t="s">
        <v>61</v>
      </c>
      <c r="V4242" s="30"/>
      <c r="W4242" s="49"/>
      <c r="X4242" s="49"/>
      <c r="Y4242" s="35"/>
      <c r="Z4242" s="35"/>
      <c r="AA4242" s="35"/>
      <c r="AB4242" s="35"/>
      <c r="AC4242" s="35"/>
      <c r="AD4242" s="35"/>
      <c r="AE4242" s="35"/>
      <c r="AF4242" s="35"/>
      <c r="AG4242" s="35"/>
      <c r="AH4242" s="35"/>
      <c r="AI4242" s="35"/>
      <c r="AJ4242" s="35"/>
      <c r="AK4242" s="35"/>
      <c r="AL4242" s="35"/>
    </row>
    <row r="4243">
      <c r="A4243" s="205" t="s">
        <v>38</v>
      </c>
      <c r="B4243" s="75" t="s">
        <v>19332</v>
      </c>
      <c r="C4243" s="76" t="s">
        <v>20173</v>
      </c>
      <c r="D4243" s="47"/>
      <c r="E4243" s="22" t="s">
        <v>20178</v>
      </c>
      <c r="F4243" s="22" t="s">
        <v>5238</v>
      </c>
      <c r="G4243" s="23">
        <v>2023.0</v>
      </c>
      <c r="H4243" s="22" t="s">
        <v>19534</v>
      </c>
      <c r="I4243" s="24" t="s">
        <v>20179</v>
      </c>
      <c r="J4243" s="22" t="s">
        <v>20180</v>
      </c>
      <c r="K4243" s="22"/>
      <c r="L4243" s="36" t="s">
        <v>20181</v>
      </c>
      <c r="M4243" s="36"/>
      <c r="N4243" s="36"/>
      <c r="O4243" s="36"/>
      <c r="P4243" s="37" t="s">
        <v>20182</v>
      </c>
      <c r="Q4243" s="36" t="s">
        <v>20183</v>
      </c>
      <c r="R4243" s="36"/>
      <c r="S4243" s="36"/>
      <c r="T4243" s="54" t="s">
        <v>20184</v>
      </c>
      <c r="U4243" s="38" t="s">
        <v>61</v>
      </c>
      <c r="V4243" s="30" t="s">
        <v>20185</v>
      </c>
      <c r="W4243" s="49"/>
      <c r="X4243" s="49"/>
      <c r="Y4243" s="35"/>
      <c r="Z4243" s="35"/>
      <c r="AA4243" s="35"/>
      <c r="AB4243" s="35"/>
      <c r="AC4243" s="35"/>
      <c r="AD4243" s="35"/>
      <c r="AE4243" s="35"/>
      <c r="AF4243" s="35"/>
      <c r="AG4243" s="35"/>
      <c r="AH4243" s="35"/>
      <c r="AI4243" s="35"/>
      <c r="AJ4243" s="35"/>
      <c r="AK4243" s="35"/>
      <c r="AL4243" s="35"/>
    </row>
    <row r="4244">
      <c r="A4244" s="205"/>
      <c r="B4244" s="75" t="s">
        <v>19332</v>
      </c>
      <c r="C4244" s="76" t="s">
        <v>20173</v>
      </c>
      <c r="D4244" s="47"/>
      <c r="E4244" s="22" t="s">
        <v>20186</v>
      </c>
      <c r="F4244" s="22" t="s">
        <v>2143</v>
      </c>
      <c r="G4244" s="23">
        <v>2024.0</v>
      </c>
      <c r="H4244" s="22" t="s">
        <v>2375</v>
      </c>
      <c r="I4244" s="24" t="s">
        <v>20187</v>
      </c>
      <c r="J4244" s="22" t="s">
        <v>20188</v>
      </c>
      <c r="K4244" s="22"/>
      <c r="L4244" s="36">
        <v>940.0</v>
      </c>
      <c r="M4244" s="36"/>
      <c r="N4244" s="36" t="s">
        <v>20189</v>
      </c>
      <c r="O4244" s="36"/>
      <c r="P4244" s="37"/>
      <c r="Q4244" s="36"/>
      <c r="R4244" s="36"/>
      <c r="S4244" s="36" t="s">
        <v>20190</v>
      </c>
      <c r="T4244" s="54" t="s">
        <v>20191</v>
      </c>
      <c r="U4244" s="38" t="s">
        <v>61</v>
      </c>
      <c r="V4244" s="30"/>
      <c r="W4244" s="49"/>
      <c r="X4244" s="49"/>
      <c r="Y4244" s="35"/>
      <c r="Z4244" s="35"/>
      <c r="AA4244" s="35"/>
      <c r="AB4244" s="35"/>
      <c r="AC4244" s="35"/>
      <c r="AD4244" s="35"/>
      <c r="AE4244" s="35"/>
      <c r="AF4244" s="35"/>
      <c r="AG4244" s="35"/>
      <c r="AH4244" s="35"/>
      <c r="AI4244" s="35"/>
      <c r="AJ4244" s="35"/>
      <c r="AK4244" s="35"/>
      <c r="AL4244" s="35"/>
    </row>
    <row r="4245">
      <c r="A4245" s="205"/>
      <c r="B4245" s="75" t="s">
        <v>19332</v>
      </c>
      <c r="C4245" s="76" t="s">
        <v>20173</v>
      </c>
      <c r="D4245" s="47"/>
      <c r="E4245" s="22" t="s">
        <v>20192</v>
      </c>
      <c r="F4245" s="22" t="s">
        <v>11463</v>
      </c>
      <c r="G4245" s="23">
        <v>2023.0</v>
      </c>
      <c r="H4245" s="22" t="s">
        <v>333</v>
      </c>
      <c r="I4245" s="24" t="s">
        <v>20193</v>
      </c>
      <c r="J4245" s="22" t="s">
        <v>522</v>
      </c>
      <c r="K4245" s="22"/>
      <c r="L4245" s="36"/>
      <c r="M4245" s="36"/>
      <c r="N4245" s="36"/>
      <c r="O4245" s="36"/>
      <c r="P4245" s="37"/>
      <c r="Q4245" s="36"/>
      <c r="R4245" s="36"/>
      <c r="S4245" s="36" t="s">
        <v>20194</v>
      </c>
      <c r="T4245" s="54" t="s">
        <v>20195</v>
      </c>
      <c r="U4245" s="38" t="s">
        <v>61</v>
      </c>
      <c r="V4245" s="30"/>
      <c r="W4245" s="49"/>
      <c r="X4245" s="49"/>
      <c r="Y4245" s="35"/>
      <c r="Z4245" s="35"/>
      <c r="AA4245" s="35"/>
      <c r="AB4245" s="35"/>
      <c r="AC4245" s="35"/>
      <c r="AD4245" s="35"/>
      <c r="AE4245" s="35"/>
      <c r="AF4245" s="35"/>
      <c r="AG4245" s="35"/>
      <c r="AH4245" s="35"/>
      <c r="AI4245" s="35"/>
      <c r="AJ4245" s="35"/>
      <c r="AK4245" s="35"/>
      <c r="AL4245" s="35"/>
    </row>
    <row r="4246">
      <c r="A4246" s="205"/>
      <c r="B4246" s="75" t="s">
        <v>19332</v>
      </c>
      <c r="C4246" s="76" t="s">
        <v>20173</v>
      </c>
      <c r="D4246" s="47"/>
      <c r="E4246" s="22" t="s">
        <v>20196</v>
      </c>
      <c r="F4246" s="22" t="s">
        <v>4448</v>
      </c>
      <c r="G4246" s="23">
        <v>2023.0</v>
      </c>
      <c r="H4246" s="22" t="s">
        <v>77</v>
      </c>
      <c r="I4246" s="24" t="s">
        <v>20197</v>
      </c>
      <c r="J4246" s="22" t="s">
        <v>1078</v>
      </c>
      <c r="K4246" s="22"/>
      <c r="L4246" s="195" t="s">
        <v>20198</v>
      </c>
      <c r="M4246" s="44"/>
      <c r="N4246" s="44"/>
      <c r="O4246" s="44"/>
      <c r="P4246" s="44"/>
      <c r="Q4246" s="44"/>
      <c r="R4246" s="44"/>
      <c r="S4246" s="44"/>
      <c r="T4246" s="45"/>
      <c r="U4246" s="38" t="s">
        <v>61</v>
      </c>
      <c r="V4246" s="30"/>
      <c r="W4246" s="49"/>
      <c r="X4246" s="49"/>
      <c r="Y4246" s="35"/>
      <c r="Z4246" s="35"/>
      <c r="AA4246" s="35"/>
      <c r="AB4246" s="35"/>
      <c r="AC4246" s="35"/>
      <c r="AD4246" s="35"/>
      <c r="AE4246" s="35"/>
      <c r="AF4246" s="35"/>
      <c r="AG4246" s="35"/>
      <c r="AH4246" s="35"/>
      <c r="AI4246" s="35"/>
      <c r="AJ4246" s="35"/>
      <c r="AK4246" s="35"/>
      <c r="AL4246" s="35"/>
    </row>
    <row r="4247">
      <c r="A4247" s="205"/>
      <c r="B4247" s="75" t="s">
        <v>19332</v>
      </c>
      <c r="C4247" s="76" t="s">
        <v>20173</v>
      </c>
      <c r="D4247" s="47"/>
      <c r="E4247" s="22" t="s">
        <v>19890</v>
      </c>
      <c r="F4247" s="22" t="s">
        <v>20199</v>
      </c>
      <c r="G4247" s="23">
        <v>2022.0</v>
      </c>
      <c r="H4247" s="22" t="s">
        <v>905</v>
      </c>
      <c r="I4247" s="24" t="s">
        <v>20200</v>
      </c>
      <c r="J4247" s="22" t="s">
        <v>20201</v>
      </c>
      <c r="K4247" s="22"/>
      <c r="L4247" s="36" t="s">
        <v>20202</v>
      </c>
      <c r="M4247" s="36"/>
      <c r="N4247" s="36"/>
      <c r="O4247" s="36"/>
      <c r="P4247" s="37"/>
      <c r="Q4247" s="36"/>
      <c r="R4247" s="36"/>
      <c r="S4247" s="36" t="s">
        <v>20203</v>
      </c>
      <c r="T4247" s="42" t="s">
        <v>20204</v>
      </c>
      <c r="U4247" s="38" t="s">
        <v>61</v>
      </c>
      <c r="V4247" s="30"/>
      <c r="W4247" s="49"/>
      <c r="X4247" s="49"/>
      <c r="Y4247" s="35"/>
      <c r="Z4247" s="35"/>
      <c r="AA4247" s="35"/>
      <c r="AB4247" s="35"/>
      <c r="AC4247" s="35"/>
      <c r="AD4247" s="35"/>
      <c r="AE4247" s="35"/>
      <c r="AF4247" s="35"/>
      <c r="AG4247" s="35"/>
      <c r="AH4247" s="35"/>
      <c r="AI4247" s="35"/>
      <c r="AJ4247" s="35"/>
      <c r="AK4247" s="35"/>
      <c r="AL4247" s="35"/>
    </row>
    <row r="4248">
      <c r="A4248" s="205"/>
      <c r="B4248" s="75" t="s">
        <v>19332</v>
      </c>
      <c r="C4248" s="76" t="s">
        <v>20173</v>
      </c>
      <c r="D4248" s="47"/>
      <c r="E4248" s="22" t="s">
        <v>20135</v>
      </c>
      <c r="F4248" s="22" t="s">
        <v>2028</v>
      </c>
      <c r="G4248" s="23">
        <v>2022.0</v>
      </c>
      <c r="H4248" s="22" t="s">
        <v>20205</v>
      </c>
      <c r="I4248" s="24" t="s">
        <v>20206</v>
      </c>
      <c r="J4248" s="22" t="s">
        <v>20207</v>
      </c>
      <c r="K4248" s="22" t="s">
        <v>20208</v>
      </c>
      <c r="L4248" s="36">
        <v>660.0</v>
      </c>
      <c r="M4248" s="36">
        <v>25.0</v>
      </c>
      <c r="N4248" s="36" t="s">
        <v>16655</v>
      </c>
      <c r="O4248" s="36"/>
      <c r="P4248" s="37" t="s">
        <v>20209</v>
      </c>
      <c r="Q4248" s="36" t="s">
        <v>20210</v>
      </c>
      <c r="R4248" s="36" t="s">
        <v>20211</v>
      </c>
      <c r="S4248" s="36" t="s">
        <v>20212</v>
      </c>
      <c r="T4248" s="42" t="s">
        <v>20213</v>
      </c>
      <c r="U4248" s="29" t="s">
        <v>61</v>
      </c>
      <c r="V4248" s="30" t="s">
        <v>20214</v>
      </c>
      <c r="W4248" s="49"/>
      <c r="X4248" s="49"/>
      <c r="Y4248" s="35"/>
      <c r="Z4248" s="35"/>
      <c r="AA4248" s="35"/>
      <c r="AB4248" s="35"/>
      <c r="AC4248" s="35"/>
      <c r="AD4248" s="35"/>
      <c r="AE4248" s="35"/>
      <c r="AF4248" s="35"/>
      <c r="AG4248" s="35"/>
      <c r="AH4248" s="35"/>
      <c r="AI4248" s="35"/>
      <c r="AJ4248" s="35"/>
      <c r="AK4248" s="35"/>
      <c r="AL4248" s="35"/>
    </row>
    <row r="4249">
      <c r="A4249" s="205"/>
      <c r="B4249" s="75" t="s">
        <v>19332</v>
      </c>
      <c r="C4249" s="76" t="s">
        <v>20173</v>
      </c>
      <c r="D4249" s="47"/>
      <c r="E4249" s="22" t="s">
        <v>20215</v>
      </c>
      <c r="F4249" s="22" t="s">
        <v>979</v>
      </c>
      <c r="G4249" s="23">
        <v>2022.0</v>
      </c>
      <c r="H4249" s="22" t="s">
        <v>77</v>
      </c>
      <c r="I4249" s="24" t="s">
        <v>20216</v>
      </c>
      <c r="J4249" s="22" t="s">
        <v>253</v>
      </c>
      <c r="K4249" s="22"/>
      <c r="L4249" s="36"/>
      <c r="M4249" s="36"/>
      <c r="N4249" s="36"/>
      <c r="O4249" s="36"/>
      <c r="P4249" s="37" t="s">
        <v>20217</v>
      </c>
      <c r="Q4249" s="36"/>
      <c r="R4249" s="36"/>
      <c r="S4249" s="36"/>
      <c r="T4249" s="28" t="s">
        <v>20218</v>
      </c>
      <c r="U4249" s="29" t="s">
        <v>61</v>
      </c>
      <c r="V4249" s="30" t="s">
        <v>174</v>
      </c>
      <c r="W4249" s="49"/>
      <c r="X4249" s="49"/>
      <c r="Y4249" s="35"/>
      <c r="Z4249" s="35"/>
      <c r="AA4249" s="35"/>
      <c r="AB4249" s="35"/>
      <c r="AC4249" s="35"/>
      <c r="AD4249" s="35"/>
      <c r="AE4249" s="35"/>
      <c r="AF4249" s="35"/>
      <c r="AG4249" s="35"/>
      <c r="AH4249" s="35"/>
      <c r="AI4249" s="35"/>
      <c r="AJ4249" s="35"/>
      <c r="AK4249" s="35"/>
      <c r="AL4249" s="35"/>
    </row>
    <row r="4250">
      <c r="A4250" s="205" t="s">
        <v>38</v>
      </c>
      <c r="B4250" s="75" t="s">
        <v>19332</v>
      </c>
      <c r="C4250" s="76" t="s">
        <v>20173</v>
      </c>
      <c r="D4250" s="47"/>
      <c r="E4250" s="22" t="s">
        <v>20219</v>
      </c>
      <c r="F4250" s="22" t="s">
        <v>3492</v>
      </c>
      <c r="G4250" s="23">
        <v>2022.0</v>
      </c>
      <c r="H4250" s="22" t="s">
        <v>594</v>
      </c>
      <c r="I4250" s="24" t="s">
        <v>20220</v>
      </c>
      <c r="J4250" s="22" t="s">
        <v>253</v>
      </c>
      <c r="K4250" s="22"/>
      <c r="L4250" s="36">
        <v>880.0</v>
      </c>
      <c r="M4250" s="36">
        <v>100.0</v>
      </c>
      <c r="N4250" s="36"/>
      <c r="O4250" s="36"/>
      <c r="P4250" s="37" t="s">
        <v>20221</v>
      </c>
      <c r="Q4250" s="36" t="s">
        <v>17520</v>
      </c>
      <c r="R4250" s="36">
        <v>25.0</v>
      </c>
      <c r="S4250" s="36">
        <v>1.0</v>
      </c>
      <c r="T4250" s="28" t="s">
        <v>20222</v>
      </c>
      <c r="U4250" s="29" t="s">
        <v>61</v>
      </c>
      <c r="V4250" s="30"/>
      <c r="W4250" s="49"/>
      <c r="X4250" s="49"/>
      <c r="Y4250" s="35"/>
      <c r="Z4250" s="35"/>
      <c r="AA4250" s="35"/>
      <c r="AB4250" s="35"/>
      <c r="AC4250" s="35"/>
      <c r="AD4250" s="35"/>
      <c r="AE4250" s="35"/>
      <c r="AF4250" s="35"/>
      <c r="AG4250" s="35"/>
      <c r="AH4250" s="35"/>
      <c r="AI4250" s="35"/>
      <c r="AJ4250" s="35"/>
      <c r="AK4250" s="35"/>
      <c r="AL4250" s="35"/>
    </row>
    <row r="4251">
      <c r="A4251" s="341"/>
      <c r="B4251" s="75" t="s">
        <v>19332</v>
      </c>
      <c r="C4251" s="76" t="s">
        <v>20173</v>
      </c>
      <c r="D4251" s="47"/>
      <c r="E4251" s="22" t="s">
        <v>20223</v>
      </c>
      <c r="F4251" s="22" t="s">
        <v>20224</v>
      </c>
      <c r="G4251" s="23">
        <v>2022.0</v>
      </c>
      <c r="H4251" s="22" t="s">
        <v>13399</v>
      </c>
      <c r="I4251" s="24" t="s">
        <v>20225</v>
      </c>
      <c r="J4251" s="22" t="s">
        <v>1078</v>
      </c>
      <c r="K4251" s="22"/>
      <c r="L4251" s="195" t="s">
        <v>20226</v>
      </c>
      <c r="M4251" s="44"/>
      <c r="N4251" s="44"/>
      <c r="O4251" s="44"/>
      <c r="P4251" s="44"/>
      <c r="Q4251" s="44"/>
      <c r="R4251" s="44"/>
      <c r="S4251" s="44"/>
      <c r="T4251" s="45"/>
      <c r="U4251" s="29" t="s">
        <v>61</v>
      </c>
      <c r="V4251" s="50"/>
      <c r="W4251" s="49"/>
      <c r="X4251" s="49"/>
      <c r="Y4251" s="35"/>
      <c r="Z4251" s="35"/>
      <c r="AA4251" s="35"/>
      <c r="AB4251" s="35"/>
      <c r="AC4251" s="35"/>
      <c r="AD4251" s="35"/>
      <c r="AE4251" s="35"/>
      <c r="AF4251" s="35"/>
      <c r="AG4251" s="35"/>
      <c r="AH4251" s="35"/>
      <c r="AI4251" s="35"/>
      <c r="AJ4251" s="35"/>
      <c r="AK4251" s="35"/>
      <c r="AL4251" s="35"/>
    </row>
    <row r="4252">
      <c r="A4252" s="341"/>
      <c r="B4252" s="75" t="s">
        <v>19332</v>
      </c>
      <c r="C4252" s="76" t="s">
        <v>20173</v>
      </c>
      <c r="D4252" s="47"/>
      <c r="E4252" s="22" t="s">
        <v>3165</v>
      </c>
      <c r="F4252" s="22" t="s">
        <v>2801</v>
      </c>
      <c r="G4252" s="23">
        <v>2022.0</v>
      </c>
      <c r="H4252" s="22" t="s">
        <v>13752</v>
      </c>
      <c r="I4252" s="24" t="s">
        <v>20227</v>
      </c>
      <c r="J4252" s="22" t="s">
        <v>649</v>
      </c>
      <c r="K4252" s="22"/>
      <c r="L4252" s="195" t="s">
        <v>20228</v>
      </c>
      <c r="M4252" s="44"/>
      <c r="N4252" s="44"/>
      <c r="O4252" s="44"/>
      <c r="P4252" s="44"/>
      <c r="Q4252" s="44"/>
      <c r="R4252" s="44"/>
      <c r="S4252" s="44"/>
      <c r="T4252" s="45"/>
      <c r="U4252" s="29" t="s">
        <v>61</v>
      </c>
      <c r="V4252" s="50"/>
      <c r="W4252" s="49"/>
      <c r="X4252" s="49"/>
      <c r="Y4252" s="35"/>
      <c r="Z4252" s="35"/>
      <c r="AA4252" s="35"/>
      <c r="AB4252" s="35"/>
      <c r="AC4252" s="35"/>
      <c r="AD4252" s="35"/>
      <c r="AE4252" s="35"/>
      <c r="AF4252" s="35"/>
      <c r="AG4252" s="35"/>
      <c r="AH4252" s="35"/>
      <c r="AI4252" s="35"/>
      <c r="AJ4252" s="35"/>
      <c r="AK4252" s="35"/>
      <c r="AL4252" s="35"/>
    </row>
    <row r="4253">
      <c r="A4253" s="341" t="s">
        <v>38</v>
      </c>
      <c r="B4253" s="75" t="s">
        <v>19332</v>
      </c>
      <c r="C4253" s="76" t="s">
        <v>20173</v>
      </c>
      <c r="D4253" s="47"/>
      <c r="E4253" s="22" t="s">
        <v>20229</v>
      </c>
      <c r="F4253" s="22" t="s">
        <v>1046</v>
      </c>
      <c r="G4253" s="23">
        <v>2021.0</v>
      </c>
      <c r="H4253" s="22" t="s">
        <v>20230</v>
      </c>
      <c r="I4253" s="24" t="s">
        <v>20231</v>
      </c>
      <c r="J4253" s="22" t="s">
        <v>20232</v>
      </c>
      <c r="K4253" s="22" t="s">
        <v>157</v>
      </c>
      <c r="L4253" s="36" t="s">
        <v>20233</v>
      </c>
      <c r="M4253" s="36" t="s">
        <v>58</v>
      </c>
      <c r="N4253" s="36" t="s">
        <v>20234</v>
      </c>
      <c r="O4253" s="36" t="s">
        <v>58</v>
      </c>
      <c r="P4253" s="37" t="s">
        <v>58</v>
      </c>
      <c r="Q4253" s="36" t="s">
        <v>58</v>
      </c>
      <c r="R4253" s="36">
        <v>1200.0</v>
      </c>
      <c r="S4253" s="36" t="s">
        <v>20235</v>
      </c>
      <c r="T4253" s="28" t="s">
        <v>20236</v>
      </c>
      <c r="U4253" s="29" t="s">
        <v>61</v>
      </c>
      <c r="V4253" s="50"/>
      <c r="W4253" s="49"/>
      <c r="X4253" s="49"/>
      <c r="Y4253" s="35"/>
      <c r="Z4253" s="35"/>
      <c r="AA4253" s="35"/>
      <c r="AB4253" s="35"/>
      <c r="AC4253" s="35"/>
      <c r="AD4253" s="35"/>
      <c r="AE4253" s="35"/>
      <c r="AF4253" s="35"/>
      <c r="AG4253" s="35"/>
      <c r="AH4253" s="35"/>
      <c r="AI4253" s="35"/>
      <c r="AJ4253" s="35"/>
      <c r="AK4253" s="35"/>
      <c r="AL4253" s="35"/>
    </row>
    <row r="4254">
      <c r="A4254" s="1"/>
      <c r="B4254" s="75" t="s">
        <v>19332</v>
      </c>
      <c r="C4254" s="76" t="s">
        <v>20173</v>
      </c>
      <c r="D4254" s="47"/>
      <c r="E4254" s="22" t="s">
        <v>20237</v>
      </c>
      <c r="F4254" s="22" t="s">
        <v>52</v>
      </c>
      <c r="G4254" s="23">
        <v>2021.0</v>
      </c>
      <c r="H4254" s="22" t="s">
        <v>20238</v>
      </c>
      <c r="I4254" s="24" t="s">
        <v>20239</v>
      </c>
      <c r="J4254" s="22" t="s">
        <v>20240</v>
      </c>
      <c r="K4254" s="22"/>
      <c r="L4254" s="36">
        <v>830.0</v>
      </c>
      <c r="M4254" s="36">
        <v>126.0</v>
      </c>
      <c r="N4254" s="36"/>
      <c r="O4254" s="36"/>
      <c r="P4254" s="37" t="s">
        <v>82</v>
      </c>
      <c r="Q4254" s="36"/>
      <c r="R4254" s="36">
        <v>60.0</v>
      </c>
      <c r="S4254" s="36" t="s">
        <v>20241</v>
      </c>
      <c r="T4254" s="41" t="s">
        <v>20242</v>
      </c>
      <c r="U4254" s="29" t="s">
        <v>61</v>
      </c>
      <c r="V4254" s="50"/>
      <c r="W4254" s="49"/>
      <c r="X4254" s="49"/>
      <c r="Y4254" s="35"/>
      <c r="Z4254" s="35"/>
      <c r="AA4254" s="35"/>
      <c r="AB4254" s="35"/>
      <c r="AC4254" s="35"/>
      <c r="AD4254" s="35"/>
      <c r="AE4254" s="35"/>
      <c r="AF4254" s="35"/>
      <c r="AG4254" s="35"/>
      <c r="AH4254" s="35"/>
      <c r="AI4254" s="35"/>
      <c r="AJ4254" s="35"/>
      <c r="AK4254" s="35"/>
      <c r="AL4254" s="35"/>
    </row>
    <row r="4255">
      <c r="A4255" s="1"/>
      <c r="B4255" s="75" t="s">
        <v>19332</v>
      </c>
      <c r="C4255" s="76" t="s">
        <v>20173</v>
      </c>
      <c r="D4255" s="47"/>
      <c r="E4255" s="22" t="s">
        <v>20243</v>
      </c>
      <c r="F4255" s="22" t="s">
        <v>20244</v>
      </c>
      <c r="G4255" s="23">
        <v>2021.0</v>
      </c>
      <c r="H4255" s="22" t="s">
        <v>1549</v>
      </c>
      <c r="I4255" s="24" t="s">
        <v>20245</v>
      </c>
      <c r="J4255" s="22" t="s">
        <v>20246</v>
      </c>
      <c r="K4255" s="22"/>
      <c r="L4255" s="36">
        <v>808.0</v>
      </c>
      <c r="M4255" s="36">
        <v>50.0</v>
      </c>
      <c r="N4255" s="36"/>
      <c r="O4255" s="36"/>
      <c r="P4255" s="37" t="s">
        <v>20247</v>
      </c>
      <c r="Q4255" s="36" t="s">
        <v>901</v>
      </c>
      <c r="R4255" s="36" t="s">
        <v>20248</v>
      </c>
      <c r="S4255" s="36" t="s">
        <v>20249</v>
      </c>
      <c r="T4255" s="41" t="s">
        <v>20250</v>
      </c>
      <c r="U4255" s="29" t="s">
        <v>61</v>
      </c>
      <c r="V4255" s="50"/>
      <c r="W4255" s="49"/>
      <c r="X4255" s="49"/>
      <c r="Y4255" s="35"/>
      <c r="Z4255" s="35"/>
      <c r="AA4255" s="35"/>
      <c r="AB4255" s="35"/>
      <c r="AC4255" s="35"/>
      <c r="AD4255" s="35"/>
      <c r="AE4255" s="35"/>
      <c r="AF4255" s="35"/>
      <c r="AG4255" s="35"/>
      <c r="AH4255" s="35"/>
      <c r="AI4255" s="35"/>
      <c r="AJ4255" s="35"/>
      <c r="AK4255" s="35"/>
      <c r="AL4255" s="35"/>
    </row>
    <row r="4256">
      <c r="A4256" s="276"/>
      <c r="B4256" s="75" t="s">
        <v>19332</v>
      </c>
      <c r="C4256" s="76" t="s">
        <v>20173</v>
      </c>
      <c r="D4256" s="47"/>
      <c r="E4256" s="22" t="s">
        <v>2316</v>
      </c>
      <c r="F4256" s="22" t="s">
        <v>2801</v>
      </c>
      <c r="G4256" s="23">
        <v>2021.0</v>
      </c>
      <c r="H4256" s="22" t="s">
        <v>91</v>
      </c>
      <c r="I4256" s="24" t="s">
        <v>20251</v>
      </c>
      <c r="J4256" s="22" t="s">
        <v>1078</v>
      </c>
      <c r="K4256" s="22"/>
      <c r="L4256" s="105" t="s">
        <v>20252</v>
      </c>
      <c r="M4256" s="44"/>
      <c r="N4256" s="44"/>
      <c r="O4256" s="44"/>
      <c r="P4256" s="44"/>
      <c r="Q4256" s="44"/>
      <c r="R4256" s="44"/>
      <c r="S4256" s="44"/>
      <c r="T4256" s="45"/>
      <c r="U4256" s="29" t="s">
        <v>61</v>
      </c>
      <c r="V4256" s="50"/>
      <c r="W4256" s="49"/>
      <c r="X4256" s="49"/>
      <c r="Y4256" s="35"/>
      <c r="Z4256" s="35"/>
      <c r="AA4256" s="35"/>
      <c r="AB4256" s="35"/>
      <c r="AC4256" s="35"/>
      <c r="AD4256" s="35"/>
      <c r="AE4256" s="35"/>
      <c r="AF4256" s="35"/>
      <c r="AG4256" s="35"/>
      <c r="AH4256" s="35"/>
      <c r="AI4256" s="35"/>
      <c r="AJ4256" s="35"/>
      <c r="AK4256" s="35"/>
      <c r="AL4256" s="35"/>
    </row>
    <row r="4257">
      <c r="A4257" s="276"/>
      <c r="B4257" s="75" t="s">
        <v>19332</v>
      </c>
      <c r="C4257" s="76" t="s">
        <v>20173</v>
      </c>
      <c r="D4257" s="47"/>
      <c r="E4257" s="22" t="s">
        <v>20253</v>
      </c>
      <c r="F4257" s="22" t="s">
        <v>20254</v>
      </c>
      <c r="G4257" s="23">
        <v>2020.0</v>
      </c>
      <c r="H4257" s="22" t="s">
        <v>20255</v>
      </c>
      <c r="I4257" s="24" t="s">
        <v>20256</v>
      </c>
      <c r="J4257" s="22" t="s">
        <v>20257</v>
      </c>
      <c r="K4257" s="22"/>
      <c r="L4257" s="36">
        <v>980.0</v>
      </c>
      <c r="M4257" s="36">
        <v>100.0</v>
      </c>
      <c r="N4257" s="36"/>
      <c r="O4257" s="36"/>
      <c r="P4257" s="37" t="s">
        <v>254</v>
      </c>
      <c r="Q4257" s="36"/>
      <c r="R4257" s="36" t="s">
        <v>20258</v>
      </c>
      <c r="S4257" s="36" t="s">
        <v>20259</v>
      </c>
      <c r="T4257" s="28" t="s">
        <v>20260</v>
      </c>
      <c r="U4257" s="29" t="s">
        <v>61</v>
      </c>
      <c r="V4257" s="50"/>
      <c r="W4257" s="49"/>
      <c r="X4257" s="49"/>
      <c r="Y4257" s="35"/>
      <c r="Z4257" s="35"/>
      <c r="AA4257" s="35"/>
      <c r="AB4257" s="35"/>
      <c r="AC4257" s="35"/>
      <c r="AD4257" s="35"/>
      <c r="AE4257" s="35"/>
      <c r="AF4257" s="35"/>
      <c r="AG4257" s="35"/>
      <c r="AH4257" s="35"/>
      <c r="AI4257" s="35"/>
      <c r="AJ4257" s="35"/>
      <c r="AK4257" s="35"/>
      <c r="AL4257" s="35"/>
    </row>
    <row r="4258">
      <c r="A4258" s="341"/>
      <c r="B4258" s="75" t="s">
        <v>19332</v>
      </c>
      <c r="C4258" s="76" t="s">
        <v>20173</v>
      </c>
      <c r="D4258" s="47"/>
      <c r="E4258" s="22" t="s">
        <v>20261</v>
      </c>
      <c r="F4258" s="22" t="s">
        <v>2028</v>
      </c>
      <c r="G4258" s="23">
        <v>2020.0</v>
      </c>
      <c r="H4258" s="22" t="s">
        <v>20205</v>
      </c>
      <c r="I4258" s="24" t="s">
        <v>20262</v>
      </c>
      <c r="J4258" s="22" t="s">
        <v>649</v>
      </c>
      <c r="K4258" s="22"/>
      <c r="L4258" s="195" t="s">
        <v>20263</v>
      </c>
      <c r="M4258" s="44"/>
      <c r="N4258" s="44"/>
      <c r="O4258" s="44"/>
      <c r="P4258" s="44"/>
      <c r="Q4258" s="44"/>
      <c r="R4258" s="44"/>
      <c r="S4258" s="44"/>
      <c r="T4258" s="45"/>
      <c r="U4258" s="29" t="s">
        <v>61</v>
      </c>
      <c r="V4258" s="50"/>
      <c r="W4258" s="49"/>
      <c r="X4258" s="49"/>
      <c r="Y4258" s="35"/>
      <c r="Z4258" s="35"/>
      <c r="AA4258" s="35"/>
      <c r="AB4258" s="35"/>
      <c r="AC4258" s="35"/>
      <c r="AD4258" s="35"/>
      <c r="AE4258" s="35"/>
      <c r="AF4258" s="35"/>
      <c r="AG4258" s="35"/>
      <c r="AH4258" s="35"/>
      <c r="AI4258" s="35"/>
      <c r="AJ4258" s="35"/>
      <c r="AK4258" s="35"/>
      <c r="AL4258" s="35"/>
    </row>
    <row r="4259">
      <c r="A4259" s="341" t="s">
        <v>38</v>
      </c>
      <c r="B4259" s="75" t="s">
        <v>19332</v>
      </c>
      <c r="C4259" s="76" t="s">
        <v>20173</v>
      </c>
      <c r="D4259" s="47"/>
      <c r="E4259" s="22" t="s">
        <v>20264</v>
      </c>
      <c r="F4259" s="22" t="s">
        <v>323</v>
      </c>
      <c r="G4259" s="23">
        <v>2020.0</v>
      </c>
      <c r="H4259" s="22" t="s">
        <v>20265</v>
      </c>
      <c r="I4259" s="24" t="s">
        <v>20266</v>
      </c>
      <c r="J4259" s="22" t="s">
        <v>20267</v>
      </c>
      <c r="K4259" s="22" t="s">
        <v>2512</v>
      </c>
      <c r="L4259" s="36" t="s">
        <v>20268</v>
      </c>
      <c r="M4259" s="36"/>
      <c r="N4259" s="36" t="s">
        <v>20269</v>
      </c>
      <c r="O4259" s="36"/>
      <c r="P4259" s="37"/>
      <c r="Q4259" s="36"/>
      <c r="R4259" s="36">
        <v>1200.0</v>
      </c>
      <c r="S4259" s="36" t="s">
        <v>10290</v>
      </c>
      <c r="T4259" s="28" t="s">
        <v>20270</v>
      </c>
      <c r="U4259" s="38" t="str">
        <f>HYPERLINK("https://www.ncbi.nlm.nih.gov/pubmed/32346244","PubMed")</f>
        <v>PubMed</v>
      </c>
      <c r="V4259" s="50"/>
      <c r="W4259" s="49"/>
      <c r="X4259" s="49"/>
      <c r="Y4259" s="35"/>
      <c r="Z4259" s="35"/>
      <c r="AA4259" s="35"/>
      <c r="AB4259" s="35"/>
      <c r="AC4259" s="35"/>
      <c r="AD4259" s="35"/>
      <c r="AE4259" s="35"/>
      <c r="AF4259" s="35"/>
      <c r="AG4259" s="35"/>
      <c r="AH4259" s="35"/>
      <c r="AI4259" s="35"/>
      <c r="AJ4259" s="35"/>
      <c r="AK4259" s="35"/>
      <c r="AL4259" s="35"/>
    </row>
    <row r="4260">
      <c r="A4260" s="1"/>
      <c r="B4260" s="75" t="s">
        <v>19332</v>
      </c>
      <c r="C4260" s="76" t="s">
        <v>20173</v>
      </c>
      <c r="D4260" s="47"/>
      <c r="E4260" s="22" t="s">
        <v>20271</v>
      </c>
      <c r="F4260" s="22" t="s">
        <v>20244</v>
      </c>
      <c r="G4260" s="23">
        <v>2020.0</v>
      </c>
      <c r="H4260" s="22" t="s">
        <v>20238</v>
      </c>
      <c r="I4260" s="24" t="s">
        <v>20272</v>
      </c>
      <c r="J4260" s="22" t="s">
        <v>20273</v>
      </c>
      <c r="L4260" s="36">
        <v>808.0</v>
      </c>
      <c r="M4260" s="36">
        <v>50.0</v>
      </c>
      <c r="N4260" s="36"/>
      <c r="O4260" s="36" t="s">
        <v>20274</v>
      </c>
      <c r="P4260" s="37"/>
      <c r="Q4260" s="36" t="s">
        <v>20091</v>
      </c>
      <c r="R4260" s="36"/>
      <c r="S4260" s="36" t="s">
        <v>20249</v>
      </c>
      <c r="T4260" s="41" t="s">
        <v>20275</v>
      </c>
      <c r="U4260" s="38" t="str">
        <f>HYPERLINK("https://www.ncbi.nlm.nih.gov/pubmed/32329198","PubMed")</f>
        <v>PubMed</v>
      </c>
      <c r="V4260" s="50"/>
      <c r="W4260" s="49"/>
      <c r="X4260" s="49"/>
      <c r="Y4260" s="35"/>
      <c r="Z4260" s="35"/>
      <c r="AA4260" s="35"/>
      <c r="AB4260" s="35"/>
      <c r="AC4260" s="35"/>
      <c r="AD4260" s="35"/>
      <c r="AE4260" s="35"/>
      <c r="AF4260" s="35"/>
      <c r="AG4260" s="35"/>
      <c r="AH4260" s="35"/>
      <c r="AI4260" s="35"/>
      <c r="AJ4260" s="35"/>
      <c r="AK4260" s="35"/>
      <c r="AL4260" s="35"/>
    </row>
    <row r="4261">
      <c r="A4261" s="1"/>
      <c r="B4261" s="75" t="s">
        <v>19332</v>
      </c>
      <c r="C4261" s="76" t="s">
        <v>20173</v>
      </c>
      <c r="D4261" s="47"/>
      <c r="E4261" s="22" t="s">
        <v>20276</v>
      </c>
      <c r="F4261" s="22" t="s">
        <v>7049</v>
      </c>
      <c r="G4261" s="23">
        <v>2019.0</v>
      </c>
      <c r="H4261" s="22" t="s">
        <v>19565</v>
      </c>
      <c r="I4261" s="24" t="s">
        <v>20277</v>
      </c>
      <c r="J4261" s="22" t="s">
        <v>20278</v>
      </c>
      <c r="K4261" s="22"/>
      <c r="L4261" s="36">
        <v>808.0</v>
      </c>
      <c r="M4261" s="36"/>
      <c r="N4261" s="36"/>
      <c r="O4261" s="36"/>
      <c r="P4261" s="37" t="s">
        <v>20279</v>
      </c>
      <c r="Q4261" s="36"/>
      <c r="R4261" s="36">
        <v>60.0</v>
      </c>
      <c r="S4261" s="36" t="s">
        <v>2302</v>
      </c>
      <c r="T4261" s="42" t="s">
        <v>20280</v>
      </c>
      <c r="U4261" s="38" t="str">
        <f>HYPERLINK("https://www.ncbi.nlm.nih.gov/pubmed/31666858","PubMed")</f>
        <v>PubMed</v>
      </c>
      <c r="V4261" s="50"/>
      <c r="W4261" s="49"/>
      <c r="X4261" s="49"/>
      <c r="Y4261" s="35"/>
      <c r="Z4261" s="35"/>
      <c r="AA4261" s="35"/>
      <c r="AB4261" s="35"/>
      <c r="AC4261" s="35"/>
      <c r="AD4261" s="35"/>
      <c r="AE4261" s="35"/>
      <c r="AF4261" s="35"/>
      <c r="AG4261" s="35"/>
      <c r="AH4261" s="35"/>
      <c r="AI4261" s="35"/>
      <c r="AJ4261" s="35"/>
      <c r="AK4261" s="35"/>
      <c r="AL4261" s="35"/>
    </row>
    <row r="4262">
      <c r="A4262" s="1"/>
      <c r="B4262" s="75" t="s">
        <v>19332</v>
      </c>
      <c r="C4262" s="76" t="s">
        <v>20173</v>
      </c>
      <c r="D4262" s="47"/>
      <c r="E4262" s="22" t="s">
        <v>20281</v>
      </c>
      <c r="F4262" s="22" t="s">
        <v>1124</v>
      </c>
      <c r="G4262" s="23">
        <v>2019.0</v>
      </c>
      <c r="H4262" s="22" t="s">
        <v>20282</v>
      </c>
      <c r="I4262" s="24" t="s">
        <v>20283</v>
      </c>
      <c r="J4262" s="22" t="s">
        <v>20284</v>
      </c>
      <c r="K4262" s="22"/>
      <c r="L4262" s="36">
        <v>940.0</v>
      </c>
      <c r="M4262" s="36" t="s">
        <v>4163</v>
      </c>
      <c r="N4262" s="36"/>
      <c r="O4262" s="36" t="s">
        <v>20285</v>
      </c>
      <c r="P4262" s="37"/>
      <c r="Q4262" s="36" t="s">
        <v>20286</v>
      </c>
      <c r="R4262" s="36"/>
      <c r="S4262" s="36" t="s">
        <v>20171</v>
      </c>
      <c r="T4262" s="42" t="s">
        <v>20287</v>
      </c>
      <c r="U4262" s="38" t="str">
        <f>HYPERLINK("https://www.ncbi.nlm.nih.gov/pubmed/31389750","PubMed")</f>
        <v>PubMed</v>
      </c>
      <c r="V4262" s="50"/>
      <c r="W4262" s="49"/>
      <c r="X4262" s="49"/>
      <c r="Y4262" s="35"/>
      <c r="Z4262" s="35"/>
      <c r="AA4262" s="35"/>
      <c r="AB4262" s="35"/>
      <c r="AC4262" s="35"/>
      <c r="AD4262" s="35"/>
      <c r="AE4262" s="35"/>
      <c r="AF4262" s="35"/>
      <c r="AG4262" s="35"/>
      <c r="AH4262" s="35"/>
      <c r="AI4262" s="35"/>
      <c r="AJ4262" s="35"/>
      <c r="AK4262" s="35"/>
      <c r="AL4262" s="35"/>
    </row>
    <row r="4263">
      <c r="A4263" s="1"/>
      <c r="B4263" s="75" t="s">
        <v>19332</v>
      </c>
      <c r="C4263" s="76" t="s">
        <v>20173</v>
      </c>
      <c r="D4263" s="47"/>
      <c r="E4263" s="22" t="s">
        <v>20288</v>
      </c>
      <c r="F4263" s="22" t="s">
        <v>510</v>
      </c>
      <c r="G4263" s="23">
        <v>2018.0</v>
      </c>
      <c r="H4263" s="22" t="s">
        <v>20080</v>
      </c>
      <c r="I4263" s="24" t="s">
        <v>20289</v>
      </c>
      <c r="J4263" s="22" t="s">
        <v>253</v>
      </c>
      <c r="K4263" s="22"/>
      <c r="L4263" s="36">
        <v>808.0</v>
      </c>
      <c r="M4263" s="36">
        <v>100.0</v>
      </c>
      <c r="N4263" s="36"/>
      <c r="O4263" s="36"/>
      <c r="P4263" s="37"/>
      <c r="Q4263" s="36"/>
      <c r="R4263" s="36">
        <v>100.0</v>
      </c>
      <c r="S4263" s="36">
        <v>6.0</v>
      </c>
      <c r="T4263" s="41" t="s">
        <v>20290</v>
      </c>
      <c r="U4263" s="38" t="str">
        <f>HYPERLINK("https://www.ncbi.nlm.nih.gov/pubmed/30281536","PubMed")</f>
        <v>PubMed</v>
      </c>
      <c r="V4263" s="50"/>
      <c r="W4263" s="49"/>
      <c r="X4263" s="49"/>
      <c r="Y4263" s="35"/>
      <c r="Z4263" s="35"/>
      <c r="AA4263" s="35"/>
      <c r="AB4263" s="35"/>
      <c r="AC4263" s="35"/>
      <c r="AD4263" s="35"/>
      <c r="AE4263" s="35"/>
      <c r="AF4263" s="35"/>
      <c r="AG4263" s="35"/>
      <c r="AH4263" s="35"/>
      <c r="AI4263" s="35"/>
      <c r="AJ4263" s="35"/>
      <c r="AK4263" s="35"/>
      <c r="AL4263" s="35"/>
    </row>
    <row r="4264">
      <c r="A4264" s="40" t="s">
        <v>181</v>
      </c>
      <c r="B4264" s="75" t="s">
        <v>19332</v>
      </c>
      <c r="C4264" s="76" t="s">
        <v>20173</v>
      </c>
      <c r="D4264" s="47"/>
      <c r="E4264" s="22" t="s">
        <v>20291</v>
      </c>
      <c r="F4264" s="22" t="s">
        <v>1943</v>
      </c>
      <c r="G4264" s="23">
        <v>2019.0</v>
      </c>
      <c r="H4264" s="22" t="s">
        <v>19565</v>
      </c>
      <c r="I4264" s="24" t="s">
        <v>20292</v>
      </c>
      <c r="J4264" s="22" t="s">
        <v>20293</v>
      </c>
      <c r="K4264" s="22"/>
      <c r="L4264" s="36">
        <v>830.0</v>
      </c>
      <c r="M4264" s="36">
        <v>100.0</v>
      </c>
      <c r="N4264" s="36"/>
      <c r="O4264" s="36" t="s">
        <v>20294</v>
      </c>
      <c r="P4264" s="37" t="s">
        <v>20295</v>
      </c>
      <c r="Q4264" s="36" t="s">
        <v>12922</v>
      </c>
      <c r="R4264" s="36" t="s">
        <v>3744</v>
      </c>
      <c r="S4264" s="36" t="s">
        <v>20296</v>
      </c>
      <c r="T4264" s="41" t="s">
        <v>20297</v>
      </c>
      <c r="U4264" s="38" t="str">
        <f>HYPERLINK("https://www.ncbi.nlm.nih.gov/pubmed/30962853","PubMed")</f>
        <v>PubMed</v>
      </c>
      <c r="V4264" s="50"/>
      <c r="W4264" s="49"/>
      <c r="X4264" s="49"/>
      <c r="Y4264" s="35"/>
      <c r="Z4264" s="35"/>
      <c r="AA4264" s="35"/>
      <c r="AB4264" s="35"/>
      <c r="AC4264" s="35"/>
      <c r="AD4264" s="35"/>
      <c r="AE4264" s="35"/>
      <c r="AF4264" s="35"/>
      <c r="AG4264" s="35"/>
      <c r="AH4264" s="35"/>
      <c r="AI4264" s="35"/>
      <c r="AJ4264" s="35"/>
      <c r="AK4264" s="35"/>
      <c r="AL4264" s="35"/>
    </row>
    <row r="4265">
      <c r="A4265" s="1"/>
      <c r="B4265" s="75" t="s">
        <v>19332</v>
      </c>
      <c r="C4265" s="76" t="s">
        <v>20173</v>
      </c>
      <c r="D4265" s="47"/>
      <c r="E4265" s="22" t="s">
        <v>20298</v>
      </c>
      <c r="F4265" s="22" t="s">
        <v>20299</v>
      </c>
      <c r="G4265" s="23">
        <v>2019.0</v>
      </c>
      <c r="H4265" s="22" t="s">
        <v>960</v>
      </c>
      <c r="I4265" s="24" t="s">
        <v>20300</v>
      </c>
      <c r="J4265" s="22" t="s">
        <v>20301</v>
      </c>
      <c r="K4265" s="22"/>
      <c r="L4265" s="36">
        <v>635.0</v>
      </c>
      <c r="M4265" s="36">
        <v>100.0</v>
      </c>
      <c r="N4265" s="36" t="s">
        <v>20302</v>
      </c>
      <c r="O4265" s="36" t="s">
        <v>20303</v>
      </c>
      <c r="P4265" s="37" t="s">
        <v>70</v>
      </c>
      <c r="Q4265" s="36" t="s">
        <v>20304</v>
      </c>
      <c r="R4265" s="36" t="s">
        <v>20305</v>
      </c>
      <c r="S4265" s="36" t="s">
        <v>20306</v>
      </c>
      <c r="T4265" s="28" t="s">
        <v>20307</v>
      </c>
      <c r="U4265" s="38" t="str">
        <f>HYPERLINK("https://www.ncbi.nlm.nih.gov/pubmed/31143771","PubMed")</f>
        <v>PubMed</v>
      </c>
      <c r="V4265" s="50"/>
      <c r="W4265" s="49"/>
      <c r="X4265" s="49"/>
      <c r="Y4265" s="35"/>
      <c r="Z4265" s="35"/>
      <c r="AA4265" s="35"/>
      <c r="AB4265" s="35"/>
      <c r="AC4265" s="35"/>
      <c r="AD4265" s="35"/>
      <c r="AE4265" s="35"/>
      <c r="AF4265" s="35"/>
      <c r="AG4265" s="35"/>
      <c r="AH4265" s="35"/>
      <c r="AI4265" s="35"/>
      <c r="AJ4265" s="35"/>
      <c r="AK4265" s="35"/>
      <c r="AL4265" s="35"/>
    </row>
    <row r="4266">
      <c r="A4266" s="205"/>
      <c r="B4266" s="75" t="s">
        <v>19332</v>
      </c>
      <c r="C4266" s="76" t="s">
        <v>20173</v>
      </c>
      <c r="D4266" s="47"/>
      <c r="E4266" s="22" t="s">
        <v>2195</v>
      </c>
      <c r="F4266" s="22" t="s">
        <v>2801</v>
      </c>
      <c r="G4266" s="23">
        <v>2019.0</v>
      </c>
      <c r="H4266" s="22" t="s">
        <v>12502</v>
      </c>
      <c r="I4266" s="24" t="s">
        <v>20308</v>
      </c>
      <c r="J4266" s="22" t="s">
        <v>1078</v>
      </c>
      <c r="K4266" s="22"/>
      <c r="L4266" s="238" t="s">
        <v>20309</v>
      </c>
      <c r="M4266" s="44"/>
      <c r="N4266" s="44"/>
      <c r="O4266" s="44"/>
      <c r="P4266" s="44"/>
      <c r="Q4266" s="44"/>
      <c r="R4266" s="44"/>
      <c r="S4266" s="44"/>
      <c r="T4266" s="45"/>
      <c r="U4266" s="38" t="str">
        <f>HYPERLINK("https://www.ncbi.nlm.nih.gov/pubmed/31064350","PubMed")</f>
        <v>PubMed</v>
      </c>
      <c r="V4266" s="50"/>
      <c r="W4266" s="49"/>
      <c r="X4266" s="49"/>
      <c r="Y4266" s="35"/>
      <c r="Z4266" s="35"/>
      <c r="AA4266" s="35"/>
      <c r="AB4266" s="35"/>
      <c r="AC4266" s="35"/>
      <c r="AD4266" s="35"/>
      <c r="AE4266" s="35"/>
      <c r="AF4266" s="35"/>
      <c r="AG4266" s="35"/>
      <c r="AH4266" s="35"/>
      <c r="AI4266" s="35"/>
      <c r="AJ4266" s="35"/>
      <c r="AK4266" s="35"/>
      <c r="AL4266" s="35"/>
    </row>
    <row r="4267">
      <c r="A4267" s="205"/>
      <c r="B4267" s="75" t="s">
        <v>19332</v>
      </c>
      <c r="C4267" s="76" t="s">
        <v>20173</v>
      </c>
      <c r="D4267" s="47"/>
      <c r="E4267" s="22" t="s">
        <v>20310</v>
      </c>
      <c r="F4267" s="22" t="s">
        <v>1943</v>
      </c>
      <c r="G4267" s="23">
        <v>2018.0</v>
      </c>
      <c r="H4267" s="22" t="s">
        <v>19565</v>
      </c>
      <c r="I4267" s="24" t="s">
        <v>20311</v>
      </c>
      <c r="J4267" s="22" t="s">
        <v>20312</v>
      </c>
      <c r="K4267" s="22"/>
      <c r="L4267" s="36">
        <v>904.0</v>
      </c>
      <c r="M4267" s="36">
        <v>20.0</v>
      </c>
      <c r="N4267" s="36"/>
      <c r="O4267" s="36"/>
      <c r="P4267" s="37" t="s">
        <v>7634</v>
      </c>
      <c r="Q4267" s="36" t="s">
        <v>20313</v>
      </c>
      <c r="R4267" s="36">
        <v>30.0</v>
      </c>
      <c r="S4267" s="36" t="s">
        <v>20314</v>
      </c>
      <c r="T4267" s="28" t="s">
        <v>20315</v>
      </c>
      <c r="U4267" s="38" t="str">
        <f>HYPERLINK("https://www.ncbi.nlm.nih.gov/pubmed/30159079","PubMed")</f>
        <v>PubMed</v>
      </c>
      <c r="V4267" s="50"/>
      <c r="W4267" s="49"/>
      <c r="X4267" s="49"/>
      <c r="Y4267" s="35"/>
      <c r="Z4267" s="35"/>
      <c r="AA4267" s="35"/>
      <c r="AB4267" s="35"/>
      <c r="AC4267" s="35"/>
      <c r="AD4267" s="35"/>
      <c r="AE4267" s="35"/>
      <c r="AF4267" s="35"/>
      <c r="AG4267" s="35"/>
      <c r="AH4267" s="35"/>
      <c r="AI4267" s="35"/>
      <c r="AJ4267" s="35"/>
      <c r="AK4267" s="35"/>
      <c r="AL4267" s="35"/>
    </row>
    <row r="4268">
      <c r="A4268" s="1"/>
      <c r="B4268" s="19" t="s">
        <v>19332</v>
      </c>
      <c r="C4268" s="20" t="s">
        <v>20316</v>
      </c>
      <c r="D4268" s="47"/>
      <c r="E4268" s="22" t="s">
        <v>20317</v>
      </c>
      <c r="F4268" s="22" t="s">
        <v>3441</v>
      </c>
      <c r="G4268" s="23">
        <v>2013.0</v>
      </c>
      <c r="H4268" s="22" t="s">
        <v>15533</v>
      </c>
      <c r="I4268" s="24" t="s">
        <v>20318</v>
      </c>
      <c r="J4268" s="22" t="s">
        <v>125</v>
      </c>
      <c r="K4268" s="22"/>
      <c r="L4268" s="171" t="s">
        <v>20319</v>
      </c>
      <c r="M4268" s="44"/>
      <c r="N4268" s="44"/>
      <c r="O4268" s="44"/>
      <c r="P4268" s="44"/>
      <c r="Q4268" s="44"/>
      <c r="R4268" s="44"/>
      <c r="S4268" s="44"/>
      <c r="T4268" s="45"/>
      <c r="U4268" s="38" t="str">
        <f>HYPERLINK("https://www.ncbi.nlm.nih.gov/pubmed/24455438","PubMed")</f>
        <v>PubMed</v>
      </c>
      <c r="V4268" s="50"/>
      <c r="W4268" s="49"/>
      <c r="X4268" s="49"/>
      <c r="Y4268" s="35"/>
      <c r="Z4268" s="35"/>
      <c r="AA4268" s="35"/>
      <c r="AB4268" s="35"/>
      <c r="AC4268" s="35"/>
      <c r="AD4268" s="35"/>
      <c r="AE4268" s="35"/>
      <c r="AF4268" s="35"/>
      <c r="AG4268" s="35"/>
      <c r="AH4268" s="35"/>
      <c r="AI4268" s="35"/>
      <c r="AJ4268" s="35"/>
      <c r="AK4268" s="35"/>
      <c r="AL4268" s="35"/>
    </row>
    <row r="4269">
      <c r="A4269" s="1"/>
      <c r="B4269" s="75" t="s">
        <v>19332</v>
      </c>
      <c r="C4269" s="76" t="s">
        <v>20173</v>
      </c>
      <c r="D4269" s="47"/>
      <c r="E4269" s="22" t="s">
        <v>20320</v>
      </c>
      <c r="F4269" s="22" t="s">
        <v>1891</v>
      </c>
      <c r="G4269" s="23">
        <v>2018.0</v>
      </c>
      <c r="H4269" s="22" t="s">
        <v>19759</v>
      </c>
      <c r="I4269" s="24" t="s">
        <v>20321</v>
      </c>
      <c r="J4269" s="22" t="s">
        <v>20322</v>
      </c>
      <c r="K4269" s="22" t="s">
        <v>20323</v>
      </c>
      <c r="L4269" s="36" t="s">
        <v>20324</v>
      </c>
      <c r="M4269" s="36" t="s">
        <v>20325</v>
      </c>
      <c r="N4269" s="36" t="s">
        <v>20326</v>
      </c>
      <c r="O4269" s="36" t="s">
        <v>20327</v>
      </c>
      <c r="P4269" s="37"/>
      <c r="Q4269" s="36" t="s">
        <v>20328</v>
      </c>
      <c r="R4269" s="36" t="s">
        <v>20329</v>
      </c>
      <c r="S4269" s="36" t="s">
        <v>20330</v>
      </c>
      <c r="T4269" s="42" t="s">
        <v>20331</v>
      </c>
      <c r="U4269" s="38" t="str">
        <f>HYPERLINK("https://www.ncbi.nlm.nih.gov/pubmed/30123306","PubMed")</f>
        <v>PubMed</v>
      </c>
      <c r="V4269" s="50"/>
      <c r="W4269" s="49"/>
      <c r="X4269" s="49"/>
      <c r="Y4269" s="35"/>
      <c r="Z4269" s="35"/>
      <c r="AA4269" s="35"/>
      <c r="AB4269" s="35"/>
      <c r="AC4269" s="35"/>
      <c r="AD4269" s="35"/>
      <c r="AE4269" s="35"/>
      <c r="AF4269" s="35"/>
      <c r="AG4269" s="35"/>
      <c r="AH4269" s="35"/>
      <c r="AI4269" s="35"/>
      <c r="AJ4269" s="35"/>
      <c r="AK4269" s="35"/>
      <c r="AL4269" s="35"/>
    </row>
    <row r="4270">
      <c r="A4270" s="1"/>
      <c r="B4270" s="75" t="s">
        <v>19332</v>
      </c>
      <c r="C4270" s="76" t="s">
        <v>20173</v>
      </c>
      <c r="D4270" s="47"/>
      <c r="E4270" s="22" t="s">
        <v>20332</v>
      </c>
      <c r="F4270" s="22" t="s">
        <v>52</v>
      </c>
      <c r="G4270" s="23">
        <v>2018.0</v>
      </c>
      <c r="H4270" s="22" t="s">
        <v>20333</v>
      </c>
      <c r="I4270" s="24" t="s">
        <v>20334</v>
      </c>
      <c r="J4270" s="22" t="s">
        <v>20335</v>
      </c>
      <c r="K4270" s="22" t="s">
        <v>20336</v>
      </c>
      <c r="L4270" s="36">
        <v>830.0</v>
      </c>
      <c r="M4270" s="36"/>
      <c r="N4270" s="36"/>
      <c r="O4270" s="36" t="s">
        <v>20337</v>
      </c>
      <c r="P4270" s="37" t="s">
        <v>20295</v>
      </c>
      <c r="Q4270" s="36" t="s">
        <v>1160</v>
      </c>
      <c r="R4270" s="36" t="s">
        <v>20338</v>
      </c>
      <c r="S4270" s="36" t="s">
        <v>434</v>
      </c>
      <c r="T4270" s="42" t="s">
        <v>20339</v>
      </c>
      <c r="U4270" s="38" t="str">
        <f>HYPERLINK("https://www.ncbi.nlm.nih.gov/pubmed/29888715","PubMed")</f>
        <v>PubMed</v>
      </c>
      <c r="V4270" s="50"/>
      <c r="W4270" s="49"/>
      <c r="X4270" s="49"/>
      <c r="Y4270" s="35"/>
      <c r="Z4270" s="35"/>
      <c r="AA4270" s="35"/>
      <c r="AB4270" s="35"/>
      <c r="AC4270" s="35"/>
      <c r="AD4270" s="35"/>
      <c r="AE4270" s="35"/>
      <c r="AF4270" s="35"/>
      <c r="AG4270" s="35"/>
      <c r="AH4270" s="35"/>
      <c r="AI4270" s="35"/>
      <c r="AJ4270" s="35"/>
      <c r="AK4270" s="35"/>
      <c r="AL4270" s="35"/>
    </row>
    <row r="4271">
      <c r="A4271" s="18" t="s">
        <v>38</v>
      </c>
      <c r="B4271" s="19" t="s">
        <v>19332</v>
      </c>
      <c r="C4271" s="76" t="s">
        <v>20173</v>
      </c>
      <c r="D4271" s="47"/>
      <c r="E4271" s="22" t="s">
        <v>20340</v>
      </c>
      <c r="F4271" s="22" t="s">
        <v>1930</v>
      </c>
      <c r="G4271" s="23" t="s">
        <v>90</v>
      </c>
      <c r="H4271" s="22" t="s">
        <v>91</v>
      </c>
      <c r="I4271" s="24" t="s">
        <v>20341</v>
      </c>
      <c r="J4271" s="22" t="s">
        <v>20342</v>
      </c>
      <c r="K4271" s="22"/>
      <c r="L4271" s="36">
        <v>940.0</v>
      </c>
      <c r="M4271" s="36">
        <v>100.0</v>
      </c>
      <c r="N4271" s="36" t="s">
        <v>20343</v>
      </c>
      <c r="O4271" s="36" t="s">
        <v>20344</v>
      </c>
      <c r="P4271" s="37" t="s">
        <v>20345</v>
      </c>
      <c r="Q4271" s="36" t="s">
        <v>20346</v>
      </c>
      <c r="R4271" s="36" t="s">
        <v>20347</v>
      </c>
      <c r="S4271" s="36" t="s">
        <v>434</v>
      </c>
      <c r="T4271" s="41" t="s">
        <v>20348</v>
      </c>
      <c r="U4271" s="38" t="str">
        <f>HYPERLINK("https://www.ncbi.nlm.nih.gov/pubmed/29082462","PubMed")</f>
        <v>PubMed</v>
      </c>
      <c r="V4271" s="50"/>
      <c r="W4271" s="49"/>
      <c r="X4271" s="49"/>
      <c r="Y4271" s="35"/>
      <c r="Z4271" s="35"/>
      <c r="AA4271" s="35"/>
      <c r="AB4271" s="35"/>
      <c r="AC4271" s="35"/>
      <c r="AD4271" s="35"/>
      <c r="AE4271" s="35"/>
      <c r="AF4271" s="35"/>
      <c r="AG4271" s="35"/>
      <c r="AH4271" s="35"/>
      <c r="AI4271" s="35"/>
      <c r="AJ4271" s="35"/>
      <c r="AK4271" s="35"/>
      <c r="AL4271" s="35"/>
    </row>
    <row r="4272">
      <c r="A4272" s="1"/>
      <c r="B4272" s="19" t="s">
        <v>19332</v>
      </c>
      <c r="C4272" s="76" t="s">
        <v>20173</v>
      </c>
      <c r="D4272" s="47"/>
      <c r="E4272" s="22" t="s">
        <v>20349</v>
      </c>
      <c r="F4272" s="22" t="s">
        <v>1337</v>
      </c>
      <c r="G4272" s="23">
        <v>2016.0</v>
      </c>
      <c r="H4272" s="22" t="s">
        <v>91</v>
      </c>
      <c r="I4272" s="24" t="s">
        <v>20350</v>
      </c>
      <c r="J4272" s="22" t="s">
        <v>649</v>
      </c>
      <c r="K4272" s="22"/>
      <c r="L4272" s="270" t="s">
        <v>20351</v>
      </c>
      <c r="M4272" s="44"/>
      <c r="N4272" s="44"/>
      <c r="O4272" s="44"/>
      <c r="P4272" s="44"/>
      <c r="Q4272" s="44"/>
      <c r="R4272" s="44"/>
      <c r="S4272" s="44"/>
      <c r="T4272" s="45"/>
      <c r="U4272" s="38" t="str">
        <f>HYPERLINK("http://www.ncbi.nlm.nih.gov/pubmed/26754180","PubMed")</f>
        <v>PubMed</v>
      </c>
      <c r="V4272" s="50"/>
      <c r="W4272" s="49"/>
      <c r="X4272" s="49"/>
      <c r="Y4272" s="35"/>
      <c r="Z4272" s="35"/>
      <c r="AA4272" s="35"/>
      <c r="AB4272" s="35"/>
      <c r="AC4272" s="35"/>
      <c r="AD4272" s="35"/>
      <c r="AE4272" s="35"/>
      <c r="AF4272" s="35"/>
      <c r="AG4272" s="35"/>
      <c r="AH4272" s="35"/>
      <c r="AI4272" s="35"/>
      <c r="AJ4272" s="35"/>
      <c r="AK4272" s="35"/>
      <c r="AL4272" s="35"/>
    </row>
    <row r="4273">
      <c r="A4273" s="39" t="s">
        <v>20352</v>
      </c>
      <c r="B4273" s="19" t="s">
        <v>19332</v>
      </c>
      <c r="C4273" s="76" t="s">
        <v>20173</v>
      </c>
      <c r="D4273" s="47"/>
      <c r="E4273" s="22" t="s">
        <v>16618</v>
      </c>
      <c r="F4273" s="22" t="s">
        <v>797</v>
      </c>
      <c r="G4273" s="23">
        <v>2015.0</v>
      </c>
      <c r="H4273" s="22" t="s">
        <v>284</v>
      </c>
      <c r="I4273" s="24" t="s">
        <v>20353</v>
      </c>
      <c r="J4273" s="22" t="s">
        <v>253</v>
      </c>
      <c r="K4273" s="22" t="s">
        <v>1112</v>
      </c>
      <c r="L4273" s="36">
        <v>830.0</v>
      </c>
      <c r="M4273" s="36">
        <v>50.0</v>
      </c>
      <c r="N4273" s="36"/>
      <c r="O4273" s="36"/>
      <c r="P4273" s="37" t="s">
        <v>760</v>
      </c>
      <c r="Q4273" s="36"/>
      <c r="R4273" s="36" t="s">
        <v>20354</v>
      </c>
      <c r="S4273" s="36">
        <v>7.0</v>
      </c>
      <c r="T4273" s="342" t="s">
        <v>20355</v>
      </c>
      <c r="U4273" s="38" t="str">
        <f>HYPERLINK("https://www.ncbi.nlm.nih.gov/pubmed/25282596","PubMed")</f>
        <v>PubMed</v>
      </c>
      <c r="V4273" s="50"/>
      <c r="W4273" s="49"/>
      <c r="X4273" s="49"/>
      <c r="Y4273" s="35"/>
      <c r="Z4273" s="35"/>
      <c r="AA4273" s="35"/>
      <c r="AB4273" s="35"/>
      <c r="AC4273" s="35"/>
      <c r="AD4273" s="35"/>
      <c r="AE4273" s="35"/>
      <c r="AF4273" s="35"/>
      <c r="AG4273" s="35"/>
      <c r="AH4273" s="35"/>
      <c r="AI4273" s="35"/>
      <c r="AJ4273" s="35"/>
      <c r="AK4273" s="35"/>
      <c r="AL4273" s="35"/>
    </row>
    <row r="4274">
      <c r="A4274" s="18" t="s">
        <v>38</v>
      </c>
      <c r="B4274" s="19" t="s">
        <v>19332</v>
      </c>
      <c r="C4274" s="76" t="s">
        <v>20173</v>
      </c>
      <c r="D4274" s="47"/>
      <c r="E4274" s="22" t="s">
        <v>20356</v>
      </c>
      <c r="F4274" s="22" t="s">
        <v>797</v>
      </c>
      <c r="G4274" s="23">
        <v>2015.0</v>
      </c>
      <c r="H4274" s="22" t="s">
        <v>658</v>
      </c>
      <c r="I4274" s="24" t="s">
        <v>20357</v>
      </c>
      <c r="J4274" s="22" t="s">
        <v>253</v>
      </c>
      <c r="K4274" s="22" t="s">
        <v>1112</v>
      </c>
      <c r="L4274" s="36">
        <v>830.0</v>
      </c>
      <c r="M4274" s="36">
        <v>50.0</v>
      </c>
      <c r="N4274" s="36"/>
      <c r="O4274" s="36"/>
      <c r="P4274" s="37" t="s">
        <v>760</v>
      </c>
      <c r="Q4274" s="36" t="s">
        <v>1160</v>
      </c>
      <c r="R4274" s="36"/>
      <c r="S4274" s="36"/>
      <c r="T4274" s="343" t="s">
        <v>20358</v>
      </c>
      <c r="U4274" s="38" t="str">
        <f>HYPERLINK("https://www.ncbi.nlm.nih.gov/pubmed/25751666","PubMed")</f>
        <v>PubMed</v>
      </c>
      <c r="V4274" s="50"/>
      <c r="W4274" s="49"/>
      <c r="X4274" s="49"/>
      <c r="Y4274" s="35"/>
      <c r="Z4274" s="35"/>
      <c r="AA4274" s="35"/>
      <c r="AB4274" s="35"/>
      <c r="AC4274" s="35"/>
      <c r="AD4274" s="35"/>
      <c r="AE4274" s="35"/>
      <c r="AF4274" s="35"/>
      <c r="AG4274" s="35"/>
      <c r="AH4274" s="35"/>
      <c r="AI4274" s="35"/>
      <c r="AJ4274" s="35"/>
      <c r="AK4274" s="35"/>
      <c r="AL4274" s="35"/>
    </row>
    <row r="4275">
      <c r="A4275" s="1"/>
      <c r="B4275" s="19" t="s">
        <v>19332</v>
      </c>
      <c r="C4275" s="76" t="s">
        <v>20173</v>
      </c>
      <c r="D4275" s="47"/>
      <c r="E4275" s="22" t="s">
        <v>15555</v>
      </c>
      <c r="F4275" s="22" t="s">
        <v>797</v>
      </c>
      <c r="G4275" s="23">
        <v>2015.0</v>
      </c>
      <c r="H4275" s="22" t="s">
        <v>819</v>
      </c>
      <c r="I4275" s="24" t="s">
        <v>20359</v>
      </c>
      <c r="J4275" s="22" t="s">
        <v>253</v>
      </c>
      <c r="K4275" s="22"/>
      <c r="L4275" s="36">
        <v>830.0</v>
      </c>
      <c r="M4275" s="36">
        <v>100.0</v>
      </c>
      <c r="N4275" s="36" t="s">
        <v>20360</v>
      </c>
      <c r="O4275" s="36" t="s">
        <v>58</v>
      </c>
      <c r="P4275" s="37" t="s">
        <v>969</v>
      </c>
      <c r="Q4275" s="36" t="s">
        <v>58</v>
      </c>
      <c r="R4275" s="36" t="s">
        <v>58</v>
      </c>
      <c r="S4275" s="36">
        <v>8.0</v>
      </c>
      <c r="T4275" s="343" t="s">
        <v>20361</v>
      </c>
      <c r="U4275" s="38" t="str">
        <f>HYPERLINK("https://www.ncbi.nlm.nih.gov/pubmed/23834724","PubMed")</f>
        <v>PubMed</v>
      </c>
      <c r="V4275" s="50"/>
      <c r="W4275" s="49"/>
      <c r="X4275" s="49"/>
      <c r="Y4275" s="35"/>
      <c r="Z4275" s="35"/>
      <c r="AA4275" s="35"/>
      <c r="AB4275" s="35"/>
      <c r="AC4275" s="35"/>
      <c r="AD4275" s="35"/>
      <c r="AE4275" s="35"/>
      <c r="AF4275" s="35"/>
      <c r="AG4275" s="35"/>
      <c r="AH4275" s="35"/>
      <c r="AI4275" s="35"/>
      <c r="AJ4275" s="35"/>
      <c r="AK4275" s="35"/>
      <c r="AL4275" s="35"/>
    </row>
    <row r="4276">
      <c r="A4276" s="1"/>
      <c r="B4276" s="19" t="s">
        <v>19332</v>
      </c>
      <c r="C4276" s="76" t="s">
        <v>20173</v>
      </c>
      <c r="D4276" s="47"/>
      <c r="E4276" s="22" t="s">
        <v>20362</v>
      </c>
      <c r="F4276" s="22" t="s">
        <v>19035</v>
      </c>
      <c r="G4276" s="23">
        <v>2014.0</v>
      </c>
      <c r="H4276" s="22" t="s">
        <v>658</v>
      </c>
      <c r="I4276" s="24" t="s">
        <v>20363</v>
      </c>
      <c r="J4276" s="22" t="s">
        <v>20364</v>
      </c>
      <c r="K4276" s="22" t="s">
        <v>157</v>
      </c>
      <c r="L4276" s="36">
        <v>626.0</v>
      </c>
      <c r="M4276" s="36">
        <v>185.0</v>
      </c>
      <c r="N4276" s="36" t="s">
        <v>20365</v>
      </c>
      <c r="O4276" s="36">
        <v>222.0</v>
      </c>
      <c r="P4276" s="37" t="s">
        <v>20366</v>
      </c>
      <c r="Q4276" s="36" t="s">
        <v>20367</v>
      </c>
      <c r="R4276" s="36">
        <v>1200.0</v>
      </c>
      <c r="S4276" s="36" t="s">
        <v>8476</v>
      </c>
      <c r="T4276" s="342" t="s">
        <v>20368</v>
      </c>
      <c r="U4276" s="38" t="str">
        <f>HYPERLINK("https://www.ncbi.nlm.nih.gov/pubmed/24552468","PubMed")</f>
        <v>PubMed</v>
      </c>
      <c r="V4276" s="50"/>
      <c r="W4276" s="49"/>
      <c r="X4276" s="49"/>
      <c r="Y4276" s="35"/>
      <c r="Z4276" s="35"/>
      <c r="AA4276" s="35"/>
      <c r="AB4276" s="35"/>
      <c r="AC4276" s="35"/>
      <c r="AD4276" s="35"/>
      <c r="AE4276" s="35"/>
      <c r="AF4276" s="35"/>
      <c r="AG4276" s="35"/>
      <c r="AH4276" s="35"/>
      <c r="AI4276" s="35"/>
      <c r="AJ4276" s="35"/>
      <c r="AK4276" s="35"/>
      <c r="AL4276" s="35"/>
    </row>
    <row r="4277">
      <c r="A4277" s="1"/>
      <c r="B4277" s="19" t="s">
        <v>19332</v>
      </c>
      <c r="C4277" s="76" t="s">
        <v>20173</v>
      </c>
      <c r="D4277" s="47"/>
      <c r="E4277" s="22" t="s">
        <v>20369</v>
      </c>
      <c r="F4277" s="22" t="s">
        <v>41</v>
      </c>
      <c r="G4277" s="23">
        <v>2012.0</v>
      </c>
      <c r="H4277" s="22" t="s">
        <v>91</v>
      </c>
      <c r="I4277" s="24" t="s">
        <v>20370</v>
      </c>
      <c r="J4277" s="22" t="s">
        <v>20371</v>
      </c>
      <c r="K4277" s="22"/>
      <c r="L4277" s="36">
        <v>830.0</v>
      </c>
      <c r="M4277" s="36">
        <v>86.0</v>
      </c>
      <c r="N4277" s="36"/>
      <c r="O4277" s="36" t="s">
        <v>20372</v>
      </c>
      <c r="P4277" s="37" t="s">
        <v>20295</v>
      </c>
      <c r="Q4277" s="36"/>
      <c r="R4277" s="36" t="s">
        <v>20338</v>
      </c>
      <c r="S4277" s="36" t="s">
        <v>20373</v>
      </c>
      <c r="T4277" s="41" t="s">
        <v>20374</v>
      </c>
      <c r="U4277" s="38" t="str">
        <f>HYPERLINK("https://www.ncbi.nlm.nih.gov/pubmed/21732113","PubMed")</f>
        <v>PubMed</v>
      </c>
      <c r="V4277" s="50"/>
      <c r="W4277" s="49"/>
      <c r="X4277" s="49"/>
      <c r="Y4277" s="35"/>
      <c r="Z4277" s="35"/>
      <c r="AA4277" s="35"/>
      <c r="AB4277" s="35"/>
      <c r="AC4277" s="35"/>
      <c r="AD4277" s="35"/>
      <c r="AE4277" s="35"/>
      <c r="AF4277" s="35"/>
      <c r="AG4277" s="35"/>
      <c r="AH4277" s="35"/>
      <c r="AI4277" s="35"/>
      <c r="AJ4277" s="35"/>
      <c r="AK4277" s="35"/>
      <c r="AL4277" s="35"/>
    </row>
    <row r="4278">
      <c r="A4278" s="39" t="s">
        <v>20375</v>
      </c>
      <c r="B4278" s="19" t="s">
        <v>19332</v>
      </c>
      <c r="C4278" s="76" t="s">
        <v>20173</v>
      </c>
      <c r="D4278" s="47"/>
      <c r="E4278" s="22" t="s">
        <v>20376</v>
      </c>
      <c r="F4278" s="22" t="s">
        <v>20377</v>
      </c>
      <c r="G4278" s="23">
        <v>2008.0</v>
      </c>
      <c r="H4278" s="22" t="s">
        <v>20378</v>
      </c>
      <c r="I4278" s="24" t="s">
        <v>20379</v>
      </c>
      <c r="J4278" s="22" t="s">
        <v>20380</v>
      </c>
      <c r="K4278" s="22"/>
      <c r="L4278" s="36" t="s">
        <v>20381</v>
      </c>
      <c r="M4278" s="36"/>
      <c r="N4278" s="36" t="s">
        <v>20382</v>
      </c>
      <c r="O4278" s="36"/>
      <c r="P4278" s="37"/>
      <c r="Q4278" s="36"/>
      <c r="R4278" s="36" t="s">
        <v>20383</v>
      </c>
      <c r="S4278" s="36" t="s">
        <v>20384</v>
      </c>
      <c r="T4278" s="28" t="s">
        <v>20385</v>
      </c>
      <c r="U4278" s="38" t="str">
        <f>HYPERLINK("https://link.springer.com/chapter/10.1007/978-0-387-71809-5_18","Springer")</f>
        <v>Springer</v>
      </c>
      <c r="V4278" s="50"/>
      <c r="W4278" s="49"/>
      <c r="X4278" s="49"/>
      <c r="Y4278" s="35"/>
      <c r="Z4278" s="35"/>
      <c r="AA4278" s="35"/>
      <c r="AB4278" s="35"/>
      <c r="AC4278" s="35"/>
      <c r="AD4278" s="35"/>
      <c r="AE4278" s="35"/>
      <c r="AF4278" s="35"/>
      <c r="AG4278" s="35"/>
      <c r="AH4278" s="35"/>
      <c r="AI4278" s="35"/>
      <c r="AJ4278" s="35"/>
      <c r="AK4278" s="35"/>
      <c r="AL4278" s="35"/>
    </row>
    <row r="4279">
      <c r="A4279" s="1"/>
      <c r="B4279" s="19" t="s">
        <v>19332</v>
      </c>
      <c r="C4279" s="76" t="s">
        <v>20173</v>
      </c>
      <c r="D4279" s="47"/>
      <c r="E4279" s="22" t="s">
        <v>20386</v>
      </c>
      <c r="F4279" s="22" t="s">
        <v>3047</v>
      </c>
      <c r="G4279" s="23">
        <v>2007.0</v>
      </c>
      <c r="H4279" s="22" t="s">
        <v>905</v>
      </c>
      <c r="I4279" s="24" t="s">
        <v>20387</v>
      </c>
      <c r="J4279" s="22" t="s">
        <v>522</v>
      </c>
      <c r="K4279" s="22"/>
      <c r="L4279" s="36">
        <v>680.0</v>
      </c>
      <c r="M4279" s="36">
        <v>75.0</v>
      </c>
      <c r="N4279" s="36"/>
      <c r="O4279" s="36"/>
      <c r="P4279" s="37" t="s">
        <v>20388</v>
      </c>
      <c r="Q4279" s="36"/>
      <c r="R4279" s="36"/>
      <c r="S4279" s="36"/>
      <c r="T4279" s="42" t="s">
        <v>20389</v>
      </c>
      <c r="U4279" s="38" t="str">
        <f>HYPERLINK("https://www.ncbi.nlm.nih.gov/pubmed/17451409","PubMed")</f>
        <v>PubMed</v>
      </c>
      <c r="V4279" s="50"/>
      <c r="W4279" s="49"/>
      <c r="X4279" s="49"/>
      <c r="Y4279" s="35"/>
      <c r="Z4279" s="35"/>
      <c r="AA4279" s="35"/>
      <c r="AB4279" s="35"/>
      <c r="AC4279" s="35"/>
      <c r="AD4279" s="35"/>
      <c r="AE4279" s="35"/>
      <c r="AF4279" s="35"/>
      <c r="AG4279" s="35"/>
      <c r="AH4279" s="35"/>
      <c r="AI4279" s="35"/>
      <c r="AJ4279" s="35"/>
      <c r="AK4279" s="35"/>
      <c r="AL4279" s="35"/>
    </row>
    <row r="4280">
      <c r="A4280" s="1"/>
      <c r="B4280" s="19" t="s">
        <v>19332</v>
      </c>
      <c r="C4280" s="76" t="s">
        <v>20173</v>
      </c>
      <c r="D4280" s="47"/>
      <c r="E4280" s="22" t="s">
        <v>20390</v>
      </c>
      <c r="F4280" s="22" t="s">
        <v>1398</v>
      </c>
      <c r="G4280" s="23">
        <v>1993.0</v>
      </c>
      <c r="H4280" s="22" t="s">
        <v>292</v>
      </c>
      <c r="I4280" s="24" t="s">
        <v>20391</v>
      </c>
      <c r="J4280" s="22" t="s">
        <v>253</v>
      </c>
      <c r="K4280" s="22"/>
      <c r="L4280" s="36">
        <v>633.0</v>
      </c>
      <c r="M4280" s="36">
        <v>6.0</v>
      </c>
      <c r="N4280" s="36"/>
      <c r="O4280" s="36"/>
      <c r="P4280" s="37"/>
      <c r="Q4280" s="36"/>
      <c r="R4280" s="36">
        <v>600.0</v>
      </c>
      <c r="S4280" s="36">
        <v>4.0</v>
      </c>
      <c r="T4280" s="28" t="s">
        <v>20392</v>
      </c>
      <c r="U4280" s="38" t="str">
        <f>HYPERLINK("https://www.jstage.jst.go.jp/article/islsm/5/1/5_93-OR-02/_article/-char/en","J-STAGE")</f>
        <v>J-STAGE</v>
      </c>
      <c r="V4280" s="50"/>
      <c r="W4280" s="49"/>
      <c r="X4280" s="49"/>
      <c r="Y4280" s="35"/>
      <c r="Z4280" s="35"/>
      <c r="AA4280" s="35"/>
      <c r="AB4280" s="35"/>
      <c r="AC4280" s="35"/>
      <c r="AD4280" s="35"/>
      <c r="AE4280" s="35"/>
      <c r="AF4280" s="35"/>
      <c r="AG4280" s="35"/>
      <c r="AH4280" s="35"/>
      <c r="AI4280" s="35"/>
      <c r="AJ4280" s="35"/>
      <c r="AK4280" s="35"/>
      <c r="AL4280" s="35"/>
    </row>
    <row r="4281">
      <c r="A4281" s="1"/>
      <c r="B4281" s="19" t="s">
        <v>19332</v>
      </c>
      <c r="C4281" s="20" t="s">
        <v>20393</v>
      </c>
      <c r="D4281" s="47"/>
      <c r="E4281" s="22" t="s">
        <v>10506</v>
      </c>
      <c r="F4281" s="22" t="s">
        <v>41</v>
      </c>
      <c r="G4281" s="23">
        <v>2021.0</v>
      </c>
      <c r="H4281" s="22" t="s">
        <v>77</v>
      </c>
      <c r="I4281" s="24" t="s">
        <v>20394</v>
      </c>
      <c r="J4281" s="22" t="s">
        <v>20395</v>
      </c>
      <c r="K4281" s="22"/>
      <c r="L4281" s="36">
        <v>786.0</v>
      </c>
      <c r="M4281" s="36">
        <v>100.0</v>
      </c>
      <c r="N4281" s="36" t="s">
        <v>20396</v>
      </c>
      <c r="O4281" s="36" t="s">
        <v>20397</v>
      </c>
      <c r="P4281" s="37" t="s">
        <v>20398</v>
      </c>
      <c r="Q4281" s="36" t="s">
        <v>7605</v>
      </c>
      <c r="R4281" s="36">
        <v>90.0</v>
      </c>
      <c r="S4281" s="36">
        <v>1.0</v>
      </c>
      <c r="T4281" s="28" t="s">
        <v>20399</v>
      </c>
      <c r="U4281" s="29" t="s">
        <v>61</v>
      </c>
      <c r="V4281" s="50"/>
      <c r="W4281" s="49"/>
      <c r="X4281" s="49"/>
      <c r="Y4281" s="35"/>
      <c r="Z4281" s="35"/>
      <c r="AA4281" s="35"/>
      <c r="AB4281" s="35"/>
      <c r="AC4281" s="35"/>
      <c r="AD4281" s="35"/>
      <c r="AE4281" s="35"/>
      <c r="AF4281" s="35"/>
      <c r="AG4281" s="35"/>
      <c r="AH4281" s="35"/>
      <c r="AI4281" s="35"/>
      <c r="AJ4281" s="35"/>
      <c r="AK4281" s="35"/>
      <c r="AL4281" s="35"/>
    </row>
    <row r="4282">
      <c r="A4282" s="1"/>
      <c r="B4282" s="19" t="s">
        <v>19332</v>
      </c>
      <c r="C4282" s="20" t="s">
        <v>20400</v>
      </c>
      <c r="D4282" s="47"/>
      <c r="E4282" s="22" t="s">
        <v>626</v>
      </c>
      <c r="F4282" s="22" t="s">
        <v>2175</v>
      </c>
      <c r="G4282" s="23">
        <v>2022.0</v>
      </c>
      <c r="H4282" s="22" t="s">
        <v>4975</v>
      </c>
      <c r="I4282" s="24" t="s">
        <v>20401</v>
      </c>
      <c r="J4282" s="22" t="s">
        <v>31</v>
      </c>
      <c r="K4282" s="22"/>
      <c r="L4282" s="36">
        <v>980.0</v>
      </c>
      <c r="M4282" s="36">
        <v>100.0</v>
      </c>
      <c r="N4282" s="36"/>
      <c r="O4282" s="36"/>
      <c r="P4282" s="37" t="s">
        <v>20402</v>
      </c>
      <c r="Q4282" s="36"/>
      <c r="R4282" s="36"/>
      <c r="S4282" s="36"/>
      <c r="T4282" s="28" t="s">
        <v>20403</v>
      </c>
      <c r="U4282" s="38" t="s">
        <v>61</v>
      </c>
      <c r="V4282" s="50"/>
      <c r="W4282" s="49"/>
      <c r="X4282" s="49"/>
      <c r="Y4282" s="35"/>
      <c r="Z4282" s="35"/>
      <c r="AA4282" s="35"/>
      <c r="AB4282" s="35"/>
      <c r="AC4282" s="35"/>
      <c r="AD4282" s="35"/>
      <c r="AE4282" s="35"/>
      <c r="AF4282" s="35"/>
      <c r="AG4282" s="35"/>
      <c r="AH4282" s="35"/>
      <c r="AI4282" s="35"/>
      <c r="AJ4282" s="35"/>
      <c r="AK4282" s="35"/>
      <c r="AL4282" s="35"/>
    </row>
    <row r="4283">
      <c r="A4283" s="1"/>
      <c r="B4283" s="19" t="s">
        <v>19332</v>
      </c>
      <c r="C4283" s="20" t="s">
        <v>20400</v>
      </c>
      <c r="D4283" s="47"/>
      <c r="E4283" s="22" t="s">
        <v>20404</v>
      </c>
      <c r="F4283" s="22" t="s">
        <v>2028</v>
      </c>
      <c r="G4283" s="23">
        <v>2019.0</v>
      </c>
      <c r="H4283" s="22" t="s">
        <v>91</v>
      </c>
      <c r="I4283" s="24" t="s">
        <v>20405</v>
      </c>
      <c r="J4283" s="22" t="s">
        <v>31</v>
      </c>
      <c r="K4283" s="22" t="s">
        <v>20406</v>
      </c>
      <c r="L4283" s="36" t="s">
        <v>20407</v>
      </c>
      <c r="M4283" s="36"/>
      <c r="N4283" s="36"/>
      <c r="O4283" s="36"/>
      <c r="P4283" s="37" t="s">
        <v>20408</v>
      </c>
      <c r="Q4283" s="36"/>
      <c r="R4283" s="36"/>
      <c r="S4283" s="36"/>
      <c r="T4283" s="42" t="s">
        <v>20409</v>
      </c>
      <c r="U4283" s="38" t="str">
        <f>HYPERLINK("https://www.ncbi.nlm.nih.gov/pubmed/31134436","PubMed")</f>
        <v>PubMed</v>
      </c>
      <c r="V4283" s="50"/>
      <c r="W4283" s="49"/>
      <c r="X4283" s="49"/>
      <c r="Y4283" s="35"/>
      <c r="Z4283" s="35"/>
      <c r="AA4283" s="35"/>
      <c r="AB4283" s="35"/>
      <c r="AC4283" s="35"/>
      <c r="AD4283" s="35"/>
      <c r="AE4283" s="35"/>
      <c r="AF4283" s="35"/>
      <c r="AG4283" s="35"/>
      <c r="AH4283" s="35"/>
      <c r="AI4283" s="35"/>
      <c r="AJ4283" s="35"/>
      <c r="AK4283" s="35"/>
      <c r="AL4283" s="35"/>
    </row>
    <row r="4284">
      <c r="A4284" s="1"/>
      <c r="B4284" s="19" t="s">
        <v>19332</v>
      </c>
      <c r="C4284" s="20" t="s">
        <v>20400</v>
      </c>
      <c r="D4284" s="47"/>
      <c r="E4284" s="22" t="s">
        <v>1080</v>
      </c>
      <c r="F4284" s="22" t="s">
        <v>299</v>
      </c>
      <c r="G4284" s="23">
        <v>2018.0</v>
      </c>
      <c r="H4284" s="22" t="s">
        <v>2181</v>
      </c>
      <c r="I4284" s="24" t="s">
        <v>20410</v>
      </c>
      <c r="J4284" s="22" t="s">
        <v>31</v>
      </c>
      <c r="K4284" s="22" t="s">
        <v>20411</v>
      </c>
      <c r="L4284" s="36">
        <v>810.0</v>
      </c>
      <c r="M4284" s="36"/>
      <c r="N4284" s="36" t="s">
        <v>5051</v>
      </c>
      <c r="O4284" s="36"/>
      <c r="P4284" s="37"/>
      <c r="Q4284" s="36"/>
      <c r="R4284" s="36"/>
      <c r="S4284" s="36"/>
      <c r="T4284" s="28" t="s">
        <v>20412</v>
      </c>
      <c r="U4284" s="38" t="str">
        <f>HYPERLINK("https://www.ncbi.nlm.nih.gov/pubmed/29391502","PubMed")</f>
        <v>PubMed</v>
      </c>
      <c r="V4284" s="50"/>
      <c r="W4284" s="49"/>
      <c r="X4284" s="49"/>
      <c r="Y4284" s="35"/>
      <c r="Z4284" s="35"/>
      <c r="AA4284" s="35"/>
      <c r="AB4284" s="35"/>
      <c r="AC4284" s="35"/>
      <c r="AD4284" s="35"/>
      <c r="AE4284" s="35"/>
      <c r="AF4284" s="35"/>
      <c r="AG4284" s="35"/>
      <c r="AH4284" s="35"/>
      <c r="AI4284" s="35"/>
      <c r="AJ4284" s="35"/>
      <c r="AK4284" s="35"/>
      <c r="AL4284" s="35"/>
    </row>
    <row r="4285">
      <c r="A4285" s="1"/>
      <c r="B4285" s="19" t="s">
        <v>19332</v>
      </c>
      <c r="C4285" s="20" t="s">
        <v>20400</v>
      </c>
      <c r="D4285" s="47"/>
      <c r="E4285" s="22" t="s">
        <v>20413</v>
      </c>
      <c r="F4285" s="22" t="s">
        <v>1411</v>
      </c>
      <c r="G4285" s="23">
        <v>2018.0</v>
      </c>
      <c r="H4285" s="22" t="s">
        <v>20414</v>
      </c>
      <c r="I4285" s="24" t="s">
        <v>20415</v>
      </c>
      <c r="J4285" s="22" t="s">
        <v>31</v>
      </c>
      <c r="K4285" s="22" t="s">
        <v>294</v>
      </c>
      <c r="L4285" s="36" t="s">
        <v>2217</v>
      </c>
      <c r="M4285" s="36"/>
      <c r="N4285" s="36"/>
      <c r="O4285" s="36"/>
      <c r="P4285" s="37"/>
      <c r="Q4285" s="36"/>
      <c r="R4285" s="36"/>
      <c r="S4285" s="36"/>
      <c r="T4285" s="28" t="s">
        <v>20416</v>
      </c>
      <c r="U4285" s="38" t="str">
        <f>HYPERLINK("https://www.jstage.jst.go.jp/article/ijoms/16/3-4/16_54/_article/-char/en","J-STAGE")</f>
        <v>J-STAGE</v>
      </c>
      <c r="V4285" s="50"/>
      <c r="W4285" s="49"/>
      <c r="X4285" s="49"/>
      <c r="Y4285" s="35"/>
      <c r="Z4285" s="35"/>
      <c r="AA4285" s="35"/>
      <c r="AB4285" s="35"/>
      <c r="AC4285" s="35"/>
      <c r="AD4285" s="35"/>
      <c r="AE4285" s="35"/>
      <c r="AF4285" s="35"/>
      <c r="AG4285" s="35"/>
      <c r="AH4285" s="35"/>
      <c r="AI4285" s="35"/>
      <c r="AJ4285" s="35"/>
      <c r="AK4285" s="35"/>
      <c r="AL4285" s="35"/>
    </row>
    <row r="4286">
      <c r="A4286" s="1"/>
      <c r="B4286" s="19" t="s">
        <v>19332</v>
      </c>
      <c r="C4286" s="20" t="s">
        <v>20400</v>
      </c>
      <c r="D4286" s="47"/>
      <c r="E4286" s="22" t="s">
        <v>20417</v>
      </c>
      <c r="F4286" s="22" t="s">
        <v>13127</v>
      </c>
      <c r="G4286" s="23">
        <v>2017.0</v>
      </c>
      <c r="H4286" s="22" t="s">
        <v>91</v>
      </c>
      <c r="I4286" s="24" t="s">
        <v>20418</v>
      </c>
      <c r="J4286" s="22" t="s">
        <v>31</v>
      </c>
      <c r="K4286" s="22" t="s">
        <v>20419</v>
      </c>
      <c r="L4286" s="36">
        <v>660.0</v>
      </c>
      <c r="M4286" s="36">
        <v>140.0</v>
      </c>
      <c r="N4286" s="36"/>
      <c r="O4286" s="36"/>
      <c r="P4286" s="37" t="s">
        <v>1307</v>
      </c>
      <c r="Q4286" s="36"/>
      <c r="R4286" s="36"/>
      <c r="S4286" s="36"/>
      <c r="T4286" s="28" t="s">
        <v>20420</v>
      </c>
      <c r="U4286" s="38" t="str">
        <f>HYPERLINK("https://www.ncbi.nlm.nih.gov/pubmed/27785631","PubMed")</f>
        <v>PubMed</v>
      </c>
      <c r="V4286" s="50"/>
      <c r="W4286" s="49"/>
      <c r="X4286" s="49"/>
      <c r="Y4286" s="35"/>
      <c r="Z4286" s="35"/>
      <c r="AA4286" s="35"/>
      <c r="AB4286" s="35"/>
      <c r="AC4286" s="35"/>
      <c r="AD4286" s="35"/>
      <c r="AE4286" s="35"/>
      <c r="AF4286" s="35"/>
      <c r="AG4286" s="35"/>
      <c r="AH4286" s="35"/>
      <c r="AI4286" s="35"/>
      <c r="AJ4286" s="35"/>
      <c r="AK4286" s="35"/>
      <c r="AL4286" s="35"/>
    </row>
    <row r="4287">
      <c r="A4287" s="1"/>
      <c r="B4287" s="19" t="s">
        <v>19332</v>
      </c>
      <c r="C4287" s="20" t="s">
        <v>20400</v>
      </c>
      <c r="D4287" s="47"/>
      <c r="E4287" s="22" t="s">
        <v>20421</v>
      </c>
      <c r="F4287" s="22" t="s">
        <v>19727</v>
      </c>
      <c r="G4287" s="23">
        <v>2011.0</v>
      </c>
      <c r="H4287" s="22" t="s">
        <v>91</v>
      </c>
      <c r="I4287" s="24" t="s">
        <v>20422</v>
      </c>
      <c r="J4287" s="22" t="s">
        <v>31</v>
      </c>
      <c r="K4287" s="22"/>
      <c r="L4287" s="36">
        <v>808.0</v>
      </c>
      <c r="M4287" s="36"/>
      <c r="N4287" s="36"/>
      <c r="O4287" s="36"/>
      <c r="P4287" s="37" t="s">
        <v>1838</v>
      </c>
      <c r="Q4287" s="36"/>
      <c r="R4287" s="36"/>
      <c r="S4287" s="36"/>
      <c r="T4287" s="28" t="s">
        <v>20423</v>
      </c>
      <c r="U4287" s="38" t="str">
        <f>HYPERLINK("https://www.ncbi.nlm.nih.gov/pubmed/21103901","PubMed")</f>
        <v>PubMed</v>
      </c>
      <c r="V4287" s="50"/>
      <c r="W4287" s="49"/>
      <c r="X4287" s="49"/>
      <c r="Y4287" s="35"/>
      <c r="Z4287" s="35"/>
      <c r="AA4287" s="35"/>
      <c r="AB4287" s="35"/>
      <c r="AC4287" s="35"/>
      <c r="AD4287" s="35"/>
      <c r="AE4287" s="35"/>
      <c r="AF4287" s="35"/>
      <c r="AG4287" s="35"/>
      <c r="AH4287" s="35"/>
      <c r="AI4287" s="35"/>
      <c r="AJ4287" s="35"/>
      <c r="AK4287" s="35"/>
      <c r="AL4287" s="35"/>
    </row>
    <row r="4288">
      <c r="A4288" s="1"/>
      <c r="B4288" s="19" t="s">
        <v>19332</v>
      </c>
      <c r="C4288" s="20" t="s">
        <v>20400</v>
      </c>
      <c r="D4288" s="47"/>
      <c r="E4288" s="22" t="s">
        <v>7700</v>
      </c>
      <c r="F4288" s="22" t="s">
        <v>510</v>
      </c>
      <c r="G4288" s="23">
        <v>2006.0</v>
      </c>
      <c r="H4288" s="22" t="s">
        <v>658</v>
      </c>
      <c r="I4288" s="24" t="s">
        <v>20424</v>
      </c>
      <c r="J4288" s="22" t="s">
        <v>9004</v>
      </c>
      <c r="K4288" s="22"/>
      <c r="L4288" s="36">
        <v>670.0</v>
      </c>
      <c r="M4288" s="36">
        <v>50.0</v>
      </c>
      <c r="N4288" s="36"/>
      <c r="O4288" s="36"/>
      <c r="P4288" s="37" t="s">
        <v>254</v>
      </c>
      <c r="Q4288" s="36" t="s">
        <v>20425</v>
      </c>
      <c r="R4288" s="36"/>
      <c r="S4288" s="36"/>
      <c r="T4288" s="28" t="s">
        <v>20426</v>
      </c>
      <c r="U4288" s="38" t="str">
        <f>HYPERLINK("https://www.ncbi.nlm.nih.gov/pubmed/16875445","PubMed")</f>
        <v>PubMed</v>
      </c>
      <c r="V4288" s="50"/>
      <c r="W4288" s="49"/>
      <c r="X4288" s="49"/>
      <c r="Y4288" s="35"/>
      <c r="Z4288" s="35"/>
      <c r="AA4288" s="35"/>
      <c r="AB4288" s="35"/>
      <c r="AC4288" s="35"/>
      <c r="AD4288" s="35"/>
      <c r="AE4288" s="35"/>
      <c r="AF4288" s="35"/>
      <c r="AG4288" s="35"/>
      <c r="AH4288" s="35"/>
      <c r="AI4288" s="35"/>
      <c r="AJ4288" s="35"/>
      <c r="AK4288" s="35"/>
      <c r="AL4288" s="35"/>
    </row>
    <row r="4289">
      <c r="A4289" s="1"/>
      <c r="B4289" s="19" t="s">
        <v>19332</v>
      </c>
      <c r="C4289" s="20" t="s">
        <v>20427</v>
      </c>
      <c r="D4289" s="47"/>
      <c r="E4289" s="22" t="s">
        <v>20428</v>
      </c>
      <c r="F4289" s="22" t="s">
        <v>2028</v>
      </c>
      <c r="G4289" s="23">
        <v>2024.0</v>
      </c>
      <c r="H4289" s="22" t="s">
        <v>20150</v>
      </c>
      <c r="I4289" s="24" t="s">
        <v>20429</v>
      </c>
      <c r="J4289" s="22" t="s">
        <v>20430</v>
      </c>
      <c r="K4289" s="22"/>
      <c r="L4289" s="36" t="s">
        <v>20431</v>
      </c>
      <c r="M4289" s="36"/>
      <c r="N4289" s="36"/>
      <c r="O4289" s="36"/>
      <c r="P4289" s="37"/>
      <c r="Q4289" s="36"/>
      <c r="R4289" s="36"/>
      <c r="S4289" s="36"/>
      <c r="T4289" s="28" t="s">
        <v>20432</v>
      </c>
      <c r="U4289" s="38" t="s">
        <v>61</v>
      </c>
      <c r="V4289" s="30"/>
      <c r="W4289" s="49"/>
      <c r="X4289" s="49"/>
      <c r="Y4289" s="35"/>
      <c r="Z4289" s="35"/>
      <c r="AA4289" s="35"/>
      <c r="AB4289" s="35"/>
      <c r="AC4289" s="35"/>
      <c r="AD4289" s="35"/>
      <c r="AE4289" s="35"/>
      <c r="AF4289" s="35"/>
      <c r="AG4289" s="35"/>
      <c r="AH4289" s="35"/>
      <c r="AI4289" s="35"/>
      <c r="AJ4289" s="35"/>
      <c r="AK4289" s="35"/>
      <c r="AL4289" s="35"/>
    </row>
    <row r="4290">
      <c r="A4290" s="1"/>
      <c r="B4290" s="19" t="s">
        <v>19332</v>
      </c>
      <c r="C4290" s="20" t="s">
        <v>20427</v>
      </c>
      <c r="D4290" s="47"/>
      <c r="E4290" s="22" t="s">
        <v>20433</v>
      </c>
      <c r="F4290" s="22" t="s">
        <v>20434</v>
      </c>
      <c r="G4290" s="23">
        <v>2023.0</v>
      </c>
      <c r="H4290" s="22" t="s">
        <v>6911</v>
      </c>
      <c r="I4290" s="24" t="s">
        <v>20435</v>
      </c>
      <c r="J4290" s="22" t="s">
        <v>2141</v>
      </c>
      <c r="K4290" s="22"/>
      <c r="L4290" s="168"/>
      <c r="M4290" s="168"/>
      <c r="N4290" s="168"/>
      <c r="O4290" s="168"/>
      <c r="P4290" s="169"/>
      <c r="Q4290" s="168"/>
      <c r="R4290" s="168"/>
      <c r="S4290" s="168"/>
      <c r="T4290" s="185" t="s">
        <v>20436</v>
      </c>
      <c r="U4290" s="38" t="s">
        <v>61</v>
      </c>
      <c r="V4290" s="30"/>
      <c r="W4290" s="49"/>
      <c r="X4290" s="49"/>
      <c r="Y4290" s="35"/>
      <c r="Z4290" s="35"/>
      <c r="AA4290" s="35"/>
      <c r="AB4290" s="35"/>
      <c r="AC4290" s="35"/>
      <c r="AD4290" s="35"/>
      <c r="AE4290" s="35"/>
      <c r="AF4290" s="35"/>
      <c r="AG4290" s="35"/>
      <c r="AH4290" s="35"/>
      <c r="AI4290" s="35"/>
      <c r="AJ4290" s="35"/>
      <c r="AK4290" s="35"/>
      <c r="AL4290" s="35"/>
    </row>
    <row r="4291">
      <c r="A4291" s="1"/>
      <c r="B4291" s="19" t="s">
        <v>19332</v>
      </c>
      <c r="C4291" s="20" t="s">
        <v>20427</v>
      </c>
      <c r="D4291" s="47"/>
      <c r="E4291" s="22" t="s">
        <v>17551</v>
      </c>
      <c r="F4291" s="22" t="s">
        <v>1370</v>
      </c>
      <c r="G4291" s="23">
        <v>2023.0</v>
      </c>
      <c r="H4291" s="22" t="s">
        <v>3963</v>
      </c>
      <c r="I4291" s="24" t="s">
        <v>20437</v>
      </c>
      <c r="J4291" s="22" t="s">
        <v>20438</v>
      </c>
      <c r="K4291" s="22"/>
      <c r="L4291" s="36">
        <v>940.0</v>
      </c>
      <c r="M4291" s="36">
        <v>800.0</v>
      </c>
      <c r="N4291" s="36"/>
      <c r="O4291" s="36"/>
      <c r="P4291" s="37"/>
      <c r="Q4291" s="36" t="s">
        <v>20439</v>
      </c>
      <c r="R4291" s="36"/>
      <c r="S4291" s="36"/>
      <c r="T4291" s="42" t="s">
        <v>20440</v>
      </c>
      <c r="U4291" s="38" t="s">
        <v>61</v>
      </c>
      <c r="V4291" s="30" t="s">
        <v>20441</v>
      </c>
      <c r="W4291" s="49"/>
      <c r="X4291" s="49"/>
      <c r="Y4291" s="35"/>
      <c r="Z4291" s="35"/>
      <c r="AA4291" s="35"/>
      <c r="AB4291" s="35"/>
      <c r="AC4291" s="35"/>
      <c r="AD4291" s="35"/>
      <c r="AE4291" s="35"/>
      <c r="AF4291" s="35"/>
      <c r="AG4291" s="35"/>
      <c r="AH4291" s="35"/>
      <c r="AI4291" s="35"/>
      <c r="AJ4291" s="35"/>
      <c r="AK4291" s="35"/>
      <c r="AL4291" s="35"/>
    </row>
    <row r="4292">
      <c r="A4292" s="1"/>
      <c r="B4292" s="19" t="s">
        <v>19332</v>
      </c>
      <c r="C4292" s="20" t="s">
        <v>20427</v>
      </c>
      <c r="D4292" s="47"/>
      <c r="E4292" s="22" t="s">
        <v>20442</v>
      </c>
      <c r="F4292" s="22" t="s">
        <v>20443</v>
      </c>
      <c r="G4292" s="23">
        <v>2022.0</v>
      </c>
      <c r="H4292" s="22" t="s">
        <v>3523</v>
      </c>
      <c r="I4292" s="24" t="s">
        <v>20444</v>
      </c>
      <c r="J4292" s="22" t="s">
        <v>20445</v>
      </c>
      <c r="K4292" s="22"/>
      <c r="L4292" s="36" t="s">
        <v>20446</v>
      </c>
      <c r="M4292" s="36"/>
      <c r="N4292" s="36"/>
      <c r="O4292" s="36"/>
      <c r="P4292" s="37"/>
      <c r="Q4292" s="36"/>
      <c r="R4292" s="36"/>
      <c r="S4292" s="36"/>
      <c r="T4292" s="28" t="s">
        <v>20447</v>
      </c>
      <c r="U4292" s="38" t="s">
        <v>61</v>
      </c>
      <c r="V4292" s="50"/>
      <c r="W4292" s="49"/>
      <c r="X4292" s="49"/>
      <c r="Y4292" s="35"/>
      <c r="Z4292" s="35"/>
      <c r="AA4292" s="35"/>
      <c r="AB4292" s="35"/>
      <c r="AC4292" s="35"/>
      <c r="AD4292" s="35"/>
      <c r="AE4292" s="35"/>
      <c r="AF4292" s="35"/>
      <c r="AG4292" s="35"/>
      <c r="AH4292" s="35"/>
      <c r="AI4292" s="35"/>
      <c r="AJ4292" s="35"/>
      <c r="AK4292" s="35"/>
      <c r="AL4292" s="35"/>
    </row>
    <row r="4293">
      <c r="A4293" s="1"/>
      <c r="B4293" s="19" t="s">
        <v>19332</v>
      </c>
      <c r="C4293" s="20" t="s">
        <v>20427</v>
      </c>
      <c r="D4293" s="47"/>
      <c r="E4293" s="22" t="s">
        <v>3806</v>
      </c>
      <c r="F4293" s="22" t="s">
        <v>41</v>
      </c>
      <c r="G4293" s="23">
        <v>2022.0</v>
      </c>
      <c r="H4293" s="22" t="s">
        <v>477</v>
      </c>
      <c r="I4293" s="24" t="s">
        <v>20448</v>
      </c>
      <c r="J4293" s="22" t="s">
        <v>20449</v>
      </c>
      <c r="K4293" s="22" t="s">
        <v>20450</v>
      </c>
      <c r="L4293" s="36">
        <v>808.0</v>
      </c>
      <c r="M4293" s="36"/>
      <c r="N4293" s="36"/>
      <c r="O4293" s="36" t="s">
        <v>20451</v>
      </c>
      <c r="P4293" s="37"/>
      <c r="Q4293" s="36" t="s">
        <v>151</v>
      </c>
      <c r="R4293" s="36"/>
      <c r="S4293" s="36" t="s">
        <v>20452</v>
      </c>
      <c r="T4293" s="28"/>
      <c r="U4293" s="29"/>
      <c r="V4293" s="50"/>
      <c r="W4293" s="49"/>
      <c r="X4293" s="49"/>
      <c r="Y4293" s="35"/>
      <c r="Z4293" s="35"/>
      <c r="AA4293" s="35"/>
      <c r="AB4293" s="35"/>
      <c r="AC4293" s="35"/>
      <c r="AD4293" s="35"/>
      <c r="AE4293" s="35"/>
      <c r="AF4293" s="35"/>
      <c r="AG4293" s="35"/>
      <c r="AH4293" s="35"/>
      <c r="AI4293" s="35"/>
      <c r="AJ4293" s="35"/>
      <c r="AK4293" s="35"/>
      <c r="AL4293" s="35"/>
    </row>
    <row r="4294">
      <c r="A4294" s="1"/>
      <c r="B4294" s="19" t="s">
        <v>19332</v>
      </c>
      <c r="C4294" s="20" t="s">
        <v>20427</v>
      </c>
      <c r="D4294" s="47"/>
      <c r="E4294" s="22" t="s">
        <v>3827</v>
      </c>
      <c r="F4294" s="22" t="s">
        <v>41</v>
      </c>
      <c r="G4294" s="23">
        <v>2022.0</v>
      </c>
      <c r="H4294" s="22" t="s">
        <v>7726</v>
      </c>
      <c r="I4294" s="24" t="s">
        <v>20453</v>
      </c>
      <c r="J4294" s="22" t="s">
        <v>2273</v>
      </c>
      <c r="K4294" s="22"/>
      <c r="L4294" s="36">
        <v>808.0</v>
      </c>
      <c r="M4294" s="36">
        <v>100.0</v>
      </c>
      <c r="N4294" s="36"/>
      <c r="O4294" s="36"/>
      <c r="P4294" s="37" t="s">
        <v>2555</v>
      </c>
      <c r="Q4294" s="36">
        <v>35.0</v>
      </c>
      <c r="R4294" s="36"/>
      <c r="S4294" s="36"/>
      <c r="T4294" s="28" t="s">
        <v>20454</v>
      </c>
      <c r="U4294" s="29" t="s">
        <v>61</v>
      </c>
      <c r="V4294" s="50"/>
      <c r="W4294" s="49"/>
      <c r="X4294" s="49"/>
      <c r="Y4294" s="35"/>
      <c r="Z4294" s="35"/>
      <c r="AA4294" s="35"/>
      <c r="AB4294" s="35"/>
      <c r="AC4294" s="35"/>
      <c r="AD4294" s="35"/>
      <c r="AE4294" s="35"/>
      <c r="AF4294" s="35"/>
      <c r="AG4294" s="35"/>
      <c r="AH4294" s="35"/>
      <c r="AI4294" s="35"/>
      <c r="AJ4294" s="35"/>
      <c r="AK4294" s="35"/>
      <c r="AL4294" s="35"/>
    </row>
    <row r="4295">
      <c r="A4295" s="1"/>
      <c r="B4295" s="19" t="s">
        <v>19332</v>
      </c>
      <c r="C4295" s="20" t="s">
        <v>20427</v>
      </c>
      <c r="D4295" s="47"/>
      <c r="E4295" s="22" t="s">
        <v>20455</v>
      </c>
      <c r="F4295" s="22" t="s">
        <v>400</v>
      </c>
      <c r="G4295" s="23">
        <v>2021.0</v>
      </c>
      <c r="H4295" s="22" t="s">
        <v>20456</v>
      </c>
      <c r="I4295" s="24" t="s">
        <v>20457</v>
      </c>
      <c r="J4295" s="22" t="s">
        <v>20458</v>
      </c>
      <c r="K4295" s="22"/>
      <c r="L4295" s="36"/>
      <c r="M4295" s="36"/>
      <c r="N4295" s="36"/>
      <c r="O4295" s="36"/>
      <c r="P4295" s="37"/>
      <c r="Q4295" s="36"/>
      <c r="R4295" s="36"/>
      <c r="S4295" s="36"/>
      <c r="T4295" s="42" t="s">
        <v>20459</v>
      </c>
      <c r="U4295" s="29" t="s">
        <v>61</v>
      </c>
      <c r="V4295" s="50"/>
      <c r="W4295" s="49"/>
      <c r="X4295" s="49"/>
      <c r="Y4295" s="35"/>
      <c r="Z4295" s="35"/>
      <c r="AA4295" s="35"/>
      <c r="AB4295" s="35"/>
      <c r="AC4295" s="35"/>
      <c r="AD4295" s="35"/>
      <c r="AE4295" s="35"/>
      <c r="AF4295" s="35"/>
      <c r="AG4295" s="35"/>
      <c r="AH4295" s="35"/>
      <c r="AI4295" s="35"/>
      <c r="AJ4295" s="35"/>
      <c r="AK4295" s="35"/>
      <c r="AL4295" s="35"/>
    </row>
    <row r="4296">
      <c r="A4296" s="1"/>
      <c r="B4296" s="19" t="s">
        <v>19332</v>
      </c>
      <c r="C4296" s="20" t="s">
        <v>20427</v>
      </c>
      <c r="D4296" s="47"/>
      <c r="E4296" s="22" t="s">
        <v>17551</v>
      </c>
      <c r="F4296" s="22" t="s">
        <v>1370</v>
      </c>
      <c r="G4296" s="23">
        <v>2021.0</v>
      </c>
      <c r="H4296" s="22" t="s">
        <v>477</v>
      </c>
      <c r="I4296" s="24" t="s">
        <v>20460</v>
      </c>
      <c r="J4296" s="22" t="s">
        <v>1078</v>
      </c>
      <c r="K4296" s="22"/>
      <c r="L4296" s="43" t="s">
        <v>20461</v>
      </c>
      <c r="M4296" s="44"/>
      <c r="N4296" s="44"/>
      <c r="O4296" s="44"/>
      <c r="P4296" s="44"/>
      <c r="Q4296" s="44"/>
      <c r="R4296" s="44"/>
      <c r="S4296" s="44"/>
      <c r="T4296" s="45"/>
      <c r="U4296" s="29" t="s">
        <v>61</v>
      </c>
      <c r="V4296" s="50"/>
      <c r="W4296" s="49"/>
      <c r="X4296" s="49"/>
      <c r="Y4296" s="35"/>
      <c r="Z4296" s="35"/>
      <c r="AA4296" s="35"/>
      <c r="AB4296" s="35"/>
      <c r="AC4296" s="35"/>
      <c r="AD4296" s="35"/>
      <c r="AE4296" s="35"/>
      <c r="AF4296" s="35"/>
      <c r="AG4296" s="35"/>
      <c r="AH4296" s="35"/>
      <c r="AI4296" s="35"/>
      <c r="AJ4296" s="35"/>
      <c r="AK4296" s="35"/>
      <c r="AL4296" s="35"/>
    </row>
    <row r="4297">
      <c r="A4297" s="1"/>
      <c r="B4297" s="19" t="s">
        <v>19332</v>
      </c>
      <c r="C4297" s="20" t="s">
        <v>20427</v>
      </c>
      <c r="D4297" s="47"/>
      <c r="E4297" s="22" t="s">
        <v>20462</v>
      </c>
      <c r="F4297" s="22" t="s">
        <v>20463</v>
      </c>
      <c r="G4297" s="23">
        <v>2021.0</v>
      </c>
      <c r="H4297" s="22" t="s">
        <v>91</v>
      </c>
      <c r="I4297" s="24" t="s">
        <v>20464</v>
      </c>
      <c r="J4297" s="22" t="s">
        <v>1078</v>
      </c>
      <c r="K4297" s="22"/>
      <c r="L4297" s="105" t="s">
        <v>20465</v>
      </c>
      <c r="M4297" s="44"/>
      <c r="N4297" s="44"/>
      <c r="O4297" s="44"/>
      <c r="P4297" s="44"/>
      <c r="Q4297" s="44"/>
      <c r="R4297" s="44"/>
      <c r="S4297" s="44"/>
      <c r="T4297" s="45"/>
      <c r="U4297" s="29" t="s">
        <v>61</v>
      </c>
      <c r="V4297" s="50"/>
      <c r="W4297" s="49"/>
      <c r="X4297" s="49"/>
      <c r="Y4297" s="35"/>
      <c r="Z4297" s="35"/>
      <c r="AA4297" s="35"/>
      <c r="AB4297" s="35"/>
      <c r="AC4297" s="35"/>
      <c r="AD4297" s="35"/>
      <c r="AE4297" s="35"/>
      <c r="AF4297" s="35"/>
      <c r="AG4297" s="35"/>
      <c r="AH4297" s="35"/>
      <c r="AI4297" s="35"/>
      <c r="AJ4297" s="35"/>
      <c r="AK4297" s="35"/>
      <c r="AL4297" s="35"/>
    </row>
    <row r="4298">
      <c r="A4298" s="1"/>
      <c r="B4298" s="19" t="s">
        <v>19332</v>
      </c>
      <c r="C4298" s="20" t="s">
        <v>20427</v>
      </c>
      <c r="D4298" s="47"/>
      <c r="E4298" s="22" t="s">
        <v>20466</v>
      </c>
      <c r="F4298" s="22" t="s">
        <v>11529</v>
      </c>
      <c r="G4298" s="23">
        <v>2021.0</v>
      </c>
      <c r="H4298" s="22" t="s">
        <v>91</v>
      </c>
      <c r="I4298" s="24" t="s">
        <v>20467</v>
      </c>
      <c r="J4298" s="22" t="s">
        <v>20468</v>
      </c>
      <c r="K4298" s="22"/>
      <c r="L4298" s="36" t="s">
        <v>3519</v>
      </c>
      <c r="M4298" s="36"/>
      <c r="N4298" s="36"/>
      <c r="O4298" s="36"/>
      <c r="P4298" s="37"/>
      <c r="Q4298" s="36"/>
      <c r="R4298" s="36"/>
      <c r="S4298" s="36">
        <v>1.0</v>
      </c>
      <c r="T4298" s="28" t="s">
        <v>20469</v>
      </c>
      <c r="U4298" s="29" t="s">
        <v>61</v>
      </c>
      <c r="V4298" s="50"/>
      <c r="W4298" s="49"/>
      <c r="X4298" s="49"/>
      <c r="Y4298" s="35"/>
      <c r="Z4298" s="35"/>
      <c r="AA4298" s="35"/>
      <c r="AB4298" s="35"/>
      <c r="AC4298" s="35"/>
      <c r="AD4298" s="35"/>
      <c r="AE4298" s="35"/>
      <c r="AF4298" s="35"/>
      <c r="AG4298" s="35"/>
      <c r="AH4298" s="35"/>
      <c r="AI4298" s="35"/>
      <c r="AJ4298" s="35"/>
      <c r="AK4298" s="35"/>
      <c r="AL4298" s="35"/>
    </row>
    <row r="4299">
      <c r="A4299" s="1"/>
      <c r="B4299" s="19" t="s">
        <v>19332</v>
      </c>
      <c r="C4299" s="20" t="s">
        <v>20427</v>
      </c>
      <c r="D4299" s="47"/>
      <c r="E4299" s="22" t="s">
        <v>388</v>
      </c>
      <c r="F4299" s="22" t="s">
        <v>41</v>
      </c>
      <c r="G4299" s="23">
        <v>2021.0</v>
      </c>
      <c r="H4299" s="22" t="s">
        <v>91</v>
      </c>
      <c r="I4299" s="24" t="s">
        <v>20470</v>
      </c>
      <c r="J4299" s="22" t="s">
        <v>55</v>
      </c>
      <c r="K4299" s="22" t="s">
        <v>294</v>
      </c>
      <c r="L4299" s="36" t="s">
        <v>5357</v>
      </c>
      <c r="M4299" s="36"/>
      <c r="N4299" s="36"/>
      <c r="O4299" s="36"/>
      <c r="P4299" s="37" t="s">
        <v>20471</v>
      </c>
      <c r="Q4299" s="36"/>
      <c r="R4299" s="36"/>
      <c r="S4299" s="36" t="s">
        <v>17077</v>
      </c>
      <c r="T4299" s="28" t="s">
        <v>20472</v>
      </c>
      <c r="U4299" s="29" t="s">
        <v>61</v>
      </c>
      <c r="V4299" s="50"/>
      <c r="W4299" s="49"/>
      <c r="X4299" s="49"/>
      <c r="Y4299" s="35"/>
      <c r="Z4299" s="35"/>
      <c r="AA4299" s="35"/>
      <c r="AB4299" s="35"/>
      <c r="AC4299" s="35"/>
      <c r="AD4299" s="35"/>
      <c r="AE4299" s="35"/>
      <c r="AF4299" s="35"/>
      <c r="AG4299" s="35"/>
      <c r="AH4299" s="35"/>
      <c r="AI4299" s="35"/>
      <c r="AJ4299" s="35"/>
      <c r="AK4299" s="35"/>
      <c r="AL4299" s="35"/>
    </row>
    <row r="4300">
      <c r="A4300" s="1"/>
      <c r="B4300" s="19" t="s">
        <v>19332</v>
      </c>
      <c r="C4300" s="20" t="s">
        <v>20427</v>
      </c>
      <c r="D4300" s="47"/>
      <c r="E4300" s="22" t="s">
        <v>20473</v>
      </c>
      <c r="F4300" s="22" t="s">
        <v>7553</v>
      </c>
      <c r="G4300" s="23">
        <v>2020.0</v>
      </c>
      <c r="H4300" s="22" t="s">
        <v>477</v>
      </c>
      <c r="I4300" s="24" t="s">
        <v>20474</v>
      </c>
      <c r="J4300" s="22" t="s">
        <v>20475</v>
      </c>
      <c r="K4300" s="22" t="s">
        <v>20476</v>
      </c>
      <c r="L4300" s="36">
        <v>808.0</v>
      </c>
      <c r="M4300" s="36">
        <v>100.0</v>
      </c>
      <c r="N4300" s="36"/>
      <c r="O4300" s="36" t="s">
        <v>20477</v>
      </c>
      <c r="P4300" s="37" t="s">
        <v>1028</v>
      </c>
      <c r="Q4300" s="36"/>
      <c r="R4300" s="36" t="s">
        <v>20478</v>
      </c>
      <c r="S4300" s="36">
        <v>4.0</v>
      </c>
      <c r="T4300" s="28" t="s">
        <v>20479</v>
      </c>
      <c r="U4300" s="29" t="s">
        <v>61</v>
      </c>
      <c r="V4300" s="50"/>
      <c r="W4300" s="49"/>
      <c r="X4300" s="49"/>
      <c r="Y4300" s="35"/>
      <c r="Z4300" s="35"/>
      <c r="AA4300" s="35"/>
      <c r="AB4300" s="35"/>
      <c r="AC4300" s="35"/>
      <c r="AD4300" s="35"/>
      <c r="AE4300" s="35"/>
      <c r="AF4300" s="35"/>
      <c r="AG4300" s="35"/>
      <c r="AH4300" s="35"/>
      <c r="AI4300" s="35"/>
      <c r="AJ4300" s="35"/>
      <c r="AK4300" s="35"/>
      <c r="AL4300" s="35"/>
    </row>
    <row r="4301">
      <c r="A4301" s="1"/>
      <c r="B4301" s="19" t="s">
        <v>19332</v>
      </c>
      <c r="C4301" s="20" t="s">
        <v>20427</v>
      </c>
      <c r="D4301" s="47"/>
      <c r="E4301" s="22" t="s">
        <v>19763</v>
      </c>
      <c r="F4301" s="22" t="s">
        <v>20480</v>
      </c>
      <c r="G4301" s="23">
        <v>2020.0</v>
      </c>
      <c r="H4301" s="22" t="s">
        <v>20004</v>
      </c>
      <c r="I4301" s="24" t="s">
        <v>20481</v>
      </c>
      <c r="J4301" s="22" t="s">
        <v>20482</v>
      </c>
      <c r="K4301" s="22"/>
      <c r="L4301" s="36"/>
      <c r="M4301" s="36"/>
      <c r="N4301" s="36"/>
      <c r="O4301" s="36"/>
      <c r="P4301" s="37"/>
      <c r="Q4301" s="36"/>
      <c r="R4301" s="36"/>
      <c r="S4301" s="36"/>
      <c r="T4301" s="28" t="s">
        <v>20483</v>
      </c>
      <c r="U4301" s="29" t="s">
        <v>61</v>
      </c>
      <c r="V4301" s="50"/>
      <c r="W4301" s="49"/>
      <c r="X4301" s="49"/>
      <c r="Y4301" s="35"/>
      <c r="Z4301" s="35"/>
      <c r="AA4301" s="35"/>
      <c r="AB4301" s="35"/>
      <c r="AC4301" s="35"/>
      <c r="AD4301" s="35"/>
      <c r="AE4301" s="35"/>
      <c r="AF4301" s="35"/>
      <c r="AG4301" s="35"/>
      <c r="AH4301" s="35"/>
      <c r="AI4301" s="35"/>
      <c r="AJ4301" s="35"/>
      <c r="AK4301" s="35"/>
      <c r="AL4301" s="35"/>
    </row>
    <row r="4302">
      <c r="A4302" s="1"/>
      <c r="B4302" s="19" t="s">
        <v>19332</v>
      </c>
      <c r="C4302" s="20" t="s">
        <v>20427</v>
      </c>
      <c r="D4302" s="47"/>
      <c r="E4302" s="22" t="s">
        <v>19612</v>
      </c>
      <c r="F4302" s="22" t="s">
        <v>8147</v>
      </c>
      <c r="G4302" s="23">
        <v>2019.0</v>
      </c>
      <c r="H4302" s="22" t="s">
        <v>292</v>
      </c>
      <c r="I4302" s="24" t="s">
        <v>20484</v>
      </c>
      <c r="J4302" s="22" t="s">
        <v>20485</v>
      </c>
      <c r="K4302" s="22" t="s">
        <v>9754</v>
      </c>
      <c r="L4302" s="36">
        <v>660.0</v>
      </c>
      <c r="M4302" s="36">
        <v>40.0</v>
      </c>
      <c r="N4302" s="36" t="s">
        <v>1175</v>
      </c>
      <c r="O4302" s="36" t="s">
        <v>18042</v>
      </c>
      <c r="P4302" s="37" t="s">
        <v>82</v>
      </c>
      <c r="Q4302" s="36"/>
      <c r="R4302" s="36">
        <v>30.0</v>
      </c>
      <c r="S4302" s="36" t="s">
        <v>20486</v>
      </c>
      <c r="T4302" s="28" t="s">
        <v>20487</v>
      </c>
      <c r="U4302" s="38" t="str">
        <f>HYPERLINK("https://www.ncbi.nlm.nih.gov/pubmed/32009733","PubMed")</f>
        <v>PubMed</v>
      </c>
      <c r="V4302" s="50"/>
      <c r="W4302" s="49"/>
      <c r="X4302" s="49"/>
      <c r="Y4302" s="35"/>
      <c r="Z4302" s="35"/>
      <c r="AA4302" s="35"/>
      <c r="AB4302" s="35"/>
      <c r="AC4302" s="35"/>
      <c r="AD4302" s="35"/>
      <c r="AE4302" s="35"/>
      <c r="AF4302" s="35"/>
      <c r="AG4302" s="35"/>
      <c r="AH4302" s="35"/>
      <c r="AI4302" s="35"/>
      <c r="AJ4302" s="35"/>
      <c r="AK4302" s="35"/>
      <c r="AL4302" s="35"/>
    </row>
    <row r="4303">
      <c r="A4303" s="1"/>
      <c r="B4303" s="19" t="s">
        <v>19332</v>
      </c>
      <c r="C4303" s="20" t="s">
        <v>20427</v>
      </c>
      <c r="D4303" s="47"/>
      <c r="E4303" s="22" t="s">
        <v>20488</v>
      </c>
      <c r="F4303" s="22" t="s">
        <v>10477</v>
      </c>
      <c r="G4303" s="23">
        <v>2019.0</v>
      </c>
      <c r="H4303" s="22" t="s">
        <v>20489</v>
      </c>
      <c r="I4303" s="24" t="s">
        <v>20490</v>
      </c>
      <c r="J4303" s="22" t="s">
        <v>20491</v>
      </c>
      <c r="K4303" s="22"/>
      <c r="L4303" s="36">
        <v>810.0</v>
      </c>
      <c r="M4303" s="36">
        <v>1000.0</v>
      </c>
      <c r="N4303" s="36"/>
      <c r="O4303" s="36"/>
      <c r="P4303" s="37"/>
      <c r="Q4303" s="36"/>
      <c r="R4303" s="36"/>
      <c r="S4303" s="36">
        <v>1.0</v>
      </c>
      <c r="T4303" s="42" t="s">
        <v>20492</v>
      </c>
      <c r="U4303" s="38" t="str">
        <f>HYPERLINK("https://www.ncbi.nlm.nih.gov/pubmed/31825027","PubMed")</f>
        <v>PubMed</v>
      </c>
      <c r="V4303" s="30" t="s">
        <v>174</v>
      </c>
      <c r="W4303" s="49"/>
      <c r="X4303" s="49"/>
      <c r="Y4303" s="35"/>
      <c r="Z4303" s="35"/>
      <c r="AA4303" s="35"/>
      <c r="AB4303" s="35"/>
      <c r="AC4303" s="35"/>
      <c r="AD4303" s="35"/>
      <c r="AE4303" s="35"/>
      <c r="AF4303" s="35"/>
      <c r="AG4303" s="35"/>
      <c r="AH4303" s="35"/>
      <c r="AI4303" s="35"/>
      <c r="AJ4303" s="35"/>
      <c r="AK4303" s="35"/>
      <c r="AL4303" s="35"/>
    </row>
    <row r="4304">
      <c r="A4304" s="1"/>
      <c r="B4304" s="19" t="s">
        <v>19332</v>
      </c>
      <c r="C4304" s="20" t="s">
        <v>20427</v>
      </c>
      <c r="D4304" s="47"/>
      <c r="E4304" s="22" t="s">
        <v>20493</v>
      </c>
      <c r="F4304" s="22" t="s">
        <v>19764</v>
      </c>
      <c r="G4304" s="23">
        <v>2019.0</v>
      </c>
      <c r="H4304" s="22" t="s">
        <v>627</v>
      </c>
      <c r="I4304" s="24" t="s">
        <v>20494</v>
      </c>
      <c r="J4304" s="22" t="s">
        <v>20495</v>
      </c>
      <c r="K4304" s="22"/>
      <c r="L4304" s="36">
        <v>808.0</v>
      </c>
      <c r="M4304" s="36"/>
      <c r="N4304" s="36"/>
      <c r="O4304" s="36"/>
      <c r="P4304" s="37" t="s">
        <v>1028</v>
      </c>
      <c r="Q4304" s="36"/>
      <c r="R4304" s="36">
        <v>16.0</v>
      </c>
      <c r="S4304" s="36" t="s">
        <v>6403</v>
      </c>
      <c r="T4304" s="28" t="s">
        <v>20496</v>
      </c>
      <c r="U4304" s="38" t="str">
        <f>HYPERLINK("https://www.ncbi.nlm.nih.gov/pubmed/31790452","PubMed")</f>
        <v>PubMed</v>
      </c>
      <c r="V4304" s="50"/>
      <c r="W4304" s="49"/>
      <c r="X4304" s="49"/>
      <c r="Y4304" s="35"/>
      <c r="Z4304" s="35"/>
      <c r="AA4304" s="35"/>
      <c r="AB4304" s="35"/>
      <c r="AC4304" s="35"/>
      <c r="AD4304" s="35"/>
      <c r="AE4304" s="35"/>
      <c r="AF4304" s="35"/>
      <c r="AG4304" s="35"/>
      <c r="AH4304" s="35"/>
      <c r="AI4304" s="35"/>
      <c r="AJ4304" s="35"/>
      <c r="AK4304" s="35"/>
      <c r="AL4304" s="35"/>
    </row>
    <row r="4305">
      <c r="A4305" s="1"/>
      <c r="B4305" s="19" t="s">
        <v>19332</v>
      </c>
      <c r="C4305" s="20" t="s">
        <v>20427</v>
      </c>
      <c r="D4305" s="47"/>
      <c r="E4305" s="22" t="s">
        <v>20497</v>
      </c>
      <c r="F4305" s="22" t="s">
        <v>323</v>
      </c>
      <c r="G4305" s="23">
        <v>2018.0</v>
      </c>
      <c r="H4305" s="22" t="s">
        <v>292</v>
      </c>
      <c r="I4305" s="24" t="s">
        <v>20498</v>
      </c>
      <c r="J4305" s="22" t="s">
        <v>20499</v>
      </c>
      <c r="K4305" s="22" t="s">
        <v>294</v>
      </c>
      <c r="L4305" s="36" t="s">
        <v>20500</v>
      </c>
      <c r="M4305" s="36"/>
      <c r="N4305" s="36"/>
      <c r="O4305" s="36"/>
      <c r="P4305" s="37"/>
      <c r="Q4305" s="36"/>
      <c r="R4305" s="36"/>
      <c r="S4305" s="36" t="s">
        <v>7321</v>
      </c>
      <c r="T4305" s="28" t="s">
        <v>20501</v>
      </c>
      <c r="U4305" s="38" t="str">
        <f>HYPERLINK("https://www.ncbi.nlm.nih.gov/pubmed/31182901","PubMed")</f>
        <v>PubMed</v>
      </c>
      <c r="V4305" s="50"/>
      <c r="W4305" s="49"/>
      <c r="X4305" s="49"/>
      <c r="Y4305" s="35"/>
      <c r="Z4305" s="35"/>
      <c r="AA4305" s="35"/>
      <c r="AB4305" s="35"/>
      <c r="AC4305" s="35"/>
      <c r="AD4305" s="35"/>
      <c r="AE4305" s="35"/>
      <c r="AF4305" s="35"/>
      <c r="AG4305" s="35"/>
      <c r="AH4305" s="35"/>
      <c r="AI4305" s="35"/>
      <c r="AJ4305" s="35"/>
      <c r="AK4305" s="35"/>
      <c r="AL4305" s="35"/>
    </row>
    <row r="4306">
      <c r="A4306" s="18" t="s">
        <v>38</v>
      </c>
      <c r="B4306" s="19" t="s">
        <v>19332</v>
      </c>
      <c r="C4306" s="20" t="s">
        <v>20427</v>
      </c>
      <c r="D4306" s="47"/>
      <c r="E4306" s="22" t="s">
        <v>20502</v>
      </c>
      <c r="F4306" s="22" t="s">
        <v>20503</v>
      </c>
      <c r="G4306" s="23">
        <v>2018.0</v>
      </c>
      <c r="H4306" s="22" t="s">
        <v>20504</v>
      </c>
      <c r="I4306" s="24" t="s">
        <v>20505</v>
      </c>
      <c r="J4306" s="22" t="s">
        <v>20506</v>
      </c>
      <c r="K4306" s="22"/>
      <c r="L4306" s="36">
        <v>904.0</v>
      </c>
      <c r="M4306" s="36">
        <v>60.0</v>
      </c>
      <c r="N4306" s="36"/>
      <c r="O4306" s="36"/>
      <c r="P4306" s="37" t="s">
        <v>2395</v>
      </c>
      <c r="Q4306" s="36" t="s">
        <v>20507</v>
      </c>
      <c r="R4306" s="36" t="s">
        <v>20508</v>
      </c>
      <c r="S4306" s="36">
        <v>1.0</v>
      </c>
      <c r="T4306" s="28" t="s">
        <v>20509</v>
      </c>
      <c r="U4306" s="38" t="s">
        <v>61</v>
      </c>
      <c r="V4306" s="50"/>
      <c r="W4306" s="49"/>
      <c r="X4306" s="49"/>
      <c r="Y4306" s="35"/>
      <c r="Z4306" s="35"/>
      <c r="AA4306" s="35"/>
      <c r="AB4306" s="35"/>
      <c r="AC4306" s="35"/>
      <c r="AD4306" s="35"/>
      <c r="AE4306" s="35"/>
      <c r="AF4306" s="35"/>
      <c r="AG4306" s="35"/>
      <c r="AH4306" s="35"/>
      <c r="AI4306" s="35"/>
      <c r="AJ4306" s="35"/>
      <c r="AK4306" s="35"/>
      <c r="AL4306" s="35"/>
    </row>
    <row r="4307">
      <c r="A4307" s="1"/>
      <c r="B4307" s="19" t="s">
        <v>19332</v>
      </c>
      <c r="C4307" s="20" t="s">
        <v>20427</v>
      </c>
      <c r="D4307" s="47"/>
      <c r="E4307" s="22" t="s">
        <v>20510</v>
      </c>
      <c r="F4307" s="22" t="s">
        <v>20511</v>
      </c>
      <c r="G4307" s="23">
        <v>2018.0</v>
      </c>
      <c r="H4307" s="22" t="s">
        <v>20456</v>
      </c>
      <c r="I4307" s="24" t="s">
        <v>20512</v>
      </c>
      <c r="J4307" s="22" t="s">
        <v>2273</v>
      </c>
      <c r="K4307" s="22"/>
      <c r="L4307" s="36">
        <v>808.0</v>
      </c>
      <c r="M4307" s="36">
        <v>100.0</v>
      </c>
      <c r="N4307" s="36"/>
      <c r="O4307" s="36" t="s">
        <v>20513</v>
      </c>
      <c r="P4307" s="37"/>
      <c r="Q4307" s="36"/>
      <c r="R4307" s="36"/>
      <c r="S4307" s="36"/>
      <c r="T4307" s="28" t="s">
        <v>20514</v>
      </c>
      <c r="U4307" s="38" t="str">
        <f>HYPERLINK("https://www.ncbi.nlm.nih.gov/pubmed/29513240","PubMed")</f>
        <v>PubMed</v>
      </c>
      <c r="V4307" s="50"/>
      <c r="W4307" s="49"/>
      <c r="X4307" s="49"/>
      <c r="Y4307" s="35"/>
      <c r="Z4307" s="35"/>
      <c r="AA4307" s="35"/>
      <c r="AB4307" s="35"/>
      <c r="AC4307" s="35"/>
      <c r="AD4307" s="35"/>
      <c r="AE4307" s="35"/>
      <c r="AF4307" s="35"/>
      <c r="AG4307" s="35"/>
      <c r="AH4307" s="35"/>
      <c r="AI4307" s="35"/>
      <c r="AJ4307" s="35"/>
      <c r="AK4307" s="35"/>
      <c r="AL4307" s="35"/>
    </row>
    <row r="4308">
      <c r="A4308" s="18"/>
      <c r="B4308" s="19" t="s">
        <v>19332</v>
      </c>
      <c r="C4308" s="20" t="s">
        <v>20427</v>
      </c>
      <c r="D4308" s="47"/>
      <c r="E4308" s="22" t="s">
        <v>20515</v>
      </c>
      <c r="F4308" s="22" t="s">
        <v>993</v>
      </c>
      <c r="G4308" s="23" t="s">
        <v>2499</v>
      </c>
      <c r="H4308" s="22" t="s">
        <v>477</v>
      </c>
      <c r="I4308" s="24" t="s">
        <v>20516</v>
      </c>
      <c r="J4308" s="22" t="s">
        <v>1078</v>
      </c>
      <c r="K4308" s="22" t="s">
        <v>20517</v>
      </c>
      <c r="L4308" s="167" t="s">
        <v>20518</v>
      </c>
      <c r="M4308" s="44"/>
      <c r="N4308" s="44"/>
      <c r="O4308" s="44"/>
      <c r="P4308" s="44"/>
      <c r="Q4308" s="44"/>
      <c r="R4308" s="44"/>
      <c r="S4308" s="44"/>
      <c r="T4308" s="45"/>
      <c r="U4308" s="38" t="str">
        <f>HYPERLINK("https://www.ncbi.nlm.nih.gov/pubmed/29330655","PubMed")</f>
        <v>PubMed</v>
      </c>
      <c r="V4308" s="50"/>
      <c r="W4308" s="49"/>
      <c r="X4308" s="49"/>
      <c r="Y4308" s="35"/>
      <c r="Z4308" s="35"/>
      <c r="AA4308" s="35"/>
      <c r="AB4308" s="35"/>
      <c r="AC4308" s="35"/>
      <c r="AD4308" s="35"/>
      <c r="AE4308" s="35"/>
      <c r="AF4308" s="35"/>
      <c r="AG4308" s="35"/>
      <c r="AH4308" s="35"/>
      <c r="AI4308" s="35"/>
      <c r="AJ4308" s="35"/>
      <c r="AK4308" s="35"/>
      <c r="AL4308" s="35"/>
    </row>
    <row r="4309">
      <c r="A4309" s="18"/>
      <c r="B4309" s="19" t="s">
        <v>19332</v>
      </c>
      <c r="C4309" s="20" t="s">
        <v>20427</v>
      </c>
      <c r="D4309" s="47"/>
      <c r="E4309" s="22" t="s">
        <v>16074</v>
      </c>
      <c r="F4309" s="22" t="s">
        <v>41</v>
      </c>
      <c r="G4309" s="23" t="s">
        <v>90</v>
      </c>
      <c r="H4309" s="22" t="s">
        <v>91</v>
      </c>
      <c r="I4309" s="24" t="s">
        <v>20519</v>
      </c>
      <c r="J4309" s="22" t="s">
        <v>649</v>
      </c>
      <c r="K4309" s="22"/>
      <c r="L4309" s="43" t="s">
        <v>20520</v>
      </c>
      <c r="M4309" s="44"/>
      <c r="N4309" s="44"/>
      <c r="O4309" s="44"/>
      <c r="P4309" s="44"/>
      <c r="Q4309" s="44"/>
      <c r="R4309" s="44"/>
      <c r="S4309" s="44"/>
      <c r="T4309" s="45"/>
      <c r="U4309" s="38" t="str">
        <f>HYPERLINK("https://www.ncbi.nlm.nih.gov/pubmed/29204915","PubMed")</f>
        <v>PubMed</v>
      </c>
      <c r="V4309" s="50"/>
      <c r="W4309" s="49"/>
      <c r="X4309" s="49"/>
      <c r="Y4309" s="35"/>
      <c r="Z4309" s="35"/>
      <c r="AA4309" s="35"/>
      <c r="AB4309" s="35"/>
      <c r="AC4309" s="35"/>
      <c r="AD4309" s="35"/>
      <c r="AE4309" s="35"/>
      <c r="AF4309" s="35"/>
      <c r="AG4309" s="35"/>
      <c r="AH4309" s="35"/>
      <c r="AI4309" s="35"/>
      <c r="AJ4309" s="35"/>
      <c r="AK4309" s="35"/>
      <c r="AL4309" s="35"/>
    </row>
    <row r="4310">
      <c r="A4310" s="18"/>
      <c r="B4310" s="19" t="s">
        <v>19332</v>
      </c>
      <c r="C4310" s="20" t="s">
        <v>20427</v>
      </c>
      <c r="D4310" s="47"/>
      <c r="E4310" s="22" t="s">
        <v>20521</v>
      </c>
      <c r="F4310" s="22" t="s">
        <v>20522</v>
      </c>
      <c r="G4310" s="23">
        <v>2017.0</v>
      </c>
      <c r="H4310" s="22" t="s">
        <v>469</v>
      </c>
      <c r="I4310" s="24" t="s">
        <v>20523</v>
      </c>
      <c r="J4310" s="22" t="s">
        <v>20524</v>
      </c>
      <c r="K4310" s="22" t="s">
        <v>20525</v>
      </c>
      <c r="L4310" s="36">
        <v>660.0</v>
      </c>
      <c r="M4310" s="36">
        <v>200.0</v>
      </c>
      <c r="N4310" s="36" t="s">
        <v>20526</v>
      </c>
      <c r="O4310" s="36">
        <v>12.0</v>
      </c>
      <c r="P4310" s="37" t="s">
        <v>20527</v>
      </c>
      <c r="Q4310" s="36" t="s">
        <v>20528</v>
      </c>
      <c r="R4310" s="36">
        <v>60.0</v>
      </c>
      <c r="S4310" s="36">
        <v>1.0</v>
      </c>
      <c r="T4310" s="28" t="s">
        <v>20529</v>
      </c>
      <c r="U4310" s="38" t="str">
        <f>HYPERLINK("https://www.ncbi.nlm.nih.gov/pubmed/28512549","PubMed")</f>
        <v>PubMed</v>
      </c>
      <c r="V4310" s="50"/>
      <c r="W4310" s="49"/>
      <c r="X4310" s="49"/>
      <c r="Y4310" s="35"/>
      <c r="Z4310" s="35"/>
      <c r="AA4310" s="35"/>
      <c r="AB4310" s="35"/>
      <c r="AC4310" s="35"/>
      <c r="AD4310" s="35"/>
      <c r="AE4310" s="35"/>
      <c r="AF4310" s="35"/>
      <c r="AG4310" s="35"/>
      <c r="AH4310" s="35"/>
      <c r="AI4310" s="35"/>
      <c r="AJ4310" s="35"/>
      <c r="AK4310" s="35"/>
      <c r="AL4310" s="35"/>
    </row>
    <row r="4311">
      <c r="A4311" s="18"/>
      <c r="B4311" s="19" t="s">
        <v>19332</v>
      </c>
      <c r="C4311" s="20" t="s">
        <v>20427</v>
      </c>
      <c r="D4311" s="47"/>
      <c r="E4311" s="22" t="s">
        <v>1059</v>
      </c>
      <c r="F4311" s="22" t="s">
        <v>41</v>
      </c>
      <c r="G4311" s="23">
        <v>2017.0</v>
      </c>
      <c r="H4311" s="22" t="s">
        <v>91</v>
      </c>
      <c r="I4311" s="24" t="s">
        <v>20530</v>
      </c>
      <c r="J4311" s="22" t="s">
        <v>20531</v>
      </c>
      <c r="K4311" s="22"/>
      <c r="L4311" s="36">
        <v>810.0</v>
      </c>
      <c r="M4311" s="36" t="s">
        <v>19205</v>
      </c>
      <c r="N4311" s="36"/>
      <c r="O4311" s="36"/>
      <c r="P4311" s="37" t="s">
        <v>5667</v>
      </c>
      <c r="Q4311" s="36"/>
      <c r="R4311" s="36"/>
      <c r="S4311" s="36" t="s">
        <v>20532</v>
      </c>
      <c r="T4311" s="28" t="s">
        <v>20533</v>
      </c>
      <c r="U4311" s="38" t="str">
        <f>HYPERLINK("https://www.ncbi.nlm.nih.gov/pubmed/28391435","PubMed")</f>
        <v>PubMed</v>
      </c>
      <c r="V4311" s="50"/>
      <c r="W4311" s="49"/>
      <c r="X4311" s="49"/>
      <c r="Y4311" s="35"/>
      <c r="Z4311" s="35"/>
      <c r="AA4311" s="35"/>
      <c r="AB4311" s="35"/>
      <c r="AC4311" s="35"/>
      <c r="AD4311" s="35"/>
      <c r="AE4311" s="35"/>
      <c r="AF4311" s="35"/>
      <c r="AG4311" s="35"/>
      <c r="AH4311" s="35"/>
      <c r="AI4311" s="35"/>
      <c r="AJ4311" s="35"/>
      <c r="AK4311" s="35"/>
      <c r="AL4311" s="35"/>
    </row>
    <row r="4312">
      <c r="A4312" s="40"/>
      <c r="B4312" s="19" t="s">
        <v>19332</v>
      </c>
      <c r="C4312" s="20" t="s">
        <v>20427</v>
      </c>
      <c r="D4312" s="47"/>
      <c r="E4312" s="22" t="s">
        <v>17027</v>
      </c>
      <c r="F4312" s="22" t="s">
        <v>41</v>
      </c>
      <c r="G4312" s="23">
        <v>2017.0</v>
      </c>
      <c r="H4312" s="22" t="s">
        <v>20534</v>
      </c>
      <c r="I4312" s="24" t="s">
        <v>20535</v>
      </c>
      <c r="J4312" s="22" t="s">
        <v>31</v>
      </c>
      <c r="K4312" s="22" t="s">
        <v>20536</v>
      </c>
      <c r="L4312" s="36">
        <v>660.0</v>
      </c>
      <c r="M4312" s="36">
        <v>20.0</v>
      </c>
      <c r="N4312" s="36"/>
      <c r="O4312" s="129"/>
      <c r="P4312" s="37" t="s">
        <v>432</v>
      </c>
      <c r="Q4312" s="36" t="s">
        <v>280</v>
      </c>
      <c r="R4312" s="36">
        <v>7.0</v>
      </c>
      <c r="S4312" s="36"/>
      <c r="T4312" s="28" t="s">
        <v>20537</v>
      </c>
      <c r="U4312" s="38" t="str">
        <f>HYPERLINK("https://www.ncbi.nlm.nih.gov/pubmed/26426812","PubMed")</f>
        <v>PubMed</v>
      </c>
      <c r="V4312" s="50"/>
      <c r="W4312" s="49"/>
      <c r="X4312" s="49"/>
      <c r="Y4312" s="35"/>
      <c r="Z4312" s="35"/>
      <c r="AA4312" s="35"/>
      <c r="AB4312" s="35"/>
      <c r="AC4312" s="35"/>
      <c r="AD4312" s="35"/>
      <c r="AE4312" s="35"/>
      <c r="AF4312" s="35"/>
      <c r="AG4312" s="35"/>
      <c r="AH4312" s="35"/>
      <c r="AI4312" s="35"/>
      <c r="AJ4312" s="35"/>
      <c r="AK4312" s="35"/>
      <c r="AL4312" s="35"/>
    </row>
    <row r="4313">
      <c r="A4313" s="40" t="s">
        <v>38</v>
      </c>
      <c r="B4313" s="19" t="s">
        <v>19332</v>
      </c>
      <c r="C4313" s="20" t="s">
        <v>20427</v>
      </c>
      <c r="D4313" s="47"/>
      <c r="E4313" s="22" t="s">
        <v>20538</v>
      </c>
      <c r="F4313" s="22" t="s">
        <v>19708</v>
      </c>
      <c r="G4313" s="23">
        <v>2017.0</v>
      </c>
      <c r="H4313" s="22" t="s">
        <v>20539</v>
      </c>
      <c r="I4313" s="24" t="s">
        <v>20540</v>
      </c>
      <c r="J4313" s="22" t="s">
        <v>20541</v>
      </c>
      <c r="K4313" s="22" t="s">
        <v>20542</v>
      </c>
      <c r="L4313" s="36">
        <v>810.0</v>
      </c>
      <c r="M4313" s="36">
        <v>500.0</v>
      </c>
      <c r="N4313" s="36"/>
      <c r="O4313" s="129"/>
      <c r="P4313" s="37"/>
      <c r="Q4313" s="36"/>
      <c r="R4313" s="36"/>
      <c r="S4313" s="36" t="s">
        <v>20543</v>
      </c>
      <c r="T4313" s="28" t="s">
        <v>20544</v>
      </c>
      <c r="U4313" s="38" t="str">
        <f>HYPERLINK("https://www.ncbi.nlm.nih.gov/pubmed/28251111","PubMed")</f>
        <v>PubMed</v>
      </c>
      <c r="V4313" s="50"/>
      <c r="W4313" s="49"/>
      <c r="X4313" s="49"/>
      <c r="Y4313" s="35"/>
      <c r="Z4313" s="35"/>
      <c r="AA4313" s="35"/>
      <c r="AB4313" s="35"/>
      <c r="AC4313" s="35"/>
      <c r="AD4313" s="35"/>
      <c r="AE4313" s="35"/>
      <c r="AF4313" s="35"/>
      <c r="AG4313" s="35"/>
      <c r="AH4313" s="35"/>
      <c r="AI4313" s="35"/>
      <c r="AJ4313" s="35"/>
      <c r="AK4313" s="35"/>
      <c r="AL4313" s="35"/>
    </row>
    <row r="4314">
      <c r="A4314" s="1"/>
      <c r="B4314" s="19" t="s">
        <v>19332</v>
      </c>
      <c r="C4314" s="20" t="s">
        <v>20427</v>
      </c>
      <c r="D4314" s="47"/>
      <c r="E4314" s="22" t="s">
        <v>20545</v>
      </c>
      <c r="F4314" s="22" t="s">
        <v>1891</v>
      </c>
      <c r="G4314" s="23">
        <v>2015.0</v>
      </c>
      <c r="H4314" s="22" t="s">
        <v>147</v>
      </c>
      <c r="I4314" s="24" t="s">
        <v>20546</v>
      </c>
      <c r="J4314" s="22" t="s">
        <v>20547</v>
      </c>
      <c r="K4314" s="22" t="s">
        <v>9754</v>
      </c>
      <c r="L4314" s="36">
        <v>650.0</v>
      </c>
      <c r="M4314" s="36">
        <v>5.0</v>
      </c>
      <c r="N4314" s="36"/>
      <c r="O4314" s="36"/>
      <c r="P4314" s="37"/>
      <c r="Q4314" s="36"/>
      <c r="R4314" s="36"/>
      <c r="S4314" s="36" t="s">
        <v>20548</v>
      </c>
      <c r="T4314" s="42" t="s">
        <v>20549</v>
      </c>
      <c r="U4314" s="29" t="s">
        <v>61</v>
      </c>
      <c r="V4314" s="50"/>
      <c r="W4314" s="49"/>
      <c r="X4314" s="49"/>
      <c r="Y4314" s="35"/>
      <c r="Z4314" s="35"/>
      <c r="AA4314" s="35"/>
      <c r="AB4314" s="35"/>
      <c r="AC4314" s="35"/>
      <c r="AD4314" s="35"/>
      <c r="AE4314" s="35"/>
      <c r="AF4314" s="35"/>
      <c r="AG4314" s="35"/>
      <c r="AH4314" s="35"/>
      <c r="AI4314" s="35"/>
      <c r="AJ4314" s="35"/>
      <c r="AK4314" s="35"/>
      <c r="AL4314" s="35"/>
    </row>
    <row r="4315">
      <c r="A4315" s="1"/>
      <c r="B4315" s="19" t="s">
        <v>19332</v>
      </c>
      <c r="C4315" s="20" t="s">
        <v>20427</v>
      </c>
      <c r="D4315" s="47"/>
      <c r="E4315" s="22" t="s">
        <v>1059</v>
      </c>
      <c r="F4315" s="22" t="s">
        <v>41</v>
      </c>
      <c r="G4315" s="23">
        <v>2015.0</v>
      </c>
      <c r="H4315" s="22" t="s">
        <v>91</v>
      </c>
      <c r="I4315" s="24" t="s">
        <v>20550</v>
      </c>
      <c r="J4315" s="22" t="s">
        <v>20551</v>
      </c>
      <c r="K4315" s="22"/>
      <c r="L4315" s="36">
        <v>810.0</v>
      </c>
      <c r="M4315" s="36" t="s">
        <v>20552</v>
      </c>
      <c r="N4315" s="36"/>
      <c r="O4315" s="36" t="s">
        <v>20553</v>
      </c>
      <c r="P4315" s="37" t="s">
        <v>20554</v>
      </c>
      <c r="Q4315" s="36"/>
      <c r="R4315" s="36" t="s">
        <v>20555</v>
      </c>
      <c r="S4315" s="36" t="s">
        <v>20556</v>
      </c>
      <c r="T4315" s="28" t="s">
        <v>20557</v>
      </c>
      <c r="U4315" s="38" t="str">
        <f>HYPERLINK("https://www.ncbi.nlm.nih.gov/pubmed/24197517","PubMed")</f>
        <v>PubMed</v>
      </c>
      <c r="V4315" s="50"/>
      <c r="W4315" s="49"/>
      <c r="X4315" s="49"/>
      <c r="Y4315" s="35"/>
      <c r="Z4315" s="35"/>
      <c r="AA4315" s="35"/>
      <c r="AB4315" s="35"/>
      <c r="AC4315" s="35"/>
      <c r="AD4315" s="35"/>
      <c r="AE4315" s="35"/>
      <c r="AF4315" s="35"/>
      <c r="AG4315" s="35"/>
      <c r="AH4315" s="35"/>
      <c r="AI4315" s="35"/>
      <c r="AJ4315" s="35"/>
      <c r="AK4315" s="35"/>
      <c r="AL4315" s="35"/>
    </row>
    <row r="4316">
      <c r="A4316" s="18" t="s">
        <v>14912</v>
      </c>
      <c r="B4316" s="19" t="s">
        <v>19332</v>
      </c>
      <c r="C4316" s="20" t="s">
        <v>20427</v>
      </c>
      <c r="D4316" s="47"/>
      <c r="E4316" s="22" t="s">
        <v>20558</v>
      </c>
      <c r="F4316" s="22" t="s">
        <v>299</v>
      </c>
      <c r="G4316" s="23">
        <v>2014.0</v>
      </c>
      <c r="H4316" s="22" t="s">
        <v>1144</v>
      </c>
      <c r="I4316" s="24" t="s">
        <v>20559</v>
      </c>
      <c r="J4316" s="22" t="s">
        <v>20560</v>
      </c>
      <c r="K4316" s="22" t="s">
        <v>9754</v>
      </c>
      <c r="L4316" s="36">
        <v>635.0</v>
      </c>
      <c r="M4316" s="36">
        <v>6.0</v>
      </c>
      <c r="N4316" s="36"/>
      <c r="O4316" s="129"/>
      <c r="P4316" s="37"/>
      <c r="Q4316" s="36"/>
      <c r="R4316" s="36"/>
      <c r="S4316" s="36" t="s">
        <v>20561</v>
      </c>
      <c r="T4316" s="28" t="s">
        <v>20562</v>
      </c>
      <c r="U4316" s="38" t="str">
        <f>HYPERLINK("https://www.ncbi.nlm.nih.gov/pubmed/24717149","PubMed")</f>
        <v>PubMed</v>
      </c>
      <c r="V4316" s="50"/>
      <c r="W4316" s="49"/>
      <c r="X4316" s="49"/>
      <c r="Y4316" s="35"/>
      <c r="Z4316" s="35"/>
      <c r="AA4316" s="35"/>
      <c r="AB4316" s="35"/>
      <c r="AC4316" s="35"/>
      <c r="AD4316" s="35"/>
      <c r="AE4316" s="35"/>
      <c r="AF4316" s="35"/>
      <c r="AG4316" s="35"/>
      <c r="AH4316" s="35"/>
      <c r="AI4316" s="35"/>
      <c r="AJ4316" s="35"/>
      <c r="AK4316" s="35"/>
      <c r="AL4316" s="35"/>
    </row>
    <row r="4317">
      <c r="A4317" s="1"/>
      <c r="B4317" s="19" t="s">
        <v>19332</v>
      </c>
      <c r="C4317" s="20" t="s">
        <v>20427</v>
      </c>
      <c r="D4317" s="47"/>
      <c r="E4317" s="22" t="s">
        <v>20563</v>
      </c>
      <c r="F4317" s="22" t="s">
        <v>20564</v>
      </c>
      <c r="G4317" s="23">
        <v>2014.0</v>
      </c>
      <c r="H4317" s="22" t="s">
        <v>658</v>
      </c>
      <c r="I4317" s="24" t="s">
        <v>20565</v>
      </c>
      <c r="J4317" s="22" t="s">
        <v>20566</v>
      </c>
      <c r="K4317" s="22"/>
      <c r="L4317" s="36">
        <v>660.0</v>
      </c>
      <c r="M4317" s="36">
        <v>25.0</v>
      </c>
      <c r="N4317" s="36"/>
      <c r="O4317" s="129">
        <v>42859.0</v>
      </c>
      <c r="P4317" s="37"/>
      <c r="Q4317" s="36"/>
      <c r="R4317" s="36">
        <v>180.0</v>
      </c>
      <c r="S4317" s="36" t="s">
        <v>6403</v>
      </c>
      <c r="T4317" s="28" t="s">
        <v>20567</v>
      </c>
      <c r="U4317" s="38" t="str">
        <f>HYPERLINK("https://www.ncbi.nlm.nih.gov/pubmed/25496085","PubMed")</f>
        <v>PubMed</v>
      </c>
      <c r="V4317" s="50"/>
      <c r="W4317" s="49"/>
      <c r="X4317" s="49"/>
      <c r="Y4317" s="35"/>
      <c r="Z4317" s="35"/>
      <c r="AA4317" s="35"/>
      <c r="AB4317" s="35"/>
      <c r="AC4317" s="35"/>
      <c r="AD4317" s="35"/>
      <c r="AE4317" s="35"/>
      <c r="AF4317" s="35"/>
      <c r="AG4317" s="35"/>
      <c r="AH4317" s="35"/>
      <c r="AI4317" s="35"/>
      <c r="AJ4317" s="35"/>
      <c r="AK4317" s="35"/>
      <c r="AL4317" s="35"/>
    </row>
    <row r="4318">
      <c r="A4318" s="1"/>
      <c r="B4318" s="19" t="s">
        <v>19332</v>
      </c>
      <c r="C4318" s="20" t="s">
        <v>20427</v>
      </c>
      <c r="D4318" s="47"/>
      <c r="E4318" s="22" t="s">
        <v>20568</v>
      </c>
      <c r="F4318" s="22" t="s">
        <v>19488</v>
      </c>
      <c r="G4318" s="23">
        <v>2014.0</v>
      </c>
      <c r="H4318" s="22" t="s">
        <v>11178</v>
      </c>
      <c r="I4318" s="24" t="s">
        <v>20569</v>
      </c>
      <c r="J4318" s="22" t="s">
        <v>20570</v>
      </c>
      <c r="K4318" s="22" t="s">
        <v>20571</v>
      </c>
      <c r="L4318" s="36">
        <v>810.0</v>
      </c>
      <c r="M4318" s="36"/>
      <c r="N4318" s="36"/>
      <c r="O4318" s="129"/>
      <c r="P4318" s="37"/>
      <c r="Q4318" s="36"/>
      <c r="R4318" s="36" t="s">
        <v>1838</v>
      </c>
      <c r="S4318" s="36" t="s">
        <v>9333</v>
      </c>
      <c r="T4318" s="28" t="s">
        <v>20572</v>
      </c>
      <c r="U4318" s="38" t="str">
        <f>HYPERLINK("https://www.ncbi.nlm.nih.gov/pubmed/24411005","PubMed")</f>
        <v>PubMed</v>
      </c>
      <c r="V4318" s="50"/>
      <c r="W4318" s="49"/>
      <c r="X4318" s="49"/>
      <c r="Y4318" s="35"/>
      <c r="Z4318" s="35"/>
      <c r="AA4318" s="35"/>
      <c r="AB4318" s="35"/>
      <c r="AC4318" s="35"/>
      <c r="AD4318" s="35"/>
      <c r="AE4318" s="35"/>
      <c r="AF4318" s="35"/>
      <c r="AG4318" s="35"/>
      <c r="AH4318" s="35"/>
      <c r="AI4318" s="35"/>
      <c r="AJ4318" s="35"/>
      <c r="AK4318" s="35"/>
      <c r="AL4318" s="35"/>
    </row>
    <row r="4319">
      <c r="A4319" s="1"/>
      <c r="B4319" s="19" t="s">
        <v>19332</v>
      </c>
      <c r="C4319" s="20" t="s">
        <v>20427</v>
      </c>
      <c r="D4319" s="47"/>
      <c r="E4319" s="22" t="s">
        <v>20573</v>
      </c>
      <c r="F4319" s="22" t="s">
        <v>20244</v>
      </c>
      <c r="G4319" s="23">
        <v>2013.0</v>
      </c>
      <c r="H4319" s="22" t="s">
        <v>20574</v>
      </c>
      <c r="I4319" s="24" t="s">
        <v>20575</v>
      </c>
      <c r="J4319" s="22" t="s">
        <v>20576</v>
      </c>
      <c r="K4319" s="22" t="s">
        <v>20577</v>
      </c>
      <c r="L4319" s="36">
        <v>780.0</v>
      </c>
      <c r="M4319" s="36">
        <v>20.0</v>
      </c>
      <c r="N4319" s="36"/>
      <c r="O4319" s="36"/>
      <c r="P4319" s="37" t="s">
        <v>432</v>
      </c>
      <c r="Q4319" s="36"/>
      <c r="R4319" s="36" t="s">
        <v>20578</v>
      </c>
      <c r="S4319" s="36" t="s">
        <v>20579</v>
      </c>
      <c r="T4319" s="42" t="s">
        <v>20580</v>
      </c>
      <c r="U4319" s="38" t="str">
        <f>HYPERLINK("https://www.ncbi.nlm.nih.gov/pubmed/24180588","PubMed")</f>
        <v>PubMed</v>
      </c>
      <c r="V4319" s="50"/>
      <c r="W4319" s="49"/>
      <c r="X4319" s="49"/>
      <c r="Y4319" s="35"/>
      <c r="Z4319" s="35"/>
      <c r="AA4319" s="35"/>
      <c r="AB4319" s="35"/>
      <c r="AC4319" s="35"/>
      <c r="AD4319" s="35"/>
      <c r="AE4319" s="35"/>
      <c r="AF4319" s="35"/>
      <c r="AG4319" s="35"/>
      <c r="AH4319" s="35"/>
      <c r="AI4319" s="35"/>
      <c r="AJ4319" s="35"/>
      <c r="AK4319" s="35"/>
      <c r="AL4319" s="35"/>
    </row>
    <row r="4320">
      <c r="A4320" s="1"/>
      <c r="B4320" s="19" t="s">
        <v>19332</v>
      </c>
      <c r="C4320" s="20" t="s">
        <v>20427</v>
      </c>
      <c r="D4320" s="47"/>
      <c r="E4320" s="22" t="s">
        <v>20581</v>
      </c>
      <c r="F4320" s="22" t="s">
        <v>4704</v>
      </c>
      <c r="G4320" s="23">
        <v>2011.0</v>
      </c>
      <c r="H4320" s="22" t="s">
        <v>20582</v>
      </c>
      <c r="I4320" s="24" t="s">
        <v>20583</v>
      </c>
      <c r="J4320" s="22" t="s">
        <v>20584</v>
      </c>
      <c r="K4320" s="22"/>
      <c r="L4320" s="36" t="s">
        <v>20585</v>
      </c>
      <c r="M4320" s="36"/>
      <c r="N4320" s="36"/>
      <c r="O4320" s="36"/>
      <c r="P4320" s="37" t="s">
        <v>20586</v>
      </c>
      <c r="Q4320" s="36"/>
      <c r="R4320" s="36" t="s">
        <v>20587</v>
      </c>
      <c r="S4320" s="36">
        <v>1.0</v>
      </c>
      <c r="T4320" s="28" t="s">
        <v>20588</v>
      </c>
      <c r="U4320" s="38" t="str">
        <f>HYPERLINK("https://www.ncbi.nlm.nih.gov/pubmed/21238531","PubMed")</f>
        <v>PubMed</v>
      </c>
      <c r="V4320" s="50"/>
      <c r="W4320" s="49"/>
      <c r="X4320" s="49"/>
      <c r="Y4320" s="35"/>
      <c r="Z4320" s="35"/>
      <c r="AA4320" s="35"/>
      <c r="AB4320" s="35"/>
      <c r="AC4320" s="35"/>
      <c r="AD4320" s="35"/>
      <c r="AE4320" s="35"/>
      <c r="AF4320" s="35"/>
      <c r="AG4320" s="35"/>
      <c r="AH4320" s="35"/>
      <c r="AI4320" s="35"/>
      <c r="AJ4320" s="35"/>
      <c r="AK4320" s="35"/>
      <c r="AL4320" s="35"/>
    </row>
    <row r="4321">
      <c r="A4321" s="1"/>
      <c r="B4321" s="19" t="s">
        <v>19332</v>
      </c>
      <c r="C4321" s="20" t="s">
        <v>20427</v>
      </c>
      <c r="D4321" s="47"/>
      <c r="E4321" s="22" t="s">
        <v>20581</v>
      </c>
      <c r="F4321" s="22" t="s">
        <v>4704</v>
      </c>
      <c r="G4321" s="23">
        <v>2011.0</v>
      </c>
      <c r="H4321" s="22" t="s">
        <v>658</v>
      </c>
      <c r="I4321" s="24" t="s">
        <v>20589</v>
      </c>
      <c r="J4321" s="22" t="s">
        <v>20590</v>
      </c>
      <c r="K4321" s="22" t="s">
        <v>20591</v>
      </c>
      <c r="L4321" s="36">
        <v>810.0</v>
      </c>
      <c r="M4321" s="36">
        <v>500.0</v>
      </c>
      <c r="N4321" s="36"/>
      <c r="O4321" s="36"/>
      <c r="P4321" s="37" t="s">
        <v>20592</v>
      </c>
      <c r="Q4321" s="36" t="s">
        <v>20593</v>
      </c>
      <c r="R4321" s="36">
        <v>60.0</v>
      </c>
      <c r="S4321" s="36">
        <v>1.0</v>
      </c>
      <c r="T4321" s="28" t="s">
        <v>20594</v>
      </c>
      <c r="U4321" s="38" t="str">
        <f>HYPERLINK("https://www.ncbi.nlm.nih.gov/pubmed/21668343","PubMed")</f>
        <v>PubMed</v>
      </c>
      <c r="V4321" s="50"/>
      <c r="W4321" s="49"/>
      <c r="X4321" s="49"/>
      <c r="Y4321" s="35"/>
      <c r="Z4321" s="35"/>
      <c r="AA4321" s="35"/>
      <c r="AB4321" s="35"/>
      <c r="AC4321" s="35"/>
      <c r="AD4321" s="35"/>
      <c r="AE4321" s="35"/>
      <c r="AF4321" s="35"/>
      <c r="AG4321" s="35"/>
      <c r="AH4321" s="35"/>
      <c r="AI4321" s="35"/>
      <c r="AJ4321" s="35"/>
      <c r="AK4321" s="35"/>
      <c r="AL4321" s="35"/>
    </row>
    <row r="4322">
      <c r="A4322" s="1"/>
      <c r="B4322" s="19" t="s">
        <v>19332</v>
      </c>
      <c r="C4322" s="20" t="s">
        <v>20427</v>
      </c>
      <c r="D4322" s="47"/>
      <c r="E4322" s="22" t="s">
        <v>20595</v>
      </c>
      <c r="F4322" s="22" t="s">
        <v>10235</v>
      </c>
      <c r="G4322" s="23">
        <v>2010.0</v>
      </c>
      <c r="H4322" s="22" t="s">
        <v>91</v>
      </c>
      <c r="I4322" s="24" t="s">
        <v>20596</v>
      </c>
      <c r="J4322" s="22" t="s">
        <v>20597</v>
      </c>
      <c r="K4322" s="22" t="s">
        <v>20598</v>
      </c>
      <c r="L4322" s="36" t="s">
        <v>20599</v>
      </c>
      <c r="M4322" s="36">
        <v>15.0</v>
      </c>
      <c r="N4322" s="36" t="s">
        <v>414</v>
      </c>
      <c r="O4322" s="36"/>
      <c r="P4322" s="37"/>
      <c r="Q4322" s="36"/>
      <c r="R4322" s="36">
        <v>20.0</v>
      </c>
      <c r="S4322" s="36" t="s">
        <v>11849</v>
      </c>
      <c r="T4322" s="28" t="s">
        <v>20600</v>
      </c>
      <c r="U4322" s="38" t="str">
        <f>HYPERLINK("https://www.ncbi.nlm.nih.gov/pubmed/19484401","PubMed")</f>
        <v>PubMed</v>
      </c>
      <c r="V4322" s="30" t="s">
        <v>20601</v>
      </c>
      <c r="W4322" s="49"/>
      <c r="X4322" s="49"/>
      <c r="Y4322" s="35"/>
      <c r="Z4322" s="35"/>
      <c r="AA4322" s="35"/>
      <c r="AB4322" s="35"/>
      <c r="AC4322" s="35"/>
      <c r="AD4322" s="35"/>
      <c r="AE4322" s="35"/>
      <c r="AF4322" s="35"/>
      <c r="AG4322" s="35"/>
      <c r="AH4322" s="35"/>
      <c r="AI4322" s="35"/>
      <c r="AJ4322" s="35"/>
      <c r="AK4322" s="35"/>
      <c r="AL4322" s="35"/>
    </row>
    <row r="4323">
      <c r="A4323" s="1"/>
      <c r="B4323" s="19" t="s">
        <v>19332</v>
      </c>
      <c r="C4323" s="20" t="s">
        <v>20427</v>
      </c>
      <c r="D4323" s="47"/>
      <c r="E4323" s="22" t="s">
        <v>20602</v>
      </c>
      <c r="F4323" s="22" t="s">
        <v>274</v>
      </c>
      <c r="G4323" s="23">
        <v>2010.0</v>
      </c>
      <c r="H4323" s="22" t="s">
        <v>9550</v>
      </c>
      <c r="I4323" s="24" t="s">
        <v>20603</v>
      </c>
      <c r="J4323" s="22" t="s">
        <v>20604</v>
      </c>
      <c r="K4323" s="22" t="s">
        <v>20605</v>
      </c>
      <c r="L4323" s="36" t="s">
        <v>20606</v>
      </c>
      <c r="M4323" s="36" t="s">
        <v>20607</v>
      </c>
      <c r="N4323" s="36"/>
      <c r="O4323" s="36"/>
      <c r="P4323" s="37" t="s">
        <v>20608</v>
      </c>
      <c r="Q4323" s="36" t="s">
        <v>1199</v>
      </c>
      <c r="R4323" s="36"/>
      <c r="S4323" s="36" t="s">
        <v>20609</v>
      </c>
      <c r="T4323" s="28" t="s">
        <v>20610</v>
      </c>
      <c r="U4323" s="38" t="str">
        <f>HYPERLINK("https://onlinelibrary.wiley.com/doi/full/10.1002/lapl.201010060","Wiley")</f>
        <v>Wiley</v>
      </c>
      <c r="V4323" s="50"/>
      <c r="W4323" s="49"/>
      <c r="X4323" s="49"/>
      <c r="Y4323" s="35"/>
      <c r="Z4323" s="35"/>
      <c r="AA4323" s="35"/>
      <c r="AB4323" s="35"/>
      <c r="AC4323" s="35"/>
      <c r="AD4323" s="35"/>
      <c r="AE4323" s="35"/>
      <c r="AF4323" s="35"/>
      <c r="AG4323" s="35"/>
      <c r="AH4323" s="35"/>
      <c r="AI4323" s="35"/>
      <c r="AJ4323" s="35"/>
      <c r="AK4323" s="35"/>
      <c r="AL4323" s="35"/>
    </row>
    <row r="4324">
      <c r="A4324" s="1"/>
      <c r="B4324" s="19" t="s">
        <v>19332</v>
      </c>
      <c r="C4324" s="20" t="s">
        <v>20427</v>
      </c>
      <c r="D4324" s="47"/>
      <c r="E4324" s="22" t="s">
        <v>20611</v>
      </c>
      <c r="F4324" s="22" t="s">
        <v>408</v>
      </c>
      <c r="G4324" s="23">
        <v>2010.0</v>
      </c>
      <c r="H4324" s="22" t="s">
        <v>658</v>
      </c>
      <c r="I4324" s="24" t="s">
        <v>20612</v>
      </c>
      <c r="J4324" s="22" t="s">
        <v>20613</v>
      </c>
      <c r="K4324" s="22"/>
      <c r="L4324" s="36">
        <v>808.0</v>
      </c>
      <c r="M4324" s="36">
        <v>100.0</v>
      </c>
      <c r="N4324" s="36"/>
      <c r="O4324" s="36"/>
      <c r="P4324" s="37"/>
      <c r="Q4324" s="36"/>
      <c r="R4324" s="36">
        <v>25.0</v>
      </c>
      <c r="S4324" s="36" t="s">
        <v>20614</v>
      </c>
      <c r="T4324" s="28" t="s">
        <v>20615</v>
      </c>
      <c r="U4324" s="38" t="str">
        <f>HYPERLINK("https://www.ncbi.nlm.nih.gov/pubmed/20863237","PubMed")</f>
        <v>PubMed</v>
      </c>
      <c r="V4324" s="50"/>
      <c r="W4324" s="49"/>
      <c r="X4324" s="49"/>
      <c r="Y4324" s="35"/>
      <c r="Z4324" s="35"/>
      <c r="AA4324" s="35"/>
      <c r="AB4324" s="35"/>
      <c r="AC4324" s="35"/>
      <c r="AD4324" s="35"/>
      <c r="AE4324" s="35"/>
      <c r="AF4324" s="35"/>
      <c r="AG4324" s="35"/>
      <c r="AH4324" s="35"/>
      <c r="AI4324" s="35"/>
      <c r="AJ4324" s="35"/>
      <c r="AK4324" s="35"/>
      <c r="AL4324" s="35"/>
    </row>
    <row r="4325">
      <c r="A4325" s="1"/>
      <c r="B4325" s="19" t="s">
        <v>19332</v>
      </c>
      <c r="C4325" s="20" t="s">
        <v>20427</v>
      </c>
      <c r="D4325" s="47"/>
      <c r="E4325" s="22" t="s">
        <v>3309</v>
      </c>
      <c r="F4325" s="22" t="s">
        <v>19727</v>
      </c>
      <c r="G4325" s="23">
        <v>2009.0</v>
      </c>
      <c r="H4325" s="22" t="s">
        <v>658</v>
      </c>
      <c r="I4325" s="24" t="s">
        <v>20616</v>
      </c>
      <c r="J4325" s="22" t="s">
        <v>20617</v>
      </c>
      <c r="K4325" s="22" t="s">
        <v>20618</v>
      </c>
      <c r="L4325" s="36">
        <v>660.0</v>
      </c>
      <c r="M4325" s="36">
        <v>30.0</v>
      </c>
      <c r="N4325" s="36"/>
      <c r="O4325" s="36"/>
      <c r="P4325" s="37"/>
      <c r="Q4325" s="36"/>
      <c r="R4325" s="36"/>
      <c r="S4325" s="36" t="s">
        <v>20619</v>
      </c>
      <c r="T4325" s="42" t="s">
        <v>20620</v>
      </c>
      <c r="U4325" s="38" t="str">
        <f>HYPERLINK("https://www.ncbi.nlm.nih.gov/pubmed/19715434","PubMed")</f>
        <v>PubMed</v>
      </c>
      <c r="V4325" s="50"/>
      <c r="W4325" s="49"/>
      <c r="X4325" s="49"/>
      <c r="Y4325" s="35"/>
      <c r="Z4325" s="35"/>
      <c r="AA4325" s="35"/>
      <c r="AB4325" s="35"/>
      <c r="AC4325" s="35"/>
      <c r="AD4325" s="35"/>
      <c r="AE4325" s="35"/>
      <c r="AF4325" s="35"/>
      <c r="AG4325" s="35"/>
      <c r="AH4325" s="35"/>
      <c r="AI4325" s="35"/>
      <c r="AJ4325" s="35"/>
      <c r="AK4325" s="35"/>
      <c r="AL4325" s="35"/>
    </row>
    <row r="4326">
      <c r="A4326" s="1"/>
      <c r="B4326" s="19" t="s">
        <v>19332</v>
      </c>
      <c r="C4326" s="20" t="s">
        <v>20427</v>
      </c>
      <c r="D4326" s="47"/>
      <c r="E4326" s="22" t="s">
        <v>20621</v>
      </c>
      <c r="F4326" s="22" t="s">
        <v>1337</v>
      </c>
      <c r="G4326" s="23">
        <v>2009.0</v>
      </c>
      <c r="H4326" s="22" t="s">
        <v>19819</v>
      </c>
      <c r="I4326" s="24" t="s">
        <v>20622</v>
      </c>
      <c r="J4326" s="22" t="s">
        <v>20623</v>
      </c>
      <c r="K4326" s="22" t="s">
        <v>20624</v>
      </c>
      <c r="L4326" s="36">
        <v>810.0</v>
      </c>
      <c r="M4326" s="36" t="s">
        <v>20625</v>
      </c>
      <c r="N4326" s="36" t="s">
        <v>58</v>
      </c>
      <c r="O4326" s="36" t="s">
        <v>58</v>
      </c>
      <c r="P4326" s="37" t="s">
        <v>58</v>
      </c>
      <c r="Q4326" s="36" t="s">
        <v>58</v>
      </c>
      <c r="R4326" s="36">
        <v>60.0</v>
      </c>
      <c r="S4326" s="36">
        <v>1.0</v>
      </c>
      <c r="T4326" s="28" t="s">
        <v>20626</v>
      </c>
      <c r="U4326" s="38" t="str">
        <f>HYPERLINK("http://www.ncbi.nlm.nih.gov/pubmed/19519874","PubMed")</f>
        <v>PubMed</v>
      </c>
      <c r="V4326" s="50"/>
      <c r="W4326" s="49"/>
      <c r="X4326" s="49"/>
      <c r="Y4326" s="35"/>
      <c r="Z4326" s="35"/>
      <c r="AA4326" s="35"/>
      <c r="AB4326" s="35"/>
      <c r="AC4326" s="35"/>
      <c r="AD4326" s="35"/>
      <c r="AE4326" s="35"/>
      <c r="AF4326" s="35"/>
      <c r="AG4326" s="35"/>
      <c r="AH4326" s="35"/>
      <c r="AI4326" s="35"/>
      <c r="AJ4326" s="35"/>
      <c r="AK4326" s="35"/>
      <c r="AL4326" s="35"/>
    </row>
    <row r="4327">
      <c r="A4327" s="1"/>
      <c r="B4327" s="75" t="s">
        <v>19332</v>
      </c>
      <c r="C4327" s="77" t="s">
        <v>20427</v>
      </c>
      <c r="D4327" s="47"/>
      <c r="E4327" s="22" t="s">
        <v>20627</v>
      </c>
      <c r="F4327" s="22" t="s">
        <v>41</v>
      </c>
      <c r="G4327" s="23">
        <v>2004.0</v>
      </c>
      <c r="H4327" s="22" t="s">
        <v>837</v>
      </c>
      <c r="I4327" s="24" t="s">
        <v>20628</v>
      </c>
      <c r="J4327" s="22" t="s">
        <v>20629</v>
      </c>
      <c r="K4327" s="22" t="s">
        <v>20630</v>
      </c>
      <c r="L4327" s="36" t="s">
        <v>943</v>
      </c>
      <c r="M4327" s="36" t="s">
        <v>20631</v>
      </c>
      <c r="N4327" s="36"/>
      <c r="O4327" s="36"/>
      <c r="P4327" s="37"/>
      <c r="Q4327" s="36" t="s">
        <v>20632</v>
      </c>
      <c r="R4327" s="36"/>
      <c r="S4327" s="36" t="s">
        <v>20619</v>
      </c>
      <c r="T4327" s="28" t="s">
        <v>20633</v>
      </c>
      <c r="U4327" s="38" t="str">
        <f>HYPERLINK("https://www.ncbi.nlm.nih.gov/pubmed/15776198","PubMed")</f>
        <v>PubMed</v>
      </c>
      <c r="V4327" s="50"/>
      <c r="W4327" s="49"/>
      <c r="X4327" s="49"/>
      <c r="Y4327" s="35"/>
      <c r="Z4327" s="35"/>
      <c r="AA4327" s="35"/>
      <c r="AB4327" s="35"/>
      <c r="AC4327" s="35"/>
      <c r="AD4327" s="35"/>
      <c r="AE4327" s="35"/>
      <c r="AF4327" s="35"/>
      <c r="AG4327" s="35"/>
      <c r="AH4327" s="35"/>
      <c r="AI4327" s="35"/>
      <c r="AJ4327" s="35"/>
      <c r="AK4327" s="35"/>
      <c r="AL4327" s="35"/>
    </row>
    <row r="4328">
      <c r="A4328" s="1"/>
      <c r="B4328" s="75" t="s">
        <v>19332</v>
      </c>
      <c r="C4328" s="77" t="s">
        <v>20427</v>
      </c>
      <c r="D4328" s="47"/>
      <c r="E4328" s="22" t="s">
        <v>20634</v>
      </c>
      <c r="F4328" s="22" t="s">
        <v>358</v>
      </c>
      <c r="G4328" s="23">
        <v>2003.0</v>
      </c>
      <c r="H4328" s="22" t="s">
        <v>1144</v>
      </c>
      <c r="I4328" s="24" t="s">
        <v>20635</v>
      </c>
      <c r="J4328" s="22" t="s">
        <v>20636</v>
      </c>
      <c r="K4328" s="22"/>
      <c r="L4328" s="36">
        <v>660.0</v>
      </c>
      <c r="M4328" s="36">
        <v>15.0</v>
      </c>
      <c r="N4328" s="36"/>
      <c r="O4328" s="36"/>
      <c r="P4328" s="37" t="s">
        <v>254</v>
      </c>
      <c r="Q4328" s="36" t="s">
        <v>20637</v>
      </c>
      <c r="R4328" s="36"/>
      <c r="S4328" s="36">
        <v>5.0</v>
      </c>
      <c r="T4328" s="28" t="s">
        <v>20638</v>
      </c>
      <c r="U4328" s="38" t="str">
        <f>HYPERLINK("https://www.ncbi.nlm.nih.gov/pubmed/14641661","PubMed")</f>
        <v>PubMed</v>
      </c>
      <c r="V4328" s="50"/>
      <c r="W4328" s="49"/>
      <c r="X4328" s="49"/>
      <c r="Y4328" s="35"/>
      <c r="Z4328" s="35"/>
      <c r="AA4328" s="35"/>
      <c r="AB4328" s="35"/>
      <c r="AC4328" s="35"/>
      <c r="AD4328" s="35"/>
      <c r="AE4328" s="35"/>
      <c r="AF4328" s="35"/>
      <c r="AG4328" s="35"/>
      <c r="AH4328" s="35"/>
      <c r="AI4328" s="35"/>
      <c r="AJ4328" s="35"/>
      <c r="AK4328" s="35"/>
      <c r="AL4328" s="35"/>
    </row>
    <row r="4329">
      <c r="A4329" s="1"/>
      <c r="B4329" s="75" t="s">
        <v>19332</v>
      </c>
      <c r="C4329" s="77" t="s">
        <v>20427</v>
      </c>
      <c r="D4329" s="47"/>
      <c r="E4329" s="22" t="s">
        <v>20639</v>
      </c>
      <c r="F4329" s="22" t="s">
        <v>8147</v>
      </c>
      <c r="G4329" s="23">
        <v>1997.0</v>
      </c>
      <c r="H4329" s="22" t="s">
        <v>1289</v>
      </c>
      <c r="I4329" s="24" t="s">
        <v>20640</v>
      </c>
      <c r="J4329" s="22" t="s">
        <v>20641</v>
      </c>
      <c r="K4329" s="22"/>
      <c r="L4329" s="36">
        <v>1064.0</v>
      </c>
      <c r="M4329" s="36" t="s">
        <v>20642</v>
      </c>
      <c r="N4329" s="36"/>
      <c r="O4329" s="36"/>
      <c r="P4329" s="37"/>
      <c r="Q4329" s="36"/>
      <c r="R4329" s="36" t="s">
        <v>20643</v>
      </c>
      <c r="S4329" s="36">
        <v>1.0</v>
      </c>
      <c r="T4329" s="28" t="s">
        <v>20644</v>
      </c>
      <c r="U4329" s="38" t="str">
        <f>HYPERLINK("https://www.ncbi.nlm.nih.gov/pubmed/9612165","PubMed")</f>
        <v>PubMed</v>
      </c>
      <c r="V4329" s="50"/>
      <c r="W4329" s="49"/>
      <c r="X4329" s="49"/>
      <c r="Y4329" s="35"/>
      <c r="Z4329" s="35"/>
      <c r="AA4329" s="35"/>
      <c r="AB4329" s="35"/>
      <c r="AC4329" s="35"/>
      <c r="AD4329" s="35"/>
      <c r="AE4329" s="35"/>
      <c r="AF4329" s="35"/>
      <c r="AG4329" s="35"/>
      <c r="AH4329" s="35"/>
      <c r="AI4329" s="35"/>
      <c r="AJ4329" s="35"/>
      <c r="AK4329" s="35"/>
      <c r="AL4329" s="35"/>
    </row>
    <row r="4330">
      <c r="A4330" s="1"/>
      <c r="B4330" s="75" t="s">
        <v>19332</v>
      </c>
      <c r="C4330" s="77" t="s">
        <v>20427</v>
      </c>
      <c r="D4330" s="47"/>
      <c r="E4330" s="22" t="s">
        <v>20645</v>
      </c>
      <c r="F4330" s="22" t="s">
        <v>5157</v>
      </c>
      <c r="G4330" s="23">
        <v>1994.0</v>
      </c>
      <c r="H4330" s="22" t="s">
        <v>6893</v>
      </c>
      <c r="I4330" s="24" t="s">
        <v>20646</v>
      </c>
      <c r="J4330" s="22" t="s">
        <v>13960</v>
      </c>
      <c r="K4330" s="22"/>
      <c r="L4330" s="36" t="s">
        <v>20647</v>
      </c>
      <c r="M4330" s="36">
        <v>30.0</v>
      </c>
      <c r="N4330" s="36"/>
      <c r="O4330" s="129">
        <v>44774.0</v>
      </c>
      <c r="P4330" s="37"/>
      <c r="Q4330" s="36"/>
      <c r="R4330" s="36"/>
      <c r="S4330" s="36" t="s">
        <v>20648</v>
      </c>
      <c r="T4330" s="28" t="s">
        <v>20649</v>
      </c>
      <c r="U4330" s="38" t="str">
        <f>HYPERLINK("https://www.ncbi.nlm.nih.gov/pubmed/7832682","PubMed")</f>
        <v>PubMed</v>
      </c>
      <c r="V4330" s="50"/>
      <c r="W4330" s="49"/>
      <c r="X4330" s="49"/>
      <c r="Y4330" s="35"/>
      <c r="Z4330" s="35"/>
      <c r="AA4330" s="35"/>
      <c r="AB4330" s="35"/>
      <c r="AC4330" s="35"/>
      <c r="AD4330" s="35"/>
      <c r="AE4330" s="35"/>
      <c r="AF4330" s="35"/>
      <c r="AG4330" s="35"/>
      <c r="AH4330" s="35"/>
      <c r="AI4330" s="35"/>
      <c r="AJ4330" s="35"/>
      <c r="AK4330" s="35"/>
      <c r="AL4330" s="35"/>
    </row>
    <row r="4331">
      <c r="A4331" s="1"/>
      <c r="B4331" s="75" t="s">
        <v>19332</v>
      </c>
      <c r="C4331" s="77" t="s">
        <v>20427</v>
      </c>
      <c r="D4331" s="47"/>
      <c r="E4331" s="22" t="s">
        <v>20650</v>
      </c>
      <c r="F4331" s="22" t="s">
        <v>20651</v>
      </c>
      <c r="G4331" s="23">
        <v>1993.0</v>
      </c>
      <c r="H4331" s="22" t="s">
        <v>20652</v>
      </c>
      <c r="I4331" s="24" t="s">
        <v>20653</v>
      </c>
      <c r="J4331" s="22" t="s">
        <v>20654</v>
      </c>
      <c r="K4331" s="22"/>
      <c r="L4331" s="36" t="s">
        <v>20655</v>
      </c>
      <c r="M4331" s="36"/>
      <c r="N4331" s="36"/>
      <c r="O4331" s="36"/>
      <c r="P4331" s="37"/>
      <c r="Q4331" s="36"/>
      <c r="R4331" s="36"/>
      <c r="S4331" s="36"/>
      <c r="T4331" s="28" t="s">
        <v>20656</v>
      </c>
      <c r="U4331" s="38" t="str">
        <f>HYPERLINK("https://www.ncbi.nlm.nih.gov/pubmed/8472213","PubMed")</f>
        <v>PubMed</v>
      </c>
      <c r="V4331" s="50"/>
      <c r="W4331" s="49"/>
      <c r="X4331" s="49"/>
      <c r="Y4331" s="35"/>
      <c r="Z4331" s="35"/>
      <c r="AA4331" s="35"/>
      <c r="AB4331" s="35"/>
      <c r="AC4331" s="35"/>
      <c r="AD4331" s="35"/>
      <c r="AE4331" s="35"/>
      <c r="AF4331" s="35"/>
      <c r="AG4331" s="35"/>
      <c r="AH4331" s="35"/>
      <c r="AI4331" s="35"/>
      <c r="AJ4331" s="35"/>
      <c r="AK4331" s="35"/>
      <c r="AL4331" s="35"/>
    </row>
    <row r="4332">
      <c r="A4332" s="1"/>
      <c r="B4332" s="75" t="s">
        <v>19332</v>
      </c>
      <c r="C4332" s="76" t="s">
        <v>20657</v>
      </c>
      <c r="D4332" s="47"/>
      <c r="E4332" s="22" t="s">
        <v>20658</v>
      </c>
      <c r="F4332" s="22" t="s">
        <v>20659</v>
      </c>
      <c r="G4332" s="23">
        <v>2000.0</v>
      </c>
      <c r="H4332" s="22" t="s">
        <v>53</v>
      </c>
      <c r="I4332" s="24" t="s">
        <v>20660</v>
      </c>
      <c r="J4332" s="22" t="s">
        <v>20661</v>
      </c>
      <c r="K4332" s="22"/>
      <c r="L4332" s="36" t="s">
        <v>20662</v>
      </c>
      <c r="M4332" s="36"/>
      <c r="N4332" s="36"/>
      <c r="O4332" s="36"/>
      <c r="P4332" s="37"/>
      <c r="Q4332" s="36"/>
      <c r="R4332" s="36"/>
      <c r="S4332" s="36"/>
      <c r="T4332" s="28" t="s">
        <v>20663</v>
      </c>
      <c r="U4332" s="38" t="str">
        <f>HYPERLINK("https://www.ncbi.nlm.nih.gov/pubmed/10738286","PubMed")</f>
        <v>PubMed</v>
      </c>
      <c r="V4332" s="50"/>
      <c r="W4332" s="49"/>
      <c r="X4332" s="49"/>
      <c r="Y4332" s="35"/>
      <c r="Z4332" s="35"/>
      <c r="AA4332" s="35"/>
      <c r="AB4332" s="35"/>
      <c r="AC4332" s="35"/>
      <c r="AD4332" s="35"/>
      <c r="AE4332" s="35"/>
      <c r="AF4332" s="35"/>
      <c r="AG4332" s="35"/>
      <c r="AH4332" s="35"/>
      <c r="AI4332" s="35"/>
      <c r="AJ4332" s="35"/>
      <c r="AK4332" s="35"/>
      <c r="AL4332" s="35"/>
    </row>
    <row r="4333">
      <c r="A4333" s="1"/>
      <c r="B4333" s="19" t="s">
        <v>19332</v>
      </c>
      <c r="C4333" s="20" t="s">
        <v>20664</v>
      </c>
      <c r="D4333" s="47"/>
      <c r="E4333" s="22" t="s">
        <v>20665</v>
      </c>
      <c r="F4333" s="22" t="s">
        <v>20666</v>
      </c>
      <c r="G4333" s="23">
        <v>2022.0</v>
      </c>
      <c r="H4333" s="22" t="s">
        <v>77</v>
      </c>
      <c r="I4333" s="24" t="s">
        <v>20667</v>
      </c>
      <c r="J4333" s="22" t="s">
        <v>125</v>
      </c>
      <c r="K4333" s="22"/>
      <c r="L4333" s="344" t="s">
        <v>20668</v>
      </c>
      <c r="U4333" s="38" t="s">
        <v>61</v>
      </c>
      <c r="V4333" s="50"/>
      <c r="W4333" s="49"/>
      <c r="X4333" s="49"/>
      <c r="Y4333" s="35"/>
      <c r="Z4333" s="35"/>
      <c r="AA4333" s="35"/>
      <c r="AB4333" s="35"/>
      <c r="AC4333" s="35"/>
      <c r="AD4333" s="35"/>
      <c r="AE4333" s="35"/>
      <c r="AF4333" s="35"/>
      <c r="AG4333" s="35"/>
      <c r="AH4333" s="35"/>
      <c r="AI4333" s="35"/>
      <c r="AJ4333" s="35"/>
      <c r="AK4333" s="35"/>
      <c r="AL4333" s="35"/>
    </row>
    <row r="4334">
      <c r="A4334" s="1"/>
      <c r="B4334" s="75" t="s">
        <v>19332</v>
      </c>
      <c r="C4334" s="77" t="s">
        <v>14089</v>
      </c>
      <c r="D4334" s="47"/>
      <c r="E4334" s="22" t="s">
        <v>14132</v>
      </c>
      <c r="F4334" s="22" t="s">
        <v>2808</v>
      </c>
      <c r="G4334" s="23">
        <v>2024.0</v>
      </c>
      <c r="H4334" s="22" t="s">
        <v>20669</v>
      </c>
      <c r="I4334" s="24" t="s">
        <v>20670</v>
      </c>
      <c r="J4334" s="22" t="s">
        <v>125</v>
      </c>
      <c r="K4334" s="22"/>
      <c r="L4334" s="344" t="s">
        <v>20671</v>
      </c>
      <c r="U4334" s="38" t="s">
        <v>61</v>
      </c>
      <c r="V4334" s="50"/>
      <c r="W4334" s="49"/>
      <c r="X4334" s="49"/>
      <c r="Y4334" s="35"/>
      <c r="Z4334" s="35"/>
      <c r="AA4334" s="35"/>
      <c r="AB4334" s="35"/>
      <c r="AC4334" s="35"/>
      <c r="AD4334" s="35"/>
      <c r="AE4334" s="35"/>
      <c r="AF4334" s="35"/>
      <c r="AG4334" s="35"/>
      <c r="AH4334" s="35"/>
      <c r="AI4334" s="35"/>
      <c r="AJ4334" s="35"/>
      <c r="AK4334" s="35"/>
      <c r="AL4334" s="35"/>
    </row>
    <row r="4335">
      <c r="A4335" s="1"/>
      <c r="B4335" s="75" t="s">
        <v>19332</v>
      </c>
      <c r="C4335" s="77" t="s">
        <v>14089</v>
      </c>
      <c r="D4335" s="47"/>
      <c r="E4335" s="22" t="s">
        <v>20672</v>
      </c>
      <c r="F4335" s="22" t="s">
        <v>20673</v>
      </c>
      <c r="G4335" s="23">
        <v>2023.0</v>
      </c>
      <c r="H4335" s="22" t="s">
        <v>20674</v>
      </c>
      <c r="I4335" s="24" t="s">
        <v>20675</v>
      </c>
      <c r="J4335" s="22" t="s">
        <v>20676</v>
      </c>
      <c r="K4335" s="22"/>
      <c r="L4335" s="345" t="s">
        <v>20677</v>
      </c>
      <c r="U4335" s="38" t="s">
        <v>61</v>
      </c>
      <c r="V4335" s="50"/>
      <c r="W4335" s="49"/>
      <c r="X4335" s="49"/>
      <c r="Y4335" s="35"/>
      <c r="Z4335" s="35"/>
      <c r="AA4335" s="35"/>
      <c r="AB4335" s="35"/>
      <c r="AC4335" s="35"/>
      <c r="AD4335" s="35"/>
      <c r="AE4335" s="35"/>
      <c r="AF4335" s="35"/>
      <c r="AG4335" s="35"/>
      <c r="AH4335" s="35"/>
      <c r="AI4335" s="35"/>
      <c r="AJ4335" s="35"/>
      <c r="AK4335" s="35"/>
      <c r="AL4335" s="35"/>
    </row>
    <row r="4336">
      <c r="A4336" s="1"/>
      <c r="B4336" s="19" t="s">
        <v>19332</v>
      </c>
      <c r="C4336" s="20" t="s">
        <v>14089</v>
      </c>
      <c r="D4336" s="47"/>
      <c r="E4336" s="22" t="s">
        <v>20678</v>
      </c>
      <c r="F4336" s="22" t="s">
        <v>41</v>
      </c>
      <c r="G4336" s="23">
        <v>2022.0</v>
      </c>
      <c r="H4336" s="22" t="s">
        <v>77</v>
      </c>
      <c r="I4336" s="24" t="s">
        <v>20679</v>
      </c>
      <c r="J4336" s="22" t="s">
        <v>125</v>
      </c>
      <c r="K4336" s="22"/>
      <c r="L4336" s="346" t="s">
        <v>20680</v>
      </c>
      <c r="U4336" s="38" t="s">
        <v>61</v>
      </c>
      <c r="V4336" s="50"/>
      <c r="W4336" s="49"/>
      <c r="X4336" s="49"/>
      <c r="Y4336" s="35"/>
      <c r="Z4336" s="35"/>
      <c r="AA4336" s="35"/>
      <c r="AB4336" s="35"/>
      <c r="AC4336" s="35"/>
      <c r="AD4336" s="35"/>
      <c r="AE4336" s="35"/>
      <c r="AF4336" s="35"/>
      <c r="AG4336" s="35"/>
      <c r="AH4336" s="35"/>
      <c r="AI4336" s="35"/>
      <c r="AJ4336" s="35"/>
      <c r="AK4336" s="35"/>
      <c r="AL4336" s="35"/>
    </row>
    <row r="4337">
      <c r="A4337" s="1"/>
      <c r="B4337" s="19" t="s">
        <v>19332</v>
      </c>
      <c r="C4337" s="20" t="s">
        <v>14089</v>
      </c>
      <c r="D4337" s="47"/>
      <c r="E4337" s="22" t="s">
        <v>20681</v>
      </c>
      <c r="F4337" s="22" t="s">
        <v>20682</v>
      </c>
      <c r="G4337" s="23">
        <v>2022.0</v>
      </c>
      <c r="H4337" s="22" t="s">
        <v>2375</v>
      </c>
      <c r="I4337" s="24" t="s">
        <v>20683</v>
      </c>
      <c r="J4337" s="22" t="s">
        <v>125</v>
      </c>
      <c r="K4337" s="22"/>
      <c r="L4337" s="105" t="s">
        <v>20684</v>
      </c>
      <c r="M4337" s="44"/>
      <c r="N4337" s="44"/>
      <c r="O4337" s="44"/>
      <c r="P4337" s="44"/>
      <c r="Q4337" s="44"/>
      <c r="R4337" s="44"/>
      <c r="S4337" s="44"/>
      <c r="T4337" s="45"/>
      <c r="U4337" s="38" t="s">
        <v>61</v>
      </c>
      <c r="V4337" s="50"/>
      <c r="W4337" s="49"/>
      <c r="X4337" s="49"/>
      <c r="Y4337" s="35"/>
      <c r="Z4337" s="35"/>
      <c r="AA4337" s="35"/>
      <c r="AB4337" s="35"/>
      <c r="AC4337" s="35"/>
      <c r="AD4337" s="35"/>
      <c r="AE4337" s="35"/>
      <c r="AF4337" s="35"/>
      <c r="AG4337" s="35"/>
      <c r="AH4337" s="35"/>
      <c r="AI4337" s="35"/>
      <c r="AJ4337" s="35"/>
      <c r="AK4337" s="35"/>
      <c r="AL4337" s="35"/>
    </row>
    <row r="4338">
      <c r="A4338" s="1"/>
      <c r="B4338" s="19" t="s">
        <v>19332</v>
      </c>
      <c r="C4338" s="20" t="s">
        <v>14089</v>
      </c>
      <c r="D4338" s="47"/>
      <c r="E4338" s="22" t="s">
        <v>20685</v>
      </c>
      <c r="F4338" s="22" t="s">
        <v>2052</v>
      </c>
      <c r="G4338" s="23">
        <v>2022.0</v>
      </c>
      <c r="H4338" s="22" t="s">
        <v>20686</v>
      </c>
      <c r="I4338" s="24" t="s">
        <v>20687</v>
      </c>
      <c r="J4338" s="22" t="s">
        <v>3887</v>
      </c>
      <c r="K4338" s="22"/>
      <c r="L4338" s="105" t="s">
        <v>20688</v>
      </c>
      <c r="M4338" s="44"/>
      <c r="N4338" s="44"/>
      <c r="O4338" s="44"/>
      <c r="P4338" s="44"/>
      <c r="Q4338" s="44"/>
      <c r="R4338" s="44"/>
      <c r="S4338" s="44"/>
      <c r="T4338" s="45"/>
      <c r="U4338" s="29" t="s">
        <v>61</v>
      </c>
      <c r="V4338" s="30" t="s">
        <v>174</v>
      </c>
      <c r="W4338" s="49"/>
      <c r="X4338" s="49"/>
      <c r="Y4338" s="35"/>
      <c r="Z4338" s="35"/>
      <c r="AA4338" s="35"/>
      <c r="AB4338" s="35"/>
      <c r="AC4338" s="35"/>
      <c r="AD4338" s="35"/>
      <c r="AE4338" s="35"/>
      <c r="AF4338" s="35"/>
      <c r="AG4338" s="35"/>
      <c r="AH4338" s="35"/>
      <c r="AI4338" s="35"/>
      <c r="AJ4338" s="35"/>
      <c r="AK4338" s="35"/>
      <c r="AL4338" s="35"/>
    </row>
    <row r="4339">
      <c r="A4339" s="1"/>
      <c r="B4339" s="19" t="s">
        <v>19332</v>
      </c>
      <c r="C4339" s="20" t="s">
        <v>14089</v>
      </c>
      <c r="D4339" s="47"/>
      <c r="E4339" s="22" t="s">
        <v>20689</v>
      </c>
      <c r="F4339" s="22" t="s">
        <v>11994</v>
      </c>
      <c r="G4339" s="23">
        <v>2020.0</v>
      </c>
      <c r="H4339" s="22" t="s">
        <v>10563</v>
      </c>
      <c r="I4339" s="24" t="s">
        <v>20690</v>
      </c>
      <c r="J4339" s="22" t="s">
        <v>125</v>
      </c>
      <c r="K4339" s="22"/>
      <c r="L4339" s="105" t="s">
        <v>20691</v>
      </c>
      <c r="M4339" s="44"/>
      <c r="N4339" s="44"/>
      <c r="O4339" s="44"/>
      <c r="P4339" s="44"/>
      <c r="Q4339" s="44"/>
      <c r="R4339" s="44"/>
      <c r="S4339" s="44"/>
      <c r="T4339" s="45"/>
      <c r="U4339" s="29" t="s">
        <v>61</v>
      </c>
      <c r="V4339" s="50"/>
      <c r="W4339" s="49"/>
      <c r="X4339" s="49"/>
      <c r="Y4339" s="35"/>
      <c r="Z4339" s="35"/>
      <c r="AA4339" s="35"/>
      <c r="AB4339" s="35"/>
      <c r="AC4339" s="35"/>
      <c r="AD4339" s="35"/>
      <c r="AE4339" s="35"/>
      <c r="AF4339" s="35"/>
      <c r="AG4339" s="35"/>
      <c r="AH4339" s="35"/>
      <c r="AI4339" s="35"/>
      <c r="AJ4339" s="35"/>
      <c r="AK4339" s="35"/>
      <c r="AL4339" s="35"/>
    </row>
    <row r="4340">
      <c r="A4340" s="1"/>
      <c r="B4340" s="19" t="s">
        <v>19332</v>
      </c>
      <c r="C4340" s="20" t="s">
        <v>14089</v>
      </c>
      <c r="D4340" s="47"/>
      <c r="E4340" s="22" t="s">
        <v>20692</v>
      </c>
      <c r="F4340" s="22" t="s">
        <v>20693</v>
      </c>
      <c r="G4340" s="23">
        <v>2019.0</v>
      </c>
      <c r="H4340" s="22" t="s">
        <v>77</v>
      </c>
      <c r="I4340" s="24" t="s">
        <v>20694</v>
      </c>
      <c r="J4340" s="22" t="s">
        <v>125</v>
      </c>
      <c r="K4340" s="22"/>
      <c r="L4340" s="195" t="s">
        <v>20695</v>
      </c>
      <c r="M4340" s="44"/>
      <c r="N4340" s="44"/>
      <c r="O4340" s="44"/>
      <c r="P4340" s="44"/>
      <c r="Q4340" s="44"/>
      <c r="R4340" s="44"/>
      <c r="S4340" s="44"/>
      <c r="T4340" s="45"/>
      <c r="U4340" s="38" t="str">
        <f>HYPERLINK("https://www.ncbi.nlm.nih.gov/pubmed/31873065","PubMed")</f>
        <v>PubMed</v>
      </c>
      <c r="V4340" s="50"/>
      <c r="W4340" s="49"/>
      <c r="X4340" s="49"/>
      <c r="Y4340" s="35"/>
      <c r="Z4340" s="35"/>
      <c r="AA4340" s="35"/>
      <c r="AB4340" s="35"/>
      <c r="AC4340" s="35"/>
      <c r="AD4340" s="35"/>
      <c r="AE4340" s="35"/>
      <c r="AF4340" s="35"/>
      <c r="AG4340" s="35"/>
      <c r="AH4340" s="35"/>
      <c r="AI4340" s="35"/>
      <c r="AJ4340" s="35"/>
      <c r="AK4340" s="35"/>
      <c r="AL4340" s="35"/>
    </row>
    <row r="4341">
      <c r="A4341" s="1"/>
      <c r="B4341" s="19" t="s">
        <v>19332</v>
      </c>
      <c r="C4341" s="20" t="s">
        <v>14089</v>
      </c>
      <c r="D4341" s="47"/>
      <c r="E4341" s="22" t="s">
        <v>20696</v>
      </c>
      <c r="F4341" s="22" t="s">
        <v>323</v>
      </c>
      <c r="G4341" s="23">
        <v>2019.0</v>
      </c>
      <c r="H4341" s="22" t="s">
        <v>77</v>
      </c>
      <c r="I4341" s="24" t="s">
        <v>20697</v>
      </c>
      <c r="J4341" s="22" t="s">
        <v>125</v>
      </c>
      <c r="K4341" s="22"/>
      <c r="L4341" s="105" t="s">
        <v>20698</v>
      </c>
      <c r="M4341" s="44"/>
      <c r="N4341" s="44"/>
      <c r="O4341" s="44"/>
      <c r="P4341" s="44"/>
      <c r="Q4341" s="44"/>
      <c r="R4341" s="44"/>
      <c r="S4341" s="44"/>
      <c r="T4341" s="45"/>
      <c r="U4341" s="38" t="str">
        <f>HYPERLINK("https://www.ncbi.nlm.nih.gov/pubmed/31873066","PubMed")</f>
        <v>PubMed</v>
      </c>
      <c r="V4341" s="50"/>
      <c r="W4341" s="49"/>
      <c r="X4341" s="49"/>
      <c r="Y4341" s="35"/>
      <c r="Z4341" s="35"/>
      <c r="AA4341" s="35"/>
      <c r="AB4341" s="35"/>
      <c r="AC4341" s="35"/>
      <c r="AD4341" s="35"/>
      <c r="AE4341" s="35"/>
      <c r="AF4341" s="35"/>
      <c r="AG4341" s="35"/>
      <c r="AH4341" s="35"/>
      <c r="AI4341" s="35"/>
      <c r="AJ4341" s="35"/>
      <c r="AK4341" s="35"/>
      <c r="AL4341" s="35"/>
    </row>
    <row r="4342">
      <c r="A4342" s="1"/>
      <c r="B4342" s="19" t="s">
        <v>19332</v>
      </c>
      <c r="C4342" s="20" t="s">
        <v>14089</v>
      </c>
      <c r="D4342" s="47"/>
      <c r="E4342" s="22" t="s">
        <v>20699</v>
      </c>
      <c r="F4342" s="22" t="s">
        <v>20700</v>
      </c>
      <c r="G4342" s="23">
        <v>2019.0</v>
      </c>
      <c r="H4342" s="22" t="s">
        <v>20333</v>
      </c>
      <c r="I4342" s="24" t="s">
        <v>20701</v>
      </c>
      <c r="J4342" s="22" t="s">
        <v>125</v>
      </c>
      <c r="K4342" s="22"/>
      <c r="L4342" s="105" t="s">
        <v>20702</v>
      </c>
      <c r="M4342" s="44"/>
      <c r="N4342" s="44"/>
      <c r="O4342" s="44"/>
      <c r="P4342" s="44"/>
      <c r="Q4342" s="44"/>
      <c r="R4342" s="44"/>
      <c r="S4342" s="44"/>
      <c r="T4342" s="45"/>
      <c r="U4342" s="38" t="str">
        <f>HYPERLINK("https://www.ncbi.nlm.nih.gov/pubmed/31607717","PubMed")</f>
        <v>PubMed</v>
      </c>
      <c r="V4342" s="50"/>
      <c r="W4342" s="49"/>
      <c r="X4342" s="49"/>
      <c r="Y4342" s="35"/>
      <c r="Z4342" s="35"/>
      <c r="AA4342" s="35"/>
      <c r="AB4342" s="35"/>
      <c r="AC4342" s="35"/>
      <c r="AD4342" s="35"/>
      <c r="AE4342" s="35"/>
      <c r="AF4342" s="35"/>
      <c r="AG4342" s="35"/>
      <c r="AH4342" s="35"/>
      <c r="AI4342" s="35"/>
      <c r="AJ4342" s="35"/>
      <c r="AK4342" s="35"/>
      <c r="AL4342" s="35"/>
    </row>
    <row r="4343">
      <c r="A4343" s="1"/>
      <c r="B4343" s="19" t="s">
        <v>19332</v>
      </c>
      <c r="C4343" s="20" t="s">
        <v>14089</v>
      </c>
      <c r="D4343" s="47"/>
      <c r="E4343" s="22" t="s">
        <v>20703</v>
      </c>
      <c r="F4343" s="22" t="s">
        <v>7945</v>
      </c>
      <c r="G4343" s="23">
        <v>2019.0</v>
      </c>
      <c r="H4343" s="22" t="s">
        <v>77</v>
      </c>
      <c r="I4343" s="24" t="s">
        <v>20704</v>
      </c>
      <c r="J4343" s="22" t="s">
        <v>125</v>
      </c>
      <c r="K4343" s="22"/>
      <c r="L4343" s="105" t="s">
        <v>20705</v>
      </c>
      <c r="M4343" s="44"/>
      <c r="N4343" s="44"/>
      <c r="O4343" s="44"/>
      <c r="P4343" s="44"/>
      <c r="Q4343" s="44"/>
      <c r="R4343" s="44"/>
      <c r="S4343" s="44"/>
      <c r="T4343" s="45"/>
      <c r="U4343" s="38" t="str">
        <f>HYPERLINK("https://www.ncbi.nlm.nih.gov/pubmed/31589560","PubMed")</f>
        <v>PubMed</v>
      </c>
      <c r="V4343" s="50"/>
      <c r="W4343" s="49"/>
      <c r="X4343" s="49"/>
      <c r="Y4343" s="35"/>
      <c r="Z4343" s="35"/>
      <c r="AA4343" s="35"/>
      <c r="AB4343" s="35"/>
      <c r="AC4343" s="35"/>
      <c r="AD4343" s="35"/>
      <c r="AE4343" s="35"/>
      <c r="AF4343" s="35"/>
      <c r="AG4343" s="35"/>
      <c r="AH4343" s="35"/>
      <c r="AI4343" s="35"/>
      <c r="AJ4343" s="35"/>
      <c r="AK4343" s="35"/>
      <c r="AL4343" s="35"/>
    </row>
    <row r="4344">
      <c r="A4344" s="1" t="s">
        <v>2</v>
      </c>
      <c r="B4344" s="19" t="s">
        <v>19332</v>
      </c>
      <c r="C4344" s="20" t="s">
        <v>14089</v>
      </c>
      <c r="D4344" s="47"/>
      <c r="E4344" s="22" t="s">
        <v>13136</v>
      </c>
      <c r="F4344" s="22" t="s">
        <v>8199</v>
      </c>
      <c r="G4344" s="23">
        <v>2018.0</v>
      </c>
      <c r="H4344" s="22" t="s">
        <v>19235</v>
      </c>
      <c r="I4344" s="24" t="s">
        <v>20706</v>
      </c>
      <c r="J4344" s="22" t="s">
        <v>125</v>
      </c>
      <c r="K4344" s="22" t="s">
        <v>20707</v>
      </c>
      <c r="L4344" s="43" t="s">
        <v>20708</v>
      </c>
      <c r="M4344" s="44"/>
      <c r="N4344" s="44"/>
      <c r="O4344" s="44"/>
      <c r="P4344" s="44"/>
      <c r="Q4344" s="44"/>
      <c r="R4344" s="44"/>
      <c r="S4344" s="44"/>
      <c r="T4344" s="45"/>
      <c r="U4344" s="38" t="str">
        <f>HYPERLINK("https://www.ncbi.nlm.nih.gov/pubmed/29480614","PubMed")</f>
        <v>PubMed</v>
      </c>
      <c r="V4344" s="50"/>
      <c r="W4344" s="49"/>
      <c r="X4344" s="49"/>
      <c r="Y4344" s="35"/>
      <c r="Z4344" s="35"/>
      <c r="AA4344" s="35"/>
      <c r="AB4344" s="35"/>
      <c r="AC4344" s="35"/>
      <c r="AD4344" s="35"/>
      <c r="AE4344" s="35"/>
      <c r="AF4344" s="35"/>
      <c r="AG4344" s="35"/>
      <c r="AH4344" s="35"/>
      <c r="AI4344" s="35"/>
      <c r="AJ4344" s="35"/>
      <c r="AK4344" s="35"/>
      <c r="AL4344" s="35"/>
    </row>
    <row r="4345">
      <c r="A4345" s="1"/>
      <c r="B4345" s="19" t="s">
        <v>19332</v>
      </c>
      <c r="C4345" s="20" t="s">
        <v>14089</v>
      </c>
      <c r="D4345" s="47"/>
      <c r="E4345" s="22" t="s">
        <v>20709</v>
      </c>
      <c r="F4345" s="22" t="s">
        <v>2808</v>
      </c>
      <c r="G4345" s="23">
        <v>2017.0</v>
      </c>
      <c r="H4345" s="22" t="s">
        <v>20710</v>
      </c>
      <c r="I4345" s="24" t="s">
        <v>20711</v>
      </c>
      <c r="J4345" s="22" t="s">
        <v>125</v>
      </c>
      <c r="K4345" s="22"/>
      <c r="L4345" s="43" t="s">
        <v>20712</v>
      </c>
      <c r="M4345" s="44"/>
      <c r="N4345" s="44"/>
      <c r="O4345" s="44"/>
      <c r="P4345" s="44"/>
      <c r="Q4345" s="44"/>
      <c r="R4345" s="44"/>
      <c r="S4345" s="44"/>
      <c r="T4345" s="45"/>
      <c r="U4345" s="38" t="str">
        <f>HYPERLINK("www.magonlinelibrary.com/doi/abs/10.12968/denu.2014.41.9.763","MagOnlineLibrary")</f>
        <v>MagOnlineLibrary</v>
      </c>
      <c r="V4345" s="50"/>
      <c r="W4345" s="49"/>
      <c r="X4345" s="49"/>
      <c r="Y4345" s="35"/>
      <c r="Z4345" s="35"/>
      <c r="AA4345" s="35"/>
      <c r="AB4345" s="35"/>
      <c r="AC4345" s="35"/>
      <c r="AD4345" s="35"/>
      <c r="AE4345" s="35"/>
      <c r="AF4345" s="35"/>
      <c r="AG4345" s="35"/>
      <c r="AH4345" s="35"/>
      <c r="AI4345" s="35"/>
      <c r="AJ4345" s="35"/>
      <c r="AK4345" s="35"/>
      <c r="AL4345" s="35"/>
    </row>
    <row r="4346">
      <c r="A4346" s="1"/>
      <c r="B4346" s="19" t="s">
        <v>19332</v>
      </c>
      <c r="C4346" s="20" t="s">
        <v>14089</v>
      </c>
      <c r="D4346" s="47"/>
      <c r="E4346" s="22" t="s">
        <v>20713</v>
      </c>
      <c r="F4346" s="22" t="s">
        <v>9717</v>
      </c>
      <c r="G4346" s="23">
        <v>2016.0</v>
      </c>
      <c r="H4346" s="22" t="s">
        <v>20714</v>
      </c>
      <c r="I4346" s="24" t="s">
        <v>20715</v>
      </c>
      <c r="J4346" s="22" t="s">
        <v>125</v>
      </c>
      <c r="K4346" s="22"/>
      <c r="L4346" s="331" t="s">
        <v>20716</v>
      </c>
      <c r="M4346" s="44"/>
      <c r="N4346" s="44"/>
      <c r="O4346" s="44"/>
      <c r="P4346" s="44"/>
      <c r="Q4346" s="44"/>
      <c r="R4346" s="44"/>
      <c r="S4346" s="44"/>
      <c r="T4346" s="45"/>
      <c r="U4346" s="38" t="str">
        <f>HYPERLINK("https://www.ncbi.nlm.nih.gov/pubmed/25720555","PubMed")</f>
        <v>PubMed</v>
      </c>
      <c r="V4346" s="50"/>
      <c r="W4346" s="49"/>
      <c r="X4346" s="49"/>
      <c r="Y4346" s="35"/>
      <c r="Z4346" s="35"/>
      <c r="AA4346" s="35"/>
      <c r="AB4346" s="35"/>
      <c r="AC4346" s="35"/>
      <c r="AD4346" s="35"/>
      <c r="AE4346" s="35"/>
      <c r="AF4346" s="35"/>
      <c r="AG4346" s="35"/>
      <c r="AH4346" s="35"/>
      <c r="AI4346" s="35"/>
      <c r="AJ4346" s="35"/>
      <c r="AK4346" s="35"/>
      <c r="AL4346" s="35"/>
    </row>
    <row r="4347">
      <c r="A4347" s="1"/>
      <c r="B4347" s="19" t="s">
        <v>19332</v>
      </c>
      <c r="C4347" s="20" t="s">
        <v>14089</v>
      </c>
      <c r="D4347" s="47"/>
      <c r="E4347" s="22" t="s">
        <v>20717</v>
      </c>
      <c r="F4347" s="22" t="s">
        <v>20718</v>
      </c>
      <c r="G4347" s="23">
        <v>2016.0</v>
      </c>
      <c r="H4347" s="22" t="s">
        <v>658</v>
      </c>
      <c r="I4347" s="24" t="s">
        <v>20719</v>
      </c>
      <c r="J4347" s="22" t="s">
        <v>3289</v>
      </c>
      <c r="K4347" s="22"/>
      <c r="L4347" s="270" t="s">
        <v>20720</v>
      </c>
      <c r="M4347" s="44"/>
      <c r="N4347" s="44"/>
      <c r="O4347" s="44"/>
      <c r="P4347" s="44"/>
      <c r="Q4347" s="44"/>
      <c r="R4347" s="44"/>
      <c r="S4347" s="44"/>
      <c r="T4347" s="45"/>
      <c r="U4347" s="38" t="str">
        <f>HYPERLINK("https://www.ncbi.nlm.nih.gov/pubmed/26751917","PubMed")</f>
        <v>PubMed</v>
      </c>
      <c r="V4347" s="50"/>
      <c r="W4347" s="49"/>
      <c r="X4347" s="49"/>
      <c r="Y4347" s="35"/>
      <c r="Z4347" s="35"/>
      <c r="AA4347" s="35"/>
      <c r="AB4347" s="35"/>
      <c r="AC4347" s="35"/>
      <c r="AD4347" s="35"/>
      <c r="AE4347" s="35"/>
      <c r="AF4347" s="35"/>
      <c r="AG4347" s="35"/>
      <c r="AH4347" s="35"/>
      <c r="AI4347" s="35"/>
      <c r="AJ4347" s="35"/>
      <c r="AK4347" s="35"/>
      <c r="AL4347" s="35"/>
    </row>
    <row r="4348">
      <c r="A4348" s="1" t="s">
        <v>2</v>
      </c>
      <c r="B4348" s="19" t="s">
        <v>19332</v>
      </c>
      <c r="C4348" s="20" t="s">
        <v>14089</v>
      </c>
      <c r="D4348" s="47"/>
      <c r="E4348" s="22" t="s">
        <v>20721</v>
      </c>
      <c r="F4348" s="22" t="s">
        <v>20722</v>
      </c>
      <c r="G4348" s="23">
        <v>2014.0</v>
      </c>
      <c r="H4348" s="22" t="s">
        <v>20723</v>
      </c>
      <c r="I4348" s="24" t="s">
        <v>20724</v>
      </c>
      <c r="J4348" s="22" t="s">
        <v>125</v>
      </c>
      <c r="K4348" s="22"/>
      <c r="L4348" s="171" t="s">
        <v>20725</v>
      </c>
      <c r="M4348" s="44"/>
      <c r="N4348" s="44"/>
      <c r="O4348" s="44"/>
      <c r="P4348" s="44"/>
      <c r="Q4348" s="44"/>
      <c r="R4348" s="44"/>
      <c r="S4348" s="44"/>
      <c r="T4348" s="45"/>
      <c r="U4348" s="38" t="str">
        <f>HYPERLINK("https://www.ncbi.nlm.nih.gov/pubmed/24656472","PubMed")</f>
        <v>PubMed</v>
      </c>
      <c r="V4348" s="50"/>
      <c r="W4348" s="49"/>
      <c r="X4348" s="49"/>
      <c r="Y4348" s="35"/>
      <c r="Z4348" s="35"/>
      <c r="AA4348" s="35"/>
      <c r="AB4348" s="35"/>
      <c r="AC4348" s="35"/>
      <c r="AD4348" s="35"/>
      <c r="AE4348" s="35"/>
      <c r="AF4348" s="35"/>
      <c r="AG4348" s="35"/>
      <c r="AH4348" s="35"/>
      <c r="AI4348" s="35"/>
      <c r="AJ4348" s="35"/>
      <c r="AK4348" s="35"/>
      <c r="AL4348" s="35"/>
    </row>
    <row r="4349">
      <c r="A4349" s="1" t="s">
        <v>2</v>
      </c>
      <c r="B4349" s="19" t="s">
        <v>19332</v>
      </c>
      <c r="C4349" s="20" t="s">
        <v>14089</v>
      </c>
      <c r="D4349" s="47"/>
      <c r="E4349" s="22" t="s">
        <v>14316</v>
      </c>
      <c r="F4349" s="22" t="s">
        <v>11429</v>
      </c>
      <c r="G4349" s="23">
        <v>2014.0</v>
      </c>
      <c r="H4349" s="22" t="s">
        <v>658</v>
      </c>
      <c r="I4349" s="24" t="s">
        <v>20726</v>
      </c>
      <c r="J4349" s="22" t="s">
        <v>3289</v>
      </c>
      <c r="K4349" s="22" t="s">
        <v>20727</v>
      </c>
      <c r="L4349" s="171" t="s">
        <v>20728</v>
      </c>
      <c r="M4349" s="44"/>
      <c r="N4349" s="44"/>
      <c r="O4349" s="44"/>
      <c r="P4349" s="44"/>
      <c r="Q4349" s="44"/>
      <c r="R4349" s="44"/>
      <c r="S4349" s="44"/>
      <c r="T4349" s="45"/>
      <c r="U4349" s="38" t="str">
        <f>HYPERLINK("https://www.ncbi.nlm.nih.gov/pubmed/24905926","PubMed")</f>
        <v>PubMed</v>
      </c>
      <c r="V4349" s="50"/>
      <c r="W4349" s="49"/>
      <c r="X4349" s="49"/>
      <c r="Y4349" s="35"/>
      <c r="Z4349" s="35"/>
      <c r="AA4349" s="35"/>
      <c r="AB4349" s="35"/>
      <c r="AC4349" s="35"/>
      <c r="AD4349" s="35"/>
      <c r="AE4349" s="35"/>
      <c r="AF4349" s="35"/>
      <c r="AG4349" s="35"/>
      <c r="AH4349" s="35"/>
      <c r="AI4349" s="35"/>
      <c r="AJ4349" s="35"/>
      <c r="AK4349" s="35"/>
      <c r="AL4349" s="35"/>
    </row>
    <row r="4350">
      <c r="A4350" s="1" t="s">
        <v>2</v>
      </c>
      <c r="B4350" s="19" t="s">
        <v>19332</v>
      </c>
      <c r="C4350" s="20" t="s">
        <v>14089</v>
      </c>
      <c r="D4350" s="47"/>
      <c r="E4350" s="22" t="s">
        <v>20729</v>
      </c>
      <c r="F4350" s="22" t="s">
        <v>20730</v>
      </c>
      <c r="G4350" s="23">
        <v>2012.0</v>
      </c>
      <c r="H4350" s="22" t="s">
        <v>658</v>
      </c>
      <c r="I4350" s="24" t="s">
        <v>20731</v>
      </c>
      <c r="J4350" s="22" t="s">
        <v>3289</v>
      </c>
      <c r="K4350" s="22"/>
      <c r="L4350" s="171" t="s">
        <v>20732</v>
      </c>
      <c r="M4350" s="44"/>
      <c r="N4350" s="44"/>
      <c r="O4350" s="44"/>
      <c r="P4350" s="44"/>
      <c r="Q4350" s="44"/>
      <c r="R4350" s="44"/>
      <c r="S4350" s="44"/>
      <c r="T4350" s="45"/>
      <c r="U4350" s="38" t="str">
        <f>HYPERLINK("https://www.ncbi.nlm.nih.gov/pubmed/22970655","PubMed")</f>
        <v>PubMed</v>
      </c>
      <c r="V4350" s="50"/>
      <c r="W4350" s="49"/>
      <c r="X4350" s="49"/>
      <c r="Y4350" s="35"/>
      <c r="Z4350" s="35"/>
      <c r="AA4350" s="35"/>
      <c r="AB4350" s="35"/>
      <c r="AC4350" s="35"/>
      <c r="AD4350" s="35"/>
      <c r="AE4350" s="35"/>
      <c r="AF4350" s="35"/>
      <c r="AG4350" s="35"/>
      <c r="AH4350" s="35"/>
      <c r="AI4350" s="35"/>
      <c r="AJ4350" s="35"/>
      <c r="AK4350" s="35"/>
      <c r="AL4350" s="35"/>
    </row>
    <row r="4351">
      <c r="A4351" s="1"/>
      <c r="B4351" s="19" t="s">
        <v>19332</v>
      </c>
      <c r="C4351" s="20" t="s">
        <v>14089</v>
      </c>
      <c r="D4351" s="47"/>
      <c r="E4351" s="22" t="s">
        <v>20717</v>
      </c>
      <c r="F4351" s="22" t="s">
        <v>18652</v>
      </c>
      <c r="G4351" s="23">
        <v>2012.0</v>
      </c>
      <c r="H4351" s="22" t="s">
        <v>658</v>
      </c>
      <c r="I4351" s="24" t="s">
        <v>20733</v>
      </c>
      <c r="J4351" s="22" t="s">
        <v>3289</v>
      </c>
      <c r="K4351" s="22"/>
      <c r="L4351" s="171"/>
      <c r="M4351" s="44"/>
      <c r="N4351" s="44"/>
      <c r="O4351" s="44"/>
      <c r="P4351" s="44"/>
      <c r="Q4351" s="44"/>
      <c r="R4351" s="44"/>
      <c r="S4351" s="44"/>
      <c r="T4351" s="45"/>
      <c r="U4351" s="38" t="str">
        <f>HYPERLINK("https://www.ncbi.nlm.nih.gov/pubmed/22217257","PubMed")</f>
        <v>PubMed</v>
      </c>
      <c r="V4351" s="50"/>
      <c r="W4351" s="49"/>
      <c r="X4351" s="49"/>
      <c r="Y4351" s="35"/>
      <c r="Z4351" s="35"/>
      <c r="AA4351" s="35"/>
      <c r="AB4351" s="35"/>
      <c r="AC4351" s="35"/>
      <c r="AD4351" s="35"/>
      <c r="AE4351" s="35"/>
      <c r="AF4351" s="35"/>
      <c r="AG4351" s="35"/>
      <c r="AH4351" s="35"/>
      <c r="AI4351" s="35"/>
      <c r="AJ4351" s="35"/>
      <c r="AK4351" s="35"/>
      <c r="AL4351" s="35"/>
    </row>
    <row r="4352">
      <c r="A4352" s="1"/>
      <c r="B4352" s="19" t="s">
        <v>19332</v>
      </c>
      <c r="C4352" s="20" t="s">
        <v>14089</v>
      </c>
      <c r="D4352" s="47"/>
      <c r="E4352" s="22" t="s">
        <v>20734</v>
      </c>
      <c r="F4352" s="22" t="s">
        <v>20730</v>
      </c>
      <c r="G4352" s="23">
        <v>2009.0</v>
      </c>
      <c r="H4352" s="22" t="s">
        <v>20735</v>
      </c>
      <c r="I4352" s="24" t="s">
        <v>20736</v>
      </c>
      <c r="J4352" s="22" t="s">
        <v>125</v>
      </c>
      <c r="K4352" s="22"/>
      <c r="L4352" s="171" t="s">
        <v>20737</v>
      </c>
      <c r="M4352" s="44"/>
      <c r="N4352" s="44"/>
      <c r="O4352" s="44"/>
      <c r="P4352" s="44"/>
      <c r="Q4352" s="44"/>
      <c r="R4352" s="44"/>
      <c r="S4352" s="44"/>
      <c r="T4352" s="45"/>
      <c r="U4352" s="38" t="str">
        <f>HYPERLINK("https://www.laserdentistry.org/uploads/files/members/jld/JLD_17.3/JLD_17_3_03-Ross-LaserDentistry.pdf","LaserDentistry")</f>
        <v>LaserDentistry</v>
      </c>
      <c r="V4352" s="50"/>
      <c r="W4352" s="49"/>
      <c r="X4352" s="49"/>
      <c r="Y4352" s="35"/>
      <c r="Z4352" s="35"/>
      <c r="AA4352" s="35"/>
      <c r="AB4352" s="35"/>
      <c r="AC4352" s="35"/>
      <c r="AD4352" s="35"/>
      <c r="AE4352" s="35"/>
      <c r="AF4352" s="35"/>
      <c r="AG4352" s="35"/>
      <c r="AH4352" s="35"/>
      <c r="AI4352" s="35"/>
      <c r="AJ4352" s="35"/>
      <c r="AK4352" s="35"/>
      <c r="AL4352" s="35"/>
    </row>
    <row r="4353">
      <c r="A4353" s="1"/>
      <c r="B4353" s="19" t="s">
        <v>19332</v>
      </c>
      <c r="C4353" s="20" t="s">
        <v>14089</v>
      </c>
      <c r="D4353" s="47"/>
      <c r="E4353" s="22" t="s">
        <v>20734</v>
      </c>
      <c r="F4353" s="22" t="s">
        <v>7954</v>
      </c>
      <c r="G4353" s="23">
        <v>2008.0</v>
      </c>
      <c r="H4353" s="22" t="s">
        <v>20456</v>
      </c>
      <c r="I4353" s="24" t="s">
        <v>20738</v>
      </c>
      <c r="J4353" s="22" t="s">
        <v>125</v>
      </c>
      <c r="K4353" s="22"/>
      <c r="L4353" s="171" t="s">
        <v>20739</v>
      </c>
      <c r="M4353" s="44"/>
      <c r="N4353" s="44"/>
      <c r="O4353" s="44"/>
      <c r="P4353" s="44"/>
      <c r="Q4353" s="44"/>
      <c r="R4353" s="44"/>
      <c r="S4353" s="44"/>
      <c r="T4353" s="45"/>
      <c r="U4353" s="38" t="str">
        <f>HYPERLINK("https://www.ncbi.nlm.nih.gov/pubmed/19014021","PubMed")</f>
        <v>PubMed</v>
      </c>
      <c r="V4353" s="50"/>
      <c r="W4353" s="49"/>
      <c r="X4353" s="49"/>
      <c r="Y4353" s="35"/>
      <c r="Z4353" s="35"/>
      <c r="AA4353" s="35"/>
      <c r="AB4353" s="35"/>
      <c r="AC4353" s="35"/>
      <c r="AD4353" s="35"/>
      <c r="AE4353" s="35"/>
      <c r="AF4353" s="35"/>
      <c r="AG4353" s="35"/>
      <c r="AH4353" s="35"/>
      <c r="AI4353" s="35"/>
      <c r="AJ4353" s="35"/>
      <c r="AK4353" s="35"/>
      <c r="AL4353" s="35"/>
    </row>
    <row r="4354">
      <c r="A4354" s="1"/>
      <c r="B4354" s="19" t="s">
        <v>19332</v>
      </c>
      <c r="C4354" s="20" t="s">
        <v>14089</v>
      </c>
      <c r="D4354" s="47"/>
      <c r="E4354" s="22" t="s">
        <v>20740</v>
      </c>
      <c r="F4354" s="22" t="s">
        <v>20741</v>
      </c>
      <c r="G4354" s="23">
        <v>2004.0</v>
      </c>
      <c r="H4354" s="22" t="s">
        <v>20742</v>
      </c>
      <c r="I4354" s="24" t="s">
        <v>20743</v>
      </c>
      <c r="J4354" s="22" t="s">
        <v>125</v>
      </c>
      <c r="K4354" s="22"/>
      <c r="L4354" s="171" t="s">
        <v>20744</v>
      </c>
      <c r="M4354" s="44"/>
      <c r="N4354" s="44"/>
      <c r="O4354" s="44"/>
      <c r="P4354" s="44"/>
      <c r="Q4354" s="44"/>
      <c r="R4354" s="44"/>
      <c r="S4354" s="44"/>
      <c r="T4354" s="45"/>
      <c r="U4354" s="38" t="str">
        <f>HYPERLINK("https://www.ncbi.nlm.nih.gov/pubmed/15464564","PubMed")</f>
        <v>PubMed</v>
      </c>
      <c r="V4354" s="50"/>
      <c r="W4354" s="49"/>
      <c r="X4354" s="49"/>
      <c r="Y4354" s="35"/>
      <c r="Z4354" s="35"/>
      <c r="AA4354" s="35"/>
      <c r="AB4354" s="35"/>
      <c r="AC4354" s="35"/>
      <c r="AD4354" s="35"/>
      <c r="AE4354" s="35"/>
      <c r="AF4354" s="35"/>
      <c r="AG4354" s="35"/>
      <c r="AH4354" s="35"/>
      <c r="AI4354" s="35"/>
      <c r="AJ4354" s="35"/>
      <c r="AK4354" s="35"/>
      <c r="AL4354" s="35"/>
    </row>
    <row r="4355">
      <c r="A4355" s="1"/>
      <c r="B4355" s="19" t="s">
        <v>19332</v>
      </c>
      <c r="C4355" s="20" t="s">
        <v>14089</v>
      </c>
      <c r="D4355" s="47"/>
      <c r="E4355" s="22" t="s">
        <v>20745</v>
      </c>
      <c r="F4355" s="22" t="s">
        <v>8756</v>
      </c>
      <c r="G4355" s="23">
        <v>1998.0</v>
      </c>
      <c r="H4355" s="22" t="s">
        <v>20746</v>
      </c>
      <c r="I4355" s="24" t="s">
        <v>20747</v>
      </c>
      <c r="J4355" s="22" t="s">
        <v>20748</v>
      </c>
      <c r="K4355" s="22" t="s">
        <v>20749</v>
      </c>
      <c r="L4355" s="36">
        <v>633.0</v>
      </c>
      <c r="M4355" s="36" t="s">
        <v>20750</v>
      </c>
      <c r="N4355" s="36"/>
      <c r="O4355" s="36"/>
      <c r="P4355" s="37"/>
      <c r="Q4355" s="36" t="s">
        <v>20751</v>
      </c>
      <c r="R4355" s="36"/>
      <c r="S4355" s="36"/>
      <c r="T4355" s="336" t="s">
        <v>20752</v>
      </c>
      <c r="U4355" s="38" t="str">
        <f>HYPERLINK("https://www.ncbi.nlm.nih.gov/pubmed/3205555","PubMed")</f>
        <v>PubMed</v>
      </c>
      <c r="V4355" s="50"/>
      <c r="W4355" s="130" t="str">
        <f>HYPERLINK("http://www.sciencedirect.com.libproxy.helsinki.fi/science/article/pii/0030422089902090","Comment")</f>
        <v>Comment</v>
      </c>
      <c r="X4355" s="130" t="str">
        <f>HYPERLINK("http://www.sciencedirect.com.libproxy.helsinki.fi/science/article/pii/0030422089902107","Reply")</f>
        <v>Reply</v>
      </c>
      <c r="Y4355" s="35"/>
      <c r="Z4355" s="35"/>
      <c r="AA4355" s="35"/>
      <c r="AB4355" s="35"/>
      <c r="AC4355" s="35"/>
      <c r="AD4355" s="35"/>
      <c r="AE4355" s="35"/>
      <c r="AF4355" s="35"/>
      <c r="AG4355" s="35"/>
      <c r="AH4355" s="35"/>
      <c r="AI4355" s="35"/>
      <c r="AJ4355" s="35"/>
      <c r="AK4355" s="35"/>
      <c r="AL4355" s="35"/>
    </row>
    <row r="4356">
      <c r="A4356" s="1"/>
      <c r="B4356" s="19" t="s">
        <v>19332</v>
      </c>
      <c r="C4356" s="20" t="s">
        <v>14089</v>
      </c>
      <c r="D4356" s="47"/>
      <c r="E4356" s="22" t="s">
        <v>20753</v>
      </c>
      <c r="F4356" s="22" t="s">
        <v>1398</v>
      </c>
      <c r="G4356" s="23">
        <v>1991.0</v>
      </c>
      <c r="H4356" s="22" t="s">
        <v>292</v>
      </c>
      <c r="I4356" s="24" t="s">
        <v>20754</v>
      </c>
      <c r="J4356" s="22" t="s">
        <v>20755</v>
      </c>
      <c r="K4356" s="22"/>
      <c r="L4356" s="43" t="s">
        <v>20756</v>
      </c>
      <c r="M4356" s="44"/>
      <c r="N4356" s="44"/>
      <c r="O4356" s="44"/>
      <c r="P4356" s="44"/>
      <c r="Q4356" s="44"/>
      <c r="R4356" s="44"/>
      <c r="S4356" s="44"/>
      <c r="T4356" s="45"/>
      <c r="U4356" s="38" t="str">
        <f>HYPERLINK("https://www.jstage.jst.go.jp/article/islsm/3/3/3_91-OR-17/_article/-char/en","J-STAGE")</f>
        <v>J-STAGE</v>
      </c>
      <c r="V4356" s="50"/>
      <c r="W4356" s="34"/>
      <c r="X4356" s="34"/>
      <c r="Y4356" s="35"/>
      <c r="Z4356" s="35"/>
      <c r="AA4356" s="35"/>
      <c r="AB4356" s="35"/>
      <c r="AC4356" s="35"/>
      <c r="AD4356" s="35"/>
      <c r="AE4356" s="35"/>
      <c r="AF4356" s="35"/>
      <c r="AG4356" s="35"/>
      <c r="AH4356" s="35"/>
      <c r="AI4356" s="35"/>
      <c r="AJ4356" s="35"/>
      <c r="AK4356" s="35"/>
      <c r="AL4356" s="35"/>
    </row>
    <row r="4357">
      <c r="A4357" s="1"/>
      <c r="B4357" s="19" t="s">
        <v>19332</v>
      </c>
      <c r="C4357" s="20" t="s">
        <v>20757</v>
      </c>
      <c r="D4357" s="47"/>
      <c r="E4357" s="22" t="s">
        <v>20758</v>
      </c>
      <c r="F4357" s="22" t="s">
        <v>400</v>
      </c>
      <c r="G4357" s="23">
        <v>2015.0</v>
      </c>
      <c r="H4357" s="22" t="s">
        <v>20759</v>
      </c>
      <c r="I4357" s="24" t="s">
        <v>20760</v>
      </c>
      <c r="J4357" s="22" t="s">
        <v>20761</v>
      </c>
      <c r="K4357" s="22" t="s">
        <v>20762</v>
      </c>
      <c r="L4357" s="36"/>
      <c r="M4357" s="36"/>
      <c r="N4357" s="36"/>
      <c r="O4357" s="36"/>
      <c r="P4357" s="37"/>
      <c r="Q4357" s="36"/>
      <c r="R4357" s="36"/>
      <c r="S4357" s="36"/>
      <c r="T4357" s="336" t="s">
        <v>20763</v>
      </c>
      <c r="U4357" s="38" t="str">
        <f>HYPERLINK("http://www.ncbi.nlm.nih.gov/pubmed/26375599","PubMed")</f>
        <v>PubMed</v>
      </c>
      <c r="V4357" s="50"/>
      <c r="W4357" s="49"/>
      <c r="X4357" s="49"/>
      <c r="Y4357" s="35"/>
      <c r="Z4357" s="35"/>
      <c r="AA4357" s="35"/>
      <c r="AB4357" s="35"/>
      <c r="AC4357" s="35"/>
      <c r="AD4357" s="35"/>
      <c r="AE4357" s="35"/>
      <c r="AF4357" s="35"/>
      <c r="AG4357" s="35"/>
      <c r="AH4357" s="35"/>
      <c r="AI4357" s="35"/>
      <c r="AJ4357" s="35"/>
      <c r="AK4357" s="35"/>
      <c r="AL4357" s="35"/>
    </row>
    <row r="4358">
      <c r="A4358" s="1"/>
      <c r="B4358" s="19" t="s">
        <v>19332</v>
      </c>
      <c r="C4358" s="20" t="s">
        <v>20757</v>
      </c>
      <c r="D4358" s="47"/>
      <c r="E4358" s="22" t="s">
        <v>20764</v>
      </c>
      <c r="F4358" s="22" t="s">
        <v>19972</v>
      </c>
      <c r="G4358" s="23">
        <v>2010.0</v>
      </c>
      <c r="H4358" s="22" t="s">
        <v>658</v>
      </c>
      <c r="I4358" s="24" t="s">
        <v>20765</v>
      </c>
      <c r="J4358" s="22" t="s">
        <v>20766</v>
      </c>
      <c r="K4358" s="22"/>
      <c r="L4358" s="36">
        <v>685.0</v>
      </c>
      <c r="M4358" s="36">
        <v>30.0</v>
      </c>
      <c r="N4358" s="36"/>
      <c r="O4358" s="36"/>
      <c r="P4358" s="37" t="s">
        <v>969</v>
      </c>
      <c r="Q4358" s="36" t="s">
        <v>20767</v>
      </c>
      <c r="R4358" s="36">
        <v>600.0</v>
      </c>
      <c r="S4358" s="36" t="s">
        <v>85</v>
      </c>
      <c r="T4358" s="28" t="s">
        <v>20768</v>
      </c>
      <c r="U4358" s="38" t="str">
        <f>HYPERLINK("http://www.ncbi.nlm.nih.gov/pubmed/19795993","PubMed")</f>
        <v>PubMed</v>
      </c>
      <c r="V4358" s="50"/>
      <c r="W4358" s="49"/>
      <c r="X4358" s="49"/>
      <c r="Y4358" s="35"/>
      <c r="Z4358" s="35"/>
      <c r="AA4358" s="35"/>
      <c r="AB4358" s="35"/>
      <c r="AC4358" s="35"/>
      <c r="AD4358" s="35"/>
      <c r="AE4358" s="35"/>
      <c r="AF4358" s="35"/>
      <c r="AG4358" s="35"/>
      <c r="AH4358" s="35"/>
      <c r="AI4358" s="35"/>
      <c r="AJ4358" s="35"/>
      <c r="AK4358" s="35"/>
      <c r="AL4358" s="35"/>
    </row>
    <row r="4359">
      <c r="A4359" s="1"/>
      <c r="B4359" s="19" t="s">
        <v>19332</v>
      </c>
      <c r="C4359" s="20" t="s">
        <v>20757</v>
      </c>
      <c r="D4359" s="47"/>
      <c r="E4359" s="22" t="s">
        <v>20769</v>
      </c>
      <c r="F4359" s="22" t="s">
        <v>19972</v>
      </c>
      <c r="G4359" s="23">
        <v>2005.0</v>
      </c>
      <c r="H4359" s="22" t="s">
        <v>658</v>
      </c>
      <c r="I4359" s="24" t="s">
        <v>20770</v>
      </c>
      <c r="J4359" s="22" t="s">
        <v>20771</v>
      </c>
      <c r="K4359" s="22"/>
      <c r="L4359" s="36" t="s">
        <v>1206</v>
      </c>
      <c r="M4359" s="36"/>
      <c r="N4359" s="36"/>
      <c r="O4359" s="36"/>
      <c r="P4359" s="37"/>
      <c r="Q4359" s="36"/>
      <c r="R4359" s="36"/>
      <c r="S4359" s="36" t="s">
        <v>3125</v>
      </c>
      <c r="T4359" s="28" t="s">
        <v>20772</v>
      </c>
      <c r="U4359" s="38" t="str">
        <f>HYPERLINK("http://www.ncbi.nlm.nih.gov/pubmed/15954824","PubMed")</f>
        <v>PubMed</v>
      </c>
      <c r="V4359" s="30" t="s">
        <v>20773</v>
      </c>
      <c r="W4359" s="49"/>
      <c r="X4359" s="49"/>
      <c r="Y4359" s="35"/>
      <c r="Z4359" s="35"/>
      <c r="AA4359" s="35"/>
      <c r="AB4359" s="35"/>
      <c r="AC4359" s="35"/>
      <c r="AD4359" s="35"/>
      <c r="AE4359" s="35"/>
      <c r="AF4359" s="35"/>
      <c r="AG4359" s="35"/>
      <c r="AH4359" s="35"/>
      <c r="AI4359" s="35"/>
      <c r="AJ4359" s="35"/>
      <c r="AK4359" s="35"/>
      <c r="AL4359" s="35"/>
    </row>
    <row r="4360">
      <c r="A4360" s="1"/>
      <c r="B4360" s="19" t="s">
        <v>19332</v>
      </c>
      <c r="C4360" s="20" t="s">
        <v>20757</v>
      </c>
      <c r="D4360" s="47"/>
      <c r="E4360" s="22" t="s">
        <v>20769</v>
      </c>
      <c r="F4360" s="22" t="s">
        <v>19972</v>
      </c>
      <c r="G4360" s="23">
        <v>2004.0</v>
      </c>
      <c r="H4360" s="22" t="s">
        <v>53</v>
      </c>
      <c r="I4360" s="24" t="s">
        <v>20774</v>
      </c>
      <c r="J4360" s="22" t="s">
        <v>20775</v>
      </c>
      <c r="K4360" s="22" t="s">
        <v>294</v>
      </c>
      <c r="L4360" s="36" t="s">
        <v>1206</v>
      </c>
      <c r="M4360" s="36"/>
      <c r="N4360" s="36"/>
      <c r="O4360" s="36"/>
      <c r="P4360" s="37" t="s">
        <v>20776</v>
      </c>
      <c r="Q4360" s="36"/>
      <c r="R4360" s="36"/>
      <c r="S4360" s="36" t="s">
        <v>3125</v>
      </c>
      <c r="T4360" s="28" t="s">
        <v>20777</v>
      </c>
      <c r="U4360" s="38" t="str">
        <f>HYPERLINK("http://www.ncbi.nlm.nih.gov/pubmed/15493034","PubMed")</f>
        <v>PubMed</v>
      </c>
      <c r="V4360" s="30" t="s">
        <v>20773</v>
      </c>
      <c r="W4360" s="49"/>
      <c r="X4360" s="49"/>
      <c r="Y4360" s="35"/>
      <c r="Z4360" s="35"/>
      <c r="AA4360" s="35"/>
      <c r="AB4360" s="35"/>
      <c r="AC4360" s="35"/>
      <c r="AD4360" s="35"/>
      <c r="AE4360" s="35"/>
      <c r="AF4360" s="35"/>
      <c r="AG4360" s="35"/>
      <c r="AH4360" s="35"/>
      <c r="AI4360" s="35"/>
      <c r="AJ4360" s="35"/>
      <c r="AK4360" s="35"/>
      <c r="AL4360" s="35"/>
    </row>
    <row r="4361">
      <c r="A4361" s="1"/>
      <c r="B4361" s="19" t="s">
        <v>19332</v>
      </c>
      <c r="C4361" s="20" t="s">
        <v>20757</v>
      </c>
      <c r="D4361" s="47"/>
      <c r="E4361" s="22" t="s">
        <v>20778</v>
      </c>
      <c r="F4361" s="22" t="s">
        <v>3414</v>
      </c>
      <c r="G4361" s="23">
        <v>1997.0</v>
      </c>
      <c r="H4361" s="22" t="s">
        <v>20779</v>
      </c>
      <c r="I4361" s="24" t="s">
        <v>20780</v>
      </c>
      <c r="J4361" s="22" t="s">
        <v>20781</v>
      </c>
      <c r="K4361" s="22" t="s">
        <v>20782</v>
      </c>
      <c r="L4361" s="36">
        <v>904.0</v>
      </c>
      <c r="M4361" s="36"/>
      <c r="N4361" s="36"/>
      <c r="O4361" s="36"/>
      <c r="P4361" s="37"/>
      <c r="Q4361" s="36"/>
      <c r="R4361" s="36" t="s">
        <v>20783</v>
      </c>
      <c r="S4361" s="36" t="s">
        <v>20784</v>
      </c>
      <c r="T4361" s="28" t="s">
        <v>20785</v>
      </c>
      <c r="U4361" s="38" t="str">
        <f>HYPERLINK("https://www.ncbi.nlm.nih.gov/pubmed/9069080","PubMed")</f>
        <v>PubMed</v>
      </c>
      <c r="V4361" s="30"/>
      <c r="W4361" s="49"/>
      <c r="X4361" s="49"/>
      <c r="Y4361" s="35"/>
      <c r="Z4361" s="35"/>
      <c r="AA4361" s="35"/>
      <c r="AB4361" s="35"/>
      <c r="AC4361" s="35"/>
      <c r="AD4361" s="35"/>
      <c r="AE4361" s="35"/>
      <c r="AF4361" s="35"/>
      <c r="AG4361" s="35"/>
      <c r="AH4361" s="35"/>
      <c r="AI4361" s="35"/>
      <c r="AJ4361" s="35"/>
      <c r="AK4361" s="35"/>
      <c r="AL4361" s="35"/>
    </row>
    <row r="4362">
      <c r="A4362" s="1"/>
      <c r="B4362" s="19" t="s">
        <v>19332</v>
      </c>
      <c r="C4362" s="20" t="s">
        <v>9026</v>
      </c>
      <c r="D4362" s="47"/>
      <c r="E4362" s="22" t="s">
        <v>20786</v>
      </c>
      <c r="F4362" s="22" t="s">
        <v>323</v>
      </c>
      <c r="G4362" s="23">
        <v>2012.0</v>
      </c>
      <c r="H4362" s="22" t="s">
        <v>91</v>
      </c>
      <c r="I4362" s="24" t="s">
        <v>20787</v>
      </c>
      <c r="J4362" s="22" t="s">
        <v>55</v>
      </c>
      <c r="K4362" s="22"/>
      <c r="L4362" s="36">
        <v>808.0</v>
      </c>
      <c r="M4362" s="36">
        <v>100.0</v>
      </c>
      <c r="N4362" s="36"/>
      <c r="O4362" s="36"/>
      <c r="P4362" s="37" t="s">
        <v>269</v>
      </c>
      <c r="Q4362" s="36"/>
      <c r="R4362" s="36">
        <v>20.0</v>
      </c>
      <c r="S4362" s="36" t="s">
        <v>13087</v>
      </c>
      <c r="T4362" s="28" t="s">
        <v>20788</v>
      </c>
      <c r="U4362" s="38" t="str">
        <f>HYPERLINK("https://www.ncbi.nlm.nih.gov/pubmed/21614480","PubMed")</f>
        <v>PubMed</v>
      </c>
      <c r="V4362" s="30"/>
      <c r="W4362" s="49"/>
      <c r="X4362" s="49"/>
      <c r="Y4362" s="35"/>
      <c r="Z4362" s="35"/>
      <c r="AA4362" s="35"/>
      <c r="AB4362" s="35"/>
      <c r="AC4362" s="35"/>
      <c r="AD4362" s="35"/>
      <c r="AE4362" s="35"/>
      <c r="AF4362" s="35"/>
      <c r="AG4362" s="35"/>
      <c r="AH4362" s="35"/>
      <c r="AI4362" s="35"/>
      <c r="AJ4362" s="35"/>
      <c r="AK4362" s="35"/>
      <c r="AL4362" s="35"/>
    </row>
    <row r="4363">
      <c r="A4363" s="1"/>
      <c r="B4363" s="347" t="s">
        <v>19332</v>
      </c>
      <c r="C4363" s="334" t="s">
        <v>20789</v>
      </c>
      <c r="D4363" s="47"/>
      <c r="E4363" s="22" t="s">
        <v>20790</v>
      </c>
      <c r="F4363" s="22" t="s">
        <v>41</v>
      </c>
      <c r="G4363" s="23">
        <v>2024.0</v>
      </c>
      <c r="H4363" s="22" t="s">
        <v>20791</v>
      </c>
      <c r="I4363" s="24" t="s">
        <v>20792</v>
      </c>
      <c r="J4363" s="22" t="s">
        <v>20793</v>
      </c>
      <c r="K4363" s="22"/>
      <c r="L4363" s="52">
        <v>808.0</v>
      </c>
      <c r="M4363" s="52"/>
      <c r="N4363" s="52"/>
      <c r="O4363" s="52" t="s">
        <v>20794</v>
      </c>
      <c r="P4363" s="189"/>
      <c r="Q4363" s="52"/>
      <c r="R4363" s="52"/>
      <c r="S4363" s="52" t="s">
        <v>8418</v>
      </c>
      <c r="T4363" s="28" t="s">
        <v>20795</v>
      </c>
      <c r="U4363" s="38" t="s">
        <v>61</v>
      </c>
      <c r="V4363" s="30"/>
      <c r="W4363" s="49"/>
      <c r="X4363" s="49"/>
      <c r="Y4363" s="35"/>
      <c r="Z4363" s="35"/>
      <c r="AA4363" s="35"/>
      <c r="AB4363" s="35"/>
      <c r="AC4363" s="35"/>
      <c r="AD4363" s="35"/>
      <c r="AE4363" s="35"/>
      <c r="AF4363" s="35"/>
      <c r="AG4363" s="35"/>
      <c r="AH4363" s="35"/>
      <c r="AI4363" s="35"/>
      <c r="AJ4363" s="35"/>
      <c r="AK4363" s="35"/>
      <c r="AL4363" s="35"/>
    </row>
    <row r="4364">
      <c r="A4364" s="1"/>
      <c r="B4364" s="347" t="s">
        <v>19332</v>
      </c>
      <c r="C4364" s="334" t="s">
        <v>20789</v>
      </c>
      <c r="D4364" s="47"/>
      <c r="E4364" s="22" t="s">
        <v>20796</v>
      </c>
      <c r="F4364" s="22" t="s">
        <v>11529</v>
      </c>
      <c r="G4364" s="23">
        <v>2024.0</v>
      </c>
      <c r="H4364" s="22" t="s">
        <v>147</v>
      </c>
      <c r="I4364" s="24" t="s">
        <v>20797</v>
      </c>
      <c r="J4364" s="22" t="s">
        <v>20798</v>
      </c>
      <c r="K4364" s="22"/>
      <c r="L4364" s="52">
        <v>810.0</v>
      </c>
      <c r="M4364" s="52">
        <v>200.0</v>
      </c>
      <c r="N4364" s="52"/>
      <c r="O4364" s="52"/>
      <c r="P4364" s="189" t="s">
        <v>20799</v>
      </c>
      <c r="Q4364" s="52" t="s">
        <v>20800</v>
      </c>
      <c r="R4364" s="52"/>
      <c r="S4364" s="52"/>
      <c r="T4364" s="28" t="s">
        <v>20801</v>
      </c>
      <c r="U4364" s="38" t="s">
        <v>61</v>
      </c>
      <c r="V4364" s="30"/>
      <c r="W4364" s="49"/>
      <c r="X4364" s="49"/>
      <c r="Y4364" s="35"/>
      <c r="Z4364" s="35"/>
      <c r="AA4364" s="35"/>
      <c r="AB4364" s="35"/>
      <c r="AC4364" s="35"/>
      <c r="AD4364" s="35"/>
      <c r="AE4364" s="35"/>
      <c r="AF4364" s="35"/>
      <c r="AG4364" s="35"/>
      <c r="AH4364" s="35"/>
      <c r="AI4364" s="35"/>
      <c r="AJ4364" s="35"/>
      <c r="AK4364" s="35"/>
      <c r="AL4364" s="35"/>
    </row>
    <row r="4365">
      <c r="A4365" s="1"/>
      <c r="B4365" s="347" t="s">
        <v>19332</v>
      </c>
      <c r="C4365" s="334" t="s">
        <v>20789</v>
      </c>
      <c r="D4365" s="47"/>
      <c r="E4365" s="22" t="s">
        <v>20802</v>
      </c>
      <c r="F4365" s="22" t="s">
        <v>1576</v>
      </c>
      <c r="G4365" s="23">
        <v>2024.0</v>
      </c>
      <c r="H4365" s="22" t="s">
        <v>16973</v>
      </c>
      <c r="I4365" s="24" t="s">
        <v>20803</v>
      </c>
      <c r="J4365" s="22" t="s">
        <v>20804</v>
      </c>
      <c r="K4365" s="22" t="s">
        <v>1240</v>
      </c>
      <c r="L4365" s="52">
        <v>808.0</v>
      </c>
      <c r="M4365" s="52">
        <v>100.0</v>
      </c>
      <c r="N4365" s="52"/>
      <c r="O4365" s="52"/>
      <c r="P4365" s="189"/>
      <c r="Q4365" s="52"/>
      <c r="R4365" s="52"/>
      <c r="S4365" s="52"/>
      <c r="T4365" s="42" t="s">
        <v>20805</v>
      </c>
      <c r="U4365" s="38" t="s">
        <v>61</v>
      </c>
      <c r="V4365" s="30"/>
      <c r="W4365" s="49"/>
      <c r="X4365" s="49"/>
      <c r="Y4365" s="35"/>
      <c r="Z4365" s="35"/>
      <c r="AA4365" s="35"/>
      <c r="AB4365" s="35"/>
      <c r="AC4365" s="35"/>
      <c r="AD4365" s="35"/>
      <c r="AE4365" s="35"/>
      <c r="AF4365" s="35"/>
      <c r="AG4365" s="35"/>
      <c r="AH4365" s="35"/>
      <c r="AI4365" s="35"/>
      <c r="AJ4365" s="35"/>
      <c r="AK4365" s="35"/>
      <c r="AL4365" s="35"/>
    </row>
    <row r="4366">
      <c r="A4366" s="1"/>
      <c r="B4366" s="347" t="s">
        <v>19332</v>
      </c>
      <c r="C4366" s="334" t="s">
        <v>20789</v>
      </c>
      <c r="D4366" s="47"/>
      <c r="E4366" s="22" t="s">
        <v>20806</v>
      </c>
      <c r="F4366" s="22" t="s">
        <v>1789</v>
      </c>
      <c r="G4366" s="23">
        <v>2024.0</v>
      </c>
      <c r="H4366" s="22" t="s">
        <v>6911</v>
      </c>
      <c r="I4366" s="24" t="s">
        <v>20807</v>
      </c>
      <c r="J4366" s="22" t="s">
        <v>2141</v>
      </c>
      <c r="K4366" s="22"/>
      <c r="L4366" s="197"/>
      <c r="M4366" s="197"/>
      <c r="N4366" s="197"/>
      <c r="O4366" s="197"/>
      <c r="P4366" s="198"/>
      <c r="Q4366" s="197"/>
      <c r="R4366" s="197"/>
      <c r="S4366" s="197"/>
      <c r="T4366" s="185" t="s">
        <v>20808</v>
      </c>
      <c r="U4366" s="38" t="s">
        <v>61</v>
      </c>
      <c r="V4366" s="30"/>
      <c r="W4366" s="49"/>
      <c r="X4366" s="49"/>
      <c r="Y4366" s="35"/>
      <c r="Z4366" s="35"/>
      <c r="AA4366" s="35"/>
      <c r="AB4366" s="35"/>
      <c r="AC4366" s="35"/>
      <c r="AD4366" s="35"/>
      <c r="AE4366" s="35"/>
      <c r="AF4366" s="35"/>
      <c r="AG4366" s="35"/>
      <c r="AH4366" s="35"/>
      <c r="AI4366" s="35"/>
      <c r="AJ4366" s="35"/>
      <c r="AK4366" s="35"/>
      <c r="AL4366" s="35"/>
    </row>
    <row r="4367" ht="45.75" customHeight="1">
      <c r="A4367" s="1"/>
      <c r="B4367" s="347" t="s">
        <v>19332</v>
      </c>
      <c r="C4367" s="334" t="s">
        <v>20789</v>
      </c>
      <c r="D4367" s="47"/>
      <c r="E4367" s="22" t="s">
        <v>856</v>
      </c>
      <c r="F4367" s="22" t="s">
        <v>41</v>
      </c>
      <c r="G4367" s="23">
        <v>2024.0</v>
      </c>
      <c r="H4367" s="22" t="s">
        <v>11543</v>
      </c>
      <c r="I4367" s="24" t="s">
        <v>20809</v>
      </c>
      <c r="J4367" s="22" t="s">
        <v>1078</v>
      </c>
      <c r="K4367" s="22"/>
      <c r="L4367" s="173" t="s">
        <v>20810</v>
      </c>
      <c r="U4367" s="38" t="s">
        <v>61</v>
      </c>
      <c r="V4367" s="30"/>
      <c r="W4367" s="49"/>
      <c r="X4367" s="49"/>
      <c r="Y4367" s="35"/>
      <c r="Z4367" s="35"/>
      <c r="AA4367" s="35"/>
      <c r="AB4367" s="35"/>
      <c r="AC4367" s="35"/>
      <c r="AD4367" s="35"/>
      <c r="AE4367" s="35"/>
      <c r="AF4367" s="35"/>
      <c r="AG4367" s="35"/>
      <c r="AH4367" s="35"/>
      <c r="AI4367" s="35"/>
      <c r="AJ4367" s="35"/>
      <c r="AK4367" s="35"/>
      <c r="AL4367" s="35"/>
    </row>
    <row r="4368">
      <c r="A4368" s="1"/>
      <c r="B4368" s="19" t="s">
        <v>19332</v>
      </c>
      <c r="C4368" s="20" t="s">
        <v>20789</v>
      </c>
      <c r="D4368" s="47"/>
      <c r="E4368" s="22" t="s">
        <v>999</v>
      </c>
      <c r="F4368" s="22" t="s">
        <v>1154</v>
      </c>
      <c r="G4368" s="23">
        <v>2024.0</v>
      </c>
      <c r="H4368" s="22" t="s">
        <v>8177</v>
      </c>
      <c r="I4368" s="24" t="s">
        <v>20811</v>
      </c>
      <c r="J4368" s="22" t="s">
        <v>649</v>
      </c>
      <c r="K4368" s="22"/>
      <c r="L4368" s="53" t="s">
        <v>20812</v>
      </c>
      <c r="U4368" s="38" t="s">
        <v>61</v>
      </c>
      <c r="V4368" s="30"/>
      <c r="W4368" s="49"/>
      <c r="X4368" s="49"/>
      <c r="Y4368" s="35"/>
      <c r="Z4368" s="35"/>
      <c r="AA4368" s="35"/>
      <c r="AB4368" s="35"/>
      <c r="AC4368" s="35"/>
      <c r="AD4368" s="35"/>
      <c r="AE4368" s="35"/>
      <c r="AF4368" s="35"/>
      <c r="AG4368" s="35"/>
      <c r="AH4368" s="35"/>
      <c r="AI4368" s="35"/>
      <c r="AJ4368" s="35"/>
      <c r="AK4368" s="35"/>
      <c r="AL4368" s="35"/>
    </row>
    <row r="4369">
      <c r="A4369" s="1"/>
      <c r="B4369" s="19" t="s">
        <v>19332</v>
      </c>
      <c r="C4369" s="20" t="s">
        <v>20789</v>
      </c>
      <c r="D4369" s="47"/>
      <c r="E4369" s="22" t="s">
        <v>20813</v>
      </c>
      <c r="F4369" s="22" t="s">
        <v>468</v>
      </c>
      <c r="G4369" s="23">
        <v>2023.0</v>
      </c>
      <c r="H4369" s="22" t="s">
        <v>994</v>
      </c>
      <c r="I4369" s="24" t="s">
        <v>20814</v>
      </c>
      <c r="J4369" s="22" t="s">
        <v>20815</v>
      </c>
      <c r="K4369" s="22"/>
      <c r="L4369" s="52"/>
      <c r="M4369" s="52"/>
      <c r="N4369" s="52"/>
      <c r="O4369" s="52"/>
      <c r="P4369" s="189"/>
      <c r="Q4369" s="52"/>
      <c r="R4369" s="52"/>
      <c r="S4369" s="52" t="s">
        <v>20816</v>
      </c>
      <c r="T4369" s="28" t="s">
        <v>20817</v>
      </c>
      <c r="U4369" s="38" t="s">
        <v>61</v>
      </c>
      <c r="V4369" s="30"/>
      <c r="W4369" s="49"/>
      <c r="X4369" s="49"/>
      <c r="Y4369" s="35"/>
      <c r="Z4369" s="35"/>
      <c r="AA4369" s="35"/>
      <c r="AB4369" s="35"/>
      <c r="AC4369" s="35"/>
      <c r="AD4369" s="35"/>
      <c r="AE4369" s="35"/>
      <c r="AF4369" s="35"/>
      <c r="AG4369" s="35"/>
      <c r="AH4369" s="35"/>
      <c r="AI4369" s="35"/>
      <c r="AJ4369" s="35"/>
      <c r="AK4369" s="35"/>
      <c r="AL4369" s="35"/>
    </row>
    <row r="4370">
      <c r="A4370" s="1"/>
      <c r="B4370" s="19" t="s">
        <v>19332</v>
      </c>
      <c r="C4370" s="20" t="s">
        <v>20789</v>
      </c>
      <c r="D4370" s="47"/>
      <c r="E4370" s="22" t="s">
        <v>20818</v>
      </c>
      <c r="F4370" s="22" t="s">
        <v>20819</v>
      </c>
      <c r="G4370" s="23">
        <v>2023.0</v>
      </c>
      <c r="H4370" s="22" t="s">
        <v>91</v>
      </c>
      <c r="I4370" s="24" t="s">
        <v>20820</v>
      </c>
      <c r="J4370" s="22" t="s">
        <v>20821</v>
      </c>
      <c r="K4370" s="22"/>
      <c r="L4370" s="348"/>
      <c r="M4370" s="349"/>
      <c r="N4370" s="349"/>
      <c r="O4370" s="349"/>
      <c r="P4370" s="349"/>
      <c r="Q4370" s="349"/>
      <c r="R4370" s="349"/>
      <c r="S4370" s="36" t="s">
        <v>20822</v>
      </c>
      <c r="T4370" s="331" t="s">
        <v>20823</v>
      </c>
      <c r="U4370" s="38" t="s">
        <v>61</v>
      </c>
      <c r="V4370" s="30"/>
      <c r="W4370" s="49"/>
      <c r="X4370" s="49"/>
      <c r="Y4370" s="35"/>
      <c r="Z4370" s="35"/>
      <c r="AA4370" s="35"/>
      <c r="AB4370" s="35"/>
      <c r="AC4370" s="35"/>
      <c r="AD4370" s="35"/>
      <c r="AE4370" s="35"/>
      <c r="AF4370" s="35"/>
      <c r="AG4370" s="35"/>
      <c r="AH4370" s="35"/>
      <c r="AI4370" s="35"/>
      <c r="AJ4370" s="35"/>
      <c r="AK4370" s="35"/>
      <c r="AL4370" s="35"/>
    </row>
    <row r="4371">
      <c r="A4371" s="1"/>
      <c r="B4371" s="19" t="s">
        <v>19332</v>
      </c>
      <c r="C4371" s="20" t="s">
        <v>20789</v>
      </c>
      <c r="D4371" s="47"/>
      <c r="E4371" s="22" t="s">
        <v>14284</v>
      </c>
      <c r="F4371" s="22" t="s">
        <v>20824</v>
      </c>
      <c r="G4371" s="23">
        <v>2023.0</v>
      </c>
      <c r="H4371" s="22" t="s">
        <v>12502</v>
      </c>
      <c r="I4371" s="24" t="s">
        <v>20825</v>
      </c>
      <c r="J4371" s="22" t="s">
        <v>125</v>
      </c>
      <c r="K4371" s="22"/>
      <c r="L4371" s="195" t="s">
        <v>20826</v>
      </c>
      <c r="M4371" s="44"/>
      <c r="N4371" s="44"/>
      <c r="O4371" s="44"/>
      <c r="P4371" s="44"/>
      <c r="Q4371" s="44"/>
      <c r="R4371" s="44"/>
      <c r="S4371" s="44"/>
      <c r="T4371" s="45"/>
      <c r="U4371" s="38" t="s">
        <v>61</v>
      </c>
      <c r="V4371" s="30"/>
      <c r="W4371" s="49"/>
      <c r="X4371" s="49"/>
      <c r="Y4371" s="35"/>
      <c r="Z4371" s="35"/>
      <c r="AA4371" s="35"/>
      <c r="AB4371" s="35"/>
      <c r="AC4371" s="35"/>
      <c r="AD4371" s="35"/>
      <c r="AE4371" s="35"/>
      <c r="AF4371" s="35"/>
      <c r="AG4371" s="35"/>
      <c r="AH4371" s="35"/>
      <c r="AI4371" s="35"/>
      <c r="AJ4371" s="35"/>
      <c r="AK4371" s="35"/>
      <c r="AL4371" s="35"/>
    </row>
    <row r="4372">
      <c r="A4372" s="1"/>
      <c r="B4372" s="19" t="s">
        <v>19332</v>
      </c>
      <c r="C4372" s="20" t="s">
        <v>20789</v>
      </c>
      <c r="D4372" s="47"/>
      <c r="E4372" s="22" t="s">
        <v>88</v>
      </c>
      <c r="F4372" s="22" t="s">
        <v>237</v>
      </c>
      <c r="G4372" s="23">
        <v>2023.0</v>
      </c>
      <c r="H4372" s="22" t="s">
        <v>91</v>
      </c>
      <c r="I4372" s="24" t="s">
        <v>20827</v>
      </c>
      <c r="J4372" s="22" t="s">
        <v>20828</v>
      </c>
      <c r="K4372" s="22"/>
      <c r="L4372" s="36" t="s">
        <v>20829</v>
      </c>
      <c r="M4372" s="36">
        <v>100.0</v>
      </c>
      <c r="N4372" s="36"/>
      <c r="O4372" s="36"/>
      <c r="P4372" s="37"/>
      <c r="Q4372" s="36" t="s">
        <v>20830</v>
      </c>
      <c r="R4372" s="36" t="s">
        <v>20831</v>
      </c>
      <c r="S4372" s="36" t="s">
        <v>20832</v>
      </c>
      <c r="T4372" s="28" t="s">
        <v>20833</v>
      </c>
      <c r="U4372" s="38" t="s">
        <v>61</v>
      </c>
      <c r="V4372" s="30"/>
      <c r="W4372" s="49"/>
      <c r="X4372" s="49"/>
      <c r="Y4372" s="35"/>
      <c r="Z4372" s="35"/>
      <c r="AA4372" s="35"/>
      <c r="AB4372" s="35"/>
      <c r="AC4372" s="35"/>
      <c r="AD4372" s="35"/>
      <c r="AE4372" s="35"/>
      <c r="AF4372" s="35"/>
      <c r="AG4372" s="35"/>
      <c r="AH4372" s="35"/>
      <c r="AI4372" s="35"/>
      <c r="AJ4372" s="35"/>
      <c r="AK4372" s="35"/>
      <c r="AL4372" s="35"/>
    </row>
    <row r="4373">
      <c r="A4373" s="1"/>
      <c r="B4373" s="19" t="s">
        <v>19332</v>
      </c>
      <c r="C4373" s="20" t="s">
        <v>20789</v>
      </c>
      <c r="D4373" s="47"/>
      <c r="E4373" s="22" t="s">
        <v>20834</v>
      </c>
      <c r="F4373" s="22" t="s">
        <v>19850</v>
      </c>
      <c r="G4373" s="23">
        <v>2022.0</v>
      </c>
      <c r="H4373" s="22" t="s">
        <v>3963</v>
      </c>
      <c r="I4373" s="24" t="s">
        <v>20835</v>
      </c>
      <c r="J4373" s="22" t="s">
        <v>20836</v>
      </c>
      <c r="K4373" s="22"/>
      <c r="L4373" s="36">
        <v>810.0</v>
      </c>
      <c r="M4373" s="36"/>
      <c r="N4373" s="36"/>
      <c r="O4373" s="36"/>
      <c r="P4373" s="37" t="s">
        <v>82</v>
      </c>
      <c r="Q4373" s="36"/>
      <c r="R4373" s="36"/>
      <c r="S4373" s="36" t="s">
        <v>6951</v>
      </c>
      <c r="T4373" s="28" t="s">
        <v>20837</v>
      </c>
      <c r="U4373" s="29" t="s">
        <v>61</v>
      </c>
      <c r="V4373" s="30"/>
      <c r="W4373" s="49"/>
      <c r="X4373" s="49"/>
      <c r="Y4373" s="35"/>
      <c r="Z4373" s="35"/>
      <c r="AA4373" s="35"/>
      <c r="AB4373" s="35"/>
      <c r="AC4373" s="35"/>
      <c r="AD4373" s="35"/>
      <c r="AE4373" s="35"/>
      <c r="AF4373" s="35"/>
      <c r="AG4373" s="35"/>
      <c r="AH4373" s="35"/>
      <c r="AI4373" s="35"/>
      <c r="AJ4373" s="35"/>
      <c r="AK4373" s="35"/>
      <c r="AL4373" s="35"/>
    </row>
    <row r="4374">
      <c r="A4374" s="1"/>
      <c r="B4374" s="19" t="s">
        <v>19332</v>
      </c>
      <c r="C4374" s="20" t="s">
        <v>20789</v>
      </c>
      <c r="D4374" s="47"/>
      <c r="E4374" s="22" t="s">
        <v>20838</v>
      </c>
      <c r="F4374" s="22" t="s">
        <v>6546</v>
      </c>
      <c r="G4374" s="23">
        <v>2021.0</v>
      </c>
      <c r="H4374" s="22" t="s">
        <v>91</v>
      </c>
      <c r="I4374" s="24" t="s">
        <v>20839</v>
      </c>
      <c r="J4374" s="22" t="s">
        <v>1078</v>
      </c>
      <c r="K4374" s="22"/>
      <c r="L4374" s="105" t="s">
        <v>20840</v>
      </c>
      <c r="M4374" s="44"/>
      <c r="N4374" s="44"/>
      <c r="O4374" s="44"/>
      <c r="P4374" s="44"/>
      <c r="Q4374" s="44"/>
      <c r="R4374" s="44"/>
      <c r="S4374" s="44"/>
      <c r="T4374" s="45"/>
      <c r="U4374" s="29" t="s">
        <v>61</v>
      </c>
      <c r="V4374" s="30"/>
      <c r="W4374" s="49"/>
      <c r="X4374" s="49"/>
      <c r="Y4374" s="35"/>
      <c r="Z4374" s="35"/>
      <c r="AA4374" s="35"/>
      <c r="AB4374" s="35"/>
      <c r="AC4374" s="35"/>
      <c r="AD4374" s="35"/>
      <c r="AE4374" s="35"/>
      <c r="AF4374" s="35"/>
      <c r="AG4374" s="35"/>
      <c r="AH4374" s="35"/>
      <c r="AI4374" s="35"/>
      <c r="AJ4374" s="35"/>
      <c r="AK4374" s="35"/>
      <c r="AL4374" s="35"/>
    </row>
    <row r="4375">
      <c r="A4375" s="278"/>
      <c r="B4375" s="19" t="s">
        <v>19332</v>
      </c>
      <c r="C4375" s="20" t="s">
        <v>20789</v>
      </c>
      <c r="D4375" s="47"/>
      <c r="E4375" s="22" t="s">
        <v>999</v>
      </c>
      <c r="F4375" s="22" t="s">
        <v>1154</v>
      </c>
      <c r="G4375" s="23">
        <v>2021.0</v>
      </c>
      <c r="H4375" s="22" t="s">
        <v>19552</v>
      </c>
      <c r="I4375" s="24" t="s">
        <v>20841</v>
      </c>
      <c r="J4375" s="22" t="s">
        <v>20842</v>
      </c>
      <c r="K4375" s="22"/>
      <c r="L4375" s="36">
        <v>830.0</v>
      </c>
      <c r="M4375" s="36" t="s">
        <v>20843</v>
      </c>
      <c r="N4375" s="36"/>
      <c r="O4375" s="36"/>
      <c r="P4375" s="37"/>
      <c r="Q4375" s="36" t="s">
        <v>280</v>
      </c>
      <c r="R4375" s="36"/>
      <c r="S4375" s="36" t="s">
        <v>20844</v>
      </c>
      <c r="T4375" s="41" t="s">
        <v>20845</v>
      </c>
      <c r="U4375" s="29" t="s">
        <v>61</v>
      </c>
      <c r="V4375" s="30"/>
      <c r="W4375" s="49"/>
      <c r="X4375" s="49"/>
      <c r="Y4375" s="35"/>
      <c r="Z4375" s="35"/>
      <c r="AA4375" s="35"/>
      <c r="AB4375" s="35"/>
      <c r="AC4375" s="35"/>
      <c r="AD4375" s="35"/>
      <c r="AE4375" s="35"/>
      <c r="AF4375" s="35"/>
      <c r="AG4375" s="35"/>
      <c r="AH4375" s="35"/>
      <c r="AI4375" s="35"/>
      <c r="AJ4375" s="35"/>
      <c r="AK4375" s="35"/>
      <c r="AL4375" s="35"/>
    </row>
    <row r="4376">
      <c r="A4376" s="278"/>
      <c r="B4376" s="19" t="s">
        <v>19332</v>
      </c>
      <c r="C4376" s="20" t="s">
        <v>20789</v>
      </c>
      <c r="D4376" s="47"/>
      <c r="E4376" s="22" t="s">
        <v>20846</v>
      </c>
      <c r="F4376" s="22" t="s">
        <v>41</v>
      </c>
      <c r="G4376" s="23">
        <v>2021.0</v>
      </c>
      <c r="H4376" s="22" t="s">
        <v>91</v>
      </c>
      <c r="I4376" s="24" t="s">
        <v>20847</v>
      </c>
      <c r="J4376" s="22" t="s">
        <v>20848</v>
      </c>
      <c r="K4376" s="22"/>
      <c r="L4376" s="36">
        <v>808.0</v>
      </c>
      <c r="M4376" s="36">
        <v>100.0</v>
      </c>
      <c r="N4376" s="36"/>
      <c r="O4376" s="36" t="s">
        <v>20849</v>
      </c>
      <c r="P4376" s="37" t="s">
        <v>13577</v>
      </c>
      <c r="Q4376" s="36"/>
      <c r="R4376" s="36"/>
      <c r="S4376" s="36" t="s">
        <v>20850</v>
      </c>
      <c r="T4376" s="28" t="s">
        <v>20851</v>
      </c>
      <c r="U4376" s="29" t="s">
        <v>61</v>
      </c>
      <c r="V4376" s="30"/>
      <c r="W4376" s="49"/>
      <c r="X4376" s="49"/>
      <c r="Y4376" s="35"/>
      <c r="Z4376" s="35"/>
      <c r="AA4376" s="35"/>
      <c r="AB4376" s="35"/>
      <c r="AC4376" s="35"/>
      <c r="AD4376" s="35"/>
      <c r="AE4376" s="35"/>
      <c r="AF4376" s="35"/>
      <c r="AG4376" s="35"/>
      <c r="AH4376" s="35"/>
      <c r="AI4376" s="35"/>
      <c r="AJ4376" s="35"/>
      <c r="AK4376" s="35"/>
      <c r="AL4376" s="35"/>
    </row>
    <row r="4377">
      <c r="A4377" s="278"/>
      <c r="B4377" s="19" t="s">
        <v>19332</v>
      </c>
      <c r="C4377" s="20" t="s">
        <v>20789</v>
      </c>
      <c r="D4377" s="47"/>
      <c r="E4377" s="22" t="s">
        <v>388</v>
      </c>
      <c r="F4377" s="22" t="s">
        <v>308</v>
      </c>
      <c r="G4377" s="23">
        <v>2020.0</v>
      </c>
      <c r="H4377" s="22" t="s">
        <v>20852</v>
      </c>
      <c r="I4377" s="24" t="s">
        <v>20853</v>
      </c>
      <c r="J4377" s="22" t="s">
        <v>20854</v>
      </c>
      <c r="K4377" s="22"/>
      <c r="L4377" s="36" t="s">
        <v>6257</v>
      </c>
      <c r="M4377" s="36" t="s">
        <v>20855</v>
      </c>
      <c r="N4377" s="36"/>
      <c r="O4377" s="36"/>
      <c r="P4377" s="37" t="s">
        <v>20856</v>
      </c>
      <c r="Q4377" s="36"/>
      <c r="R4377" s="36"/>
      <c r="S4377" s="36" t="s">
        <v>20857</v>
      </c>
      <c r="T4377" s="28" t="s">
        <v>20858</v>
      </c>
      <c r="U4377" s="29" t="s">
        <v>61</v>
      </c>
      <c r="V4377" s="30"/>
      <c r="W4377" s="49"/>
      <c r="X4377" s="49"/>
      <c r="Y4377" s="35"/>
      <c r="Z4377" s="35"/>
      <c r="AA4377" s="35"/>
      <c r="AB4377" s="35"/>
      <c r="AC4377" s="35"/>
      <c r="AD4377" s="35"/>
      <c r="AE4377" s="35"/>
      <c r="AF4377" s="35"/>
      <c r="AG4377" s="35"/>
      <c r="AH4377" s="35"/>
      <c r="AI4377" s="35"/>
      <c r="AJ4377" s="35"/>
      <c r="AK4377" s="35"/>
      <c r="AL4377" s="35"/>
    </row>
    <row r="4378">
      <c r="A4378" s="1"/>
      <c r="B4378" s="19" t="s">
        <v>19332</v>
      </c>
      <c r="C4378" s="20" t="s">
        <v>20789</v>
      </c>
      <c r="D4378" s="47"/>
      <c r="E4378" s="22" t="s">
        <v>20859</v>
      </c>
      <c r="F4378" s="22" t="s">
        <v>1789</v>
      </c>
      <c r="G4378" s="23">
        <v>2020.0</v>
      </c>
      <c r="H4378" s="22" t="s">
        <v>19235</v>
      </c>
      <c r="I4378" s="24" t="s">
        <v>20860</v>
      </c>
      <c r="J4378" s="22" t="s">
        <v>1078</v>
      </c>
      <c r="K4378" s="22"/>
      <c r="L4378" s="173" t="s">
        <v>20861</v>
      </c>
      <c r="U4378" s="29" t="s">
        <v>61</v>
      </c>
      <c r="V4378" s="30"/>
      <c r="W4378" s="49"/>
      <c r="X4378" s="49"/>
      <c r="Y4378" s="35"/>
      <c r="Z4378" s="35"/>
      <c r="AA4378" s="35"/>
      <c r="AB4378" s="35"/>
      <c r="AC4378" s="35"/>
      <c r="AD4378" s="35"/>
      <c r="AE4378" s="35"/>
      <c r="AF4378" s="35"/>
      <c r="AG4378" s="35"/>
      <c r="AH4378" s="35"/>
      <c r="AI4378" s="35"/>
      <c r="AJ4378" s="35"/>
      <c r="AK4378" s="35"/>
      <c r="AL4378" s="35"/>
    </row>
    <row r="4379">
      <c r="A4379" s="1"/>
      <c r="B4379" s="19" t="s">
        <v>19332</v>
      </c>
      <c r="C4379" s="20" t="s">
        <v>20789</v>
      </c>
      <c r="D4379" s="47"/>
      <c r="E4379" s="22" t="s">
        <v>20862</v>
      </c>
      <c r="F4379" s="22" t="s">
        <v>5124</v>
      </c>
      <c r="G4379" s="23">
        <v>2020.0</v>
      </c>
      <c r="H4379" s="22" t="s">
        <v>8212</v>
      </c>
      <c r="I4379" s="24" t="s">
        <v>20863</v>
      </c>
      <c r="J4379" s="22" t="s">
        <v>1078</v>
      </c>
      <c r="K4379" s="22"/>
      <c r="L4379" s="202" t="s">
        <v>20864</v>
      </c>
      <c r="U4379" s="29" t="s">
        <v>61</v>
      </c>
      <c r="V4379" s="30"/>
      <c r="W4379" s="49"/>
      <c r="X4379" s="49"/>
      <c r="Y4379" s="35"/>
      <c r="Z4379" s="35"/>
      <c r="AA4379" s="35"/>
      <c r="AB4379" s="35"/>
      <c r="AC4379" s="35"/>
      <c r="AD4379" s="35"/>
      <c r="AE4379" s="35"/>
      <c r="AF4379" s="35"/>
      <c r="AG4379" s="35"/>
      <c r="AH4379" s="35"/>
      <c r="AI4379" s="35"/>
      <c r="AJ4379" s="35"/>
      <c r="AK4379" s="35"/>
      <c r="AL4379" s="35"/>
    </row>
    <row r="4380">
      <c r="A4380" s="1"/>
      <c r="B4380" s="19" t="s">
        <v>19332</v>
      </c>
      <c r="C4380" s="20" t="s">
        <v>20789</v>
      </c>
      <c r="D4380" s="47"/>
      <c r="E4380" s="22" t="s">
        <v>20862</v>
      </c>
      <c r="F4380" s="22" t="s">
        <v>5124</v>
      </c>
      <c r="G4380" s="23">
        <v>2020.0</v>
      </c>
      <c r="H4380" s="22" t="s">
        <v>207</v>
      </c>
      <c r="I4380" s="24" t="s">
        <v>20865</v>
      </c>
      <c r="J4380" s="22" t="s">
        <v>20866</v>
      </c>
      <c r="K4380" s="22"/>
      <c r="L4380" s="52" t="s">
        <v>3519</v>
      </c>
      <c r="M4380" s="52" t="s">
        <v>20867</v>
      </c>
      <c r="N4380" s="52"/>
      <c r="O4380" s="52" t="s">
        <v>20868</v>
      </c>
      <c r="P4380" s="189" t="s">
        <v>20869</v>
      </c>
      <c r="Q4380" s="52"/>
      <c r="R4380" s="52"/>
      <c r="S4380" s="52" t="s">
        <v>20870</v>
      </c>
      <c r="T4380" s="41" t="s">
        <v>20871</v>
      </c>
      <c r="U4380" s="29" t="s">
        <v>61</v>
      </c>
      <c r="V4380" s="30"/>
      <c r="W4380" s="49"/>
      <c r="X4380" s="49"/>
      <c r="Y4380" s="35"/>
      <c r="Z4380" s="35"/>
      <c r="AA4380" s="35"/>
      <c r="AB4380" s="35"/>
      <c r="AC4380" s="35"/>
      <c r="AD4380" s="35"/>
      <c r="AE4380" s="35"/>
      <c r="AF4380" s="35"/>
      <c r="AG4380" s="35"/>
      <c r="AH4380" s="35"/>
      <c r="AI4380" s="35"/>
      <c r="AJ4380" s="35"/>
      <c r="AK4380" s="35"/>
      <c r="AL4380" s="35"/>
    </row>
    <row r="4381">
      <c r="A4381" s="1"/>
      <c r="B4381" s="19" t="s">
        <v>19332</v>
      </c>
      <c r="C4381" s="20" t="s">
        <v>20789</v>
      </c>
      <c r="D4381" s="47"/>
      <c r="E4381" s="22" t="s">
        <v>20790</v>
      </c>
      <c r="F4381" s="22" t="s">
        <v>41</v>
      </c>
      <c r="G4381" s="23">
        <v>2020.0</v>
      </c>
      <c r="H4381" s="22" t="s">
        <v>3828</v>
      </c>
      <c r="I4381" s="24" t="s">
        <v>20872</v>
      </c>
      <c r="J4381" s="22" t="s">
        <v>2141</v>
      </c>
      <c r="K4381" s="22"/>
      <c r="L4381" s="197"/>
      <c r="U4381" s="38" t="str">
        <f>HYPERLINK("https://www.ncbi.nlm.nih.gov/pubmed/32311925","PubMed")</f>
        <v>PubMed</v>
      </c>
      <c r="V4381" s="30"/>
      <c r="W4381" s="49"/>
      <c r="X4381" s="49"/>
      <c r="Y4381" s="35"/>
      <c r="Z4381" s="35"/>
      <c r="AA4381" s="35"/>
      <c r="AB4381" s="35"/>
      <c r="AC4381" s="35"/>
      <c r="AD4381" s="35"/>
      <c r="AE4381" s="35"/>
      <c r="AF4381" s="35"/>
      <c r="AG4381" s="35"/>
      <c r="AH4381" s="35"/>
      <c r="AI4381" s="35"/>
      <c r="AJ4381" s="35"/>
      <c r="AK4381" s="35"/>
      <c r="AL4381" s="35"/>
    </row>
    <row r="4382">
      <c r="A4382" s="1"/>
      <c r="B4382" s="19" t="s">
        <v>19332</v>
      </c>
      <c r="C4382" s="20" t="s">
        <v>20789</v>
      </c>
      <c r="D4382" s="47"/>
      <c r="E4382" s="22" t="s">
        <v>20873</v>
      </c>
      <c r="F4382" s="22" t="s">
        <v>20874</v>
      </c>
      <c r="G4382" s="23">
        <v>2020.0</v>
      </c>
      <c r="H4382" s="22" t="s">
        <v>77</v>
      </c>
      <c r="I4382" s="24" t="s">
        <v>20875</v>
      </c>
      <c r="J4382" s="22" t="s">
        <v>649</v>
      </c>
      <c r="K4382" s="22"/>
      <c r="L4382" s="188" t="s">
        <v>20876</v>
      </c>
      <c r="U4382" s="38" t="str">
        <f>HYPERLINK("https://www.ncbi.nlm.nih.gov/pubmed/32109187","PubMed")</f>
        <v>PubMed</v>
      </c>
      <c r="V4382" s="30"/>
      <c r="W4382" s="49"/>
      <c r="X4382" s="49"/>
      <c r="Y4382" s="35"/>
      <c r="Z4382" s="35"/>
      <c r="AA4382" s="35"/>
      <c r="AB4382" s="35"/>
      <c r="AC4382" s="35"/>
      <c r="AD4382" s="35"/>
      <c r="AE4382" s="35"/>
      <c r="AF4382" s="35"/>
      <c r="AG4382" s="35"/>
      <c r="AH4382" s="35"/>
      <c r="AI4382" s="35"/>
      <c r="AJ4382" s="35"/>
      <c r="AK4382" s="35"/>
      <c r="AL4382" s="35"/>
    </row>
    <row r="4383">
      <c r="A4383" s="1"/>
      <c r="B4383" s="19" t="s">
        <v>19332</v>
      </c>
      <c r="C4383" s="20" t="s">
        <v>20789</v>
      </c>
      <c r="D4383" s="47"/>
      <c r="E4383" s="22" t="s">
        <v>12105</v>
      </c>
      <c r="F4383" s="22" t="s">
        <v>41</v>
      </c>
      <c r="G4383" s="23">
        <v>2019.0</v>
      </c>
      <c r="H4383" s="22" t="s">
        <v>91</v>
      </c>
      <c r="I4383" s="24" t="s">
        <v>20877</v>
      </c>
      <c r="J4383" s="22" t="s">
        <v>649</v>
      </c>
      <c r="K4383" s="22"/>
      <c r="L4383" s="167" t="s">
        <v>20878</v>
      </c>
      <c r="M4383" s="44"/>
      <c r="N4383" s="44"/>
      <c r="O4383" s="44"/>
      <c r="P4383" s="44"/>
      <c r="Q4383" s="44"/>
      <c r="R4383" s="44"/>
      <c r="S4383" s="44"/>
      <c r="T4383" s="45"/>
      <c r="U4383" s="38" t="str">
        <f>HYPERLINK("https://www.ncbi.nlm.nih.gov/pubmed/31768691","PubMed")</f>
        <v>PubMed</v>
      </c>
      <c r="V4383" s="30"/>
      <c r="W4383" s="49"/>
      <c r="X4383" s="49"/>
      <c r="Y4383" s="35"/>
      <c r="Z4383" s="35"/>
      <c r="AA4383" s="35"/>
      <c r="AB4383" s="35"/>
      <c r="AC4383" s="35"/>
      <c r="AD4383" s="35"/>
      <c r="AE4383" s="35"/>
      <c r="AF4383" s="35"/>
      <c r="AG4383" s="35"/>
      <c r="AH4383" s="35"/>
      <c r="AI4383" s="35"/>
      <c r="AJ4383" s="35"/>
      <c r="AK4383" s="35"/>
      <c r="AL4383" s="35"/>
    </row>
    <row r="4384">
      <c r="A4384" s="1"/>
      <c r="B4384" s="19" t="s">
        <v>19332</v>
      </c>
      <c r="C4384" s="20" t="s">
        <v>20789</v>
      </c>
      <c r="D4384" s="47"/>
      <c r="E4384" s="22" t="s">
        <v>20879</v>
      </c>
      <c r="F4384" s="22" t="s">
        <v>41</v>
      </c>
      <c r="G4384" s="23">
        <v>2018.0</v>
      </c>
      <c r="H4384" s="22" t="s">
        <v>4862</v>
      </c>
      <c r="I4384" s="24" t="s">
        <v>20880</v>
      </c>
      <c r="J4384" s="22" t="s">
        <v>20881</v>
      </c>
      <c r="K4384" s="22"/>
      <c r="L4384" s="36">
        <v>808.0</v>
      </c>
      <c r="M4384" s="36">
        <v>100.0</v>
      </c>
      <c r="N4384" s="36"/>
      <c r="O4384" s="36" t="s">
        <v>13339</v>
      </c>
      <c r="P4384" s="37" t="s">
        <v>16571</v>
      </c>
      <c r="Q4384" s="36" t="s">
        <v>20882</v>
      </c>
      <c r="R4384" s="36" t="s">
        <v>20883</v>
      </c>
      <c r="S4384" s="36" t="s">
        <v>2688</v>
      </c>
      <c r="T4384" s="350" t="s">
        <v>20884</v>
      </c>
      <c r="U4384" s="38" t="str">
        <f>HYPERLINK("https://www.ncbi.nlm.nih.gov/pubmed/29119483","PubMed")</f>
        <v>PubMed</v>
      </c>
      <c r="V4384" s="110" t="s">
        <v>20885</v>
      </c>
      <c r="W4384" s="156"/>
      <c r="X4384" s="49"/>
      <c r="Y4384" s="35"/>
      <c r="Z4384" s="35"/>
      <c r="AA4384" s="35"/>
      <c r="AB4384" s="35"/>
      <c r="AC4384" s="35"/>
      <c r="AD4384" s="35"/>
      <c r="AE4384" s="35"/>
      <c r="AF4384" s="35"/>
      <c r="AG4384" s="35"/>
      <c r="AH4384" s="35"/>
      <c r="AI4384" s="35"/>
      <c r="AJ4384" s="35"/>
      <c r="AK4384" s="35"/>
      <c r="AL4384" s="35"/>
    </row>
    <row r="4385">
      <c r="A4385" s="1"/>
      <c r="B4385" s="19" t="s">
        <v>19332</v>
      </c>
      <c r="C4385" s="20" t="s">
        <v>20789</v>
      </c>
      <c r="D4385" s="47"/>
      <c r="E4385" s="22" t="s">
        <v>20886</v>
      </c>
      <c r="F4385" s="22" t="s">
        <v>2214</v>
      </c>
      <c r="G4385" s="23">
        <v>2018.0</v>
      </c>
      <c r="H4385" s="22" t="s">
        <v>20887</v>
      </c>
      <c r="I4385" s="24" t="s">
        <v>20888</v>
      </c>
      <c r="J4385" s="22" t="s">
        <v>20889</v>
      </c>
      <c r="K4385" s="22"/>
      <c r="L4385" s="36">
        <v>940.0</v>
      </c>
      <c r="M4385" s="36">
        <v>100.0</v>
      </c>
      <c r="N4385" s="36"/>
      <c r="O4385" s="36"/>
      <c r="P4385" s="37" t="s">
        <v>254</v>
      </c>
      <c r="Q4385" s="36"/>
      <c r="R4385" s="36" t="s">
        <v>20890</v>
      </c>
      <c r="S4385" s="36" t="s">
        <v>2302</v>
      </c>
      <c r="T4385" s="351" t="s">
        <v>20891</v>
      </c>
      <c r="U4385" s="38" t="str">
        <f>HYPERLINK("http://www.ijil.ui.ac.id/index.php/health/article/viewArticle/8547","Universitas Indonesia Journals")</f>
        <v>Universitas Indonesia Journals</v>
      </c>
      <c r="V4385" s="110"/>
      <c r="W4385" s="156"/>
      <c r="X4385" s="49"/>
      <c r="Y4385" s="35"/>
      <c r="Z4385" s="35"/>
      <c r="AA4385" s="35"/>
      <c r="AB4385" s="35"/>
      <c r="AC4385" s="35"/>
      <c r="AD4385" s="35"/>
      <c r="AE4385" s="35"/>
      <c r="AF4385" s="35"/>
      <c r="AG4385" s="35"/>
      <c r="AH4385" s="35"/>
      <c r="AI4385" s="35"/>
      <c r="AJ4385" s="35"/>
      <c r="AK4385" s="35"/>
      <c r="AL4385" s="35"/>
    </row>
    <row r="4386">
      <c r="A4386" s="1"/>
      <c r="B4386" s="19" t="s">
        <v>19332</v>
      </c>
      <c r="C4386" s="20" t="s">
        <v>20789</v>
      </c>
      <c r="D4386" s="47"/>
      <c r="E4386" s="22" t="s">
        <v>20892</v>
      </c>
      <c r="F4386" s="22" t="s">
        <v>8389</v>
      </c>
      <c r="G4386" s="23">
        <v>2018.0</v>
      </c>
      <c r="H4386" s="22" t="s">
        <v>658</v>
      </c>
      <c r="I4386" s="24" t="s">
        <v>20893</v>
      </c>
      <c r="J4386" s="22" t="s">
        <v>20894</v>
      </c>
      <c r="K4386" s="22" t="s">
        <v>20895</v>
      </c>
      <c r="L4386" s="36" t="s">
        <v>19963</v>
      </c>
      <c r="M4386" s="36" t="s">
        <v>20896</v>
      </c>
      <c r="N4386" s="36"/>
      <c r="O4386" s="36"/>
      <c r="P4386" s="37"/>
      <c r="Q4386" s="36"/>
      <c r="R4386" s="36"/>
      <c r="S4386" s="36" t="s">
        <v>10290</v>
      </c>
      <c r="T4386" s="351" t="s">
        <v>20897</v>
      </c>
      <c r="U4386" s="38" t="str">
        <f>HYPERLINK("https://www.ncbi.nlm.nih.gov/pubmed/29022754","PubMed")</f>
        <v>PubMed</v>
      </c>
      <c r="V4386" s="110"/>
      <c r="W4386" s="156"/>
      <c r="X4386" s="49"/>
      <c r="Y4386" s="35"/>
      <c r="Z4386" s="35"/>
      <c r="AA4386" s="35"/>
      <c r="AB4386" s="35"/>
      <c r="AC4386" s="35"/>
      <c r="AD4386" s="35"/>
      <c r="AE4386" s="35"/>
      <c r="AF4386" s="35"/>
      <c r="AG4386" s="35"/>
      <c r="AH4386" s="35"/>
      <c r="AI4386" s="35"/>
      <c r="AJ4386" s="35"/>
      <c r="AK4386" s="35"/>
      <c r="AL4386" s="35"/>
    </row>
    <row r="4387">
      <c r="A4387" s="1"/>
      <c r="B4387" s="19" t="s">
        <v>19332</v>
      </c>
      <c r="C4387" s="20" t="s">
        <v>20789</v>
      </c>
      <c r="D4387" s="47"/>
      <c r="E4387" s="22" t="s">
        <v>7600</v>
      </c>
      <c r="F4387" s="22" t="s">
        <v>41</v>
      </c>
      <c r="G4387" s="23">
        <v>2017.0</v>
      </c>
      <c r="H4387" s="22" t="s">
        <v>91</v>
      </c>
      <c r="I4387" s="24" t="s">
        <v>20898</v>
      </c>
      <c r="J4387" s="22" t="s">
        <v>20899</v>
      </c>
      <c r="K4387" s="22" t="s">
        <v>20900</v>
      </c>
      <c r="L4387" s="36">
        <v>808.0</v>
      </c>
      <c r="M4387" s="36">
        <v>30.0</v>
      </c>
      <c r="N4387" s="36" t="s">
        <v>14021</v>
      </c>
      <c r="O4387" s="36" t="s">
        <v>20901</v>
      </c>
      <c r="P4387" s="37" t="s">
        <v>704</v>
      </c>
      <c r="Q4387" s="36" t="s">
        <v>96</v>
      </c>
      <c r="R4387" s="36" t="s">
        <v>12605</v>
      </c>
      <c r="S4387" s="36" t="s">
        <v>18147</v>
      </c>
      <c r="T4387" s="351" t="s">
        <v>20902</v>
      </c>
      <c r="U4387" s="38" t="str">
        <f>HYPERLINK("https://www.ncbi.nlm.nih.gov/pubmed/28258315","PubMed")</f>
        <v>PubMed</v>
      </c>
      <c r="V4387" s="110"/>
      <c r="W4387" s="156"/>
      <c r="X4387" s="49"/>
      <c r="Y4387" s="35"/>
      <c r="Z4387" s="35"/>
      <c r="AA4387" s="35"/>
      <c r="AB4387" s="35"/>
      <c r="AC4387" s="35"/>
      <c r="AD4387" s="35"/>
      <c r="AE4387" s="35"/>
      <c r="AF4387" s="35"/>
      <c r="AG4387" s="35"/>
      <c r="AH4387" s="35"/>
      <c r="AI4387" s="35"/>
      <c r="AJ4387" s="35"/>
      <c r="AK4387" s="35"/>
      <c r="AL4387" s="35"/>
    </row>
    <row r="4388">
      <c r="A4388" s="1"/>
      <c r="B4388" s="19" t="s">
        <v>19332</v>
      </c>
      <c r="C4388" s="20" t="s">
        <v>20789</v>
      </c>
      <c r="D4388" s="47"/>
      <c r="E4388" s="22" t="s">
        <v>20903</v>
      </c>
      <c r="F4388" s="22" t="s">
        <v>6546</v>
      </c>
      <c r="G4388" s="23">
        <v>2016.0</v>
      </c>
      <c r="H4388" s="22" t="s">
        <v>658</v>
      </c>
      <c r="I4388" s="24" t="s">
        <v>20904</v>
      </c>
      <c r="J4388" s="22" t="s">
        <v>20905</v>
      </c>
      <c r="K4388" s="22" t="s">
        <v>20906</v>
      </c>
      <c r="L4388" s="36" t="s">
        <v>20907</v>
      </c>
      <c r="M4388" s="36">
        <v>35.0</v>
      </c>
      <c r="N4388" s="36"/>
      <c r="O4388" s="129">
        <v>43135.0</v>
      </c>
      <c r="P4388" s="37" t="s">
        <v>20908</v>
      </c>
      <c r="Q4388" s="36"/>
      <c r="R4388" s="36">
        <v>120.0</v>
      </c>
      <c r="S4388" s="36" t="s">
        <v>20909</v>
      </c>
      <c r="T4388" s="352" t="s">
        <v>20910</v>
      </c>
      <c r="U4388" s="38" t="str">
        <f>HYPERLINK("https://www.ncbi.nlm.nih.gov/pubmed/27415181","PubMed")</f>
        <v>PubMed</v>
      </c>
      <c r="V4388" s="110" t="s">
        <v>20911</v>
      </c>
      <c r="W4388" s="156"/>
      <c r="X4388" s="49"/>
      <c r="Y4388" s="35"/>
      <c r="Z4388" s="35"/>
      <c r="AA4388" s="35"/>
      <c r="AB4388" s="35"/>
      <c r="AC4388" s="35"/>
      <c r="AD4388" s="35"/>
      <c r="AE4388" s="35"/>
      <c r="AF4388" s="35"/>
      <c r="AG4388" s="35"/>
      <c r="AH4388" s="35"/>
      <c r="AI4388" s="35"/>
      <c r="AJ4388" s="35"/>
      <c r="AK4388" s="35"/>
      <c r="AL4388" s="35"/>
    </row>
    <row r="4389">
      <c r="A4389" s="1"/>
      <c r="B4389" s="19" t="s">
        <v>19332</v>
      </c>
      <c r="C4389" s="20" t="s">
        <v>20789</v>
      </c>
      <c r="D4389" s="47"/>
      <c r="E4389" s="22" t="s">
        <v>20912</v>
      </c>
      <c r="F4389" s="22" t="s">
        <v>41</v>
      </c>
      <c r="G4389" s="23">
        <v>2016.0</v>
      </c>
      <c r="H4389" s="22" t="s">
        <v>658</v>
      </c>
      <c r="I4389" s="24" t="s">
        <v>20913</v>
      </c>
      <c r="J4389" s="22" t="s">
        <v>20914</v>
      </c>
      <c r="K4389" s="22"/>
      <c r="L4389" s="36" t="s">
        <v>20915</v>
      </c>
      <c r="M4389" s="36" t="s">
        <v>20916</v>
      </c>
      <c r="N4389" s="36"/>
      <c r="O4389" s="129"/>
      <c r="P4389" s="37" t="s">
        <v>20917</v>
      </c>
      <c r="Q4389" s="36" t="s">
        <v>20918</v>
      </c>
      <c r="R4389" s="36">
        <v>10.0</v>
      </c>
      <c r="S4389" s="36" t="s">
        <v>13388</v>
      </c>
      <c r="T4389" s="351" t="s">
        <v>20919</v>
      </c>
      <c r="U4389" s="38" t="str">
        <f>HYPERLINK("https://www.ncbi.nlm.nih.gov/pubmed/27196626","PubMed")</f>
        <v>PubMed</v>
      </c>
      <c r="V4389" s="110"/>
      <c r="W4389" s="156"/>
      <c r="X4389" s="49"/>
      <c r="Y4389" s="35"/>
      <c r="Z4389" s="35"/>
      <c r="AA4389" s="35"/>
      <c r="AB4389" s="35"/>
      <c r="AC4389" s="35"/>
      <c r="AD4389" s="35"/>
      <c r="AE4389" s="35"/>
      <c r="AF4389" s="35"/>
      <c r="AG4389" s="35"/>
      <c r="AH4389" s="35"/>
      <c r="AI4389" s="35"/>
      <c r="AJ4389" s="35"/>
      <c r="AK4389" s="35"/>
      <c r="AL4389" s="35"/>
    </row>
    <row r="4390">
      <c r="A4390" s="1"/>
      <c r="B4390" s="19" t="s">
        <v>19332</v>
      </c>
      <c r="C4390" s="20" t="s">
        <v>20789</v>
      </c>
      <c r="D4390" s="47"/>
      <c r="E4390" s="22" t="s">
        <v>20912</v>
      </c>
      <c r="F4390" s="22" t="s">
        <v>41</v>
      </c>
      <c r="G4390" s="23">
        <v>2016.0</v>
      </c>
      <c r="H4390" s="22" t="s">
        <v>20920</v>
      </c>
      <c r="I4390" s="24" t="s">
        <v>20921</v>
      </c>
      <c r="J4390" s="22" t="s">
        <v>20922</v>
      </c>
      <c r="K4390" s="22"/>
      <c r="L4390" s="36" t="s">
        <v>20915</v>
      </c>
      <c r="M4390" s="36"/>
      <c r="N4390" s="36"/>
      <c r="O4390" s="129"/>
      <c r="P4390" s="37"/>
      <c r="Q4390" s="36"/>
      <c r="R4390" s="36"/>
      <c r="S4390" s="36" t="s">
        <v>13388</v>
      </c>
      <c r="T4390" s="351" t="s">
        <v>20923</v>
      </c>
      <c r="U4390" s="38" t="str">
        <f>HYPERLINK("https://www.ncbi.nlm.nih.gov/pubmed/27141130","PubMed")</f>
        <v>PubMed</v>
      </c>
      <c r="V4390" s="110"/>
      <c r="W4390" s="156"/>
      <c r="X4390" s="49"/>
      <c r="Y4390" s="35"/>
      <c r="Z4390" s="35"/>
      <c r="AA4390" s="35"/>
      <c r="AB4390" s="35"/>
      <c r="AC4390" s="35"/>
      <c r="AD4390" s="35"/>
      <c r="AE4390" s="35"/>
      <c r="AF4390" s="35"/>
      <c r="AG4390" s="35"/>
      <c r="AH4390" s="35"/>
      <c r="AI4390" s="35"/>
      <c r="AJ4390" s="35"/>
      <c r="AK4390" s="35"/>
      <c r="AL4390" s="35"/>
    </row>
    <row r="4391">
      <c r="A4391" s="1"/>
      <c r="B4391" s="19" t="s">
        <v>19332</v>
      </c>
      <c r="C4391" s="20" t="s">
        <v>20789</v>
      </c>
      <c r="D4391" s="47"/>
      <c r="E4391" s="22" t="s">
        <v>20924</v>
      </c>
      <c r="F4391" s="22" t="s">
        <v>797</v>
      </c>
      <c r="G4391" s="23">
        <v>2014.0</v>
      </c>
      <c r="H4391" s="22" t="s">
        <v>658</v>
      </c>
      <c r="I4391" s="24" t="s">
        <v>20925</v>
      </c>
      <c r="J4391" s="22" t="s">
        <v>20926</v>
      </c>
      <c r="K4391" s="22" t="s">
        <v>20900</v>
      </c>
      <c r="L4391" s="36">
        <v>830.0</v>
      </c>
      <c r="M4391" s="36">
        <v>100.0</v>
      </c>
      <c r="N4391" s="36" t="s">
        <v>278</v>
      </c>
      <c r="O4391" s="36" t="s">
        <v>8012</v>
      </c>
      <c r="P4391" s="37" t="s">
        <v>20927</v>
      </c>
      <c r="Q4391" s="36" t="s">
        <v>20928</v>
      </c>
      <c r="R4391" s="36">
        <v>20.0</v>
      </c>
      <c r="S4391" s="36" t="s">
        <v>2688</v>
      </c>
      <c r="T4391" s="350" t="s">
        <v>20929</v>
      </c>
      <c r="U4391" s="38" t="str">
        <f>HYPERLINK("https://www.ncbi.nlm.nih.gov/pubmed/25302460","PubMed")</f>
        <v>PubMed</v>
      </c>
      <c r="V4391" s="110"/>
      <c r="W4391" s="156"/>
      <c r="X4391" s="49"/>
      <c r="Y4391" s="35"/>
      <c r="Z4391" s="35"/>
      <c r="AA4391" s="35"/>
      <c r="AB4391" s="35"/>
      <c r="AC4391" s="35"/>
      <c r="AD4391" s="35"/>
      <c r="AE4391" s="35"/>
      <c r="AF4391" s="35"/>
      <c r="AG4391" s="35"/>
      <c r="AH4391" s="35"/>
      <c r="AI4391" s="35"/>
      <c r="AJ4391" s="35"/>
      <c r="AK4391" s="35"/>
      <c r="AL4391" s="35"/>
    </row>
    <row r="4392">
      <c r="A4392" s="1"/>
      <c r="B4392" s="19" t="s">
        <v>19332</v>
      </c>
      <c r="C4392" s="20" t="s">
        <v>20789</v>
      </c>
      <c r="D4392" s="47"/>
      <c r="E4392" s="22" t="s">
        <v>20930</v>
      </c>
      <c r="F4392" s="22" t="s">
        <v>2635</v>
      </c>
      <c r="G4392" s="23">
        <v>2015.0</v>
      </c>
      <c r="H4392" s="22" t="s">
        <v>91</v>
      </c>
      <c r="I4392" s="24" t="s">
        <v>20931</v>
      </c>
      <c r="J4392" s="22" t="s">
        <v>20932</v>
      </c>
      <c r="K4392" s="22" t="s">
        <v>2686</v>
      </c>
      <c r="L4392" s="36">
        <v>650.0</v>
      </c>
      <c r="M4392" s="36">
        <v>5.0</v>
      </c>
      <c r="N4392" s="36"/>
      <c r="O4392" s="36" t="s">
        <v>17283</v>
      </c>
      <c r="P4392" s="37" t="s">
        <v>20933</v>
      </c>
      <c r="Q4392" s="36"/>
      <c r="R4392" s="36" t="s">
        <v>4627</v>
      </c>
      <c r="S4392" s="36" t="s">
        <v>3233</v>
      </c>
      <c r="T4392" s="351" t="s">
        <v>20934</v>
      </c>
      <c r="U4392" s="38" t="str">
        <f>HYPERLINK("https://www.ncbi.nlm.nih.gov/pubmed/24820476","PubMed")</f>
        <v>PubMed</v>
      </c>
      <c r="V4392" s="110"/>
      <c r="W4392" s="156"/>
      <c r="X4392" s="49"/>
      <c r="Y4392" s="35"/>
      <c r="Z4392" s="35"/>
      <c r="AA4392" s="35"/>
      <c r="AB4392" s="35"/>
      <c r="AC4392" s="35"/>
      <c r="AD4392" s="35"/>
      <c r="AE4392" s="35"/>
      <c r="AF4392" s="35"/>
      <c r="AG4392" s="35"/>
      <c r="AH4392" s="35"/>
      <c r="AI4392" s="35"/>
      <c r="AJ4392" s="35"/>
      <c r="AK4392" s="35"/>
      <c r="AL4392" s="35"/>
    </row>
    <row r="4393">
      <c r="A4393" s="1"/>
      <c r="B4393" s="19" t="s">
        <v>19332</v>
      </c>
      <c r="C4393" s="20" t="s">
        <v>20789</v>
      </c>
      <c r="D4393" s="47"/>
      <c r="E4393" s="22" t="s">
        <v>20935</v>
      </c>
      <c r="F4393" s="22" t="s">
        <v>19972</v>
      </c>
      <c r="G4393" s="23">
        <v>2011.0</v>
      </c>
      <c r="H4393" s="22" t="s">
        <v>658</v>
      </c>
      <c r="I4393" s="24" t="s">
        <v>20936</v>
      </c>
      <c r="J4393" s="22" t="s">
        <v>20937</v>
      </c>
      <c r="K4393" s="22"/>
      <c r="L4393" s="36">
        <v>904.0</v>
      </c>
      <c r="M4393" s="36"/>
      <c r="N4393" s="36" t="s">
        <v>20938</v>
      </c>
      <c r="O4393" s="36"/>
      <c r="P4393" s="37" t="s">
        <v>20939</v>
      </c>
      <c r="Q4393" s="36"/>
      <c r="R4393" s="36">
        <v>120.0</v>
      </c>
      <c r="S4393" s="36" t="s">
        <v>10290</v>
      </c>
      <c r="T4393" s="351" t="s">
        <v>20940</v>
      </c>
      <c r="U4393" s="38" t="str">
        <f>HYPERLINK("http://www.ncbi.nlm.nih.gov/pubmed/21054200","PubMed")</f>
        <v>PubMed</v>
      </c>
      <c r="V4393" s="110" t="s">
        <v>20941</v>
      </c>
      <c r="W4393" s="156"/>
      <c r="X4393" s="49"/>
      <c r="Y4393" s="35"/>
      <c r="Z4393" s="35"/>
      <c r="AA4393" s="35"/>
      <c r="AB4393" s="35"/>
      <c r="AC4393" s="35"/>
      <c r="AD4393" s="35"/>
      <c r="AE4393" s="35"/>
      <c r="AF4393" s="35"/>
      <c r="AG4393" s="35"/>
      <c r="AH4393" s="35"/>
      <c r="AI4393" s="35"/>
      <c r="AJ4393" s="35"/>
      <c r="AK4393" s="35"/>
      <c r="AL4393" s="35"/>
    </row>
    <row r="4394">
      <c r="A4394" s="1"/>
      <c r="B4394" s="19" t="s">
        <v>19332</v>
      </c>
      <c r="C4394" s="20" t="s">
        <v>20789</v>
      </c>
      <c r="D4394" s="47"/>
      <c r="E4394" s="22" t="s">
        <v>20942</v>
      </c>
      <c r="F4394" s="22" t="s">
        <v>41</v>
      </c>
      <c r="G4394" s="23">
        <v>2010.0</v>
      </c>
      <c r="H4394" s="22" t="s">
        <v>658</v>
      </c>
      <c r="I4394" s="24" t="s">
        <v>20943</v>
      </c>
      <c r="J4394" s="22" t="s">
        <v>20944</v>
      </c>
      <c r="K4394" s="22" t="s">
        <v>20945</v>
      </c>
      <c r="L4394" s="36">
        <v>660.0</v>
      </c>
      <c r="M4394" s="36">
        <v>40.0</v>
      </c>
      <c r="N4394" s="36"/>
      <c r="O4394" s="36" t="s">
        <v>8744</v>
      </c>
      <c r="P4394" s="37" t="s">
        <v>82</v>
      </c>
      <c r="Q4394" s="36"/>
      <c r="R4394" s="36"/>
      <c r="S4394" s="36" t="s">
        <v>20946</v>
      </c>
      <c r="T4394" s="28" t="s">
        <v>20947</v>
      </c>
      <c r="U4394" s="38" t="str">
        <f>HYPERLINK("https://www.ncbi.nlm.nih.gov/pubmed/19814701","PubMed")</f>
        <v>PubMed</v>
      </c>
      <c r="V4394" s="30"/>
      <c r="W4394" s="156"/>
      <c r="X4394" s="49"/>
      <c r="Y4394" s="35"/>
      <c r="Z4394" s="35"/>
      <c r="AA4394" s="35"/>
      <c r="AB4394" s="35"/>
      <c r="AC4394" s="35"/>
      <c r="AD4394" s="35"/>
      <c r="AE4394" s="35"/>
      <c r="AF4394" s="35"/>
      <c r="AG4394" s="35"/>
      <c r="AH4394" s="35"/>
      <c r="AI4394" s="35"/>
      <c r="AJ4394" s="35"/>
      <c r="AK4394" s="35"/>
      <c r="AL4394" s="35"/>
    </row>
    <row r="4395">
      <c r="A4395" s="1"/>
      <c r="B4395" s="19" t="s">
        <v>19332</v>
      </c>
      <c r="C4395" s="20" t="s">
        <v>20789</v>
      </c>
      <c r="D4395" s="47"/>
      <c r="E4395" s="22" t="s">
        <v>20948</v>
      </c>
      <c r="F4395" s="22" t="s">
        <v>19972</v>
      </c>
      <c r="G4395" s="23">
        <v>2010.0</v>
      </c>
      <c r="H4395" s="22" t="s">
        <v>13657</v>
      </c>
      <c r="I4395" s="24" t="s">
        <v>20949</v>
      </c>
      <c r="J4395" s="22" t="s">
        <v>20950</v>
      </c>
      <c r="K4395" s="22"/>
      <c r="L4395" s="36"/>
      <c r="M4395" s="36"/>
      <c r="N4395" s="36"/>
      <c r="O4395" s="36"/>
      <c r="P4395" s="37"/>
      <c r="Q4395" s="36"/>
      <c r="R4395" s="36"/>
      <c r="S4395" s="36">
        <v>10.0</v>
      </c>
      <c r="T4395" s="28" t="s">
        <v>20951</v>
      </c>
      <c r="U4395" s="38" t="str">
        <f>HYPERLINK("http://www.ncbi.nlm.nih.gov/pubmed/20977100","PubMed")</f>
        <v>PubMed</v>
      </c>
      <c r="V4395" s="30" t="s">
        <v>20952</v>
      </c>
      <c r="W4395" s="156"/>
      <c r="X4395" s="49"/>
      <c r="Y4395" s="35"/>
      <c r="Z4395" s="35"/>
      <c r="AA4395" s="35"/>
      <c r="AB4395" s="35"/>
      <c r="AC4395" s="35"/>
      <c r="AD4395" s="35"/>
      <c r="AE4395" s="35"/>
      <c r="AF4395" s="35"/>
      <c r="AG4395" s="35"/>
      <c r="AH4395" s="35"/>
      <c r="AI4395" s="35"/>
      <c r="AJ4395" s="35"/>
      <c r="AK4395" s="35"/>
      <c r="AL4395" s="35"/>
    </row>
    <row r="4396">
      <c r="A4396" s="1"/>
      <c r="B4396" s="19" t="s">
        <v>19332</v>
      </c>
      <c r="C4396" s="20" t="s">
        <v>20789</v>
      </c>
      <c r="D4396" s="47"/>
      <c r="E4396" s="22" t="s">
        <v>20942</v>
      </c>
      <c r="F4396" s="22" t="s">
        <v>41</v>
      </c>
      <c r="G4396" s="23">
        <v>2009.0</v>
      </c>
      <c r="H4396" s="22" t="s">
        <v>20953</v>
      </c>
      <c r="I4396" s="24" t="s">
        <v>20954</v>
      </c>
      <c r="J4396" s="22" t="s">
        <v>7651</v>
      </c>
      <c r="K4396" s="22"/>
      <c r="L4396" s="36">
        <v>780.0</v>
      </c>
      <c r="M4396" s="36">
        <v>15.0</v>
      </c>
      <c r="N4396" s="36"/>
      <c r="O4396" s="36"/>
      <c r="P4396" s="37" t="s">
        <v>6531</v>
      </c>
      <c r="Q4396" s="36"/>
      <c r="R4396" s="36"/>
      <c r="S4396" s="36" t="s">
        <v>20955</v>
      </c>
      <c r="T4396" s="28" t="s">
        <v>20956</v>
      </c>
      <c r="U4396" s="38" t="str">
        <f>HYPERLINK("https://www.ncbi.nlm.nih.gov/pubmed/19938253","PubMed")</f>
        <v>PubMed</v>
      </c>
      <c r="V4396" s="30"/>
      <c r="W4396" s="156"/>
      <c r="X4396" s="49"/>
      <c r="Y4396" s="35"/>
      <c r="Z4396" s="35"/>
      <c r="AA4396" s="35"/>
      <c r="AB4396" s="35"/>
      <c r="AC4396" s="35"/>
      <c r="AD4396" s="35"/>
      <c r="AE4396" s="35"/>
      <c r="AF4396" s="35"/>
      <c r="AG4396" s="35"/>
      <c r="AH4396" s="35"/>
      <c r="AI4396" s="35"/>
      <c r="AJ4396" s="35"/>
      <c r="AK4396" s="35"/>
      <c r="AL4396" s="35"/>
    </row>
    <row r="4397">
      <c r="A4397" s="1"/>
      <c r="B4397" s="19" t="s">
        <v>19332</v>
      </c>
      <c r="C4397" s="20" t="s">
        <v>20789</v>
      </c>
      <c r="D4397" s="47"/>
      <c r="E4397" s="22" t="s">
        <v>1059</v>
      </c>
      <c r="F4397" s="22" t="s">
        <v>20957</v>
      </c>
      <c r="G4397" s="23">
        <v>2006.0</v>
      </c>
      <c r="H4397" s="22" t="s">
        <v>20920</v>
      </c>
      <c r="I4397" s="24" t="s">
        <v>20958</v>
      </c>
      <c r="J4397" s="22" t="s">
        <v>20959</v>
      </c>
      <c r="K4397" s="22"/>
      <c r="L4397" s="36">
        <v>685.0</v>
      </c>
      <c r="M4397" s="36">
        <v>35.0</v>
      </c>
      <c r="N4397" s="36"/>
      <c r="O4397" s="36"/>
      <c r="P4397" s="37" t="s">
        <v>8012</v>
      </c>
      <c r="Q4397" s="36"/>
      <c r="R4397" s="36">
        <v>58.0</v>
      </c>
      <c r="S4397" s="36" t="s">
        <v>1773</v>
      </c>
      <c r="T4397" s="28" t="s">
        <v>20960</v>
      </c>
      <c r="U4397" s="38" t="str">
        <f>HYPERLINK("http://www.scielo.br/scielo.php?pid=S0100-39842006000200012&amp;script=sci_arttext&amp;tlng=en","SciELO")</f>
        <v>SciELO</v>
      </c>
      <c r="V4397" s="30"/>
      <c r="W4397" s="156"/>
      <c r="X4397" s="49"/>
      <c r="Y4397" s="35"/>
      <c r="Z4397" s="35"/>
      <c r="AA4397" s="35"/>
      <c r="AB4397" s="35"/>
      <c r="AC4397" s="35"/>
      <c r="AD4397" s="35"/>
      <c r="AE4397" s="35"/>
      <c r="AF4397" s="35"/>
      <c r="AG4397" s="35"/>
      <c r="AH4397" s="35"/>
      <c r="AI4397" s="35"/>
      <c r="AJ4397" s="35"/>
      <c r="AK4397" s="35"/>
      <c r="AL4397" s="35"/>
    </row>
    <row r="4398">
      <c r="A4398" s="1"/>
      <c r="B4398" s="19" t="s">
        <v>19332</v>
      </c>
      <c r="C4398" s="20" t="s">
        <v>20961</v>
      </c>
      <c r="D4398" s="47"/>
      <c r="E4398" s="22" t="s">
        <v>20962</v>
      </c>
      <c r="F4398" s="22" t="s">
        <v>237</v>
      </c>
      <c r="G4398" s="23">
        <v>2024.0</v>
      </c>
      <c r="H4398" s="22" t="s">
        <v>77</v>
      </c>
      <c r="I4398" s="24" t="s">
        <v>20963</v>
      </c>
      <c r="J4398" s="22" t="s">
        <v>20964</v>
      </c>
      <c r="K4398" s="22"/>
      <c r="L4398" s="36"/>
      <c r="M4398" s="36"/>
      <c r="N4398" s="36"/>
      <c r="O4398" s="36"/>
      <c r="P4398" s="37"/>
      <c r="Q4398" s="36"/>
      <c r="R4398" s="36"/>
      <c r="S4398" s="36"/>
      <c r="T4398" s="353" t="s">
        <v>20965</v>
      </c>
      <c r="U4398" s="38" t="s">
        <v>61</v>
      </c>
      <c r="V4398" s="30"/>
      <c r="W4398" s="156"/>
      <c r="X4398" s="49"/>
      <c r="Y4398" s="35"/>
      <c r="Z4398" s="35"/>
      <c r="AA4398" s="35"/>
      <c r="AB4398" s="35"/>
      <c r="AC4398" s="35"/>
      <c r="AD4398" s="35"/>
      <c r="AE4398" s="35"/>
      <c r="AF4398" s="35"/>
      <c r="AG4398" s="35"/>
      <c r="AH4398" s="35"/>
      <c r="AI4398" s="35"/>
      <c r="AJ4398" s="35"/>
      <c r="AK4398" s="35"/>
      <c r="AL4398" s="35"/>
    </row>
    <row r="4399">
      <c r="A4399" s="1"/>
      <c r="B4399" s="19" t="s">
        <v>19332</v>
      </c>
      <c r="C4399" s="20" t="s">
        <v>20961</v>
      </c>
      <c r="D4399" s="47"/>
      <c r="E4399" s="22" t="s">
        <v>16289</v>
      </c>
      <c r="F4399" s="22" t="s">
        <v>19727</v>
      </c>
      <c r="G4399" s="23">
        <v>2021.0</v>
      </c>
      <c r="H4399" s="22" t="s">
        <v>8177</v>
      </c>
      <c r="I4399" s="24" t="s">
        <v>20966</v>
      </c>
      <c r="J4399" s="22" t="s">
        <v>20967</v>
      </c>
      <c r="K4399" s="22"/>
      <c r="L4399" s="36" t="s">
        <v>6257</v>
      </c>
      <c r="M4399" s="36">
        <v>100.0</v>
      </c>
      <c r="N4399" s="36"/>
      <c r="O4399" s="36"/>
      <c r="P4399" s="37"/>
      <c r="Q4399" s="36"/>
      <c r="R4399" s="36"/>
      <c r="S4399" s="36"/>
      <c r="T4399" s="28" t="s">
        <v>20968</v>
      </c>
      <c r="U4399" s="29" t="s">
        <v>61</v>
      </c>
      <c r="V4399" s="30"/>
      <c r="W4399" s="156"/>
      <c r="X4399" s="49"/>
      <c r="Y4399" s="35"/>
      <c r="Z4399" s="35"/>
      <c r="AA4399" s="35"/>
      <c r="AB4399" s="35"/>
      <c r="AC4399" s="35"/>
      <c r="AD4399" s="35"/>
      <c r="AE4399" s="35"/>
      <c r="AF4399" s="35"/>
      <c r="AG4399" s="35"/>
      <c r="AH4399" s="35"/>
      <c r="AI4399" s="35"/>
      <c r="AJ4399" s="35"/>
      <c r="AK4399" s="35"/>
      <c r="AL4399" s="35"/>
    </row>
    <row r="4400">
      <c r="A4400" s="1"/>
      <c r="B4400" s="19" t="s">
        <v>19332</v>
      </c>
      <c r="C4400" s="20" t="s">
        <v>20969</v>
      </c>
      <c r="D4400" s="47"/>
      <c r="E4400" s="22" t="s">
        <v>20970</v>
      </c>
      <c r="F4400" s="22" t="s">
        <v>2635</v>
      </c>
      <c r="G4400" s="23">
        <v>2017.0</v>
      </c>
      <c r="H4400" s="22" t="s">
        <v>7246</v>
      </c>
      <c r="I4400" s="24" t="s">
        <v>20971</v>
      </c>
      <c r="J4400" s="22" t="s">
        <v>20972</v>
      </c>
      <c r="K4400" s="22"/>
      <c r="L4400" s="36">
        <v>904.0</v>
      </c>
      <c r="M4400" s="36"/>
      <c r="N4400" s="36"/>
      <c r="O4400" s="36" t="s">
        <v>15919</v>
      </c>
      <c r="P4400" s="37" t="s">
        <v>20973</v>
      </c>
      <c r="Q4400" s="36" t="s">
        <v>20974</v>
      </c>
      <c r="R4400" s="36">
        <v>900.0</v>
      </c>
      <c r="S4400" s="36" t="s">
        <v>6403</v>
      </c>
      <c r="T4400" s="28" t="s">
        <v>20975</v>
      </c>
      <c r="U4400" s="38" t="str">
        <f>HYPERLINK("https://www.ncbi.nlm.nih.gov/pubmed/27535037","PubMed")</f>
        <v>PubMed</v>
      </c>
      <c r="V4400" s="30"/>
      <c r="W4400" s="156"/>
      <c r="X4400" s="49"/>
      <c r="Y4400" s="35"/>
      <c r="Z4400" s="35"/>
      <c r="AA4400" s="35"/>
      <c r="AB4400" s="35"/>
      <c r="AC4400" s="35"/>
      <c r="AD4400" s="35"/>
      <c r="AE4400" s="35"/>
      <c r="AF4400" s="35"/>
      <c r="AG4400" s="35"/>
      <c r="AH4400" s="35"/>
      <c r="AI4400" s="35"/>
      <c r="AJ4400" s="35"/>
      <c r="AK4400" s="35"/>
      <c r="AL4400" s="35"/>
    </row>
    <row r="4401">
      <c r="A4401" s="40"/>
      <c r="B4401" s="19" t="s">
        <v>19332</v>
      </c>
      <c r="C4401" s="20" t="s">
        <v>197</v>
      </c>
      <c r="D4401" s="47"/>
      <c r="E4401" s="22" t="s">
        <v>20976</v>
      </c>
      <c r="F4401" s="22" t="s">
        <v>3202</v>
      </c>
      <c r="G4401" s="23">
        <v>2019.0</v>
      </c>
      <c r="H4401" s="22" t="s">
        <v>77</v>
      </c>
      <c r="I4401" s="24" t="s">
        <v>20977</v>
      </c>
      <c r="J4401" s="22" t="s">
        <v>3289</v>
      </c>
      <c r="K4401" s="22"/>
      <c r="L4401" s="195" t="s">
        <v>20978</v>
      </c>
      <c r="M4401" s="44"/>
      <c r="N4401" s="44"/>
      <c r="O4401" s="44"/>
      <c r="P4401" s="44"/>
      <c r="Q4401" s="44"/>
      <c r="R4401" s="44"/>
      <c r="S4401" s="44"/>
      <c r="T4401" s="45"/>
      <c r="U4401" s="38" t="str">
        <f>HYPERLINK("https://www.ncbi.nlm.nih.gov/pubmed/31750781","PubMed")</f>
        <v>PubMed</v>
      </c>
      <c r="V4401" s="30"/>
      <c r="W4401" s="156"/>
      <c r="X4401" s="49"/>
      <c r="Y4401" s="35"/>
      <c r="Z4401" s="35"/>
      <c r="AA4401" s="35"/>
      <c r="AB4401" s="35"/>
      <c r="AC4401" s="35"/>
      <c r="AD4401" s="35"/>
      <c r="AE4401" s="35"/>
      <c r="AF4401" s="35"/>
      <c r="AG4401" s="35"/>
      <c r="AH4401" s="35"/>
      <c r="AI4401" s="35"/>
      <c r="AJ4401" s="35"/>
      <c r="AK4401" s="35"/>
      <c r="AL4401" s="35"/>
    </row>
    <row r="4402">
      <c r="A4402" s="40"/>
      <c r="B4402" s="19" t="s">
        <v>19332</v>
      </c>
      <c r="C4402" s="20" t="s">
        <v>20979</v>
      </c>
      <c r="D4402" s="47"/>
      <c r="E4402" s="22" t="s">
        <v>20980</v>
      </c>
      <c r="F4402" s="22" t="s">
        <v>11529</v>
      </c>
      <c r="G4402" s="23">
        <v>2014.0</v>
      </c>
      <c r="H4402" s="22" t="s">
        <v>469</v>
      </c>
      <c r="I4402" s="24" t="s">
        <v>20981</v>
      </c>
      <c r="J4402" s="22" t="s">
        <v>20982</v>
      </c>
      <c r="K4402" s="22"/>
      <c r="L4402" s="36">
        <v>660.0</v>
      </c>
      <c r="M4402" s="36"/>
      <c r="N4402" s="36"/>
      <c r="O4402" s="36"/>
      <c r="P4402" s="37"/>
      <c r="Q4402" s="36"/>
      <c r="R4402" s="36"/>
      <c r="S4402" s="36"/>
      <c r="T4402" s="42" t="s">
        <v>20983</v>
      </c>
      <c r="U4402" s="29" t="s">
        <v>61</v>
      </c>
      <c r="V4402" s="30"/>
      <c r="W4402" s="156"/>
      <c r="X4402" s="49"/>
      <c r="Y4402" s="35"/>
      <c r="Z4402" s="35"/>
      <c r="AA4402" s="35"/>
      <c r="AB4402" s="35"/>
      <c r="AC4402" s="35"/>
      <c r="AD4402" s="35"/>
      <c r="AE4402" s="35"/>
      <c r="AF4402" s="35"/>
      <c r="AG4402" s="35"/>
      <c r="AH4402" s="35"/>
      <c r="AI4402" s="35"/>
      <c r="AJ4402" s="35"/>
      <c r="AK4402" s="35"/>
      <c r="AL4402" s="35"/>
    </row>
    <row r="4403">
      <c r="A4403" s="40"/>
      <c r="B4403" s="19" t="s">
        <v>19332</v>
      </c>
      <c r="C4403" s="20" t="s">
        <v>20979</v>
      </c>
      <c r="D4403" s="47"/>
      <c r="E4403" s="22" t="s">
        <v>20984</v>
      </c>
      <c r="F4403" s="22" t="s">
        <v>510</v>
      </c>
      <c r="G4403" s="23">
        <v>2007.0</v>
      </c>
      <c r="H4403" s="22" t="s">
        <v>658</v>
      </c>
      <c r="I4403" s="24" t="s">
        <v>20985</v>
      </c>
      <c r="J4403" s="22" t="s">
        <v>20986</v>
      </c>
      <c r="K4403" s="22"/>
      <c r="L4403" s="36">
        <v>810.0</v>
      </c>
      <c r="M4403" s="36"/>
      <c r="N4403" s="36" t="s">
        <v>909</v>
      </c>
      <c r="O4403" s="36"/>
      <c r="P4403" s="37"/>
      <c r="Q4403" s="36"/>
      <c r="R4403" s="36"/>
      <c r="S4403" s="36"/>
      <c r="T4403" s="28" t="s">
        <v>20987</v>
      </c>
      <c r="U4403" s="38" t="str">
        <f>HYPERLINK("https://www.ncbi.nlm.nih.gov/pubmed/18158752","PubMed")</f>
        <v>PubMed</v>
      </c>
      <c r="V4403" s="30"/>
      <c r="W4403" s="156"/>
      <c r="X4403" s="49"/>
      <c r="Y4403" s="35"/>
      <c r="Z4403" s="35"/>
      <c r="AA4403" s="35"/>
      <c r="AB4403" s="35"/>
      <c r="AC4403" s="35"/>
      <c r="AD4403" s="35"/>
      <c r="AE4403" s="35"/>
      <c r="AF4403" s="35"/>
      <c r="AG4403" s="35"/>
      <c r="AH4403" s="35"/>
      <c r="AI4403" s="35"/>
      <c r="AJ4403" s="35"/>
      <c r="AK4403" s="35"/>
      <c r="AL4403" s="35"/>
    </row>
    <row r="4404">
      <c r="A4404" s="40"/>
      <c r="B4404" s="19" t="s">
        <v>19332</v>
      </c>
      <c r="C4404" s="20" t="s">
        <v>20988</v>
      </c>
      <c r="D4404" s="47"/>
      <c r="E4404" s="22" t="s">
        <v>19459</v>
      </c>
      <c r="F4404" s="22" t="s">
        <v>323</v>
      </c>
      <c r="G4404" s="23">
        <v>2018.0</v>
      </c>
      <c r="H4404" s="22" t="s">
        <v>147</v>
      </c>
      <c r="I4404" s="24" t="s">
        <v>20989</v>
      </c>
      <c r="J4404" s="22" t="s">
        <v>20990</v>
      </c>
      <c r="K4404" s="22"/>
      <c r="L4404" s="36">
        <v>980.0</v>
      </c>
      <c r="M4404" s="36"/>
      <c r="N4404" s="36"/>
      <c r="O4404" s="36"/>
      <c r="P4404" s="37" t="s">
        <v>5401</v>
      </c>
      <c r="Q4404" s="36"/>
      <c r="R4404" s="36">
        <v>20.0</v>
      </c>
      <c r="S4404" s="36">
        <v>1.0</v>
      </c>
      <c r="T4404" s="28" t="s">
        <v>20991</v>
      </c>
      <c r="U4404" s="38" t="str">
        <f>HYPERLINK("https://www.ncbi.nlm.nih.gov/pubmed/29399304","PubMed")</f>
        <v>PubMed</v>
      </c>
      <c r="V4404" s="30"/>
      <c r="W4404" s="156"/>
      <c r="X4404" s="49"/>
      <c r="Y4404" s="35"/>
      <c r="Z4404" s="35"/>
      <c r="AA4404" s="35"/>
      <c r="AB4404" s="35"/>
      <c r="AC4404" s="35"/>
      <c r="AD4404" s="35"/>
      <c r="AE4404" s="35"/>
      <c r="AF4404" s="35"/>
      <c r="AG4404" s="35"/>
      <c r="AH4404" s="35"/>
      <c r="AI4404" s="35"/>
      <c r="AJ4404" s="35"/>
      <c r="AK4404" s="35"/>
      <c r="AL4404" s="35"/>
    </row>
    <row r="4405">
      <c r="A4405" s="40"/>
      <c r="B4405" s="19" t="s">
        <v>19332</v>
      </c>
      <c r="C4405" s="20" t="s">
        <v>20992</v>
      </c>
      <c r="D4405" s="47"/>
      <c r="E4405" s="22" t="s">
        <v>20993</v>
      </c>
      <c r="F4405" s="22" t="s">
        <v>323</v>
      </c>
      <c r="G4405" s="23">
        <v>2020.0</v>
      </c>
      <c r="H4405" s="22" t="s">
        <v>207</v>
      </c>
      <c r="I4405" s="24" t="s">
        <v>20994</v>
      </c>
      <c r="J4405" s="22" t="s">
        <v>2049</v>
      </c>
      <c r="K4405" s="22"/>
      <c r="L4405" s="36">
        <v>810.0</v>
      </c>
      <c r="M4405" s="36">
        <v>300.0</v>
      </c>
      <c r="N4405" s="36"/>
      <c r="O4405" s="36"/>
      <c r="P4405" s="37" t="s">
        <v>20995</v>
      </c>
      <c r="Q4405" s="36"/>
      <c r="R4405" s="36">
        <v>9.0</v>
      </c>
      <c r="S4405" s="36"/>
      <c r="T4405" s="28" t="s">
        <v>20996</v>
      </c>
      <c r="U4405" s="38" t="str">
        <f>HYPERLINK("https://www.ncbi.nlm.nih.gov/pubmed/32283500","PubMed")</f>
        <v>PubMed</v>
      </c>
      <c r="V4405" s="30"/>
      <c r="W4405" s="156"/>
      <c r="X4405" s="49"/>
      <c r="Y4405" s="35"/>
      <c r="Z4405" s="35"/>
      <c r="AA4405" s="35"/>
      <c r="AB4405" s="35"/>
      <c r="AC4405" s="35"/>
      <c r="AD4405" s="35"/>
      <c r="AE4405" s="35"/>
      <c r="AF4405" s="35"/>
      <c r="AG4405" s="35"/>
      <c r="AH4405" s="35"/>
      <c r="AI4405" s="35"/>
      <c r="AJ4405" s="35"/>
      <c r="AK4405" s="35"/>
      <c r="AL4405" s="35"/>
    </row>
    <row r="4406">
      <c r="A4406" s="40"/>
      <c r="B4406" s="19" t="s">
        <v>19332</v>
      </c>
      <c r="C4406" s="20" t="s">
        <v>20992</v>
      </c>
      <c r="D4406" s="47"/>
      <c r="E4406" s="22" t="s">
        <v>20997</v>
      </c>
      <c r="F4406" s="22" t="s">
        <v>797</v>
      </c>
      <c r="G4406" s="23">
        <v>2019.0</v>
      </c>
      <c r="H4406" s="22" t="s">
        <v>756</v>
      </c>
      <c r="I4406" s="24" t="s">
        <v>20998</v>
      </c>
      <c r="J4406" s="22" t="s">
        <v>55</v>
      </c>
      <c r="K4406" s="22"/>
      <c r="L4406" s="36">
        <v>660.0</v>
      </c>
      <c r="M4406" s="36">
        <v>100.0</v>
      </c>
      <c r="N4406" s="36"/>
      <c r="O4406" s="36"/>
      <c r="P4406" s="37" t="s">
        <v>969</v>
      </c>
      <c r="Q4406" s="36" t="s">
        <v>16965</v>
      </c>
      <c r="R4406" s="36" t="s">
        <v>20999</v>
      </c>
      <c r="S4406" s="36"/>
      <c r="T4406" s="28" t="s">
        <v>21000</v>
      </c>
      <c r="U4406" s="38" t="str">
        <f>HYPERLINK("https://www.ncbi.nlm.nih.gov/pubmed/31460610","PubMed")</f>
        <v>PubMed</v>
      </c>
      <c r="V4406" s="30"/>
      <c r="W4406" s="156"/>
      <c r="X4406" s="49"/>
      <c r="Y4406" s="35"/>
      <c r="Z4406" s="35"/>
      <c r="AA4406" s="35"/>
      <c r="AB4406" s="35"/>
      <c r="AC4406" s="35"/>
      <c r="AD4406" s="35"/>
      <c r="AE4406" s="35"/>
      <c r="AF4406" s="35"/>
      <c r="AG4406" s="35"/>
      <c r="AH4406" s="35"/>
      <c r="AI4406" s="35"/>
      <c r="AJ4406" s="35"/>
      <c r="AK4406" s="35"/>
      <c r="AL4406" s="35"/>
    </row>
    <row r="4407">
      <c r="A4407" s="191"/>
      <c r="B4407" s="19" t="s">
        <v>19332</v>
      </c>
      <c r="C4407" s="20" t="s">
        <v>21001</v>
      </c>
      <c r="D4407" s="47"/>
      <c r="E4407" s="22" t="s">
        <v>21002</v>
      </c>
      <c r="F4407" s="22" t="s">
        <v>41</v>
      </c>
      <c r="G4407" s="23">
        <v>2007.0</v>
      </c>
      <c r="H4407" s="22" t="s">
        <v>555</v>
      </c>
      <c r="I4407" s="24" t="s">
        <v>21003</v>
      </c>
      <c r="J4407" s="22" t="s">
        <v>21004</v>
      </c>
      <c r="K4407" s="22"/>
      <c r="L4407" s="36">
        <v>660.0</v>
      </c>
      <c r="M4407" s="36">
        <v>30.0</v>
      </c>
      <c r="N4407" s="36"/>
      <c r="O4407" s="36"/>
      <c r="P4407" s="37"/>
      <c r="Q4407" s="36"/>
      <c r="R4407" s="36"/>
      <c r="S4407" s="36"/>
      <c r="T4407" s="28" t="s">
        <v>21005</v>
      </c>
      <c r="U4407" s="29" t="s">
        <v>61</v>
      </c>
      <c r="V4407" s="30"/>
      <c r="W4407" s="156"/>
      <c r="X4407" s="49"/>
      <c r="Y4407" s="35"/>
      <c r="Z4407" s="35"/>
      <c r="AA4407" s="35"/>
      <c r="AB4407" s="35"/>
      <c r="AC4407" s="35"/>
      <c r="AD4407" s="35"/>
      <c r="AE4407" s="35"/>
      <c r="AF4407" s="35"/>
      <c r="AG4407" s="35"/>
      <c r="AH4407" s="35"/>
      <c r="AI4407" s="35"/>
      <c r="AJ4407" s="35"/>
      <c r="AK4407" s="35"/>
      <c r="AL4407" s="35"/>
    </row>
    <row r="4408">
      <c r="A4408" s="191" t="s">
        <v>181</v>
      </c>
      <c r="B4408" s="19" t="s">
        <v>19332</v>
      </c>
      <c r="C4408" s="20" t="s">
        <v>21006</v>
      </c>
      <c r="D4408" s="47"/>
      <c r="E4408" s="22" t="s">
        <v>21007</v>
      </c>
      <c r="F4408" s="22" t="s">
        <v>21008</v>
      </c>
      <c r="G4408" s="23">
        <v>2011.0</v>
      </c>
      <c r="H4408" s="22" t="s">
        <v>21009</v>
      </c>
      <c r="I4408" s="24" t="s">
        <v>21010</v>
      </c>
      <c r="J4408" s="22" t="s">
        <v>55</v>
      </c>
      <c r="K4408" s="22"/>
      <c r="L4408" s="36">
        <v>810.0</v>
      </c>
      <c r="M4408" s="36" t="s">
        <v>21011</v>
      </c>
      <c r="N4408" s="36"/>
      <c r="O4408" s="36"/>
      <c r="P4408" s="37"/>
      <c r="Q4408" s="36"/>
      <c r="R4408" s="36" t="s">
        <v>21012</v>
      </c>
      <c r="S4408" s="36"/>
      <c r="T4408" s="28" t="s">
        <v>21013</v>
      </c>
      <c r="U4408" s="38" t="str">
        <f>HYPERLINK("https://www.ncbi.nlm.nih.gov/pubmed/21763899","PubMed")</f>
        <v>PubMed</v>
      </c>
      <c r="V4408" s="30"/>
      <c r="W4408" s="156"/>
      <c r="X4408" s="49"/>
      <c r="Y4408" s="35"/>
      <c r="Z4408" s="35"/>
      <c r="AA4408" s="35"/>
      <c r="AB4408" s="35"/>
      <c r="AC4408" s="35"/>
      <c r="AD4408" s="35"/>
      <c r="AE4408" s="35"/>
      <c r="AF4408" s="35"/>
      <c r="AG4408" s="35"/>
      <c r="AH4408" s="35"/>
      <c r="AI4408" s="35"/>
      <c r="AJ4408" s="35"/>
      <c r="AK4408" s="35"/>
      <c r="AL4408" s="35"/>
    </row>
    <row r="4409">
      <c r="A4409" s="191"/>
      <c r="B4409" s="19" t="s">
        <v>19332</v>
      </c>
      <c r="C4409" s="20" t="s">
        <v>21006</v>
      </c>
      <c r="D4409" s="47"/>
      <c r="E4409" s="22" t="s">
        <v>1188</v>
      </c>
      <c r="F4409" s="22" t="s">
        <v>400</v>
      </c>
      <c r="G4409" s="23">
        <v>2009.0</v>
      </c>
      <c r="H4409" s="22" t="s">
        <v>9550</v>
      </c>
      <c r="I4409" s="24" t="s">
        <v>21014</v>
      </c>
      <c r="J4409" s="22" t="s">
        <v>4054</v>
      </c>
      <c r="K4409" s="22"/>
      <c r="L4409" s="36" t="s">
        <v>21015</v>
      </c>
      <c r="M4409" s="36"/>
      <c r="N4409" s="36"/>
      <c r="O4409" s="36"/>
      <c r="P4409" s="37"/>
      <c r="Q4409" s="36"/>
      <c r="R4409" s="36"/>
      <c r="S4409" s="36"/>
      <c r="T4409" s="28" t="s">
        <v>21016</v>
      </c>
      <c r="U4409" s="29" t="s">
        <v>37</v>
      </c>
      <c r="V4409" s="30"/>
      <c r="W4409" s="156"/>
      <c r="X4409" s="49"/>
      <c r="Y4409" s="35"/>
      <c r="Z4409" s="35"/>
      <c r="AA4409" s="35"/>
      <c r="AB4409" s="35"/>
      <c r="AC4409" s="35"/>
      <c r="AD4409" s="35"/>
      <c r="AE4409" s="35"/>
      <c r="AF4409" s="35"/>
      <c r="AG4409" s="35"/>
      <c r="AH4409" s="35"/>
      <c r="AI4409" s="35"/>
      <c r="AJ4409" s="35"/>
      <c r="AK4409" s="35"/>
      <c r="AL4409" s="35"/>
    </row>
    <row r="4410">
      <c r="A4410" s="18"/>
      <c r="B4410" s="19" t="s">
        <v>19332</v>
      </c>
      <c r="C4410" s="20" t="s">
        <v>21017</v>
      </c>
      <c r="D4410" s="47"/>
      <c r="E4410" s="22" t="s">
        <v>21018</v>
      </c>
      <c r="F4410" s="22" t="s">
        <v>21019</v>
      </c>
      <c r="G4410" s="23">
        <v>2022.0</v>
      </c>
      <c r="H4410" s="22" t="s">
        <v>21020</v>
      </c>
      <c r="I4410" s="24" t="s">
        <v>21021</v>
      </c>
      <c r="J4410" s="22" t="s">
        <v>2049</v>
      </c>
      <c r="K4410" s="22"/>
      <c r="L4410" s="36">
        <v>870.0</v>
      </c>
      <c r="M4410" s="36"/>
      <c r="N4410" s="36"/>
      <c r="O4410" s="36"/>
      <c r="P4410" s="37"/>
      <c r="Q4410" s="36"/>
      <c r="R4410" s="36"/>
      <c r="S4410" s="36"/>
      <c r="T4410" s="28" t="s">
        <v>21022</v>
      </c>
      <c r="U4410" s="38" t="s">
        <v>61</v>
      </c>
      <c r="V4410" s="30"/>
      <c r="W4410" s="156"/>
      <c r="X4410" s="49"/>
      <c r="Y4410" s="35"/>
      <c r="Z4410" s="35"/>
      <c r="AA4410" s="35"/>
      <c r="AB4410" s="35"/>
      <c r="AC4410" s="35"/>
      <c r="AD4410" s="35"/>
      <c r="AE4410" s="35"/>
      <c r="AF4410" s="35"/>
      <c r="AG4410" s="35"/>
      <c r="AH4410" s="35"/>
      <c r="AI4410" s="35"/>
      <c r="AJ4410" s="35"/>
      <c r="AK4410" s="35"/>
      <c r="AL4410" s="35"/>
    </row>
    <row r="4411">
      <c r="A4411" s="18"/>
      <c r="B4411" s="19" t="s">
        <v>19332</v>
      </c>
      <c r="C4411" s="20" t="s">
        <v>21017</v>
      </c>
      <c r="D4411" s="47"/>
      <c r="E4411" s="22" t="s">
        <v>21023</v>
      </c>
      <c r="F4411" s="22" t="s">
        <v>21019</v>
      </c>
      <c r="G4411" s="23">
        <v>2022.0</v>
      </c>
      <c r="H4411" s="22" t="s">
        <v>12502</v>
      </c>
      <c r="I4411" s="24" t="s">
        <v>21024</v>
      </c>
      <c r="J4411" s="22" t="s">
        <v>253</v>
      </c>
      <c r="K4411" s="22"/>
      <c r="L4411" s="36">
        <v>980.0</v>
      </c>
      <c r="M4411" s="36"/>
      <c r="N4411" s="36"/>
      <c r="O4411" s="36"/>
      <c r="P4411" s="37"/>
      <c r="Q4411" s="36"/>
      <c r="R4411" s="36"/>
      <c r="S4411" s="36"/>
      <c r="T4411" s="28" t="s">
        <v>21025</v>
      </c>
      <c r="U4411" s="29" t="s">
        <v>61</v>
      </c>
      <c r="V4411" s="30"/>
      <c r="W4411" s="156"/>
      <c r="X4411" s="49"/>
      <c r="Y4411" s="35"/>
      <c r="Z4411" s="35"/>
      <c r="AA4411" s="35"/>
      <c r="AB4411" s="35"/>
      <c r="AC4411" s="35"/>
      <c r="AD4411" s="35"/>
      <c r="AE4411" s="35"/>
      <c r="AF4411" s="35"/>
      <c r="AG4411" s="35"/>
      <c r="AH4411" s="35"/>
      <c r="AI4411" s="35"/>
      <c r="AJ4411" s="35"/>
      <c r="AK4411" s="35"/>
      <c r="AL4411" s="35"/>
    </row>
    <row r="4412">
      <c r="A4412" s="18"/>
      <c r="B4412" s="19" t="s">
        <v>19332</v>
      </c>
      <c r="C4412" s="20" t="s">
        <v>21017</v>
      </c>
      <c r="D4412" s="47"/>
      <c r="E4412" s="22" t="s">
        <v>21026</v>
      </c>
      <c r="F4412" s="22" t="s">
        <v>1773</v>
      </c>
      <c r="G4412" s="23">
        <v>2021.0</v>
      </c>
      <c r="H4412" s="22" t="s">
        <v>21027</v>
      </c>
      <c r="I4412" s="24" t="s">
        <v>21028</v>
      </c>
      <c r="J4412" s="22" t="s">
        <v>21029</v>
      </c>
      <c r="K4412" s="22"/>
      <c r="L4412" s="36">
        <v>1064.0</v>
      </c>
      <c r="M4412" s="36">
        <v>1000.0</v>
      </c>
      <c r="N4412" s="36"/>
      <c r="O4412" s="36"/>
      <c r="P4412" s="37"/>
      <c r="Q4412" s="36"/>
      <c r="R4412" s="36">
        <v>60.0</v>
      </c>
      <c r="S4412" s="36"/>
      <c r="T4412" s="42" t="s">
        <v>21030</v>
      </c>
      <c r="U4412" s="29" t="s">
        <v>61</v>
      </c>
      <c r="V4412" s="30"/>
      <c r="W4412" s="156"/>
      <c r="X4412" s="49"/>
      <c r="Y4412" s="35"/>
      <c r="Z4412" s="35"/>
      <c r="AA4412" s="35"/>
      <c r="AB4412" s="35"/>
      <c r="AC4412" s="35"/>
      <c r="AD4412" s="35"/>
      <c r="AE4412" s="35"/>
      <c r="AF4412" s="35"/>
      <c r="AG4412" s="35"/>
      <c r="AH4412" s="35"/>
      <c r="AI4412" s="35"/>
      <c r="AJ4412" s="35"/>
      <c r="AK4412" s="35"/>
      <c r="AL4412" s="35"/>
    </row>
    <row r="4413">
      <c r="A4413" s="40"/>
      <c r="B4413" s="19" t="s">
        <v>19332</v>
      </c>
      <c r="C4413" s="20" t="s">
        <v>21031</v>
      </c>
      <c r="D4413" s="47"/>
      <c r="E4413" s="22" t="s">
        <v>21032</v>
      </c>
      <c r="F4413" s="22" t="s">
        <v>13151</v>
      </c>
      <c r="G4413" s="23">
        <v>2018.0</v>
      </c>
      <c r="H4413" s="22" t="s">
        <v>91</v>
      </c>
      <c r="I4413" s="24" t="s">
        <v>21033</v>
      </c>
      <c r="J4413" s="22" t="s">
        <v>21034</v>
      </c>
      <c r="K4413" s="22" t="s">
        <v>21035</v>
      </c>
      <c r="L4413" s="36">
        <v>810.0</v>
      </c>
      <c r="M4413" s="36">
        <v>129.0</v>
      </c>
      <c r="N4413" s="36"/>
      <c r="O4413" s="36"/>
      <c r="P4413" s="37" t="s">
        <v>21036</v>
      </c>
      <c r="Q4413" s="36"/>
      <c r="R4413" s="36">
        <v>600.0</v>
      </c>
      <c r="S4413" s="36" t="s">
        <v>11639</v>
      </c>
      <c r="T4413" s="28" t="s">
        <v>21037</v>
      </c>
      <c r="U4413" s="38" t="str">
        <f>HYPERLINK("https://www.ncbi.nlm.nih.gov/pubmed/29713842","PubMed")</f>
        <v>PubMed</v>
      </c>
      <c r="V4413" s="30"/>
      <c r="W4413" s="156"/>
      <c r="X4413" s="49"/>
      <c r="Y4413" s="35"/>
      <c r="Z4413" s="35"/>
      <c r="AA4413" s="35"/>
      <c r="AB4413" s="35"/>
      <c r="AC4413" s="35"/>
      <c r="AD4413" s="35"/>
      <c r="AE4413" s="35"/>
      <c r="AF4413" s="35"/>
      <c r="AG4413" s="35"/>
      <c r="AH4413" s="35"/>
      <c r="AI4413" s="35"/>
      <c r="AJ4413" s="35"/>
      <c r="AK4413" s="35"/>
      <c r="AL4413" s="35"/>
    </row>
    <row r="4414">
      <c r="A4414" s="40" t="s">
        <v>38</v>
      </c>
      <c r="B4414" s="19" t="s">
        <v>19332</v>
      </c>
      <c r="C4414" s="20" t="s">
        <v>21031</v>
      </c>
      <c r="D4414" s="47"/>
      <c r="E4414" s="22" t="s">
        <v>21038</v>
      </c>
      <c r="F4414" s="22" t="s">
        <v>3047</v>
      </c>
      <c r="G4414" s="23">
        <v>2005.0</v>
      </c>
      <c r="H4414" s="22" t="s">
        <v>1259</v>
      </c>
      <c r="I4414" s="24" t="s">
        <v>21039</v>
      </c>
      <c r="J4414" s="22" t="s">
        <v>21040</v>
      </c>
      <c r="K4414" s="22" t="s">
        <v>21041</v>
      </c>
      <c r="L4414" s="36">
        <v>680.0</v>
      </c>
      <c r="M4414" s="36">
        <v>75.0</v>
      </c>
      <c r="N4414" s="36"/>
      <c r="O4414" s="36"/>
      <c r="P4414" s="37" t="s">
        <v>20388</v>
      </c>
      <c r="Q4414" s="36"/>
      <c r="R4414" s="36"/>
      <c r="S4414" s="36" t="s">
        <v>21042</v>
      </c>
      <c r="T4414" s="41" t="s">
        <v>21043</v>
      </c>
      <c r="U4414" s="38" t="str">
        <f>HYPERLINK("https://www.ncbi.nlm.nih.gov/pubmed/16122669","PubMed")</f>
        <v>PubMed</v>
      </c>
      <c r="V4414" s="30"/>
      <c r="W4414" s="156"/>
      <c r="X4414" s="49"/>
      <c r="Y4414" s="35"/>
      <c r="Z4414" s="35"/>
      <c r="AA4414" s="35"/>
      <c r="AB4414" s="35"/>
      <c r="AC4414" s="35"/>
      <c r="AD4414" s="35"/>
      <c r="AE4414" s="35"/>
      <c r="AF4414" s="35"/>
      <c r="AG4414" s="35"/>
      <c r="AH4414" s="35"/>
      <c r="AI4414" s="35"/>
      <c r="AJ4414" s="35"/>
      <c r="AK4414" s="35"/>
      <c r="AL4414" s="35"/>
    </row>
    <row r="4415">
      <c r="A4415" s="40"/>
      <c r="B4415" s="19" t="s">
        <v>19332</v>
      </c>
      <c r="C4415" s="20" t="s">
        <v>21044</v>
      </c>
      <c r="D4415" s="47"/>
      <c r="E4415" s="22" t="s">
        <v>21045</v>
      </c>
      <c r="F4415" s="22" t="s">
        <v>183</v>
      </c>
      <c r="G4415" s="23">
        <v>2017.0</v>
      </c>
      <c r="H4415" s="22" t="s">
        <v>91</v>
      </c>
      <c r="I4415" s="24" t="s">
        <v>21046</v>
      </c>
      <c r="J4415" s="22" t="s">
        <v>55</v>
      </c>
      <c r="K4415" s="22" t="s">
        <v>21047</v>
      </c>
      <c r="L4415" s="36">
        <v>780.0</v>
      </c>
      <c r="M4415" s="36">
        <v>70.0</v>
      </c>
      <c r="N4415" s="36"/>
      <c r="O4415" s="36"/>
      <c r="P4415" s="37" t="s">
        <v>20995</v>
      </c>
      <c r="Q4415" s="36"/>
      <c r="R4415" s="36">
        <v>60.0</v>
      </c>
      <c r="S4415" s="36" t="s">
        <v>12284</v>
      </c>
      <c r="T4415" s="42" t="s">
        <v>21048</v>
      </c>
      <c r="U4415" s="38" t="str">
        <f>HYPERLINK("https://www.ncbi.nlm.nih.gov/pubmed/28823073","PubMed")</f>
        <v>PubMed</v>
      </c>
      <c r="V4415" s="30"/>
      <c r="W4415" s="156"/>
      <c r="X4415" s="49"/>
      <c r="Y4415" s="35"/>
      <c r="Z4415" s="35"/>
      <c r="AA4415" s="35"/>
      <c r="AB4415" s="35"/>
      <c r="AC4415" s="35"/>
      <c r="AD4415" s="35"/>
      <c r="AE4415" s="35"/>
      <c r="AF4415" s="35"/>
      <c r="AG4415" s="35"/>
      <c r="AH4415" s="35"/>
      <c r="AI4415" s="35"/>
      <c r="AJ4415" s="35"/>
      <c r="AK4415" s="35"/>
      <c r="AL4415" s="35"/>
    </row>
    <row r="4416">
      <c r="A4416" s="40" t="s">
        <v>2</v>
      </c>
      <c r="B4416" s="19" t="s">
        <v>19332</v>
      </c>
      <c r="C4416" s="20" t="s">
        <v>21049</v>
      </c>
      <c r="D4416" s="47"/>
      <c r="E4416" s="22" t="s">
        <v>7705</v>
      </c>
      <c r="F4416" s="22" t="s">
        <v>183</v>
      </c>
      <c r="G4416" s="23">
        <v>2015.0</v>
      </c>
      <c r="H4416" s="22" t="s">
        <v>91</v>
      </c>
      <c r="I4416" s="24" t="s">
        <v>21050</v>
      </c>
      <c r="J4416" s="22" t="s">
        <v>55</v>
      </c>
      <c r="K4416" s="22" t="s">
        <v>948</v>
      </c>
      <c r="L4416" s="36" t="s">
        <v>21051</v>
      </c>
      <c r="M4416" s="36" t="s">
        <v>21052</v>
      </c>
      <c r="N4416" s="36"/>
      <c r="O4416" s="36"/>
      <c r="P4416" s="37" t="s">
        <v>21053</v>
      </c>
      <c r="Q4416" s="36" t="s">
        <v>21054</v>
      </c>
      <c r="R4416" s="36"/>
      <c r="S4416" s="36"/>
      <c r="T4416" s="28" t="s">
        <v>21055</v>
      </c>
      <c r="U4416" s="38" t="str">
        <f>HYPERLINK("https://www.ncbi.nlm.nih.gov/pubmed/25354753","PubMed")</f>
        <v>PubMed</v>
      </c>
      <c r="V4416" s="30"/>
      <c r="W4416" s="156"/>
      <c r="X4416" s="49"/>
      <c r="Y4416" s="35"/>
      <c r="Z4416" s="35"/>
      <c r="AA4416" s="35"/>
      <c r="AB4416" s="35"/>
      <c r="AC4416" s="35"/>
      <c r="AD4416" s="35"/>
      <c r="AE4416" s="35"/>
      <c r="AF4416" s="35"/>
      <c r="AG4416" s="35"/>
      <c r="AH4416" s="35"/>
      <c r="AI4416" s="35"/>
      <c r="AJ4416" s="35"/>
      <c r="AK4416" s="35"/>
      <c r="AL4416" s="35"/>
    </row>
    <row r="4417">
      <c r="A4417" s="40"/>
      <c r="B4417" s="19" t="s">
        <v>19332</v>
      </c>
      <c r="C4417" s="20" t="s">
        <v>21056</v>
      </c>
      <c r="D4417" s="47"/>
      <c r="E4417" s="22" t="s">
        <v>21057</v>
      </c>
      <c r="F4417" s="22" t="s">
        <v>408</v>
      </c>
      <c r="G4417" s="23">
        <v>2019.0</v>
      </c>
      <c r="H4417" s="22" t="s">
        <v>756</v>
      </c>
      <c r="I4417" s="24" t="s">
        <v>21058</v>
      </c>
      <c r="J4417" s="22" t="s">
        <v>21059</v>
      </c>
      <c r="K4417" s="22"/>
      <c r="L4417" s="36">
        <v>970.0</v>
      </c>
      <c r="M4417" s="36" t="s">
        <v>21060</v>
      </c>
      <c r="N4417" s="36"/>
      <c r="O4417" s="36"/>
      <c r="P4417" s="37"/>
      <c r="Q4417" s="36"/>
      <c r="R4417" s="36"/>
      <c r="S4417" s="36"/>
      <c r="T4417" s="41" t="s">
        <v>21061</v>
      </c>
      <c r="U4417" s="38" t="str">
        <f>HYPERLINK("https://www.ncbi.nlm.nih.gov/pubmed/30892373","PubMed")</f>
        <v>PubMed</v>
      </c>
      <c r="V4417" s="30"/>
      <c r="W4417" s="156"/>
      <c r="X4417" s="49"/>
      <c r="Y4417" s="35"/>
      <c r="Z4417" s="35"/>
      <c r="AA4417" s="35"/>
      <c r="AB4417" s="35"/>
      <c r="AC4417" s="35"/>
      <c r="AD4417" s="35"/>
      <c r="AE4417" s="35"/>
      <c r="AF4417" s="35"/>
      <c r="AG4417" s="35"/>
      <c r="AH4417" s="35"/>
      <c r="AI4417" s="35"/>
      <c r="AJ4417" s="35"/>
      <c r="AK4417" s="35"/>
      <c r="AL4417" s="35"/>
    </row>
    <row r="4418">
      <c r="A4418" s="40"/>
      <c r="B4418" s="19" t="s">
        <v>19332</v>
      </c>
      <c r="C4418" s="20" t="s">
        <v>21056</v>
      </c>
      <c r="D4418" s="47"/>
      <c r="E4418" s="22" t="s">
        <v>21062</v>
      </c>
      <c r="F4418" s="22" t="s">
        <v>1016</v>
      </c>
      <c r="G4418" s="23">
        <v>2018.0</v>
      </c>
      <c r="H4418" s="22" t="s">
        <v>91</v>
      </c>
      <c r="I4418" s="24" t="s">
        <v>21063</v>
      </c>
      <c r="J4418" s="22" t="s">
        <v>21064</v>
      </c>
      <c r="K4418" s="22"/>
      <c r="L4418" s="36"/>
      <c r="M4418" s="36"/>
      <c r="N4418" s="36"/>
      <c r="O4418" s="36"/>
      <c r="P4418" s="37"/>
      <c r="Q4418" s="36"/>
      <c r="R4418" s="36"/>
      <c r="S4418" s="36"/>
      <c r="T4418" s="42" t="s">
        <v>21065</v>
      </c>
      <c r="U4418" s="38" t="str">
        <f>HYPERLINK("https://www.ncbi.nlm.nih.gov/pubmed/30171442","PubMed")</f>
        <v>PubMed</v>
      </c>
      <c r="V4418" s="30"/>
      <c r="W4418" s="156"/>
      <c r="X4418" s="49"/>
      <c r="Y4418" s="35"/>
      <c r="Z4418" s="35"/>
      <c r="AA4418" s="35"/>
      <c r="AB4418" s="35"/>
      <c r="AC4418" s="35"/>
      <c r="AD4418" s="35"/>
      <c r="AE4418" s="35"/>
      <c r="AF4418" s="35"/>
      <c r="AG4418" s="35"/>
      <c r="AH4418" s="35"/>
      <c r="AI4418" s="35"/>
      <c r="AJ4418" s="35"/>
      <c r="AK4418" s="35"/>
      <c r="AL4418" s="35"/>
    </row>
    <row r="4419">
      <c r="A4419" s="40"/>
      <c r="B4419" s="19" t="s">
        <v>19332</v>
      </c>
      <c r="C4419" s="20" t="s">
        <v>21066</v>
      </c>
      <c r="D4419" s="47"/>
      <c r="E4419" s="22" t="s">
        <v>21067</v>
      </c>
      <c r="F4419" s="22" t="s">
        <v>20511</v>
      </c>
      <c r="G4419" s="23">
        <v>2019.0</v>
      </c>
      <c r="H4419" s="22" t="s">
        <v>20456</v>
      </c>
      <c r="I4419" s="24" t="s">
        <v>21068</v>
      </c>
      <c r="J4419" s="22" t="s">
        <v>21069</v>
      </c>
      <c r="K4419" s="22"/>
      <c r="L4419" s="36">
        <v>685.0</v>
      </c>
      <c r="M4419" s="36">
        <v>30.0</v>
      </c>
      <c r="N4419" s="36" t="s">
        <v>2474</v>
      </c>
      <c r="O4419" s="36"/>
      <c r="P4419" s="37" t="s">
        <v>82</v>
      </c>
      <c r="Q4419" s="36"/>
      <c r="R4419" s="36"/>
      <c r="S4419" s="36" t="s">
        <v>21070</v>
      </c>
      <c r="T4419" s="28" t="s">
        <v>21071</v>
      </c>
      <c r="U4419" s="38" t="str">
        <f>HYPERLINK("https://www.ncbi.nlm.nih.gov/pubmed/31355767","PubMed")</f>
        <v>PubMed</v>
      </c>
      <c r="V4419" s="30"/>
      <c r="W4419" s="156"/>
      <c r="X4419" s="49"/>
      <c r="Y4419" s="35"/>
      <c r="Z4419" s="35"/>
      <c r="AA4419" s="35"/>
      <c r="AB4419" s="35"/>
      <c r="AC4419" s="35"/>
      <c r="AD4419" s="35"/>
      <c r="AE4419" s="35"/>
      <c r="AF4419" s="35"/>
      <c r="AG4419" s="35"/>
      <c r="AH4419" s="35"/>
      <c r="AI4419" s="35"/>
      <c r="AJ4419" s="35"/>
      <c r="AK4419" s="35"/>
      <c r="AL4419" s="35"/>
    </row>
    <row r="4420">
      <c r="A4420" s="191" t="s">
        <v>181</v>
      </c>
      <c r="B4420" s="19" t="s">
        <v>19332</v>
      </c>
      <c r="C4420" s="20" t="s">
        <v>21066</v>
      </c>
      <c r="D4420" s="47"/>
      <c r="E4420" s="22" t="s">
        <v>21072</v>
      </c>
      <c r="F4420" s="22" t="s">
        <v>241</v>
      </c>
      <c r="G4420" s="23">
        <v>2015.0</v>
      </c>
      <c r="H4420" s="22" t="s">
        <v>21009</v>
      </c>
      <c r="I4420" s="24" t="s">
        <v>21073</v>
      </c>
      <c r="J4420" s="22" t="s">
        <v>21074</v>
      </c>
      <c r="L4420" s="36">
        <v>660.0</v>
      </c>
      <c r="M4420" s="36"/>
      <c r="N4420" s="36"/>
      <c r="O4420" s="36"/>
      <c r="P4420" s="37"/>
      <c r="Q4420" s="36"/>
      <c r="R4420" s="36">
        <v>180.0</v>
      </c>
      <c r="S4420" s="36" t="s">
        <v>2099</v>
      </c>
      <c r="T4420" s="28" t="s">
        <v>21075</v>
      </c>
      <c r="U4420" s="38" t="str">
        <f>HYPERLINK("https://www.ncbi.nlm.nih.gov/pubmed/26371982","PubMed")</f>
        <v>PubMed</v>
      </c>
      <c r="V4420" s="30"/>
      <c r="W4420" s="156"/>
      <c r="X4420" s="49"/>
      <c r="Y4420" s="35"/>
      <c r="Z4420" s="35"/>
      <c r="AA4420" s="35"/>
      <c r="AB4420" s="35"/>
      <c r="AC4420" s="35"/>
      <c r="AD4420" s="35"/>
      <c r="AE4420" s="35"/>
      <c r="AF4420" s="35"/>
      <c r="AG4420" s="35"/>
      <c r="AH4420" s="35"/>
      <c r="AI4420" s="35"/>
      <c r="AJ4420" s="35"/>
      <c r="AK4420" s="35"/>
      <c r="AL4420" s="35"/>
    </row>
    <row r="4421">
      <c r="A4421" s="191"/>
      <c r="B4421" s="19" t="s">
        <v>19332</v>
      </c>
      <c r="C4421" s="20" t="s">
        <v>21076</v>
      </c>
      <c r="D4421" s="47"/>
      <c r="E4421" s="22" t="s">
        <v>21077</v>
      </c>
      <c r="F4421" s="22" t="s">
        <v>993</v>
      </c>
      <c r="G4421" s="23">
        <v>2010.0</v>
      </c>
      <c r="H4421" s="22" t="s">
        <v>21078</v>
      </c>
      <c r="I4421" s="24" t="s">
        <v>21079</v>
      </c>
      <c r="J4421" s="22" t="s">
        <v>55</v>
      </c>
      <c r="K4421" s="22"/>
      <c r="L4421" s="36">
        <v>830.0</v>
      </c>
      <c r="M4421" s="36">
        <v>100.0</v>
      </c>
      <c r="N4421" s="36"/>
      <c r="O4421" s="36"/>
      <c r="P4421" s="37" t="s">
        <v>2886</v>
      </c>
      <c r="Q4421" s="36"/>
      <c r="R4421" s="36"/>
      <c r="S4421" s="36"/>
      <c r="T4421" s="28" t="s">
        <v>21080</v>
      </c>
      <c r="U4421" s="38" t="str">
        <f>HYPERLINK("https://www.ncbi.nlm.nih.gov/pubmed/19852650","PubMed")</f>
        <v>PubMed</v>
      </c>
      <c r="V4421" s="30"/>
      <c r="W4421" s="156"/>
      <c r="X4421" s="49"/>
      <c r="Y4421" s="35"/>
      <c r="Z4421" s="35"/>
      <c r="AA4421" s="35"/>
      <c r="AB4421" s="35"/>
      <c r="AC4421" s="35"/>
      <c r="AD4421" s="35"/>
      <c r="AE4421" s="35"/>
      <c r="AF4421" s="35"/>
      <c r="AG4421" s="35"/>
      <c r="AH4421" s="35"/>
      <c r="AI4421" s="35"/>
      <c r="AJ4421" s="35"/>
      <c r="AK4421" s="35"/>
      <c r="AL4421" s="35"/>
    </row>
    <row r="4422">
      <c r="A4422" s="40"/>
      <c r="B4422" s="19" t="s">
        <v>19332</v>
      </c>
      <c r="C4422" s="20" t="s">
        <v>21081</v>
      </c>
      <c r="D4422" s="47"/>
      <c r="E4422" s="22" t="s">
        <v>21082</v>
      </c>
      <c r="F4422" s="22" t="s">
        <v>41</v>
      </c>
      <c r="G4422" s="23">
        <v>2016.0</v>
      </c>
      <c r="H4422" s="22" t="s">
        <v>91</v>
      </c>
      <c r="I4422" s="24" t="s">
        <v>21083</v>
      </c>
      <c r="J4422" s="22" t="s">
        <v>19382</v>
      </c>
      <c r="K4422" s="22"/>
      <c r="L4422" s="36">
        <v>780.0</v>
      </c>
      <c r="M4422" s="36">
        <v>40.0</v>
      </c>
      <c r="N4422" s="36"/>
      <c r="O4422" s="36"/>
      <c r="P4422" s="37" t="s">
        <v>21084</v>
      </c>
      <c r="Q4422" s="36"/>
      <c r="R4422" s="36"/>
      <c r="S4422" s="36">
        <v>1.0</v>
      </c>
      <c r="T4422" s="41" t="s">
        <v>21085</v>
      </c>
      <c r="U4422" s="38" t="str">
        <f>HYPERLINK("https://www.ncbi.nlm.nih.gov/pubmed/27696017","PubMed")</f>
        <v>PubMed</v>
      </c>
      <c r="V4422" s="30"/>
      <c r="W4422" s="156"/>
      <c r="X4422" s="49"/>
      <c r="Y4422" s="35"/>
      <c r="Z4422" s="35"/>
      <c r="AA4422" s="35"/>
      <c r="AB4422" s="35"/>
      <c r="AC4422" s="35"/>
      <c r="AD4422" s="35"/>
      <c r="AE4422" s="35"/>
      <c r="AF4422" s="35"/>
      <c r="AG4422" s="35"/>
      <c r="AH4422" s="35"/>
      <c r="AI4422" s="35"/>
      <c r="AJ4422" s="35"/>
      <c r="AK4422" s="35"/>
      <c r="AL4422" s="35"/>
    </row>
    <row r="4423">
      <c r="A4423" s="40"/>
      <c r="B4423" s="19" t="s">
        <v>19332</v>
      </c>
      <c r="C4423" s="20" t="s">
        <v>21086</v>
      </c>
      <c r="D4423" s="47"/>
      <c r="E4423" s="22" t="s">
        <v>7624</v>
      </c>
      <c r="F4423" s="22" t="s">
        <v>7625</v>
      </c>
      <c r="G4423" s="23">
        <v>2024.0</v>
      </c>
      <c r="H4423" s="22" t="s">
        <v>19759</v>
      </c>
      <c r="I4423" s="24" t="s">
        <v>21087</v>
      </c>
      <c r="J4423" s="22" t="s">
        <v>649</v>
      </c>
      <c r="K4423" s="22"/>
      <c r="L4423" s="53" t="s">
        <v>21088</v>
      </c>
      <c r="U4423" s="38" t="s">
        <v>61</v>
      </c>
      <c r="V4423" s="30"/>
      <c r="W4423" s="156"/>
      <c r="X4423" s="49"/>
      <c r="Y4423" s="35"/>
      <c r="Z4423" s="35"/>
      <c r="AA4423" s="35"/>
      <c r="AB4423" s="35"/>
      <c r="AC4423" s="35"/>
      <c r="AD4423" s="35"/>
      <c r="AE4423" s="35"/>
      <c r="AF4423" s="35"/>
      <c r="AG4423" s="35"/>
      <c r="AH4423" s="35"/>
      <c r="AI4423" s="35"/>
      <c r="AJ4423" s="35"/>
      <c r="AK4423" s="35"/>
      <c r="AL4423" s="35"/>
    </row>
    <row r="4424">
      <c r="A4424" s="40"/>
      <c r="B4424" s="19" t="s">
        <v>19332</v>
      </c>
      <c r="C4424" s="20" t="s">
        <v>21086</v>
      </c>
      <c r="D4424" s="47"/>
      <c r="E4424" s="22" t="s">
        <v>21089</v>
      </c>
      <c r="F4424" s="22" t="s">
        <v>7630</v>
      </c>
      <c r="G4424" s="23">
        <v>2024.0</v>
      </c>
      <c r="H4424" s="22" t="s">
        <v>21090</v>
      </c>
      <c r="I4424" s="24" t="s">
        <v>21091</v>
      </c>
      <c r="J4424" s="22" t="s">
        <v>21092</v>
      </c>
      <c r="K4424" s="22"/>
      <c r="L4424" s="52">
        <v>810.0</v>
      </c>
      <c r="M4424" s="52"/>
      <c r="N4424" s="52"/>
      <c r="O4424" s="52"/>
      <c r="P4424" s="189"/>
      <c r="Q4424" s="52"/>
      <c r="R4424" s="52"/>
      <c r="S4424" s="52"/>
      <c r="T4424" s="28" t="s">
        <v>21093</v>
      </c>
      <c r="U4424" s="38" t="s">
        <v>61</v>
      </c>
      <c r="V4424" s="30"/>
      <c r="W4424" s="156"/>
      <c r="X4424" s="49"/>
      <c r="Y4424" s="35"/>
      <c r="Z4424" s="35"/>
      <c r="AA4424" s="35"/>
      <c r="AB4424" s="35"/>
      <c r="AC4424" s="35"/>
      <c r="AD4424" s="35"/>
      <c r="AE4424" s="35"/>
      <c r="AF4424" s="35"/>
      <c r="AG4424" s="35"/>
      <c r="AH4424" s="35"/>
      <c r="AI4424" s="35"/>
      <c r="AJ4424" s="35"/>
      <c r="AK4424" s="35"/>
      <c r="AL4424" s="35"/>
    </row>
    <row r="4425">
      <c r="A4425" s="18"/>
      <c r="B4425" s="19" t="s">
        <v>19332</v>
      </c>
      <c r="C4425" s="20" t="s">
        <v>21086</v>
      </c>
      <c r="D4425" s="47"/>
      <c r="E4425" s="22" t="s">
        <v>21094</v>
      </c>
      <c r="F4425" s="22" t="s">
        <v>21095</v>
      </c>
      <c r="G4425" s="23">
        <v>2024.0</v>
      </c>
      <c r="H4425" s="22" t="s">
        <v>77</v>
      </c>
      <c r="I4425" s="24" t="s">
        <v>21096</v>
      </c>
      <c r="J4425" s="22" t="s">
        <v>649</v>
      </c>
      <c r="K4425" s="22"/>
      <c r="L4425" s="173" t="s">
        <v>21097</v>
      </c>
      <c r="U4425" s="38" t="s">
        <v>61</v>
      </c>
      <c r="V4425" s="30"/>
      <c r="W4425" s="156"/>
      <c r="X4425" s="49"/>
      <c r="Y4425" s="35"/>
      <c r="Z4425" s="35"/>
      <c r="AA4425" s="35"/>
      <c r="AB4425" s="35"/>
      <c r="AC4425" s="35"/>
      <c r="AD4425" s="35"/>
      <c r="AE4425" s="35"/>
      <c r="AF4425" s="35"/>
      <c r="AG4425" s="35"/>
      <c r="AH4425" s="35"/>
      <c r="AI4425" s="35"/>
      <c r="AJ4425" s="35"/>
      <c r="AK4425" s="35"/>
      <c r="AL4425" s="35"/>
    </row>
    <row r="4426">
      <c r="A4426" s="18"/>
      <c r="B4426" s="19" t="s">
        <v>19332</v>
      </c>
      <c r="C4426" s="20" t="s">
        <v>21086</v>
      </c>
      <c r="D4426" s="47"/>
      <c r="E4426" s="22" t="s">
        <v>21098</v>
      </c>
      <c r="F4426" s="22" t="s">
        <v>19533</v>
      </c>
      <c r="G4426" s="23">
        <v>2023.0</v>
      </c>
      <c r="H4426" s="22" t="s">
        <v>21099</v>
      </c>
      <c r="I4426" s="24" t="s">
        <v>21100</v>
      </c>
      <c r="J4426" s="22" t="s">
        <v>1078</v>
      </c>
      <c r="K4426" s="22"/>
      <c r="L4426" s="173" t="s">
        <v>21101</v>
      </c>
      <c r="U4426" s="38" t="s">
        <v>61</v>
      </c>
      <c r="V4426" s="30"/>
      <c r="W4426" s="156"/>
      <c r="X4426" s="49"/>
      <c r="Y4426" s="35"/>
      <c r="Z4426" s="35"/>
      <c r="AA4426" s="35"/>
      <c r="AB4426" s="35"/>
      <c r="AC4426" s="35"/>
      <c r="AD4426" s="35"/>
      <c r="AE4426" s="35"/>
      <c r="AF4426" s="35"/>
      <c r="AG4426" s="35"/>
      <c r="AH4426" s="35"/>
      <c r="AI4426" s="35"/>
      <c r="AJ4426" s="35"/>
      <c r="AK4426" s="35"/>
      <c r="AL4426" s="35"/>
    </row>
    <row r="4427">
      <c r="A4427" s="18"/>
      <c r="B4427" s="19" t="s">
        <v>19332</v>
      </c>
      <c r="C4427" s="20" t="s">
        <v>21102</v>
      </c>
      <c r="D4427" s="47"/>
      <c r="E4427" s="22" t="s">
        <v>19360</v>
      </c>
      <c r="F4427" s="22" t="s">
        <v>19546</v>
      </c>
      <c r="G4427" s="23">
        <v>2023.0</v>
      </c>
      <c r="H4427" s="22" t="s">
        <v>6179</v>
      </c>
      <c r="I4427" s="24" t="s">
        <v>21103</v>
      </c>
      <c r="J4427" s="22" t="s">
        <v>21104</v>
      </c>
      <c r="K4427" s="22"/>
      <c r="L4427" s="36">
        <v>635.0</v>
      </c>
      <c r="M4427" s="36">
        <v>100.0</v>
      </c>
      <c r="N4427" s="36" t="s">
        <v>21105</v>
      </c>
      <c r="O4427" s="36" t="s">
        <v>21106</v>
      </c>
      <c r="P4427" s="37" t="s">
        <v>254</v>
      </c>
      <c r="Q4427" s="36" t="s">
        <v>21107</v>
      </c>
      <c r="R4427" s="36">
        <v>20.0</v>
      </c>
      <c r="S4427" s="36" t="s">
        <v>7526</v>
      </c>
      <c r="T4427" s="28" t="s">
        <v>21108</v>
      </c>
      <c r="U4427" s="38" t="s">
        <v>61</v>
      </c>
      <c r="V4427" s="30"/>
      <c r="W4427" s="156"/>
      <c r="X4427" s="49"/>
      <c r="Y4427" s="35"/>
      <c r="Z4427" s="35"/>
      <c r="AA4427" s="35"/>
      <c r="AB4427" s="35"/>
      <c r="AC4427" s="35"/>
      <c r="AD4427" s="35"/>
      <c r="AE4427" s="35"/>
      <c r="AF4427" s="35"/>
      <c r="AG4427" s="35"/>
      <c r="AH4427" s="35"/>
      <c r="AI4427" s="35"/>
      <c r="AJ4427" s="35"/>
      <c r="AK4427" s="35"/>
      <c r="AL4427" s="35"/>
    </row>
    <row r="4428">
      <c r="A4428" s="18"/>
      <c r="B4428" s="19" t="s">
        <v>19332</v>
      </c>
      <c r="C4428" s="20" t="s">
        <v>21086</v>
      </c>
      <c r="D4428" s="47"/>
      <c r="E4428" s="22" t="s">
        <v>21109</v>
      </c>
      <c r="F4428" s="22" t="s">
        <v>605</v>
      </c>
      <c r="G4428" s="23">
        <v>2023.0</v>
      </c>
      <c r="H4428" s="22" t="s">
        <v>91</v>
      </c>
      <c r="I4428" s="24" t="s">
        <v>21110</v>
      </c>
      <c r="J4428" s="22" t="s">
        <v>21111</v>
      </c>
      <c r="K4428" s="22" t="s">
        <v>21112</v>
      </c>
      <c r="L4428" s="36"/>
      <c r="M4428" s="36"/>
      <c r="N4428" s="36"/>
      <c r="O4428" s="36"/>
      <c r="P4428" s="37"/>
      <c r="Q4428" s="36"/>
      <c r="R4428" s="36"/>
      <c r="S4428" s="36"/>
      <c r="T4428" s="28" t="s">
        <v>21113</v>
      </c>
      <c r="U4428" s="38" t="s">
        <v>61</v>
      </c>
      <c r="V4428" s="30"/>
      <c r="W4428" s="156"/>
      <c r="X4428" s="49"/>
      <c r="Y4428" s="35"/>
      <c r="Z4428" s="35"/>
      <c r="AA4428" s="35"/>
      <c r="AB4428" s="35"/>
      <c r="AC4428" s="35"/>
      <c r="AD4428" s="35"/>
      <c r="AE4428" s="35"/>
      <c r="AF4428" s="35"/>
      <c r="AG4428" s="35"/>
      <c r="AH4428" s="35"/>
      <c r="AI4428" s="35"/>
      <c r="AJ4428" s="35"/>
      <c r="AK4428" s="35"/>
      <c r="AL4428" s="35"/>
    </row>
    <row r="4429">
      <c r="A4429" s="18"/>
      <c r="B4429" s="19" t="s">
        <v>19332</v>
      </c>
      <c r="C4429" s="20" t="s">
        <v>21086</v>
      </c>
      <c r="D4429" s="47"/>
      <c r="E4429" s="22" t="s">
        <v>21114</v>
      </c>
      <c r="F4429" s="22" t="s">
        <v>3958</v>
      </c>
      <c r="G4429" s="23">
        <v>2023.0</v>
      </c>
      <c r="H4429" s="22" t="s">
        <v>19733</v>
      </c>
      <c r="I4429" s="24" t="s">
        <v>21115</v>
      </c>
      <c r="J4429" s="22" t="s">
        <v>55</v>
      </c>
      <c r="K4429" s="22"/>
      <c r="L4429" s="36">
        <v>650.0</v>
      </c>
      <c r="M4429" s="36"/>
      <c r="N4429" s="36"/>
      <c r="O4429" s="36"/>
      <c r="P4429" s="37"/>
      <c r="Q4429" s="36"/>
      <c r="R4429" s="36"/>
      <c r="S4429" s="36"/>
      <c r="T4429" s="42" t="s">
        <v>21116</v>
      </c>
      <c r="U4429" s="38" t="s">
        <v>61</v>
      </c>
      <c r="V4429" s="30"/>
      <c r="W4429" s="156"/>
      <c r="X4429" s="49"/>
      <c r="Y4429" s="35"/>
      <c r="Z4429" s="35"/>
      <c r="AA4429" s="35"/>
      <c r="AB4429" s="35"/>
      <c r="AC4429" s="35"/>
      <c r="AD4429" s="35"/>
      <c r="AE4429" s="35"/>
      <c r="AF4429" s="35"/>
      <c r="AG4429" s="35"/>
      <c r="AH4429" s="35"/>
      <c r="AI4429" s="35"/>
      <c r="AJ4429" s="35"/>
      <c r="AK4429" s="35"/>
      <c r="AL4429" s="35"/>
    </row>
    <row r="4430">
      <c r="A4430" s="18"/>
      <c r="B4430" s="19" t="s">
        <v>19332</v>
      </c>
      <c r="C4430" s="20" t="s">
        <v>21086</v>
      </c>
      <c r="D4430" s="47"/>
      <c r="E4430" s="22" t="s">
        <v>21117</v>
      </c>
      <c r="F4430" s="22" t="s">
        <v>1943</v>
      </c>
      <c r="G4430" s="23">
        <v>2023.0</v>
      </c>
      <c r="H4430" s="22" t="s">
        <v>477</v>
      </c>
      <c r="I4430" s="24" t="s">
        <v>21118</v>
      </c>
      <c r="J4430" s="22" t="s">
        <v>21111</v>
      </c>
      <c r="K4430" s="22" t="s">
        <v>21119</v>
      </c>
      <c r="L4430" s="36"/>
      <c r="M4430" s="36"/>
      <c r="N4430" s="36"/>
      <c r="O4430" s="36"/>
      <c r="P4430" s="37"/>
      <c r="Q4430" s="36"/>
      <c r="R4430" s="36"/>
      <c r="S4430" s="36"/>
      <c r="T4430" s="28" t="s">
        <v>21120</v>
      </c>
      <c r="U4430" s="38" t="s">
        <v>61</v>
      </c>
      <c r="V4430" s="30"/>
      <c r="W4430" s="156"/>
      <c r="X4430" s="49"/>
      <c r="Y4430" s="35"/>
      <c r="Z4430" s="35"/>
      <c r="AA4430" s="35"/>
      <c r="AB4430" s="35"/>
      <c r="AC4430" s="35"/>
      <c r="AD4430" s="35"/>
      <c r="AE4430" s="35"/>
      <c r="AF4430" s="35"/>
      <c r="AG4430" s="35"/>
      <c r="AH4430" s="35"/>
      <c r="AI4430" s="35"/>
      <c r="AJ4430" s="35"/>
      <c r="AK4430" s="35"/>
      <c r="AL4430" s="35"/>
    </row>
    <row r="4431">
      <c r="A4431" s="18"/>
      <c r="B4431" s="19" t="s">
        <v>19332</v>
      </c>
      <c r="C4431" s="20" t="s">
        <v>21086</v>
      </c>
      <c r="D4431" s="47"/>
      <c r="E4431" s="22" t="s">
        <v>21121</v>
      </c>
      <c r="F4431" s="22" t="s">
        <v>323</v>
      </c>
      <c r="G4431" s="23">
        <v>2021.0</v>
      </c>
      <c r="H4431" s="22" t="s">
        <v>19498</v>
      </c>
      <c r="I4431" s="24" t="s">
        <v>21122</v>
      </c>
      <c r="J4431" s="22" t="s">
        <v>21123</v>
      </c>
      <c r="K4431" s="22"/>
      <c r="L4431" s="36">
        <v>980.0</v>
      </c>
      <c r="M4431" s="36">
        <v>500.0</v>
      </c>
      <c r="N4431" s="36"/>
      <c r="O4431" s="36"/>
      <c r="P4431" s="37"/>
      <c r="Q4431" s="36"/>
      <c r="R4431" s="36"/>
      <c r="S4431" s="36"/>
      <c r="T4431" s="42" t="s">
        <v>21124</v>
      </c>
      <c r="U4431" s="29" t="s">
        <v>61</v>
      </c>
      <c r="V4431" s="30"/>
      <c r="W4431" s="156"/>
      <c r="X4431" s="49"/>
      <c r="Y4431" s="35"/>
      <c r="Z4431" s="35"/>
      <c r="AA4431" s="35"/>
      <c r="AB4431" s="35"/>
      <c r="AC4431" s="35"/>
      <c r="AD4431" s="35"/>
      <c r="AE4431" s="35"/>
      <c r="AF4431" s="35"/>
      <c r="AG4431" s="35"/>
      <c r="AH4431" s="35"/>
      <c r="AI4431" s="35"/>
      <c r="AJ4431" s="35"/>
      <c r="AK4431" s="35"/>
      <c r="AL4431" s="35"/>
    </row>
    <row r="4432" ht="1.5" customHeight="1">
      <c r="A4432" s="18"/>
      <c r="B4432" s="19" t="s">
        <v>19332</v>
      </c>
      <c r="C4432" s="20" t="s">
        <v>21086</v>
      </c>
      <c r="D4432" s="47"/>
      <c r="E4432" s="22" t="s">
        <v>21125</v>
      </c>
      <c r="F4432" s="22" t="s">
        <v>400</v>
      </c>
      <c r="G4432" s="23">
        <v>2021.0</v>
      </c>
      <c r="H4432" s="22" t="s">
        <v>19498</v>
      </c>
      <c r="I4432" s="24" t="s">
        <v>21126</v>
      </c>
      <c r="J4432" s="22" t="s">
        <v>21127</v>
      </c>
      <c r="K4432" s="22"/>
      <c r="L4432" s="36" t="s">
        <v>6257</v>
      </c>
      <c r="M4432" s="36" t="s">
        <v>20855</v>
      </c>
      <c r="N4432" s="36" t="s">
        <v>21128</v>
      </c>
      <c r="O4432" s="36" t="s">
        <v>21129</v>
      </c>
      <c r="P4432" s="37"/>
      <c r="Q4432" s="36"/>
      <c r="R4432" s="36" t="s">
        <v>21130</v>
      </c>
      <c r="S4432" s="36">
        <v>1.0</v>
      </c>
      <c r="T4432" s="41" t="s">
        <v>21131</v>
      </c>
      <c r="U4432" s="29" t="s">
        <v>61</v>
      </c>
      <c r="V4432" s="30"/>
      <c r="W4432" s="156"/>
      <c r="X4432" s="49"/>
      <c r="Y4432" s="35"/>
      <c r="Z4432" s="35"/>
      <c r="AA4432" s="35"/>
      <c r="AB4432" s="35"/>
      <c r="AC4432" s="35"/>
      <c r="AD4432" s="35"/>
      <c r="AE4432" s="35"/>
      <c r="AF4432" s="35"/>
      <c r="AG4432" s="35"/>
      <c r="AH4432" s="35"/>
      <c r="AI4432" s="35"/>
      <c r="AJ4432" s="35"/>
      <c r="AK4432" s="35"/>
      <c r="AL4432" s="35"/>
    </row>
    <row r="4433">
      <c r="A4433" s="18"/>
      <c r="B4433" s="19" t="s">
        <v>19332</v>
      </c>
      <c r="C4433" s="20" t="s">
        <v>21086</v>
      </c>
      <c r="D4433" s="47"/>
      <c r="E4433" s="22" t="s">
        <v>21132</v>
      </c>
      <c r="F4433" s="22" t="s">
        <v>18291</v>
      </c>
      <c r="G4433" s="23">
        <v>2020.0</v>
      </c>
      <c r="H4433" s="22" t="s">
        <v>14630</v>
      </c>
      <c r="I4433" s="24" t="s">
        <v>21133</v>
      </c>
      <c r="J4433" s="22" t="s">
        <v>649</v>
      </c>
      <c r="K4433" s="22"/>
      <c r="L4433" s="173" t="s">
        <v>21134</v>
      </c>
      <c r="U4433" s="29" t="s">
        <v>61</v>
      </c>
      <c r="V4433" s="30"/>
      <c r="W4433" s="156"/>
      <c r="X4433" s="49"/>
      <c r="Y4433" s="35"/>
      <c r="Z4433" s="35"/>
      <c r="AA4433" s="35"/>
      <c r="AB4433" s="35"/>
      <c r="AC4433" s="35"/>
      <c r="AD4433" s="35"/>
      <c r="AE4433" s="35"/>
      <c r="AF4433" s="35"/>
      <c r="AG4433" s="35"/>
      <c r="AH4433" s="35"/>
      <c r="AI4433" s="35"/>
      <c r="AJ4433" s="35"/>
      <c r="AK4433" s="35"/>
      <c r="AL4433" s="35"/>
    </row>
    <row r="4434">
      <c r="A4434" s="40"/>
      <c r="B4434" s="19" t="s">
        <v>19332</v>
      </c>
      <c r="C4434" s="20" t="s">
        <v>21086</v>
      </c>
      <c r="D4434" s="47"/>
      <c r="E4434" s="22" t="s">
        <v>21135</v>
      </c>
      <c r="F4434" s="22" t="s">
        <v>323</v>
      </c>
      <c r="G4434" s="23">
        <v>2020.0</v>
      </c>
      <c r="H4434" s="22" t="s">
        <v>147</v>
      </c>
      <c r="I4434" s="24" t="s">
        <v>21136</v>
      </c>
      <c r="J4434" s="22" t="s">
        <v>21137</v>
      </c>
      <c r="K4434" s="22"/>
      <c r="L4434" s="52">
        <v>808.0</v>
      </c>
      <c r="M4434" s="52">
        <v>100.0</v>
      </c>
      <c r="N4434" s="52"/>
      <c r="O4434" s="52"/>
      <c r="P4434" s="189"/>
      <c r="Q4434" s="52" t="s">
        <v>1065</v>
      </c>
      <c r="R4434" s="52">
        <v>160.0</v>
      </c>
      <c r="S4434" s="52">
        <v>1.0</v>
      </c>
      <c r="T4434" s="28" t="s">
        <v>21138</v>
      </c>
      <c r="U4434" s="29" t="s">
        <v>61</v>
      </c>
      <c r="V4434" s="30"/>
      <c r="W4434" s="156"/>
      <c r="X4434" s="49"/>
      <c r="Y4434" s="35"/>
      <c r="Z4434" s="35"/>
      <c r="AA4434" s="35"/>
      <c r="AB4434" s="35"/>
      <c r="AC4434" s="35"/>
      <c r="AD4434" s="35"/>
      <c r="AE4434" s="35"/>
      <c r="AF4434" s="35"/>
      <c r="AG4434" s="35"/>
      <c r="AH4434" s="35"/>
      <c r="AI4434" s="35"/>
      <c r="AJ4434" s="35"/>
      <c r="AK4434" s="35"/>
      <c r="AL4434" s="35"/>
    </row>
    <row r="4435">
      <c r="A4435" s="40"/>
      <c r="B4435" s="19" t="s">
        <v>19332</v>
      </c>
      <c r="C4435" s="20" t="s">
        <v>21086</v>
      </c>
      <c r="D4435" s="47"/>
      <c r="E4435" s="22" t="s">
        <v>21139</v>
      </c>
      <c r="F4435" s="22" t="s">
        <v>13506</v>
      </c>
      <c r="G4435" s="23">
        <v>2019.0</v>
      </c>
      <c r="H4435" s="22" t="s">
        <v>1485</v>
      </c>
      <c r="I4435" s="24" t="s">
        <v>21140</v>
      </c>
      <c r="J4435" s="22" t="s">
        <v>649</v>
      </c>
      <c r="K4435" s="22"/>
      <c r="L4435" s="53" t="s">
        <v>21141</v>
      </c>
      <c r="U4435" s="29" t="s">
        <v>61</v>
      </c>
      <c r="V4435" s="30"/>
      <c r="W4435" s="156"/>
      <c r="X4435" s="49"/>
      <c r="Y4435" s="35"/>
      <c r="Z4435" s="35"/>
      <c r="AA4435" s="35"/>
      <c r="AB4435" s="35"/>
      <c r="AC4435" s="35"/>
      <c r="AD4435" s="35"/>
      <c r="AE4435" s="35"/>
      <c r="AF4435" s="35"/>
      <c r="AG4435" s="35"/>
      <c r="AH4435" s="35"/>
      <c r="AI4435" s="35"/>
      <c r="AJ4435" s="35"/>
      <c r="AK4435" s="35"/>
      <c r="AL4435" s="35"/>
    </row>
    <row r="4436">
      <c r="A4436" s="40"/>
      <c r="B4436" s="19" t="s">
        <v>19332</v>
      </c>
      <c r="C4436" s="20" t="s">
        <v>21086</v>
      </c>
      <c r="D4436" s="47"/>
      <c r="E4436" s="22" t="s">
        <v>610</v>
      </c>
      <c r="F4436" s="22" t="s">
        <v>21142</v>
      </c>
      <c r="G4436" s="23">
        <v>2019.0</v>
      </c>
      <c r="H4436" s="22" t="s">
        <v>91</v>
      </c>
      <c r="I4436" s="24" t="s">
        <v>21143</v>
      </c>
      <c r="J4436" s="22" t="s">
        <v>21144</v>
      </c>
      <c r="K4436" s="22" t="s">
        <v>21145</v>
      </c>
      <c r="L4436" s="36">
        <v>808.0</v>
      </c>
      <c r="M4436" s="36">
        <v>100.0</v>
      </c>
      <c r="N4436" s="36"/>
      <c r="O4436" s="36" t="s">
        <v>21146</v>
      </c>
      <c r="P4436" s="37" t="s">
        <v>974</v>
      </c>
      <c r="Q4436" s="36"/>
      <c r="R4436" s="36" t="s">
        <v>21147</v>
      </c>
      <c r="S4436" s="36"/>
      <c r="T4436" s="28" t="s">
        <v>21148</v>
      </c>
      <c r="U4436" s="38" t="str">
        <f>HYPERLINK("https://www.ncbi.nlm.nih.gov/pubmed/31811497","PubMed")</f>
        <v>PubMed</v>
      </c>
      <c r="V4436" s="30"/>
      <c r="W4436" s="156"/>
      <c r="X4436" s="49"/>
      <c r="Y4436" s="35"/>
      <c r="Z4436" s="35"/>
      <c r="AA4436" s="35"/>
      <c r="AB4436" s="35"/>
      <c r="AC4436" s="35"/>
      <c r="AD4436" s="35"/>
      <c r="AE4436" s="35"/>
      <c r="AF4436" s="35"/>
      <c r="AG4436" s="35"/>
      <c r="AH4436" s="35"/>
      <c r="AI4436" s="35"/>
      <c r="AJ4436" s="35"/>
      <c r="AK4436" s="35"/>
      <c r="AL4436" s="35"/>
    </row>
    <row r="4437">
      <c r="A4437" s="40"/>
      <c r="B4437" s="19" t="s">
        <v>19332</v>
      </c>
      <c r="C4437" s="20" t="s">
        <v>21086</v>
      </c>
      <c r="D4437" s="47"/>
      <c r="E4437" s="22" t="s">
        <v>2195</v>
      </c>
      <c r="F4437" s="22" t="s">
        <v>2801</v>
      </c>
      <c r="G4437" s="23">
        <v>2019.0</v>
      </c>
      <c r="H4437" s="22" t="s">
        <v>91</v>
      </c>
      <c r="I4437" s="24" t="s">
        <v>21149</v>
      </c>
      <c r="J4437" s="22" t="s">
        <v>649</v>
      </c>
      <c r="K4437" s="22"/>
      <c r="L4437" s="167" t="s">
        <v>21150</v>
      </c>
      <c r="M4437" s="44"/>
      <c r="N4437" s="44"/>
      <c r="O4437" s="44"/>
      <c r="P4437" s="44"/>
      <c r="Q4437" s="44"/>
      <c r="R4437" s="44"/>
      <c r="S4437" s="44"/>
      <c r="T4437" s="45"/>
      <c r="U4437" s="38" t="str">
        <f>HYPERLINK("https://www.ncbi.nlm.nih.gov/pubmed/31044364","PubMed")</f>
        <v>PubMed</v>
      </c>
      <c r="V4437" s="30"/>
      <c r="W4437" s="156"/>
      <c r="X4437" s="49"/>
      <c r="Y4437" s="35"/>
      <c r="Z4437" s="35"/>
      <c r="AA4437" s="35"/>
      <c r="AB4437" s="35"/>
      <c r="AC4437" s="35"/>
      <c r="AD4437" s="35"/>
      <c r="AE4437" s="35"/>
      <c r="AF4437" s="35"/>
      <c r="AG4437" s="35"/>
      <c r="AH4437" s="35"/>
      <c r="AI4437" s="35"/>
      <c r="AJ4437" s="35"/>
      <c r="AK4437" s="35"/>
      <c r="AL4437" s="35"/>
    </row>
    <row r="4438">
      <c r="A4438" s="40"/>
      <c r="B4438" s="19" t="s">
        <v>19332</v>
      </c>
      <c r="C4438" s="20" t="s">
        <v>21086</v>
      </c>
      <c r="D4438" s="47"/>
      <c r="E4438" s="22" t="s">
        <v>21062</v>
      </c>
      <c r="F4438" s="22" t="s">
        <v>1016</v>
      </c>
      <c r="G4438" s="23">
        <v>2018.0</v>
      </c>
      <c r="H4438" s="22" t="s">
        <v>21009</v>
      </c>
      <c r="I4438" s="24" t="s">
        <v>21151</v>
      </c>
      <c r="J4438" s="22" t="s">
        <v>21152</v>
      </c>
      <c r="K4438" s="22" t="s">
        <v>21153</v>
      </c>
      <c r="L4438" s="36">
        <v>970.0</v>
      </c>
      <c r="M4438" s="36">
        <v>500.0</v>
      </c>
      <c r="N4438" s="36">
        <v>286.0</v>
      </c>
      <c r="O4438" s="36"/>
      <c r="P4438" s="37"/>
      <c r="Q4438" s="36"/>
      <c r="R4438" s="36">
        <v>60.0</v>
      </c>
      <c r="S4438" s="36">
        <v>1.0</v>
      </c>
      <c r="T4438" s="28" t="s">
        <v>21154</v>
      </c>
      <c r="U4438" s="38" t="str">
        <f>HYPERLINK("https://www.ncbi.nlm.nih.gov/pubmed/30144985","PubMed")</f>
        <v>PubMed</v>
      </c>
      <c r="V4438" s="30"/>
      <c r="W4438" s="156"/>
      <c r="X4438" s="49"/>
      <c r="Y4438" s="35"/>
      <c r="Z4438" s="35"/>
      <c r="AA4438" s="35"/>
      <c r="AB4438" s="35"/>
      <c r="AC4438" s="35"/>
      <c r="AD4438" s="35"/>
      <c r="AE4438" s="35"/>
      <c r="AF4438" s="35"/>
      <c r="AG4438" s="35"/>
      <c r="AH4438" s="35"/>
      <c r="AI4438" s="35"/>
      <c r="AJ4438" s="35"/>
      <c r="AK4438" s="35"/>
      <c r="AL4438" s="35"/>
    </row>
    <row r="4439">
      <c r="A4439" s="40"/>
      <c r="B4439" s="19" t="s">
        <v>19332</v>
      </c>
      <c r="C4439" s="20" t="s">
        <v>21086</v>
      </c>
      <c r="D4439" s="47"/>
      <c r="E4439" s="22" t="s">
        <v>1059</v>
      </c>
      <c r="F4439" s="22" t="s">
        <v>21142</v>
      </c>
      <c r="G4439" s="23">
        <v>2018.0</v>
      </c>
      <c r="H4439" s="22" t="s">
        <v>477</v>
      </c>
      <c r="I4439" s="24" t="s">
        <v>21155</v>
      </c>
      <c r="J4439" s="22" t="s">
        <v>21156</v>
      </c>
      <c r="K4439" s="22"/>
      <c r="L4439" s="36">
        <v>808.0</v>
      </c>
      <c r="M4439" s="36">
        <v>100.0</v>
      </c>
      <c r="N4439" s="36"/>
      <c r="O4439" s="36"/>
      <c r="P4439" s="37" t="s">
        <v>974</v>
      </c>
      <c r="Q4439" s="36" t="s">
        <v>938</v>
      </c>
      <c r="R4439" s="36" t="s">
        <v>21157</v>
      </c>
      <c r="S4439" s="36">
        <v>1.0</v>
      </c>
      <c r="T4439" s="28" t="s">
        <v>21158</v>
      </c>
      <c r="U4439" s="38" t="str">
        <f>HYPERLINK("https://www.ncbi.nlm.nih.gov/pubmed/29658070","PubMed")</f>
        <v>PubMed</v>
      </c>
      <c r="V4439" s="30"/>
      <c r="W4439" s="156"/>
      <c r="X4439" s="49"/>
      <c r="Y4439" s="35"/>
      <c r="Z4439" s="35"/>
      <c r="AA4439" s="35"/>
      <c r="AB4439" s="35"/>
      <c r="AC4439" s="35"/>
      <c r="AD4439" s="35"/>
      <c r="AE4439" s="35"/>
      <c r="AF4439" s="35"/>
      <c r="AG4439" s="35"/>
      <c r="AH4439" s="35"/>
      <c r="AI4439" s="35"/>
      <c r="AJ4439" s="35"/>
      <c r="AK4439" s="35"/>
      <c r="AL4439" s="35"/>
    </row>
    <row r="4440">
      <c r="A4440" s="40"/>
      <c r="B4440" s="19" t="s">
        <v>19332</v>
      </c>
      <c r="C4440" s="20" t="s">
        <v>21086</v>
      </c>
      <c r="D4440" s="47"/>
      <c r="E4440" s="22" t="s">
        <v>21159</v>
      </c>
      <c r="F4440" s="22" t="s">
        <v>10477</v>
      </c>
      <c r="G4440" s="23">
        <v>2018.0</v>
      </c>
      <c r="H4440" s="22" t="s">
        <v>17533</v>
      </c>
      <c r="I4440" s="24" t="s">
        <v>21160</v>
      </c>
      <c r="J4440" s="22" t="s">
        <v>21161</v>
      </c>
      <c r="K4440" s="22" t="s">
        <v>21162</v>
      </c>
      <c r="L4440" s="36" t="s">
        <v>194</v>
      </c>
      <c r="M4440" s="36" t="s">
        <v>21163</v>
      </c>
      <c r="N4440" s="36"/>
      <c r="O4440" s="36"/>
      <c r="P4440" s="37"/>
      <c r="Q4440" s="36"/>
      <c r="R4440" s="36" t="s">
        <v>21164</v>
      </c>
      <c r="S4440" s="36"/>
      <c r="T4440" s="28" t="s">
        <v>21165</v>
      </c>
      <c r="U4440" s="38" t="str">
        <f>HYPERLINK("https://www.ncbi.nlm.nih.gov/pubmed/29442086","PubMed")</f>
        <v>PubMed</v>
      </c>
      <c r="V4440" s="30"/>
      <c r="W4440" s="156"/>
      <c r="X4440" s="49"/>
      <c r="Y4440" s="35"/>
      <c r="Z4440" s="35"/>
      <c r="AA4440" s="35"/>
      <c r="AB4440" s="35"/>
      <c r="AC4440" s="35"/>
      <c r="AD4440" s="35"/>
      <c r="AE4440" s="35"/>
      <c r="AF4440" s="35"/>
      <c r="AG4440" s="35"/>
      <c r="AH4440" s="35"/>
      <c r="AI4440" s="35"/>
      <c r="AJ4440" s="35"/>
      <c r="AK4440" s="35"/>
      <c r="AL4440" s="35"/>
    </row>
    <row r="4441">
      <c r="A4441" s="40"/>
      <c r="B4441" s="19" t="s">
        <v>19332</v>
      </c>
      <c r="C4441" s="20" t="s">
        <v>21086</v>
      </c>
      <c r="D4441" s="47"/>
      <c r="E4441" s="22" t="s">
        <v>21166</v>
      </c>
      <c r="F4441" s="22" t="s">
        <v>323</v>
      </c>
      <c r="G4441" s="23">
        <v>2017.0</v>
      </c>
      <c r="H4441" s="22" t="s">
        <v>147</v>
      </c>
      <c r="I4441" s="24" t="s">
        <v>21167</v>
      </c>
      <c r="J4441" s="22" t="s">
        <v>21168</v>
      </c>
      <c r="K4441" s="22" t="s">
        <v>21169</v>
      </c>
      <c r="L4441" s="36">
        <v>808.0</v>
      </c>
      <c r="M4441" s="36">
        <v>100.0</v>
      </c>
      <c r="N4441" s="36"/>
      <c r="O4441" s="36"/>
      <c r="P4441" s="37" t="s">
        <v>21170</v>
      </c>
      <c r="Q4441" s="36"/>
      <c r="R4441" s="36">
        <v>80.0</v>
      </c>
      <c r="S4441" s="36">
        <v>1.0</v>
      </c>
      <c r="T4441" s="42" t="s">
        <v>21171</v>
      </c>
      <c r="U4441" s="38" t="str">
        <f>HYPERLINK("https://www.ncbi.nlm.nih.gov/pubmed/29123632","PubMed")</f>
        <v>PubMed</v>
      </c>
      <c r="V4441" s="30"/>
      <c r="W4441" s="156"/>
      <c r="X4441" s="49"/>
      <c r="Y4441" s="35"/>
      <c r="Z4441" s="35"/>
      <c r="AA4441" s="35"/>
      <c r="AB4441" s="35"/>
      <c r="AC4441" s="35"/>
      <c r="AD4441" s="35"/>
      <c r="AE4441" s="35"/>
      <c r="AF4441" s="35"/>
      <c r="AG4441" s="35"/>
      <c r="AH4441" s="35"/>
      <c r="AI4441" s="35"/>
      <c r="AJ4441" s="35"/>
      <c r="AK4441" s="35"/>
      <c r="AL4441" s="35"/>
    </row>
    <row r="4442">
      <c r="A4442" s="40"/>
      <c r="B4442" s="19" t="s">
        <v>19332</v>
      </c>
      <c r="C4442" s="20" t="s">
        <v>21086</v>
      </c>
      <c r="D4442" s="47"/>
      <c r="E4442" s="22" t="s">
        <v>21057</v>
      </c>
      <c r="F4442" s="22" t="s">
        <v>408</v>
      </c>
      <c r="G4442" s="23">
        <v>2017.0</v>
      </c>
      <c r="H4442" s="22" t="s">
        <v>21009</v>
      </c>
      <c r="I4442" s="24" t="s">
        <v>21172</v>
      </c>
      <c r="J4442" s="22" t="s">
        <v>21173</v>
      </c>
      <c r="K4442" s="22" t="s">
        <v>21174</v>
      </c>
      <c r="L4442" s="36">
        <v>970.0</v>
      </c>
      <c r="M4442" s="36">
        <v>500.0</v>
      </c>
      <c r="N4442" s="36" t="s">
        <v>21175</v>
      </c>
      <c r="O4442" s="36"/>
      <c r="P4442" s="37"/>
      <c r="Q4442" s="36"/>
      <c r="R4442" s="36" t="s">
        <v>21176</v>
      </c>
      <c r="S4442" s="36">
        <v>1.0</v>
      </c>
      <c r="T4442" s="28" t="s">
        <v>21177</v>
      </c>
      <c r="U4442" s="38" t="str">
        <f>HYPERLINK("https://www.ncbi.nlm.nih.gov/pubmed/28967495","PubMed")</f>
        <v>PubMed</v>
      </c>
      <c r="V4442" s="30"/>
      <c r="W4442" s="156"/>
      <c r="X4442" s="49"/>
      <c r="Y4442" s="35"/>
      <c r="Z4442" s="35"/>
      <c r="AA4442" s="35"/>
      <c r="AB4442" s="35"/>
      <c r="AC4442" s="35"/>
      <c r="AD4442" s="35"/>
      <c r="AE4442" s="35"/>
      <c r="AF4442" s="35"/>
      <c r="AG4442" s="35"/>
      <c r="AH4442" s="35"/>
      <c r="AI4442" s="35"/>
      <c r="AJ4442" s="35"/>
      <c r="AK4442" s="35"/>
      <c r="AL4442" s="35"/>
    </row>
    <row r="4443">
      <c r="A4443" s="18" t="s">
        <v>38</v>
      </c>
      <c r="B4443" s="19" t="s">
        <v>19332</v>
      </c>
      <c r="C4443" s="20" t="s">
        <v>21086</v>
      </c>
      <c r="D4443" s="47"/>
      <c r="E4443" s="22" t="s">
        <v>19157</v>
      </c>
      <c r="F4443" s="22" t="s">
        <v>19158</v>
      </c>
      <c r="G4443" s="23">
        <v>2004.0</v>
      </c>
      <c r="H4443" s="22" t="s">
        <v>284</v>
      </c>
      <c r="I4443" s="24" t="s">
        <v>21178</v>
      </c>
      <c r="J4443" s="22" t="s">
        <v>21179</v>
      </c>
      <c r="K4443" s="22"/>
      <c r="L4443" s="36">
        <v>809.0</v>
      </c>
      <c r="M4443" s="36">
        <v>50.0</v>
      </c>
      <c r="N4443" s="36"/>
      <c r="O4443" s="129">
        <v>44688.0</v>
      </c>
      <c r="P4443" s="37"/>
      <c r="Q4443" s="36" t="s">
        <v>1065</v>
      </c>
      <c r="R4443" s="36">
        <v>150.0</v>
      </c>
      <c r="S4443" s="36">
        <v>1.0</v>
      </c>
      <c r="T4443" s="28" t="s">
        <v>21180</v>
      </c>
      <c r="U4443" s="38" t="str">
        <f>HYPERLINK("https://www.ncbi.nlm.nih.gov/pubmed/14758818","PubMed")</f>
        <v>PubMed</v>
      </c>
      <c r="V4443" s="30"/>
      <c r="W4443" s="156"/>
      <c r="X4443" s="49"/>
      <c r="Y4443" s="35"/>
      <c r="Z4443" s="35"/>
      <c r="AA4443" s="35"/>
      <c r="AB4443" s="35"/>
      <c r="AC4443" s="35"/>
      <c r="AD4443" s="35"/>
      <c r="AE4443" s="35"/>
      <c r="AF4443" s="35"/>
      <c r="AG4443" s="35"/>
      <c r="AH4443" s="35"/>
      <c r="AI4443" s="35"/>
      <c r="AJ4443" s="35"/>
      <c r="AK4443" s="35"/>
      <c r="AL4443" s="35"/>
    </row>
    <row r="4444">
      <c r="A4444" s="40"/>
      <c r="B4444" s="19" t="s">
        <v>19332</v>
      </c>
      <c r="C4444" s="20" t="s">
        <v>21181</v>
      </c>
      <c r="D4444" s="47"/>
      <c r="E4444" s="22" t="s">
        <v>2593</v>
      </c>
      <c r="F4444" s="22" t="s">
        <v>14321</v>
      </c>
      <c r="G4444" s="23">
        <v>2016.0</v>
      </c>
      <c r="H4444" s="22" t="s">
        <v>91</v>
      </c>
      <c r="I4444" s="24" t="s">
        <v>21182</v>
      </c>
      <c r="J4444" s="22" t="s">
        <v>21183</v>
      </c>
      <c r="K4444" s="22"/>
      <c r="L4444" s="36">
        <v>904.0</v>
      </c>
      <c r="M4444" s="36">
        <v>30.0</v>
      </c>
      <c r="N4444" s="36" t="s">
        <v>58</v>
      </c>
      <c r="O4444" s="129">
        <v>44715.0</v>
      </c>
      <c r="P4444" s="37" t="s">
        <v>7754</v>
      </c>
      <c r="Q4444" s="36" t="s">
        <v>21184</v>
      </c>
      <c r="R4444" s="36">
        <v>60.0</v>
      </c>
      <c r="S4444" s="36">
        <v>1.0</v>
      </c>
      <c r="T4444" s="42" t="s">
        <v>21185</v>
      </c>
      <c r="U4444" s="38" t="str">
        <f>HYPERLINK("https://www.ncbi.nlm.nih.gov/pubmed/27553623","PubMed")</f>
        <v>PubMed</v>
      </c>
      <c r="V4444" s="30"/>
      <c r="W4444" s="156"/>
      <c r="X4444" s="49"/>
      <c r="Y4444" s="35"/>
      <c r="Z4444" s="35"/>
      <c r="AA4444" s="35"/>
      <c r="AB4444" s="35"/>
      <c r="AC4444" s="35"/>
      <c r="AD4444" s="35"/>
      <c r="AE4444" s="35"/>
      <c r="AF4444" s="35"/>
      <c r="AG4444" s="35"/>
      <c r="AH4444" s="35"/>
      <c r="AI4444" s="35"/>
      <c r="AJ4444" s="35"/>
      <c r="AK4444" s="35"/>
      <c r="AL4444" s="35"/>
    </row>
    <row r="4445">
      <c r="A4445" s="18"/>
      <c r="B4445" s="19" t="s">
        <v>19332</v>
      </c>
      <c r="C4445" s="20" t="s">
        <v>21186</v>
      </c>
      <c r="D4445" s="47"/>
      <c r="E4445" s="22" t="s">
        <v>21187</v>
      </c>
      <c r="F4445" s="22" t="s">
        <v>41</v>
      </c>
      <c r="G4445" s="23">
        <v>2021.0</v>
      </c>
      <c r="H4445" s="22" t="s">
        <v>960</v>
      </c>
      <c r="I4445" s="24" t="s">
        <v>21188</v>
      </c>
      <c r="J4445" s="22" t="s">
        <v>1629</v>
      </c>
      <c r="K4445" s="22"/>
      <c r="L4445" s="36">
        <v>660.0</v>
      </c>
      <c r="M4445" s="36">
        <v>20.0</v>
      </c>
      <c r="N4445" s="36"/>
      <c r="O4445" s="36"/>
      <c r="P4445" s="37" t="s">
        <v>432</v>
      </c>
      <c r="Q4445" s="36" t="s">
        <v>419</v>
      </c>
      <c r="R4445" s="36"/>
      <c r="S4445" s="36"/>
      <c r="T4445" s="28" t="s">
        <v>21189</v>
      </c>
      <c r="U4445" s="29" t="s">
        <v>61</v>
      </c>
      <c r="V4445" s="30"/>
      <c r="W4445" s="156"/>
      <c r="X4445" s="49"/>
      <c r="Y4445" s="35"/>
      <c r="Z4445" s="35"/>
      <c r="AA4445" s="35"/>
      <c r="AB4445" s="35"/>
      <c r="AC4445" s="35"/>
      <c r="AD4445" s="35"/>
      <c r="AE4445" s="35"/>
      <c r="AF4445" s="35"/>
      <c r="AG4445" s="35"/>
      <c r="AH4445" s="35"/>
      <c r="AI4445" s="35"/>
      <c r="AJ4445" s="35"/>
      <c r="AK4445" s="35"/>
      <c r="AL4445" s="35"/>
    </row>
    <row r="4446">
      <c r="A4446" s="40" t="s">
        <v>21190</v>
      </c>
      <c r="B4446" s="19" t="s">
        <v>19332</v>
      </c>
      <c r="C4446" s="20" t="s">
        <v>21186</v>
      </c>
      <c r="D4446" s="47"/>
      <c r="E4446" s="22" t="s">
        <v>689</v>
      </c>
      <c r="F4446" s="22" t="s">
        <v>41</v>
      </c>
      <c r="G4446" s="23">
        <v>2016.0</v>
      </c>
      <c r="H4446" s="22" t="s">
        <v>207</v>
      </c>
      <c r="I4446" s="24" t="s">
        <v>21191</v>
      </c>
      <c r="J4446" s="22" t="s">
        <v>55</v>
      </c>
      <c r="K4446" s="22"/>
      <c r="L4446" s="36">
        <v>660.0</v>
      </c>
      <c r="M4446" s="36">
        <v>20.0</v>
      </c>
      <c r="N4446" s="36"/>
      <c r="O4446" s="36"/>
      <c r="P4446" s="37" t="s">
        <v>432</v>
      </c>
      <c r="Q4446" s="36" t="s">
        <v>280</v>
      </c>
      <c r="R4446" s="36">
        <v>7.0</v>
      </c>
      <c r="S4446" s="36"/>
      <c r="T4446" s="28" t="s">
        <v>21192</v>
      </c>
      <c r="U4446" s="38" t="str">
        <f>HYPERLINK("https://www.ncbi.nlm.nih.gov/pubmed/27927605","PubMed")</f>
        <v>PubMed</v>
      </c>
      <c r="V4446" s="30"/>
      <c r="W4446" s="156"/>
      <c r="X4446" s="49"/>
      <c r="Y4446" s="35"/>
      <c r="Z4446" s="35"/>
      <c r="AA4446" s="35"/>
      <c r="AB4446" s="35"/>
      <c r="AC4446" s="35"/>
      <c r="AD4446" s="35"/>
      <c r="AE4446" s="35"/>
      <c r="AF4446" s="35"/>
      <c r="AG4446" s="35"/>
      <c r="AH4446" s="35"/>
      <c r="AI4446" s="35"/>
      <c r="AJ4446" s="35"/>
      <c r="AK4446" s="35"/>
      <c r="AL4446" s="35"/>
    </row>
    <row r="4447">
      <c r="A4447" s="18"/>
      <c r="B4447" s="19" t="s">
        <v>19332</v>
      </c>
      <c r="C4447" s="20" t="s">
        <v>21193</v>
      </c>
      <c r="D4447" s="47"/>
      <c r="E4447" s="22" t="s">
        <v>21194</v>
      </c>
      <c r="F4447" s="22" t="s">
        <v>1411</v>
      </c>
      <c r="G4447" s="23">
        <v>1998.0</v>
      </c>
      <c r="H4447" s="22" t="s">
        <v>21009</v>
      </c>
      <c r="I4447" s="24" t="s">
        <v>21195</v>
      </c>
      <c r="J4447" s="22" t="s">
        <v>2049</v>
      </c>
      <c r="K4447" s="22"/>
      <c r="L4447" s="36">
        <v>830.0</v>
      </c>
      <c r="M4447" s="36">
        <v>300.0</v>
      </c>
      <c r="N4447" s="36"/>
      <c r="O4447" s="36"/>
      <c r="P4447" s="37"/>
      <c r="Q4447" s="36"/>
      <c r="R4447" s="36"/>
      <c r="S4447" s="36"/>
      <c r="T4447" s="28" t="s">
        <v>21196</v>
      </c>
      <c r="U4447" s="38" t="str">
        <f>HYPERLINK("https://www.ncbi.nlm.nih.gov/pubmed/9558585/","PubMed")</f>
        <v>PubMed</v>
      </c>
      <c r="V4447" s="30"/>
      <c r="W4447" s="156"/>
      <c r="X4447" s="49"/>
      <c r="Y4447" s="35"/>
      <c r="Z4447" s="35"/>
      <c r="AA4447" s="35"/>
      <c r="AB4447" s="35"/>
      <c r="AC4447" s="35"/>
      <c r="AD4447" s="35"/>
      <c r="AE4447" s="35"/>
      <c r="AF4447" s="35"/>
      <c r="AG4447" s="35"/>
      <c r="AH4447" s="35"/>
      <c r="AI4447" s="35"/>
      <c r="AJ4447" s="35"/>
      <c r="AK4447" s="35"/>
      <c r="AL4447" s="35"/>
    </row>
    <row r="4448">
      <c r="A4448" s="18"/>
      <c r="B4448" s="19" t="s">
        <v>19332</v>
      </c>
      <c r="C4448" s="20" t="s">
        <v>21197</v>
      </c>
      <c r="D4448" s="47"/>
      <c r="E4448" s="22" t="s">
        <v>21198</v>
      </c>
      <c r="F4448" s="22" t="s">
        <v>499</v>
      </c>
      <c r="G4448" s="23">
        <v>2021.0</v>
      </c>
      <c r="H4448" s="22" t="s">
        <v>21199</v>
      </c>
      <c r="I4448" s="24" t="s">
        <v>21200</v>
      </c>
      <c r="J4448" s="22" t="s">
        <v>21201</v>
      </c>
      <c r="K4448" s="22"/>
      <c r="L4448" s="36">
        <v>810.0</v>
      </c>
      <c r="M4448" s="36">
        <v>200.0</v>
      </c>
      <c r="N4448" s="36"/>
      <c r="O4448" s="36">
        <v>6.0</v>
      </c>
      <c r="P4448" s="37"/>
      <c r="Q4448" s="36"/>
      <c r="R4448" s="36">
        <v>30.0</v>
      </c>
      <c r="S4448" s="36">
        <v>1.0</v>
      </c>
      <c r="T4448" s="28" t="s">
        <v>21202</v>
      </c>
      <c r="U4448" s="29" t="s">
        <v>61</v>
      </c>
      <c r="V4448" s="30"/>
      <c r="W4448" s="156"/>
      <c r="X4448" s="49"/>
      <c r="Y4448" s="35"/>
      <c r="Z4448" s="35"/>
      <c r="AA4448" s="35"/>
      <c r="AB4448" s="35"/>
      <c r="AC4448" s="35"/>
      <c r="AD4448" s="35"/>
      <c r="AE4448" s="35"/>
      <c r="AF4448" s="35"/>
      <c r="AG4448" s="35"/>
      <c r="AH4448" s="35"/>
      <c r="AI4448" s="35"/>
      <c r="AJ4448" s="35"/>
      <c r="AK4448" s="35"/>
      <c r="AL4448" s="35"/>
    </row>
    <row r="4449">
      <c r="A4449" s="18"/>
      <c r="B4449" s="19" t="s">
        <v>19332</v>
      </c>
      <c r="C4449" s="20" t="s">
        <v>21203</v>
      </c>
      <c r="D4449" s="47"/>
      <c r="E4449" s="22" t="s">
        <v>1912</v>
      </c>
      <c r="F4449" s="22" t="s">
        <v>21204</v>
      </c>
      <c r="G4449" s="23">
        <v>2022.0</v>
      </c>
      <c r="H4449" s="22" t="s">
        <v>91</v>
      </c>
      <c r="I4449" s="24" t="s">
        <v>21205</v>
      </c>
      <c r="J4449" s="22" t="s">
        <v>21206</v>
      </c>
      <c r="K4449" s="22" t="s">
        <v>21207</v>
      </c>
      <c r="L4449" s="36">
        <v>820.0</v>
      </c>
      <c r="M4449" s="36">
        <v>10.0</v>
      </c>
      <c r="N4449" s="36"/>
      <c r="O4449" s="36"/>
      <c r="P4449" s="37" t="s">
        <v>7500</v>
      </c>
      <c r="Q4449" s="36"/>
      <c r="R4449" s="36"/>
      <c r="S4449" s="36">
        <v>1.0</v>
      </c>
      <c r="T4449" s="28" t="s">
        <v>21208</v>
      </c>
      <c r="U4449" s="29" t="s">
        <v>61</v>
      </c>
      <c r="V4449" s="30"/>
      <c r="W4449" s="156"/>
      <c r="X4449" s="49"/>
      <c r="Y4449" s="35"/>
      <c r="Z4449" s="35"/>
      <c r="AA4449" s="35"/>
      <c r="AB4449" s="35"/>
      <c r="AC4449" s="35"/>
      <c r="AD4449" s="35"/>
      <c r="AE4449" s="35"/>
      <c r="AF4449" s="35"/>
      <c r="AG4449" s="35"/>
      <c r="AH4449" s="35"/>
      <c r="AI4449" s="35"/>
      <c r="AJ4449" s="35"/>
      <c r="AK4449" s="35"/>
      <c r="AL4449" s="35"/>
    </row>
    <row r="4450">
      <c r="A4450" s="18" t="s">
        <v>38</v>
      </c>
      <c r="B4450" s="19" t="s">
        <v>19332</v>
      </c>
      <c r="C4450" s="20" t="s">
        <v>21203</v>
      </c>
      <c r="D4450" s="47"/>
      <c r="E4450" s="22" t="s">
        <v>21209</v>
      </c>
      <c r="F4450" s="22" t="s">
        <v>21210</v>
      </c>
      <c r="G4450" s="23">
        <v>2021.0</v>
      </c>
      <c r="H4450" s="22" t="s">
        <v>19341</v>
      </c>
      <c r="I4450" s="24" t="s">
        <v>21211</v>
      </c>
      <c r="J4450" s="22" t="s">
        <v>21212</v>
      </c>
      <c r="K4450" s="22"/>
      <c r="L4450" s="36">
        <v>660.0</v>
      </c>
      <c r="M4450" s="36">
        <v>36.0</v>
      </c>
      <c r="N4450" s="36"/>
      <c r="O4450" s="36"/>
      <c r="P4450" s="37"/>
      <c r="Q4450" s="36"/>
      <c r="R4450" s="36">
        <v>240.0</v>
      </c>
      <c r="S4450" s="36"/>
      <c r="T4450" s="28" t="s">
        <v>21213</v>
      </c>
      <c r="U4450" s="29" t="s">
        <v>61</v>
      </c>
      <c r="V4450" s="30"/>
      <c r="W4450" s="156"/>
      <c r="X4450" s="49"/>
      <c r="Y4450" s="35"/>
      <c r="Z4450" s="35"/>
      <c r="AA4450" s="35"/>
      <c r="AB4450" s="35"/>
      <c r="AC4450" s="35"/>
      <c r="AD4450" s="35"/>
      <c r="AE4450" s="35"/>
      <c r="AF4450" s="35"/>
      <c r="AG4450" s="35"/>
      <c r="AH4450" s="35"/>
      <c r="AI4450" s="35"/>
      <c r="AJ4450" s="35"/>
      <c r="AK4450" s="35"/>
      <c r="AL4450" s="35"/>
    </row>
    <row r="4451">
      <c r="A4451" s="18"/>
      <c r="B4451" s="19" t="s">
        <v>19332</v>
      </c>
      <c r="C4451" s="20" t="s">
        <v>21203</v>
      </c>
      <c r="D4451" s="47"/>
      <c r="E4451" s="22" t="s">
        <v>1011</v>
      </c>
      <c r="F4451" s="22" t="s">
        <v>11529</v>
      </c>
      <c r="G4451" s="23">
        <v>2022.0</v>
      </c>
      <c r="H4451" s="22" t="s">
        <v>91</v>
      </c>
      <c r="I4451" s="24" t="s">
        <v>21214</v>
      </c>
      <c r="J4451" s="22" t="s">
        <v>21215</v>
      </c>
      <c r="K4451" s="22"/>
      <c r="L4451" s="36" t="s">
        <v>3149</v>
      </c>
      <c r="M4451" s="36" t="s">
        <v>21216</v>
      </c>
      <c r="N4451" s="36"/>
      <c r="O4451" s="36"/>
      <c r="P4451" s="37"/>
      <c r="Q4451" s="36"/>
      <c r="R4451" s="36"/>
      <c r="S4451" s="36" t="s">
        <v>21217</v>
      </c>
      <c r="T4451" s="41" t="s">
        <v>21218</v>
      </c>
      <c r="U4451" s="29" t="s">
        <v>61</v>
      </c>
      <c r="V4451" s="30"/>
      <c r="W4451" s="156"/>
      <c r="X4451" s="49"/>
      <c r="Y4451" s="35"/>
      <c r="Z4451" s="35"/>
      <c r="AA4451" s="35"/>
      <c r="AB4451" s="35"/>
      <c r="AC4451" s="35"/>
      <c r="AD4451" s="35"/>
      <c r="AE4451" s="35"/>
      <c r="AF4451" s="35"/>
      <c r="AG4451" s="35"/>
      <c r="AH4451" s="35"/>
      <c r="AI4451" s="35"/>
      <c r="AJ4451" s="35"/>
      <c r="AK4451" s="35"/>
      <c r="AL4451" s="35"/>
    </row>
    <row r="4452">
      <c r="A4452" s="40"/>
      <c r="B4452" s="19" t="s">
        <v>19332</v>
      </c>
      <c r="C4452" s="20" t="s">
        <v>21203</v>
      </c>
      <c r="D4452" s="47"/>
      <c r="E4452" s="22" t="s">
        <v>21219</v>
      </c>
      <c r="F4452" s="22" t="s">
        <v>21019</v>
      </c>
      <c r="G4452" s="23">
        <v>2020.0</v>
      </c>
      <c r="H4452" s="22" t="s">
        <v>21220</v>
      </c>
      <c r="I4452" s="24" t="s">
        <v>21221</v>
      </c>
      <c r="J4452" s="22" t="s">
        <v>21222</v>
      </c>
      <c r="K4452" s="22"/>
      <c r="L4452" s="52"/>
      <c r="M4452" s="52"/>
      <c r="N4452" s="52"/>
      <c r="O4452" s="52"/>
      <c r="P4452" s="189"/>
      <c r="Q4452" s="52"/>
      <c r="R4452" s="52"/>
      <c r="S4452" s="52">
        <v>1.0</v>
      </c>
      <c r="T4452" s="28" t="s">
        <v>21223</v>
      </c>
      <c r="U4452" s="29" t="s">
        <v>61</v>
      </c>
      <c r="V4452" s="30"/>
      <c r="W4452" s="156"/>
      <c r="X4452" s="49"/>
      <c r="Y4452" s="35"/>
      <c r="Z4452" s="35"/>
      <c r="AA4452" s="35"/>
      <c r="AB4452" s="35"/>
      <c r="AC4452" s="35"/>
      <c r="AD4452" s="35"/>
      <c r="AE4452" s="35"/>
      <c r="AF4452" s="35"/>
      <c r="AG4452" s="35"/>
      <c r="AH4452" s="35"/>
      <c r="AI4452" s="35"/>
      <c r="AJ4452" s="35"/>
      <c r="AK4452" s="35"/>
      <c r="AL4452" s="35"/>
    </row>
    <row r="4453">
      <c r="A4453" s="40"/>
      <c r="B4453" s="19" t="s">
        <v>19332</v>
      </c>
      <c r="C4453" s="20" t="s">
        <v>21203</v>
      </c>
      <c r="D4453" s="47"/>
      <c r="E4453" s="22" t="s">
        <v>21224</v>
      </c>
      <c r="F4453" s="22" t="s">
        <v>323</v>
      </c>
      <c r="G4453" s="23">
        <v>2018.0</v>
      </c>
      <c r="H4453" s="22" t="s">
        <v>21225</v>
      </c>
      <c r="I4453" s="24" t="s">
        <v>21226</v>
      </c>
      <c r="J4453" s="22" t="s">
        <v>21227</v>
      </c>
      <c r="K4453" s="22"/>
      <c r="L4453" s="36">
        <v>633.0</v>
      </c>
      <c r="M4453" s="36"/>
      <c r="N4453" s="36"/>
      <c r="O4453" s="36"/>
      <c r="P4453" s="37" t="s">
        <v>16571</v>
      </c>
      <c r="Q4453" s="36"/>
      <c r="R4453" s="36">
        <v>135.0</v>
      </c>
      <c r="S4453" s="36"/>
      <c r="T4453" s="28" t="s">
        <v>21228</v>
      </c>
      <c r="U4453" s="38" t="str">
        <f>HYPERLINK("https://www.ncbi.nlm.nih.gov/pubmed/29692828","PubMed")</f>
        <v>PubMed</v>
      </c>
      <c r="V4453" s="30"/>
      <c r="W4453" s="156"/>
      <c r="X4453" s="49"/>
      <c r="Y4453" s="35"/>
      <c r="Z4453" s="35"/>
      <c r="AA4453" s="35"/>
      <c r="AB4453" s="35"/>
      <c r="AC4453" s="35"/>
      <c r="AD4453" s="35"/>
      <c r="AE4453" s="35"/>
      <c r="AF4453" s="35"/>
      <c r="AG4453" s="35"/>
      <c r="AH4453" s="35"/>
      <c r="AI4453" s="35"/>
      <c r="AJ4453" s="35"/>
      <c r="AK4453" s="35"/>
      <c r="AL4453" s="35"/>
    </row>
    <row r="4454">
      <c r="A4454" s="40"/>
      <c r="B4454" s="19" t="s">
        <v>19332</v>
      </c>
      <c r="C4454" s="20" t="s">
        <v>21203</v>
      </c>
      <c r="D4454" s="47"/>
      <c r="E4454" s="22" t="s">
        <v>850</v>
      </c>
      <c r="F4454" s="22" t="s">
        <v>241</v>
      </c>
      <c r="G4454" s="23">
        <v>2015.0</v>
      </c>
      <c r="H4454" s="22" t="s">
        <v>91</v>
      </c>
      <c r="I4454" s="24" t="s">
        <v>21229</v>
      </c>
      <c r="J4454" s="22" t="s">
        <v>21230</v>
      </c>
      <c r="K4454" s="22"/>
      <c r="L4454" s="36">
        <v>660.0</v>
      </c>
      <c r="M4454" s="36">
        <v>10.0</v>
      </c>
      <c r="N4454" s="36"/>
      <c r="O4454" s="36"/>
      <c r="P4454" s="37" t="s">
        <v>7500</v>
      </c>
      <c r="Q4454" s="36" t="s">
        <v>7697</v>
      </c>
      <c r="R4454" s="36">
        <v>10.0</v>
      </c>
      <c r="S4454" s="36"/>
      <c r="T4454" s="42" t="s">
        <v>21231</v>
      </c>
      <c r="U4454" s="38" t="str">
        <f>HYPERLINK("https://www.ncbi.nlm.nih.gov/pubmed/25240388","PubMed")</f>
        <v>PubMed</v>
      </c>
      <c r="V4454" s="30"/>
      <c r="W4454" s="156"/>
      <c r="X4454" s="49"/>
      <c r="Y4454" s="35"/>
      <c r="Z4454" s="35"/>
      <c r="AA4454" s="35"/>
      <c r="AB4454" s="35"/>
      <c r="AC4454" s="35"/>
      <c r="AD4454" s="35"/>
      <c r="AE4454" s="35"/>
      <c r="AF4454" s="35"/>
      <c r="AG4454" s="35"/>
      <c r="AH4454" s="35"/>
      <c r="AI4454" s="35"/>
      <c r="AJ4454" s="35"/>
      <c r="AK4454" s="35"/>
      <c r="AL4454" s="35"/>
    </row>
    <row r="4455">
      <c r="A4455" s="40"/>
      <c r="B4455" s="19" t="s">
        <v>19332</v>
      </c>
      <c r="C4455" s="20" t="s">
        <v>21203</v>
      </c>
      <c r="D4455" s="47"/>
      <c r="E4455" s="22" t="s">
        <v>714</v>
      </c>
      <c r="F4455" s="22" t="s">
        <v>41</v>
      </c>
      <c r="G4455" s="23">
        <v>2015.0</v>
      </c>
      <c r="H4455" s="22" t="s">
        <v>21232</v>
      </c>
      <c r="I4455" s="24" t="s">
        <v>21233</v>
      </c>
      <c r="J4455" s="22" t="s">
        <v>21234</v>
      </c>
      <c r="K4455" s="22" t="s">
        <v>21235</v>
      </c>
      <c r="L4455" s="36">
        <v>660.0</v>
      </c>
      <c r="M4455" s="36">
        <v>10.0</v>
      </c>
      <c r="N4455" s="36"/>
      <c r="O4455" s="36"/>
      <c r="P4455" s="37" t="s">
        <v>7500</v>
      </c>
      <c r="Q4455" s="36" t="s">
        <v>830</v>
      </c>
      <c r="R4455" s="36">
        <v>10.0</v>
      </c>
      <c r="S4455" s="36">
        <v>1.0</v>
      </c>
      <c r="T4455" s="28" t="s">
        <v>21236</v>
      </c>
      <c r="U4455" s="38" t="str">
        <f>HYPERLINK("https://www.ncbi.nlm.nih.gov/pubmed/24974864","PubMed")</f>
        <v>PubMed</v>
      </c>
      <c r="V4455" s="30"/>
      <c r="W4455" s="156"/>
      <c r="X4455" s="49"/>
      <c r="Y4455" s="35"/>
      <c r="Z4455" s="35"/>
      <c r="AA4455" s="35"/>
      <c r="AB4455" s="35"/>
      <c r="AC4455" s="35"/>
      <c r="AD4455" s="35"/>
      <c r="AE4455" s="35"/>
      <c r="AF4455" s="35"/>
      <c r="AG4455" s="35"/>
      <c r="AH4455" s="35"/>
      <c r="AI4455" s="35"/>
      <c r="AJ4455" s="35"/>
      <c r="AK4455" s="35"/>
      <c r="AL4455" s="35"/>
    </row>
    <row r="4456">
      <c r="A4456" s="40"/>
      <c r="B4456" s="19" t="s">
        <v>19332</v>
      </c>
      <c r="C4456" s="20" t="s">
        <v>21237</v>
      </c>
      <c r="D4456" s="47"/>
      <c r="E4456" s="22" t="s">
        <v>21238</v>
      </c>
      <c r="F4456" s="22" t="s">
        <v>20682</v>
      </c>
      <c r="G4456" s="23">
        <v>2023.0</v>
      </c>
      <c r="H4456" s="22" t="s">
        <v>2375</v>
      </c>
      <c r="I4456" s="24" t="s">
        <v>21239</v>
      </c>
      <c r="J4456" s="22" t="s">
        <v>125</v>
      </c>
      <c r="K4456" s="22"/>
      <c r="L4456" s="132" t="s">
        <v>21240</v>
      </c>
      <c r="U4456" s="38" t="s">
        <v>61</v>
      </c>
      <c r="V4456" s="30"/>
      <c r="W4456" s="156"/>
      <c r="X4456" s="49"/>
      <c r="Y4456" s="35"/>
      <c r="Z4456" s="35"/>
      <c r="AA4456" s="35"/>
      <c r="AB4456" s="35"/>
      <c r="AC4456" s="35"/>
      <c r="AD4456" s="35"/>
      <c r="AE4456" s="35"/>
      <c r="AF4456" s="35"/>
      <c r="AG4456" s="35"/>
      <c r="AH4456" s="35"/>
      <c r="AI4456" s="35"/>
      <c r="AJ4456" s="35"/>
      <c r="AK4456" s="35"/>
      <c r="AL4456" s="35"/>
    </row>
    <row r="4457">
      <c r="A4457" s="40"/>
      <c r="B4457" s="19" t="s">
        <v>19332</v>
      </c>
      <c r="C4457" s="20" t="s">
        <v>21241</v>
      </c>
      <c r="D4457" s="47"/>
      <c r="E4457" s="22" t="s">
        <v>21242</v>
      </c>
      <c r="F4457" s="22" t="s">
        <v>21243</v>
      </c>
      <c r="G4457" s="23">
        <v>2023.0</v>
      </c>
      <c r="H4457" s="22" t="s">
        <v>21244</v>
      </c>
      <c r="I4457" s="24" t="s">
        <v>21245</v>
      </c>
      <c r="J4457" s="22" t="s">
        <v>21246</v>
      </c>
      <c r="K4457" s="22"/>
      <c r="L4457" s="52">
        <v>660.0</v>
      </c>
      <c r="M4457" s="52">
        <v>100.0</v>
      </c>
      <c r="N4457" s="52" t="s">
        <v>58</v>
      </c>
      <c r="O4457" s="52" t="s">
        <v>58</v>
      </c>
      <c r="P4457" s="189" t="s">
        <v>58</v>
      </c>
      <c r="Q4457" s="52" t="s">
        <v>21247</v>
      </c>
      <c r="R4457" s="52">
        <v>60.0</v>
      </c>
      <c r="S4457" s="52" t="s">
        <v>20850</v>
      </c>
      <c r="T4457" s="42" t="s">
        <v>21248</v>
      </c>
      <c r="U4457" s="38" t="s">
        <v>61</v>
      </c>
      <c r="V4457" s="30"/>
      <c r="W4457" s="156"/>
      <c r="X4457" s="49"/>
      <c r="Y4457" s="35"/>
      <c r="Z4457" s="35"/>
      <c r="AA4457" s="35"/>
      <c r="AB4457" s="35"/>
      <c r="AC4457" s="35"/>
      <c r="AD4457" s="35"/>
      <c r="AE4457" s="35"/>
      <c r="AF4457" s="35"/>
      <c r="AG4457" s="35"/>
      <c r="AH4457" s="35"/>
      <c r="AI4457" s="35"/>
      <c r="AJ4457" s="35"/>
      <c r="AK4457" s="35"/>
      <c r="AL4457" s="35"/>
    </row>
    <row r="4458">
      <c r="A4458" s="40"/>
      <c r="B4458" s="19" t="s">
        <v>19332</v>
      </c>
      <c r="C4458" s="20" t="s">
        <v>21241</v>
      </c>
      <c r="D4458" s="47"/>
      <c r="E4458" s="22" t="s">
        <v>13080</v>
      </c>
      <c r="F4458" s="22" t="s">
        <v>21249</v>
      </c>
      <c r="G4458" s="23">
        <v>2022.0</v>
      </c>
      <c r="H4458" s="22" t="s">
        <v>469</v>
      </c>
      <c r="I4458" s="24" t="s">
        <v>21250</v>
      </c>
      <c r="J4458" s="22" t="s">
        <v>21251</v>
      </c>
      <c r="K4458" s="22"/>
      <c r="L4458" s="52">
        <v>940.0</v>
      </c>
      <c r="M4458" s="52">
        <v>100.0</v>
      </c>
      <c r="N4458" s="52"/>
      <c r="O4458" s="52" t="s">
        <v>21252</v>
      </c>
      <c r="P4458" s="189" t="s">
        <v>82</v>
      </c>
      <c r="Q4458" s="52" t="s">
        <v>21253</v>
      </c>
      <c r="R4458" s="52"/>
      <c r="S4458" s="52">
        <v>1.0</v>
      </c>
      <c r="T4458" s="28" t="s">
        <v>21254</v>
      </c>
      <c r="U4458" s="29" t="s">
        <v>61</v>
      </c>
      <c r="V4458" s="30"/>
      <c r="W4458" s="156"/>
      <c r="X4458" s="49"/>
      <c r="Y4458" s="35"/>
      <c r="Z4458" s="35"/>
      <c r="AA4458" s="35"/>
      <c r="AB4458" s="35"/>
      <c r="AC4458" s="35"/>
      <c r="AD4458" s="35"/>
      <c r="AE4458" s="35"/>
      <c r="AF4458" s="35"/>
      <c r="AG4458" s="35"/>
      <c r="AH4458" s="35"/>
      <c r="AI4458" s="35"/>
      <c r="AJ4458" s="35"/>
      <c r="AK4458" s="35"/>
      <c r="AL4458" s="35"/>
    </row>
    <row r="4459">
      <c r="A4459" s="40"/>
      <c r="B4459" s="19" t="s">
        <v>19332</v>
      </c>
      <c r="C4459" s="20" t="s">
        <v>21241</v>
      </c>
      <c r="D4459" s="47"/>
      <c r="E4459" s="22" t="s">
        <v>2820</v>
      </c>
      <c r="F4459" s="22" t="s">
        <v>21255</v>
      </c>
      <c r="G4459" s="23">
        <v>2021.0</v>
      </c>
      <c r="H4459" s="22" t="s">
        <v>17533</v>
      </c>
      <c r="I4459" s="24" t="s">
        <v>21256</v>
      </c>
      <c r="J4459" s="22" t="s">
        <v>21246</v>
      </c>
      <c r="K4459" s="22"/>
      <c r="L4459" s="52">
        <v>660.0</v>
      </c>
      <c r="M4459" s="52">
        <v>100.0</v>
      </c>
      <c r="N4459" s="52"/>
      <c r="O4459" s="52"/>
      <c r="P4459" s="189"/>
      <c r="Q4459" s="52"/>
      <c r="R4459" s="52">
        <v>60.0</v>
      </c>
      <c r="S4459" s="52" t="s">
        <v>21257</v>
      </c>
      <c r="T4459" s="28" t="s">
        <v>21258</v>
      </c>
      <c r="U4459" s="29" t="s">
        <v>61</v>
      </c>
      <c r="V4459" s="30"/>
      <c r="W4459" s="156"/>
      <c r="X4459" s="49"/>
      <c r="Y4459" s="35"/>
      <c r="Z4459" s="35"/>
      <c r="AA4459" s="35"/>
      <c r="AB4459" s="35"/>
      <c r="AC4459" s="35"/>
      <c r="AD4459" s="35"/>
      <c r="AE4459" s="35"/>
      <c r="AF4459" s="35"/>
      <c r="AG4459" s="35"/>
      <c r="AH4459" s="35"/>
      <c r="AI4459" s="35"/>
      <c r="AJ4459" s="35"/>
      <c r="AK4459" s="35"/>
      <c r="AL4459" s="35"/>
    </row>
    <row r="4460">
      <c r="A4460" s="40"/>
      <c r="B4460" s="19" t="s">
        <v>19332</v>
      </c>
      <c r="C4460" s="20" t="s">
        <v>21259</v>
      </c>
      <c r="D4460" s="47"/>
      <c r="E4460" s="22" t="s">
        <v>21260</v>
      </c>
      <c r="F4460" s="22" t="s">
        <v>11994</v>
      </c>
      <c r="G4460" s="23">
        <v>2020.0</v>
      </c>
      <c r="H4460" s="22" t="s">
        <v>10563</v>
      </c>
      <c r="I4460" s="24" t="s">
        <v>21261</v>
      </c>
      <c r="J4460" s="22" t="s">
        <v>649</v>
      </c>
      <c r="K4460" s="22"/>
      <c r="L4460" s="132" t="s">
        <v>21262</v>
      </c>
      <c r="U4460" s="29" t="s">
        <v>61</v>
      </c>
      <c r="V4460" s="30"/>
      <c r="W4460" s="156"/>
      <c r="X4460" s="49"/>
      <c r="Y4460" s="35"/>
      <c r="Z4460" s="35"/>
      <c r="AA4460" s="35"/>
      <c r="AB4460" s="35"/>
      <c r="AC4460" s="35"/>
      <c r="AD4460" s="35"/>
      <c r="AE4460" s="35"/>
      <c r="AF4460" s="35"/>
      <c r="AG4460" s="35"/>
      <c r="AH4460" s="35"/>
      <c r="AI4460" s="35"/>
      <c r="AJ4460" s="35"/>
      <c r="AK4460" s="35"/>
      <c r="AL4460" s="35"/>
    </row>
    <row r="4461">
      <c r="A4461" s="40"/>
      <c r="B4461" s="19" t="s">
        <v>19332</v>
      </c>
      <c r="C4461" s="76" t="s">
        <v>21263</v>
      </c>
      <c r="D4461" s="47"/>
      <c r="E4461" s="22" t="s">
        <v>21264</v>
      </c>
      <c r="F4461" s="22" t="s">
        <v>21265</v>
      </c>
      <c r="G4461" s="23">
        <v>2024.0</v>
      </c>
      <c r="H4461" s="22" t="s">
        <v>1204</v>
      </c>
      <c r="I4461" s="24" t="s">
        <v>21266</v>
      </c>
      <c r="J4461" s="22" t="s">
        <v>31</v>
      </c>
      <c r="K4461" s="22"/>
      <c r="L4461" s="52"/>
      <c r="M4461" s="52"/>
      <c r="N4461" s="52"/>
      <c r="O4461" s="52"/>
      <c r="P4461" s="189"/>
      <c r="Q4461" s="52"/>
      <c r="R4461" s="52"/>
      <c r="S4461" s="52"/>
      <c r="T4461" s="28" t="s">
        <v>21267</v>
      </c>
      <c r="U4461" s="38" t="s">
        <v>61</v>
      </c>
      <c r="V4461" s="30"/>
      <c r="W4461" s="156"/>
      <c r="X4461" s="49"/>
      <c r="Y4461" s="35"/>
      <c r="Z4461" s="35"/>
      <c r="AA4461" s="35"/>
      <c r="AB4461" s="35"/>
      <c r="AC4461" s="35"/>
      <c r="AD4461" s="35"/>
      <c r="AE4461" s="35"/>
      <c r="AF4461" s="35"/>
      <c r="AG4461" s="35"/>
      <c r="AH4461" s="35"/>
      <c r="AI4461" s="35"/>
      <c r="AJ4461" s="35"/>
      <c r="AK4461" s="35"/>
      <c r="AL4461" s="35"/>
    </row>
    <row r="4462">
      <c r="A4462" s="40"/>
      <c r="B4462" s="19" t="s">
        <v>19332</v>
      </c>
      <c r="C4462" s="76" t="s">
        <v>21263</v>
      </c>
      <c r="D4462" s="47"/>
      <c r="E4462" s="22" t="s">
        <v>21268</v>
      </c>
      <c r="F4462" s="22" t="s">
        <v>1930</v>
      </c>
      <c r="G4462" s="23">
        <v>2024.0</v>
      </c>
      <c r="H4462" s="22" t="s">
        <v>77</v>
      </c>
      <c r="I4462" s="24" t="s">
        <v>21269</v>
      </c>
      <c r="J4462" s="22" t="s">
        <v>21270</v>
      </c>
      <c r="K4462" s="22"/>
      <c r="L4462" s="52"/>
      <c r="M4462" s="52"/>
      <c r="N4462" s="52"/>
      <c r="O4462" s="52"/>
      <c r="P4462" s="189" t="s">
        <v>254</v>
      </c>
      <c r="Q4462" s="52"/>
      <c r="R4462" s="52"/>
      <c r="S4462" s="52"/>
      <c r="T4462" s="42" t="s">
        <v>21271</v>
      </c>
      <c r="U4462" s="38" t="s">
        <v>61</v>
      </c>
      <c r="V4462" s="30"/>
      <c r="W4462" s="156"/>
      <c r="X4462" s="49"/>
      <c r="Y4462" s="35"/>
      <c r="Z4462" s="35"/>
      <c r="AA4462" s="35"/>
      <c r="AB4462" s="35"/>
      <c r="AC4462" s="35"/>
      <c r="AD4462" s="35"/>
      <c r="AE4462" s="35"/>
      <c r="AF4462" s="35"/>
      <c r="AG4462" s="35"/>
      <c r="AH4462" s="35"/>
      <c r="AI4462" s="35"/>
      <c r="AJ4462" s="35"/>
      <c r="AK4462" s="35"/>
      <c r="AL4462" s="35"/>
    </row>
    <row r="4463">
      <c r="A4463" s="40"/>
      <c r="B4463" s="19" t="s">
        <v>19332</v>
      </c>
      <c r="C4463" s="76" t="s">
        <v>21263</v>
      </c>
      <c r="D4463" s="47"/>
      <c r="E4463" s="22" t="s">
        <v>21272</v>
      </c>
      <c r="F4463" s="22" t="s">
        <v>21273</v>
      </c>
      <c r="G4463" s="23">
        <v>2024.0</v>
      </c>
      <c r="H4463" s="22" t="s">
        <v>10563</v>
      </c>
      <c r="I4463" s="24" t="s">
        <v>21274</v>
      </c>
      <c r="J4463" s="22" t="s">
        <v>31</v>
      </c>
      <c r="K4463" s="22"/>
      <c r="L4463" s="52"/>
      <c r="M4463" s="52"/>
      <c r="N4463" s="52"/>
      <c r="O4463" s="52"/>
      <c r="P4463" s="189"/>
      <c r="Q4463" s="52"/>
      <c r="R4463" s="52"/>
      <c r="S4463" s="52"/>
      <c r="T4463" s="42" t="s">
        <v>21275</v>
      </c>
      <c r="U4463" s="38" t="s">
        <v>61</v>
      </c>
      <c r="V4463" s="30"/>
      <c r="W4463" s="156"/>
      <c r="X4463" s="49"/>
      <c r="Y4463" s="35"/>
      <c r="Z4463" s="35"/>
      <c r="AA4463" s="35"/>
      <c r="AB4463" s="35"/>
      <c r="AC4463" s="35"/>
      <c r="AD4463" s="35"/>
      <c r="AE4463" s="35"/>
      <c r="AF4463" s="35"/>
      <c r="AG4463" s="35"/>
      <c r="AH4463" s="35"/>
      <c r="AI4463" s="35"/>
      <c r="AJ4463" s="35"/>
      <c r="AK4463" s="35"/>
      <c r="AL4463" s="35"/>
    </row>
    <row r="4464">
      <c r="A4464" s="40"/>
      <c r="B4464" s="19" t="s">
        <v>19332</v>
      </c>
      <c r="C4464" s="76" t="s">
        <v>21263</v>
      </c>
      <c r="D4464" s="47"/>
      <c r="E4464" s="22" t="s">
        <v>21276</v>
      </c>
      <c r="F4464" s="22" t="s">
        <v>1636</v>
      </c>
      <c r="G4464" s="23">
        <v>2024.0</v>
      </c>
      <c r="H4464" s="22" t="s">
        <v>91</v>
      </c>
      <c r="I4464" s="24" t="s">
        <v>21277</v>
      </c>
      <c r="J4464" s="22" t="s">
        <v>31</v>
      </c>
      <c r="K4464" s="22"/>
      <c r="L4464" s="52" t="s">
        <v>21278</v>
      </c>
      <c r="M4464" s="52"/>
      <c r="N4464" s="52"/>
      <c r="O4464" s="52"/>
      <c r="P4464" s="189"/>
      <c r="Q4464" s="52"/>
      <c r="R4464" s="52" t="s">
        <v>21279</v>
      </c>
      <c r="S4464" s="52"/>
      <c r="T4464" s="28" t="s">
        <v>21280</v>
      </c>
      <c r="U4464" s="38" t="s">
        <v>61</v>
      </c>
      <c r="V4464" s="30"/>
      <c r="W4464" s="156"/>
      <c r="X4464" s="49"/>
      <c r="Y4464" s="35"/>
      <c r="Z4464" s="35"/>
      <c r="AA4464" s="35"/>
      <c r="AB4464" s="35"/>
      <c r="AC4464" s="35"/>
      <c r="AD4464" s="35"/>
      <c r="AE4464" s="35"/>
      <c r="AF4464" s="35"/>
      <c r="AG4464" s="35"/>
      <c r="AH4464" s="35"/>
      <c r="AI4464" s="35"/>
      <c r="AJ4464" s="35"/>
      <c r="AK4464" s="35"/>
      <c r="AL4464" s="35"/>
    </row>
    <row r="4465">
      <c r="A4465" s="40"/>
      <c r="B4465" s="19" t="s">
        <v>19332</v>
      </c>
      <c r="C4465" s="76" t="s">
        <v>21263</v>
      </c>
      <c r="D4465" s="47"/>
      <c r="E4465" s="22" t="s">
        <v>21281</v>
      </c>
      <c r="F4465" s="22" t="s">
        <v>323</v>
      </c>
      <c r="G4465" s="23">
        <v>2023.0</v>
      </c>
      <c r="H4465" s="22" t="s">
        <v>207</v>
      </c>
      <c r="I4465" s="24" t="s">
        <v>21282</v>
      </c>
      <c r="J4465" s="22" t="s">
        <v>31</v>
      </c>
      <c r="K4465" s="22"/>
      <c r="L4465" s="52">
        <v>808.0</v>
      </c>
      <c r="M4465" s="52"/>
      <c r="N4465" s="52"/>
      <c r="O4465" s="52"/>
      <c r="P4465" s="189" t="s">
        <v>13087</v>
      </c>
      <c r="Q4465" s="52"/>
      <c r="R4465" s="52"/>
      <c r="S4465" s="52"/>
      <c r="T4465" s="28" t="s">
        <v>21283</v>
      </c>
      <c r="U4465" s="38" t="s">
        <v>61</v>
      </c>
      <c r="V4465" s="30"/>
      <c r="W4465" s="156"/>
      <c r="X4465" s="49"/>
      <c r="Y4465" s="35"/>
      <c r="Z4465" s="35"/>
      <c r="AA4465" s="35"/>
      <c r="AB4465" s="35"/>
      <c r="AC4465" s="35"/>
      <c r="AD4465" s="35"/>
      <c r="AE4465" s="35"/>
      <c r="AF4465" s="35"/>
      <c r="AG4465" s="35"/>
      <c r="AH4465" s="35"/>
      <c r="AI4465" s="35"/>
      <c r="AJ4465" s="35"/>
      <c r="AK4465" s="35"/>
      <c r="AL4465" s="35"/>
    </row>
    <row r="4466">
      <c r="A4466" s="18"/>
      <c r="B4466" s="19" t="s">
        <v>19332</v>
      </c>
      <c r="C4466" s="76" t="s">
        <v>21263</v>
      </c>
      <c r="D4466" s="47"/>
      <c r="E4466" s="22" t="s">
        <v>21284</v>
      </c>
      <c r="F4466" s="22" t="s">
        <v>1930</v>
      </c>
      <c r="G4466" s="23">
        <v>2023.0</v>
      </c>
      <c r="H4466" s="22" t="s">
        <v>147</v>
      </c>
      <c r="I4466" s="24" t="s">
        <v>21285</v>
      </c>
      <c r="J4466" s="22" t="s">
        <v>21286</v>
      </c>
      <c r="K4466" s="22"/>
      <c r="L4466" s="132" t="s">
        <v>21287</v>
      </c>
      <c r="U4466" s="38" t="s">
        <v>61</v>
      </c>
      <c r="V4466" s="30"/>
      <c r="W4466" s="156"/>
      <c r="X4466" s="49"/>
      <c r="Y4466" s="35"/>
      <c r="Z4466" s="35"/>
      <c r="AA4466" s="35"/>
      <c r="AB4466" s="35"/>
      <c r="AC4466" s="35"/>
      <c r="AD4466" s="35"/>
      <c r="AE4466" s="35"/>
      <c r="AF4466" s="35"/>
      <c r="AG4466" s="35"/>
      <c r="AH4466" s="35"/>
      <c r="AI4466" s="35"/>
      <c r="AJ4466" s="35"/>
      <c r="AK4466" s="35"/>
      <c r="AL4466" s="35"/>
    </row>
    <row r="4467">
      <c r="A4467" s="18"/>
      <c r="B4467" s="19" t="s">
        <v>19332</v>
      </c>
      <c r="C4467" s="76" t="s">
        <v>21263</v>
      </c>
      <c r="D4467" s="47"/>
      <c r="E4467" s="22" t="s">
        <v>2316</v>
      </c>
      <c r="F4467" s="22" t="s">
        <v>224</v>
      </c>
      <c r="G4467" s="23">
        <v>2023.0</v>
      </c>
      <c r="H4467" s="22" t="s">
        <v>4975</v>
      </c>
      <c r="I4467" s="24" t="s">
        <v>21288</v>
      </c>
      <c r="J4467" s="22" t="s">
        <v>31</v>
      </c>
      <c r="K4467" s="22"/>
      <c r="L4467" s="52"/>
      <c r="M4467" s="52"/>
      <c r="N4467" s="52"/>
      <c r="O4467" s="52"/>
      <c r="P4467" s="189" t="s">
        <v>1400</v>
      </c>
      <c r="Q4467" s="52"/>
      <c r="R4467" s="52"/>
      <c r="S4467" s="52"/>
      <c r="T4467" s="28" t="s">
        <v>21289</v>
      </c>
      <c r="U4467" s="38" t="s">
        <v>61</v>
      </c>
      <c r="V4467" s="30"/>
      <c r="W4467" s="156"/>
      <c r="X4467" s="49"/>
      <c r="Y4467" s="35"/>
      <c r="Z4467" s="35"/>
      <c r="AA4467" s="35"/>
      <c r="AB4467" s="35"/>
      <c r="AC4467" s="35"/>
      <c r="AD4467" s="35"/>
      <c r="AE4467" s="35"/>
      <c r="AF4467" s="35"/>
      <c r="AG4467" s="35"/>
      <c r="AH4467" s="35"/>
      <c r="AI4467" s="35"/>
      <c r="AJ4467" s="35"/>
      <c r="AK4467" s="35"/>
      <c r="AL4467" s="35"/>
    </row>
    <row r="4468">
      <c r="A4468" s="18"/>
      <c r="B4468" s="19" t="s">
        <v>19332</v>
      </c>
      <c r="C4468" s="76" t="s">
        <v>21263</v>
      </c>
      <c r="D4468" s="47"/>
      <c r="E4468" s="22" t="s">
        <v>2338</v>
      </c>
      <c r="F4468" s="22" t="s">
        <v>2244</v>
      </c>
      <c r="G4468" s="23">
        <v>2023.0</v>
      </c>
      <c r="H4468" s="22" t="s">
        <v>348</v>
      </c>
      <c r="I4468" s="24" t="s">
        <v>21290</v>
      </c>
      <c r="J4468" s="22" t="s">
        <v>31</v>
      </c>
      <c r="K4468" s="22" t="s">
        <v>157</v>
      </c>
      <c r="L4468" s="52"/>
      <c r="M4468" s="52"/>
      <c r="N4468" s="52"/>
      <c r="O4468" s="52"/>
      <c r="P4468" s="189"/>
      <c r="Q4468" s="52"/>
      <c r="R4468" s="52"/>
      <c r="S4468" s="52"/>
      <c r="T4468" s="28" t="s">
        <v>21291</v>
      </c>
      <c r="U4468" s="38" t="s">
        <v>61</v>
      </c>
      <c r="V4468" s="30"/>
      <c r="W4468" s="156"/>
      <c r="X4468" s="49"/>
      <c r="Y4468" s="35"/>
      <c r="Z4468" s="35"/>
      <c r="AA4468" s="35"/>
      <c r="AB4468" s="35"/>
      <c r="AC4468" s="35"/>
      <c r="AD4468" s="35"/>
      <c r="AE4468" s="35"/>
      <c r="AF4468" s="35"/>
      <c r="AG4468" s="35"/>
      <c r="AH4468" s="35"/>
      <c r="AI4468" s="35"/>
      <c r="AJ4468" s="35"/>
      <c r="AK4468" s="35"/>
      <c r="AL4468" s="35"/>
    </row>
    <row r="4469">
      <c r="A4469" s="18"/>
      <c r="B4469" s="19" t="s">
        <v>19332</v>
      </c>
      <c r="C4469" s="76" t="s">
        <v>21263</v>
      </c>
      <c r="D4469" s="47"/>
      <c r="E4469" s="22" t="s">
        <v>1080</v>
      </c>
      <c r="F4469" s="22" t="s">
        <v>299</v>
      </c>
      <c r="G4469" s="23">
        <v>2023.0</v>
      </c>
      <c r="H4469" s="22" t="s">
        <v>207</v>
      </c>
      <c r="I4469" s="24" t="s">
        <v>21292</v>
      </c>
      <c r="J4469" s="22" t="s">
        <v>31</v>
      </c>
      <c r="K4469" s="22"/>
      <c r="L4469" s="52"/>
      <c r="M4469" s="52"/>
      <c r="N4469" s="52"/>
      <c r="O4469" s="52"/>
      <c r="P4469" s="189"/>
      <c r="Q4469" s="52"/>
      <c r="R4469" s="52"/>
      <c r="S4469" s="52"/>
      <c r="T4469" s="28" t="s">
        <v>21293</v>
      </c>
      <c r="U4469" s="38" t="s">
        <v>61</v>
      </c>
      <c r="V4469" s="30"/>
      <c r="W4469" s="156"/>
      <c r="X4469" s="49"/>
      <c r="Y4469" s="35"/>
      <c r="Z4469" s="35"/>
      <c r="AA4469" s="35"/>
      <c r="AB4469" s="35"/>
      <c r="AC4469" s="35"/>
      <c r="AD4469" s="35"/>
      <c r="AE4469" s="35"/>
      <c r="AF4469" s="35"/>
      <c r="AG4469" s="35"/>
      <c r="AH4469" s="35"/>
      <c r="AI4469" s="35"/>
      <c r="AJ4469" s="35"/>
      <c r="AK4469" s="35"/>
      <c r="AL4469" s="35"/>
    </row>
    <row r="4470">
      <c r="A4470" s="40"/>
      <c r="B4470" s="19" t="s">
        <v>19332</v>
      </c>
      <c r="C4470" s="76" t="s">
        <v>21263</v>
      </c>
      <c r="D4470" s="47"/>
      <c r="E4470" s="22" t="s">
        <v>21294</v>
      </c>
      <c r="F4470" s="22" t="s">
        <v>2312</v>
      </c>
      <c r="G4470" s="23">
        <v>2023.0</v>
      </c>
      <c r="H4470" s="22" t="s">
        <v>318</v>
      </c>
      <c r="I4470" s="24" t="s">
        <v>21295</v>
      </c>
      <c r="J4470" s="22" t="s">
        <v>125</v>
      </c>
      <c r="K4470" s="22"/>
      <c r="L4470" s="196" t="s">
        <v>21296</v>
      </c>
      <c r="U4470" s="38" t="s">
        <v>61</v>
      </c>
      <c r="V4470" s="30"/>
      <c r="W4470" s="156"/>
      <c r="X4470" s="49"/>
      <c r="Y4470" s="35"/>
      <c r="Z4470" s="35"/>
      <c r="AA4470" s="35"/>
      <c r="AB4470" s="35"/>
      <c r="AC4470" s="35"/>
      <c r="AD4470" s="35"/>
      <c r="AE4470" s="35"/>
      <c r="AF4470" s="35"/>
      <c r="AG4470" s="35"/>
      <c r="AH4470" s="35"/>
      <c r="AI4470" s="35"/>
      <c r="AJ4470" s="35"/>
      <c r="AK4470" s="35"/>
      <c r="AL4470" s="35"/>
    </row>
    <row r="4471">
      <c r="A4471" s="18"/>
      <c r="B4471" s="19" t="s">
        <v>19332</v>
      </c>
      <c r="C4471" s="76" t="s">
        <v>21263</v>
      </c>
      <c r="D4471" s="47"/>
      <c r="E4471" s="22" t="s">
        <v>21166</v>
      </c>
      <c r="F4471" s="22" t="s">
        <v>323</v>
      </c>
      <c r="G4471" s="23">
        <v>2022.0</v>
      </c>
      <c r="H4471" s="22" t="s">
        <v>147</v>
      </c>
      <c r="I4471" s="24" t="s">
        <v>21297</v>
      </c>
      <c r="J4471" s="22" t="s">
        <v>31</v>
      </c>
      <c r="K4471" s="22" t="s">
        <v>294</v>
      </c>
      <c r="L4471" s="52" t="s">
        <v>5357</v>
      </c>
      <c r="M4471" s="52"/>
      <c r="N4471" s="52"/>
      <c r="O4471" s="52"/>
      <c r="P4471" s="189"/>
      <c r="Q4471" s="52"/>
      <c r="R4471" s="52"/>
      <c r="S4471" s="52"/>
      <c r="T4471" s="42" t="s">
        <v>21298</v>
      </c>
      <c r="U4471" s="38" t="s">
        <v>61</v>
      </c>
      <c r="V4471" s="30"/>
      <c r="W4471" s="156"/>
      <c r="X4471" s="49"/>
      <c r="Y4471" s="35"/>
      <c r="Z4471" s="35"/>
      <c r="AA4471" s="35"/>
      <c r="AB4471" s="35"/>
      <c r="AC4471" s="35"/>
      <c r="AD4471" s="35"/>
      <c r="AE4471" s="35"/>
      <c r="AF4471" s="35"/>
      <c r="AG4471" s="35"/>
      <c r="AH4471" s="35"/>
      <c r="AI4471" s="35"/>
      <c r="AJ4471" s="35"/>
      <c r="AK4471" s="35"/>
      <c r="AL4471" s="35"/>
    </row>
    <row r="4472">
      <c r="A4472" s="40"/>
      <c r="B4472" s="19" t="s">
        <v>19332</v>
      </c>
      <c r="C4472" s="76" t="s">
        <v>21263</v>
      </c>
      <c r="D4472" s="47"/>
      <c r="E4472" s="22" t="s">
        <v>21299</v>
      </c>
      <c r="F4472" s="22" t="s">
        <v>1973</v>
      </c>
      <c r="G4472" s="23">
        <v>2022.0</v>
      </c>
      <c r="H4472" s="22" t="s">
        <v>21300</v>
      </c>
      <c r="I4472" s="24" t="s">
        <v>21301</v>
      </c>
      <c r="J4472" s="22" t="s">
        <v>21286</v>
      </c>
      <c r="K4472" s="22"/>
      <c r="L4472" s="132" t="s">
        <v>21302</v>
      </c>
      <c r="U4472" s="38" t="s">
        <v>61</v>
      </c>
      <c r="V4472" s="30"/>
      <c r="W4472" s="156"/>
      <c r="X4472" s="49"/>
      <c r="Y4472" s="35"/>
      <c r="Z4472" s="35"/>
      <c r="AA4472" s="35"/>
      <c r="AB4472" s="35"/>
      <c r="AC4472" s="35"/>
      <c r="AD4472" s="35"/>
      <c r="AE4472" s="35"/>
      <c r="AF4472" s="35"/>
      <c r="AG4472" s="35"/>
      <c r="AH4472" s="35"/>
      <c r="AI4472" s="35"/>
      <c r="AJ4472" s="35"/>
      <c r="AK4472" s="35"/>
      <c r="AL4472" s="35"/>
    </row>
    <row r="4473">
      <c r="A4473" s="18"/>
      <c r="B4473" s="19" t="s">
        <v>19332</v>
      </c>
      <c r="C4473" s="76" t="s">
        <v>21263</v>
      </c>
      <c r="D4473" s="47"/>
      <c r="E4473" s="22" t="s">
        <v>2195</v>
      </c>
      <c r="F4473" s="22" t="s">
        <v>217</v>
      </c>
      <c r="G4473" s="23">
        <v>2022.0</v>
      </c>
      <c r="H4473" s="22" t="s">
        <v>207</v>
      </c>
      <c r="I4473" s="24" t="s">
        <v>21303</v>
      </c>
      <c r="J4473" s="22" t="s">
        <v>31</v>
      </c>
      <c r="K4473" s="22" t="s">
        <v>2803</v>
      </c>
      <c r="L4473" s="52">
        <v>456.0</v>
      </c>
      <c r="M4473" s="52">
        <v>16.0</v>
      </c>
      <c r="N4473" s="52" t="s">
        <v>21304</v>
      </c>
      <c r="O4473" s="52"/>
      <c r="P4473" s="189" t="s">
        <v>12526</v>
      </c>
      <c r="Q4473" s="52"/>
      <c r="R4473" s="52" t="s">
        <v>21305</v>
      </c>
      <c r="S4473" s="52" t="s">
        <v>21306</v>
      </c>
      <c r="T4473" s="28" t="s">
        <v>21307</v>
      </c>
      <c r="U4473" s="29" t="s">
        <v>61</v>
      </c>
      <c r="V4473" s="30"/>
      <c r="W4473" s="156"/>
      <c r="X4473" s="49"/>
      <c r="Y4473" s="35"/>
      <c r="Z4473" s="35"/>
      <c r="AA4473" s="35"/>
      <c r="AB4473" s="35"/>
      <c r="AC4473" s="35"/>
      <c r="AD4473" s="35"/>
      <c r="AE4473" s="35"/>
      <c r="AF4473" s="35"/>
      <c r="AG4473" s="35"/>
      <c r="AH4473" s="35"/>
      <c r="AI4473" s="35"/>
      <c r="AJ4473" s="35"/>
      <c r="AK4473" s="35"/>
      <c r="AL4473" s="35"/>
    </row>
    <row r="4474">
      <c r="A4474" s="18"/>
      <c r="B4474" s="19" t="s">
        <v>19332</v>
      </c>
      <c r="C4474" s="76" t="s">
        <v>21263</v>
      </c>
      <c r="D4474" s="47"/>
      <c r="E4474" s="22" t="s">
        <v>1333</v>
      </c>
      <c r="F4474" s="22" t="s">
        <v>323</v>
      </c>
      <c r="G4474" s="23">
        <v>2022.0</v>
      </c>
      <c r="H4474" s="22" t="s">
        <v>21308</v>
      </c>
      <c r="I4474" s="24" t="s">
        <v>21309</v>
      </c>
      <c r="J4474" s="22" t="s">
        <v>31</v>
      </c>
      <c r="K4474" s="22"/>
      <c r="L4474" s="52">
        <v>808.0</v>
      </c>
      <c r="M4474" s="52"/>
      <c r="N4474" s="52"/>
      <c r="O4474" s="52"/>
      <c r="P4474" s="189" t="s">
        <v>13087</v>
      </c>
      <c r="Q4474" s="52"/>
      <c r="R4474" s="52" t="s">
        <v>21310</v>
      </c>
      <c r="S4474" s="52"/>
      <c r="T4474" s="28" t="s">
        <v>21311</v>
      </c>
      <c r="U4474" s="29" t="s">
        <v>61</v>
      </c>
      <c r="V4474" s="30"/>
      <c r="W4474" s="156"/>
      <c r="X4474" s="49"/>
      <c r="Y4474" s="35"/>
      <c r="Z4474" s="35"/>
      <c r="AA4474" s="35"/>
      <c r="AB4474" s="35"/>
      <c r="AC4474" s="35"/>
      <c r="AD4474" s="35"/>
      <c r="AE4474" s="35"/>
      <c r="AF4474" s="35"/>
      <c r="AG4474" s="35"/>
      <c r="AH4474" s="35"/>
      <c r="AI4474" s="35"/>
      <c r="AJ4474" s="35"/>
      <c r="AK4474" s="35"/>
      <c r="AL4474" s="35"/>
    </row>
    <row r="4475">
      <c r="A4475" s="18"/>
      <c r="B4475" s="19" t="s">
        <v>19332</v>
      </c>
      <c r="C4475" s="76" t="s">
        <v>21263</v>
      </c>
      <c r="D4475" s="47"/>
      <c r="E4475" s="22" t="s">
        <v>12429</v>
      </c>
      <c r="F4475" s="22" t="s">
        <v>5850</v>
      </c>
      <c r="G4475" s="23">
        <v>2022.0</v>
      </c>
      <c r="H4475" s="22" t="s">
        <v>77</v>
      </c>
      <c r="I4475" s="24" t="s">
        <v>21312</v>
      </c>
      <c r="J4475" s="22" t="s">
        <v>31</v>
      </c>
      <c r="K4475" s="22" t="s">
        <v>1240</v>
      </c>
      <c r="L4475" s="52">
        <v>808.0</v>
      </c>
      <c r="M4475" s="52"/>
      <c r="N4475" s="52"/>
      <c r="O4475" s="52"/>
      <c r="P4475" s="189" t="s">
        <v>1844</v>
      </c>
      <c r="Q4475" s="52"/>
      <c r="R4475" s="52"/>
      <c r="S4475" s="52" t="s">
        <v>21313</v>
      </c>
      <c r="T4475" s="42" t="s">
        <v>21314</v>
      </c>
      <c r="U4475" s="29" t="s">
        <v>61</v>
      </c>
      <c r="V4475" s="30"/>
      <c r="W4475" s="156"/>
      <c r="X4475" s="49"/>
      <c r="Y4475" s="35"/>
      <c r="Z4475" s="35"/>
      <c r="AA4475" s="35"/>
      <c r="AB4475" s="35"/>
      <c r="AC4475" s="35"/>
      <c r="AD4475" s="35"/>
      <c r="AE4475" s="35"/>
      <c r="AF4475" s="35"/>
      <c r="AG4475" s="35"/>
      <c r="AH4475" s="35"/>
      <c r="AI4475" s="35"/>
      <c r="AJ4475" s="35"/>
      <c r="AK4475" s="35"/>
      <c r="AL4475" s="35"/>
    </row>
    <row r="4476">
      <c r="A4476" s="18"/>
      <c r="B4476" s="19" t="s">
        <v>19332</v>
      </c>
      <c r="C4476" s="76" t="s">
        <v>21263</v>
      </c>
      <c r="D4476" s="47"/>
      <c r="E4476" s="22" t="s">
        <v>17313</v>
      </c>
      <c r="F4476" s="22" t="s">
        <v>21315</v>
      </c>
      <c r="G4476" s="23">
        <v>2022.0</v>
      </c>
      <c r="H4476" s="22" t="s">
        <v>4306</v>
      </c>
      <c r="I4476" s="24" t="s">
        <v>21316</v>
      </c>
      <c r="J4476" s="22" t="s">
        <v>31</v>
      </c>
      <c r="K4476" s="22" t="s">
        <v>73</v>
      </c>
      <c r="L4476" s="52">
        <v>808.0</v>
      </c>
      <c r="M4476" s="52"/>
      <c r="N4476" s="52" t="s">
        <v>18811</v>
      </c>
      <c r="O4476" s="52"/>
      <c r="P4476" s="189" t="s">
        <v>82</v>
      </c>
      <c r="Q4476" s="52"/>
      <c r="R4476" s="52">
        <v>60.0</v>
      </c>
      <c r="S4476" s="52"/>
      <c r="T4476" s="28" t="s">
        <v>21317</v>
      </c>
      <c r="U4476" s="29" t="s">
        <v>61</v>
      </c>
      <c r="V4476" s="30"/>
      <c r="W4476" s="156"/>
      <c r="X4476" s="49"/>
      <c r="Y4476" s="35"/>
      <c r="Z4476" s="35"/>
      <c r="AA4476" s="35"/>
      <c r="AB4476" s="35"/>
      <c r="AC4476" s="35"/>
      <c r="AD4476" s="35"/>
      <c r="AE4476" s="35"/>
      <c r="AF4476" s="35"/>
      <c r="AG4476" s="35"/>
      <c r="AH4476" s="35"/>
      <c r="AI4476" s="35"/>
      <c r="AJ4476" s="35"/>
      <c r="AK4476" s="35"/>
      <c r="AL4476" s="35"/>
    </row>
    <row r="4477">
      <c r="A4477" s="18"/>
      <c r="B4477" s="19" t="s">
        <v>19332</v>
      </c>
      <c r="C4477" s="76" t="s">
        <v>21263</v>
      </c>
      <c r="D4477" s="47"/>
      <c r="E4477" s="22" t="s">
        <v>16618</v>
      </c>
      <c r="F4477" s="22" t="s">
        <v>1576</v>
      </c>
      <c r="G4477" s="23">
        <v>2022.0</v>
      </c>
      <c r="H4477" s="22" t="s">
        <v>5009</v>
      </c>
      <c r="I4477" s="24" t="s">
        <v>21318</v>
      </c>
      <c r="J4477" s="22" t="s">
        <v>31</v>
      </c>
      <c r="K4477" s="22"/>
      <c r="L4477" s="36"/>
      <c r="M4477" s="36"/>
      <c r="N4477" s="36"/>
      <c r="O4477" s="36"/>
      <c r="P4477" s="37"/>
      <c r="Q4477" s="36"/>
      <c r="R4477" s="36"/>
      <c r="S4477" s="36"/>
      <c r="T4477" s="28" t="s">
        <v>21319</v>
      </c>
      <c r="U4477" s="29" t="s">
        <v>61</v>
      </c>
      <c r="V4477" s="30"/>
      <c r="W4477" s="156"/>
      <c r="X4477" s="49"/>
      <c r="Y4477" s="35"/>
      <c r="Z4477" s="35"/>
      <c r="AA4477" s="35"/>
      <c r="AB4477" s="35"/>
      <c r="AC4477" s="35"/>
      <c r="AD4477" s="35"/>
      <c r="AE4477" s="35"/>
      <c r="AF4477" s="35"/>
      <c r="AG4477" s="35"/>
      <c r="AH4477" s="35"/>
      <c r="AI4477" s="35"/>
      <c r="AJ4477" s="35"/>
      <c r="AK4477" s="35"/>
      <c r="AL4477" s="35"/>
    </row>
    <row r="4478">
      <c r="A4478" s="18"/>
      <c r="B4478" s="19" t="s">
        <v>19332</v>
      </c>
      <c r="C4478" s="76" t="s">
        <v>21263</v>
      </c>
      <c r="D4478" s="47"/>
      <c r="E4478" s="22" t="s">
        <v>12247</v>
      </c>
      <c r="F4478" s="22" t="s">
        <v>8199</v>
      </c>
      <c r="G4478" s="23">
        <v>2022.0</v>
      </c>
      <c r="H4478" s="22" t="s">
        <v>42</v>
      </c>
      <c r="I4478" s="24" t="s">
        <v>21320</v>
      </c>
      <c r="J4478" s="22" t="s">
        <v>31</v>
      </c>
      <c r="K4478" s="22"/>
      <c r="L4478" s="36" t="s">
        <v>21321</v>
      </c>
      <c r="M4478" s="36"/>
      <c r="N4478" s="36" t="s">
        <v>5323</v>
      </c>
      <c r="O4478" s="36"/>
      <c r="P4478" s="37"/>
      <c r="Q4478" s="36"/>
      <c r="R4478" s="36"/>
      <c r="S4478" s="36"/>
      <c r="T4478" s="42" t="s">
        <v>21322</v>
      </c>
      <c r="U4478" s="29" t="s">
        <v>61</v>
      </c>
      <c r="V4478" s="30"/>
      <c r="W4478" s="156"/>
      <c r="X4478" s="49"/>
      <c r="Y4478" s="35"/>
      <c r="Z4478" s="35"/>
      <c r="AA4478" s="35"/>
      <c r="AB4478" s="35"/>
      <c r="AC4478" s="35"/>
      <c r="AD4478" s="35"/>
      <c r="AE4478" s="35"/>
      <c r="AF4478" s="35"/>
      <c r="AG4478" s="35"/>
      <c r="AH4478" s="35"/>
      <c r="AI4478" s="35"/>
      <c r="AJ4478" s="35"/>
      <c r="AK4478" s="35"/>
      <c r="AL4478" s="35"/>
    </row>
    <row r="4479">
      <c r="A4479" s="18"/>
      <c r="B4479" s="19" t="s">
        <v>19332</v>
      </c>
      <c r="C4479" s="76" t="s">
        <v>21263</v>
      </c>
      <c r="D4479" s="47"/>
      <c r="E4479" s="22" t="s">
        <v>21323</v>
      </c>
      <c r="F4479" s="22" t="s">
        <v>1930</v>
      </c>
      <c r="G4479" s="23">
        <v>2022.0</v>
      </c>
      <c r="H4479" s="22" t="s">
        <v>20686</v>
      </c>
      <c r="I4479" s="24" t="s">
        <v>21324</v>
      </c>
      <c r="J4479" s="22" t="s">
        <v>31</v>
      </c>
      <c r="K4479" s="22"/>
      <c r="L4479" s="36" t="s">
        <v>1773</v>
      </c>
      <c r="M4479" s="36"/>
      <c r="N4479" s="36"/>
      <c r="O4479" s="36"/>
      <c r="P4479" s="37"/>
      <c r="Q4479" s="36"/>
      <c r="R4479" s="36"/>
      <c r="S4479" s="36"/>
      <c r="T4479" s="42" t="s">
        <v>21325</v>
      </c>
      <c r="U4479" s="29" t="s">
        <v>61</v>
      </c>
      <c r="V4479" s="30"/>
      <c r="W4479" s="156"/>
      <c r="X4479" s="49"/>
      <c r="Y4479" s="35"/>
      <c r="Z4479" s="35"/>
      <c r="AA4479" s="35"/>
      <c r="AB4479" s="35"/>
      <c r="AC4479" s="35"/>
      <c r="AD4479" s="35"/>
      <c r="AE4479" s="35"/>
      <c r="AF4479" s="35"/>
      <c r="AG4479" s="35"/>
      <c r="AH4479" s="35"/>
      <c r="AI4479" s="35"/>
      <c r="AJ4479" s="35"/>
      <c r="AK4479" s="35"/>
      <c r="AL4479" s="35"/>
    </row>
    <row r="4480">
      <c r="A4480" s="18"/>
      <c r="B4480" s="19" t="s">
        <v>19332</v>
      </c>
      <c r="C4480" s="76" t="s">
        <v>21263</v>
      </c>
      <c r="D4480" s="47"/>
      <c r="E4480" s="22" t="s">
        <v>21326</v>
      </c>
      <c r="F4480" s="22" t="s">
        <v>21327</v>
      </c>
      <c r="G4480" s="23">
        <v>2021.0</v>
      </c>
      <c r="H4480" s="22" t="s">
        <v>91</v>
      </c>
      <c r="I4480" s="24" t="s">
        <v>21328</v>
      </c>
      <c r="J4480" s="22" t="s">
        <v>31</v>
      </c>
      <c r="K4480" s="22"/>
      <c r="L4480" s="36">
        <v>627.0</v>
      </c>
      <c r="M4480" s="36"/>
      <c r="N4480" s="36"/>
      <c r="O4480" s="36"/>
      <c r="P4480" s="37" t="s">
        <v>269</v>
      </c>
      <c r="Q4480" s="36"/>
      <c r="R4480" s="36"/>
      <c r="S4480" s="36"/>
      <c r="T4480" s="28" t="s">
        <v>21329</v>
      </c>
      <c r="U4480" s="29" t="s">
        <v>61</v>
      </c>
      <c r="V4480" s="30"/>
      <c r="W4480" s="156"/>
      <c r="X4480" s="49"/>
      <c r="Y4480" s="35"/>
      <c r="Z4480" s="35"/>
      <c r="AA4480" s="35"/>
      <c r="AB4480" s="35"/>
      <c r="AC4480" s="35"/>
      <c r="AD4480" s="35"/>
      <c r="AE4480" s="35"/>
      <c r="AF4480" s="35"/>
      <c r="AG4480" s="35"/>
      <c r="AH4480" s="35"/>
      <c r="AI4480" s="35"/>
      <c r="AJ4480" s="35"/>
      <c r="AK4480" s="35"/>
      <c r="AL4480" s="35"/>
    </row>
    <row r="4481">
      <c r="A4481" s="18"/>
      <c r="B4481" s="19" t="s">
        <v>19332</v>
      </c>
      <c r="C4481" s="76" t="s">
        <v>21263</v>
      </c>
      <c r="D4481" s="47"/>
      <c r="E4481" s="22" t="s">
        <v>21330</v>
      </c>
      <c r="F4481" s="22" t="s">
        <v>21331</v>
      </c>
      <c r="G4481" s="23">
        <v>2021.0</v>
      </c>
      <c r="H4481" s="22" t="s">
        <v>91</v>
      </c>
      <c r="I4481" s="24" t="s">
        <v>21332</v>
      </c>
      <c r="J4481" s="22" t="s">
        <v>31</v>
      </c>
      <c r="K4481" s="22"/>
      <c r="L4481" s="36">
        <v>660.0</v>
      </c>
      <c r="M4481" s="36"/>
      <c r="N4481" s="36" t="s">
        <v>5774</v>
      </c>
      <c r="O4481" s="36"/>
      <c r="P4481" s="37"/>
      <c r="Q4481" s="36"/>
      <c r="R4481" s="36"/>
      <c r="S4481" s="36"/>
      <c r="T4481" s="28" t="s">
        <v>21333</v>
      </c>
      <c r="U4481" s="29" t="s">
        <v>61</v>
      </c>
      <c r="V4481" s="30"/>
      <c r="W4481" s="156"/>
      <c r="X4481" s="49"/>
      <c r="Y4481" s="35"/>
      <c r="Z4481" s="35"/>
      <c r="AA4481" s="35"/>
      <c r="AB4481" s="35"/>
      <c r="AC4481" s="35"/>
      <c r="AD4481" s="35"/>
      <c r="AE4481" s="35"/>
      <c r="AF4481" s="35"/>
      <c r="AG4481" s="35"/>
      <c r="AH4481" s="35"/>
      <c r="AI4481" s="35"/>
      <c r="AJ4481" s="35"/>
      <c r="AK4481" s="35"/>
      <c r="AL4481" s="35"/>
    </row>
    <row r="4482">
      <c r="A4482" s="18"/>
      <c r="B4482" s="19" t="s">
        <v>19332</v>
      </c>
      <c r="C4482" s="76" t="s">
        <v>21263</v>
      </c>
      <c r="D4482" s="47"/>
      <c r="E4482" s="22" t="s">
        <v>21334</v>
      </c>
      <c r="F4482" s="22" t="s">
        <v>1943</v>
      </c>
      <c r="G4482" s="23">
        <v>2021.0</v>
      </c>
      <c r="H4482" s="22" t="s">
        <v>147</v>
      </c>
      <c r="I4482" s="24" t="s">
        <v>21335</v>
      </c>
      <c r="J4482" s="22" t="s">
        <v>31</v>
      </c>
      <c r="K4482" s="22" t="s">
        <v>21336</v>
      </c>
      <c r="L4482" s="36">
        <v>810.0</v>
      </c>
      <c r="M4482" s="36"/>
      <c r="N4482" s="36"/>
      <c r="O4482" s="36"/>
      <c r="P4482" s="37" t="s">
        <v>1819</v>
      </c>
      <c r="Q4482" s="36"/>
      <c r="R4482" s="36"/>
      <c r="S4482" s="36"/>
      <c r="T4482" s="28" t="s">
        <v>21337</v>
      </c>
      <c r="U4482" s="29" t="s">
        <v>61</v>
      </c>
      <c r="V4482" s="30"/>
      <c r="W4482" s="156"/>
      <c r="X4482" s="49"/>
      <c r="Y4482" s="35"/>
      <c r="Z4482" s="35"/>
      <c r="AA4482" s="35"/>
      <c r="AB4482" s="35"/>
      <c r="AC4482" s="35"/>
      <c r="AD4482" s="35"/>
      <c r="AE4482" s="35"/>
      <c r="AF4482" s="35"/>
      <c r="AG4482" s="35"/>
      <c r="AH4482" s="35"/>
      <c r="AI4482" s="35"/>
      <c r="AJ4482" s="35"/>
      <c r="AK4482" s="35"/>
      <c r="AL4482" s="35"/>
    </row>
    <row r="4483">
      <c r="A4483" s="18"/>
      <c r="B4483" s="19" t="s">
        <v>19332</v>
      </c>
      <c r="C4483" s="76" t="s">
        <v>21263</v>
      </c>
      <c r="D4483" s="47"/>
      <c r="E4483" s="22" t="s">
        <v>21338</v>
      </c>
      <c r="F4483" s="22" t="s">
        <v>870</v>
      </c>
      <c r="G4483" s="23">
        <v>2021.0</v>
      </c>
      <c r="H4483" s="22" t="s">
        <v>555</v>
      </c>
      <c r="I4483" s="24" t="s">
        <v>21339</v>
      </c>
      <c r="J4483" s="22" t="s">
        <v>31</v>
      </c>
      <c r="K4483" s="22" t="s">
        <v>157</v>
      </c>
      <c r="L4483" s="36">
        <v>850.0</v>
      </c>
      <c r="M4483" s="36"/>
      <c r="N4483" s="36"/>
      <c r="O4483" s="36"/>
      <c r="P4483" s="37"/>
      <c r="Q4483" s="36"/>
      <c r="R4483" s="36"/>
      <c r="S4483" s="36"/>
      <c r="T4483" s="28" t="s">
        <v>21340</v>
      </c>
      <c r="U4483" s="29" t="s">
        <v>61</v>
      </c>
      <c r="V4483" s="30"/>
      <c r="W4483" s="156"/>
      <c r="X4483" s="49"/>
      <c r="Y4483" s="35"/>
      <c r="Z4483" s="35"/>
      <c r="AA4483" s="35"/>
      <c r="AB4483" s="35"/>
      <c r="AC4483" s="35"/>
      <c r="AD4483" s="35"/>
      <c r="AE4483" s="35"/>
      <c r="AF4483" s="35"/>
      <c r="AG4483" s="35"/>
      <c r="AH4483" s="35"/>
      <c r="AI4483" s="35"/>
      <c r="AJ4483" s="35"/>
      <c r="AK4483" s="35"/>
      <c r="AL4483" s="35"/>
    </row>
    <row r="4484">
      <c r="A4484" s="18"/>
      <c r="B4484" s="19" t="s">
        <v>19332</v>
      </c>
      <c r="C4484" s="76" t="s">
        <v>21263</v>
      </c>
      <c r="D4484" s="47"/>
      <c r="E4484" s="22" t="s">
        <v>21338</v>
      </c>
      <c r="F4484" s="22" t="s">
        <v>870</v>
      </c>
      <c r="G4484" s="23">
        <v>2021.0</v>
      </c>
      <c r="H4484" s="22" t="s">
        <v>91</v>
      </c>
      <c r="I4484" s="24" t="s">
        <v>21341</v>
      </c>
      <c r="J4484" s="22" t="s">
        <v>31</v>
      </c>
      <c r="K4484" s="22" t="s">
        <v>157</v>
      </c>
      <c r="L4484" s="36">
        <v>630.0</v>
      </c>
      <c r="M4484" s="36"/>
      <c r="N4484" s="36" t="s">
        <v>21342</v>
      </c>
      <c r="O4484" s="36"/>
      <c r="P4484" s="37" t="s">
        <v>21343</v>
      </c>
      <c r="Q4484" s="36"/>
      <c r="R4484" s="36"/>
      <c r="S4484" s="36"/>
      <c r="T4484" s="28" t="s">
        <v>21344</v>
      </c>
      <c r="U4484" s="29" t="s">
        <v>61</v>
      </c>
      <c r="V4484" s="30"/>
      <c r="W4484" s="156"/>
      <c r="X4484" s="49"/>
      <c r="Y4484" s="35"/>
      <c r="Z4484" s="35"/>
      <c r="AA4484" s="35"/>
      <c r="AB4484" s="35"/>
      <c r="AC4484" s="35"/>
      <c r="AD4484" s="35"/>
      <c r="AE4484" s="35"/>
      <c r="AF4484" s="35"/>
      <c r="AG4484" s="35"/>
      <c r="AH4484" s="35"/>
      <c r="AI4484" s="35"/>
      <c r="AJ4484" s="35"/>
      <c r="AK4484" s="35"/>
      <c r="AL4484" s="35"/>
    </row>
    <row r="4485">
      <c r="A4485" s="18"/>
      <c r="B4485" s="19" t="s">
        <v>19332</v>
      </c>
      <c r="C4485" s="76" t="s">
        <v>21263</v>
      </c>
      <c r="D4485" s="47"/>
      <c r="E4485" s="22" t="s">
        <v>21345</v>
      </c>
      <c r="F4485" s="22" t="s">
        <v>241</v>
      </c>
      <c r="G4485" s="23">
        <v>2021.0</v>
      </c>
      <c r="H4485" s="22" t="s">
        <v>91</v>
      </c>
      <c r="I4485" s="24" t="s">
        <v>21346</v>
      </c>
      <c r="J4485" s="22" t="s">
        <v>31</v>
      </c>
      <c r="K4485" s="22"/>
      <c r="L4485" s="36">
        <v>660.0</v>
      </c>
      <c r="M4485" s="36"/>
      <c r="N4485" s="36"/>
      <c r="O4485" s="36"/>
      <c r="P4485" s="37"/>
      <c r="Q4485" s="36"/>
      <c r="R4485" s="36"/>
      <c r="S4485" s="36"/>
      <c r="T4485" s="42" t="s">
        <v>21347</v>
      </c>
      <c r="U4485" s="29" t="s">
        <v>61</v>
      </c>
      <c r="V4485" s="30"/>
      <c r="W4485" s="156"/>
      <c r="X4485" s="49"/>
      <c r="Y4485" s="35"/>
      <c r="Z4485" s="35"/>
      <c r="AA4485" s="35"/>
      <c r="AB4485" s="35"/>
      <c r="AC4485" s="35"/>
      <c r="AD4485" s="35"/>
      <c r="AE4485" s="35"/>
      <c r="AF4485" s="35"/>
      <c r="AG4485" s="35"/>
      <c r="AH4485" s="35"/>
      <c r="AI4485" s="35"/>
      <c r="AJ4485" s="35"/>
      <c r="AK4485" s="35"/>
      <c r="AL4485" s="35"/>
    </row>
    <row r="4486">
      <c r="A4486" s="18"/>
      <c r="B4486" s="19" t="s">
        <v>19332</v>
      </c>
      <c r="C4486" s="76" t="s">
        <v>21263</v>
      </c>
      <c r="D4486" s="47"/>
      <c r="E4486" s="22" t="s">
        <v>19350</v>
      </c>
      <c r="F4486" s="22" t="s">
        <v>14321</v>
      </c>
      <c r="G4486" s="23">
        <v>2020.0</v>
      </c>
      <c r="H4486" s="22" t="s">
        <v>91</v>
      </c>
      <c r="I4486" s="24" t="s">
        <v>21348</v>
      </c>
      <c r="J4486" s="22" t="s">
        <v>649</v>
      </c>
      <c r="K4486" s="22"/>
      <c r="L4486" s="167" t="s">
        <v>21349</v>
      </c>
      <c r="M4486" s="44"/>
      <c r="N4486" s="44"/>
      <c r="O4486" s="44"/>
      <c r="P4486" s="44"/>
      <c r="Q4486" s="44"/>
      <c r="R4486" s="44"/>
      <c r="S4486" s="44"/>
      <c r="T4486" s="45"/>
      <c r="U4486" s="29" t="s">
        <v>61</v>
      </c>
      <c r="V4486" s="30"/>
      <c r="W4486" s="156"/>
      <c r="X4486" s="49"/>
      <c r="Y4486" s="35"/>
      <c r="Z4486" s="35"/>
      <c r="AA4486" s="35"/>
      <c r="AB4486" s="35"/>
      <c r="AC4486" s="35"/>
      <c r="AD4486" s="35"/>
      <c r="AE4486" s="35"/>
      <c r="AF4486" s="35"/>
      <c r="AG4486" s="35"/>
      <c r="AH4486" s="35"/>
      <c r="AI4486" s="35"/>
      <c r="AJ4486" s="35"/>
      <c r="AK4486" s="35"/>
      <c r="AL4486" s="35"/>
    </row>
    <row r="4487">
      <c r="A4487" s="18"/>
      <c r="B4487" s="19" t="s">
        <v>19332</v>
      </c>
      <c r="C4487" s="76" t="s">
        <v>21263</v>
      </c>
      <c r="D4487" s="47"/>
      <c r="E4487" s="22" t="s">
        <v>21350</v>
      </c>
      <c r="F4487" s="22" t="s">
        <v>797</v>
      </c>
      <c r="G4487" s="23">
        <v>2020.0</v>
      </c>
      <c r="H4487" s="22" t="s">
        <v>21009</v>
      </c>
      <c r="I4487" s="24" t="s">
        <v>21351</v>
      </c>
      <c r="J4487" s="22" t="s">
        <v>31</v>
      </c>
      <c r="K4487" s="22"/>
      <c r="L4487" s="36"/>
      <c r="M4487" s="36"/>
      <c r="N4487" s="36"/>
      <c r="O4487" s="36"/>
      <c r="P4487" s="37"/>
      <c r="Q4487" s="36"/>
      <c r="R4487" s="36"/>
      <c r="S4487" s="36"/>
      <c r="T4487" s="28" t="s">
        <v>21352</v>
      </c>
      <c r="U4487" s="29" t="s">
        <v>61</v>
      </c>
      <c r="V4487" s="30"/>
      <c r="W4487" s="156"/>
      <c r="X4487" s="49"/>
      <c r="Y4487" s="35"/>
      <c r="Z4487" s="35"/>
      <c r="AA4487" s="35"/>
      <c r="AB4487" s="35"/>
      <c r="AC4487" s="35"/>
      <c r="AD4487" s="35"/>
      <c r="AE4487" s="35"/>
      <c r="AF4487" s="35"/>
      <c r="AG4487" s="35"/>
      <c r="AH4487" s="35"/>
      <c r="AI4487" s="35"/>
      <c r="AJ4487" s="35"/>
      <c r="AK4487" s="35"/>
      <c r="AL4487" s="35"/>
    </row>
    <row r="4488">
      <c r="A4488" s="18"/>
      <c r="B4488" s="19" t="s">
        <v>19332</v>
      </c>
      <c r="C4488" s="76" t="s">
        <v>21263</v>
      </c>
      <c r="D4488" s="47"/>
      <c r="E4488" s="22" t="s">
        <v>21353</v>
      </c>
      <c r="F4488" s="22" t="s">
        <v>2288</v>
      </c>
      <c r="G4488" s="23">
        <v>2020.0</v>
      </c>
      <c r="H4488" s="22" t="s">
        <v>91</v>
      </c>
      <c r="I4488" s="24" t="s">
        <v>21354</v>
      </c>
      <c r="J4488" s="22" t="s">
        <v>31</v>
      </c>
      <c r="K4488" s="22" t="s">
        <v>6802</v>
      </c>
      <c r="L4488" s="36">
        <v>532.0</v>
      </c>
      <c r="M4488" s="36"/>
      <c r="N4488" s="36"/>
      <c r="O4488" s="36"/>
      <c r="P4488" s="37"/>
      <c r="Q4488" s="36"/>
      <c r="R4488" s="36"/>
      <c r="S4488" s="36"/>
      <c r="T4488" s="28" t="s">
        <v>21355</v>
      </c>
      <c r="U4488" s="29" t="s">
        <v>61</v>
      </c>
      <c r="V4488" s="30"/>
      <c r="W4488" s="156"/>
      <c r="X4488" s="49"/>
      <c r="Y4488" s="35"/>
      <c r="Z4488" s="35"/>
      <c r="AA4488" s="35"/>
      <c r="AB4488" s="35"/>
      <c r="AC4488" s="35"/>
      <c r="AD4488" s="35"/>
      <c r="AE4488" s="35"/>
      <c r="AF4488" s="35"/>
      <c r="AG4488" s="35"/>
      <c r="AH4488" s="35"/>
      <c r="AI4488" s="35"/>
      <c r="AJ4488" s="35"/>
      <c r="AK4488" s="35"/>
      <c r="AL4488" s="35"/>
    </row>
    <row r="4489">
      <c r="A4489" s="18"/>
      <c r="B4489" s="19" t="s">
        <v>19332</v>
      </c>
      <c r="C4489" s="76" t="s">
        <v>21263</v>
      </c>
      <c r="D4489" s="47"/>
      <c r="E4489" s="22" t="s">
        <v>19350</v>
      </c>
      <c r="F4489" s="22" t="s">
        <v>14321</v>
      </c>
      <c r="G4489" s="23">
        <v>2020.0</v>
      </c>
      <c r="H4489" s="22" t="s">
        <v>91</v>
      </c>
      <c r="I4489" s="24" t="s">
        <v>21356</v>
      </c>
      <c r="J4489" s="22" t="s">
        <v>21357</v>
      </c>
      <c r="K4489" s="22"/>
      <c r="L4489" s="105" t="s">
        <v>21358</v>
      </c>
      <c r="M4489" s="44"/>
      <c r="N4489" s="44"/>
      <c r="O4489" s="44"/>
      <c r="P4489" s="44"/>
      <c r="Q4489" s="44"/>
      <c r="R4489" s="44"/>
      <c r="S4489" s="44"/>
      <c r="T4489" s="45"/>
      <c r="U4489" s="29" t="s">
        <v>61</v>
      </c>
      <c r="V4489" s="30"/>
      <c r="W4489" s="156"/>
      <c r="X4489" s="49"/>
      <c r="Y4489" s="35"/>
      <c r="Z4489" s="35"/>
      <c r="AA4489" s="35"/>
      <c r="AB4489" s="35"/>
      <c r="AC4489" s="35"/>
      <c r="AD4489" s="35"/>
      <c r="AE4489" s="35"/>
      <c r="AF4489" s="35"/>
      <c r="AG4489" s="35"/>
      <c r="AH4489" s="35"/>
      <c r="AI4489" s="35"/>
      <c r="AJ4489" s="35"/>
      <c r="AK4489" s="35"/>
      <c r="AL4489" s="35"/>
    </row>
    <row r="4490">
      <c r="A4490" s="18"/>
      <c r="B4490" s="19" t="s">
        <v>19332</v>
      </c>
      <c r="C4490" s="76" t="s">
        <v>21263</v>
      </c>
      <c r="D4490" s="47"/>
      <c r="E4490" s="22" t="s">
        <v>21359</v>
      </c>
      <c r="F4490" s="22" t="s">
        <v>4704</v>
      </c>
      <c r="G4490" s="23">
        <v>2020.0</v>
      </c>
      <c r="H4490" s="22" t="s">
        <v>91</v>
      </c>
      <c r="I4490" s="24" t="s">
        <v>21360</v>
      </c>
      <c r="J4490" s="22" t="s">
        <v>31</v>
      </c>
      <c r="K4490" s="22"/>
      <c r="L4490" s="36">
        <v>980.0</v>
      </c>
      <c r="M4490" s="36"/>
      <c r="N4490" s="36"/>
      <c r="O4490" s="36"/>
      <c r="P4490" s="37" t="s">
        <v>21361</v>
      </c>
      <c r="Q4490" s="36"/>
      <c r="R4490" s="36"/>
      <c r="S4490" s="36"/>
      <c r="T4490" s="28" t="s">
        <v>21362</v>
      </c>
      <c r="U4490" s="29" t="s">
        <v>61</v>
      </c>
      <c r="V4490" s="30"/>
      <c r="W4490" s="156"/>
      <c r="X4490" s="49"/>
      <c r="Y4490" s="35"/>
      <c r="Z4490" s="35"/>
      <c r="AA4490" s="35"/>
      <c r="AB4490" s="35"/>
      <c r="AC4490" s="35"/>
      <c r="AD4490" s="35"/>
      <c r="AE4490" s="35"/>
      <c r="AF4490" s="35"/>
      <c r="AG4490" s="35"/>
      <c r="AH4490" s="35"/>
      <c r="AI4490" s="35"/>
      <c r="AJ4490" s="35"/>
      <c r="AK4490" s="35"/>
      <c r="AL4490" s="35"/>
    </row>
    <row r="4491">
      <c r="A4491" s="18"/>
      <c r="B4491" s="19" t="s">
        <v>19332</v>
      </c>
      <c r="C4491" s="76" t="s">
        <v>21263</v>
      </c>
      <c r="D4491" s="47"/>
      <c r="E4491" s="22" t="s">
        <v>21363</v>
      </c>
      <c r="F4491" s="22" t="s">
        <v>241</v>
      </c>
      <c r="G4491" s="23">
        <v>2020.0</v>
      </c>
      <c r="H4491" s="22" t="s">
        <v>477</v>
      </c>
      <c r="I4491" s="24" t="s">
        <v>21364</v>
      </c>
      <c r="J4491" s="22" t="s">
        <v>31</v>
      </c>
      <c r="K4491" s="22" t="s">
        <v>1240</v>
      </c>
      <c r="L4491" s="36">
        <v>660.0</v>
      </c>
      <c r="M4491" s="36"/>
      <c r="N4491" s="36"/>
      <c r="O4491" s="36"/>
      <c r="P4491" s="37" t="s">
        <v>21365</v>
      </c>
      <c r="Q4491" s="36"/>
      <c r="R4491" s="36"/>
      <c r="S4491" s="36"/>
      <c r="T4491" s="28" t="s">
        <v>21366</v>
      </c>
      <c r="U4491" s="38" t="str">
        <f>HYPERLINK("https://www.ncbi.nlm.nih.gov/pubmed/32333178","PubMed")</f>
        <v>PubMed</v>
      </c>
      <c r="V4491" s="30"/>
      <c r="W4491" s="156"/>
      <c r="X4491" s="49"/>
      <c r="Y4491" s="35"/>
      <c r="Z4491" s="35"/>
      <c r="AA4491" s="35"/>
      <c r="AB4491" s="35"/>
      <c r="AC4491" s="35"/>
      <c r="AD4491" s="35"/>
      <c r="AE4491" s="35"/>
      <c r="AF4491" s="35"/>
      <c r="AG4491" s="35"/>
      <c r="AH4491" s="35"/>
      <c r="AI4491" s="35"/>
      <c r="AJ4491" s="35"/>
      <c r="AK4491" s="35"/>
      <c r="AL4491" s="35"/>
    </row>
    <row r="4492">
      <c r="A4492" s="18"/>
      <c r="B4492" s="19" t="s">
        <v>19332</v>
      </c>
      <c r="C4492" s="76" t="s">
        <v>21263</v>
      </c>
      <c r="D4492" s="47"/>
      <c r="E4492" s="22" t="s">
        <v>21367</v>
      </c>
      <c r="F4492" s="22" t="s">
        <v>52</v>
      </c>
      <c r="G4492" s="23">
        <v>2020.0</v>
      </c>
      <c r="H4492" s="22" t="s">
        <v>207</v>
      </c>
      <c r="I4492" s="24" t="s">
        <v>21368</v>
      </c>
      <c r="J4492" s="22" t="s">
        <v>31</v>
      </c>
      <c r="K4492" s="22" t="s">
        <v>21369</v>
      </c>
      <c r="L4492" s="36" t="s">
        <v>21370</v>
      </c>
      <c r="M4492" s="36"/>
      <c r="N4492" s="36"/>
      <c r="O4492" s="36"/>
      <c r="P4492" s="37"/>
      <c r="Q4492" s="36"/>
      <c r="R4492" s="36"/>
      <c r="S4492" s="36"/>
      <c r="T4492" s="42" t="s">
        <v>21371</v>
      </c>
      <c r="U4492" s="38" t="str">
        <f>HYPERLINK("https://www.ncbi.nlm.nih.gov/pubmed/31982670","PubMed")</f>
        <v>PubMed</v>
      </c>
      <c r="V4492" s="30"/>
      <c r="W4492" s="156"/>
      <c r="X4492" s="49"/>
      <c r="Y4492" s="35"/>
      <c r="Z4492" s="35"/>
      <c r="AA4492" s="35"/>
      <c r="AB4492" s="35"/>
      <c r="AC4492" s="35"/>
      <c r="AD4492" s="35"/>
      <c r="AE4492" s="35"/>
      <c r="AF4492" s="35"/>
      <c r="AG4492" s="35"/>
      <c r="AH4492" s="35"/>
      <c r="AI4492" s="35"/>
      <c r="AJ4492" s="35"/>
      <c r="AK4492" s="35"/>
      <c r="AL4492" s="35"/>
    </row>
    <row r="4493">
      <c r="A4493" s="18"/>
      <c r="B4493" s="19" t="s">
        <v>19332</v>
      </c>
      <c r="C4493" s="76" t="s">
        <v>21263</v>
      </c>
      <c r="D4493" s="47"/>
      <c r="E4493" s="22" t="s">
        <v>21372</v>
      </c>
      <c r="F4493" s="22" t="s">
        <v>241</v>
      </c>
      <c r="G4493" s="23">
        <v>2020.0</v>
      </c>
      <c r="H4493" s="22" t="s">
        <v>91</v>
      </c>
      <c r="I4493" s="24" t="s">
        <v>21373</v>
      </c>
      <c r="J4493" s="22" t="s">
        <v>31</v>
      </c>
      <c r="K4493" s="22"/>
      <c r="L4493" s="36">
        <v>660.0</v>
      </c>
      <c r="M4493" s="36"/>
      <c r="N4493" s="36"/>
      <c r="O4493" s="36"/>
      <c r="P4493" s="37" t="s">
        <v>21365</v>
      </c>
      <c r="Q4493" s="36"/>
      <c r="R4493" s="36"/>
      <c r="S4493" s="36"/>
      <c r="T4493" s="28" t="s">
        <v>21374</v>
      </c>
      <c r="U4493" s="38" t="str">
        <f>HYPERLINK("https://www.ncbi.nlm.nih.gov/pubmed/32056077","PubMed")</f>
        <v>PubMed</v>
      </c>
      <c r="V4493" s="30"/>
      <c r="W4493" s="156"/>
      <c r="X4493" s="49"/>
      <c r="Y4493" s="35"/>
      <c r="Z4493" s="35"/>
      <c r="AA4493" s="35"/>
      <c r="AB4493" s="35"/>
      <c r="AC4493" s="35"/>
      <c r="AD4493" s="35"/>
      <c r="AE4493" s="35"/>
      <c r="AF4493" s="35"/>
      <c r="AG4493" s="35"/>
      <c r="AH4493" s="35"/>
      <c r="AI4493" s="35"/>
      <c r="AJ4493" s="35"/>
      <c r="AK4493" s="35"/>
      <c r="AL4493" s="35"/>
    </row>
    <row r="4494">
      <c r="A4494" s="18"/>
      <c r="B4494" s="19" t="s">
        <v>19332</v>
      </c>
      <c r="C4494" s="76" t="s">
        <v>21263</v>
      </c>
      <c r="D4494" s="47"/>
      <c r="E4494" s="22" t="s">
        <v>20997</v>
      </c>
      <c r="F4494" s="22" t="s">
        <v>797</v>
      </c>
      <c r="G4494" s="23">
        <v>2020.0</v>
      </c>
      <c r="H4494" s="22" t="s">
        <v>91</v>
      </c>
      <c r="I4494" s="24" t="s">
        <v>21375</v>
      </c>
      <c r="J4494" s="22" t="s">
        <v>31</v>
      </c>
      <c r="K4494" s="22"/>
      <c r="L4494" s="36">
        <v>660.0</v>
      </c>
      <c r="M4494" s="36">
        <v>100.0</v>
      </c>
      <c r="N4494" s="36" t="s">
        <v>13172</v>
      </c>
      <c r="O4494" s="36"/>
      <c r="P4494" s="37" t="s">
        <v>21376</v>
      </c>
      <c r="Q4494" s="36" t="s">
        <v>21377</v>
      </c>
      <c r="R4494" s="36">
        <v>10.0</v>
      </c>
      <c r="S4494" s="36" t="s">
        <v>21378</v>
      </c>
      <c r="T4494" s="28" t="s">
        <v>21379</v>
      </c>
      <c r="U4494" s="38" t="str">
        <f>HYPERLINK("https://www.ncbi.nlm.nih.gov/pubmed/32095920","PubMed")</f>
        <v>PubMed</v>
      </c>
      <c r="V4494" s="30"/>
      <c r="W4494" s="156"/>
      <c r="X4494" s="49"/>
      <c r="Y4494" s="35"/>
      <c r="Z4494" s="35"/>
      <c r="AA4494" s="35"/>
      <c r="AB4494" s="35"/>
      <c r="AC4494" s="35"/>
      <c r="AD4494" s="35"/>
      <c r="AE4494" s="35"/>
      <c r="AF4494" s="35"/>
      <c r="AG4494" s="35"/>
      <c r="AH4494" s="35"/>
      <c r="AI4494" s="35"/>
      <c r="AJ4494" s="35"/>
      <c r="AK4494" s="35"/>
      <c r="AL4494" s="35"/>
    </row>
    <row r="4495">
      <c r="A4495" s="18"/>
      <c r="B4495" s="19" t="s">
        <v>19332</v>
      </c>
      <c r="C4495" s="76" t="s">
        <v>21263</v>
      </c>
      <c r="D4495" s="47"/>
      <c r="E4495" s="22" t="s">
        <v>21380</v>
      </c>
      <c r="F4495" s="22" t="s">
        <v>323</v>
      </c>
      <c r="G4495" s="23">
        <v>2019.0</v>
      </c>
      <c r="H4495" s="22" t="s">
        <v>147</v>
      </c>
      <c r="I4495" s="24" t="s">
        <v>21381</v>
      </c>
      <c r="J4495" s="22" t="s">
        <v>31</v>
      </c>
      <c r="K4495" s="22"/>
      <c r="L4495" s="36">
        <v>808.0</v>
      </c>
      <c r="M4495" s="36">
        <v>30.0</v>
      </c>
      <c r="N4495" s="36"/>
      <c r="O4495" s="36"/>
      <c r="P4495" s="37"/>
      <c r="Q4495" s="36"/>
      <c r="R4495" s="36"/>
      <c r="S4495" s="36"/>
      <c r="T4495" s="28" t="s">
        <v>21382</v>
      </c>
      <c r="U4495" s="38" t="str">
        <f>HYPERLINK("https://www.ncbi.nlm.nih.gov/pubmed/32021670","PubMed")</f>
        <v>PubMed</v>
      </c>
      <c r="V4495" s="30"/>
      <c r="W4495" s="156"/>
      <c r="X4495" s="49"/>
      <c r="Y4495" s="35"/>
      <c r="Z4495" s="35"/>
      <c r="AA4495" s="35"/>
      <c r="AB4495" s="35"/>
      <c r="AC4495" s="35"/>
      <c r="AD4495" s="35"/>
      <c r="AE4495" s="35"/>
      <c r="AF4495" s="35"/>
      <c r="AG4495" s="35"/>
      <c r="AH4495" s="35"/>
      <c r="AI4495" s="35"/>
      <c r="AJ4495" s="35"/>
      <c r="AK4495" s="35"/>
      <c r="AL4495" s="35"/>
    </row>
    <row r="4496">
      <c r="A4496" s="18"/>
      <c r="B4496" s="19" t="s">
        <v>19332</v>
      </c>
      <c r="C4496" s="76" t="s">
        <v>21263</v>
      </c>
      <c r="D4496" s="47"/>
      <c r="E4496" s="22" t="s">
        <v>21363</v>
      </c>
      <c r="F4496" s="22" t="s">
        <v>241</v>
      </c>
      <c r="G4496" s="23">
        <v>2019.0</v>
      </c>
      <c r="H4496" s="22" t="s">
        <v>207</v>
      </c>
      <c r="I4496" s="24" t="s">
        <v>21383</v>
      </c>
      <c r="J4496" s="22" t="s">
        <v>31</v>
      </c>
      <c r="K4496" s="22"/>
      <c r="L4496" s="36"/>
      <c r="M4496" s="36"/>
      <c r="N4496" s="36"/>
      <c r="O4496" s="36"/>
      <c r="P4496" s="37" t="s">
        <v>21365</v>
      </c>
      <c r="Q4496" s="36"/>
      <c r="R4496" s="36"/>
      <c r="S4496" s="36"/>
      <c r="T4496" s="41" t="s">
        <v>21384</v>
      </c>
      <c r="U4496" s="38" t="str">
        <f>HYPERLINK("https://www.ncbi.nlm.nih.gov/pubmed/31954290","PubMed")</f>
        <v>PubMed</v>
      </c>
      <c r="V4496" s="30"/>
      <c r="W4496" s="156"/>
      <c r="X4496" s="49"/>
      <c r="Y4496" s="35"/>
      <c r="Z4496" s="35"/>
      <c r="AA4496" s="35"/>
      <c r="AB4496" s="35"/>
      <c r="AC4496" s="35"/>
      <c r="AD4496" s="35"/>
      <c r="AE4496" s="35"/>
      <c r="AF4496" s="35"/>
      <c r="AG4496" s="35"/>
      <c r="AH4496" s="35"/>
      <c r="AI4496" s="35"/>
      <c r="AJ4496" s="35"/>
      <c r="AK4496" s="35"/>
      <c r="AL4496" s="35"/>
    </row>
    <row r="4497">
      <c r="A4497" s="18"/>
      <c r="B4497" s="19" t="s">
        <v>19332</v>
      </c>
      <c r="C4497" s="76" t="s">
        <v>21263</v>
      </c>
      <c r="D4497" s="47"/>
      <c r="E4497" s="22" t="s">
        <v>21385</v>
      </c>
      <c r="F4497" s="22" t="s">
        <v>21386</v>
      </c>
      <c r="G4497" s="23">
        <v>2019.0</v>
      </c>
      <c r="H4497" s="22" t="s">
        <v>967</v>
      </c>
      <c r="I4497" s="24" t="s">
        <v>21387</v>
      </c>
      <c r="J4497" s="22" t="s">
        <v>31</v>
      </c>
      <c r="K4497" s="22" t="s">
        <v>1112</v>
      </c>
      <c r="L4497" s="36">
        <v>980.0</v>
      </c>
      <c r="M4497" s="36" t="s">
        <v>21388</v>
      </c>
      <c r="N4497" s="36"/>
      <c r="O4497" s="36"/>
      <c r="P4497" s="37" t="s">
        <v>21389</v>
      </c>
      <c r="Q4497" s="36"/>
      <c r="R4497" s="36"/>
      <c r="S4497" s="36"/>
      <c r="T4497" s="28" t="s">
        <v>21390</v>
      </c>
      <c r="U4497" s="29" t="s">
        <v>2360</v>
      </c>
      <c r="V4497" s="30"/>
      <c r="W4497" s="156"/>
      <c r="X4497" s="49"/>
      <c r="Y4497" s="35"/>
      <c r="Z4497" s="35"/>
      <c r="AA4497" s="35"/>
      <c r="AB4497" s="35"/>
      <c r="AC4497" s="35"/>
      <c r="AD4497" s="35"/>
      <c r="AE4497" s="35"/>
      <c r="AF4497" s="35"/>
      <c r="AG4497" s="35"/>
      <c r="AH4497" s="35"/>
      <c r="AI4497" s="35"/>
      <c r="AJ4497" s="35"/>
      <c r="AK4497" s="35"/>
      <c r="AL4497" s="35"/>
    </row>
    <row r="4498">
      <c r="A4498" s="18"/>
      <c r="B4498" s="19" t="s">
        <v>19332</v>
      </c>
      <c r="C4498" s="76" t="s">
        <v>21263</v>
      </c>
      <c r="D4498" s="47"/>
      <c r="E4498" s="22" t="s">
        <v>20288</v>
      </c>
      <c r="F4498" s="22" t="s">
        <v>241</v>
      </c>
      <c r="G4498" s="23">
        <v>2019.0</v>
      </c>
      <c r="H4498" s="22" t="s">
        <v>9550</v>
      </c>
      <c r="I4498" s="24" t="s">
        <v>21391</v>
      </c>
      <c r="J4498" s="22" t="s">
        <v>31</v>
      </c>
      <c r="K4498" s="22"/>
      <c r="L4498" s="36">
        <v>660.0</v>
      </c>
      <c r="M4498" s="36"/>
      <c r="N4498" s="36"/>
      <c r="O4498" s="36"/>
      <c r="P4498" s="37" t="s">
        <v>432</v>
      </c>
      <c r="Q4498" s="36"/>
      <c r="R4498" s="36">
        <v>10.0</v>
      </c>
      <c r="S4498" s="36"/>
      <c r="T4498" s="28" t="s">
        <v>21392</v>
      </c>
      <c r="U4498" s="38" t="str">
        <f>HYPERLINK("https://iopscience.iop.org/article/10.1088/1612-202X/ab3452","IOP")</f>
        <v>IOP</v>
      </c>
      <c r="V4498" s="30"/>
      <c r="W4498" s="156"/>
      <c r="X4498" s="49"/>
      <c r="Y4498" s="35"/>
      <c r="Z4498" s="35"/>
      <c r="AA4498" s="35"/>
      <c r="AB4498" s="35"/>
      <c r="AC4498" s="35"/>
      <c r="AD4498" s="35"/>
      <c r="AE4498" s="35"/>
      <c r="AF4498" s="35"/>
      <c r="AG4498" s="35"/>
      <c r="AH4498" s="35"/>
      <c r="AI4498" s="35"/>
      <c r="AJ4498" s="35"/>
      <c r="AK4498" s="35"/>
      <c r="AL4498" s="35"/>
    </row>
    <row r="4499">
      <c r="A4499" s="18"/>
      <c r="B4499" s="19" t="s">
        <v>19332</v>
      </c>
      <c r="C4499" s="76" t="s">
        <v>21263</v>
      </c>
      <c r="D4499" s="47"/>
      <c r="E4499" s="22" t="s">
        <v>21393</v>
      </c>
      <c r="F4499" s="22" t="s">
        <v>12293</v>
      </c>
      <c r="G4499" s="23">
        <v>2019.0</v>
      </c>
      <c r="H4499" s="22" t="s">
        <v>91</v>
      </c>
      <c r="I4499" s="24" t="s">
        <v>21394</v>
      </c>
      <c r="J4499" s="22" t="s">
        <v>31</v>
      </c>
      <c r="K4499" s="22"/>
      <c r="L4499" s="36">
        <v>660.0</v>
      </c>
      <c r="M4499" s="36"/>
      <c r="N4499" s="36"/>
      <c r="O4499" s="36"/>
      <c r="P4499" s="37" t="s">
        <v>21395</v>
      </c>
      <c r="Q4499" s="36"/>
      <c r="R4499" s="36"/>
      <c r="S4499" s="36"/>
      <c r="T4499" s="42" t="s">
        <v>21396</v>
      </c>
      <c r="U4499" s="38" t="str">
        <f>HYPERLINK("https://www.ncbi.nlm.nih.gov/pubmed/31267320","PubMed")</f>
        <v>PubMed</v>
      </c>
      <c r="V4499" s="30"/>
      <c r="W4499" s="156"/>
      <c r="X4499" s="49"/>
      <c r="Y4499" s="35"/>
      <c r="Z4499" s="35"/>
      <c r="AA4499" s="35"/>
      <c r="AB4499" s="35"/>
      <c r="AC4499" s="35"/>
      <c r="AD4499" s="35"/>
      <c r="AE4499" s="35"/>
      <c r="AF4499" s="35"/>
      <c r="AG4499" s="35"/>
      <c r="AH4499" s="35"/>
      <c r="AI4499" s="35"/>
      <c r="AJ4499" s="35"/>
      <c r="AK4499" s="35"/>
      <c r="AL4499" s="35"/>
    </row>
    <row r="4500">
      <c r="A4500" s="18"/>
      <c r="B4500" s="19" t="s">
        <v>19332</v>
      </c>
      <c r="C4500" s="76" t="s">
        <v>21263</v>
      </c>
      <c r="D4500" s="47"/>
      <c r="E4500" s="22" t="s">
        <v>21397</v>
      </c>
      <c r="F4500" s="22" t="s">
        <v>13127</v>
      </c>
      <c r="G4500" s="23">
        <v>2019.0</v>
      </c>
      <c r="H4500" s="22" t="s">
        <v>477</v>
      </c>
      <c r="I4500" s="24" t="s">
        <v>21398</v>
      </c>
      <c r="J4500" s="22" t="s">
        <v>31</v>
      </c>
      <c r="K4500" s="22" t="s">
        <v>1827</v>
      </c>
      <c r="L4500" s="36">
        <v>940.0</v>
      </c>
      <c r="M4500" s="36">
        <v>200.0</v>
      </c>
      <c r="N4500" s="36"/>
      <c r="O4500" s="36"/>
      <c r="P4500" s="37" t="s">
        <v>1328</v>
      </c>
      <c r="Q4500" s="36"/>
      <c r="R4500" s="36"/>
      <c r="S4500" s="36"/>
      <c r="T4500" s="28" t="s">
        <v>21399</v>
      </c>
      <c r="U4500" s="38" t="str">
        <f>HYPERLINK("https://www.ncbi.nlm.nih.gov/pubmed/31069538","PubMed")</f>
        <v>PubMed</v>
      </c>
      <c r="V4500" s="30"/>
      <c r="W4500" s="156"/>
      <c r="X4500" s="49"/>
      <c r="Y4500" s="35"/>
      <c r="Z4500" s="35"/>
      <c r="AA4500" s="35"/>
      <c r="AB4500" s="35"/>
      <c r="AC4500" s="35"/>
      <c r="AD4500" s="35"/>
      <c r="AE4500" s="35"/>
      <c r="AF4500" s="35"/>
      <c r="AG4500" s="35"/>
      <c r="AH4500" s="35"/>
      <c r="AI4500" s="35"/>
      <c r="AJ4500" s="35"/>
      <c r="AK4500" s="35"/>
      <c r="AL4500" s="35"/>
    </row>
    <row r="4501">
      <c r="A4501" s="18"/>
      <c r="B4501" s="19" t="s">
        <v>19332</v>
      </c>
      <c r="C4501" s="76" t="s">
        <v>21263</v>
      </c>
      <c r="D4501" s="47"/>
      <c r="E4501" s="22" t="s">
        <v>21400</v>
      </c>
      <c r="F4501" s="22" t="s">
        <v>21401</v>
      </c>
      <c r="G4501" s="23">
        <v>2019.0</v>
      </c>
      <c r="H4501" s="22" t="s">
        <v>207</v>
      </c>
      <c r="I4501" s="24" t="s">
        <v>21402</v>
      </c>
      <c r="J4501" s="22" t="s">
        <v>31</v>
      </c>
      <c r="K4501" s="22" t="s">
        <v>21403</v>
      </c>
      <c r="L4501" s="36">
        <v>660.0</v>
      </c>
      <c r="M4501" s="36">
        <v>20.0</v>
      </c>
      <c r="N4501" s="36" t="s">
        <v>5132</v>
      </c>
      <c r="O4501" s="36"/>
      <c r="P4501" s="37"/>
      <c r="Q4501" s="36" t="s">
        <v>280</v>
      </c>
      <c r="R4501" s="36"/>
      <c r="S4501" s="36"/>
      <c r="T4501" s="42" t="s">
        <v>21404</v>
      </c>
      <c r="U4501" s="38" t="str">
        <f>HYPERLINK("https://www.ncbi.nlm.nih.gov/pubmed/30954874","PubMed")</f>
        <v>PubMed</v>
      </c>
      <c r="V4501" s="30"/>
      <c r="W4501" s="156"/>
      <c r="X4501" s="49"/>
      <c r="Y4501" s="35"/>
      <c r="Z4501" s="35"/>
      <c r="AA4501" s="35"/>
      <c r="AB4501" s="35"/>
      <c r="AC4501" s="35"/>
      <c r="AD4501" s="35"/>
      <c r="AE4501" s="35"/>
      <c r="AF4501" s="35"/>
      <c r="AG4501" s="35"/>
      <c r="AH4501" s="35"/>
      <c r="AI4501" s="35"/>
      <c r="AJ4501" s="35"/>
      <c r="AK4501" s="35"/>
      <c r="AL4501" s="35"/>
    </row>
    <row r="4502">
      <c r="A4502" s="18"/>
      <c r="B4502" s="19" t="s">
        <v>19332</v>
      </c>
      <c r="C4502" s="76" t="s">
        <v>21263</v>
      </c>
      <c r="D4502" s="47"/>
      <c r="E4502" s="22" t="s">
        <v>21385</v>
      </c>
      <c r="F4502" s="22" t="s">
        <v>4704</v>
      </c>
      <c r="G4502" s="23">
        <v>2019.0</v>
      </c>
      <c r="H4502" s="22" t="s">
        <v>207</v>
      </c>
      <c r="I4502" s="24" t="s">
        <v>21405</v>
      </c>
      <c r="J4502" s="22" t="s">
        <v>31</v>
      </c>
      <c r="K4502" s="22"/>
      <c r="L4502" s="36">
        <v>980.0</v>
      </c>
      <c r="M4502" s="36"/>
      <c r="N4502" s="36"/>
      <c r="O4502" s="36"/>
      <c r="P4502" s="37" t="s">
        <v>1341</v>
      </c>
      <c r="Q4502" s="36"/>
      <c r="R4502" s="36"/>
      <c r="S4502" s="36"/>
      <c r="T4502" s="28" t="s">
        <v>21406</v>
      </c>
      <c r="U4502" s="38" t="str">
        <f>HYPERLINK("https://www.sciencedirect.com/science/article/pii/S1011134418312156#!","ScienceDirect")</f>
        <v>ScienceDirect</v>
      </c>
      <c r="V4502" s="30"/>
      <c r="W4502" s="156"/>
      <c r="X4502" s="49"/>
      <c r="Y4502" s="35"/>
      <c r="Z4502" s="35"/>
      <c r="AA4502" s="35"/>
      <c r="AB4502" s="35"/>
      <c r="AC4502" s="35"/>
      <c r="AD4502" s="35"/>
      <c r="AE4502" s="35"/>
      <c r="AF4502" s="35"/>
      <c r="AG4502" s="35"/>
      <c r="AH4502" s="35"/>
      <c r="AI4502" s="35"/>
      <c r="AJ4502" s="35"/>
      <c r="AK4502" s="35"/>
      <c r="AL4502" s="35"/>
    </row>
    <row r="4503">
      <c r="A4503" s="18"/>
      <c r="B4503" s="19" t="s">
        <v>19332</v>
      </c>
      <c r="C4503" s="76" t="s">
        <v>21263</v>
      </c>
      <c r="D4503" s="47"/>
      <c r="E4503" s="22" t="s">
        <v>10573</v>
      </c>
      <c r="F4503" s="22" t="s">
        <v>12293</v>
      </c>
      <c r="G4503" s="23">
        <v>2018.0</v>
      </c>
      <c r="H4503" s="22" t="s">
        <v>967</v>
      </c>
      <c r="I4503" s="24" t="s">
        <v>21407</v>
      </c>
      <c r="J4503" s="22" t="s">
        <v>31</v>
      </c>
      <c r="K4503" s="22" t="s">
        <v>1112</v>
      </c>
      <c r="L4503" s="36">
        <v>660.0</v>
      </c>
      <c r="M4503" s="36"/>
      <c r="N4503" s="36"/>
      <c r="O4503" s="36"/>
      <c r="P4503" s="37" t="s">
        <v>21408</v>
      </c>
      <c r="Q4503" s="36"/>
      <c r="R4503" s="36"/>
      <c r="S4503" s="36"/>
      <c r="T4503" s="41" t="s">
        <v>21409</v>
      </c>
      <c r="U4503" s="29" t="s">
        <v>2360</v>
      </c>
      <c r="V4503" s="30"/>
      <c r="W4503" s="156"/>
      <c r="X4503" s="49"/>
      <c r="Y4503" s="35"/>
      <c r="Z4503" s="35"/>
      <c r="AA4503" s="35"/>
      <c r="AB4503" s="35"/>
      <c r="AC4503" s="35"/>
      <c r="AD4503" s="35"/>
      <c r="AE4503" s="35"/>
      <c r="AF4503" s="35"/>
      <c r="AG4503" s="35"/>
      <c r="AH4503" s="35"/>
      <c r="AI4503" s="35"/>
      <c r="AJ4503" s="35"/>
      <c r="AK4503" s="35"/>
      <c r="AL4503" s="35"/>
    </row>
    <row r="4504">
      <c r="A4504" s="18"/>
      <c r="B4504" s="19" t="s">
        <v>19332</v>
      </c>
      <c r="C4504" s="76" t="s">
        <v>21263</v>
      </c>
      <c r="D4504" s="47"/>
      <c r="E4504" s="22" t="s">
        <v>20997</v>
      </c>
      <c r="F4504" s="22" t="s">
        <v>400</v>
      </c>
      <c r="G4504" s="23">
        <v>2018.0</v>
      </c>
      <c r="H4504" s="22" t="s">
        <v>1025</v>
      </c>
      <c r="I4504" s="24" t="s">
        <v>21410</v>
      </c>
      <c r="J4504" s="22" t="s">
        <v>31</v>
      </c>
      <c r="K4504" s="22"/>
      <c r="L4504" s="36">
        <v>660.0</v>
      </c>
      <c r="M4504" s="36">
        <v>100.0</v>
      </c>
      <c r="N4504" s="36"/>
      <c r="O4504" s="36"/>
      <c r="P4504" s="37" t="s">
        <v>21411</v>
      </c>
      <c r="Q4504" s="36"/>
      <c r="R4504" s="36">
        <v>10.0</v>
      </c>
      <c r="S4504" s="36"/>
      <c r="T4504" s="28" t="s">
        <v>21412</v>
      </c>
      <c r="U4504" s="38" t="str">
        <f>HYPERLINK("https://www.ncbi.nlm.nih.gov/pubmed/30203632","PubMed")</f>
        <v>PubMed</v>
      </c>
      <c r="V4504" s="30"/>
      <c r="W4504" s="156"/>
      <c r="X4504" s="49"/>
      <c r="Y4504" s="35"/>
      <c r="Z4504" s="35"/>
      <c r="AA4504" s="35"/>
      <c r="AB4504" s="35"/>
      <c r="AC4504" s="35"/>
      <c r="AD4504" s="35"/>
      <c r="AE4504" s="35"/>
      <c r="AF4504" s="35"/>
      <c r="AG4504" s="35"/>
      <c r="AH4504" s="35"/>
      <c r="AI4504" s="35"/>
      <c r="AJ4504" s="35"/>
      <c r="AK4504" s="35"/>
      <c r="AL4504" s="35"/>
    </row>
    <row r="4505">
      <c r="A4505" s="18" t="s">
        <v>38</v>
      </c>
      <c r="B4505" s="19" t="s">
        <v>19332</v>
      </c>
      <c r="C4505" s="76" t="s">
        <v>21263</v>
      </c>
      <c r="D4505" s="47"/>
      <c r="E4505" s="22" t="s">
        <v>7700</v>
      </c>
      <c r="F4505" s="22" t="s">
        <v>41</v>
      </c>
      <c r="G4505" s="23">
        <v>2018.0</v>
      </c>
      <c r="H4505" s="22" t="s">
        <v>91</v>
      </c>
      <c r="I4505" s="24" t="s">
        <v>21413</v>
      </c>
      <c r="J4505" s="22" t="s">
        <v>31</v>
      </c>
      <c r="K4505" s="22" t="s">
        <v>21414</v>
      </c>
      <c r="L4505" s="36">
        <v>660.0</v>
      </c>
      <c r="M4505" s="36">
        <v>20.0</v>
      </c>
      <c r="N4505" s="36"/>
      <c r="O4505" s="36"/>
      <c r="P4505" s="37" t="s">
        <v>21415</v>
      </c>
      <c r="Q4505" s="36" t="s">
        <v>280</v>
      </c>
      <c r="R4505" s="36"/>
      <c r="S4505" s="36"/>
      <c r="T4505" s="28" t="s">
        <v>21416</v>
      </c>
      <c r="U4505" s="38" t="str">
        <f>HYPERLINK("https://www.ncbi.nlm.nih.gov/pubmed/30250986","PubMed")</f>
        <v>PubMed</v>
      </c>
      <c r="V4505" s="30"/>
      <c r="W4505" s="156"/>
      <c r="X4505" s="49"/>
      <c r="Y4505" s="35"/>
      <c r="Z4505" s="35"/>
      <c r="AA4505" s="35"/>
      <c r="AB4505" s="35"/>
      <c r="AC4505" s="35"/>
      <c r="AD4505" s="35"/>
      <c r="AE4505" s="35"/>
      <c r="AF4505" s="35"/>
      <c r="AG4505" s="35"/>
      <c r="AH4505" s="35"/>
      <c r="AI4505" s="35"/>
      <c r="AJ4505" s="35"/>
      <c r="AK4505" s="35"/>
      <c r="AL4505" s="35"/>
    </row>
    <row r="4506">
      <c r="A4506" s="40"/>
      <c r="B4506" s="19" t="s">
        <v>19332</v>
      </c>
      <c r="C4506" s="76" t="s">
        <v>21263</v>
      </c>
      <c r="D4506" s="47"/>
      <c r="E4506" s="22" t="s">
        <v>21417</v>
      </c>
      <c r="F4506" s="22" t="s">
        <v>41</v>
      </c>
      <c r="G4506" s="23">
        <v>2018.0</v>
      </c>
      <c r="H4506" s="22" t="s">
        <v>5009</v>
      </c>
      <c r="I4506" s="24" t="s">
        <v>21418</v>
      </c>
      <c r="J4506" s="22" t="s">
        <v>31</v>
      </c>
      <c r="K4506" s="22"/>
      <c r="L4506" s="36">
        <v>660.0</v>
      </c>
      <c r="M4506" s="36">
        <v>20.0</v>
      </c>
      <c r="N4506" s="36" t="s">
        <v>5132</v>
      </c>
      <c r="O4506" s="36" t="s">
        <v>828</v>
      </c>
      <c r="P4506" s="36">
        <v>5.0</v>
      </c>
      <c r="Q4506" s="36" t="s">
        <v>280</v>
      </c>
      <c r="R4506" s="36" t="s">
        <v>16928</v>
      </c>
      <c r="S4506" s="36"/>
      <c r="T4506" s="41" t="s">
        <v>21419</v>
      </c>
      <c r="U4506" s="38" t="str">
        <f>HYPERLINK("https://www.ncbi.nlm.nih.gov/pubmed/29744863","PubMed")</f>
        <v>PubMed</v>
      </c>
      <c r="V4506" s="30"/>
      <c r="W4506" s="156"/>
      <c r="X4506" s="49"/>
      <c r="Y4506" s="35"/>
      <c r="Z4506" s="35"/>
      <c r="AA4506" s="35"/>
      <c r="AB4506" s="35"/>
      <c r="AC4506" s="35"/>
      <c r="AD4506" s="35"/>
      <c r="AE4506" s="35"/>
      <c r="AF4506" s="35"/>
      <c r="AG4506" s="35"/>
      <c r="AH4506" s="35"/>
      <c r="AI4506" s="35"/>
      <c r="AJ4506" s="35"/>
      <c r="AK4506" s="35"/>
      <c r="AL4506" s="35"/>
    </row>
    <row r="4507">
      <c r="A4507" s="40"/>
      <c r="B4507" s="19" t="s">
        <v>19332</v>
      </c>
      <c r="C4507" s="76" t="s">
        <v>21263</v>
      </c>
      <c r="D4507" s="47"/>
      <c r="E4507" s="22" t="s">
        <v>21363</v>
      </c>
      <c r="F4507" s="22" t="s">
        <v>241</v>
      </c>
      <c r="G4507" s="23">
        <v>2018.0</v>
      </c>
      <c r="H4507" s="22" t="s">
        <v>967</v>
      </c>
      <c r="I4507" s="24" t="s">
        <v>21420</v>
      </c>
      <c r="J4507" s="22" t="s">
        <v>31</v>
      </c>
      <c r="K4507" s="22"/>
      <c r="L4507" s="36">
        <v>660.0</v>
      </c>
      <c r="M4507" s="36"/>
      <c r="N4507" s="36"/>
      <c r="P4507" s="36" t="s">
        <v>21408</v>
      </c>
      <c r="Q4507" s="36"/>
      <c r="R4507" s="36"/>
      <c r="S4507" s="36"/>
      <c r="T4507" s="41" t="s">
        <v>21421</v>
      </c>
      <c r="U4507" s="38" t="str">
        <f>HYPERLINK("http://iopscience.iop.org/article/10.1088/1555-6611/aabd16","IOP")</f>
        <v>IOP</v>
      </c>
      <c r="V4507" s="30"/>
      <c r="W4507" s="156"/>
      <c r="X4507" s="49"/>
      <c r="Y4507" s="35"/>
      <c r="Z4507" s="35"/>
      <c r="AA4507" s="35"/>
      <c r="AB4507" s="35"/>
      <c r="AC4507" s="35"/>
      <c r="AD4507" s="35"/>
      <c r="AE4507" s="35"/>
      <c r="AF4507" s="35"/>
      <c r="AG4507" s="35"/>
      <c r="AH4507" s="35"/>
      <c r="AI4507" s="35"/>
      <c r="AJ4507" s="35"/>
      <c r="AK4507" s="35"/>
      <c r="AL4507" s="35"/>
    </row>
    <row r="4508">
      <c r="A4508" s="40"/>
      <c r="B4508" s="19" t="s">
        <v>19332</v>
      </c>
      <c r="C4508" s="76" t="s">
        <v>21263</v>
      </c>
      <c r="D4508" s="47"/>
      <c r="E4508" s="22" t="s">
        <v>714</v>
      </c>
      <c r="F4508" s="22" t="s">
        <v>241</v>
      </c>
      <c r="G4508" s="23">
        <v>2018.0</v>
      </c>
      <c r="H4508" s="22" t="s">
        <v>967</v>
      </c>
      <c r="I4508" s="24" t="s">
        <v>21422</v>
      </c>
      <c r="J4508" s="22" t="s">
        <v>31</v>
      </c>
      <c r="K4508" s="22"/>
      <c r="L4508" s="36"/>
      <c r="M4508" s="36"/>
      <c r="N4508" s="36"/>
      <c r="O4508" s="36"/>
      <c r="P4508" s="37"/>
      <c r="Q4508" s="36"/>
      <c r="R4508" s="36"/>
      <c r="S4508" s="36"/>
      <c r="T4508" s="28" t="s">
        <v>21423</v>
      </c>
      <c r="U4508" s="38" t="str">
        <f>HYPERLINK("http://iopscience.iop.org/article/10.1088/1555-6611/aab952","IOP")</f>
        <v>IOP</v>
      </c>
      <c r="V4508" s="30"/>
      <c r="W4508" s="156"/>
      <c r="X4508" s="49"/>
      <c r="Y4508" s="35"/>
      <c r="Z4508" s="35"/>
      <c r="AA4508" s="35"/>
      <c r="AB4508" s="35"/>
      <c r="AC4508" s="35"/>
      <c r="AD4508" s="35"/>
      <c r="AE4508" s="35"/>
      <c r="AF4508" s="35"/>
      <c r="AG4508" s="35"/>
      <c r="AH4508" s="35"/>
      <c r="AI4508" s="35"/>
      <c r="AJ4508" s="35"/>
      <c r="AK4508" s="35"/>
      <c r="AL4508" s="35"/>
    </row>
    <row r="4509">
      <c r="A4509" s="40"/>
      <c r="B4509" s="19" t="s">
        <v>19332</v>
      </c>
      <c r="C4509" s="76" t="s">
        <v>21263</v>
      </c>
      <c r="D4509" s="47"/>
      <c r="E4509" s="22" t="s">
        <v>3827</v>
      </c>
      <c r="F4509" s="22" t="s">
        <v>12293</v>
      </c>
      <c r="G4509" s="23">
        <v>2018.0</v>
      </c>
      <c r="H4509" s="22" t="s">
        <v>91</v>
      </c>
      <c r="I4509" s="24" t="s">
        <v>21424</v>
      </c>
      <c r="J4509" s="22" t="s">
        <v>31</v>
      </c>
      <c r="K4509" s="22" t="s">
        <v>21425</v>
      </c>
      <c r="L4509" s="36">
        <v>660.0</v>
      </c>
      <c r="M4509" s="36" t="s">
        <v>1810</v>
      </c>
      <c r="N4509" s="36"/>
      <c r="O4509" s="36"/>
      <c r="P4509" s="37" t="s">
        <v>21395</v>
      </c>
      <c r="Q4509" s="36"/>
      <c r="R4509" s="36"/>
      <c r="S4509" s="36"/>
      <c r="T4509" s="42" t="s">
        <v>21426</v>
      </c>
      <c r="U4509" s="38" t="str">
        <f>HYPERLINK("https://www.ncbi.nlm.nih.gov/pubmed/29980944","PubMed")</f>
        <v>PubMed</v>
      </c>
      <c r="V4509" s="30"/>
      <c r="W4509" s="156"/>
      <c r="X4509" s="49"/>
      <c r="Y4509" s="35"/>
      <c r="Z4509" s="35"/>
      <c r="AA4509" s="35"/>
      <c r="AB4509" s="35"/>
      <c r="AC4509" s="35"/>
      <c r="AD4509" s="35"/>
      <c r="AE4509" s="35"/>
      <c r="AF4509" s="35"/>
      <c r="AG4509" s="35"/>
      <c r="AH4509" s="35"/>
      <c r="AI4509" s="35"/>
      <c r="AJ4509" s="35"/>
      <c r="AK4509" s="35"/>
      <c r="AL4509" s="35"/>
    </row>
    <row r="4510">
      <c r="A4510" s="40"/>
      <c r="B4510" s="19" t="s">
        <v>19332</v>
      </c>
      <c r="C4510" s="76" t="s">
        <v>21263</v>
      </c>
      <c r="D4510" s="47"/>
      <c r="E4510" s="22" t="s">
        <v>21427</v>
      </c>
      <c r="F4510" s="22" t="s">
        <v>870</v>
      </c>
      <c r="G4510" s="23">
        <v>2017.0</v>
      </c>
      <c r="H4510" s="22" t="s">
        <v>19498</v>
      </c>
      <c r="I4510" s="24" t="s">
        <v>21428</v>
      </c>
      <c r="J4510" s="22" t="s">
        <v>31</v>
      </c>
      <c r="K4510" s="22" t="s">
        <v>21429</v>
      </c>
      <c r="L4510" s="36">
        <v>850.0</v>
      </c>
      <c r="M4510" s="36"/>
      <c r="N4510" s="36" t="s">
        <v>7086</v>
      </c>
      <c r="O4510" s="36"/>
      <c r="P4510" s="37" t="s">
        <v>1307</v>
      </c>
      <c r="Q4510" s="36"/>
      <c r="R4510" s="36"/>
      <c r="S4510" s="36"/>
      <c r="T4510" s="28" t="s">
        <v>21430</v>
      </c>
      <c r="U4510" s="38" t="str">
        <f>HYPERLINK("https://www.ncbi.nlm.nih.gov/pubmed/27238557","PubMed")</f>
        <v>PubMed</v>
      </c>
      <c r="V4510" s="30"/>
      <c r="W4510" s="156"/>
      <c r="X4510" s="49"/>
      <c r="Y4510" s="35"/>
      <c r="Z4510" s="35"/>
      <c r="AA4510" s="35"/>
      <c r="AB4510" s="35"/>
      <c r="AC4510" s="35"/>
      <c r="AD4510" s="35"/>
      <c r="AE4510" s="35"/>
      <c r="AF4510" s="35"/>
      <c r="AG4510" s="35"/>
      <c r="AH4510" s="35"/>
      <c r="AI4510" s="35"/>
      <c r="AJ4510" s="35"/>
      <c r="AK4510" s="35"/>
      <c r="AL4510" s="35"/>
    </row>
    <row r="4511">
      <c r="A4511" s="40"/>
      <c r="B4511" s="19" t="s">
        <v>19332</v>
      </c>
      <c r="C4511" s="76" t="s">
        <v>21263</v>
      </c>
      <c r="D4511" s="47"/>
      <c r="E4511" s="22" t="s">
        <v>1080</v>
      </c>
      <c r="F4511" s="22" t="s">
        <v>299</v>
      </c>
      <c r="G4511" s="23">
        <v>2017.0</v>
      </c>
      <c r="H4511" s="22" t="s">
        <v>2181</v>
      </c>
      <c r="I4511" s="24" t="s">
        <v>21431</v>
      </c>
      <c r="J4511" s="22" t="s">
        <v>31</v>
      </c>
      <c r="K4511" s="22" t="s">
        <v>20411</v>
      </c>
      <c r="L4511" s="36">
        <v>810.0</v>
      </c>
      <c r="M4511" s="36"/>
      <c r="N4511" s="36"/>
      <c r="O4511" s="36"/>
      <c r="P4511" s="37" t="s">
        <v>8905</v>
      </c>
      <c r="Q4511" s="36"/>
      <c r="R4511" s="36"/>
      <c r="S4511" s="36"/>
      <c r="T4511" s="28" t="s">
        <v>21432</v>
      </c>
      <c r="U4511" s="38" t="str">
        <f>HYPERLINK("https://www.ncbi.nlm.nih.gov/pubmed/29162863","PubMed")</f>
        <v>PubMed</v>
      </c>
      <c r="V4511" s="30"/>
      <c r="W4511" s="156"/>
      <c r="X4511" s="49"/>
      <c r="Y4511" s="35"/>
      <c r="Z4511" s="35"/>
      <c r="AA4511" s="35"/>
      <c r="AB4511" s="35"/>
      <c r="AC4511" s="35"/>
      <c r="AD4511" s="35"/>
      <c r="AE4511" s="35"/>
      <c r="AF4511" s="35"/>
      <c r="AG4511" s="35"/>
      <c r="AH4511" s="35"/>
      <c r="AI4511" s="35"/>
      <c r="AJ4511" s="35"/>
      <c r="AK4511" s="35"/>
      <c r="AL4511" s="35"/>
    </row>
    <row r="4512">
      <c r="A4512" s="40"/>
      <c r="B4512" s="75" t="s">
        <v>19332</v>
      </c>
      <c r="C4512" s="76" t="s">
        <v>21263</v>
      </c>
      <c r="D4512" s="47"/>
      <c r="E4512" s="22" t="s">
        <v>16111</v>
      </c>
      <c r="F4512" s="22" t="s">
        <v>400</v>
      </c>
      <c r="G4512" s="23">
        <v>2017.0</v>
      </c>
      <c r="H4512" s="22" t="s">
        <v>555</v>
      </c>
      <c r="I4512" s="24" t="s">
        <v>21433</v>
      </c>
      <c r="J4512" s="22" t="s">
        <v>31</v>
      </c>
      <c r="K4512" s="22" t="s">
        <v>21434</v>
      </c>
      <c r="L4512" s="36" t="s">
        <v>21435</v>
      </c>
      <c r="M4512" s="36"/>
      <c r="N4512" s="36"/>
      <c r="O4512" s="36"/>
      <c r="P4512" s="37"/>
      <c r="Q4512" s="36"/>
      <c r="R4512" s="36"/>
      <c r="S4512" s="36"/>
      <c r="T4512" s="28" t="s">
        <v>21436</v>
      </c>
      <c r="U4512" s="38" t="str">
        <f>HYPERLINK("https://www.ncbi.nlm.nih.gov/pubmed/28841473","PubMed")</f>
        <v>PubMed</v>
      </c>
      <c r="V4512" s="30"/>
      <c r="W4512" s="156"/>
      <c r="X4512" s="49"/>
      <c r="Y4512" s="35"/>
      <c r="Z4512" s="35"/>
      <c r="AA4512" s="35"/>
      <c r="AB4512" s="35"/>
      <c r="AC4512" s="35"/>
      <c r="AD4512" s="35"/>
      <c r="AE4512" s="35"/>
      <c r="AF4512" s="35"/>
      <c r="AG4512" s="35"/>
      <c r="AH4512" s="35"/>
      <c r="AI4512" s="35"/>
      <c r="AJ4512" s="35"/>
      <c r="AK4512" s="35"/>
      <c r="AL4512" s="35"/>
    </row>
    <row r="4513">
      <c r="A4513" s="40"/>
      <c r="B4513" s="19" t="s">
        <v>19332</v>
      </c>
      <c r="C4513" s="76" t="s">
        <v>21263</v>
      </c>
      <c r="D4513" s="47"/>
      <c r="E4513" s="22" t="s">
        <v>21437</v>
      </c>
      <c r="F4513" s="22" t="s">
        <v>308</v>
      </c>
      <c r="G4513" s="23">
        <v>2016.0</v>
      </c>
      <c r="H4513" s="22" t="s">
        <v>837</v>
      </c>
      <c r="I4513" s="24" t="s">
        <v>21438</v>
      </c>
      <c r="J4513" s="22" t="s">
        <v>31</v>
      </c>
      <c r="K4513" s="22" t="s">
        <v>21439</v>
      </c>
      <c r="L4513" s="36">
        <v>630.0</v>
      </c>
      <c r="M4513" s="36"/>
      <c r="N4513" s="36" t="s">
        <v>21440</v>
      </c>
      <c r="O4513" s="36"/>
      <c r="P4513" s="37" t="s">
        <v>21441</v>
      </c>
      <c r="Q4513" s="36"/>
      <c r="R4513" s="36"/>
      <c r="S4513" s="36" t="s">
        <v>21442</v>
      </c>
      <c r="T4513" s="28" t="s">
        <v>21443</v>
      </c>
      <c r="U4513" s="38" t="str">
        <f>HYPERLINK("https://www.ncbi.nlm.nih.gov/pubmed/27652696","PubMed")</f>
        <v>PubMed</v>
      </c>
      <c r="V4513" s="30"/>
      <c r="W4513" s="156"/>
      <c r="X4513" s="49"/>
      <c r="Y4513" s="35"/>
      <c r="Z4513" s="35"/>
      <c r="AA4513" s="35"/>
      <c r="AB4513" s="35"/>
      <c r="AC4513" s="35"/>
      <c r="AD4513" s="35"/>
      <c r="AE4513" s="35"/>
      <c r="AF4513" s="35"/>
      <c r="AG4513" s="35"/>
      <c r="AH4513" s="35"/>
      <c r="AI4513" s="35"/>
      <c r="AJ4513" s="35"/>
      <c r="AK4513" s="35"/>
      <c r="AL4513" s="35"/>
    </row>
    <row r="4514">
      <c r="A4514" s="40"/>
      <c r="B4514" s="19" t="s">
        <v>19332</v>
      </c>
      <c r="C4514" s="76" t="s">
        <v>21263</v>
      </c>
      <c r="D4514" s="47"/>
      <c r="E4514" s="22" t="s">
        <v>21444</v>
      </c>
      <c r="F4514" s="22" t="s">
        <v>308</v>
      </c>
      <c r="G4514" s="23">
        <v>2016.0</v>
      </c>
      <c r="H4514" s="22" t="s">
        <v>91</v>
      </c>
      <c r="I4514" s="24" t="s">
        <v>21445</v>
      </c>
      <c r="J4514" s="22" t="s">
        <v>31</v>
      </c>
      <c r="K4514" s="22" t="s">
        <v>21446</v>
      </c>
      <c r="L4514" s="36">
        <v>455.0</v>
      </c>
      <c r="M4514" s="36"/>
      <c r="N4514" s="36"/>
      <c r="O4514" s="36"/>
      <c r="P4514" s="37" t="s">
        <v>21447</v>
      </c>
      <c r="Q4514" s="36"/>
      <c r="R4514" s="36"/>
      <c r="S4514" s="36"/>
      <c r="T4514" s="41" t="s">
        <v>21448</v>
      </c>
      <c r="U4514" s="38" t="str">
        <f>HYPERLINK("https://www.ncbi.nlm.nih.gov/pubmed/26873499","PubMed")</f>
        <v>PubMed</v>
      </c>
      <c r="V4514" s="30"/>
      <c r="W4514" s="156"/>
      <c r="X4514" s="49"/>
      <c r="Y4514" s="35"/>
      <c r="Z4514" s="35"/>
      <c r="AA4514" s="35"/>
      <c r="AB4514" s="35"/>
      <c r="AC4514" s="35"/>
      <c r="AD4514" s="35"/>
      <c r="AE4514" s="35"/>
      <c r="AF4514" s="35"/>
      <c r="AG4514" s="35"/>
      <c r="AH4514" s="35"/>
      <c r="AI4514" s="35"/>
      <c r="AJ4514" s="35"/>
      <c r="AK4514" s="35"/>
      <c r="AL4514" s="35"/>
    </row>
    <row r="4515">
      <c r="A4515" s="40"/>
      <c r="B4515" s="19" t="s">
        <v>19332</v>
      </c>
      <c r="C4515" s="76" t="s">
        <v>21263</v>
      </c>
      <c r="D4515" s="47"/>
      <c r="E4515" s="22" t="s">
        <v>764</v>
      </c>
      <c r="F4515" s="22" t="s">
        <v>308</v>
      </c>
      <c r="G4515" s="23">
        <v>2016.0</v>
      </c>
      <c r="H4515" s="22" t="s">
        <v>91</v>
      </c>
      <c r="I4515" s="24" t="s">
        <v>21449</v>
      </c>
      <c r="J4515" s="22" t="s">
        <v>31</v>
      </c>
      <c r="K4515" s="22" t="s">
        <v>21446</v>
      </c>
      <c r="L4515" s="36">
        <v>455.0</v>
      </c>
      <c r="M4515" s="36"/>
      <c r="N4515" s="36" t="s">
        <v>211</v>
      </c>
      <c r="O4515" s="36"/>
      <c r="P4515" s="37" t="s">
        <v>1307</v>
      </c>
      <c r="Q4515" s="36"/>
      <c r="R4515" s="36"/>
      <c r="S4515" s="36"/>
      <c r="T4515" s="41" t="s">
        <v>21450</v>
      </c>
      <c r="U4515" s="38" t="str">
        <f>HYPERLINK("https://www.ncbi.nlm.nih.gov/pubmed/26608964","PubMed")</f>
        <v>PubMed</v>
      </c>
      <c r="V4515" s="30"/>
      <c r="W4515" s="156"/>
      <c r="X4515" s="49"/>
      <c r="Y4515" s="35"/>
      <c r="Z4515" s="35"/>
      <c r="AA4515" s="35"/>
      <c r="AB4515" s="35"/>
      <c r="AC4515" s="35"/>
      <c r="AD4515" s="35"/>
      <c r="AE4515" s="35"/>
      <c r="AF4515" s="35"/>
      <c r="AG4515" s="35"/>
      <c r="AH4515" s="35"/>
      <c r="AI4515" s="35"/>
      <c r="AJ4515" s="35"/>
      <c r="AK4515" s="35"/>
      <c r="AL4515" s="35"/>
    </row>
    <row r="4516">
      <c r="A4516" s="40"/>
      <c r="B4516" s="19" t="s">
        <v>19332</v>
      </c>
      <c r="C4516" s="76" t="s">
        <v>21263</v>
      </c>
      <c r="D4516" s="47"/>
      <c r="E4516" s="22" t="s">
        <v>5351</v>
      </c>
      <c r="F4516" s="22" t="s">
        <v>5289</v>
      </c>
      <c r="G4516" s="23">
        <v>2016.0</v>
      </c>
      <c r="H4516" s="22" t="s">
        <v>21451</v>
      </c>
      <c r="I4516" s="24" t="s">
        <v>21452</v>
      </c>
      <c r="J4516" s="22" t="s">
        <v>31</v>
      </c>
      <c r="K4516" s="22" t="s">
        <v>21453</v>
      </c>
      <c r="L4516" s="36">
        <v>980.0</v>
      </c>
      <c r="M4516" s="36"/>
      <c r="N4516" s="36"/>
      <c r="O4516" s="36" t="s">
        <v>15640</v>
      </c>
      <c r="P4516" s="37" t="s">
        <v>21454</v>
      </c>
      <c r="Q4516" s="36"/>
      <c r="R4516" s="36"/>
      <c r="S4516" s="36"/>
      <c r="T4516" s="28" t="s">
        <v>21455</v>
      </c>
      <c r="U4516" s="38" t="str">
        <f>HYPERLINK("https://www.ncbi.nlm.nih.gov/pubmed/27010131","PubMed")</f>
        <v>PubMed</v>
      </c>
      <c r="V4516" s="30"/>
      <c r="W4516" s="156"/>
      <c r="X4516" s="49"/>
      <c r="Y4516" s="35"/>
      <c r="Z4516" s="35"/>
      <c r="AA4516" s="35"/>
      <c r="AB4516" s="35"/>
      <c r="AC4516" s="35"/>
      <c r="AD4516" s="35"/>
      <c r="AE4516" s="35"/>
      <c r="AF4516" s="35"/>
      <c r="AG4516" s="35"/>
      <c r="AH4516" s="35"/>
      <c r="AI4516" s="35"/>
      <c r="AJ4516" s="35"/>
      <c r="AK4516" s="35"/>
      <c r="AL4516" s="35"/>
    </row>
    <row r="4517">
      <c r="A4517" s="40"/>
      <c r="B4517" s="19" t="s">
        <v>19332</v>
      </c>
      <c r="C4517" s="76" t="s">
        <v>21263</v>
      </c>
      <c r="D4517" s="47"/>
      <c r="E4517" s="22" t="s">
        <v>21456</v>
      </c>
      <c r="F4517" s="22" t="s">
        <v>41</v>
      </c>
      <c r="G4517" s="23">
        <v>2016.0</v>
      </c>
      <c r="H4517" s="22" t="s">
        <v>756</v>
      </c>
      <c r="I4517" s="24" t="s">
        <v>21457</v>
      </c>
      <c r="J4517" s="22" t="s">
        <v>31</v>
      </c>
      <c r="K4517" s="22" t="s">
        <v>1112</v>
      </c>
      <c r="L4517" s="36">
        <v>660.0</v>
      </c>
      <c r="M4517" s="36">
        <v>10.0</v>
      </c>
      <c r="N4517" s="36"/>
      <c r="O4517" s="36"/>
      <c r="P4517" s="37" t="s">
        <v>13087</v>
      </c>
      <c r="Q4517" s="36" t="s">
        <v>280</v>
      </c>
      <c r="R4517" s="36"/>
      <c r="S4517" s="36"/>
      <c r="T4517" s="28" t="s">
        <v>21458</v>
      </c>
      <c r="U4517" s="38" t="str">
        <f>HYPERLINK("https://www.ncbi.nlm.nih.gov/pubmed/27253140","PubMed")</f>
        <v>PubMed</v>
      </c>
      <c r="V4517" s="30"/>
      <c r="W4517" s="156"/>
      <c r="X4517" s="49"/>
      <c r="Y4517" s="35"/>
      <c r="Z4517" s="35"/>
      <c r="AA4517" s="35"/>
      <c r="AB4517" s="35"/>
      <c r="AC4517" s="35"/>
      <c r="AD4517" s="35"/>
      <c r="AE4517" s="35"/>
      <c r="AF4517" s="35"/>
      <c r="AG4517" s="35"/>
      <c r="AH4517" s="35"/>
      <c r="AI4517" s="35"/>
      <c r="AJ4517" s="35"/>
      <c r="AK4517" s="35"/>
      <c r="AL4517" s="35"/>
    </row>
    <row r="4518">
      <c r="A4518" s="40"/>
      <c r="B4518" s="19" t="s">
        <v>19332</v>
      </c>
      <c r="C4518" s="76" t="s">
        <v>21263</v>
      </c>
      <c r="D4518" s="47"/>
      <c r="E4518" s="22" t="s">
        <v>714</v>
      </c>
      <c r="F4518" s="22" t="s">
        <v>241</v>
      </c>
      <c r="G4518" s="23">
        <v>2016.0</v>
      </c>
      <c r="H4518" s="22" t="s">
        <v>611</v>
      </c>
      <c r="I4518" s="24" t="s">
        <v>21459</v>
      </c>
      <c r="J4518" s="22" t="s">
        <v>31</v>
      </c>
      <c r="K4518" s="22"/>
      <c r="L4518" s="36"/>
      <c r="M4518" s="36" t="s">
        <v>21460</v>
      </c>
      <c r="N4518" s="36"/>
      <c r="O4518" s="36"/>
      <c r="P4518" s="37" t="s">
        <v>21408</v>
      </c>
      <c r="Q4518" s="36"/>
      <c r="R4518" s="36"/>
      <c r="S4518" s="36"/>
      <c r="T4518" s="41" t="s">
        <v>21461</v>
      </c>
      <c r="U4518" s="38" t="str">
        <f>HYPERLINK("https://www.ncbi.nlm.nih.gov/pubmed/27556203","PubMed")</f>
        <v>PubMed</v>
      </c>
      <c r="V4518" s="30"/>
      <c r="W4518" s="156"/>
      <c r="X4518" s="49"/>
      <c r="Y4518" s="35"/>
      <c r="Z4518" s="35"/>
      <c r="AA4518" s="35"/>
      <c r="AB4518" s="35"/>
      <c r="AC4518" s="35"/>
      <c r="AD4518" s="35"/>
      <c r="AE4518" s="35"/>
      <c r="AF4518" s="35"/>
      <c r="AG4518" s="35"/>
      <c r="AH4518" s="35"/>
      <c r="AI4518" s="35"/>
      <c r="AJ4518" s="35"/>
      <c r="AK4518" s="35"/>
      <c r="AL4518" s="35"/>
    </row>
    <row r="4519">
      <c r="A4519" s="191"/>
      <c r="B4519" s="19" t="s">
        <v>19332</v>
      </c>
      <c r="C4519" s="76" t="s">
        <v>21263</v>
      </c>
      <c r="D4519" s="47"/>
      <c r="E4519" s="22" t="s">
        <v>20997</v>
      </c>
      <c r="F4519" s="22" t="s">
        <v>720</v>
      </c>
      <c r="G4519" s="23">
        <v>2015.0</v>
      </c>
      <c r="H4519" s="22" t="s">
        <v>91</v>
      </c>
      <c r="I4519" s="24" t="s">
        <v>21462</v>
      </c>
      <c r="J4519" s="22" t="s">
        <v>31</v>
      </c>
      <c r="K4519" s="22"/>
      <c r="L4519" s="36">
        <v>660.0</v>
      </c>
      <c r="M4519" s="36">
        <v>30.0</v>
      </c>
      <c r="N4519" s="36"/>
      <c r="O4519" s="36"/>
      <c r="P4519" s="37" t="s">
        <v>5451</v>
      </c>
      <c r="Q4519" s="36"/>
      <c r="R4519" s="36"/>
      <c r="S4519" s="36"/>
      <c r="T4519" s="42" t="s">
        <v>21463</v>
      </c>
      <c r="U4519" s="38" t="str">
        <f>HYPERLINK("https://www.ncbi.nlm.nih.gov/pubmed/26341379","PubMed")</f>
        <v>PubMed</v>
      </c>
      <c r="V4519" s="30"/>
      <c r="W4519" s="156"/>
      <c r="X4519" s="49"/>
      <c r="Y4519" s="35"/>
      <c r="Z4519" s="35"/>
      <c r="AA4519" s="35"/>
      <c r="AB4519" s="35"/>
      <c r="AC4519" s="35"/>
      <c r="AD4519" s="35"/>
      <c r="AE4519" s="35"/>
      <c r="AF4519" s="35"/>
      <c r="AG4519" s="35"/>
      <c r="AH4519" s="35"/>
      <c r="AI4519" s="35"/>
      <c r="AJ4519" s="35"/>
      <c r="AK4519" s="35"/>
      <c r="AL4519" s="35"/>
    </row>
    <row r="4520">
      <c r="A4520" s="191"/>
      <c r="B4520" s="19" t="s">
        <v>19332</v>
      </c>
      <c r="C4520" s="76" t="s">
        <v>21263</v>
      </c>
      <c r="D4520" s="47"/>
      <c r="E4520" s="22" t="s">
        <v>21427</v>
      </c>
      <c r="F4520" s="22" t="s">
        <v>308</v>
      </c>
      <c r="G4520" s="23">
        <v>2015.0</v>
      </c>
      <c r="H4520" s="22" t="s">
        <v>837</v>
      </c>
      <c r="I4520" s="24" t="s">
        <v>21464</v>
      </c>
      <c r="J4520" s="22" t="s">
        <v>31</v>
      </c>
      <c r="K4520" s="22" t="s">
        <v>21465</v>
      </c>
      <c r="L4520" s="36">
        <v>850.0</v>
      </c>
      <c r="M4520" s="36"/>
      <c r="N4520" s="36" t="s">
        <v>3587</v>
      </c>
      <c r="O4520" s="36"/>
      <c r="P4520" s="37" t="s">
        <v>21466</v>
      </c>
      <c r="Q4520" s="36"/>
      <c r="R4520" s="36"/>
      <c r="S4520" s="36"/>
      <c r="T4520" s="28" t="s">
        <v>21467</v>
      </c>
      <c r="U4520" s="38" t="str">
        <f>HYPERLINK("https://www.ncbi.nlm.nih.gov/pubmed/26312982","PubMed")</f>
        <v>PubMed</v>
      </c>
      <c r="V4520" s="30"/>
      <c r="W4520" s="156"/>
      <c r="X4520" s="49"/>
      <c r="Y4520" s="35"/>
      <c r="Z4520" s="35"/>
      <c r="AA4520" s="35"/>
      <c r="AB4520" s="35"/>
      <c r="AC4520" s="35"/>
      <c r="AD4520" s="35"/>
      <c r="AE4520" s="35"/>
      <c r="AF4520" s="35"/>
      <c r="AG4520" s="35"/>
      <c r="AH4520" s="35"/>
      <c r="AI4520" s="35"/>
      <c r="AJ4520" s="35"/>
      <c r="AK4520" s="35"/>
      <c r="AL4520" s="35"/>
    </row>
    <row r="4521">
      <c r="A4521" s="191"/>
      <c r="B4521" s="19" t="s">
        <v>19332</v>
      </c>
      <c r="C4521" s="76" t="s">
        <v>21263</v>
      </c>
      <c r="D4521" s="47"/>
      <c r="E4521" s="22" t="s">
        <v>21427</v>
      </c>
      <c r="F4521" s="22" t="s">
        <v>308</v>
      </c>
      <c r="G4521" s="23">
        <v>2015.0</v>
      </c>
      <c r="H4521" s="22" t="s">
        <v>21468</v>
      </c>
      <c r="I4521" s="24" t="s">
        <v>21469</v>
      </c>
      <c r="J4521" s="22" t="s">
        <v>31</v>
      </c>
      <c r="K4521" s="22" t="s">
        <v>21470</v>
      </c>
      <c r="L4521" s="36" t="s">
        <v>21471</v>
      </c>
      <c r="M4521" s="36"/>
      <c r="N4521" s="36"/>
      <c r="O4521" s="36" t="s">
        <v>21472</v>
      </c>
      <c r="P4521" s="37"/>
      <c r="Q4521" s="36"/>
      <c r="R4521" s="36"/>
      <c r="S4521" s="36"/>
      <c r="T4521" s="42" t="s">
        <v>21473</v>
      </c>
      <c r="U4521" s="38" t="str">
        <f>HYPERLINK("https://www.ncbi.nlm.nih.gov/pubmed/25136901","PubMed")</f>
        <v>PubMed</v>
      </c>
      <c r="V4521" s="30"/>
      <c r="W4521" s="156"/>
      <c r="X4521" s="49"/>
      <c r="Y4521" s="35"/>
      <c r="Z4521" s="35"/>
      <c r="AA4521" s="35"/>
      <c r="AB4521" s="35"/>
      <c r="AC4521" s="35"/>
      <c r="AD4521" s="35"/>
      <c r="AE4521" s="35"/>
      <c r="AF4521" s="35"/>
      <c r="AG4521" s="35"/>
      <c r="AH4521" s="35"/>
      <c r="AI4521" s="35"/>
      <c r="AJ4521" s="35"/>
      <c r="AK4521" s="35"/>
      <c r="AL4521" s="35"/>
    </row>
    <row r="4522">
      <c r="A4522" s="18" t="s">
        <v>2</v>
      </c>
      <c r="B4522" s="19" t="s">
        <v>19332</v>
      </c>
      <c r="C4522" s="76" t="s">
        <v>21263</v>
      </c>
      <c r="D4522" s="47"/>
      <c r="E4522" s="22" t="s">
        <v>21427</v>
      </c>
      <c r="F4522" s="22" t="s">
        <v>308</v>
      </c>
      <c r="G4522" s="23">
        <v>2014.0</v>
      </c>
      <c r="H4522" s="22" t="s">
        <v>20582</v>
      </c>
      <c r="I4522" s="24" t="s">
        <v>21474</v>
      </c>
      <c r="J4522" s="22" t="s">
        <v>31</v>
      </c>
      <c r="K4522" s="22" t="s">
        <v>21475</v>
      </c>
      <c r="L4522" s="36">
        <v>850.0</v>
      </c>
      <c r="M4522" s="36"/>
      <c r="N4522" s="36"/>
      <c r="O4522" s="36"/>
      <c r="P4522" s="37" t="s">
        <v>1307</v>
      </c>
      <c r="Q4522" s="36"/>
      <c r="R4522" s="36"/>
      <c r="S4522" s="36"/>
      <c r="T4522" s="28" t="s">
        <v>21476</v>
      </c>
      <c r="U4522" s="38" t="str">
        <f>HYPERLINK("https://www.ncbi.nlm.nih.gov/pubmed/25064041","PubMed")</f>
        <v>PubMed</v>
      </c>
      <c r="V4522" s="30"/>
      <c r="W4522" s="156"/>
      <c r="X4522" s="49"/>
      <c r="Y4522" s="35"/>
      <c r="Z4522" s="35"/>
      <c r="AA4522" s="35"/>
      <c r="AB4522" s="35"/>
      <c r="AC4522" s="35"/>
      <c r="AD4522" s="35"/>
      <c r="AE4522" s="35"/>
      <c r="AF4522" s="35"/>
      <c r="AG4522" s="35"/>
      <c r="AH4522" s="35"/>
      <c r="AI4522" s="35"/>
      <c r="AJ4522" s="35"/>
      <c r="AK4522" s="35"/>
      <c r="AL4522" s="35"/>
    </row>
    <row r="4523">
      <c r="A4523" s="191"/>
      <c r="B4523" s="19" t="s">
        <v>19332</v>
      </c>
      <c r="C4523" s="76" t="s">
        <v>21263</v>
      </c>
      <c r="D4523" s="47"/>
      <c r="E4523" s="22" t="s">
        <v>21477</v>
      </c>
      <c r="F4523" s="22" t="s">
        <v>308</v>
      </c>
      <c r="G4523" s="23">
        <v>2014.0</v>
      </c>
      <c r="H4523" s="22" t="s">
        <v>19498</v>
      </c>
      <c r="I4523" s="24" t="s">
        <v>21478</v>
      </c>
      <c r="J4523" s="22" t="s">
        <v>31</v>
      </c>
      <c r="K4523" s="22"/>
      <c r="L4523" s="36">
        <v>855.0</v>
      </c>
      <c r="M4523" s="36"/>
      <c r="N4523" s="36"/>
      <c r="O4523" s="36"/>
      <c r="P4523" s="37" t="s">
        <v>21466</v>
      </c>
      <c r="Q4523" s="36"/>
      <c r="R4523" s="36"/>
      <c r="S4523" s="36"/>
      <c r="T4523" s="28" t="s">
        <v>21479</v>
      </c>
      <c r="U4523" s="38" t="str">
        <f>HYPERLINK("https://www.ncbi.nlm.nih.gov/pubmed/24215116","PubMed")</f>
        <v>PubMed</v>
      </c>
      <c r="V4523" s="30"/>
      <c r="W4523" s="156"/>
      <c r="X4523" s="49"/>
      <c r="Y4523" s="35"/>
      <c r="Z4523" s="35"/>
      <c r="AA4523" s="35"/>
      <c r="AB4523" s="35"/>
      <c r="AC4523" s="35"/>
      <c r="AD4523" s="35"/>
      <c r="AE4523" s="35"/>
      <c r="AF4523" s="35"/>
      <c r="AG4523" s="35"/>
      <c r="AH4523" s="35"/>
      <c r="AI4523" s="35"/>
      <c r="AJ4523" s="35"/>
      <c r="AK4523" s="35"/>
      <c r="AL4523" s="35"/>
    </row>
    <row r="4524">
      <c r="A4524" s="1"/>
      <c r="B4524" s="19" t="s">
        <v>19332</v>
      </c>
      <c r="C4524" s="76" t="s">
        <v>21263</v>
      </c>
      <c r="D4524" s="47"/>
      <c r="E4524" s="22" t="s">
        <v>1101</v>
      </c>
      <c r="F4524" s="22" t="s">
        <v>358</v>
      </c>
      <c r="G4524" s="23">
        <v>2012.0</v>
      </c>
      <c r="H4524" s="22" t="s">
        <v>658</v>
      </c>
      <c r="I4524" s="24" t="s">
        <v>21480</v>
      </c>
      <c r="J4524" s="22" t="s">
        <v>31</v>
      </c>
      <c r="K4524" s="22" t="s">
        <v>1848</v>
      </c>
      <c r="L4524" s="36">
        <v>830.0</v>
      </c>
      <c r="M4524" s="36"/>
      <c r="N4524" s="36"/>
      <c r="O4524" s="36"/>
      <c r="P4524" s="37" t="s">
        <v>21481</v>
      </c>
      <c r="Q4524" s="36"/>
      <c r="R4524" s="36"/>
      <c r="S4524" s="36"/>
      <c r="T4524" s="42" t="s">
        <v>21482</v>
      </c>
      <c r="U4524" s="38" t="str">
        <f>HYPERLINK("https://www.ncbi.nlm.nih.gov/pubmed/22375953","PubMed")</f>
        <v>PubMed</v>
      </c>
      <c r="V4524" s="30"/>
      <c r="W4524" s="156"/>
      <c r="X4524" s="49"/>
      <c r="Y4524" s="35"/>
      <c r="Z4524" s="35"/>
      <c r="AA4524" s="35"/>
      <c r="AB4524" s="35"/>
      <c r="AC4524" s="35"/>
      <c r="AD4524" s="35"/>
      <c r="AE4524" s="35"/>
      <c r="AF4524" s="35"/>
      <c r="AG4524" s="35"/>
      <c r="AH4524" s="35"/>
      <c r="AI4524" s="35"/>
      <c r="AJ4524" s="35"/>
      <c r="AK4524" s="35"/>
      <c r="AL4524" s="35"/>
    </row>
    <row r="4525">
      <c r="A4525" s="1" t="s">
        <v>2</v>
      </c>
      <c r="B4525" s="19" t="s">
        <v>19332</v>
      </c>
      <c r="C4525" s="76" t="s">
        <v>21263</v>
      </c>
      <c r="D4525" s="47"/>
      <c r="E4525" s="22" t="s">
        <v>21483</v>
      </c>
      <c r="F4525" s="22" t="s">
        <v>2808</v>
      </c>
      <c r="G4525" s="23">
        <v>2012.0</v>
      </c>
      <c r="H4525" s="22" t="s">
        <v>15324</v>
      </c>
      <c r="I4525" s="24" t="s">
        <v>21484</v>
      </c>
      <c r="J4525" s="22" t="s">
        <v>31</v>
      </c>
      <c r="K4525" s="22"/>
      <c r="L4525" s="36">
        <v>633.0</v>
      </c>
      <c r="M4525" s="36"/>
      <c r="N4525" s="36"/>
      <c r="O4525" s="36"/>
      <c r="P4525" s="37" t="s">
        <v>21485</v>
      </c>
      <c r="Q4525" s="36"/>
      <c r="R4525" s="36" t="s">
        <v>21486</v>
      </c>
      <c r="S4525" s="36"/>
      <c r="T4525" s="28" t="s">
        <v>21487</v>
      </c>
      <c r="U4525" s="38" t="str">
        <f>HYPERLINK("https://www.ncbi.nlm.nih.gov/pubmed/22879579","PubMed")</f>
        <v>PubMed</v>
      </c>
      <c r="V4525" s="30"/>
      <c r="W4525" s="156"/>
      <c r="X4525" s="49"/>
      <c r="Y4525" s="35"/>
      <c r="Z4525" s="35"/>
      <c r="AA4525" s="35"/>
      <c r="AB4525" s="35"/>
      <c r="AC4525" s="35"/>
      <c r="AD4525" s="35"/>
      <c r="AE4525" s="35"/>
      <c r="AF4525" s="35"/>
      <c r="AG4525" s="35"/>
      <c r="AH4525" s="35"/>
      <c r="AI4525" s="35"/>
      <c r="AJ4525" s="35"/>
      <c r="AK4525" s="35"/>
      <c r="AL4525" s="35"/>
    </row>
    <row r="4526">
      <c r="A4526" s="191" t="s">
        <v>181</v>
      </c>
      <c r="B4526" s="19" t="s">
        <v>19332</v>
      </c>
      <c r="C4526" s="76" t="s">
        <v>21263</v>
      </c>
      <c r="D4526" s="47"/>
      <c r="E4526" s="22" t="s">
        <v>21488</v>
      </c>
      <c r="F4526" s="22" t="s">
        <v>1714</v>
      </c>
      <c r="G4526" s="23">
        <v>2009.0</v>
      </c>
      <c r="H4526" s="22" t="s">
        <v>21009</v>
      </c>
      <c r="I4526" s="24" t="s">
        <v>21489</v>
      </c>
      <c r="J4526" s="22" t="s">
        <v>31</v>
      </c>
      <c r="K4526" s="22"/>
      <c r="L4526" s="36"/>
      <c r="M4526" s="36"/>
      <c r="N4526" s="36"/>
      <c r="O4526" s="36"/>
      <c r="P4526" s="37"/>
      <c r="Q4526" s="36"/>
      <c r="R4526" s="36"/>
      <c r="S4526" s="36"/>
      <c r="T4526" s="28" t="s">
        <v>21490</v>
      </c>
      <c r="U4526" s="38" t="str">
        <f>HYPERLINK("https://www.ncbi.nlm.nih.gov/pubmed/19249598","PubMed")</f>
        <v>PubMed</v>
      </c>
      <c r="V4526" s="30"/>
      <c r="W4526" s="156"/>
      <c r="X4526" s="49"/>
      <c r="Y4526" s="35"/>
      <c r="Z4526" s="35"/>
      <c r="AA4526" s="35"/>
      <c r="AB4526" s="35"/>
      <c r="AC4526" s="35"/>
      <c r="AD4526" s="35"/>
      <c r="AE4526" s="35"/>
      <c r="AF4526" s="35"/>
      <c r="AG4526" s="35"/>
      <c r="AH4526" s="35"/>
      <c r="AI4526" s="35"/>
      <c r="AJ4526" s="35"/>
      <c r="AK4526" s="35"/>
      <c r="AL4526" s="35"/>
    </row>
    <row r="4527">
      <c r="A4527" s="191"/>
      <c r="B4527" s="19" t="s">
        <v>19332</v>
      </c>
      <c r="C4527" s="76" t="s">
        <v>21263</v>
      </c>
      <c r="D4527" s="47"/>
      <c r="E4527" s="22" t="s">
        <v>21491</v>
      </c>
      <c r="F4527" s="22" t="s">
        <v>1822</v>
      </c>
      <c r="G4527" s="23">
        <v>2008.0</v>
      </c>
      <c r="H4527" s="22" t="s">
        <v>1417</v>
      </c>
      <c r="I4527" s="24" t="s">
        <v>21492</v>
      </c>
      <c r="J4527" s="22" t="s">
        <v>31</v>
      </c>
      <c r="K4527" s="22"/>
      <c r="L4527" s="36">
        <v>810.0</v>
      </c>
      <c r="M4527" s="36"/>
      <c r="N4527" s="36"/>
      <c r="O4527" s="36"/>
      <c r="P4527" s="37"/>
      <c r="Q4527" s="36"/>
      <c r="R4527" s="36">
        <v>500.0</v>
      </c>
      <c r="S4527" s="36"/>
      <c r="T4527" s="28" t="s">
        <v>21493</v>
      </c>
      <c r="U4527" s="29" t="s">
        <v>61</v>
      </c>
      <c r="V4527" s="30"/>
      <c r="W4527" s="156"/>
      <c r="X4527" s="49"/>
      <c r="Y4527" s="35"/>
      <c r="Z4527" s="35"/>
      <c r="AA4527" s="35"/>
      <c r="AB4527" s="35"/>
      <c r="AC4527" s="35"/>
      <c r="AD4527" s="35"/>
      <c r="AE4527" s="35"/>
      <c r="AF4527" s="35"/>
      <c r="AG4527" s="35"/>
      <c r="AH4527" s="35"/>
      <c r="AI4527" s="35"/>
      <c r="AJ4527" s="35"/>
      <c r="AK4527" s="35"/>
      <c r="AL4527" s="35"/>
    </row>
    <row r="4528">
      <c r="A4528" s="191"/>
      <c r="B4528" s="19" t="s">
        <v>19332</v>
      </c>
      <c r="C4528" s="76" t="s">
        <v>21263</v>
      </c>
      <c r="D4528" s="47"/>
      <c r="E4528" s="22" t="s">
        <v>21494</v>
      </c>
      <c r="F4528" s="22" t="s">
        <v>1398</v>
      </c>
      <c r="G4528" s="23">
        <v>2006.0</v>
      </c>
      <c r="H4528" s="22" t="s">
        <v>19498</v>
      </c>
      <c r="I4528" s="24" t="s">
        <v>21495</v>
      </c>
      <c r="J4528" s="22" t="s">
        <v>31</v>
      </c>
      <c r="K4528" s="22"/>
      <c r="L4528" s="36" t="s">
        <v>3149</v>
      </c>
      <c r="M4528" s="36"/>
      <c r="N4528" s="36"/>
      <c r="O4528" s="36"/>
      <c r="P4528" s="37"/>
      <c r="Q4528" s="36"/>
      <c r="R4528" s="36"/>
      <c r="S4528" s="36"/>
      <c r="T4528" s="28" t="s">
        <v>21496</v>
      </c>
      <c r="U4528" s="29" t="s">
        <v>61</v>
      </c>
      <c r="V4528" s="30"/>
      <c r="W4528" s="156"/>
      <c r="X4528" s="49"/>
      <c r="Y4528" s="35"/>
      <c r="Z4528" s="35"/>
      <c r="AA4528" s="35"/>
      <c r="AB4528" s="35"/>
      <c r="AC4528" s="35"/>
      <c r="AD4528" s="35"/>
      <c r="AE4528" s="35"/>
      <c r="AF4528" s="35"/>
      <c r="AG4528" s="35"/>
      <c r="AH4528" s="35"/>
      <c r="AI4528" s="35"/>
      <c r="AJ4528" s="35"/>
      <c r="AK4528" s="35"/>
      <c r="AL4528" s="35"/>
    </row>
    <row r="4529">
      <c r="A4529" s="191"/>
      <c r="B4529" s="19" t="s">
        <v>19332</v>
      </c>
      <c r="C4529" s="76" t="s">
        <v>21263</v>
      </c>
      <c r="D4529" s="47"/>
      <c r="E4529" s="22" t="s">
        <v>21497</v>
      </c>
      <c r="F4529" s="22" t="s">
        <v>1822</v>
      </c>
      <c r="G4529" s="23">
        <v>1999.0</v>
      </c>
      <c r="H4529" s="22" t="s">
        <v>21009</v>
      </c>
      <c r="I4529" s="24" t="s">
        <v>21498</v>
      </c>
      <c r="J4529" s="22" t="s">
        <v>31</v>
      </c>
      <c r="K4529" s="22"/>
      <c r="L4529" s="36">
        <v>830.0</v>
      </c>
      <c r="M4529" s="36">
        <v>600.0</v>
      </c>
      <c r="N4529" s="36"/>
      <c r="O4529" s="36"/>
      <c r="P4529" s="37" t="s">
        <v>1400</v>
      </c>
      <c r="Q4529" s="36"/>
      <c r="R4529" s="36">
        <v>600.0</v>
      </c>
      <c r="S4529" s="36"/>
      <c r="T4529" s="28" t="s">
        <v>21499</v>
      </c>
      <c r="U4529" s="38" t="str">
        <f>HYPERLINK("https://www.ncbi.nlm.nih.gov/pubmed/10196840","PubMed")</f>
        <v>PubMed</v>
      </c>
      <c r="V4529" s="30"/>
      <c r="W4529" s="156"/>
      <c r="X4529" s="49"/>
      <c r="Y4529" s="35"/>
      <c r="Z4529" s="35"/>
      <c r="AA4529" s="35"/>
      <c r="AB4529" s="35"/>
      <c r="AC4529" s="35"/>
      <c r="AD4529" s="35"/>
      <c r="AE4529" s="35"/>
      <c r="AF4529" s="35"/>
      <c r="AG4529" s="35"/>
      <c r="AH4529" s="35"/>
      <c r="AI4529" s="35"/>
      <c r="AJ4529" s="35"/>
      <c r="AK4529" s="35"/>
      <c r="AL4529" s="35"/>
    </row>
    <row r="4530">
      <c r="A4530" s="18"/>
      <c r="B4530" s="19" t="s">
        <v>19332</v>
      </c>
      <c r="C4530" s="20" t="s">
        <v>21500</v>
      </c>
      <c r="D4530" s="47"/>
      <c r="E4530" s="22" t="s">
        <v>20970</v>
      </c>
      <c r="F4530" s="22" t="s">
        <v>2635</v>
      </c>
      <c r="G4530" s="23">
        <v>2020.0</v>
      </c>
      <c r="H4530" s="22" t="s">
        <v>3292</v>
      </c>
      <c r="I4530" s="24" t="s">
        <v>21501</v>
      </c>
      <c r="J4530" s="22" t="s">
        <v>21502</v>
      </c>
      <c r="K4530" s="22"/>
      <c r="L4530" s="36">
        <v>645.0</v>
      </c>
      <c r="M4530" s="36">
        <v>250.0</v>
      </c>
      <c r="N4530" s="36"/>
      <c r="O4530" s="36">
        <v>4.0</v>
      </c>
      <c r="P4530" s="37"/>
      <c r="Q4530" s="36" t="s">
        <v>433</v>
      </c>
      <c r="R4530" s="36"/>
      <c r="S4530" s="36" t="s">
        <v>6403</v>
      </c>
      <c r="T4530" s="28" t="s">
        <v>21503</v>
      </c>
      <c r="U4530" s="38" t="str">
        <f>HYPERLINK("https://www.ncbi.nlm.nih.gov/pubmed/32176390","PubMed")</f>
        <v>PubMed</v>
      </c>
      <c r="V4530" s="30"/>
      <c r="W4530" s="156"/>
      <c r="X4530" s="49"/>
      <c r="Y4530" s="35"/>
      <c r="Z4530" s="35"/>
      <c r="AA4530" s="35"/>
      <c r="AB4530" s="35"/>
      <c r="AC4530" s="35"/>
      <c r="AD4530" s="35"/>
      <c r="AE4530" s="35"/>
      <c r="AF4530" s="35"/>
      <c r="AG4530" s="35"/>
      <c r="AH4530" s="35"/>
      <c r="AI4530" s="35"/>
      <c r="AJ4530" s="35"/>
      <c r="AK4530" s="35"/>
      <c r="AL4530" s="35"/>
    </row>
    <row r="4531">
      <c r="A4531" s="18" t="s">
        <v>38</v>
      </c>
      <c r="B4531" s="19" t="s">
        <v>19332</v>
      </c>
      <c r="C4531" s="20" t="s">
        <v>21504</v>
      </c>
      <c r="D4531" s="47"/>
      <c r="E4531" s="22" t="s">
        <v>21505</v>
      </c>
      <c r="F4531" s="22" t="s">
        <v>21506</v>
      </c>
      <c r="G4531" s="23">
        <v>2017.0</v>
      </c>
      <c r="H4531" s="22" t="s">
        <v>21507</v>
      </c>
      <c r="I4531" s="24" t="s">
        <v>21508</v>
      </c>
      <c r="J4531" s="22" t="s">
        <v>21509</v>
      </c>
      <c r="K4531" s="22"/>
      <c r="L4531" s="36">
        <v>940.0</v>
      </c>
      <c r="M4531" s="36">
        <v>500.0</v>
      </c>
      <c r="N4531" s="36"/>
      <c r="O4531" s="36">
        <v>4.0</v>
      </c>
      <c r="P4531" s="37"/>
      <c r="Q4531" s="36"/>
      <c r="R4531" s="36"/>
      <c r="S4531" s="36"/>
      <c r="T4531" s="28" t="s">
        <v>21510</v>
      </c>
      <c r="U4531" s="38" t="str">
        <f>HYPERLINK("https://www.ncbi.nlm.nih.gov/pubmed/29078966","PubMed")</f>
        <v>PubMed</v>
      </c>
      <c r="V4531" s="30"/>
      <c r="W4531" s="156"/>
      <c r="X4531" s="49"/>
      <c r="Y4531" s="35"/>
      <c r="Z4531" s="35"/>
      <c r="AA4531" s="35"/>
      <c r="AB4531" s="35"/>
      <c r="AC4531" s="35"/>
      <c r="AD4531" s="35"/>
      <c r="AE4531" s="35"/>
      <c r="AF4531" s="35"/>
      <c r="AG4531" s="35"/>
      <c r="AH4531" s="35"/>
      <c r="AI4531" s="35"/>
      <c r="AJ4531" s="35"/>
      <c r="AK4531" s="35"/>
      <c r="AL4531" s="35"/>
    </row>
    <row r="4532">
      <c r="A4532" s="18"/>
      <c r="B4532" s="19" t="s">
        <v>19332</v>
      </c>
      <c r="C4532" s="20" t="s">
        <v>21511</v>
      </c>
      <c r="D4532" s="47"/>
      <c r="E4532" s="22" t="s">
        <v>21512</v>
      </c>
      <c r="F4532" s="22" t="s">
        <v>11479</v>
      </c>
      <c r="G4532" s="23">
        <v>2020.0</v>
      </c>
      <c r="H4532" s="22" t="s">
        <v>1204</v>
      </c>
      <c r="I4532" s="24" t="s">
        <v>21513</v>
      </c>
      <c r="J4532" s="22" t="s">
        <v>21514</v>
      </c>
      <c r="K4532" s="22"/>
      <c r="L4532" s="36">
        <v>660.0</v>
      </c>
      <c r="M4532" s="36">
        <v>25.0</v>
      </c>
      <c r="N4532" s="36" t="s">
        <v>58</v>
      </c>
      <c r="O4532" s="37" t="s">
        <v>58</v>
      </c>
      <c r="P4532" s="37" t="s">
        <v>58</v>
      </c>
      <c r="Q4532" s="36" t="s">
        <v>58</v>
      </c>
      <c r="R4532" s="36">
        <v>120.0</v>
      </c>
      <c r="S4532" s="36">
        <v>1.0</v>
      </c>
      <c r="T4532" s="28" t="s">
        <v>21515</v>
      </c>
      <c r="U4532" s="29" t="s">
        <v>61</v>
      </c>
      <c r="V4532" s="30"/>
      <c r="W4532" s="156"/>
      <c r="X4532" s="49"/>
      <c r="Y4532" s="35"/>
      <c r="Z4532" s="35"/>
      <c r="AA4532" s="35"/>
      <c r="AB4532" s="35"/>
      <c r="AC4532" s="35"/>
      <c r="AD4532" s="35"/>
      <c r="AE4532" s="35"/>
      <c r="AF4532" s="35"/>
      <c r="AG4532" s="35"/>
      <c r="AH4532" s="35"/>
      <c r="AI4532" s="35"/>
      <c r="AJ4532" s="35"/>
      <c r="AK4532" s="35"/>
      <c r="AL4532" s="35"/>
    </row>
    <row r="4533">
      <c r="A4533" s="18"/>
      <c r="B4533" s="19" t="s">
        <v>19332</v>
      </c>
      <c r="C4533" s="20" t="s">
        <v>21516</v>
      </c>
      <c r="D4533" s="47"/>
      <c r="E4533" s="22" t="s">
        <v>21517</v>
      </c>
      <c r="F4533" s="22" t="s">
        <v>8147</v>
      </c>
      <c r="G4533" s="23">
        <v>2021.0</v>
      </c>
      <c r="H4533" s="22" t="s">
        <v>91</v>
      </c>
      <c r="I4533" s="24" t="s">
        <v>21518</v>
      </c>
      <c r="J4533" s="22" t="s">
        <v>21519</v>
      </c>
      <c r="K4533" s="22"/>
      <c r="L4533" s="36">
        <v>660.0</v>
      </c>
      <c r="M4533" s="36"/>
      <c r="N4533" s="36"/>
      <c r="O4533" s="37"/>
      <c r="P4533" s="37" t="s">
        <v>21520</v>
      </c>
      <c r="Q4533" s="36" t="s">
        <v>21521</v>
      </c>
      <c r="R4533" s="36" t="s">
        <v>21522</v>
      </c>
      <c r="S4533" s="36" t="s">
        <v>7773</v>
      </c>
      <c r="T4533" s="42" t="s">
        <v>21523</v>
      </c>
      <c r="U4533" s="29" t="s">
        <v>61</v>
      </c>
      <c r="V4533" s="30"/>
      <c r="W4533" s="156"/>
      <c r="X4533" s="49"/>
      <c r="Y4533" s="35"/>
      <c r="Z4533" s="35"/>
      <c r="AA4533" s="35"/>
      <c r="AB4533" s="35"/>
      <c r="AC4533" s="35"/>
      <c r="AD4533" s="35"/>
      <c r="AE4533" s="35"/>
      <c r="AF4533" s="35"/>
      <c r="AG4533" s="35"/>
      <c r="AH4533" s="35"/>
      <c r="AI4533" s="35"/>
      <c r="AJ4533" s="35"/>
      <c r="AK4533" s="35"/>
      <c r="AL4533" s="35"/>
    </row>
    <row r="4534">
      <c r="A4534" s="18" t="s">
        <v>38</v>
      </c>
      <c r="B4534" s="19" t="s">
        <v>19332</v>
      </c>
      <c r="C4534" s="20" t="s">
        <v>21524</v>
      </c>
      <c r="D4534" s="47"/>
      <c r="E4534" s="22" t="s">
        <v>21525</v>
      </c>
      <c r="F4534" s="22" t="s">
        <v>41</v>
      </c>
      <c r="G4534" s="23">
        <v>2017.0</v>
      </c>
      <c r="H4534" s="22" t="s">
        <v>1485</v>
      </c>
      <c r="I4534" s="24" t="s">
        <v>21526</v>
      </c>
      <c r="J4534" s="22" t="s">
        <v>21527</v>
      </c>
      <c r="K4534" s="22" t="s">
        <v>21528</v>
      </c>
      <c r="L4534" s="36">
        <v>660.0</v>
      </c>
      <c r="M4534" s="36">
        <v>40.0</v>
      </c>
      <c r="N4534" s="36"/>
      <c r="O4534" s="37" t="s">
        <v>21529</v>
      </c>
      <c r="P4534" s="37" t="s">
        <v>7604</v>
      </c>
      <c r="Q4534" s="36" t="s">
        <v>830</v>
      </c>
      <c r="R4534" s="36" t="s">
        <v>13379</v>
      </c>
      <c r="S4534" s="36"/>
      <c r="T4534" s="28" t="s">
        <v>21530</v>
      </c>
      <c r="U4534" s="38" t="str">
        <f>HYPERLINK("https://www.ncbi.nlm.nih.gov/pubmed/29107824","PubMed")</f>
        <v>PubMed</v>
      </c>
      <c r="V4534" s="30"/>
      <c r="W4534" s="156"/>
      <c r="X4534" s="49"/>
      <c r="Y4534" s="35"/>
      <c r="Z4534" s="35"/>
      <c r="AA4534" s="35"/>
      <c r="AB4534" s="35"/>
      <c r="AC4534" s="35"/>
      <c r="AD4534" s="35"/>
      <c r="AE4534" s="35"/>
      <c r="AF4534" s="35"/>
      <c r="AG4534" s="35"/>
      <c r="AH4534" s="35"/>
      <c r="AI4534" s="35"/>
      <c r="AJ4534" s="35"/>
      <c r="AK4534" s="35"/>
      <c r="AL4534" s="35"/>
    </row>
    <row r="4535">
      <c r="A4535" s="18"/>
      <c r="B4535" s="19" t="s">
        <v>19332</v>
      </c>
      <c r="C4535" s="20" t="s">
        <v>21531</v>
      </c>
      <c r="D4535" s="47"/>
      <c r="E4535" s="22" t="s">
        <v>216</v>
      </c>
      <c r="F4535" s="22" t="s">
        <v>4491</v>
      </c>
      <c r="G4535" s="23">
        <v>2024.0</v>
      </c>
      <c r="H4535" s="22" t="s">
        <v>77</v>
      </c>
      <c r="I4535" s="24" t="s">
        <v>21532</v>
      </c>
      <c r="J4535" s="22" t="s">
        <v>125</v>
      </c>
      <c r="K4535" s="22"/>
      <c r="L4535" s="132" t="s">
        <v>21533</v>
      </c>
      <c r="U4535" s="38" t="s">
        <v>61</v>
      </c>
      <c r="V4535" s="30"/>
      <c r="W4535" s="156"/>
      <c r="X4535" s="49"/>
      <c r="Y4535" s="35"/>
      <c r="Z4535" s="35"/>
      <c r="AA4535" s="35"/>
      <c r="AB4535" s="35"/>
      <c r="AC4535" s="35"/>
      <c r="AD4535" s="35"/>
      <c r="AE4535" s="35"/>
      <c r="AF4535" s="35"/>
      <c r="AG4535" s="35"/>
      <c r="AH4535" s="35"/>
      <c r="AI4535" s="35"/>
      <c r="AJ4535" s="35"/>
      <c r="AK4535" s="35"/>
      <c r="AL4535" s="35"/>
    </row>
    <row r="4536">
      <c r="A4536" s="18"/>
      <c r="B4536" s="19" t="s">
        <v>19332</v>
      </c>
      <c r="C4536" s="20" t="s">
        <v>21531</v>
      </c>
      <c r="D4536" s="47"/>
      <c r="E4536" s="22" t="s">
        <v>19856</v>
      </c>
      <c r="F4536" s="22" t="s">
        <v>5312</v>
      </c>
      <c r="G4536" s="23">
        <v>2021.0</v>
      </c>
      <c r="H4536" s="22" t="s">
        <v>8177</v>
      </c>
      <c r="I4536" s="24" t="s">
        <v>21534</v>
      </c>
      <c r="J4536" s="22" t="s">
        <v>21535</v>
      </c>
      <c r="K4536" s="22"/>
      <c r="L4536" s="36">
        <v>940.0</v>
      </c>
      <c r="M4536" s="36">
        <v>700.0</v>
      </c>
      <c r="N4536" s="36" t="s">
        <v>21536</v>
      </c>
      <c r="O4536" s="36"/>
      <c r="P4536" s="37"/>
      <c r="Q4536" s="36" t="s">
        <v>21537</v>
      </c>
      <c r="R4536" s="36" t="s">
        <v>21538</v>
      </c>
      <c r="S4536" s="36" t="s">
        <v>21539</v>
      </c>
      <c r="T4536" s="28" t="s">
        <v>21540</v>
      </c>
      <c r="U4536" s="29" t="s">
        <v>61</v>
      </c>
      <c r="V4536" s="30"/>
      <c r="W4536" s="156"/>
      <c r="X4536" s="49"/>
      <c r="Y4536" s="35"/>
      <c r="Z4536" s="35"/>
      <c r="AA4536" s="35"/>
      <c r="AB4536" s="35"/>
      <c r="AC4536" s="35"/>
      <c r="AD4536" s="35"/>
      <c r="AE4536" s="35"/>
      <c r="AF4536" s="35"/>
      <c r="AG4536" s="35"/>
      <c r="AH4536" s="35"/>
      <c r="AI4536" s="35"/>
      <c r="AJ4536" s="35"/>
      <c r="AK4536" s="35"/>
      <c r="AL4536" s="35"/>
    </row>
    <row r="4537">
      <c r="A4537" s="18"/>
      <c r="B4537" s="19" t="s">
        <v>19332</v>
      </c>
      <c r="C4537" s="20" t="s">
        <v>21531</v>
      </c>
      <c r="D4537" s="47"/>
      <c r="E4537" s="22" t="s">
        <v>17063</v>
      </c>
      <c r="F4537" s="22" t="s">
        <v>993</v>
      </c>
      <c r="G4537" s="23">
        <v>2020.0</v>
      </c>
      <c r="H4537" s="22" t="s">
        <v>77</v>
      </c>
      <c r="I4537" s="24" t="s">
        <v>21541</v>
      </c>
      <c r="J4537" s="22" t="s">
        <v>21542</v>
      </c>
      <c r="K4537" s="22"/>
      <c r="L4537" s="36">
        <v>660.0</v>
      </c>
      <c r="M4537" s="36">
        <v>100.0</v>
      </c>
      <c r="N4537" s="36"/>
      <c r="O4537" s="36">
        <v>2.0</v>
      </c>
      <c r="P4537" s="37" t="s">
        <v>21170</v>
      </c>
      <c r="Q4537" s="36" t="s">
        <v>280</v>
      </c>
      <c r="R4537" s="36" t="s">
        <v>21543</v>
      </c>
      <c r="S4537" s="36" t="s">
        <v>3125</v>
      </c>
      <c r="T4537" s="28" t="s">
        <v>21544</v>
      </c>
      <c r="U4537" s="29" t="s">
        <v>61</v>
      </c>
      <c r="V4537" s="30"/>
      <c r="W4537" s="156"/>
      <c r="X4537" s="49"/>
      <c r="Y4537" s="35"/>
      <c r="Z4537" s="35"/>
      <c r="AA4537" s="35"/>
      <c r="AB4537" s="35"/>
      <c r="AC4537" s="35"/>
      <c r="AD4537" s="35"/>
      <c r="AE4537" s="35"/>
      <c r="AF4537" s="35"/>
      <c r="AG4537" s="35"/>
      <c r="AH4537" s="35"/>
      <c r="AI4537" s="35"/>
      <c r="AJ4537" s="35"/>
      <c r="AK4537" s="35"/>
      <c r="AL4537" s="35"/>
    </row>
    <row r="4538">
      <c r="A4538" s="18"/>
      <c r="B4538" s="19" t="s">
        <v>19332</v>
      </c>
      <c r="C4538" s="20" t="s">
        <v>21531</v>
      </c>
      <c r="D4538" s="47"/>
      <c r="E4538" s="22" t="s">
        <v>21545</v>
      </c>
      <c r="F4538" s="22" t="s">
        <v>21546</v>
      </c>
      <c r="G4538" s="23">
        <v>2020.0</v>
      </c>
      <c r="H4538" s="22" t="s">
        <v>8177</v>
      </c>
      <c r="I4538" s="24" t="s">
        <v>21547</v>
      </c>
      <c r="J4538" s="22" t="s">
        <v>21548</v>
      </c>
      <c r="K4538" s="22"/>
      <c r="L4538" s="36"/>
      <c r="M4538" s="36"/>
      <c r="N4538" s="36"/>
      <c r="O4538" s="36"/>
      <c r="P4538" s="37"/>
      <c r="Q4538" s="36"/>
      <c r="R4538" s="36"/>
      <c r="S4538" s="36" t="s">
        <v>2099</v>
      </c>
      <c r="T4538" s="28" t="s">
        <v>21549</v>
      </c>
      <c r="U4538" s="29" t="s">
        <v>61</v>
      </c>
      <c r="V4538" s="30"/>
      <c r="W4538" s="156"/>
      <c r="X4538" s="49"/>
      <c r="Y4538" s="35"/>
      <c r="Z4538" s="35"/>
      <c r="AA4538" s="35"/>
      <c r="AB4538" s="35"/>
      <c r="AC4538" s="35"/>
      <c r="AD4538" s="35"/>
      <c r="AE4538" s="35"/>
      <c r="AF4538" s="35"/>
      <c r="AG4538" s="35"/>
      <c r="AH4538" s="35"/>
      <c r="AI4538" s="35"/>
      <c r="AJ4538" s="35"/>
      <c r="AK4538" s="35"/>
      <c r="AL4538" s="35"/>
    </row>
    <row r="4539">
      <c r="A4539" s="18"/>
      <c r="B4539" s="19" t="s">
        <v>19332</v>
      </c>
      <c r="C4539" s="20" t="s">
        <v>21531</v>
      </c>
      <c r="D4539" s="47"/>
      <c r="E4539" s="22" t="s">
        <v>21550</v>
      </c>
      <c r="F4539" s="22" t="s">
        <v>41</v>
      </c>
      <c r="G4539" s="23">
        <v>2020.0</v>
      </c>
      <c r="H4539" s="22" t="s">
        <v>1485</v>
      </c>
      <c r="I4539" s="24" t="s">
        <v>21551</v>
      </c>
      <c r="J4539" s="22" t="s">
        <v>21552</v>
      </c>
      <c r="K4539" s="22" t="s">
        <v>21553</v>
      </c>
      <c r="L4539" s="36">
        <v>660.0</v>
      </c>
      <c r="M4539" s="36"/>
      <c r="N4539" s="36"/>
      <c r="O4539" s="36"/>
      <c r="P4539" s="37"/>
      <c r="Q4539" s="36"/>
      <c r="R4539" s="36"/>
      <c r="S4539" s="36" t="s">
        <v>21554</v>
      </c>
      <c r="T4539" s="28" t="s">
        <v>21555</v>
      </c>
      <c r="U4539" s="29" t="s">
        <v>61</v>
      </c>
      <c r="V4539" s="30"/>
      <c r="W4539" s="156"/>
      <c r="X4539" s="49"/>
      <c r="Y4539" s="35"/>
      <c r="Z4539" s="35"/>
      <c r="AA4539" s="35"/>
      <c r="AB4539" s="35"/>
      <c r="AC4539" s="35"/>
      <c r="AD4539" s="35"/>
      <c r="AE4539" s="35"/>
      <c r="AF4539" s="35"/>
      <c r="AG4539" s="35"/>
      <c r="AH4539" s="35"/>
      <c r="AI4539" s="35"/>
      <c r="AJ4539" s="35"/>
      <c r="AK4539" s="35"/>
      <c r="AL4539" s="35"/>
    </row>
    <row r="4540">
      <c r="A4540" s="18"/>
      <c r="B4540" s="19" t="s">
        <v>19332</v>
      </c>
      <c r="C4540" s="20" t="s">
        <v>21531</v>
      </c>
      <c r="D4540" s="47"/>
      <c r="E4540" s="22" t="s">
        <v>10615</v>
      </c>
      <c r="F4540" s="22" t="s">
        <v>41</v>
      </c>
      <c r="G4540" s="23">
        <v>2020.0</v>
      </c>
      <c r="H4540" s="22" t="s">
        <v>1485</v>
      </c>
      <c r="I4540" s="24" t="s">
        <v>21556</v>
      </c>
      <c r="J4540" s="22" t="s">
        <v>21557</v>
      </c>
      <c r="K4540" s="22" t="s">
        <v>21553</v>
      </c>
      <c r="L4540" s="36">
        <v>660.0</v>
      </c>
      <c r="M4540" s="36">
        <v>100.0</v>
      </c>
      <c r="N4540" s="36"/>
      <c r="O4540" s="36" t="s">
        <v>21558</v>
      </c>
      <c r="P4540" s="37"/>
      <c r="Q4540" s="36"/>
      <c r="R4540" s="36" t="s">
        <v>21559</v>
      </c>
      <c r="S4540" s="36" t="s">
        <v>21560</v>
      </c>
      <c r="T4540" s="28" t="s">
        <v>21561</v>
      </c>
      <c r="U4540" s="38" t="str">
        <f>HYPERLINK("https://www.ncbi.nlm.nih.gov/pubmed/32315780","PubMed")</f>
        <v>PubMed</v>
      </c>
      <c r="V4540" s="30"/>
      <c r="W4540" s="156"/>
      <c r="X4540" s="49"/>
      <c r="Y4540" s="35"/>
      <c r="Z4540" s="35"/>
      <c r="AA4540" s="35"/>
      <c r="AB4540" s="35"/>
      <c r="AC4540" s="35"/>
      <c r="AD4540" s="35"/>
      <c r="AE4540" s="35"/>
      <c r="AF4540" s="35"/>
      <c r="AG4540" s="35"/>
      <c r="AH4540" s="35"/>
      <c r="AI4540" s="35"/>
      <c r="AJ4540" s="35"/>
      <c r="AK4540" s="35"/>
      <c r="AL4540" s="35"/>
    </row>
    <row r="4541">
      <c r="A4541" s="18" t="s">
        <v>38</v>
      </c>
      <c r="B4541" s="19" t="s">
        <v>19332</v>
      </c>
      <c r="C4541" s="20" t="s">
        <v>21531</v>
      </c>
      <c r="D4541" s="47"/>
      <c r="E4541" s="22" t="s">
        <v>21545</v>
      </c>
      <c r="F4541" s="22" t="s">
        <v>2795</v>
      </c>
      <c r="G4541" s="23">
        <v>2017.0</v>
      </c>
      <c r="H4541" s="22" t="s">
        <v>658</v>
      </c>
      <c r="I4541" s="24" t="s">
        <v>21562</v>
      </c>
      <c r="J4541" s="22" t="s">
        <v>21563</v>
      </c>
      <c r="K4541" s="22"/>
      <c r="L4541" s="36" t="s">
        <v>21564</v>
      </c>
      <c r="M4541" s="36"/>
      <c r="N4541" s="36"/>
      <c r="O4541" s="36"/>
      <c r="P4541" s="37"/>
      <c r="Q4541" s="36"/>
      <c r="R4541" s="36"/>
      <c r="S4541" s="36"/>
      <c r="T4541" s="28" t="s">
        <v>21565</v>
      </c>
      <c r="U4541" s="38" t="str">
        <f>HYPERLINK("https://www.ncbi.nlm.nih.gov/pubmed/29053051","PubMed")</f>
        <v>PubMed</v>
      </c>
      <c r="V4541" s="30"/>
      <c r="W4541" s="156"/>
      <c r="X4541" s="49"/>
      <c r="Y4541" s="35"/>
      <c r="Z4541" s="35"/>
      <c r="AA4541" s="35"/>
      <c r="AB4541" s="35"/>
      <c r="AC4541" s="35"/>
      <c r="AD4541" s="35"/>
      <c r="AE4541" s="35"/>
      <c r="AF4541" s="35"/>
      <c r="AG4541" s="35"/>
      <c r="AH4541" s="35"/>
      <c r="AI4541" s="35"/>
      <c r="AJ4541" s="35"/>
      <c r="AK4541" s="35"/>
      <c r="AL4541" s="35"/>
    </row>
    <row r="4542">
      <c r="A4542" s="1"/>
      <c r="B4542" s="19" t="s">
        <v>19332</v>
      </c>
      <c r="C4542" s="20" t="s">
        <v>21531</v>
      </c>
      <c r="D4542" s="47"/>
      <c r="E4542" s="22" t="s">
        <v>21545</v>
      </c>
      <c r="F4542" s="22" t="s">
        <v>2795</v>
      </c>
      <c r="G4542" s="23">
        <v>2017.0</v>
      </c>
      <c r="H4542" s="22" t="s">
        <v>8177</v>
      </c>
      <c r="I4542" s="24" t="s">
        <v>21566</v>
      </c>
      <c r="J4542" s="22" t="s">
        <v>21567</v>
      </c>
      <c r="K4542" s="22"/>
      <c r="L4542" s="36" t="s">
        <v>21568</v>
      </c>
      <c r="M4542" s="36" t="s">
        <v>21569</v>
      </c>
      <c r="N4542" s="36" t="s">
        <v>21570</v>
      </c>
      <c r="O4542" s="36" t="s">
        <v>21571</v>
      </c>
      <c r="P4542" s="37" t="s">
        <v>21572</v>
      </c>
      <c r="Q4542" s="36" t="s">
        <v>21573</v>
      </c>
      <c r="R4542" s="36" t="s">
        <v>21574</v>
      </c>
      <c r="S4542" s="36" t="s">
        <v>21575</v>
      </c>
      <c r="T4542" s="28" t="s">
        <v>21576</v>
      </c>
      <c r="U4542" s="38" t="str">
        <f>HYPERLINK("https://www.ncbi.nlm.nih.gov/pubmed/27655559","PubMed")</f>
        <v>PubMed</v>
      </c>
      <c r="V4542" s="30"/>
      <c r="W4542" s="156"/>
      <c r="X4542" s="49"/>
      <c r="Y4542" s="35"/>
      <c r="Z4542" s="35"/>
      <c r="AA4542" s="35"/>
      <c r="AB4542" s="35"/>
      <c r="AC4542" s="35"/>
      <c r="AD4542" s="35"/>
      <c r="AE4542" s="35"/>
      <c r="AF4542" s="35"/>
      <c r="AG4542" s="35"/>
      <c r="AH4542" s="35"/>
      <c r="AI4542" s="35"/>
      <c r="AJ4542" s="35"/>
      <c r="AK4542" s="35"/>
      <c r="AL4542" s="35"/>
    </row>
    <row r="4543">
      <c r="A4543" s="1"/>
      <c r="B4543" s="19" t="s">
        <v>19332</v>
      </c>
      <c r="C4543" s="20" t="s">
        <v>21577</v>
      </c>
      <c r="D4543" s="47"/>
      <c r="E4543" s="22" t="s">
        <v>21578</v>
      </c>
      <c r="F4543" s="22" t="s">
        <v>21579</v>
      </c>
      <c r="G4543" s="23">
        <v>2003.0</v>
      </c>
      <c r="H4543" s="22" t="s">
        <v>1289</v>
      </c>
      <c r="I4543" s="24" t="s">
        <v>21580</v>
      </c>
      <c r="J4543" s="22" t="s">
        <v>21581</v>
      </c>
      <c r="K4543" s="22"/>
      <c r="L4543" s="36">
        <v>830.0</v>
      </c>
      <c r="M4543" s="36">
        <v>30.0</v>
      </c>
      <c r="N4543" s="36"/>
      <c r="O4543" s="36"/>
      <c r="P4543" s="37" t="s">
        <v>21582</v>
      </c>
      <c r="Q4543" s="36"/>
      <c r="R4543" s="36">
        <v>30.0</v>
      </c>
      <c r="S4543" s="36" t="s">
        <v>21583</v>
      </c>
      <c r="T4543" s="28" t="s">
        <v>21584</v>
      </c>
      <c r="U4543" s="38" t="str">
        <f>HYPERLINK("https://www.ncbi.nlm.nih.gov/pubmed/14709221","PubMed")</f>
        <v>PubMed</v>
      </c>
      <c r="V4543" s="30" t="s">
        <v>21585</v>
      </c>
      <c r="W4543" s="156"/>
      <c r="X4543" s="49"/>
      <c r="Y4543" s="35"/>
      <c r="Z4543" s="35"/>
      <c r="AA4543" s="35"/>
      <c r="AB4543" s="35"/>
      <c r="AC4543" s="35"/>
      <c r="AD4543" s="35"/>
      <c r="AE4543" s="35"/>
      <c r="AF4543" s="35"/>
      <c r="AG4543" s="35"/>
      <c r="AH4543" s="35"/>
      <c r="AI4543" s="35"/>
      <c r="AJ4543" s="35"/>
      <c r="AK4543" s="35"/>
      <c r="AL4543" s="35"/>
    </row>
    <row r="4544">
      <c r="A4544" s="40"/>
      <c r="B4544" s="75" t="s">
        <v>19332</v>
      </c>
      <c r="C4544" s="76" t="s">
        <v>21586</v>
      </c>
      <c r="D4544" s="47"/>
      <c r="E4544" s="22" t="s">
        <v>21587</v>
      </c>
      <c r="F4544" s="22"/>
      <c r="G4544" s="23">
        <v>2018.0</v>
      </c>
      <c r="H4544" s="22" t="s">
        <v>19565</v>
      </c>
      <c r="I4544" s="24" t="s">
        <v>21588</v>
      </c>
      <c r="J4544" s="22" t="s">
        <v>21589</v>
      </c>
      <c r="K4544" s="22" t="s">
        <v>157</v>
      </c>
      <c r="L4544" s="94" t="s">
        <v>21590</v>
      </c>
      <c r="M4544" s="94"/>
      <c r="N4544" s="94" t="s">
        <v>14244</v>
      </c>
      <c r="O4544" s="94"/>
      <c r="P4544" s="95"/>
      <c r="Q4544" s="94"/>
      <c r="R4544" s="94"/>
      <c r="S4544" s="94"/>
      <c r="T4544" s="28" t="s">
        <v>21591</v>
      </c>
      <c r="U4544" s="38" t="s">
        <v>61</v>
      </c>
      <c r="V4544" s="30"/>
      <c r="W4544" s="49"/>
      <c r="X4544" s="49"/>
      <c r="Y4544" s="35"/>
      <c r="Z4544" s="35"/>
      <c r="AA4544" s="35"/>
      <c r="AB4544" s="35"/>
      <c r="AC4544" s="35"/>
      <c r="AD4544" s="35"/>
      <c r="AE4544" s="35"/>
      <c r="AF4544" s="35"/>
      <c r="AG4544" s="35"/>
      <c r="AH4544" s="35"/>
      <c r="AI4544" s="35"/>
      <c r="AJ4544" s="35"/>
      <c r="AK4544" s="35"/>
      <c r="AL4544" s="35"/>
    </row>
    <row r="4545">
      <c r="A4545" s="1"/>
      <c r="B4545" s="19" t="s">
        <v>19332</v>
      </c>
      <c r="C4545" s="20" t="s">
        <v>21592</v>
      </c>
      <c r="D4545" s="47"/>
      <c r="E4545" s="22" t="s">
        <v>21593</v>
      </c>
      <c r="F4545" s="22" t="s">
        <v>20254</v>
      </c>
      <c r="G4545" s="23">
        <v>2021.0</v>
      </c>
      <c r="H4545" s="22" t="s">
        <v>21594</v>
      </c>
      <c r="I4545" s="24" t="s">
        <v>21595</v>
      </c>
      <c r="J4545" s="22" t="s">
        <v>21596</v>
      </c>
      <c r="K4545" s="22"/>
      <c r="L4545" s="36">
        <v>940.0</v>
      </c>
      <c r="M4545" s="36">
        <v>1000.0</v>
      </c>
      <c r="N4545" s="36"/>
      <c r="O4545" s="36"/>
      <c r="P4545" s="37"/>
      <c r="Q4545" s="36"/>
      <c r="R4545" s="36">
        <v>300.0</v>
      </c>
      <c r="S4545" s="36" t="s">
        <v>19601</v>
      </c>
      <c r="T4545" s="42" t="s">
        <v>21597</v>
      </c>
      <c r="U4545" s="29" t="s">
        <v>61</v>
      </c>
      <c r="V4545" s="30"/>
      <c r="W4545" s="156"/>
      <c r="X4545" s="49"/>
      <c r="Y4545" s="35"/>
      <c r="Z4545" s="35"/>
      <c r="AA4545" s="35"/>
      <c r="AB4545" s="35"/>
      <c r="AC4545" s="35"/>
      <c r="AD4545" s="35"/>
      <c r="AE4545" s="35"/>
      <c r="AF4545" s="35"/>
      <c r="AG4545" s="35"/>
      <c r="AH4545" s="35"/>
      <c r="AI4545" s="35"/>
      <c r="AJ4545" s="35"/>
      <c r="AK4545" s="35"/>
      <c r="AL4545" s="35"/>
    </row>
    <row r="4546">
      <c r="A4546" s="1"/>
      <c r="B4546" s="19" t="s">
        <v>19332</v>
      </c>
      <c r="C4546" s="20" t="s">
        <v>21598</v>
      </c>
      <c r="D4546" s="47"/>
      <c r="E4546" s="22" t="s">
        <v>689</v>
      </c>
      <c r="F4546" s="22" t="s">
        <v>41</v>
      </c>
      <c r="G4546" s="23">
        <v>2004.0</v>
      </c>
      <c r="H4546" s="22" t="s">
        <v>837</v>
      </c>
      <c r="I4546" s="24" t="s">
        <v>21599</v>
      </c>
      <c r="J4546" s="22" t="s">
        <v>21600</v>
      </c>
      <c r="K4546" s="22"/>
      <c r="L4546" s="36">
        <v>685.0</v>
      </c>
      <c r="M4546" s="36"/>
      <c r="N4546" s="36"/>
      <c r="O4546" s="36"/>
      <c r="P4546" s="37" t="s">
        <v>6467</v>
      </c>
      <c r="Q4546" s="36"/>
      <c r="R4546" s="36"/>
      <c r="S4546" s="36" t="s">
        <v>21601</v>
      </c>
      <c r="T4546" s="28" t="s">
        <v>21602</v>
      </c>
      <c r="U4546" s="38" t="str">
        <f>HYPERLINK("https://www.ncbi.nlm.nih.gov/pubmed/15690768","PubMed")</f>
        <v>PubMed</v>
      </c>
      <c r="V4546" s="30"/>
      <c r="W4546" s="156"/>
      <c r="X4546" s="49"/>
      <c r="Y4546" s="35"/>
      <c r="Z4546" s="35"/>
      <c r="AA4546" s="35"/>
      <c r="AB4546" s="35"/>
      <c r="AC4546" s="35"/>
      <c r="AD4546" s="35"/>
      <c r="AE4546" s="35"/>
      <c r="AF4546" s="35"/>
      <c r="AG4546" s="35"/>
      <c r="AH4546" s="35"/>
      <c r="AI4546" s="35"/>
      <c r="AJ4546" s="35"/>
      <c r="AK4546" s="35"/>
      <c r="AL4546" s="35"/>
    </row>
    <row r="4547">
      <c r="A4547" s="1"/>
      <c r="B4547" s="19" t="s">
        <v>19332</v>
      </c>
      <c r="C4547" s="20" t="s">
        <v>2686</v>
      </c>
      <c r="D4547" s="47"/>
      <c r="E4547" s="22" t="s">
        <v>388</v>
      </c>
      <c r="F4547" s="22" t="s">
        <v>41</v>
      </c>
      <c r="G4547" s="23">
        <v>2015.0</v>
      </c>
      <c r="H4547" s="22" t="s">
        <v>207</v>
      </c>
      <c r="I4547" s="24" t="s">
        <v>21603</v>
      </c>
      <c r="J4547" s="22" t="s">
        <v>125</v>
      </c>
      <c r="K4547" s="22"/>
      <c r="L4547" s="167" t="s">
        <v>21604</v>
      </c>
      <c r="M4547" s="44"/>
      <c r="N4547" s="44"/>
      <c r="O4547" s="44"/>
      <c r="P4547" s="44"/>
      <c r="Q4547" s="44"/>
      <c r="R4547" s="44"/>
      <c r="S4547" s="44"/>
      <c r="T4547" s="45"/>
      <c r="U4547" s="38" t="str">
        <f>HYPERLINK("https://www.ncbi.nlm.nih.gov/pubmed/26188388","PubMed")</f>
        <v>PubMed</v>
      </c>
      <c r="V4547" s="30"/>
      <c r="W4547" s="156"/>
      <c r="X4547" s="49"/>
      <c r="Y4547" s="35"/>
      <c r="Z4547" s="35"/>
      <c r="AA4547" s="35"/>
      <c r="AB4547" s="35"/>
      <c r="AC4547" s="35"/>
      <c r="AD4547" s="35"/>
      <c r="AE4547" s="35"/>
      <c r="AF4547" s="35"/>
      <c r="AG4547" s="35"/>
      <c r="AH4547" s="35"/>
      <c r="AI4547" s="35"/>
      <c r="AJ4547" s="35"/>
      <c r="AK4547" s="35"/>
      <c r="AL4547" s="35"/>
    </row>
    <row r="4548">
      <c r="A4548" s="1"/>
      <c r="B4548" s="19" t="s">
        <v>19332</v>
      </c>
      <c r="C4548" s="20" t="s">
        <v>21605</v>
      </c>
      <c r="D4548" s="47"/>
      <c r="E4548" s="22" t="s">
        <v>19463</v>
      </c>
      <c r="F4548" s="22" t="s">
        <v>19464</v>
      </c>
      <c r="G4548" s="23">
        <v>2018.0</v>
      </c>
      <c r="H4548" s="22" t="s">
        <v>18716</v>
      </c>
      <c r="I4548" s="24" t="s">
        <v>21606</v>
      </c>
      <c r="J4548" s="22" t="s">
        <v>21607</v>
      </c>
      <c r="K4548" s="22"/>
      <c r="L4548" s="36">
        <v>660.0</v>
      </c>
      <c r="M4548" s="36"/>
      <c r="N4548" s="36"/>
      <c r="O4548" s="36"/>
      <c r="P4548" s="37" t="s">
        <v>21608</v>
      </c>
      <c r="Q4548" s="36"/>
      <c r="R4548" s="36"/>
      <c r="S4548" s="36" t="s">
        <v>21609</v>
      </c>
      <c r="T4548" s="28" t="s">
        <v>21610</v>
      </c>
      <c r="U4548" s="38" t="str">
        <f>HYPERLINK("https://www.ncbi.nlm.nih.gov/pubmed/30098877","PubMed")</f>
        <v>PubMed</v>
      </c>
      <c r="V4548" s="30"/>
      <c r="W4548" s="156"/>
      <c r="X4548" s="49"/>
      <c r="Y4548" s="35"/>
      <c r="Z4548" s="35"/>
      <c r="AA4548" s="35"/>
      <c r="AB4548" s="35"/>
      <c r="AC4548" s="35"/>
      <c r="AD4548" s="35"/>
      <c r="AE4548" s="35"/>
      <c r="AF4548" s="35"/>
      <c r="AG4548" s="35"/>
      <c r="AH4548" s="35"/>
      <c r="AI4548" s="35"/>
      <c r="AJ4548" s="35"/>
      <c r="AK4548" s="35"/>
      <c r="AL4548" s="35"/>
    </row>
    <row r="4549">
      <c r="A4549" s="1"/>
      <c r="B4549" s="19" t="s">
        <v>19332</v>
      </c>
      <c r="C4549" s="20" t="s">
        <v>21605</v>
      </c>
      <c r="D4549" s="47"/>
      <c r="E4549" s="22" t="s">
        <v>999</v>
      </c>
      <c r="F4549" s="22" t="s">
        <v>1576</v>
      </c>
      <c r="G4549" s="23">
        <v>2011.0</v>
      </c>
      <c r="H4549" s="22" t="s">
        <v>658</v>
      </c>
      <c r="I4549" s="24" t="s">
        <v>21611</v>
      </c>
      <c r="J4549" s="22" t="s">
        <v>21612</v>
      </c>
      <c r="K4549" s="22" t="s">
        <v>21613</v>
      </c>
      <c r="L4549" s="36">
        <v>660.0</v>
      </c>
      <c r="M4549" s="36">
        <v>50.0</v>
      </c>
      <c r="N4549" s="36" t="s">
        <v>827</v>
      </c>
      <c r="O4549" s="36" t="s">
        <v>21614</v>
      </c>
      <c r="P4549" s="37" t="s">
        <v>18018</v>
      </c>
      <c r="Q4549" s="36" t="s">
        <v>21615</v>
      </c>
      <c r="R4549" s="36">
        <v>94.0</v>
      </c>
      <c r="S4549" s="36" t="s">
        <v>11849</v>
      </c>
      <c r="T4549" s="28" t="s">
        <v>21616</v>
      </c>
      <c r="U4549" s="38" t="str">
        <f>HYPERLINK("https://www.ncbi.nlm.nih.gov/pubmed/21214392","PubMed")</f>
        <v>PubMed</v>
      </c>
      <c r="V4549" s="30"/>
      <c r="W4549" s="156"/>
      <c r="X4549" s="49"/>
      <c r="Y4549" s="35"/>
      <c r="Z4549" s="35"/>
      <c r="AA4549" s="35"/>
      <c r="AB4549" s="35"/>
      <c r="AC4549" s="35"/>
      <c r="AD4549" s="35"/>
      <c r="AE4549" s="35"/>
      <c r="AF4549" s="35"/>
      <c r="AG4549" s="35"/>
      <c r="AH4549" s="35"/>
      <c r="AI4549" s="35"/>
      <c r="AJ4549" s="35"/>
      <c r="AK4549" s="35"/>
      <c r="AL4549" s="35"/>
    </row>
    <row r="4550">
      <c r="A4550" s="1"/>
      <c r="B4550" s="19" t="s">
        <v>19332</v>
      </c>
      <c r="C4550" s="20" t="s">
        <v>21617</v>
      </c>
      <c r="D4550" s="47"/>
      <c r="E4550" s="22" t="s">
        <v>21618</v>
      </c>
      <c r="F4550" s="22" t="s">
        <v>19477</v>
      </c>
      <c r="G4550" s="23">
        <v>2024.0</v>
      </c>
      <c r="H4550" s="22" t="s">
        <v>20674</v>
      </c>
      <c r="I4550" s="24" t="s">
        <v>21619</v>
      </c>
      <c r="J4550" s="354" t="s">
        <v>2273</v>
      </c>
      <c r="K4550" s="22" t="s">
        <v>12753</v>
      </c>
      <c r="L4550" s="52">
        <v>635.0</v>
      </c>
      <c r="M4550" s="52"/>
      <c r="N4550" s="52"/>
      <c r="O4550" s="52"/>
      <c r="P4550" s="189"/>
      <c r="Q4550" s="52"/>
      <c r="R4550" s="52"/>
      <c r="S4550" s="52">
        <v>10.0</v>
      </c>
      <c r="T4550" s="28" t="s">
        <v>21620</v>
      </c>
      <c r="U4550" s="38" t="s">
        <v>61</v>
      </c>
      <c r="V4550" s="30"/>
      <c r="W4550" s="156"/>
      <c r="X4550" s="49"/>
      <c r="Y4550" s="35"/>
      <c r="Z4550" s="35"/>
      <c r="AA4550" s="35"/>
      <c r="AB4550" s="35"/>
      <c r="AC4550" s="35"/>
      <c r="AD4550" s="35"/>
      <c r="AE4550" s="35"/>
      <c r="AF4550" s="35"/>
      <c r="AG4550" s="35"/>
      <c r="AH4550" s="35"/>
      <c r="AI4550" s="35"/>
      <c r="AJ4550" s="35"/>
      <c r="AK4550" s="35"/>
      <c r="AL4550" s="35"/>
    </row>
    <row r="4551">
      <c r="A4551" s="1"/>
      <c r="B4551" s="19" t="s">
        <v>19332</v>
      </c>
      <c r="C4551" s="20" t="s">
        <v>21617</v>
      </c>
      <c r="D4551" s="47"/>
      <c r="E4551" s="22" t="s">
        <v>21621</v>
      </c>
      <c r="F4551" s="22" t="s">
        <v>4697</v>
      </c>
      <c r="G4551" s="23">
        <v>2024.0</v>
      </c>
      <c r="H4551" s="22" t="s">
        <v>21622</v>
      </c>
      <c r="I4551" s="24" t="s">
        <v>21623</v>
      </c>
      <c r="J4551" s="22" t="s">
        <v>1078</v>
      </c>
      <c r="K4551" s="22"/>
      <c r="L4551" s="173" t="s">
        <v>21624</v>
      </c>
      <c r="U4551" s="38" t="s">
        <v>61</v>
      </c>
      <c r="V4551" s="30"/>
      <c r="W4551" s="156"/>
      <c r="X4551" s="49"/>
      <c r="Y4551" s="35"/>
      <c r="Z4551" s="35"/>
      <c r="AA4551" s="35"/>
      <c r="AB4551" s="35"/>
      <c r="AC4551" s="35"/>
      <c r="AD4551" s="35"/>
      <c r="AE4551" s="35"/>
      <c r="AF4551" s="35"/>
      <c r="AG4551" s="35"/>
      <c r="AH4551" s="35"/>
      <c r="AI4551" s="35"/>
      <c r="AJ4551" s="35"/>
      <c r="AK4551" s="35"/>
      <c r="AL4551" s="35"/>
    </row>
    <row r="4552">
      <c r="A4552" s="1"/>
      <c r="B4552" s="19" t="s">
        <v>19332</v>
      </c>
      <c r="C4552" s="20" t="s">
        <v>21617</v>
      </c>
      <c r="D4552" s="47"/>
      <c r="E4552" s="22" t="s">
        <v>21625</v>
      </c>
      <c r="F4552" s="22" t="s">
        <v>21626</v>
      </c>
      <c r="G4552" s="23">
        <v>2024.0</v>
      </c>
      <c r="H4552" s="22" t="s">
        <v>680</v>
      </c>
      <c r="I4552" s="24" t="s">
        <v>21627</v>
      </c>
      <c r="J4552" s="22" t="s">
        <v>1078</v>
      </c>
      <c r="K4552" s="22"/>
      <c r="L4552" s="196" t="s">
        <v>21628</v>
      </c>
      <c r="U4552" s="38" t="s">
        <v>61</v>
      </c>
      <c r="V4552" s="30"/>
      <c r="W4552" s="156"/>
      <c r="X4552" s="49"/>
      <c r="Y4552" s="35"/>
      <c r="Z4552" s="35"/>
      <c r="AA4552" s="35"/>
      <c r="AB4552" s="35"/>
      <c r="AC4552" s="35"/>
      <c r="AD4552" s="35"/>
      <c r="AE4552" s="35"/>
      <c r="AF4552" s="35"/>
      <c r="AG4552" s="35"/>
      <c r="AH4552" s="35"/>
      <c r="AI4552" s="35"/>
      <c r="AJ4552" s="35"/>
      <c r="AK4552" s="35"/>
      <c r="AL4552" s="35"/>
    </row>
    <row r="4553">
      <c r="A4553" s="1"/>
      <c r="B4553" s="19" t="s">
        <v>19332</v>
      </c>
      <c r="C4553" s="20" t="s">
        <v>21617</v>
      </c>
      <c r="D4553" s="47"/>
      <c r="E4553" s="22" t="s">
        <v>21629</v>
      </c>
      <c r="F4553" s="22" t="s">
        <v>10477</v>
      </c>
      <c r="G4553" s="23">
        <v>2023.0</v>
      </c>
      <c r="H4553" s="22" t="s">
        <v>2375</v>
      </c>
      <c r="I4553" s="24" t="s">
        <v>21630</v>
      </c>
      <c r="J4553" s="22" t="s">
        <v>21631</v>
      </c>
      <c r="K4553" s="22"/>
      <c r="L4553" s="36">
        <v>810.0</v>
      </c>
      <c r="M4553" s="36" t="s">
        <v>2069</v>
      </c>
      <c r="N4553" s="36" t="s">
        <v>58</v>
      </c>
      <c r="O4553" s="36" t="s">
        <v>58</v>
      </c>
      <c r="P4553" s="37" t="s">
        <v>58</v>
      </c>
      <c r="Q4553" s="36" t="s">
        <v>58</v>
      </c>
      <c r="R4553" s="36">
        <v>600.0</v>
      </c>
      <c r="S4553" s="36" t="s">
        <v>21632</v>
      </c>
      <c r="T4553" s="28" t="s">
        <v>21633</v>
      </c>
      <c r="U4553" s="38" t="s">
        <v>61</v>
      </c>
      <c r="V4553" s="30"/>
      <c r="W4553" s="156"/>
      <c r="X4553" s="49"/>
      <c r="Y4553" s="35"/>
      <c r="Z4553" s="35"/>
      <c r="AA4553" s="35"/>
      <c r="AB4553" s="35"/>
      <c r="AC4553" s="35"/>
      <c r="AD4553" s="35"/>
      <c r="AE4553" s="35"/>
      <c r="AF4553" s="35"/>
      <c r="AG4553" s="35"/>
      <c r="AH4553" s="35"/>
      <c r="AI4553" s="35"/>
      <c r="AJ4553" s="35"/>
      <c r="AK4553" s="35"/>
      <c r="AL4553" s="35"/>
    </row>
    <row r="4554">
      <c r="A4554" s="1"/>
      <c r="B4554" s="19" t="s">
        <v>19332</v>
      </c>
      <c r="C4554" s="20" t="s">
        <v>21617</v>
      </c>
      <c r="D4554" s="47"/>
      <c r="E4554" s="22" t="s">
        <v>21634</v>
      </c>
      <c r="F4554" s="22" t="s">
        <v>5592</v>
      </c>
      <c r="G4554" s="23">
        <v>2023.0</v>
      </c>
      <c r="H4554" s="22" t="s">
        <v>91</v>
      </c>
      <c r="I4554" s="24" t="s">
        <v>21635</v>
      </c>
      <c r="J4554" s="22" t="s">
        <v>21636</v>
      </c>
      <c r="K4554" s="22"/>
      <c r="L4554" s="36">
        <v>980.0</v>
      </c>
      <c r="M4554" s="36"/>
      <c r="N4554" s="36"/>
      <c r="O4554" s="36"/>
      <c r="P4554" s="37"/>
      <c r="Q4554" s="36"/>
      <c r="R4554" s="36" t="s">
        <v>675</v>
      </c>
      <c r="S4554" s="36">
        <v>1.0</v>
      </c>
      <c r="T4554" s="28" t="s">
        <v>21637</v>
      </c>
      <c r="U4554" s="38" t="s">
        <v>61</v>
      </c>
      <c r="V4554" s="30"/>
      <c r="W4554" s="156"/>
      <c r="X4554" s="49"/>
      <c r="Y4554" s="35"/>
      <c r="Z4554" s="35"/>
      <c r="AA4554" s="35"/>
      <c r="AB4554" s="35"/>
      <c r="AC4554" s="35"/>
      <c r="AD4554" s="35"/>
      <c r="AE4554" s="35"/>
      <c r="AF4554" s="35"/>
      <c r="AG4554" s="35"/>
      <c r="AH4554" s="35"/>
      <c r="AI4554" s="35"/>
      <c r="AJ4554" s="35"/>
      <c r="AK4554" s="35"/>
      <c r="AL4554" s="35"/>
    </row>
    <row r="4555">
      <c r="A4555" s="1"/>
      <c r="B4555" s="19" t="s">
        <v>19332</v>
      </c>
      <c r="C4555" s="20" t="s">
        <v>21617</v>
      </c>
      <c r="D4555" s="47"/>
      <c r="E4555" s="22" t="s">
        <v>21638</v>
      </c>
      <c r="F4555" s="22" t="s">
        <v>19850</v>
      </c>
      <c r="G4555" s="23">
        <v>2022.0</v>
      </c>
      <c r="H4555" s="22" t="s">
        <v>2235</v>
      </c>
      <c r="I4555" s="24" t="s">
        <v>21639</v>
      </c>
      <c r="J4555" s="22" t="s">
        <v>21640</v>
      </c>
      <c r="K4555" s="22" t="s">
        <v>21641</v>
      </c>
      <c r="L4555" s="36"/>
      <c r="M4555" s="36"/>
      <c r="N4555" s="36" t="s">
        <v>1175</v>
      </c>
      <c r="O4555" s="36"/>
      <c r="P4555" s="37" t="s">
        <v>82</v>
      </c>
      <c r="Q4555" s="36"/>
      <c r="R4555" s="36">
        <v>30.0</v>
      </c>
      <c r="S4555" s="36" t="s">
        <v>21642</v>
      </c>
      <c r="T4555" s="28" t="s">
        <v>21643</v>
      </c>
      <c r="U4555" s="38" t="s">
        <v>61</v>
      </c>
      <c r="V4555" s="30" t="s">
        <v>21644</v>
      </c>
      <c r="W4555" s="156"/>
      <c r="X4555" s="49"/>
      <c r="Y4555" s="35"/>
      <c r="Z4555" s="35"/>
      <c r="AA4555" s="35"/>
      <c r="AB4555" s="35"/>
      <c r="AC4555" s="35"/>
      <c r="AD4555" s="35"/>
      <c r="AE4555" s="35"/>
      <c r="AF4555" s="35"/>
      <c r="AG4555" s="35"/>
      <c r="AH4555" s="35"/>
      <c r="AI4555" s="35"/>
      <c r="AJ4555" s="35"/>
      <c r="AK4555" s="35"/>
      <c r="AL4555" s="35"/>
    </row>
    <row r="4556">
      <c r="A4556" s="1"/>
      <c r="B4556" s="19" t="s">
        <v>19332</v>
      </c>
      <c r="C4556" s="20" t="s">
        <v>21617</v>
      </c>
      <c r="D4556" s="47"/>
      <c r="E4556" s="22" t="s">
        <v>21645</v>
      </c>
      <c r="F4556" s="22" t="s">
        <v>19850</v>
      </c>
      <c r="G4556" s="23">
        <v>2022.0</v>
      </c>
      <c r="H4556" s="22" t="s">
        <v>10563</v>
      </c>
      <c r="I4556" s="24" t="s">
        <v>21646</v>
      </c>
      <c r="J4556" s="22" t="s">
        <v>649</v>
      </c>
      <c r="K4556" s="22"/>
      <c r="L4556" s="43" t="s">
        <v>21647</v>
      </c>
      <c r="M4556" s="44"/>
      <c r="N4556" s="44"/>
      <c r="O4556" s="44"/>
      <c r="P4556" s="44"/>
      <c r="Q4556" s="44"/>
      <c r="R4556" s="44"/>
      <c r="S4556" s="44"/>
      <c r="T4556" s="45"/>
      <c r="U4556" s="38" t="s">
        <v>61</v>
      </c>
      <c r="V4556" s="30"/>
      <c r="W4556" s="156"/>
      <c r="X4556" s="49"/>
      <c r="Y4556" s="35"/>
      <c r="Z4556" s="35"/>
      <c r="AA4556" s="35"/>
      <c r="AB4556" s="35"/>
      <c r="AC4556" s="35"/>
      <c r="AD4556" s="35"/>
      <c r="AE4556" s="35"/>
      <c r="AF4556" s="35"/>
      <c r="AG4556" s="35"/>
      <c r="AH4556" s="35"/>
      <c r="AI4556" s="35"/>
      <c r="AJ4556" s="35"/>
      <c r="AK4556" s="35"/>
      <c r="AL4556" s="35"/>
    </row>
    <row r="4557">
      <c r="A4557" s="1"/>
      <c r="B4557" s="19" t="s">
        <v>19332</v>
      </c>
      <c r="C4557" s="20" t="s">
        <v>21617</v>
      </c>
      <c r="D4557" s="47"/>
      <c r="E4557" s="22" t="s">
        <v>21648</v>
      </c>
      <c r="F4557" s="22" t="s">
        <v>6233</v>
      </c>
      <c r="G4557" s="23">
        <v>2021.0</v>
      </c>
      <c r="H4557" s="22" t="s">
        <v>91</v>
      </c>
      <c r="I4557" s="24" t="s">
        <v>21649</v>
      </c>
      <c r="J4557" s="22" t="s">
        <v>21650</v>
      </c>
      <c r="K4557" s="22" t="s">
        <v>21651</v>
      </c>
      <c r="L4557" s="36">
        <v>980.0</v>
      </c>
      <c r="M4557" s="36"/>
      <c r="N4557" s="36"/>
      <c r="O4557" s="36"/>
      <c r="P4557" s="37"/>
      <c r="Q4557" s="36"/>
      <c r="R4557" s="36"/>
      <c r="S4557" s="36" t="s">
        <v>13846</v>
      </c>
      <c r="T4557" s="28" t="s">
        <v>21652</v>
      </c>
      <c r="U4557" s="29" t="s">
        <v>61</v>
      </c>
      <c r="V4557" s="30"/>
      <c r="W4557" s="156"/>
      <c r="X4557" s="49"/>
      <c r="Y4557" s="35"/>
      <c r="Z4557" s="35"/>
      <c r="AA4557" s="35"/>
      <c r="AB4557" s="35"/>
      <c r="AC4557" s="35"/>
      <c r="AD4557" s="35"/>
      <c r="AE4557" s="35"/>
      <c r="AF4557" s="35"/>
      <c r="AG4557" s="35"/>
      <c r="AH4557" s="35"/>
      <c r="AI4557" s="35"/>
      <c r="AJ4557" s="35"/>
      <c r="AK4557" s="35"/>
      <c r="AL4557" s="35"/>
    </row>
    <row r="4558">
      <c r="A4558" s="1"/>
      <c r="B4558" s="19" t="s">
        <v>19332</v>
      </c>
      <c r="C4558" s="20" t="s">
        <v>21617</v>
      </c>
      <c r="D4558" s="47"/>
      <c r="E4558" s="22" t="s">
        <v>21653</v>
      </c>
      <c r="F4558" s="22" t="s">
        <v>41</v>
      </c>
      <c r="G4558" s="23">
        <v>2021.0</v>
      </c>
      <c r="H4558" s="22" t="s">
        <v>19235</v>
      </c>
      <c r="I4558" s="24" t="s">
        <v>21654</v>
      </c>
      <c r="J4558" s="22" t="s">
        <v>21655</v>
      </c>
      <c r="K4558" s="22" t="s">
        <v>21656</v>
      </c>
      <c r="L4558" s="36">
        <v>660.0</v>
      </c>
      <c r="M4558" s="36">
        <v>100.0</v>
      </c>
      <c r="N4558" s="36"/>
      <c r="O4558" s="36"/>
      <c r="P4558" s="37"/>
      <c r="Q4558" s="36"/>
      <c r="R4558" s="36"/>
      <c r="S4558" s="36"/>
      <c r="T4558" s="41" t="s">
        <v>21657</v>
      </c>
      <c r="U4558" s="29" t="s">
        <v>61</v>
      </c>
      <c r="V4558" s="30" t="s">
        <v>174</v>
      </c>
      <c r="W4558" s="156"/>
      <c r="X4558" s="49"/>
      <c r="Y4558" s="35"/>
      <c r="Z4558" s="35"/>
      <c r="AA4558" s="35"/>
      <c r="AB4558" s="35"/>
      <c r="AC4558" s="35"/>
      <c r="AD4558" s="35"/>
      <c r="AE4558" s="35"/>
      <c r="AF4558" s="35"/>
      <c r="AG4558" s="35"/>
      <c r="AH4558" s="35"/>
      <c r="AI4558" s="35"/>
      <c r="AJ4558" s="35"/>
      <c r="AK4558" s="35"/>
      <c r="AL4558" s="35"/>
    </row>
    <row r="4559">
      <c r="A4559" s="1"/>
      <c r="B4559" s="19" t="s">
        <v>19332</v>
      </c>
      <c r="C4559" s="20" t="s">
        <v>21617</v>
      </c>
      <c r="D4559" s="47"/>
      <c r="E4559" s="22" t="s">
        <v>20442</v>
      </c>
      <c r="F4559" s="22" t="s">
        <v>21658</v>
      </c>
      <c r="G4559" s="23">
        <v>2021.0</v>
      </c>
      <c r="H4559" s="22" t="s">
        <v>2204</v>
      </c>
      <c r="I4559" s="24" t="s">
        <v>21659</v>
      </c>
      <c r="J4559" s="22" t="s">
        <v>21660</v>
      </c>
      <c r="K4559" s="22" t="s">
        <v>21656</v>
      </c>
      <c r="L4559" s="36">
        <v>635.0</v>
      </c>
      <c r="M4559" s="36">
        <v>100.0</v>
      </c>
      <c r="N4559" s="36"/>
      <c r="O4559" s="36">
        <v>4.0</v>
      </c>
      <c r="P4559" s="37" t="s">
        <v>21661</v>
      </c>
      <c r="Q4559" s="36" t="s">
        <v>21662</v>
      </c>
      <c r="R4559" s="36">
        <v>40.0</v>
      </c>
      <c r="S4559" s="36" t="s">
        <v>21663</v>
      </c>
      <c r="T4559" s="28" t="s">
        <v>21664</v>
      </c>
      <c r="U4559" s="29" t="s">
        <v>61</v>
      </c>
      <c r="V4559" s="30"/>
      <c r="W4559" s="156"/>
      <c r="X4559" s="49"/>
      <c r="Y4559" s="35"/>
      <c r="Z4559" s="35"/>
      <c r="AA4559" s="35"/>
      <c r="AB4559" s="35"/>
      <c r="AC4559" s="35"/>
      <c r="AD4559" s="35"/>
      <c r="AE4559" s="35"/>
      <c r="AF4559" s="35"/>
      <c r="AG4559" s="35"/>
      <c r="AH4559" s="35"/>
      <c r="AI4559" s="35"/>
      <c r="AJ4559" s="35"/>
      <c r="AK4559" s="35"/>
      <c r="AL4559" s="35"/>
    </row>
    <row r="4560">
      <c r="A4560" s="1"/>
      <c r="B4560" s="19" t="s">
        <v>19332</v>
      </c>
      <c r="C4560" s="20" t="s">
        <v>21617</v>
      </c>
      <c r="D4560" s="47"/>
      <c r="E4560" s="22" t="s">
        <v>18687</v>
      </c>
      <c r="F4560" s="22" t="s">
        <v>5429</v>
      </c>
      <c r="G4560" s="23">
        <v>2021.0</v>
      </c>
      <c r="H4560" s="22" t="s">
        <v>5430</v>
      </c>
      <c r="I4560" s="24" t="s">
        <v>21665</v>
      </c>
      <c r="J4560" s="22" t="s">
        <v>125</v>
      </c>
      <c r="K4560" s="22"/>
      <c r="L4560" s="43" t="s">
        <v>21666</v>
      </c>
      <c r="M4560" s="44"/>
      <c r="N4560" s="44"/>
      <c r="O4560" s="44"/>
      <c r="P4560" s="44"/>
      <c r="Q4560" s="44"/>
      <c r="R4560" s="44"/>
      <c r="S4560" s="44"/>
      <c r="T4560" s="45"/>
      <c r="U4560" s="29" t="s">
        <v>61</v>
      </c>
      <c r="V4560" s="30"/>
      <c r="W4560" s="156"/>
      <c r="X4560" s="49"/>
      <c r="Y4560" s="35"/>
      <c r="Z4560" s="35"/>
      <c r="AA4560" s="35"/>
      <c r="AB4560" s="35"/>
      <c r="AC4560" s="35"/>
      <c r="AD4560" s="35"/>
      <c r="AE4560" s="35"/>
      <c r="AF4560" s="35"/>
      <c r="AG4560" s="35"/>
      <c r="AH4560" s="35"/>
      <c r="AI4560" s="35"/>
      <c r="AJ4560" s="35"/>
      <c r="AK4560" s="35"/>
      <c r="AL4560" s="35"/>
    </row>
    <row r="4561">
      <c r="A4561" s="1"/>
      <c r="B4561" s="19" t="s">
        <v>19332</v>
      </c>
      <c r="C4561" s="20" t="s">
        <v>21617</v>
      </c>
      <c r="D4561" s="47"/>
      <c r="E4561" s="22" t="s">
        <v>21667</v>
      </c>
      <c r="F4561" s="22" t="s">
        <v>41</v>
      </c>
      <c r="G4561" s="23">
        <v>2021.0</v>
      </c>
      <c r="H4561" s="22" t="s">
        <v>477</v>
      </c>
      <c r="I4561" s="24" t="s">
        <v>21668</v>
      </c>
      <c r="J4561" s="22" t="s">
        <v>21669</v>
      </c>
      <c r="K4561" s="22" t="s">
        <v>21670</v>
      </c>
      <c r="L4561" s="36">
        <v>660.0</v>
      </c>
      <c r="M4561" s="36">
        <v>100.0</v>
      </c>
      <c r="N4561" s="36"/>
      <c r="O4561" s="36" t="s">
        <v>21671</v>
      </c>
      <c r="P4561" s="37" t="s">
        <v>21672</v>
      </c>
      <c r="Q4561" s="36"/>
      <c r="R4561" s="36">
        <v>5.0</v>
      </c>
      <c r="S4561" s="36" t="s">
        <v>21673</v>
      </c>
      <c r="T4561" s="28" t="s">
        <v>21674</v>
      </c>
      <c r="U4561" s="38" t="s">
        <v>61</v>
      </c>
      <c r="V4561" s="30"/>
      <c r="W4561" s="156"/>
      <c r="X4561" s="49"/>
      <c r="Y4561" s="35"/>
      <c r="Z4561" s="35"/>
      <c r="AA4561" s="35"/>
      <c r="AB4561" s="35"/>
      <c r="AC4561" s="35"/>
      <c r="AD4561" s="35"/>
      <c r="AE4561" s="35"/>
      <c r="AF4561" s="35"/>
      <c r="AG4561" s="35"/>
      <c r="AH4561" s="35"/>
      <c r="AI4561" s="35"/>
      <c r="AJ4561" s="35"/>
      <c r="AK4561" s="35"/>
      <c r="AL4561" s="35"/>
    </row>
    <row r="4562">
      <c r="A4562" s="1"/>
      <c r="B4562" s="19" t="s">
        <v>19332</v>
      </c>
      <c r="C4562" s="20" t="s">
        <v>21617</v>
      </c>
      <c r="D4562" s="47"/>
      <c r="E4562" s="22" t="s">
        <v>21675</v>
      </c>
      <c r="F4562" s="22" t="s">
        <v>2635</v>
      </c>
      <c r="G4562" s="23">
        <v>2021.0</v>
      </c>
      <c r="H4562" s="22" t="s">
        <v>1485</v>
      </c>
      <c r="I4562" s="24" t="s">
        <v>21676</v>
      </c>
      <c r="J4562" s="22" t="s">
        <v>21677</v>
      </c>
      <c r="K4562" s="22" t="s">
        <v>21678</v>
      </c>
      <c r="L4562" s="36" t="s">
        <v>21679</v>
      </c>
      <c r="M4562" s="36">
        <v>400.0</v>
      </c>
      <c r="N4562" s="36" t="s">
        <v>102</v>
      </c>
      <c r="O4562" s="36">
        <v>4.0</v>
      </c>
      <c r="P4562" s="37" t="s">
        <v>70</v>
      </c>
      <c r="Q4562" s="36" t="s">
        <v>433</v>
      </c>
      <c r="R4562" s="36"/>
      <c r="S4562" s="36" t="s">
        <v>2799</v>
      </c>
      <c r="T4562" s="28" t="s">
        <v>21680</v>
      </c>
      <c r="U4562" s="29" t="s">
        <v>61</v>
      </c>
      <c r="V4562" s="30"/>
      <c r="W4562" s="156"/>
      <c r="X4562" s="49"/>
      <c r="Y4562" s="35"/>
      <c r="Z4562" s="35"/>
      <c r="AA4562" s="35"/>
      <c r="AB4562" s="35"/>
      <c r="AC4562" s="35"/>
      <c r="AD4562" s="35"/>
      <c r="AE4562" s="35"/>
      <c r="AF4562" s="35"/>
      <c r="AG4562" s="35"/>
      <c r="AH4562" s="35"/>
      <c r="AI4562" s="35"/>
      <c r="AJ4562" s="35"/>
      <c r="AK4562" s="35"/>
      <c r="AL4562" s="35"/>
    </row>
    <row r="4563">
      <c r="A4563" s="1"/>
      <c r="B4563" s="19" t="s">
        <v>19332</v>
      </c>
      <c r="C4563" s="20" t="s">
        <v>21617</v>
      </c>
      <c r="D4563" s="47"/>
      <c r="E4563" s="22" t="s">
        <v>626</v>
      </c>
      <c r="F4563" s="22" t="s">
        <v>10122</v>
      </c>
      <c r="G4563" s="23">
        <v>2021.0</v>
      </c>
      <c r="H4563" s="22" t="s">
        <v>77</v>
      </c>
      <c r="I4563" s="24" t="s">
        <v>21681</v>
      </c>
      <c r="J4563" s="22" t="s">
        <v>1078</v>
      </c>
      <c r="K4563" s="22"/>
      <c r="L4563" s="167" t="s">
        <v>21682</v>
      </c>
      <c r="M4563" s="44"/>
      <c r="N4563" s="44"/>
      <c r="O4563" s="44"/>
      <c r="P4563" s="44"/>
      <c r="Q4563" s="44"/>
      <c r="R4563" s="44"/>
      <c r="S4563" s="44"/>
      <c r="T4563" s="45"/>
      <c r="U4563" s="29" t="s">
        <v>61</v>
      </c>
      <c r="V4563" s="30"/>
      <c r="W4563" s="156"/>
      <c r="X4563" s="49"/>
      <c r="Y4563" s="35"/>
      <c r="Z4563" s="35"/>
      <c r="AA4563" s="35"/>
      <c r="AB4563" s="35"/>
      <c r="AC4563" s="35"/>
      <c r="AD4563" s="35"/>
      <c r="AE4563" s="35"/>
      <c r="AF4563" s="35"/>
      <c r="AG4563" s="35"/>
      <c r="AH4563" s="35"/>
      <c r="AI4563" s="35"/>
      <c r="AJ4563" s="35"/>
      <c r="AK4563" s="35"/>
      <c r="AL4563" s="35"/>
    </row>
    <row r="4564">
      <c r="A4564" s="1"/>
      <c r="B4564" s="19" t="s">
        <v>19332</v>
      </c>
      <c r="C4564" s="20" t="s">
        <v>21617</v>
      </c>
      <c r="D4564" s="47"/>
      <c r="E4564" s="22" t="s">
        <v>7856</v>
      </c>
      <c r="F4564" s="22" t="s">
        <v>41</v>
      </c>
      <c r="G4564" s="23">
        <v>2020.0</v>
      </c>
      <c r="H4564" s="22" t="s">
        <v>19235</v>
      </c>
      <c r="I4564" s="24" t="s">
        <v>21683</v>
      </c>
      <c r="J4564" s="22" t="s">
        <v>21684</v>
      </c>
      <c r="K4564" s="22" t="s">
        <v>21685</v>
      </c>
      <c r="L4564" s="36">
        <v>660.0</v>
      </c>
      <c r="M4564" s="36">
        <v>100.0</v>
      </c>
      <c r="N4564" s="36" t="s">
        <v>9755</v>
      </c>
      <c r="O4564" s="36" t="s">
        <v>4163</v>
      </c>
      <c r="P4564" s="37" t="s">
        <v>21686</v>
      </c>
      <c r="Q4564" s="36" t="s">
        <v>21687</v>
      </c>
      <c r="R4564" s="36"/>
      <c r="S4564" s="36" t="s">
        <v>21673</v>
      </c>
      <c r="T4564" s="28" t="s">
        <v>21688</v>
      </c>
      <c r="U4564" s="29" t="s">
        <v>61</v>
      </c>
      <c r="V4564" s="30"/>
      <c r="W4564" s="156"/>
      <c r="X4564" s="49"/>
      <c r="Y4564" s="35"/>
      <c r="Z4564" s="35"/>
      <c r="AA4564" s="35"/>
      <c r="AB4564" s="35"/>
      <c r="AC4564" s="35"/>
      <c r="AD4564" s="35"/>
      <c r="AE4564" s="35"/>
      <c r="AF4564" s="35"/>
      <c r="AG4564" s="35"/>
      <c r="AH4564" s="35"/>
      <c r="AI4564" s="35"/>
      <c r="AJ4564" s="35"/>
      <c r="AK4564" s="35"/>
      <c r="AL4564" s="35"/>
    </row>
    <row r="4565">
      <c r="A4565" s="1"/>
      <c r="B4565" s="19" t="s">
        <v>19332</v>
      </c>
      <c r="C4565" s="20" t="s">
        <v>21617</v>
      </c>
      <c r="D4565" s="47"/>
      <c r="E4565" s="22" t="s">
        <v>21689</v>
      </c>
      <c r="F4565" s="22" t="s">
        <v>13492</v>
      </c>
      <c r="G4565" s="23">
        <v>2018.0</v>
      </c>
      <c r="H4565" s="22" t="s">
        <v>18786</v>
      </c>
      <c r="I4565" s="24" t="s">
        <v>21690</v>
      </c>
      <c r="J4565" s="22" t="s">
        <v>21691</v>
      </c>
      <c r="K4565" s="22"/>
      <c r="L4565" s="36">
        <v>810.0</v>
      </c>
      <c r="M4565" s="36">
        <v>500.0</v>
      </c>
      <c r="N4565" s="36"/>
      <c r="O4565" s="36"/>
      <c r="P4565" s="37" t="s">
        <v>325</v>
      </c>
      <c r="Q4565" s="36"/>
      <c r="R4565" s="36">
        <v>30.0</v>
      </c>
      <c r="S4565" s="36" t="s">
        <v>21692</v>
      </c>
      <c r="T4565" s="28" t="s">
        <v>21693</v>
      </c>
      <c r="U4565" s="38" t="str">
        <f>HYPERLINK("https://www.ncbi.nlm.nih.gov/pubmed/30355837","PubMed")</f>
        <v>PubMed</v>
      </c>
      <c r="V4565" s="30"/>
      <c r="W4565" s="156"/>
      <c r="X4565" s="49"/>
      <c r="Y4565" s="35"/>
      <c r="Z4565" s="35"/>
      <c r="AA4565" s="35"/>
      <c r="AB4565" s="35"/>
      <c r="AC4565" s="35"/>
      <c r="AD4565" s="35"/>
      <c r="AE4565" s="35"/>
      <c r="AF4565" s="35"/>
      <c r="AG4565" s="35"/>
      <c r="AH4565" s="35"/>
      <c r="AI4565" s="35"/>
      <c r="AJ4565" s="35"/>
      <c r="AK4565" s="35"/>
      <c r="AL4565" s="35"/>
    </row>
    <row r="4566">
      <c r="A4566" s="1"/>
      <c r="B4566" s="19" t="s">
        <v>19332</v>
      </c>
      <c r="C4566" s="20" t="s">
        <v>21617</v>
      </c>
      <c r="D4566" s="47"/>
      <c r="E4566" s="22" t="s">
        <v>7856</v>
      </c>
      <c r="F4566" s="22" t="s">
        <v>41</v>
      </c>
      <c r="G4566" s="23">
        <v>2018.0</v>
      </c>
      <c r="H4566" s="22" t="s">
        <v>6911</v>
      </c>
      <c r="I4566" s="24" t="s">
        <v>21694</v>
      </c>
      <c r="J4566" s="22" t="s">
        <v>2141</v>
      </c>
      <c r="K4566" s="22"/>
      <c r="L4566" s="168"/>
      <c r="M4566" s="168"/>
      <c r="N4566" s="168"/>
      <c r="O4566" s="168"/>
      <c r="P4566" s="169"/>
      <c r="Q4566" s="168"/>
      <c r="R4566" s="168"/>
      <c r="S4566" s="168"/>
      <c r="T4566" s="185"/>
      <c r="U4566" s="38" t="str">
        <f>HYPERLINK("https://www.ncbi.nlm.nih.gov/pubmed/30297352","PubMed")</f>
        <v>PubMed</v>
      </c>
      <c r="V4566" s="30"/>
      <c r="W4566" s="49"/>
      <c r="X4566" s="49"/>
      <c r="Y4566" s="35"/>
      <c r="Z4566" s="35"/>
      <c r="AA4566" s="35"/>
      <c r="AB4566" s="35"/>
      <c r="AC4566" s="35"/>
      <c r="AD4566" s="35"/>
      <c r="AE4566" s="35"/>
      <c r="AF4566" s="35"/>
      <c r="AG4566" s="35"/>
      <c r="AH4566" s="35"/>
      <c r="AI4566" s="35"/>
      <c r="AJ4566" s="35"/>
      <c r="AK4566" s="35"/>
      <c r="AL4566" s="35"/>
    </row>
    <row r="4567">
      <c r="A4567" s="1"/>
      <c r="B4567" s="19" t="s">
        <v>19332</v>
      </c>
      <c r="C4567" s="20" t="s">
        <v>21617</v>
      </c>
      <c r="D4567" s="47"/>
      <c r="E4567" s="22" t="s">
        <v>21695</v>
      </c>
      <c r="F4567" s="22" t="s">
        <v>21696</v>
      </c>
      <c r="G4567" s="23">
        <v>2018.0</v>
      </c>
      <c r="H4567" s="22" t="s">
        <v>1485</v>
      </c>
      <c r="I4567" s="24" t="s">
        <v>21697</v>
      </c>
      <c r="J4567" s="22" t="s">
        <v>21698</v>
      </c>
      <c r="K4567" s="22" t="s">
        <v>21699</v>
      </c>
      <c r="L4567" s="36">
        <v>630.0</v>
      </c>
      <c r="M4567" s="36">
        <v>10.0</v>
      </c>
      <c r="N4567" s="36" t="s">
        <v>5323</v>
      </c>
      <c r="O4567" s="36" t="s">
        <v>58</v>
      </c>
      <c r="P4567" s="37" t="s">
        <v>671</v>
      </c>
      <c r="Q4567" s="36" t="s">
        <v>675</v>
      </c>
      <c r="R4567" s="36">
        <v>150.0</v>
      </c>
      <c r="S4567" s="36" t="s">
        <v>21700</v>
      </c>
      <c r="T4567" s="28" t="s">
        <v>21701</v>
      </c>
      <c r="U4567" s="38" t="str">
        <f>HYPERLINK("https://www.ncbi.nlm.nih.gov/pubmed/29414735","PubMed")</f>
        <v>PubMed</v>
      </c>
      <c r="V4567" s="30"/>
      <c r="W4567" s="49"/>
      <c r="X4567" s="49"/>
      <c r="Y4567" s="35"/>
      <c r="Z4567" s="35"/>
      <c r="AA4567" s="35"/>
      <c r="AB4567" s="35"/>
      <c r="AC4567" s="35"/>
      <c r="AD4567" s="35"/>
      <c r="AE4567" s="35"/>
      <c r="AF4567" s="35"/>
      <c r="AG4567" s="35"/>
      <c r="AH4567" s="35"/>
      <c r="AI4567" s="35"/>
      <c r="AJ4567" s="35"/>
      <c r="AK4567" s="35"/>
      <c r="AL4567" s="35"/>
    </row>
    <row r="4568">
      <c r="A4568" s="1"/>
      <c r="B4568" s="19" t="s">
        <v>19332</v>
      </c>
      <c r="C4568" s="20" t="s">
        <v>21617</v>
      </c>
      <c r="D4568" s="47"/>
      <c r="E4568" s="22" t="s">
        <v>21702</v>
      </c>
      <c r="F4568" s="22" t="s">
        <v>21703</v>
      </c>
      <c r="G4568" s="23">
        <v>2017.0</v>
      </c>
      <c r="H4568" s="22" t="s">
        <v>21704</v>
      </c>
      <c r="I4568" s="24" t="s">
        <v>21705</v>
      </c>
      <c r="J4568" s="22" t="s">
        <v>649</v>
      </c>
      <c r="K4568" s="22"/>
      <c r="L4568" s="132" t="s">
        <v>21706</v>
      </c>
      <c r="U4568" s="38" t="str">
        <f>HYPERLINK("https://www.ncbi.nlm.nih.gov/pubmed/28766756","PubMed")</f>
        <v>PubMed</v>
      </c>
      <c r="V4568" s="30"/>
      <c r="W4568" s="49"/>
      <c r="X4568" s="49"/>
      <c r="Y4568" s="35"/>
      <c r="Z4568" s="35"/>
      <c r="AA4568" s="35"/>
      <c r="AB4568" s="35"/>
      <c r="AC4568" s="35"/>
      <c r="AD4568" s="35"/>
      <c r="AE4568" s="35"/>
      <c r="AF4568" s="35"/>
      <c r="AG4568" s="35"/>
      <c r="AH4568" s="35"/>
      <c r="AI4568" s="35"/>
      <c r="AJ4568" s="35"/>
      <c r="AK4568" s="35"/>
      <c r="AL4568" s="35"/>
    </row>
    <row r="4569">
      <c r="A4569" s="1"/>
      <c r="B4569" s="19" t="s">
        <v>19332</v>
      </c>
      <c r="C4569" s="20" t="s">
        <v>21617</v>
      </c>
      <c r="D4569" s="47"/>
      <c r="E4569" s="22" t="s">
        <v>7661</v>
      </c>
      <c r="F4569" s="22" t="s">
        <v>8008</v>
      </c>
      <c r="G4569" s="23">
        <v>2017.0</v>
      </c>
      <c r="H4569" s="22" t="s">
        <v>91</v>
      </c>
      <c r="I4569" s="24" t="s">
        <v>21707</v>
      </c>
      <c r="J4569" s="22" t="s">
        <v>649</v>
      </c>
      <c r="K4569" s="22"/>
      <c r="L4569" s="132" t="s">
        <v>21708</v>
      </c>
      <c r="U4569" s="38" t="str">
        <f>HYPERLINK("https://www.ncbi.nlm.nih.gov/pubmed/28536905","PubMed")</f>
        <v>PubMed</v>
      </c>
      <c r="V4569" s="30"/>
      <c r="W4569" s="49"/>
      <c r="X4569" s="49"/>
      <c r="Y4569" s="35"/>
      <c r="Z4569" s="35"/>
      <c r="AA4569" s="35"/>
      <c r="AB4569" s="35"/>
      <c r="AC4569" s="35"/>
      <c r="AD4569" s="35"/>
      <c r="AE4569" s="35"/>
      <c r="AF4569" s="35"/>
      <c r="AG4569" s="35"/>
      <c r="AH4569" s="35"/>
      <c r="AI4569" s="35"/>
      <c r="AJ4569" s="35"/>
      <c r="AK4569" s="35"/>
      <c r="AL4569" s="35"/>
    </row>
    <row r="4570">
      <c r="A4570" s="1"/>
      <c r="B4570" s="19" t="s">
        <v>19332</v>
      </c>
      <c r="C4570" s="20" t="s">
        <v>21617</v>
      </c>
      <c r="D4570" s="47"/>
      <c r="E4570" s="22" t="s">
        <v>21709</v>
      </c>
      <c r="F4570" s="22" t="s">
        <v>605</v>
      </c>
      <c r="G4570" s="23">
        <v>2015.0</v>
      </c>
      <c r="H4570" s="22" t="s">
        <v>7149</v>
      </c>
      <c r="I4570" s="24" t="s">
        <v>21710</v>
      </c>
      <c r="J4570" s="22" t="s">
        <v>21711</v>
      </c>
      <c r="K4570" s="22" t="s">
        <v>21712</v>
      </c>
      <c r="L4570" s="52">
        <v>808.0</v>
      </c>
      <c r="M4570" s="52"/>
      <c r="N4570" s="52" t="s">
        <v>2554</v>
      </c>
      <c r="O4570" s="52"/>
      <c r="P4570" s="189" t="s">
        <v>671</v>
      </c>
      <c r="Q4570" s="52" t="s">
        <v>675</v>
      </c>
      <c r="R4570" s="52"/>
      <c r="S4570" s="52" t="s">
        <v>21700</v>
      </c>
      <c r="T4570" s="42" t="s">
        <v>21713</v>
      </c>
      <c r="U4570" s="38" t="str">
        <f>HYPERLINK("https://www.ncbi.nlm.nih.gov/pubmed/26512161","PubMed")</f>
        <v>PubMed</v>
      </c>
      <c r="V4570" s="30"/>
      <c r="W4570" s="49"/>
      <c r="X4570" s="49"/>
      <c r="Y4570" s="35"/>
      <c r="Z4570" s="35"/>
      <c r="AA4570" s="35"/>
      <c r="AB4570" s="35"/>
      <c r="AC4570" s="35"/>
      <c r="AD4570" s="35"/>
      <c r="AE4570" s="35"/>
      <c r="AF4570" s="35"/>
      <c r="AG4570" s="35"/>
      <c r="AH4570" s="35"/>
      <c r="AI4570" s="35"/>
      <c r="AJ4570" s="35"/>
      <c r="AK4570" s="35"/>
      <c r="AL4570" s="35"/>
    </row>
    <row r="4571">
      <c r="A4571" s="1"/>
      <c r="B4571" s="19" t="s">
        <v>19332</v>
      </c>
      <c r="C4571" s="20" t="s">
        <v>21617</v>
      </c>
      <c r="D4571" s="47"/>
      <c r="E4571" s="22" t="s">
        <v>21714</v>
      </c>
      <c r="F4571" s="22" t="s">
        <v>797</v>
      </c>
      <c r="G4571" s="23">
        <v>2014.0</v>
      </c>
      <c r="H4571" s="22" t="s">
        <v>1025</v>
      </c>
      <c r="I4571" s="24" t="s">
        <v>21715</v>
      </c>
      <c r="J4571" s="22" t="s">
        <v>21716</v>
      </c>
      <c r="K4571" s="22" t="s">
        <v>21717</v>
      </c>
      <c r="L4571" s="52">
        <v>660.0</v>
      </c>
      <c r="M4571" s="52">
        <v>40.0</v>
      </c>
      <c r="N4571" s="52">
        <v>1.0</v>
      </c>
      <c r="O4571" s="52" t="s">
        <v>21718</v>
      </c>
      <c r="P4571" s="189" t="s">
        <v>82</v>
      </c>
      <c r="Q4571" s="52" t="s">
        <v>830</v>
      </c>
      <c r="R4571" s="52" t="s">
        <v>962</v>
      </c>
      <c r="S4571" s="52" t="s">
        <v>21692</v>
      </c>
      <c r="T4571" s="28" t="s">
        <v>21719</v>
      </c>
      <c r="U4571" s="38" t="str">
        <f>HYPERLINK("https://www.ncbi.nlm.nih.gov/pubmed/24887747","PubMed")</f>
        <v>PubMed</v>
      </c>
      <c r="V4571" s="30"/>
      <c r="W4571" s="49"/>
      <c r="X4571" s="49"/>
      <c r="Y4571" s="35"/>
      <c r="Z4571" s="35"/>
      <c r="AA4571" s="35"/>
      <c r="AB4571" s="35"/>
      <c r="AC4571" s="35"/>
      <c r="AD4571" s="35"/>
      <c r="AE4571" s="35"/>
      <c r="AF4571" s="35"/>
      <c r="AG4571" s="35"/>
      <c r="AH4571" s="35"/>
      <c r="AI4571" s="35"/>
      <c r="AJ4571" s="35"/>
      <c r="AK4571" s="35"/>
      <c r="AL4571" s="35"/>
    </row>
    <row r="4572">
      <c r="A4572" s="1"/>
      <c r="B4572" s="19" t="s">
        <v>19332</v>
      </c>
      <c r="C4572" s="20" t="s">
        <v>21617</v>
      </c>
      <c r="D4572" s="47"/>
      <c r="E4572" s="22" t="s">
        <v>20930</v>
      </c>
      <c r="F4572" s="22" t="s">
        <v>1392</v>
      </c>
      <c r="G4572" s="23">
        <v>2014.0</v>
      </c>
      <c r="H4572" s="22" t="s">
        <v>91</v>
      </c>
      <c r="I4572" s="24" t="s">
        <v>21720</v>
      </c>
      <c r="J4572" s="22" t="s">
        <v>21721</v>
      </c>
      <c r="K4572" s="22"/>
      <c r="L4572" s="36">
        <v>980.0</v>
      </c>
      <c r="M4572" s="36">
        <v>300.0</v>
      </c>
      <c r="N4572" s="36">
        <v>1.0</v>
      </c>
      <c r="O4572" s="36" t="s">
        <v>21722</v>
      </c>
      <c r="P4572" s="37" t="s">
        <v>254</v>
      </c>
      <c r="Q4572" s="36" t="s">
        <v>6377</v>
      </c>
      <c r="R4572" s="36" t="s">
        <v>21723</v>
      </c>
      <c r="S4572" s="36" t="s">
        <v>21724</v>
      </c>
      <c r="T4572" s="42" t="s">
        <v>21725</v>
      </c>
      <c r="U4572" s="38" t="str">
        <f>HYPERLINK("http://www.ncbi.nlm.nih.gov/pubmed/23549680","PubMed")</f>
        <v>PubMed</v>
      </c>
      <c r="V4572" s="30"/>
      <c r="W4572" s="49"/>
      <c r="X4572" s="49"/>
      <c r="Y4572" s="35"/>
      <c r="Z4572" s="35"/>
      <c r="AA4572" s="35"/>
      <c r="AB4572" s="35"/>
      <c r="AC4572" s="35"/>
      <c r="AD4572" s="35"/>
      <c r="AE4572" s="35"/>
      <c r="AF4572" s="35"/>
      <c r="AG4572" s="35"/>
      <c r="AH4572" s="35"/>
      <c r="AI4572" s="35"/>
      <c r="AJ4572" s="35"/>
      <c r="AK4572" s="35"/>
      <c r="AL4572" s="35"/>
    </row>
    <row r="4573">
      <c r="A4573" s="191" t="s">
        <v>181</v>
      </c>
      <c r="B4573" s="19" t="s">
        <v>19332</v>
      </c>
      <c r="C4573" s="20" t="s">
        <v>21617</v>
      </c>
      <c r="D4573" s="47"/>
      <c r="E4573" s="22" t="s">
        <v>21675</v>
      </c>
      <c r="F4573" s="22" t="s">
        <v>1392</v>
      </c>
      <c r="G4573" s="23">
        <v>2013.0</v>
      </c>
      <c r="H4573" s="22" t="s">
        <v>19985</v>
      </c>
      <c r="I4573" s="24" t="s">
        <v>21726</v>
      </c>
      <c r="J4573" s="22" t="s">
        <v>21727</v>
      </c>
      <c r="K4573" s="22"/>
      <c r="L4573" s="36">
        <v>980.0</v>
      </c>
      <c r="M4573" s="36"/>
      <c r="N4573" s="36"/>
      <c r="O4573" s="36"/>
      <c r="P4573" s="37"/>
      <c r="Q4573" s="36"/>
      <c r="R4573" s="36"/>
      <c r="S4573" s="36"/>
      <c r="T4573" s="42" t="s">
        <v>21728</v>
      </c>
      <c r="U4573" s="38" t="str">
        <f>HYPERLINK("http://www.ncbi.nlm.nih.gov/pmc/articles/PMC3860251/","PubMed")</f>
        <v>PubMed</v>
      </c>
      <c r="V4573" s="30"/>
      <c r="W4573" s="49"/>
      <c r="X4573" s="49"/>
      <c r="Y4573" s="35"/>
      <c r="Z4573" s="35"/>
      <c r="AA4573" s="35"/>
      <c r="AB4573" s="35"/>
      <c r="AC4573" s="35"/>
      <c r="AD4573" s="35"/>
      <c r="AE4573" s="35"/>
      <c r="AF4573" s="35"/>
      <c r="AG4573" s="35"/>
      <c r="AH4573" s="35"/>
      <c r="AI4573" s="35"/>
      <c r="AJ4573" s="35"/>
      <c r="AK4573" s="35"/>
      <c r="AL4573" s="35"/>
    </row>
    <row r="4574">
      <c r="A4574" s="191"/>
      <c r="B4574" s="19" t="s">
        <v>19332</v>
      </c>
      <c r="C4574" s="20" t="s">
        <v>21617</v>
      </c>
      <c r="D4574" s="47"/>
      <c r="E4574" s="22" t="s">
        <v>21729</v>
      </c>
      <c r="F4574" s="22" t="s">
        <v>11536</v>
      </c>
      <c r="G4574" s="23">
        <v>2013.0</v>
      </c>
      <c r="H4574" s="22" t="s">
        <v>19588</v>
      </c>
      <c r="I4574" s="24" t="s">
        <v>21730</v>
      </c>
      <c r="J4574" s="22" t="s">
        <v>20771</v>
      </c>
      <c r="K4574" s="22"/>
      <c r="L4574" s="36">
        <v>630.0</v>
      </c>
      <c r="M4574" s="36">
        <v>10.0</v>
      </c>
      <c r="N4574" s="36"/>
      <c r="O4574" s="36"/>
      <c r="P4574" s="37" t="s">
        <v>671</v>
      </c>
      <c r="Q4574" s="36"/>
      <c r="R4574" s="36" t="s">
        <v>21731</v>
      </c>
      <c r="S4574" s="36" t="s">
        <v>21732</v>
      </c>
      <c r="T4574" s="28" t="s">
        <v>21733</v>
      </c>
      <c r="U4574" s="38" t="str">
        <f>HYPERLINK("https://www.ncbi.nlm.nih.gov/pubmed/24724146","PubMed")</f>
        <v>PubMed</v>
      </c>
      <c r="V4574" s="30"/>
      <c r="W4574" s="49"/>
      <c r="X4574" s="49"/>
      <c r="Y4574" s="35"/>
      <c r="Z4574" s="35"/>
      <c r="AA4574" s="35"/>
      <c r="AB4574" s="35"/>
      <c r="AC4574" s="35"/>
      <c r="AD4574" s="35"/>
      <c r="AE4574" s="35"/>
      <c r="AF4574" s="35"/>
      <c r="AG4574" s="35"/>
      <c r="AH4574" s="35"/>
      <c r="AI4574" s="35"/>
      <c r="AJ4574" s="35"/>
      <c r="AK4574" s="35"/>
      <c r="AL4574" s="35"/>
    </row>
    <row r="4575">
      <c r="A4575" s="191"/>
      <c r="B4575" s="19" t="s">
        <v>19332</v>
      </c>
      <c r="C4575" s="20" t="s">
        <v>21617</v>
      </c>
      <c r="D4575" s="47"/>
      <c r="E4575" s="22" t="s">
        <v>21734</v>
      </c>
      <c r="F4575" s="22" t="s">
        <v>11529</v>
      </c>
      <c r="G4575" s="23">
        <v>2011.0</v>
      </c>
      <c r="H4575" s="22" t="s">
        <v>658</v>
      </c>
      <c r="I4575" s="24" t="s">
        <v>21735</v>
      </c>
      <c r="J4575" s="22" t="s">
        <v>21736</v>
      </c>
      <c r="K4575" s="22" t="s">
        <v>21737</v>
      </c>
      <c r="L4575" s="36">
        <v>630.0</v>
      </c>
      <c r="M4575" s="36">
        <v>10.0</v>
      </c>
      <c r="N4575" s="36" t="s">
        <v>5323</v>
      </c>
      <c r="O4575" s="36"/>
      <c r="P4575" s="37" t="s">
        <v>671</v>
      </c>
      <c r="Q4575" s="36" t="s">
        <v>6449</v>
      </c>
      <c r="R4575" s="36">
        <v>150.0</v>
      </c>
      <c r="S4575" s="36" t="s">
        <v>21700</v>
      </c>
      <c r="T4575" s="28" t="s">
        <v>21738</v>
      </c>
      <c r="U4575" s="38" t="str">
        <f>HYPERLINK("https://www.ncbi.nlm.nih.gov/pubmed/21214369","PubMed")</f>
        <v>PubMed</v>
      </c>
      <c r="V4575" s="30"/>
      <c r="W4575" s="49"/>
      <c r="X4575" s="49"/>
      <c r="Y4575" s="35"/>
      <c r="Z4575" s="35"/>
      <c r="AA4575" s="35"/>
      <c r="AB4575" s="35"/>
      <c r="AC4575" s="35"/>
      <c r="AD4575" s="35"/>
      <c r="AE4575" s="35"/>
      <c r="AF4575" s="35"/>
      <c r="AG4575" s="35"/>
      <c r="AH4575" s="35"/>
      <c r="AI4575" s="35"/>
      <c r="AJ4575" s="35"/>
      <c r="AK4575" s="35"/>
      <c r="AL4575" s="35"/>
    </row>
    <row r="4576">
      <c r="A4576" s="191" t="s">
        <v>181</v>
      </c>
      <c r="B4576" s="19" t="s">
        <v>19332</v>
      </c>
      <c r="C4576" s="20" t="s">
        <v>21617</v>
      </c>
      <c r="D4576" s="47"/>
      <c r="E4576" s="22" t="s">
        <v>20930</v>
      </c>
      <c r="F4576" s="22" t="s">
        <v>2635</v>
      </c>
      <c r="G4576" s="23">
        <v>2010.0</v>
      </c>
      <c r="H4576" s="22" t="s">
        <v>658</v>
      </c>
      <c r="I4576" s="24" t="s">
        <v>21739</v>
      </c>
      <c r="J4576" s="22" t="s">
        <v>21740</v>
      </c>
      <c r="K4576" s="22"/>
      <c r="L4576" s="36">
        <v>904.0</v>
      </c>
      <c r="M4576" s="36"/>
      <c r="N4576" s="36"/>
      <c r="O4576" s="36"/>
      <c r="P4576" s="37" t="s">
        <v>21741</v>
      </c>
      <c r="Q4576" s="36" t="s">
        <v>21742</v>
      </c>
      <c r="R4576" s="36"/>
      <c r="S4576" s="36" t="s">
        <v>21743</v>
      </c>
      <c r="T4576" s="28" t="s">
        <v>21744</v>
      </c>
      <c r="U4576" s="38" t="str">
        <f>HYPERLINK("https://www.ncbi.nlm.nih.gov/pubmed/20738169","PubMed")</f>
        <v>PubMed</v>
      </c>
      <c r="V4576" s="30"/>
      <c r="W4576" s="49"/>
      <c r="X4576" s="49"/>
      <c r="Y4576" s="35"/>
      <c r="Z4576" s="35"/>
      <c r="AA4576" s="35"/>
      <c r="AB4576" s="35"/>
      <c r="AC4576" s="35"/>
      <c r="AD4576" s="35"/>
      <c r="AE4576" s="35"/>
      <c r="AF4576" s="35"/>
      <c r="AG4576" s="35"/>
      <c r="AH4576" s="35"/>
      <c r="AI4576" s="35"/>
      <c r="AJ4576" s="35"/>
      <c r="AK4576" s="35"/>
      <c r="AL4576" s="35"/>
    </row>
    <row r="4577">
      <c r="A4577" s="1"/>
      <c r="B4577" s="19" t="s">
        <v>19332</v>
      </c>
      <c r="C4577" s="20" t="s">
        <v>21745</v>
      </c>
      <c r="D4577" s="47"/>
      <c r="E4577" s="22" t="s">
        <v>21746</v>
      </c>
      <c r="F4577" s="22" t="s">
        <v>1576</v>
      </c>
      <c r="G4577" s="23">
        <v>2022.0</v>
      </c>
      <c r="H4577" s="22" t="s">
        <v>16973</v>
      </c>
      <c r="I4577" s="24" t="s">
        <v>21747</v>
      </c>
      <c r="J4577" s="22" t="s">
        <v>21748</v>
      </c>
      <c r="K4577" s="22"/>
      <c r="L4577" s="36">
        <v>808.0</v>
      </c>
      <c r="M4577" s="36"/>
      <c r="N4577" s="36"/>
      <c r="O4577" s="36" t="s">
        <v>21749</v>
      </c>
      <c r="P4577" s="37"/>
      <c r="Q4577" s="36" t="s">
        <v>151</v>
      </c>
      <c r="R4577" s="36"/>
      <c r="S4577" s="36">
        <v>1.0</v>
      </c>
      <c r="T4577" s="42" t="s">
        <v>21750</v>
      </c>
      <c r="U4577" s="29" t="s">
        <v>61</v>
      </c>
      <c r="V4577" s="30"/>
      <c r="W4577" s="156"/>
      <c r="X4577" s="49"/>
      <c r="Y4577" s="35"/>
      <c r="Z4577" s="35"/>
      <c r="AA4577" s="35"/>
      <c r="AB4577" s="35"/>
      <c r="AC4577" s="35"/>
      <c r="AD4577" s="35"/>
      <c r="AE4577" s="35"/>
      <c r="AF4577" s="35"/>
      <c r="AG4577" s="35"/>
      <c r="AH4577" s="35"/>
      <c r="AI4577" s="35"/>
      <c r="AJ4577" s="35"/>
      <c r="AK4577" s="35"/>
      <c r="AL4577" s="35"/>
    </row>
    <row r="4578">
      <c r="A4578" s="1"/>
      <c r="B4578" s="19" t="s">
        <v>19332</v>
      </c>
      <c r="C4578" s="20" t="s">
        <v>21751</v>
      </c>
      <c r="D4578" s="47"/>
      <c r="E4578" s="22" t="s">
        <v>21752</v>
      </c>
      <c r="F4578" s="22" t="s">
        <v>21753</v>
      </c>
      <c r="G4578" s="23">
        <v>2023.0</v>
      </c>
      <c r="H4578" s="22" t="s">
        <v>21754</v>
      </c>
      <c r="I4578" s="24" t="s">
        <v>21755</v>
      </c>
      <c r="J4578" s="22" t="s">
        <v>55</v>
      </c>
      <c r="K4578" s="22"/>
      <c r="L4578" s="36">
        <v>970.0</v>
      </c>
      <c r="M4578" s="36">
        <v>500.0</v>
      </c>
      <c r="N4578" s="36"/>
      <c r="O4578" s="129"/>
      <c r="P4578" s="37" t="s">
        <v>70</v>
      </c>
      <c r="Q4578" s="36"/>
      <c r="R4578" s="36">
        <v>16.0</v>
      </c>
      <c r="S4578" s="36" t="s">
        <v>21756</v>
      </c>
      <c r="T4578" s="42" t="s">
        <v>21757</v>
      </c>
      <c r="U4578" s="38" t="s">
        <v>61</v>
      </c>
      <c r="V4578" s="30"/>
      <c r="W4578" s="156"/>
      <c r="X4578" s="49"/>
      <c r="Y4578" s="35"/>
      <c r="Z4578" s="35"/>
      <c r="AA4578" s="35"/>
      <c r="AB4578" s="35"/>
      <c r="AC4578" s="35"/>
      <c r="AD4578" s="35"/>
      <c r="AE4578" s="35"/>
      <c r="AF4578" s="35"/>
      <c r="AG4578" s="35"/>
      <c r="AH4578" s="35"/>
      <c r="AI4578" s="35"/>
      <c r="AJ4578" s="35"/>
      <c r="AK4578" s="35"/>
      <c r="AL4578" s="35"/>
    </row>
    <row r="4579">
      <c r="A4579" s="1"/>
      <c r="B4579" s="19" t="s">
        <v>19332</v>
      </c>
      <c r="C4579" s="20" t="s">
        <v>21751</v>
      </c>
      <c r="D4579" s="47"/>
      <c r="E4579" s="22" t="s">
        <v>10997</v>
      </c>
      <c r="F4579" s="22" t="s">
        <v>10998</v>
      </c>
      <c r="G4579" s="23">
        <v>2022.0</v>
      </c>
      <c r="H4579" s="22" t="s">
        <v>21758</v>
      </c>
      <c r="I4579" s="24" t="s">
        <v>21759</v>
      </c>
      <c r="J4579" s="22" t="s">
        <v>21760</v>
      </c>
      <c r="K4579" s="22"/>
      <c r="L4579" s="36">
        <v>940.0</v>
      </c>
      <c r="M4579" s="36">
        <v>100.0</v>
      </c>
      <c r="N4579" s="36"/>
      <c r="O4579" s="129">
        <v>44683.0</v>
      </c>
      <c r="P4579" s="37" t="s">
        <v>21761</v>
      </c>
      <c r="Q4579" s="36"/>
      <c r="R4579" s="36"/>
      <c r="S4579" s="36" t="s">
        <v>21762</v>
      </c>
      <c r="T4579" s="41" t="s">
        <v>21763</v>
      </c>
      <c r="U4579" s="29" t="s">
        <v>61</v>
      </c>
      <c r="V4579" s="30"/>
      <c r="W4579" s="156"/>
      <c r="X4579" s="49"/>
      <c r="Y4579" s="35"/>
      <c r="Z4579" s="35"/>
      <c r="AA4579" s="35"/>
      <c r="AB4579" s="35"/>
      <c r="AC4579" s="35"/>
      <c r="AD4579" s="35"/>
      <c r="AE4579" s="35"/>
      <c r="AF4579" s="35"/>
      <c r="AG4579" s="35"/>
      <c r="AH4579" s="35"/>
      <c r="AI4579" s="35"/>
      <c r="AJ4579" s="35"/>
      <c r="AK4579" s="35"/>
      <c r="AL4579" s="35"/>
    </row>
    <row r="4580">
      <c r="A4580" s="1"/>
      <c r="B4580" s="19" t="s">
        <v>19332</v>
      </c>
      <c r="C4580" s="20" t="s">
        <v>21751</v>
      </c>
      <c r="D4580" s="47"/>
      <c r="E4580" s="22" t="s">
        <v>21764</v>
      </c>
      <c r="F4580" s="22" t="s">
        <v>21765</v>
      </c>
      <c r="G4580" s="23">
        <v>2019.0</v>
      </c>
      <c r="H4580" s="22" t="s">
        <v>77</v>
      </c>
      <c r="I4580" s="24" t="s">
        <v>21766</v>
      </c>
      <c r="J4580" s="22" t="s">
        <v>55</v>
      </c>
      <c r="K4580" s="22"/>
      <c r="L4580" s="36">
        <v>780.0</v>
      </c>
      <c r="M4580" s="36">
        <v>40.0</v>
      </c>
      <c r="N4580" s="36">
        <v>1.0</v>
      </c>
      <c r="O4580" s="36" t="s">
        <v>19772</v>
      </c>
      <c r="P4580" s="37" t="s">
        <v>95</v>
      </c>
      <c r="Q4580" s="36"/>
      <c r="R4580" s="36"/>
      <c r="S4580" s="36">
        <v>8.0</v>
      </c>
      <c r="T4580" s="42" t="s">
        <v>21767</v>
      </c>
      <c r="U4580" s="38" t="str">
        <f>HYPERLINK("https://www.ncbi.nlm.nih.gov/pubmed/31855093","PubMed")</f>
        <v>PubMed</v>
      </c>
      <c r="V4580" s="30"/>
      <c r="W4580" s="156"/>
      <c r="X4580" s="49"/>
      <c r="Y4580" s="35"/>
      <c r="Z4580" s="35"/>
      <c r="AA4580" s="35"/>
      <c r="AB4580" s="35"/>
      <c r="AC4580" s="35"/>
      <c r="AD4580" s="35"/>
      <c r="AE4580" s="35"/>
      <c r="AF4580" s="35"/>
      <c r="AG4580" s="35"/>
      <c r="AH4580" s="35"/>
      <c r="AI4580" s="35"/>
      <c r="AJ4580" s="35"/>
      <c r="AK4580" s="35"/>
      <c r="AL4580" s="35"/>
    </row>
    <row r="4581">
      <c r="A4581" s="180"/>
      <c r="B4581" s="19" t="s">
        <v>19332</v>
      </c>
      <c r="C4581" s="20" t="s">
        <v>21751</v>
      </c>
      <c r="D4581" s="47"/>
      <c r="E4581" s="22" t="s">
        <v>21768</v>
      </c>
      <c r="F4581" s="22" t="s">
        <v>4908</v>
      </c>
      <c r="G4581" s="23">
        <v>2015.0</v>
      </c>
      <c r="H4581" s="22" t="s">
        <v>21078</v>
      </c>
      <c r="I4581" s="24" t="s">
        <v>21769</v>
      </c>
      <c r="J4581" s="22" t="s">
        <v>55</v>
      </c>
      <c r="K4581" s="22" t="s">
        <v>21770</v>
      </c>
      <c r="L4581" s="36">
        <v>655.0</v>
      </c>
      <c r="M4581" s="36"/>
      <c r="N4581" s="36" t="s">
        <v>2554</v>
      </c>
      <c r="O4581" s="36"/>
      <c r="P4581" s="37" t="s">
        <v>82</v>
      </c>
      <c r="Q4581" s="36"/>
      <c r="R4581" s="36"/>
      <c r="S4581" s="36"/>
      <c r="T4581" s="28" t="s">
        <v>21771</v>
      </c>
      <c r="U4581" s="38" t="str">
        <f>HYPERLINK("https://www.ncbi.nlm.nih.gov/pubmed/25017014","PubMed")</f>
        <v>PubMed</v>
      </c>
      <c r="V4581" s="30"/>
      <c r="W4581" s="49"/>
      <c r="X4581" s="49"/>
      <c r="Y4581" s="35"/>
      <c r="Z4581" s="35"/>
      <c r="AA4581" s="35"/>
      <c r="AB4581" s="35"/>
      <c r="AC4581" s="35"/>
      <c r="AD4581" s="35"/>
      <c r="AE4581" s="35"/>
      <c r="AF4581" s="35"/>
      <c r="AG4581" s="35"/>
      <c r="AH4581" s="35"/>
      <c r="AI4581" s="35"/>
      <c r="AJ4581" s="35"/>
      <c r="AK4581" s="35"/>
      <c r="AL4581" s="35"/>
    </row>
    <row r="4582">
      <c r="A4582" s="1"/>
      <c r="B4582" s="19" t="s">
        <v>19332</v>
      </c>
      <c r="C4582" s="20" t="s">
        <v>21751</v>
      </c>
      <c r="D4582" s="47"/>
      <c r="E4582" s="22" t="s">
        <v>21772</v>
      </c>
      <c r="F4582" s="22" t="s">
        <v>323</v>
      </c>
      <c r="G4582" s="23">
        <v>2010.0</v>
      </c>
      <c r="H4582" s="22" t="s">
        <v>91</v>
      </c>
      <c r="I4582" s="24" t="s">
        <v>21773</v>
      </c>
      <c r="J4582" s="22" t="s">
        <v>55</v>
      </c>
      <c r="K4582" s="22" t="s">
        <v>21774</v>
      </c>
      <c r="L4582" s="36">
        <v>904.0</v>
      </c>
      <c r="M4582" s="36">
        <v>4.0</v>
      </c>
      <c r="N4582" s="36"/>
      <c r="O4582" s="36"/>
      <c r="P4582" s="37"/>
      <c r="Q4582" s="36"/>
      <c r="R4582" s="36"/>
      <c r="S4582" s="36"/>
      <c r="T4582" s="28" t="s">
        <v>21775</v>
      </c>
      <c r="U4582" s="38" t="str">
        <f>HYPERLINK("https://www.ncbi.nlm.nih.gov/pubmed/19238504","PubMed")</f>
        <v>PubMed</v>
      </c>
      <c r="V4582" s="30"/>
      <c r="W4582" s="156"/>
      <c r="X4582" s="49"/>
      <c r="Y4582" s="35"/>
      <c r="Z4582" s="35"/>
      <c r="AA4582" s="35"/>
      <c r="AB4582" s="35"/>
      <c r="AC4582" s="35"/>
      <c r="AD4582" s="35"/>
      <c r="AE4582" s="35"/>
      <c r="AF4582" s="35"/>
      <c r="AG4582" s="35"/>
      <c r="AH4582" s="35"/>
      <c r="AI4582" s="35"/>
      <c r="AJ4582" s="35"/>
      <c r="AK4582" s="35"/>
      <c r="AL4582" s="35"/>
    </row>
    <row r="4583">
      <c r="A4583" s="1"/>
      <c r="B4583" s="19" t="s">
        <v>19332</v>
      </c>
      <c r="C4583" s="20" t="s">
        <v>21776</v>
      </c>
      <c r="D4583" s="47"/>
      <c r="E4583" s="22" t="s">
        <v>21777</v>
      </c>
      <c r="F4583" s="22" t="s">
        <v>21778</v>
      </c>
      <c r="G4583" s="23">
        <v>2018.0</v>
      </c>
      <c r="H4583" s="22" t="s">
        <v>292</v>
      </c>
      <c r="I4583" s="24" t="s">
        <v>21779</v>
      </c>
      <c r="J4583" s="22" t="s">
        <v>21780</v>
      </c>
      <c r="K4583" s="22"/>
      <c r="L4583" s="36">
        <v>810.0</v>
      </c>
      <c r="M4583" s="36">
        <v>1000.0</v>
      </c>
      <c r="N4583" s="36"/>
      <c r="O4583" s="36"/>
      <c r="P4583" s="37"/>
      <c r="Q4583" s="36" t="s">
        <v>21781</v>
      </c>
      <c r="R4583" s="36" t="s">
        <v>21782</v>
      </c>
      <c r="S4583" s="36">
        <v>1.0</v>
      </c>
      <c r="T4583" s="28" t="s">
        <v>21783</v>
      </c>
      <c r="U4583" s="29" t="s">
        <v>61</v>
      </c>
      <c r="V4583" s="30"/>
      <c r="W4583" s="156"/>
      <c r="X4583" s="49"/>
      <c r="Y4583" s="35"/>
      <c r="Z4583" s="35"/>
      <c r="AA4583" s="35"/>
      <c r="AB4583" s="35"/>
      <c r="AC4583" s="35"/>
      <c r="AD4583" s="35"/>
      <c r="AE4583" s="35"/>
      <c r="AF4583" s="35"/>
      <c r="AG4583" s="35"/>
      <c r="AH4583" s="35"/>
      <c r="AI4583" s="35"/>
      <c r="AJ4583" s="35"/>
      <c r="AK4583" s="35"/>
      <c r="AL4583" s="35"/>
    </row>
    <row r="4584">
      <c r="A4584" s="1"/>
      <c r="B4584" s="19" t="s">
        <v>19332</v>
      </c>
      <c r="C4584" s="20" t="s">
        <v>21784</v>
      </c>
      <c r="D4584" s="47"/>
      <c r="E4584" s="22" t="s">
        <v>21785</v>
      </c>
      <c r="F4584" s="22" t="s">
        <v>41</v>
      </c>
      <c r="G4584" s="23">
        <v>2018.0</v>
      </c>
      <c r="H4584" s="22" t="s">
        <v>3828</v>
      </c>
      <c r="I4584" s="24" t="s">
        <v>21786</v>
      </c>
      <c r="J4584" s="22" t="s">
        <v>2141</v>
      </c>
      <c r="K4584" s="22"/>
      <c r="L4584" s="168"/>
      <c r="M4584" s="168"/>
      <c r="N4584" s="168"/>
      <c r="O4584" s="168"/>
      <c r="P4584" s="169"/>
      <c r="Q4584" s="168"/>
      <c r="R4584" s="168"/>
      <c r="S4584" s="168"/>
      <c r="T4584" s="185" t="s">
        <v>21787</v>
      </c>
      <c r="U4584" s="38" t="str">
        <f>HYPERLINK("https://www.ncbi.nlm.nih.gov/pubmed/29953026","PubMed")</f>
        <v>PubMed</v>
      </c>
      <c r="V4584" s="30"/>
      <c r="W4584" s="156"/>
      <c r="X4584" s="49"/>
      <c r="Y4584" s="35"/>
      <c r="Z4584" s="35"/>
      <c r="AA4584" s="35"/>
      <c r="AB4584" s="35"/>
      <c r="AC4584" s="35"/>
      <c r="AD4584" s="35"/>
      <c r="AE4584" s="35"/>
      <c r="AF4584" s="35"/>
      <c r="AG4584" s="35"/>
      <c r="AH4584" s="35"/>
      <c r="AI4584" s="35"/>
      <c r="AJ4584" s="35"/>
      <c r="AK4584" s="35"/>
      <c r="AL4584" s="35"/>
    </row>
    <row r="4585">
      <c r="A4585" s="1"/>
      <c r="B4585" s="19" t="s">
        <v>19332</v>
      </c>
      <c r="C4585" s="20" t="s">
        <v>21784</v>
      </c>
      <c r="D4585" s="47"/>
      <c r="E4585" s="22" t="s">
        <v>21788</v>
      </c>
      <c r="F4585" s="22" t="s">
        <v>41</v>
      </c>
      <c r="G4585" s="23">
        <v>2018.0</v>
      </c>
      <c r="H4585" s="22" t="s">
        <v>658</v>
      </c>
      <c r="I4585" s="24" t="s">
        <v>21789</v>
      </c>
      <c r="J4585" s="22" t="s">
        <v>21790</v>
      </c>
      <c r="K4585" s="22"/>
      <c r="L4585" s="36">
        <v>780.0</v>
      </c>
      <c r="M4585" s="36">
        <v>50.0</v>
      </c>
      <c r="N4585" s="36"/>
      <c r="O4585" s="36" t="s">
        <v>21791</v>
      </c>
      <c r="P4585" s="37" t="s">
        <v>7604</v>
      </c>
      <c r="Q4585" s="36"/>
      <c r="R4585" s="36">
        <v>20.0</v>
      </c>
      <c r="S4585" s="36">
        <v>1.0</v>
      </c>
      <c r="T4585" s="41" t="s">
        <v>21792</v>
      </c>
      <c r="U4585" s="29" t="s">
        <v>61</v>
      </c>
      <c r="V4585" s="30"/>
      <c r="W4585" s="156"/>
      <c r="X4585" s="49"/>
      <c r="Y4585" s="35"/>
      <c r="Z4585" s="35"/>
      <c r="AA4585" s="35"/>
      <c r="AB4585" s="35"/>
      <c r="AC4585" s="35"/>
      <c r="AD4585" s="35"/>
      <c r="AE4585" s="35"/>
      <c r="AF4585" s="35"/>
      <c r="AG4585" s="35"/>
      <c r="AH4585" s="35"/>
      <c r="AI4585" s="35"/>
      <c r="AJ4585" s="35"/>
      <c r="AK4585" s="35"/>
      <c r="AL4585" s="35"/>
    </row>
    <row r="4586">
      <c r="A4586" s="1"/>
      <c r="B4586" s="19" t="s">
        <v>19332</v>
      </c>
      <c r="C4586" s="20" t="s">
        <v>21784</v>
      </c>
      <c r="D4586" s="47"/>
      <c r="E4586" s="22" t="s">
        <v>7880</v>
      </c>
      <c r="F4586" s="22" t="s">
        <v>41</v>
      </c>
      <c r="G4586" s="23">
        <v>2017.0</v>
      </c>
      <c r="H4586" s="22" t="s">
        <v>756</v>
      </c>
      <c r="I4586" s="24" t="s">
        <v>21793</v>
      </c>
      <c r="J4586" s="22" t="s">
        <v>21794</v>
      </c>
      <c r="K4586" s="22"/>
      <c r="L4586" s="36">
        <v>830.0</v>
      </c>
      <c r="M4586" s="36">
        <v>100.0</v>
      </c>
      <c r="N4586" s="36"/>
      <c r="O4586" s="36" t="s">
        <v>21795</v>
      </c>
      <c r="P4586" s="37" t="s">
        <v>777</v>
      </c>
      <c r="Q4586" s="36"/>
      <c r="R4586" s="36"/>
      <c r="S4586" s="36">
        <v>1.0</v>
      </c>
      <c r="T4586" s="42" t="s">
        <v>21796</v>
      </c>
      <c r="U4586" s="38" t="str">
        <f>HYPERLINK("https://www.ncbi.nlm.nih.gov/pubmed/29267668","PubMed")</f>
        <v>PubMed</v>
      </c>
      <c r="V4586" s="30"/>
      <c r="W4586" s="156"/>
      <c r="X4586" s="49"/>
      <c r="Y4586" s="35"/>
      <c r="Z4586" s="35"/>
      <c r="AA4586" s="35"/>
      <c r="AB4586" s="35"/>
      <c r="AC4586" s="35"/>
      <c r="AD4586" s="35"/>
      <c r="AE4586" s="35"/>
      <c r="AF4586" s="35"/>
      <c r="AG4586" s="35"/>
      <c r="AH4586" s="35"/>
      <c r="AI4586" s="35"/>
      <c r="AJ4586" s="35"/>
      <c r="AK4586" s="35"/>
      <c r="AL4586" s="35"/>
    </row>
    <row r="4587">
      <c r="A4587" s="1"/>
      <c r="B4587" s="19" t="s">
        <v>19332</v>
      </c>
      <c r="C4587" s="20" t="s">
        <v>21784</v>
      </c>
      <c r="D4587" s="47"/>
      <c r="E4587" s="22" t="s">
        <v>450</v>
      </c>
      <c r="F4587" s="22" t="s">
        <v>41</v>
      </c>
      <c r="G4587" s="23">
        <v>2017.0</v>
      </c>
      <c r="H4587" s="22" t="s">
        <v>91</v>
      </c>
      <c r="I4587" s="24" t="s">
        <v>21797</v>
      </c>
      <c r="J4587" s="22" t="s">
        <v>21798</v>
      </c>
      <c r="K4587" s="22" t="s">
        <v>2994</v>
      </c>
      <c r="L4587" s="36">
        <v>808.0</v>
      </c>
      <c r="M4587" s="36">
        <v>120.0</v>
      </c>
      <c r="N4587" s="36">
        <v>3.0</v>
      </c>
      <c r="O4587" s="36" t="s">
        <v>21799</v>
      </c>
      <c r="P4587" s="37" t="s">
        <v>969</v>
      </c>
      <c r="Q4587" s="36" t="s">
        <v>21800</v>
      </c>
      <c r="R4587" s="36" t="s">
        <v>13402</v>
      </c>
      <c r="S4587" s="36" t="s">
        <v>6951</v>
      </c>
      <c r="T4587" s="28" t="s">
        <v>21801</v>
      </c>
      <c r="U4587" s="38" t="str">
        <f>HYPERLINK("https://www.ncbi.nlm.nih.gov/pubmed/28536904","PubMed")</f>
        <v>PubMed</v>
      </c>
      <c r="V4587" s="30"/>
      <c r="W4587" s="156"/>
      <c r="X4587" s="49"/>
      <c r="Y4587" s="35"/>
      <c r="Z4587" s="35"/>
      <c r="AA4587" s="35"/>
      <c r="AB4587" s="35"/>
      <c r="AC4587" s="35"/>
      <c r="AD4587" s="35"/>
      <c r="AE4587" s="35"/>
      <c r="AF4587" s="35"/>
      <c r="AG4587" s="35"/>
      <c r="AH4587" s="35"/>
      <c r="AI4587" s="35"/>
      <c r="AJ4587" s="35"/>
      <c r="AK4587" s="35"/>
      <c r="AL4587" s="35"/>
    </row>
    <row r="4588">
      <c r="A4588" s="1"/>
      <c r="B4588" s="19" t="s">
        <v>19332</v>
      </c>
      <c r="C4588" s="20" t="s">
        <v>21784</v>
      </c>
      <c r="D4588" s="47"/>
      <c r="E4588" s="22" t="s">
        <v>450</v>
      </c>
      <c r="F4588" s="22" t="s">
        <v>41</v>
      </c>
      <c r="G4588" s="23">
        <v>2016.0</v>
      </c>
      <c r="H4588" s="22" t="s">
        <v>1025</v>
      </c>
      <c r="I4588" s="24" t="s">
        <v>21802</v>
      </c>
      <c r="J4588" s="22" t="s">
        <v>21803</v>
      </c>
      <c r="K4588" s="22"/>
      <c r="L4588" s="36">
        <v>808.0</v>
      </c>
      <c r="M4588" s="36"/>
      <c r="N4588" s="36"/>
      <c r="O4588" s="36"/>
      <c r="P4588" s="37"/>
      <c r="Q4588" s="36"/>
      <c r="R4588" s="36"/>
      <c r="S4588" s="36" t="s">
        <v>4387</v>
      </c>
      <c r="T4588" s="28" t="s">
        <v>21804</v>
      </c>
      <c r="U4588" s="38" t="str">
        <f>HYPERLINK("https://www.ncbi.nlm.nih.gov/pubmed/26882450","PubMed")</f>
        <v>PubMed</v>
      </c>
      <c r="V4588" s="30"/>
      <c r="W4588" s="156"/>
      <c r="X4588" s="49"/>
      <c r="Y4588" s="35"/>
      <c r="Z4588" s="35"/>
      <c r="AA4588" s="35"/>
      <c r="AB4588" s="35"/>
      <c r="AC4588" s="35"/>
      <c r="AD4588" s="35"/>
      <c r="AE4588" s="35"/>
      <c r="AF4588" s="35"/>
      <c r="AG4588" s="35"/>
      <c r="AH4588" s="35"/>
      <c r="AI4588" s="35"/>
      <c r="AJ4588" s="35"/>
      <c r="AK4588" s="35"/>
      <c r="AL4588" s="35"/>
    </row>
    <row r="4589">
      <c r="A4589" s="1"/>
      <c r="B4589" s="19" t="s">
        <v>19332</v>
      </c>
      <c r="C4589" s="20" t="s">
        <v>21784</v>
      </c>
      <c r="D4589" s="47"/>
      <c r="E4589" s="22" t="s">
        <v>21805</v>
      </c>
      <c r="F4589" s="22" t="s">
        <v>605</v>
      </c>
      <c r="G4589" s="23">
        <v>2015.0</v>
      </c>
      <c r="H4589" s="22" t="s">
        <v>12502</v>
      </c>
      <c r="I4589" s="24" t="s">
        <v>21806</v>
      </c>
      <c r="J4589" s="22" t="s">
        <v>21807</v>
      </c>
      <c r="K4589" s="22"/>
      <c r="L4589" s="36">
        <v>820.0</v>
      </c>
      <c r="M4589" s="36">
        <v>300.0</v>
      </c>
      <c r="N4589" s="36"/>
      <c r="O4589" s="36"/>
      <c r="P4589" s="37" t="s">
        <v>969</v>
      </c>
      <c r="Q4589" s="36"/>
      <c r="R4589" s="36"/>
      <c r="S4589" s="36" t="s">
        <v>4905</v>
      </c>
      <c r="T4589" s="28" t="s">
        <v>21808</v>
      </c>
      <c r="U4589" s="38" t="str">
        <f>HYPERLINK("https://www.ncbi.nlm.nih.gov/pubmed/26496720","PubMed")</f>
        <v>PubMed</v>
      </c>
      <c r="V4589" s="30"/>
      <c r="W4589" s="156"/>
      <c r="X4589" s="49"/>
      <c r="Y4589" s="35"/>
      <c r="Z4589" s="35"/>
      <c r="AA4589" s="35"/>
      <c r="AB4589" s="35"/>
      <c r="AC4589" s="35"/>
      <c r="AD4589" s="35"/>
      <c r="AE4589" s="35"/>
      <c r="AF4589" s="35"/>
      <c r="AG4589" s="35"/>
      <c r="AH4589" s="35"/>
      <c r="AI4589" s="35"/>
      <c r="AJ4589" s="35"/>
      <c r="AK4589" s="35"/>
      <c r="AL4589" s="35"/>
    </row>
    <row r="4590">
      <c r="A4590" s="1"/>
      <c r="B4590" s="19" t="s">
        <v>19332</v>
      </c>
      <c r="C4590" s="20" t="s">
        <v>21784</v>
      </c>
      <c r="D4590" s="47"/>
      <c r="E4590" s="22" t="s">
        <v>18165</v>
      </c>
      <c r="F4590" s="22" t="s">
        <v>358</v>
      </c>
      <c r="G4590" s="23">
        <v>2012.0</v>
      </c>
      <c r="H4590" s="22" t="s">
        <v>21809</v>
      </c>
      <c r="I4590" s="24" t="s">
        <v>21810</v>
      </c>
      <c r="J4590" s="22" t="s">
        <v>55</v>
      </c>
      <c r="K4590" s="22" t="s">
        <v>1112</v>
      </c>
      <c r="L4590" s="36">
        <v>780.0</v>
      </c>
      <c r="M4590" s="36">
        <v>5.0</v>
      </c>
      <c r="N4590" s="36" t="s">
        <v>17397</v>
      </c>
      <c r="O4590" s="36"/>
      <c r="P4590" s="37"/>
      <c r="Q4590" s="36"/>
      <c r="R4590" s="36"/>
      <c r="S4590" s="36">
        <v>10.0</v>
      </c>
      <c r="T4590" s="28" t="s">
        <v>21811</v>
      </c>
      <c r="U4590" s="29" t="s">
        <v>61</v>
      </c>
      <c r="V4590" s="30"/>
      <c r="W4590" s="156"/>
      <c r="X4590" s="49"/>
      <c r="Y4590" s="35"/>
      <c r="Z4590" s="35"/>
      <c r="AA4590" s="35"/>
      <c r="AB4590" s="35"/>
      <c r="AC4590" s="35"/>
      <c r="AD4590" s="35"/>
      <c r="AE4590" s="35"/>
      <c r="AF4590" s="35"/>
      <c r="AG4590" s="35"/>
      <c r="AH4590" s="35"/>
      <c r="AI4590" s="35"/>
      <c r="AJ4590" s="35"/>
      <c r="AK4590" s="35"/>
      <c r="AL4590" s="35"/>
    </row>
    <row r="4591">
      <c r="A4591" s="1"/>
      <c r="B4591" s="19" t="s">
        <v>19332</v>
      </c>
      <c r="C4591" s="20" t="s">
        <v>21784</v>
      </c>
      <c r="D4591" s="47"/>
      <c r="E4591" s="22" t="s">
        <v>18165</v>
      </c>
      <c r="F4591" s="22" t="s">
        <v>358</v>
      </c>
      <c r="G4591" s="23">
        <v>2011.0</v>
      </c>
      <c r="H4591" s="22" t="s">
        <v>658</v>
      </c>
      <c r="I4591" s="24" t="s">
        <v>21812</v>
      </c>
      <c r="J4591" s="22" t="s">
        <v>55</v>
      </c>
      <c r="K4591" s="22" t="s">
        <v>1827</v>
      </c>
      <c r="L4591" s="36">
        <v>780.0</v>
      </c>
      <c r="M4591" s="36">
        <v>5.0</v>
      </c>
      <c r="N4591" s="36" t="s">
        <v>17397</v>
      </c>
      <c r="O4591" s="36"/>
      <c r="P4591" s="37" t="s">
        <v>21813</v>
      </c>
      <c r="Q4591" s="36" t="s">
        <v>830</v>
      </c>
      <c r="R4591" s="36"/>
      <c r="S4591" s="36"/>
      <c r="T4591" s="42" t="s">
        <v>21814</v>
      </c>
      <c r="U4591" s="38" t="str">
        <f>HYPERLINK("https://www.ncbi.nlm.nih.gov/pubmed/21745137","PubMed")</f>
        <v>PubMed</v>
      </c>
      <c r="V4591" s="30"/>
      <c r="W4591" s="156"/>
      <c r="X4591" s="49"/>
      <c r="Y4591" s="35"/>
      <c r="Z4591" s="35"/>
      <c r="AA4591" s="35"/>
      <c r="AB4591" s="35"/>
      <c r="AC4591" s="35"/>
      <c r="AD4591" s="35"/>
      <c r="AE4591" s="35"/>
      <c r="AF4591" s="35"/>
      <c r="AG4591" s="35"/>
      <c r="AH4591" s="35"/>
      <c r="AI4591" s="35"/>
      <c r="AJ4591" s="35"/>
      <c r="AK4591" s="35"/>
      <c r="AL4591" s="35"/>
    </row>
    <row r="4592">
      <c r="A4592" s="1"/>
      <c r="B4592" s="19" t="s">
        <v>19332</v>
      </c>
      <c r="C4592" s="20" t="s">
        <v>21784</v>
      </c>
      <c r="D4592" s="47"/>
      <c r="E4592" s="22" t="s">
        <v>21815</v>
      </c>
      <c r="F4592" s="22" t="s">
        <v>183</v>
      </c>
      <c r="G4592" s="23">
        <v>2010.0</v>
      </c>
      <c r="H4592" s="22" t="s">
        <v>658</v>
      </c>
      <c r="I4592" s="24" t="s">
        <v>21816</v>
      </c>
      <c r="J4592" s="22" t="s">
        <v>55</v>
      </c>
      <c r="K4592" s="22"/>
      <c r="L4592" s="36">
        <v>830.0</v>
      </c>
      <c r="M4592" s="36">
        <v>40.0</v>
      </c>
      <c r="N4592" s="36"/>
      <c r="O4592" s="36"/>
      <c r="P4592" s="37" t="s">
        <v>254</v>
      </c>
      <c r="Q4592" s="36" t="s">
        <v>11413</v>
      </c>
      <c r="R4592" s="36"/>
      <c r="S4592" s="36" t="s">
        <v>21817</v>
      </c>
      <c r="T4592" s="28" t="s">
        <v>21818</v>
      </c>
      <c r="U4592" s="38" t="str">
        <f>HYPERLINK("https://www.ncbi.nlm.nih.gov/pubmed/20666575","PubMed")</f>
        <v>PubMed</v>
      </c>
      <c r="V4592" s="30"/>
      <c r="W4592" s="156"/>
      <c r="X4592" s="49"/>
      <c r="Y4592" s="35"/>
      <c r="Z4592" s="35"/>
      <c r="AA4592" s="35"/>
      <c r="AB4592" s="35"/>
      <c r="AC4592" s="35"/>
      <c r="AD4592" s="35"/>
      <c r="AE4592" s="35"/>
      <c r="AF4592" s="35"/>
      <c r="AG4592" s="35"/>
      <c r="AH4592" s="35"/>
      <c r="AI4592" s="35"/>
      <c r="AJ4592" s="35"/>
      <c r="AK4592" s="35"/>
      <c r="AL4592" s="35"/>
    </row>
    <row r="4593">
      <c r="A4593" s="40" t="s">
        <v>38</v>
      </c>
      <c r="B4593" s="19" t="s">
        <v>19332</v>
      </c>
      <c r="C4593" s="20" t="s">
        <v>21784</v>
      </c>
      <c r="D4593" s="47"/>
      <c r="E4593" s="22" t="s">
        <v>21819</v>
      </c>
      <c r="F4593" s="22" t="s">
        <v>1891</v>
      </c>
      <c r="G4593" s="23">
        <v>2009.0</v>
      </c>
      <c r="H4593" s="22" t="s">
        <v>91</v>
      </c>
      <c r="I4593" s="24" t="s">
        <v>21820</v>
      </c>
      <c r="J4593" s="22" t="s">
        <v>21821</v>
      </c>
      <c r="K4593" s="22"/>
      <c r="L4593" s="36" t="s">
        <v>21822</v>
      </c>
      <c r="M4593" s="36"/>
      <c r="N4593" s="36"/>
      <c r="O4593" s="36"/>
      <c r="P4593" s="37" t="s">
        <v>21823</v>
      </c>
      <c r="Q4593" s="36"/>
      <c r="R4593" s="36"/>
      <c r="S4593" s="36" t="s">
        <v>4387</v>
      </c>
      <c r="T4593" s="28" t="s">
        <v>21824</v>
      </c>
      <c r="U4593" s="38" t="str">
        <f>HYPERLINK("https://www.ncbi.nlm.nih.gov/pubmed/19002646","PubMed")</f>
        <v>PubMed</v>
      </c>
      <c r="V4593" s="30"/>
      <c r="W4593" s="156"/>
      <c r="X4593" s="49"/>
      <c r="Y4593" s="35"/>
      <c r="Z4593" s="35"/>
      <c r="AA4593" s="35"/>
      <c r="AB4593" s="35"/>
      <c r="AC4593" s="35"/>
      <c r="AD4593" s="35"/>
      <c r="AE4593" s="35"/>
      <c r="AF4593" s="35"/>
      <c r="AG4593" s="35"/>
      <c r="AH4593" s="35"/>
      <c r="AI4593" s="35"/>
      <c r="AJ4593" s="35"/>
      <c r="AK4593" s="35"/>
      <c r="AL4593" s="35"/>
    </row>
    <row r="4594">
      <c r="A4594" s="1"/>
      <c r="B4594" s="19" t="s">
        <v>19332</v>
      </c>
      <c r="C4594" s="20" t="s">
        <v>21784</v>
      </c>
      <c r="D4594" s="47"/>
      <c r="E4594" s="22" t="s">
        <v>21825</v>
      </c>
      <c r="F4594" s="22" t="s">
        <v>41</v>
      </c>
      <c r="G4594" s="23">
        <v>2005.0</v>
      </c>
      <c r="H4594" s="22" t="s">
        <v>658</v>
      </c>
      <c r="I4594" s="24" t="s">
        <v>21826</v>
      </c>
      <c r="J4594" s="22" t="s">
        <v>21827</v>
      </c>
      <c r="K4594" s="22"/>
      <c r="L4594" s="36">
        <v>670.0</v>
      </c>
      <c r="M4594" s="36">
        <v>15.0</v>
      </c>
      <c r="N4594" s="36"/>
      <c r="O4594" s="36"/>
      <c r="P4594" s="37" t="s">
        <v>269</v>
      </c>
      <c r="Q4594" s="36" t="s">
        <v>21828</v>
      </c>
      <c r="R4594" s="36"/>
      <c r="S4594" s="36"/>
      <c r="T4594" s="28" t="s">
        <v>21829</v>
      </c>
      <c r="U4594" s="38" t="str">
        <f>HYPERLINK("https://www.ncbi.nlm.nih.gov/pubmed/16144479","PubMed")</f>
        <v>PubMed</v>
      </c>
      <c r="V4594" s="30"/>
      <c r="W4594" s="156"/>
      <c r="X4594" s="49"/>
      <c r="Y4594" s="35"/>
      <c r="Z4594" s="35"/>
      <c r="AA4594" s="35"/>
      <c r="AB4594" s="35"/>
      <c r="AC4594" s="35"/>
      <c r="AD4594" s="35"/>
      <c r="AE4594" s="35"/>
      <c r="AF4594" s="35"/>
      <c r="AG4594" s="35"/>
      <c r="AH4594" s="35"/>
      <c r="AI4594" s="35"/>
      <c r="AJ4594" s="35"/>
      <c r="AK4594" s="35"/>
      <c r="AL4594" s="35"/>
    </row>
    <row r="4595">
      <c r="A4595" s="1"/>
      <c r="B4595" s="19" t="s">
        <v>19332</v>
      </c>
      <c r="C4595" s="20" t="s">
        <v>21784</v>
      </c>
      <c r="D4595" s="47"/>
      <c r="E4595" s="22" t="s">
        <v>21830</v>
      </c>
      <c r="F4595" s="22" t="s">
        <v>21831</v>
      </c>
      <c r="G4595" s="23">
        <v>2003.0</v>
      </c>
      <c r="H4595" s="22" t="s">
        <v>7020</v>
      </c>
      <c r="I4595" s="24" t="s">
        <v>21832</v>
      </c>
      <c r="J4595" s="22" t="s">
        <v>21833</v>
      </c>
      <c r="K4595" s="22"/>
      <c r="L4595" s="36">
        <v>810.0</v>
      </c>
      <c r="M4595" s="36">
        <v>67.0</v>
      </c>
      <c r="N4595" s="36"/>
      <c r="O4595" s="129">
        <v>44812.0</v>
      </c>
      <c r="P4595" s="37"/>
      <c r="Q4595" s="36" t="s">
        <v>10192</v>
      </c>
      <c r="R4595" s="36">
        <v>120.0</v>
      </c>
      <c r="S4595" s="36">
        <v>1.0</v>
      </c>
      <c r="T4595" s="42" t="s">
        <v>21834</v>
      </c>
      <c r="U4595" s="38" t="str">
        <f>HYPERLINK("https://www.ncbi.nlm.nih.gov/pubmed/14499424","PubMed")</f>
        <v>PubMed</v>
      </c>
      <c r="V4595" s="30"/>
      <c r="W4595" s="156"/>
      <c r="X4595" s="49"/>
      <c r="Y4595" s="35"/>
      <c r="Z4595" s="35"/>
      <c r="AA4595" s="35"/>
      <c r="AB4595" s="35"/>
      <c r="AC4595" s="35"/>
      <c r="AD4595" s="35"/>
      <c r="AE4595" s="35"/>
      <c r="AF4595" s="35"/>
      <c r="AG4595" s="35"/>
      <c r="AH4595" s="35"/>
      <c r="AI4595" s="35"/>
      <c r="AJ4595" s="35"/>
      <c r="AK4595" s="35"/>
      <c r="AL4595" s="35"/>
    </row>
    <row r="4596">
      <c r="A4596" s="1"/>
      <c r="B4596" s="19" t="s">
        <v>19332</v>
      </c>
      <c r="C4596" s="20" t="s">
        <v>21835</v>
      </c>
      <c r="D4596" s="47"/>
      <c r="E4596" s="22" t="s">
        <v>21836</v>
      </c>
      <c r="F4596" s="22" t="s">
        <v>323</v>
      </c>
      <c r="G4596" s="23">
        <v>2021.0</v>
      </c>
      <c r="H4596" s="22" t="s">
        <v>147</v>
      </c>
      <c r="I4596" s="24" t="s">
        <v>21837</v>
      </c>
      <c r="J4596" s="22" t="s">
        <v>21838</v>
      </c>
      <c r="K4596" s="22" t="s">
        <v>157</v>
      </c>
      <c r="L4596" s="36">
        <v>620.0</v>
      </c>
      <c r="M4596" s="36"/>
      <c r="N4596" s="36" t="s">
        <v>1018</v>
      </c>
      <c r="O4596" s="36"/>
      <c r="P4596" s="37" t="s">
        <v>480</v>
      </c>
      <c r="Q4596" s="36" t="s">
        <v>21839</v>
      </c>
      <c r="R4596" s="36">
        <v>1200.0</v>
      </c>
      <c r="S4596" s="36" t="s">
        <v>3849</v>
      </c>
      <c r="T4596" s="41" t="s">
        <v>21840</v>
      </c>
      <c r="U4596" s="29" t="s">
        <v>61</v>
      </c>
      <c r="V4596" s="50"/>
      <c r="W4596" s="49"/>
      <c r="X4596" s="49"/>
      <c r="Y4596" s="35"/>
      <c r="Z4596" s="35"/>
      <c r="AA4596" s="35"/>
      <c r="AB4596" s="35"/>
      <c r="AC4596" s="35"/>
      <c r="AD4596" s="35"/>
      <c r="AE4596" s="35"/>
      <c r="AF4596" s="35"/>
      <c r="AG4596" s="35"/>
      <c r="AH4596" s="35"/>
      <c r="AI4596" s="35"/>
      <c r="AJ4596" s="35"/>
      <c r="AK4596" s="35"/>
      <c r="AL4596" s="35"/>
    </row>
    <row r="4597">
      <c r="A4597" s="1"/>
      <c r="B4597" s="19" t="s">
        <v>19332</v>
      </c>
      <c r="C4597" s="20" t="s">
        <v>21835</v>
      </c>
      <c r="D4597" s="47"/>
      <c r="E4597" s="22" t="s">
        <v>21841</v>
      </c>
      <c r="F4597" s="22" t="s">
        <v>605</v>
      </c>
      <c r="G4597" s="23">
        <v>2015.0</v>
      </c>
      <c r="H4597" s="22" t="s">
        <v>658</v>
      </c>
      <c r="I4597" s="24" t="s">
        <v>21842</v>
      </c>
      <c r="J4597" s="22" t="s">
        <v>21843</v>
      </c>
      <c r="K4597" s="22"/>
      <c r="L4597" s="36">
        <v>1064.0</v>
      </c>
      <c r="M4597" s="36">
        <v>500.0</v>
      </c>
      <c r="N4597" s="36"/>
      <c r="O4597" s="36"/>
      <c r="P4597" s="37" t="s">
        <v>70</v>
      </c>
      <c r="Q4597" s="36"/>
      <c r="R4597" s="36">
        <v>60.0</v>
      </c>
      <c r="S4597" s="36" t="s">
        <v>21844</v>
      </c>
      <c r="T4597" s="42" t="s">
        <v>21845</v>
      </c>
      <c r="U4597" s="38" t="str">
        <f>HYPERLINK("https://www.ncbi.nlm.nih.gov/pubmed/25764523","PubMed")</f>
        <v>PubMed</v>
      </c>
      <c r="V4597" s="50"/>
      <c r="W4597" s="49"/>
      <c r="X4597" s="49"/>
      <c r="Y4597" s="35"/>
      <c r="Z4597" s="35"/>
      <c r="AA4597" s="35"/>
      <c r="AB4597" s="35"/>
      <c r="AC4597" s="35"/>
      <c r="AD4597" s="35"/>
      <c r="AE4597" s="35"/>
      <c r="AF4597" s="35"/>
      <c r="AG4597" s="35"/>
      <c r="AH4597" s="35"/>
      <c r="AI4597" s="35"/>
      <c r="AJ4597" s="35"/>
      <c r="AK4597" s="35"/>
      <c r="AL4597" s="35"/>
    </row>
    <row r="4598">
      <c r="A4598" s="1"/>
      <c r="B4598" s="19" t="s">
        <v>19332</v>
      </c>
      <c r="C4598" s="20" t="s">
        <v>21846</v>
      </c>
      <c r="D4598" s="47"/>
      <c r="E4598" s="22" t="s">
        <v>21847</v>
      </c>
      <c r="F4598" s="22" t="s">
        <v>2076</v>
      </c>
      <c r="G4598" s="23">
        <v>2001.0</v>
      </c>
      <c r="H4598" s="22" t="s">
        <v>1289</v>
      </c>
      <c r="I4598" s="24" t="s">
        <v>21848</v>
      </c>
      <c r="J4598" s="22" t="s">
        <v>21849</v>
      </c>
      <c r="K4598" s="22"/>
      <c r="L4598" s="36">
        <v>830.0</v>
      </c>
      <c r="M4598" s="36">
        <v>30.0</v>
      </c>
      <c r="N4598" s="36"/>
      <c r="O4598" s="36"/>
      <c r="P4598" s="37"/>
      <c r="Q4598" s="36"/>
      <c r="R4598" s="36"/>
      <c r="S4598" s="36">
        <v>4.0</v>
      </c>
      <c r="T4598" s="28" t="s">
        <v>21850</v>
      </c>
      <c r="U4598" s="38" t="str">
        <f>HYPERLINK("https://www.ncbi.nlm.nih.gov/pubmed/11523860","PubMed")</f>
        <v>PubMed</v>
      </c>
      <c r="V4598" s="50"/>
      <c r="W4598" s="49"/>
      <c r="X4598" s="49"/>
      <c r="Y4598" s="35"/>
      <c r="Z4598" s="35"/>
      <c r="AA4598" s="35"/>
      <c r="AB4598" s="35"/>
      <c r="AC4598" s="35"/>
      <c r="AD4598" s="35"/>
      <c r="AE4598" s="35"/>
      <c r="AF4598" s="35"/>
      <c r="AG4598" s="35"/>
      <c r="AH4598" s="35"/>
      <c r="AI4598" s="35"/>
      <c r="AJ4598" s="35"/>
      <c r="AK4598" s="35"/>
      <c r="AL4598" s="35"/>
    </row>
    <row r="4599">
      <c r="A4599" s="1"/>
      <c r="B4599" s="19" t="s">
        <v>19332</v>
      </c>
      <c r="C4599" s="20" t="s">
        <v>21851</v>
      </c>
      <c r="D4599" s="47"/>
      <c r="E4599" s="22" t="s">
        <v>21852</v>
      </c>
      <c r="F4599" s="22" t="s">
        <v>323</v>
      </c>
      <c r="G4599" s="23">
        <v>2024.0</v>
      </c>
      <c r="H4599" s="22" t="s">
        <v>21853</v>
      </c>
      <c r="I4599" s="24" t="s">
        <v>21854</v>
      </c>
      <c r="J4599" s="22" t="s">
        <v>125</v>
      </c>
      <c r="K4599" s="22"/>
      <c r="L4599" s="196" t="s">
        <v>21855</v>
      </c>
      <c r="U4599" s="38" t="s">
        <v>61</v>
      </c>
      <c r="V4599" s="50"/>
      <c r="W4599" s="49"/>
      <c r="X4599" s="49"/>
      <c r="Y4599" s="35"/>
      <c r="Z4599" s="35"/>
      <c r="AA4599" s="35"/>
      <c r="AB4599" s="35"/>
      <c r="AC4599" s="35"/>
      <c r="AD4599" s="35"/>
      <c r="AE4599" s="35"/>
      <c r="AF4599" s="35"/>
      <c r="AG4599" s="35"/>
      <c r="AH4599" s="35"/>
      <c r="AI4599" s="35"/>
      <c r="AJ4599" s="35"/>
      <c r="AK4599" s="35"/>
      <c r="AL4599" s="35"/>
    </row>
    <row r="4600">
      <c r="A4600" s="1"/>
      <c r="B4600" s="19" t="s">
        <v>19332</v>
      </c>
      <c r="C4600" s="20" t="s">
        <v>21856</v>
      </c>
      <c r="D4600" s="47"/>
      <c r="E4600" s="22" t="s">
        <v>21857</v>
      </c>
      <c r="F4600" s="22" t="s">
        <v>21858</v>
      </c>
      <c r="G4600" s="23">
        <v>2022.0</v>
      </c>
      <c r="H4600" s="22" t="s">
        <v>77</v>
      </c>
      <c r="I4600" s="24" t="s">
        <v>21859</v>
      </c>
      <c r="J4600" s="22" t="s">
        <v>21860</v>
      </c>
      <c r="K4600" s="22"/>
      <c r="L4600" s="36"/>
      <c r="M4600" s="36"/>
      <c r="N4600" s="36"/>
      <c r="O4600" s="36"/>
      <c r="P4600" s="37"/>
      <c r="Q4600" s="36"/>
      <c r="R4600" s="36"/>
      <c r="S4600" s="36"/>
      <c r="T4600" s="28" t="s">
        <v>21861</v>
      </c>
      <c r="U4600" s="29" t="s">
        <v>61</v>
      </c>
      <c r="V4600" s="30" t="s">
        <v>174</v>
      </c>
      <c r="W4600" s="49"/>
      <c r="X4600" s="49"/>
      <c r="Y4600" s="35"/>
      <c r="Z4600" s="35"/>
      <c r="AA4600" s="35"/>
      <c r="AB4600" s="35"/>
      <c r="AC4600" s="35"/>
      <c r="AD4600" s="35"/>
      <c r="AE4600" s="35"/>
      <c r="AF4600" s="35"/>
      <c r="AG4600" s="35"/>
      <c r="AH4600" s="35"/>
      <c r="AI4600" s="35"/>
      <c r="AJ4600" s="35"/>
      <c r="AK4600" s="35"/>
      <c r="AL4600" s="35"/>
    </row>
    <row r="4601">
      <c r="A4601" s="1"/>
      <c r="B4601" s="19" t="s">
        <v>19332</v>
      </c>
      <c r="C4601" s="20" t="s">
        <v>21862</v>
      </c>
      <c r="D4601" s="47"/>
      <c r="E4601" s="22" t="s">
        <v>16953</v>
      </c>
      <c r="F4601" s="22" t="s">
        <v>21863</v>
      </c>
      <c r="G4601" s="23">
        <v>2019.0</v>
      </c>
      <c r="H4601" s="22" t="s">
        <v>17640</v>
      </c>
      <c r="I4601" s="24" t="s">
        <v>21864</v>
      </c>
      <c r="J4601" s="22" t="s">
        <v>21865</v>
      </c>
      <c r="K4601" s="22"/>
      <c r="L4601" s="36">
        <v>808.0</v>
      </c>
      <c r="M4601" s="36"/>
      <c r="N4601" s="36"/>
      <c r="O4601" s="36"/>
      <c r="P4601" s="37"/>
      <c r="Q4601" s="36"/>
      <c r="R4601" s="36"/>
      <c r="S4601" s="36" t="s">
        <v>7730</v>
      </c>
      <c r="T4601" s="28" t="s">
        <v>21866</v>
      </c>
      <c r="U4601" s="38" t="str">
        <f>HYPERLINK("https://www.ncbi.nlm.nih.gov/pubmed/31808584","PubMed")</f>
        <v>PubMed</v>
      </c>
      <c r="V4601" s="50"/>
      <c r="W4601" s="49"/>
      <c r="X4601" s="49"/>
      <c r="Y4601" s="35"/>
      <c r="Z4601" s="35"/>
      <c r="AA4601" s="35"/>
      <c r="AB4601" s="35"/>
      <c r="AC4601" s="35"/>
      <c r="AD4601" s="35"/>
      <c r="AE4601" s="35"/>
      <c r="AF4601" s="35"/>
      <c r="AG4601" s="35"/>
      <c r="AH4601" s="35"/>
      <c r="AI4601" s="35"/>
      <c r="AJ4601" s="35"/>
      <c r="AK4601" s="35"/>
      <c r="AL4601" s="35"/>
    </row>
    <row r="4602">
      <c r="A4602" s="1"/>
      <c r="B4602" s="19" t="s">
        <v>19332</v>
      </c>
      <c r="C4602" s="20" t="s">
        <v>21867</v>
      </c>
      <c r="D4602" s="47"/>
      <c r="E4602" s="22" t="s">
        <v>10014</v>
      </c>
      <c r="F4602" s="22" t="s">
        <v>1576</v>
      </c>
      <c r="G4602" s="23">
        <v>2012.0</v>
      </c>
      <c r="H4602" s="22" t="s">
        <v>91</v>
      </c>
      <c r="I4602" s="24" t="s">
        <v>21868</v>
      </c>
      <c r="J4602" s="22" t="s">
        <v>21869</v>
      </c>
      <c r="K4602" s="22"/>
      <c r="L4602" s="36">
        <v>660.0</v>
      </c>
      <c r="M4602" s="36">
        <v>100.0</v>
      </c>
      <c r="N4602" s="36" t="s">
        <v>21870</v>
      </c>
      <c r="O4602" s="36"/>
      <c r="P4602" s="37"/>
      <c r="Q4602" s="36" t="s">
        <v>938</v>
      </c>
      <c r="R4602" s="36"/>
      <c r="S4602" s="36">
        <v>4.0</v>
      </c>
      <c r="T4602" s="28" t="s">
        <v>21871</v>
      </c>
      <c r="U4602" s="38" t="str">
        <f>HYPERLINK("https://www.ncbi.nlm.nih.gov/pubmed/22843311","PubMed")</f>
        <v>PubMed</v>
      </c>
      <c r="V4602" s="30"/>
      <c r="W4602" s="156"/>
      <c r="X4602" s="49"/>
      <c r="Y4602" s="35"/>
      <c r="Z4602" s="35"/>
      <c r="AA4602" s="35"/>
      <c r="AB4602" s="35"/>
      <c r="AC4602" s="35"/>
      <c r="AD4602" s="35"/>
      <c r="AE4602" s="35"/>
      <c r="AF4602" s="35"/>
      <c r="AG4602" s="35"/>
      <c r="AH4602" s="35"/>
      <c r="AI4602" s="35"/>
      <c r="AJ4602" s="35"/>
      <c r="AK4602" s="35"/>
      <c r="AL4602" s="35"/>
    </row>
    <row r="4603">
      <c r="A4603" s="1"/>
      <c r="B4603" s="19" t="s">
        <v>19332</v>
      </c>
      <c r="C4603" s="20" t="s">
        <v>21872</v>
      </c>
      <c r="D4603" s="47"/>
      <c r="E4603" s="22" t="s">
        <v>21873</v>
      </c>
      <c r="F4603" s="22" t="s">
        <v>10477</v>
      </c>
      <c r="G4603" s="23">
        <v>2017.0</v>
      </c>
      <c r="H4603" s="22" t="s">
        <v>147</v>
      </c>
      <c r="I4603" s="24" t="s">
        <v>21874</v>
      </c>
      <c r="J4603" s="22" t="s">
        <v>21875</v>
      </c>
      <c r="K4603" s="22"/>
      <c r="L4603" s="36">
        <v>810.0</v>
      </c>
      <c r="M4603" s="36">
        <v>1000.0</v>
      </c>
      <c r="N4603" s="36"/>
      <c r="O4603" s="36"/>
      <c r="P4603" s="37"/>
      <c r="Q4603" s="36"/>
      <c r="R4603" s="36"/>
      <c r="S4603" s="36"/>
      <c r="T4603" s="28" t="s">
        <v>21876</v>
      </c>
      <c r="U4603" s="38" t="str">
        <f>HYPERLINK("https://www.ncbi.nlm.nih.gov/pubmed/29123637","PubMed")</f>
        <v>PubMed</v>
      </c>
      <c r="V4603" s="30"/>
      <c r="W4603" s="156"/>
      <c r="X4603" s="49"/>
      <c r="Y4603" s="35"/>
      <c r="Z4603" s="35"/>
      <c r="AA4603" s="35"/>
      <c r="AB4603" s="35"/>
      <c r="AC4603" s="35"/>
      <c r="AD4603" s="35"/>
      <c r="AE4603" s="35"/>
      <c r="AF4603" s="35"/>
      <c r="AG4603" s="35"/>
      <c r="AH4603" s="35"/>
      <c r="AI4603" s="35"/>
      <c r="AJ4603" s="35"/>
      <c r="AK4603" s="35"/>
      <c r="AL4603" s="35"/>
    </row>
    <row r="4604">
      <c r="A4604" s="1"/>
      <c r="B4604" s="19" t="s">
        <v>19332</v>
      </c>
      <c r="C4604" s="20" t="s">
        <v>21877</v>
      </c>
      <c r="D4604" s="47"/>
      <c r="E4604" s="22" t="s">
        <v>965</v>
      </c>
      <c r="F4604" s="22" t="s">
        <v>19727</v>
      </c>
      <c r="G4604" s="23">
        <v>2021.0</v>
      </c>
      <c r="H4604" s="22" t="s">
        <v>561</v>
      </c>
      <c r="I4604" s="24" t="s">
        <v>21878</v>
      </c>
      <c r="J4604" s="22" t="s">
        <v>21879</v>
      </c>
      <c r="K4604" s="22"/>
      <c r="L4604" s="36"/>
      <c r="M4604" s="36"/>
      <c r="N4604" s="36"/>
      <c r="O4604" s="36"/>
      <c r="P4604" s="37"/>
      <c r="Q4604" s="36"/>
      <c r="R4604" s="36"/>
      <c r="S4604" s="36" t="s">
        <v>7333</v>
      </c>
      <c r="T4604" s="28" t="s">
        <v>21880</v>
      </c>
      <c r="U4604" s="29" t="s">
        <v>61</v>
      </c>
      <c r="V4604" s="30"/>
      <c r="W4604" s="156"/>
      <c r="X4604" s="49"/>
      <c r="Y4604" s="35"/>
      <c r="Z4604" s="35"/>
      <c r="AA4604" s="35"/>
      <c r="AB4604" s="35"/>
      <c r="AC4604" s="35"/>
      <c r="AD4604" s="35"/>
      <c r="AE4604" s="35"/>
      <c r="AF4604" s="35"/>
      <c r="AG4604" s="35"/>
      <c r="AH4604" s="35"/>
      <c r="AI4604" s="35"/>
      <c r="AJ4604" s="35"/>
      <c r="AK4604" s="35"/>
      <c r="AL4604" s="35"/>
    </row>
    <row r="4605">
      <c r="A4605" s="1"/>
      <c r="B4605" s="19" t="s">
        <v>19332</v>
      </c>
      <c r="C4605" s="20" t="s">
        <v>21881</v>
      </c>
      <c r="D4605" s="47"/>
      <c r="E4605" s="22" t="s">
        <v>21882</v>
      </c>
      <c r="F4605" s="22" t="s">
        <v>21142</v>
      </c>
      <c r="G4605" s="23">
        <v>2020.0</v>
      </c>
      <c r="H4605" s="22" t="s">
        <v>147</v>
      </c>
      <c r="I4605" s="24" t="s">
        <v>21883</v>
      </c>
      <c r="J4605" s="22" t="s">
        <v>21884</v>
      </c>
      <c r="K4605" s="22"/>
      <c r="L4605" s="36">
        <v>660.0</v>
      </c>
      <c r="M4605" s="36">
        <v>30.0</v>
      </c>
      <c r="N4605" s="36"/>
      <c r="O4605" s="36"/>
      <c r="P4605" s="37" t="s">
        <v>21582</v>
      </c>
      <c r="Q4605" s="36"/>
      <c r="R4605" s="36" t="s">
        <v>21885</v>
      </c>
      <c r="S4605" s="36" t="s">
        <v>7986</v>
      </c>
      <c r="T4605" s="28" t="s">
        <v>21886</v>
      </c>
      <c r="U4605" s="29" t="s">
        <v>61</v>
      </c>
      <c r="V4605" s="30"/>
      <c r="W4605" s="156"/>
      <c r="X4605" s="49"/>
      <c r="Y4605" s="35"/>
      <c r="Z4605" s="35"/>
      <c r="AA4605" s="35"/>
      <c r="AB4605" s="35"/>
      <c r="AC4605" s="35"/>
      <c r="AD4605" s="35"/>
      <c r="AE4605" s="35"/>
      <c r="AF4605" s="35"/>
      <c r="AG4605" s="35"/>
      <c r="AH4605" s="35"/>
      <c r="AI4605" s="35"/>
      <c r="AJ4605" s="35"/>
      <c r="AK4605" s="35"/>
      <c r="AL4605" s="35"/>
    </row>
    <row r="4606">
      <c r="A4606" s="1"/>
      <c r="B4606" s="19" t="s">
        <v>19332</v>
      </c>
      <c r="C4606" s="20" t="s">
        <v>21887</v>
      </c>
      <c r="D4606" s="47"/>
      <c r="E4606" s="22" t="s">
        <v>7600</v>
      </c>
      <c r="F4606" s="22" t="s">
        <v>41</v>
      </c>
      <c r="G4606" s="23">
        <v>2023.0</v>
      </c>
      <c r="H4606" s="22" t="s">
        <v>147</v>
      </c>
      <c r="I4606" s="24" t="s">
        <v>21888</v>
      </c>
      <c r="J4606" s="22" t="s">
        <v>2273</v>
      </c>
      <c r="K4606" s="22"/>
      <c r="L4606" s="52">
        <v>808.0</v>
      </c>
      <c r="M4606" s="52">
        <v>100.0</v>
      </c>
      <c r="N4606" s="52"/>
      <c r="O4606" s="52">
        <v>3.0</v>
      </c>
      <c r="P4606" s="189" t="s">
        <v>2733</v>
      </c>
      <c r="Q4606" s="52"/>
      <c r="R4606" s="52" t="s">
        <v>16277</v>
      </c>
      <c r="S4606" s="52" t="s">
        <v>8311</v>
      </c>
      <c r="T4606" s="28" t="s">
        <v>21889</v>
      </c>
      <c r="U4606" s="38" t="s">
        <v>61</v>
      </c>
      <c r="V4606" s="30"/>
      <c r="W4606" s="156"/>
      <c r="X4606" s="49"/>
      <c r="Y4606" s="35"/>
      <c r="Z4606" s="35"/>
      <c r="AA4606" s="35"/>
      <c r="AB4606" s="35"/>
      <c r="AC4606" s="35"/>
      <c r="AD4606" s="35"/>
      <c r="AE4606" s="35"/>
      <c r="AF4606" s="35"/>
      <c r="AG4606" s="35"/>
      <c r="AH4606" s="35"/>
      <c r="AI4606" s="35"/>
      <c r="AJ4606" s="35"/>
      <c r="AK4606" s="35"/>
      <c r="AL4606" s="35"/>
    </row>
    <row r="4607">
      <c r="A4607" s="1"/>
      <c r="B4607" s="19" t="s">
        <v>19332</v>
      </c>
      <c r="C4607" s="20" t="s">
        <v>21887</v>
      </c>
      <c r="D4607" s="47"/>
      <c r="E4607" s="22" t="s">
        <v>21890</v>
      </c>
      <c r="F4607" s="22" t="s">
        <v>2208</v>
      </c>
      <c r="G4607" s="23">
        <v>2023.0</v>
      </c>
      <c r="H4607" s="22" t="s">
        <v>21009</v>
      </c>
      <c r="I4607" s="24" t="s">
        <v>21891</v>
      </c>
      <c r="J4607" s="22" t="s">
        <v>20771</v>
      </c>
      <c r="K4607" s="22"/>
      <c r="L4607" s="52">
        <v>940.0</v>
      </c>
      <c r="M4607" s="52"/>
      <c r="N4607" s="52"/>
      <c r="O4607" s="52"/>
      <c r="P4607" s="189"/>
      <c r="Q4607" s="52"/>
      <c r="R4607" s="52"/>
      <c r="S4607" s="52"/>
      <c r="T4607" s="28" t="s">
        <v>21892</v>
      </c>
      <c r="U4607" s="38" t="s">
        <v>61</v>
      </c>
      <c r="V4607" s="30"/>
      <c r="W4607" s="156"/>
      <c r="X4607" s="49"/>
      <c r="Y4607" s="35"/>
      <c r="Z4607" s="35"/>
      <c r="AA4607" s="35"/>
      <c r="AB4607" s="35"/>
      <c r="AC4607" s="35"/>
      <c r="AD4607" s="35"/>
      <c r="AE4607" s="35"/>
      <c r="AF4607" s="35"/>
      <c r="AG4607" s="35"/>
      <c r="AH4607" s="35"/>
      <c r="AI4607" s="35"/>
      <c r="AJ4607" s="35"/>
      <c r="AK4607" s="35"/>
      <c r="AL4607" s="35"/>
    </row>
    <row r="4608">
      <c r="A4608" s="1"/>
      <c r="B4608" s="19" t="s">
        <v>19332</v>
      </c>
      <c r="C4608" s="20" t="s">
        <v>21887</v>
      </c>
      <c r="D4608" s="47"/>
      <c r="E4608" s="22" t="s">
        <v>388</v>
      </c>
      <c r="F4608" s="22" t="s">
        <v>41</v>
      </c>
      <c r="G4608" s="23">
        <v>2021.0</v>
      </c>
      <c r="H4608" s="22" t="s">
        <v>77</v>
      </c>
      <c r="I4608" s="24" t="s">
        <v>21893</v>
      </c>
      <c r="J4608" s="22" t="s">
        <v>21894</v>
      </c>
      <c r="K4608" s="22" t="s">
        <v>21895</v>
      </c>
      <c r="L4608" s="52">
        <v>808.0</v>
      </c>
      <c r="M4608" s="52">
        <v>100.0</v>
      </c>
      <c r="N4608" s="52"/>
      <c r="O4608" s="52" t="s">
        <v>21896</v>
      </c>
      <c r="P4608" s="189"/>
      <c r="Q4608" s="52"/>
      <c r="R4608" s="52" t="s">
        <v>21897</v>
      </c>
      <c r="S4608" s="52"/>
      <c r="T4608" s="28" t="s">
        <v>21898</v>
      </c>
      <c r="U4608" s="29" t="s">
        <v>61</v>
      </c>
      <c r="V4608" s="30" t="s">
        <v>174</v>
      </c>
      <c r="W4608" s="156"/>
      <c r="X4608" s="49"/>
      <c r="Y4608" s="35"/>
      <c r="Z4608" s="35"/>
      <c r="AA4608" s="35"/>
      <c r="AB4608" s="35"/>
      <c r="AC4608" s="35"/>
      <c r="AD4608" s="35"/>
      <c r="AE4608" s="35"/>
      <c r="AF4608" s="35"/>
      <c r="AG4608" s="35"/>
      <c r="AH4608" s="35"/>
      <c r="AI4608" s="35"/>
      <c r="AJ4608" s="35"/>
      <c r="AK4608" s="35"/>
      <c r="AL4608" s="35"/>
    </row>
    <row r="4609">
      <c r="A4609" s="40"/>
      <c r="B4609" s="19" t="s">
        <v>19332</v>
      </c>
      <c r="C4609" s="20" t="s">
        <v>21899</v>
      </c>
      <c r="D4609" s="47"/>
      <c r="E4609" s="22" t="s">
        <v>21900</v>
      </c>
      <c r="F4609" s="22" t="s">
        <v>21901</v>
      </c>
      <c r="G4609" s="23">
        <v>2024.0</v>
      </c>
      <c r="H4609" s="22" t="s">
        <v>77</v>
      </c>
      <c r="I4609" s="24" t="s">
        <v>21902</v>
      </c>
      <c r="J4609" s="22" t="s">
        <v>21903</v>
      </c>
      <c r="K4609" s="22"/>
      <c r="L4609" s="52">
        <v>810.0</v>
      </c>
      <c r="M4609" s="52">
        <v>200.0</v>
      </c>
      <c r="N4609" s="52"/>
      <c r="O4609" s="52"/>
      <c r="P4609" s="189"/>
      <c r="Q4609" s="52"/>
      <c r="R4609" s="52" t="s">
        <v>21904</v>
      </c>
      <c r="S4609" s="52" t="s">
        <v>2688</v>
      </c>
      <c r="T4609" s="42" t="s">
        <v>21905</v>
      </c>
      <c r="U4609" s="38" t="s">
        <v>61</v>
      </c>
      <c r="V4609" s="30" t="s">
        <v>174</v>
      </c>
      <c r="W4609" s="156"/>
      <c r="X4609" s="49"/>
      <c r="Y4609" s="35"/>
      <c r="Z4609" s="35"/>
      <c r="AA4609" s="35"/>
      <c r="AB4609" s="35"/>
      <c r="AC4609" s="35"/>
      <c r="AD4609" s="35"/>
      <c r="AE4609" s="35"/>
      <c r="AF4609" s="35"/>
      <c r="AG4609" s="35"/>
      <c r="AH4609" s="35"/>
      <c r="AI4609" s="35"/>
      <c r="AJ4609" s="35"/>
      <c r="AK4609" s="35"/>
      <c r="AL4609" s="35"/>
    </row>
    <row r="4610">
      <c r="A4610" s="40"/>
      <c r="B4610" s="19" t="s">
        <v>19332</v>
      </c>
      <c r="C4610" s="20" t="s">
        <v>21899</v>
      </c>
      <c r="D4610" s="47"/>
      <c r="E4610" s="22" t="s">
        <v>18103</v>
      </c>
      <c r="F4610" s="22" t="s">
        <v>1046</v>
      </c>
      <c r="G4610" s="23">
        <v>2024.0</v>
      </c>
      <c r="H4610" s="22" t="s">
        <v>77</v>
      </c>
      <c r="I4610" s="24" t="s">
        <v>21906</v>
      </c>
      <c r="J4610" s="22" t="s">
        <v>21907</v>
      </c>
      <c r="K4610" s="22"/>
      <c r="L4610" s="52"/>
      <c r="M4610" s="52"/>
      <c r="N4610" s="52"/>
      <c r="O4610" s="52"/>
      <c r="P4610" s="189"/>
      <c r="Q4610" s="52"/>
      <c r="R4610" s="52"/>
      <c r="S4610" s="52">
        <v>10.0</v>
      </c>
      <c r="T4610" s="28" t="s">
        <v>21908</v>
      </c>
      <c r="U4610" s="38" t="s">
        <v>61</v>
      </c>
      <c r="V4610" s="30" t="s">
        <v>174</v>
      </c>
      <c r="W4610" s="156"/>
      <c r="X4610" s="49"/>
      <c r="Y4610" s="35"/>
      <c r="Z4610" s="35"/>
      <c r="AA4610" s="35"/>
      <c r="AB4610" s="35"/>
      <c r="AC4610" s="35"/>
      <c r="AD4610" s="35"/>
      <c r="AE4610" s="35"/>
      <c r="AF4610" s="35"/>
      <c r="AG4610" s="35"/>
      <c r="AH4610" s="35"/>
      <c r="AI4610" s="35"/>
      <c r="AJ4610" s="35"/>
      <c r="AK4610" s="35"/>
      <c r="AL4610" s="35"/>
    </row>
    <row r="4611">
      <c r="A4611" s="40"/>
      <c r="B4611" s="19" t="s">
        <v>19332</v>
      </c>
      <c r="C4611" s="20" t="s">
        <v>21899</v>
      </c>
      <c r="D4611" s="47"/>
      <c r="E4611" s="22" t="s">
        <v>312</v>
      </c>
      <c r="F4611" s="22" t="s">
        <v>18971</v>
      </c>
      <c r="G4611" s="23">
        <v>2024.0</v>
      </c>
      <c r="H4611" s="22" t="s">
        <v>21909</v>
      </c>
      <c r="I4611" s="24" t="s">
        <v>21910</v>
      </c>
      <c r="J4611" s="22" t="s">
        <v>21911</v>
      </c>
      <c r="K4611" s="22" t="s">
        <v>21912</v>
      </c>
      <c r="L4611" s="52">
        <v>808.0</v>
      </c>
      <c r="M4611" s="52">
        <v>30.0</v>
      </c>
      <c r="N4611" s="52"/>
      <c r="O4611" s="52"/>
      <c r="P4611" s="189" t="s">
        <v>95</v>
      </c>
      <c r="Q4611" s="52"/>
      <c r="R4611" s="52"/>
      <c r="S4611" s="52" t="s">
        <v>21913</v>
      </c>
      <c r="T4611" s="28" t="s">
        <v>21914</v>
      </c>
      <c r="U4611" s="38" t="s">
        <v>61</v>
      </c>
      <c r="V4611" s="30"/>
      <c r="W4611" s="156"/>
      <c r="X4611" s="49"/>
      <c r="Y4611" s="35"/>
      <c r="Z4611" s="35"/>
      <c r="AA4611" s="35"/>
      <c r="AB4611" s="35"/>
      <c r="AC4611" s="35"/>
      <c r="AD4611" s="35"/>
      <c r="AE4611" s="35"/>
      <c r="AF4611" s="35"/>
      <c r="AG4611" s="35"/>
      <c r="AH4611" s="35"/>
      <c r="AI4611" s="35"/>
      <c r="AJ4611" s="35"/>
      <c r="AK4611" s="35"/>
      <c r="AL4611" s="35"/>
    </row>
    <row r="4612">
      <c r="A4612" s="40" t="s">
        <v>38</v>
      </c>
      <c r="B4612" s="19" t="s">
        <v>19332</v>
      </c>
      <c r="C4612" s="20" t="s">
        <v>21899</v>
      </c>
      <c r="D4612" s="47"/>
      <c r="E4612" s="22" t="s">
        <v>21915</v>
      </c>
      <c r="F4612" s="22" t="s">
        <v>979</v>
      </c>
      <c r="G4612" s="23">
        <v>2024.0</v>
      </c>
      <c r="H4612" s="22" t="s">
        <v>91</v>
      </c>
      <c r="I4612" s="24" t="s">
        <v>21916</v>
      </c>
      <c r="J4612" s="22" t="s">
        <v>21917</v>
      </c>
      <c r="K4612" s="22" t="s">
        <v>21918</v>
      </c>
      <c r="L4612" s="52" t="s">
        <v>21919</v>
      </c>
      <c r="M4612" s="52"/>
      <c r="N4612" s="52"/>
      <c r="O4612" s="52"/>
      <c r="P4612" s="189"/>
      <c r="Q4612" s="52"/>
      <c r="R4612" s="52"/>
      <c r="S4612" s="52"/>
      <c r="T4612" s="28" t="s">
        <v>21920</v>
      </c>
      <c r="U4612" s="38" t="s">
        <v>61</v>
      </c>
      <c r="V4612" s="30"/>
      <c r="W4612" s="156"/>
      <c r="X4612" s="49"/>
      <c r="Y4612" s="35"/>
      <c r="Z4612" s="35"/>
      <c r="AA4612" s="35"/>
      <c r="AB4612" s="35"/>
      <c r="AC4612" s="35"/>
      <c r="AD4612" s="35"/>
      <c r="AE4612" s="35"/>
      <c r="AF4612" s="35"/>
      <c r="AG4612" s="35"/>
      <c r="AH4612" s="35"/>
      <c r="AI4612" s="35"/>
      <c r="AJ4612" s="35"/>
      <c r="AK4612" s="35"/>
      <c r="AL4612" s="35"/>
    </row>
    <row r="4613">
      <c r="A4613" s="1"/>
      <c r="B4613" s="19" t="s">
        <v>19332</v>
      </c>
      <c r="C4613" s="20" t="s">
        <v>21899</v>
      </c>
      <c r="D4613" s="47"/>
      <c r="E4613" s="22" t="s">
        <v>21921</v>
      </c>
      <c r="F4613" s="22" t="s">
        <v>21922</v>
      </c>
      <c r="G4613" s="23">
        <v>2023.0</v>
      </c>
      <c r="H4613" s="22" t="s">
        <v>77</v>
      </c>
      <c r="I4613" s="24" t="s">
        <v>21923</v>
      </c>
      <c r="J4613" s="22" t="s">
        <v>55</v>
      </c>
      <c r="K4613" s="22"/>
      <c r="L4613" s="52">
        <v>940.0</v>
      </c>
      <c r="M4613" s="52"/>
      <c r="N4613" s="52"/>
      <c r="O4613" s="52"/>
      <c r="P4613" s="189" t="s">
        <v>70</v>
      </c>
      <c r="Q4613" s="52"/>
      <c r="R4613" s="52"/>
      <c r="S4613" s="52" t="s">
        <v>35</v>
      </c>
      <c r="T4613" s="28" t="s">
        <v>21924</v>
      </c>
      <c r="U4613" s="38" t="s">
        <v>61</v>
      </c>
      <c r="V4613" s="30"/>
      <c r="W4613" s="156"/>
      <c r="X4613" s="49"/>
      <c r="Y4613" s="35"/>
      <c r="Z4613" s="35"/>
      <c r="AA4613" s="35"/>
      <c r="AB4613" s="35"/>
      <c r="AC4613" s="35"/>
      <c r="AD4613" s="35"/>
      <c r="AE4613" s="35"/>
      <c r="AF4613" s="35"/>
      <c r="AG4613" s="35"/>
      <c r="AH4613" s="35"/>
      <c r="AI4613" s="35"/>
      <c r="AJ4613" s="35"/>
      <c r="AK4613" s="35"/>
      <c r="AL4613" s="35"/>
    </row>
    <row r="4614">
      <c r="A4614" s="40"/>
      <c r="B4614" s="19" t="s">
        <v>19332</v>
      </c>
      <c r="C4614" s="20" t="s">
        <v>21899</v>
      </c>
      <c r="D4614" s="47"/>
      <c r="E4614" s="22" t="s">
        <v>4286</v>
      </c>
      <c r="F4614" s="22" t="s">
        <v>483</v>
      </c>
      <c r="G4614" s="23">
        <v>2023.0</v>
      </c>
      <c r="H4614" s="22" t="s">
        <v>627</v>
      </c>
      <c r="I4614" s="24" t="s">
        <v>21925</v>
      </c>
      <c r="J4614" s="22" t="s">
        <v>1078</v>
      </c>
      <c r="K4614" s="22"/>
      <c r="L4614" s="42" t="s">
        <v>21926</v>
      </c>
      <c r="U4614" s="38" t="s">
        <v>61</v>
      </c>
      <c r="V4614" s="30"/>
      <c r="W4614" s="156"/>
      <c r="X4614" s="49"/>
      <c r="Y4614" s="35"/>
      <c r="Z4614" s="35"/>
      <c r="AA4614" s="35"/>
      <c r="AB4614" s="35"/>
      <c r="AC4614" s="35"/>
      <c r="AD4614" s="35"/>
      <c r="AE4614" s="35"/>
      <c r="AF4614" s="35"/>
      <c r="AG4614" s="35"/>
      <c r="AH4614" s="35"/>
      <c r="AI4614" s="35"/>
      <c r="AJ4614" s="35"/>
      <c r="AK4614" s="35"/>
      <c r="AL4614" s="35"/>
    </row>
    <row r="4615">
      <c r="A4615" s="40" t="s">
        <v>38</v>
      </c>
      <c r="B4615" s="19" t="s">
        <v>19332</v>
      </c>
      <c r="C4615" s="20" t="s">
        <v>21899</v>
      </c>
      <c r="D4615" s="47"/>
      <c r="E4615" s="22" t="s">
        <v>21927</v>
      </c>
      <c r="F4615" s="22" t="s">
        <v>979</v>
      </c>
      <c r="G4615" s="23">
        <v>2023.0</v>
      </c>
      <c r="H4615" s="22" t="s">
        <v>91</v>
      </c>
      <c r="I4615" s="24" t="s">
        <v>21928</v>
      </c>
      <c r="J4615" s="22" t="s">
        <v>55</v>
      </c>
      <c r="K4615" s="22"/>
      <c r="L4615" s="52">
        <v>976.0</v>
      </c>
      <c r="M4615" s="52"/>
      <c r="N4615" s="52"/>
      <c r="O4615" s="52"/>
      <c r="P4615" s="189"/>
      <c r="Q4615" s="52"/>
      <c r="R4615" s="52"/>
      <c r="S4615" s="52"/>
      <c r="T4615" s="28" t="s">
        <v>21929</v>
      </c>
      <c r="U4615" s="38" t="s">
        <v>61</v>
      </c>
      <c r="V4615" s="30"/>
      <c r="W4615" s="156"/>
      <c r="X4615" s="49"/>
      <c r="Y4615" s="35"/>
      <c r="Z4615" s="35"/>
      <c r="AA4615" s="35"/>
      <c r="AB4615" s="35"/>
      <c r="AC4615" s="35"/>
      <c r="AD4615" s="35"/>
      <c r="AE4615" s="35"/>
      <c r="AF4615" s="35"/>
      <c r="AG4615" s="35"/>
      <c r="AH4615" s="35"/>
      <c r="AI4615" s="35"/>
      <c r="AJ4615" s="35"/>
      <c r="AK4615" s="35"/>
      <c r="AL4615" s="35"/>
    </row>
    <row r="4616">
      <c r="A4616" s="1"/>
      <c r="B4616" s="19" t="s">
        <v>19332</v>
      </c>
      <c r="C4616" s="20" t="s">
        <v>21899</v>
      </c>
      <c r="D4616" s="47"/>
      <c r="E4616" s="22" t="s">
        <v>10561</v>
      </c>
      <c r="F4616" s="22" t="s">
        <v>5404</v>
      </c>
      <c r="G4616" s="23">
        <v>2021.0</v>
      </c>
      <c r="H4616" s="22" t="s">
        <v>3523</v>
      </c>
      <c r="I4616" s="24" t="s">
        <v>21930</v>
      </c>
      <c r="J4616" s="22" t="s">
        <v>2273</v>
      </c>
      <c r="K4616" s="22"/>
      <c r="L4616" s="52">
        <v>635.0</v>
      </c>
      <c r="M4616" s="52">
        <v>100.0</v>
      </c>
      <c r="N4616" s="52"/>
      <c r="O4616" s="52">
        <v>4.0</v>
      </c>
      <c r="P4616" s="189" t="s">
        <v>21661</v>
      </c>
      <c r="Q4616" s="52"/>
      <c r="R4616" s="52">
        <v>40.0</v>
      </c>
      <c r="S4616" s="52" t="s">
        <v>21931</v>
      </c>
      <c r="T4616" s="28" t="s">
        <v>21932</v>
      </c>
      <c r="U4616" s="38" t="s">
        <v>61</v>
      </c>
      <c r="V4616" s="30"/>
      <c r="W4616" s="156"/>
      <c r="X4616" s="49"/>
      <c r="Y4616" s="35"/>
      <c r="Z4616" s="35"/>
      <c r="AA4616" s="35"/>
      <c r="AB4616" s="35"/>
      <c r="AC4616" s="35"/>
      <c r="AD4616" s="35"/>
      <c r="AE4616" s="35"/>
      <c r="AF4616" s="35"/>
      <c r="AG4616" s="35"/>
      <c r="AH4616" s="35"/>
      <c r="AI4616" s="35"/>
      <c r="AJ4616" s="35"/>
      <c r="AK4616" s="35"/>
      <c r="AL4616" s="35"/>
    </row>
    <row r="4617">
      <c r="A4617" s="1"/>
      <c r="B4617" s="19" t="s">
        <v>19332</v>
      </c>
      <c r="C4617" s="20" t="s">
        <v>21899</v>
      </c>
      <c r="D4617" s="47"/>
      <c r="E4617" s="22" t="s">
        <v>19398</v>
      </c>
      <c r="F4617" s="22" t="s">
        <v>323</v>
      </c>
      <c r="G4617" s="23">
        <v>2021.0</v>
      </c>
      <c r="H4617" s="22" t="s">
        <v>21933</v>
      </c>
      <c r="I4617" s="24" t="s">
        <v>21934</v>
      </c>
      <c r="J4617" s="22" t="s">
        <v>649</v>
      </c>
      <c r="K4617" s="22"/>
      <c r="L4617" s="196" t="s">
        <v>21935</v>
      </c>
      <c r="U4617" s="29" t="s">
        <v>61</v>
      </c>
      <c r="V4617" s="30"/>
      <c r="W4617" s="156"/>
      <c r="X4617" s="49"/>
      <c r="Y4617" s="35"/>
      <c r="Z4617" s="35"/>
      <c r="AA4617" s="35"/>
      <c r="AB4617" s="35"/>
      <c r="AC4617" s="35"/>
      <c r="AD4617" s="35"/>
      <c r="AE4617" s="35"/>
      <c r="AF4617" s="35"/>
      <c r="AG4617" s="35"/>
      <c r="AH4617" s="35"/>
      <c r="AI4617" s="35"/>
      <c r="AJ4617" s="35"/>
      <c r="AK4617" s="35"/>
      <c r="AL4617" s="35"/>
    </row>
    <row r="4618">
      <c r="A4618" s="1"/>
      <c r="B4618" s="19" t="s">
        <v>19332</v>
      </c>
      <c r="C4618" s="20" t="s">
        <v>21899</v>
      </c>
      <c r="D4618" s="47"/>
      <c r="E4618" s="22" t="s">
        <v>2374</v>
      </c>
      <c r="F4618" s="22" t="s">
        <v>224</v>
      </c>
      <c r="G4618" s="23">
        <v>2020.0</v>
      </c>
      <c r="H4618" s="22" t="s">
        <v>21758</v>
      </c>
      <c r="I4618" s="24" t="s">
        <v>21936</v>
      </c>
      <c r="J4618" s="22" t="s">
        <v>21937</v>
      </c>
      <c r="K4618" s="22" t="s">
        <v>21938</v>
      </c>
      <c r="L4618" s="52">
        <v>808.0</v>
      </c>
      <c r="M4618" s="52">
        <v>50.0</v>
      </c>
      <c r="N4618" s="52" t="s">
        <v>1511</v>
      </c>
      <c r="O4618" s="52"/>
      <c r="P4618" s="189" t="s">
        <v>969</v>
      </c>
      <c r="Q4618" s="52" t="s">
        <v>21939</v>
      </c>
      <c r="R4618" s="52">
        <v>188.0</v>
      </c>
      <c r="S4618" s="52" t="s">
        <v>434</v>
      </c>
      <c r="T4618" s="28" t="s">
        <v>21940</v>
      </c>
      <c r="U4618" s="29" t="s">
        <v>61</v>
      </c>
      <c r="V4618" s="30"/>
      <c r="W4618" s="156"/>
      <c r="X4618" s="49"/>
      <c r="Y4618" s="35"/>
      <c r="Z4618" s="35"/>
      <c r="AA4618" s="35"/>
      <c r="AB4618" s="35"/>
      <c r="AC4618" s="35"/>
      <c r="AD4618" s="35"/>
      <c r="AE4618" s="35"/>
      <c r="AF4618" s="35"/>
      <c r="AG4618" s="35"/>
      <c r="AH4618" s="35"/>
      <c r="AI4618" s="35"/>
      <c r="AJ4618" s="35"/>
      <c r="AK4618" s="35"/>
      <c r="AL4618" s="35"/>
    </row>
    <row r="4619">
      <c r="A4619" s="40" t="s">
        <v>38</v>
      </c>
      <c r="B4619" s="19" t="s">
        <v>19332</v>
      </c>
      <c r="C4619" s="20" t="s">
        <v>21899</v>
      </c>
      <c r="D4619" s="47"/>
      <c r="E4619" s="22" t="s">
        <v>21941</v>
      </c>
      <c r="F4619" s="22" t="s">
        <v>21942</v>
      </c>
      <c r="G4619" s="23">
        <v>2020.0</v>
      </c>
      <c r="H4619" s="22" t="s">
        <v>469</v>
      </c>
      <c r="I4619" s="24" t="s">
        <v>21943</v>
      </c>
      <c r="J4619" s="22" t="s">
        <v>21944</v>
      </c>
      <c r="K4619" s="22"/>
      <c r="L4619" s="52">
        <v>808.0</v>
      </c>
      <c r="M4619" s="52">
        <v>100.0</v>
      </c>
      <c r="N4619" s="52"/>
      <c r="O4619" s="52" t="s">
        <v>362</v>
      </c>
      <c r="P4619" s="189"/>
      <c r="Q4619" s="52"/>
      <c r="R4619" s="52" t="s">
        <v>16277</v>
      </c>
      <c r="S4619" s="52" t="s">
        <v>21945</v>
      </c>
      <c r="T4619" s="28" t="s">
        <v>21946</v>
      </c>
      <c r="U4619" s="29" t="s">
        <v>61</v>
      </c>
      <c r="V4619" s="30"/>
      <c r="W4619" s="156"/>
      <c r="X4619" s="49"/>
      <c r="Y4619" s="35"/>
      <c r="Z4619" s="35"/>
      <c r="AA4619" s="35"/>
      <c r="AB4619" s="35"/>
      <c r="AC4619" s="35"/>
      <c r="AD4619" s="35"/>
      <c r="AE4619" s="35"/>
      <c r="AF4619" s="35"/>
      <c r="AG4619" s="35"/>
      <c r="AH4619" s="35"/>
      <c r="AI4619" s="35"/>
      <c r="AJ4619" s="35"/>
      <c r="AK4619" s="35"/>
      <c r="AL4619" s="35"/>
    </row>
    <row r="4620">
      <c r="A4620" s="1"/>
      <c r="B4620" s="19" t="s">
        <v>19332</v>
      </c>
      <c r="C4620" s="20" t="s">
        <v>21899</v>
      </c>
      <c r="D4620" s="47"/>
      <c r="E4620" s="22" t="s">
        <v>19398</v>
      </c>
      <c r="F4620" s="22" t="s">
        <v>323</v>
      </c>
      <c r="G4620" s="23">
        <v>2020.0</v>
      </c>
      <c r="H4620" s="22" t="s">
        <v>147</v>
      </c>
      <c r="I4620" s="24" t="s">
        <v>21947</v>
      </c>
      <c r="J4620" s="22" t="s">
        <v>21948</v>
      </c>
      <c r="K4620" s="22"/>
      <c r="L4620" s="52">
        <v>810.0</v>
      </c>
      <c r="M4620" s="52">
        <v>200.0</v>
      </c>
      <c r="N4620" s="52"/>
      <c r="O4620" s="52"/>
      <c r="P4620" s="189" t="s">
        <v>95</v>
      </c>
      <c r="Q4620" s="52"/>
      <c r="R4620" s="52"/>
      <c r="S4620" s="52" t="s">
        <v>17419</v>
      </c>
      <c r="T4620" s="28" t="s">
        <v>21949</v>
      </c>
      <c r="U4620" s="29" t="s">
        <v>61</v>
      </c>
      <c r="V4620" s="30"/>
      <c r="W4620" s="156"/>
      <c r="X4620" s="49"/>
      <c r="Y4620" s="35"/>
      <c r="Z4620" s="35"/>
      <c r="AA4620" s="35"/>
      <c r="AB4620" s="35"/>
      <c r="AC4620" s="35"/>
      <c r="AD4620" s="35"/>
      <c r="AE4620" s="35"/>
      <c r="AF4620" s="35"/>
      <c r="AG4620" s="35"/>
      <c r="AH4620" s="35"/>
      <c r="AI4620" s="35"/>
      <c r="AJ4620" s="35"/>
      <c r="AK4620" s="35"/>
      <c r="AL4620" s="35"/>
    </row>
    <row r="4621">
      <c r="A4621" s="1"/>
      <c r="B4621" s="19" t="s">
        <v>19332</v>
      </c>
      <c r="C4621" s="20" t="s">
        <v>21899</v>
      </c>
      <c r="D4621" s="47"/>
      <c r="E4621" s="22" t="s">
        <v>21299</v>
      </c>
      <c r="F4621" s="22" t="s">
        <v>1973</v>
      </c>
      <c r="G4621" s="23">
        <v>2020.0</v>
      </c>
      <c r="H4621" s="22" t="s">
        <v>1760</v>
      </c>
      <c r="I4621" s="24" t="s">
        <v>21950</v>
      </c>
      <c r="J4621" s="22" t="s">
        <v>1078</v>
      </c>
      <c r="K4621" s="22"/>
      <c r="L4621" s="202" t="s">
        <v>21951</v>
      </c>
      <c r="U4621" s="29" t="s">
        <v>61</v>
      </c>
      <c r="V4621" s="30"/>
      <c r="W4621" s="156"/>
      <c r="X4621" s="49"/>
      <c r="Y4621" s="35"/>
      <c r="Z4621" s="35"/>
      <c r="AA4621" s="35"/>
      <c r="AB4621" s="35"/>
      <c r="AC4621" s="35"/>
      <c r="AD4621" s="35"/>
      <c r="AE4621" s="35"/>
      <c r="AF4621" s="35"/>
      <c r="AG4621" s="35"/>
      <c r="AH4621" s="35"/>
      <c r="AI4621" s="35"/>
      <c r="AJ4621" s="35"/>
      <c r="AK4621" s="35"/>
      <c r="AL4621" s="35"/>
    </row>
    <row r="4622">
      <c r="A4622" s="1"/>
      <c r="B4622" s="19" t="s">
        <v>19332</v>
      </c>
      <c r="C4622" s="20" t="s">
        <v>21899</v>
      </c>
      <c r="D4622" s="47"/>
      <c r="E4622" s="22" t="s">
        <v>21952</v>
      </c>
      <c r="F4622" s="22" t="s">
        <v>3027</v>
      </c>
      <c r="G4622" s="23">
        <v>2020.0</v>
      </c>
      <c r="H4622" s="22" t="s">
        <v>77</v>
      </c>
      <c r="I4622" s="24" t="s">
        <v>21953</v>
      </c>
      <c r="J4622" s="22" t="s">
        <v>21954</v>
      </c>
      <c r="K4622" s="22"/>
      <c r="L4622" s="36">
        <v>810.0</v>
      </c>
      <c r="M4622" s="36"/>
      <c r="N4622" s="36"/>
      <c r="O4622" s="36"/>
      <c r="P4622" s="37"/>
      <c r="Q4622" s="36"/>
      <c r="R4622" s="36"/>
      <c r="S4622" s="36" t="s">
        <v>21955</v>
      </c>
      <c r="T4622" s="28" t="s">
        <v>21956</v>
      </c>
      <c r="U4622" s="29" t="s">
        <v>61</v>
      </c>
      <c r="V4622" s="30"/>
      <c r="W4622" s="156"/>
      <c r="X4622" s="49"/>
      <c r="Y4622" s="35"/>
      <c r="Z4622" s="35"/>
      <c r="AA4622" s="35"/>
      <c r="AB4622" s="35"/>
      <c r="AC4622" s="35"/>
      <c r="AD4622" s="35"/>
      <c r="AE4622" s="35"/>
      <c r="AF4622" s="35"/>
      <c r="AG4622" s="35"/>
      <c r="AH4622" s="35"/>
      <c r="AI4622" s="35"/>
      <c r="AJ4622" s="35"/>
      <c r="AK4622" s="35"/>
      <c r="AL4622" s="35"/>
    </row>
    <row r="4623">
      <c r="A4623" s="1"/>
      <c r="B4623" s="19" t="s">
        <v>19332</v>
      </c>
      <c r="C4623" s="20" t="s">
        <v>21899</v>
      </c>
      <c r="D4623" s="47"/>
      <c r="E4623" s="22" t="s">
        <v>21957</v>
      </c>
      <c r="F4623" s="22" t="s">
        <v>358</v>
      </c>
      <c r="G4623" s="23">
        <v>2020.0</v>
      </c>
      <c r="H4623" s="22" t="s">
        <v>1393</v>
      </c>
      <c r="I4623" s="24" t="s">
        <v>21958</v>
      </c>
      <c r="J4623" s="22" t="s">
        <v>21959</v>
      </c>
      <c r="K4623" s="22"/>
      <c r="L4623" s="36">
        <v>808.0</v>
      </c>
      <c r="M4623" s="36">
        <v>100.0</v>
      </c>
      <c r="N4623" s="129">
        <v>43985.0</v>
      </c>
      <c r="O4623" s="36"/>
      <c r="P4623" s="37" t="s">
        <v>777</v>
      </c>
      <c r="Q4623" s="36"/>
      <c r="R4623" s="36"/>
      <c r="S4623" s="36" t="s">
        <v>21960</v>
      </c>
      <c r="T4623" s="42" t="s">
        <v>21961</v>
      </c>
      <c r="U4623" s="38" t="str">
        <f>HYPERLINK("https://www.ncbi.nlm.nih.gov/pubmed/32181610","PubMed")</f>
        <v>PubMed</v>
      </c>
      <c r="V4623" s="30"/>
      <c r="W4623" s="156"/>
      <c r="X4623" s="49"/>
      <c r="Y4623" s="35"/>
      <c r="Z4623" s="35"/>
      <c r="AA4623" s="35"/>
      <c r="AB4623" s="35"/>
      <c r="AC4623" s="35"/>
      <c r="AD4623" s="35"/>
      <c r="AE4623" s="35"/>
      <c r="AF4623" s="35"/>
      <c r="AG4623" s="35"/>
      <c r="AH4623" s="35"/>
      <c r="AI4623" s="35"/>
      <c r="AJ4623" s="35"/>
      <c r="AK4623" s="35"/>
      <c r="AL4623" s="35"/>
    </row>
    <row r="4624">
      <c r="A4624" s="1"/>
      <c r="B4624" s="19" t="s">
        <v>19332</v>
      </c>
      <c r="C4624" s="20" t="s">
        <v>21899</v>
      </c>
      <c r="D4624" s="47"/>
      <c r="E4624" s="22" t="s">
        <v>21962</v>
      </c>
      <c r="F4624" s="22" t="s">
        <v>323</v>
      </c>
      <c r="G4624" s="23">
        <v>2020.0</v>
      </c>
      <c r="H4624" s="22" t="s">
        <v>13752</v>
      </c>
      <c r="I4624" s="24" t="s">
        <v>21963</v>
      </c>
      <c r="J4624" s="22" t="s">
        <v>21964</v>
      </c>
      <c r="K4624" s="22"/>
      <c r="L4624" s="36">
        <v>980.0</v>
      </c>
      <c r="M4624" s="36">
        <v>100.0</v>
      </c>
      <c r="N4624" s="36"/>
      <c r="O4624" s="36"/>
      <c r="P4624" s="37" t="s">
        <v>2848</v>
      </c>
      <c r="Q4624" s="36" t="s">
        <v>840</v>
      </c>
      <c r="R4624" s="36" t="s">
        <v>21965</v>
      </c>
      <c r="S4624" s="36" t="s">
        <v>21966</v>
      </c>
      <c r="T4624" s="28" t="s">
        <v>21967</v>
      </c>
      <c r="U4624" s="38" t="str">
        <f>HYPERLINK("https://www.ncbi.nlm.nih.gov/pubmed/32122703","PubMed")</f>
        <v>PubMed</v>
      </c>
      <c r="V4624" s="30"/>
      <c r="W4624" s="156"/>
      <c r="X4624" s="49"/>
      <c r="Y4624" s="35"/>
      <c r="Z4624" s="35"/>
      <c r="AA4624" s="35"/>
      <c r="AB4624" s="35"/>
      <c r="AC4624" s="35"/>
      <c r="AD4624" s="35"/>
      <c r="AE4624" s="35"/>
      <c r="AF4624" s="35"/>
      <c r="AG4624" s="35"/>
      <c r="AH4624" s="35"/>
      <c r="AI4624" s="35"/>
      <c r="AJ4624" s="35"/>
      <c r="AK4624" s="35"/>
      <c r="AL4624" s="35"/>
    </row>
    <row r="4625">
      <c r="A4625" s="1"/>
      <c r="B4625" s="19" t="s">
        <v>19332</v>
      </c>
      <c r="C4625" s="20" t="s">
        <v>21899</v>
      </c>
      <c r="D4625" s="47"/>
      <c r="E4625" s="22" t="s">
        <v>19398</v>
      </c>
      <c r="F4625" s="22" t="s">
        <v>323</v>
      </c>
      <c r="G4625" s="23">
        <v>2020.0</v>
      </c>
      <c r="H4625" s="22" t="s">
        <v>207</v>
      </c>
      <c r="I4625" s="24" t="s">
        <v>21968</v>
      </c>
      <c r="J4625" s="22" t="s">
        <v>55</v>
      </c>
      <c r="K4625" s="22" t="s">
        <v>294</v>
      </c>
      <c r="L4625" s="36" t="s">
        <v>15769</v>
      </c>
      <c r="M4625" s="36" t="s">
        <v>21969</v>
      </c>
      <c r="N4625" s="36" t="s">
        <v>21970</v>
      </c>
      <c r="O4625" s="36" t="s">
        <v>21971</v>
      </c>
      <c r="P4625" s="37" t="s">
        <v>21972</v>
      </c>
      <c r="Q4625" s="36" t="s">
        <v>21973</v>
      </c>
      <c r="R4625" s="36" t="s">
        <v>21974</v>
      </c>
      <c r="S4625" s="36" t="s">
        <v>21975</v>
      </c>
      <c r="T4625" s="28" t="s">
        <v>21976</v>
      </c>
      <c r="U4625" s="38" t="str">
        <f>HYPERLINK("https://www.ncbi.nlm.nih.gov/pubmed/31954267","PubMed")</f>
        <v>PubMed</v>
      </c>
      <c r="V4625" s="30"/>
      <c r="W4625" s="156"/>
      <c r="X4625" s="49"/>
      <c r="Y4625" s="35"/>
      <c r="Z4625" s="35"/>
      <c r="AA4625" s="35"/>
      <c r="AB4625" s="35"/>
      <c r="AC4625" s="35"/>
      <c r="AD4625" s="35"/>
      <c r="AE4625" s="35"/>
      <c r="AF4625" s="35"/>
      <c r="AG4625" s="35"/>
      <c r="AH4625" s="35"/>
      <c r="AI4625" s="35"/>
      <c r="AJ4625" s="35"/>
      <c r="AK4625" s="35"/>
      <c r="AL4625" s="35"/>
    </row>
    <row r="4626">
      <c r="A4626" s="1"/>
      <c r="B4626" s="19" t="s">
        <v>19332</v>
      </c>
      <c r="C4626" s="20" t="s">
        <v>21899</v>
      </c>
      <c r="D4626" s="47"/>
      <c r="E4626" s="22" t="s">
        <v>21977</v>
      </c>
      <c r="F4626" s="22" t="s">
        <v>21978</v>
      </c>
      <c r="G4626" s="23">
        <v>2019.0</v>
      </c>
      <c r="H4626" s="22" t="s">
        <v>147</v>
      </c>
      <c r="I4626" s="24" t="s">
        <v>21979</v>
      </c>
      <c r="J4626" s="22" t="s">
        <v>21980</v>
      </c>
      <c r="K4626" s="22"/>
      <c r="L4626" s="36" t="s">
        <v>21981</v>
      </c>
      <c r="M4626" s="36">
        <v>100.0</v>
      </c>
      <c r="N4626" s="36"/>
      <c r="O4626" s="36" t="s">
        <v>21982</v>
      </c>
      <c r="P4626" s="37" t="s">
        <v>21983</v>
      </c>
      <c r="Q4626" s="36" t="s">
        <v>13520</v>
      </c>
      <c r="R4626" s="36" t="s">
        <v>13099</v>
      </c>
      <c r="S4626" s="36">
        <v>10.0</v>
      </c>
      <c r="T4626" s="28" t="s">
        <v>21984</v>
      </c>
      <c r="U4626" s="38" t="str">
        <f>HYPERLINK("https://www.ncbi.nlm.nih.gov/pubmed/31875129","PubMed")</f>
        <v>PubMed</v>
      </c>
      <c r="V4626" s="30"/>
      <c r="W4626" s="156"/>
      <c r="X4626" s="49"/>
      <c r="Y4626" s="35"/>
      <c r="Z4626" s="35"/>
      <c r="AA4626" s="35"/>
      <c r="AB4626" s="35"/>
      <c r="AC4626" s="35"/>
      <c r="AD4626" s="35"/>
      <c r="AE4626" s="35"/>
      <c r="AF4626" s="35"/>
      <c r="AG4626" s="35"/>
      <c r="AH4626" s="35"/>
      <c r="AI4626" s="35"/>
      <c r="AJ4626" s="35"/>
      <c r="AK4626" s="35"/>
      <c r="AL4626" s="35"/>
    </row>
    <row r="4627">
      <c r="A4627" s="1"/>
      <c r="B4627" s="19" t="s">
        <v>19332</v>
      </c>
      <c r="C4627" s="20" t="s">
        <v>21899</v>
      </c>
      <c r="D4627" s="47"/>
      <c r="E4627" s="22" t="s">
        <v>604</v>
      </c>
      <c r="F4627" s="22" t="s">
        <v>605</v>
      </c>
      <c r="G4627" s="23" t="s">
        <v>76</v>
      </c>
      <c r="H4627" s="22" t="s">
        <v>91</v>
      </c>
      <c r="I4627" s="24" t="s">
        <v>21985</v>
      </c>
      <c r="J4627" s="22" t="s">
        <v>55</v>
      </c>
      <c r="K4627" s="22" t="s">
        <v>294</v>
      </c>
      <c r="L4627" s="36" t="s">
        <v>5357</v>
      </c>
      <c r="M4627" s="36">
        <v>70.0</v>
      </c>
      <c r="N4627" s="36"/>
      <c r="O4627" s="36"/>
      <c r="P4627" s="37" t="s">
        <v>777</v>
      </c>
      <c r="Q4627" s="36" t="s">
        <v>280</v>
      </c>
      <c r="R4627" s="36"/>
      <c r="S4627" s="36"/>
      <c r="T4627" s="42" t="s">
        <v>21986</v>
      </c>
      <c r="U4627" s="38" t="str">
        <f>HYPERLINK("https://www.ncbi.nlm.nih.gov/pubmed/31273571","PubMed")</f>
        <v>PubMed</v>
      </c>
      <c r="V4627" s="30"/>
      <c r="W4627" s="156"/>
      <c r="X4627" s="49"/>
      <c r="Y4627" s="35"/>
      <c r="Z4627" s="35"/>
      <c r="AA4627" s="35"/>
      <c r="AB4627" s="35"/>
      <c r="AC4627" s="35"/>
      <c r="AD4627" s="35"/>
      <c r="AE4627" s="35"/>
      <c r="AF4627" s="35"/>
      <c r="AG4627" s="35"/>
      <c r="AH4627" s="35"/>
      <c r="AI4627" s="35"/>
      <c r="AJ4627" s="35"/>
      <c r="AK4627" s="35"/>
      <c r="AL4627" s="35"/>
    </row>
    <row r="4628">
      <c r="A4628" s="18" t="s">
        <v>38</v>
      </c>
      <c r="B4628" s="19" t="s">
        <v>19332</v>
      </c>
      <c r="C4628" s="20" t="s">
        <v>21899</v>
      </c>
      <c r="D4628" s="47"/>
      <c r="E4628" s="22" t="s">
        <v>450</v>
      </c>
      <c r="F4628" s="22" t="s">
        <v>308</v>
      </c>
      <c r="G4628" s="23">
        <v>2019.0</v>
      </c>
      <c r="H4628" s="22" t="s">
        <v>798</v>
      </c>
      <c r="I4628" s="24" t="s">
        <v>21987</v>
      </c>
      <c r="J4628" s="22" t="s">
        <v>21988</v>
      </c>
      <c r="K4628" s="22"/>
      <c r="L4628" s="36">
        <v>780.0</v>
      </c>
      <c r="M4628" s="36" t="s">
        <v>58</v>
      </c>
      <c r="N4628" s="36" t="s">
        <v>58</v>
      </c>
      <c r="O4628" s="36" t="s">
        <v>58</v>
      </c>
      <c r="P4628" s="37" t="s">
        <v>21989</v>
      </c>
      <c r="Q4628" s="36" t="s">
        <v>21990</v>
      </c>
      <c r="R4628" s="36" t="s">
        <v>21991</v>
      </c>
      <c r="S4628" s="36" t="s">
        <v>21992</v>
      </c>
      <c r="T4628" s="28" t="s">
        <v>21993</v>
      </c>
      <c r="U4628" s="38" t="str">
        <f>HYPERLINK("https://www.ncbi.nlm.nih.gov/pubmed/30599885","PubMed")</f>
        <v>PubMed</v>
      </c>
      <c r="V4628" s="30"/>
      <c r="W4628" s="156"/>
      <c r="X4628" s="49"/>
      <c r="Y4628" s="35"/>
      <c r="Z4628" s="35"/>
      <c r="AA4628" s="35"/>
      <c r="AB4628" s="35"/>
      <c r="AC4628" s="35"/>
      <c r="AD4628" s="35"/>
      <c r="AE4628" s="35"/>
      <c r="AF4628" s="35"/>
      <c r="AG4628" s="35"/>
      <c r="AH4628" s="35"/>
      <c r="AI4628" s="35"/>
      <c r="AJ4628" s="35"/>
      <c r="AK4628" s="35"/>
      <c r="AL4628" s="35"/>
    </row>
    <row r="4629">
      <c r="A4629" s="1"/>
      <c r="B4629" s="19" t="s">
        <v>19332</v>
      </c>
      <c r="C4629" s="20" t="s">
        <v>21899</v>
      </c>
      <c r="D4629" s="47"/>
      <c r="E4629" s="22" t="s">
        <v>1379</v>
      </c>
      <c r="F4629" s="22" t="s">
        <v>8147</v>
      </c>
      <c r="G4629" s="23">
        <v>2019.0</v>
      </c>
      <c r="H4629" s="22" t="s">
        <v>91</v>
      </c>
      <c r="I4629" s="24" t="s">
        <v>21994</v>
      </c>
      <c r="J4629" s="22" t="s">
        <v>649</v>
      </c>
      <c r="K4629" s="22"/>
      <c r="L4629" s="43" t="s">
        <v>21995</v>
      </c>
      <c r="M4629" s="44"/>
      <c r="N4629" s="44"/>
      <c r="O4629" s="44"/>
      <c r="P4629" s="44"/>
      <c r="Q4629" s="44"/>
      <c r="R4629" s="44"/>
      <c r="S4629" s="44"/>
      <c r="T4629" s="45"/>
      <c r="U4629" s="38" t="str">
        <f>HYPERLINK("https://www.ncbi.nlm.nih.gov/pubmed/30661183","PubMed")</f>
        <v>PubMed</v>
      </c>
      <c r="V4629" s="30"/>
      <c r="W4629" s="156"/>
      <c r="X4629" s="49"/>
      <c r="Y4629" s="35"/>
      <c r="Z4629" s="35"/>
      <c r="AA4629" s="35"/>
      <c r="AB4629" s="35"/>
      <c r="AC4629" s="35"/>
      <c r="AD4629" s="35"/>
      <c r="AE4629" s="35"/>
      <c r="AF4629" s="35"/>
      <c r="AG4629" s="35"/>
      <c r="AH4629" s="35"/>
      <c r="AI4629" s="35"/>
      <c r="AJ4629" s="35"/>
      <c r="AK4629" s="35"/>
      <c r="AL4629" s="35"/>
    </row>
    <row r="4630">
      <c r="A4630" s="18" t="s">
        <v>38</v>
      </c>
      <c r="B4630" s="19" t="s">
        <v>19332</v>
      </c>
      <c r="C4630" s="20" t="s">
        <v>21899</v>
      </c>
      <c r="D4630" s="47"/>
      <c r="E4630" s="22" t="s">
        <v>1162</v>
      </c>
      <c r="F4630" s="22" t="s">
        <v>2105</v>
      </c>
      <c r="G4630" s="23">
        <v>2018.0</v>
      </c>
      <c r="H4630" s="22" t="s">
        <v>798</v>
      </c>
      <c r="I4630" s="24" t="s">
        <v>21996</v>
      </c>
      <c r="J4630" s="22" t="s">
        <v>21997</v>
      </c>
      <c r="K4630" s="22" t="s">
        <v>21998</v>
      </c>
      <c r="L4630" s="36">
        <v>830.0</v>
      </c>
      <c r="M4630" s="36">
        <v>360.0</v>
      </c>
      <c r="N4630" s="129">
        <v>43283.0</v>
      </c>
      <c r="O4630" s="36" t="s">
        <v>21999</v>
      </c>
      <c r="P4630" s="37"/>
      <c r="Q4630" s="275" t="s">
        <v>22000</v>
      </c>
      <c r="R4630" s="36"/>
      <c r="S4630" s="36">
        <v>20.0</v>
      </c>
      <c r="T4630" s="41" t="s">
        <v>22001</v>
      </c>
      <c r="U4630" s="38" t="str">
        <f>HYPERLINK("https://www.ncbi.nlm.nih.gov/pubmed/30509397","PubMed")</f>
        <v>PubMed</v>
      </c>
      <c r="V4630" s="30" t="s">
        <v>22002</v>
      </c>
      <c r="W4630" s="49"/>
      <c r="X4630" s="49"/>
      <c r="Y4630" s="35"/>
      <c r="Z4630" s="35"/>
      <c r="AA4630" s="35"/>
      <c r="AB4630" s="35"/>
      <c r="AC4630" s="35"/>
      <c r="AD4630" s="35"/>
      <c r="AE4630" s="35"/>
      <c r="AF4630" s="35"/>
      <c r="AG4630" s="35"/>
      <c r="AH4630" s="35"/>
      <c r="AI4630" s="35"/>
      <c r="AJ4630" s="35"/>
      <c r="AK4630" s="35"/>
      <c r="AL4630" s="35"/>
    </row>
    <row r="4631">
      <c r="A4631" s="18"/>
      <c r="B4631" s="19" t="s">
        <v>19332</v>
      </c>
      <c r="C4631" s="20" t="s">
        <v>21899</v>
      </c>
      <c r="D4631" s="47"/>
      <c r="E4631" s="22" t="s">
        <v>22003</v>
      </c>
      <c r="F4631" s="22" t="s">
        <v>11529</v>
      </c>
      <c r="G4631" s="23">
        <v>2017.0</v>
      </c>
      <c r="H4631" s="22" t="s">
        <v>798</v>
      </c>
      <c r="I4631" s="24" t="s">
        <v>22004</v>
      </c>
      <c r="J4631" s="22" t="s">
        <v>22005</v>
      </c>
      <c r="K4631" s="22"/>
      <c r="L4631" s="36" t="s">
        <v>22006</v>
      </c>
      <c r="M4631" s="36" t="s">
        <v>21969</v>
      </c>
      <c r="N4631" s="36"/>
      <c r="O4631" s="36" t="s">
        <v>22007</v>
      </c>
      <c r="P4631" s="37" t="s">
        <v>22008</v>
      </c>
      <c r="Q4631" s="36"/>
      <c r="R4631" s="36"/>
      <c r="S4631" s="36" t="s">
        <v>6403</v>
      </c>
      <c r="T4631" s="28" t="s">
        <v>22009</v>
      </c>
      <c r="U4631" s="38" t="str">
        <f>HYPERLINK("https://www.ncbi.nlm.nih.gov/pubmed/28495411","PubMed")</f>
        <v>PubMed</v>
      </c>
      <c r="V4631" s="30"/>
      <c r="W4631" s="156"/>
      <c r="X4631" s="49"/>
      <c r="Y4631" s="35"/>
      <c r="Z4631" s="35"/>
      <c r="AA4631" s="35"/>
      <c r="AB4631" s="35"/>
      <c r="AC4631" s="35"/>
      <c r="AD4631" s="35"/>
      <c r="AE4631" s="35"/>
      <c r="AF4631" s="35"/>
      <c r="AG4631" s="35"/>
      <c r="AH4631" s="35"/>
      <c r="AI4631" s="35"/>
      <c r="AJ4631" s="35"/>
      <c r="AK4631" s="35"/>
      <c r="AL4631" s="35"/>
    </row>
    <row r="4632">
      <c r="A4632" s="18"/>
      <c r="B4632" s="19" t="s">
        <v>19332</v>
      </c>
      <c r="C4632" s="20" t="s">
        <v>21899</v>
      </c>
      <c r="D4632" s="47"/>
      <c r="E4632" s="22" t="s">
        <v>109</v>
      </c>
      <c r="F4632" s="22" t="s">
        <v>41</v>
      </c>
      <c r="G4632" s="23">
        <v>2017.0</v>
      </c>
      <c r="H4632" s="22" t="s">
        <v>7511</v>
      </c>
      <c r="I4632" s="24" t="s">
        <v>22010</v>
      </c>
      <c r="J4632" s="22" t="s">
        <v>55</v>
      </c>
      <c r="K4632" s="22"/>
      <c r="L4632" s="36"/>
      <c r="M4632" s="36"/>
      <c r="N4632" s="36"/>
      <c r="O4632" s="36"/>
      <c r="P4632" s="37"/>
      <c r="Q4632" s="36"/>
      <c r="R4632" s="36"/>
      <c r="S4632" s="36"/>
      <c r="T4632" s="28" t="s">
        <v>22011</v>
      </c>
      <c r="U4632" s="29" t="s">
        <v>61</v>
      </c>
      <c r="V4632" s="30"/>
      <c r="W4632" s="156"/>
      <c r="X4632" s="49"/>
      <c r="Y4632" s="35"/>
      <c r="Z4632" s="35"/>
      <c r="AA4632" s="35"/>
      <c r="AB4632" s="35"/>
      <c r="AC4632" s="35"/>
      <c r="AD4632" s="35"/>
      <c r="AE4632" s="35"/>
      <c r="AF4632" s="35"/>
      <c r="AG4632" s="35"/>
      <c r="AH4632" s="35"/>
      <c r="AI4632" s="35"/>
      <c r="AJ4632" s="35"/>
      <c r="AK4632" s="35"/>
      <c r="AL4632" s="35"/>
    </row>
    <row r="4633">
      <c r="A4633" s="18"/>
      <c r="B4633" s="19" t="s">
        <v>19332</v>
      </c>
      <c r="C4633" s="20" t="s">
        <v>21899</v>
      </c>
      <c r="D4633" s="47"/>
      <c r="E4633" s="22" t="s">
        <v>22012</v>
      </c>
      <c r="F4633" s="22" t="s">
        <v>22013</v>
      </c>
      <c r="G4633" s="23" t="s">
        <v>90</v>
      </c>
      <c r="H4633" s="22" t="s">
        <v>658</v>
      </c>
      <c r="I4633" s="24" t="s">
        <v>22014</v>
      </c>
      <c r="J4633" s="22" t="s">
        <v>22015</v>
      </c>
      <c r="K4633" s="22"/>
      <c r="L4633" s="36">
        <v>810.0</v>
      </c>
      <c r="M4633" s="36" t="s">
        <v>617</v>
      </c>
      <c r="N4633" s="36" t="s">
        <v>22016</v>
      </c>
      <c r="O4633" s="36">
        <v>27.0</v>
      </c>
      <c r="P4633" s="37" t="s">
        <v>22017</v>
      </c>
      <c r="Q4633" s="36" t="s">
        <v>22018</v>
      </c>
      <c r="R4633" s="36">
        <v>270.0</v>
      </c>
      <c r="S4633" s="36" t="s">
        <v>22019</v>
      </c>
      <c r="T4633" s="28" t="s">
        <v>22020</v>
      </c>
      <c r="U4633" s="38" t="str">
        <f>HYPERLINK("https://www.ncbi.nlm.nih.gov/pubmed/29022844","PubMed")</f>
        <v>PubMed</v>
      </c>
      <c r="V4633" s="30"/>
      <c r="W4633" s="156"/>
      <c r="X4633" s="49"/>
      <c r="Y4633" s="35"/>
      <c r="Z4633" s="35"/>
      <c r="AA4633" s="35"/>
      <c r="AB4633" s="35"/>
      <c r="AC4633" s="35"/>
      <c r="AD4633" s="35"/>
      <c r="AE4633" s="35"/>
      <c r="AF4633" s="35"/>
      <c r="AG4633" s="35"/>
      <c r="AH4633" s="35"/>
      <c r="AI4633" s="35"/>
      <c r="AJ4633" s="35"/>
      <c r="AK4633" s="35"/>
      <c r="AL4633" s="35"/>
    </row>
    <row r="4634">
      <c r="A4634" s="40" t="s">
        <v>38</v>
      </c>
      <c r="B4634" s="19" t="s">
        <v>19332</v>
      </c>
      <c r="C4634" s="20" t="s">
        <v>21899</v>
      </c>
      <c r="D4634" s="47"/>
      <c r="E4634" s="22" t="s">
        <v>20264</v>
      </c>
      <c r="F4634" s="22" t="s">
        <v>323</v>
      </c>
      <c r="G4634" s="23" t="s">
        <v>90</v>
      </c>
      <c r="H4634" s="22" t="s">
        <v>561</v>
      </c>
      <c r="I4634" s="24" t="s">
        <v>22021</v>
      </c>
      <c r="J4634" s="22" t="s">
        <v>22022</v>
      </c>
      <c r="K4634" s="22" t="s">
        <v>2512</v>
      </c>
      <c r="L4634" s="36" t="s">
        <v>22023</v>
      </c>
      <c r="M4634" s="36"/>
      <c r="N4634" s="36"/>
      <c r="O4634" s="36"/>
      <c r="P4634" s="37"/>
      <c r="Q4634" s="36"/>
      <c r="R4634" s="36">
        <v>720.0</v>
      </c>
      <c r="S4634" s="36" t="s">
        <v>22024</v>
      </c>
      <c r="T4634" s="42" t="s">
        <v>22025</v>
      </c>
      <c r="U4634" s="38" t="str">
        <f>HYPERLINK("https://www.ncbi.nlm.nih.gov/pubmed/28538060","PubMed")</f>
        <v>PubMed</v>
      </c>
      <c r="V4634" s="30"/>
      <c r="W4634" s="156"/>
      <c r="X4634" s="49"/>
      <c r="Y4634" s="35"/>
      <c r="Z4634" s="35"/>
      <c r="AA4634" s="35"/>
      <c r="AB4634" s="35"/>
      <c r="AC4634" s="35"/>
      <c r="AD4634" s="35"/>
      <c r="AE4634" s="35"/>
      <c r="AF4634" s="35"/>
      <c r="AG4634" s="35"/>
      <c r="AH4634" s="35"/>
      <c r="AI4634" s="35"/>
      <c r="AJ4634" s="35"/>
      <c r="AK4634" s="35"/>
      <c r="AL4634" s="35"/>
    </row>
    <row r="4635">
      <c r="A4635" s="18" t="s">
        <v>2</v>
      </c>
      <c r="B4635" s="19" t="s">
        <v>19332</v>
      </c>
      <c r="C4635" s="20" t="s">
        <v>21899</v>
      </c>
      <c r="D4635" s="47"/>
      <c r="E4635" s="22" t="s">
        <v>109</v>
      </c>
      <c r="F4635" s="22" t="s">
        <v>41</v>
      </c>
      <c r="G4635" s="23">
        <v>2017.0</v>
      </c>
      <c r="H4635" s="22" t="s">
        <v>91</v>
      </c>
      <c r="I4635" s="24" t="s">
        <v>22026</v>
      </c>
      <c r="J4635" s="22" t="s">
        <v>55</v>
      </c>
      <c r="K4635" s="22"/>
      <c r="L4635" s="36">
        <v>904.0</v>
      </c>
      <c r="M4635" s="36">
        <v>70.0</v>
      </c>
      <c r="N4635" s="36"/>
      <c r="O4635" s="36"/>
      <c r="P4635" s="37" t="s">
        <v>82</v>
      </c>
      <c r="Q4635" s="36" t="s">
        <v>1003</v>
      </c>
      <c r="R4635" s="36"/>
      <c r="S4635" s="36">
        <v>10.0</v>
      </c>
      <c r="T4635" s="28" t="s">
        <v>22027</v>
      </c>
      <c r="U4635" s="38" t="str">
        <f>HYPERLINK("https://www.ncbi.nlm.nih.gov/pubmed/28314941","PubMed")</f>
        <v>PubMed</v>
      </c>
      <c r="V4635" s="30"/>
      <c r="W4635" s="156"/>
      <c r="X4635" s="49"/>
      <c r="Y4635" s="35"/>
      <c r="Z4635" s="35"/>
      <c r="AA4635" s="35"/>
      <c r="AB4635" s="35"/>
      <c r="AC4635" s="35"/>
      <c r="AD4635" s="35"/>
      <c r="AE4635" s="35"/>
      <c r="AF4635" s="35"/>
      <c r="AG4635" s="35"/>
      <c r="AH4635" s="35"/>
      <c r="AI4635" s="35"/>
      <c r="AJ4635" s="35"/>
      <c r="AK4635" s="35"/>
      <c r="AL4635" s="35"/>
    </row>
    <row r="4636">
      <c r="A4636" s="18"/>
      <c r="B4636" s="19" t="s">
        <v>19332</v>
      </c>
      <c r="C4636" s="20" t="s">
        <v>21899</v>
      </c>
      <c r="D4636" s="47"/>
      <c r="E4636" s="22" t="s">
        <v>22028</v>
      </c>
      <c r="F4636" s="22" t="s">
        <v>22029</v>
      </c>
      <c r="G4636" s="23">
        <v>2014.0</v>
      </c>
      <c r="H4636" s="22" t="s">
        <v>9459</v>
      </c>
      <c r="I4636" s="24" t="s">
        <v>22030</v>
      </c>
      <c r="J4636" s="22" t="s">
        <v>1078</v>
      </c>
      <c r="K4636" s="22"/>
      <c r="L4636" s="167" t="s">
        <v>22031</v>
      </c>
      <c r="M4636" s="44"/>
      <c r="N4636" s="44"/>
      <c r="O4636" s="44"/>
      <c r="P4636" s="44"/>
      <c r="Q4636" s="44"/>
      <c r="R4636" s="44"/>
      <c r="S4636" s="44"/>
      <c r="T4636" s="45"/>
      <c r="U4636" s="38" t="str">
        <f>HYPERLINK("https://www.ncbi.nlm.nih.gov/pubmed/24740534","PubMed")</f>
        <v>PubMed</v>
      </c>
      <c r="V4636" s="30"/>
      <c r="W4636" s="156"/>
      <c r="X4636" s="49"/>
      <c r="Y4636" s="35"/>
      <c r="Z4636" s="35"/>
      <c r="AA4636" s="35"/>
      <c r="AB4636" s="35"/>
      <c r="AC4636" s="35"/>
      <c r="AD4636" s="35"/>
      <c r="AE4636" s="35"/>
      <c r="AF4636" s="35"/>
      <c r="AG4636" s="35"/>
      <c r="AH4636" s="35"/>
      <c r="AI4636" s="35"/>
      <c r="AJ4636" s="35"/>
      <c r="AK4636" s="35"/>
      <c r="AL4636" s="35"/>
    </row>
    <row r="4637">
      <c r="A4637" s="18"/>
      <c r="B4637" s="19" t="s">
        <v>19332</v>
      </c>
      <c r="C4637" s="20" t="s">
        <v>21899</v>
      </c>
      <c r="D4637" s="47"/>
      <c r="E4637" s="22" t="s">
        <v>22032</v>
      </c>
      <c r="F4637" s="22" t="s">
        <v>12732</v>
      </c>
      <c r="G4637" s="23">
        <v>2014.0</v>
      </c>
      <c r="H4637" s="22" t="s">
        <v>702</v>
      </c>
      <c r="I4637" s="24" t="s">
        <v>22033</v>
      </c>
      <c r="J4637" s="22" t="s">
        <v>22034</v>
      </c>
      <c r="K4637" s="22"/>
      <c r="L4637" s="36" t="s">
        <v>22035</v>
      </c>
      <c r="M4637" s="36" t="s">
        <v>22036</v>
      </c>
      <c r="N4637" s="36" t="s">
        <v>58</v>
      </c>
      <c r="O4637" s="36" t="s">
        <v>22037</v>
      </c>
      <c r="P4637" s="37" t="s">
        <v>22038</v>
      </c>
      <c r="Q4637" s="36" t="s">
        <v>13756</v>
      </c>
      <c r="R4637" s="36"/>
      <c r="S4637" s="36" t="s">
        <v>22039</v>
      </c>
      <c r="T4637" s="28" t="s">
        <v>22040</v>
      </c>
      <c r="U4637" s="38" t="str">
        <f>HYPERLINK("https://www.ncbi.nlm.nih.gov/pubmed/24011464","PubMed")</f>
        <v>PubMed</v>
      </c>
      <c r="V4637" s="30"/>
      <c r="W4637" s="156"/>
      <c r="X4637" s="49"/>
      <c r="Y4637" s="35"/>
      <c r="Z4637" s="35"/>
      <c r="AA4637" s="35"/>
      <c r="AB4637" s="35"/>
      <c r="AC4637" s="35"/>
      <c r="AD4637" s="35"/>
      <c r="AE4637" s="35"/>
      <c r="AF4637" s="35"/>
      <c r="AG4637" s="35"/>
      <c r="AH4637" s="35"/>
      <c r="AI4637" s="35"/>
      <c r="AJ4637" s="35"/>
      <c r="AK4637" s="35"/>
      <c r="AL4637" s="35"/>
    </row>
    <row r="4638">
      <c r="A4638" s="18"/>
      <c r="B4638" s="19" t="s">
        <v>19332</v>
      </c>
      <c r="C4638" s="20" t="s">
        <v>21899</v>
      </c>
      <c r="D4638" s="47"/>
      <c r="E4638" s="22" t="s">
        <v>22041</v>
      </c>
      <c r="F4638" s="22" t="s">
        <v>22013</v>
      </c>
      <c r="G4638" s="23">
        <v>2014.0</v>
      </c>
      <c r="H4638" s="22" t="s">
        <v>19552</v>
      </c>
      <c r="I4638" s="24" t="s">
        <v>22042</v>
      </c>
      <c r="J4638" s="22" t="s">
        <v>22043</v>
      </c>
      <c r="K4638" s="22"/>
      <c r="L4638" s="36">
        <v>810.0</v>
      </c>
      <c r="M4638" s="36">
        <v>100.0</v>
      </c>
      <c r="N4638" s="36"/>
      <c r="O4638" s="36" t="s">
        <v>22044</v>
      </c>
      <c r="P4638" s="37" t="s">
        <v>2400</v>
      </c>
      <c r="Q4638" s="36" t="s">
        <v>22045</v>
      </c>
      <c r="R4638" s="36">
        <v>270.0</v>
      </c>
      <c r="S4638" s="36" t="s">
        <v>22019</v>
      </c>
      <c r="T4638" s="28" t="s">
        <v>22046</v>
      </c>
      <c r="U4638" s="38" t="str">
        <f>HYPERLINK("https://www.ncbi.nlm.nih.gov/pubmed/24608207","PubMed")</f>
        <v>PubMed</v>
      </c>
      <c r="V4638" s="30"/>
      <c r="W4638" s="156"/>
      <c r="X4638" s="49"/>
      <c r="Y4638" s="35"/>
      <c r="Z4638" s="35"/>
      <c r="AA4638" s="35"/>
      <c r="AB4638" s="35"/>
      <c r="AC4638" s="35"/>
      <c r="AD4638" s="35"/>
      <c r="AE4638" s="35"/>
      <c r="AF4638" s="35"/>
      <c r="AG4638" s="35"/>
      <c r="AH4638" s="35"/>
      <c r="AI4638" s="35"/>
      <c r="AJ4638" s="35"/>
      <c r="AK4638" s="35"/>
      <c r="AL4638" s="35"/>
    </row>
    <row r="4639">
      <c r="A4639" s="1"/>
      <c r="B4639" s="19" t="s">
        <v>19332</v>
      </c>
      <c r="C4639" s="20" t="s">
        <v>21899</v>
      </c>
      <c r="D4639" s="47"/>
      <c r="E4639" s="22" t="s">
        <v>22047</v>
      </c>
      <c r="F4639" s="22" t="s">
        <v>41</v>
      </c>
      <c r="G4639" s="23">
        <v>2013.0</v>
      </c>
      <c r="H4639" s="22" t="s">
        <v>2809</v>
      </c>
      <c r="I4639" s="24" t="s">
        <v>22048</v>
      </c>
      <c r="J4639" s="22" t="s">
        <v>55</v>
      </c>
      <c r="K4639" s="22" t="s">
        <v>22049</v>
      </c>
      <c r="L4639" s="36">
        <v>904.0</v>
      </c>
      <c r="M4639" s="36"/>
      <c r="N4639" s="36"/>
      <c r="O4639" s="36">
        <v>30.0</v>
      </c>
      <c r="P4639" s="37" t="s">
        <v>82</v>
      </c>
      <c r="Q4639" s="36" t="s">
        <v>22050</v>
      </c>
      <c r="R4639" s="36">
        <v>90.0</v>
      </c>
      <c r="S4639" s="36">
        <v>10.0</v>
      </c>
      <c r="T4639" s="28" t="s">
        <v>22051</v>
      </c>
      <c r="U4639" s="38" t="str">
        <f>HYPERLINK("https://www.ncbi.nlm.nih.gov/pubmed/23190308","PubMed")</f>
        <v>PubMed</v>
      </c>
      <c r="V4639" s="30"/>
      <c r="W4639" s="156"/>
      <c r="X4639" s="49"/>
      <c r="Y4639" s="35"/>
      <c r="Z4639" s="35"/>
      <c r="AA4639" s="35"/>
      <c r="AB4639" s="35"/>
      <c r="AC4639" s="35"/>
      <c r="AD4639" s="35"/>
      <c r="AE4639" s="35"/>
      <c r="AF4639" s="35"/>
      <c r="AG4639" s="35"/>
      <c r="AH4639" s="35"/>
      <c r="AI4639" s="35"/>
      <c r="AJ4639" s="35"/>
      <c r="AK4639" s="35"/>
      <c r="AL4639" s="35"/>
    </row>
    <row r="4640">
      <c r="A4640" s="18" t="s">
        <v>38</v>
      </c>
      <c r="B4640" s="19" t="s">
        <v>19332</v>
      </c>
      <c r="C4640" s="20" t="s">
        <v>21899</v>
      </c>
      <c r="D4640" s="47"/>
      <c r="E4640" s="22" t="s">
        <v>22052</v>
      </c>
      <c r="F4640" s="22" t="s">
        <v>52</v>
      </c>
      <c r="G4640" s="23">
        <v>2006.0</v>
      </c>
      <c r="H4640" s="22" t="s">
        <v>22053</v>
      </c>
      <c r="I4640" s="24" t="s">
        <v>22054</v>
      </c>
      <c r="J4640" s="22" t="s">
        <v>22055</v>
      </c>
      <c r="K4640" s="22"/>
      <c r="L4640" s="36" t="s">
        <v>22056</v>
      </c>
      <c r="M4640" s="36">
        <v>5.0</v>
      </c>
      <c r="N4640" s="36"/>
      <c r="O4640" s="36" t="s">
        <v>22057</v>
      </c>
      <c r="P4640" s="37"/>
      <c r="Q4640" s="36"/>
      <c r="R4640" s="36">
        <v>450.0</v>
      </c>
      <c r="S4640" s="36" t="s">
        <v>22058</v>
      </c>
      <c r="T4640" s="28" t="s">
        <v>22059</v>
      </c>
      <c r="U4640" s="29" t="s">
        <v>61</v>
      </c>
      <c r="V4640" s="30"/>
      <c r="W4640" s="156"/>
      <c r="X4640" s="49"/>
      <c r="Y4640" s="35"/>
      <c r="Z4640" s="35"/>
      <c r="AA4640" s="35"/>
      <c r="AB4640" s="35"/>
      <c r="AC4640" s="35"/>
      <c r="AD4640" s="35"/>
      <c r="AE4640" s="35"/>
      <c r="AF4640" s="35"/>
      <c r="AG4640" s="35"/>
      <c r="AH4640" s="35"/>
      <c r="AI4640" s="35"/>
      <c r="AJ4640" s="35"/>
      <c r="AK4640" s="35"/>
      <c r="AL4640" s="35"/>
    </row>
    <row r="4641">
      <c r="A4641" s="1"/>
      <c r="B4641" s="19" t="s">
        <v>19332</v>
      </c>
      <c r="C4641" s="20" t="s">
        <v>21899</v>
      </c>
      <c r="D4641" s="47"/>
      <c r="E4641" s="22" t="s">
        <v>1162</v>
      </c>
      <c r="F4641" s="22" t="s">
        <v>1163</v>
      </c>
      <c r="G4641" s="23">
        <v>2002.0</v>
      </c>
      <c r="H4641" s="22" t="s">
        <v>1259</v>
      </c>
      <c r="I4641" s="24" t="s">
        <v>22060</v>
      </c>
      <c r="J4641" s="22" t="s">
        <v>253</v>
      </c>
      <c r="K4641" s="22" t="s">
        <v>22061</v>
      </c>
      <c r="L4641" s="36" t="s">
        <v>22056</v>
      </c>
      <c r="M4641" s="36">
        <v>70.0</v>
      </c>
      <c r="N4641" s="36"/>
      <c r="O4641" s="36"/>
      <c r="P4641" s="37" t="s">
        <v>82</v>
      </c>
      <c r="Q4641" s="275"/>
      <c r="R4641" s="36">
        <v>360.0</v>
      </c>
      <c r="S4641" s="36">
        <v>10.0</v>
      </c>
      <c r="T4641" s="28" t="s">
        <v>22062</v>
      </c>
      <c r="U4641" s="38" t="str">
        <f>HYPERLINK("https://www.ncbi.nlm.nih.gov/pubmed/11805774","PubMed")</f>
        <v>PubMed</v>
      </c>
      <c r="V4641" s="30"/>
      <c r="W4641" s="49"/>
      <c r="X4641" s="49"/>
      <c r="Y4641" s="35"/>
      <c r="Z4641" s="35"/>
      <c r="AA4641" s="35"/>
      <c r="AB4641" s="35"/>
      <c r="AC4641" s="35"/>
      <c r="AD4641" s="35"/>
      <c r="AE4641" s="35"/>
      <c r="AF4641" s="35"/>
      <c r="AG4641" s="35"/>
      <c r="AH4641" s="35"/>
      <c r="AI4641" s="35"/>
      <c r="AJ4641" s="35"/>
      <c r="AK4641" s="35"/>
      <c r="AL4641" s="35"/>
    </row>
    <row r="4642">
      <c r="A4642" s="1"/>
      <c r="B4642" s="19" t="s">
        <v>19332</v>
      </c>
      <c r="C4642" s="20" t="s">
        <v>21899</v>
      </c>
      <c r="D4642" s="47"/>
      <c r="E4642" s="22" t="s">
        <v>22063</v>
      </c>
      <c r="F4642" s="22" t="s">
        <v>7607</v>
      </c>
      <c r="G4642" s="23">
        <v>2000.0</v>
      </c>
      <c r="H4642" s="22" t="s">
        <v>1259</v>
      </c>
      <c r="I4642" s="24" t="s">
        <v>22064</v>
      </c>
      <c r="J4642" s="22" t="s">
        <v>22065</v>
      </c>
      <c r="K4642" s="22"/>
      <c r="L4642" s="36" t="s">
        <v>22056</v>
      </c>
      <c r="M4642" s="36">
        <v>70.0</v>
      </c>
      <c r="N4642" s="36" t="s">
        <v>1261</v>
      </c>
      <c r="O4642" s="36">
        <v>24.0</v>
      </c>
      <c r="P4642" s="37"/>
      <c r="Q4642" s="36" t="s">
        <v>19481</v>
      </c>
      <c r="R4642" s="36"/>
      <c r="S4642" s="36" t="s">
        <v>22066</v>
      </c>
      <c r="T4642" s="28" t="s">
        <v>22067</v>
      </c>
      <c r="U4642" s="38" t="str">
        <f>HYPERLINK("https://www.ncbi.nlm.nih.gov/pubmed/10630935","PubMed")</f>
        <v>PubMed</v>
      </c>
      <c r="V4642" s="30"/>
      <c r="W4642" s="156"/>
      <c r="X4642" s="49"/>
      <c r="Y4642" s="35"/>
      <c r="Z4642" s="35"/>
      <c r="AA4642" s="35"/>
      <c r="AB4642" s="35"/>
      <c r="AC4642" s="35"/>
      <c r="AD4642" s="35"/>
      <c r="AE4642" s="35"/>
      <c r="AF4642" s="35"/>
      <c r="AG4642" s="35"/>
      <c r="AH4642" s="35"/>
      <c r="AI4642" s="35"/>
      <c r="AJ4642" s="35"/>
      <c r="AK4642" s="35"/>
      <c r="AL4642" s="35"/>
    </row>
    <row r="4643">
      <c r="A4643" s="1"/>
      <c r="B4643" s="19" t="s">
        <v>19332</v>
      </c>
      <c r="C4643" s="20" t="s">
        <v>21899</v>
      </c>
      <c r="D4643" s="47"/>
      <c r="E4643" s="22" t="s">
        <v>18346</v>
      </c>
      <c r="F4643" s="22" t="s">
        <v>1258</v>
      </c>
      <c r="G4643" s="23">
        <v>1999.0</v>
      </c>
      <c r="H4643" s="22" t="s">
        <v>91</v>
      </c>
      <c r="I4643" s="24" t="s">
        <v>22068</v>
      </c>
      <c r="J4643" s="22" t="s">
        <v>55</v>
      </c>
      <c r="K4643" s="22"/>
      <c r="L4643" s="36">
        <v>830.0</v>
      </c>
      <c r="M4643" s="36"/>
      <c r="N4643" s="36"/>
      <c r="O4643" s="36"/>
      <c r="P4643" s="37"/>
      <c r="Q4643" s="36"/>
      <c r="R4643" s="36"/>
      <c r="S4643" s="36" t="s">
        <v>132</v>
      </c>
      <c r="T4643" s="28" t="s">
        <v>22069</v>
      </c>
      <c r="U4643" s="38" t="str">
        <f>HYPERLINK("https://link.springer.com/article/10.1007%2Fs101030050082","Springer")</f>
        <v>Springer</v>
      </c>
      <c r="V4643" s="30"/>
      <c r="W4643" s="156"/>
      <c r="X4643" s="49"/>
      <c r="Y4643" s="35"/>
      <c r="Z4643" s="35"/>
      <c r="AA4643" s="35"/>
      <c r="AB4643" s="35"/>
      <c r="AC4643" s="35"/>
      <c r="AD4643" s="35"/>
      <c r="AE4643" s="35"/>
      <c r="AF4643" s="35"/>
      <c r="AG4643" s="35"/>
      <c r="AH4643" s="35"/>
      <c r="AI4643" s="35"/>
      <c r="AJ4643" s="35"/>
      <c r="AK4643" s="35"/>
      <c r="AL4643" s="35"/>
    </row>
    <row r="4644">
      <c r="A4644" s="1"/>
      <c r="B4644" s="19" t="s">
        <v>19332</v>
      </c>
      <c r="C4644" s="20" t="s">
        <v>21899</v>
      </c>
      <c r="D4644" s="47"/>
      <c r="E4644" s="22" t="s">
        <v>18346</v>
      </c>
      <c r="F4644" s="22" t="s">
        <v>1258</v>
      </c>
      <c r="G4644" s="23">
        <v>1996.0</v>
      </c>
      <c r="H4644" s="22" t="s">
        <v>798</v>
      </c>
      <c r="I4644" s="24" t="s">
        <v>22070</v>
      </c>
      <c r="J4644" s="22" t="s">
        <v>22071</v>
      </c>
      <c r="K4644" s="22"/>
      <c r="L4644" s="36">
        <v>820.0</v>
      </c>
      <c r="M4644" s="36">
        <v>70.0</v>
      </c>
      <c r="N4644" s="36"/>
      <c r="O4644" s="36" t="s">
        <v>22072</v>
      </c>
      <c r="P4644" s="37" t="s">
        <v>7303</v>
      </c>
      <c r="Q4644" s="36"/>
      <c r="R4644" s="36" t="s">
        <v>22073</v>
      </c>
      <c r="S4644" s="36" t="s">
        <v>22074</v>
      </c>
      <c r="T4644" s="302" t="s">
        <v>22075</v>
      </c>
      <c r="U4644" s="29" t="s">
        <v>61</v>
      </c>
      <c r="V4644" s="30"/>
      <c r="W4644" s="156"/>
      <c r="X4644" s="49"/>
      <c r="Y4644" s="35"/>
      <c r="Z4644" s="35"/>
      <c r="AA4644" s="35"/>
      <c r="AB4644" s="35"/>
      <c r="AC4644" s="35"/>
      <c r="AD4644" s="35"/>
      <c r="AE4644" s="35"/>
      <c r="AF4644" s="35"/>
      <c r="AG4644" s="35"/>
      <c r="AH4644" s="35"/>
      <c r="AI4644" s="35"/>
      <c r="AJ4644" s="35"/>
      <c r="AK4644" s="35"/>
      <c r="AL4644" s="35"/>
    </row>
    <row r="4645">
      <c r="A4645" s="1"/>
      <c r="B4645" s="19" t="s">
        <v>19332</v>
      </c>
      <c r="C4645" s="20" t="s">
        <v>21899</v>
      </c>
      <c r="D4645" s="47"/>
      <c r="E4645" s="22" t="s">
        <v>18346</v>
      </c>
      <c r="F4645" s="22" t="s">
        <v>1258</v>
      </c>
      <c r="G4645" s="23">
        <v>1996.0</v>
      </c>
      <c r="H4645" s="22" t="s">
        <v>1259</v>
      </c>
      <c r="I4645" s="24" t="s">
        <v>22076</v>
      </c>
      <c r="J4645" s="22" t="s">
        <v>22077</v>
      </c>
      <c r="K4645" s="22"/>
      <c r="L4645" s="36">
        <v>820.0</v>
      </c>
      <c r="M4645" s="36">
        <v>70.0</v>
      </c>
      <c r="N4645" s="36" t="s">
        <v>1261</v>
      </c>
      <c r="O4645" s="36" t="s">
        <v>22078</v>
      </c>
      <c r="P4645" s="37"/>
      <c r="Q4645" s="36" t="s">
        <v>22079</v>
      </c>
      <c r="R4645" s="36"/>
      <c r="S4645" s="36" t="s">
        <v>22080</v>
      </c>
      <c r="T4645" s="302" t="s">
        <v>22081</v>
      </c>
      <c r="U4645" s="38" t="str">
        <f>HYPERLINK("https://www.ncbi.nlm.nih.gov/pubmed/8863301","PubMed")</f>
        <v>PubMed</v>
      </c>
      <c r="V4645" s="30"/>
      <c r="W4645" s="156"/>
      <c r="X4645" s="49"/>
      <c r="Y4645" s="35"/>
      <c r="Z4645" s="35"/>
      <c r="AA4645" s="35"/>
      <c r="AB4645" s="35"/>
      <c r="AC4645" s="35"/>
      <c r="AD4645" s="35"/>
      <c r="AE4645" s="35"/>
      <c r="AF4645" s="35"/>
      <c r="AG4645" s="35"/>
      <c r="AH4645" s="35"/>
      <c r="AI4645" s="35"/>
      <c r="AJ4645" s="35"/>
      <c r="AK4645" s="35"/>
      <c r="AL4645" s="35"/>
    </row>
    <row r="4646">
      <c r="A4646" s="1"/>
      <c r="B4646" s="19" t="s">
        <v>19332</v>
      </c>
      <c r="C4646" s="20" t="s">
        <v>22082</v>
      </c>
      <c r="D4646" s="47"/>
      <c r="E4646" s="22" t="s">
        <v>109</v>
      </c>
      <c r="F4646" s="22" t="s">
        <v>41</v>
      </c>
      <c r="G4646" s="23">
        <v>2024.0</v>
      </c>
      <c r="H4646" s="22" t="s">
        <v>91</v>
      </c>
      <c r="I4646" s="24" t="s">
        <v>22083</v>
      </c>
      <c r="J4646" s="22" t="s">
        <v>55</v>
      </c>
      <c r="K4646" s="22" t="s">
        <v>22084</v>
      </c>
      <c r="L4646" s="52">
        <v>904.0</v>
      </c>
      <c r="M4646" s="52"/>
      <c r="N4646" s="52"/>
      <c r="O4646" s="52"/>
      <c r="P4646" s="189" t="s">
        <v>17791</v>
      </c>
      <c r="Q4646" s="52"/>
      <c r="R4646" s="52"/>
      <c r="S4646" s="52"/>
      <c r="T4646" s="28" t="s">
        <v>22085</v>
      </c>
      <c r="U4646" s="38" t="s">
        <v>61</v>
      </c>
      <c r="V4646" s="30"/>
      <c r="W4646" s="156"/>
      <c r="X4646" s="49"/>
      <c r="Y4646" s="35"/>
      <c r="Z4646" s="35"/>
      <c r="AA4646" s="35"/>
      <c r="AB4646" s="35"/>
      <c r="AC4646" s="35"/>
      <c r="AD4646" s="35"/>
      <c r="AE4646" s="35"/>
      <c r="AF4646" s="35"/>
      <c r="AG4646" s="35"/>
      <c r="AH4646" s="35"/>
      <c r="AI4646" s="35"/>
      <c r="AJ4646" s="35"/>
      <c r="AK4646" s="35"/>
      <c r="AL4646" s="35"/>
    </row>
    <row r="4647">
      <c r="A4647" s="1"/>
      <c r="B4647" s="19" t="s">
        <v>19332</v>
      </c>
      <c r="C4647" s="20" t="s">
        <v>22082</v>
      </c>
      <c r="D4647" s="47"/>
      <c r="E4647" s="22" t="s">
        <v>22086</v>
      </c>
      <c r="F4647" s="22" t="s">
        <v>14699</v>
      </c>
      <c r="G4647" s="23">
        <v>2021.0</v>
      </c>
      <c r="H4647" s="22" t="s">
        <v>22087</v>
      </c>
      <c r="I4647" s="24" t="s">
        <v>22088</v>
      </c>
      <c r="J4647" s="22" t="s">
        <v>22089</v>
      </c>
      <c r="K4647" s="22"/>
      <c r="L4647" s="52">
        <v>1064.0</v>
      </c>
      <c r="M4647" s="52"/>
      <c r="N4647" s="52"/>
      <c r="O4647" s="52"/>
      <c r="P4647" s="189"/>
      <c r="Q4647" s="52"/>
      <c r="R4647" s="52"/>
      <c r="S4647" s="52">
        <v>1.0</v>
      </c>
      <c r="T4647" s="28" t="s">
        <v>22090</v>
      </c>
      <c r="U4647" s="29" t="s">
        <v>61</v>
      </c>
      <c r="V4647" s="30"/>
      <c r="W4647" s="156"/>
      <c r="X4647" s="49"/>
      <c r="Y4647" s="35"/>
      <c r="Z4647" s="35"/>
      <c r="AA4647" s="35"/>
      <c r="AB4647" s="35"/>
      <c r="AC4647" s="35"/>
      <c r="AD4647" s="35"/>
      <c r="AE4647" s="35"/>
      <c r="AF4647" s="35"/>
      <c r="AG4647" s="35"/>
      <c r="AH4647" s="35"/>
      <c r="AI4647" s="35"/>
      <c r="AJ4647" s="35"/>
      <c r="AK4647" s="35"/>
      <c r="AL4647" s="35"/>
    </row>
    <row r="4648">
      <c r="A4648" s="40"/>
      <c r="B4648" s="75" t="s">
        <v>19332</v>
      </c>
      <c r="C4648" s="77" t="s">
        <v>22091</v>
      </c>
      <c r="D4648" s="47"/>
      <c r="E4648" s="22" t="s">
        <v>22092</v>
      </c>
      <c r="F4648" s="22" t="s">
        <v>323</v>
      </c>
      <c r="G4648" s="23">
        <v>2024.0</v>
      </c>
      <c r="H4648" s="22" t="s">
        <v>207</v>
      </c>
      <c r="I4648" s="24" t="s">
        <v>22093</v>
      </c>
      <c r="J4648" s="22" t="s">
        <v>22094</v>
      </c>
      <c r="K4648" s="22"/>
      <c r="L4648" s="52">
        <v>880.0</v>
      </c>
      <c r="M4648" s="52">
        <v>500.0</v>
      </c>
      <c r="N4648" s="52"/>
      <c r="O4648" s="52"/>
      <c r="P4648" s="189" t="s">
        <v>5401</v>
      </c>
      <c r="Q4648" s="52" t="s">
        <v>22095</v>
      </c>
      <c r="R4648" s="52"/>
      <c r="S4648" s="52" t="s">
        <v>22024</v>
      </c>
      <c r="T4648" s="28" t="s">
        <v>22096</v>
      </c>
      <c r="U4648" s="38" t="s">
        <v>61</v>
      </c>
      <c r="V4648" s="30"/>
      <c r="W4648" s="156"/>
      <c r="X4648" s="49"/>
      <c r="Y4648" s="35"/>
      <c r="Z4648" s="35"/>
      <c r="AA4648" s="35"/>
      <c r="AB4648" s="35"/>
      <c r="AC4648" s="35"/>
      <c r="AD4648" s="35"/>
      <c r="AE4648" s="35"/>
      <c r="AF4648" s="35"/>
      <c r="AG4648" s="35"/>
      <c r="AH4648" s="35"/>
      <c r="AI4648" s="35"/>
      <c r="AJ4648" s="35"/>
      <c r="AK4648" s="35"/>
      <c r="AL4648" s="35"/>
    </row>
    <row r="4649">
      <c r="A4649" s="40"/>
      <c r="B4649" s="19" t="s">
        <v>19332</v>
      </c>
      <c r="C4649" s="20" t="s">
        <v>22091</v>
      </c>
      <c r="D4649" s="47"/>
      <c r="E4649" s="22" t="s">
        <v>22097</v>
      </c>
      <c r="F4649" s="22" t="s">
        <v>814</v>
      </c>
      <c r="G4649" s="23">
        <v>2023.0</v>
      </c>
      <c r="H4649" s="22" t="s">
        <v>22098</v>
      </c>
      <c r="I4649" s="24" t="s">
        <v>22099</v>
      </c>
      <c r="J4649" s="22" t="s">
        <v>253</v>
      </c>
      <c r="K4649" s="22"/>
      <c r="L4649" s="52">
        <v>810.0</v>
      </c>
      <c r="M4649" s="52">
        <v>300.0</v>
      </c>
      <c r="N4649" s="52"/>
      <c r="O4649" s="52"/>
      <c r="P4649" s="189" t="s">
        <v>2886</v>
      </c>
      <c r="Q4649" s="52"/>
      <c r="R4649" s="52"/>
      <c r="S4649" s="52">
        <v>14.0</v>
      </c>
      <c r="T4649" s="28" t="s">
        <v>22100</v>
      </c>
      <c r="U4649" s="38" t="s">
        <v>61</v>
      </c>
      <c r="V4649" s="30"/>
      <c r="W4649" s="156"/>
      <c r="X4649" s="49"/>
      <c r="Y4649" s="35"/>
      <c r="Z4649" s="35"/>
      <c r="AA4649" s="35"/>
      <c r="AB4649" s="35"/>
      <c r="AC4649" s="35"/>
      <c r="AD4649" s="35"/>
      <c r="AE4649" s="35"/>
      <c r="AF4649" s="35"/>
      <c r="AG4649" s="35"/>
      <c r="AH4649" s="35"/>
      <c r="AI4649" s="35"/>
      <c r="AJ4649" s="35"/>
      <c r="AK4649" s="35"/>
      <c r="AL4649" s="35"/>
    </row>
    <row r="4650">
      <c r="A4650" s="40" t="s">
        <v>38</v>
      </c>
      <c r="B4650" s="19" t="s">
        <v>19332</v>
      </c>
      <c r="C4650" s="20" t="s">
        <v>22091</v>
      </c>
      <c r="D4650" s="47"/>
      <c r="E4650" s="22" t="s">
        <v>22101</v>
      </c>
      <c r="F4650" s="22" t="s">
        <v>605</v>
      </c>
      <c r="G4650" s="23">
        <v>2017.0</v>
      </c>
      <c r="H4650" s="22" t="s">
        <v>798</v>
      </c>
      <c r="I4650" s="24" t="s">
        <v>22102</v>
      </c>
      <c r="J4650" s="22" t="s">
        <v>55</v>
      </c>
      <c r="K4650" s="22" t="s">
        <v>157</v>
      </c>
      <c r="L4650" s="36">
        <v>618.0</v>
      </c>
      <c r="M4650" s="36"/>
      <c r="N4650" s="36" t="s">
        <v>821</v>
      </c>
      <c r="O4650" s="36"/>
      <c r="P4650" s="37" t="s">
        <v>82</v>
      </c>
      <c r="Q4650" s="36"/>
      <c r="R4650" s="36">
        <v>300.0</v>
      </c>
      <c r="S4650" s="36">
        <v>21.0</v>
      </c>
      <c r="T4650" s="28" t="s">
        <v>22103</v>
      </c>
      <c r="U4650" s="38" t="str">
        <f>HYPERLINK("https://www.ncbi.nlm.nih.gov/pubmed/28529151","PubMed")</f>
        <v>PubMed</v>
      </c>
      <c r="V4650" s="30"/>
      <c r="W4650" s="156"/>
      <c r="X4650" s="49"/>
      <c r="Y4650" s="35"/>
      <c r="Z4650" s="35"/>
      <c r="AA4650" s="35"/>
      <c r="AB4650" s="35"/>
      <c r="AC4650" s="35"/>
      <c r="AD4650" s="35"/>
      <c r="AE4650" s="35"/>
      <c r="AF4650" s="35"/>
      <c r="AG4650" s="35"/>
      <c r="AH4650" s="35"/>
      <c r="AI4650" s="35"/>
      <c r="AJ4650" s="35"/>
      <c r="AK4650" s="35"/>
      <c r="AL4650" s="35"/>
    </row>
    <row r="4651">
      <c r="A4651" s="18"/>
      <c r="B4651" s="19" t="s">
        <v>19332</v>
      </c>
      <c r="C4651" s="20" t="s">
        <v>22091</v>
      </c>
      <c r="D4651" s="47"/>
      <c r="E4651" s="22" t="s">
        <v>7786</v>
      </c>
      <c r="F4651" s="22" t="s">
        <v>41</v>
      </c>
      <c r="G4651" s="23">
        <v>2017.0</v>
      </c>
      <c r="H4651" s="22" t="s">
        <v>658</v>
      </c>
      <c r="I4651" s="24" t="s">
        <v>22104</v>
      </c>
      <c r="J4651" s="22" t="s">
        <v>55</v>
      </c>
      <c r="K4651" s="22"/>
      <c r="L4651" s="36">
        <v>808.0</v>
      </c>
      <c r="M4651" s="36">
        <v>100.0</v>
      </c>
      <c r="N4651" s="36"/>
      <c r="O4651" s="36"/>
      <c r="P4651" s="37" t="s">
        <v>22105</v>
      </c>
      <c r="Q4651" s="36"/>
      <c r="R4651" s="36"/>
      <c r="S4651" s="36"/>
      <c r="T4651" s="28" t="s">
        <v>22106</v>
      </c>
      <c r="U4651" s="38" t="str">
        <f>HYPERLINK("https://www.ncbi.nlm.nih.gov/pubmed/28358662","PubMed")</f>
        <v>PubMed</v>
      </c>
      <c r="V4651" s="30"/>
      <c r="W4651" s="156"/>
      <c r="X4651" s="49"/>
      <c r="Y4651" s="35"/>
      <c r="Z4651" s="35"/>
      <c r="AA4651" s="35"/>
      <c r="AB4651" s="35"/>
      <c r="AC4651" s="35"/>
      <c r="AD4651" s="35"/>
      <c r="AE4651" s="35"/>
      <c r="AF4651" s="35"/>
      <c r="AG4651" s="35"/>
      <c r="AH4651" s="35"/>
      <c r="AI4651" s="35"/>
      <c r="AJ4651" s="35"/>
      <c r="AK4651" s="35"/>
      <c r="AL4651" s="35"/>
    </row>
    <row r="4652">
      <c r="A4652" s="1"/>
      <c r="B4652" s="19" t="s">
        <v>19332</v>
      </c>
      <c r="C4652" s="20" t="s">
        <v>22107</v>
      </c>
      <c r="D4652" s="47"/>
      <c r="E4652" s="22" t="s">
        <v>22108</v>
      </c>
      <c r="F4652" s="22" t="s">
        <v>1398</v>
      </c>
      <c r="G4652" s="23">
        <v>1988.0</v>
      </c>
      <c r="H4652" s="22" t="s">
        <v>555</v>
      </c>
      <c r="I4652" s="24" t="s">
        <v>22109</v>
      </c>
      <c r="J4652" s="22" t="s">
        <v>18046</v>
      </c>
      <c r="K4652" s="22"/>
      <c r="L4652" s="36">
        <v>904.0</v>
      </c>
      <c r="M4652" s="36"/>
      <c r="N4652" s="36"/>
      <c r="O4652" s="36"/>
      <c r="P4652" s="37"/>
      <c r="Q4652" s="36"/>
      <c r="R4652" s="36"/>
      <c r="S4652" s="36"/>
      <c r="T4652" s="28" t="s">
        <v>22110</v>
      </c>
      <c r="U4652" s="38" t="str">
        <f>HYPERLINK("https://www.ncbi.nlm.nih.gov/pubmed/3245796","PubMed")</f>
        <v>PubMed</v>
      </c>
      <c r="V4652" s="30"/>
      <c r="W4652" s="156"/>
      <c r="X4652" s="49"/>
      <c r="Y4652" s="35"/>
      <c r="Z4652" s="35"/>
      <c r="AA4652" s="35"/>
      <c r="AB4652" s="35"/>
      <c r="AC4652" s="35"/>
      <c r="AD4652" s="35"/>
      <c r="AE4652" s="35"/>
      <c r="AF4652" s="35"/>
      <c r="AG4652" s="35"/>
      <c r="AH4652" s="35"/>
      <c r="AI4652" s="35"/>
      <c r="AJ4652" s="35"/>
      <c r="AK4652" s="35"/>
      <c r="AL4652" s="35"/>
    </row>
    <row r="4653">
      <c r="A4653" s="1"/>
      <c r="B4653" s="19" t="s">
        <v>19332</v>
      </c>
      <c r="C4653" s="20" t="s">
        <v>22111</v>
      </c>
      <c r="D4653" s="47"/>
      <c r="E4653" s="22" t="s">
        <v>14869</v>
      </c>
      <c r="F4653" s="22" t="s">
        <v>540</v>
      </c>
      <c r="G4653" s="23">
        <v>2021.0</v>
      </c>
      <c r="H4653" s="22" t="s">
        <v>348</v>
      </c>
      <c r="I4653" s="24" t="s">
        <v>22112</v>
      </c>
      <c r="J4653" s="22" t="s">
        <v>125</v>
      </c>
      <c r="K4653" s="22"/>
      <c r="L4653" s="173" t="s">
        <v>22113</v>
      </c>
      <c r="U4653" s="29" t="s">
        <v>61</v>
      </c>
      <c r="V4653" s="30"/>
      <c r="W4653" s="156"/>
      <c r="X4653" s="49"/>
      <c r="Y4653" s="35"/>
      <c r="Z4653" s="35"/>
      <c r="AA4653" s="35"/>
      <c r="AB4653" s="35"/>
      <c r="AC4653" s="35"/>
      <c r="AD4653" s="35"/>
      <c r="AE4653" s="35"/>
      <c r="AF4653" s="35"/>
      <c r="AG4653" s="35"/>
      <c r="AH4653" s="35"/>
      <c r="AI4653" s="35"/>
      <c r="AJ4653" s="35"/>
      <c r="AK4653" s="35"/>
      <c r="AL4653" s="35"/>
    </row>
    <row r="4654">
      <c r="A4654" s="1"/>
      <c r="B4654" s="19" t="s">
        <v>19332</v>
      </c>
      <c r="C4654" s="20" t="s">
        <v>22114</v>
      </c>
      <c r="D4654" s="47"/>
      <c r="E4654" s="22" t="s">
        <v>22115</v>
      </c>
      <c r="F4654" s="22" t="s">
        <v>1398</v>
      </c>
      <c r="G4654" s="23">
        <v>1993.0</v>
      </c>
      <c r="H4654" s="22" t="s">
        <v>53</v>
      </c>
      <c r="I4654" s="24" t="s">
        <v>22116</v>
      </c>
      <c r="J4654" s="22" t="s">
        <v>55</v>
      </c>
      <c r="K4654" s="22"/>
      <c r="L4654" s="36">
        <v>830.0</v>
      </c>
      <c r="M4654" s="36">
        <v>350.0</v>
      </c>
      <c r="N4654" s="36"/>
      <c r="O4654" s="36"/>
      <c r="P4654" s="37"/>
      <c r="Q4654" s="36"/>
      <c r="R4654" s="36">
        <v>120.0</v>
      </c>
      <c r="S4654" s="36"/>
      <c r="T4654" s="28" t="s">
        <v>22117</v>
      </c>
      <c r="U4654" s="38" t="str">
        <f>HYPERLINK("https://www.ncbi.nlm.nih.gov/pubmed/8295468","PubMed")</f>
        <v>PubMed</v>
      </c>
      <c r="V4654" s="30"/>
      <c r="W4654" s="156"/>
      <c r="X4654" s="49"/>
      <c r="Y4654" s="35"/>
      <c r="Z4654" s="35"/>
      <c r="AA4654" s="35"/>
      <c r="AB4654" s="35"/>
      <c r="AC4654" s="35"/>
      <c r="AD4654" s="35"/>
      <c r="AE4654" s="35"/>
      <c r="AF4654" s="35"/>
      <c r="AG4654" s="35"/>
      <c r="AH4654" s="35"/>
      <c r="AI4654" s="35"/>
      <c r="AJ4654" s="35"/>
      <c r="AK4654" s="35"/>
      <c r="AL4654" s="35"/>
    </row>
    <row r="4655">
      <c r="A4655" s="1"/>
      <c r="B4655" s="19" t="s">
        <v>19332</v>
      </c>
      <c r="C4655" s="20" t="s">
        <v>22118</v>
      </c>
      <c r="D4655" s="47"/>
      <c r="E4655" s="22" t="s">
        <v>20703</v>
      </c>
      <c r="F4655" s="22" t="s">
        <v>7945</v>
      </c>
      <c r="G4655" s="23">
        <v>2017.0</v>
      </c>
      <c r="H4655" s="22" t="s">
        <v>469</v>
      </c>
      <c r="I4655" s="24" t="s">
        <v>22119</v>
      </c>
      <c r="J4655" s="22" t="s">
        <v>22120</v>
      </c>
      <c r="K4655" s="22" t="s">
        <v>2355</v>
      </c>
      <c r="L4655" s="36">
        <v>808.0</v>
      </c>
      <c r="M4655" s="36">
        <v>250.0</v>
      </c>
      <c r="N4655" s="36"/>
      <c r="O4655" s="36"/>
      <c r="P4655" s="37" t="s">
        <v>7303</v>
      </c>
      <c r="Q4655" s="36" t="s">
        <v>22121</v>
      </c>
      <c r="R4655" s="36">
        <v>900.0</v>
      </c>
      <c r="S4655" s="36"/>
      <c r="T4655" s="28" t="s">
        <v>22122</v>
      </c>
      <c r="U4655" s="29" t="s">
        <v>61</v>
      </c>
      <c r="V4655" s="30" t="s">
        <v>16221</v>
      </c>
      <c r="W4655" s="156"/>
      <c r="X4655" s="49"/>
      <c r="Y4655" s="35"/>
      <c r="Z4655" s="35"/>
      <c r="AA4655" s="35"/>
      <c r="AB4655" s="35"/>
      <c r="AC4655" s="35"/>
      <c r="AD4655" s="35"/>
      <c r="AE4655" s="35"/>
      <c r="AF4655" s="35"/>
      <c r="AG4655" s="35"/>
      <c r="AH4655" s="35"/>
      <c r="AI4655" s="35"/>
      <c r="AJ4655" s="35"/>
      <c r="AK4655" s="35"/>
      <c r="AL4655" s="35"/>
    </row>
    <row r="4656">
      <c r="A4656" s="1"/>
      <c r="B4656" s="19" t="s">
        <v>19332</v>
      </c>
      <c r="C4656" s="20" t="s">
        <v>22118</v>
      </c>
      <c r="D4656" s="47"/>
      <c r="E4656" s="22" t="s">
        <v>18128</v>
      </c>
      <c r="F4656" s="22" t="s">
        <v>1258</v>
      </c>
      <c r="G4656" s="23">
        <v>1993.0</v>
      </c>
      <c r="H4656" s="22" t="s">
        <v>292</v>
      </c>
      <c r="I4656" s="24" t="s">
        <v>22123</v>
      </c>
      <c r="J4656" s="22" t="s">
        <v>22124</v>
      </c>
      <c r="K4656" s="22"/>
      <c r="L4656" s="36">
        <v>830.0</v>
      </c>
      <c r="M4656" s="36">
        <v>70.0</v>
      </c>
      <c r="N4656" s="36"/>
      <c r="O4656" s="36"/>
      <c r="P4656" s="37" t="s">
        <v>552</v>
      </c>
      <c r="Q4656" s="36"/>
      <c r="R4656" s="36"/>
      <c r="S4656" s="36" t="s">
        <v>22125</v>
      </c>
      <c r="T4656" s="28" t="s">
        <v>22126</v>
      </c>
      <c r="U4656" s="38" t="str">
        <f>HYPERLINK("https://www.jstage.jst.go.jp/article/islsm/5/2/5_93-OR-10/_article/-char/en","J-STAGE")</f>
        <v>J-STAGE</v>
      </c>
      <c r="V4656" s="30"/>
      <c r="W4656" s="156"/>
      <c r="X4656" s="49"/>
      <c r="Y4656" s="35"/>
      <c r="Z4656" s="35"/>
      <c r="AA4656" s="35"/>
      <c r="AB4656" s="35"/>
      <c r="AC4656" s="35"/>
      <c r="AD4656" s="35"/>
      <c r="AE4656" s="35"/>
      <c r="AF4656" s="35"/>
      <c r="AG4656" s="35"/>
      <c r="AH4656" s="35"/>
      <c r="AI4656" s="35"/>
      <c r="AJ4656" s="35"/>
      <c r="AK4656" s="35"/>
      <c r="AL4656" s="35"/>
    </row>
    <row r="4657">
      <c r="A4657" s="1"/>
      <c r="B4657" s="19" t="s">
        <v>19332</v>
      </c>
      <c r="C4657" s="20" t="s">
        <v>22127</v>
      </c>
      <c r="D4657" s="47"/>
      <c r="E4657" s="22" t="s">
        <v>825</v>
      </c>
      <c r="F4657" s="22" t="s">
        <v>22128</v>
      </c>
      <c r="G4657" s="23">
        <v>2024.0</v>
      </c>
      <c r="H4657" s="22" t="s">
        <v>8177</v>
      </c>
      <c r="I4657" s="24" t="s">
        <v>22129</v>
      </c>
      <c r="J4657" s="22" t="s">
        <v>22130</v>
      </c>
      <c r="K4657" s="22"/>
      <c r="L4657" s="36">
        <v>660.0</v>
      </c>
      <c r="M4657" s="36"/>
      <c r="N4657" s="36"/>
      <c r="O4657" s="36"/>
      <c r="P4657" s="37"/>
      <c r="Q4657" s="36"/>
      <c r="R4657" s="129"/>
      <c r="S4657" s="36"/>
      <c r="T4657" s="41" t="s">
        <v>22131</v>
      </c>
      <c r="U4657" s="38" t="s">
        <v>61</v>
      </c>
      <c r="V4657" s="30"/>
      <c r="W4657" s="156"/>
      <c r="X4657" s="49"/>
      <c r="Y4657" s="35"/>
      <c r="Z4657" s="35"/>
      <c r="AA4657" s="35"/>
      <c r="AB4657" s="35"/>
      <c r="AC4657" s="35"/>
      <c r="AD4657" s="35"/>
      <c r="AE4657" s="35"/>
      <c r="AF4657" s="35"/>
      <c r="AG4657" s="35"/>
      <c r="AH4657" s="35"/>
      <c r="AI4657" s="35"/>
      <c r="AJ4657" s="35"/>
      <c r="AK4657" s="35"/>
      <c r="AL4657" s="35"/>
    </row>
    <row r="4658">
      <c r="A4658" s="1"/>
      <c r="B4658" s="19" t="s">
        <v>19332</v>
      </c>
      <c r="C4658" s="20" t="s">
        <v>22132</v>
      </c>
      <c r="D4658" s="47"/>
      <c r="E4658" s="22" t="s">
        <v>22133</v>
      </c>
      <c r="F4658" s="22" t="s">
        <v>720</v>
      </c>
      <c r="G4658" s="23">
        <v>2021.0</v>
      </c>
      <c r="H4658" s="22" t="s">
        <v>8177</v>
      </c>
      <c r="I4658" s="24" t="s">
        <v>22134</v>
      </c>
      <c r="J4658" s="22" t="s">
        <v>55</v>
      </c>
      <c r="K4658" s="22" t="s">
        <v>22135</v>
      </c>
      <c r="L4658" s="36">
        <v>660.0</v>
      </c>
      <c r="M4658" s="36">
        <v>100.0</v>
      </c>
      <c r="N4658" s="36" t="s">
        <v>22136</v>
      </c>
      <c r="O4658" s="36" t="s">
        <v>8744</v>
      </c>
      <c r="P4658" s="37" t="s">
        <v>82</v>
      </c>
      <c r="Q4658" s="36" t="s">
        <v>830</v>
      </c>
      <c r="R4658" s="129">
        <v>44288.0</v>
      </c>
      <c r="S4658" s="36">
        <v>10.0</v>
      </c>
      <c r="T4658" s="28" t="s">
        <v>22137</v>
      </c>
      <c r="U4658" s="29" t="s">
        <v>61</v>
      </c>
      <c r="V4658" s="30"/>
      <c r="W4658" s="156"/>
      <c r="X4658" s="49"/>
      <c r="Y4658" s="35"/>
      <c r="Z4658" s="35"/>
      <c r="AA4658" s="35"/>
      <c r="AB4658" s="35"/>
      <c r="AC4658" s="35"/>
      <c r="AD4658" s="35"/>
      <c r="AE4658" s="35"/>
      <c r="AF4658" s="35"/>
      <c r="AG4658" s="35"/>
      <c r="AH4658" s="35"/>
      <c r="AI4658" s="35"/>
      <c r="AJ4658" s="35"/>
      <c r="AK4658" s="35"/>
      <c r="AL4658" s="35"/>
    </row>
    <row r="4659">
      <c r="A4659" s="18" t="s">
        <v>38</v>
      </c>
      <c r="B4659" s="19" t="s">
        <v>19332</v>
      </c>
      <c r="C4659" s="20" t="s">
        <v>22132</v>
      </c>
      <c r="D4659" s="112"/>
      <c r="E4659" s="113" t="s">
        <v>22138</v>
      </c>
      <c r="F4659" s="113" t="s">
        <v>1891</v>
      </c>
      <c r="G4659" s="355">
        <v>2018.0</v>
      </c>
      <c r="H4659" s="113" t="s">
        <v>147</v>
      </c>
      <c r="I4659" s="114" t="s">
        <v>22139</v>
      </c>
      <c r="J4659" s="113" t="s">
        <v>55</v>
      </c>
      <c r="K4659" s="22" t="s">
        <v>22140</v>
      </c>
      <c r="L4659" s="36">
        <v>810.0</v>
      </c>
      <c r="M4659" s="36"/>
      <c r="N4659" s="36" t="s">
        <v>892</v>
      </c>
      <c r="O4659" s="36"/>
      <c r="P4659" s="37" t="s">
        <v>254</v>
      </c>
      <c r="Q4659" s="36" t="s">
        <v>675</v>
      </c>
      <c r="R4659" s="36">
        <v>40.0</v>
      </c>
      <c r="S4659" s="36"/>
      <c r="T4659" s="103" t="s">
        <v>22141</v>
      </c>
      <c r="U4659" s="38" t="str">
        <f>HYPERLINK("https://www.ncbi.nlm.nih.gov/pubmed/30809331","PubMed")</f>
        <v>PubMed</v>
      </c>
      <c r="V4659" s="30"/>
      <c r="W4659" s="156"/>
      <c r="X4659" s="49"/>
      <c r="Y4659" s="35"/>
      <c r="Z4659" s="35"/>
      <c r="AA4659" s="35"/>
      <c r="AB4659" s="35"/>
      <c r="AC4659" s="35"/>
      <c r="AD4659" s="35"/>
      <c r="AE4659" s="35"/>
      <c r="AF4659" s="35"/>
      <c r="AG4659" s="35"/>
      <c r="AH4659" s="35"/>
      <c r="AI4659" s="35"/>
      <c r="AJ4659" s="35"/>
      <c r="AK4659" s="35"/>
      <c r="AL4659" s="35"/>
    </row>
    <row r="4660">
      <c r="A4660" s="1"/>
      <c r="B4660" s="19" t="s">
        <v>19332</v>
      </c>
      <c r="C4660" s="20" t="s">
        <v>22132</v>
      </c>
      <c r="D4660" s="112"/>
      <c r="E4660" s="115" t="s">
        <v>22142</v>
      </c>
      <c r="F4660" s="115" t="s">
        <v>1891</v>
      </c>
      <c r="G4660" s="356">
        <v>2013.0</v>
      </c>
      <c r="H4660" s="115" t="s">
        <v>19759</v>
      </c>
      <c r="I4660" s="120" t="s">
        <v>22143</v>
      </c>
      <c r="J4660" s="113" t="s">
        <v>55</v>
      </c>
      <c r="K4660" s="22" t="s">
        <v>5956</v>
      </c>
      <c r="L4660" s="36">
        <v>660.0</v>
      </c>
      <c r="M4660" s="36"/>
      <c r="N4660" s="36"/>
      <c r="O4660" s="36"/>
      <c r="P4660" s="37"/>
      <c r="Q4660" s="36"/>
      <c r="R4660" s="36"/>
      <c r="S4660" s="36"/>
      <c r="T4660" s="102" t="s">
        <v>22144</v>
      </c>
      <c r="U4660" s="38" t="str">
        <f>HYPERLINK("https://www.ncbi.nlm.nih.gov/pubmed/24019803","PubMed")</f>
        <v>PubMed</v>
      </c>
      <c r="V4660" s="30"/>
      <c r="W4660" s="156"/>
      <c r="X4660" s="49"/>
      <c r="Y4660" s="35"/>
      <c r="Z4660" s="35"/>
      <c r="AA4660" s="35"/>
      <c r="AB4660" s="35"/>
      <c r="AC4660" s="35"/>
      <c r="AD4660" s="35"/>
      <c r="AE4660" s="35"/>
      <c r="AF4660" s="35"/>
      <c r="AG4660" s="35"/>
      <c r="AH4660" s="35"/>
      <c r="AI4660" s="35"/>
      <c r="AJ4660" s="35"/>
      <c r="AK4660" s="35"/>
      <c r="AL4660" s="35"/>
    </row>
    <row r="4661">
      <c r="A4661" s="1"/>
      <c r="B4661" s="19" t="s">
        <v>19332</v>
      </c>
      <c r="C4661" s="20" t="s">
        <v>22132</v>
      </c>
      <c r="D4661" s="47"/>
      <c r="E4661" s="22" t="s">
        <v>22145</v>
      </c>
      <c r="F4661" s="22" t="s">
        <v>11512</v>
      </c>
      <c r="G4661" s="23">
        <v>2012.0</v>
      </c>
      <c r="H4661" s="22" t="s">
        <v>91</v>
      </c>
      <c r="I4661" s="24" t="s">
        <v>22146</v>
      </c>
      <c r="J4661" s="22" t="s">
        <v>22147</v>
      </c>
      <c r="K4661" s="22" t="s">
        <v>10426</v>
      </c>
      <c r="L4661" s="36">
        <v>1064.0</v>
      </c>
      <c r="M4661" s="36">
        <v>250.0</v>
      </c>
      <c r="N4661" s="36" t="s">
        <v>58</v>
      </c>
      <c r="O4661" s="36" t="s">
        <v>58</v>
      </c>
      <c r="P4661" s="37" t="s">
        <v>432</v>
      </c>
      <c r="Q4661" s="36" t="s">
        <v>6449</v>
      </c>
      <c r="R4661" s="36">
        <v>20.0</v>
      </c>
      <c r="S4661" s="36" t="s">
        <v>10290</v>
      </c>
      <c r="T4661" s="102" t="s">
        <v>22148</v>
      </c>
      <c r="U4661" s="38" t="str">
        <f>HYPERLINK("https://www.ncbi.nlm.nih.gov/pubmed/21713459","PubMed")</f>
        <v>PubMed</v>
      </c>
      <c r="V4661" s="30"/>
      <c r="W4661" s="156"/>
      <c r="X4661" s="49"/>
      <c r="Y4661" s="35"/>
      <c r="Z4661" s="35"/>
      <c r="AA4661" s="35"/>
      <c r="AB4661" s="35"/>
      <c r="AC4661" s="35"/>
      <c r="AD4661" s="35"/>
      <c r="AE4661" s="35"/>
      <c r="AF4661" s="35"/>
      <c r="AG4661" s="35"/>
      <c r="AH4661" s="35"/>
      <c r="AI4661" s="35"/>
      <c r="AJ4661" s="35"/>
      <c r="AK4661" s="35"/>
      <c r="AL4661" s="35"/>
    </row>
    <row r="4662">
      <c r="A4662" s="1"/>
      <c r="B4662" s="19" t="s">
        <v>19332</v>
      </c>
      <c r="C4662" s="20" t="s">
        <v>22132</v>
      </c>
      <c r="D4662" s="47"/>
      <c r="E4662" s="22" t="s">
        <v>22149</v>
      </c>
      <c r="F4662" s="22" t="s">
        <v>408</v>
      </c>
      <c r="G4662" s="23">
        <v>2010.0</v>
      </c>
      <c r="H4662" s="22" t="s">
        <v>658</v>
      </c>
      <c r="I4662" s="24" t="s">
        <v>22150</v>
      </c>
      <c r="J4662" s="22" t="s">
        <v>253</v>
      </c>
      <c r="K4662" s="22"/>
      <c r="L4662" s="36">
        <v>1064.0</v>
      </c>
      <c r="M4662" s="36">
        <v>3200.0</v>
      </c>
      <c r="N4662" s="36"/>
      <c r="O4662" s="36"/>
      <c r="P4662" s="37"/>
      <c r="Q4662" s="36"/>
      <c r="R4662" s="36" t="s">
        <v>22151</v>
      </c>
      <c r="S4662" s="36"/>
      <c r="T4662" s="102" t="s">
        <v>22152</v>
      </c>
      <c r="U4662" s="38" t="str">
        <f>HYPERLINK("https://www.ncbi.nlm.nih.gov/pubmed/19712024","PubMed")</f>
        <v>PubMed</v>
      </c>
      <c r="V4662" s="30"/>
      <c r="W4662" s="156"/>
      <c r="X4662" s="49"/>
      <c r="Y4662" s="35"/>
      <c r="Z4662" s="35"/>
      <c r="AA4662" s="35"/>
      <c r="AB4662" s="35"/>
      <c r="AC4662" s="35"/>
      <c r="AD4662" s="35"/>
      <c r="AE4662" s="35"/>
      <c r="AF4662" s="35"/>
      <c r="AG4662" s="35"/>
      <c r="AH4662" s="35"/>
      <c r="AI4662" s="35"/>
      <c r="AJ4662" s="35"/>
      <c r="AK4662" s="35"/>
      <c r="AL4662" s="35"/>
    </row>
    <row r="4663">
      <c r="A4663" s="1"/>
      <c r="B4663" s="19" t="s">
        <v>19332</v>
      </c>
      <c r="C4663" s="20" t="s">
        <v>22132</v>
      </c>
      <c r="D4663" s="47"/>
      <c r="E4663" s="22" t="s">
        <v>22153</v>
      </c>
      <c r="F4663" s="22" t="s">
        <v>5207</v>
      </c>
      <c r="G4663" s="23">
        <v>2009.0</v>
      </c>
      <c r="H4663" s="22" t="s">
        <v>91</v>
      </c>
      <c r="I4663" s="24" t="s">
        <v>22154</v>
      </c>
      <c r="J4663" s="22" t="s">
        <v>22155</v>
      </c>
      <c r="K4663" s="22"/>
      <c r="L4663" s="36">
        <v>670.0</v>
      </c>
      <c r="M4663" s="36">
        <v>5.0</v>
      </c>
      <c r="N4663" s="36"/>
      <c r="O4663" s="36"/>
      <c r="P4663" s="37" t="s">
        <v>22156</v>
      </c>
      <c r="Q4663" s="36"/>
      <c r="R4663" s="36">
        <v>240.0</v>
      </c>
      <c r="S4663" s="36">
        <v>1.0</v>
      </c>
      <c r="T4663" s="102" t="s">
        <v>22157</v>
      </c>
      <c r="U4663" s="38" t="str">
        <f>HYPERLINK("https://www.ncbi.nlm.nih.gov/pubmed/18084808","PubMed")</f>
        <v>PubMed</v>
      </c>
      <c r="V4663" s="30"/>
      <c r="W4663" s="156"/>
      <c r="X4663" s="49"/>
      <c r="Y4663" s="35"/>
      <c r="Z4663" s="35"/>
      <c r="AA4663" s="35"/>
      <c r="AB4663" s="35"/>
      <c r="AC4663" s="35"/>
      <c r="AD4663" s="35"/>
      <c r="AE4663" s="35"/>
      <c r="AF4663" s="35"/>
      <c r="AG4663" s="35"/>
      <c r="AH4663" s="35"/>
      <c r="AI4663" s="35"/>
      <c r="AJ4663" s="35"/>
      <c r="AK4663" s="35"/>
      <c r="AL4663" s="35"/>
    </row>
    <row r="4664">
      <c r="A4664" s="1"/>
      <c r="B4664" s="19" t="s">
        <v>19332</v>
      </c>
      <c r="C4664" s="20" t="s">
        <v>22158</v>
      </c>
      <c r="D4664" s="47"/>
      <c r="E4664" s="22" t="s">
        <v>1089</v>
      </c>
      <c r="F4664" s="22" t="s">
        <v>41</v>
      </c>
      <c r="G4664" s="23">
        <v>2015.0</v>
      </c>
      <c r="H4664" s="22" t="s">
        <v>11554</v>
      </c>
      <c r="I4664" s="24" t="s">
        <v>22159</v>
      </c>
      <c r="J4664" s="22" t="s">
        <v>31</v>
      </c>
      <c r="K4664" s="22"/>
      <c r="L4664" s="36">
        <v>780.0</v>
      </c>
      <c r="M4664" s="36">
        <v>40.0</v>
      </c>
      <c r="N4664" s="36">
        <v>1.0</v>
      </c>
      <c r="O4664" s="36"/>
      <c r="P4664" s="37" t="s">
        <v>95</v>
      </c>
      <c r="Q4664" s="36" t="s">
        <v>830</v>
      </c>
      <c r="R4664" s="36">
        <v>10.0</v>
      </c>
      <c r="S4664" s="36"/>
      <c r="T4664" s="102" t="s">
        <v>22160</v>
      </c>
      <c r="U4664" s="38" t="str">
        <f>HYPERLINK("https://www.ncbi.nlm.nih.gov/pubmed/25879065","PubMed")</f>
        <v>PubMed</v>
      </c>
      <c r="V4664" s="30"/>
      <c r="W4664" s="156"/>
      <c r="X4664" s="49"/>
      <c r="Y4664" s="35"/>
      <c r="Z4664" s="35"/>
      <c r="AA4664" s="35"/>
      <c r="AB4664" s="35"/>
      <c r="AC4664" s="35"/>
      <c r="AD4664" s="35"/>
      <c r="AE4664" s="35"/>
      <c r="AF4664" s="35"/>
      <c r="AG4664" s="35"/>
      <c r="AH4664" s="35"/>
      <c r="AI4664" s="35"/>
      <c r="AJ4664" s="35"/>
      <c r="AK4664" s="35"/>
      <c r="AL4664" s="35"/>
    </row>
    <row r="4665">
      <c r="A4665" s="1"/>
      <c r="B4665" s="19" t="s">
        <v>19332</v>
      </c>
      <c r="C4665" s="20" t="s">
        <v>22161</v>
      </c>
      <c r="D4665" s="47"/>
      <c r="E4665" s="22" t="s">
        <v>22162</v>
      </c>
      <c r="F4665" s="22" t="s">
        <v>22163</v>
      </c>
      <c r="G4665" s="23">
        <v>2023.0</v>
      </c>
      <c r="H4665" s="22" t="s">
        <v>22164</v>
      </c>
      <c r="I4665" s="24" t="s">
        <v>22165</v>
      </c>
      <c r="J4665" s="22" t="s">
        <v>17572</v>
      </c>
      <c r="K4665" s="22"/>
      <c r="L4665" s="36">
        <v>976.0</v>
      </c>
      <c r="M4665" s="36"/>
      <c r="N4665" s="36"/>
      <c r="O4665" s="36"/>
      <c r="P4665" s="37"/>
      <c r="Q4665" s="36"/>
      <c r="R4665" s="36"/>
      <c r="S4665" s="36"/>
      <c r="T4665" s="102" t="s">
        <v>22166</v>
      </c>
      <c r="U4665" s="38" t="s">
        <v>61</v>
      </c>
      <c r="V4665" s="30"/>
      <c r="W4665" s="156"/>
      <c r="X4665" s="49"/>
      <c r="Y4665" s="35"/>
      <c r="Z4665" s="35"/>
      <c r="AA4665" s="35"/>
      <c r="AB4665" s="35"/>
      <c r="AC4665" s="35"/>
      <c r="AD4665" s="35"/>
      <c r="AE4665" s="35"/>
      <c r="AF4665" s="35"/>
      <c r="AG4665" s="35"/>
      <c r="AH4665" s="35"/>
      <c r="AI4665" s="35"/>
      <c r="AJ4665" s="35"/>
      <c r="AK4665" s="35"/>
      <c r="AL4665" s="35"/>
    </row>
    <row r="4666">
      <c r="A4666" s="1"/>
      <c r="B4666" s="19" t="s">
        <v>19332</v>
      </c>
      <c r="C4666" s="20" t="s">
        <v>22161</v>
      </c>
      <c r="D4666" s="47"/>
      <c r="E4666" s="22" t="s">
        <v>19921</v>
      </c>
      <c r="F4666" s="22" t="s">
        <v>400</v>
      </c>
      <c r="G4666" s="23">
        <v>2016.0</v>
      </c>
      <c r="H4666" s="22" t="s">
        <v>22167</v>
      </c>
      <c r="I4666" s="24" t="s">
        <v>22168</v>
      </c>
      <c r="J4666" s="22" t="s">
        <v>125</v>
      </c>
      <c r="K4666" s="22"/>
      <c r="L4666" s="167" t="s">
        <v>22169</v>
      </c>
      <c r="M4666" s="44"/>
      <c r="N4666" s="44"/>
      <c r="O4666" s="44"/>
      <c r="P4666" s="44"/>
      <c r="Q4666" s="44"/>
      <c r="R4666" s="44"/>
      <c r="S4666" s="44"/>
      <c r="T4666" s="45"/>
      <c r="U4666" s="38" t="str">
        <f>HYPERLINK("https://www.ncbi.nlm.nih.gov/pubmed/27866178","PubMed")</f>
        <v>PubMed</v>
      </c>
      <c r="V4666" s="30"/>
      <c r="W4666" s="156"/>
      <c r="X4666" s="49"/>
      <c r="Y4666" s="35"/>
      <c r="Z4666" s="35"/>
      <c r="AA4666" s="35"/>
      <c r="AB4666" s="35"/>
      <c r="AC4666" s="35"/>
      <c r="AD4666" s="35"/>
      <c r="AE4666" s="35"/>
      <c r="AF4666" s="35"/>
      <c r="AG4666" s="35"/>
      <c r="AH4666" s="35"/>
      <c r="AI4666" s="35"/>
      <c r="AJ4666" s="35"/>
      <c r="AK4666" s="35"/>
      <c r="AL4666" s="35"/>
    </row>
    <row r="4667">
      <c r="A4667" s="18"/>
      <c r="B4667" s="19" t="s">
        <v>19332</v>
      </c>
      <c r="C4667" s="20" t="s">
        <v>22170</v>
      </c>
      <c r="D4667" s="47"/>
      <c r="E4667" s="22" t="s">
        <v>22171</v>
      </c>
      <c r="F4667" s="22" t="s">
        <v>22172</v>
      </c>
      <c r="G4667" s="23">
        <v>2017.0</v>
      </c>
      <c r="H4667" s="22" t="s">
        <v>8177</v>
      </c>
      <c r="I4667" s="24" t="s">
        <v>22173</v>
      </c>
      <c r="J4667" s="22" t="s">
        <v>12655</v>
      </c>
      <c r="K4667" s="22"/>
      <c r="L4667" s="36">
        <v>660.0</v>
      </c>
      <c r="M4667" s="36">
        <v>150.0</v>
      </c>
      <c r="N4667" s="36" t="s">
        <v>58</v>
      </c>
      <c r="O4667" s="36" t="s">
        <v>58</v>
      </c>
      <c r="P4667" s="37" t="s">
        <v>254</v>
      </c>
      <c r="Q4667" s="36" t="s">
        <v>58</v>
      </c>
      <c r="R4667" s="36" t="s">
        <v>58</v>
      </c>
      <c r="S4667" s="36" t="s">
        <v>22174</v>
      </c>
      <c r="T4667" s="54" t="s">
        <v>22175</v>
      </c>
      <c r="U4667" s="38" t="str">
        <f>HYPERLINK("https://www.ncbi.nlm.nih.gov/pubmed/28993904","PubMed")</f>
        <v>PubMed</v>
      </c>
      <c r="V4667" s="30" t="s">
        <v>22176</v>
      </c>
      <c r="W4667" s="156"/>
      <c r="X4667" s="49"/>
      <c r="Y4667" s="35"/>
      <c r="Z4667" s="35"/>
      <c r="AA4667" s="35"/>
      <c r="AB4667" s="35"/>
      <c r="AC4667" s="35"/>
      <c r="AD4667" s="35"/>
      <c r="AE4667" s="35"/>
      <c r="AF4667" s="35"/>
      <c r="AG4667" s="35"/>
      <c r="AH4667" s="35"/>
      <c r="AI4667" s="35"/>
      <c r="AJ4667" s="35"/>
      <c r="AK4667" s="35"/>
      <c r="AL4667" s="35"/>
    </row>
    <row r="4668">
      <c r="A4668" s="18" t="s">
        <v>2</v>
      </c>
      <c r="B4668" s="19" t="s">
        <v>19332</v>
      </c>
      <c r="C4668" s="20" t="s">
        <v>22170</v>
      </c>
      <c r="D4668" s="47"/>
      <c r="E4668" s="22" t="s">
        <v>21545</v>
      </c>
      <c r="F4668" s="22" t="s">
        <v>2795</v>
      </c>
      <c r="G4668" s="23">
        <v>2016.0</v>
      </c>
      <c r="H4668" s="22" t="s">
        <v>8177</v>
      </c>
      <c r="I4668" s="24" t="s">
        <v>22177</v>
      </c>
      <c r="J4668" s="22" t="s">
        <v>22178</v>
      </c>
      <c r="K4668" s="22" t="s">
        <v>22179</v>
      </c>
      <c r="L4668" s="36" t="s">
        <v>22180</v>
      </c>
      <c r="M4668" s="36" t="s">
        <v>22181</v>
      </c>
      <c r="N4668" s="36" t="s">
        <v>22182</v>
      </c>
      <c r="O4668" s="36" t="s">
        <v>22183</v>
      </c>
      <c r="P4668" s="37" t="s">
        <v>22184</v>
      </c>
      <c r="Q4668" s="36" t="s">
        <v>21573</v>
      </c>
      <c r="R4668" s="36" t="s">
        <v>22185</v>
      </c>
      <c r="S4668" s="36" t="s">
        <v>22186</v>
      </c>
      <c r="T4668" s="54" t="s">
        <v>22187</v>
      </c>
      <c r="U4668" s="38" t="str">
        <f>HYPERLINK("https://www.ncbi.nlm.nih.gov/pubmed/27988865","PubMed")</f>
        <v>PubMed</v>
      </c>
      <c r="V4668" s="30"/>
      <c r="W4668" s="156"/>
      <c r="X4668" s="49"/>
      <c r="Y4668" s="35"/>
      <c r="Z4668" s="35"/>
      <c r="AA4668" s="35"/>
      <c r="AB4668" s="35"/>
      <c r="AC4668" s="35"/>
      <c r="AD4668" s="35"/>
      <c r="AE4668" s="35"/>
      <c r="AF4668" s="35"/>
      <c r="AG4668" s="35"/>
      <c r="AH4668" s="35"/>
      <c r="AI4668" s="35"/>
      <c r="AJ4668" s="35"/>
      <c r="AK4668" s="35"/>
      <c r="AL4668" s="35"/>
    </row>
    <row r="4669">
      <c r="A4669" s="18"/>
      <c r="B4669" s="75" t="s">
        <v>19332</v>
      </c>
      <c r="C4669" s="20" t="s">
        <v>22188</v>
      </c>
      <c r="D4669" s="47"/>
      <c r="E4669" s="22" t="s">
        <v>22189</v>
      </c>
      <c r="F4669" s="22" t="s">
        <v>14486</v>
      </c>
      <c r="G4669" s="23">
        <v>2019.0</v>
      </c>
      <c r="H4669" s="22" t="s">
        <v>77</v>
      </c>
      <c r="I4669" s="24" t="s">
        <v>22190</v>
      </c>
      <c r="J4669" s="22" t="s">
        <v>22191</v>
      </c>
      <c r="K4669" s="22" t="s">
        <v>22192</v>
      </c>
      <c r="L4669" s="36" t="s">
        <v>4772</v>
      </c>
      <c r="M4669" s="36"/>
      <c r="N4669" s="36" t="s">
        <v>1439</v>
      </c>
      <c r="O4669" s="36"/>
      <c r="P4669" s="37" t="s">
        <v>22193</v>
      </c>
      <c r="Q4669" s="36"/>
      <c r="R4669" s="36"/>
      <c r="S4669" s="36" t="s">
        <v>2680</v>
      </c>
      <c r="T4669" s="54" t="s">
        <v>22194</v>
      </c>
      <c r="U4669" s="38" t="str">
        <f>HYPERLINK("https://www.ncbi.nlm.nih.gov/pubmed/31050959","PubMed")</f>
        <v>PubMed</v>
      </c>
      <c r="V4669" s="30"/>
      <c r="W4669" s="156"/>
      <c r="X4669" s="49"/>
      <c r="Y4669" s="35"/>
      <c r="Z4669" s="35"/>
      <c r="AA4669" s="35"/>
      <c r="AB4669" s="35"/>
      <c r="AC4669" s="35"/>
      <c r="AD4669" s="35"/>
      <c r="AE4669" s="35"/>
      <c r="AF4669" s="35"/>
      <c r="AG4669" s="35"/>
      <c r="AH4669" s="35"/>
      <c r="AI4669" s="35"/>
      <c r="AJ4669" s="35"/>
      <c r="AK4669" s="35"/>
      <c r="AL4669" s="35"/>
    </row>
    <row r="4670">
      <c r="A4670" s="40"/>
      <c r="B4670" s="75" t="s">
        <v>19332</v>
      </c>
      <c r="C4670" s="20" t="s">
        <v>22195</v>
      </c>
      <c r="D4670" s="47"/>
      <c r="E4670" s="22" t="s">
        <v>5150</v>
      </c>
      <c r="F4670" s="22" t="s">
        <v>1905</v>
      </c>
      <c r="G4670" s="23">
        <v>2021.0</v>
      </c>
      <c r="H4670" s="22" t="s">
        <v>53</v>
      </c>
      <c r="I4670" s="24" t="s">
        <v>22196</v>
      </c>
      <c r="J4670" s="22" t="s">
        <v>55</v>
      </c>
      <c r="K4670" s="22" t="s">
        <v>1827</v>
      </c>
      <c r="L4670" s="52">
        <v>808.0</v>
      </c>
      <c r="M4670" s="52">
        <v>50.0</v>
      </c>
      <c r="N4670" s="52"/>
      <c r="O4670" s="52" t="s">
        <v>22197</v>
      </c>
      <c r="P4670" s="189"/>
      <c r="Q4670" s="52"/>
      <c r="R4670" s="52"/>
      <c r="S4670" s="52"/>
      <c r="T4670" s="102" t="s">
        <v>22198</v>
      </c>
      <c r="U4670" s="29" t="s">
        <v>61</v>
      </c>
      <c r="V4670" s="30"/>
      <c r="W4670" s="156"/>
      <c r="X4670" s="49"/>
      <c r="Y4670" s="35"/>
      <c r="Z4670" s="35"/>
      <c r="AA4670" s="35"/>
      <c r="AB4670" s="35"/>
      <c r="AC4670" s="35"/>
      <c r="AD4670" s="35"/>
      <c r="AE4670" s="35"/>
      <c r="AF4670" s="35"/>
      <c r="AG4670" s="35"/>
      <c r="AH4670" s="35"/>
      <c r="AI4670" s="35"/>
      <c r="AJ4670" s="35"/>
      <c r="AK4670" s="35"/>
      <c r="AL4670" s="35"/>
    </row>
    <row r="4671">
      <c r="A4671" s="40"/>
      <c r="B4671" s="75" t="s">
        <v>19332</v>
      </c>
      <c r="C4671" s="20" t="s">
        <v>22195</v>
      </c>
      <c r="D4671" s="47"/>
      <c r="E4671" s="22" t="s">
        <v>22199</v>
      </c>
      <c r="F4671" s="22" t="s">
        <v>22200</v>
      </c>
      <c r="G4671" s="23">
        <v>2021.0</v>
      </c>
      <c r="H4671" s="22" t="s">
        <v>22201</v>
      </c>
      <c r="I4671" s="24" t="s">
        <v>22202</v>
      </c>
      <c r="J4671" s="22" t="s">
        <v>22203</v>
      </c>
      <c r="K4671" s="22"/>
      <c r="L4671" s="102"/>
      <c r="U4671" s="29" t="s">
        <v>61</v>
      </c>
      <c r="V4671" s="30"/>
      <c r="W4671" s="156"/>
      <c r="X4671" s="49"/>
      <c r="Y4671" s="35"/>
      <c r="Z4671" s="35"/>
      <c r="AA4671" s="35"/>
      <c r="AB4671" s="35"/>
      <c r="AC4671" s="35"/>
      <c r="AD4671" s="35"/>
      <c r="AE4671" s="35"/>
      <c r="AF4671" s="35"/>
      <c r="AG4671" s="35"/>
      <c r="AH4671" s="35"/>
      <c r="AI4671" s="35"/>
      <c r="AJ4671" s="35"/>
      <c r="AK4671" s="35"/>
      <c r="AL4671" s="35"/>
    </row>
    <row r="4672">
      <c r="A4672" s="40"/>
      <c r="B4672" s="75" t="s">
        <v>19332</v>
      </c>
      <c r="C4672" s="20" t="s">
        <v>22195</v>
      </c>
      <c r="D4672" s="47"/>
      <c r="E4672" s="22" t="s">
        <v>22204</v>
      </c>
      <c r="F4672" s="22" t="s">
        <v>41</v>
      </c>
      <c r="G4672" s="23">
        <v>2021.0</v>
      </c>
      <c r="H4672" s="22" t="s">
        <v>994</v>
      </c>
      <c r="I4672" s="24" t="s">
        <v>22205</v>
      </c>
      <c r="J4672" s="22" t="s">
        <v>22206</v>
      </c>
      <c r="K4672" s="22"/>
      <c r="L4672" s="52">
        <v>660.0</v>
      </c>
      <c r="M4672" s="52">
        <v>40.0</v>
      </c>
      <c r="N4672" s="52">
        <v>1.0</v>
      </c>
      <c r="O4672" s="52" t="s">
        <v>431</v>
      </c>
      <c r="P4672" s="189" t="s">
        <v>95</v>
      </c>
      <c r="Q4672" s="52" t="s">
        <v>10853</v>
      </c>
      <c r="R4672" s="52"/>
      <c r="S4672" s="52"/>
      <c r="T4672" s="54"/>
      <c r="U4672" s="38" t="s">
        <v>61</v>
      </c>
      <c r="V4672" s="30"/>
      <c r="W4672" s="156"/>
      <c r="X4672" s="49"/>
      <c r="Y4672" s="35"/>
      <c r="Z4672" s="35"/>
      <c r="AA4672" s="35"/>
      <c r="AB4672" s="35"/>
      <c r="AC4672" s="35"/>
      <c r="AD4672" s="35"/>
      <c r="AE4672" s="35"/>
      <c r="AF4672" s="35"/>
      <c r="AG4672" s="35"/>
      <c r="AH4672" s="35"/>
      <c r="AI4672" s="35"/>
      <c r="AJ4672" s="35"/>
      <c r="AK4672" s="35"/>
      <c r="AL4672" s="35"/>
    </row>
    <row r="4673">
      <c r="A4673" s="40" t="s">
        <v>38</v>
      </c>
      <c r="B4673" s="75" t="s">
        <v>19332</v>
      </c>
      <c r="C4673" s="20" t="s">
        <v>22195</v>
      </c>
      <c r="D4673" s="47"/>
      <c r="E4673" s="22" t="s">
        <v>493</v>
      </c>
      <c r="F4673" s="22" t="s">
        <v>1081</v>
      </c>
      <c r="G4673" s="23">
        <v>2019.0</v>
      </c>
      <c r="H4673" s="22" t="s">
        <v>53</v>
      </c>
      <c r="I4673" s="24" t="s">
        <v>22207</v>
      </c>
      <c r="J4673" s="22" t="s">
        <v>55</v>
      </c>
      <c r="K4673" s="22" t="s">
        <v>1827</v>
      </c>
      <c r="L4673" s="52">
        <v>635.0</v>
      </c>
      <c r="M4673" s="52"/>
      <c r="N4673" s="52"/>
      <c r="O4673" s="52"/>
      <c r="P4673" s="189" t="s">
        <v>22208</v>
      </c>
      <c r="Q4673" s="52"/>
      <c r="R4673" s="52"/>
      <c r="S4673" s="52"/>
      <c r="T4673" s="102" t="s">
        <v>22209</v>
      </c>
      <c r="U4673" s="38" t="str">
        <f>HYPERLINK("https://www.ncbi.nlm.nih.gov/pubmed/31820466","PubMed")</f>
        <v>PubMed</v>
      </c>
      <c r="V4673" s="30"/>
      <c r="W4673" s="156"/>
      <c r="X4673" s="49"/>
      <c r="Y4673" s="35"/>
      <c r="Z4673" s="35"/>
      <c r="AA4673" s="35"/>
      <c r="AB4673" s="35"/>
      <c r="AC4673" s="35"/>
      <c r="AD4673" s="35"/>
      <c r="AE4673" s="35"/>
      <c r="AF4673" s="35"/>
      <c r="AG4673" s="35"/>
      <c r="AH4673" s="35"/>
      <c r="AI4673" s="35"/>
      <c r="AJ4673" s="35"/>
      <c r="AK4673" s="35"/>
      <c r="AL4673" s="35"/>
    </row>
    <row r="4674">
      <c r="A4674" s="40"/>
      <c r="B4674" s="75" t="s">
        <v>19332</v>
      </c>
      <c r="C4674" s="77" t="s">
        <v>18738</v>
      </c>
      <c r="D4674" s="47"/>
      <c r="E4674" s="22" t="s">
        <v>22210</v>
      </c>
      <c r="F4674" s="22" t="s">
        <v>2208</v>
      </c>
      <c r="G4674" s="23">
        <v>2024.0</v>
      </c>
      <c r="H4674" s="22" t="s">
        <v>22211</v>
      </c>
      <c r="I4674" s="24" t="s">
        <v>22212</v>
      </c>
      <c r="J4674" s="22" t="s">
        <v>22213</v>
      </c>
      <c r="K4674" s="22"/>
      <c r="L4674" s="52"/>
      <c r="M4674" s="52"/>
      <c r="N4674" s="52"/>
      <c r="O4674" s="52"/>
      <c r="P4674" s="189"/>
      <c r="Q4674" s="52"/>
      <c r="R4674" s="52"/>
      <c r="S4674" s="52"/>
      <c r="T4674" s="54" t="s">
        <v>22214</v>
      </c>
      <c r="U4674" s="38" t="s">
        <v>61</v>
      </c>
      <c r="V4674" s="30" t="s">
        <v>174</v>
      </c>
      <c r="W4674" s="156"/>
      <c r="X4674" s="49"/>
      <c r="Y4674" s="35"/>
      <c r="Z4674" s="35"/>
      <c r="AA4674" s="35"/>
      <c r="AB4674" s="35"/>
      <c r="AC4674" s="35"/>
      <c r="AD4674" s="35"/>
      <c r="AE4674" s="35"/>
      <c r="AF4674" s="35"/>
      <c r="AG4674" s="35"/>
      <c r="AH4674" s="35"/>
      <c r="AI4674" s="35"/>
      <c r="AJ4674" s="35"/>
      <c r="AK4674" s="35"/>
      <c r="AL4674" s="35"/>
    </row>
    <row r="4675">
      <c r="A4675" s="40"/>
      <c r="B4675" s="75" t="s">
        <v>19332</v>
      </c>
      <c r="C4675" s="77" t="s">
        <v>18738</v>
      </c>
      <c r="D4675" s="47"/>
      <c r="E4675" s="22" t="s">
        <v>856</v>
      </c>
      <c r="F4675" s="22"/>
      <c r="G4675" s="23">
        <v>2024.0</v>
      </c>
      <c r="H4675" s="22" t="s">
        <v>19552</v>
      </c>
      <c r="I4675" s="24" t="s">
        <v>22215</v>
      </c>
      <c r="J4675" s="22" t="s">
        <v>22216</v>
      </c>
      <c r="K4675" s="22" t="s">
        <v>22217</v>
      </c>
      <c r="L4675" s="52">
        <v>660.0</v>
      </c>
      <c r="M4675" s="52">
        <v>100.0</v>
      </c>
      <c r="N4675" s="52"/>
      <c r="O4675" s="52"/>
      <c r="P4675" s="189"/>
      <c r="Q4675" s="52"/>
      <c r="R4675" s="52"/>
      <c r="S4675" s="52"/>
      <c r="T4675" s="54" t="s">
        <v>22218</v>
      </c>
      <c r="U4675" s="38" t="s">
        <v>61</v>
      </c>
      <c r="V4675" s="30"/>
      <c r="W4675" s="156"/>
      <c r="X4675" s="49"/>
      <c r="Y4675" s="35"/>
      <c r="Z4675" s="35"/>
      <c r="AA4675" s="35"/>
      <c r="AB4675" s="35"/>
      <c r="AC4675" s="35"/>
      <c r="AD4675" s="35"/>
      <c r="AE4675" s="35"/>
      <c r="AF4675" s="35"/>
      <c r="AG4675" s="35"/>
      <c r="AH4675" s="35"/>
      <c r="AI4675" s="35"/>
      <c r="AJ4675" s="35"/>
      <c r="AK4675" s="35"/>
      <c r="AL4675" s="35"/>
    </row>
    <row r="4676">
      <c r="A4676" s="40"/>
      <c r="B4676" s="75" t="s">
        <v>19332</v>
      </c>
      <c r="C4676" s="77" t="s">
        <v>18738</v>
      </c>
      <c r="D4676" s="47"/>
      <c r="E4676" s="22" t="s">
        <v>22219</v>
      </c>
      <c r="F4676" s="22" t="s">
        <v>22220</v>
      </c>
      <c r="G4676" s="23">
        <v>2024.0</v>
      </c>
      <c r="H4676" s="22" t="s">
        <v>21933</v>
      </c>
      <c r="I4676" s="24" t="s">
        <v>22221</v>
      </c>
      <c r="J4676" s="22" t="s">
        <v>125</v>
      </c>
      <c r="K4676" s="22"/>
      <c r="L4676" s="173" t="s">
        <v>22222</v>
      </c>
      <c r="U4676" s="38" t="s">
        <v>61</v>
      </c>
      <c r="V4676" s="30"/>
      <c r="W4676" s="156"/>
      <c r="X4676" s="49"/>
      <c r="Y4676" s="35"/>
      <c r="Z4676" s="35"/>
      <c r="AA4676" s="35"/>
      <c r="AB4676" s="35"/>
      <c r="AC4676" s="35"/>
      <c r="AD4676" s="35"/>
      <c r="AE4676" s="35"/>
      <c r="AF4676" s="35"/>
      <c r="AG4676" s="35"/>
      <c r="AH4676" s="35"/>
      <c r="AI4676" s="35"/>
      <c r="AJ4676" s="35"/>
      <c r="AK4676" s="35"/>
      <c r="AL4676" s="35"/>
    </row>
    <row r="4677">
      <c r="A4677" s="40"/>
      <c r="B4677" s="75" t="s">
        <v>19332</v>
      </c>
      <c r="C4677" s="77" t="s">
        <v>18738</v>
      </c>
      <c r="D4677" s="47"/>
      <c r="E4677" s="22" t="s">
        <v>22223</v>
      </c>
      <c r="F4677" s="22" t="s">
        <v>1617</v>
      </c>
      <c r="G4677" s="23">
        <v>2024.0</v>
      </c>
      <c r="H4677" s="23" t="s">
        <v>13596</v>
      </c>
      <c r="I4677" s="24" t="s">
        <v>22224</v>
      </c>
      <c r="J4677" s="22" t="s">
        <v>1078</v>
      </c>
      <c r="K4677" s="22"/>
      <c r="L4677" s="103" t="s">
        <v>22225</v>
      </c>
      <c r="U4677" s="38" t="s">
        <v>61</v>
      </c>
      <c r="V4677" s="30"/>
      <c r="W4677" s="156"/>
      <c r="X4677" s="49"/>
      <c r="Y4677" s="35"/>
      <c r="Z4677" s="35"/>
      <c r="AA4677" s="35"/>
      <c r="AB4677" s="35"/>
      <c r="AC4677" s="35"/>
      <c r="AD4677" s="35"/>
      <c r="AE4677" s="35"/>
      <c r="AF4677" s="35"/>
      <c r="AG4677" s="35"/>
      <c r="AH4677" s="35"/>
      <c r="AI4677" s="35"/>
      <c r="AJ4677" s="35"/>
      <c r="AK4677" s="35"/>
      <c r="AL4677" s="35"/>
    </row>
    <row r="4678">
      <c r="A4678" s="40"/>
      <c r="B4678" s="75" t="s">
        <v>19332</v>
      </c>
      <c r="C4678" s="77" t="s">
        <v>18738</v>
      </c>
      <c r="D4678" s="47"/>
      <c r="E4678" s="22" t="s">
        <v>22226</v>
      </c>
      <c r="F4678" s="22" t="s">
        <v>7630</v>
      </c>
      <c r="G4678" s="23">
        <v>2024.0</v>
      </c>
      <c r="H4678" s="22" t="s">
        <v>3963</v>
      </c>
      <c r="I4678" s="24" t="s">
        <v>22227</v>
      </c>
      <c r="J4678" s="22" t="s">
        <v>649</v>
      </c>
      <c r="K4678" s="22"/>
      <c r="L4678" s="53" t="s">
        <v>22228</v>
      </c>
      <c r="U4678" s="38" t="s">
        <v>61</v>
      </c>
      <c r="V4678" s="30"/>
      <c r="W4678" s="156"/>
      <c r="X4678" s="49"/>
      <c r="Y4678" s="35"/>
      <c r="Z4678" s="35"/>
      <c r="AA4678" s="35"/>
      <c r="AB4678" s="35"/>
      <c r="AC4678" s="35"/>
      <c r="AD4678" s="35"/>
      <c r="AE4678" s="35"/>
      <c r="AF4678" s="35"/>
      <c r="AG4678" s="35"/>
      <c r="AH4678" s="35"/>
      <c r="AI4678" s="35"/>
      <c r="AJ4678" s="35"/>
      <c r="AK4678" s="35"/>
      <c r="AL4678" s="35"/>
    </row>
    <row r="4679">
      <c r="A4679" s="40"/>
      <c r="B4679" s="75" t="s">
        <v>19332</v>
      </c>
      <c r="C4679" s="77" t="s">
        <v>18738</v>
      </c>
      <c r="D4679" s="47"/>
      <c r="E4679" s="22" t="s">
        <v>22229</v>
      </c>
      <c r="F4679" s="22" t="s">
        <v>7853</v>
      </c>
      <c r="G4679" s="23">
        <v>2024.0</v>
      </c>
      <c r="H4679" s="22" t="s">
        <v>8177</v>
      </c>
      <c r="I4679" s="24" t="s">
        <v>22230</v>
      </c>
      <c r="J4679" s="22" t="s">
        <v>22231</v>
      </c>
      <c r="K4679" s="22"/>
      <c r="L4679" s="52"/>
      <c r="M4679" s="52"/>
      <c r="N4679" s="52"/>
      <c r="O4679" s="52"/>
      <c r="P4679" s="189"/>
      <c r="Q4679" s="52"/>
      <c r="R4679" s="52"/>
      <c r="S4679" s="52"/>
      <c r="T4679" s="54" t="s">
        <v>22232</v>
      </c>
      <c r="U4679" s="38" t="s">
        <v>61</v>
      </c>
      <c r="V4679" s="30"/>
      <c r="W4679" s="156"/>
      <c r="X4679" s="49"/>
      <c r="Y4679" s="35"/>
      <c r="Z4679" s="35"/>
      <c r="AA4679" s="35"/>
      <c r="AB4679" s="35"/>
      <c r="AC4679" s="35"/>
      <c r="AD4679" s="35"/>
      <c r="AE4679" s="35"/>
      <c r="AF4679" s="35"/>
      <c r="AG4679" s="35"/>
      <c r="AH4679" s="35"/>
      <c r="AI4679" s="35"/>
      <c r="AJ4679" s="35"/>
      <c r="AK4679" s="35"/>
      <c r="AL4679" s="35"/>
    </row>
    <row r="4680">
      <c r="A4680" s="40"/>
      <c r="B4680" s="75" t="s">
        <v>19332</v>
      </c>
      <c r="C4680" s="77" t="s">
        <v>18738</v>
      </c>
      <c r="D4680" s="47"/>
      <c r="E4680" s="22" t="s">
        <v>22233</v>
      </c>
      <c r="F4680" s="22" t="s">
        <v>17916</v>
      </c>
      <c r="G4680" s="23">
        <v>2024.0</v>
      </c>
      <c r="H4680" s="22" t="s">
        <v>22234</v>
      </c>
      <c r="I4680" s="24" t="s">
        <v>22235</v>
      </c>
      <c r="J4680" s="22" t="s">
        <v>22236</v>
      </c>
      <c r="K4680" s="22"/>
      <c r="L4680" s="52"/>
      <c r="M4680" s="52"/>
      <c r="N4680" s="52"/>
      <c r="O4680" s="52"/>
      <c r="P4680" s="189"/>
      <c r="Q4680" s="52"/>
      <c r="R4680" s="52"/>
      <c r="S4680" s="52"/>
      <c r="T4680" s="102" t="s">
        <v>22237</v>
      </c>
      <c r="U4680" s="38" t="s">
        <v>61</v>
      </c>
      <c r="V4680" s="30" t="s">
        <v>174</v>
      </c>
      <c r="W4680" s="156"/>
      <c r="X4680" s="49"/>
      <c r="Y4680" s="35"/>
      <c r="Z4680" s="35"/>
      <c r="AA4680" s="35"/>
      <c r="AB4680" s="35"/>
      <c r="AC4680" s="35"/>
      <c r="AD4680" s="35"/>
      <c r="AE4680" s="35"/>
      <c r="AF4680" s="35"/>
      <c r="AG4680" s="35"/>
      <c r="AH4680" s="35"/>
      <c r="AI4680" s="35"/>
      <c r="AJ4680" s="35"/>
      <c r="AK4680" s="35"/>
      <c r="AL4680" s="35"/>
    </row>
    <row r="4681">
      <c r="A4681" s="40"/>
      <c r="B4681" s="75" t="s">
        <v>19332</v>
      </c>
      <c r="C4681" s="77" t="s">
        <v>18738</v>
      </c>
      <c r="D4681" s="47"/>
      <c r="E4681" s="22" t="s">
        <v>2432</v>
      </c>
      <c r="F4681" s="22" t="s">
        <v>22238</v>
      </c>
      <c r="G4681" s="23">
        <v>2024.0</v>
      </c>
      <c r="H4681" s="22" t="s">
        <v>22239</v>
      </c>
      <c r="I4681" s="24" t="s">
        <v>22240</v>
      </c>
      <c r="J4681" s="22" t="s">
        <v>1078</v>
      </c>
      <c r="K4681" s="22"/>
      <c r="L4681" s="173" t="s">
        <v>22241</v>
      </c>
      <c r="U4681" s="38" t="s">
        <v>61</v>
      </c>
      <c r="V4681" s="30"/>
      <c r="W4681" s="156"/>
      <c r="X4681" s="49"/>
      <c r="Y4681" s="35"/>
      <c r="Z4681" s="35"/>
      <c r="AA4681" s="35"/>
      <c r="AB4681" s="35"/>
      <c r="AC4681" s="35"/>
      <c r="AD4681" s="35"/>
      <c r="AE4681" s="35"/>
      <c r="AF4681" s="35"/>
      <c r="AG4681" s="35"/>
      <c r="AH4681" s="35"/>
      <c r="AI4681" s="35"/>
      <c r="AJ4681" s="35"/>
      <c r="AK4681" s="35"/>
      <c r="AL4681" s="35"/>
    </row>
    <row r="4682">
      <c r="A4682" s="40"/>
      <c r="B4682" s="75" t="s">
        <v>19332</v>
      </c>
      <c r="C4682" s="77" t="s">
        <v>18738</v>
      </c>
      <c r="D4682" s="47"/>
      <c r="E4682" s="22" t="s">
        <v>22242</v>
      </c>
      <c r="F4682" s="22" t="s">
        <v>5312</v>
      </c>
      <c r="G4682" s="23">
        <v>2024.0</v>
      </c>
      <c r="H4682" s="22" t="s">
        <v>8177</v>
      </c>
      <c r="I4682" s="24" t="s">
        <v>22243</v>
      </c>
      <c r="J4682" s="22" t="s">
        <v>202</v>
      </c>
      <c r="K4682" s="22"/>
      <c r="L4682" s="173" t="s">
        <v>22244</v>
      </c>
      <c r="U4682" s="38" t="s">
        <v>61</v>
      </c>
      <c r="V4682" s="30"/>
      <c r="W4682" s="156"/>
      <c r="X4682" s="49"/>
      <c r="Y4682" s="35"/>
      <c r="Z4682" s="35"/>
      <c r="AA4682" s="35"/>
      <c r="AB4682" s="35"/>
      <c r="AC4682" s="35"/>
      <c r="AD4682" s="35"/>
      <c r="AE4682" s="35"/>
      <c r="AF4682" s="35"/>
      <c r="AG4682" s="35"/>
      <c r="AH4682" s="35"/>
      <c r="AI4682" s="35"/>
      <c r="AJ4682" s="35"/>
      <c r="AK4682" s="35"/>
      <c r="AL4682" s="35"/>
    </row>
    <row r="4683">
      <c r="A4683" s="40"/>
      <c r="B4683" s="75" t="s">
        <v>19332</v>
      </c>
      <c r="C4683" s="77" t="s">
        <v>18738</v>
      </c>
      <c r="D4683" s="47"/>
      <c r="E4683" s="22" t="s">
        <v>22245</v>
      </c>
      <c r="F4683" s="22" t="s">
        <v>41</v>
      </c>
      <c r="G4683" s="23">
        <v>2023.0</v>
      </c>
      <c r="H4683" s="22" t="s">
        <v>8177</v>
      </c>
      <c r="I4683" s="24" t="s">
        <v>22246</v>
      </c>
      <c r="J4683" s="22" t="s">
        <v>22247</v>
      </c>
      <c r="K4683" s="22" t="s">
        <v>22248</v>
      </c>
      <c r="L4683" s="52" t="s">
        <v>2914</v>
      </c>
      <c r="M4683" s="52"/>
      <c r="N4683" s="52"/>
      <c r="O4683" s="52"/>
      <c r="P4683" s="189"/>
      <c r="Q4683" s="52"/>
      <c r="R4683" s="52"/>
      <c r="S4683" s="52"/>
      <c r="T4683" s="54" t="s">
        <v>22249</v>
      </c>
      <c r="U4683" s="38" t="s">
        <v>61</v>
      </c>
      <c r="V4683" s="30"/>
      <c r="W4683" s="156"/>
      <c r="X4683" s="49"/>
      <c r="Y4683" s="35"/>
      <c r="Z4683" s="35"/>
      <c r="AA4683" s="35"/>
      <c r="AB4683" s="35"/>
      <c r="AC4683" s="35"/>
      <c r="AD4683" s="35"/>
      <c r="AE4683" s="35"/>
      <c r="AF4683" s="35"/>
      <c r="AG4683" s="35"/>
      <c r="AH4683" s="35"/>
      <c r="AI4683" s="35"/>
      <c r="AJ4683" s="35"/>
      <c r="AK4683" s="35"/>
      <c r="AL4683" s="35"/>
    </row>
    <row r="4684">
      <c r="A4684" s="40"/>
      <c r="B4684" s="75" t="s">
        <v>19332</v>
      </c>
      <c r="C4684" s="77" t="s">
        <v>18738</v>
      </c>
      <c r="D4684" s="47"/>
      <c r="E4684" s="22" t="s">
        <v>22250</v>
      </c>
      <c r="F4684" s="22" t="s">
        <v>797</v>
      </c>
      <c r="G4684" s="23">
        <v>2023.0</v>
      </c>
      <c r="H4684" s="22" t="s">
        <v>91</v>
      </c>
      <c r="I4684" s="24" t="s">
        <v>22251</v>
      </c>
      <c r="J4684" s="22" t="s">
        <v>649</v>
      </c>
      <c r="K4684" s="22"/>
      <c r="L4684" s="173" t="s">
        <v>22252</v>
      </c>
      <c r="U4684" s="38" t="s">
        <v>61</v>
      </c>
      <c r="V4684" s="30"/>
      <c r="W4684" s="156"/>
      <c r="X4684" s="49"/>
      <c r="Y4684" s="35"/>
      <c r="Z4684" s="35"/>
      <c r="AA4684" s="35"/>
      <c r="AB4684" s="35"/>
      <c r="AC4684" s="35"/>
      <c r="AD4684" s="35"/>
      <c r="AE4684" s="35"/>
      <c r="AF4684" s="35"/>
      <c r="AG4684" s="35"/>
      <c r="AH4684" s="35"/>
      <c r="AI4684" s="35"/>
      <c r="AJ4684" s="35"/>
      <c r="AK4684" s="35"/>
      <c r="AL4684" s="35"/>
    </row>
    <row r="4685">
      <c r="A4685" s="40"/>
      <c r="B4685" s="75" t="s">
        <v>19332</v>
      </c>
      <c r="C4685" s="77" t="s">
        <v>18738</v>
      </c>
      <c r="D4685" s="47"/>
      <c r="E4685" s="22" t="s">
        <v>19660</v>
      </c>
      <c r="F4685" s="22" t="s">
        <v>323</v>
      </c>
      <c r="G4685" s="23">
        <v>2023.0</v>
      </c>
      <c r="H4685" s="22" t="s">
        <v>147</v>
      </c>
      <c r="I4685" s="24" t="s">
        <v>22253</v>
      </c>
      <c r="J4685" s="22" t="s">
        <v>22254</v>
      </c>
      <c r="K4685" s="22"/>
      <c r="L4685" s="52">
        <v>10600.0</v>
      </c>
      <c r="M4685" s="52"/>
      <c r="N4685" s="52"/>
      <c r="O4685" s="52"/>
      <c r="P4685" s="189"/>
      <c r="Q4685" s="52"/>
      <c r="R4685" s="52"/>
      <c r="S4685" s="52" t="s">
        <v>1231</v>
      </c>
      <c r="T4685" s="54" t="s">
        <v>22255</v>
      </c>
      <c r="U4685" s="38" t="s">
        <v>61</v>
      </c>
      <c r="V4685" s="30" t="s">
        <v>22256</v>
      </c>
      <c r="W4685" s="156"/>
      <c r="X4685" s="49"/>
      <c r="Y4685" s="35"/>
      <c r="Z4685" s="35"/>
      <c r="AA4685" s="35"/>
      <c r="AB4685" s="35"/>
      <c r="AC4685" s="35"/>
      <c r="AD4685" s="35"/>
      <c r="AE4685" s="35"/>
      <c r="AF4685" s="35"/>
      <c r="AG4685" s="35"/>
      <c r="AH4685" s="35"/>
      <c r="AI4685" s="35"/>
      <c r="AJ4685" s="35"/>
      <c r="AK4685" s="35"/>
      <c r="AL4685" s="35"/>
    </row>
    <row r="4686">
      <c r="A4686" s="40"/>
      <c r="B4686" s="75" t="s">
        <v>19332</v>
      </c>
      <c r="C4686" s="77" t="s">
        <v>18738</v>
      </c>
      <c r="D4686" s="47"/>
      <c r="E4686" s="22" t="s">
        <v>22257</v>
      </c>
      <c r="F4686" s="22" t="s">
        <v>1714</v>
      </c>
      <c r="G4686" s="23">
        <v>2023.0</v>
      </c>
      <c r="H4686" s="22" t="s">
        <v>3940</v>
      </c>
      <c r="I4686" s="24" t="s">
        <v>22258</v>
      </c>
      <c r="J4686" s="22" t="s">
        <v>22259</v>
      </c>
      <c r="K4686" s="22"/>
      <c r="L4686" s="52">
        <v>650.0</v>
      </c>
      <c r="M4686" s="52">
        <v>40.0</v>
      </c>
      <c r="N4686" s="52"/>
      <c r="O4686" s="52"/>
      <c r="P4686" s="189" t="s">
        <v>269</v>
      </c>
      <c r="Q4686" s="52"/>
      <c r="R4686" s="52" t="s">
        <v>22260</v>
      </c>
      <c r="S4686" s="52" t="s">
        <v>10290</v>
      </c>
      <c r="T4686" s="54" t="s">
        <v>22261</v>
      </c>
      <c r="U4686" s="38" t="s">
        <v>61</v>
      </c>
      <c r="V4686" s="30"/>
      <c r="W4686" s="156"/>
      <c r="X4686" s="49"/>
      <c r="Y4686" s="35"/>
      <c r="Z4686" s="35"/>
      <c r="AA4686" s="35"/>
      <c r="AB4686" s="35"/>
      <c r="AC4686" s="35"/>
      <c r="AD4686" s="35"/>
      <c r="AE4686" s="35"/>
      <c r="AF4686" s="35"/>
      <c r="AG4686" s="35"/>
      <c r="AH4686" s="35"/>
      <c r="AI4686" s="35"/>
      <c r="AJ4686" s="35"/>
      <c r="AK4686" s="35"/>
      <c r="AL4686" s="35"/>
    </row>
    <row r="4687">
      <c r="A4687" s="40"/>
      <c r="B4687" s="75" t="s">
        <v>19332</v>
      </c>
      <c r="C4687" s="77" t="s">
        <v>18738</v>
      </c>
      <c r="D4687" s="47"/>
      <c r="E4687" s="22" t="s">
        <v>22226</v>
      </c>
      <c r="F4687" s="22" t="s">
        <v>7630</v>
      </c>
      <c r="G4687" s="23">
        <v>2023.0</v>
      </c>
      <c r="H4687" s="22" t="s">
        <v>77</v>
      </c>
      <c r="I4687" s="24" t="s">
        <v>22262</v>
      </c>
      <c r="J4687" s="22" t="s">
        <v>649</v>
      </c>
      <c r="K4687" s="22"/>
      <c r="L4687" s="173" t="s">
        <v>22263</v>
      </c>
      <c r="U4687" s="38" t="s">
        <v>61</v>
      </c>
      <c r="V4687" s="30"/>
      <c r="W4687" s="156"/>
      <c r="X4687" s="49"/>
      <c r="Y4687" s="35"/>
      <c r="Z4687" s="35"/>
      <c r="AA4687" s="35"/>
      <c r="AB4687" s="35"/>
      <c r="AC4687" s="35"/>
      <c r="AD4687" s="35"/>
      <c r="AE4687" s="35"/>
      <c r="AF4687" s="35"/>
      <c r="AG4687" s="35"/>
      <c r="AH4687" s="35"/>
      <c r="AI4687" s="35"/>
      <c r="AJ4687" s="35"/>
      <c r="AK4687" s="35"/>
      <c r="AL4687" s="35"/>
    </row>
    <row r="4688">
      <c r="A4688" s="40"/>
      <c r="B4688" s="75" t="s">
        <v>19332</v>
      </c>
      <c r="C4688" s="77" t="s">
        <v>18738</v>
      </c>
      <c r="D4688" s="47"/>
      <c r="E4688" s="22" t="s">
        <v>22264</v>
      </c>
      <c r="F4688" s="22" t="s">
        <v>22265</v>
      </c>
      <c r="G4688" s="23">
        <v>2023.0</v>
      </c>
      <c r="H4688" s="22" t="s">
        <v>2181</v>
      </c>
      <c r="I4688" s="24" t="s">
        <v>22266</v>
      </c>
      <c r="J4688" s="22" t="s">
        <v>22267</v>
      </c>
      <c r="K4688" s="22"/>
      <c r="L4688" s="197"/>
      <c r="M4688" s="197"/>
      <c r="N4688" s="197"/>
      <c r="O4688" s="197"/>
      <c r="P4688" s="197"/>
      <c r="Q4688" s="197"/>
      <c r="R4688" s="197"/>
      <c r="S4688" s="197"/>
      <c r="T4688" s="214" t="s">
        <v>22268</v>
      </c>
      <c r="U4688" s="38" t="s">
        <v>61</v>
      </c>
      <c r="V4688" s="30"/>
      <c r="W4688" s="156"/>
      <c r="X4688" s="49"/>
      <c r="Y4688" s="35"/>
      <c r="Z4688" s="35"/>
      <c r="AA4688" s="35"/>
      <c r="AB4688" s="35"/>
      <c r="AC4688" s="35"/>
      <c r="AD4688" s="35"/>
      <c r="AE4688" s="35"/>
      <c r="AF4688" s="35"/>
      <c r="AG4688" s="35"/>
      <c r="AH4688" s="35"/>
      <c r="AI4688" s="35"/>
      <c r="AJ4688" s="35"/>
      <c r="AK4688" s="35"/>
      <c r="AL4688" s="35"/>
    </row>
    <row r="4689">
      <c r="A4689" s="40"/>
      <c r="B4689" s="75" t="s">
        <v>19332</v>
      </c>
      <c r="C4689" s="77" t="s">
        <v>18738</v>
      </c>
      <c r="D4689" s="47"/>
      <c r="E4689" s="22" t="s">
        <v>22269</v>
      </c>
      <c r="F4689" s="22" t="s">
        <v>323</v>
      </c>
      <c r="G4689" s="23">
        <v>2023.0</v>
      </c>
      <c r="H4689" s="22" t="s">
        <v>77</v>
      </c>
      <c r="I4689" s="24" t="s">
        <v>22270</v>
      </c>
      <c r="J4689" s="22" t="s">
        <v>55</v>
      </c>
      <c r="K4689" s="22"/>
      <c r="L4689" s="52">
        <v>660.0</v>
      </c>
      <c r="M4689" s="52"/>
      <c r="N4689" s="52"/>
      <c r="O4689" s="52"/>
      <c r="P4689" s="52"/>
      <c r="Q4689" s="52"/>
      <c r="R4689" s="52"/>
      <c r="S4689" s="52"/>
      <c r="T4689" s="102" t="s">
        <v>22271</v>
      </c>
      <c r="U4689" s="38" t="s">
        <v>61</v>
      </c>
      <c r="V4689" s="30" t="s">
        <v>174</v>
      </c>
      <c r="W4689" s="156"/>
      <c r="X4689" s="49"/>
      <c r="Y4689" s="35"/>
      <c r="Z4689" s="35"/>
      <c r="AA4689" s="35"/>
      <c r="AB4689" s="35"/>
      <c r="AC4689" s="35"/>
      <c r="AD4689" s="35"/>
      <c r="AE4689" s="35"/>
      <c r="AF4689" s="35"/>
      <c r="AG4689" s="35"/>
      <c r="AH4689" s="35"/>
      <c r="AI4689" s="35"/>
      <c r="AJ4689" s="35"/>
      <c r="AK4689" s="35"/>
      <c r="AL4689" s="35"/>
    </row>
    <row r="4690">
      <c r="A4690" s="40"/>
      <c r="B4690" s="75" t="s">
        <v>19332</v>
      </c>
      <c r="C4690" s="77" t="s">
        <v>18738</v>
      </c>
      <c r="D4690" s="47"/>
      <c r="E4690" s="22" t="s">
        <v>22272</v>
      </c>
      <c r="F4690" s="22" t="s">
        <v>1576</v>
      </c>
      <c r="G4690" s="23">
        <v>2023.0</v>
      </c>
      <c r="H4690" s="22" t="s">
        <v>91</v>
      </c>
      <c r="I4690" s="24" t="s">
        <v>22273</v>
      </c>
      <c r="J4690" s="22" t="s">
        <v>22274</v>
      </c>
      <c r="K4690" s="22" t="s">
        <v>22275</v>
      </c>
      <c r="L4690" s="52" t="s">
        <v>22276</v>
      </c>
      <c r="M4690" s="52"/>
      <c r="N4690" s="52"/>
      <c r="O4690" s="52" t="s">
        <v>4694</v>
      </c>
      <c r="P4690" s="52" t="s">
        <v>4694</v>
      </c>
      <c r="Q4690" s="52"/>
      <c r="R4690" s="52"/>
      <c r="S4690" s="52" t="s">
        <v>22277</v>
      </c>
      <c r="T4690" s="54" t="s">
        <v>22278</v>
      </c>
      <c r="U4690" s="38" t="s">
        <v>61</v>
      </c>
      <c r="V4690" s="30"/>
      <c r="W4690" s="156"/>
      <c r="X4690" s="49"/>
      <c r="Y4690" s="35"/>
      <c r="Z4690" s="35"/>
      <c r="AA4690" s="35"/>
      <c r="AB4690" s="35"/>
      <c r="AC4690" s="35"/>
      <c r="AD4690" s="35"/>
      <c r="AE4690" s="35"/>
      <c r="AF4690" s="35"/>
      <c r="AG4690" s="35"/>
      <c r="AH4690" s="35"/>
      <c r="AI4690" s="35"/>
      <c r="AJ4690" s="35"/>
      <c r="AK4690" s="35"/>
      <c r="AL4690" s="35"/>
    </row>
    <row r="4691">
      <c r="A4691" s="40"/>
      <c r="B4691" s="75" t="s">
        <v>19332</v>
      </c>
      <c r="C4691" s="77" t="s">
        <v>18738</v>
      </c>
      <c r="D4691" s="47"/>
      <c r="E4691" s="22" t="s">
        <v>565</v>
      </c>
      <c r="F4691" s="22" t="s">
        <v>490</v>
      </c>
      <c r="G4691" s="23">
        <v>2023.0</v>
      </c>
      <c r="H4691" s="22" t="s">
        <v>8177</v>
      </c>
      <c r="I4691" s="24" t="s">
        <v>22279</v>
      </c>
      <c r="J4691" s="22" t="s">
        <v>1078</v>
      </c>
      <c r="K4691" s="22"/>
      <c r="L4691" s="173" t="s">
        <v>22280</v>
      </c>
      <c r="U4691" s="38" t="s">
        <v>61</v>
      </c>
      <c r="V4691" s="30"/>
      <c r="W4691" s="156"/>
      <c r="X4691" s="49"/>
      <c r="Y4691" s="35"/>
      <c r="Z4691" s="35"/>
      <c r="AA4691" s="35"/>
      <c r="AB4691" s="35"/>
      <c r="AC4691" s="35"/>
      <c r="AD4691" s="35"/>
      <c r="AE4691" s="35"/>
      <c r="AF4691" s="35"/>
      <c r="AG4691" s="35"/>
      <c r="AH4691" s="35"/>
      <c r="AI4691" s="35"/>
      <c r="AJ4691" s="35"/>
      <c r="AK4691" s="35"/>
      <c r="AL4691" s="35"/>
    </row>
    <row r="4692">
      <c r="A4692" s="40"/>
      <c r="B4692" s="75" t="s">
        <v>19332</v>
      </c>
      <c r="C4692" s="77" t="s">
        <v>18738</v>
      </c>
      <c r="D4692" s="47"/>
      <c r="E4692" s="22" t="s">
        <v>22281</v>
      </c>
      <c r="F4692" s="22" t="s">
        <v>4223</v>
      </c>
      <c r="G4692" s="23">
        <v>2023.0</v>
      </c>
      <c r="H4692" s="22" t="s">
        <v>469</v>
      </c>
      <c r="I4692" s="24" t="s">
        <v>22282</v>
      </c>
      <c r="J4692" s="22" t="s">
        <v>649</v>
      </c>
      <c r="K4692" s="22"/>
      <c r="L4692" s="173" t="s">
        <v>22283</v>
      </c>
      <c r="U4692" s="38" t="s">
        <v>61</v>
      </c>
      <c r="V4692" s="30"/>
      <c r="W4692" s="156"/>
      <c r="X4692" s="49"/>
      <c r="Y4692" s="35"/>
      <c r="Z4692" s="35"/>
      <c r="AA4692" s="35"/>
      <c r="AB4692" s="35"/>
      <c r="AC4692" s="35"/>
      <c r="AD4692" s="35"/>
      <c r="AE4692" s="35"/>
      <c r="AF4692" s="35"/>
      <c r="AG4692" s="35"/>
      <c r="AH4692" s="35"/>
      <c r="AI4692" s="35"/>
      <c r="AJ4692" s="35"/>
      <c r="AK4692" s="35"/>
      <c r="AL4692" s="35"/>
    </row>
    <row r="4693">
      <c r="A4693" s="40"/>
      <c r="B4693" s="75" t="s">
        <v>19332</v>
      </c>
      <c r="C4693" s="77" t="s">
        <v>18738</v>
      </c>
      <c r="D4693" s="47"/>
      <c r="E4693" s="22" t="s">
        <v>825</v>
      </c>
      <c r="F4693" s="22" t="s">
        <v>19727</v>
      </c>
      <c r="G4693" s="23">
        <v>2023.0</v>
      </c>
      <c r="H4693" s="22" t="s">
        <v>77</v>
      </c>
      <c r="I4693" s="24" t="s">
        <v>22284</v>
      </c>
      <c r="J4693" s="22" t="s">
        <v>22285</v>
      </c>
      <c r="K4693" s="22"/>
      <c r="L4693" s="173" t="s">
        <v>22286</v>
      </c>
      <c r="U4693" s="38" t="s">
        <v>61</v>
      </c>
      <c r="V4693" s="30"/>
      <c r="W4693" s="156"/>
      <c r="X4693" s="49"/>
      <c r="Y4693" s="35"/>
      <c r="Z4693" s="35"/>
      <c r="AA4693" s="35"/>
      <c r="AB4693" s="35"/>
      <c r="AC4693" s="35"/>
      <c r="AD4693" s="35"/>
      <c r="AE4693" s="35"/>
      <c r="AF4693" s="35"/>
      <c r="AG4693" s="35"/>
      <c r="AH4693" s="35"/>
      <c r="AI4693" s="35"/>
      <c r="AJ4693" s="35"/>
      <c r="AK4693" s="35"/>
      <c r="AL4693" s="35"/>
    </row>
    <row r="4694">
      <c r="A4694" s="40"/>
      <c r="B4694" s="75" t="s">
        <v>19332</v>
      </c>
      <c r="C4694" s="77" t="s">
        <v>18738</v>
      </c>
      <c r="D4694" s="47"/>
      <c r="E4694" s="22" t="s">
        <v>21764</v>
      </c>
      <c r="F4694" s="22" t="s">
        <v>4033</v>
      </c>
      <c r="G4694" s="23">
        <v>2023.0</v>
      </c>
      <c r="H4694" s="22" t="s">
        <v>8884</v>
      </c>
      <c r="I4694" s="24" t="s">
        <v>22287</v>
      </c>
      <c r="J4694" s="22" t="s">
        <v>1078</v>
      </c>
      <c r="K4694" s="22"/>
      <c r="L4694" s="173" t="s">
        <v>22288</v>
      </c>
      <c r="U4694" s="38" t="s">
        <v>61</v>
      </c>
      <c r="V4694" s="30"/>
      <c r="W4694" s="156"/>
      <c r="X4694" s="49"/>
      <c r="Y4694" s="35"/>
      <c r="Z4694" s="35"/>
      <c r="AA4694" s="35"/>
      <c r="AB4694" s="35"/>
      <c r="AC4694" s="35"/>
      <c r="AD4694" s="35"/>
      <c r="AE4694" s="35"/>
      <c r="AF4694" s="35"/>
      <c r="AG4694" s="35"/>
      <c r="AH4694" s="35"/>
      <c r="AI4694" s="35"/>
      <c r="AJ4694" s="35"/>
      <c r="AK4694" s="35"/>
      <c r="AL4694" s="35"/>
    </row>
    <row r="4695">
      <c r="A4695" s="40"/>
      <c r="B4695" s="75" t="s">
        <v>19332</v>
      </c>
      <c r="C4695" s="77" t="s">
        <v>18738</v>
      </c>
      <c r="D4695" s="47"/>
      <c r="E4695" s="22" t="s">
        <v>22289</v>
      </c>
      <c r="F4695" s="22" t="s">
        <v>2161</v>
      </c>
      <c r="G4695" s="23">
        <v>2023.0</v>
      </c>
      <c r="H4695" s="22" t="s">
        <v>22290</v>
      </c>
      <c r="I4695" s="24" t="s">
        <v>22291</v>
      </c>
      <c r="J4695" s="22" t="s">
        <v>22292</v>
      </c>
      <c r="K4695" s="22"/>
      <c r="L4695" s="52">
        <v>650.0</v>
      </c>
      <c r="M4695" s="52"/>
      <c r="N4695" s="52" t="s">
        <v>22293</v>
      </c>
      <c r="O4695" s="52" t="s">
        <v>1468</v>
      </c>
      <c r="P4695" s="189" t="s">
        <v>20933</v>
      </c>
      <c r="Q4695" s="52" t="s">
        <v>22294</v>
      </c>
      <c r="R4695" s="52" t="s">
        <v>22295</v>
      </c>
      <c r="S4695" s="52"/>
      <c r="T4695" s="54" t="s">
        <v>22296</v>
      </c>
      <c r="U4695" s="38" t="s">
        <v>61</v>
      </c>
      <c r="V4695" s="30" t="s">
        <v>22297</v>
      </c>
      <c r="W4695" s="156"/>
      <c r="X4695" s="49"/>
      <c r="Y4695" s="35"/>
      <c r="Z4695" s="35"/>
      <c r="AA4695" s="35"/>
      <c r="AB4695" s="35"/>
      <c r="AC4695" s="35"/>
      <c r="AD4695" s="35"/>
      <c r="AE4695" s="35"/>
      <c r="AF4695" s="35"/>
      <c r="AG4695" s="35"/>
      <c r="AH4695" s="35"/>
      <c r="AI4695" s="35"/>
      <c r="AJ4695" s="35"/>
      <c r="AK4695" s="35"/>
      <c r="AL4695" s="35"/>
    </row>
    <row r="4696">
      <c r="A4696" s="40" t="s">
        <v>2</v>
      </c>
      <c r="B4696" s="75" t="s">
        <v>19332</v>
      </c>
      <c r="C4696" s="77" t="s">
        <v>18738</v>
      </c>
      <c r="D4696" s="47"/>
      <c r="E4696" s="22" t="s">
        <v>19856</v>
      </c>
      <c r="F4696" s="22" t="s">
        <v>5312</v>
      </c>
      <c r="G4696" s="23">
        <v>2023.0</v>
      </c>
      <c r="H4696" s="22" t="s">
        <v>19235</v>
      </c>
      <c r="I4696" s="24" t="s">
        <v>22298</v>
      </c>
      <c r="J4696" s="22" t="s">
        <v>22299</v>
      </c>
      <c r="K4696" s="22" t="s">
        <v>3526</v>
      </c>
      <c r="L4696" s="52"/>
      <c r="M4696" s="52"/>
      <c r="N4696" s="200">
        <v>45017.0</v>
      </c>
      <c r="O4696" s="52"/>
      <c r="P4696" s="189"/>
      <c r="Q4696" s="52"/>
      <c r="R4696" s="52"/>
      <c r="S4696" s="52"/>
      <c r="T4696" s="102" t="s">
        <v>22300</v>
      </c>
      <c r="U4696" s="38" t="s">
        <v>61</v>
      </c>
      <c r="V4696" s="30"/>
      <c r="W4696" s="156"/>
      <c r="X4696" s="49"/>
      <c r="Y4696" s="35"/>
      <c r="Z4696" s="35"/>
      <c r="AA4696" s="35"/>
      <c r="AB4696" s="35"/>
      <c r="AC4696" s="35"/>
      <c r="AD4696" s="35"/>
      <c r="AE4696" s="35"/>
      <c r="AF4696" s="35"/>
      <c r="AG4696" s="35"/>
      <c r="AH4696" s="35"/>
      <c r="AI4696" s="35"/>
      <c r="AJ4696" s="35"/>
      <c r="AK4696" s="35"/>
      <c r="AL4696" s="35"/>
    </row>
    <row r="4697">
      <c r="A4697" s="40"/>
      <c r="B4697" s="75" t="s">
        <v>19332</v>
      </c>
      <c r="C4697" s="77" t="s">
        <v>18738</v>
      </c>
      <c r="D4697" s="47"/>
      <c r="E4697" s="22" t="s">
        <v>22301</v>
      </c>
      <c r="F4697" s="22" t="s">
        <v>1677</v>
      </c>
      <c r="G4697" s="23">
        <v>2023.0</v>
      </c>
      <c r="H4697" s="22" t="s">
        <v>8177</v>
      </c>
      <c r="I4697" s="24" t="s">
        <v>22302</v>
      </c>
      <c r="J4697" s="22" t="s">
        <v>8446</v>
      </c>
      <c r="K4697" s="22"/>
      <c r="L4697" s="173" t="s">
        <v>22303</v>
      </c>
      <c r="U4697" s="38" t="s">
        <v>61</v>
      </c>
      <c r="V4697" s="30"/>
      <c r="W4697" s="156"/>
      <c r="X4697" s="49"/>
      <c r="Y4697" s="35"/>
      <c r="Z4697" s="35"/>
      <c r="AA4697" s="35"/>
      <c r="AB4697" s="35"/>
      <c r="AC4697" s="35"/>
      <c r="AD4697" s="35"/>
      <c r="AE4697" s="35"/>
      <c r="AF4697" s="35"/>
      <c r="AG4697" s="35"/>
      <c r="AH4697" s="35"/>
      <c r="AI4697" s="35"/>
      <c r="AJ4697" s="35"/>
      <c r="AK4697" s="35"/>
      <c r="AL4697" s="35"/>
    </row>
    <row r="4698">
      <c r="A4698" s="40"/>
      <c r="B4698" s="75" t="s">
        <v>19332</v>
      </c>
      <c r="C4698" s="77" t="s">
        <v>18738</v>
      </c>
      <c r="D4698" s="47"/>
      <c r="E4698" s="22" t="s">
        <v>22304</v>
      </c>
      <c r="F4698" s="22" t="s">
        <v>41</v>
      </c>
      <c r="G4698" s="23">
        <v>2023.0</v>
      </c>
      <c r="H4698" s="22" t="s">
        <v>42</v>
      </c>
      <c r="I4698" s="24" t="s">
        <v>22305</v>
      </c>
      <c r="J4698" s="22" t="s">
        <v>8564</v>
      </c>
      <c r="K4698" s="22"/>
      <c r="L4698" s="52" t="s">
        <v>22306</v>
      </c>
      <c r="M4698" s="52"/>
      <c r="N4698" s="52"/>
      <c r="O4698" s="52"/>
      <c r="P4698" s="189"/>
      <c r="Q4698" s="52"/>
      <c r="R4698" s="52"/>
      <c r="S4698" s="52"/>
      <c r="T4698" s="103" t="s">
        <v>22307</v>
      </c>
      <c r="U4698" s="38" t="s">
        <v>61</v>
      </c>
      <c r="V4698" s="30"/>
      <c r="W4698" s="156"/>
      <c r="X4698" s="49"/>
      <c r="Y4698" s="35"/>
      <c r="Z4698" s="35"/>
      <c r="AA4698" s="35"/>
      <c r="AB4698" s="35"/>
      <c r="AC4698" s="35"/>
      <c r="AD4698" s="35"/>
      <c r="AE4698" s="35"/>
      <c r="AF4698" s="35"/>
      <c r="AG4698" s="35"/>
      <c r="AH4698" s="35"/>
      <c r="AI4698" s="35"/>
      <c r="AJ4698" s="35"/>
      <c r="AK4698" s="35"/>
      <c r="AL4698" s="35"/>
    </row>
    <row r="4699">
      <c r="A4699" s="40"/>
      <c r="B4699" s="75" t="s">
        <v>19332</v>
      </c>
      <c r="C4699" s="77" t="s">
        <v>18738</v>
      </c>
      <c r="D4699" s="47"/>
      <c r="E4699" s="22" t="s">
        <v>22308</v>
      </c>
      <c r="F4699" s="22" t="s">
        <v>6546</v>
      </c>
      <c r="G4699" s="23">
        <v>2023.0</v>
      </c>
      <c r="H4699" s="22" t="s">
        <v>584</v>
      </c>
      <c r="I4699" s="24" t="s">
        <v>22309</v>
      </c>
      <c r="J4699" s="22" t="s">
        <v>125</v>
      </c>
      <c r="K4699" s="22"/>
      <c r="L4699" s="173" t="s">
        <v>22310</v>
      </c>
      <c r="U4699" s="38" t="s">
        <v>61</v>
      </c>
      <c r="V4699" s="30"/>
      <c r="W4699" s="156"/>
      <c r="X4699" s="49"/>
      <c r="Y4699" s="35"/>
      <c r="Z4699" s="35"/>
      <c r="AA4699" s="35"/>
      <c r="AB4699" s="35"/>
      <c r="AC4699" s="35"/>
      <c r="AD4699" s="35"/>
      <c r="AE4699" s="35"/>
      <c r="AF4699" s="35"/>
      <c r="AG4699" s="35"/>
      <c r="AH4699" s="35"/>
      <c r="AI4699" s="35"/>
      <c r="AJ4699" s="35"/>
      <c r="AK4699" s="35"/>
      <c r="AL4699" s="35"/>
    </row>
    <row r="4700">
      <c r="A4700" s="1"/>
      <c r="B4700" s="75" t="s">
        <v>19332</v>
      </c>
      <c r="C4700" s="77" t="s">
        <v>18738</v>
      </c>
      <c r="D4700" s="47"/>
      <c r="E4700" s="22" t="s">
        <v>2770</v>
      </c>
      <c r="F4700" s="22" t="s">
        <v>6888</v>
      </c>
      <c r="G4700" s="23">
        <v>2023.0</v>
      </c>
      <c r="H4700" s="22" t="s">
        <v>22311</v>
      </c>
      <c r="I4700" s="24" t="s">
        <v>22312</v>
      </c>
      <c r="J4700" s="22" t="s">
        <v>1078</v>
      </c>
      <c r="K4700" s="22"/>
      <c r="L4700" s="173" t="s">
        <v>22313</v>
      </c>
      <c r="U4700" s="38" t="s">
        <v>61</v>
      </c>
      <c r="V4700" s="30"/>
      <c r="W4700" s="156"/>
      <c r="X4700" s="49"/>
      <c r="Y4700" s="35"/>
      <c r="Z4700" s="35"/>
      <c r="AA4700" s="35"/>
      <c r="AB4700" s="35"/>
      <c r="AC4700" s="35"/>
      <c r="AD4700" s="35"/>
      <c r="AE4700" s="35"/>
      <c r="AF4700" s="35"/>
      <c r="AG4700" s="35"/>
      <c r="AH4700" s="35"/>
      <c r="AI4700" s="35"/>
      <c r="AJ4700" s="35"/>
      <c r="AK4700" s="35"/>
      <c r="AL4700" s="35"/>
    </row>
    <row r="4701">
      <c r="A4701" s="40"/>
      <c r="B4701" s="75" t="s">
        <v>19332</v>
      </c>
      <c r="C4701" s="77" t="s">
        <v>18738</v>
      </c>
      <c r="D4701" s="47"/>
      <c r="E4701" s="22" t="s">
        <v>22314</v>
      </c>
      <c r="F4701" s="22" t="s">
        <v>22315</v>
      </c>
      <c r="G4701" s="23">
        <v>2023.0</v>
      </c>
      <c r="H4701" s="22" t="s">
        <v>17640</v>
      </c>
      <c r="I4701" s="24" t="s">
        <v>22316</v>
      </c>
      <c r="J4701" s="22" t="s">
        <v>22317</v>
      </c>
      <c r="K4701" s="22"/>
      <c r="L4701" s="52"/>
      <c r="M4701" s="52"/>
      <c r="N4701" s="52"/>
      <c r="O4701" s="52"/>
      <c r="P4701" s="189"/>
      <c r="Q4701" s="52"/>
      <c r="R4701" s="52"/>
      <c r="S4701" s="52"/>
      <c r="T4701" s="102" t="s">
        <v>22318</v>
      </c>
      <c r="U4701" s="38" t="s">
        <v>61</v>
      </c>
      <c r="V4701" s="30" t="s">
        <v>22319</v>
      </c>
      <c r="W4701" s="156"/>
      <c r="X4701" s="49"/>
      <c r="Y4701" s="35"/>
      <c r="Z4701" s="35"/>
      <c r="AA4701" s="35"/>
      <c r="AB4701" s="35"/>
      <c r="AC4701" s="35"/>
      <c r="AD4701" s="35"/>
      <c r="AE4701" s="35"/>
      <c r="AF4701" s="35"/>
      <c r="AG4701" s="35"/>
      <c r="AH4701" s="35"/>
      <c r="AI4701" s="35"/>
      <c r="AJ4701" s="35"/>
      <c r="AK4701" s="35"/>
      <c r="AL4701" s="35"/>
    </row>
    <row r="4702">
      <c r="A4702" s="1"/>
      <c r="B4702" s="75" t="s">
        <v>19332</v>
      </c>
      <c r="C4702" s="77" t="s">
        <v>18738</v>
      </c>
      <c r="D4702" s="47"/>
      <c r="E4702" s="22" t="s">
        <v>22320</v>
      </c>
      <c r="F4702" s="22" t="s">
        <v>6973</v>
      </c>
      <c r="G4702" s="23">
        <v>2023.0</v>
      </c>
      <c r="H4702" s="22" t="s">
        <v>22321</v>
      </c>
      <c r="I4702" s="24" t="s">
        <v>22322</v>
      </c>
      <c r="J4702" s="22" t="s">
        <v>125</v>
      </c>
      <c r="K4702" s="22"/>
      <c r="L4702" s="173" t="s">
        <v>22323</v>
      </c>
      <c r="U4702" s="38" t="s">
        <v>61</v>
      </c>
      <c r="V4702" s="30"/>
      <c r="W4702" s="156"/>
      <c r="X4702" s="49"/>
      <c r="Y4702" s="35"/>
      <c r="Z4702" s="35"/>
      <c r="AA4702" s="35"/>
      <c r="AB4702" s="35"/>
      <c r="AC4702" s="35"/>
      <c r="AD4702" s="35"/>
      <c r="AE4702" s="35"/>
      <c r="AF4702" s="35"/>
      <c r="AG4702" s="35"/>
      <c r="AH4702" s="35"/>
      <c r="AI4702" s="35"/>
      <c r="AJ4702" s="35"/>
      <c r="AK4702" s="35"/>
      <c r="AL4702" s="35"/>
    </row>
    <row r="4703">
      <c r="A4703" s="40" t="s">
        <v>2</v>
      </c>
      <c r="B4703" s="75" t="s">
        <v>19332</v>
      </c>
      <c r="C4703" s="77" t="s">
        <v>18738</v>
      </c>
      <c r="D4703" s="47"/>
      <c r="E4703" s="22" t="s">
        <v>14284</v>
      </c>
      <c r="F4703" s="22" t="s">
        <v>18291</v>
      </c>
      <c r="G4703" s="23">
        <v>2022.0</v>
      </c>
      <c r="H4703" s="22" t="s">
        <v>3523</v>
      </c>
      <c r="I4703" s="24" t="s">
        <v>22324</v>
      </c>
      <c r="J4703" s="22" t="s">
        <v>125</v>
      </c>
      <c r="K4703" s="22"/>
      <c r="L4703" s="173" t="s">
        <v>22325</v>
      </c>
      <c r="U4703" s="38" t="s">
        <v>61</v>
      </c>
      <c r="V4703" s="30"/>
      <c r="W4703" s="156"/>
      <c r="X4703" s="49"/>
      <c r="Y4703" s="35"/>
      <c r="Z4703" s="35"/>
      <c r="AA4703" s="35"/>
      <c r="AB4703" s="35"/>
      <c r="AC4703" s="35"/>
      <c r="AD4703" s="35"/>
      <c r="AE4703" s="35"/>
      <c r="AF4703" s="35"/>
      <c r="AG4703" s="35"/>
      <c r="AH4703" s="35"/>
      <c r="AI4703" s="35"/>
      <c r="AJ4703" s="35"/>
      <c r="AK4703" s="35"/>
      <c r="AL4703" s="35"/>
    </row>
    <row r="4704">
      <c r="A4704" s="1"/>
      <c r="B4704" s="75" t="s">
        <v>19332</v>
      </c>
      <c r="C4704" s="77" t="s">
        <v>18738</v>
      </c>
      <c r="D4704" s="47"/>
      <c r="E4704" s="22" t="s">
        <v>18749</v>
      </c>
      <c r="F4704" s="22" t="s">
        <v>22128</v>
      </c>
      <c r="G4704" s="23">
        <v>2022.0</v>
      </c>
      <c r="H4704" s="22" t="s">
        <v>994</v>
      </c>
      <c r="I4704" s="24" t="s">
        <v>22326</v>
      </c>
      <c r="J4704" s="22" t="s">
        <v>3514</v>
      </c>
      <c r="K4704" s="22"/>
      <c r="L4704" s="53" t="s">
        <v>22327</v>
      </c>
      <c r="U4704" s="38" t="s">
        <v>61</v>
      </c>
      <c r="V4704" s="30"/>
      <c r="W4704" s="156"/>
      <c r="X4704" s="49"/>
      <c r="Y4704" s="35"/>
      <c r="Z4704" s="35"/>
      <c r="AA4704" s="35"/>
      <c r="AB4704" s="35"/>
      <c r="AC4704" s="35"/>
      <c r="AD4704" s="35"/>
      <c r="AE4704" s="35"/>
      <c r="AF4704" s="35"/>
      <c r="AG4704" s="35"/>
      <c r="AH4704" s="35"/>
      <c r="AI4704" s="35"/>
      <c r="AJ4704" s="35"/>
      <c r="AK4704" s="35"/>
      <c r="AL4704" s="35"/>
    </row>
    <row r="4705">
      <c r="A4705" s="1"/>
      <c r="B4705" s="75" t="s">
        <v>19332</v>
      </c>
      <c r="C4705" s="77" t="s">
        <v>18738</v>
      </c>
      <c r="D4705" s="47"/>
      <c r="E4705" s="22" t="s">
        <v>3275</v>
      </c>
      <c r="F4705" s="22" t="s">
        <v>14699</v>
      </c>
      <c r="G4705" s="23">
        <v>2022.0</v>
      </c>
      <c r="H4705" s="22" t="s">
        <v>22328</v>
      </c>
      <c r="I4705" s="24" t="s">
        <v>22329</v>
      </c>
      <c r="J4705" s="22" t="s">
        <v>22330</v>
      </c>
      <c r="K4705" s="22"/>
      <c r="L4705" s="52">
        <v>660.0</v>
      </c>
      <c r="M4705" s="52">
        <v>75.0</v>
      </c>
      <c r="N4705" s="52" t="s">
        <v>22331</v>
      </c>
      <c r="O4705" s="200">
        <v>45050.0</v>
      </c>
      <c r="P4705" s="189" t="s">
        <v>7754</v>
      </c>
      <c r="Q4705" s="52"/>
      <c r="R4705" s="52">
        <v>60.0</v>
      </c>
      <c r="S4705" s="52"/>
      <c r="T4705" s="54" t="s">
        <v>22332</v>
      </c>
      <c r="U4705" s="38" t="s">
        <v>61</v>
      </c>
      <c r="V4705" s="30"/>
      <c r="W4705" s="156"/>
      <c r="X4705" s="49"/>
      <c r="Y4705" s="35"/>
      <c r="Z4705" s="35"/>
      <c r="AA4705" s="35"/>
      <c r="AB4705" s="35"/>
      <c r="AC4705" s="35"/>
      <c r="AD4705" s="35"/>
      <c r="AE4705" s="35"/>
      <c r="AF4705" s="35"/>
      <c r="AG4705" s="35"/>
      <c r="AH4705" s="35"/>
      <c r="AI4705" s="35"/>
      <c r="AJ4705" s="35"/>
      <c r="AK4705" s="35"/>
      <c r="AL4705" s="35"/>
    </row>
    <row r="4706">
      <c r="A4706" s="1" t="s">
        <v>2</v>
      </c>
      <c r="B4706" s="75" t="s">
        <v>19332</v>
      </c>
      <c r="C4706" s="77" t="s">
        <v>18738</v>
      </c>
      <c r="D4706" s="47"/>
      <c r="E4706" s="22" t="s">
        <v>22333</v>
      </c>
      <c r="F4706" s="22" t="s">
        <v>22334</v>
      </c>
      <c r="G4706" s="23">
        <v>2022.0</v>
      </c>
      <c r="H4706" s="22" t="s">
        <v>22335</v>
      </c>
      <c r="I4706" s="24" t="s">
        <v>22336</v>
      </c>
      <c r="J4706" s="22" t="s">
        <v>22337</v>
      </c>
      <c r="K4706" s="22"/>
      <c r="L4706" s="52">
        <v>660.0</v>
      </c>
      <c r="M4706" s="52">
        <v>75.0</v>
      </c>
      <c r="N4706" s="52" t="s">
        <v>3911</v>
      </c>
      <c r="O4706" s="52"/>
      <c r="P4706" s="189" t="s">
        <v>22338</v>
      </c>
      <c r="Q4706" s="52" t="s">
        <v>22339</v>
      </c>
      <c r="R4706" s="52" t="s">
        <v>22340</v>
      </c>
      <c r="S4706" s="52" t="s">
        <v>22341</v>
      </c>
      <c r="T4706" s="103" t="s">
        <v>22342</v>
      </c>
      <c r="U4706" s="38" t="s">
        <v>61</v>
      </c>
      <c r="V4706" s="30"/>
      <c r="W4706" s="156"/>
      <c r="X4706" s="49"/>
      <c r="Y4706" s="35"/>
      <c r="Z4706" s="35"/>
      <c r="AA4706" s="35"/>
      <c r="AB4706" s="35"/>
      <c r="AC4706" s="35"/>
      <c r="AD4706" s="35"/>
      <c r="AE4706" s="35"/>
      <c r="AF4706" s="35"/>
      <c r="AG4706" s="35"/>
      <c r="AH4706" s="35"/>
      <c r="AI4706" s="35"/>
      <c r="AJ4706" s="35"/>
      <c r="AK4706" s="35"/>
      <c r="AL4706" s="35"/>
    </row>
    <row r="4707">
      <c r="A4707" s="40"/>
      <c r="B4707" s="75" t="s">
        <v>19332</v>
      </c>
      <c r="C4707" s="77" t="s">
        <v>18738</v>
      </c>
      <c r="D4707" s="47"/>
      <c r="E4707" s="22" t="s">
        <v>16618</v>
      </c>
      <c r="F4707" s="22" t="s">
        <v>18291</v>
      </c>
      <c r="G4707" s="23">
        <v>2023.0</v>
      </c>
      <c r="H4707" s="22" t="s">
        <v>22343</v>
      </c>
      <c r="I4707" s="24" t="s">
        <v>22344</v>
      </c>
      <c r="J4707" s="22" t="s">
        <v>8564</v>
      </c>
      <c r="K4707" s="22" t="s">
        <v>22345</v>
      </c>
      <c r="L4707" s="52">
        <v>660.0</v>
      </c>
      <c r="M4707" s="52">
        <v>40.0</v>
      </c>
      <c r="N4707" s="52"/>
      <c r="O4707" s="52" t="s">
        <v>8744</v>
      </c>
      <c r="P4707" s="189" t="s">
        <v>82</v>
      </c>
      <c r="Q4707" s="52"/>
      <c r="R4707" s="52"/>
      <c r="S4707" s="52" t="s">
        <v>22346</v>
      </c>
      <c r="T4707" s="54" t="s">
        <v>22347</v>
      </c>
      <c r="U4707" s="38" t="s">
        <v>61</v>
      </c>
      <c r="V4707" s="30"/>
      <c r="W4707" s="156"/>
      <c r="X4707" s="49"/>
      <c r="Y4707" s="35"/>
      <c r="Z4707" s="35"/>
      <c r="AA4707" s="35"/>
      <c r="AB4707" s="35"/>
      <c r="AC4707" s="35"/>
      <c r="AD4707" s="35"/>
      <c r="AE4707" s="35"/>
      <c r="AF4707" s="35"/>
      <c r="AG4707" s="35"/>
      <c r="AH4707" s="35"/>
      <c r="AI4707" s="35"/>
      <c r="AJ4707" s="35"/>
      <c r="AK4707" s="35"/>
      <c r="AL4707" s="35"/>
    </row>
    <row r="4708">
      <c r="A4708" s="40"/>
      <c r="B4708" s="75" t="s">
        <v>19332</v>
      </c>
      <c r="C4708" s="77" t="s">
        <v>18738</v>
      </c>
      <c r="D4708" s="47"/>
      <c r="E4708" s="22" t="s">
        <v>22348</v>
      </c>
      <c r="F4708" s="22" t="s">
        <v>22128</v>
      </c>
      <c r="G4708" s="23">
        <v>2023.0</v>
      </c>
      <c r="H4708" s="22" t="s">
        <v>91</v>
      </c>
      <c r="I4708" s="24" t="s">
        <v>22349</v>
      </c>
      <c r="J4708" s="22" t="s">
        <v>8564</v>
      </c>
      <c r="K4708" s="22"/>
      <c r="L4708" s="52" t="s">
        <v>1804</v>
      </c>
      <c r="M4708" s="52"/>
      <c r="N4708" s="52"/>
      <c r="O4708" s="52"/>
      <c r="P4708" s="189" t="s">
        <v>325</v>
      </c>
      <c r="Q4708" s="52"/>
      <c r="R4708" s="52">
        <v>60.0</v>
      </c>
      <c r="S4708" s="52"/>
      <c r="T4708" s="54" t="s">
        <v>22350</v>
      </c>
      <c r="U4708" s="38" t="s">
        <v>61</v>
      </c>
      <c r="V4708" s="30"/>
      <c r="W4708" s="156"/>
      <c r="X4708" s="49"/>
      <c r="Y4708" s="35"/>
      <c r="Z4708" s="35"/>
      <c r="AA4708" s="35"/>
      <c r="AB4708" s="35"/>
      <c r="AC4708" s="35"/>
      <c r="AD4708" s="35"/>
      <c r="AE4708" s="35"/>
      <c r="AF4708" s="35"/>
      <c r="AG4708" s="35"/>
      <c r="AH4708" s="35"/>
      <c r="AI4708" s="35"/>
      <c r="AJ4708" s="35"/>
      <c r="AK4708" s="35"/>
      <c r="AL4708" s="35"/>
    </row>
    <row r="4709">
      <c r="A4709" s="40"/>
      <c r="B4709" s="75" t="s">
        <v>19332</v>
      </c>
      <c r="C4709" s="77" t="s">
        <v>18738</v>
      </c>
      <c r="D4709" s="47"/>
      <c r="E4709" s="22" t="s">
        <v>22351</v>
      </c>
      <c r="F4709" s="22" t="s">
        <v>41</v>
      </c>
      <c r="G4709" s="23">
        <v>2022.0</v>
      </c>
      <c r="H4709" s="22" t="s">
        <v>348</v>
      </c>
      <c r="I4709" s="24" t="s">
        <v>22352</v>
      </c>
      <c r="J4709" s="22" t="s">
        <v>55</v>
      </c>
      <c r="K4709" s="22"/>
      <c r="L4709" s="52" t="s">
        <v>1804</v>
      </c>
      <c r="M4709" s="52"/>
      <c r="N4709" s="52"/>
      <c r="O4709" s="52"/>
      <c r="P4709" s="189"/>
      <c r="Q4709" s="52"/>
      <c r="R4709" s="52"/>
      <c r="S4709" s="52"/>
      <c r="T4709" s="54" t="s">
        <v>22353</v>
      </c>
      <c r="U4709" s="38" t="s">
        <v>61</v>
      </c>
      <c r="V4709" s="30"/>
      <c r="W4709" s="156"/>
      <c r="X4709" s="49"/>
      <c r="Y4709" s="35"/>
      <c r="Z4709" s="35"/>
      <c r="AA4709" s="35"/>
      <c r="AB4709" s="35"/>
      <c r="AC4709" s="35"/>
      <c r="AD4709" s="35"/>
      <c r="AE4709" s="35"/>
      <c r="AF4709" s="35"/>
      <c r="AG4709" s="35"/>
      <c r="AH4709" s="35"/>
      <c r="AI4709" s="35"/>
      <c r="AJ4709" s="35"/>
      <c r="AK4709" s="35"/>
      <c r="AL4709" s="35"/>
    </row>
    <row r="4710">
      <c r="A4710" s="40"/>
      <c r="B4710" s="75" t="s">
        <v>19332</v>
      </c>
      <c r="C4710" s="77" t="s">
        <v>18738</v>
      </c>
      <c r="D4710" s="47"/>
      <c r="E4710" s="22" t="s">
        <v>22354</v>
      </c>
      <c r="F4710" s="22" t="s">
        <v>7318</v>
      </c>
      <c r="G4710" s="23">
        <v>2022.0</v>
      </c>
      <c r="H4710" s="22" t="s">
        <v>8177</v>
      </c>
      <c r="I4710" s="24" t="s">
        <v>22355</v>
      </c>
      <c r="J4710" s="22" t="s">
        <v>8446</v>
      </c>
      <c r="K4710" s="22"/>
      <c r="L4710" s="53" t="s">
        <v>22356</v>
      </c>
      <c r="U4710" s="38" t="s">
        <v>61</v>
      </c>
      <c r="V4710" s="30"/>
      <c r="W4710" s="156"/>
      <c r="X4710" s="49"/>
      <c r="Y4710" s="35"/>
      <c r="Z4710" s="35"/>
      <c r="AA4710" s="35"/>
      <c r="AB4710" s="35"/>
      <c r="AC4710" s="35"/>
      <c r="AD4710" s="35"/>
      <c r="AE4710" s="35"/>
      <c r="AF4710" s="35"/>
      <c r="AG4710" s="35"/>
      <c r="AH4710" s="35"/>
      <c r="AI4710" s="35"/>
      <c r="AJ4710" s="35"/>
      <c r="AK4710" s="35"/>
      <c r="AL4710" s="35"/>
    </row>
    <row r="4711">
      <c r="A4711" s="40"/>
      <c r="B4711" s="75" t="s">
        <v>19332</v>
      </c>
      <c r="C4711" s="77" t="s">
        <v>18738</v>
      </c>
      <c r="D4711" s="47"/>
      <c r="E4711" s="22" t="s">
        <v>22357</v>
      </c>
      <c r="F4711" s="22" t="s">
        <v>22358</v>
      </c>
      <c r="G4711" s="23">
        <v>2022.0</v>
      </c>
      <c r="H4711" s="22" t="s">
        <v>22359</v>
      </c>
      <c r="I4711" s="24" t="s">
        <v>22360</v>
      </c>
      <c r="J4711" s="22" t="s">
        <v>22361</v>
      </c>
      <c r="K4711" s="22" t="s">
        <v>22362</v>
      </c>
      <c r="L4711" s="52">
        <v>870.0</v>
      </c>
      <c r="M4711" s="52">
        <v>60.0</v>
      </c>
      <c r="N4711" s="52"/>
      <c r="O4711" s="52"/>
      <c r="P4711" s="189" t="s">
        <v>82</v>
      </c>
      <c r="Q4711" s="52" t="s">
        <v>22363</v>
      </c>
      <c r="R4711" s="52"/>
      <c r="S4711" s="52" t="s">
        <v>22364</v>
      </c>
      <c r="T4711" s="54" t="s">
        <v>22365</v>
      </c>
      <c r="U4711" s="38" t="s">
        <v>22366</v>
      </c>
      <c r="V4711" s="30"/>
      <c r="W4711" s="156"/>
      <c r="X4711" s="49"/>
      <c r="Y4711" s="35"/>
      <c r="Z4711" s="35"/>
      <c r="AA4711" s="35"/>
      <c r="AB4711" s="35"/>
      <c r="AC4711" s="35"/>
      <c r="AD4711" s="35"/>
      <c r="AE4711" s="35"/>
      <c r="AF4711" s="35"/>
      <c r="AG4711" s="35"/>
      <c r="AH4711" s="35"/>
      <c r="AI4711" s="35"/>
      <c r="AJ4711" s="35"/>
      <c r="AK4711" s="35"/>
      <c r="AL4711" s="35"/>
    </row>
    <row r="4712">
      <c r="A4712" s="40"/>
      <c r="B4712" s="75" t="s">
        <v>19332</v>
      </c>
      <c r="C4712" s="77" t="s">
        <v>18738</v>
      </c>
      <c r="D4712" s="47"/>
      <c r="E4712" s="22" t="s">
        <v>22367</v>
      </c>
      <c r="F4712" s="22" t="s">
        <v>22368</v>
      </c>
      <c r="G4712" s="23">
        <v>2022.0</v>
      </c>
      <c r="H4712" s="22" t="s">
        <v>8884</v>
      </c>
      <c r="I4712" s="24" t="s">
        <v>22369</v>
      </c>
      <c r="J4712" s="22" t="s">
        <v>22370</v>
      </c>
      <c r="K4712" s="22" t="s">
        <v>22371</v>
      </c>
      <c r="L4712" s="52"/>
      <c r="M4712" s="52"/>
      <c r="N4712" s="52"/>
      <c r="O4712" s="52"/>
      <c r="P4712" s="189"/>
      <c r="Q4712" s="52"/>
      <c r="R4712" s="52"/>
      <c r="S4712" s="52" t="s">
        <v>22372</v>
      </c>
      <c r="T4712" s="54" t="s">
        <v>22373</v>
      </c>
      <c r="U4712" s="38" t="s">
        <v>61</v>
      </c>
      <c r="V4712" s="30"/>
      <c r="W4712" s="156"/>
      <c r="X4712" s="49"/>
      <c r="Y4712" s="35"/>
      <c r="Z4712" s="35"/>
      <c r="AA4712" s="35"/>
      <c r="AB4712" s="35"/>
      <c r="AC4712" s="35"/>
      <c r="AD4712" s="35"/>
      <c r="AE4712" s="35"/>
      <c r="AF4712" s="35"/>
      <c r="AG4712" s="35"/>
      <c r="AH4712" s="35"/>
      <c r="AI4712" s="35"/>
      <c r="AJ4712" s="35"/>
      <c r="AK4712" s="35"/>
      <c r="AL4712" s="35"/>
    </row>
    <row r="4713">
      <c r="A4713" s="40" t="s">
        <v>38</v>
      </c>
      <c r="B4713" s="75" t="s">
        <v>19332</v>
      </c>
      <c r="C4713" s="77" t="s">
        <v>18738</v>
      </c>
      <c r="D4713" s="47"/>
      <c r="E4713" s="22" t="s">
        <v>22374</v>
      </c>
      <c r="F4713" s="22" t="s">
        <v>2152</v>
      </c>
      <c r="G4713" s="23">
        <v>2022.0</v>
      </c>
      <c r="H4713" s="22" t="s">
        <v>8177</v>
      </c>
      <c r="I4713" s="24" t="s">
        <v>22375</v>
      </c>
      <c r="J4713" s="22" t="s">
        <v>22376</v>
      </c>
      <c r="K4713" s="22"/>
      <c r="L4713" s="52">
        <v>650.0</v>
      </c>
      <c r="M4713" s="52"/>
      <c r="N4713" s="52" t="s">
        <v>3855</v>
      </c>
      <c r="O4713" s="52"/>
      <c r="P4713" s="189" t="s">
        <v>22377</v>
      </c>
      <c r="Q4713" s="52" t="s">
        <v>22378</v>
      </c>
      <c r="R4713" s="52"/>
      <c r="S4713" s="52"/>
      <c r="T4713" s="54" t="s">
        <v>22379</v>
      </c>
      <c r="U4713" s="29" t="s">
        <v>61</v>
      </c>
      <c r="V4713" s="30" t="s">
        <v>22380</v>
      </c>
      <c r="W4713" s="156"/>
      <c r="X4713" s="49"/>
      <c r="Y4713" s="35"/>
      <c r="Z4713" s="35"/>
      <c r="AA4713" s="35"/>
      <c r="AB4713" s="35"/>
      <c r="AC4713" s="35"/>
      <c r="AD4713" s="35"/>
      <c r="AE4713" s="35"/>
      <c r="AF4713" s="35"/>
      <c r="AG4713" s="35"/>
      <c r="AH4713" s="35"/>
      <c r="AI4713" s="35"/>
      <c r="AJ4713" s="35"/>
      <c r="AK4713" s="35"/>
      <c r="AL4713" s="35"/>
    </row>
    <row r="4714">
      <c r="A4714" s="40"/>
      <c r="B4714" s="75" t="s">
        <v>19332</v>
      </c>
      <c r="C4714" s="77" t="s">
        <v>18738</v>
      </c>
      <c r="D4714" s="47"/>
      <c r="E4714" s="22" t="s">
        <v>22381</v>
      </c>
      <c r="F4714" s="22" t="s">
        <v>22382</v>
      </c>
      <c r="G4714" s="23">
        <v>2022.0</v>
      </c>
      <c r="H4714" s="22" t="s">
        <v>22383</v>
      </c>
      <c r="I4714" s="24" t="s">
        <v>22384</v>
      </c>
      <c r="J4714" s="22" t="s">
        <v>125</v>
      </c>
      <c r="K4714" s="22"/>
      <c r="L4714" s="53" t="s">
        <v>22385</v>
      </c>
      <c r="U4714" s="29" t="s">
        <v>61</v>
      </c>
      <c r="V4714" s="30"/>
      <c r="W4714" s="156"/>
      <c r="X4714" s="49"/>
      <c r="Y4714" s="35"/>
      <c r="Z4714" s="35"/>
      <c r="AA4714" s="35"/>
      <c r="AB4714" s="35"/>
      <c r="AC4714" s="35"/>
      <c r="AD4714" s="35"/>
      <c r="AE4714" s="35"/>
      <c r="AF4714" s="35"/>
      <c r="AG4714" s="35"/>
      <c r="AH4714" s="35"/>
      <c r="AI4714" s="35"/>
      <c r="AJ4714" s="35"/>
      <c r="AK4714" s="35"/>
      <c r="AL4714" s="35"/>
    </row>
    <row r="4715">
      <c r="A4715" s="40"/>
      <c r="B4715" s="75" t="s">
        <v>19332</v>
      </c>
      <c r="C4715" s="77" t="s">
        <v>18738</v>
      </c>
      <c r="D4715" s="47"/>
      <c r="E4715" s="22" t="s">
        <v>22386</v>
      </c>
      <c r="F4715" s="22" t="s">
        <v>41</v>
      </c>
      <c r="G4715" s="23">
        <v>2022.0</v>
      </c>
      <c r="H4715" s="22" t="s">
        <v>8177</v>
      </c>
      <c r="I4715" s="24" t="s">
        <v>22387</v>
      </c>
      <c r="J4715" s="22" t="s">
        <v>22388</v>
      </c>
      <c r="K4715" s="22" t="s">
        <v>22389</v>
      </c>
      <c r="L4715" s="52"/>
      <c r="M4715" s="52"/>
      <c r="N4715" s="52"/>
      <c r="O4715" s="52"/>
      <c r="P4715" s="189"/>
      <c r="Q4715" s="52"/>
      <c r="R4715" s="52"/>
      <c r="S4715" s="52"/>
      <c r="T4715" s="102" t="s">
        <v>22390</v>
      </c>
      <c r="U4715" s="29" t="s">
        <v>61</v>
      </c>
      <c r="V4715" s="30" t="s">
        <v>174</v>
      </c>
      <c r="W4715" s="156"/>
      <c r="X4715" s="49"/>
      <c r="Y4715" s="35"/>
      <c r="Z4715" s="35"/>
      <c r="AA4715" s="35"/>
      <c r="AB4715" s="35"/>
      <c r="AC4715" s="35"/>
      <c r="AD4715" s="35"/>
      <c r="AE4715" s="35"/>
      <c r="AF4715" s="35"/>
      <c r="AG4715" s="35"/>
      <c r="AH4715" s="35"/>
      <c r="AI4715" s="35"/>
      <c r="AJ4715" s="35"/>
      <c r="AK4715" s="35"/>
      <c r="AL4715" s="35"/>
    </row>
    <row r="4716">
      <c r="A4716" s="40" t="s">
        <v>38</v>
      </c>
      <c r="B4716" s="75" t="s">
        <v>19332</v>
      </c>
      <c r="C4716" s="77" t="s">
        <v>18738</v>
      </c>
      <c r="D4716" s="47"/>
      <c r="E4716" s="22" t="s">
        <v>22391</v>
      </c>
      <c r="F4716" s="22" t="s">
        <v>22392</v>
      </c>
      <c r="G4716" s="23">
        <v>2022.0</v>
      </c>
      <c r="H4716" s="22" t="s">
        <v>8884</v>
      </c>
      <c r="I4716" s="24" t="s">
        <v>22393</v>
      </c>
      <c r="J4716" s="22" t="s">
        <v>7505</v>
      </c>
      <c r="K4716" s="22"/>
      <c r="L4716" s="52">
        <v>635.0</v>
      </c>
      <c r="M4716" s="52">
        <v>100.0</v>
      </c>
      <c r="N4716" s="52"/>
      <c r="O4716" s="52"/>
      <c r="P4716" s="189" t="s">
        <v>254</v>
      </c>
      <c r="Q4716" s="52"/>
      <c r="R4716" s="52">
        <v>20.0</v>
      </c>
      <c r="S4716" s="52" t="s">
        <v>22394</v>
      </c>
      <c r="T4716" s="54" t="s">
        <v>22395</v>
      </c>
      <c r="U4716" s="29" t="s">
        <v>61</v>
      </c>
      <c r="V4716" s="30" t="s">
        <v>22396</v>
      </c>
      <c r="W4716" s="156"/>
      <c r="X4716" s="49"/>
      <c r="Y4716" s="35"/>
      <c r="Z4716" s="35"/>
      <c r="AA4716" s="35"/>
      <c r="AB4716" s="35"/>
      <c r="AC4716" s="35"/>
      <c r="AD4716" s="35"/>
      <c r="AE4716" s="35"/>
      <c r="AF4716" s="35"/>
      <c r="AG4716" s="35"/>
      <c r="AH4716" s="35"/>
      <c r="AI4716" s="35"/>
      <c r="AJ4716" s="35"/>
      <c r="AK4716" s="35"/>
      <c r="AL4716" s="35"/>
    </row>
    <row r="4717">
      <c r="A4717" s="40"/>
      <c r="B4717" s="75" t="s">
        <v>19332</v>
      </c>
      <c r="C4717" s="77" t="s">
        <v>18738</v>
      </c>
      <c r="D4717" s="47"/>
      <c r="E4717" s="22" t="s">
        <v>22397</v>
      </c>
      <c r="F4717" s="22" t="s">
        <v>18927</v>
      </c>
      <c r="G4717" s="23">
        <v>2022.0</v>
      </c>
      <c r="H4717" s="22" t="s">
        <v>1204</v>
      </c>
      <c r="I4717" s="24" t="s">
        <v>22398</v>
      </c>
      <c r="J4717" s="22" t="s">
        <v>22399</v>
      </c>
      <c r="K4717" s="22" t="s">
        <v>22400</v>
      </c>
      <c r="L4717" s="52" t="s">
        <v>22401</v>
      </c>
      <c r="M4717" s="52"/>
      <c r="N4717" s="52"/>
      <c r="O4717" s="52"/>
      <c r="P4717" s="189"/>
      <c r="Q4717" s="52"/>
      <c r="R4717" s="52"/>
      <c r="S4717" s="52"/>
      <c r="T4717" s="54" t="s">
        <v>22402</v>
      </c>
      <c r="U4717" s="29" t="s">
        <v>61</v>
      </c>
      <c r="V4717" s="30"/>
      <c r="W4717" s="156"/>
      <c r="X4717" s="49"/>
      <c r="Y4717" s="35"/>
      <c r="Z4717" s="35"/>
      <c r="AA4717" s="35"/>
      <c r="AB4717" s="35"/>
      <c r="AC4717" s="35"/>
      <c r="AD4717" s="35"/>
      <c r="AE4717" s="35"/>
      <c r="AF4717" s="35"/>
      <c r="AG4717" s="35"/>
      <c r="AH4717" s="35"/>
      <c r="AI4717" s="35"/>
      <c r="AJ4717" s="35"/>
      <c r="AK4717" s="35"/>
      <c r="AL4717" s="35"/>
    </row>
    <row r="4718">
      <c r="A4718" s="40"/>
      <c r="B4718" s="75" t="s">
        <v>19332</v>
      </c>
      <c r="C4718" s="77" t="s">
        <v>18738</v>
      </c>
      <c r="D4718" s="47"/>
      <c r="E4718" s="22" t="s">
        <v>22403</v>
      </c>
      <c r="F4718" s="22" t="s">
        <v>2028</v>
      </c>
      <c r="G4718" s="23">
        <v>2022.0</v>
      </c>
      <c r="H4718" s="22" t="s">
        <v>19235</v>
      </c>
      <c r="I4718" s="24" t="s">
        <v>22404</v>
      </c>
      <c r="J4718" s="22" t="s">
        <v>22405</v>
      </c>
      <c r="K4718" s="22"/>
      <c r="L4718" s="52">
        <v>980.0</v>
      </c>
      <c r="M4718" s="52">
        <v>1500.0</v>
      </c>
      <c r="N4718" s="52"/>
      <c r="O4718" s="52"/>
      <c r="P4718" s="189" t="s">
        <v>2366</v>
      </c>
      <c r="Q4718" s="52"/>
      <c r="R4718" s="52">
        <v>30.0</v>
      </c>
      <c r="S4718" s="52" t="s">
        <v>7612</v>
      </c>
      <c r="T4718" s="102" t="s">
        <v>22406</v>
      </c>
      <c r="U4718" s="29" t="s">
        <v>61</v>
      </c>
      <c r="V4718" s="30"/>
      <c r="W4718" s="156"/>
      <c r="X4718" s="49"/>
      <c r="Y4718" s="35"/>
      <c r="Z4718" s="35"/>
      <c r="AA4718" s="35"/>
      <c r="AB4718" s="35"/>
      <c r="AC4718" s="35"/>
      <c r="AD4718" s="35"/>
      <c r="AE4718" s="35"/>
      <c r="AF4718" s="35"/>
      <c r="AG4718" s="35"/>
      <c r="AH4718" s="35"/>
      <c r="AI4718" s="35"/>
      <c r="AJ4718" s="35"/>
      <c r="AK4718" s="35"/>
      <c r="AL4718" s="35"/>
    </row>
    <row r="4719">
      <c r="A4719" s="40"/>
      <c r="B4719" s="75" t="s">
        <v>19332</v>
      </c>
      <c r="C4719" s="77" t="s">
        <v>18738</v>
      </c>
      <c r="D4719" s="47"/>
      <c r="E4719" s="22" t="s">
        <v>22407</v>
      </c>
      <c r="F4719" s="22" t="s">
        <v>4448</v>
      </c>
      <c r="G4719" s="23">
        <v>2022.0</v>
      </c>
      <c r="H4719" s="22" t="s">
        <v>22408</v>
      </c>
      <c r="I4719" s="24" t="s">
        <v>22409</v>
      </c>
      <c r="J4719" s="22" t="s">
        <v>125</v>
      </c>
      <c r="K4719" s="22"/>
      <c r="L4719" s="173" t="s">
        <v>22410</v>
      </c>
      <c r="U4719" s="29" t="s">
        <v>61</v>
      </c>
      <c r="V4719" s="30"/>
      <c r="W4719" s="156"/>
      <c r="X4719" s="49"/>
      <c r="Y4719" s="35"/>
      <c r="Z4719" s="35"/>
      <c r="AA4719" s="35"/>
      <c r="AB4719" s="35"/>
      <c r="AC4719" s="35"/>
      <c r="AD4719" s="35"/>
      <c r="AE4719" s="35"/>
      <c r="AF4719" s="35"/>
      <c r="AG4719" s="35"/>
      <c r="AH4719" s="35"/>
      <c r="AI4719" s="35"/>
      <c r="AJ4719" s="35"/>
      <c r="AK4719" s="35"/>
      <c r="AL4719" s="35"/>
    </row>
    <row r="4720">
      <c r="A4720" s="40"/>
      <c r="B4720" s="75" t="s">
        <v>19332</v>
      </c>
      <c r="C4720" s="77" t="s">
        <v>18738</v>
      </c>
      <c r="D4720" s="47"/>
      <c r="E4720" s="22" t="s">
        <v>22411</v>
      </c>
      <c r="F4720" s="22" t="s">
        <v>1773</v>
      </c>
      <c r="G4720" s="23">
        <v>2022.0</v>
      </c>
      <c r="H4720" s="22" t="s">
        <v>20456</v>
      </c>
      <c r="I4720" s="24" t="s">
        <v>22412</v>
      </c>
      <c r="J4720" s="22" t="s">
        <v>125</v>
      </c>
      <c r="K4720" s="22"/>
      <c r="L4720" s="173" t="s">
        <v>22413</v>
      </c>
      <c r="U4720" s="29" t="s">
        <v>61</v>
      </c>
      <c r="V4720" s="30"/>
      <c r="W4720" s="156"/>
      <c r="X4720" s="49"/>
      <c r="Y4720" s="35"/>
      <c r="Z4720" s="35"/>
      <c r="AA4720" s="35"/>
      <c r="AB4720" s="35"/>
      <c r="AC4720" s="35"/>
      <c r="AD4720" s="35"/>
      <c r="AE4720" s="35"/>
      <c r="AF4720" s="35"/>
      <c r="AG4720" s="35"/>
      <c r="AH4720" s="35"/>
      <c r="AI4720" s="35"/>
      <c r="AJ4720" s="35"/>
      <c r="AK4720" s="35"/>
      <c r="AL4720" s="35"/>
    </row>
    <row r="4721">
      <c r="A4721" s="40"/>
      <c r="B4721" s="75" t="s">
        <v>19332</v>
      </c>
      <c r="C4721" s="77" t="s">
        <v>18738</v>
      </c>
      <c r="D4721" s="47"/>
      <c r="E4721" s="22" t="s">
        <v>3827</v>
      </c>
      <c r="F4721" s="22" t="s">
        <v>3351</v>
      </c>
      <c r="G4721" s="23">
        <v>2022.0</v>
      </c>
      <c r="H4721" s="22" t="s">
        <v>8177</v>
      </c>
      <c r="I4721" s="24" t="s">
        <v>22414</v>
      </c>
      <c r="J4721" s="22" t="s">
        <v>1078</v>
      </c>
      <c r="K4721" s="22"/>
      <c r="L4721" s="173" t="s">
        <v>22415</v>
      </c>
      <c r="U4721" s="29" t="s">
        <v>61</v>
      </c>
      <c r="V4721" s="30"/>
      <c r="W4721" s="156"/>
      <c r="X4721" s="49"/>
      <c r="Y4721" s="35"/>
      <c r="Z4721" s="35"/>
      <c r="AA4721" s="35"/>
      <c r="AB4721" s="35"/>
      <c r="AC4721" s="35"/>
      <c r="AD4721" s="35"/>
      <c r="AE4721" s="35"/>
      <c r="AF4721" s="35"/>
      <c r="AG4721" s="35"/>
      <c r="AH4721" s="35"/>
      <c r="AI4721" s="35"/>
      <c r="AJ4721" s="35"/>
      <c r="AK4721" s="35"/>
      <c r="AL4721" s="35"/>
    </row>
    <row r="4722">
      <c r="A4722" s="40"/>
      <c r="B4722" s="75" t="s">
        <v>19332</v>
      </c>
      <c r="C4722" s="77" t="s">
        <v>18738</v>
      </c>
      <c r="D4722" s="47"/>
      <c r="E4722" s="22" t="s">
        <v>4680</v>
      </c>
      <c r="F4722" s="22" t="s">
        <v>22416</v>
      </c>
      <c r="G4722" s="23">
        <v>2022.0</v>
      </c>
      <c r="H4722" s="22" t="s">
        <v>22417</v>
      </c>
      <c r="I4722" s="24" t="s">
        <v>22418</v>
      </c>
      <c r="J4722" s="22" t="s">
        <v>22419</v>
      </c>
      <c r="K4722" s="22" t="s">
        <v>22420</v>
      </c>
      <c r="L4722" s="52">
        <v>830.0</v>
      </c>
      <c r="M4722" s="52">
        <v>150.0</v>
      </c>
      <c r="N4722" s="52"/>
      <c r="O4722" s="52"/>
      <c r="P4722" s="189" t="s">
        <v>2366</v>
      </c>
      <c r="Q4722" s="52"/>
      <c r="R4722" s="52"/>
      <c r="S4722" s="52" t="s">
        <v>6403</v>
      </c>
      <c r="T4722" s="54" t="s">
        <v>22421</v>
      </c>
      <c r="U4722" s="29" t="s">
        <v>61</v>
      </c>
      <c r="V4722" s="30"/>
      <c r="W4722" s="156"/>
      <c r="X4722" s="49"/>
      <c r="Y4722" s="35"/>
      <c r="Z4722" s="35"/>
      <c r="AA4722" s="35"/>
      <c r="AB4722" s="35"/>
      <c r="AC4722" s="35"/>
      <c r="AD4722" s="35"/>
      <c r="AE4722" s="35"/>
      <c r="AF4722" s="35"/>
      <c r="AG4722" s="35"/>
      <c r="AH4722" s="35"/>
      <c r="AI4722" s="35"/>
      <c r="AJ4722" s="35"/>
      <c r="AK4722" s="35"/>
      <c r="AL4722" s="35"/>
    </row>
    <row r="4723">
      <c r="A4723" s="40" t="s">
        <v>38</v>
      </c>
      <c r="B4723" s="75" t="s">
        <v>19332</v>
      </c>
      <c r="C4723" s="77" t="s">
        <v>18738</v>
      </c>
      <c r="D4723" s="47"/>
      <c r="E4723" s="22" t="s">
        <v>18697</v>
      </c>
      <c r="F4723" s="22" t="s">
        <v>7945</v>
      </c>
      <c r="G4723" s="23">
        <v>2021.0</v>
      </c>
      <c r="H4723" s="22" t="s">
        <v>8177</v>
      </c>
      <c r="I4723" s="24" t="s">
        <v>22422</v>
      </c>
      <c r="J4723" s="22" t="s">
        <v>22423</v>
      </c>
      <c r="K4723" s="22" t="s">
        <v>22424</v>
      </c>
      <c r="L4723" s="52">
        <v>650.0</v>
      </c>
      <c r="M4723" s="52"/>
      <c r="N4723" s="52" t="s">
        <v>22425</v>
      </c>
      <c r="O4723" s="52"/>
      <c r="P4723" s="189" t="s">
        <v>22426</v>
      </c>
      <c r="Q4723" s="52"/>
      <c r="R4723" s="52"/>
      <c r="S4723" s="52" t="s">
        <v>22427</v>
      </c>
      <c r="T4723" s="54" t="s">
        <v>22428</v>
      </c>
      <c r="U4723" s="29" t="s">
        <v>61</v>
      </c>
      <c r="V4723" s="30"/>
      <c r="W4723" s="156"/>
      <c r="X4723" s="49"/>
      <c r="Y4723" s="35"/>
      <c r="Z4723" s="35"/>
      <c r="AA4723" s="35"/>
      <c r="AB4723" s="35"/>
      <c r="AC4723" s="35"/>
      <c r="AD4723" s="35"/>
      <c r="AE4723" s="35"/>
      <c r="AF4723" s="35"/>
      <c r="AG4723" s="35"/>
      <c r="AH4723" s="35"/>
      <c r="AI4723" s="35"/>
      <c r="AJ4723" s="35"/>
      <c r="AK4723" s="35"/>
      <c r="AL4723" s="35"/>
    </row>
    <row r="4724">
      <c r="A4724" s="40"/>
      <c r="B4724" s="75" t="s">
        <v>19332</v>
      </c>
      <c r="C4724" s="77" t="s">
        <v>18738</v>
      </c>
      <c r="D4724" s="47"/>
      <c r="E4724" s="22" t="s">
        <v>22304</v>
      </c>
      <c r="F4724" s="22" t="s">
        <v>41</v>
      </c>
      <c r="G4724" s="23">
        <v>2021.0</v>
      </c>
      <c r="H4724" s="22" t="s">
        <v>555</v>
      </c>
      <c r="I4724" s="24" t="s">
        <v>22429</v>
      </c>
      <c r="J4724" s="22" t="s">
        <v>8564</v>
      </c>
      <c r="K4724" s="22" t="s">
        <v>1240</v>
      </c>
      <c r="L4724" s="52">
        <v>660.0</v>
      </c>
      <c r="M4724" s="52">
        <v>40.0</v>
      </c>
      <c r="N4724" s="52">
        <v>1.0</v>
      </c>
      <c r="O4724" s="52" t="s">
        <v>22430</v>
      </c>
      <c r="P4724" s="189"/>
      <c r="Q4724" s="52" t="s">
        <v>19240</v>
      </c>
      <c r="R4724" s="52"/>
      <c r="S4724" s="52" t="s">
        <v>22431</v>
      </c>
      <c r="T4724" s="54" t="s">
        <v>22432</v>
      </c>
      <c r="U4724" s="29" t="s">
        <v>61</v>
      </c>
      <c r="V4724" s="30"/>
      <c r="W4724" s="156"/>
      <c r="X4724" s="49"/>
      <c r="Y4724" s="35"/>
      <c r="Z4724" s="35"/>
      <c r="AA4724" s="35"/>
      <c r="AB4724" s="35"/>
      <c r="AC4724" s="35"/>
      <c r="AD4724" s="35"/>
      <c r="AE4724" s="35"/>
      <c r="AF4724" s="35"/>
      <c r="AG4724" s="35"/>
      <c r="AH4724" s="35"/>
      <c r="AI4724" s="35"/>
      <c r="AJ4724" s="35"/>
      <c r="AK4724" s="35"/>
      <c r="AL4724" s="35"/>
    </row>
    <row r="4725">
      <c r="A4725" s="40"/>
      <c r="B4725" s="75" t="s">
        <v>19332</v>
      </c>
      <c r="C4725" s="77" t="s">
        <v>18738</v>
      </c>
      <c r="D4725" s="47"/>
      <c r="E4725" s="22" t="s">
        <v>22433</v>
      </c>
      <c r="F4725" s="22" t="s">
        <v>237</v>
      </c>
      <c r="G4725" s="23">
        <v>2021.0</v>
      </c>
      <c r="H4725" s="22" t="s">
        <v>77</v>
      </c>
      <c r="I4725" s="24" t="s">
        <v>22434</v>
      </c>
      <c r="J4725" s="22" t="s">
        <v>22435</v>
      </c>
      <c r="K4725" s="22" t="s">
        <v>22436</v>
      </c>
      <c r="L4725" s="52" t="s">
        <v>22437</v>
      </c>
      <c r="M4725" s="52"/>
      <c r="N4725" s="52"/>
      <c r="O4725" s="52"/>
      <c r="P4725" s="189"/>
      <c r="Q4725" s="52"/>
      <c r="R4725" s="52"/>
      <c r="S4725" s="52" t="s">
        <v>3233</v>
      </c>
      <c r="T4725" s="54" t="s">
        <v>22438</v>
      </c>
      <c r="U4725" s="29" t="s">
        <v>61</v>
      </c>
      <c r="V4725" s="30"/>
      <c r="W4725" s="156"/>
      <c r="X4725" s="49"/>
      <c r="Y4725" s="35"/>
      <c r="Z4725" s="35"/>
      <c r="AA4725" s="35"/>
      <c r="AB4725" s="35"/>
      <c r="AC4725" s="35"/>
      <c r="AD4725" s="35"/>
      <c r="AE4725" s="35"/>
      <c r="AF4725" s="35"/>
      <c r="AG4725" s="35"/>
      <c r="AH4725" s="35"/>
      <c r="AI4725" s="35"/>
      <c r="AJ4725" s="35"/>
      <c r="AK4725" s="35"/>
      <c r="AL4725" s="35"/>
    </row>
    <row r="4726">
      <c r="A4726" s="40" t="s">
        <v>38</v>
      </c>
      <c r="B4726" s="75" t="s">
        <v>19332</v>
      </c>
      <c r="C4726" s="77" t="s">
        <v>18738</v>
      </c>
      <c r="D4726" s="47"/>
      <c r="E4726" s="22" t="s">
        <v>18749</v>
      </c>
      <c r="F4726" s="22" t="s">
        <v>1102</v>
      </c>
      <c r="G4726" s="23">
        <v>2021.0</v>
      </c>
      <c r="H4726" s="22" t="s">
        <v>8177</v>
      </c>
      <c r="I4726" s="24" t="s">
        <v>22439</v>
      </c>
      <c r="J4726" s="22" t="s">
        <v>22440</v>
      </c>
      <c r="K4726" s="22" t="s">
        <v>22441</v>
      </c>
      <c r="L4726" s="52" t="s">
        <v>3031</v>
      </c>
      <c r="M4726" s="52" t="s">
        <v>22442</v>
      </c>
      <c r="N4726" s="52" t="s">
        <v>3911</v>
      </c>
      <c r="O4726" s="52" t="s">
        <v>58</v>
      </c>
      <c r="P4726" s="189" t="s">
        <v>969</v>
      </c>
      <c r="Q4726" s="52"/>
      <c r="R4726" s="52" t="s">
        <v>22443</v>
      </c>
      <c r="S4726" s="52" t="s">
        <v>22444</v>
      </c>
      <c r="T4726" s="102" t="s">
        <v>22445</v>
      </c>
      <c r="U4726" s="29" t="s">
        <v>61</v>
      </c>
      <c r="V4726" s="30"/>
      <c r="W4726" s="156"/>
      <c r="X4726" s="49"/>
      <c r="Y4726" s="35"/>
      <c r="Z4726" s="35"/>
      <c r="AA4726" s="35"/>
      <c r="AB4726" s="35"/>
      <c r="AC4726" s="35"/>
      <c r="AD4726" s="35"/>
      <c r="AE4726" s="35"/>
      <c r="AF4726" s="35"/>
      <c r="AG4726" s="35"/>
      <c r="AH4726" s="35"/>
      <c r="AI4726" s="35"/>
      <c r="AJ4726" s="35"/>
      <c r="AK4726" s="35"/>
      <c r="AL4726" s="35"/>
    </row>
    <row r="4727">
      <c r="A4727" s="40"/>
      <c r="B4727" s="75" t="s">
        <v>19332</v>
      </c>
      <c r="C4727" s="77" t="s">
        <v>18738</v>
      </c>
      <c r="D4727" s="47"/>
      <c r="E4727" s="22" t="s">
        <v>22446</v>
      </c>
      <c r="F4727" s="22" t="s">
        <v>451</v>
      </c>
      <c r="G4727" s="23">
        <v>2021.0</v>
      </c>
      <c r="H4727" s="22" t="s">
        <v>22447</v>
      </c>
      <c r="I4727" s="24" t="s">
        <v>22448</v>
      </c>
      <c r="J4727" s="22" t="s">
        <v>22449</v>
      </c>
      <c r="K4727" s="22"/>
      <c r="L4727" s="52">
        <v>630.0</v>
      </c>
      <c r="M4727" s="52">
        <v>30.0</v>
      </c>
      <c r="N4727" s="52"/>
      <c r="O4727" s="52"/>
      <c r="P4727" s="189" t="s">
        <v>269</v>
      </c>
      <c r="Q4727" s="52" t="s">
        <v>10853</v>
      </c>
      <c r="R4727" s="52"/>
      <c r="S4727" s="52" t="s">
        <v>11820</v>
      </c>
      <c r="T4727" s="54" t="s">
        <v>22450</v>
      </c>
      <c r="U4727" s="29" t="s">
        <v>61</v>
      </c>
      <c r="V4727" s="30"/>
      <c r="W4727" s="156"/>
      <c r="X4727" s="49"/>
      <c r="Y4727" s="35"/>
      <c r="Z4727" s="35"/>
      <c r="AA4727" s="35"/>
      <c r="AB4727" s="35"/>
      <c r="AC4727" s="35"/>
      <c r="AD4727" s="35"/>
      <c r="AE4727" s="35"/>
      <c r="AF4727" s="35"/>
      <c r="AG4727" s="35"/>
      <c r="AH4727" s="35"/>
      <c r="AI4727" s="35"/>
      <c r="AJ4727" s="35"/>
      <c r="AK4727" s="35"/>
      <c r="AL4727" s="35"/>
    </row>
    <row r="4728">
      <c r="A4728" s="40"/>
      <c r="B4728" s="75" t="s">
        <v>19332</v>
      </c>
      <c r="C4728" s="77" t="s">
        <v>18738</v>
      </c>
      <c r="D4728" s="47"/>
      <c r="E4728" s="22" t="s">
        <v>22451</v>
      </c>
      <c r="F4728" s="22" t="s">
        <v>22452</v>
      </c>
      <c r="G4728" s="23">
        <v>2021.0</v>
      </c>
      <c r="H4728" s="22" t="s">
        <v>18733</v>
      </c>
      <c r="I4728" s="24" t="s">
        <v>22453</v>
      </c>
      <c r="J4728" s="22" t="s">
        <v>125</v>
      </c>
      <c r="K4728" s="22"/>
      <c r="L4728" s="173" t="s">
        <v>22454</v>
      </c>
      <c r="U4728" s="29" t="s">
        <v>61</v>
      </c>
      <c r="V4728" s="30"/>
      <c r="W4728" s="156"/>
      <c r="X4728" s="49"/>
      <c r="Y4728" s="35"/>
      <c r="Z4728" s="35"/>
      <c r="AA4728" s="35"/>
      <c r="AB4728" s="35"/>
      <c r="AC4728" s="35"/>
      <c r="AD4728" s="35"/>
      <c r="AE4728" s="35"/>
      <c r="AF4728" s="35"/>
      <c r="AG4728" s="35"/>
      <c r="AH4728" s="35"/>
      <c r="AI4728" s="35"/>
      <c r="AJ4728" s="35"/>
      <c r="AK4728" s="35"/>
      <c r="AL4728" s="35"/>
    </row>
    <row r="4729">
      <c r="A4729" s="40"/>
      <c r="B4729" s="75" t="s">
        <v>19332</v>
      </c>
      <c r="C4729" s="77" t="s">
        <v>18738</v>
      </c>
      <c r="D4729" s="47"/>
      <c r="E4729" s="22" t="s">
        <v>5150</v>
      </c>
      <c r="F4729" s="22" t="s">
        <v>1905</v>
      </c>
      <c r="G4729" s="23">
        <v>2021.0</v>
      </c>
      <c r="H4729" s="22" t="s">
        <v>22455</v>
      </c>
      <c r="I4729" s="24" t="s">
        <v>22456</v>
      </c>
      <c r="J4729" s="22" t="s">
        <v>125</v>
      </c>
      <c r="K4729" s="22"/>
      <c r="L4729" s="173" t="s">
        <v>22457</v>
      </c>
      <c r="U4729" s="29" t="s">
        <v>22458</v>
      </c>
      <c r="V4729" s="30"/>
      <c r="W4729" s="156"/>
      <c r="X4729" s="49"/>
      <c r="Y4729" s="35"/>
      <c r="Z4729" s="35"/>
      <c r="AA4729" s="35"/>
      <c r="AB4729" s="35"/>
      <c r="AC4729" s="35"/>
      <c r="AD4729" s="35"/>
      <c r="AE4729" s="35"/>
      <c r="AF4729" s="35"/>
      <c r="AG4729" s="35"/>
      <c r="AH4729" s="35"/>
      <c r="AI4729" s="35"/>
      <c r="AJ4729" s="35"/>
      <c r="AK4729" s="35"/>
      <c r="AL4729" s="35"/>
    </row>
    <row r="4730">
      <c r="A4730" s="40"/>
      <c r="B4730" s="75" t="s">
        <v>19332</v>
      </c>
      <c r="C4730" s="77" t="s">
        <v>18738</v>
      </c>
      <c r="D4730" s="47"/>
      <c r="E4730" s="22" t="s">
        <v>22269</v>
      </c>
      <c r="F4730" s="22" t="s">
        <v>323</v>
      </c>
      <c r="G4730" s="23">
        <v>2021.0</v>
      </c>
      <c r="H4730" s="22" t="s">
        <v>147</v>
      </c>
      <c r="I4730" s="24" t="s">
        <v>22459</v>
      </c>
      <c r="J4730" s="22" t="s">
        <v>125</v>
      </c>
      <c r="K4730" s="22"/>
      <c r="L4730" s="173" t="s">
        <v>22460</v>
      </c>
      <c r="U4730" s="29" t="s">
        <v>61</v>
      </c>
      <c r="V4730" s="30"/>
      <c r="W4730" s="156"/>
      <c r="X4730" s="49"/>
      <c r="Y4730" s="35"/>
      <c r="Z4730" s="35"/>
      <c r="AA4730" s="35"/>
      <c r="AB4730" s="35"/>
      <c r="AC4730" s="35"/>
      <c r="AD4730" s="35"/>
      <c r="AE4730" s="35"/>
      <c r="AF4730" s="35"/>
      <c r="AG4730" s="35"/>
      <c r="AH4730" s="35"/>
      <c r="AI4730" s="35"/>
      <c r="AJ4730" s="35"/>
      <c r="AK4730" s="35"/>
      <c r="AL4730" s="35"/>
    </row>
    <row r="4731">
      <c r="A4731" s="40"/>
      <c r="B4731" s="75" t="s">
        <v>19332</v>
      </c>
      <c r="C4731" s="77" t="s">
        <v>18738</v>
      </c>
      <c r="D4731" s="47"/>
      <c r="E4731" s="22" t="s">
        <v>22461</v>
      </c>
      <c r="F4731" s="22" t="s">
        <v>41</v>
      </c>
      <c r="G4731" s="23">
        <v>2021.0</v>
      </c>
      <c r="H4731" s="22" t="s">
        <v>17640</v>
      </c>
      <c r="I4731" s="24" t="s">
        <v>22462</v>
      </c>
      <c r="J4731" s="22" t="s">
        <v>22463</v>
      </c>
      <c r="K4731" s="22"/>
      <c r="L4731" s="197"/>
      <c r="M4731" s="197"/>
      <c r="N4731" s="197"/>
      <c r="O4731" s="197"/>
      <c r="P4731" s="198"/>
      <c r="Q4731" s="197"/>
      <c r="R4731" s="197"/>
      <c r="S4731" s="197"/>
      <c r="T4731" s="214" t="s">
        <v>22464</v>
      </c>
      <c r="U4731" s="29" t="s">
        <v>61</v>
      </c>
      <c r="V4731" s="30"/>
      <c r="W4731" s="156"/>
      <c r="X4731" s="49"/>
      <c r="Y4731" s="35"/>
      <c r="Z4731" s="35"/>
      <c r="AA4731" s="35"/>
      <c r="AB4731" s="35"/>
      <c r="AC4731" s="35"/>
      <c r="AD4731" s="35"/>
      <c r="AE4731" s="35"/>
      <c r="AF4731" s="35"/>
      <c r="AG4731" s="35"/>
      <c r="AH4731" s="35"/>
      <c r="AI4731" s="35"/>
      <c r="AJ4731" s="35"/>
      <c r="AK4731" s="35"/>
      <c r="AL4731" s="35"/>
    </row>
    <row r="4732">
      <c r="A4732" s="40"/>
      <c r="B4732" s="75" t="s">
        <v>19332</v>
      </c>
      <c r="C4732" s="77" t="s">
        <v>18738</v>
      </c>
      <c r="D4732" s="47"/>
      <c r="E4732" s="22" t="s">
        <v>22465</v>
      </c>
      <c r="F4732" s="22" t="s">
        <v>22466</v>
      </c>
      <c r="G4732" s="23">
        <v>2021.0</v>
      </c>
      <c r="H4732" s="22" t="s">
        <v>22467</v>
      </c>
      <c r="I4732" s="24" t="s">
        <v>22468</v>
      </c>
      <c r="J4732" s="22" t="s">
        <v>1078</v>
      </c>
      <c r="K4732" s="22"/>
      <c r="L4732" s="173" t="s">
        <v>22469</v>
      </c>
      <c r="U4732" s="29" t="s">
        <v>61</v>
      </c>
      <c r="V4732" s="30"/>
      <c r="W4732" s="156"/>
      <c r="X4732" s="49"/>
      <c r="Y4732" s="35"/>
      <c r="Z4732" s="35"/>
      <c r="AA4732" s="35"/>
      <c r="AB4732" s="35"/>
      <c r="AC4732" s="35"/>
      <c r="AD4732" s="35"/>
      <c r="AE4732" s="35"/>
      <c r="AF4732" s="35"/>
      <c r="AG4732" s="35"/>
      <c r="AH4732" s="35"/>
      <c r="AI4732" s="35"/>
      <c r="AJ4732" s="35"/>
      <c r="AK4732" s="35"/>
      <c r="AL4732" s="35"/>
    </row>
    <row r="4733">
      <c r="A4733" s="40"/>
      <c r="B4733" s="75" t="s">
        <v>19332</v>
      </c>
      <c r="C4733" s="77" t="s">
        <v>18738</v>
      </c>
      <c r="D4733" s="47"/>
      <c r="E4733" s="22" t="s">
        <v>22470</v>
      </c>
      <c r="F4733" s="22" t="s">
        <v>2445</v>
      </c>
      <c r="G4733" s="23">
        <v>2021.0</v>
      </c>
      <c r="H4733" s="22" t="s">
        <v>22471</v>
      </c>
      <c r="I4733" s="24" t="s">
        <v>22472</v>
      </c>
      <c r="J4733" s="22" t="s">
        <v>22473</v>
      </c>
      <c r="K4733" s="22"/>
      <c r="L4733" s="173" t="s">
        <v>22474</v>
      </c>
      <c r="U4733" s="29" t="s">
        <v>61</v>
      </c>
      <c r="V4733" s="30"/>
      <c r="W4733" s="156"/>
      <c r="X4733" s="49"/>
      <c r="Y4733" s="35"/>
      <c r="Z4733" s="35"/>
      <c r="AA4733" s="35"/>
      <c r="AB4733" s="35"/>
      <c r="AC4733" s="35"/>
      <c r="AD4733" s="35"/>
      <c r="AE4733" s="35"/>
      <c r="AF4733" s="35"/>
      <c r="AG4733" s="35"/>
      <c r="AH4733" s="35"/>
      <c r="AI4733" s="35"/>
      <c r="AJ4733" s="35"/>
      <c r="AK4733" s="35"/>
      <c r="AL4733" s="35"/>
    </row>
    <row r="4734">
      <c r="A4734" s="40"/>
      <c r="B4734" s="75" t="s">
        <v>19332</v>
      </c>
      <c r="C4734" s="77" t="s">
        <v>18738</v>
      </c>
      <c r="D4734" s="47"/>
      <c r="E4734" s="22" t="s">
        <v>22475</v>
      </c>
      <c r="F4734" s="22" t="s">
        <v>4697</v>
      </c>
      <c r="G4734" s="23">
        <v>2021.0</v>
      </c>
      <c r="H4734" s="22" t="s">
        <v>15946</v>
      </c>
      <c r="I4734" s="24" t="s">
        <v>22476</v>
      </c>
      <c r="J4734" s="22" t="s">
        <v>1078</v>
      </c>
      <c r="K4734" s="22"/>
      <c r="L4734" s="173" t="s">
        <v>22477</v>
      </c>
      <c r="U4734" s="29" t="s">
        <v>61</v>
      </c>
      <c r="V4734" s="30"/>
      <c r="W4734" s="156"/>
      <c r="X4734" s="49"/>
      <c r="Y4734" s="35"/>
      <c r="Z4734" s="35"/>
      <c r="AA4734" s="35"/>
      <c r="AB4734" s="35"/>
      <c r="AC4734" s="35"/>
      <c r="AD4734" s="35"/>
      <c r="AE4734" s="35"/>
      <c r="AF4734" s="35"/>
      <c r="AG4734" s="35"/>
      <c r="AH4734" s="35"/>
      <c r="AI4734" s="35"/>
      <c r="AJ4734" s="35"/>
      <c r="AK4734" s="35"/>
      <c r="AL4734" s="35"/>
    </row>
    <row r="4735">
      <c r="A4735" s="40"/>
      <c r="B4735" s="75" t="s">
        <v>19332</v>
      </c>
      <c r="C4735" s="77" t="s">
        <v>18738</v>
      </c>
      <c r="D4735" s="47"/>
      <c r="E4735" s="22" t="s">
        <v>18821</v>
      </c>
      <c r="F4735" s="22" t="s">
        <v>22478</v>
      </c>
      <c r="G4735" s="23">
        <v>2021.0</v>
      </c>
      <c r="H4735" s="22" t="s">
        <v>12502</v>
      </c>
      <c r="I4735" s="24" t="s">
        <v>22479</v>
      </c>
      <c r="J4735" s="22" t="s">
        <v>22480</v>
      </c>
      <c r="K4735" s="22"/>
      <c r="L4735" s="53" t="s">
        <v>22481</v>
      </c>
      <c r="U4735" s="29" t="s">
        <v>61</v>
      </c>
      <c r="V4735" s="30"/>
      <c r="W4735" s="156"/>
      <c r="X4735" s="49"/>
      <c r="Y4735" s="35"/>
      <c r="Z4735" s="35"/>
      <c r="AA4735" s="35"/>
      <c r="AB4735" s="35"/>
      <c r="AC4735" s="35"/>
      <c r="AD4735" s="35"/>
      <c r="AE4735" s="35"/>
      <c r="AF4735" s="35"/>
      <c r="AG4735" s="35"/>
      <c r="AH4735" s="35"/>
      <c r="AI4735" s="35"/>
      <c r="AJ4735" s="35"/>
      <c r="AK4735" s="35"/>
      <c r="AL4735" s="35"/>
    </row>
    <row r="4736">
      <c r="A4736" s="40"/>
      <c r="B4736" s="75" t="s">
        <v>19332</v>
      </c>
      <c r="C4736" s="77" t="s">
        <v>18738</v>
      </c>
      <c r="D4736" s="47"/>
      <c r="E4736" s="22" t="s">
        <v>22482</v>
      </c>
      <c r="F4736" s="22" t="s">
        <v>41</v>
      </c>
      <c r="G4736" s="23">
        <v>2021.0</v>
      </c>
      <c r="H4736" s="22" t="s">
        <v>8177</v>
      </c>
      <c r="I4736" s="24" t="s">
        <v>22483</v>
      </c>
      <c r="J4736" s="22" t="s">
        <v>22484</v>
      </c>
      <c r="K4736" s="22" t="s">
        <v>22485</v>
      </c>
      <c r="L4736" s="52" t="s">
        <v>22486</v>
      </c>
      <c r="M4736" s="52" t="s">
        <v>22487</v>
      </c>
      <c r="N4736" s="52"/>
      <c r="O4736" s="52"/>
      <c r="P4736" s="189"/>
      <c r="Q4736" s="52" t="s">
        <v>22488</v>
      </c>
      <c r="R4736" s="52" t="s">
        <v>22489</v>
      </c>
      <c r="S4736" s="52" t="s">
        <v>22490</v>
      </c>
      <c r="T4736" s="54" t="s">
        <v>22491</v>
      </c>
      <c r="U4736" s="29" t="s">
        <v>61</v>
      </c>
      <c r="V4736" s="30"/>
      <c r="W4736" s="156"/>
      <c r="X4736" s="49"/>
      <c r="Y4736" s="35"/>
      <c r="Z4736" s="35"/>
      <c r="AA4736" s="35"/>
      <c r="AB4736" s="35"/>
      <c r="AC4736" s="35"/>
      <c r="AD4736" s="35"/>
      <c r="AE4736" s="35"/>
      <c r="AF4736" s="35"/>
      <c r="AG4736" s="35"/>
      <c r="AH4736" s="35"/>
      <c r="AI4736" s="35"/>
      <c r="AJ4736" s="35"/>
      <c r="AK4736" s="35"/>
      <c r="AL4736" s="35"/>
    </row>
    <row r="4737">
      <c r="A4737" s="40"/>
      <c r="B4737" s="75" t="s">
        <v>19332</v>
      </c>
      <c r="C4737" s="77" t="s">
        <v>18738</v>
      </c>
      <c r="D4737" s="47"/>
      <c r="E4737" s="22" t="s">
        <v>835</v>
      </c>
      <c r="F4737" s="22" t="s">
        <v>18291</v>
      </c>
      <c r="G4737" s="23">
        <v>2021.0</v>
      </c>
      <c r="H4737" s="22" t="s">
        <v>22492</v>
      </c>
      <c r="I4737" s="24" t="s">
        <v>22493</v>
      </c>
      <c r="J4737" s="22" t="s">
        <v>22494</v>
      </c>
      <c r="K4737" s="22" t="s">
        <v>22495</v>
      </c>
      <c r="L4737" s="52">
        <v>660.0</v>
      </c>
      <c r="M4737" s="52">
        <v>100.0</v>
      </c>
      <c r="N4737" s="52"/>
      <c r="O4737" s="52" t="s">
        <v>22496</v>
      </c>
      <c r="P4737" s="189"/>
      <c r="Q4737" s="52"/>
      <c r="R4737" s="52" t="s">
        <v>22497</v>
      </c>
      <c r="S4737" s="52" t="s">
        <v>22498</v>
      </c>
      <c r="T4737" s="102" t="s">
        <v>22499</v>
      </c>
      <c r="U4737" s="29" t="s">
        <v>61</v>
      </c>
      <c r="V4737" s="30"/>
      <c r="W4737" s="156"/>
      <c r="X4737" s="49"/>
      <c r="Y4737" s="35"/>
      <c r="Z4737" s="35"/>
      <c r="AA4737" s="35"/>
      <c r="AB4737" s="35"/>
      <c r="AC4737" s="35"/>
      <c r="AD4737" s="35"/>
      <c r="AE4737" s="35"/>
      <c r="AF4737" s="35"/>
      <c r="AG4737" s="35"/>
      <c r="AH4737" s="35"/>
      <c r="AI4737" s="35"/>
      <c r="AJ4737" s="35"/>
      <c r="AK4737" s="35"/>
      <c r="AL4737" s="35"/>
    </row>
    <row r="4738">
      <c r="A4738" s="40"/>
      <c r="B4738" s="75" t="s">
        <v>19332</v>
      </c>
      <c r="C4738" s="77" t="s">
        <v>18738</v>
      </c>
      <c r="D4738" s="47"/>
      <c r="E4738" s="22" t="s">
        <v>22500</v>
      </c>
      <c r="F4738" s="22" t="s">
        <v>18291</v>
      </c>
      <c r="G4738" s="23">
        <v>2021.0</v>
      </c>
      <c r="H4738" s="22" t="s">
        <v>8177</v>
      </c>
      <c r="I4738" s="24" t="s">
        <v>22501</v>
      </c>
      <c r="J4738" s="22" t="s">
        <v>22502</v>
      </c>
      <c r="K4738" s="22" t="s">
        <v>22503</v>
      </c>
      <c r="L4738" s="52" t="s">
        <v>22504</v>
      </c>
      <c r="M4738" s="52" t="s">
        <v>22505</v>
      </c>
      <c r="N4738" s="52"/>
      <c r="O4738" s="52" t="s">
        <v>22506</v>
      </c>
      <c r="P4738" s="189" t="s">
        <v>22507</v>
      </c>
      <c r="Q4738" s="52" t="s">
        <v>22508</v>
      </c>
      <c r="R4738" s="52" t="s">
        <v>22509</v>
      </c>
      <c r="S4738" s="52" t="s">
        <v>3478</v>
      </c>
      <c r="T4738" s="54" t="s">
        <v>22510</v>
      </c>
      <c r="U4738" s="29" t="s">
        <v>61</v>
      </c>
      <c r="V4738" s="30"/>
      <c r="W4738" s="156"/>
      <c r="X4738" s="49"/>
      <c r="Y4738" s="35"/>
      <c r="Z4738" s="35"/>
      <c r="AA4738" s="35"/>
      <c r="AB4738" s="35"/>
      <c r="AC4738" s="35"/>
      <c r="AD4738" s="35"/>
      <c r="AE4738" s="35"/>
      <c r="AF4738" s="35"/>
      <c r="AG4738" s="35"/>
      <c r="AH4738" s="35"/>
      <c r="AI4738" s="35"/>
      <c r="AJ4738" s="35"/>
      <c r="AK4738" s="35"/>
      <c r="AL4738" s="35"/>
    </row>
    <row r="4739">
      <c r="A4739" s="40"/>
      <c r="B4739" s="75" t="s">
        <v>19332</v>
      </c>
      <c r="C4739" s="77" t="s">
        <v>18738</v>
      </c>
      <c r="D4739" s="47"/>
      <c r="E4739" s="22" t="s">
        <v>22511</v>
      </c>
      <c r="F4739" s="22" t="s">
        <v>41</v>
      </c>
      <c r="G4739" s="23">
        <v>2021.0</v>
      </c>
      <c r="H4739" s="22" t="s">
        <v>8177</v>
      </c>
      <c r="I4739" s="24" t="s">
        <v>22512</v>
      </c>
      <c r="J4739" s="22" t="s">
        <v>22513</v>
      </c>
      <c r="K4739" s="22"/>
      <c r="L4739" s="52" t="s">
        <v>22490</v>
      </c>
      <c r="M4739" s="52"/>
      <c r="N4739" s="52"/>
      <c r="O4739" s="52"/>
      <c r="P4739" s="189"/>
      <c r="Q4739" s="52"/>
      <c r="R4739" s="52"/>
      <c r="S4739" s="52" t="s">
        <v>3478</v>
      </c>
      <c r="T4739" s="54" t="s">
        <v>22514</v>
      </c>
      <c r="U4739" s="38" t="s">
        <v>61</v>
      </c>
      <c r="V4739" s="30"/>
      <c r="W4739" s="156"/>
      <c r="X4739" s="49"/>
      <c r="Y4739" s="35"/>
      <c r="Z4739" s="35"/>
      <c r="AA4739" s="35"/>
      <c r="AB4739" s="35"/>
      <c r="AC4739" s="35"/>
      <c r="AD4739" s="35"/>
      <c r="AE4739" s="35"/>
      <c r="AF4739" s="35"/>
      <c r="AG4739" s="35"/>
      <c r="AH4739" s="35"/>
      <c r="AI4739" s="35"/>
      <c r="AJ4739" s="35"/>
      <c r="AK4739" s="35"/>
      <c r="AL4739" s="35"/>
    </row>
    <row r="4740">
      <c r="A4740" s="40"/>
      <c r="B4740" s="75" t="s">
        <v>19332</v>
      </c>
      <c r="C4740" s="77" t="s">
        <v>18738</v>
      </c>
      <c r="D4740" s="47"/>
      <c r="E4740" s="22" t="s">
        <v>22515</v>
      </c>
      <c r="F4740" s="22" t="s">
        <v>183</v>
      </c>
      <c r="G4740" s="23">
        <v>2021.0</v>
      </c>
      <c r="H4740" s="22" t="s">
        <v>14630</v>
      </c>
      <c r="I4740" s="24" t="s">
        <v>22516</v>
      </c>
      <c r="J4740" s="22" t="s">
        <v>22517</v>
      </c>
      <c r="K4740" s="22"/>
      <c r="L4740" s="52">
        <v>660.0</v>
      </c>
      <c r="M4740" s="52"/>
      <c r="N4740" s="52"/>
      <c r="O4740" s="52"/>
      <c r="P4740" s="189"/>
      <c r="Q4740" s="52"/>
      <c r="R4740" s="52"/>
      <c r="S4740" s="52" t="s">
        <v>22518</v>
      </c>
      <c r="T4740" s="54" t="s">
        <v>22519</v>
      </c>
      <c r="U4740" s="29" t="s">
        <v>61</v>
      </c>
      <c r="V4740" s="30"/>
      <c r="W4740" s="156"/>
      <c r="X4740" s="49"/>
      <c r="Y4740" s="35"/>
      <c r="Z4740" s="35"/>
      <c r="AA4740" s="35"/>
      <c r="AB4740" s="35"/>
      <c r="AC4740" s="35"/>
      <c r="AD4740" s="35"/>
      <c r="AE4740" s="35"/>
      <c r="AF4740" s="35"/>
      <c r="AG4740" s="35"/>
      <c r="AH4740" s="35"/>
      <c r="AI4740" s="35"/>
      <c r="AJ4740" s="35"/>
      <c r="AK4740" s="35"/>
      <c r="AL4740" s="35"/>
    </row>
    <row r="4741">
      <c r="A4741" s="40"/>
      <c r="B4741" s="75" t="s">
        <v>19332</v>
      </c>
      <c r="C4741" s="77" t="s">
        <v>18738</v>
      </c>
      <c r="D4741" s="47"/>
      <c r="E4741" s="22" t="s">
        <v>4403</v>
      </c>
      <c r="F4741" s="22" t="s">
        <v>206</v>
      </c>
      <c r="G4741" s="23">
        <v>2021.0</v>
      </c>
      <c r="H4741" s="22" t="s">
        <v>22520</v>
      </c>
      <c r="I4741" s="24" t="s">
        <v>22521</v>
      </c>
      <c r="J4741" s="22" t="s">
        <v>8451</v>
      </c>
      <c r="K4741" s="22"/>
      <c r="L4741" s="173" t="s">
        <v>22522</v>
      </c>
      <c r="U4741" s="29" t="s">
        <v>61</v>
      </c>
      <c r="V4741" s="30"/>
      <c r="W4741" s="156"/>
      <c r="X4741" s="49"/>
      <c r="Y4741" s="35"/>
      <c r="Z4741" s="35"/>
      <c r="AA4741" s="35"/>
      <c r="AB4741" s="35"/>
      <c r="AC4741" s="35"/>
      <c r="AD4741" s="35"/>
      <c r="AE4741" s="35"/>
      <c r="AF4741" s="35"/>
      <c r="AG4741" s="35"/>
      <c r="AH4741" s="35"/>
      <c r="AI4741" s="35"/>
      <c r="AJ4741" s="35"/>
      <c r="AK4741" s="35"/>
      <c r="AL4741" s="35"/>
    </row>
    <row r="4742">
      <c r="A4742" s="40"/>
      <c r="B4742" s="75" t="s">
        <v>19332</v>
      </c>
      <c r="C4742" s="77" t="s">
        <v>18738</v>
      </c>
      <c r="D4742" s="47"/>
      <c r="E4742" s="22" t="s">
        <v>22461</v>
      </c>
      <c r="F4742" s="22" t="s">
        <v>41</v>
      </c>
      <c r="G4742" s="23">
        <v>2020.0</v>
      </c>
      <c r="H4742" s="22" t="s">
        <v>8177</v>
      </c>
      <c r="I4742" s="24" t="s">
        <v>22523</v>
      </c>
      <c r="J4742" s="22" t="s">
        <v>125</v>
      </c>
      <c r="K4742" s="22" t="s">
        <v>22524</v>
      </c>
      <c r="L4742" s="188" t="s">
        <v>22525</v>
      </c>
      <c r="U4742" s="29" t="s">
        <v>61</v>
      </c>
      <c r="V4742" s="30"/>
      <c r="W4742" s="156"/>
      <c r="X4742" s="49"/>
      <c r="Y4742" s="35"/>
      <c r="Z4742" s="35"/>
      <c r="AA4742" s="35"/>
      <c r="AB4742" s="35"/>
      <c r="AC4742" s="35"/>
      <c r="AD4742" s="35"/>
      <c r="AE4742" s="35"/>
      <c r="AF4742" s="35"/>
      <c r="AG4742" s="35"/>
      <c r="AH4742" s="35"/>
      <c r="AI4742" s="35"/>
      <c r="AJ4742" s="35"/>
      <c r="AK4742" s="35"/>
      <c r="AL4742" s="35"/>
    </row>
    <row r="4743">
      <c r="A4743" s="40"/>
      <c r="B4743" s="75" t="s">
        <v>19332</v>
      </c>
      <c r="C4743" s="77" t="s">
        <v>18738</v>
      </c>
      <c r="D4743" s="47"/>
      <c r="E4743" s="22" t="s">
        <v>10615</v>
      </c>
      <c r="F4743" s="22" t="s">
        <v>41</v>
      </c>
      <c r="G4743" s="23">
        <v>2020.0</v>
      </c>
      <c r="H4743" s="22" t="s">
        <v>147</v>
      </c>
      <c r="I4743" s="24" t="s">
        <v>22526</v>
      </c>
      <c r="J4743" s="22" t="s">
        <v>8564</v>
      </c>
      <c r="K4743" s="22"/>
      <c r="L4743" s="52">
        <v>635.0</v>
      </c>
      <c r="M4743" s="52">
        <v>120.0</v>
      </c>
      <c r="N4743" s="52"/>
      <c r="O4743" s="52" t="s">
        <v>11659</v>
      </c>
      <c r="P4743" s="189"/>
      <c r="Q4743" s="52"/>
      <c r="R4743" s="52"/>
      <c r="S4743" s="52"/>
      <c r="T4743" s="54" t="s">
        <v>22527</v>
      </c>
      <c r="U4743" s="29" t="s">
        <v>61</v>
      </c>
      <c r="V4743" s="30"/>
      <c r="W4743" s="156"/>
      <c r="X4743" s="49"/>
      <c r="Y4743" s="35"/>
      <c r="Z4743" s="35"/>
      <c r="AA4743" s="35"/>
      <c r="AB4743" s="35"/>
      <c r="AC4743" s="35"/>
      <c r="AD4743" s="35"/>
      <c r="AE4743" s="35"/>
      <c r="AF4743" s="35"/>
      <c r="AG4743" s="35"/>
      <c r="AH4743" s="35"/>
      <c r="AI4743" s="35"/>
      <c r="AJ4743" s="35"/>
      <c r="AK4743" s="35"/>
      <c r="AL4743" s="35"/>
    </row>
    <row r="4744">
      <c r="A4744" s="40"/>
      <c r="B4744" s="75" t="s">
        <v>19332</v>
      </c>
      <c r="C4744" s="77" t="s">
        <v>18738</v>
      </c>
      <c r="D4744" s="47"/>
      <c r="E4744" s="22" t="s">
        <v>109</v>
      </c>
      <c r="F4744" s="22" t="s">
        <v>21765</v>
      </c>
      <c r="G4744" s="23">
        <v>2020.0</v>
      </c>
      <c r="H4744" s="22" t="s">
        <v>91</v>
      </c>
      <c r="I4744" s="24" t="s">
        <v>22528</v>
      </c>
      <c r="J4744" s="22" t="s">
        <v>22529</v>
      </c>
      <c r="K4744" s="22"/>
      <c r="L4744" s="52">
        <v>660.0</v>
      </c>
      <c r="M4744" s="52">
        <v>25.0</v>
      </c>
      <c r="N4744" s="52"/>
      <c r="O4744" s="52" t="s">
        <v>22530</v>
      </c>
      <c r="P4744" s="189" t="s">
        <v>447</v>
      </c>
      <c r="Q4744" s="52"/>
      <c r="R4744" s="52" t="s">
        <v>22531</v>
      </c>
      <c r="S4744" s="52" t="s">
        <v>22532</v>
      </c>
      <c r="T4744" s="54" t="s">
        <v>22533</v>
      </c>
      <c r="U4744" s="29" t="s">
        <v>61</v>
      </c>
      <c r="V4744" s="30"/>
      <c r="W4744" s="156"/>
      <c r="X4744" s="49"/>
      <c r="Y4744" s="35"/>
      <c r="Z4744" s="35"/>
      <c r="AA4744" s="35"/>
      <c r="AB4744" s="35"/>
      <c r="AC4744" s="35"/>
      <c r="AD4744" s="35"/>
      <c r="AE4744" s="35"/>
      <c r="AF4744" s="35"/>
      <c r="AG4744" s="35"/>
      <c r="AH4744" s="35"/>
      <c r="AI4744" s="35"/>
      <c r="AJ4744" s="35"/>
      <c r="AK4744" s="35"/>
      <c r="AL4744" s="35"/>
    </row>
    <row r="4745">
      <c r="A4745" s="40"/>
      <c r="B4745" s="75" t="s">
        <v>19332</v>
      </c>
      <c r="C4745" s="77" t="s">
        <v>18738</v>
      </c>
      <c r="D4745" s="47"/>
      <c r="E4745" s="22" t="s">
        <v>109</v>
      </c>
      <c r="F4745" s="22" t="s">
        <v>21765</v>
      </c>
      <c r="G4745" s="23">
        <v>2020.0</v>
      </c>
      <c r="H4745" s="22" t="s">
        <v>53</v>
      </c>
      <c r="I4745" s="24" t="s">
        <v>22534</v>
      </c>
      <c r="J4745" s="22" t="s">
        <v>22535</v>
      </c>
      <c r="K4745" s="22"/>
      <c r="L4745" s="52">
        <v>660.0</v>
      </c>
      <c r="M4745" s="52">
        <v>25.0</v>
      </c>
      <c r="N4745" s="52"/>
      <c r="O4745" s="52" t="s">
        <v>22530</v>
      </c>
      <c r="P4745" s="189" t="s">
        <v>447</v>
      </c>
      <c r="Q4745" s="52"/>
      <c r="R4745" s="52"/>
      <c r="S4745" s="52" t="s">
        <v>22536</v>
      </c>
      <c r="T4745" s="102" t="s">
        <v>22537</v>
      </c>
      <c r="U4745" s="29" t="s">
        <v>61</v>
      </c>
      <c r="V4745" s="30"/>
      <c r="W4745" s="156"/>
      <c r="X4745" s="49"/>
      <c r="Y4745" s="35"/>
      <c r="Z4745" s="35"/>
      <c r="AA4745" s="35"/>
      <c r="AB4745" s="35"/>
      <c r="AC4745" s="35"/>
      <c r="AD4745" s="35"/>
      <c r="AE4745" s="35"/>
      <c r="AF4745" s="35"/>
      <c r="AG4745" s="35"/>
      <c r="AH4745" s="35"/>
      <c r="AI4745" s="35"/>
      <c r="AJ4745" s="35"/>
      <c r="AK4745" s="35"/>
      <c r="AL4745" s="35"/>
    </row>
    <row r="4746">
      <c r="A4746" s="40"/>
      <c r="B4746" s="75" t="s">
        <v>19332</v>
      </c>
      <c r="C4746" s="77" t="s">
        <v>18738</v>
      </c>
      <c r="D4746" s="47"/>
      <c r="E4746" s="22" t="s">
        <v>10615</v>
      </c>
      <c r="F4746" s="22" t="s">
        <v>41</v>
      </c>
      <c r="G4746" s="23">
        <v>2020.0</v>
      </c>
      <c r="H4746" s="22" t="s">
        <v>8177</v>
      </c>
      <c r="I4746" s="24" t="s">
        <v>22538</v>
      </c>
      <c r="J4746" s="22" t="s">
        <v>1078</v>
      </c>
      <c r="K4746" s="22"/>
      <c r="L4746" s="173" t="s">
        <v>22539</v>
      </c>
      <c r="U4746" s="29" t="s">
        <v>61</v>
      </c>
      <c r="V4746" s="30"/>
      <c r="W4746" s="156"/>
      <c r="X4746" s="49"/>
      <c r="Y4746" s="35"/>
      <c r="Z4746" s="35"/>
      <c r="AA4746" s="35"/>
      <c r="AB4746" s="35"/>
      <c r="AC4746" s="35"/>
      <c r="AD4746" s="35"/>
      <c r="AE4746" s="35"/>
      <c r="AF4746" s="35"/>
      <c r="AG4746" s="35"/>
      <c r="AH4746" s="35"/>
      <c r="AI4746" s="35"/>
      <c r="AJ4746" s="35"/>
      <c r="AK4746" s="35"/>
      <c r="AL4746" s="35"/>
    </row>
    <row r="4747">
      <c r="A4747" s="278" t="s">
        <v>38</v>
      </c>
      <c r="B4747" s="75" t="s">
        <v>19332</v>
      </c>
      <c r="C4747" s="77" t="s">
        <v>18738</v>
      </c>
      <c r="D4747" s="47"/>
      <c r="E4747" s="22" t="s">
        <v>18818</v>
      </c>
      <c r="F4747" s="22" t="s">
        <v>41</v>
      </c>
      <c r="G4747" s="23">
        <v>2020.0</v>
      </c>
      <c r="H4747" s="22" t="s">
        <v>8177</v>
      </c>
      <c r="I4747" s="24" t="s">
        <v>22540</v>
      </c>
      <c r="J4747" s="22" t="s">
        <v>3887</v>
      </c>
      <c r="K4747" s="22"/>
      <c r="L4747" s="173" t="s">
        <v>22541</v>
      </c>
      <c r="U4747" s="29" t="s">
        <v>61</v>
      </c>
      <c r="V4747" s="30"/>
      <c r="W4747" s="156"/>
      <c r="X4747" s="49"/>
      <c r="Y4747" s="35"/>
      <c r="Z4747" s="35"/>
      <c r="AA4747" s="35"/>
      <c r="AB4747" s="35"/>
      <c r="AC4747" s="35"/>
      <c r="AD4747" s="35"/>
      <c r="AE4747" s="35"/>
      <c r="AF4747" s="35"/>
      <c r="AG4747" s="35"/>
      <c r="AH4747" s="35"/>
      <c r="AI4747" s="35"/>
      <c r="AJ4747" s="35"/>
      <c r="AK4747" s="35"/>
      <c r="AL4747" s="35"/>
    </row>
    <row r="4748">
      <c r="A4748" s="40"/>
      <c r="B4748" s="75" t="s">
        <v>19332</v>
      </c>
      <c r="C4748" s="77" t="s">
        <v>18738</v>
      </c>
      <c r="D4748" s="47"/>
      <c r="E4748" s="22" t="s">
        <v>539</v>
      </c>
      <c r="F4748" s="22" t="s">
        <v>540</v>
      </c>
      <c r="G4748" s="23">
        <v>2020.0</v>
      </c>
      <c r="H4748" s="22" t="s">
        <v>22542</v>
      </c>
      <c r="I4748" s="24" t="s">
        <v>22543</v>
      </c>
      <c r="J4748" s="22" t="s">
        <v>125</v>
      </c>
      <c r="K4748" s="22"/>
      <c r="L4748" s="202" t="s">
        <v>22544</v>
      </c>
      <c r="U4748" s="29" t="s">
        <v>61</v>
      </c>
      <c r="V4748" s="30"/>
      <c r="W4748" s="156"/>
      <c r="X4748" s="49"/>
      <c r="Y4748" s="35"/>
      <c r="Z4748" s="35"/>
      <c r="AA4748" s="35"/>
      <c r="AB4748" s="35"/>
      <c r="AC4748" s="35"/>
      <c r="AD4748" s="35"/>
      <c r="AE4748" s="35"/>
      <c r="AF4748" s="35"/>
      <c r="AG4748" s="35"/>
      <c r="AH4748" s="35"/>
      <c r="AI4748" s="35"/>
      <c r="AJ4748" s="35"/>
      <c r="AK4748" s="35"/>
      <c r="AL4748" s="35"/>
    </row>
    <row r="4749">
      <c r="A4749" s="40"/>
      <c r="B4749" s="75" t="s">
        <v>19332</v>
      </c>
      <c r="C4749" s="77" t="s">
        <v>18738</v>
      </c>
      <c r="D4749" s="47"/>
      <c r="E4749" s="22" t="s">
        <v>22545</v>
      </c>
      <c r="F4749" s="22" t="s">
        <v>11994</v>
      </c>
      <c r="G4749" s="23">
        <v>2020.0</v>
      </c>
      <c r="H4749" s="22" t="s">
        <v>10563</v>
      </c>
      <c r="I4749" s="24" t="s">
        <v>22546</v>
      </c>
      <c r="J4749" s="22" t="s">
        <v>649</v>
      </c>
      <c r="K4749" s="22"/>
      <c r="L4749" s="202" t="s">
        <v>22547</v>
      </c>
      <c r="U4749" s="29" t="s">
        <v>61</v>
      </c>
      <c r="V4749" s="30"/>
      <c r="W4749" s="156"/>
      <c r="X4749" s="49"/>
      <c r="Y4749" s="35"/>
      <c r="Z4749" s="35"/>
      <c r="AA4749" s="35"/>
      <c r="AB4749" s="35"/>
      <c r="AC4749" s="35"/>
      <c r="AD4749" s="35"/>
      <c r="AE4749" s="35"/>
      <c r="AF4749" s="35"/>
      <c r="AG4749" s="35"/>
      <c r="AH4749" s="35"/>
      <c r="AI4749" s="35"/>
      <c r="AJ4749" s="35"/>
      <c r="AK4749" s="35"/>
      <c r="AL4749" s="35"/>
    </row>
    <row r="4750">
      <c r="A4750" s="40"/>
      <c r="B4750" s="75" t="s">
        <v>19332</v>
      </c>
      <c r="C4750" s="77" t="s">
        <v>18738</v>
      </c>
      <c r="D4750" s="47"/>
      <c r="E4750" s="22" t="s">
        <v>22548</v>
      </c>
      <c r="F4750" s="22" t="s">
        <v>6546</v>
      </c>
      <c r="G4750" s="23">
        <v>2020.0</v>
      </c>
      <c r="H4750" s="22" t="s">
        <v>77</v>
      </c>
      <c r="I4750" s="24" t="s">
        <v>22549</v>
      </c>
      <c r="J4750" s="22" t="s">
        <v>22550</v>
      </c>
      <c r="K4750" s="22" t="s">
        <v>22551</v>
      </c>
      <c r="L4750" s="52">
        <v>810.0</v>
      </c>
      <c r="M4750" s="52" t="s">
        <v>22552</v>
      </c>
      <c r="N4750" s="52"/>
      <c r="O4750" s="52"/>
      <c r="P4750" s="189"/>
      <c r="Q4750" s="52" t="s">
        <v>22553</v>
      </c>
      <c r="R4750" s="52"/>
      <c r="S4750" s="52" t="s">
        <v>22554</v>
      </c>
      <c r="T4750" s="102" t="s">
        <v>22555</v>
      </c>
      <c r="U4750" s="29" t="s">
        <v>61</v>
      </c>
      <c r="V4750" s="30"/>
      <c r="W4750" s="156"/>
      <c r="X4750" s="49"/>
      <c r="Y4750" s="35"/>
      <c r="Z4750" s="35"/>
      <c r="AA4750" s="35"/>
      <c r="AB4750" s="35"/>
      <c r="AC4750" s="35"/>
      <c r="AD4750" s="35"/>
      <c r="AE4750" s="35"/>
      <c r="AF4750" s="35"/>
      <c r="AG4750" s="35"/>
      <c r="AH4750" s="35"/>
      <c r="AI4750" s="35"/>
      <c r="AJ4750" s="35"/>
      <c r="AK4750" s="35"/>
      <c r="AL4750" s="35"/>
    </row>
    <row r="4751">
      <c r="A4751" s="18"/>
      <c r="B4751" s="75" t="s">
        <v>19332</v>
      </c>
      <c r="C4751" s="77" t="s">
        <v>18738</v>
      </c>
      <c r="D4751" s="47"/>
      <c r="E4751" s="22" t="s">
        <v>1626</v>
      </c>
      <c r="F4751" s="22" t="s">
        <v>22556</v>
      </c>
      <c r="G4751" s="23">
        <v>2020.0</v>
      </c>
      <c r="H4751" s="22" t="s">
        <v>994</v>
      </c>
      <c r="I4751" s="24" t="s">
        <v>22557</v>
      </c>
      <c r="J4751" s="22" t="s">
        <v>1078</v>
      </c>
      <c r="K4751" s="22"/>
      <c r="L4751" s="173" t="s">
        <v>22558</v>
      </c>
      <c r="U4751" s="29" t="s">
        <v>61</v>
      </c>
      <c r="V4751" s="30"/>
      <c r="W4751" s="156"/>
      <c r="X4751" s="49"/>
      <c r="Y4751" s="35"/>
      <c r="Z4751" s="35"/>
      <c r="AA4751" s="35"/>
      <c r="AB4751" s="35"/>
      <c r="AC4751" s="35"/>
      <c r="AD4751" s="35"/>
      <c r="AE4751" s="35"/>
      <c r="AF4751" s="35"/>
      <c r="AG4751" s="35"/>
      <c r="AH4751" s="35"/>
      <c r="AI4751" s="35"/>
      <c r="AJ4751" s="35"/>
      <c r="AK4751" s="35"/>
      <c r="AL4751" s="35"/>
    </row>
    <row r="4752">
      <c r="A4752" s="18"/>
      <c r="B4752" s="75" t="s">
        <v>19332</v>
      </c>
      <c r="C4752" s="77" t="s">
        <v>18738</v>
      </c>
      <c r="D4752" s="47"/>
      <c r="E4752" s="22" t="s">
        <v>22559</v>
      </c>
      <c r="F4752" s="22" t="s">
        <v>3310</v>
      </c>
      <c r="G4752" s="23">
        <v>2020.0</v>
      </c>
      <c r="H4752" s="22" t="s">
        <v>91</v>
      </c>
      <c r="I4752" s="24" t="s">
        <v>22560</v>
      </c>
      <c r="J4752" s="22" t="s">
        <v>22561</v>
      </c>
      <c r="K4752" s="22"/>
      <c r="L4752" s="52">
        <v>660.0</v>
      </c>
      <c r="M4752" s="52">
        <v>40.0</v>
      </c>
      <c r="N4752" s="52">
        <v>1.0</v>
      </c>
      <c r="O4752" s="52" t="s">
        <v>22562</v>
      </c>
      <c r="P4752" s="189" t="s">
        <v>22563</v>
      </c>
      <c r="Q4752" s="52" t="s">
        <v>22564</v>
      </c>
      <c r="R4752" s="52"/>
      <c r="S4752" s="52"/>
      <c r="T4752" s="54" t="s">
        <v>22565</v>
      </c>
      <c r="U4752" s="29" t="s">
        <v>61</v>
      </c>
      <c r="V4752" s="30"/>
      <c r="W4752" s="156"/>
      <c r="X4752" s="49"/>
      <c r="Y4752" s="35"/>
      <c r="Z4752" s="35"/>
      <c r="AA4752" s="35"/>
      <c r="AB4752" s="35"/>
      <c r="AC4752" s="35"/>
      <c r="AD4752" s="35"/>
      <c r="AE4752" s="35"/>
      <c r="AF4752" s="35"/>
      <c r="AG4752" s="35"/>
      <c r="AH4752" s="35"/>
      <c r="AI4752" s="35"/>
      <c r="AJ4752" s="35"/>
      <c r="AK4752" s="35"/>
      <c r="AL4752" s="35"/>
    </row>
    <row r="4753">
      <c r="A4753" s="18"/>
      <c r="B4753" s="75" t="s">
        <v>19332</v>
      </c>
      <c r="C4753" s="77" t="s">
        <v>18738</v>
      </c>
      <c r="D4753" s="47"/>
      <c r="E4753" s="22" t="s">
        <v>109</v>
      </c>
      <c r="F4753" s="22" t="s">
        <v>21765</v>
      </c>
      <c r="G4753" s="23">
        <v>2020.0</v>
      </c>
      <c r="H4753" s="22" t="s">
        <v>8177</v>
      </c>
      <c r="I4753" s="24" t="s">
        <v>22566</v>
      </c>
      <c r="J4753" s="22" t="s">
        <v>22567</v>
      </c>
      <c r="K4753" s="22"/>
      <c r="L4753" s="52">
        <v>660.0</v>
      </c>
      <c r="M4753" s="52">
        <v>25.0</v>
      </c>
      <c r="N4753" s="52"/>
      <c r="O4753" s="52" t="s">
        <v>22530</v>
      </c>
      <c r="P4753" s="189" t="s">
        <v>447</v>
      </c>
      <c r="Q4753" s="52"/>
      <c r="R4753" s="52"/>
      <c r="S4753" s="52" t="s">
        <v>22568</v>
      </c>
      <c r="T4753" s="54" t="s">
        <v>22569</v>
      </c>
      <c r="U4753" s="29" t="s">
        <v>61</v>
      </c>
      <c r="V4753" s="30"/>
      <c r="W4753" s="156"/>
      <c r="X4753" s="49"/>
      <c r="Y4753" s="35"/>
      <c r="Z4753" s="35"/>
      <c r="AA4753" s="35"/>
      <c r="AB4753" s="35"/>
      <c r="AC4753" s="35"/>
      <c r="AD4753" s="35"/>
      <c r="AE4753" s="35"/>
      <c r="AF4753" s="35"/>
      <c r="AG4753" s="35"/>
      <c r="AH4753" s="35"/>
      <c r="AI4753" s="35"/>
      <c r="AJ4753" s="35"/>
      <c r="AK4753" s="35"/>
      <c r="AL4753" s="35"/>
    </row>
    <row r="4754">
      <c r="A4754" s="18"/>
      <c r="B4754" s="75" t="s">
        <v>19332</v>
      </c>
      <c r="C4754" s="77" t="s">
        <v>18738</v>
      </c>
      <c r="D4754" s="47"/>
      <c r="E4754" s="22" t="s">
        <v>610</v>
      </c>
      <c r="F4754" s="22" t="s">
        <v>1576</v>
      </c>
      <c r="G4754" s="23">
        <v>2020.0</v>
      </c>
      <c r="H4754" s="22" t="s">
        <v>91</v>
      </c>
      <c r="I4754" s="24" t="s">
        <v>22570</v>
      </c>
      <c r="J4754" s="22" t="s">
        <v>22571</v>
      </c>
      <c r="K4754" s="22"/>
      <c r="L4754" s="52">
        <v>660.0</v>
      </c>
      <c r="M4754" s="52">
        <v>100.0</v>
      </c>
      <c r="N4754" s="52" t="s">
        <v>22572</v>
      </c>
      <c r="O4754" s="52" t="s">
        <v>22573</v>
      </c>
      <c r="P4754" s="189" t="s">
        <v>22574</v>
      </c>
      <c r="Q4754" s="52" t="s">
        <v>13174</v>
      </c>
      <c r="R4754" s="52" t="s">
        <v>22575</v>
      </c>
      <c r="S4754" s="52" t="s">
        <v>22576</v>
      </c>
      <c r="T4754" s="54" t="s">
        <v>22577</v>
      </c>
      <c r="U4754" s="29" t="s">
        <v>61</v>
      </c>
      <c r="V4754" s="30"/>
      <c r="W4754" s="156"/>
      <c r="X4754" s="49"/>
      <c r="Y4754" s="35"/>
      <c r="Z4754" s="35"/>
      <c r="AA4754" s="35"/>
      <c r="AB4754" s="35"/>
      <c r="AC4754" s="35"/>
      <c r="AD4754" s="35"/>
      <c r="AE4754" s="35"/>
      <c r="AF4754" s="35"/>
      <c r="AG4754" s="35"/>
      <c r="AH4754" s="35"/>
      <c r="AI4754" s="35"/>
      <c r="AJ4754" s="35"/>
      <c r="AK4754" s="35"/>
      <c r="AL4754" s="35"/>
    </row>
    <row r="4755">
      <c r="A4755" s="18"/>
      <c r="B4755" s="75" t="s">
        <v>19332</v>
      </c>
      <c r="C4755" s="77" t="s">
        <v>18738</v>
      </c>
      <c r="D4755" s="47"/>
      <c r="E4755" s="22" t="s">
        <v>22578</v>
      </c>
      <c r="F4755" s="22" t="s">
        <v>183</v>
      </c>
      <c r="G4755" s="23">
        <v>2020.0</v>
      </c>
      <c r="H4755" s="22" t="s">
        <v>20953</v>
      </c>
      <c r="I4755" s="24" t="s">
        <v>22579</v>
      </c>
      <c r="J4755" s="22" t="s">
        <v>22580</v>
      </c>
      <c r="K4755" s="22" t="s">
        <v>22581</v>
      </c>
      <c r="L4755" s="52">
        <v>660.0</v>
      </c>
      <c r="M4755" s="52" t="s">
        <v>18739</v>
      </c>
      <c r="N4755" s="52"/>
      <c r="O4755" s="52" t="s">
        <v>22582</v>
      </c>
      <c r="P4755" s="189"/>
      <c r="Q4755" s="52" t="s">
        <v>22583</v>
      </c>
      <c r="R4755" s="52">
        <v>84.0</v>
      </c>
      <c r="S4755" s="52" t="s">
        <v>22584</v>
      </c>
      <c r="T4755" s="102" t="s">
        <v>22585</v>
      </c>
      <c r="U4755" s="29" t="s">
        <v>61</v>
      </c>
      <c r="V4755" s="30"/>
      <c r="W4755" s="156"/>
      <c r="X4755" s="49"/>
      <c r="Y4755" s="35"/>
      <c r="Z4755" s="35"/>
      <c r="AA4755" s="35"/>
      <c r="AB4755" s="35"/>
      <c r="AC4755" s="35"/>
      <c r="AD4755" s="35"/>
      <c r="AE4755" s="35"/>
      <c r="AF4755" s="35"/>
      <c r="AG4755" s="35"/>
      <c r="AH4755" s="35"/>
      <c r="AI4755" s="35"/>
      <c r="AJ4755" s="35"/>
      <c r="AK4755" s="35"/>
      <c r="AL4755" s="35"/>
    </row>
    <row r="4756">
      <c r="A4756" s="18"/>
      <c r="B4756" s="75" t="s">
        <v>19332</v>
      </c>
      <c r="C4756" s="77" t="s">
        <v>18738</v>
      </c>
      <c r="D4756" s="47"/>
      <c r="E4756" s="22" t="s">
        <v>7705</v>
      </c>
      <c r="F4756" s="22" t="s">
        <v>41</v>
      </c>
      <c r="G4756" s="23">
        <v>2020.0</v>
      </c>
      <c r="H4756" s="22" t="s">
        <v>1485</v>
      </c>
      <c r="I4756" s="24" t="s">
        <v>22586</v>
      </c>
      <c r="J4756" s="22" t="s">
        <v>22587</v>
      </c>
      <c r="K4756" s="22"/>
      <c r="L4756" s="52">
        <v>660.0</v>
      </c>
      <c r="M4756" s="52" t="s">
        <v>22588</v>
      </c>
      <c r="N4756" s="52"/>
      <c r="O4756" s="52"/>
      <c r="P4756" s="189" t="s">
        <v>22589</v>
      </c>
      <c r="Q4756" s="52" t="s">
        <v>22590</v>
      </c>
      <c r="R4756" s="52"/>
      <c r="S4756" s="52" t="s">
        <v>22591</v>
      </c>
      <c r="T4756" s="102" t="s">
        <v>22592</v>
      </c>
      <c r="U4756" s="29" t="s">
        <v>61</v>
      </c>
      <c r="V4756" s="30"/>
      <c r="W4756" s="156"/>
      <c r="X4756" s="49"/>
      <c r="Y4756" s="35"/>
      <c r="Z4756" s="35"/>
      <c r="AA4756" s="35"/>
      <c r="AB4756" s="35"/>
      <c r="AC4756" s="35"/>
      <c r="AD4756" s="35"/>
      <c r="AE4756" s="35"/>
      <c r="AF4756" s="35"/>
      <c r="AG4756" s="35"/>
      <c r="AH4756" s="35"/>
      <c r="AI4756" s="35"/>
      <c r="AJ4756" s="35"/>
      <c r="AK4756" s="35"/>
      <c r="AL4756" s="35"/>
    </row>
    <row r="4757">
      <c r="A4757" s="18"/>
      <c r="B4757" s="75" t="s">
        <v>19332</v>
      </c>
      <c r="C4757" s="77" t="s">
        <v>18738</v>
      </c>
      <c r="D4757" s="47"/>
      <c r="E4757" s="22" t="s">
        <v>5713</v>
      </c>
      <c r="F4757" s="22" t="s">
        <v>22593</v>
      </c>
      <c r="G4757" s="23">
        <v>2020.0</v>
      </c>
      <c r="H4757" s="22" t="s">
        <v>18716</v>
      </c>
      <c r="I4757" s="24" t="s">
        <v>22594</v>
      </c>
      <c r="J4757" s="22" t="s">
        <v>1078</v>
      </c>
      <c r="K4757" s="22"/>
      <c r="L4757" s="357" t="s">
        <v>22595</v>
      </c>
      <c r="U4757" s="38" t="str">
        <f>HYPERLINK("https://www.ncbi.nlm.nih.gov/pubmed/32062592","PubMed")</f>
        <v>PubMed</v>
      </c>
      <c r="V4757" s="30"/>
      <c r="W4757" s="156"/>
      <c r="X4757" s="49"/>
      <c r="Y4757" s="35"/>
      <c r="Z4757" s="35"/>
      <c r="AA4757" s="35"/>
      <c r="AB4757" s="35"/>
      <c r="AC4757" s="35"/>
      <c r="AD4757" s="35"/>
      <c r="AE4757" s="35"/>
      <c r="AF4757" s="35"/>
      <c r="AG4757" s="35"/>
      <c r="AH4757" s="35"/>
      <c r="AI4757" s="35"/>
      <c r="AJ4757" s="35"/>
      <c r="AK4757" s="35"/>
      <c r="AL4757" s="35"/>
    </row>
    <row r="4758">
      <c r="A4758" s="18"/>
      <c r="B4758" s="75" t="s">
        <v>19332</v>
      </c>
      <c r="C4758" s="77" t="s">
        <v>18738</v>
      </c>
      <c r="D4758" s="47"/>
      <c r="E4758" s="22" t="s">
        <v>22596</v>
      </c>
      <c r="F4758" s="22" t="s">
        <v>237</v>
      </c>
      <c r="G4758" s="23">
        <v>2019.0</v>
      </c>
      <c r="H4758" s="22" t="s">
        <v>1485</v>
      </c>
      <c r="I4758" s="24" t="s">
        <v>22597</v>
      </c>
      <c r="J4758" s="22" t="s">
        <v>22598</v>
      </c>
      <c r="K4758" s="22" t="s">
        <v>22599</v>
      </c>
      <c r="L4758" s="358">
        <v>660.0</v>
      </c>
      <c r="M4758" s="358">
        <v>100.0</v>
      </c>
      <c r="N4758" s="358"/>
      <c r="O4758" s="358" t="s">
        <v>7653</v>
      </c>
      <c r="P4758" s="358">
        <v>142.0</v>
      </c>
      <c r="Q4758" s="358"/>
      <c r="R4758" s="358" t="s">
        <v>13379</v>
      </c>
      <c r="S4758" s="358" t="s">
        <v>8418</v>
      </c>
      <c r="T4758" s="359" t="s">
        <v>22600</v>
      </c>
      <c r="U4758" s="38" t="str">
        <f>HYPERLINK("https://www.ncbi.nlm.nih.gov/pubmed/31841687","PubMed")</f>
        <v>PubMed</v>
      </c>
      <c r="V4758" s="30"/>
      <c r="W4758" s="156"/>
      <c r="X4758" s="49"/>
      <c r="Y4758" s="35"/>
      <c r="Z4758" s="35"/>
      <c r="AA4758" s="35"/>
      <c r="AB4758" s="35"/>
      <c r="AC4758" s="35"/>
      <c r="AD4758" s="35"/>
      <c r="AE4758" s="35"/>
      <c r="AF4758" s="35"/>
      <c r="AG4758" s="35"/>
      <c r="AH4758" s="35"/>
      <c r="AI4758" s="35"/>
      <c r="AJ4758" s="35"/>
      <c r="AK4758" s="35"/>
      <c r="AL4758" s="35"/>
    </row>
    <row r="4759">
      <c r="A4759" s="18"/>
      <c r="B4759" s="75" t="s">
        <v>19332</v>
      </c>
      <c r="C4759" s="77" t="s">
        <v>18738</v>
      </c>
      <c r="D4759" s="47"/>
      <c r="E4759" s="22" t="s">
        <v>10561</v>
      </c>
      <c r="F4759" s="22" t="s">
        <v>20718</v>
      </c>
      <c r="G4759" s="23">
        <v>2019.0</v>
      </c>
      <c r="H4759" s="22" t="s">
        <v>15946</v>
      </c>
      <c r="I4759" s="24" t="s">
        <v>22601</v>
      </c>
      <c r="J4759" s="22" t="s">
        <v>17572</v>
      </c>
      <c r="K4759" s="22"/>
      <c r="L4759" s="358">
        <v>635.0</v>
      </c>
      <c r="M4759" s="358"/>
      <c r="N4759" s="358"/>
      <c r="O4759" s="358"/>
      <c r="P4759" s="358">
        <v>3.0</v>
      </c>
      <c r="Q4759" s="358"/>
      <c r="R4759" s="358"/>
      <c r="S4759" s="358" t="s">
        <v>22602</v>
      </c>
      <c r="T4759" s="359" t="s">
        <v>22603</v>
      </c>
      <c r="U4759" s="38" t="str">
        <f>HYPERLINK("https://www.ncbi.nlm.nih.gov/pubmed/31731594","PubMed")</f>
        <v>PubMed</v>
      </c>
      <c r="V4759" s="30"/>
      <c r="W4759" s="156"/>
      <c r="X4759" s="49"/>
      <c r="Y4759" s="35"/>
      <c r="Z4759" s="35"/>
      <c r="AA4759" s="35"/>
      <c r="AB4759" s="35"/>
      <c r="AC4759" s="35"/>
      <c r="AD4759" s="35"/>
      <c r="AE4759" s="35"/>
      <c r="AF4759" s="35"/>
      <c r="AG4759" s="35"/>
      <c r="AH4759" s="35"/>
      <c r="AI4759" s="35"/>
      <c r="AJ4759" s="35"/>
      <c r="AK4759" s="35"/>
      <c r="AL4759" s="35"/>
    </row>
    <row r="4760">
      <c r="A4760" s="18"/>
      <c r="B4760" s="75" t="s">
        <v>19332</v>
      </c>
      <c r="C4760" s="77" t="s">
        <v>18738</v>
      </c>
      <c r="D4760" s="47"/>
      <c r="E4760" s="22" t="s">
        <v>22604</v>
      </c>
      <c r="F4760" s="22" t="s">
        <v>5312</v>
      </c>
      <c r="G4760" s="23">
        <v>2019.0</v>
      </c>
      <c r="H4760" s="22" t="s">
        <v>22605</v>
      </c>
      <c r="I4760" s="24" t="s">
        <v>22606</v>
      </c>
      <c r="J4760" s="22" t="s">
        <v>202</v>
      </c>
      <c r="K4760" s="22"/>
      <c r="L4760" s="360" t="s">
        <v>22607</v>
      </c>
      <c r="U4760" s="38" t="str">
        <f>HYPERLINK("https://www.ncbi.nlm.nih.gov/pubmed/31650847","PubMed")</f>
        <v>PubMed</v>
      </c>
      <c r="V4760" s="30"/>
      <c r="W4760" s="156"/>
      <c r="X4760" s="49"/>
      <c r="Y4760" s="35"/>
      <c r="Z4760" s="35"/>
      <c r="AA4760" s="35"/>
      <c r="AB4760" s="35"/>
      <c r="AC4760" s="35"/>
      <c r="AD4760" s="35"/>
      <c r="AE4760" s="35"/>
      <c r="AF4760" s="35"/>
      <c r="AG4760" s="35"/>
      <c r="AH4760" s="35"/>
      <c r="AI4760" s="35"/>
      <c r="AJ4760" s="35"/>
      <c r="AK4760" s="35"/>
      <c r="AL4760" s="35"/>
    </row>
    <row r="4761">
      <c r="A4761" s="18" t="s">
        <v>38</v>
      </c>
      <c r="B4761" s="75" t="s">
        <v>19332</v>
      </c>
      <c r="C4761" s="77" t="s">
        <v>18738</v>
      </c>
      <c r="D4761" s="47"/>
      <c r="E4761" s="22" t="s">
        <v>22608</v>
      </c>
      <c r="F4761" s="22" t="s">
        <v>8578</v>
      </c>
      <c r="G4761" s="23">
        <v>2019.0</v>
      </c>
      <c r="H4761" s="22" t="s">
        <v>22609</v>
      </c>
      <c r="I4761" s="24" t="s">
        <v>22610</v>
      </c>
      <c r="J4761" s="22" t="s">
        <v>22611</v>
      </c>
      <c r="K4761" s="22"/>
      <c r="L4761" s="52">
        <v>660.0</v>
      </c>
      <c r="M4761" s="52">
        <v>350.0</v>
      </c>
      <c r="N4761" s="52"/>
      <c r="O4761" s="52"/>
      <c r="P4761" s="189"/>
      <c r="Q4761" s="52"/>
      <c r="R4761" s="52"/>
      <c r="S4761" s="52" t="s">
        <v>13388</v>
      </c>
      <c r="T4761" s="54" t="s">
        <v>22612</v>
      </c>
      <c r="U4761" s="38" t="str">
        <f>HYPERLINK("https://www.ncbi.nlm.nih.gov/pubmed/31527154","PubMed")</f>
        <v>PubMed</v>
      </c>
      <c r="V4761" s="30"/>
      <c r="W4761" s="156"/>
      <c r="X4761" s="49"/>
      <c r="Y4761" s="35"/>
      <c r="Z4761" s="35"/>
      <c r="AA4761" s="35"/>
      <c r="AB4761" s="35"/>
      <c r="AC4761" s="35"/>
      <c r="AD4761" s="35"/>
      <c r="AE4761" s="35"/>
      <c r="AF4761" s="35"/>
      <c r="AG4761" s="35"/>
      <c r="AH4761" s="35"/>
      <c r="AI4761" s="35"/>
      <c r="AJ4761" s="35"/>
      <c r="AK4761" s="35"/>
      <c r="AL4761" s="35"/>
    </row>
    <row r="4762">
      <c r="A4762" s="18"/>
      <c r="B4762" s="75" t="s">
        <v>19332</v>
      </c>
      <c r="C4762" s="77" t="s">
        <v>18738</v>
      </c>
      <c r="D4762" s="47"/>
      <c r="E4762" s="22" t="s">
        <v>22613</v>
      </c>
      <c r="F4762" s="22" t="s">
        <v>1943</v>
      </c>
      <c r="G4762" s="23">
        <v>2019.0</v>
      </c>
      <c r="H4762" s="22" t="s">
        <v>147</v>
      </c>
      <c r="I4762" s="24" t="s">
        <v>22614</v>
      </c>
      <c r="J4762" s="22" t="s">
        <v>22615</v>
      </c>
      <c r="K4762" s="22"/>
      <c r="L4762" s="52">
        <v>904.0</v>
      </c>
      <c r="M4762" s="52"/>
      <c r="N4762" s="52"/>
      <c r="O4762" s="52"/>
      <c r="P4762" s="189"/>
      <c r="Q4762" s="52"/>
      <c r="R4762" s="52"/>
      <c r="S4762" s="52" t="s">
        <v>22616</v>
      </c>
      <c r="T4762" s="54" t="s">
        <v>22617</v>
      </c>
      <c r="U4762" s="38" t="str">
        <f>HYPERLINK("https://www.ncbi.nlm.nih.gov/pubmed/31360381","PubMed")</f>
        <v>PubMed</v>
      </c>
      <c r="V4762" s="30"/>
      <c r="W4762" s="156"/>
      <c r="X4762" s="49"/>
      <c r="Y4762" s="35"/>
      <c r="Z4762" s="35"/>
      <c r="AA4762" s="35"/>
      <c r="AB4762" s="35"/>
      <c r="AC4762" s="35"/>
      <c r="AD4762" s="35"/>
      <c r="AE4762" s="35"/>
      <c r="AF4762" s="35"/>
      <c r="AG4762" s="35"/>
      <c r="AH4762" s="35"/>
      <c r="AI4762" s="35"/>
      <c r="AJ4762" s="35"/>
      <c r="AK4762" s="35"/>
      <c r="AL4762" s="35"/>
    </row>
    <row r="4763">
      <c r="A4763" s="18"/>
      <c r="B4763" s="75" t="s">
        <v>19332</v>
      </c>
      <c r="C4763" s="77" t="s">
        <v>18738</v>
      </c>
      <c r="D4763" s="47"/>
      <c r="E4763" s="22" t="s">
        <v>22618</v>
      </c>
      <c r="F4763" s="22" t="s">
        <v>22619</v>
      </c>
      <c r="G4763" s="23">
        <v>2019.0</v>
      </c>
      <c r="H4763" s="22" t="s">
        <v>8177</v>
      </c>
      <c r="I4763" s="24" t="s">
        <v>22620</v>
      </c>
      <c r="J4763" s="22" t="s">
        <v>22621</v>
      </c>
      <c r="K4763" s="22"/>
      <c r="L4763" s="202" t="s">
        <v>22622</v>
      </c>
      <c r="U4763" s="38" t="str">
        <f>HYPERLINK("https://www.ncbi.nlm.nih.gov/pubmed/31286228","PubMed")</f>
        <v>PubMed</v>
      </c>
      <c r="V4763" s="30"/>
      <c r="W4763" s="156"/>
      <c r="X4763" s="49"/>
      <c r="Y4763" s="35"/>
      <c r="Z4763" s="35"/>
      <c r="AA4763" s="35"/>
      <c r="AB4763" s="35"/>
      <c r="AC4763" s="35"/>
      <c r="AD4763" s="35"/>
      <c r="AE4763" s="35"/>
      <c r="AF4763" s="35"/>
      <c r="AG4763" s="35"/>
      <c r="AH4763" s="35"/>
      <c r="AI4763" s="35"/>
      <c r="AJ4763" s="35"/>
      <c r="AK4763" s="35"/>
      <c r="AL4763" s="35"/>
    </row>
    <row r="4764">
      <c r="A4764" s="18" t="s">
        <v>38</v>
      </c>
      <c r="B4764" s="75" t="s">
        <v>19332</v>
      </c>
      <c r="C4764" s="77" t="s">
        <v>18738</v>
      </c>
      <c r="D4764" s="47"/>
      <c r="E4764" s="22" t="s">
        <v>22623</v>
      </c>
      <c r="F4764" s="22" t="s">
        <v>22172</v>
      </c>
      <c r="G4764" s="23">
        <v>2019.0</v>
      </c>
      <c r="H4764" s="22" t="s">
        <v>22624</v>
      </c>
      <c r="I4764" s="24" t="s">
        <v>22625</v>
      </c>
      <c r="J4764" s="22" t="s">
        <v>22626</v>
      </c>
      <c r="K4764" s="22"/>
      <c r="L4764" s="52" t="s">
        <v>22627</v>
      </c>
      <c r="M4764" s="52"/>
      <c r="N4764" s="52"/>
      <c r="O4764" s="52"/>
      <c r="P4764" s="189"/>
      <c r="Q4764" s="52"/>
      <c r="R4764" s="52"/>
      <c r="S4764" s="52" t="s">
        <v>22628</v>
      </c>
      <c r="T4764" s="54" t="s">
        <v>22629</v>
      </c>
      <c r="U4764" s="38" t="str">
        <f>HYPERLINK("https://www.ncbi.nlm.nih.gov/pubmed/31281038","PubMed")</f>
        <v>PubMed</v>
      </c>
      <c r="V4764" s="30"/>
      <c r="W4764" s="156"/>
      <c r="X4764" s="49"/>
      <c r="Y4764" s="35"/>
      <c r="Z4764" s="35"/>
      <c r="AA4764" s="35"/>
      <c r="AB4764" s="35"/>
      <c r="AC4764" s="35"/>
      <c r="AD4764" s="35"/>
      <c r="AE4764" s="35"/>
      <c r="AF4764" s="35"/>
      <c r="AG4764" s="35"/>
      <c r="AH4764" s="35"/>
      <c r="AI4764" s="35"/>
      <c r="AJ4764" s="35"/>
      <c r="AK4764" s="35"/>
      <c r="AL4764" s="35"/>
    </row>
    <row r="4765">
      <c r="A4765" s="18"/>
      <c r="B4765" s="75" t="s">
        <v>19332</v>
      </c>
      <c r="C4765" s="77" t="s">
        <v>18738</v>
      </c>
      <c r="D4765" s="47"/>
      <c r="E4765" s="22" t="s">
        <v>12679</v>
      </c>
      <c r="F4765" s="22" t="s">
        <v>2346</v>
      </c>
      <c r="G4765" s="23">
        <v>2019.0</v>
      </c>
      <c r="H4765" s="22" t="s">
        <v>17543</v>
      </c>
      <c r="I4765" s="24" t="s">
        <v>22630</v>
      </c>
      <c r="J4765" s="22" t="s">
        <v>22631</v>
      </c>
      <c r="K4765" s="22"/>
      <c r="L4765" s="52">
        <v>904.0</v>
      </c>
      <c r="M4765" s="52"/>
      <c r="N4765" s="52"/>
      <c r="O4765" s="52"/>
      <c r="P4765" s="189"/>
      <c r="Q4765" s="52" t="s">
        <v>22632</v>
      </c>
      <c r="R4765" s="52" t="s">
        <v>22633</v>
      </c>
      <c r="S4765" s="52"/>
      <c r="T4765" s="54" t="s">
        <v>22634</v>
      </c>
      <c r="U4765" s="38" t="str">
        <f>HYPERLINK("https://www.ncbi.nlm.nih.gov/pubmed/30794148","PubMed")</f>
        <v>PubMed</v>
      </c>
      <c r="V4765" s="30"/>
      <c r="W4765" s="156"/>
      <c r="X4765" s="49"/>
      <c r="Y4765" s="35"/>
      <c r="Z4765" s="35"/>
      <c r="AA4765" s="35"/>
      <c r="AB4765" s="35"/>
      <c r="AC4765" s="35"/>
      <c r="AD4765" s="35"/>
      <c r="AE4765" s="35"/>
      <c r="AF4765" s="35"/>
      <c r="AG4765" s="35"/>
      <c r="AH4765" s="35"/>
      <c r="AI4765" s="35"/>
      <c r="AJ4765" s="35"/>
      <c r="AK4765" s="35"/>
      <c r="AL4765" s="35"/>
    </row>
    <row r="4766">
      <c r="A4766" s="18"/>
      <c r="B4766" s="75" t="s">
        <v>19332</v>
      </c>
      <c r="C4766" s="77" t="s">
        <v>18738</v>
      </c>
      <c r="D4766" s="47"/>
      <c r="E4766" s="22" t="s">
        <v>22635</v>
      </c>
      <c r="F4766" s="22" t="s">
        <v>605</v>
      </c>
      <c r="G4766" s="23">
        <v>2019.0</v>
      </c>
      <c r="H4766" s="22" t="s">
        <v>91</v>
      </c>
      <c r="I4766" s="24" t="s">
        <v>22636</v>
      </c>
      <c r="J4766" s="22" t="s">
        <v>55</v>
      </c>
      <c r="K4766" s="22" t="s">
        <v>22637</v>
      </c>
      <c r="L4766" s="52">
        <v>810.0</v>
      </c>
      <c r="M4766" s="52">
        <v>300.0</v>
      </c>
      <c r="N4766" s="52"/>
      <c r="O4766" s="52"/>
      <c r="P4766" s="189" t="s">
        <v>22638</v>
      </c>
      <c r="Q4766" s="52" t="s">
        <v>22639</v>
      </c>
      <c r="R4766" s="52">
        <v>5.0</v>
      </c>
      <c r="S4766" s="52">
        <v>5.0</v>
      </c>
      <c r="T4766" s="103" t="s">
        <v>22640</v>
      </c>
      <c r="U4766" s="38" t="str">
        <f>HYPERLINK("https://www.ncbi.nlm.nih.gov/pubmed/30826950","PubMed")</f>
        <v>PubMed</v>
      </c>
      <c r="V4766" s="30"/>
      <c r="W4766" s="156"/>
      <c r="X4766" s="49"/>
      <c r="Y4766" s="35"/>
      <c r="Z4766" s="35"/>
      <c r="AA4766" s="35"/>
      <c r="AB4766" s="35"/>
      <c r="AC4766" s="35"/>
      <c r="AD4766" s="35"/>
      <c r="AE4766" s="35"/>
      <c r="AF4766" s="35"/>
      <c r="AG4766" s="35"/>
      <c r="AH4766" s="35"/>
      <c r="AI4766" s="35"/>
      <c r="AJ4766" s="35"/>
      <c r="AK4766" s="35"/>
      <c r="AL4766" s="35"/>
    </row>
    <row r="4767">
      <c r="A4767" s="18" t="s">
        <v>38</v>
      </c>
      <c r="B4767" s="75" t="s">
        <v>19332</v>
      </c>
      <c r="C4767" s="77" t="s">
        <v>18738</v>
      </c>
      <c r="D4767" s="47"/>
      <c r="E4767" s="22" t="s">
        <v>22641</v>
      </c>
      <c r="F4767" s="22" t="s">
        <v>797</v>
      </c>
      <c r="G4767" s="23">
        <v>2019.0</v>
      </c>
      <c r="H4767" s="22" t="s">
        <v>8177</v>
      </c>
      <c r="I4767" s="24" t="s">
        <v>22642</v>
      </c>
      <c r="J4767" s="22" t="s">
        <v>55</v>
      </c>
      <c r="K4767" s="22" t="s">
        <v>22643</v>
      </c>
      <c r="L4767" s="52" t="s">
        <v>22644</v>
      </c>
      <c r="M4767" s="52"/>
      <c r="N4767" s="52"/>
      <c r="O4767" s="52"/>
      <c r="P4767" s="189" t="s">
        <v>22645</v>
      </c>
      <c r="Q4767" s="52"/>
      <c r="R4767" s="52"/>
      <c r="S4767" s="52"/>
      <c r="T4767" s="54" t="s">
        <v>22646</v>
      </c>
      <c r="U4767" s="38" t="str">
        <f>HYPERLINK("https://www.ncbi.nlm.nih.gov/pubmed/31165336","PubMed")</f>
        <v>PubMed</v>
      </c>
      <c r="V4767" s="30"/>
      <c r="W4767" s="156"/>
      <c r="X4767" s="49"/>
      <c r="Y4767" s="35"/>
      <c r="Z4767" s="35"/>
      <c r="AA4767" s="35"/>
      <c r="AB4767" s="35"/>
      <c r="AC4767" s="35"/>
      <c r="AD4767" s="35"/>
      <c r="AE4767" s="35"/>
      <c r="AF4767" s="35"/>
      <c r="AG4767" s="35"/>
      <c r="AH4767" s="35"/>
      <c r="AI4767" s="35"/>
      <c r="AJ4767" s="35"/>
      <c r="AK4767" s="35"/>
      <c r="AL4767" s="35"/>
    </row>
    <row r="4768">
      <c r="A4768" s="18"/>
      <c r="B4768" s="75" t="s">
        <v>19332</v>
      </c>
      <c r="C4768" s="77" t="s">
        <v>18738</v>
      </c>
      <c r="D4768" s="47"/>
      <c r="E4768" s="22" t="s">
        <v>22647</v>
      </c>
      <c r="F4768" s="22" t="s">
        <v>241</v>
      </c>
      <c r="G4768" s="23">
        <v>2019.0</v>
      </c>
      <c r="H4768" s="22" t="s">
        <v>8212</v>
      </c>
      <c r="I4768" s="24" t="s">
        <v>22648</v>
      </c>
      <c r="J4768" s="22" t="s">
        <v>125</v>
      </c>
      <c r="K4768" s="22"/>
      <c r="L4768" s="53" t="s">
        <v>22649</v>
      </c>
      <c r="U4768" s="38" t="str">
        <f>HYPERLINK("https://www.ncbi.nlm.nih.gov/pubmed/31092370","PubMed")</f>
        <v>PubMed</v>
      </c>
      <c r="V4768" s="30"/>
      <c r="W4768" s="156"/>
      <c r="X4768" s="49"/>
      <c r="Y4768" s="35"/>
      <c r="Z4768" s="35"/>
      <c r="AA4768" s="35"/>
      <c r="AB4768" s="35"/>
      <c r="AC4768" s="35"/>
      <c r="AD4768" s="35"/>
      <c r="AE4768" s="35"/>
      <c r="AF4768" s="35"/>
      <c r="AG4768" s="35"/>
      <c r="AH4768" s="35"/>
      <c r="AI4768" s="35"/>
      <c r="AJ4768" s="35"/>
      <c r="AK4768" s="35"/>
      <c r="AL4768" s="35"/>
    </row>
    <row r="4769">
      <c r="A4769" s="18"/>
      <c r="B4769" s="75" t="s">
        <v>19332</v>
      </c>
      <c r="C4769" s="77" t="s">
        <v>18738</v>
      </c>
      <c r="D4769" s="47"/>
      <c r="E4769" s="22" t="s">
        <v>22650</v>
      </c>
      <c r="F4769" s="22" t="s">
        <v>22651</v>
      </c>
      <c r="G4769" s="23">
        <v>2019.0</v>
      </c>
      <c r="H4769" s="22" t="s">
        <v>8194</v>
      </c>
      <c r="I4769" s="24" t="s">
        <v>22652</v>
      </c>
      <c r="J4769" s="22" t="s">
        <v>22653</v>
      </c>
      <c r="K4769" s="22"/>
      <c r="L4769" s="36">
        <v>658.0</v>
      </c>
      <c r="M4769" s="36">
        <v>100.0</v>
      </c>
      <c r="N4769" s="36"/>
      <c r="O4769" s="36">
        <v>4.0</v>
      </c>
      <c r="P4769" s="37" t="s">
        <v>254</v>
      </c>
      <c r="Q4769" s="36"/>
      <c r="R4769" s="36"/>
      <c r="S4769" s="36" t="s">
        <v>22654</v>
      </c>
      <c r="T4769" s="103" t="s">
        <v>22655</v>
      </c>
      <c r="U4769" s="38" t="str">
        <f>HYPERLINK("https://www.ncbi.nlm.nih.gov/pubmed/31118057","PubMed")</f>
        <v>PubMed</v>
      </c>
      <c r="V4769" s="30"/>
      <c r="W4769" s="156"/>
      <c r="X4769" s="49"/>
      <c r="Y4769" s="35"/>
      <c r="Z4769" s="35"/>
      <c r="AA4769" s="35"/>
      <c r="AB4769" s="35"/>
      <c r="AC4769" s="35"/>
      <c r="AD4769" s="35"/>
      <c r="AE4769" s="35"/>
      <c r="AF4769" s="35"/>
      <c r="AG4769" s="35"/>
      <c r="AH4769" s="35"/>
      <c r="AI4769" s="35"/>
      <c r="AJ4769" s="35"/>
      <c r="AK4769" s="35"/>
      <c r="AL4769" s="35"/>
    </row>
    <row r="4770">
      <c r="A4770" s="18"/>
      <c r="B4770" s="75" t="s">
        <v>19332</v>
      </c>
      <c r="C4770" s="77" t="s">
        <v>18738</v>
      </c>
      <c r="D4770" s="47"/>
      <c r="E4770" s="22" t="s">
        <v>651</v>
      </c>
      <c r="F4770" s="22" t="s">
        <v>237</v>
      </c>
      <c r="G4770" s="23">
        <v>2019.0</v>
      </c>
      <c r="H4770" s="22" t="s">
        <v>77</v>
      </c>
      <c r="I4770" s="24" t="s">
        <v>22656</v>
      </c>
      <c r="J4770" s="22" t="s">
        <v>22657</v>
      </c>
      <c r="K4770" s="22" t="s">
        <v>22658</v>
      </c>
      <c r="L4770" s="36">
        <v>660.0</v>
      </c>
      <c r="M4770" s="36"/>
      <c r="N4770" s="36"/>
      <c r="O4770" s="36">
        <v>4.0</v>
      </c>
      <c r="P4770" s="37" t="s">
        <v>13577</v>
      </c>
      <c r="Q4770" s="36"/>
      <c r="R4770" s="36" t="s">
        <v>13379</v>
      </c>
      <c r="S4770" s="36" t="s">
        <v>8418</v>
      </c>
      <c r="T4770" s="54" t="s">
        <v>22659</v>
      </c>
      <c r="U4770" s="38" t="str">
        <f>HYPERLINK("https://www.ncbi.nlm.nih.gov/pubmed/31050952","PubMed")</f>
        <v>PubMed</v>
      </c>
      <c r="V4770" s="30"/>
      <c r="W4770" s="156"/>
      <c r="X4770" s="49"/>
      <c r="Y4770" s="35"/>
      <c r="Z4770" s="35"/>
      <c r="AA4770" s="35"/>
      <c r="AB4770" s="35"/>
      <c r="AC4770" s="35"/>
      <c r="AD4770" s="35"/>
      <c r="AE4770" s="35"/>
      <c r="AF4770" s="35"/>
      <c r="AG4770" s="35"/>
      <c r="AH4770" s="35"/>
      <c r="AI4770" s="35"/>
      <c r="AJ4770" s="35"/>
      <c r="AK4770" s="35"/>
      <c r="AL4770" s="35"/>
    </row>
    <row r="4771">
      <c r="A4771" s="18"/>
      <c r="B4771" s="75" t="s">
        <v>19332</v>
      </c>
      <c r="C4771" s="77" t="s">
        <v>18738</v>
      </c>
      <c r="D4771" s="47"/>
      <c r="E4771" s="22" t="s">
        <v>22660</v>
      </c>
      <c r="F4771" s="22" t="s">
        <v>797</v>
      </c>
      <c r="G4771" s="23">
        <v>2019.0</v>
      </c>
      <c r="H4771" s="22" t="s">
        <v>91</v>
      </c>
      <c r="I4771" s="24" t="s">
        <v>22661</v>
      </c>
      <c r="J4771" s="22" t="s">
        <v>1078</v>
      </c>
      <c r="K4771" s="22"/>
      <c r="L4771" s="43" t="s">
        <v>22662</v>
      </c>
      <c r="M4771" s="44"/>
      <c r="N4771" s="44"/>
      <c r="O4771" s="44"/>
      <c r="P4771" s="44"/>
      <c r="Q4771" s="44"/>
      <c r="R4771" s="44"/>
      <c r="S4771" s="44"/>
      <c r="T4771" s="45"/>
      <c r="U4771" s="38" t="str">
        <f>HYPERLINK("https://www.ncbi.nlm.nih.gov/pubmed/30729351","PubMed")</f>
        <v>PubMed</v>
      </c>
      <c r="V4771" s="30"/>
      <c r="W4771" s="156"/>
      <c r="X4771" s="49"/>
      <c r="Y4771" s="35"/>
      <c r="Z4771" s="35"/>
      <c r="AA4771" s="35"/>
      <c r="AB4771" s="35"/>
      <c r="AC4771" s="35"/>
      <c r="AD4771" s="35"/>
      <c r="AE4771" s="35"/>
      <c r="AF4771" s="35"/>
      <c r="AG4771" s="35"/>
      <c r="AH4771" s="35"/>
      <c r="AI4771" s="35"/>
      <c r="AJ4771" s="35"/>
      <c r="AK4771" s="35"/>
      <c r="AL4771" s="35"/>
    </row>
    <row r="4772">
      <c r="A4772" s="18"/>
      <c r="B4772" s="75" t="s">
        <v>19332</v>
      </c>
      <c r="C4772" s="77" t="s">
        <v>18738</v>
      </c>
      <c r="D4772" s="47"/>
      <c r="E4772" s="22" t="s">
        <v>109</v>
      </c>
      <c r="F4772" s="22" t="s">
        <v>21765</v>
      </c>
      <c r="G4772" s="23">
        <v>2019.0</v>
      </c>
      <c r="H4772" s="22" t="s">
        <v>2863</v>
      </c>
      <c r="I4772" s="24" t="s">
        <v>22663</v>
      </c>
      <c r="J4772" s="22" t="s">
        <v>2141</v>
      </c>
      <c r="K4772" s="22"/>
      <c r="L4772" s="168"/>
      <c r="M4772" s="168"/>
      <c r="N4772" s="168"/>
      <c r="O4772" s="168"/>
      <c r="P4772" s="169"/>
      <c r="Q4772" s="168"/>
      <c r="R4772" s="168"/>
      <c r="S4772" s="168"/>
      <c r="T4772" s="214" t="s">
        <v>22664</v>
      </c>
      <c r="U4772" s="38" t="str">
        <f>HYPERLINK("https://www.ncbi.nlm.nih.gov/pubmed/30709370","PubMed")</f>
        <v>PubMed</v>
      </c>
      <c r="V4772" s="30"/>
      <c r="W4772" s="156"/>
      <c r="X4772" s="49"/>
      <c r="Y4772" s="35"/>
      <c r="Z4772" s="35"/>
      <c r="AA4772" s="35"/>
      <c r="AB4772" s="35"/>
      <c r="AC4772" s="35"/>
      <c r="AD4772" s="35"/>
      <c r="AE4772" s="35"/>
      <c r="AF4772" s="35"/>
      <c r="AG4772" s="35"/>
      <c r="AH4772" s="35"/>
      <c r="AI4772" s="35"/>
      <c r="AJ4772" s="35"/>
      <c r="AK4772" s="35"/>
      <c r="AL4772" s="35"/>
    </row>
    <row r="4773">
      <c r="A4773" s="18"/>
      <c r="B4773" s="75" t="s">
        <v>19332</v>
      </c>
      <c r="C4773" s="77" t="s">
        <v>18738</v>
      </c>
      <c r="D4773" s="47"/>
      <c r="E4773" s="22" t="s">
        <v>22665</v>
      </c>
      <c r="F4773" s="22" t="s">
        <v>9748</v>
      </c>
      <c r="G4773" s="23">
        <v>2018.0</v>
      </c>
      <c r="H4773" s="22" t="s">
        <v>284</v>
      </c>
      <c r="I4773" s="24" t="s">
        <v>22666</v>
      </c>
      <c r="J4773" s="22" t="s">
        <v>22667</v>
      </c>
      <c r="K4773" s="22"/>
      <c r="L4773" s="36">
        <v>940.0</v>
      </c>
      <c r="M4773" s="36">
        <v>500.0</v>
      </c>
      <c r="N4773" s="36" t="s">
        <v>22668</v>
      </c>
      <c r="O4773" s="36" t="s">
        <v>22669</v>
      </c>
      <c r="P4773" s="37" t="s">
        <v>22670</v>
      </c>
      <c r="Q4773" s="36" t="s">
        <v>22671</v>
      </c>
      <c r="R4773" s="36">
        <v>360.0</v>
      </c>
      <c r="S4773" s="36" t="s">
        <v>22672</v>
      </c>
      <c r="T4773" s="54" t="s">
        <v>22673</v>
      </c>
      <c r="U4773" s="38" t="str">
        <f>HYPERLINK("https://www.ncbi.nlm.nih.gov/pubmed/30591391","PubMed")</f>
        <v>PubMed</v>
      </c>
      <c r="V4773" s="30"/>
      <c r="W4773" s="156"/>
      <c r="X4773" s="49"/>
      <c r="Y4773" s="35"/>
      <c r="Z4773" s="35"/>
      <c r="AA4773" s="35"/>
      <c r="AB4773" s="35"/>
      <c r="AC4773" s="35"/>
      <c r="AD4773" s="35"/>
      <c r="AE4773" s="35"/>
      <c r="AF4773" s="35"/>
      <c r="AG4773" s="35"/>
      <c r="AH4773" s="35"/>
      <c r="AI4773" s="35"/>
      <c r="AJ4773" s="35"/>
      <c r="AK4773" s="35"/>
      <c r="AL4773" s="35"/>
    </row>
    <row r="4774">
      <c r="A4774" s="18"/>
      <c r="B4774" s="75" t="s">
        <v>19332</v>
      </c>
      <c r="C4774" s="77" t="s">
        <v>18738</v>
      </c>
      <c r="D4774" s="47"/>
      <c r="E4774" s="22" t="s">
        <v>22229</v>
      </c>
      <c r="F4774" s="22" t="s">
        <v>7853</v>
      </c>
      <c r="G4774" s="23">
        <v>2018.0</v>
      </c>
      <c r="H4774" s="22" t="s">
        <v>3347</v>
      </c>
      <c r="I4774" s="24" t="s">
        <v>22674</v>
      </c>
      <c r="J4774" s="22" t="s">
        <v>22675</v>
      </c>
      <c r="K4774" s="22" t="s">
        <v>22676</v>
      </c>
      <c r="L4774" s="36" t="s">
        <v>22677</v>
      </c>
      <c r="M4774" s="36"/>
      <c r="N4774" s="36"/>
      <c r="O4774" s="36"/>
      <c r="P4774" s="37"/>
      <c r="Q4774" s="36"/>
      <c r="R4774" s="36"/>
      <c r="S4774" s="36" t="s">
        <v>7612</v>
      </c>
      <c r="T4774" s="54" t="s">
        <v>22678</v>
      </c>
      <c r="U4774" s="38" t="str">
        <f>HYPERLINK("https://www.ncbi.nlm.nih.gov/pubmed/30534349","PubMed")</f>
        <v>PubMed</v>
      </c>
      <c r="V4774" s="30"/>
      <c r="W4774" s="156"/>
      <c r="X4774" s="49"/>
      <c r="Y4774" s="35"/>
      <c r="Z4774" s="35"/>
      <c r="AA4774" s="35"/>
      <c r="AB4774" s="35"/>
      <c r="AC4774" s="35"/>
      <c r="AD4774" s="35"/>
      <c r="AE4774" s="35"/>
      <c r="AF4774" s="35"/>
      <c r="AG4774" s="35"/>
      <c r="AH4774" s="35"/>
      <c r="AI4774" s="35"/>
      <c r="AJ4774" s="35"/>
      <c r="AK4774" s="35"/>
      <c r="AL4774" s="35"/>
    </row>
    <row r="4775">
      <c r="A4775" s="18"/>
      <c r="B4775" s="75" t="s">
        <v>19332</v>
      </c>
      <c r="C4775" s="77" t="s">
        <v>18738</v>
      </c>
      <c r="D4775" s="47"/>
      <c r="E4775" s="22" t="s">
        <v>22679</v>
      </c>
      <c r="F4775" s="22" t="s">
        <v>22680</v>
      </c>
      <c r="G4775" s="23">
        <v>2018.0</v>
      </c>
      <c r="H4775" s="22" t="s">
        <v>10563</v>
      </c>
      <c r="I4775" s="24" t="s">
        <v>22681</v>
      </c>
      <c r="J4775" s="22" t="s">
        <v>2273</v>
      </c>
      <c r="K4775" s="22" t="s">
        <v>22682</v>
      </c>
      <c r="L4775" s="36" t="s">
        <v>22683</v>
      </c>
      <c r="M4775" s="36"/>
      <c r="N4775" s="36"/>
      <c r="O4775" s="36">
        <v>4.0</v>
      </c>
      <c r="P4775" s="37" t="s">
        <v>22684</v>
      </c>
      <c r="Q4775" s="36"/>
      <c r="R4775" s="36" t="s">
        <v>22685</v>
      </c>
      <c r="S4775" s="36" t="s">
        <v>22686</v>
      </c>
      <c r="T4775" s="54" t="s">
        <v>22687</v>
      </c>
      <c r="U4775" s="38" t="str">
        <f>HYPERLINK("https://www.ncbi.nlm.nih.gov/pubmed/30423851","PubMed")</f>
        <v>PubMed</v>
      </c>
      <c r="V4775" s="30"/>
      <c r="W4775" s="156"/>
      <c r="X4775" s="49"/>
      <c r="Y4775" s="35"/>
      <c r="Z4775" s="35"/>
      <c r="AA4775" s="35"/>
      <c r="AB4775" s="35"/>
      <c r="AC4775" s="35"/>
      <c r="AD4775" s="35"/>
      <c r="AE4775" s="35"/>
      <c r="AF4775" s="35"/>
      <c r="AG4775" s="35"/>
      <c r="AH4775" s="35"/>
      <c r="AI4775" s="35"/>
      <c r="AJ4775" s="35"/>
      <c r="AK4775" s="35"/>
      <c r="AL4775" s="35"/>
    </row>
    <row r="4776">
      <c r="A4776" s="18"/>
      <c r="B4776" s="75" t="s">
        <v>19332</v>
      </c>
      <c r="C4776" s="77" t="s">
        <v>18738</v>
      </c>
      <c r="D4776" s="47"/>
      <c r="E4776" s="22" t="s">
        <v>22688</v>
      </c>
      <c r="F4776" s="22" t="s">
        <v>21942</v>
      </c>
      <c r="G4776" s="23">
        <v>2018.0</v>
      </c>
      <c r="H4776" s="22" t="s">
        <v>3963</v>
      </c>
      <c r="I4776" s="24" t="s">
        <v>22689</v>
      </c>
      <c r="J4776" s="22" t="s">
        <v>22690</v>
      </c>
      <c r="K4776" s="22"/>
      <c r="L4776" s="52" t="s">
        <v>22691</v>
      </c>
      <c r="M4776" s="52">
        <v>100.0</v>
      </c>
      <c r="N4776" s="52"/>
      <c r="O4776" s="52"/>
      <c r="P4776" s="189" t="s">
        <v>22692</v>
      </c>
      <c r="Q4776" s="52" t="s">
        <v>22693</v>
      </c>
      <c r="R4776" s="52"/>
      <c r="S4776" s="52"/>
      <c r="T4776" s="54" t="s">
        <v>22694</v>
      </c>
      <c r="U4776" s="38" t="str">
        <f>HYPERLINK("https://www.ncbi.nlm.nih.gov/pubmed/29695071","PubMed")</f>
        <v>PubMed</v>
      </c>
      <c r="V4776" s="30"/>
      <c r="W4776" s="156"/>
      <c r="X4776" s="49"/>
      <c r="Y4776" s="35"/>
      <c r="Z4776" s="35"/>
      <c r="AA4776" s="35"/>
      <c r="AB4776" s="35"/>
      <c r="AC4776" s="35"/>
      <c r="AD4776" s="35"/>
      <c r="AE4776" s="35"/>
      <c r="AF4776" s="35"/>
      <c r="AG4776" s="35"/>
      <c r="AH4776" s="35"/>
      <c r="AI4776" s="35"/>
      <c r="AJ4776" s="35"/>
      <c r="AK4776" s="35"/>
      <c r="AL4776" s="35"/>
    </row>
    <row r="4777">
      <c r="A4777" s="18"/>
      <c r="B4777" s="75" t="s">
        <v>19332</v>
      </c>
      <c r="C4777" s="77" t="s">
        <v>18738</v>
      </c>
      <c r="D4777" s="47"/>
      <c r="E4777" s="22" t="s">
        <v>1457</v>
      </c>
      <c r="F4777" s="22" t="s">
        <v>22695</v>
      </c>
      <c r="G4777" s="23">
        <v>2018.0</v>
      </c>
      <c r="H4777" s="22" t="s">
        <v>22696</v>
      </c>
      <c r="I4777" s="24" t="s">
        <v>22697</v>
      </c>
      <c r="J4777" s="22" t="s">
        <v>22698</v>
      </c>
      <c r="K4777" s="22" t="s">
        <v>294</v>
      </c>
      <c r="L4777" s="52" t="s">
        <v>112</v>
      </c>
      <c r="M4777" s="52" t="s">
        <v>22699</v>
      </c>
      <c r="N4777" s="52"/>
      <c r="O4777" s="52"/>
      <c r="P4777" s="189" t="s">
        <v>22700</v>
      </c>
      <c r="Q4777" s="52"/>
      <c r="R4777" s="52" t="s">
        <v>22701</v>
      </c>
      <c r="S4777" s="52" t="s">
        <v>7526</v>
      </c>
      <c r="T4777" s="54" t="s">
        <v>22702</v>
      </c>
      <c r="U4777" s="38" t="str">
        <f>HYPERLINK("http://ologyjournals.com/jdsomr/jdsomr_00016.pdf","Ology (PDF)")</f>
        <v>Ology (PDF)</v>
      </c>
      <c r="V4777" s="30"/>
      <c r="W4777" s="156"/>
      <c r="X4777" s="49"/>
      <c r="Y4777" s="35"/>
      <c r="Z4777" s="35"/>
      <c r="AA4777" s="35"/>
      <c r="AB4777" s="35"/>
      <c r="AC4777" s="35"/>
      <c r="AD4777" s="35"/>
      <c r="AE4777" s="35"/>
      <c r="AF4777" s="35"/>
      <c r="AG4777" s="35"/>
      <c r="AH4777" s="35"/>
      <c r="AI4777" s="35"/>
      <c r="AJ4777" s="35"/>
      <c r="AK4777" s="35"/>
      <c r="AL4777" s="35"/>
    </row>
    <row r="4778">
      <c r="A4778" s="18"/>
      <c r="B4778" s="75" t="s">
        <v>19332</v>
      </c>
      <c r="C4778" s="77" t="s">
        <v>18738</v>
      </c>
      <c r="D4778" s="47"/>
      <c r="E4778" s="22" t="s">
        <v>835</v>
      </c>
      <c r="F4778" s="22" t="s">
        <v>15511</v>
      </c>
      <c r="G4778" s="23">
        <v>2018.0</v>
      </c>
      <c r="H4778" s="22" t="s">
        <v>91</v>
      </c>
      <c r="I4778" s="24" t="s">
        <v>22703</v>
      </c>
      <c r="J4778" s="22" t="s">
        <v>22704</v>
      </c>
      <c r="K4778" s="22" t="s">
        <v>22705</v>
      </c>
      <c r="L4778" s="36" t="s">
        <v>11473</v>
      </c>
      <c r="M4778" s="36">
        <v>100.0</v>
      </c>
      <c r="N4778" s="36"/>
      <c r="O4778" s="36">
        <v>9.0</v>
      </c>
      <c r="P4778" s="37"/>
      <c r="Q4778" s="36" t="s">
        <v>22706</v>
      </c>
      <c r="R4778" s="36"/>
      <c r="S4778" s="36" t="s">
        <v>22707</v>
      </c>
      <c r="T4778" s="54" t="s">
        <v>22708</v>
      </c>
      <c r="U4778" s="38" t="str">
        <f>HYPERLINK("https://www.ncbi.nlm.nih.gov/pubmed/29948456","PubMed")</f>
        <v>PubMed</v>
      </c>
      <c r="V4778" s="30"/>
      <c r="W4778" s="156"/>
      <c r="X4778" s="49"/>
      <c r="Y4778" s="35"/>
      <c r="Z4778" s="35"/>
      <c r="AA4778" s="35"/>
      <c r="AB4778" s="35"/>
      <c r="AC4778" s="35"/>
      <c r="AD4778" s="35"/>
      <c r="AE4778" s="35"/>
      <c r="AF4778" s="35"/>
      <c r="AG4778" s="35"/>
      <c r="AH4778" s="35"/>
      <c r="AI4778" s="35"/>
      <c r="AJ4778" s="35"/>
      <c r="AK4778" s="35"/>
      <c r="AL4778" s="35"/>
    </row>
    <row r="4779">
      <c r="A4779" s="18"/>
      <c r="B4779" s="75" t="s">
        <v>19332</v>
      </c>
      <c r="C4779" s="77" t="s">
        <v>18738</v>
      </c>
      <c r="D4779" s="47"/>
      <c r="E4779" s="22" t="s">
        <v>22219</v>
      </c>
      <c r="F4779" s="22" t="s">
        <v>2161</v>
      </c>
      <c r="G4779" s="23">
        <v>2018.0</v>
      </c>
      <c r="H4779" s="22" t="s">
        <v>8177</v>
      </c>
      <c r="I4779" s="24" t="s">
        <v>22709</v>
      </c>
      <c r="J4779" s="22" t="s">
        <v>3887</v>
      </c>
      <c r="K4779" s="22"/>
      <c r="L4779" s="43" t="s">
        <v>22710</v>
      </c>
      <c r="M4779" s="44"/>
      <c r="N4779" s="44"/>
      <c r="O4779" s="44"/>
      <c r="P4779" s="44"/>
      <c r="Q4779" s="44"/>
      <c r="R4779" s="44"/>
      <c r="S4779" s="44"/>
      <c r="T4779" s="45"/>
      <c r="U4779" s="38" t="str">
        <f>HYPERLINK("https://www.ncbi.nlm.nih.gov/pubmed/29789949","PubMed")</f>
        <v>PubMed</v>
      </c>
      <c r="V4779" s="30"/>
      <c r="W4779" s="156"/>
      <c r="X4779" s="49"/>
      <c r="Y4779" s="35"/>
      <c r="Z4779" s="35"/>
      <c r="AA4779" s="35"/>
      <c r="AB4779" s="35"/>
      <c r="AC4779" s="35"/>
      <c r="AD4779" s="35"/>
      <c r="AE4779" s="35"/>
      <c r="AF4779" s="35"/>
      <c r="AG4779" s="35"/>
      <c r="AH4779" s="35"/>
      <c r="AI4779" s="35"/>
      <c r="AJ4779" s="35"/>
      <c r="AK4779" s="35"/>
      <c r="AL4779" s="35"/>
    </row>
    <row r="4780">
      <c r="A4780" s="18"/>
      <c r="B4780" s="75" t="s">
        <v>19332</v>
      </c>
      <c r="C4780" s="77" t="s">
        <v>18738</v>
      </c>
      <c r="D4780" s="47"/>
      <c r="E4780" s="22" t="s">
        <v>22711</v>
      </c>
      <c r="F4780" s="22" t="s">
        <v>870</v>
      </c>
      <c r="G4780" s="23">
        <v>2018.0</v>
      </c>
      <c r="H4780" s="22" t="s">
        <v>22712</v>
      </c>
      <c r="I4780" s="24" t="s">
        <v>22713</v>
      </c>
      <c r="J4780" s="22" t="s">
        <v>22714</v>
      </c>
      <c r="K4780" s="22"/>
      <c r="L4780" s="36" t="s">
        <v>22715</v>
      </c>
      <c r="M4780" s="36" t="s">
        <v>22716</v>
      </c>
      <c r="N4780" s="36"/>
      <c r="O4780" s="36" t="s">
        <v>22717</v>
      </c>
      <c r="P4780" s="37" t="s">
        <v>22718</v>
      </c>
      <c r="Q4780" s="36" t="s">
        <v>22719</v>
      </c>
      <c r="R4780" s="36" t="s">
        <v>1208</v>
      </c>
      <c r="S4780" s="36" t="s">
        <v>22720</v>
      </c>
      <c r="T4780" s="54" t="s">
        <v>22721</v>
      </c>
      <c r="U4780" s="38" t="str">
        <f>HYPERLINK("https://www.ncbi.nlm.nih.gov/pubmed/29681940","PubMed")</f>
        <v>PubMed</v>
      </c>
      <c r="V4780" s="30"/>
      <c r="W4780" s="156"/>
      <c r="X4780" s="49"/>
      <c r="Y4780" s="35"/>
      <c r="Z4780" s="35"/>
      <c r="AA4780" s="35"/>
      <c r="AB4780" s="35"/>
      <c r="AC4780" s="35"/>
      <c r="AD4780" s="35"/>
      <c r="AE4780" s="35"/>
      <c r="AF4780" s="35"/>
      <c r="AG4780" s="35"/>
      <c r="AH4780" s="35"/>
      <c r="AI4780" s="35"/>
      <c r="AJ4780" s="35"/>
      <c r="AK4780" s="35"/>
      <c r="AL4780" s="35"/>
    </row>
    <row r="4781">
      <c r="A4781" s="18"/>
      <c r="B4781" s="75" t="s">
        <v>19332</v>
      </c>
      <c r="C4781" s="77" t="s">
        <v>18738</v>
      </c>
      <c r="D4781" s="47"/>
      <c r="E4781" s="22" t="s">
        <v>22722</v>
      </c>
      <c r="F4781" s="22" t="s">
        <v>22723</v>
      </c>
      <c r="G4781" s="23">
        <v>2018.0</v>
      </c>
      <c r="H4781" s="22" t="s">
        <v>22724</v>
      </c>
      <c r="I4781" s="24" t="s">
        <v>22725</v>
      </c>
      <c r="J4781" s="22" t="s">
        <v>125</v>
      </c>
      <c r="K4781" s="22"/>
      <c r="L4781" s="167" t="s">
        <v>22726</v>
      </c>
      <c r="M4781" s="44"/>
      <c r="N4781" s="44"/>
      <c r="O4781" s="44"/>
      <c r="P4781" s="44"/>
      <c r="Q4781" s="44"/>
      <c r="R4781" s="44"/>
      <c r="S4781" s="44"/>
      <c r="T4781" s="45"/>
      <c r="U4781" s="38" t="str">
        <f>HYPERLINK("https://www.ncbi.nlm.nih.gov/pubmed/29776830","PubMed")</f>
        <v>PubMed</v>
      </c>
      <c r="V4781" s="30"/>
      <c r="W4781" s="156"/>
      <c r="X4781" s="49"/>
      <c r="Y4781" s="35"/>
      <c r="Z4781" s="35"/>
      <c r="AA4781" s="35"/>
      <c r="AB4781" s="35"/>
      <c r="AC4781" s="35"/>
      <c r="AD4781" s="35"/>
      <c r="AE4781" s="35"/>
      <c r="AF4781" s="35"/>
      <c r="AG4781" s="35"/>
      <c r="AH4781" s="35"/>
      <c r="AI4781" s="35"/>
      <c r="AJ4781" s="35"/>
      <c r="AK4781" s="35"/>
      <c r="AL4781" s="35"/>
    </row>
    <row r="4782">
      <c r="A4782" s="18"/>
      <c r="B4782" s="19" t="s">
        <v>19332</v>
      </c>
      <c r="C4782" s="20" t="s">
        <v>18738</v>
      </c>
      <c r="D4782" s="47"/>
      <c r="E4782" s="22" t="s">
        <v>8176</v>
      </c>
      <c r="F4782" s="22" t="s">
        <v>7853</v>
      </c>
      <c r="G4782" s="23">
        <v>2018.0</v>
      </c>
      <c r="H4782" s="22" t="s">
        <v>22211</v>
      </c>
      <c r="I4782" s="24" t="s">
        <v>22727</v>
      </c>
      <c r="J4782" s="22" t="s">
        <v>22728</v>
      </c>
      <c r="K4782" s="22" t="s">
        <v>22729</v>
      </c>
      <c r="L4782" s="36" t="s">
        <v>22730</v>
      </c>
      <c r="M4782" s="36"/>
      <c r="N4782" s="36" t="s">
        <v>22731</v>
      </c>
      <c r="O4782" s="36" t="s">
        <v>22732</v>
      </c>
      <c r="P4782" s="37" t="s">
        <v>22733</v>
      </c>
      <c r="Q4782" s="36" t="s">
        <v>501</v>
      </c>
      <c r="R4782" s="36" t="s">
        <v>22734</v>
      </c>
      <c r="S4782" s="36" t="s">
        <v>7612</v>
      </c>
      <c r="T4782" s="54" t="s">
        <v>22735</v>
      </c>
      <c r="U4782" s="38" t="str">
        <f>HYPERLINK("https://www.ncbi.nlm.nih.gov/pubmed/29727048","PubMed")</f>
        <v>PubMed</v>
      </c>
      <c r="V4782" s="30"/>
      <c r="W4782" s="156"/>
      <c r="X4782" s="49"/>
      <c r="Y4782" s="35"/>
      <c r="Z4782" s="35"/>
      <c r="AA4782" s="35"/>
      <c r="AB4782" s="35"/>
      <c r="AC4782" s="35"/>
      <c r="AD4782" s="35"/>
      <c r="AE4782" s="35"/>
      <c r="AF4782" s="35"/>
      <c r="AG4782" s="35"/>
      <c r="AH4782" s="35"/>
      <c r="AI4782" s="35"/>
      <c r="AJ4782" s="35"/>
      <c r="AK4782" s="35"/>
      <c r="AL4782" s="35"/>
    </row>
    <row r="4783">
      <c r="A4783" s="18"/>
      <c r="B4783" s="19" t="s">
        <v>19332</v>
      </c>
      <c r="C4783" s="20" t="s">
        <v>18738</v>
      </c>
      <c r="D4783" s="47"/>
      <c r="E4783" s="22" t="s">
        <v>22204</v>
      </c>
      <c r="F4783" s="22" t="s">
        <v>41</v>
      </c>
      <c r="G4783" s="23">
        <v>2018.0</v>
      </c>
      <c r="H4783" s="22" t="s">
        <v>8177</v>
      </c>
      <c r="I4783" s="24" t="s">
        <v>22736</v>
      </c>
      <c r="J4783" s="22" t="s">
        <v>22737</v>
      </c>
      <c r="K4783" s="22" t="s">
        <v>22738</v>
      </c>
      <c r="L4783" s="36">
        <v>660.0</v>
      </c>
      <c r="M4783" s="36">
        <v>40.0</v>
      </c>
      <c r="N4783" s="36">
        <v>1.0</v>
      </c>
      <c r="O4783" s="36" t="s">
        <v>431</v>
      </c>
      <c r="P4783" s="37" t="s">
        <v>95</v>
      </c>
      <c r="Q4783" s="36" t="s">
        <v>10853</v>
      </c>
      <c r="R4783" s="36"/>
      <c r="S4783" s="36" t="s">
        <v>22739</v>
      </c>
      <c r="T4783" s="54" t="s">
        <v>22740</v>
      </c>
      <c r="U4783" s="38" t="str">
        <f>HYPERLINK("https://www.ncbi.nlm.nih.gov/pubmed/29423682","PubMed")</f>
        <v>PubMed</v>
      </c>
      <c r="V4783" s="30"/>
      <c r="W4783" s="156"/>
      <c r="X4783" s="49"/>
      <c r="Y4783" s="35"/>
      <c r="Z4783" s="35"/>
      <c r="AA4783" s="35"/>
      <c r="AB4783" s="35"/>
      <c r="AC4783" s="35"/>
      <c r="AD4783" s="35"/>
      <c r="AE4783" s="35"/>
      <c r="AF4783" s="35"/>
      <c r="AG4783" s="35"/>
      <c r="AH4783" s="35"/>
      <c r="AI4783" s="35"/>
      <c r="AJ4783" s="35"/>
      <c r="AK4783" s="35"/>
      <c r="AL4783" s="35"/>
    </row>
    <row r="4784">
      <c r="A4784" s="18"/>
      <c r="B4784" s="19" t="s">
        <v>19332</v>
      </c>
      <c r="C4784" s="20" t="s">
        <v>18738</v>
      </c>
      <c r="D4784" s="47"/>
      <c r="E4784" s="22" t="s">
        <v>22741</v>
      </c>
      <c r="F4784" s="22" t="s">
        <v>6074</v>
      </c>
      <c r="G4784" s="23">
        <v>2017.0</v>
      </c>
      <c r="H4784" s="22" t="s">
        <v>658</v>
      </c>
      <c r="I4784" s="24" t="s">
        <v>22742</v>
      </c>
      <c r="J4784" s="22" t="s">
        <v>3289</v>
      </c>
      <c r="K4784" s="22"/>
      <c r="L4784" s="202" t="s">
        <v>22743</v>
      </c>
      <c r="U4784" s="38" t="str">
        <f>HYPERLINK("https://www.ncbi.nlm.nih.gov/pubmed/28628423","PubMed")</f>
        <v>PubMed</v>
      </c>
      <c r="V4784" s="30"/>
      <c r="W4784" s="156"/>
      <c r="X4784" s="49"/>
      <c r="Y4784" s="35"/>
      <c r="Z4784" s="35"/>
      <c r="AA4784" s="35"/>
      <c r="AB4784" s="35"/>
      <c r="AC4784" s="35"/>
      <c r="AD4784" s="35"/>
      <c r="AE4784" s="35"/>
      <c r="AF4784" s="35"/>
      <c r="AG4784" s="35"/>
      <c r="AH4784" s="35"/>
      <c r="AI4784" s="35"/>
      <c r="AJ4784" s="35"/>
      <c r="AK4784" s="35"/>
      <c r="AL4784" s="35"/>
    </row>
    <row r="4785">
      <c r="A4785" s="18"/>
      <c r="B4785" s="19" t="s">
        <v>19332</v>
      </c>
      <c r="C4785" s="20" t="s">
        <v>18738</v>
      </c>
      <c r="D4785" s="47"/>
      <c r="E4785" s="22" t="s">
        <v>10513</v>
      </c>
      <c r="F4785" s="22" t="s">
        <v>41</v>
      </c>
      <c r="G4785" s="23">
        <v>2017.0</v>
      </c>
      <c r="H4785" s="22" t="s">
        <v>91</v>
      </c>
      <c r="I4785" s="24" t="s">
        <v>22744</v>
      </c>
      <c r="J4785" s="22" t="s">
        <v>22745</v>
      </c>
      <c r="K4785" s="22"/>
      <c r="L4785" s="52">
        <v>660.0</v>
      </c>
      <c r="M4785" s="52">
        <v>15.0</v>
      </c>
      <c r="N4785" s="52"/>
      <c r="O4785" s="52"/>
      <c r="P4785" s="189" t="s">
        <v>1400</v>
      </c>
      <c r="Q4785" s="52" t="s">
        <v>1199</v>
      </c>
      <c r="R4785" s="52" t="s">
        <v>12605</v>
      </c>
      <c r="S4785" s="52" t="s">
        <v>22746</v>
      </c>
      <c r="T4785" s="54" t="s">
        <v>22747</v>
      </c>
      <c r="U4785" s="38" t="str">
        <f>HYPERLINK("https://www.ncbi.nlm.nih.gov/pubmed/28512727","PubMed")</f>
        <v>PubMed</v>
      </c>
      <c r="V4785" s="30"/>
      <c r="W4785" s="156"/>
      <c r="X4785" s="49"/>
      <c r="Y4785" s="35"/>
      <c r="Z4785" s="35"/>
      <c r="AA4785" s="35"/>
      <c r="AB4785" s="35"/>
      <c r="AC4785" s="35"/>
      <c r="AD4785" s="35"/>
      <c r="AE4785" s="35"/>
      <c r="AF4785" s="35"/>
      <c r="AG4785" s="35"/>
      <c r="AH4785" s="35"/>
      <c r="AI4785" s="35"/>
      <c r="AJ4785" s="35"/>
      <c r="AK4785" s="35"/>
      <c r="AL4785" s="35"/>
    </row>
    <row r="4786">
      <c r="A4786" s="18"/>
      <c r="B4786" s="19" t="s">
        <v>19332</v>
      </c>
      <c r="C4786" s="20" t="s">
        <v>18738</v>
      </c>
      <c r="D4786" s="47"/>
      <c r="E4786" s="22" t="s">
        <v>3827</v>
      </c>
      <c r="F4786" s="22" t="s">
        <v>1154</v>
      </c>
      <c r="G4786" s="23">
        <v>2017.0</v>
      </c>
      <c r="H4786" s="22" t="s">
        <v>1485</v>
      </c>
      <c r="I4786" s="24" t="s">
        <v>22748</v>
      </c>
      <c r="J4786" s="22" t="s">
        <v>22749</v>
      </c>
      <c r="K4786" s="22" t="s">
        <v>22750</v>
      </c>
      <c r="L4786" s="52" t="s">
        <v>22751</v>
      </c>
      <c r="M4786" s="52"/>
      <c r="N4786" s="52"/>
      <c r="O4786" s="52" t="s">
        <v>22752</v>
      </c>
      <c r="P4786" s="189"/>
      <c r="Q4786" s="52"/>
      <c r="R4786" s="52"/>
      <c r="S4786" s="52" t="s">
        <v>22753</v>
      </c>
      <c r="T4786" s="54" t="s">
        <v>22754</v>
      </c>
      <c r="U4786" s="38" t="str">
        <f>HYPERLINK("https://www.ncbi.nlm.nih.gov/pubmed/29175466","PubMed")</f>
        <v>PubMed</v>
      </c>
      <c r="V4786" s="30"/>
      <c r="W4786" s="156"/>
      <c r="X4786" s="49"/>
      <c r="Y4786" s="35"/>
      <c r="Z4786" s="35"/>
      <c r="AA4786" s="35"/>
      <c r="AB4786" s="35"/>
      <c r="AC4786" s="35"/>
      <c r="AD4786" s="35"/>
      <c r="AE4786" s="35"/>
      <c r="AF4786" s="35"/>
      <c r="AG4786" s="35"/>
      <c r="AH4786" s="35"/>
      <c r="AI4786" s="35"/>
      <c r="AJ4786" s="35"/>
      <c r="AK4786" s="35"/>
      <c r="AL4786" s="35"/>
    </row>
    <row r="4787">
      <c r="A4787" s="18"/>
      <c r="B4787" s="19" t="s">
        <v>19332</v>
      </c>
      <c r="C4787" s="20" t="s">
        <v>18738</v>
      </c>
      <c r="D4787" s="47"/>
      <c r="E4787" s="22" t="s">
        <v>22755</v>
      </c>
      <c r="F4787" s="22" t="s">
        <v>993</v>
      </c>
      <c r="G4787" s="23" t="s">
        <v>90</v>
      </c>
      <c r="H4787" s="22" t="s">
        <v>91</v>
      </c>
      <c r="I4787" s="24" t="s">
        <v>22756</v>
      </c>
      <c r="J4787" s="22" t="s">
        <v>22757</v>
      </c>
      <c r="K4787" s="22" t="s">
        <v>73</v>
      </c>
      <c r="L4787" s="52">
        <v>660.0</v>
      </c>
      <c r="M4787" s="52">
        <v>100.0</v>
      </c>
      <c r="N4787" s="52"/>
      <c r="O4787" s="52" t="s">
        <v>22758</v>
      </c>
      <c r="P4787" s="189" t="s">
        <v>254</v>
      </c>
      <c r="Q4787" s="52" t="s">
        <v>22759</v>
      </c>
      <c r="R4787" s="52" t="s">
        <v>22760</v>
      </c>
      <c r="S4787" s="52" t="s">
        <v>22761</v>
      </c>
      <c r="T4787" s="54" t="s">
        <v>22762</v>
      </c>
      <c r="U4787" s="38" t="str">
        <f>HYPERLINK("https://www.ncbi.nlm.nih.gov/pubmed/28840431","PubMed")</f>
        <v>PubMed</v>
      </c>
      <c r="V4787" s="30"/>
      <c r="W4787" s="156"/>
      <c r="X4787" s="49"/>
      <c r="Y4787" s="35"/>
      <c r="Z4787" s="35"/>
      <c r="AA4787" s="35"/>
      <c r="AB4787" s="35"/>
      <c r="AC4787" s="35"/>
      <c r="AD4787" s="35"/>
      <c r="AE4787" s="35"/>
      <c r="AF4787" s="35"/>
      <c r="AG4787" s="35"/>
      <c r="AH4787" s="35"/>
      <c r="AI4787" s="35"/>
      <c r="AJ4787" s="35"/>
      <c r="AK4787" s="35"/>
      <c r="AL4787" s="35"/>
    </row>
    <row r="4788">
      <c r="A4788" s="18"/>
      <c r="B4788" s="19" t="s">
        <v>19332</v>
      </c>
      <c r="C4788" s="20" t="s">
        <v>18738</v>
      </c>
      <c r="D4788" s="47"/>
      <c r="E4788" s="22" t="s">
        <v>10106</v>
      </c>
      <c r="F4788" s="22" t="s">
        <v>2196</v>
      </c>
      <c r="G4788" s="23">
        <v>2017.0</v>
      </c>
      <c r="H4788" s="22" t="s">
        <v>22763</v>
      </c>
      <c r="I4788" s="24" t="s">
        <v>22764</v>
      </c>
      <c r="J4788" s="22" t="s">
        <v>1078</v>
      </c>
      <c r="K4788" s="22" t="s">
        <v>12977</v>
      </c>
      <c r="L4788" s="173" t="s">
        <v>22765</v>
      </c>
      <c r="U4788" s="38" t="str">
        <f>HYPERLINK("https://www.ncbi.nlm.nih.gov/pubmed/29128883","PubMed")</f>
        <v>PubMed</v>
      </c>
      <c r="V4788" s="30"/>
      <c r="W4788" s="156"/>
      <c r="X4788" s="49"/>
      <c r="Y4788" s="35"/>
      <c r="Z4788" s="35"/>
      <c r="AA4788" s="35"/>
      <c r="AB4788" s="35"/>
      <c r="AC4788" s="35"/>
      <c r="AD4788" s="35"/>
      <c r="AE4788" s="35"/>
      <c r="AF4788" s="35"/>
      <c r="AG4788" s="35"/>
      <c r="AH4788" s="35"/>
      <c r="AI4788" s="35"/>
      <c r="AJ4788" s="35"/>
      <c r="AK4788" s="35"/>
      <c r="AL4788" s="35"/>
    </row>
    <row r="4789">
      <c r="A4789" s="18"/>
      <c r="B4789" s="19" t="s">
        <v>19332</v>
      </c>
      <c r="C4789" s="20" t="s">
        <v>18738</v>
      </c>
      <c r="D4789" s="47"/>
      <c r="E4789" s="22" t="s">
        <v>22766</v>
      </c>
      <c r="F4789" s="22" t="s">
        <v>9395</v>
      </c>
      <c r="G4789" s="23">
        <v>2017.0</v>
      </c>
      <c r="H4789" s="22" t="s">
        <v>22767</v>
      </c>
      <c r="I4789" s="24" t="s">
        <v>22768</v>
      </c>
      <c r="J4789" s="22" t="s">
        <v>125</v>
      </c>
      <c r="K4789" s="22"/>
      <c r="L4789" s="173" t="s">
        <v>22769</v>
      </c>
      <c r="U4789" s="38" t="str">
        <f>HYPERLINK("https://www.ncbi.nlm.nih.gov/pubmed/28984677","PubMed")</f>
        <v>PubMed</v>
      </c>
      <c r="V4789" s="30"/>
      <c r="W4789" s="156"/>
      <c r="X4789" s="49"/>
      <c r="Y4789" s="35"/>
      <c r="Z4789" s="35"/>
      <c r="AA4789" s="35"/>
      <c r="AB4789" s="35"/>
      <c r="AC4789" s="35"/>
      <c r="AD4789" s="35"/>
      <c r="AE4789" s="35"/>
      <c r="AF4789" s="35"/>
      <c r="AG4789" s="35"/>
      <c r="AH4789" s="35"/>
      <c r="AI4789" s="35"/>
      <c r="AJ4789" s="35"/>
      <c r="AK4789" s="35"/>
      <c r="AL4789" s="35"/>
    </row>
    <row r="4790">
      <c r="A4790" s="18"/>
      <c r="B4790" s="19" t="s">
        <v>19332</v>
      </c>
      <c r="C4790" s="20" t="s">
        <v>18738</v>
      </c>
      <c r="D4790" s="47"/>
      <c r="E4790" s="22" t="s">
        <v>22770</v>
      </c>
      <c r="F4790" s="22" t="s">
        <v>22771</v>
      </c>
      <c r="G4790" s="23">
        <v>2017.0</v>
      </c>
      <c r="H4790" s="22" t="s">
        <v>169</v>
      </c>
      <c r="I4790" s="24" t="s">
        <v>22772</v>
      </c>
      <c r="J4790" s="22" t="s">
        <v>22773</v>
      </c>
      <c r="K4790" s="22"/>
      <c r="L4790" s="52">
        <v>660.0</v>
      </c>
      <c r="M4790" s="52">
        <v>100.0</v>
      </c>
      <c r="N4790" s="52"/>
      <c r="O4790" s="52"/>
      <c r="P4790" s="189" t="s">
        <v>1028</v>
      </c>
      <c r="Q4790" s="52"/>
      <c r="R4790" s="52" t="s">
        <v>22774</v>
      </c>
      <c r="S4790" s="52" t="s">
        <v>22775</v>
      </c>
      <c r="T4790" s="54" t="s">
        <v>22776</v>
      </c>
      <c r="U4790" s="38" t="str">
        <f>HYPERLINK("https://www.ncbi.nlm.nih.gov/pubmed/29020483","PubMed")</f>
        <v>PubMed</v>
      </c>
      <c r="V4790" s="30"/>
      <c r="W4790" s="156"/>
      <c r="X4790" s="49"/>
      <c r="Y4790" s="35"/>
      <c r="Z4790" s="35"/>
      <c r="AA4790" s="35"/>
      <c r="AB4790" s="35"/>
      <c r="AC4790" s="35"/>
      <c r="AD4790" s="35"/>
      <c r="AE4790" s="35"/>
      <c r="AF4790" s="35"/>
      <c r="AG4790" s="35"/>
      <c r="AH4790" s="35"/>
      <c r="AI4790" s="35"/>
      <c r="AJ4790" s="35"/>
      <c r="AK4790" s="35"/>
      <c r="AL4790" s="35"/>
    </row>
    <row r="4791">
      <c r="A4791" s="18"/>
      <c r="B4791" s="19" t="s">
        <v>19332</v>
      </c>
      <c r="C4791" s="20" t="s">
        <v>18738</v>
      </c>
      <c r="D4791" s="47"/>
      <c r="E4791" s="22" t="s">
        <v>22777</v>
      </c>
      <c r="F4791" s="22" t="s">
        <v>400</v>
      </c>
      <c r="G4791" s="23">
        <v>2017.0</v>
      </c>
      <c r="H4791" s="22" t="s">
        <v>91</v>
      </c>
      <c r="I4791" s="24" t="s">
        <v>22778</v>
      </c>
      <c r="J4791" s="22" t="s">
        <v>22779</v>
      </c>
      <c r="K4791" s="22"/>
      <c r="L4791" s="52">
        <v>660.0</v>
      </c>
      <c r="M4791" s="52" t="s">
        <v>22780</v>
      </c>
      <c r="N4791" s="52">
        <v>1.0</v>
      </c>
      <c r="O4791" s="52" t="s">
        <v>22781</v>
      </c>
      <c r="P4791" s="189" t="s">
        <v>82</v>
      </c>
      <c r="Q4791" s="52" t="s">
        <v>7605</v>
      </c>
      <c r="R4791" s="52" t="s">
        <v>22782</v>
      </c>
      <c r="S4791" s="52" t="s">
        <v>22783</v>
      </c>
      <c r="T4791" s="54" t="s">
        <v>22784</v>
      </c>
      <c r="U4791" s="38" t="str">
        <f>HYPERLINK("https://www.ncbi.nlm.nih.gov/pubmed/28840382","PubMed")</f>
        <v>PubMed</v>
      </c>
      <c r="V4791" s="30"/>
      <c r="W4791" s="156"/>
      <c r="X4791" s="49"/>
      <c r="Y4791" s="35"/>
      <c r="Z4791" s="35"/>
      <c r="AA4791" s="35"/>
      <c r="AB4791" s="35"/>
      <c r="AC4791" s="35"/>
      <c r="AD4791" s="35"/>
      <c r="AE4791" s="35"/>
      <c r="AF4791" s="35"/>
      <c r="AG4791" s="35"/>
      <c r="AH4791" s="35"/>
      <c r="AI4791" s="35"/>
      <c r="AJ4791" s="35"/>
      <c r="AK4791" s="35"/>
      <c r="AL4791" s="35"/>
    </row>
    <row r="4792">
      <c r="A4792" s="18"/>
      <c r="B4792" s="19" t="s">
        <v>19332</v>
      </c>
      <c r="C4792" s="20" t="s">
        <v>18738</v>
      </c>
      <c r="D4792" s="47"/>
      <c r="E4792" s="22" t="s">
        <v>22785</v>
      </c>
      <c r="F4792" s="22" t="s">
        <v>22786</v>
      </c>
      <c r="G4792" s="23">
        <v>2017.0</v>
      </c>
      <c r="H4792" s="22" t="s">
        <v>91</v>
      </c>
      <c r="I4792" s="24" t="s">
        <v>22787</v>
      </c>
      <c r="J4792" s="22" t="s">
        <v>22788</v>
      </c>
      <c r="K4792" s="22" t="s">
        <v>22789</v>
      </c>
      <c r="L4792" s="52">
        <v>660.0</v>
      </c>
      <c r="M4792" s="52">
        <v>40.0</v>
      </c>
      <c r="N4792" s="52"/>
      <c r="O4792" s="52" t="s">
        <v>22790</v>
      </c>
      <c r="P4792" s="189" t="s">
        <v>254</v>
      </c>
      <c r="Q4792" s="52" t="s">
        <v>830</v>
      </c>
      <c r="R4792" s="52" t="s">
        <v>22791</v>
      </c>
      <c r="S4792" s="52" t="s">
        <v>22792</v>
      </c>
      <c r="T4792" s="54" t="s">
        <v>22793</v>
      </c>
      <c r="U4792" s="38" t="str">
        <f>HYPERLINK("https://www.ncbi.nlm.nih.gov/pubmed/28664388","PubMed")</f>
        <v>PubMed</v>
      </c>
      <c r="V4792" s="30"/>
      <c r="W4792" s="156"/>
      <c r="X4792" s="49"/>
      <c r="Y4792" s="35"/>
      <c r="Z4792" s="35"/>
      <c r="AA4792" s="35"/>
      <c r="AB4792" s="35"/>
      <c r="AC4792" s="35"/>
      <c r="AD4792" s="35"/>
      <c r="AE4792" s="35"/>
      <c r="AF4792" s="35"/>
      <c r="AG4792" s="35"/>
      <c r="AH4792" s="35"/>
      <c r="AI4792" s="35"/>
      <c r="AJ4792" s="35"/>
      <c r="AK4792" s="35"/>
      <c r="AL4792" s="35"/>
    </row>
    <row r="4793">
      <c r="A4793" s="240"/>
      <c r="B4793" s="19" t="s">
        <v>19332</v>
      </c>
      <c r="C4793" s="20" t="s">
        <v>18738</v>
      </c>
      <c r="D4793" s="47"/>
      <c r="E4793" s="22" t="s">
        <v>22794</v>
      </c>
      <c r="F4793" s="22" t="s">
        <v>2535</v>
      </c>
      <c r="G4793" s="23">
        <v>2017.0</v>
      </c>
      <c r="H4793" s="22" t="s">
        <v>22609</v>
      </c>
      <c r="I4793" s="24" t="s">
        <v>22795</v>
      </c>
      <c r="J4793" s="22" t="s">
        <v>22473</v>
      </c>
      <c r="K4793" s="22" t="s">
        <v>22796</v>
      </c>
      <c r="L4793" s="53" t="s">
        <v>22797</v>
      </c>
      <c r="U4793" s="38" t="str">
        <f>HYPERLINK("https://www.ncbi.nlm.nih.gov/pubmed/25818385","PubMed")</f>
        <v>PubMed</v>
      </c>
      <c r="V4793" s="30"/>
      <c r="W4793" s="49"/>
      <c r="X4793" s="49"/>
      <c r="Y4793" s="35"/>
      <c r="Z4793" s="35"/>
      <c r="AA4793" s="35"/>
      <c r="AB4793" s="35"/>
      <c r="AC4793" s="35"/>
      <c r="AD4793" s="35"/>
      <c r="AE4793" s="35"/>
      <c r="AF4793" s="35"/>
      <c r="AG4793" s="35"/>
      <c r="AH4793" s="35"/>
      <c r="AI4793" s="35"/>
      <c r="AJ4793" s="35"/>
      <c r="AK4793" s="35"/>
      <c r="AL4793" s="35"/>
    </row>
    <row r="4794">
      <c r="A4794" s="240"/>
      <c r="B4794" s="19" t="s">
        <v>19332</v>
      </c>
      <c r="C4794" s="20" t="s">
        <v>18738</v>
      </c>
      <c r="D4794" s="47"/>
      <c r="E4794" s="22" t="s">
        <v>22304</v>
      </c>
      <c r="F4794" s="22" t="s">
        <v>41</v>
      </c>
      <c r="G4794" s="23">
        <v>2017.0</v>
      </c>
      <c r="H4794" s="22" t="s">
        <v>1025</v>
      </c>
      <c r="I4794" s="24" t="s">
        <v>22798</v>
      </c>
      <c r="J4794" s="22" t="s">
        <v>8564</v>
      </c>
      <c r="K4794" s="22"/>
      <c r="L4794" s="36">
        <v>660.0</v>
      </c>
      <c r="M4794" s="36">
        <v>40.0</v>
      </c>
      <c r="N4794" s="36"/>
      <c r="O4794" s="36" t="s">
        <v>22799</v>
      </c>
      <c r="P4794" s="37" t="s">
        <v>22800</v>
      </c>
      <c r="Q4794" s="36" t="s">
        <v>96</v>
      </c>
      <c r="R4794" s="36"/>
      <c r="S4794" s="36"/>
      <c r="T4794" s="54" t="s">
        <v>22801</v>
      </c>
      <c r="U4794" s="38" t="str">
        <f>HYPERLINK("https://www.ncbi.nlm.nih.gov/pubmed/28129411","PubMed")</f>
        <v>PubMed</v>
      </c>
      <c r="V4794" s="30"/>
      <c r="W4794" s="49"/>
      <c r="X4794" s="49"/>
      <c r="Y4794" s="35"/>
      <c r="Z4794" s="35"/>
      <c r="AA4794" s="35"/>
      <c r="AB4794" s="35"/>
      <c r="AC4794" s="35"/>
      <c r="AD4794" s="35"/>
      <c r="AE4794" s="35"/>
      <c r="AF4794" s="35"/>
      <c r="AG4794" s="35"/>
      <c r="AH4794" s="35"/>
      <c r="AI4794" s="35"/>
      <c r="AJ4794" s="35"/>
      <c r="AK4794" s="35"/>
      <c r="AL4794" s="35"/>
    </row>
    <row r="4795">
      <c r="A4795" s="240"/>
      <c r="B4795" s="19" t="s">
        <v>19332</v>
      </c>
      <c r="C4795" s="20" t="s">
        <v>18738</v>
      </c>
      <c r="D4795" s="47"/>
      <c r="E4795" s="22" t="s">
        <v>22802</v>
      </c>
      <c r="F4795" s="22" t="s">
        <v>605</v>
      </c>
      <c r="G4795" s="23" t="s">
        <v>90</v>
      </c>
      <c r="H4795" s="22" t="s">
        <v>91</v>
      </c>
      <c r="I4795" s="24" t="s">
        <v>22803</v>
      </c>
      <c r="J4795" s="22" t="s">
        <v>55</v>
      </c>
      <c r="K4795" s="22"/>
      <c r="L4795" s="36"/>
      <c r="M4795" s="36"/>
      <c r="N4795" s="36"/>
      <c r="O4795" s="36"/>
      <c r="P4795" s="37"/>
      <c r="Q4795" s="36"/>
      <c r="R4795" s="36"/>
      <c r="S4795" s="36"/>
      <c r="T4795" s="54" t="s">
        <v>22804</v>
      </c>
      <c r="U4795" s="215"/>
      <c r="V4795" s="30"/>
      <c r="W4795" s="49"/>
      <c r="X4795" s="49"/>
      <c r="Y4795" s="35"/>
      <c r="Z4795" s="35"/>
      <c r="AA4795" s="35"/>
      <c r="AB4795" s="35"/>
      <c r="AC4795" s="35"/>
      <c r="AD4795" s="35"/>
      <c r="AE4795" s="35"/>
      <c r="AF4795" s="35"/>
      <c r="AG4795" s="35"/>
      <c r="AH4795" s="35"/>
      <c r="AI4795" s="35"/>
      <c r="AJ4795" s="35"/>
      <c r="AK4795" s="35"/>
      <c r="AL4795" s="35"/>
    </row>
    <row r="4796">
      <c r="A4796" s="240"/>
      <c r="B4796" s="19" t="s">
        <v>19332</v>
      </c>
      <c r="C4796" s="20" t="s">
        <v>18738</v>
      </c>
      <c r="D4796" s="47"/>
      <c r="E4796" s="22" t="s">
        <v>22805</v>
      </c>
      <c r="F4796" s="22" t="s">
        <v>7657</v>
      </c>
      <c r="G4796" s="23" t="s">
        <v>90</v>
      </c>
      <c r="H4796" s="22" t="s">
        <v>1485</v>
      </c>
      <c r="I4796" s="24" t="s">
        <v>22806</v>
      </c>
      <c r="J4796" s="22" t="s">
        <v>22807</v>
      </c>
      <c r="K4796" s="22" t="s">
        <v>22808</v>
      </c>
      <c r="L4796" s="36" t="s">
        <v>22809</v>
      </c>
      <c r="M4796" s="36">
        <v>100.0</v>
      </c>
      <c r="N4796" s="36"/>
      <c r="O4796" s="36" t="s">
        <v>22810</v>
      </c>
      <c r="P4796" s="37"/>
      <c r="Q4796" s="36"/>
      <c r="R4796" s="36">
        <v>90.0</v>
      </c>
      <c r="S4796" s="36" t="s">
        <v>11639</v>
      </c>
      <c r="T4796" s="54" t="s">
        <v>22811</v>
      </c>
      <c r="U4796" s="38" t="str">
        <f>HYPERLINK("https://www.ncbi.nlm.nih.gov/pubmed/28093356","PubMed")</f>
        <v>PubMed</v>
      </c>
      <c r="V4796" s="30"/>
      <c r="W4796" s="49"/>
      <c r="X4796" s="49"/>
      <c r="Y4796" s="35"/>
      <c r="Z4796" s="35"/>
      <c r="AA4796" s="35"/>
      <c r="AB4796" s="35"/>
      <c r="AC4796" s="35"/>
      <c r="AD4796" s="35"/>
      <c r="AE4796" s="35"/>
      <c r="AF4796" s="35"/>
      <c r="AG4796" s="35"/>
      <c r="AH4796" s="35"/>
      <c r="AI4796" s="35"/>
      <c r="AJ4796" s="35"/>
      <c r="AK4796" s="35"/>
      <c r="AL4796" s="35"/>
    </row>
    <row r="4797">
      <c r="A4797" s="240"/>
      <c r="B4797" s="19" t="s">
        <v>19332</v>
      </c>
      <c r="C4797" s="20" t="s">
        <v>18738</v>
      </c>
      <c r="D4797" s="47"/>
      <c r="E4797" s="22" t="s">
        <v>22812</v>
      </c>
      <c r="F4797" s="22" t="s">
        <v>22813</v>
      </c>
      <c r="G4797" s="23">
        <v>2016.0</v>
      </c>
      <c r="H4797" s="22" t="s">
        <v>18716</v>
      </c>
      <c r="I4797" s="24" t="s">
        <v>22814</v>
      </c>
      <c r="J4797" s="22" t="s">
        <v>125</v>
      </c>
      <c r="K4797" s="22"/>
      <c r="L4797" s="167" t="s">
        <v>22815</v>
      </c>
      <c r="M4797" s="44"/>
      <c r="N4797" s="44"/>
      <c r="O4797" s="44"/>
      <c r="P4797" s="44"/>
      <c r="Q4797" s="44"/>
      <c r="R4797" s="44"/>
      <c r="S4797" s="44"/>
      <c r="T4797" s="45"/>
      <c r="U4797" s="38" t="str">
        <f>HYPERLINK("https://www.ncbi.nlm.nih.gov/pubmed/26852286","PubMed")</f>
        <v>PubMed</v>
      </c>
      <c r="V4797" s="30"/>
      <c r="W4797" s="49"/>
      <c r="X4797" s="49"/>
      <c r="Y4797" s="35"/>
      <c r="Z4797" s="35"/>
      <c r="AA4797" s="35"/>
      <c r="AB4797" s="35"/>
      <c r="AC4797" s="35"/>
      <c r="AD4797" s="35"/>
      <c r="AE4797" s="35"/>
      <c r="AF4797" s="35"/>
      <c r="AG4797" s="35"/>
      <c r="AH4797" s="35"/>
      <c r="AI4797" s="35"/>
      <c r="AJ4797" s="35"/>
      <c r="AK4797" s="35"/>
      <c r="AL4797" s="35"/>
    </row>
    <row r="4798">
      <c r="A4798" s="240"/>
      <c r="B4798" s="19" t="s">
        <v>19332</v>
      </c>
      <c r="C4798" s="20" t="s">
        <v>18738</v>
      </c>
      <c r="D4798" s="47"/>
      <c r="E4798" s="22" t="s">
        <v>22816</v>
      </c>
      <c r="F4798" s="22" t="s">
        <v>2407</v>
      </c>
      <c r="G4798" s="23">
        <v>2016.0</v>
      </c>
      <c r="H4798" s="22" t="s">
        <v>658</v>
      </c>
      <c r="I4798" s="24" t="s">
        <v>22817</v>
      </c>
      <c r="J4798" s="22" t="s">
        <v>22818</v>
      </c>
      <c r="K4798" s="22" t="s">
        <v>22819</v>
      </c>
      <c r="L4798" s="36" t="s">
        <v>16268</v>
      </c>
      <c r="M4798" s="36" t="s">
        <v>16441</v>
      </c>
      <c r="N4798" s="36" t="s">
        <v>1729</v>
      </c>
      <c r="O4798" s="36"/>
      <c r="P4798" s="37" t="s">
        <v>969</v>
      </c>
      <c r="Q4798" s="36"/>
      <c r="R4798" s="36" t="s">
        <v>22820</v>
      </c>
      <c r="S4798" s="36" t="s">
        <v>22821</v>
      </c>
      <c r="T4798" s="28" t="s">
        <v>22822</v>
      </c>
      <c r="U4798" s="38" t="str">
        <f>HYPERLINK("https://www.ncbi.nlm.nih.gov/pubmed/26982624","PubMed")</f>
        <v>PubMed</v>
      </c>
      <c r="V4798" s="30"/>
      <c r="W4798" s="49"/>
      <c r="X4798" s="49"/>
      <c r="Y4798" s="35"/>
      <c r="Z4798" s="35"/>
      <c r="AA4798" s="35"/>
      <c r="AB4798" s="35"/>
      <c r="AC4798" s="35"/>
      <c r="AD4798" s="35"/>
      <c r="AE4798" s="35"/>
      <c r="AF4798" s="35"/>
      <c r="AG4798" s="35"/>
      <c r="AH4798" s="35"/>
      <c r="AI4798" s="35"/>
      <c r="AJ4798" s="35"/>
      <c r="AK4798" s="35"/>
      <c r="AL4798" s="35"/>
    </row>
    <row r="4799">
      <c r="A4799" s="240"/>
      <c r="B4799" s="19" t="s">
        <v>19332</v>
      </c>
      <c r="C4799" s="20" t="s">
        <v>18738</v>
      </c>
      <c r="D4799" s="47"/>
      <c r="E4799" s="22" t="s">
        <v>7700</v>
      </c>
      <c r="F4799" s="22" t="s">
        <v>1154</v>
      </c>
      <c r="G4799" s="23">
        <v>2016.0</v>
      </c>
      <c r="H4799" s="22" t="s">
        <v>8177</v>
      </c>
      <c r="I4799" s="24" t="s">
        <v>22823</v>
      </c>
      <c r="J4799" s="22" t="s">
        <v>22824</v>
      </c>
      <c r="K4799" s="22" t="s">
        <v>22789</v>
      </c>
      <c r="L4799" s="36">
        <v>650.0</v>
      </c>
      <c r="M4799" s="36">
        <v>100.0</v>
      </c>
      <c r="N4799" s="36"/>
      <c r="O4799" s="36">
        <v>2.0</v>
      </c>
      <c r="P4799" s="37" t="s">
        <v>21170</v>
      </c>
      <c r="Q4799" s="36" t="s">
        <v>280</v>
      </c>
      <c r="R4799" s="36" t="s">
        <v>22825</v>
      </c>
      <c r="S4799" s="36" t="s">
        <v>22826</v>
      </c>
      <c r="T4799" s="28" t="s">
        <v>22827</v>
      </c>
      <c r="U4799" s="38" t="str">
        <f>HYPERLINK("https://www.ncbi.nlm.nih.gov/pubmed/26248655","PubMed")</f>
        <v>PubMed</v>
      </c>
      <c r="V4799" s="30"/>
      <c r="W4799" s="49"/>
      <c r="X4799" s="49"/>
      <c r="Y4799" s="35"/>
      <c r="Z4799" s="35"/>
      <c r="AA4799" s="35"/>
      <c r="AB4799" s="35"/>
      <c r="AC4799" s="35"/>
      <c r="AD4799" s="35"/>
      <c r="AE4799" s="35"/>
      <c r="AF4799" s="35"/>
      <c r="AG4799" s="35"/>
      <c r="AH4799" s="35"/>
      <c r="AI4799" s="35"/>
      <c r="AJ4799" s="35"/>
      <c r="AK4799" s="35"/>
      <c r="AL4799" s="35"/>
    </row>
    <row r="4800">
      <c r="A4800" s="240"/>
      <c r="B4800" s="19" t="s">
        <v>19332</v>
      </c>
      <c r="C4800" s="20" t="s">
        <v>18738</v>
      </c>
      <c r="D4800" s="47"/>
      <c r="E4800" s="22" t="s">
        <v>22511</v>
      </c>
      <c r="F4800" s="22" t="s">
        <v>41</v>
      </c>
      <c r="G4800" s="23">
        <v>2016.0</v>
      </c>
      <c r="H4800" s="22" t="s">
        <v>22828</v>
      </c>
      <c r="I4800" s="24" t="s">
        <v>22829</v>
      </c>
      <c r="J4800" s="22" t="s">
        <v>22830</v>
      </c>
      <c r="K4800" s="22" t="s">
        <v>22789</v>
      </c>
      <c r="L4800" s="36">
        <v>660.0</v>
      </c>
      <c r="M4800" s="36">
        <v>40.0</v>
      </c>
      <c r="N4800" s="36"/>
      <c r="O4800" s="36" t="s">
        <v>21718</v>
      </c>
      <c r="P4800" s="37" t="s">
        <v>82</v>
      </c>
      <c r="Q4800" s="36"/>
      <c r="R4800" s="36" t="s">
        <v>22831</v>
      </c>
      <c r="S4800" s="36" t="s">
        <v>22832</v>
      </c>
      <c r="T4800" s="28" t="s">
        <v>22833</v>
      </c>
      <c r="U4800" s="38" t="str">
        <f>HYPERLINK("https://www.ncbi.nlm.nih.gov/pubmed/26087364","PubMed")</f>
        <v>PubMed</v>
      </c>
      <c r="V4800" s="30"/>
      <c r="W4800" s="49"/>
      <c r="X4800" s="49"/>
      <c r="Y4800" s="35"/>
      <c r="Z4800" s="35"/>
      <c r="AA4800" s="35"/>
      <c r="AB4800" s="35"/>
      <c r="AC4800" s="35"/>
      <c r="AD4800" s="35"/>
      <c r="AE4800" s="35"/>
      <c r="AF4800" s="35"/>
      <c r="AG4800" s="35"/>
      <c r="AH4800" s="35"/>
      <c r="AI4800" s="35"/>
      <c r="AJ4800" s="35"/>
      <c r="AK4800" s="35"/>
      <c r="AL4800" s="35"/>
    </row>
    <row r="4801">
      <c r="A4801" s="1"/>
      <c r="B4801" s="19" t="s">
        <v>19332</v>
      </c>
      <c r="C4801" s="20" t="s">
        <v>18738</v>
      </c>
      <c r="D4801" s="47"/>
      <c r="E4801" s="22" t="s">
        <v>22755</v>
      </c>
      <c r="F4801" s="22" t="s">
        <v>993</v>
      </c>
      <c r="G4801" s="23">
        <v>2016.0</v>
      </c>
      <c r="H4801" s="22" t="s">
        <v>18716</v>
      </c>
      <c r="I4801" s="24" t="s">
        <v>22834</v>
      </c>
      <c r="J4801" s="22" t="s">
        <v>22835</v>
      </c>
      <c r="K4801" s="22" t="s">
        <v>22836</v>
      </c>
      <c r="L4801" s="36">
        <v>660.0</v>
      </c>
      <c r="M4801" s="36">
        <v>100.0</v>
      </c>
      <c r="N4801" s="36"/>
      <c r="O4801" s="36" t="s">
        <v>22758</v>
      </c>
      <c r="P4801" s="37" t="s">
        <v>254</v>
      </c>
      <c r="Q4801" s="36" t="s">
        <v>22837</v>
      </c>
      <c r="R4801" s="36" t="s">
        <v>22838</v>
      </c>
      <c r="S4801" s="36" t="s">
        <v>22839</v>
      </c>
      <c r="T4801" s="28" t="s">
        <v>22840</v>
      </c>
      <c r="U4801" s="38" t="str">
        <f>HYPERLINK("https://www.ncbi.nlm.nih.gov/pubmed/26559740","PubMed")</f>
        <v>PubMed</v>
      </c>
      <c r="V4801" s="30"/>
      <c r="W4801" s="49"/>
      <c r="X4801" s="49"/>
      <c r="Y4801" s="35"/>
      <c r="Z4801" s="35"/>
      <c r="AA4801" s="35"/>
      <c r="AB4801" s="35"/>
      <c r="AC4801" s="35"/>
      <c r="AD4801" s="35"/>
      <c r="AE4801" s="35"/>
      <c r="AF4801" s="35"/>
      <c r="AG4801" s="35"/>
      <c r="AH4801" s="35"/>
      <c r="AI4801" s="35"/>
      <c r="AJ4801" s="35"/>
      <c r="AK4801" s="35"/>
      <c r="AL4801" s="35"/>
    </row>
    <row r="4802">
      <c r="A4802" s="1"/>
      <c r="B4802" s="19" t="s">
        <v>19332</v>
      </c>
      <c r="C4802" s="20" t="s">
        <v>18738</v>
      </c>
      <c r="D4802" s="47"/>
      <c r="E4802" s="22" t="s">
        <v>22841</v>
      </c>
      <c r="F4802" s="22" t="s">
        <v>22842</v>
      </c>
      <c r="G4802" s="23">
        <v>2016.0</v>
      </c>
      <c r="H4802" s="22" t="s">
        <v>91</v>
      </c>
      <c r="I4802" s="24" t="s">
        <v>22843</v>
      </c>
      <c r="J4802" s="22" t="s">
        <v>22844</v>
      </c>
      <c r="K4802" s="22" t="s">
        <v>12977</v>
      </c>
      <c r="L4802" s="36">
        <v>830.0</v>
      </c>
      <c r="M4802" s="36">
        <v>150.0</v>
      </c>
      <c r="N4802" s="36"/>
      <c r="O4802" s="36"/>
      <c r="P4802" s="37" t="s">
        <v>2366</v>
      </c>
      <c r="Q4802" s="36" t="s">
        <v>675</v>
      </c>
      <c r="R4802" s="36" t="s">
        <v>22845</v>
      </c>
      <c r="S4802" s="36" t="s">
        <v>7612</v>
      </c>
      <c r="T4802" s="42" t="s">
        <v>22846</v>
      </c>
      <c r="U4802" s="38" t="str">
        <f>HYPERLINK("https://www.ncbi.nlm.nih.gov/pubmed/27272517","PubMed")</f>
        <v>PubMed</v>
      </c>
      <c r="V4802" s="30"/>
      <c r="W4802" s="49"/>
      <c r="X4802" s="49"/>
      <c r="Y4802" s="35"/>
      <c r="Z4802" s="35"/>
      <c r="AA4802" s="35"/>
      <c r="AB4802" s="35"/>
      <c r="AC4802" s="35"/>
      <c r="AD4802" s="35"/>
      <c r="AE4802" s="35"/>
      <c r="AF4802" s="35"/>
      <c r="AG4802" s="35"/>
      <c r="AH4802" s="35"/>
      <c r="AI4802" s="35"/>
      <c r="AJ4802" s="35"/>
      <c r="AK4802" s="35"/>
      <c r="AL4802" s="35"/>
    </row>
    <row r="4803">
      <c r="A4803" s="1"/>
      <c r="B4803" s="19" t="s">
        <v>19332</v>
      </c>
      <c r="C4803" s="20" t="s">
        <v>18738</v>
      </c>
      <c r="D4803" s="47"/>
      <c r="E4803" s="22" t="s">
        <v>10615</v>
      </c>
      <c r="F4803" s="22" t="s">
        <v>41</v>
      </c>
      <c r="G4803" s="23">
        <v>2016.0</v>
      </c>
      <c r="H4803" s="22" t="s">
        <v>42</v>
      </c>
      <c r="I4803" s="24" t="s">
        <v>22847</v>
      </c>
      <c r="J4803" s="22" t="s">
        <v>8564</v>
      </c>
      <c r="K4803" s="22" t="s">
        <v>22848</v>
      </c>
      <c r="L4803" s="36" t="s">
        <v>22849</v>
      </c>
      <c r="M4803" s="36"/>
      <c r="N4803" s="36"/>
      <c r="O4803" s="36" t="s">
        <v>22850</v>
      </c>
      <c r="P4803" s="37"/>
      <c r="Q4803" s="36"/>
      <c r="R4803" s="36"/>
      <c r="S4803" s="36"/>
      <c r="T4803" s="28" t="s">
        <v>22851</v>
      </c>
      <c r="U4803" s="38" t="str">
        <f>HYPERLINK("https://www.ncbi.nlm.nih.gov/pubmed/27105906","PubMed")</f>
        <v>PubMed</v>
      </c>
      <c r="V4803" s="30"/>
      <c r="W4803" s="49"/>
      <c r="X4803" s="49"/>
      <c r="Y4803" s="35"/>
      <c r="Z4803" s="35"/>
      <c r="AA4803" s="35"/>
      <c r="AB4803" s="35"/>
      <c r="AC4803" s="35"/>
      <c r="AD4803" s="35"/>
      <c r="AE4803" s="35"/>
      <c r="AF4803" s="35"/>
      <c r="AG4803" s="35"/>
      <c r="AH4803" s="35"/>
      <c r="AI4803" s="35"/>
      <c r="AJ4803" s="35"/>
      <c r="AK4803" s="35"/>
      <c r="AL4803" s="35"/>
    </row>
    <row r="4804">
      <c r="A4804" s="207" t="s">
        <v>2</v>
      </c>
      <c r="B4804" s="19" t="s">
        <v>19332</v>
      </c>
      <c r="C4804" s="20" t="s">
        <v>18738</v>
      </c>
      <c r="D4804" s="47"/>
      <c r="E4804" s="22" t="s">
        <v>7670</v>
      </c>
      <c r="F4804" s="22" t="s">
        <v>41</v>
      </c>
      <c r="G4804" s="23">
        <v>2015.0</v>
      </c>
      <c r="H4804" s="22" t="s">
        <v>22852</v>
      </c>
      <c r="I4804" s="24" t="s">
        <v>22853</v>
      </c>
      <c r="J4804" s="22" t="s">
        <v>22854</v>
      </c>
      <c r="K4804" s="22"/>
      <c r="L4804" s="36">
        <v>660.0</v>
      </c>
      <c r="M4804" s="36">
        <v>40.0</v>
      </c>
      <c r="N4804" s="36" t="s">
        <v>58</v>
      </c>
      <c r="O4804" s="36" t="s">
        <v>21718</v>
      </c>
      <c r="P4804" s="37" t="s">
        <v>82</v>
      </c>
      <c r="Q4804" s="36" t="s">
        <v>58</v>
      </c>
      <c r="R4804" s="36">
        <v>1200.0</v>
      </c>
      <c r="S4804" s="36" t="s">
        <v>22855</v>
      </c>
      <c r="T4804" s="28" t="s">
        <v>22856</v>
      </c>
      <c r="U4804" s="38" t="str">
        <f>HYPERLINK("https://www.ncbi.nlm.nih.gov/pubmed/24519448","PubMed")</f>
        <v>PubMed</v>
      </c>
      <c r="V4804" s="30"/>
      <c r="W4804" s="49"/>
      <c r="X4804" s="49"/>
      <c r="Y4804" s="35"/>
      <c r="Z4804" s="35"/>
      <c r="AA4804" s="35"/>
      <c r="AB4804" s="35"/>
      <c r="AC4804" s="35"/>
      <c r="AD4804" s="35"/>
      <c r="AE4804" s="35"/>
      <c r="AF4804" s="35"/>
      <c r="AG4804" s="35"/>
      <c r="AH4804" s="35"/>
      <c r="AI4804" s="35"/>
      <c r="AJ4804" s="35"/>
      <c r="AK4804" s="35"/>
      <c r="AL4804" s="35"/>
    </row>
    <row r="4805">
      <c r="A4805" s="207" t="s">
        <v>2</v>
      </c>
      <c r="B4805" s="19" t="s">
        <v>19332</v>
      </c>
      <c r="C4805" s="20" t="s">
        <v>18738</v>
      </c>
      <c r="D4805" s="47"/>
      <c r="E4805" s="22" t="s">
        <v>22857</v>
      </c>
      <c r="F4805" s="22" t="s">
        <v>41</v>
      </c>
      <c r="G4805" s="23">
        <v>2015.0</v>
      </c>
      <c r="H4805" s="22" t="s">
        <v>658</v>
      </c>
      <c r="I4805" s="24" t="s">
        <v>22858</v>
      </c>
      <c r="J4805" s="22" t="s">
        <v>22859</v>
      </c>
      <c r="K4805" s="22" t="s">
        <v>22860</v>
      </c>
      <c r="L4805" s="36" t="s">
        <v>22861</v>
      </c>
      <c r="M4805" s="36" t="s">
        <v>22862</v>
      </c>
      <c r="N4805" s="36"/>
      <c r="O4805" s="36" t="s">
        <v>22863</v>
      </c>
      <c r="P4805" s="37"/>
      <c r="Q4805" s="36"/>
      <c r="R4805" s="36" t="s">
        <v>22864</v>
      </c>
      <c r="S4805" s="36" t="s">
        <v>22865</v>
      </c>
      <c r="T4805" s="28" t="s">
        <v>22866</v>
      </c>
      <c r="U4805" s="38" t="str">
        <f>HYPERLINK("https://www.ncbi.nlm.nih.gov/pubmed/26501372","PubMed")</f>
        <v>PubMed</v>
      </c>
      <c r="V4805" s="30"/>
      <c r="W4805" s="49"/>
      <c r="X4805" s="49"/>
      <c r="Y4805" s="35"/>
      <c r="Z4805" s="35"/>
      <c r="AA4805" s="35"/>
      <c r="AB4805" s="35"/>
      <c r="AC4805" s="35"/>
      <c r="AD4805" s="35"/>
      <c r="AE4805" s="35"/>
      <c r="AF4805" s="35"/>
      <c r="AG4805" s="35"/>
      <c r="AH4805" s="35"/>
      <c r="AI4805" s="35"/>
      <c r="AJ4805" s="35"/>
      <c r="AK4805" s="35"/>
      <c r="AL4805" s="35"/>
    </row>
    <row r="4806">
      <c r="A4806" s="240"/>
      <c r="B4806" s="19" t="s">
        <v>19332</v>
      </c>
      <c r="C4806" s="20" t="s">
        <v>18738</v>
      </c>
      <c r="D4806" s="47"/>
      <c r="E4806" s="22" t="s">
        <v>22867</v>
      </c>
      <c r="F4806" s="22" t="s">
        <v>11512</v>
      </c>
      <c r="G4806" s="23">
        <v>2015.0</v>
      </c>
      <c r="H4806" s="22" t="s">
        <v>91</v>
      </c>
      <c r="I4806" s="24" t="s">
        <v>22868</v>
      </c>
      <c r="J4806" s="22" t="s">
        <v>55</v>
      </c>
      <c r="K4806" s="22" t="s">
        <v>22869</v>
      </c>
      <c r="L4806" s="36" t="s">
        <v>22870</v>
      </c>
      <c r="M4806" s="36"/>
      <c r="N4806" s="36"/>
      <c r="O4806" s="36"/>
      <c r="P4806" s="37"/>
      <c r="Q4806" s="36"/>
      <c r="R4806" s="36"/>
      <c r="S4806" s="36"/>
      <c r="T4806" s="28" t="s">
        <v>22871</v>
      </c>
      <c r="U4806" s="29" t="s">
        <v>61</v>
      </c>
      <c r="V4806" s="30"/>
      <c r="W4806" s="49"/>
      <c r="X4806" s="49"/>
      <c r="Y4806" s="35"/>
      <c r="Z4806" s="35"/>
      <c r="AA4806" s="35"/>
      <c r="AB4806" s="35"/>
      <c r="AC4806" s="35"/>
      <c r="AD4806" s="35"/>
      <c r="AE4806" s="35"/>
      <c r="AF4806" s="35"/>
      <c r="AG4806" s="35"/>
      <c r="AH4806" s="35"/>
      <c r="AI4806" s="35"/>
      <c r="AJ4806" s="35"/>
      <c r="AK4806" s="35"/>
      <c r="AL4806" s="35"/>
    </row>
    <row r="4807">
      <c r="A4807" s="240"/>
      <c r="B4807" s="19" t="s">
        <v>19332</v>
      </c>
      <c r="C4807" s="20" t="s">
        <v>18738</v>
      </c>
      <c r="D4807" s="47"/>
      <c r="E4807" s="22" t="s">
        <v>88</v>
      </c>
      <c r="F4807" s="22" t="s">
        <v>22786</v>
      </c>
      <c r="G4807" s="23">
        <v>2015.0</v>
      </c>
      <c r="H4807" s="22" t="s">
        <v>658</v>
      </c>
      <c r="I4807" s="24" t="s">
        <v>22872</v>
      </c>
      <c r="J4807" s="22" t="s">
        <v>22873</v>
      </c>
      <c r="K4807" s="22" t="s">
        <v>22789</v>
      </c>
      <c r="L4807" s="36">
        <v>660.0</v>
      </c>
      <c r="M4807" s="36">
        <v>40.0</v>
      </c>
      <c r="N4807" s="36"/>
      <c r="O4807" s="36" t="s">
        <v>22874</v>
      </c>
      <c r="P4807" s="37" t="s">
        <v>254</v>
      </c>
      <c r="Q4807" s="36" t="s">
        <v>830</v>
      </c>
      <c r="R4807" s="36" t="s">
        <v>22875</v>
      </c>
      <c r="S4807" s="36" t="s">
        <v>22876</v>
      </c>
      <c r="T4807" s="28" t="s">
        <v>22877</v>
      </c>
      <c r="U4807" s="38" t="str">
        <f>HYPERLINK("https://www.ncbi.nlm.nih.gov/pubmed/26154723","PubMed")</f>
        <v>PubMed</v>
      </c>
      <c r="V4807" s="30"/>
      <c r="W4807" s="49"/>
      <c r="X4807" s="49"/>
      <c r="Y4807" s="35"/>
      <c r="Z4807" s="35"/>
      <c r="AA4807" s="35"/>
      <c r="AB4807" s="35"/>
      <c r="AC4807" s="35"/>
      <c r="AD4807" s="35"/>
      <c r="AE4807" s="35"/>
      <c r="AF4807" s="35"/>
      <c r="AG4807" s="35"/>
      <c r="AH4807" s="35"/>
      <c r="AI4807" s="35"/>
      <c r="AJ4807" s="35"/>
      <c r="AK4807" s="35"/>
      <c r="AL4807" s="35"/>
    </row>
    <row r="4808">
      <c r="A4808" s="207" t="s">
        <v>2</v>
      </c>
      <c r="B4808" s="19" t="s">
        <v>19332</v>
      </c>
      <c r="C4808" s="20" t="s">
        <v>18738</v>
      </c>
      <c r="D4808" s="47"/>
      <c r="E4808" s="22" t="s">
        <v>88</v>
      </c>
      <c r="F4808" s="22" t="s">
        <v>22786</v>
      </c>
      <c r="G4808" s="23">
        <v>2015.0</v>
      </c>
      <c r="H4808" s="22" t="s">
        <v>91</v>
      </c>
      <c r="I4808" s="24" t="s">
        <v>22878</v>
      </c>
      <c r="J4808" s="22" t="s">
        <v>22879</v>
      </c>
      <c r="K4808" s="22" t="s">
        <v>22789</v>
      </c>
      <c r="L4808" s="36">
        <v>660.0</v>
      </c>
      <c r="M4808" s="36">
        <v>40.0</v>
      </c>
      <c r="N4808" s="36"/>
      <c r="O4808" s="36" t="s">
        <v>22874</v>
      </c>
      <c r="P4808" s="37" t="s">
        <v>254</v>
      </c>
      <c r="Q4808" s="36" t="s">
        <v>830</v>
      </c>
      <c r="R4808" s="36" t="s">
        <v>22875</v>
      </c>
      <c r="S4808" s="36" t="s">
        <v>22876</v>
      </c>
      <c r="T4808" s="28" t="s">
        <v>22880</v>
      </c>
      <c r="U4808" s="38" t="str">
        <f>HYPERLINK("https://www.ncbi.nlm.nih.gov/pubmed/25037968","PubMed")</f>
        <v>PubMed</v>
      </c>
      <c r="V4808" s="30"/>
      <c r="W4808" s="49"/>
      <c r="X4808" s="49"/>
      <c r="Y4808" s="35"/>
      <c r="Z4808" s="35"/>
      <c r="AA4808" s="35"/>
      <c r="AB4808" s="35"/>
      <c r="AC4808" s="35"/>
      <c r="AD4808" s="35"/>
      <c r="AE4808" s="35"/>
      <c r="AF4808" s="35"/>
      <c r="AG4808" s="35"/>
      <c r="AH4808" s="35"/>
      <c r="AI4808" s="35"/>
      <c r="AJ4808" s="35"/>
      <c r="AK4808" s="35"/>
      <c r="AL4808" s="35"/>
    </row>
    <row r="4809">
      <c r="A4809" s="240"/>
      <c r="B4809" s="19" t="s">
        <v>19332</v>
      </c>
      <c r="C4809" s="20" t="s">
        <v>18738</v>
      </c>
      <c r="D4809" s="47"/>
      <c r="E4809" s="22" t="s">
        <v>22881</v>
      </c>
      <c r="F4809" s="22" t="s">
        <v>22786</v>
      </c>
      <c r="G4809" s="23">
        <v>2015.0</v>
      </c>
      <c r="H4809" s="22" t="s">
        <v>53</v>
      </c>
      <c r="I4809" s="24" t="s">
        <v>22882</v>
      </c>
      <c r="J4809" s="22" t="s">
        <v>22883</v>
      </c>
      <c r="K4809" s="22" t="s">
        <v>22884</v>
      </c>
      <c r="L4809" s="36">
        <v>660.0</v>
      </c>
      <c r="M4809" s="36">
        <v>25.0</v>
      </c>
      <c r="N4809" s="36"/>
      <c r="O4809" s="36" t="s">
        <v>22885</v>
      </c>
      <c r="P4809" s="37" t="s">
        <v>447</v>
      </c>
      <c r="Q4809" s="36" t="s">
        <v>830</v>
      </c>
      <c r="R4809" s="36" t="s">
        <v>12605</v>
      </c>
      <c r="S4809" s="36" t="s">
        <v>22886</v>
      </c>
      <c r="T4809" s="28" t="s">
        <v>22887</v>
      </c>
      <c r="U4809" s="38" t="str">
        <f>HYPERLINK("https://www.ncbi.nlm.nih.gov/pubmed/25824475","PubMed")</f>
        <v>PubMed</v>
      </c>
      <c r="V4809" s="30"/>
      <c r="W4809" s="49"/>
      <c r="X4809" s="49"/>
      <c r="Y4809" s="35"/>
      <c r="Z4809" s="35"/>
      <c r="AA4809" s="35"/>
      <c r="AB4809" s="35"/>
      <c r="AC4809" s="35"/>
      <c r="AD4809" s="35"/>
      <c r="AE4809" s="35"/>
      <c r="AF4809" s="35"/>
      <c r="AG4809" s="35"/>
      <c r="AH4809" s="35"/>
      <c r="AI4809" s="35"/>
      <c r="AJ4809" s="35"/>
      <c r="AK4809" s="35"/>
      <c r="AL4809" s="35"/>
    </row>
    <row r="4810">
      <c r="A4810" s="240"/>
      <c r="B4810" s="19" t="s">
        <v>19332</v>
      </c>
      <c r="C4810" s="20" t="s">
        <v>18738</v>
      </c>
      <c r="D4810" s="47"/>
      <c r="E4810" s="22" t="s">
        <v>22888</v>
      </c>
      <c r="F4810" s="22" t="s">
        <v>3511</v>
      </c>
      <c r="G4810" s="23">
        <v>2015.0</v>
      </c>
      <c r="H4810" s="22" t="s">
        <v>207</v>
      </c>
      <c r="I4810" s="24" t="s">
        <v>22889</v>
      </c>
      <c r="J4810" s="22" t="s">
        <v>22890</v>
      </c>
      <c r="K4810" s="22" t="s">
        <v>22891</v>
      </c>
      <c r="L4810" s="36">
        <v>633.0</v>
      </c>
      <c r="M4810" s="36" t="s">
        <v>22892</v>
      </c>
      <c r="N4810" s="36" t="s">
        <v>22892</v>
      </c>
      <c r="O4810" s="36" t="s">
        <v>22893</v>
      </c>
      <c r="P4810" s="37"/>
      <c r="Q4810" s="36" t="s">
        <v>675</v>
      </c>
      <c r="R4810" s="36" t="s">
        <v>22894</v>
      </c>
      <c r="S4810" s="36" t="s">
        <v>22895</v>
      </c>
      <c r="T4810" s="28" t="s">
        <v>22896</v>
      </c>
      <c r="U4810" s="38" t="str">
        <f>HYPERLINK("https://www.ncbi.nlm.nih.gov/pubmed/25704314","PubMed")</f>
        <v>PubMed</v>
      </c>
      <c r="V4810" s="30"/>
      <c r="W4810" s="49"/>
      <c r="X4810" s="49"/>
      <c r="Y4810" s="35"/>
      <c r="Z4810" s="35"/>
      <c r="AA4810" s="35"/>
      <c r="AB4810" s="35"/>
      <c r="AC4810" s="35"/>
      <c r="AD4810" s="35"/>
      <c r="AE4810" s="35"/>
      <c r="AF4810" s="35"/>
      <c r="AG4810" s="35"/>
      <c r="AH4810" s="35"/>
      <c r="AI4810" s="35"/>
      <c r="AJ4810" s="35"/>
      <c r="AK4810" s="35"/>
      <c r="AL4810" s="35"/>
    </row>
    <row r="4811">
      <c r="A4811" s="1"/>
      <c r="B4811" s="19" t="s">
        <v>19332</v>
      </c>
      <c r="C4811" s="20" t="s">
        <v>18738</v>
      </c>
      <c r="D4811" s="47"/>
      <c r="E4811" s="22" t="s">
        <v>22897</v>
      </c>
      <c r="F4811" s="22" t="s">
        <v>41</v>
      </c>
      <c r="G4811" s="23">
        <v>2015.0</v>
      </c>
      <c r="H4811" s="22" t="s">
        <v>22898</v>
      </c>
      <c r="I4811" s="24" t="s">
        <v>22899</v>
      </c>
      <c r="J4811" s="22" t="s">
        <v>22900</v>
      </c>
      <c r="K4811" s="22"/>
      <c r="L4811" s="36">
        <v>660.0</v>
      </c>
      <c r="M4811" s="36">
        <v>100.0</v>
      </c>
      <c r="N4811" s="36"/>
      <c r="O4811" s="36" t="s">
        <v>22901</v>
      </c>
      <c r="P4811" s="37" t="s">
        <v>70</v>
      </c>
      <c r="Q4811" s="36"/>
      <c r="R4811" s="36" t="s">
        <v>22902</v>
      </c>
      <c r="S4811" s="36" t="s">
        <v>22903</v>
      </c>
      <c r="T4811" s="28" t="s">
        <v>22904</v>
      </c>
      <c r="U4811" s="38" t="str">
        <f>HYPERLINK("https://www.ncbi.nlm.nih.gov/pubmed/25677170","PubMed")</f>
        <v>PubMed</v>
      </c>
      <c r="V4811" s="30"/>
      <c r="W4811" s="49"/>
      <c r="X4811" s="49"/>
      <c r="Y4811" s="35"/>
      <c r="Z4811" s="35"/>
      <c r="AA4811" s="35"/>
      <c r="AB4811" s="35"/>
      <c r="AC4811" s="35"/>
      <c r="AD4811" s="35"/>
      <c r="AE4811" s="35"/>
      <c r="AF4811" s="35"/>
      <c r="AG4811" s="35"/>
      <c r="AH4811" s="35"/>
      <c r="AI4811" s="35"/>
      <c r="AJ4811" s="35"/>
      <c r="AK4811" s="35"/>
      <c r="AL4811" s="35"/>
    </row>
    <row r="4812">
      <c r="A4812" s="1"/>
      <c r="B4812" s="19" t="s">
        <v>19332</v>
      </c>
      <c r="C4812" s="20" t="s">
        <v>18738</v>
      </c>
      <c r="D4812" s="47"/>
      <c r="E4812" s="22" t="s">
        <v>22905</v>
      </c>
      <c r="F4812" s="22" t="s">
        <v>400</v>
      </c>
      <c r="G4812" s="23">
        <v>2015.0</v>
      </c>
      <c r="H4812" s="22" t="s">
        <v>1025</v>
      </c>
      <c r="I4812" s="24" t="s">
        <v>22906</v>
      </c>
      <c r="J4812" s="22" t="s">
        <v>8564</v>
      </c>
      <c r="K4812" s="22"/>
      <c r="L4812" s="36">
        <v>660.0</v>
      </c>
      <c r="M4812" s="36">
        <v>40.0</v>
      </c>
      <c r="N4812" s="36"/>
      <c r="O4812" s="36" t="s">
        <v>15762</v>
      </c>
      <c r="P4812" s="37" t="s">
        <v>82</v>
      </c>
      <c r="Q4812" s="36"/>
      <c r="R4812" s="36"/>
      <c r="S4812" s="36" t="s">
        <v>22907</v>
      </c>
      <c r="T4812" s="28" t="s">
        <v>22908</v>
      </c>
      <c r="U4812" s="38" t="str">
        <f>HYPERLINK("http://www.ncbi.nlm.nih.gov/pubmed/26720873","PubMed")</f>
        <v>PubMed</v>
      </c>
      <c r="V4812" s="30"/>
      <c r="W4812" s="49"/>
      <c r="X4812" s="49"/>
      <c r="Y4812" s="35"/>
      <c r="Z4812" s="35"/>
      <c r="AA4812" s="35"/>
      <c r="AB4812" s="35"/>
      <c r="AC4812" s="35"/>
      <c r="AD4812" s="35"/>
      <c r="AE4812" s="35"/>
      <c r="AF4812" s="35"/>
      <c r="AG4812" s="35"/>
      <c r="AH4812" s="35"/>
      <c r="AI4812" s="35"/>
      <c r="AJ4812" s="35"/>
      <c r="AK4812" s="35"/>
      <c r="AL4812" s="35"/>
    </row>
    <row r="4813">
      <c r="A4813" s="18"/>
      <c r="B4813" s="19" t="s">
        <v>19332</v>
      </c>
      <c r="C4813" s="20" t="s">
        <v>18738</v>
      </c>
      <c r="D4813" s="47"/>
      <c r="E4813" s="22" t="s">
        <v>22909</v>
      </c>
      <c r="F4813" s="22" t="s">
        <v>22910</v>
      </c>
      <c r="G4813" s="23">
        <v>2015.0</v>
      </c>
      <c r="H4813" s="22" t="s">
        <v>658</v>
      </c>
      <c r="I4813" s="24" t="s">
        <v>22911</v>
      </c>
      <c r="J4813" s="22" t="s">
        <v>7918</v>
      </c>
      <c r="K4813" s="22"/>
      <c r="L4813" s="43"/>
      <c r="M4813" s="44"/>
      <c r="N4813" s="44"/>
      <c r="O4813" s="44"/>
      <c r="P4813" s="44"/>
      <c r="Q4813" s="44"/>
      <c r="R4813" s="44"/>
      <c r="S4813" s="44"/>
      <c r="T4813" s="45"/>
      <c r="U4813" s="38" t="str">
        <f>HYPERLINK("https://www.ncbi.nlm.nih.gov/pubmed/26447605","PubMed")</f>
        <v>PubMed</v>
      </c>
      <c r="V4813" s="30"/>
      <c r="W4813" s="49"/>
      <c r="X4813" s="49"/>
      <c r="Y4813" s="35"/>
      <c r="Z4813" s="35"/>
      <c r="AA4813" s="35"/>
      <c r="AB4813" s="35"/>
      <c r="AC4813" s="35"/>
      <c r="AD4813" s="35"/>
      <c r="AE4813" s="35"/>
      <c r="AF4813" s="35"/>
      <c r="AG4813" s="35"/>
      <c r="AH4813" s="35"/>
      <c r="AI4813" s="35"/>
      <c r="AJ4813" s="35"/>
      <c r="AK4813" s="35"/>
      <c r="AL4813" s="35"/>
    </row>
    <row r="4814">
      <c r="A4814" s="240"/>
      <c r="B4814" s="19" t="s">
        <v>19332</v>
      </c>
      <c r="C4814" s="20" t="s">
        <v>18738</v>
      </c>
      <c r="D4814" s="47"/>
      <c r="E4814" s="22" t="s">
        <v>5459</v>
      </c>
      <c r="F4814" s="22" t="s">
        <v>22912</v>
      </c>
      <c r="G4814" s="23">
        <v>2015.0</v>
      </c>
      <c r="H4814" s="22" t="s">
        <v>4975</v>
      </c>
      <c r="I4814" s="24" t="s">
        <v>22913</v>
      </c>
      <c r="J4814" s="22" t="s">
        <v>31</v>
      </c>
      <c r="K4814" s="22" t="s">
        <v>22914</v>
      </c>
      <c r="L4814" s="36">
        <v>780.0</v>
      </c>
      <c r="M4814" s="36">
        <v>25.0</v>
      </c>
      <c r="N4814" s="36"/>
      <c r="O4814" s="36"/>
      <c r="P4814" s="37" t="s">
        <v>22915</v>
      </c>
      <c r="Q4814" s="36" t="s">
        <v>6761</v>
      </c>
      <c r="R4814" s="36" t="s">
        <v>22916</v>
      </c>
      <c r="S4814" s="36">
        <v>1.0</v>
      </c>
      <c r="T4814" s="42" t="s">
        <v>22917</v>
      </c>
      <c r="U4814" s="38" t="str">
        <f>HYPERLINK("https://www.ncbi.nlm.nih.gov/pubmed/25735212","PubMed")</f>
        <v>PubMed</v>
      </c>
      <c r="V4814" s="30"/>
      <c r="W4814" s="49"/>
      <c r="X4814" s="49"/>
      <c r="Y4814" s="35"/>
      <c r="Z4814" s="35"/>
      <c r="AA4814" s="35"/>
      <c r="AB4814" s="35"/>
      <c r="AC4814" s="35"/>
      <c r="AD4814" s="35"/>
      <c r="AE4814" s="35"/>
      <c r="AF4814" s="35"/>
      <c r="AG4814" s="35"/>
      <c r="AH4814" s="35"/>
      <c r="AI4814" s="35"/>
      <c r="AJ4814" s="35"/>
      <c r="AK4814" s="35"/>
      <c r="AL4814" s="35"/>
    </row>
    <row r="4815">
      <c r="A4815" s="40"/>
      <c r="B4815" s="19" t="s">
        <v>19332</v>
      </c>
      <c r="C4815" s="20" t="s">
        <v>18738</v>
      </c>
      <c r="D4815" s="47"/>
      <c r="E4815" s="22" t="s">
        <v>683</v>
      </c>
      <c r="F4815" s="22" t="s">
        <v>41</v>
      </c>
      <c r="G4815" s="23">
        <v>2014.0</v>
      </c>
      <c r="H4815" s="22" t="s">
        <v>658</v>
      </c>
      <c r="I4815" s="24" t="s">
        <v>22918</v>
      </c>
      <c r="J4815" s="22" t="s">
        <v>22919</v>
      </c>
      <c r="K4815" s="22" t="s">
        <v>22920</v>
      </c>
      <c r="L4815" s="36" t="s">
        <v>22921</v>
      </c>
      <c r="M4815" s="36" t="s">
        <v>22922</v>
      </c>
      <c r="N4815" s="36"/>
      <c r="O4815" s="36"/>
      <c r="P4815" s="37"/>
      <c r="Q4815" s="36" t="s">
        <v>22923</v>
      </c>
      <c r="R4815" s="36"/>
      <c r="S4815" s="36" t="s">
        <v>1514</v>
      </c>
      <c r="T4815" s="28" t="s">
        <v>22924</v>
      </c>
      <c r="U4815" s="38" t="str">
        <f>HYPERLINK("https://www.ncbi.nlm.nih.gov/pubmed/24476495","PubMed")</f>
        <v>PubMed</v>
      </c>
      <c r="V4815" s="30"/>
      <c r="W4815" s="49"/>
      <c r="X4815" s="49"/>
      <c r="Y4815" s="35"/>
      <c r="Z4815" s="35"/>
      <c r="AA4815" s="35"/>
      <c r="AB4815" s="35"/>
      <c r="AC4815" s="35"/>
      <c r="AD4815" s="35"/>
      <c r="AE4815" s="35"/>
      <c r="AF4815" s="35"/>
      <c r="AG4815" s="35"/>
      <c r="AH4815" s="35"/>
      <c r="AI4815" s="35"/>
      <c r="AJ4815" s="35"/>
      <c r="AK4815" s="35"/>
      <c r="AL4815" s="35"/>
    </row>
    <row r="4816">
      <c r="A4816" s="40"/>
      <c r="B4816" s="19" t="s">
        <v>19332</v>
      </c>
      <c r="C4816" s="20" t="s">
        <v>18738</v>
      </c>
      <c r="D4816" s="47"/>
      <c r="E4816" s="22" t="s">
        <v>22925</v>
      </c>
      <c r="F4816" s="22" t="s">
        <v>605</v>
      </c>
      <c r="G4816" s="23">
        <v>2014.0</v>
      </c>
      <c r="H4816" s="22" t="s">
        <v>91</v>
      </c>
      <c r="I4816" s="24" t="s">
        <v>22926</v>
      </c>
      <c r="J4816" s="22" t="s">
        <v>55</v>
      </c>
      <c r="K4816" s="22" t="s">
        <v>294</v>
      </c>
      <c r="L4816" s="36" t="s">
        <v>22870</v>
      </c>
      <c r="M4816" s="36" t="s">
        <v>22927</v>
      </c>
      <c r="N4816" s="36"/>
      <c r="O4816" s="36" t="s">
        <v>22928</v>
      </c>
      <c r="P4816" s="37" t="s">
        <v>22929</v>
      </c>
      <c r="Q4816" s="36" t="s">
        <v>22930</v>
      </c>
      <c r="R4816" s="36" t="s">
        <v>22931</v>
      </c>
      <c r="S4816" s="36" t="s">
        <v>7612</v>
      </c>
      <c r="T4816" s="28" t="s">
        <v>22932</v>
      </c>
      <c r="U4816" s="29" t="s">
        <v>61</v>
      </c>
      <c r="V4816" s="30"/>
      <c r="W4816" s="49"/>
      <c r="X4816" s="49"/>
      <c r="Y4816" s="35"/>
      <c r="Z4816" s="35"/>
      <c r="AA4816" s="35"/>
      <c r="AB4816" s="35"/>
      <c r="AC4816" s="35"/>
      <c r="AD4816" s="35"/>
      <c r="AE4816" s="35"/>
      <c r="AF4816" s="35"/>
      <c r="AG4816" s="35"/>
      <c r="AH4816" s="35"/>
      <c r="AI4816" s="35"/>
      <c r="AJ4816" s="35"/>
      <c r="AK4816" s="35"/>
      <c r="AL4816" s="35"/>
    </row>
    <row r="4817">
      <c r="A4817" s="40" t="s">
        <v>38</v>
      </c>
      <c r="B4817" s="19" t="s">
        <v>19332</v>
      </c>
      <c r="C4817" s="20" t="s">
        <v>18738</v>
      </c>
      <c r="D4817" s="47"/>
      <c r="E4817" s="22" t="s">
        <v>22933</v>
      </c>
      <c r="F4817" s="22" t="s">
        <v>22934</v>
      </c>
      <c r="G4817" s="23">
        <v>2014.0</v>
      </c>
      <c r="H4817" s="22" t="s">
        <v>477</v>
      </c>
      <c r="I4817" s="24" t="s">
        <v>22935</v>
      </c>
      <c r="J4817" s="22" t="s">
        <v>8564</v>
      </c>
      <c r="K4817" s="22" t="s">
        <v>22920</v>
      </c>
      <c r="L4817" s="36" t="s">
        <v>22936</v>
      </c>
      <c r="M4817" s="36" t="s">
        <v>22937</v>
      </c>
      <c r="N4817" s="36"/>
      <c r="O4817" s="36" t="s">
        <v>22938</v>
      </c>
      <c r="P4817" s="37" t="s">
        <v>22939</v>
      </c>
      <c r="Q4817" s="36" t="s">
        <v>22940</v>
      </c>
      <c r="R4817" s="36" t="s">
        <v>22941</v>
      </c>
      <c r="S4817" s="36"/>
      <c r="T4817" s="28" t="s">
        <v>22942</v>
      </c>
      <c r="U4817" s="38" t="str">
        <f>HYPERLINK("https://www.ncbi.nlm.nih.gov/pubmed/23949015","PubMed")</f>
        <v>PubMed</v>
      </c>
      <c r="V4817" s="30"/>
      <c r="W4817" s="49"/>
      <c r="X4817" s="49"/>
      <c r="Y4817" s="35"/>
      <c r="Z4817" s="35"/>
      <c r="AA4817" s="35"/>
      <c r="AB4817" s="35"/>
      <c r="AC4817" s="35"/>
      <c r="AD4817" s="35"/>
      <c r="AE4817" s="35"/>
      <c r="AF4817" s="35"/>
      <c r="AG4817" s="35"/>
      <c r="AH4817" s="35"/>
      <c r="AI4817" s="35"/>
      <c r="AJ4817" s="35"/>
      <c r="AK4817" s="35"/>
      <c r="AL4817" s="35"/>
    </row>
    <row r="4818">
      <c r="A4818" s="207"/>
      <c r="B4818" s="19" t="s">
        <v>19332</v>
      </c>
      <c r="C4818" s="20" t="s">
        <v>18738</v>
      </c>
      <c r="D4818" s="47"/>
      <c r="E4818" s="22" t="s">
        <v>22943</v>
      </c>
      <c r="F4818" s="22" t="s">
        <v>323</v>
      </c>
      <c r="G4818" s="23">
        <v>2014.0</v>
      </c>
      <c r="H4818" s="22" t="s">
        <v>147</v>
      </c>
      <c r="I4818" s="24" t="s">
        <v>22944</v>
      </c>
      <c r="J4818" s="22" t="s">
        <v>649</v>
      </c>
      <c r="K4818" s="22"/>
      <c r="L4818" s="105" t="s">
        <v>22945</v>
      </c>
      <c r="M4818" s="44"/>
      <c r="N4818" s="44"/>
      <c r="O4818" s="44"/>
      <c r="P4818" s="44"/>
      <c r="Q4818" s="44"/>
      <c r="R4818" s="44"/>
      <c r="S4818" s="44"/>
      <c r="T4818" s="45"/>
      <c r="U4818" s="38" t="str">
        <f>HYPERLINK("https://www.ncbi.nlm.nih.gov/pubmed/25606332","PubMed")</f>
        <v>PubMed</v>
      </c>
      <c r="V4818" s="30"/>
      <c r="W4818" s="49"/>
      <c r="X4818" s="49"/>
      <c r="Y4818" s="35"/>
      <c r="Z4818" s="35"/>
      <c r="AA4818" s="35"/>
      <c r="AB4818" s="35"/>
      <c r="AC4818" s="35"/>
      <c r="AD4818" s="35"/>
      <c r="AE4818" s="35"/>
      <c r="AF4818" s="35"/>
      <c r="AG4818" s="35"/>
      <c r="AH4818" s="35"/>
      <c r="AI4818" s="35"/>
      <c r="AJ4818" s="35"/>
      <c r="AK4818" s="35"/>
      <c r="AL4818" s="35"/>
    </row>
    <row r="4819">
      <c r="A4819" s="207" t="s">
        <v>2</v>
      </c>
      <c r="B4819" s="19" t="s">
        <v>19332</v>
      </c>
      <c r="C4819" s="20" t="s">
        <v>18738</v>
      </c>
      <c r="D4819" s="47"/>
      <c r="E4819" s="22" t="s">
        <v>22946</v>
      </c>
      <c r="F4819" s="22" t="s">
        <v>2445</v>
      </c>
      <c r="G4819" s="23">
        <v>2014.0</v>
      </c>
      <c r="H4819" s="22" t="s">
        <v>627</v>
      </c>
      <c r="I4819" s="24" t="s">
        <v>22947</v>
      </c>
      <c r="J4819" s="22" t="s">
        <v>1078</v>
      </c>
      <c r="K4819" s="22"/>
      <c r="L4819" s="105" t="s">
        <v>22948</v>
      </c>
      <c r="M4819" s="44"/>
      <c r="N4819" s="44"/>
      <c r="O4819" s="44"/>
      <c r="P4819" s="44"/>
      <c r="Q4819" s="44"/>
      <c r="R4819" s="44"/>
      <c r="S4819" s="44"/>
      <c r="T4819" s="45"/>
      <c r="U4819" s="38" t="str">
        <f>HYPERLINK("https://www.ncbi.nlm.nih.gov/pubmed/25198431","PubMed")</f>
        <v>PubMed</v>
      </c>
      <c r="V4819" s="30"/>
      <c r="W4819" s="49"/>
      <c r="X4819" s="49"/>
      <c r="Y4819" s="35"/>
      <c r="Z4819" s="35"/>
      <c r="AA4819" s="35"/>
      <c r="AB4819" s="35"/>
      <c r="AC4819" s="35"/>
      <c r="AD4819" s="35"/>
      <c r="AE4819" s="35"/>
      <c r="AF4819" s="35"/>
      <c r="AG4819" s="35"/>
      <c r="AH4819" s="35"/>
      <c r="AI4819" s="35"/>
      <c r="AJ4819" s="35"/>
      <c r="AK4819" s="35"/>
      <c r="AL4819" s="35"/>
    </row>
    <row r="4820">
      <c r="A4820" s="207"/>
      <c r="B4820" s="19" t="s">
        <v>19332</v>
      </c>
      <c r="C4820" s="20" t="s">
        <v>18738</v>
      </c>
      <c r="D4820" s="47"/>
      <c r="E4820" s="22" t="s">
        <v>22949</v>
      </c>
      <c r="F4820" s="22" t="s">
        <v>10477</v>
      </c>
      <c r="G4820" s="23">
        <v>2013.0</v>
      </c>
      <c r="H4820" s="22" t="s">
        <v>22950</v>
      </c>
      <c r="I4820" s="24" t="s">
        <v>22951</v>
      </c>
      <c r="J4820" s="22" t="s">
        <v>22952</v>
      </c>
      <c r="K4820" s="22"/>
      <c r="L4820" s="43" t="s">
        <v>22953</v>
      </c>
      <c r="M4820" s="44"/>
      <c r="N4820" s="44"/>
      <c r="O4820" s="44"/>
      <c r="P4820" s="44"/>
      <c r="Q4820" s="44"/>
      <c r="R4820" s="44"/>
      <c r="S4820" s="44"/>
      <c r="T4820" s="45"/>
      <c r="U4820" s="38" t="str">
        <f>HYPERLINK("https://www.ncbi.nlm.nih.gov/pubmed/24347912","PubMed")</f>
        <v>PubMed</v>
      </c>
      <c r="V4820" s="30"/>
      <c r="W4820" s="34"/>
      <c r="X4820" s="34"/>
      <c r="Y4820" s="35"/>
      <c r="Z4820" s="35"/>
      <c r="AA4820" s="35"/>
      <c r="AB4820" s="35"/>
      <c r="AC4820" s="35"/>
      <c r="AD4820" s="35"/>
      <c r="AE4820" s="35"/>
      <c r="AF4820" s="35"/>
      <c r="AG4820" s="35"/>
      <c r="AH4820" s="35"/>
      <c r="AI4820" s="35"/>
      <c r="AJ4820" s="35"/>
      <c r="AK4820" s="35"/>
      <c r="AL4820" s="35"/>
    </row>
    <row r="4821">
      <c r="A4821" s="207"/>
      <c r="B4821" s="19" t="s">
        <v>19332</v>
      </c>
      <c r="C4821" s="20" t="s">
        <v>18738</v>
      </c>
      <c r="D4821" s="47"/>
      <c r="E4821" s="22" t="s">
        <v>19276</v>
      </c>
      <c r="F4821" s="22" t="s">
        <v>7853</v>
      </c>
      <c r="G4821" s="23">
        <v>2013.0</v>
      </c>
      <c r="H4821" s="22" t="s">
        <v>5239</v>
      </c>
      <c r="I4821" s="24" t="s">
        <v>22954</v>
      </c>
      <c r="J4821" s="22" t="s">
        <v>22955</v>
      </c>
      <c r="K4821" s="22"/>
      <c r="L4821" s="36">
        <v>635.0</v>
      </c>
      <c r="M4821" s="129">
        <v>44683.0</v>
      </c>
      <c r="N4821" s="36"/>
      <c r="O4821" s="36" t="s">
        <v>22956</v>
      </c>
      <c r="P4821" s="37"/>
      <c r="Q4821" s="36" t="s">
        <v>22957</v>
      </c>
      <c r="R4821" s="36">
        <v>180.0</v>
      </c>
      <c r="S4821" s="36" t="s">
        <v>22958</v>
      </c>
      <c r="T4821" s="28" t="s">
        <v>22959</v>
      </c>
      <c r="U4821" s="38" t="str">
        <f>HYPERLINK("https://www.ncbi.nlm.nih.gov/pubmed/24096076","PubMed")</f>
        <v>PubMed</v>
      </c>
      <c r="V4821" s="30"/>
      <c r="W4821" s="130" t="str">
        <f>HYPERLINK("https://www.ncbi.nlm.nih.gov/pubmed/24655380","Comment")</f>
        <v>Comment</v>
      </c>
      <c r="X4821" s="130" t="str">
        <f>HYPERLINK("https://www.ncbi.nlm.nih.gov/pubmed/24655381","Reply")</f>
        <v>Reply</v>
      </c>
      <c r="Y4821" s="35"/>
      <c r="Z4821" s="35"/>
      <c r="AA4821" s="35"/>
      <c r="AB4821" s="35"/>
      <c r="AC4821" s="35"/>
      <c r="AD4821" s="35"/>
      <c r="AE4821" s="35"/>
      <c r="AF4821" s="35"/>
      <c r="AG4821" s="35"/>
      <c r="AH4821" s="35"/>
      <c r="AI4821" s="35"/>
      <c r="AJ4821" s="35"/>
      <c r="AK4821" s="35"/>
      <c r="AL4821" s="35"/>
    </row>
    <row r="4822">
      <c r="A4822" s="207"/>
      <c r="B4822" s="19" t="s">
        <v>19332</v>
      </c>
      <c r="C4822" s="20" t="s">
        <v>18738</v>
      </c>
      <c r="D4822" s="47"/>
      <c r="E4822" s="22" t="s">
        <v>22881</v>
      </c>
      <c r="F4822" s="22" t="s">
        <v>22786</v>
      </c>
      <c r="G4822" s="23">
        <v>2013.0</v>
      </c>
      <c r="H4822" s="22" t="s">
        <v>20953</v>
      </c>
      <c r="I4822" s="24" t="s">
        <v>22960</v>
      </c>
      <c r="J4822" s="22" t="s">
        <v>22961</v>
      </c>
      <c r="K4822" s="22" t="s">
        <v>22962</v>
      </c>
      <c r="L4822" s="36">
        <v>685.0</v>
      </c>
      <c r="M4822" s="36">
        <v>35.0</v>
      </c>
      <c r="N4822" s="36"/>
      <c r="O4822" s="36" t="s">
        <v>22963</v>
      </c>
      <c r="P4822" s="37" t="s">
        <v>22964</v>
      </c>
      <c r="Q4822" s="36" t="s">
        <v>280</v>
      </c>
      <c r="R4822" s="36" t="s">
        <v>997</v>
      </c>
      <c r="S4822" s="36" t="s">
        <v>22965</v>
      </c>
      <c r="T4822" s="28" t="s">
        <v>22966</v>
      </c>
      <c r="U4822" s="38" t="str">
        <f>HYPERLINK("https://www.ncbi.nlm.nih.gov/pubmed/24164228","PubMed")</f>
        <v>PubMed</v>
      </c>
      <c r="V4822" s="30"/>
      <c r="W4822" s="49"/>
      <c r="X4822" s="49"/>
      <c r="Y4822" s="35"/>
      <c r="Z4822" s="35"/>
      <c r="AA4822" s="35"/>
      <c r="AB4822" s="35"/>
      <c r="AC4822" s="35"/>
      <c r="AD4822" s="35"/>
      <c r="AE4822" s="35"/>
      <c r="AF4822" s="35"/>
      <c r="AG4822" s="35"/>
      <c r="AH4822" s="35"/>
      <c r="AI4822" s="35"/>
      <c r="AJ4822" s="35"/>
      <c r="AK4822" s="35"/>
      <c r="AL4822" s="35"/>
    </row>
    <row r="4823">
      <c r="A4823" s="18"/>
      <c r="B4823" s="19" t="s">
        <v>19332</v>
      </c>
      <c r="C4823" s="20" t="s">
        <v>18738</v>
      </c>
      <c r="D4823" s="47"/>
      <c r="E4823" s="22" t="s">
        <v>22967</v>
      </c>
      <c r="F4823" s="22" t="s">
        <v>17916</v>
      </c>
      <c r="G4823" s="23">
        <v>2013.0</v>
      </c>
      <c r="H4823" s="22" t="s">
        <v>8177</v>
      </c>
      <c r="I4823" s="24" t="s">
        <v>22968</v>
      </c>
      <c r="J4823" s="22" t="s">
        <v>649</v>
      </c>
      <c r="K4823" s="361"/>
      <c r="L4823" s="105" t="s">
        <v>22969</v>
      </c>
      <c r="M4823" s="44"/>
      <c r="N4823" s="44"/>
      <c r="O4823" s="44"/>
      <c r="P4823" s="44"/>
      <c r="Q4823" s="44"/>
      <c r="R4823" s="44"/>
      <c r="S4823" s="44"/>
      <c r="T4823" s="45"/>
      <c r="U4823" s="38" t="str">
        <f>HYPERLINK("https://www.ncbi.nlm.nih.gov/pubmed/23001179","PubMed")</f>
        <v>PubMed</v>
      </c>
      <c r="V4823" s="30"/>
      <c r="W4823" s="49"/>
      <c r="X4823" s="49"/>
      <c r="Y4823" s="35"/>
      <c r="Z4823" s="35"/>
      <c r="AA4823" s="35"/>
      <c r="AB4823" s="35"/>
      <c r="AC4823" s="35"/>
      <c r="AD4823" s="35"/>
      <c r="AE4823" s="35"/>
      <c r="AF4823" s="35"/>
      <c r="AG4823" s="35"/>
      <c r="AH4823" s="35"/>
      <c r="AI4823" s="35"/>
      <c r="AJ4823" s="35"/>
      <c r="AK4823" s="35"/>
      <c r="AL4823" s="35"/>
    </row>
    <row r="4824">
      <c r="A4824" s="1"/>
      <c r="B4824" s="19" t="s">
        <v>19332</v>
      </c>
      <c r="C4824" s="20" t="s">
        <v>18738</v>
      </c>
      <c r="D4824" s="47"/>
      <c r="E4824" s="22" t="s">
        <v>17027</v>
      </c>
      <c r="F4824" s="22" t="s">
        <v>41</v>
      </c>
      <c r="G4824" s="23">
        <v>2013.0</v>
      </c>
      <c r="H4824" s="22" t="s">
        <v>756</v>
      </c>
      <c r="I4824" s="24" t="s">
        <v>22970</v>
      </c>
      <c r="J4824" s="22" t="s">
        <v>8564</v>
      </c>
      <c r="K4824" s="22" t="s">
        <v>22971</v>
      </c>
      <c r="L4824" s="36">
        <v>660.0</v>
      </c>
      <c r="M4824" s="36">
        <v>40.0</v>
      </c>
      <c r="N4824" s="129">
        <v>42675.0</v>
      </c>
      <c r="O4824" s="36"/>
      <c r="P4824" s="37" t="s">
        <v>22972</v>
      </c>
      <c r="Q4824" s="36" t="s">
        <v>22671</v>
      </c>
      <c r="R4824" s="36"/>
      <c r="S4824" s="36">
        <v>10.0</v>
      </c>
      <c r="T4824" s="28" t="s">
        <v>22973</v>
      </c>
      <c r="U4824" s="38" t="str">
        <f>HYPERLINK("https://www.ncbi.nlm.nih.gov/pubmed/23752482","PubMed")</f>
        <v>PubMed</v>
      </c>
      <c r="V4824" s="30"/>
      <c r="W4824" s="49"/>
      <c r="X4824" s="49"/>
      <c r="Y4824" s="35"/>
      <c r="Z4824" s="35"/>
      <c r="AA4824" s="35"/>
      <c r="AB4824" s="35"/>
      <c r="AC4824" s="35"/>
      <c r="AD4824" s="35"/>
      <c r="AE4824" s="35"/>
      <c r="AF4824" s="35"/>
      <c r="AG4824" s="35"/>
      <c r="AH4824" s="35"/>
      <c r="AI4824" s="35"/>
      <c r="AJ4824" s="35"/>
      <c r="AK4824" s="35"/>
      <c r="AL4824" s="35"/>
    </row>
    <row r="4825">
      <c r="A4825" s="1"/>
      <c r="B4825" s="19" t="s">
        <v>19332</v>
      </c>
      <c r="C4825" s="20" t="s">
        <v>18738</v>
      </c>
      <c r="D4825" s="47"/>
      <c r="E4825" s="22" t="s">
        <v>19872</v>
      </c>
      <c r="F4825" s="22" t="s">
        <v>21942</v>
      </c>
      <c r="G4825" s="23">
        <v>2013.0</v>
      </c>
      <c r="H4825" s="22" t="s">
        <v>22974</v>
      </c>
      <c r="I4825" s="24" t="s">
        <v>22975</v>
      </c>
      <c r="J4825" s="22" t="s">
        <v>2273</v>
      </c>
      <c r="K4825" s="22"/>
      <c r="L4825" s="36" t="s">
        <v>22976</v>
      </c>
      <c r="M4825" s="36"/>
      <c r="N4825" s="129"/>
      <c r="O4825" s="36"/>
      <c r="P4825" s="37" t="s">
        <v>22977</v>
      </c>
      <c r="Q4825" s="36"/>
      <c r="R4825" s="36"/>
      <c r="S4825" s="36"/>
      <c r="T4825" s="28" t="s">
        <v>22978</v>
      </c>
      <c r="U4825" s="38" t="str">
        <f>HYPERLINK("https://www.ncbi.nlm.nih.gov/pubmed/24474495","PubMed")</f>
        <v>PubMed</v>
      </c>
      <c r="V4825" s="30"/>
      <c r="W4825" s="49"/>
      <c r="X4825" s="49"/>
      <c r="Y4825" s="35"/>
      <c r="Z4825" s="35"/>
      <c r="AA4825" s="35"/>
      <c r="AB4825" s="35"/>
      <c r="AC4825" s="35"/>
      <c r="AD4825" s="35"/>
      <c r="AE4825" s="35"/>
      <c r="AF4825" s="35"/>
      <c r="AG4825" s="35"/>
      <c r="AH4825" s="35"/>
      <c r="AI4825" s="35"/>
      <c r="AJ4825" s="35"/>
      <c r="AK4825" s="35"/>
      <c r="AL4825" s="35"/>
    </row>
    <row r="4826">
      <c r="A4826" s="18"/>
      <c r="B4826" s="19" t="s">
        <v>19332</v>
      </c>
      <c r="C4826" s="20" t="s">
        <v>18738</v>
      </c>
      <c r="D4826" s="47"/>
      <c r="E4826" s="22" t="s">
        <v>22888</v>
      </c>
      <c r="F4826" s="22" t="s">
        <v>3511</v>
      </c>
      <c r="G4826" s="23">
        <v>2013.0</v>
      </c>
      <c r="H4826" s="22" t="s">
        <v>8177</v>
      </c>
      <c r="I4826" s="24" t="s">
        <v>22979</v>
      </c>
      <c r="J4826" s="22" t="s">
        <v>22980</v>
      </c>
      <c r="K4826" s="22" t="s">
        <v>22981</v>
      </c>
      <c r="L4826" s="36">
        <v>633.0</v>
      </c>
      <c r="M4826" s="36"/>
      <c r="N4826" s="36" t="s">
        <v>22892</v>
      </c>
      <c r="O4826" s="36" t="s">
        <v>22982</v>
      </c>
      <c r="P4826" s="37"/>
      <c r="Q4826" s="36" t="s">
        <v>6449</v>
      </c>
      <c r="R4826" s="36" t="s">
        <v>19442</v>
      </c>
      <c r="S4826" s="36" t="s">
        <v>22983</v>
      </c>
      <c r="T4826" s="54" t="s">
        <v>22984</v>
      </c>
      <c r="U4826" s="38" t="str">
        <f>HYPERLINK("https://www.ncbi.nlm.nih.gov/pubmed/23224689","PubMed")</f>
        <v>PubMed</v>
      </c>
      <c r="V4826" s="30"/>
      <c r="W4826" s="49"/>
      <c r="X4826" s="49"/>
      <c r="Y4826" s="35"/>
      <c r="Z4826" s="35"/>
      <c r="AA4826" s="35"/>
      <c r="AB4826" s="35"/>
      <c r="AC4826" s="35"/>
      <c r="AD4826" s="35"/>
      <c r="AE4826" s="35"/>
      <c r="AF4826" s="35"/>
      <c r="AG4826" s="35"/>
      <c r="AH4826" s="35"/>
      <c r="AI4826" s="35"/>
      <c r="AJ4826" s="35"/>
      <c r="AK4826" s="35"/>
      <c r="AL4826" s="35"/>
    </row>
    <row r="4827">
      <c r="A4827" s="18"/>
      <c r="B4827" s="19" t="s">
        <v>19332</v>
      </c>
      <c r="C4827" s="20" t="s">
        <v>18738</v>
      </c>
      <c r="D4827" s="47"/>
      <c r="E4827" s="22" t="s">
        <v>22985</v>
      </c>
      <c r="F4827" s="22" t="s">
        <v>22986</v>
      </c>
      <c r="G4827" s="23">
        <v>2013.0</v>
      </c>
      <c r="H4827" s="22" t="s">
        <v>13152</v>
      </c>
      <c r="I4827" s="24" t="s">
        <v>22987</v>
      </c>
      <c r="J4827" s="22" t="s">
        <v>1078</v>
      </c>
      <c r="K4827" s="22"/>
      <c r="L4827" s="105" t="s">
        <v>22988</v>
      </c>
      <c r="M4827" s="44"/>
      <c r="N4827" s="44"/>
      <c r="O4827" s="44"/>
      <c r="P4827" s="44"/>
      <c r="Q4827" s="44"/>
      <c r="R4827" s="44"/>
      <c r="S4827" s="44"/>
      <c r="T4827" s="45"/>
      <c r="U4827" s="38" t="str">
        <f>HYPERLINK("https://www.ncbi.nlm.nih.gov/pubmed/24119379","PubMed")</f>
        <v>PubMed</v>
      </c>
      <c r="V4827" s="30"/>
      <c r="W4827" s="49"/>
      <c r="X4827" s="49"/>
      <c r="Y4827" s="35"/>
      <c r="Z4827" s="35"/>
      <c r="AA4827" s="35"/>
      <c r="AB4827" s="35"/>
      <c r="AC4827" s="35"/>
      <c r="AD4827" s="35"/>
      <c r="AE4827" s="35"/>
      <c r="AF4827" s="35"/>
      <c r="AG4827" s="35"/>
      <c r="AH4827" s="35"/>
      <c r="AI4827" s="35"/>
      <c r="AJ4827" s="35"/>
      <c r="AK4827" s="35"/>
      <c r="AL4827" s="35"/>
    </row>
    <row r="4828">
      <c r="A4828" s="207"/>
      <c r="B4828" s="19" t="s">
        <v>19332</v>
      </c>
      <c r="C4828" s="20" t="s">
        <v>18738</v>
      </c>
      <c r="D4828" s="47"/>
      <c r="E4828" s="22" t="s">
        <v>22989</v>
      </c>
      <c r="F4828" s="22" t="s">
        <v>1154</v>
      </c>
      <c r="G4828" s="23">
        <v>2013.0</v>
      </c>
      <c r="H4828" s="22" t="s">
        <v>658</v>
      </c>
      <c r="I4828" s="24" t="s">
        <v>22990</v>
      </c>
      <c r="J4828" s="22" t="s">
        <v>22991</v>
      </c>
      <c r="K4828" s="22" t="s">
        <v>22992</v>
      </c>
      <c r="L4828" s="36" t="s">
        <v>22993</v>
      </c>
      <c r="M4828" s="36">
        <v>100.0</v>
      </c>
      <c r="N4828" s="36"/>
      <c r="O4828" s="36" t="s">
        <v>22994</v>
      </c>
      <c r="P4828" s="37" t="s">
        <v>22995</v>
      </c>
      <c r="Q4828" s="36" t="s">
        <v>280</v>
      </c>
      <c r="R4828" s="36" t="s">
        <v>22996</v>
      </c>
      <c r="S4828" s="36" t="s">
        <v>3125</v>
      </c>
      <c r="T4828" s="28" t="s">
        <v>22997</v>
      </c>
      <c r="U4828" s="38" t="str">
        <f>HYPERLINK("https://www.ncbi.nlm.nih.gov/pubmed/24261310","PubMed")</f>
        <v>PubMed</v>
      </c>
      <c r="V4828" s="30"/>
      <c r="W4828" s="49"/>
      <c r="X4828" s="49"/>
      <c r="Y4828" s="35"/>
      <c r="Z4828" s="35"/>
      <c r="AA4828" s="35"/>
      <c r="AB4828" s="35"/>
      <c r="AC4828" s="35"/>
      <c r="AD4828" s="35"/>
      <c r="AE4828" s="35"/>
      <c r="AF4828" s="35"/>
      <c r="AG4828" s="35"/>
      <c r="AH4828" s="35"/>
      <c r="AI4828" s="35"/>
      <c r="AJ4828" s="35"/>
      <c r="AK4828" s="35"/>
      <c r="AL4828" s="35"/>
    </row>
    <row r="4829">
      <c r="A4829" s="18" t="s">
        <v>181</v>
      </c>
      <c r="B4829" s="19" t="s">
        <v>19332</v>
      </c>
      <c r="C4829" s="20" t="s">
        <v>18738</v>
      </c>
      <c r="D4829" s="47"/>
      <c r="E4829" s="22" t="s">
        <v>19957</v>
      </c>
      <c r="F4829" s="22" t="s">
        <v>323</v>
      </c>
      <c r="G4829" s="23">
        <v>2013.0</v>
      </c>
      <c r="H4829" s="22" t="s">
        <v>17848</v>
      </c>
      <c r="I4829" s="24" t="s">
        <v>22998</v>
      </c>
      <c r="J4829" s="22" t="s">
        <v>22999</v>
      </c>
      <c r="K4829" s="22" t="s">
        <v>23000</v>
      </c>
      <c r="L4829" s="36">
        <v>630.0</v>
      </c>
      <c r="M4829" s="36">
        <v>30.0</v>
      </c>
      <c r="N4829" s="129"/>
      <c r="O4829" s="36"/>
      <c r="P4829" s="37" t="s">
        <v>23001</v>
      </c>
      <c r="Q4829" s="36"/>
      <c r="R4829" s="36"/>
      <c r="S4829" s="36" t="s">
        <v>23002</v>
      </c>
      <c r="T4829" s="28" t="s">
        <v>23003</v>
      </c>
      <c r="U4829" s="38" t="str">
        <f>HYPERLINK("https://www.ncbi.nlm.nih.gov/pubmed/23605599","PubMed")</f>
        <v>PubMed</v>
      </c>
      <c r="V4829" s="30"/>
      <c r="W4829" s="49"/>
      <c r="X4829" s="49"/>
      <c r="Y4829" s="35"/>
      <c r="Z4829" s="35"/>
      <c r="AA4829" s="35"/>
      <c r="AB4829" s="35"/>
      <c r="AC4829" s="35"/>
      <c r="AD4829" s="35"/>
      <c r="AE4829" s="35"/>
      <c r="AF4829" s="35"/>
      <c r="AG4829" s="35"/>
      <c r="AH4829" s="35"/>
      <c r="AI4829" s="35"/>
      <c r="AJ4829" s="35"/>
      <c r="AK4829" s="35"/>
      <c r="AL4829" s="35"/>
    </row>
    <row r="4830">
      <c r="A4830" s="1" t="s">
        <v>2</v>
      </c>
      <c r="B4830" s="19" t="s">
        <v>19332</v>
      </c>
      <c r="C4830" s="20" t="s">
        <v>18738</v>
      </c>
      <c r="D4830" s="47"/>
      <c r="E4830" s="22" t="s">
        <v>22755</v>
      </c>
      <c r="F4830" s="22" t="s">
        <v>993</v>
      </c>
      <c r="G4830" s="23">
        <v>2013.0</v>
      </c>
      <c r="H4830" s="22" t="s">
        <v>8218</v>
      </c>
      <c r="I4830" s="24" t="s">
        <v>23004</v>
      </c>
      <c r="J4830" s="22" t="s">
        <v>22835</v>
      </c>
      <c r="K4830" s="22" t="s">
        <v>22981</v>
      </c>
      <c r="L4830" s="36">
        <v>660.0</v>
      </c>
      <c r="M4830" s="36">
        <v>100.0</v>
      </c>
      <c r="N4830" s="36"/>
      <c r="O4830" s="36">
        <v>1.0</v>
      </c>
      <c r="P4830" s="37" t="s">
        <v>254</v>
      </c>
      <c r="Q4830" s="36" t="s">
        <v>22759</v>
      </c>
      <c r="R4830" s="36">
        <v>720.0</v>
      </c>
      <c r="S4830" s="36" t="s">
        <v>23005</v>
      </c>
      <c r="T4830" s="28" t="s">
        <v>23006</v>
      </c>
      <c r="U4830" s="38" t="str">
        <f>HYPERLINK("https://www.ncbi.nlm.nih.gov/pubmed/24044799","PubMed")</f>
        <v>PubMed</v>
      </c>
      <c r="V4830" s="30"/>
      <c r="W4830" s="49"/>
      <c r="X4830" s="49"/>
      <c r="Y4830" s="35"/>
      <c r="Z4830" s="35"/>
      <c r="AA4830" s="35"/>
      <c r="AB4830" s="35"/>
      <c r="AC4830" s="35"/>
      <c r="AD4830" s="35"/>
      <c r="AE4830" s="35"/>
      <c r="AF4830" s="35"/>
      <c r="AG4830" s="35"/>
      <c r="AH4830" s="35"/>
      <c r="AI4830" s="35"/>
      <c r="AJ4830" s="35"/>
      <c r="AK4830" s="35"/>
      <c r="AL4830" s="35"/>
    </row>
    <row r="4831">
      <c r="A4831" s="18" t="s">
        <v>181</v>
      </c>
      <c r="B4831" s="19" t="s">
        <v>19332</v>
      </c>
      <c r="C4831" s="20" t="s">
        <v>18738</v>
      </c>
      <c r="D4831" s="47"/>
      <c r="E4831" s="22" t="s">
        <v>22881</v>
      </c>
      <c r="F4831" s="22" t="s">
        <v>22786</v>
      </c>
      <c r="G4831" s="23">
        <v>2012.0</v>
      </c>
      <c r="H4831" s="22" t="s">
        <v>22239</v>
      </c>
      <c r="I4831" s="24" t="s">
        <v>23007</v>
      </c>
      <c r="J4831" s="22" t="s">
        <v>23008</v>
      </c>
      <c r="K4831" s="22"/>
      <c r="L4831" s="36">
        <v>685.0</v>
      </c>
      <c r="M4831" s="36">
        <v>35.0</v>
      </c>
      <c r="N4831" s="36"/>
      <c r="O4831" s="36"/>
      <c r="P4831" s="37" t="s">
        <v>269</v>
      </c>
      <c r="Q4831" s="36"/>
      <c r="R4831" s="36"/>
      <c r="S4831" s="36" t="s">
        <v>23009</v>
      </c>
      <c r="T4831" s="54" t="s">
        <v>23010</v>
      </c>
      <c r="U4831" s="38" t="str">
        <f>HYPERLINK("https://www.ncbi.nlm.nih.gov/pubmed/21472883","PubMed")</f>
        <v>PubMed</v>
      </c>
      <c r="V4831" s="30"/>
      <c r="W4831" s="49"/>
      <c r="X4831" s="49"/>
      <c r="Y4831" s="35"/>
      <c r="Z4831" s="35"/>
      <c r="AA4831" s="35"/>
      <c r="AB4831" s="35"/>
      <c r="AC4831" s="35"/>
      <c r="AD4831" s="35"/>
      <c r="AE4831" s="35"/>
      <c r="AF4831" s="35"/>
      <c r="AG4831" s="35"/>
      <c r="AH4831" s="35"/>
      <c r="AI4831" s="35"/>
      <c r="AJ4831" s="35"/>
      <c r="AK4831" s="35"/>
      <c r="AL4831" s="35"/>
    </row>
    <row r="4832">
      <c r="A4832" s="18"/>
      <c r="B4832" s="19" t="s">
        <v>19332</v>
      </c>
      <c r="C4832" s="20" t="s">
        <v>18738</v>
      </c>
      <c r="D4832" s="47"/>
      <c r="E4832" s="22" t="s">
        <v>5777</v>
      </c>
      <c r="F4832" s="22" t="s">
        <v>1173</v>
      </c>
      <c r="G4832" s="23">
        <v>2012.0</v>
      </c>
      <c r="H4832" s="22" t="s">
        <v>8177</v>
      </c>
      <c r="I4832" s="24" t="s">
        <v>23011</v>
      </c>
      <c r="J4832" s="22" t="s">
        <v>23012</v>
      </c>
      <c r="K4832" s="22" t="s">
        <v>157</v>
      </c>
      <c r="L4832" s="36">
        <v>670.0</v>
      </c>
      <c r="M4832" s="36"/>
      <c r="N4832" s="36" t="s">
        <v>1729</v>
      </c>
      <c r="O4832" s="36"/>
      <c r="P4832" s="37" t="s">
        <v>254</v>
      </c>
      <c r="Q4832" s="36"/>
      <c r="R4832" s="36">
        <v>80.0</v>
      </c>
      <c r="S4832" s="36" t="s">
        <v>23013</v>
      </c>
      <c r="T4832" s="54" t="s">
        <v>23014</v>
      </c>
      <c r="U4832" s="38" t="str">
        <f>HYPERLINK("https://www.ncbi.nlm.nih.gov/pubmed/21725826","PubMed")</f>
        <v>PubMed</v>
      </c>
      <c r="V4832" s="30"/>
      <c r="W4832" s="49"/>
      <c r="X4832" s="49"/>
      <c r="Y4832" s="35"/>
      <c r="Z4832" s="35"/>
      <c r="AA4832" s="35"/>
      <c r="AB4832" s="35"/>
      <c r="AC4832" s="35"/>
      <c r="AD4832" s="35"/>
      <c r="AE4832" s="35"/>
      <c r="AF4832" s="35"/>
      <c r="AG4832" s="35"/>
      <c r="AH4832" s="35"/>
      <c r="AI4832" s="35"/>
      <c r="AJ4832" s="35"/>
      <c r="AK4832" s="35"/>
      <c r="AL4832" s="35"/>
    </row>
    <row r="4833">
      <c r="A4833" s="1"/>
      <c r="B4833" s="19" t="s">
        <v>19332</v>
      </c>
      <c r="C4833" s="20" t="s">
        <v>18738</v>
      </c>
      <c r="D4833" s="47"/>
      <c r="E4833" s="22" t="s">
        <v>23015</v>
      </c>
      <c r="F4833" s="22" t="s">
        <v>41</v>
      </c>
      <c r="G4833" s="23">
        <v>2012.0</v>
      </c>
      <c r="H4833" s="22" t="s">
        <v>23016</v>
      </c>
      <c r="I4833" s="24" t="s">
        <v>23017</v>
      </c>
      <c r="J4833" s="22" t="s">
        <v>23018</v>
      </c>
      <c r="K4833" s="22" t="s">
        <v>22981</v>
      </c>
      <c r="L4833" s="36">
        <v>660.0</v>
      </c>
      <c r="M4833" s="36">
        <v>10.0</v>
      </c>
      <c r="N4833" s="36"/>
      <c r="O4833" s="129"/>
      <c r="P4833" s="37" t="s">
        <v>7500</v>
      </c>
      <c r="Q4833" s="36" t="s">
        <v>1199</v>
      </c>
      <c r="R4833" s="36"/>
      <c r="S4833" s="36" t="s">
        <v>23019</v>
      </c>
      <c r="T4833" s="41" t="s">
        <v>23020</v>
      </c>
      <c r="U4833" s="38" t="str">
        <f>HYPERLINK("https://www.ncbi.nlm.nih.gov/pubmed/21163585","PubMed")</f>
        <v>PubMed</v>
      </c>
      <c r="V4833" s="30"/>
      <c r="W4833" s="49"/>
      <c r="X4833" s="49"/>
      <c r="Y4833" s="35"/>
      <c r="Z4833" s="35"/>
      <c r="AA4833" s="35"/>
      <c r="AB4833" s="35"/>
      <c r="AC4833" s="35"/>
      <c r="AD4833" s="35"/>
      <c r="AE4833" s="35"/>
      <c r="AF4833" s="35"/>
      <c r="AG4833" s="35"/>
      <c r="AH4833" s="35"/>
      <c r="AI4833" s="35"/>
      <c r="AJ4833" s="35"/>
      <c r="AK4833" s="35"/>
      <c r="AL4833" s="35"/>
    </row>
    <row r="4834">
      <c r="A4834" s="18"/>
      <c r="B4834" s="19" t="s">
        <v>19332</v>
      </c>
      <c r="C4834" s="20" t="s">
        <v>18738</v>
      </c>
      <c r="D4834" s="47"/>
      <c r="E4834" s="22" t="s">
        <v>22888</v>
      </c>
      <c r="F4834" s="22" t="s">
        <v>3511</v>
      </c>
      <c r="G4834" s="23">
        <v>2012.0</v>
      </c>
      <c r="H4834" s="22" t="s">
        <v>8218</v>
      </c>
      <c r="I4834" s="24" t="s">
        <v>23021</v>
      </c>
      <c r="J4834" s="22" t="s">
        <v>23022</v>
      </c>
      <c r="K4834" s="22"/>
      <c r="L4834" s="36">
        <v>633.0</v>
      </c>
      <c r="M4834" s="36"/>
      <c r="N4834" s="36" t="s">
        <v>22892</v>
      </c>
      <c r="O4834" s="36" t="s">
        <v>22982</v>
      </c>
      <c r="P4834" s="37"/>
      <c r="Q4834" s="36" t="s">
        <v>675</v>
      </c>
      <c r="R4834" s="36" t="s">
        <v>19442</v>
      </c>
      <c r="S4834" s="36" t="s">
        <v>23023</v>
      </c>
      <c r="T4834" s="54" t="s">
        <v>23024</v>
      </c>
      <c r="U4834" s="38" t="str">
        <f>HYPERLINK("https://www.ncbi.nlm.nih.gov/pubmed/22884841","PubMed")</f>
        <v>PubMed</v>
      </c>
      <c r="V4834" s="30"/>
      <c r="W4834" s="49"/>
      <c r="X4834" s="49"/>
      <c r="Y4834" s="35"/>
      <c r="Z4834" s="35"/>
      <c r="AA4834" s="35"/>
      <c r="AB4834" s="35"/>
      <c r="AC4834" s="35"/>
      <c r="AD4834" s="35"/>
      <c r="AE4834" s="35"/>
      <c r="AF4834" s="35"/>
      <c r="AG4834" s="35"/>
      <c r="AH4834" s="35"/>
      <c r="AI4834" s="35"/>
      <c r="AJ4834" s="35"/>
      <c r="AK4834" s="35"/>
      <c r="AL4834" s="35"/>
    </row>
    <row r="4835">
      <c r="A4835" s="18"/>
      <c r="B4835" s="19" t="s">
        <v>19332</v>
      </c>
      <c r="C4835" s="20" t="s">
        <v>18738</v>
      </c>
      <c r="D4835" s="47"/>
      <c r="E4835" s="22" t="s">
        <v>22909</v>
      </c>
      <c r="F4835" s="22" t="s">
        <v>22910</v>
      </c>
      <c r="G4835" s="23">
        <v>2012.0</v>
      </c>
      <c r="H4835" s="22" t="s">
        <v>658</v>
      </c>
      <c r="I4835" s="24" t="s">
        <v>23025</v>
      </c>
      <c r="J4835" s="22" t="s">
        <v>7918</v>
      </c>
      <c r="K4835" s="22"/>
      <c r="L4835" s="43"/>
      <c r="M4835" s="44"/>
      <c r="N4835" s="44"/>
      <c r="O4835" s="44"/>
      <c r="P4835" s="44"/>
      <c r="Q4835" s="44"/>
      <c r="R4835" s="44"/>
      <c r="S4835" s="44"/>
      <c r="T4835" s="45"/>
      <c r="U4835" s="38" t="str">
        <f>HYPERLINK("https://www.ncbi.nlm.nih.gov/pubmed/22486724","PubMed")</f>
        <v>PubMed</v>
      </c>
      <c r="V4835" s="30"/>
      <c r="W4835" s="49"/>
      <c r="X4835" s="49"/>
      <c r="Y4835" s="35"/>
      <c r="Z4835" s="35"/>
      <c r="AA4835" s="35"/>
      <c r="AB4835" s="35"/>
      <c r="AC4835" s="35"/>
      <c r="AD4835" s="35"/>
      <c r="AE4835" s="35"/>
      <c r="AF4835" s="35"/>
      <c r="AG4835" s="35"/>
      <c r="AH4835" s="35"/>
      <c r="AI4835" s="35"/>
      <c r="AJ4835" s="35"/>
      <c r="AK4835" s="35"/>
      <c r="AL4835" s="35"/>
    </row>
    <row r="4836">
      <c r="A4836" s="18"/>
      <c r="B4836" s="19" t="s">
        <v>19332</v>
      </c>
      <c r="C4836" s="20" t="s">
        <v>18738</v>
      </c>
      <c r="D4836" s="47"/>
      <c r="E4836" s="22" t="s">
        <v>22909</v>
      </c>
      <c r="F4836" s="22" t="s">
        <v>22910</v>
      </c>
      <c r="G4836" s="23">
        <v>2012.0</v>
      </c>
      <c r="H4836" s="22" t="s">
        <v>8235</v>
      </c>
      <c r="I4836" s="24" t="s">
        <v>23026</v>
      </c>
      <c r="J4836" s="22" t="s">
        <v>23027</v>
      </c>
      <c r="K4836" s="22"/>
      <c r="L4836" s="105" t="s">
        <v>23028</v>
      </c>
      <c r="M4836" s="44"/>
      <c r="N4836" s="44"/>
      <c r="O4836" s="44"/>
      <c r="P4836" s="44"/>
      <c r="Q4836" s="44"/>
      <c r="R4836" s="44"/>
      <c r="S4836" s="44"/>
      <c r="T4836" s="45"/>
      <c r="U4836" s="38" t="str">
        <f>HYPERLINK("https://www.ncbi.nlm.nih.gov/pubmed/22450151","PubMed")</f>
        <v>PubMed</v>
      </c>
      <c r="V4836" s="30"/>
      <c r="W4836" s="49"/>
      <c r="X4836" s="49"/>
      <c r="Y4836" s="35"/>
      <c r="Z4836" s="35"/>
      <c r="AA4836" s="35"/>
      <c r="AB4836" s="35"/>
      <c r="AC4836" s="35"/>
      <c r="AD4836" s="35"/>
      <c r="AE4836" s="35"/>
      <c r="AF4836" s="35"/>
      <c r="AG4836" s="35"/>
      <c r="AH4836" s="35"/>
      <c r="AI4836" s="35"/>
      <c r="AJ4836" s="35"/>
      <c r="AK4836" s="35"/>
      <c r="AL4836" s="35"/>
    </row>
    <row r="4837">
      <c r="A4837" s="1"/>
      <c r="B4837" s="19" t="s">
        <v>19332</v>
      </c>
      <c r="C4837" s="20" t="s">
        <v>18738</v>
      </c>
      <c r="D4837" s="47"/>
      <c r="E4837" s="22" t="s">
        <v>88</v>
      </c>
      <c r="F4837" s="22" t="s">
        <v>22786</v>
      </c>
      <c r="G4837" s="23">
        <v>2011.0</v>
      </c>
      <c r="H4837" s="22" t="s">
        <v>658</v>
      </c>
      <c r="I4837" s="24" t="s">
        <v>23029</v>
      </c>
      <c r="J4837" s="22" t="s">
        <v>23030</v>
      </c>
      <c r="K4837" s="22" t="s">
        <v>23031</v>
      </c>
      <c r="L4837" s="36">
        <v>660.0</v>
      </c>
      <c r="M4837" s="36">
        <v>40.0</v>
      </c>
      <c r="N4837" s="36"/>
      <c r="O4837" s="129">
        <v>42594.0</v>
      </c>
      <c r="P4837" s="37" t="s">
        <v>254</v>
      </c>
      <c r="Q4837" s="36" t="s">
        <v>830</v>
      </c>
      <c r="R4837" s="36">
        <v>320.0</v>
      </c>
      <c r="S4837" s="36" t="s">
        <v>23032</v>
      </c>
      <c r="T4837" s="28" t="s">
        <v>23033</v>
      </c>
      <c r="U4837" s="38" t="str">
        <f>HYPERLINK("https://www.ncbi.nlm.nih.gov/pubmed/20969443","PubMed")</f>
        <v>PubMed</v>
      </c>
      <c r="V4837" s="30"/>
      <c r="W4837" s="49"/>
      <c r="X4837" s="49"/>
      <c r="Y4837" s="35"/>
      <c r="Z4837" s="35"/>
      <c r="AA4837" s="35"/>
      <c r="AB4837" s="35"/>
      <c r="AC4837" s="35"/>
      <c r="AD4837" s="35"/>
      <c r="AE4837" s="35"/>
      <c r="AF4837" s="35"/>
      <c r="AG4837" s="35"/>
      <c r="AH4837" s="35"/>
      <c r="AI4837" s="35"/>
      <c r="AJ4837" s="35"/>
      <c r="AK4837" s="35"/>
      <c r="AL4837" s="35"/>
    </row>
    <row r="4838">
      <c r="A4838" s="18"/>
      <c r="B4838" s="19" t="s">
        <v>19332</v>
      </c>
      <c r="C4838" s="20" t="s">
        <v>18738</v>
      </c>
      <c r="D4838" s="47"/>
      <c r="E4838" s="22" t="s">
        <v>23034</v>
      </c>
      <c r="F4838" s="22" t="s">
        <v>283</v>
      </c>
      <c r="G4838" s="23">
        <v>2011.0</v>
      </c>
      <c r="H4838" s="22" t="s">
        <v>20009</v>
      </c>
      <c r="I4838" s="24" t="s">
        <v>23035</v>
      </c>
      <c r="J4838" s="22" t="s">
        <v>23036</v>
      </c>
      <c r="K4838" s="22"/>
      <c r="L4838" s="36">
        <v>830.0</v>
      </c>
      <c r="M4838" s="36">
        <v>150.0</v>
      </c>
      <c r="N4838" s="36"/>
      <c r="O4838" s="36"/>
      <c r="P4838" s="37" t="s">
        <v>23037</v>
      </c>
      <c r="Q4838" s="36"/>
      <c r="R4838" s="36"/>
      <c r="S4838" s="36" t="s">
        <v>23038</v>
      </c>
      <c r="T4838" s="54" t="s">
        <v>23039</v>
      </c>
      <c r="U4838" s="38" t="str">
        <f>HYPERLINK("https://www.ncbi.nlm.nih.gov/pubmed/21473845","PubMed")</f>
        <v>PubMed</v>
      </c>
      <c r="V4838" s="30"/>
      <c r="W4838" s="49"/>
      <c r="X4838" s="49"/>
      <c r="Y4838" s="35"/>
      <c r="Z4838" s="35"/>
      <c r="AA4838" s="35"/>
      <c r="AB4838" s="35"/>
      <c r="AC4838" s="35"/>
      <c r="AD4838" s="35"/>
      <c r="AE4838" s="35"/>
      <c r="AF4838" s="35"/>
      <c r="AG4838" s="35"/>
      <c r="AH4838" s="35"/>
      <c r="AI4838" s="35"/>
      <c r="AJ4838" s="35"/>
      <c r="AK4838" s="35"/>
      <c r="AL4838" s="35"/>
    </row>
    <row r="4839">
      <c r="A4839" s="18"/>
      <c r="B4839" s="19" t="s">
        <v>19332</v>
      </c>
      <c r="C4839" s="20" t="s">
        <v>18738</v>
      </c>
      <c r="D4839" s="47"/>
      <c r="E4839" s="22" t="s">
        <v>22219</v>
      </c>
      <c r="F4839" s="22" t="s">
        <v>5312</v>
      </c>
      <c r="G4839" s="23">
        <v>2011.0</v>
      </c>
      <c r="H4839" s="22" t="s">
        <v>18716</v>
      </c>
      <c r="I4839" s="24" t="s">
        <v>23040</v>
      </c>
      <c r="J4839" s="22" t="s">
        <v>23041</v>
      </c>
      <c r="K4839" s="22" t="s">
        <v>23042</v>
      </c>
      <c r="L4839" s="36" t="s">
        <v>23043</v>
      </c>
      <c r="M4839" s="36"/>
      <c r="N4839" s="36" t="s">
        <v>23044</v>
      </c>
      <c r="O4839" s="166"/>
      <c r="P4839" s="37"/>
      <c r="Q4839" s="36"/>
      <c r="R4839" s="36" t="s">
        <v>23045</v>
      </c>
      <c r="S4839" s="36" t="s">
        <v>23046</v>
      </c>
      <c r="T4839" s="54" t="s">
        <v>23047</v>
      </c>
      <c r="U4839" s="38" t="str">
        <f>HYPERLINK("https://www.ncbi.nlm.nih.gov/pubmed/21163686","PubMed")</f>
        <v>PubMed</v>
      </c>
      <c r="V4839" s="30"/>
      <c r="W4839" s="49"/>
      <c r="X4839" s="49"/>
      <c r="Y4839" s="35"/>
      <c r="Z4839" s="35"/>
      <c r="AA4839" s="35"/>
      <c r="AB4839" s="35"/>
      <c r="AC4839" s="35"/>
      <c r="AD4839" s="35"/>
      <c r="AE4839" s="35"/>
      <c r="AF4839" s="35"/>
      <c r="AG4839" s="35"/>
      <c r="AH4839" s="35"/>
      <c r="AI4839" s="35"/>
      <c r="AJ4839" s="35"/>
      <c r="AK4839" s="35"/>
      <c r="AL4839" s="35"/>
    </row>
    <row r="4840">
      <c r="A4840" s="18"/>
      <c r="B4840" s="19" t="s">
        <v>19332</v>
      </c>
      <c r="C4840" s="20" t="s">
        <v>18738</v>
      </c>
      <c r="D4840" s="47"/>
      <c r="E4840" s="22" t="s">
        <v>17005</v>
      </c>
      <c r="F4840" s="22" t="s">
        <v>41</v>
      </c>
      <c r="G4840" s="23">
        <v>2011.0</v>
      </c>
      <c r="H4840" s="22" t="s">
        <v>18716</v>
      </c>
      <c r="I4840" s="24" t="s">
        <v>23048</v>
      </c>
      <c r="J4840" s="22" t="s">
        <v>23049</v>
      </c>
      <c r="K4840" s="22" t="s">
        <v>1112</v>
      </c>
      <c r="L4840" s="36">
        <v>660.0</v>
      </c>
      <c r="M4840" s="36" t="s">
        <v>23050</v>
      </c>
      <c r="N4840" s="36"/>
      <c r="O4840" s="166"/>
      <c r="P4840" s="37" t="s">
        <v>23051</v>
      </c>
      <c r="Q4840" s="36" t="s">
        <v>1199</v>
      </c>
      <c r="R4840" s="166"/>
      <c r="S4840" s="36" t="s">
        <v>23052</v>
      </c>
      <c r="T4840" s="54" t="s">
        <v>23053</v>
      </c>
      <c r="U4840" s="38" t="str">
        <f>HYPERLINK("https://www.ncbi.nlm.nih.gov/pubmed/21911312","PubMed")</f>
        <v>PubMed</v>
      </c>
      <c r="V4840" s="30"/>
      <c r="W4840" s="49"/>
      <c r="X4840" s="49"/>
      <c r="Y4840" s="35"/>
      <c r="Z4840" s="35"/>
      <c r="AA4840" s="35"/>
      <c r="AB4840" s="35"/>
      <c r="AC4840" s="35"/>
      <c r="AD4840" s="35"/>
      <c r="AE4840" s="35"/>
      <c r="AF4840" s="35"/>
      <c r="AG4840" s="35"/>
      <c r="AH4840" s="35"/>
      <c r="AI4840" s="35"/>
      <c r="AJ4840" s="35"/>
      <c r="AK4840" s="35"/>
      <c r="AL4840" s="35"/>
    </row>
    <row r="4841">
      <c r="A4841" s="1"/>
      <c r="B4841" s="19" t="s">
        <v>19332</v>
      </c>
      <c r="C4841" s="20" t="s">
        <v>18738</v>
      </c>
      <c r="D4841" s="47"/>
      <c r="E4841" s="22" t="s">
        <v>13667</v>
      </c>
      <c r="F4841" s="22" t="s">
        <v>23054</v>
      </c>
      <c r="G4841" s="23">
        <v>2011.0</v>
      </c>
      <c r="H4841" s="22" t="s">
        <v>8177</v>
      </c>
      <c r="I4841" s="24" t="s">
        <v>23055</v>
      </c>
      <c r="J4841" s="22" t="s">
        <v>1078</v>
      </c>
      <c r="K4841" s="22"/>
      <c r="L4841" s="105" t="s">
        <v>23056</v>
      </c>
      <c r="M4841" s="44"/>
      <c r="N4841" s="44"/>
      <c r="O4841" s="44"/>
      <c r="P4841" s="44"/>
      <c r="Q4841" s="44"/>
      <c r="R4841" s="44"/>
      <c r="S4841" s="44"/>
      <c r="T4841" s="45"/>
      <c r="U4841" s="38" t="str">
        <f>HYPERLINK("https://www.ncbi.nlm.nih.gov/pubmed/21660670","PubMed")</f>
        <v>PubMed</v>
      </c>
      <c r="V4841" s="30"/>
      <c r="W4841" s="49"/>
      <c r="X4841" s="49"/>
      <c r="Y4841" s="35"/>
      <c r="Z4841" s="35"/>
      <c r="AA4841" s="35"/>
      <c r="AB4841" s="35"/>
      <c r="AC4841" s="35"/>
      <c r="AD4841" s="35"/>
      <c r="AE4841" s="35"/>
      <c r="AF4841" s="35"/>
      <c r="AG4841" s="35"/>
      <c r="AH4841" s="35"/>
      <c r="AI4841" s="35"/>
      <c r="AJ4841" s="35"/>
      <c r="AK4841" s="35"/>
      <c r="AL4841" s="35"/>
    </row>
    <row r="4842">
      <c r="A4842" s="1"/>
      <c r="B4842" s="19" t="s">
        <v>19332</v>
      </c>
      <c r="C4842" s="20" t="s">
        <v>18738</v>
      </c>
      <c r="D4842" s="47"/>
      <c r="E4842" s="22" t="s">
        <v>21082</v>
      </c>
      <c r="F4842" s="22" t="s">
        <v>41</v>
      </c>
      <c r="G4842" s="23">
        <v>2011.0</v>
      </c>
      <c r="H4842" s="22" t="s">
        <v>21909</v>
      </c>
      <c r="I4842" s="24" t="s">
        <v>23057</v>
      </c>
      <c r="J4842" s="22" t="s">
        <v>23058</v>
      </c>
      <c r="K4842" s="22"/>
      <c r="L4842" s="36">
        <v>660.0</v>
      </c>
      <c r="M4842" s="36">
        <v>40.0</v>
      </c>
      <c r="N4842" s="36"/>
      <c r="O4842" s="129">
        <v>42462.0</v>
      </c>
      <c r="P4842" s="37" t="s">
        <v>254</v>
      </c>
      <c r="Q4842" s="36" t="s">
        <v>96</v>
      </c>
      <c r="R4842" s="36"/>
      <c r="S4842" s="36">
        <v>10.0</v>
      </c>
      <c r="T4842" s="54" t="s">
        <v>23059</v>
      </c>
      <c r="U4842" s="38" t="str">
        <f>HYPERLINK("https://www.ncbi.nlm.nih.gov/pubmed/21496209","PubMed")</f>
        <v>PubMed</v>
      </c>
      <c r="V4842" s="30"/>
      <c r="W4842" s="49"/>
      <c r="X4842" s="49"/>
      <c r="Y4842" s="35"/>
      <c r="Z4842" s="35"/>
      <c r="AA4842" s="35"/>
      <c r="AB4842" s="35"/>
      <c r="AC4842" s="35"/>
      <c r="AD4842" s="35"/>
      <c r="AE4842" s="35"/>
      <c r="AF4842" s="35"/>
      <c r="AG4842" s="35"/>
      <c r="AH4842" s="35"/>
      <c r="AI4842" s="35"/>
      <c r="AJ4842" s="35"/>
      <c r="AK4842" s="35"/>
      <c r="AL4842" s="35"/>
    </row>
    <row r="4843">
      <c r="A4843" s="1"/>
      <c r="B4843" s="19" t="s">
        <v>19332</v>
      </c>
      <c r="C4843" s="20" t="s">
        <v>18738</v>
      </c>
      <c r="D4843" s="47"/>
      <c r="E4843" s="22" t="s">
        <v>23060</v>
      </c>
      <c r="F4843" s="22" t="s">
        <v>183</v>
      </c>
      <c r="G4843" s="23">
        <v>2011.0</v>
      </c>
      <c r="H4843" s="22" t="s">
        <v>837</v>
      </c>
      <c r="I4843" s="24" t="s">
        <v>23061</v>
      </c>
      <c r="J4843" s="22" t="s">
        <v>2487</v>
      </c>
      <c r="K4843" s="22"/>
      <c r="L4843" s="36" t="s">
        <v>23062</v>
      </c>
      <c r="M4843" s="36" t="s">
        <v>5564</v>
      </c>
      <c r="N4843" s="36"/>
      <c r="O4843" s="36"/>
      <c r="P4843" s="37"/>
      <c r="Q4843" s="36" t="s">
        <v>1199</v>
      </c>
      <c r="R4843" s="36"/>
      <c r="S4843" s="36" t="s">
        <v>4905</v>
      </c>
      <c r="T4843" s="54" t="s">
        <v>23063</v>
      </c>
      <c r="U4843" s="38" t="str">
        <f>HYPERLINK("https://www.ncbi.nlm.nih.gov/pubmed/21537592","PubMed")</f>
        <v>PubMed</v>
      </c>
      <c r="V4843" s="30"/>
      <c r="W4843" s="49"/>
      <c r="X4843" s="49"/>
      <c r="Y4843" s="35"/>
      <c r="Z4843" s="35"/>
      <c r="AA4843" s="35"/>
      <c r="AB4843" s="35"/>
      <c r="AC4843" s="35"/>
      <c r="AD4843" s="35"/>
      <c r="AE4843" s="35"/>
      <c r="AF4843" s="35"/>
      <c r="AG4843" s="35"/>
      <c r="AH4843" s="35"/>
      <c r="AI4843" s="35"/>
      <c r="AJ4843" s="35"/>
      <c r="AK4843" s="35"/>
      <c r="AL4843" s="35"/>
    </row>
    <row r="4844">
      <c r="A4844" s="1"/>
      <c r="B4844" s="19" t="s">
        <v>19332</v>
      </c>
      <c r="C4844" s="20" t="s">
        <v>18738</v>
      </c>
      <c r="D4844" s="47"/>
      <c r="E4844" s="22" t="s">
        <v>18828</v>
      </c>
      <c r="F4844" s="22" t="s">
        <v>323</v>
      </c>
      <c r="G4844" s="23">
        <v>2011.0</v>
      </c>
      <c r="H4844" s="22" t="s">
        <v>147</v>
      </c>
      <c r="I4844" s="24" t="s">
        <v>23064</v>
      </c>
      <c r="J4844" s="22" t="s">
        <v>23065</v>
      </c>
      <c r="K4844" s="22"/>
      <c r="L4844" s="36">
        <v>630.0</v>
      </c>
      <c r="M4844" s="36">
        <v>3.0</v>
      </c>
      <c r="N4844" s="36"/>
      <c r="O4844" s="36"/>
      <c r="P4844" s="37" t="s">
        <v>432</v>
      </c>
      <c r="Q4844" s="36"/>
      <c r="R4844" s="36"/>
      <c r="S4844" s="36" t="s">
        <v>23066</v>
      </c>
      <c r="T4844" s="54" t="s">
        <v>23067</v>
      </c>
      <c r="U4844" s="38" t="str">
        <f>HYPERLINK("http://journals.sbmu.ac.ir/jlms/article/view/2152","SBMU")</f>
        <v>SBMU</v>
      </c>
      <c r="V4844" s="30"/>
      <c r="W4844" s="49"/>
      <c r="X4844" s="49"/>
      <c r="Y4844" s="35"/>
      <c r="Z4844" s="35"/>
      <c r="AA4844" s="35"/>
      <c r="AB4844" s="35"/>
      <c r="AC4844" s="35"/>
      <c r="AD4844" s="35"/>
      <c r="AE4844" s="35"/>
      <c r="AF4844" s="35"/>
      <c r="AG4844" s="35"/>
      <c r="AH4844" s="35"/>
      <c r="AI4844" s="35"/>
      <c r="AJ4844" s="35"/>
      <c r="AK4844" s="35"/>
      <c r="AL4844" s="35"/>
    </row>
    <row r="4845">
      <c r="A4845" s="18"/>
      <c r="B4845" s="19" t="s">
        <v>19332</v>
      </c>
      <c r="C4845" s="20" t="s">
        <v>18738</v>
      </c>
      <c r="D4845" s="47"/>
      <c r="E4845" s="22" t="s">
        <v>23068</v>
      </c>
      <c r="F4845" s="22" t="s">
        <v>41</v>
      </c>
      <c r="G4845" s="23">
        <v>2010.0</v>
      </c>
      <c r="H4845" s="22" t="s">
        <v>658</v>
      </c>
      <c r="I4845" s="24" t="s">
        <v>23069</v>
      </c>
      <c r="J4845" s="22" t="s">
        <v>23070</v>
      </c>
      <c r="K4845" s="22"/>
      <c r="L4845" s="36">
        <v>660.0</v>
      </c>
      <c r="M4845" s="36">
        <v>30.0</v>
      </c>
      <c r="N4845" s="36"/>
      <c r="O4845" s="36" t="s">
        <v>23071</v>
      </c>
      <c r="P4845" s="37"/>
      <c r="Q4845" s="36" t="s">
        <v>11413</v>
      </c>
      <c r="R4845" s="36"/>
      <c r="S4845" s="36" t="s">
        <v>23072</v>
      </c>
      <c r="T4845" s="54" t="s">
        <v>23073</v>
      </c>
      <c r="U4845" s="38" t="str">
        <f>HYPERLINK("https://www.ncbi.nlm.nih.gov/pubmed/19764899","PubMed")</f>
        <v>PubMed</v>
      </c>
      <c r="V4845" s="30"/>
      <c r="W4845" s="49"/>
      <c r="X4845" s="49"/>
      <c r="Y4845" s="35"/>
      <c r="Z4845" s="35"/>
      <c r="AA4845" s="35"/>
      <c r="AB4845" s="35"/>
      <c r="AC4845" s="35"/>
      <c r="AD4845" s="35"/>
      <c r="AE4845" s="35"/>
      <c r="AF4845" s="35"/>
      <c r="AG4845" s="35"/>
      <c r="AH4845" s="35"/>
      <c r="AI4845" s="35"/>
      <c r="AJ4845" s="35"/>
      <c r="AK4845" s="35"/>
      <c r="AL4845" s="35"/>
    </row>
    <row r="4846">
      <c r="A4846" s="18"/>
      <c r="B4846" s="19" t="s">
        <v>19332</v>
      </c>
      <c r="C4846" s="20" t="s">
        <v>18738</v>
      </c>
      <c r="D4846" s="47"/>
      <c r="E4846" s="22" t="s">
        <v>1059</v>
      </c>
      <c r="F4846" s="22" t="s">
        <v>41</v>
      </c>
      <c r="G4846" s="23">
        <v>2010.0</v>
      </c>
      <c r="H4846" s="22" t="s">
        <v>53</v>
      </c>
      <c r="I4846" s="24" t="s">
        <v>23074</v>
      </c>
      <c r="J4846" s="22" t="s">
        <v>8564</v>
      </c>
      <c r="K4846" s="22"/>
      <c r="L4846" s="36">
        <v>660.0</v>
      </c>
      <c r="M4846" s="36" t="s">
        <v>23075</v>
      </c>
      <c r="N4846" s="36"/>
      <c r="O4846" s="36"/>
      <c r="P4846" s="37"/>
      <c r="Q4846" s="36"/>
      <c r="R4846" s="36"/>
      <c r="S4846" s="36"/>
      <c r="T4846" s="102" t="s">
        <v>23076</v>
      </c>
      <c r="U4846" s="38" t="str">
        <f>HYPERLINK("https://www.ncbi.nlm.nih.gov/pubmed/20662031","PubMed")</f>
        <v>PubMed</v>
      </c>
      <c r="V4846" s="30"/>
      <c r="W4846" s="49"/>
      <c r="X4846" s="49"/>
      <c r="Y4846" s="35"/>
      <c r="Z4846" s="35"/>
      <c r="AA4846" s="35"/>
      <c r="AB4846" s="35"/>
      <c r="AC4846" s="35"/>
      <c r="AD4846" s="35"/>
      <c r="AE4846" s="35"/>
      <c r="AF4846" s="35"/>
      <c r="AG4846" s="35"/>
      <c r="AH4846" s="35"/>
      <c r="AI4846" s="35"/>
      <c r="AJ4846" s="35"/>
      <c r="AK4846" s="35"/>
      <c r="AL4846" s="35"/>
    </row>
    <row r="4847">
      <c r="A4847" s="1"/>
      <c r="B4847" s="19" t="s">
        <v>19332</v>
      </c>
      <c r="C4847" s="20" t="s">
        <v>18738</v>
      </c>
      <c r="D4847" s="47"/>
      <c r="E4847" s="22" t="s">
        <v>14885</v>
      </c>
      <c r="F4847" s="22" t="s">
        <v>41</v>
      </c>
      <c r="G4847" s="23">
        <v>2010.0</v>
      </c>
      <c r="H4847" s="22" t="s">
        <v>837</v>
      </c>
      <c r="I4847" s="24" t="s">
        <v>23077</v>
      </c>
      <c r="J4847" s="22" t="s">
        <v>23078</v>
      </c>
      <c r="K4847" s="22" t="s">
        <v>23079</v>
      </c>
      <c r="L4847" s="36">
        <v>830.0</v>
      </c>
      <c r="M4847" s="36">
        <v>15.0</v>
      </c>
      <c r="N4847" s="36"/>
      <c r="O4847" s="129"/>
      <c r="P4847" s="37" t="s">
        <v>2848</v>
      </c>
      <c r="Q4847" s="36"/>
      <c r="R4847" s="36"/>
      <c r="S4847" s="36" t="s">
        <v>23080</v>
      </c>
      <c r="T4847" s="28" t="s">
        <v>23081</v>
      </c>
      <c r="U4847" s="38" t="str">
        <f>HYPERLINK("https://www.ncbi.nlm.nih.gov/pubmed/21203698","PubMed")</f>
        <v>PubMed</v>
      </c>
      <c r="V4847" s="30"/>
      <c r="W4847" s="49"/>
      <c r="X4847" s="49"/>
      <c r="Y4847" s="35"/>
      <c r="Z4847" s="35"/>
      <c r="AA4847" s="35"/>
      <c r="AB4847" s="35"/>
      <c r="AC4847" s="35"/>
      <c r="AD4847" s="35"/>
      <c r="AE4847" s="35"/>
      <c r="AF4847" s="35"/>
      <c r="AG4847" s="35"/>
      <c r="AH4847" s="35"/>
      <c r="AI4847" s="35"/>
      <c r="AJ4847" s="35"/>
      <c r="AK4847" s="35"/>
      <c r="AL4847" s="35"/>
    </row>
    <row r="4848">
      <c r="A4848" s="18" t="s">
        <v>181</v>
      </c>
      <c r="B4848" s="19" t="s">
        <v>19332</v>
      </c>
      <c r="C4848" s="20" t="s">
        <v>18738</v>
      </c>
      <c r="D4848" s="47"/>
      <c r="E4848" s="22" t="s">
        <v>23082</v>
      </c>
      <c r="F4848" s="22" t="s">
        <v>993</v>
      </c>
      <c r="G4848" s="23">
        <v>2010.0</v>
      </c>
      <c r="H4848" s="22" t="s">
        <v>23083</v>
      </c>
      <c r="I4848" s="24" t="s">
        <v>23084</v>
      </c>
      <c r="J4848" s="22" t="s">
        <v>7918</v>
      </c>
      <c r="K4848" s="22"/>
      <c r="L4848" s="36">
        <v>660.0</v>
      </c>
      <c r="M4848" s="36">
        <v>50.0</v>
      </c>
      <c r="N4848" s="36"/>
      <c r="O4848" s="36"/>
      <c r="P4848" s="37"/>
      <c r="Q4848" s="36"/>
      <c r="R4848" s="36"/>
      <c r="S4848" s="36"/>
      <c r="T4848" s="102" t="s">
        <v>23085</v>
      </c>
      <c r="U4848" s="38" t="str">
        <f>HYPERLINK("https://www.ncbi.nlm.nih.gov/pubmed/19682060","PubMed")</f>
        <v>PubMed</v>
      </c>
      <c r="V4848" s="30"/>
      <c r="W4848" s="49"/>
      <c r="X4848" s="49"/>
      <c r="Y4848" s="35"/>
      <c r="Z4848" s="35"/>
      <c r="AA4848" s="35"/>
      <c r="AB4848" s="35"/>
      <c r="AC4848" s="35"/>
      <c r="AD4848" s="35"/>
      <c r="AE4848" s="35"/>
      <c r="AF4848" s="35"/>
      <c r="AG4848" s="35"/>
      <c r="AH4848" s="35"/>
      <c r="AI4848" s="35"/>
      <c r="AJ4848" s="35"/>
      <c r="AK4848" s="35"/>
      <c r="AL4848" s="35"/>
    </row>
    <row r="4849">
      <c r="A4849" s="18"/>
      <c r="B4849" s="19" t="s">
        <v>19332</v>
      </c>
      <c r="C4849" s="20" t="s">
        <v>18738</v>
      </c>
      <c r="D4849" s="47"/>
      <c r="E4849" s="22" t="s">
        <v>23086</v>
      </c>
      <c r="F4849" s="22" t="s">
        <v>23087</v>
      </c>
      <c r="G4849" s="23">
        <v>2010.0</v>
      </c>
      <c r="H4849" s="22" t="s">
        <v>9459</v>
      </c>
      <c r="I4849" s="24" t="s">
        <v>23088</v>
      </c>
      <c r="J4849" s="22" t="s">
        <v>1078</v>
      </c>
      <c r="K4849" s="22"/>
      <c r="L4849" s="53" t="s">
        <v>23089</v>
      </c>
      <c r="U4849" s="38" t="str">
        <f>HYPERLINK("https://www.ncbi.nlm.nih.gov/pubmed/20687070","PubMed")</f>
        <v>PubMed</v>
      </c>
      <c r="V4849" s="30"/>
      <c r="W4849" s="49"/>
      <c r="X4849" s="49"/>
      <c r="Y4849" s="35"/>
      <c r="Z4849" s="35"/>
      <c r="AA4849" s="35"/>
      <c r="AB4849" s="35"/>
      <c r="AC4849" s="35"/>
      <c r="AD4849" s="35"/>
      <c r="AE4849" s="35"/>
      <c r="AF4849" s="35"/>
      <c r="AG4849" s="35"/>
      <c r="AH4849" s="35"/>
      <c r="AI4849" s="35"/>
      <c r="AJ4849" s="35"/>
      <c r="AK4849" s="35"/>
      <c r="AL4849" s="35"/>
    </row>
    <row r="4850">
      <c r="A4850" s="18"/>
      <c r="B4850" s="19" t="s">
        <v>19332</v>
      </c>
      <c r="C4850" s="20" t="s">
        <v>18738</v>
      </c>
      <c r="D4850" s="47"/>
      <c r="E4850" s="22" t="s">
        <v>20942</v>
      </c>
      <c r="F4850" s="22" t="s">
        <v>41</v>
      </c>
      <c r="G4850" s="23">
        <v>2009.0</v>
      </c>
      <c r="H4850" s="22" t="s">
        <v>53</v>
      </c>
      <c r="I4850" s="24" t="s">
        <v>23090</v>
      </c>
      <c r="J4850" s="22" t="s">
        <v>23091</v>
      </c>
      <c r="K4850" s="22" t="s">
        <v>23092</v>
      </c>
      <c r="L4850" s="36" t="s">
        <v>112</v>
      </c>
      <c r="M4850" s="36" t="s">
        <v>23093</v>
      </c>
      <c r="N4850" s="36">
        <v>1.0</v>
      </c>
      <c r="O4850" s="36" t="s">
        <v>23094</v>
      </c>
      <c r="P4850" s="37" t="s">
        <v>82</v>
      </c>
      <c r="Q4850" s="36" t="s">
        <v>22671</v>
      </c>
      <c r="R4850" s="36"/>
      <c r="S4850" s="36" t="s">
        <v>23095</v>
      </c>
      <c r="T4850" s="102" t="s">
        <v>23096</v>
      </c>
      <c r="U4850" s="38" t="str">
        <f>HYPERLINK("https://www.ncbi.nlm.nih.gov/pubmed/19347940","PubMed")</f>
        <v>PubMed</v>
      </c>
      <c r="V4850" s="30"/>
      <c r="W4850" s="49"/>
      <c r="X4850" s="49"/>
      <c r="Y4850" s="35"/>
      <c r="Z4850" s="35"/>
      <c r="AA4850" s="35"/>
      <c r="AB4850" s="35"/>
      <c r="AC4850" s="35"/>
      <c r="AD4850" s="35"/>
      <c r="AE4850" s="35"/>
      <c r="AF4850" s="35"/>
      <c r="AG4850" s="35"/>
      <c r="AH4850" s="35"/>
      <c r="AI4850" s="35"/>
      <c r="AJ4850" s="35"/>
      <c r="AK4850" s="35"/>
      <c r="AL4850" s="35"/>
    </row>
    <row r="4851">
      <c r="A4851" s="18"/>
      <c r="B4851" s="19" t="s">
        <v>19332</v>
      </c>
      <c r="C4851" s="20" t="s">
        <v>18738</v>
      </c>
      <c r="D4851" s="47"/>
      <c r="E4851" s="22" t="s">
        <v>1059</v>
      </c>
      <c r="F4851" s="22" t="s">
        <v>41</v>
      </c>
      <c r="G4851" s="23">
        <v>2009.0</v>
      </c>
      <c r="H4851" s="22" t="s">
        <v>8177</v>
      </c>
      <c r="I4851" s="24" t="s">
        <v>23097</v>
      </c>
      <c r="J4851" s="22" t="s">
        <v>8564</v>
      </c>
      <c r="K4851" s="22"/>
      <c r="L4851" s="36">
        <v>660.0</v>
      </c>
      <c r="M4851" s="36" t="s">
        <v>23075</v>
      </c>
      <c r="N4851" s="36"/>
      <c r="O4851" s="36" t="s">
        <v>23098</v>
      </c>
      <c r="P4851" s="37"/>
      <c r="Q4851" s="36" t="s">
        <v>1133</v>
      </c>
      <c r="R4851" s="36" t="s">
        <v>23099</v>
      </c>
      <c r="S4851" s="36">
        <v>4.0</v>
      </c>
      <c r="T4851" s="102" t="s">
        <v>23100</v>
      </c>
      <c r="U4851" s="38" t="str">
        <f>HYPERLINK("https://www.ncbi.nlm.nih.gov/pubmed/19234862","PubMed")</f>
        <v>PubMed</v>
      </c>
      <c r="V4851" s="30"/>
      <c r="W4851" s="49"/>
      <c r="X4851" s="49"/>
      <c r="Y4851" s="35"/>
      <c r="Z4851" s="35"/>
      <c r="AA4851" s="35"/>
      <c r="AB4851" s="35"/>
      <c r="AC4851" s="35"/>
      <c r="AD4851" s="35"/>
      <c r="AE4851" s="35"/>
      <c r="AF4851" s="35"/>
      <c r="AG4851" s="35"/>
      <c r="AH4851" s="35"/>
      <c r="AI4851" s="35"/>
      <c r="AJ4851" s="35"/>
      <c r="AK4851" s="35"/>
      <c r="AL4851" s="35"/>
    </row>
    <row r="4852">
      <c r="A4852" s="1"/>
      <c r="B4852" s="19" t="s">
        <v>19332</v>
      </c>
      <c r="C4852" s="20" t="s">
        <v>18738</v>
      </c>
      <c r="D4852" s="47"/>
      <c r="E4852" s="22" t="s">
        <v>23101</v>
      </c>
      <c r="F4852" s="22" t="s">
        <v>23102</v>
      </c>
      <c r="G4852" s="23">
        <v>2009.0</v>
      </c>
      <c r="H4852" s="22" t="s">
        <v>22417</v>
      </c>
      <c r="I4852" s="24" t="s">
        <v>23103</v>
      </c>
      <c r="J4852" s="22" t="s">
        <v>23104</v>
      </c>
      <c r="K4852" s="22" t="s">
        <v>23105</v>
      </c>
      <c r="L4852" s="36">
        <v>830.0</v>
      </c>
      <c r="M4852" s="36">
        <v>100.0</v>
      </c>
      <c r="N4852" s="36"/>
      <c r="O4852" s="36"/>
      <c r="P4852" s="37" t="s">
        <v>254</v>
      </c>
      <c r="Q4852" s="36"/>
      <c r="R4852" s="36"/>
      <c r="S4852" s="36">
        <v>5.0</v>
      </c>
      <c r="T4852" s="28" t="s">
        <v>23106</v>
      </c>
      <c r="U4852" s="38" t="str">
        <f>HYPERLINK("https://www.ncbi.nlm.nih.gov/pubmed/19125084","PubMed")</f>
        <v>PubMed</v>
      </c>
      <c r="V4852" s="30"/>
      <c r="W4852" s="49"/>
      <c r="X4852" s="49"/>
      <c r="Y4852" s="35"/>
      <c r="Z4852" s="35"/>
      <c r="AA4852" s="35"/>
      <c r="AB4852" s="35"/>
      <c r="AC4852" s="35"/>
      <c r="AD4852" s="35"/>
      <c r="AE4852" s="35"/>
      <c r="AF4852" s="35"/>
      <c r="AG4852" s="35"/>
      <c r="AH4852" s="35"/>
      <c r="AI4852" s="35"/>
      <c r="AJ4852" s="35"/>
      <c r="AK4852" s="35"/>
      <c r="AL4852" s="35"/>
    </row>
    <row r="4853">
      <c r="A4853" s="18"/>
      <c r="B4853" s="19" t="s">
        <v>19332</v>
      </c>
      <c r="C4853" s="20" t="s">
        <v>18738</v>
      </c>
      <c r="D4853" s="47"/>
      <c r="E4853" s="22" t="s">
        <v>23107</v>
      </c>
      <c r="F4853" s="22" t="s">
        <v>358</v>
      </c>
      <c r="G4853" s="23">
        <v>2009.0</v>
      </c>
      <c r="H4853" s="22" t="s">
        <v>837</v>
      </c>
      <c r="I4853" s="24" t="s">
        <v>23108</v>
      </c>
      <c r="J4853" s="22" t="s">
        <v>23109</v>
      </c>
      <c r="K4853" s="22"/>
      <c r="L4853" s="36" t="s">
        <v>23110</v>
      </c>
      <c r="M4853" s="36">
        <v>25.0</v>
      </c>
      <c r="N4853" s="36"/>
      <c r="O4853" s="36"/>
      <c r="P4853" s="37" t="s">
        <v>19631</v>
      </c>
      <c r="Q4853" s="36"/>
      <c r="R4853" s="36" t="s">
        <v>23111</v>
      </c>
      <c r="S4853" s="36" t="s">
        <v>23112</v>
      </c>
      <c r="T4853" s="54" t="s">
        <v>23113</v>
      </c>
      <c r="U4853" s="38" t="str">
        <f>HYPERLINK("https://www.ncbi.nlm.nih.gov/pubmed/19784467","PubMed")</f>
        <v>PubMed</v>
      </c>
      <c r="V4853" s="30"/>
      <c r="W4853" s="49"/>
      <c r="X4853" s="49"/>
      <c r="Y4853" s="35"/>
      <c r="Z4853" s="35"/>
      <c r="AA4853" s="35"/>
      <c r="AB4853" s="35"/>
      <c r="AC4853" s="35"/>
      <c r="AD4853" s="35"/>
      <c r="AE4853" s="35"/>
      <c r="AF4853" s="35"/>
      <c r="AG4853" s="35"/>
      <c r="AH4853" s="35"/>
      <c r="AI4853" s="35"/>
      <c r="AJ4853" s="35"/>
      <c r="AK4853" s="35"/>
      <c r="AL4853" s="35"/>
    </row>
    <row r="4854">
      <c r="A4854" s="18"/>
      <c r="B4854" s="19" t="s">
        <v>19332</v>
      </c>
      <c r="C4854" s="20" t="s">
        <v>18738</v>
      </c>
      <c r="D4854" s="47"/>
      <c r="E4854" s="22" t="s">
        <v>17173</v>
      </c>
      <c r="F4854" s="22" t="s">
        <v>41</v>
      </c>
      <c r="G4854" s="23">
        <v>2009.0</v>
      </c>
      <c r="H4854" s="22" t="s">
        <v>207</v>
      </c>
      <c r="I4854" s="24" t="s">
        <v>23114</v>
      </c>
      <c r="J4854" s="22" t="s">
        <v>8564</v>
      </c>
      <c r="K4854" s="22"/>
      <c r="L4854" s="36">
        <v>660.0</v>
      </c>
      <c r="M4854" s="36">
        <v>30.0</v>
      </c>
      <c r="N4854" s="36">
        <v>1.0</v>
      </c>
      <c r="O4854" s="36"/>
      <c r="P4854" s="37" t="s">
        <v>325</v>
      </c>
      <c r="Q4854" s="36" t="s">
        <v>1270</v>
      </c>
      <c r="R4854" s="36">
        <v>40.0</v>
      </c>
      <c r="S4854" s="36" t="s">
        <v>900</v>
      </c>
      <c r="T4854" s="54" t="s">
        <v>23115</v>
      </c>
      <c r="U4854" s="38" t="str">
        <f>HYPERLINK("https://www.ncbi.nlm.nih.gov/pubmed/18976931","PubMed")</f>
        <v>PubMed</v>
      </c>
      <c r="V4854" s="30"/>
      <c r="W4854" s="49"/>
      <c r="X4854" s="49"/>
      <c r="Y4854" s="35"/>
      <c r="Z4854" s="35"/>
      <c r="AA4854" s="35"/>
      <c r="AB4854" s="35"/>
      <c r="AC4854" s="35"/>
      <c r="AD4854" s="35"/>
      <c r="AE4854" s="35"/>
      <c r="AF4854" s="35"/>
      <c r="AG4854" s="35"/>
      <c r="AH4854" s="35"/>
      <c r="AI4854" s="35"/>
      <c r="AJ4854" s="35"/>
      <c r="AK4854" s="35"/>
      <c r="AL4854" s="35"/>
    </row>
    <row r="4855">
      <c r="A4855" s="18"/>
      <c r="B4855" s="19" t="s">
        <v>19332</v>
      </c>
      <c r="C4855" s="20" t="s">
        <v>18738</v>
      </c>
      <c r="D4855" s="47"/>
      <c r="E4855" s="22" t="s">
        <v>5561</v>
      </c>
      <c r="F4855" s="22" t="s">
        <v>41</v>
      </c>
      <c r="G4855" s="23">
        <v>2009.0</v>
      </c>
      <c r="H4855" s="22" t="s">
        <v>658</v>
      </c>
      <c r="I4855" s="24" t="s">
        <v>23116</v>
      </c>
      <c r="J4855" s="22" t="s">
        <v>23117</v>
      </c>
      <c r="K4855" s="22"/>
      <c r="L4855" s="36">
        <v>660.0</v>
      </c>
      <c r="M4855" s="36">
        <v>40.0</v>
      </c>
      <c r="N4855" s="36"/>
      <c r="O4855" s="36"/>
      <c r="P4855" s="37" t="s">
        <v>23118</v>
      </c>
      <c r="Q4855" s="36" t="s">
        <v>23119</v>
      </c>
      <c r="R4855" s="36"/>
      <c r="S4855" s="36" t="s">
        <v>23120</v>
      </c>
      <c r="T4855" s="54" t="s">
        <v>23121</v>
      </c>
      <c r="U4855" s="38" t="str">
        <f>HYPERLINK("https://www.ncbi.nlm.nih.gov/pubmed/18699729","PubMed")</f>
        <v>PubMed</v>
      </c>
      <c r="V4855" s="30"/>
      <c r="W4855" s="49"/>
      <c r="X4855" s="49"/>
      <c r="Y4855" s="35"/>
      <c r="Z4855" s="35"/>
      <c r="AA4855" s="35"/>
      <c r="AB4855" s="35"/>
      <c r="AC4855" s="35"/>
      <c r="AD4855" s="35"/>
      <c r="AE4855" s="35"/>
      <c r="AF4855" s="35"/>
      <c r="AG4855" s="35"/>
      <c r="AH4855" s="35"/>
      <c r="AI4855" s="35"/>
      <c r="AJ4855" s="35"/>
      <c r="AK4855" s="35"/>
      <c r="AL4855" s="35"/>
    </row>
    <row r="4856">
      <c r="A4856" s="18"/>
      <c r="B4856" s="19" t="s">
        <v>19332</v>
      </c>
      <c r="C4856" s="20" t="s">
        <v>18738</v>
      </c>
      <c r="D4856" s="47"/>
      <c r="E4856" s="22" t="s">
        <v>10615</v>
      </c>
      <c r="F4856" s="22" t="s">
        <v>41</v>
      </c>
      <c r="G4856" s="23">
        <v>2009.0</v>
      </c>
      <c r="H4856" s="22" t="s">
        <v>658</v>
      </c>
      <c r="I4856" s="24" t="s">
        <v>23122</v>
      </c>
      <c r="J4856" s="22" t="s">
        <v>23123</v>
      </c>
      <c r="K4856" s="22"/>
      <c r="L4856" s="36">
        <v>660.0</v>
      </c>
      <c r="M4856" s="36" t="s">
        <v>23093</v>
      </c>
      <c r="N4856" s="36"/>
      <c r="O4856" s="36"/>
      <c r="P4856" s="37" t="s">
        <v>22701</v>
      </c>
      <c r="Q4856" s="36" t="s">
        <v>830</v>
      </c>
      <c r="R4856" s="36"/>
      <c r="S4856" s="36">
        <v>17.0</v>
      </c>
      <c r="T4856" s="54" t="s">
        <v>23124</v>
      </c>
      <c r="U4856" s="38" t="str">
        <f>HYPERLINK("https://www.ncbi.nlm.nih.gov/pubmed/18800946","PubMed")</f>
        <v>PubMed</v>
      </c>
      <c r="V4856" s="30"/>
      <c r="W4856" s="49"/>
      <c r="X4856" s="49"/>
      <c r="Y4856" s="35"/>
      <c r="Z4856" s="35"/>
      <c r="AA4856" s="35"/>
      <c r="AB4856" s="35"/>
      <c r="AC4856" s="35"/>
      <c r="AD4856" s="35"/>
      <c r="AE4856" s="35"/>
      <c r="AF4856" s="35"/>
      <c r="AG4856" s="35"/>
      <c r="AH4856" s="35"/>
      <c r="AI4856" s="35"/>
      <c r="AJ4856" s="35"/>
      <c r="AK4856" s="35"/>
      <c r="AL4856" s="35"/>
    </row>
    <row r="4857">
      <c r="A4857" s="18" t="s">
        <v>181</v>
      </c>
      <c r="B4857" s="19" t="s">
        <v>19332</v>
      </c>
      <c r="C4857" s="20" t="s">
        <v>18738</v>
      </c>
      <c r="D4857" s="47"/>
      <c r="E4857" s="22" t="s">
        <v>18710</v>
      </c>
      <c r="F4857" s="22" t="s">
        <v>18652</v>
      </c>
      <c r="G4857" s="23">
        <v>2008.0</v>
      </c>
      <c r="H4857" s="22" t="s">
        <v>8177</v>
      </c>
      <c r="I4857" s="24" t="s">
        <v>23125</v>
      </c>
      <c r="J4857" s="22" t="s">
        <v>23126</v>
      </c>
      <c r="K4857" s="22"/>
      <c r="L4857" s="36" t="s">
        <v>23127</v>
      </c>
      <c r="M4857" s="36" t="s">
        <v>23128</v>
      </c>
      <c r="N4857" s="36"/>
      <c r="O4857" s="36"/>
      <c r="P4857" s="37" t="s">
        <v>269</v>
      </c>
      <c r="Q4857" s="36" t="s">
        <v>23129</v>
      </c>
      <c r="R4857" s="36">
        <v>300.0</v>
      </c>
      <c r="S4857" s="36" t="s">
        <v>23130</v>
      </c>
      <c r="T4857" s="54" t="s">
        <v>23131</v>
      </c>
      <c r="U4857" s="38" t="str">
        <f>HYPERLINK("https://www.ncbi.nlm.nih.gov/pubmed/18458964","PubMed")</f>
        <v>PubMed</v>
      </c>
      <c r="V4857" s="30"/>
      <c r="W4857" s="34"/>
      <c r="X4857" s="49"/>
      <c r="Y4857" s="35"/>
      <c r="Z4857" s="35"/>
      <c r="AA4857" s="35"/>
      <c r="AB4857" s="35"/>
      <c r="AC4857" s="35"/>
      <c r="AD4857" s="35"/>
      <c r="AE4857" s="35"/>
      <c r="AF4857" s="35"/>
      <c r="AG4857" s="35"/>
      <c r="AH4857" s="35"/>
      <c r="AI4857" s="35"/>
      <c r="AJ4857" s="35"/>
      <c r="AK4857" s="35"/>
      <c r="AL4857" s="35"/>
    </row>
    <row r="4858">
      <c r="A4858" s="18"/>
      <c r="B4858" s="75" t="s">
        <v>19332</v>
      </c>
      <c r="C4858" s="77" t="s">
        <v>18738</v>
      </c>
      <c r="D4858" s="47"/>
      <c r="E4858" s="22" t="s">
        <v>23132</v>
      </c>
      <c r="F4858" s="22" t="s">
        <v>308</v>
      </c>
      <c r="G4858" s="23">
        <v>2008.0</v>
      </c>
      <c r="H4858" s="22" t="s">
        <v>53</v>
      </c>
      <c r="I4858" s="24" t="s">
        <v>23133</v>
      </c>
      <c r="J4858" s="22" t="s">
        <v>8564</v>
      </c>
      <c r="K4858" s="22" t="s">
        <v>157</v>
      </c>
      <c r="L4858" s="36">
        <v>630.0</v>
      </c>
      <c r="M4858" s="36">
        <v>160.0</v>
      </c>
      <c r="N4858" s="36" t="s">
        <v>23134</v>
      </c>
      <c r="O4858" s="36"/>
      <c r="P4858" s="37" t="s">
        <v>2848</v>
      </c>
      <c r="Q4858" s="36"/>
      <c r="R4858" s="36" t="s">
        <v>16552</v>
      </c>
      <c r="S4858" s="36">
        <v>7.0</v>
      </c>
      <c r="T4858" s="54" t="s">
        <v>23135</v>
      </c>
      <c r="U4858" s="38" t="str">
        <f>HYPERLINK("https://www.ncbi.nlm.nih.gov/pubmed/18951429","PubMed")</f>
        <v>PubMed</v>
      </c>
      <c r="V4858" s="30"/>
      <c r="W4858" s="34"/>
      <c r="X4858" s="49"/>
      <c r="Y4858" s="35"/>
      <c r="Z4858" s="35"/>
      <c r="AA4858" s="35"/>
      <c r="AB4858" s="35"/>
      <c r="AC4858" s="35"/>
      <c r="AD4858" s="35"/>
      <c r="AE4858" s="35"/>
      <c r="AF4858" s="35"/>
      <c r="AG4858" s="35"/>
      <c r="AH4858" s="35"/>
      <c r="AI4858" s="35"/>
      <c r="AJ4858" s="35"/>
      <c r="AK4858" s="35"/>
      <c r="AL4858" s="35"/>
    </row>
    <row r="4859">
      <c r="A4859" s="18"/>
      <c r="B4859" s="19" t="s">
        <v>19332</v>
      </c>
      <c r="C4859" s="20" t="s">
        <v>18738</v>
      </c>
      <c r="D4859" s="47"/>
      <c r="E4859" s="22" t="s">
        <v>23136</v>
      </c>
      <c r="F4859" s="22" t="s">
        <v>3511</v>
      </c>
      <c r="G4859" s="23">
        <v>2008.0</v>
      </c>
      <c r="H4859" s="22" t="s">
        <v>1259</v>
      </c>
      <c r="I4859" s="24" t="s">
        <v>23137</v>
      </c>
      <c r="J4859" s="22" t="s">
        <v>23138</v>
      </c>
      <c r="K4859" s="22"/>
      <c r="L4859" s="36">
        <v>633.0</v>
      </c>
      <c r="M4859" s="36">
        <v>10.0</v>
      </c>
      <c r="N4859" s="36"/>
      <c r="O4859" s="36"/>
      <c r="P4859" s="37" t="s">
        <v>16955</v>
      </c>
      <c r="Q4859" s="36"/>
      <c r="R4859" s="36">
        <v>1800.0</v>
      </c>
      <c r="S4859" s="36">
        <v>25.0</v>
      </c>
      <c r="T4859" s="54" t="s">
        <v>23139</v>
      </c>
      <c r="U4859" s="38" t="str">
        <f>HYPERLINK("https://www.ncbi.nlm.nih.gov/pubmed/18230388","PubMed")</f>
        <v>PubMed</v>
      </c>
      <c r="V4859" s="30"/>
      <c r="W4859" s="34"/>
      <c r="X4859" s="49"/>
      <c r="Y4859" s="35"/>
      <c r="Z4859" s="35"/>
      <c r="AA4859" s="35"/>
      <c r="AB4859" s="35"/>
      <c r="AC4859" s="35"/>
      <c r="AD4859" s="35"/>
      <c r="AE4859" s="35"/>
      <c r="AF4859" s="35"/>
      <c r="AG4859" s="35"/>
      <c r="AH4859" s="35"/>
      <c r="AI4859" s="35"/>
      <c r="AJ4859" s="35"/>
      <c r="AK4859" s="35"/>
      <c r="AL4859" s="35"/>
    </row>
    <row r="4860">
      <c r="A4860" s="18"/>
      <c r="B4860" s="19" t="s">
        <v>19332</v>
      </c>
      <c r="C4860" s="20" t="s">
        <v>18738</v>
      </c>
      <c r="D4860" s="47"/>
      <c r="E4860" s="22" t="s">
        <v>22755</v>
      </c>
      <c r="F4860" s="22" t="s">
        <v>993</v>
      </c>
      <c r="G4860" s="23">
        <v>2008.0</v>
      </c>
      <c r="H4860" s="22" t="s">
        <v>19552</v>
      </c>
      <c r="I4860" s="24" t="s">
        <v>23140</v>
      </c>
      <c r="J4860" s="22" t="s">
        <v>23141</v>
      </c>
      <c r="K4860" s="22"/>
      <c r="L4860" s="36">
        <v>660.0</v>
      </c>
      <c r="M4860" s="36">
        <v>50.0</v>
      </c>
      <c r="N4860" s="36"/>
      <c r="O4860" s="36"/>
      <c r="P4860" s="37" t="s">
        <v>70</v>
      </c>
      <c r="Q4860" s="36" t="s">
        <v>4458</v>
      </c>
      <c r="R4860" s="36"/>
      <c r="S4860" s="36" t="s">
        <v>23142</v>
      </c>
      <c r="T4860" s="54" t="s">
        <v>23143</v>
      </c>
      <c r="U4860" s="38" t="str">
        <f>HYPERLINK("https://www.ncbi.nlm.nih.gov/pubmed/18305441","PubMed")</f>
        <v>PubMed</v>
      </c>
      <c r="V4860" s="30"/>
      <c r="W4860" s="34"/>
      <c r="X4860" s="49"/>
      <c r="Y4860" s="35"/>
      <c r="Z4860" s="35"/>
      <c r="AA4860" s="35"/>
      <c r="AB4860" s="35"/>
      <c r="AC4860" s="35"/>
      <c r="AD4860" s="35"/>
      <c r="AE4860" s="35"/>
      <c r="AF4860" s="35"/>
      <c r="AG4860" s="35"/>
      <c r="AH4860" s="35"/>
      <c r="AI4860" s="35"/>
      <c r="AJ4860" s="35"/>
      <c r="AK4860" s="35"/>
      <c r="AL4860" s="35"/>
    </row>
    <row r="4861">
      <c r="A4861" s="18"/>
      <c r="B4861" s="19" t="s">
        <v>19332</v>
      </c>
      <c r="C4861" s="20" t="s">
        <v>18738</v>
      </c>
      <c r="D4861" s="47"/>
      <c r="E4861" s="22" t="s">
        <v>23144</v>
      </c>
      <c r="F4861" s="22" t="s">
        <v>41</v>
      </c>
      <c r="G4861" s="23">
        <v>2008.0</v>
      </c>
      <c r="H4861" s="22" t="s">
        <v>658</v>
      </c>
      <c r="I4861" s="24" t="s">
        <v>23145</v>
      </c>
      <c r="J4861" s="22" t="s">
        <v>23146</v>
      </c>
      <c r="K4861" s="22"/>
      <c r="L4861" s="36">
        <v>685.0</v>
      </c>
      <c r="M4861" s="36">
        <v>35.0</v>
      </c>
      <c r="N4861" s="36"/>
      <c r="O4861" s="36" t="s">
        <v>23147</v>
      </c>
      <c r="P4861" s="37"/>
      <c r="Q4861" s="36" t="s">
        <v>23148</v>
      </c>
      <c r="R4861" s="36">
        <v>972.0</v>
      </c>
      <c r="S4861" s="36" t="s">
        <v>363</v>
      </c>
      <c r="T4861" s="54" t="s">
        <v>23149</v>
      </c>
      <c r="U4861" s="38" t="str">
        <f>HYPERLINK("https://www.ncbi.nlm.nih.gov/pubmed/18754720","PubMed")</f>
        <v>PubMed</v>
      </c>
      <c r="V4861" s="30"/>
      <c r="W4861" s="34"/>
      <c r="X4861" s="49"/>
      <c r="Y4861" s="35"/>
      <c r="Z4861" s="35"/>
      <c r="AA4861" s="35"/>
      <c r="AB4861" s="35"/>
      <c r="AC4861" s="35"/>
      <c r="AD4861" s="35"/>
      <c r="AE4861" s="35"/>
      <c r="AF4861" s="35"/>
      <c r="AG4861" s="35"/>
      <c r="AH4861" s="35"/>
      <c r="AI4861" s="35"/>
      <c r="AJ4861" s="35"/>
      <c r="AK4861" s="35"/>
      <c r="AL4861" s="35"/>
    </row>
    <row r="4862">
      <c r="A4862" s="18"/>
      <c r="B4862" s="19" t="s">
        <v>19332</v>
      </c>
      <c r="C4862" s="20" t="s">
        <v>18738</v>
      </c>
      <c r="D4862" s="47"/>
      <c r="E4862" s="22" t="s">
        <v>23150</v>
      </c>
      <c r="F4862" s="22" t="s">
        <v>41</v>
      </c>
      <c r="G4862" s="23">
        <v>2008.0</v>
      </c>
      <c r="H4862" s="22" t="s">
        <v>658</v>
      </c>
      <c r="I4862" s="24" t="s">
        <v>23151</v>
      </c>
      <c r="J4862" s="22" t="s">
        <v>23152</v>
      </c>
      <c r="K4862" s="22" t="s">
        <v>23153</v>
      </c>
      <c r="L4862" s="36">
        <v>880.0</v>
      </c>
      <c r="M4862" s="36">
        <v>74.0</v>
      </c>
      <c r="N4862" s="36"/>
      <c r="O4862" s="36"/>
      <c r="P4862" s="37" t="s">
        <v>7754</v>
      </c>
      <c r="Q4862" s="36" t="s">
        <v>23154</v>
      </c>
      <c r="R4862" s="36">
        <v>1620.0</v>
      </c>
      <c r="S4862" s="36" t="s">
        <v>23155</v>
      </c>
      <c r="T4862" s="54" t="s">
        <v>23156</v>
      </c>
      <c r="U4862" s="38" t="str">
        <f>HYPERLINK("https://www.ncbi.nlm.nih.gov/pubmed/19025412","PubMed")</f>
        <v>PubMed</v>
      </c>
      <c r="V4862" s="30"/>
      <c r="W4862" s="34"/>
      <c r="X4862" s="49"/>
      <c r="Y4862" s="35"/>
      <c r="Z4862" s="35"/>
      <c r="AA4862" s="35"/>
      <c r="AB4862" s="35"/>
      <c r="AC4862" s="35"/>
      <c r="AD4862" s="35"/>
      <c r="AE4862" s="35"/>
      <c r="AF4862" s="35"/>
      <c r="AG4862" s="35"/>
      <c r="AH4862" s="35"/>
      <c r="AI4862" s="35"/>
      <c r="AJ4862" s="35"/>
      <c r="AK4862" s="35"/>
      <c r="AL4862" s="35"/>
    </row>
    <row r="4863">
      <c r="A4863" s="18"/>
      <c r="B4863" s="19" t="s">
        <v>19332</v>
      </c>
      <c r="C4863" s="20" t="s">
        <v>18738</v>
      </c>
      <c r="D4863" s="47"/>
      <c r="E4863" s="22" t="s">
        <v>23157</v>
      </c>
      <c r="F4863" s="22" t="s">
        <v>14849</v>
      </c>
      <c r="G4863" s="23">
        <v>2007.0</v>
      </c>
      <c r="H4863" s="22" t="s">
        <v>8177</v>
      </c>
      <c r="I4863" s="24" t="s">
        <v>23158</v>
      </c>
      <c r="J4863" s="22" t="s">
        <v>23159</v>
      </c>
      <c r="K4863" s="22" t="s">
        <v>294</v>
      </c>
      <c r="L4863" s="36" t="s">
        <v>23160</v>
      </c>
      <c r="M4863" s="36" t="s">
        <v>13970</v>
      </c>
      <c r="N4863" s="36"/>
      <c r="O4863" s="36"/>
      <c r="P4863" s="37" t="s">
        <v>269</v>
      </c>
      <c r="Q4863" s="36"/>
      <c r="R4863" s="36"/>
      <c r="S4863" s="36" t="s">
        <v>23161</v>
      </c>
      <c r="T4863" s="102" t="s">
        <v>23162</v>
      </c>
      <c r="U4863" s="38" t="str">
        <f>HYPERLINK("https://www.ncbi.nlm.nih.gov/pubmed/17393191","PubMed")</f>
        <v>PubMed</v>
      </c>
      <c r="V4863" s="30"/>
      <c r="W4863" s="49"/>
      <c r="X4863" s="49"/>
      <c r="Y4863" s="35"/>
      <c r="Z4863" s="35"/>
      <c r="AA4863" s="35"/>
      <c r="AB4863" s="35"/>
      <c r="AC4863" s="35"/>
      <c r="AD4863" s="35"/>
      <c r="AE4863" s="35"/>
      <c r="AF4863" s="35"/>
      <c r="AG4863" s="35"/>
      <c r="AH4863" s="35"/>
      <c r="AI4863" s="35"/>
      <c r="AJ4863" s="35"/>
      <c r="AK4863" s="35"/>
      <c r="AL4863" s="35"/>
    </row>
    <row r="4864">
      <c r="A4864" s="18" t="s">
        <v>181</v>
      </c>
      <c r="B4864" s="19" t="s">
        <v>19332</v>
      </c>
      <c r="C4864" s="20" t="s">
        <v>18738</v>
      </c>
      <c r="D4864" s="47"/>
      <c r="E4864" s="22" t="s">
        <v>23163</v>
      </c>
      <c r="F4864" s="22" t="s">
        <v>41</v>
      </c>
      <c r="G4864" s="23">
        <v>2007.0</v>
      </c>
      <c r="H4864" s="22" t="s">
        <v>19235</v>
      </c>
      <c r="I4864" s="24" t="s">
        <v>23164</v>
      </c>
      <c r="J4864" s="22" t="s">
        <v>23165</v>
      </c>
      <c r="K4864" s="22"/>
      <c r="L4864" s="36">
        <v>660.0</v>
      </c>
      <c r="M4864" s="36">
        <v>10.0</v>
      </c>
      <c r="N4864" s="36"/>
      <c r="O4864" s="36"/>
      <c r="P4864" s="37" t="s">
        <v>7500</v>
      </c>
      <c r="Q4864" s="36"/>
      <c r="R4864" s="36"/>
      <c r="S4864" s="36"/>
      <c r="T4864" s="54" t="s">
        <v>23166</v>
      </c>
      <c r="U4864" s="38" t="str">
        <f>HYPERLINK("https://www.ncbi.nlm.nih.gov/pubmed/17944669","PubMed")</f>
        <v>PubMed</v>
      </c>
      <c r="V4864" s="30"/>
      <c r="W4864" s="49"/>
      <c r="X4864" s="49"/>
      <c r="Y4864" s="35"/>
      <c r="Z4864" s="35"/>
      <c r="AA4864" s="35"/>
      <c r="AB4864" s="35"/>
      <c r="AC4864" s="35"/>
      <c r="AD4864" s="35"/>
      <c r="AE4864" s="35"/>
      <c r="AF4864" s="35"/>
      <c r="AG4864" s="35"/>
      <c r="AH4864" s="35"/>
      <c r="AI4864" s="35"/>
      <c r="AJ4864" s="35"/>
      <c r="AK4864" s="35"/>
      <c r="AL4864" s="35"/>
    </row>
    <row r="4865">
      <c r="A4865" s="18" t="s">
        <v>181</v>
      </c>
      <c r="B4865" s="19" t="s">
        <v>19332</v>
      </c>
      <c r="C4865" s="20" t="s">
        <v>18738</v>
      </c>
      <c r="D4865" s="47"/>
      <c r="E4865" s="22" t="s">
        <v>565</v>
      </c>
      <c r="F4865" s="22" t="s">
        <v>797</v>
      </c>
      <c r="G4865" s="23">
        <v>2007.0</v>
      </c>
      <c r="H4865" s="22" t="s">
        <v>22211</v>
      </c>
      <c r="I4865" s="24" t="s">
        <v>23167</v>
      </c>
      <c r="J4865" s="22" t="s">
        <v>23168</v>
      </c>
      <c r="K4865" s="22"/>
      <c r="L4865" s="36">
        <v>780.0</v>
      </c>
      <c r="M4865" s="36">
        <v>60.0</v>
      </c>
      <c r="N4865" s="36"/>
      <c r="O4865" s="36"/>
      <c r="P4865" s="37" t="s">
        <v>254</v>
      </c>
      <c r="Q4865" s="36"/>
      <c r="R4865" s="36"/>
      <c r="S4865" s="36" t="s">
        <v>23169</v>
      </c>
      <c r="T4865" s="103" t="s">
        <v>23170</v>
      </c>
      <c r="U4865" s="38" t="str">
        <f>HYPERLINK("https://www.ncbi.nlm.nih.gov/pubmed/16862549","PubMed")</f>
        <v>PubMed</v>
      </c>
      <c r="V4865" s="30"/>
      <c r="W4865" s="49"/>
      <c r="X4865" s="49"/>
      <c r="Y4865" s="35"/>
      <c r="Z4865" s="35"/>
      <c r="AA4865" s="35"/>
      <c r="AB4865" s="35"/>
      <c r="AC4865" s="35"/>
      <c r="AD4865" s="35"/>
      <c r="AE4865" s="35"/>
      <c r="AF4865" s="35"/>
      <c r="AG4865" s="35"/>
      <c r="AH4865" s="35"/>
      <c r="AI4865" s="35"/>
      <c r="AJ4865" s="35"/>
      <c r="AK4865" s="35"/>
      <c r="AL4865" s="35"/>
    </row>
    <row r="4866">
      <c r="A4866" s="18"/>
      <c r="B4866" s="19" t="s">
        <v>19332</v>
      </c>
      <c r="C4866" s="20" t="s">
        <v>18738</v>
      </c>
      <c r="D4866" s="47"/>
      <c r="E4866" s="22" t="s">
        <v>22755</v>
      </c>
      <c r="F4866" s="22" t="s">
        <v>993</v>
      </c>
      <c r="G4866" s="23">
        <v>2007.0</v>
      </c>
      <c r="H4866" s="22" t="s">
        <v>6283</v>
      </c>
      <c r="I4866" s="24" t="s">
        <v>23171</v>
      </c>
      <c r="J4866" s="22" t="s">
        <v>23172</v>
      </c>
      <c r="K4866" s="22"/>
      <c r="L4866" s="36">
        <v>660.0</v>
      </c>
      <c r="M4866" s="36">
        <v>50.0</v>
      </c>
      <c r="N4866" s="36"/>
      <c r="O4866" s="36"/>
      <c r="P4866" s="37" t="s">
        <v>254</v>
      </c>
      <c r="Q4866" s="36" t="s">
        <v>4458</v>
      </c>
      <c r="R4866" s="36">
        <v>250.0</v>
      </c>
      <c r="S4866" s="36" t="s">
        <v>1773</v>
      </c>
      <c r="T4866" s="54" t="s">
        <v>23173</v>
      </c>
      <c r="U4866" s="38" t="str">
        <f>HYPERLINK("https://www.ncbi.nlm.nih.gov/pubmed/17053058","PubMed")</f>
        <v>PubMed</v>
      </c>
      <c r="V4866" s="30"/>
      <c r="W4866" s="49"/>
      <c r="X4866" s="49"/>
      <c r="Y4866" s="35"/>
      <c r="Z4866" s="35"/>
      <c r="AA4866" s="35"/>
      <c r="AB4866" s="35"/>
      <c r="AC4866" s="35"/>
      <c r="AD4866" s="35"/>
      <c r="AE4866" s="35"/>
      <c r="AF4866" s="35"/>
      <c r="AG4866" s="35"/>
      <c r="AH4866" s="35"/>
      <c r="AI4866" s="35"/>
      <c r="AJ4866" s="35"/>
      <c r="AK4866" s="35"/>
      <c r="AL4866" s="35"/>
    </row>
    <row r="4867">
      <c r="A4867" s="18"/>
      <c r="B4867" s="19" t="s">
        <v>19332</v>
      </c>
      <c r="C4867" s="20" t="s">
        <v>18738</v>
      </c>
      <c r="D4867" s="47"/>
      <c r="E4867" s="22" t="s">
        <v>22967</v>
      </c>
      <c r="F4867" s="22" t="s">
        <v>23174</v>
      </c>
      <c r="G4867" s="23">
        <v>2006.0</v>
      </c>
      <c r="H4867" s="22" t="s">
        <v>8177</v>
      </c>
      <c r="I4867" s="24" t="s">
        <v>23175</v>
      </c>
      <c r="J4867" s="22" t="s">
        <v>125</v>
      </c>
      <c r="K4867" s="22"/>
      <c r="L4867" s="105" t="s">
        <v>23176</v>
      </c>
      <c r="M4867" s="44"/>
      <c r="N4867" s="44"/>
      <c r="O4867" s="44"/>
      <c r="P4867" s="44"/>
      <c r="Q4867" s="44"/>
      <c r="R4867" s="44"/>
      <c r="S4867" s="44"/>
      <c r="T4867" s="45"/>
      <c r="U4867" s="38" t="str">
        <f>HYPERLINK("https://www.ncbi.nlm.nih.gov/pubmed/16572313","PubMed")</f>
        <v>PubMed</v>
      </c>
      <c r="V4867" s="30"/>
      <c r="W4867" s="34"/>
      <c r="X4867" s="49"/>
      <c r="Y4867" s="35"/>
      <c r="Z4867" s="35"/>
      <c r="AA4867" s="35"/>
      <c r="AB4867" s="35"/>
      <c r="AC4867" s="35"/>
      <c r="AD4867" s="35"/>
      <c r="AE4867" s="35"/>
      <c r="AF4867" s="35"/>
      <c r="AG4867" s="35"/>
      <c r="AH4867" s="35"/>
      <c r="AI4867" s="35"/>
      <c r="AJ4867" s="35"/>
      <c r="AK4867" s="35"/>
      <c r="AL4867" s="35"/>
    </row>
    <row r="4868">
      <c r="A4868" s="18"/>
      <c r="B4868" s="19" t="s">
        <v>19332</v>
      </c>
      <c r="C4868" s="20" t="s">
        <v>18738</v>
      </c>
      <c r="D4868" s="47"/>
      <c r="E4868" s="22" t="s">
        <v>23177</v>
      </c>
      <c r="F4868" s="22" t="s">
        <v>22315</v>
      </c>
      <c r="G4868" s="23">
        <v>2006.0</v>
      </c>
      <c r="H4868" s="22" t="s">
        <v>658</v>
      </c>
      <c r="I4868" s="24" t="s">
        <v>23178</v>
      </c>
      <c r="J4868" s="22" t="s">
        <v>23179</v>
      </c>
      <c r="K4868" s="22" t="s">
        <v>23180</v>
      </c>
      <c r="L4868" s="36">
        <v>645.0</v>
      </c>
      <c r="M4868" s="129">
        <v>42954.0</v>
      </c>
      <c r="N4868" s="36"/>
      <c r="O4868" s="36"/>
      <c r="P4868" s="37" t="s">
        <v>23181</v>
      </c>
      <c r="Q4868" s="36"/>
      <c r="R4868" s="36"/>
      <c r="S4868" s="36" t="s">
        <v>23182</v>
      </c>
      <c r="T4868" s="54" t="s">
        <v>23183</v>
      </c>
      <c r="U4868" s="38" t="str">
        <f>HYPERLINK("https://www.ncbi.nlm.nih.gov/pubmed/16706701","PubMed")</f>
        <v>PubMed</v>
      </c>
      <c r="V4868" s="30"/>
      <c r="W4868" s="34"/>
      <c r="X4868" s="49"/>
      <c r="Y4868" s="35"/>
      <c r="Z4868" s="35"/>
      <c r="AA4868" s="35"/>
      <c r="AB4868" s="35"/>
      <c r="AC4868" s="35"/>
      <c r="AD4868" s="35"/>
      <c r="AE4868" s="35"/>
      <c r="AF4868" s="35"/>
      <c r="AG4868" s="35"/>
      <c r="AH4868" s="35"/>
      <c r="AI4868" s="35"/>
      <c r="AJ4868" s="35"/>
      <c r="AK4868" s="35"/>
      <c r="AL4868" s="35"/>
    </row>
    <row r="4869">
      <c r="A4869" s="18"/>
      <c r="B4869" s="19" t="s">
        <v>19332</v>
      </c>
      <c r="C4869" s="20" t="s">
        <v>18738</v>
      </c>
      <c r="D4869" s="47"/>
      <c r="E4869" s="22" t="s">
        <v>23184</v>
      </c>
      <c r="F4869" s="22" t="s">
        <v>3511</v>
      </c>
      <c r="G4869" s="23">
        <v>2006.0</v>
      </c>
      <c r="H4869" s="22" t="s">
        <v>23185</v>
      </c>
      <c r="I4869" s="24" t="s">
        <v>23186</v>
      </c>
      <c r="J4869" s="22" t="s">
        <v>23187</v>
      </c>
      <c r="K4869" s="22"/>
      <c r="L4869" s="36">
        <v>633.0</v>
      </c>
      <c r="M4869" s="36">
        <v>10.0</v>
      </c>
      <c r="N4869" s="36"/>
      <c r="O4869" s="36"/>
      <c r="P4869" s="37" t="s">
        <v>16955</v>
      </c>
      <c r="Q4869" s="36"/>
      <c r="R4869" s="36"/>
      <c r="S4869" s="36" t="s">
        <v>23188</v>
      </c>
      <c r="T4869" s="54" t="s">
        <v>23189</v>
      </c>
      <c r="U4869" s="38" t="str">
        <f>HYPERLINK("https://www.ncbi.nlm.nih.gov/pubmed/17159259","PubMed")</f>
        <v>PubMed</v>
      </c>
      <c r="V4869" s="30"/>
      <c r="W4869" s="130" t="str">
        <f>HYPERLINK("https://www.ncbi.nlm.nih.gov/pubmed/17159255","PubMed")</f>
        <v>PubMed</v>
      </c>
      <c r="X4869" s="49"/>
      <c r="Y4869" s="35"/>
      <c r="Z4869" s="35"/>
      <c r="AA4869" s="35"/>
      <c r="AB4869" s="35"/>
      <c r="AC4869" s="35"/>
      <c r="AD4869" s="35"/>
      <c r="AE4869" s="35"/>
      <c r="AF4869" s="35"/>
      <c r="AG4869" s="35"/>
      <c r="AH4869" s="35"/>
      <c r="AI4869" s="35"/>
      <c r="AJ4869" s="35"/>
      <c r="AK4869" s="35"/>
      <c r="AL4869" s="35"/>
    </row>
    <row r="4870">
      <c r="A4870" s="18"/>
      <c r="B4870" s="19" t="s">
        <v>19332</v>
      </c>
      <c r="C4870" s="20" t="s">
        <v>18738</v>
      </c>
      <c r="D4870" s="47"/>
      <c r="E4870" s="22" t="s">
        <v>23190</v>
      </c>
      <c r="F4870" s="22" t="s">
        <v>23191</v>
      </c>
      <c r="G4870" s="23">
        <v>2005.0</v>
      </c>
      <c r="H4870" s="22" t="s">
        <v>23192</v>
      </c>
      <c r="I4870" s="24" t="s">
        <v>23193</v>
      </c>
      <c r="J4870" s="22" t="s">
        <v>23194</v>
      </c>
      <c r="K4870" s="22"/>
      <c r="L4870" s="36">
        <v>830.0</v>
      </c>
      <c r="M4870" s="36">
        <v>250.0</v>
      </c>
      <c r="N4870" s="36"/>
      <c r="O4870" s="36"/>
      <c r="P4870" s="37" t="s">
        <v>9353</v>
      </c>
      <c r="Q4870" s="36" t="s">
        <v>1133</v>
      </c>
      <c r="R4870" s="36"/>
      <c r="S4870" s="36" t="s">
        <v>3125</v>
      </c>
      <c r="T4870" s="54" t="s">
        <v>23195</v>
      </c>
      <c r="U4870" s="38" t="str">
        <f>HYPERLINK("https://www.ncbi.nlm.nih.gov/pubmed/15725279","PubMed")</f>
        <v>PubMed</v>
      </c>
      <c r="V4870" s="30" t="s">
        <v>23196</v>
      </c>
      <c r="W4870" s="34"/>
      <c r="X4870" s="49"/>
      <c r="Y4870" s="35"/>
      <c r="Z4870" s="35"/>
      <c r="AA4870" s="35"/>
      <c r="AB4870" s="35"/>
      <c r="AC4870" s="35"/>
      <c r="AD4870" s="35"/>
      <c r="AE4870" s="35"/>
      <c r="AF4870" s="35"/>
      <c r="AG4870" s="35"/>
      <c r="AH4870" s="35"/>
      <c r="AI4870" s="35"/>
      <c r="AJ4870" s="35"/>
      <c r="AK4870" s="35"/>
      <c r="AL4870" s="35"/>
    </row>
    <row r="4871">
      <c r="A4871" s="18"/>
      <c r="B4871" s="19" t="s">
        <v>19332</v>
      </c>
      <c r="C4871" s="20" t="s">
        <v>18738</v>
      </c>
      <c r="D4871" s="47"/>
      <c r="E4871" s="22" t="s">
        <v>23197</v>
      </c>
      <c r="F4871" s="22" t="s">
        <v>18652</v>
      </c>
      <c r="G4871" s="23">
        <v>2005.0</v>
      </c>
      <c r="H4871" s="22" t="s">
        <v>8235</v>
      </c>
      <c r="I4871" s="24" t="s">
        <v>23198</v>
      </c>
      <c r="J4871" s="22" t="s">
        <v>125</v>
      </c>
      <c r="K4871" s="22"/>
      <c r="L4871" s="105" t="s">
        <v>23199</v>
      </c>
      <c r="M4871" s="44"/>
      <c r="N4871" s="44"/>
      <c r="O4871" s="44"/>
      <c r="P4871" s="44"/>
      <c r="Q4871" s="44"/>
      <c r="R4871" s="44"/>
      <c r="S4871" s="44"/>
      <c r="T4871" s="45"/>
      <c r="U4871" s="38" t="str">
        <f>HYPERLINK("https://www.ncbi.nlm.nih.gov/pubmed/15818167","PubMed")</f>
        <v>PubMed</v>
      </c>
      <c r="V4871" s="30"/>
      <c r="W4871" s="34"/>
      <c r="X4871" s="49"/>
      <c r="Y4871" s="35"/>
      <c r="Z4871" s="35"/>
      <c r="AA4871" s="35"/>
      <c r="AB4871" s="35"/>
      <c r="AC4871" s="35"/>
      <c r="AD4871" s="35"/>
      <c r="AE4871" s="35"/>
      <c r="AF4871" s="35"/>
      <c r="AG4871" s="35"/>
      <c r="AH4871" s="35"/>
      <c r="AI4871" s="35"/>
      <c r="AJ4871" s="35"/>
      <c r="AK4871" s="35"/>
      <c r="AL4871" s="35"/>
    </row>
    <row r="4872">
      <c r="A4872" s="18"/>
      <c r="B4872" s="19" t="s">
        <v>19332</v>
      </c>
      <c r="C4872" s="20" t="s">
        <v>18738</v>
      </c>
      <c r="D4872" s="47"/>
      <c r="E4872" s="22" t="s">
        <v>23200</v>
      </c>
      <c r="F4872" s="22" t="s">
        <v>23201</v>
      </c>
      <c r="G4872" s="23">
        <v>2002.0</v>
      </c>
      <c r="H4872" s="22" t="s">
        <v>23202</v>
      </c>
      <c r="I4872" s="24" t="s">
        <v>23203</v>
      </c>
      <c r="J4872" s="22" t="s">
        <v>23204</v>
      </c>
      <c r="K4872" s="22"/>
      <c r="L4872" s="36">
        <v>830.0</v>
      </c>
      <c r="M4872" s="36" t="s">
        <v>23205</v>
      </c>
      <c r="N4872" s="36"/>
      <c r="O4872" s="36" t="s">
        <v>23206</v>
      </c>
      <c r="P4872" s="37" t="s">
        <v>23207</v>
      </c>
      <c r="Q4872" s="36"/>
      <c r="R4872" s="36" t="s">
        <v>23208</v>
      </c>
      <c r="S4872" s="36" t="s">
        <v>23209</v>
      </c>
      <c r="T4872" s="54" t="s">
        <v>23210</v>
      </c>
      <c r="U4872" s="38" t="str">
        <f>HYPERLINK("https://www.ncbi.nlm.nih.gov/pubmed/12074324","PubMed")</f>
        <v>PubMed</v>
      </c>
      <c r="V4872" s="30"/>
      <c r="W4872" s="130" t="str">
        <f>HYPERLINK("https://www.ncbi.nlm.nih.gov/pubmed/12074321","PubMed")</f>
        <v>PubMed</v>
      </c>
      <c r="X4872" s="49"/>
      <c r="Y4872" s="35"/>
      <c r="Z4872" s="35"/>
      <c r="AA4872" s="35"/>
      <c r="AB4872" s="35"/>
      <c r="AC4872" s="35"/>
      <c r="AD4872" s="35"/>
      <c r="AE4872" s="35"/>
      <c r="AF4872" s="35"/>
      <c r="AG4872" s="35"/>
      <c r="AH4872" s="35"/>
      <c r="AI4872" s="35"/>
      <c r="AJ4872" s="35"/>
      <c r="AK4872" s="35"/>
      <c r="AL4872" s="35"/>
    </row>
    <row r="4873">
      <c r="A4873" s="18"/>
      <c r="B4873" s="19" t="s">
        <v>19332</v>
      </c>
      <c r="C4873" s="20" t="s">
        <v>18738</v>
      </c>
      <c r="D4873" s="47"/>
      <c r="E4873" s="22" t="s">
        <v>14343</v>
      </c>
      <c r="F4873" s="22" t="s">
        <v>1173</v>
      </c>
      <c r="G4873" s="23">
        <v>2002.0</v>
      </c>
      <c r="H4873" s="22" t="s">
        <v>1289</v>
      </c>
      <c r="I4873" s="24" t="s">
        <v>23211</v>
      </c>
      <c r="J4873" s="22" t="s">
        <v>23212</v>
      </c>
      <c r="K4873" s="22" t="s">
        <v>157</v>
      </c>
      <c r="L4873" s="36">
        <v>670.0</v>
      </c>
      <c r="M4873" s="36"/>
      <c r="N4873" s="36"/>
      <c r="O4873" s="36"/>
      <c r="P4873" s="37" t="s">
        <v>254</v>
      </c>
      <c r="Q4873" s="36"/>
      <c r="R4873" s="36"/>
      <c r="S4873" s="36" t="s">
        <v>23213</v>
      </c>
      <c r="T4873" s="54" t="s">
        <v>23214</v>
      </c>
      <c r="U4873" s="38" t="str">
        <f>HYPERLINK("https://www.ncbi.nlm.nih.gov/pubmed/12513918","PubMed")</f>
        <v>PubMed</v>
      </c>
      <c r="V4873" s="30"/>
      <c r="W4873" s="34"/>
      <c r="X4873" s="49"/>
      <c r="Y4873" s="35"/>
      <c r="Z4873" s="35"/>
      <c r="AA4873" s="35"/>
      <c r="AB4873" s="35"/>
      <c r="AC4873" s="35"/>
      <c r="AD4873" s="35"/>
      <c r="AE4873" s="35"/>
      <c r="AF4873" s="35"/>
      <c r="AG4873" s="35"/>
      <c r="AH4873" s="35"/>
      <c r="AI4873" s="35"/>
      <c r="AJ4873" s="35"/>
      <c r="AK4873" s="35"/>
      <c r="AL4873" s="35"/>
    </row>
    <row r="4874">
      <c r="A4874" s="18"/>
      <c r="B4874" s="19" t="s">
        <v>19332</v>
      </c>
      <c r="C4874" s="20" t="s">
        <v>18738</v>
      </c>
      <c r="D4874" s="47"/>
      <c r="E4874" s="22" t="s">
        <v>14343</v>
      </c>
      <c r="F4874" s="22" t="s">
        <v>1173</v>
      </c>
      <c r="G4874" s="23">
        <v>2001.0</v>
      </c>
      <c r="H4874" s="22" t="s">
        <v>1289</v>
      </c>
      <c r="I4874" s="24" t="s">
        <v>23215</v>
      </c>
      <c r="J4874" s="22" t="s">
        <v>23216</v>
      </c>
      <c r="K4874" s="22" t="s">
        <v>157</v>
      </c>
      <c r="L4874" s="36">
        <v>670.0</v>
      </c>
      <c r="M4874" s="36"/>
      <c r="N4874" s="36"/>
      <c r="O4874" s="36"/>
      <c r="P4874" s="37"/>
      <c r="Q4874" s="36"/>
      <c r="R4874" s="36"/>
      <c r="S4874" s="36"/>
      <c r="T4874" s="54" t="s">
        <v>23217</v>
      </c>
      <c r="U4874" s="38" t="str">
        <f>HYPERLINK("https://www.ncbi.nlm.nih.gov/pubmed/11776448","PubMed")</f>
        <v>PubMed</v>
      </c>
      <c r="V4874" s="30"/>
      <c r="W4874" s="49"/>
      <c r="X4874" s="49"/>
      <c r="Y4874" s="35"/>
      <c r="Z4874" s="35"/>
      <c r="AA4874" s="35"/>
      <c r="AB4874" s="35"/>
      <c r="AC4874" s="35"/>
      <c r="AD4874" s="35"/>
      <c r="AE4874" s="35"/>
      <c r="AF4874" s="35"/>
      <c r="AG4874" s="35"/>
      <c r="AH4874" s="35"/>
      <c r="AI4874" s="35"/>
      <c r="AJ4874" s="35"/>
      <c r="AK4874" s="35"/>
      <c r="AL4874" s="35"/>
    </row>
    <row r="4875">
      <c r="A4875" s="18"/>
      <c r="B4875" s="19" t="s">
        <v>19332</v>
      </c>
      <c r="C4875" s="20" t="s">
        <v>18738</v>
      </c>
      <c r="D4875" s="47"/>
      <c r="E4875" s="22" t="s">
        <v>18697</v>
      </c>
      <c r="F4875" s="22" t="s">
        <v>7945</v>
      </c>
      <c r="G4875" s="23">
        <v>1999.0</v>
      </c>
      <c r="H4875" s="22" t="s">
        <v>8177</v>
      </c>
      <c r="I4875" s="24" t="s">
        <v>23218</v>
      </c>
      <c r="J4875" s="22" t="s">
        <v>23219</v>
      </c>
      <c r="K4875" s="22"/>
      <c r="L4875" s="36">
        <v>633.0</v>
      </c>
      <c r="M4875" s="36" t="s">
        <v>23220</v>
      </c>
      <c r="N4875" s="36"/>
      <c r="O4875" s="36"/>
      <c r="P4875" s="37"/>
      <c r="Q4875" s="36" t="s">
        <v>23221</v>
      </c>
      <c r="R4875" s="36">
        <v>300.0</v>
      </c>
      <c r="S4875" s="36" t="s">
        <v>23222</v>
      </c>
      <c r="T4875" s="54" t="s">
        <v>23223</v>
      </c>
      <c r="U4875" s="38" t="str">
        <f>HYPERLINK("https://www.ncbi.nlm.nih.gov/pubmed/10423050","PubMed")</f>
        <v>PubMed</v>
      </c>
      <c r="V4875" s="30"/>
      <c r="W4875" s="49"/>
      <c r="X4875" s="49"/>
      <c r="Y4875" s="35"/>
      <c r="Z4875" s="35"/>
      <c r="AA4875" s="35"/>
      <c r="AB4875" s="35"/>
      <c r="AC4875" s="35"/>
      <c r="AD4875" s="35"/>
      <c r="AE4875" s="35"/>
      <c r="AF4875" s="35"/>
      <c r="AG4875" s="35"/>
      <c r="AH4875" s="35"/>
      <c r="AI4875" s="35"/>
      <c r="AJ4875" s="35"/>
      <c r="AK4875" s="35"/>
      <c r="AL4875" s="35"/>
    </row>
    <row r="4876">
      <c r="A4876" s="18"/>
      <c r="B4876" s="19" t="s">
        <v>19332</v>
      </c>
      <c r="C4876" s="20" t="s">
        <v>18738</v>
      </c>
      <c r="D4876" s="47"/>
      <c r="E4876" s="22" t="s">
        <v>23224</v>
      </c>
      <c r="F4876" s="22" t="s">
        <v>23225</v>
      </c>
      <c r="G4876" s="23">
        <v>1997.0</v>
      </c>
      <c r="H4876" s="22" t="s">
        <v>23016</v>
      </c>
      <c r="I4876" s="24" t="s">
        <v>23226</v>
      </c>
      <c r="J4876" s="22" t="s">
        <v>23227</v>
      </c>
      <c r="K4876" s="22"/>
      <c r="L4876" s="36">
        <v>633.0</v>
      </c>
      <c r="M4876" s="36">
        <v>60.0</v>
      </c>
      <c r="N4876" s="36"/>
      <c r="O4876" s="36">
        <v>54.0</v>
      </c>
      <c r="P4876" s="37" t="s">
        <v>23228</v>
      </c>
      <c r="Q4876" s="36"/>
      <c r="R4876" s="36">
        <v>750.0</v>
      </c>
      <c r="S4876" s="36" t="s">
        <v>3125</v>
      </c>
      <c r="T4876" s="54" t="s">
        <v>23229</v>
      </c>
      <c r="U4876" s="38" t="str">
        <f>HYPERLINK("https://www.ncbi.nlm.nih.gov/pubmed/9240635","PubMed")</f>
        <v>PubMed</v>
      </c>
      <c r="V4876" s="30"/>
      <c r="W4876" s="49"/>
      <c r="X4876" s="49"/>
      <c r="Y4876" s="35"/>
      <c r="Z4876" s="35"/>
      <c r="AA4876" s="35"/>
      <c r="AB4876" s="35"/>
      <c r="AC4876" s="35"/>
      <c r="AD4876" s="35"/>
      <c r="AE4876" s="35"/>
      <c r="AF4876" s="35"/>
      <c r="AG4876" s="35"/>
      <c r="AH4876" s="35"/>
      <c r="AI4876" s="35"/>
      <c r="AJ4876" s="35"/>
      <c r="AK4876" s="35"/>
      <c r="AL4876" s="35"/>
    </row>
    <row r="4877">
      <c r="A4877" s="18"/>
      <c r="B4877" s="19" t="s">
        <v>19332</v>
      </c>
      <c r="C4877" s="20" t="s">
        <v>18738</v>
      </c>
      <c r="D4877" s="47"/>
      <c r="E4877" s="22" t="s">
        <v>19065</v>
      </c>
      <c r="F4877" s="22" t="s">
        <v>23230</v>
      </c>
      <c r="G4877" s="23">
        <v>1995.0</v>
      </c>
      <c r="H4877" s="22" t="s">
        <v>14730</v>
      </c>
      <c r="I4877" s="24" t="s">
        <v>23231</v>
      </c>
      <c r="J4877" s="22" t="s">
        <v>23232</v>
      </c>
      <c r="K4877" s="22"/>
      <c r="L4877" s="36">
        <v>633.0</v>
      </c>
      <c r="M4877" s="36">
        <v>25.0</v>
      </c>
      <c r="N4877" s="36"/>
      <c r="O4877" s="36"/>
      <c r="P4877" s="37" t="s">
        <v>6258</v>
      </c>
      <c r="Q4877" s="36" t="s">
        <v>729</v>
      </c>
      <c r="R4877" s="36" t="s">
        <v>23233</v>
      </c>
      <c r="S4877" s="36" t="s">
        <v>3125</v>
      </c>
      <c r="T4877" s="54" t="s">
        <v>23234</v>
      </c>
      <c r="U4877" s="38" t="str">
        <f>HYPERLINK("https://www.ncbi.nlm.nih.gov/pubmed/8625084","PubMed")</f>
        <v>PubMed</v>
      </c>
      <c r="V4877" s="30"/>
      <c r="W4877" s="49"/>
      <c r="X4877" s="49"/>
      <c r="Y4877" s="35"/>
      <c r="Z4877" s="35"/>
      <c r="AA4877" s="35"/>
      <c r="AB4877" s="35"/>
      <c r="AC4877" s="35"/>
      <c r="AD4877" s="35"/>
      <c r="AE4877" s="35"/>
      <c r="AF4877" s="35"/>
      <c r="AG4877" s="35"/>
      <c r="AH4877" s="35"/>
      <c r="AI4877" s="35"/>
      <c r="AJ4877" s="35"/>
      <c r="AK4877" s="35"/>
      <c r="AL4877" s="35"/>
    </row>
    <row r="4878">
      <c r="A4878" s="18"/>
      <c r="B4878" s="19" t="s">
        <v>19332</v>
      </c>
      <c r="C4878" s="20" t="s">
        <v>18738</v>
      </c>
      <c r="D4878" s="47"/>
      <c r="E4878" s="22" t="s">
        <v>23235</v>
      </c>
      <c r="F4878" s="22" t="s">
        <v>23236</v>
      </c>
      <c r="G4878" s="23">
        <v>1993.0</v>
      </c>
      <c r="H4878" s="22" t="s">
        <v>23237</v>
      </c>
      <c r="I4878" s="24" t="s">
        <v>23238</v>
      </c>
      <c r="J4878" s="22" t="s">
        <v>125</v>
      </c>
      <c r="K4878" s="22"/>
      <c r="L4878" s="105" t="s">
        <v>23239</v>
      </c>
      <c r="M4878" s="44"/>
      <c r="N4878" s="44"/>
      <c r="O4878" s="44"/>
      <c r="P4878" s="44"/>
      <c r="Q4878" s="44"/>
      <c r="R4878" s="44"/>
      <c r="S4878" s="44"/>
      <c r="T4878" s="45"/>
      <c r="U4878" s="38" t="str">
        <f>HYPERLINK("https://www.ncbi.nlm.nih.gov/pubmed/8240724?fbclid=IwAR0dzOSHbDcya4Kwiwp7YSZclElPtl15K-yqkhyZBPIbsm_iX1ym14cn6Co","PubMed")</f>
        <v>PubMed</v>
      </c>
      <c r="V4878" s="30"/>
      <c r="W4878" s="49"/>
      <c r="X4878" s="49"/>
      <c r="Y4878" s="35"/>
      <c r="Z4878" s="35"/>
      <c r="AA4878" s="35"/>
      <c r="AB4878" s="35"/>
      <c r="AC4878" s="35"/>
      <c r="AD4878" s="35"/>
      <c r="AE4878" s="35"/>
      <c r="AF4878" s="35"/>
      <c r="AG4878" s="35"/>
      <c r="AH4878" s="35"/>
      <c r="AI4878" s="35"/>
      <c r="AJ4878" s="35"/>
      <c r="AK4878" s="35"/>
      <c r="AL4878" s="35"/>
    </row>
    <row r="4879">
      <c r="A4879" s="18"/>
      <c r="B4879" s="19" t="s">
        <v>19332</v>
      </c>
      <c r="C4879" s="20" t="s">
        <v>18738</v>
      </c>
      <c r="D4879" s="47"/>
      <c r="E4879" s="22" t="s">
        <v>23240</v>
      </c>
      <c r="F4879" s="22" t="s">
        <v>7945</v>
      </c>
      <c r="G4879" s="23">
        <v>1992.0</v>
      </c>
      <c r="H4879" s="22" t="s">
        <v>18722</v>
      </c>
      <c r="I4879" s="24" t="s">
        <v>23241</v>
      </c>
      <c r="J4879" s="22" t="s">
        <v>14492</v>
      </c>
      <c r="K4879" s="22"/>
      <c r="L4879" s="36">
        <v>633.0</v>
      </c>
      <c r="M4879" s="36"/>
      <c r="N4879" s="36"/>
      <c r="O4879" s="36"/>
      <c r="P4879" s="37"/>
      <c r="Q4879" s="36"/>
      <c r="R4879" s="36"/>
      <c r="S4879" s="36"/>
      <c r="T4879" s="54" t="s">
        <v>23242</v>
      </c>
      <c r="U4879" s="38" t="str">
        <f>HYPERLINK("https://www.ncbi.nlm.nih.gov/pubmed/1392157","PubMed")</f>
        <v>PubMed</v>
      </c>
      <c r="V4879" s="30"/>
      <c r="W4879" s="49"/>
      <c r="X4879" s="49"/>
      <c r="Y4879" s="35"/>
      <c r="Z4879" s="35"/>
      <c r="AA4879" s="35"/>
      <c r="AB4879" s="35"/>
      <c r="AC4879" s="35"/>
      <c r="AD4879" s="35"/>
      <c r="AE4879" s="35"/>
      <c r="AF4879" s="35"/>
      <c r="AG4879" s="35"/>
      <c r="AH4879" s="35"/>
      <c r="AI4879" s="35"/>
      <c r="AJ4879" s="35"/>
      <c r="AK4879" s="35"/>
      <c r="AL4879" s="35"/>
    </row>
    <row r="4880">
      <c r="A4880" s="1" t="s">
        <v>2</v>
      </c>
      <c r="B4880" s="19" t="s">
        <v>19332</v>
      </c>
      <c r="C4880" s="20" t="s">
        <v>18738</v>
      </c>
      <c r="D4880" s="47"/>
      <c r="E4880" s="22" t="s">
        <v>5237</v>
      </c>
      <c r="F4880" s="22" t="s">
        <v>8256</v>
      </c>
      <c r="G4880" s="23">
        <v>1992.0</v>
      </c>
      <c r="H4880" s="22" t="s">
        <v>23243</v>
      </c>
      <c r="I4880" s="24" t="s">
        <v>23244</v>
      </c>
      <c r="J4880" s="22" t="s">
        <v>23245</v>
      </c>
      <c r="K4880" s="22" t="s">
        <v>23246</v>
      </c>
      <c r="L4880" s="36" t="s">
        <v>23247</v>
      </c>
      <c r="M4880" s="36">
        <v>25.0</v>
      </c>
      <c r="N4880" s="36"/>
      <c r="O4880" s="36"/>
      <c r="P4880" s="37"/>
      <c r="Q4880" s="36"/>
      <c r="R4880" s="36"/>
      <c r="S4880" s="36"/>
      <c r="T4880" s="54" t="s">
        <v>23248</v>
      </c>
      <c r="U4880" s="38" t="str">
        <f>HYPERLINK("https://www.ncbi.nlm.nih.gov/pubmed/1738189","PubMed")</f>
        <v>PubMed</v>
      </c>
      <c r="V4880" s="30"/>
      <c r="W4880" s="49"/>
      <c r="X4880" s="49"/>
      <c r="Y4880" s="35"/>
      <c r="Z4880" s="35"/>
      <c r="AA4880" s="35"/>
      <c r="AB4880" s="35"/>
      <c r="AC4880" s="35"/>
      <c r="AD4880" s="35"/>
      <c r="AE4880" s="35"/>
      <c r="AF4880" s="35"/>
      <c r="AG4880" s="35"/>
      <c r="AH4880" s="35"/>
      <c r="AI4880" s="35"/>
      <c r="AJ4880" s="35"/>
      <c r="AK4880" s="35"/>
      <c r="AL4880" s="35"/>
    </row>
    <row r="4881">
      <c r="A4881" s="1"/>
      <c r="B4881" s="19" t="s">
        <v>19332</v>
      </c>
      <c r="C4881" s="20" t="s">
        <v>23249</v>
      </c>
      <c r="D4881" s="47"/>
      <c r="E4881" s="22" t="s">
        <v>23250</v>
      </c>
      <c r="F4881" s="22" t="s">
        <v>400</v>
      </c>
      <c r="G4881" s="23">
        <v>2013.0</v>
      </c>
      <c r="H4881" s="22" t="s">
        <v>8479</v>
      </c>
      <c r="I4881" s="24" t="s">
        <v>23251</v>
      </c>
      <c r="J4881" s="22" t="s">
        <v>23252</v>
      </c>
      <c r="K4881" s="22"/>
      <c r="L4881" s="36" t="s">
        <v>23253</v>
      </c>
      <c r="M4881" s="36">
        <v>100.0</v>
      </c>
      <c r="N4881" s="129"/>
      <c r="O4881" s="36"/>
      <c r="P4881" s="37" t="s">
        <v>254</v>
      </c>
      <c r="Q4881" s="36"/>
      <c r="R4881" s="36" t="s">
        <v>17490</v>
      </c>
      <c r="S4881" s="36" t="s">
        <v>23254</v>
      </c>
      <c r="T4881" s="41" t="s">
        <v>23255</v>
      </c>
      <c r="U4881" s="38" t="s">
        <v>61</v>
      </c>
      <c r="V4881" s="30"/>
      <c r="W4881" s="49"/>
      <c r="X4881" s="49"/>
      <c r="Y4881" s="35"/>
      <c r="Z4881" s="35"/>
      <c r="AA4881" s="35"/>
      <c r="AB4881" s="35"/>
      <c r="AC4881" s="35"/>
      <c r="AD4881" s="35"/>
      <c r="AE4881" s="35"/>
      <c r="AF4881" s="35"/>
      <c r="AG4881" s="35"/>
      <c r="AH4881" s="35"/>
      <c r="AI4881" s="35"/>
      <c r="AJ4881" s="35"/>
      <c r="AK4881" s="35"/>
      <c r="AL4881" s="35"/>
    </row>
    <row r="4882">
      <c r="A4882" s="1"/>
      <c r="B4882" s="19" t="s">
        <v>19332</v>
      </c>
      <c r="C4882" s="20" t="s">
        <v>23256</v>
      </c>
      <c r="D4882" s="47"/>
      <c r="E4882" s="22" t="s">
        <v>21841</v>
      </c>
      <c r="F4882" s="22" t="s">
        <v>13151</v>
      </c>
      <c r="G4882" s="23">
        <v>2011.0</v>
      </c>
      <c r="H4882" s="22" t="s">
        <v>19819</v>
      </c>
      <c r="I4882" s="24" t="s">
        <v>23257</v>
      </c>
      <c r="J4882" s="22" t="s">
        <v>23258</v>
      </c>
      <c r="K4882" s="22" t="s">
        <v>23259</v>
      </c>
      <c r="L4882" s="36">
        <v>588.0</v>
      </c>
      <c r="M4882" s="36"/>
      <c r="N4882" s="129"/>
      <c r="O4882" s="36"/>
      <c r="P4882" s="37"/>
      <c r="Q4882" s="36"/>
      <c r="R4882" s="36">
        <v>300.0</v>
      </c>
      <c r="S4882" s="36" t="s">
        <v>23260</v>
      </c>
      <c r="T4882" s="28" t="s">
        <v>23261</v>
      </c>
      <c r="U4882" s="38" t="str">
        <f>HYPERLINK("https://www.ncbi.nlm.nih.gov/pubmed/22092477","PubMed")</f>
        <v>PubMed</v>
      </c>
      <c r="V4882" s="30"/>
      <c r="W4882" s="49"/>
      <c r="X4882" s="49"/>
      <c r="Y4882" s="35"/>
      <c r="Z4882" s="35"/>
      <c r="AA4882" s="35"/>
      <c r="AB4882" s="35"/>
      <c r="AC4882" s="35"/>
      <c r="AD4882" s="35"/>
      <c r="AE4882" s="35"/>
      <c r="AF4882" s="35"/>
      <c r="AG4882" s="35"/>
      <c r="AH4882" s="35"/>
      <c r="AI4882" s="35"/>
      <c r="AJ4882" s="35"/>
      <c r="AK4882" s="35"/>
      <c r="AL4882" s="35"/>
    </row>
    <row r="4883">
      <c r="A4883" s="18"/>
      <c r="B4883" s="19" t="s">
        <v>19332</v>
      </c>
      <c r="C4883" s="76" t="s">
        <v>23262</v>
      </c>
      <c r="D4883" s="47"/>
      <c r="E4883" s="22" t="s">
        <v>21702</v>
      </c>
      <c r="F4883" s="22" t="s">
        <v>23263</v>
      </c>
      <c r="G4883" s="23">
        <v>2018.0</v>
      </c>
      <c r="H4883" s="22" t="s">
        <v>19765</v>
      </c>
      <c r="I4883" s="24" t="s">
        <v>23264</v>
      </c>
      <c r="J4883" s="22" t="s">
        <v>1078</v>
      </c>
      <c r="K4883" s="22" t="s">
        <v>23265</v>
      </c>
      <c r="L4883" s="196" t="s">
        <v>23266</v>
      </c>
      <c r="U4883" s="38" t="str">
        <f>HYPERLINK("https://www.ncbi.nlm.nih.gov/pubmed/29582585","PubMed")</f>
        <v>PubMed</v>
      </c>
      <c r="V4883" s="30"/>
      <c r="W4883" s="49"/>
      <c r="X4883" s="49"/>
      <c r="Y4883" s="35"/>
      <c r="Z4883" s="35"/>
      <c r="AA4883" s="35"/>
      <c r="AB4883" s="35"/>
      <c r="AC4883" s="35"/>
      <c r="AD4883" s="35"/>
      <c r="AE4883" s="35"/>
      <c r="AF4883" s="35"/>
      <c r="AG4883" s="35"/>
      <c r="AH4883" s="35"/>
      <c r="AI4883" s="35"/>
      <c r="AJ4883" s="35"/>
      <c r="AK4883" s="35"/>
      <c r="AL4883" s="35"/>
    </row>
    <row r="4884">
      <c r="A4884" s="18"/>
      <c r="B4884" s="19" t="s">
        <v>19332</v>
      </c>
      <c r="C4884" s="76" t="s">
        <v>23262</v>
      </c>
      <c r="D4884" s="47"/>
      <c r="E4884" s="22" t="s">
        <v>17040</v>
      </c>
      <c r="F4884" s="22" t="s">
        <v>2437</v>
      </c>
      <c r="G4884" s="23">
        <v>2018.0</v>
      </c>
      <c r="H4884" s="22" t="s">
        <v>91</v>
      </c>
      <c r="I4884" s="24" t="s">
        <v>23267</v>
      </c>
      <c r="J4884" s="22" t="s">
        <v>1078</v>
      </c>
      <c r="K4884" s="22" t="s">
        <v>23268</v>
      </c>
      <c r="L4884" s="196" t="s">
        <v>23269</v>
      </c>
      <c r="U4884" s="38" t="str">
        <f>HYPERLINK("https://www.ncbi.nlm.nih.gov/pubmed/29374364","PubMed")</f>
        <v>PubMed</v>
      </c>
      <c r="V4884" s="30"/>
      <c r="W4884" s="49"/>
      <c r="X4884" s="49"/>
      <c r="Y4884" s="35"/>
      <c r="Z4884" s="35"/>
      <c r="AA4884" s="35"/>
      <c r="AB4884" s="35"/>
      <c r="AC4884" s="35"/>
      <c r="AD4884" s="35"/>
      <c r="AE4884" s="35"/>
      <c r="AF4884" s="35"/>
      <c r="AG4884" s="35"/>
      <c r="AH4884" s="35"/>
      <c r="AI4884" s="35"/>
      <c r="AJ4884" s="35"/>
      <c r="AK4884" s="35"/>
      <c r="AL4884" s="35"/>
    </row>
    <row r="4885">
      <c r="A4885" s="1"/>
      <c r="B4885" s="19" t="s">
        <v>19332</v>
      </c>
      <c r="C4885" s="76" t="s">
        <v>23262</v>
      </c>
      <c r="D4885" s="47"/>
      <c r="E4885" s="22" t="s">
        <v>23270</v>
      </c>
      <c r="F4885" s="22" t="s">
        <v>510</v>
      </c>
      <c r="G4885" s="23" t="s">
        <v>11799</v>
      </c>
      <c r="H4885" s="57" t="s">
        <v>23271</v>
      </c>
      <c r="I4885" s="24" t="s">
        <v>23272</v>
      </c>
      <c r="J4885" s="22" t="s">
        <v>23273</v>
      </c>
      <c r="K4885" s="22"/>
      <c r="L4885" s="36">
        <v>660.0</v>
      </c>
      <c r="M4885" s="36">
        <v>30.0</v>
      </c>
      <c r="N4885" s="37"/>
      <c r="O4885" s="36"/>
      <c r="P4885" s="37" t="s">
        <v>4671</v>
      </c>
      <c r="Q4885" s="36"/>
      <c r="R4885" s="36" t="s">
        <v>939</v>
      </c>
      <c r="S4885" s="36" t="s">
        <v>23274</v>
      </c>
      <c r="T4885" s="41" t="s">
        <v>23275</v>
      </c>
      <c r="U4885" s="38" t="str">
        <f>HYPERLINK("https://www.ncbi.nlm.nih.gov/pubmed/27834120","PubMed")</f>
        <v>PubMed</v>
      </c>
      <c r="V4885" s="30"/>
      <c r="W4885" s="49"/>
      <c r="X4885" s="49"/>
      <c r="Y4885" s="35"/>
      <c r="Z4885" s="35"/>
      <c r="AA4885" s="35"/>
      <c r="AB4885" s="35"/>
      <c r="AC4885" s="35"/>
      <c r="AD4885" s="35"/>
      <c r="AE4885" s="35"/>
      <c r="AF4885" s="35"/>
      <c r="AG4885" s="35"/>
      <c r="AH4885" s="35"/>
      <c r="AI4885" s="35"/>
      <c r="AJ4885" s="35"/>
      <c r="AK4885" s="35"/>
      <c r="AL4885" s="35"/>
    </row>
    <row r="4886">
      <c r="A4886" s="1"/>
      <c r="B4886" s="19" t="s">
        <v>19332</v>
      </c>
      <c r="C4886" s="76" t="s">
        <v>23262</v>
      </c>
      <c r="D4886" s="47"/>
      <c r="E4886" s="22" t="s">
        <v>23276</v>
      </c>
      <c r="F4886" s="22" t="s">
        <v>510</v>
      </c>
      <c r="G4886" s="23">
        <v>2015.0</v>
      </c>
      <c r="H4886" s="57" t="s">
        <v>19819</v>
      </c>
      <c r="I4886" s="24" t="s">
        <v>23277</v>
      </c>
      <c r="J4886" s="22" t="s">
        <v>23278</v>
      </c>
      <c r="K4886" s="22"/>
      <c r="L4886" s="36">
        <v>660.0</v>
      </c>
      <c r="M4886" s="36">
        <v>30.0</v>
      </c>
      <c r="N4886" s="37"/>
      <c r="O4886" s="36"/>
      <c r="P4886" s="37" t="s">
        <v>4671</v>
      </c>
      <c r="Q4886" s="36"/>
      <c r="R4886" s="36" t="s">
        <v>939</v>
      </c>
      <c r="S4886" s="36" t="s">
        <v>23274</v>
      </c>
      <c r="T4886" s="42" t="s">
        <v>23279</v>
      </c>
      <c r="U4886" s="29" t="s">
        <v>61</v>
      </c>
      <c r="V4886" s="30"/>
      <c r="W4886" s="49"/>
      <c r="X4886" s="49"/>
      <c r="Y4886" s="35"/>
      <c r="Z4886" s="35"/>
      <c r="AA4886" s="35"/>
      <c r="AB4886" s="35"/>
      <c r="AC4886" s="35"/>
      <c r="AD4886" s="35"/>
      <c r="AE4886" s="35"/>
      <c r="AF4886" s="35"/>
      <c r="AG4886" s="35"/>
      <c r="AH4886" s="35"/>
      <c r="AI4886" s="35"/>
      <c r="AJ4886" s="35"/>
      <c r="AK4886" s="35"/>
      <c r="AL4886" s="35"/>
    </row>
    <row r="4887">
      <c r="A4887" s="1"/>
      <c r="B4887" s="75" t="s">
        <v>19332</v>
      </c>
      <c r="C4887" s="76" t="s">
        <v>23280</v>
      </c>
      <c r="D4887" s="47"/>
      <c r="E4887" s="22" t="s">
        <v>23281</v>
      </c>
      <c r="F4887" s="22" t="s">
        <v>323</v>
      </c>
      <c r="G4887" s="23">
        <v>2022.0</v>
      </c>
      <c r="H4887" s="57" t="s">
        <v>12502</v>
      </c>
      <c r="I4887" s="24" t="s">
        <v>23282</v>
      </c>
      <c r="J4887" s="22" t="s">
        <v>23283</v>
      </c>
      <c r="K4887" s="22"/>
      <c r="L4887" s="36">
        <v>940.0</v>
      </c>
      <c r="M4887" s="36">
        <v>210.0</v>
      </c>
      <c r="N4887" s="37" t="s">
        <v>7964</v>
      </c>
      <c r="O4887" s="129">
        <v>44626.0</v>
      </c>
      <c r="P4887" s="37" t="s">
        <v>432</v>
      </c>
      <c r="Q4887" s="36" t="s">
        <v>23284</v>
      </c>
      <c r="R4887" s="36">
        <v>30.0</v>
      </c>
      <c r="S4887" s="36" t="s">
        <v>20235</v>
      </c>
      <c r="T4887" s="42" t="s">
        <v>23285</v>
      </c>
      <c r="U4887" s="29" t="s">
        <v>61</v>
      </c>
      <c r="V4887" s="30"/>
      <c r="W4887" s="49"/>
      <c r="X4887" s="49"/>
      <c r="Y4887" s="35"/>
      <c r="Z4887" s="35"/>
      <c r="AA4887" s="35"/>
      <c r="AB4887" s="35"/>
      <c r="AC4887" s="35"/>
      <c r="AD4887" s="35"/>
      <c r="AE4887" s="35"/>
      <c r="AF4887" s="35"/>
      <c r="AG4887" s="35"/>
      <c r="AH4887" s="35"/>
      <c r="AI4887" s="35"/>
      <c r="AJ4887" s="35"/>
      <c r="AK4887" s="35"/>
      <c r="AL4887" s="35"/>
    </row>
    <row r="4888">
      <c r="A4888" s="1"/>
      <c r="B4888" s="75" t="s">
        <v>19332</v>
      </c>
      <c r="C4888" s="76" t="s">
        <v>23280</v>
      </c>
      <c r="D4888" s="47"/>
      <c r="E4888" s="22" t="s">
        <v>10506</v>
      </c>
      <c r="F4888" s="22" t="s">
        <v>5630</v>
      </c>
      <c r="G4888" s="23">
        <v>2022.0</v>
      </c>
      <c r="H4888" s="57" t="s">
        <v>905</v>
      </c>
      <c r="I4888" s="24" t="s">
        <v>23286</v>
      </c>
      <c r="J4888" s="22" t="s">
        <v>23287</v>
      </c>
      <c r="K4888" s="22"/>
      <c r="L4888" s="36"/>
      <c r="M4888" s="36"/>
      <c r="N4888" s="37"/>
      <c r="O4888" s="36"/>
      <c r="P4888" s="37"/>
      <c r="Q4888" s="36"/>
      <c r="R4888" s="36"/>
      <c r="S4888" s="36" t="s">
        <v>6403</v>
      </c>
      <c r="T4888" s="28" t="s">
        <v>23288</v>
      </c>
      <c r="U4888" s="29" t="s">
        <v>61</v>
      </c>
      <c r="V4888" s="30"/>
      <c r="W4888" s="49"/>
      <c r="X4888" s="49"/>
      <c r="Y4888" s="35"/>
      <c r="Z4888" s="35"/>
      <c r="AA4888" s="35"/>
      <c r="AB4888" s="35"/>
      <c r="AC4888" s="35"/>
      <c r="AD4888" s="35"/>
      <c r="AE4888" s="35"/>
      <c r="AF4888" s="35"/>
      <c r="AG4888" s="35"/>
      <c r="AH4888" s="35"/>
      <c r="AI4888" s="35"/>
      <c r="AJ4888" s="35"/>
      <c r="AK4888" s="35"/>
      <c r="AL4888" s="35"/>
    </row>
    <row r="4889">
      <c r="A4889" s="1"/>
      <c r="B4889" s="75" t="s">
        <v>19332</v>
      </c>
      <c r="C4889" s="76" t="s">
        <v>23280</v>
      </c>
      <c r="D4889" s="47"/>
      <c r="E4889" s="22" t="s">
        <v>23289</v>
      </c>
      <c r="F4889" s="22" t="s">
        <v>8008</v>
      </c>
      <c r="G4889" s="23">
        <v>2019.0</v>
      </c>
      <c r="H4889" s="22" t="s">
        <v>20714</v>
      </c>
      <c r="I4889" s="24" t="s">
        <v>23290</v>
      </c>
      <c r="J4889" s="22" t="s">
        <v>649</v>
      </c>
      <c r="K4889" s="22"/>
      <c r="L4889" s="167" t="s">
        <v>23291</v>
      </c>
      <c r="M4889" s="44"/>
      <c r="N4889" s="44"/>
      <c r="O4889" s="44"/>
      <c r="P4889" s="44"/>
      <c r="Q4889" s="44"/>
      <c r="R4889" s="44"/>
      <c r="S4889" s="44"/>
      <c r="T4889" s="45"/>
      <c r="U4889" s="38" t="str">
        <f>HYPERLINK("https://www.ncbi.nlm.nih.gov/pubmed/30353707","PubMed")</f>
        <v>PubMed</v>
      </c>
      <c r="V4889" s="30"/>
      <c r="W4889" s="49"/>
      <c r="X4889" s="49"/>
      <c r="Y4889" s="35"/>
      <c r="Z4889" s="35"/>
      <c r="AA4889" s="35"/>
      <c r="AB4889" s="35"/>
      <c r="AC4889" s="35"/>
      <c r="AD4889" s="35"/>
      <c r="AE4889" s="35"/>
      <c r="AF4889" s="35"/>
      <c r="AG4889" s="35"/>
      <c r="AH4889" s="35"/>
      <c r="AI4889" s="35"/>
      <c r="AJ4889" s="35"/>
      <c r="AK4889" s="35"/>
      <c r="AL4889" s="35"/>
    </row>
    <row r="4890">
      <c r="A4890" s="1"/>
      <c r="B4890" s="75" t="s">
        <v>19332</v>
      </c>
      <c r="C4890" s="76" t="s">
        <v>23292</v>
      </c>
      <c r="D4890" s="47"/>
      <c r="E4890" s="22" t="s">
        <v>23293</v>
      </c>
      <c r="F4890" s="22" t="s">
        <v>323</v>
      </c>
      <c r="G4890" s="23">
        <v>2019.0</v>
      </c>
      <c r="H4890" s="22" t="s">
        <v>147</v>
      </c>
      <c r="I4890" s="24" t="s">
        <v>23294</v>
      </c>
      <c r="J4890" s="22" t="s">
        <v>23295</v>
      </c>
      <c r="K4890" s="22"/>
      <c r="L4890" s="36">
        <v>808.0</v>
      </c>
      <c r="M4890" s="36"/>
      <c r="N4890" s="36"/>
      <c r="O4890" s="36"/>
      <c r="P4890" s="37"/>
      <c r="Q4890" s="36"/>
      <c r="R4890" s="36"/>
      <c r="S4890" s="36" t="s">
        <v>23296</v>
      </c>
      <c r="T4890" s="54" t="s">
        <v>23297</v>
      </c>
      <c r="U4890" s="38" t="str">
        <f>HYPERLINK("https://www.ncbi.nlm.nih.gov/pubmed/31875132","PubMed")</f>
        <v>PubMed</v>
      </c>
      <c r="V4890" s="30"/>
      <c r="W4890" s="49"/>
      <c r="X4890" s="49"/>
      <c r="Y4890" s="35"/>
      <c r="Z4890" s="35"/>
      <c r="AA4890" s="35"/>
      <c r="AB4890" s="35"/>
      <c r="AC4890" s="35"/>
      <c r="AD4890" s="35"/>
      <c r="AE4890" s="35"/>
      <c r="AF4890" s="35"/>
      <c r="AG4890" s="35"/>
      <c r="AH4890" s="35"/>
      <c r="AI4890" s="35"/>
      <c r="AJ4890" s="35"/>
      <c r="AK4890" s="35"/>
      <c r="AL4890" s="35"/>
    </row>
    <row r="4891">
      <c r="A4891" s="1"/>
      <c r="B4891" s="19" t="s">
        <v>19332</v>
      </c>
      <c r="C4891" s="76" t="s">
        <v>23292</v>
      </c>
      <c r="D4891" s="47"/>
      <c r="E4891" s="22" t="s">
        <v>23298</v>
      </c>
      <c r="F4891" s="22" t="s">
        <v>52</v>
      </c>
      <c r="G4891" s="23">
        <v>2018.0</v>
      </c>
      <c r="H4891" s="22" t="s">
        <v>658</v>
      </c>
      <c r="I4891" s="24" t="s">
        <v>23299</v>
      </c>
      <c r="J4891" s="22" t="s">
        <v>23300</v>
      </c>
      <c r="K4891" s="22" t="s">
        <v>23301</v>
      </c>
      <c r="L4891" s="36">
        <v>970.0</v>
      </c>
      <c r="M4891" s="36">
        <v>200.0</v>
      </c>
      <c r="N4891" s="36"/>
      <c r="O4891" s="36"/>
      <c r="P4891" s="37" t="s">
        <v>23302</v>
      </c>
      <c r="Q4891" s="36"/>
      <c r="R4891" s="36">
        <v>30.0</v>
      </c>
      <c r="S4891" s="36" t="s">
        <v>23303</v>
      </c>
      <c r="T4891" s="102" t="s">
        <v>23304</v>
      </c>
      <c r="U4891" s="38" t="str">
        <f>HYPERLINK("https://www.ncbi.nlm.nih.gov/pubmed/30260741","PubMed")</f>
        <v>PubMed</v>
      </c>
      <c r="V4891" s="30"/>
      <c r="W4891" s="49"/>
      <c r="X4891" s="49"/>
      <c r="Y4891" s="35"/>
      <c r="Z4891" s="35"/>
      <c r="AA4891" s="35"/>
      <c r="AB4891" s="35"/>
      <c r="AC4891" s="35"/>
      <c r="AD4891" s="35"/>
      <c r="AE4891" s="35"/>
      <c r="AF4891" s="35"/>
      <c r="AG4891" s="35"/>
      <c r="AH4891" s="35"/>
      <c r="AI4891" s="35"/>
      <c r="AJ4891" s="35"/>
      <c r="AK4891" s="35"/>
      <c r="AL4891" s="35"/>
    </row>
    <row r="4892">
      <c r="A4892" s="1"/>
      <c r="B4892" s="19" t="s">
        <v>19332</v>
      </c>
      <c r="C4892" s="76" t="s">
        <v>23292</v>
      </c>
      <c r="D4892" s="47"/>
      <c r="E4892" s="22" t="s">
        <v>23305</v>
      </c>
      <c r="F4892" s="22" t="s">
        <v>23306</v>
      </c>
      <c r="G4892" s="23">
        <v>2018.0</v>
      </c>
      <c r="H4892" s="22" t="s">
        <v>477</v>
      </c>
      <c r="I4892" s="24" t="s">
        <v>23307</v>
      </c>
      <c r="J4892" s="22" t="s">
        <v>23308</v>
      </c>
      <c r="L4892" s="36">
        <v>810.0</v>
      </c>
      <c r="M4892" s="36">
        <v>100.0</v>
      </c>
      <c r="N4892" s="36"/>
      <c r="O4892" s="36"/>
      <c r="P4892" s="37" t="s">
        <v>82</v>
      </c>
      <c r="Q4892" s="36"/>
      <c r="R4892" s="36"/>
      <c r="S4892" s="36" t="s">
        <v>23309</v>
      </c>
      <c r="T4892" s="54" t="s">
        <v>23310</v>
      </c>
      <c r="U4892" s="38" t="str">
        <f>HYPERLINK("https://www.ncbi.nlm.nih.gov/pubmed/30218227","PubMed")</f>
        <v>PubMed</v>
      </c>
      <c r="V4892" s="30"/>
      <c r="W4892" s="49"/>
      <c r="X4892" s="49"/>
      <c r="Y4892" s="35"/>
      <c r="Z4892" s="35"/>
      <c r="AA4892" s="35"/>
      <c r="AB4892" s="35"/>
      <c r="AC4892" s="35"/>
      <c r="AD4892" s="35"/>
      <c r="AE4892" s="35"/>
      <c r="AF4892" s="35"/>
      <c r="AG4892" s="35"/>
      <c r="AH4892" s="35"/>
      <c r="AI4892" s="35"/>
      <c r="AJ4892" s="35"/>
      <c r="AK4892" s="35"/>
      <c r="AL4892" s="35"/>
    </row>
    <row r="4893">
      <c r="A4893" s="1"/>
      <c r="B4893" s="19" t="s">
        <v>19332</v>
      </c>
      <c r="C4893" s="76" t="s">
        <v>23292</v>
      </c>
      <c r="D4893" s="47"/>
      <c r="E4893" s="22" t="s">
        <v>23311</v>
      </c>
      <c r="F4893" s="22" t="s">
        <v>323</v>
      </c>
      <c r="G4893" s="23">
        <v>2017.0</v>
      </c>
      <c r="H4893" s="22" t="s">
        <v>207</v>
      </c>
      <c r="I4893" s="24" t="s">
        <v>23312</v>
      </c>
      <c r="J4893" s="22" t="s">
        <v>23313</v>
      </c>
      <c r="K4893" s="22" t="s">
        <v>23314</v>
      </c>
      <c r="L4893" s="36">
        <v>660.0</v>
      </c>
      <c r="M4893" s="36">
        <v>200.0</v>
      </c>
      <c r="N4893" s="36"/>
      <c r="O4893" s="36"/>
      <c r="P4893" s="37" t="s">
        <v>254</v>
      </c>
      <c r="Q4893" s="36"/>
      <c r="R4893" s="36">
        <v>32.0</v>
      </c>
      <c r="S4893" s="36" t="s">
        <v>23315</v>
      </c>
      <c r="T4893" s="42" t="s">
        <v>23316</v>
      </c>
      <c r="U4893" s="38" t="str">
        <f>HYPERLINK("https://www.ncbi.nlm.nih.gov/pubmed/28549319","PubMed")</f>
        <v>PubMed</v>
      </c>
      <c r="V4893" s="30"/>
      <c r="W4893" s="49"/>
      <c r="X4893" s="49"/>
      <c r="Y4893" s="35"/>
      <c r="Z4893" s="35"/>
      <c r="AA4893" s="35"/>
      <c r="AB4893" s="35"/>
      <c r="AC4893" s="35"/>
      <c r="AD4893" s="35"/>
      <c r="AE4893" s="35"/>
      <c r="AF4893" s="35"/>
      <c r="AG4893" s="35"/>
      <c r="AH4893" s="35"/>
      <c r="AI4893" s="35"/>
      <c r="AJ4893" s="35"/>
      <c r="AK4893" s="35"/>
      <c r="AL4893" s="35"/>
    </row>
    <row r="4894">
      <c r="A4894" s="1"/>
      <c r="B4894" s="19" t="s">
        <v>19332</v>
      </c>
      <c r="C4894" s="76" t="s">
        <v>23292</v>
      </c>
      <c r="D4894" s="47"/>
      <c r="E4894" s="22" t="s">
        <v>23317</v>
      </c>
      <c r="F4894" s="22" t="s">
        <v>755</v>
      </c>
      <c r="G4894" s="23" t="s">
        <v>90</v>
      </c>
      <c r="H4894" s="22" t="s">
        <v>658</v>
      </c>
      <c r="I4894" s="24" t="s">
        <v>23318</v>
      </c>
      <c r="J4894" s="22" t="s">
        <v>23319</v>
      </c>
      <c r="K4894" s="22"/>
      <c r="L4894" s="36">
        <v>940.0</v>
      </c>
      <c r="M4894" s="36"/>
      <c r="N4894" s="36"/>
      <c r="O4894" s="36"/>
      <c r="P4894" s="37"/>
      <c r="Q4894" s="36"/>
      <c r="R4894" s="36"/>
      <c r="S4894" s="36" t="s">
        <v>15515</v>
      </c>
      <c r="T4894" s="28" t="s">
        <v>23320</v>
      </c>
      <c r="U4894" s="38" t="str">
        <f>HYPERLINK("https://www.ncbi.nlm.nih.gov/pubmed/28092488","PubMed")</f>
        <v>PubMed</v>
      </c>
      <c r="V4894" s="30"/>
      <c r="W4894" s="49"/>
      <c r="X4894" s="49"/>
      <c r="Y4894" s="35"/>
      <c r="Z4894" s="35"/>
      <c r="AA4894" s="35"/>
      <c r="AB4894" s="35"/>
      <c r="AC4894" s="35"/>
      <c r="AD4894" s="35"/>
      <c r="AE4894" s="35"/>
      <c r="AF4894" s="35"/>
      <c r="AG4894" s="35"/>
      <c r="AH4894" s="35"/>
      <c r="AI4894" s="35"/>
      <c r="AJ4894" s="35"/>
      <c r="AK4894" s="35"/>
      <c r="AL4894" s="35"/>
    </row>
    <row r="4895">
      <c r="A4895" s="1"/>
      <c r="B4895" s="19" t="s">
        <v>19332</v>
      </c>
      <c r="C4895" s="20" t="s">
        <v>23292</v>
      </c>
      <c r="D4895" s="47"/>
      <c r="E4895" s="22" t="s">
        <v>626</v>
      </c>
      <c r="F4895" s="22" t="s">
        <v>206</v>
      </c>
      <c r="G4895" s="23">
        <v>2015.0</v>
      </c>
      <c r="H4895" s="22" t="s">
        <v>23271</v>
      </c>
      <c r="I4895" s="24" t="s">
        <v>23321</v>
      </c>
      <c r="J4895" s="22" t="s">
        <v>548</v>
      </c>
      <c r="K4895" s="22" t="s">
        <v>157</v>
      </c>
      <c r="L4895" s="36">
        <v>660.0</v>
      </c>
      <c r="M4895" s="36"/>
      <c r="N4895" s="36"/>
      <c r="O4895" s="36"/>
      <c r="P4895" s="37" t="s">
        <v>2907</v>
      </c>
      <c r="Q4895" s="36"/>
      <c r="R4895" s="36"/>
      <c r="S4895" s="36"/>
      <c r="T4895" s="28" t="s">
        <v>23322</v>
      </c>
      <c r="U4895" s="38" t="str">
        <f>HYPERLINK("https://www.ncbi.nlm.nih.gov/pubmed/25630628","PubMed")</f>
        <v>PubMed</v>
      </c>
      <c r="V4895" s="30"/>
      <c r="W4895" s="49"/>
      <c r="X4895" s="49"/>
      <c r="Y4895" s="35"/>
      <c r="Z4895" s="35"/>
      <c r="AA4895" s="35"/>
      <c r="AB4895" s="35"/>
      <c r="AC4895" s="35"/>
      <c r="AD4895" s="35"/>
      <c r="AE4895" s="35"/>
      <c r="AF4895" s="35"/>
      <c r="AG4895" s="35"/>
      <c r="AH4895" s="35"/>
      <c r="AI4895" s="35"/>
      <c r="AJ4895" s="35"/>
      <c r="AK4895" s="35"/>
      <c r="AL4895" s="35"/>
    </row>
    <row r="4896">
      <c r="A4896" s="1"/>
      <c r="B4896" s="19" t="s">
        <v>19332</v>
      </c>
      <c r="C4896" s="20" t="s">
        <v>23292</v>
      </c>
      <c r="D4896" s="47"/>
      <c r="E4896" s="22" t="s">
        <v>23323</v>
      </c>
      <c r="F4896" s="22" t="s">
        <v>2143</v>
      </c>
      <c r="G4896" s="23">
        <v>2014.0</v>
      </c>
      <c r="H4896" s="22" t="s">
        <v>21594</v>
      </c>
      <c r="I4896" s="24" t="s">
        <v>23324</v>
      </c>
      <c r="J4896" s="22" t="s">
        <v>23325</v>
      </c>
      <c r="K4896" s="22"/>
      <c r="L4896" s="36">
        <v>830.0</v>
      </c>
      <c r="M4896" s="36">
        <v>100.0</v>
      </c>
      <c r="N4896" s="36"/>
      <c r="O4896" s="36"/>
      <c r="P4896" s="37"/>
      <c r="Q4896" s="36"/>
      <c r="R4896" s="36"/>
      <c r="S4896" s="36" t="s">
        <v>23326</v>
      </c>
      <c r="T4896" s="28" t="s">
        <v>23327</v>
      </c>
      <c r="U4896" s="38" t="str">
        <f>HYPERLINK("https://www.ncbi.nlm.nih.gov/pubmed/25024560","PubMed")</f>
        <v>PubMed</v>
      </c>
      <c r="V4896" s="30"/>
      <c r="W4896" s="49"/>
      <c r="X4896" s="49"/>
      <c r="Y4896" s="35"/>
      <c r="Z4896" s="35"/>
      <c r="AA4896" s="35"/>
      <c r="AB4896" s="35"/>
      <c r="AC4896" s="35"/>
      <c r="AD4896" s="35"/>
      <c r="AE4896" s="35"/>
      <c r="AF4896" s="35"/>
      <c r="AG4896" s="35"/>
      <c r="AH4896" s="35"/>
      <c r="AI4896" s="35"/>
      <c r="AJ4896" s="35"/>
      <c r="AK4896" s="35"/>
      <c r="AL4896" s="35"/>
    </row>
    <row r="4897">
      <c r="A4897" s="1"/>
      <c r="B4897" s="19" t="s">
        <v>19332</v>
      </c>
      <c r="C4897" s="20" t="s">
        <v>23292</v>
      </c>
      <c r="D4897" s="47"/>
      <c r="E4897" s="22" t="s">
        <v>16111</v>
      </c>
      <c r="F4897" s="22" t="s">
        <v>41</v>
      </c>
      <c r="G4897" s="23">
        <v>2009.0</v>
      </c>
      <c r="H4897" s="22" t="s">
        <v>658</v>
      </c>
      <c r="I4897" s="24" t="s">
        <v>23328</v>
      </c>
      <c r="J4897" s="22" t="s">
        <v>23329</v>
      </c>
      <c r="K4897" s="22"/>
      <c r="L4897" s="36" t="s">
        <v>23062</v>
      </c>
      <c r="M4897" s="36">
        <v>40.0</v>
      </c>
      <c r="N4897" s="36"/>
      <c r="O4897" s="36"/>
      <c r="P4897" s="37" t="s">
        <v>95</v>
      </c>
      <c r="Q4897" s="36"/>
      <c r="R4897" s="36" t="s">
        <v>16594</v>
      </c>
      <c r="S4897" s="36" t="s">
        <v>23330</v>
      </c>
      <c r="T4897" s="41" t="s">
        <v>23331</v>
      </c>
      <c r="U4897" s="38" t="str">
        <f>HYPERLINK("https://www.ncbi.nlm.nih.gov/pubmed/19514815","PubMed")</f>
        <v>PubMed</v>
      </c>
      <c r="V4897" s="30"/>
      <c r="W4897" s="49"/>
      <c r="X4897" s="49"/>
      <c r="Y4897" s="35"/>
      <c r="Z4897" s="35"/>
      <c r="AA4897" s="35"/>
      <c r="AB4897" s="35"/>
      <c r="AC4897" s="35"/>
      <c r="AD4897" s="35"/>
      <c r="AE4897" s="35"/>
      <c r="AF4897" s="35"/>
      <c r="AG4897" s="35"/>
      <c r="AH4897" s="35"/>
      <c r="AI4897" s="35"/>
      <c r="AJ4897" s="35"/>
      <c r="AK4897" s="35"/>
      <c r="AL4897" s="35"/>
    </row>
    <row r="4898">
      <c r="A4898" s="1"/>
      <c r="B4898" s="75" t="s">
        <v>19332</v>
      </c>
      <c r="C4898" s="20" t="s">
        <v>23332</v>
      </c>
      <c r="D4898" s="47"/>
      <c r="E4898" s="22" t="s">
        <v>23333</v>
      </c>
      <c r="F4898" s="22" t="s">
        <v>2028</v>
      </c>
      <c r="G4898" s="23">
        <v>2023.0</v>
      </c>
      <c r="H4898" s="22" t="s">
        <v>12502</v>
      </c>
      <c r="I4898" s="24" t="s">
        <v>23334</v>
      </c>
      <c r="J4898" s="22" t="s">
        <v>23335</v>
      </c>
      <c r="K4898" s="22" t="s">
        <v>23336</v>
      </c>
      <c r="L4898" s="36">
        <v>980.0</v>
      </c>
      <c r="M4898" s="36">
        <v>200.0</v>
      </c>
      <c r="N4898" s="36"/>
      <c r="O4898" s="36"/>
      <c r="P4898" s="37"/>
      <c r="Q4898" s="36"/>
      <c r="R4898" s="36"/>
      <c r="S4898" s="36" t="s">
        <v>20259</v>
      </c>
      <c r="T4898" s="42" t="s">
        <v>23337</v>
      </c>
      <c r="U4898" s="38" t="s">
        <v>61</v>
      </c>
      <c r="V4898" s="30"/>
      <c r="W4898" s="49"/>
      <c r="X4898" s="49"/>
      <c r="Y4898" s="35"/>
      <c r="Z4898" s="35"/>
      <c r="AA4898" s="35"/>
      <c r="AB4898" s="35"/>
      <c r="AC4898" s="35"/>
      <c r="AD4898" s="35"/>
      <c r="AE4898" s="35"/>
      <c r="AF4898" s="35"/>
      <c r="AG4898" s="35"/>
      <c r="AH4898" s="35"/>
      <c r="AI4898" s="35"/>
      <c r="AJ4898" s="35"/>
      <c r="AK4898" s="35"/>
      <c r="AL4898" s="35"/>
    </row>
    <row r="4899">
      <c r="A4899" s="1"/>
      <c r="B4899" s="75" t="s">
        <v>19332</v>
      </c>
      <c r="C4899" s="20" t="s">
        <v>23332</v>
      </c>
      <c r="D4899" s="47"/>
      <c r="E4899" s="22" t="s">
        <v>23338</v>
      </c>
      <c r="F4899" s="22" t="s">
        <v>23339</v>
      </c>
      <c r="G4899" s="23">
        <v>2023.0</v>
      </c>
      <c r="H4899" s="22" t="s">
        <v>147</v>
      </c>
      <c r="I4899" s="24" t="s">
        <v>23340</v>
      </c>
      <c r="J4899" s="22" t="s">
        <v>1078</v>
      </c>
      <c r="K4899" s="22"/>
      <c r="L4899" s="105" t="s">
        <v>23341</v>
      </c>
      <c r="M4899" s="44"/>
      <c r="N4899" s="44"/>
      <c r="O4899" s="44"/>
      <c r="P4899" s="44"/>
      <c r="Q4899" s="44"/>
      <c r="R4899" s="44"/>
      <c r="S4899" s="44"/>
      <c r="T4899" s="45"/>
      <c r="U4899" s="38" t="s">
        <v>61</v>
      </c>
      <c r="V4899" s="30"/>
      <c r="W4899" s="49"/>
      <c r="X4899" s="49"/>
      <c r="Y4899" s="35"/>
      <c r="Z4899" s="35"/>
      <c r="AA4899" s="35"/>
      <c r="AB4899" s="35"/>
      <c r="AC4899" s="35"/>
      <c r="AD4899" s="35"/>
      <c r="AE4899" s="35"/>
      <c r="AF4899" s="35"/>
      <c r="AG4899" s="35"/>
      <c r="AH4899" s="35"/>
      <c r="AI4899" s="35"/>
      <c r="AJ4899" s="35"/>
      <c r="AK4899" s="35"/>
      <c r="AL4899" s="35"/>
    </row>
    <row r="4900">
      <c r="A4900" s="1"/>
      <c r="B4900" s="75" t="s">
        <v>19332</v>
      </c>
      <c r="C4900" s="20" t="s">
        <v>23332</v>
      </c>
      <c r="D4900" s="47"/>
      <c r="E4900" s="22" t="s">
        <v>539</v>
      </c>
      <c r="F4900" s="22" t="s">
        <v>540</v>
      </c>
      <c r="G4900" s="23">
        <v>2022.0</v>
      </c>
      <c r="H4900" s="22" t="s">
        <v>2271</v>
      </c>
      <c r="I4900" s="24" t="s">
        <v>23342</v>
      </c>
      <c r="J4900" s="22" t="s">
        <v>2273</v>
      </c>
      <c r="K4900" s="22"/>
      <c r="L4900" s="36" t="s">
        <v>23343</v>
      </c>
      <c r="M4900" s="36"/>
      <c r="N4900" s="36"/>
      <c r="O4900" s="36"/>
      <c r="P4900" s="37"/>
      <c r="Q4900" s="36"/>
      <c r="R4900" s="36"/>
      <c r="S4900" s="36"/>
      <c r="T4900" s="54" t="s">
        <v>23344</v>
      </c>
      <c r="U4900" s="29" t="s">
        <v>61</v>
      </c>
      <c r="V4900" s="30"/>
      <c r="W4900" s="49"/>
      <c r="X4900" s="49"/>
      <c r="Y4900" s="35"/>
      <c r="Z4900" s="35"/>
      <c r="AA4900" s="35"/>
      <c r="AB4900" s="35"/>
      <c r="AC4900" s="35"/>
      <c r="AD4900" s="35"/>
      <c r="AE4900" s="35"/>
      <c r="AF4900" s="35"/>
      <c r="AG4900" s="35"/>
      <c r="AH4900" s="35"/>
      <c r="AI4900" s="35"/>
      <c r="AJ4900" s="35"/>
      <c r="AK4900" s="35"/>
      <c r="AL4900" s="35"/>
    </row>
    <row r="4901">
      <c r="A4901" s="1"/>
      <c r="B4901" s="75" t="s">
        <v>19332</v>
      </c>
      <c r="C4901" s="20" t="s">
        <v>23332</v>
      </c>
      <c r="D4901" s="47"/>
      <c r="E4901" s="22" t="s">
        <v>23345</v>
      </c>
      <c r="F4901" s="22" t="s">
        <v>19708</v>
      </c>
      <c r="G4901" s="23">
        <v>2019.0</v>
      </c>
      <c r="H4901" s="22" t="s">
        <v>2375</v>
      </c>
      <c r="I4901" s="24" t="s">
        <v>23346</v>
      </c>
      <c r="J4901" s="22" t="s">
        <v>23347</v>
      </c>
      <c r="K4901" s="22"/>
      <c r="L4901" s="36">
        <v>980.0</v>
      </c>
      <c r="M4901" s="36">
        <v>50.0</v>
      </c>
      <c r="N4901" s="36"/>
      <c r="O4901" s="36"/>
      <c r="P4901" s="37" t="s">
        <v>254</v>
      </c>
      <c r="Q4901" s="36"/>
      <c r="R4901" s="36"/>
      <c r="S4901" s="36" t="s">
        <v>23348</v>
      </c>
      <c r="T4901" s="54" t="s">
        <v>23349</v>
      </c>
      <c r="U4901" s="38" t="str">
        <f>HYPERLINK("https://www.ncbi.nlm.nih.gov/pubmed/31993275","PubMed")</f>
        <v>PubMed</v>
      </c>
      <c r="V4901" s="30"/>
      <c r="W4901" s="49"/>
      <c r="X4901" s="49"/>
      <c r="Y4901" s="35"/>
      <c r="Z4901" s="35"/>
      <c r="AA4901" s="35"/>
      <c r="AB4901" s="35"/>
      <c r="AC4901" s="35"/>
      <c r="AD4901" s="35"/>
      <c r="AE4901" s="35"/>
      <c r="AF4901" s="35"/>
      <c r="AG4901" s="35"/>
      <c r="AH4901" s="35"/>
      <c r="AI4901" s="35"/>
      <c r="AJ4901" s="35"/>
      <c r="AK4901" s="35"/>
      <c r="AL4901" s="35"/>
    </row>
    <row r="4902">
      <c r="A4902" s="1"/>
      <c r="B4902" s="19" t="s">
        <v>19332</v>
      </c>
      <c r="C4902" s="20" t="s">
        <v>23332</v>
      </c>
      <c r="D4902" s="47"/>
      <c r="E4902" s="22" t="s">
        <v>23350</v>
      </c>
      <c r="F4902" s="22" t="s">
        <v>23351</v>
      </c>
      <c r="G4902" s="23">
        <v>2019.0</v>
      </c>
      <c r="H4902" s="22" t="s">
        <v>21594</v>
      </c>
      <c r="I4902" s="24" t="s">
        <v>23352</v>
      </c>
      <c r="J4902" s="22" t="s">
        <v>23353</v>
      </c>
      <c r="K4902" s="22"/>
      <c r="L4902" s="36">
        <v>810.0</v>
      </c>
      <c r="M4902" s="36">
        <v>100.0</v>
      </c>
      <c r="N4902" s="36" t="s">
        <v>58</v>
      </c>
      <c r="O4902" s="36" t="s">
        <v>58</v>
      </c>
      <c r="P4902" s="37" t="s">
        <v>58</v>
      </c>
      <c r="Q4902" s="36" t="s">
        <v>58</v>
      </c>
      <c r="R4902" s="36">
        <v>300.0</v>
      </c>
      <c r="S4902" s="36">
        <v>1.0</v>
      </c>
      <c r="T4902" s="102" t="s">
        <v>23354</v>
      </c>
      <c r="U4902" s="38" t="str">
        <f>HYPERLINK("https://www.ncbi.nlm.nih.gov/pubmed/30692744","PubMed")</f>
        <v>PubMed</v>
      </c>
      <c r="V4902" s="30"/>
      <c r="W4902" s="49"/>
      <c r="X4902" s="49"/>
      <c r="Y4902" s="35"/>
      <c r="Z4902" s="35"/>
      <c r="AA4902" s="35"/>
      <c r="AB4902" s="35"/>
      <c r="AC4902" s="35"/>
      <c r="AD4902" s="35"/>
      <c r="AE4902" s="35"/>
      <c r="AF4902" s="35"/>
      <c r="AG4902" s="35"/>
      <c r="AH4902" s="35"/>
      <c r="AI4902" s="35"/>
      <c r="AJ4902" s="35"/>
      <c r="AK4902" s="35"/>
      <c r="AL4902" s="35"/>
    </row>
    <row r="4903">
      <c r="A4903" s="18" t="s">
        <v>38</v>
      </c>
      <c r="B4903" s="19" t="s">
        <v>19332</v>
      </c>
      <c r="C4903" s="20" t="s">
        <v>23332</v>
      </c>
      <c r="D4903" s="47"/>
      <c r="E4903" s="22" t="s">
        <v>23355</v>
      </c>
      <c r="F4903" s="22" t="s">
        <v>23356</v>
      </c>
      <c r="G4903" s="23">
        <v>2018.0</v>
      </c>
      <c r="H4903" s="22" t="s">
        <v>21594</v>
      </c>
      <c r="I4903" s="24" t="s">
        <v>23357</v>
      </c>
      <c r="J4903" s="22" t="s">
        <v>23358</v>
      </c>
      <c r="K4903" s="22"/>
      <c r="L4903" s="36">
        <v>940.0</v>
      </c>
      <c r="M4903" s="36">
        <v>100.0</v>
      </c>
      <c r="N4903" s="36" t="s">
        <v>58</v>
      </c>
      <c r="O4903" s="36" t="s">
        <v>58</v>
      </c>
      <c r="P4903" s="37" t="s">
        <v>254</v>
      </c>
      <c r="Q4903" s="36" t="s">
        <v>58</v>
      </c>
      <c r="R4903" s="36">
        <v>40.0</v>
      </c>
      <c r="S4903" s="36" t="s">
        <v>19601</v>
      </c>
      <c r="T4903" s="54" t="s">
        <v>23359</v>
      </c>
      <c r="U4903" s="38" t="str">
        <f>HYPERLINK("https://www.ncbi.nlm.nih.gov/pubmed/30210191","PubMed")</f>
        <v>PubMed</v>
      </c>
      <c r="V4903" s="30"/>
      <c r="W4903" s="49"/>
      <c r="X4903" s="49"/>
      <c r="Y4903" s="35"/>
      <c r="Z4903" s="35"/>
      <c r="AA4903" s="35"/>
      <c r="AB4903" s="35"/>
      <c r="AC4903" s="35"/>
      <c r="AD4903" s="35"/>
      <c r="AE4903" s="35"/>
      <c r="AF4903" s="35"/>
      <c r="AG4903" s="35"/>
      <c r="AH4903" s="35"/>
      <c r="AI4903" s="35"/>
      <c r="AJ4903" s="35"/>
      <c r="AK4903" s="35"/>
      <c r="AL4903" s="35"/>
    </row>
    <row r="4904">
      <c r="A4904" s="1"/>
      <c r="B4904" s="19" t="s">
        <v>19332</v>
      </c>
      <c r="C4904" s="20" t="s">
        <v>23332</v>
      </c>
      <c r="D4904" s="47"/>
      <c r="E4904" s="22" t="s">
        <v>23360</v>
      </c>
      <c r="F4904" s="22" t="s">
        <v>1576</v>
      </c>
      <c r="G4904" s="23">
        <v>2006.0</v>
      </c>
      <c r="H4904" s="22" t="s">
        <v>658</v>
      </c>
      <c r="I4904" s="24" t="s">
        <v>23361</v>
      </c>
      <c r="J4904" s="22" t="s">
        <v>23362</v>
      </c>
      <c r="K4904" s="22"/>
      <c r="L4904" s="36">
        <v>685.0</v>
      </c>
      <c r="M4904" s="36">
        <v>50.0</v>
      </c>
      <c r="N4904" s="36"/>
      <c r="O4904" s="36"/>
      <c r="P4904" s="37" t="s">
        <v>254</v>
      </c>
      <c r="Q4904" s="36"/>
      <c r="R4904" s="36"/>
      <c r="S4904" s="36"/>
      <c r="T4904" s="28" t="s">
        <v>23363</v>
      </c>
      <c r="U4904" s="38" t="str">
        <f>HYPERLINK("https://www.ncbi.nlm.nih.gov/pubmed/17069488","PubMed")</f>
        <v>PubMed</v>
      </c>
      <c r="V4904" s="30"/>
      <c r="W4904" s="49"/>
      <c r="X4904" s="49"/>
      <c r="Y4904" s="35"/>
      <c r="Z4904" s="35"/>
      <c r="AA4904" s="35"/>
      <c r="AB4904" s="35"/>
      <c r="AC4904" s="35"/>
      <c r="AD4904" s="35"/>
      <c r="AE4904" s="35"/>
      <c r="AF4904" s="35"/>
      <c r="AG4904" s="35"/>
      <c r="AH4904" s="35"/>
      <c r="AI4904" s="35"/>
      <c r="AJ4904" s="35"/>
      <c r="AK4904" s="35"/>
      <c r="AL4904" s="35"/>
    </row>
    <row r="4905">
      <c r="A4905" s="1"/>
      <c r="B4905" s="19" t="s">
        <v>19332</v>
      </c>
      <c r="C4905" s="20" t="s">
        <v>23332</v>
      </c>
      <c r="D4905" s="47"/>
      <c r="E4905" s="22" t="s">
        <v>5263</v>
      </c>
      <c r="F4905" s="22" t="s">
        <v>400</v>
      </c>
      <c r="G4905" s="23">
        <v>2004.0</v>
      </c>
      <c r="H4905" s="22" t="s">
        <v>611</v>
      </c>
      <c r="I4905" s="24" t="s">
        <v>23364</v>
      </c>
      <c r="J4905" s="22" t="s">
        <v>23365</v>
      </c>
      <c r="K4905" s="22"/>
      <c r="L4905" s="36">
        <v>670.0</v>
      </c>
      <c r="M4905" s="36"/>
      <c r="N4905" s="36"/>
      <c r="O4905" s="36"/>
      <c r="P4905" s="37" t="s">
        <v>254</v>
      </c>
      <c r="Q4905" s="36"/>
      <c r="R4905" s="36"/>
      <c r="S4905" s="36" t="s">
        <v>23366</v>
      </c>
      <c r="T4905" s="41" t="s">
        <v>23367</v>
      </c>
      <c r="U4905" s="38" t="str">
        <f>HYPERLINK("https://www.ncbi.nlm.nih.gov/pubmed/21365136","PubMed")</f>
        <v>PubMed</v>
      </c>
      <c r="V4905" s="30"/>
      <c r="W4905" s="49"/>
      <c r="X4905" s="49"/>
      <c r="Y4905" s="35"/>
      <c r="Z4905" s="35"/>
      <c r="AA4905" s="35"/>
      <c r="AB4905" s="35"/>
      <c r="AC4905" s="35"/>
      <c r="AD4905" s="35"/>
      <c r="AE4905" s="35"/>
      <c r="AF4905" s="35"/>
      <c r="AG4905" s="35"/>
      <c r="AH4905" s="35"/>
      <c r="AI4905" s="35"/>
      <c r="AJ4905" s="35"/>
      <c r="AK4905" s="35"/>
      <c r="AL4905" s="35"/>
    </row>
    <row r="4906">
      <c r="A4906" s="1"/>
      <c r="B4906" s="19" t="s">
        <v>19332</v>
      </c>
      <c r="C4906" s="20" t="s">
        <v>23332</v>
      </c>
      <c r="D4906" s="47"/>
      <c r="E4906" s="22" t="s">
        <v>5263</v>
      </c>
      <c r="F4906" s="22" t="s">
        <v>241</v>
      </c>
      <c r="G4906" s="23">
        <v>2004.0</v>
      </c>
      <c r="H4906" s="22" t="s">
        <v>53</v>
      </c>
      <c r="I4906" s="24" t="s">
        <v>23368</v>
      </c>
      <c r="J4906" s="22" t="s">
        <v>23369</v>
      </c>
      <c r="K4906" s="22"/>
      <c r="L4906" s="36"/>
      <c r="M4906" s="36"/>
      <c r="N4906" s="36"/>
      <c r="O4906" s="36"/>
      <c r="P4906" s="37"/>
      <c r="Q4906" s="36"/>
      <c r="R4906" s="36"/>
      <c r="S4906" s="36" t="s">
        <v>23366</v>
      </c>
      <c r="T4906" s="41" t="s">
        <v>23370</v>
      </c>
      <c r="U4906" s="38" t="str">
        <f>HYPERLINK("https://www.ncbi.nlm.nih.gov/pubmed/15611961","PubMed")</f>
        <v>PubMed</v>
      </c>
      <c r="V4906" s="30"/>
      <c r="W4906" s="49"/>
      <c r="X4906" s="49"/>
      <c r="Y4906" s="35"/>
      <c r="Z4906" s="35"/>
      <c r="AA4906" s="35"/>
      <c r="AB4906" s="35"/>
      <c r="AC4906" s="35"/>
      <c r="AD4906" s="35"/>
      <c r="AE4906" s="35"/>
      <c r="AF4906" s="35"/>
      <c r="AG4906" s="35"/>
      <c r="AH4906" s="35"/>
      <c r="AI4906" s="35"/>
      <c r="AJ4906" s="35"/>
      <c r="AK4906" s="35"/>
      <c r="AL4906" s="35"/>
    </row>
    <row r="4907">
      <c r="A4907" s="1"/>
      <c r="B4907" s="19" t="s">
        <v>19332</v>
      </c>
      <c r="C4907" s="20" t="s">
        <v>23371</v>
      </c>
      <c r="D4907" s="47"/>
      <c r="E4907" s="22" t="s">
        <v>23372</v>
      </c>
      <c r="F4907" s="22" t="s">
        <v>8597</v>
      </c>
      <c r="G4907" s="23">
        <v>1991.0</v>
      </c>
      <c r="H4907" s="22" t="s">
        <v>53</v>
      </c>
      <c r="I4907" s="24" t="s">
        <v>23373</v>
      </c>
      <c r="J4907" s="22" t="s">
        <v>2049</v>
      </c>
      <c r="K4907" s="22"/>
      <c r="L4907" s="36">
        <v>830.0</v>
      </c>
      <c r="M4907" s="36">
        <v>30.0</v>
      </c>
      <c r="N4907" s="129"/>
      <c r="O4907" s="36"/>
      <c r="P4907" s="37" t="s">
        <v>2555</v>
      </c>
      <c r="Q4907" s="36"/>
      <c r="R4907" s="36"/>
      <c r="S4907" s="36"/>
      <c r="T4907" s="41" t="s">
        <v>23374</v>
      </c>
      <c r="U4907" s="38" t="str">
        <f>HYPERLINK("https://www.ncbi.nlm.nih.gov/pubmed/1816482","PubMed")</f>
        <v>PubMed</v>
      </c>
      <c r="V4907" s="30"/>
      <c r="W4907" s="49"/>
      <c r="X4907" s="49"/>
      <c r="Y4907" s="35"/>
      <c r="Z4907" s="35"/>
      <c r="AA4907" s="35"/>
      <c r="AB4907" s="35"/>
      <c r="AC4907" s="35"/>
      <c r="AD4907" s="35"/>
      <c r="AE4907" s="35"/>
      <c r="AF4907" s="35"/>
      <c r="AG4907" s="35"/>
      <c r="AH4907" s="35"/>
      <c r="AI4907" s="35"/>
      <c r="AJ4907" s="35"/>
      <c r="AK4907" s="35"/>
      <c r="AL4907" s="35"/>
    </row>
    <row r="4908">
      <c r="A4908" s="1"/>
      <c r="B4908" s="19" t="s">
        <v>19332</v>
      </c>
      <c r="C4908" s="20" t="s">
        <v>23371</v>
      </c>
      <c r="D4908" s="47"/>
      <c r="E4908" s="22" t="s">
        <v>23372</v>
      </c>
      <c r="F4908" s="22" t="s">
        <v>8597</v>
      </c>
      <c r="G4908" s="23">
        <v>1991.0</v>
      </c>
      <c r="H4908" s="22" t="s">
        <v>15324</v>
      </c>
      <c r="I4908" s="24" t="s">
        <v>23375</v>
      </c>
      <c r="J4908" s="22" t="s">
        <v>2049</v>
      </c>
      <c r="K4908" s="22"/>
      <c r="L4908" s="36">
        <v>830.0</v>
      </c>
      <c r="M4908" s="36">
        <v>30.0</v>
      </c>
      <c r="N4908" s="129"/>
      <c r="O4908" s="36"/>
      <c r="P4908" s="37" t="s">
        <v>2555</v>
      </c>
      <c r="Q4908" s="36"/>
      <c r="R4908" s="36"/>
      <c r="S4908" s="36"/>
      <c r="T4908" s="41" t="s">
        <v>23376</v>
      </c>
      <c r="U4908" s="38" t="str">
        <f>HYPERLINK("https://www.ncbi.nlm.nih.gov/pubmed/1960260","PubMed")</f>
        <v>PubMed</v>
      </c>
      <c r="V4908" s="30"/>
      <c r="W4908" s="49"/>
      <c r="X4908" s="49"/>
      <c r="Y4908" s="35"/>
      <c r="Z4908" s="35"/>
      <c r="AA4908" s="35"/>
      <c r="AB4908" s="35"/>
      <c r="AC4908" s="35"/>
      <c r="AD4908" s="35"/>
      <c r="AE4908" s="35"/>
      <c r="AF4908" s="35"/>
      <c r="AG4908" s="35"/>
      <c r="AH4908" s="35"/>
      <c r="AI4908" s="35"/>
      <c r="AJ4908" s="35"/>
      <c r="AK4908" s="35"/>
      <c r="AL4908" s="35"/>
    </row>
    <row r="4909">
      <c r="A4909" s="1"/>
      <c r="B4909" s="75" t="s">
        <v>19332</v>
      </c>
      <c r="C4909" s="76" t="s">
        <v>23377</v>
      </c>
      <c r="D4909" s="47"/>
      <c r="E4909" s="22" t="s">
        <v>10002</v>
      </c>
      <c r="F4909" s="22" t="s">
        <v>2196</v>
      </c>
      <c r="G4909" s="23">
        <v>2019.0</v>
      </c>
      <c r="H4909" s="22" t="s">
        <v>702</v>
      </c>
      <c r="I4909" s="24" t="s">
        <v>23378</v>
      </c>
      <c r="J4909" s="22" t="s">
        <v>23379</v>
      </c>
      <c r="K4909" s="22" t="s">
        <v>23380</v>
      </c>
      <c r="L4909" s="36" t="s">
        <v>23381</v>
      </c>
      <c r="M4909" s="36"/>
      <c r="N4909" s="36"/>
      <c r="O4909" s="36"/>
      <c r="P4909" s="37"/>
      <c r="Q4909" s="36"/>
      <c r="R4909" s="36">
        <v>1800.0</v>
      </c>
      <c r="S4909" s="36" t="s">
        <v>2099</v>
      </c>
      <c r="T4909" s="54" t="s">
        <v>23382</v>
      </c>
      <c r="U4909" s="38" t="str">
        <f>HYPERLINK("https://www.ncbi.nlm.nih.gov/pubmed/31358401","PubMed")</f>
        <v>PubMed</v>
      </c>
      <c r="V4909" s="30"/>
      <c r="W4909" s="49"/>
      <c r="X4909" s="49"/>
      <c r="Y4909" s="35"/>
      <c r="Z4909" s="35"/>
      <c r="AA4909" s="35"/>
      <c r="AB4909" s="35"/>
      <c r="AC4909" s="35"/>
      <c r="AD4909" s="35"/>
      <c r="AE4909" s="35"/>
      <c r="AF4909" s="35"/>
      <c r="AG4909" s="35"/>
      <c r="AH4909" s="35"/>
      <c r="AI4909" s="35"/>
      <c r="AJ4909" s="35"/>
      <c r="AK4909" s="35"/>
      <c r="AL4909" s="35"/>
    </row>
    <row r="4910">
      <c r="A4910" s="1"/>
      <c r="B4910" s="75" t="s">
        <v>19332</v>
      </c>
      <c r="C4910" s="76" t="s">
        <v>23383</v>
      </c>
      <c r="D4910" s="47"/>
      <c r="E4910" s="22" t="s">
        <v>23384</v>
      </c>
      <c r="F4910" s="22" t="s">
        <v>23385</v>
      </c>
      <c r="G4910" s="23">
        <v>2015.0</v>
      </c>
      <c r="H4910" s="22" t="s">
        <v>19765</v>
      </c>
      <c r="I4910" s="24" t="s">
        <v>23386</v>
      </c>
      <c r="J4910" s="22" t="s">
        <v>23387</v>
      </c>
      <c r="K4910" s="22" t="s">
        <v>23388</v>
      </c>
      <c r="L4910" s="36">
        <v>810.0</v>
      </c>
      <c r="M4910" s="36">
        <v>300.0</v>
      </c>
      <c r="N4910" s="36"/>
      <c r="O4910" s="36"/>
      <c r="P4910" s="37"/>
      <c r="Q4910" s="36"/>
      <c r="R4910" s="36"/>
      <c r="S4910" s="36" t="s">
        <v>9333</v>
      </c>
      <c r="T4910" s="54" t="s">
        <v>23389</v>
      </c>
      <c r="U4910" s="29" t="s">
        <v>61</v>
      </c>
      <c r="V4910" s="30"/>
      <c r="W4910" s="49"/>
      <c r="X4910" s="49"/>
      <c r="Y4910" s="35"/>
      <c r="Z4910" s="35"/>
      <c r="AA4910" s="35"/>
      <c r="AB4910" s="35"/>
      <c r="AC4910" s="35"/>
      <c r="AD4910" s="35"/>
      <c r="AE4910" s="35"/>
      <c r="AF4910" s="35"/>
      <c r="AG4910" s="35"/>
      <c r="AH4910" s="35"/>
      <c r="AI4910" s="35"/>
      <c r="AJ4910" s="35"/>
      <c r="AK4910" s="35"/>
      <c r="AL4910" s="35"/>
    </row>
    <row r="4911">
      <c r="A4911" s="1"/>
      <c r="B4911" s="19" t="s">
        <v>19332</v>
      </c>
      <c r="C4911" s="76" t="s">
        <v>23390</v>
      </c>
      <c r="D4911" s="47"/>
      <c r="E4911" s="22" t="s">
        <v>7600</v>
      </c>
      <c r="F4911" s="22" t="s">
        <v>41</v>
      </c>
      <c r="G4911" s="23">
        <v>2023.0</v>
      </c>
      <c r="H4911" s="22" t="s">
        <v>147</v>
      </c>
      <c r="I4911" s="24" t="s">
        <v>21888</v>
      </c>
      <c r="J4911" s="22" t="s">
        <v>2273</v>
      </c>
      <c r="K4911" s="22"/>
      <c r="L4911" s="36">
        <v>808.0</v>
      </c>
      <c r="M4911" s="36"/>
      <c r="N4911" s="36"/>
      <c r="O4911" s="36">
        <v>3.0</v>
      </c>
      <c r="P4911" s="37" t="s">
        <v>2733</v>
      </c>
      <c r="Q4911" s="36"/>
      <c r="R4911" s="36"/>
      <c r="S4911" s="36"/>
      <c r="T4911" s="54" t="s">
        <v>21889</v>
      </c>
      <c r="U4911" s="38" t="s">
        <v>61</v>
      </c>
      <c r="V4911" s="30"/>
      <c r="W4911" s="49"/>
      <c r="X4911" s="49"/>
      <c r="Y4911" s="35"/>
      <c r="Z4911" s="35"/>
      <c r="AA4911" s="35"/>
      <c r="AB4911" s="35"/>
      <c r="AC4911" s="35"/>
      <c r="AD4911" s="35"/>
      <c r="AE4911" s="35"/>
      <c r="AF4911" s="35"/>
      <c r="AG4911" s="35"/>
      <c r="AH4911" s="35"/>
      <c r="AI4911" s="35"/>
      <c r="AJ4911" s="35"/>
      <c r="AK4911" s="35"/>
      <c r="AL4911" s="35"/>
    </row>
    <row r="4912">
      <c r="A4912" s="1" t="s">
        <v>38</v>
      </c>
      <c r="B4912" s="19" t="s">
        <v>19332</v>
      </c>
      <c r="C4912" s="20" t="s">
        <v>23391</v>
      </c>
      <c r="D4912" s="47"/>
      <c r="E4912" s="22" t="s">
        <v>23392</v>
      </c>
      <c r="F4912" s="22" t="s">
        <v>23393</v>
      </c>
      <c r="G4912" s="23">
        <v>2015.0</v>
      </c>
      <c r="H4912" s="22" t="s">
        <v>17533</v>
      </c>
      <c r="I4912" s="24" t="s">
        <v>23394</v>
      </c>
      <c r="J4912" s="22" t="s">
        <v>23395</v>
      </c>
      <c r="K4912" s="22"/>
      <c r="L4912" s="36">
        <v>810.0</v>
      </c>
      <c r="M4912" s="36"/>
      <c r="N4912" s="36"/>
      <c r="O4912" s="36"/>
      <c r="P4912" s="37"/>
      <c r="Q4912" s="36"/>
      <c r="R4912" s="36"/>
      <c r="S4912" s="36"/>
      <c r="T4912" s="28" t="s">
        <v>23396</v>
      </c>
      <c r="U4912" s="29" t="s">
        <v>61</v>
      </c>
      <c r="V4912" s="30"/>
      <c r="W4912" s="49"/>
      <c r="X4912" s="49"/>
      <c r="Y4912" s="35"/>
      <c r="Z4912" s="35"/>
      <c r="AA4912" s="35"/>
      <c r="AB4912" s="35"/>
      <c r="AC4912" s="35"/>
      <c r="AD4912" s="35"/>
      <c r="AE4912" s="35"/>
      <c r="AF4912" s="35"/>
      <c r="AG4912" s="35"/>
      <c r="AH4912" s="35"/>
      <c r="AI4912" s="35"/>
      <c r="AJ4912" s="35"/>
      <c r="AK4912" s="35"/>
      <c r="AL4912" s="35"/>
    </row>
    <row r="4913">
      <c r="A4913" s="1"/>
      <c r="B4913" s="19" t="s">
        <v>19332</v>
      </c>
      <c r="C4913" s="20" t="s">
        <v>23391</v>
      </c>
      <c r="D4913" s="47"/>
      <c r="E4913" s="22" t="s">
        <v>23397</v>
      </c>
      <c r="F4913" s="22" t="s">
        <v>1337</v>
      </c>
      <c r="G4913" s="23">
        <v>2013.0</v>
      </c>
      <c r="H4913" s="22" t="s">
        <v>23271</v>
      </c>
      <c r="I4913" s="24" t="s">
        <v>23398</v>
      </c>
      <c r="J4913" s="22" t="s">
        <v>23399</v>
      </c>
      <c r="K4913" s="22" t="s">
        <v>23400</v>
      </c>
      <c r="L4913" s="36">
        <v>810.0</v>
      </c>
      <c r="M4913" s="36"/>
      <c r="N4913" s="36"/>
      <c r="O4913" s="36"/>
      <c r="P4913" s="37"/>
      <c r="Q4913" s="36"/>
      <c r="R4913" s="36"/>
      <c r="S4913" s="36"/>
      <c r="T4913" s="42" t="s">
        <v>23401</v>
      </c>
      <c r="U4913" s="38" t="str">
        <f>HYPERLINK("http://www.ncbi.nlm.nih.gov/pubmed/22524327","PubMed")</f>
        <v>PubMed</v>
      </c>
      <c r="V4913" s="30"/>
      <c r="W4913" s="49"/>
      <c r="X4913" s="49"/>
      <c r="Y4913" s="35"/>
      <c r="Z4913" s="35"/>
      <c r="AA4913" s="35"/>
      <c r="AB4913" s="35"/>
      <c r="AC4913" s="35"/>
      <c r="AD4913" s="35"/>
      <c r="AE4913" s="35"/>
      <c r="AF4913" s="35"/>
      <c r="AG4913" s="35"/>
      <c r="AH4913" s="35"/>
      <c r="AI4913" s="35"/>
      <c r="AJ4913" s="35"/>
      <c r="AK4913" s="35"/>
      <c r="AL4913" s="35"/>
    </row>
    <row r="4914">
      <c r="A4914" s="1"/>
      <c r="B4914" s="19" t="s">
        <v>19332</v>
      </c>
      <c r="C4914" s="20" t="s">
        <v>23402</v>
      </c>
      <c r="D4914" s="47"/>
      <c r="E4914" s="22" t="s">
        <v>23403</v>
      </c>
      <c r="F4914" s="22" t="s">
        <v>1891</v>
      </c>
      <c r="G4914" s="23">
        <v>2019.0</v>
      </c>
      <c r="H4914" s="22" t="s">
        <v>1204</v>
      </c>
      <c r="I4914" s="24" t="s">
        <v>23404</v>
      </c>
      <c r="J4914" s="22" t="s">
        <v>23405</v>
      </c>
      <c r="K4914" s="22"/>
      <c r="L4914" s="36">
        <v>650.0</v>
      </c>
      <c r="M4914" s="36"/>
      <c r="N4914" s="36"/>
      <c r="O4914" s="36"/>
      <c r="P4914" s="37"/>
      <c r="Q4914" s="36"/>
      <c r="R4914" s="36"/>
      <c r="S4914" s="36"/>
      <c r="T4914" s="28" t="s">
        <v>23406</v>
      </c>
      <c r="U4914" s="38" t="str">
        <f>HYPERLINK("https://www.ncbi.nlm.nih.gov/pubmed/31058617","PubMed")</f>
        <v>PubMed</v>
      </c>
      <c r="V4914" s="30"/>
      <c r="W4914" s="156"/>
      <c r="X4914" s="49"/>
      <c r="Y4914" s="35"/>
      <c r="Z4914" s="35"/>
      <c r="AA4914" s="35"/>
      <c r="AB4914" s="35"/>
      <c r="AC4914" s="35"/>
      <c r="AD4914" s="35"/>
      <c r="AE4914" s="35"/>
      <c r="AF4914" s="35"/>
      <c r="AG4914" s="35"/>
      <c r="AH4914" s="35"/>
      <c r="AI4914" s="35"/>
      <c r="AJ4914" s="35"/>
      <c r="AK4914" s="35"/>
      <c r="AL4914" s="35"/>
    </row>
    <row r="4915">
      <c r="A4915" s="1"/>
      <c r="B4915" s="19" t="s">
        <v>19332</v>
      </c>
      <c r="C4915" s="20" t="s">
        <v>23407</v>
      </c>
      <c r="D4915" s="47"/>
      <c r="E4915" s="22" t="s">
        <v>23408</v>
      </c>
      <c r="F4915" s="22" t="s">
        <v>19727</v>
      </c>
      <c r="G4915" s="23">
        <v>2023.0</v>
      </c>
      <c r="H4915" s="22" t="s">
        <v>477</v>
      </c>
      <c r="I4915" s="24" t="s">
        <v>23409</v>
      </c>
      <c r="J4915" s="22" t="s">
        <v>1078</v>
      </c>
      <c r="K4915" s="22"/>
      <c r="L4915" s="105" t="s">
        <v>23410</v>
      </c>
      <c r="M4915" s="44"/>
      <c r="N4915" s="44"/>
      <c r="O4915" s="44"/>
      <c r="P4915" s="44"/>
      <c r="Q4915" s="44"/>
      <c r="R4915" s="44"/>
      <c r="S4915" s="44"/>
      <c r="T4915" s="45"/>
      <c r="U4915" s="38" t="s">
        <v>61</v>
      </c>
      <c r="V4915" s="30"/>
      <c r="W4915" s="156"/>
      <c r="X4915" s="49"/>
      <c r="Y4915" s="35"/>
      <c r="Z4915" s="35"/>
      <c r="AA4915" s="35"/>
      <c r="AB4915" s="35"/>
      <c r="AC4915" s="35"/>
      <c r="AD4915" s="35"/>
      <c r="AE4915" s="35"/>
      <c r="AF4915" s="35"/>
      <c r="AG4915" s="35"/>
      <c r="AH4915" s="35"/>
      <c r="AI4915" s="35"/>
      <c r="AJ4915" s="35"/>
      <c r="AK4915" s="35"/>
      <c r="AL4915" s="35"/>
    </row>
    <row r="4916">
      <c r="A4916" s="1"/>
      <c r="B4916" s="19" t="s">
        <v>19332</v>
      </c>
      <c r="C4916" s="20" t="s">
        <v>23407</v>
      </c>
      <c r="D4916" s="47"/>
      <c r="E4916" s="22" t="s">
        <v>23411</v>
      </c>
      <c r="F4916" s="22" t="s">
        <v>41</v>
      </c>
      <c r="G4916" s="23">
        <v>2023.0</v>
      </c>
      <c r="H4916" s="22" t="s">
        <v>42</v>
      </c>
      <c r="I4916" s="24" t="s">
        <v>23412</v>
      </c>
      <c r="J4916" s="22" t="s">
        <v>23413</v>
      </c>
      <c r="K4916" s="22"/>
      <c r="L4916" s="36">
        <v>940.0</v>
      </c>
      <c r="M4916" s="36"/>
      <c r="N4916" s="36"/>
      <c r="O4916" s="36"/>
      <c r="P4916" s="37"/>
      <c r="Q4916" s="36"/>
      <c r="R4916" s="36"/>
      <c r="S4916" s="36"/>
      <c r="T4916" s="28" t="s">
        <v>23414</v>
      </c>
      <c r="U4916" s="38" t="s">
        <v>61</v>
      </c>
      <c r="V4916" s="30"/>
      <c r="W4916" s="156"/>
      <c r="X4916" s="49"/>
      <c r="Y4916" s="35"/>
      <c r="Z4916" s="35"/>
      <c r="AA4916" s="35"/>
      <c r="AB4916" s="35"/>
      <c r="AC4916" s="35"/>
      <c r="AD4916" s="35"/>
      <c r="AE4916" s="35"/>
      <c r="AF4916" s="35"/>
      <c r="AG4916" s="35"/>
      <c r="AH4916" s="35"/>
      <c r="AI4916" s="35"/>
      <c r="AJ4916" s="35"/>
      <c r="AK4916" s="35"/>
      <c r="AL4916" s="35"/>
    </row>
    <row r="4917">
      <c r="A4917" s="1"/>
      <c r="B4917" s="19" t="s">
        <v>19332</v>
      </c>
      <c r="C4917" s="20" t="s">
        <v>23407</v>
      </c>
      <c r="D4917" s="47"/>
      <c r="E4917" s="22" t="s">
        <v>23415</v>
      </c>
      <c r="F4917" s="22" t="s">
        <v>8008</v>
      </c>
      <c r="G4917" s="23">
        <v>2022.0</v>
      </c>
      <c r="H4917" s="22" t="s">
        <v>13752</v>
      </c>
      <c r="I4917" s="24" t="s">
        <v>23416</v>
      </c>
      <c r="J4917" s="22" t="s">
        <v>1078</v>
      </c>
      <c r="K4917" s="22"/>
      <c r="L4917" s="195" t="s">
        <v>23417</v>
      </c>
      <c r="M4917" s="44"/>
      <c r="N4917" s="44"/>
      <c r="O4917" s="44"/>
      <c r="P4917" s="44"/>
      <c r="Q4917" s="44"/>
      <c r="R4917" s="44"/>
      <c r="S4917" s="44"/>
      <c r="T4917" s="45"/>
      <c r="U4917" s="29" t="s">
        <v>61</v>
      </c>
      <c r="V4917" s="30"/>
      <c r="W4917" s="49"/>
      <c r="X4917" s="49"/>
      <c r="Y4917" s="35"/>
      <c r="Z4917" s="35"/>
      <c r="AA4917" s="35"/>
      <c r="AB4917" s="35"/>
      <c r="AC4917" s="35"/>
      <c r="AD4917" s="35"/>
      <c r="AE4917" s="35"/>
      <c r="AF4917" s="35"/>
      <c r="AG4917" s="35"/>
      <c r="AH4917" s="35"/>
      <c r="AI4917" s="35"/>
      <c r="AJ4917" s="35"/>
      <c r="AK4917" s="35"/>
      <c r="AL4917" s="35"/>
    </row>
    <row r="4918">
      <c r="A4918" s="1"/>
      <c r="B4918" s="19" t="s">
        <v>19332</v>
      </c>
      <c r="C4918" s="20" t="s">
        <v>23407</v>
      </c>
      <c r="D4918" s="47"/>
      <c r="E4918" s="22" t="s">
        <v>23418</v>
      </c>
      <c r="F4918" s="22" t="s">
        <v>14062</v>
      </c>
      <c r="G4918" s="23">
        <v>2021.0</v>
      </c>
      <c r="H4918" s="22" t="s">
        <v>91</v>
      </c>
      <c r="I4918" s="24" t="s">
        <v>23419</v>
      </c>
      <c r="J4918" s="22" t="s">
        <v>649</v>
      </c>
      <c r="K4918" s="22"/>
      <c r="L4918" s="195" t="s">
        <v>23420</v>
      </c>
      <c r="M4918" s="44"/>
      <c r="N4918" s="44"/>
      <c r="O4918" s="44"/>
      <c r="P4918" s="44"/>
      <c r="Q4918" s="44"/>
      <c r="R4918" s="44"/>
      <c r="S4918" s="44"/>
      <c r="T4918" s="45"/>
      <c r="U4918" s="29" t="s">
        <v>61</v>
      </c>
      <c r="V4918" s="30"/>
      <c r="W4918" s="49"/>
      <c r="X4918" s="49"/>
      <c r="Y4918" s="35"/>
      <c r="Z4918" s="35"/>
      <c r="AA4918" s="35"/>
      <c r="AB4918" s="35"/>
      <c r="AC4918" s="35"/>
      <c r="AD4918" s="35"/>
      <c r="AE4918" s="35"/>
      <c r="AF4918" s="35"/>
      <c r="AG4918" s="35"/>
      <c r="AH4918" s="35"/>
      <c r="AI4918" s="35"/>
      <c r="AJ4918" s="35"/>
      <c r="AK4918" s="35"/>
      <c r="AL4918" s="35"/>
    </row>
    <row r="4919">
      <c r="A4919" s="1"/>
      <c r="B4919" s="19" t="s">
        <v>19332</v>
      </c>
      <c r="C4919" s="20" t="s">
        <v>23407</v>
      </c>
      <c r="D4919" s="47"/>
      <c r="E4919" s="22" t="s">
        <v>114</v>
      </c>
      <c r="F4919" s="22" t="s">
        <v>657</v>
      </c>
      <c r="G4919" s="23">
        <v>2021.0</v>
      </c>
      <c r="H4919" s="22" t="s">
        <v>284</v>
      </c>
      <c r="I4919" s="24" t="s">
        <v>23421</v>
      </c>
      <c r="J4919" s="22" t="s">
        <v>649</v>
      </c>
      <c r="K4919" s="22"/>
      <c r="L4919" s="105" t="s">
        <v>23422</v>
      </c>
      <c r="M4919" s="44"/>
      <c r="N4919" s="44"/>
      <c r="O4919" s="44"/>
      <c r="P4919" s="44"/>
      <c r="Q4919" s="44"/>
      <c r="R4919" s="44"/>
      <c r="S4919" s="44"/>
      <c r="T4919" s="45"/>
      <c r="U4919" s="29" t="s">
        <v>61</v>
      </c>
      <c r="V4919" s="30"/>
      <c r="W4919" s="49"/>
      <c r="X4919" s="49"/>
      <c r="Y4919" s="35"/>
      <c r="Z4919" s="35"/>
      <c r="AA4919" s="35"/>
      <c r="AB4919" s="35"/>
      <c r="AC4919" s="35"/>
      <c r="AD4919" s="35"/>
      <c r="AE4919" s="35"/>
      <c r="AF4919" s="35"/>
      <c r="AG4919" s="35"/>
      <c r="AH4919" s="35"/>
      <c r="AI4919" s="35"/>
      <c r="AJ4919" s="35"/>
      <c r="AK4919" s="35"/>
      <c r="AL4919" s="35"/>
    </row>
    <row r="4920">
      <c r="A4920" s="1"/>
      <c r="B4920" s="19" t="s">
        <v>19332</v>
      </c>
      <c r="C4920" s="20" t="s">
        <v>23407</v>
      </c>
      <c r="D4920" s="47"/>
      <c r="E4920" s="22" t="s">
        <v>23423</v>
      </c>
      <c r="F4920" s="22" t="s">
        <v>1891</v>
      </c>
      <c r="G4920" s="23">
        <v>2021.0</v>
      </c>
      <c r="H4920" s="22" t="s">
        <v>798</v>
      </c>
      <c r="I4920" s="24" t="s">
        <v>23424</v>
      </c>
      <c r="J4920" s="22" t="s">
        <v>23425</v>
      </c>
      <c r="K4920" s="22"/>
      <c r="L4920" s="36">
        <v>810.0</v>
      </c>
      <c r="M4920" s="36">
        <v>200.0</v>
      </c>
      <c r="N4920" s="36"/>
      <c r="O4920" s="36"/>
      <c r="P4920" s="37" t="s">
        <v>2848</v>
      </c>
      <c r="Q4920" s="36"/>
      <c r="R4920" s="37"/>
      <c r="S4920" s="36"/>
      <c r="T4920" s="28" t="s">
        <v>23426</v>
      </c>
      <c r="U4920" s="29" t="s">
        <v>61</v>
      </c>
      <c r="V4920" s="30"/>
      <c r="W4920" s="49"/>
      <c r="X4920" s="49"/>
      <c r="Y4920" s="35"/>
      <c r="Z4920" s="35"/>
      <c r="AA4920" s="35"/>
      <c r="AB4920" s="35"/>
      <c r="AC4920" s="35"/>
      <c r="AD4920" s="35"/>
      <c r="AE4920" s="35"/>
      <c r="AF4920" s="35"/>
      <c r="AG4920" s="35"/>
      <c r="AH4920" s="35"/>
      <c r="AI4920" s="35"/>
      <c r="AJ4920" s="35"/>
      <c r="AK4920" s="35"/>
      <c r="AL4920" s="35"/>
    </row>
    <row r="4921">
      <c r="A4921" s="1"/>
      <c r="B4921" s="19" t="s">
        <v>19332</v>
      </c>
      <c r="C4921" s="20" t="s">
        <v>23407</v>
      </c>
      <c r="D4921" s="47"/>
      <c r="E4921" s="22" t="s">
        <v>23427</v>
      </c>
      <c r="F4921" s="22" t="s">
        <v>122</v>
      </c>
      <c r="G4921" s="23">
        <v>2019.0</v>
      </c>
      <c r="H4921" s="22" t="s">
        <v>23428</v>
      </c>
      <c r="I4921" s="24" t="s">
        <v>23429</v>
      </c>
      <c r="J4921" s="22" t="s">
        <v>23430</v>
      </c>
      <c r="K4921" s="22"/>
      <c r="L4921" s="36">
        <v>940.0</v>
      </c>
      <c r="M4921" s="36" t="s">
        <v>23431</v>
      </c>
      <c r="N4921" s="36"/>
      <c r="O4921" s="36"/>
      <c r="P4921" s="37" t="s">
        <v>23432</v>
      </c>
      <c r="Q4921" s="36"/>
      <c r="R4921" s="37"/>
      <c r="S4921" s="36" t="s">
        <v>2302</v>
      </c>
      <c r="T4921" s="42" t="s">
        <v>23433</v>
      </c>
      <c r="U4921" s="38" t="str">
        <f>HYPERLINK("https://www.ncbi.nlm.nih.gov/pubmed/31678060","PubMed")</f>
        <v>PubMed</v>
      </c>
      <c r="V4921" s="30"/>
      <c r="W4921" s="49"/>
      <c r="X4921" s="49"/>
      <c r="Y4921" s="35"/>
      <c r="Z4921" s="35"/>
      <c r="AA4921" s="35"/>
      <c r="AB4921" s="35"/>
      <c r="AC4921" s="35"/>
      <c r="AD4921" s="35"/>
      <c r="AE4921" s="35"/>
      <c r="AF4921" s="35"/>
      <c r="AG4921" s="35"/>
      <c r="AH4921" s="35"/>
      <c r="AI4921" s="35"/>
      <c r="AJ4921" s="35"/>
      <c r="AK4921" s="35"/>
      <c r="AL4921" s="35"/>
    </row>
    <row r="4922">
      <c r="A4922" s="1"/>
      <c r="B4922" s="19" t="s">
        <v>19332</v>
      </c>
      <c r="C4922" s="20" t="s">
        <v>23407</v>
      </c>
      <c r="D4922" s="47"/>
      <c r="E4922" s="22" t="s">
        <v>23434</v>
      </c>
      <c r="F4922" s="22" t="s">
        <v>41</v>
      </c>
      <c r="G4922" s="23">
        <v>2019.0</v>
      </c>
      <c r="H4922" s="22" t="s">
        <v>702</v>
      </c>
      <c r="I4922" s="24" t="s">
        <v>23435</v>
      </c>
      <c r="J4922" s="22" t="s">
        <v>23436</v>
      </c>
      <c r="K4922" s="22"/>
      <c r="L4922" s="36">
        <v>808.0</v>
      </c>
      <c r="M4922" s="36">
        <v>100.0</v>
      </c>
      <c r="N4922" s="36"/>
      <c r="O4922" s="36"/>
      <c r="P4922" s="37" t="s">
        <v>969</v>
      </c>
      <c r="Q4922" s="36"/>
      <c r="R4922" s="37"/>
      <c r="S4922" s="36" t="s">
        <v>23437</v>
      </c>
      <c r="T4922" s="41" t="s">
        <v>23438</v>
      </c>
      <c r="U4922" s="38" t="str">
        <f>HYPERLINK("https://www.ncbi.nlm.nih.gov/pubmed/30803856","PubMed")</f>
        <v>PubMed</v>
      </c>
      <c r="V4922" s="30"/>
      <c r="W4922" s="49"/>
      <c r="X4922" s="49"/>
      <c r="Y4922" s="35"/>
      <c r="Z4922" s="35"/>
      <c r="AA4922" s="35"/>
      <c r="AB4922" s="35"/>
      <c r="AC4922" s="35"/>
      <c r="AD4922" s="35"/>
      <c r="AE4922" s="35"/>
      <c r="AF4922" s="35"/>
      <c r="AG4922" s="35"/>
      <c r="AH4922" s="35"/>
      <c r="AI4922" s="35"/>
      <c r="AJ4922" s="35"/>
      <c r="AK4922" s="35"/>
      <c r="AL4922" s="35"/>
    </row>
    <row r="4923">
      <c r="A4923" s="1"/>
      <c r="B4923" s="19" t="s">
        <v>19332</v>
      </c>
      <c r="C4923" s="20" t="s">
        <v>23407</v>
      </c>
      <c r="D4923" s="47"/>
      <c r="E4923" s="22" t="s">
        <v>23439</v>
      </c>
      <c r="F4923" s="22" t="s">
        <v>23440</v>
      </c>
      <c r="G4923" s="23">
        <v>2018.0</v>
      </c>
      <c r="H4923" s="22" t="s">
        <v>91</v>
      </c>
      <c r="I4923" s="24" t="s">
        <v>23441</v>
      </c>
      <c r="J4923" s="22" t="s">
        <v>23442</v>
      </c>
      <c r="K4923" s="22"/>
      <c r="L4923" s="36">
        <v>780.0</v>
      </c>
      <c r="M4923" s="36">
        <v>100.0</v>
      </c>
      <c r="N4923" s="36"/>
      <c r="O4923" s="36" t="s">
        <v>23443</v>
      </c>
      <c r="P4923" s="37" t="s">
        <v>777</v>
      </c>
      <c r="Q4923" s="36"/>
      <c r="R4923" s="37" t="s">
        <v>23444</v>
      </c>
      <c r="S4923" s="36" t="s">
        <v>23445</v>
      </c>
      <c r="T4923" s="42" t="s">
        <v>23446</v>
      </c>
      <c r="U4923" s="38" t="str">
        <f>HYPERLINK("https://www.ncbi.nlm.nih.gov/pubmed/29532196","PubMed")</f>
        <v>PubMed</v>
      </c>
      <c r="V4923" s="30"/>
      <c r="W4923" s="49"/>
      <c r="X4923" s="49"/>
      <c r="Y4923" s="35"/>
      <c r="Z4923" s="35"/>
      <c r="AA4923" s="35"/>
      <c r="AB4923" s="35"/>
      <c r="AC4923" s="35"/>
      <c r="AD4923" s="35"/>
      <c r="AE4923" s="35"/>
      <c r="AF4923" s="35"/>
      <c r="AG4923" s="35"/>
      <c r="AH4923" s="35"/>
      <c r="AI4923" s="35"/>
      <c r="AJ4923" s="35"/>
      <c r="AK4923" s="35"/>
      <c r="AL4923" s="35"/>
    </row>
    <row r="4924">
      <c r="A4924" s="1"/>
      <c r="B4924" s="19" t="s">
        <v>19332</v>
      </c>
      <c r="C4924" s="20" t="s">
        <v>23407</v>
      </c>
      <c r="D4924" s="47"/>
      <c r="E4924" s="22" t="s">
        <v>23447</v>
      </c>
      <c r="F4924" s="22" t="s">
        <v>183</v>
      </c>
      <c r="G4924" s="23">
        <v>2017.0</v>
      </c>
      <c r="H4924" s="22" t="s">
        <v>19552</v>
      </c>
      <c r="I4924" s="24" t="s">
        <v>23448</v>
      </c>
      <c r="J4924" s="22" t="s">
        <v>649</v>
      </c>
      <c r="K4924" s="22"/>
      <c r="L4924" s="105" t="s">
        <v>23449</v>
      </c>
      <c r="M4924" s="44"/>
      <c r="N4924" s="44"/>
      <c r="O4924" s="44"/>
      <c r="P4924" s="44"/>
      <c r="Q4924" s="44"/>
      <c r="R4924" s="44"/>
      <c r="S4924" s="44"/>
      <c r="T4924" s="45"/>
      <c r="U4924" s="38" t="str">
        <f>HYPERLINK("https://www.ncbi.nlm.nih.gov/pubmed/29053658","PubMed")</f>
        <v>PubMed</v>
      </c>
      <c r="V4924" s="30"/>
      <c r="W4924" s="49"/>
      <c r="X4924" s="49"/>
      <c r="Y4924" s="35"/>
      <c r="Z4924" s="35"/>
      <c r="AA4924" s="35"/>
      <c r="AB4924" s="35"/>
      <c r="AC4924" s="35"/>
      <c r="AD4924" s="35"/>
      <c r="AE4924" s="35"/>
      <c r="AF4924" s="35"/>
      <c r="AG4924" s="35"/>
      <c r="AH4924" s="35"/>
      <c r="AI4924" s="35"/>
      <c r="AJ4924" s="35"/>
      <c r="AK4924" s="35"/>
      <c r="AL4924" s="35"/>
    </row>
    <row r="4925">
      <c r="A4925" s="1"/>
      <c r="B4925" s="19" t="s">
        <v>19332</v>
      </c>
      <c r="C4925" s="20" t="s">
        <v>23407</v>
      </c>
      <c r="D4925" s="47"/>
      <c r="E4925" s="22" t="s">
        <v>22032</v>
      </c>
      <c r="F4925" s="22" t="s">
        <v>12732</v>
      </c>
      <c r="G4925" s="23">
        <v>2014.0</v>
      </c>
      <c r="H4925" s="22" t="s">
        <v>284</v>
      </c>
      <c r="I4925" s="24" t="s">
        <v>23450</v>
      </c>
      <c r="J4925" s="22" t="s">
        <v>23451</v>
      </c>
      <c r="K4925" s="22"/>
      <c r="L4925" s="36">
        <v>660.0</v>
      </c>
      <c r="M4925" s="36">
        <v>20.0</v>
      </c>
      <c r="N4925" s="129"/>
      <c r="O4925" s="36"/>
      <c r="P4925" s="37"/>
      <c r="Q4925" s="36"/>
      <c r="R4925" s="36"/>
      <c r="S4925" s="36" t="s">
        <v>7612</v>
      </c>
      <c r="T4925" s="28" t="s">
        <v>23452</v>
      </c>
      <c r="U4925" s="38" t="str">
        <f>HYPERLINK("https://www.ncbi.nlm.nih.gov/pubmed/24679851","PubMed")</f>
        <v>PubMed</v>
      </c>
      <c r="V4925" s="30"/>
      <c r="W4925" s="49"/>
      <c r="X4925" s="49"/>
      <c r="Y4925" s="35"/>
      <c r="Z4925" s="35"/>
      <c r="AA4925" s="35"/>
      <c r="AB4925" s="35"/>
      <c r="AC4925" s="35"/>
      <c r="AD4925" s="35"/>
      <c r="AE4925" s="35"/>
      <c r="AF4925" s="35"/>
      <c r="AG4925" s="35"/>
      <c r="AH4925" s="35"/>
      <c r="AI4925" s="35"/>
      <c r="AJ4925" s="35"/>
      <c r="AK4925" s="35"/>
      <c r="AL4925" s="35"/>
    </row>
    <row r="4926">
      <c r="A4926" s="1"/>
      <c r="B4926" s="75" t="s">
        <v>19332</v>
      </c>
      <c r="C4926" s="77" t="s">
        <v>23453</v>
      </c>
      <c r="D4926" s="47"/>
      <c r="E4926" s="22" t="s">
        <v>20689</v>
      </c>
      <c r="F4926" s="22" t="s">
        <v>11994</v>
      </c>
      <c r="G4926" s="23">
        <v>2020.0</v>
      </c>
      <c r="H4926" s="22" t="s">
        <v>77</v>
      </c>
      <c r="I4926" s="24" t="s">
        <v>23454</v>
      </c>
      <c r="J4926" s="22" t="s">
        <v>649</v>
      </c>
      <c r="K4926" s="22"/>
      <c r="L4926" s="173" t="s">
        <v>23455</v>
      </c>
      <c r="U4926" s="29" t="s">
        <v>61</v>
      </c>
      <c r="V4926" s="30"/>
      <c r="W4926" s="49"/>
      <c r="X4926" s="49"/>
      <c r="Y4926" s="35"/>
      <c r="Z4926" s="35"/>
      <c r="AA4926" s="35"/>
      <c r="AB4926" s="35"/>
      <c r="AC4926" s="35"/>
      <c r="AD4926" s="35"/>
      <c r="AE4926" s="35"/>
      <c r="AF4926" s="35"/>
      <c r="AG4926" s="35"/>
      <c r="AH4926" s="35"/>
      <c r="AI4926" s="35"/>
      <c r="AJ4926" s="35"/>
      <c r="AK4926" s="35"/>
      <c r="AL4926" s="35"/>
    </row>
    <row r="4927">
      <c r="A4927" s="1"/>
      <c r="B4927" s="75" t="s">
        <v>19332</v>
      </c>
      <c r="C4927" s="77" t="s">
        <v>23453</v>
      </c>
      <c r="D4927" s="47"/>
      <c r="E4927" s="22" t="s">
        <v>646</v>
      </c>
      <c r="F4927" s="22" t="s">
        <v>647</v>
      </c>
      <c r="G4927" s="23">
        <v>2019.0</v>
      </c>
      <c r="H4927" s="22" t="s">
        <v>77</v>
      </c>
      <c r="I4927" s="24" t="s">
        <v>23456</v>
      </c>
      <c r="J4927" s="22" t="s">
        <v>125</v>
      </c>
      <c r="K4927" s="22"/>
      <c r="L4927" s="43" t="s">
        <v>23457</v>
      </c>
      <c r="M4927" s="44"/>
      <c r="N4927" s="44"/>
      <c r="O4927" s="44"/>
      <c r="P4927" s="44"/>
      <c r="Q4927" s="44"/>
      <c r="R4927" s="44"/>
      <c r="S4927" s="44"/>
      <c r="T4927" s="45"/>
      <c r="U4927" s="38" t="str">
        <f>HYPERLINK("https://www.ncbi.nlm.nih.gov/pubmed/31750798","PubMed")</f>
        <v>PubMed</v>
      </c>
      <c r="V4927" s="30"/>
      <c r="W4927" s="49"/>
      <c r="X4927" s="49"/>
      <c r="Y4927" s="35"/>
      <c r="Z4927" s="35"/>
      <c r="AA4927" s="35"/>
      <c r="AB4927" s="35"/>
      <c r="AC4927" s="35"/>
      <c r="AD4927" s="35"/>
      <c r="AE4927" s="35"/>
      <c r="AF4927" s="35"/>
      <c r="AG4927" s="35"/>
      <c r="AH4927" s="35"/>
      <c r="AI4927" s="35"/>
      <c r="AJ4927" s="35"/>
      <c r="AK4927" s="35"/>
      <c r="AL4927" s="35"/>
    </row>
    <row r="4928">
      <c r="A4928" s="1"/>
      <c r="B4928" s="19" t="s">
        <v>19332</v>
      </c>
      <c r="C4928" s="20" t="s">
        <v>23453</v>
      </c>
      <c r="D4928" s="47"/>
      <c r="E4928" s="22" t="s">
        <v>23458</v>
      </c>
      <c r="F4928" s="22" t="s">
        <v>1943</v>
      </c>
      <c r="G4928" s="23">
        <v>2016.0</v>
      </c>
      <c r="H4928" s="22" t="s">
        <v>23459</v>
      </c>
      <c r="I4928" s="24" t="s">
        <v>23460</v>
      </c>
      <c r="J4928" s="22" t="s">
        <v>23461</v>
      </c>
      <c r="K4928" s="22"/>
      <c r="L4928" s="36">
        <v>970.0</v>
      </c>
      <c r="M4928" s="36">
        <v>2000.0</v>
      </c>
      <c r="N4928" s="129"/>
      <c r="O4928" s="36"/>
      <c r="P4928" s="37" t="s">
        <v>9353</v>
      </c>
      <c r="Q4928" s="36"/>
      <c r="R4928" s="36" t="s">
        <v>23462</v>
      </c>
      <c r="S4928" s="36">
        <v>1.0</v>
      </c>
      <c r="T4928" s="28" t="s">
        <v>23463</v>
      </c>
      <c r="U4928" s="38" t="str">
        <f>HYPERLINK("https://www.ncbi.nlm.nih.gov/pubmed/27566848","PubMed")</f>
        <v>PubMed</v>
      </c>
      <c r="V4928" s="30"/>
      <c r="W4928" s="49"/>
      <c r="X4928" s="49"/>
      <c r="Y4928" s="35"/>
      <c r="Z4928" s="35"/>
      <c r="AA4928" s="35"/>
      <c r="AB4928" s="35"/>
      <c r="AC4928" s="35"/>
      <c r="AD4928" s="35"/>
      <c r="AE4928" s="35"/>
      <c r="AF4928" s="35"/>
      <c r="AG4928" s="35"/>
      <c r="AH4928" s="35"/>
      <c r="AI4928" s="35"/>
      <c r="AJ4928" s="35"/>
      <c r="AK4928" s="35"/>
      <c r="AL4928" s="35"/>
    </row>
    <row r="4929">
      <c r="A4929" s="1"/>
      <c r="B4929" s="19" t="s">
        <v>19332</v>
      </c>
      <c r="C4929" s="20" t="s">
        <v>23453</v>
      </c>
      <c r="D4929" s="47"/>
      <c r="E4929" s="22" t="s">
        <v>23464</v>
      </c>
      <c r="F4929" s="22" t="s">
        <v>5987</v>
      </c>
      <c r="G4929" s="23">
        <v>2015.0</v>
      </c>
      <c r="H4929" s="22" t="s">
        <v>13752</v>
      </c>
      <c r="I4929" s="24" t="s">
        <v>23465</v>
      </c>
      <c r="J4929" s="22" t="s">
        <v>125</v>
      </c>
      <c r="K4929" s="22"/>
      <c r="L4929" s="105" t="s">
        <v>23466</v>
      </c>
      <c r="M4929" s="44"/>
      <c r="N4929" s="44"/>
      <c r="O4929" s="44"/>
      <c r="P4929" s="44"/>
      <c r="Q4929" s="44"/>
      <c r="R4929" s="44"/>
      <c r="S4929" s="44"/>
      <c r="T4929" s="45"/>
      <c r="U4929" s="38" t="str">
        <f>HYPERLINK("https://www.ncbi.nlm.nih.gov/pubmed/25740083","PubMed")</f>
        <v>PubMed</v>
      </c>
      <c r="V4929" s="30"/>
      <c r="W4929" s="49"/>
      <c r="X4929" s="49"/>
      <c r="Y4929" s="35"/>
      <c r="Z4929" s="35"/>
      <c r="AA4929" s="35"/>
      <c r="AB4929" s="35"/>
      <c r="AC4929" s="35"/>
      <c r="AD4929" s="35"/>
      <c r="AE4929" s="35"/>
      <c r="AF4929" s="35"/>
      <c r="AG4929" s="35"/>
      <c r="AH4929" s="35"/>
      <c r="AI4929" s="35"/>
      <c r="AJ4929" s="35"/>
      <c r="AK4929" s="35"/>
      <c r="AL4929" s="35"/>
    </row>
    <row r="4930">
      <c r="A4930" s="1"/>
      <c r="B4930" s="19" t="s">
        <v>19332</v>
      </c>
      <c r="C4930" s="20" t="s">
        <v>23453</v>
      </c>
      <c r="D4930" s="47"/>
      <c r="E4930" s="22" t="s">
        <v>23467</v>
      </c>
      <c r="F4930" s="22" t="s">
        <v>323</v>
      </c>
      <c r="G4930" s="23">
        <v>2011.0</v>
      </c>
      <c r="H4930" s="22" t="s">
        <v>147</v>
      </c>
      <c r="I4930" s="24" t="s">
        <v>23468</v>
      </c>
      <c r="J4930" s="22" t="s">
        <v>23469</v>
      </c>
      <c r="K4930" s="22"/>
      <c r="L4930" s="36">
        <v>660.0</v>
      </c>
      <c r="M4930" s="36">
        <v>25.0</v>
      </c>
      <c r="N4930" s="36"/>
      <c r="O4930" s="129">
        <v>42859.0</v>
      </c>
      <c r="P4930" s="37"/>
      <c r="Q4930" s="36"/>
      <c r="R4930" s="36">
        <v>180.0</v>
      </c>
      <c r="S4930" s="36" t="s">
        <v>20078</v>
      </c>
      <c r="T4930" s="42" t="s">
        <v>23470</v>
      </c>
      <c r="U4930" s="38" t="str">
        <f>HYPERLINK("http://journals.sbmu.ac.ir/jlms/article/view/2355","SBMU")</f>
        <v>SBMU</v>
      </c>
      <c r="V4930" s="30"/>
      <c r="W4930" s="49"/>
      <c r="X4930" s="49"/>
      <c r="Y4930" s="35"/>
      <c r="Z4930" s="35"/>
      <c r="AA4930" s="35"/>
      <c r="AB4930" s="35"/>
      <c r="AC4930" s="35"/>
      <c r="AD4930" s="35"/>
      <c r="AE4930" s="35"/>
      <c r="AF4930" s="35"/>
      <c r="AG4930" s="35"/>
      <c r="AH4930" s="35"/>
      <c r="AI4930" s="35"/>
      <c r="AJ4930" s="35"/>
      <c r="AK4930" s="35"/>
      <c r="AL4930" s="35"/>
    </row>
    <row r="4931">
      <c r="A4931" s="1"/>
      <c r="B4931" s="19" t="s">
        <v>19332</v>
      </c>
      <c r="C4931" s="20" t="s">
        <v>23453</v>
      </c>
      <c r="D4931" s="47"/>
      <c r="E4931" s="22" t="s">
        <v>23471</v>
      </c>
      <c r="F4931" s="22" t="s">
        <v>52</v>
      </c>
      <c r="G4931" s="23">
        <v>2004.0</v>
      </c>
      <c r="H4931" s="22" t="s">
        <v>23472</v>
      </c>
      <c r="I4931" s="24" t="s">
        <v>23473</v>
      </c>
      <c r="J4931" s="22" t="s">
        <v>125</v>
      </c>
      <c r="K4931" s="22"/>
      <c r="L4931" s="105" t="s">
        <v>23474</v>
      </c>
      <c r="M4931" s="44"/>
      <c r="N4931" s="44"/>
      <c r="O4931" s="44"/>
      <c r="P4931" s="44"/>
      <c r="Q4931" s="44"/>
      <c r="R4931" s="44"/>
      <c r="S4931" s="44"/>
      <c r="T4931" s="45"/>
      <c r="U4931" s="29" t="s">
        <v>61</v>
      </c>
      <c r="V4931" s="30"/>
      <c r="W4931" s="49"/>
      <c r="X4931" s="49"/>
      <c r="Y4931" s="35"/>
      <c r="Z4931" s="35"/>
      <c r="AA4931" s="35"/>
      <c r="AB4931" s="35"/>
      <c r="AC4931" s="35"/>
      <c r="AD4931" s="35"/>
      <c r="AE4931" s="35"/>
      <c r="AF4931" s="35"/>
      <c r="AG4931" s="35"/>
      <c r="AH4931" s="35"/>
      <c r="AI4931" s="35"/>
      <c r="AJ4931" s="35"/>
      <c r="AK4931" s="35"/>
      <c r="AL4931" s="35"/>
    </row>
    <row r="4932">
      <c r="A4932" s="18" t="s">
        <v>38</v>
      </c>
      <c r="B4932" s="19" t="s">
        <v>19332</v>
      </c>
      <c r="C4932" s="20" t="s">
        <v>23475</v>
      </c>
      <c r="D4932" s="47"/>
      <c r="E4932" s="22" t="s">
        <v>23476</v>
      </c>
      <c r="F4932" s="22" t="s">
        <v>18291</v>
      </c>
      <c r="G4932" s="23">
        <v>2019.0</v>
      </c>
      <c r="H4932" s="22" t="s">
        <v>994</v>
      </c>
      <c r="I4932" s="24" t="s">
        <v>23477</v>
      </c>
      <c r="J4932" s="22" t="s">
        <v>23478</v>
      </c>
      <c r="K4932" s="22"/>
      <c r="L4932" s="37" t="s">
        <v>23479</v>
      </c>
      <c r="M4932" s="36">
        <v>100.0</v>
      </c>
      <c r="N4932" s="36"/>
      <c r="O4932" s="36"/>
      <c r="P4932" s="37" t="s">
        <v>18175</v>
      </c>
      <c r="Q4932" s="36"/>
      <c r="R4932" s="36"/>
      <c r="S4932" s="36" t="s">
        <v>4905</v>
      </c>
      <c r="T4932" s="28" t="s">
        <v>23480</v>
      </c>
      <c r="U4932" s="38" t="str">
        <f>HYPERLINK("https://www.ncbi.nlm.nih.gov/pubmed/30987889","PubMed")</f>
        <v>PubMed</v>
      </c>
      <c r="V4932" s="30"/>
      <c r="W4932" s="156"/>
      <c r="X4932" s="49"/>
      <c r="Y4932" s="35"/>
      <c r="Z4932" s="35"/>
      <c r="AA4932" s="35"/>
      <c r="AB4932" s="35"/>
      <c r="AC4932" s="35"/>
      <c r="AD4932" s="35"/>
      <c r="AE4932" s="35"/>
      <c r="AF4932" s="35"/>
      <c r="AG4932" s="35"/>
      <c r="AH4932" s="35"/>
      <c r="AI4932" s="35"/>
      <c r="AJ4932" s="35"/>
      <c r="AK4932" s="35"/>
      <c r="AL4932" s="35"/>
    </row>
    <row r="4933">
      <c r="A4933" s="18"/>
      <c r="B4933" s="19" t="s">
        <v>19332</v>
      </c>
      <c r="C4933" s="20" t="s">
        <v>23481</v>
      </c>
      <c r="D4933" s="47"/>
      <c r="E4933" s="22" t="s">
        <v>19401</v>
      </c>
      <c r="F4933" s="22" t="s">
        <v>5227</v>
      </c>
      <c r="G4933" s="23">
        <v>2024.0</v>
      </c>
      <c r="H4933" s="22" t="s">
        <v>91</v>
      </c>
      <c r="I4933" s="24" t="s">
        <v>23482</v>
      </c>
      <c r="J4933" s="22" t="s">
        <v>649</v>
      </c>
      <c r="K4933" s="22"/>
      <c r="L4933" s="132" t="s">
        <v>23483</v>
      </c>
      <c r="U4933" s="38" t="s">
        <v>61</v>
      </c>
      <c r="V4933" s="30"/>
      <c r="W4933" s="156"/>
      <c r="X4933" s="49"/>
      <c r="Y4933" s="35"/>
      <c r="Z4933" s="35"/>
      <c r="AA4933" s="35"/>
      <c r="AB4933" s="35"/>
      <c r="AC4933" s="35"/>
      <c r="AD4933" s="35"/>
      <c r="AE4933" s="35"/>
      <c r="AF4933" s="35"/>
      <c r="AG4933" s="35"/>
      <c r="AH4933" s="35"/>
      <c r="AI4933" s="35"/>
      <c r="AJ4933" s="35"/>
      <c r="AK4933" s="35"/>
      <c r="AL4933" s="35"/>
    </row>
    <row r="4934">
      <c r="A4934" s="18"/>
      <c r="B4934" s="19" t="s">
        <v>19332</v>
      </c>
      <c r="C4934" s="20" t="s">
        <v>23481</v>
      </c>
      <c r="D4934" s="47"/>
      <c r="E4934" s="22" t="s">
        <v>850</v>
      </c>
      <c r="F4934" s="22" t="s">
        <v>41</v>
      </c>
      <c r="G4934" s="23">
        <v>2023.0</v>
      </c>
      <c r="H4934" s="22" t="s">
        <v>3950</v>
      </c>
      <c r="I4934" s="24" t="s">
        <v>23484</v>
      </c>
      <c r="J4934" s="22" t="s">
        <v>55</v>
      </c>
      <c r="K4934" s="22" t="s">
        <v>22084</v>
      </c>
      <c r="L4934" s="189" t="s">
        <v>15057</v>
      </c>
      <c r="M4934" s="52"/>
      <c r="N4934" s="52"/>
      <c r="O4934" s="52"/>
      <c r="P4934" s="189" t="s">
        <v>17791</v>
      </c>
      <c r="Q4934" s="52"/>
      <c r="R4934" s="52"/>
      <c r="S4934" s="52"/>
      <c r="T4934" s="28" t="s">
        <v>23485</v>
      </c>
      <c r="U4934" s="38" t="s">
        <v>61</v>
      </c>
      <c r="V4934" s="30"/>
      <c r="W4934" s="156"/>
      <c r="X4934" s="49"/>
      <c r="Y4934" s="35"/>
      <c r="Z4934" s="35"/>
      <c r="AA4934" s="35"/>
      <c r="AB4934" s="35"/>
      <c r="AC4934" s="35"/>
      <c r="AD4934" s="35"/>
      <c r="AE4934" s="35"/>
      <c r="AF4934" s="35"/>
      <c r="AG4934" s="35"/>
      <c r="AH4934" s="35"/>
      <c r="AI4934" s="35"/>
      <c r="AJ4934" s="35"/>
      <c r="AK4934" s="35"/>
      <c r="AL4934" s="35"/>
    </row>
    <row r="4935">
      <c r="A4935" s="18"/>
      <c r="B4935" s="19" t="s">
        <v>19332</v>
      </c>
      <c r="C4935" s="20" t="s">
        <v>23481</v>
      </c>
      <c r="D4935" s="47"/>
      <c r="E4935" s="22" t="s">
        <v>23486</v>
      </c>
      <c r="F4935" s="22" t="s">
        <v>41</v>
      </c>
      <c r="G4935" s="23">
        <v>2020.0</v>
      </c>
      <c r="H4935" s="22" t="s">
        <v>23487</v>
      </c>
      <c r="I4935" s="24" t="s">
        <v>23488</v>
      </c>
      <c r="J4935" s="22" t="s">
        <v>55</v>
      </c>
      <c r="K4935" s="22" t="s">
        <v>22084</v>
      </c>
      <c r="L4935" s="189" t="s">
        <v>15057</v>
      </c>
      <c r="M4935" s="52" t="s">
        <v>23489</v>
      </c>
      <c r="N4935" s="52"/>
      <c r="O4935" s="52" t="s">
        <v>23490</v>
      </c>
      <c r="P4935" s="189" t="s">
        <v>82</v>
      </c>
      <c r="Q4935" s="52"/>
      <c r="R4935" s="52" t="s">
        <v>23491</v>
      </c>
      <c r="S4935" s="52">
        <v>10.0</v>
      </c>
      <c r="T4935" s="28" t="s">
        <v>23492</v>
      </c>
      <c r="U4935" s="29" t="s">
        <v>8353</v>
      </c>
      <c r="V4935" s="30"/>
      <c r="W4935" s="156"/>
      <c r="X4935" s="49"/>
      <c r="Y4935" s="35"/>
      <c r="Z4935" s="35"/>
      <c r="AA4935" s="35"/>
      <c r="AB4935" s="35"/>
      <c r="AC4935" s="35"/>
      <c r="AD4935" s="35"/>
      <c r="AE4935" s="35"/>
      <c r="AF4935" s="35"/>
      <c r="AG4935" s="35"/>
      <c r="AH4935" s="35"/>
      <c r="AI4935" s="35"/>
      <c r="AJ4935" s="35"/>
      <c r="AK4935" s="35"/>
      <c r="AL4935" s="35"/>
    </row>
    <row r="4936">
      <c r="A4936" s="1"/>
      <c r="B4936" s="19" t="s">
        <v>19332</v>
      </c>
      <c r="C4936" s="20" t="s">
        <v>23481</v>
      </c>
      <c r="D4936" s="47"/>
      <c r="E4936" s="22" t="s">
        <v>19913</v>
      </c>
      <c r="F4936" s="22"/>
      <c r="G4936" s="23">
        <v>2019.0</v>
      </c>
      <c r="H4936" s="22" t="s">
        <v>23493</v>
      </c>
      <c r="I4936" s="24" t="s">
        <v>23494</v>
      </c>
      <c r="J4936" s="22" t="s">
        <v>649</v>
      </c>
      <c r="K4936" s="22"/>
      <c r="L4936" s="132" t="s">
        <v>23495</v>
      </c>
      <c r="U4936" s="38" t="str">
        <f>HYPERLINK("https://www.ncbi.nlm.nih.gov/pubmed/31339967","PubMed")</f>
        <v>PubMed</v>
      </c>
      <c r="V4936" s="30"/>
      <c r="W4936" s="156"/>
      <c r="X4936" s="49"/>
      <c r="Y4936" s="35"/>
      <c r="Z4936" s="35"/>
      <c r="AA4936" s="35"/>
      <c r="AB4936" s="35"/>
      <c r="AC4936" s="35"/>
      <c r="AD4936" s="35"/>
      <c r="AE4936" s="35"/>
      <c r="AF4936" s="35"/>
      <c r="AG4936" s="35"/>
      <c r="AH4936" s="35"/>
      <c r="AI4936" s="35"/>
      <c r="AJ4936" s="35"/>
      <c r="AK4936" s="35"/>
      <c r="AL4936" s="35"/>
    </row>
    <row r="4937">
      <c r="A4937" s="1"/>
      <c r="B4937" s="19" t="s">
        <v>19332</v>
      </c>
      <c r="C4937" s="20" t="s">
        <v>23481</v>
      </c>
      <c r="D4937" s="47"/>
      <c r="E4937" s="22" t="s">
        <v>10573</v>
      </c>
      <c r="F4937" s="22" t="s">
        <v>1102</v>
      </c>
      <c r="G4937" s="23" t="s">
        <v>90</v>
      </c>
      <c r="H4937" s="22" t="s">
        <v>19552</v>
      </c>
      <c r="I4937" s="24" t="s">
        <v>23496</v>
      </c>
      <c r="J4937" s="22" t="s">
        <v>23497</v>
      </c>
      <c r="K4937" s="22" t="s">
        <v>23498</v>
      </c>
      <c r="L4937" s="36">
        <v>780.0</v>
      </c>
      <c r="M4937" s="36">
        <v>50.0</v>
      </c>
      <c r="N4937" s="36"/>
      <c r="O4937" s="36"/>
      <c r="P4937" s="37" t="s">
        <v>1529</v>
      </c>
      <c r="Q4937" s="36" t="s">
        <v>7605</v>
      </c>
      <c r="R4937" s="36" t="s">
        <v>23499</v>
      </c>
      <c r="S4937" s="36" t="s">
        <v>2688</v>
      </c>
      <c r="T4937" s="42" t="s">
        <v>23500</v>
      </c>
      <c r="U4937" s="38" t="str">
        <f>HYPERLINK("https://www.ncbi.nlm.nih.gov/pubmed/29274162","PubMed")</f>
        <v>PubMed</v>
      </c>
      <c r="V4937" s="30"/>
      <c r="W4937" s="156"/>
      <c r="X4937" s="49"/>
      <c r="Y4937" s="35"/>
      <c r="Z4937" s="35"/>
      <c r="AA4937" s="35"/>
      <c r="AB4937" s="35"/>
      <c r="AC4937" s="35"/>
      <c r="AD4937" s="35"/>
      <c r="AE4937" s="35"/>
      <c r="AF4937" s="35"/>
      <c r="AG4937" s="35"/>
      <c r="AH4937" s="35"/>
      <c r="AI4937" s="35"/>
      <c r="AJ4937" s="35"/>
      <c r="AK4937" s="35"/>
      <c r="AL4937" s="35"/>
    </row>
    <row r="4938">
      <c r="A4938" s="1"/>
      <c r="B4938" s="19" t="s">
        <v>19332</v>
      </c>
      <c r="C4938" s="20" t="s">
        <v>23481</v>
      </c>
      <c r="D4938" s="47"/>
      <c r="E4938" s="22" t="s">
        <v>23501</v>
      </c>
      <c r="F4938" s="22" t="s">
        <v>697</v>
      </c>
      <c r="G4938" s="23">
        <v>2013.0</v>
      </c>
      <c r="H4938" s="22" t="s">
        <v>658</v>
      </c>
      <c r="I4938" s="24" t="s">
        <v>23502</v>
      </c>
      <c r="J4938" s="22" t="s">
        <v>23503</v>
      </c>
      <c r="K4938" s="22"/>
      <c r="L4938" s="36">
        <v>980.0</v>
      </c>
      <c r="M4938" s="36">
        <v>12.0</v>
      </c>
      <c r="N4938" s="36"/>
      <c r="O4938" s="36"/>
      <c r="P4938" s="37" t="s">
        <v>23504</v>
      </c>
      <c r="Q4938" s="36"/>
      <c r="R4938" s="36">
        <v>300.0</v>
      </c>
      <c r="S4938" s="36" t="s">
        <v>17419</v>
      </c>
      <c r="T4938" s="41" t="s">
        <v>23505</v>
      </c>
      <c r="U4938" s="38" t="str">
        <f>HYPERLINK("https://www.ncbi.nlm.nih.gov/pubmed/24102165","PubMed")</f>
        <v>PubMed</v>
      </c>
      <c r="V4938" s="30"/>
      <c r="W4938" s="156"/>
      <c r="X4938" s="49"/>
      <c r="Y4938" s="35"/>
      <c r="Z4938" s="35"/>
      <c r="AA4938" s="35"/>
      <c r="AB4938" s="35"/>
      <c r="AC4938" s="35"/>
      <c r="AD4938" s="35"/>
      <c r="AE4938" s="35"/>
      <c r="AF4938" s="35"/>
      <c r="AG4938" s="35"/>
      <c r="AH4938" s="35"/>
      <c r="AI4938" s="35"/>
      <c r="AJ4938" s="35"/>
      <c r="AK4938" s="35"/>
      <c r="AL4938" s="35"/>
    </row>
    <row r="4939">
      <c r="A4939" s="1"/>
      <c r="B4939" s="19" t="s">
        <v>19332</v>
      </c>
      <c r="C4939" s="20" t="s">
        <v>23481</v>
      </c>
      <c r="D4939" s="47"/>
      <c r="E4939" s="22" t="s">
        <v>23506</v>
      </c>
      <c r="F4939" s="22" t="s">
        <v>7811</v>
      </c>
      <c r="G4939" s="23">
        <v>1996.0</v>
      </c>
      <c r="H4939" s="22" t="s">
        <v>292</v>
      </c>
      <c r="I4939" s="24" t="s">
        <v>23507</v>
      </c>
      <c r="J4939" s="22" t="s">
        <v>2273</v>
      </c>
      <c r="K4939" s="22"/>
      <c r="L4939" s="36">
        <v>830.0</v>
      </c>
      <c r="M4939" s="36">
        <v>150.0</v>
      </c>
      <c r="N4939" s="36"/>
      <c r="O4939" s="36"/>
      <c r="P4939" s="37"/>
      <c r="Q4939" s="36"/>
      <c r="R4939" s="36"/>
      <c r="S4939" s="36"/>
      <c r="T4939" s="42" t="s">
        <v>23508</v>
      </c>
      <c r="U4939" s="38" t="str">
        <f>HYPERLINK("https://www.jstage.jst.go.jp/article/islsm/8/2/8_2_155/_article/-char/en","J-STAGE")</f>
        <v>J-STAGE</v>
      </c>
      <c r="V4939" s="30"/>
      <c r="W4939" s="156"/>
      <c r="X4939" s="49"/>
      <c r="Y4939" s="35"/>
      <c r="Z4939" s="35"/>
      <c r="AA4939" s="35"/>
      <c r="AB4939" s="35"/>
      <c r="AC4939" s="35"/>
      <c r="AD4939" s="35"/>
      <c r="AE4939" s="35"/>
      <c r="AF4939" s="35"/>
      <c r="AG4939" s="35"/>
      <c r="AH4939" s="35"/>
      <c r="AI4939" s="35"/>
      <c r="AJ4939" s="35"/>
      <c r="AK4939" s="35"/>
      <c r="AL4939" s="35"/>
    </row>
    <row r="4940">
      <c r="A4940" s="1"/>
      <c r="B4940" s="19" t="s">
        <v>19332</v>
      </c>
      <c r="C4940" s="20" t="s">
        <v>23481</v>
      </c>
      <c r="D4940" s="47"/>
      <c r="E4940" s="22" t="s">
        <v>23509</v>
      </c>
      <c r="F4940" s="22" t="s">
        <v>7531</v>
      </c>
      <c r="G4940" s="23">
        <v>1990.0</v>
      </c>
      <c r="H4940" s="22" t="s">
        <v>7020</v>
      </c>
      <c r="I4940" s="24" t="s">
        <v>23510</v>
      </c>
      <c r="J4940" s="22" t="s">
        <v>23511</v>
      </c>
      <c r="K4940" s="22"/>
      <c r="L4940" s="36">
        <v>904.0</v>
      </c>
      <c r="M4940" s="36">
        <v>30.0</v>
      </c>
      <c r="N4940" s="36" t="s">
        <v>23512</v>
      </c>
      <c r="O4940" s="36"/>
      <c r="P4940" s="37"/>
      <c r="Q4940" s="36"/>
      <c r="R4940" s="36" t="s">
        <v>23513</v>
      </c>
      <c r="S4940" s="36" t="s">
        <v>2099</v>
      </c>
      <c r="T4940" s="41" t="s">
        <v>23514</v>
      </c>
      <c r="U4940" s="38" t="str">
        <f>HYPERLINK("https://www.ncbi.nlm.nih.gov/pubmed/1708118","PubMed")</f>
        <v>PubMed</v>
      </c>
      <c r="V4940" s="30"/>
      <c r="W4940" s="156"/>
      <c r="X4940" s="49"/>
      <c r="Y4940" s="35"/>
      <c r="Z4940" s="35"/>
      <c r="AA4940" s="35"/>
      <c r="AB4940" s="35"/>
      <c r="AC4940" s="35"/>
      <c r="AD4940" s="35"/>
      <c r="AE4940" s="35"/>
      <c r="AF4940" s="35"/>
      <c r="AG4940" s="35"/>
      <c r="AH4940" s="35"/>
      <c r="AI4940" s="35"/>
      <c r="AJ4940" s="35"/>
      <c r="AK4940" s="35"/>
      <c r="AL4940" s="35"/>
    </row>
    <row r="4941">
      <c r="A4941" s="1"/>
      <c r="B4941" s="19" t="s">
        <v>19332</v>
      </c>
      <c r="C4941" s="20" t="s">
        <v>23515</v>
      </c>
      <c r="D4941" s="47"/>
      <c r="E4941" s="22" t="s">
        <v>23516</v>
      </c>
      <c r="F4941" s="22" t="s">
        <v>7630</v>
      </c>
      <c r="G4941" s="23">
        <v>2023.0</v>
      </c>
      <c r="H4941" s="22" t="s">
        <v>23517</v>
      </c>
      <c r="I4941" s="24" t="s">
        <v>23518</v>
      </c>
      <c r="J4941" s="22" t="s">
        <v>23519</v>
      </c>
      <c r="K4941" s="22"/>
      <c r="L4941" s="52">
        <v>808.0</v>
      </c>
      <c r="M4941" s="52"/>
      <c r="N4941" s="52"/>
      <c r="O4941" s="52"/>
      <c r="P4941" s="189"/>
      <c r="Q4941" s="52"/>
      <c r="R4941" s="52"/>
      <c r="S4941" s="52"/>
      <c r="T4941" s="28" t="s">
        <v>23520</v>
      </c>
      <c r="U4941" s="38" t="s">
        <v>61</v>
      </c>
      <c r="V4941" s="30"/>
      <c r="W4941" s="156"/>
      <c r="X4941" s="49"/>
      <c r="Y4941" s="35"/>
      <c r="Z4941" s="35"/>
      <c r="AA4941" s="35"/>
      <c r="AB4941" s="35"/>
      <c r="AC4941" s="35"/>
      <c r="AD4941" s="35"/>
      <c r="AE4941" s="35"/>
      <c r="AF4941" s="35"/>
      <c r="AG4941" s="35"/>
      <c r="AH4941" s="35"/>
      <c r="AI4941" s="35"/>
      <c r="AJ4941" s="35"/>
      <c r="AK4941" s="35"/>
      <c r="AL4941" s="35"/>
    </row>
    <row r="4942">
      <c r="A4942" s="1"/>
      <c r="B4942" s="19" t="s">
        <v>19332</v>
      </c>
      <c r="C4942" s="20" t="s">
        <v>23521</v>
      </c>
      <c r="D4942" s="47"/>
      <c r="E4942" s="22" t="s">
        <v>23522</v>
      </c>
      <c r="F4942" s="22" t="s">
        <v>11536</v>
      </c>
      <c r="G4942" s="23">
        <v>2023.0</v>
      </c>
      <c r="H4942" s="22" t="s">
        <v>147</v>
      </c>
      <c r="I4942" s="24" t="s">
        <v>23523</v>
      </c>
      <c r="J4942" s="22" t="s">
        <v>23524</v>
      </c>
      <c r="K4942" s="22"/>
      <c r="L4942" s="52">
        <v>980.0</v>
      </c>
      <c r="M4942" s="52">
        <v>100.0</v>
      </c>
      <c r="N4942" s="52" t="s">
        <v>58</v>
      </c>
      <c r="O4942" s="52" t="s">
        <v>58</v>
      </c>
      <c r="P4942" s="189" t="s">
        <v>58</v>
      </c>
      <c r="Q4942" s="52" t="s">
        <v>58</v>
      </c>
      <c r="R4942" s="52" t="s">
        <v>23525</v>
      </c>
      <c r="S4942" s="52" t="s">
        <v>13185</v>
      </c>
      <c r="T4942" s="28" t="s">
        <v>23526</v>
      </c>
      <c r="U4942" s="38" t="s">
        <v>61</v>
      </c>
      <c r="V4942" s="30" t="s">
        <v>23527</v>
      </c>
      <c r="W4942" s="156"/>
      <c r="X4942" s="49"/>
      <c r="Y4942" s="35"/>
      <c r="Z4942" s="35"/>
      <c r="AA4942" s="35"/>
      <c r="AB4942" s="35"/>
      <c r="AC4942" s="35"/>
      <c r="AD4942" s="35"/>
      <c r="AE4942" s="35"/>
      <c r="AF4942" s="35"/>
      <c r="AG4942" s="35"/>
      <c r="AH4942" s="35"/>
      <c r="AI4942" s="35"/>
      <c r="AJ4942" s="35"/>
      <c r="AK4942" s="35"/>
      <c r="AL4942" s="35"/>
    </row>
    <row r="4943">
      <c r="A4943" s="1"/>
      <c r="B4943" s="19" t="s">
        <v>19332</v>
      </c>
      <c r="C4943" s="20" t="s">
        <v>23521</v>
      </c>
      <c r="D4943" s="47"/>
      <c r="E4943" s="22" t="s">
        <v>23528</v>
      </c>
      <c r="F4943" s="22" t="s">
        <v>7630</v>
      </c>
      <c r="G4943" s="23">
        <v>2022.0</v>
      </c>
      <c r="H4943" s="22" t="s">
        <v>2375</v>
      </c>
      <c r="I4943" s="24" t="s">
        <v>23529</v>
      </c>
      <c r="J4943" s="22" t="s">
        <v>23530</v>
      </c>
      <c r="K4943" s="22"/>
      <c r="L4943" s="52">
        <v>808.0</v>
      </c>
      <c r="M4943" s="52">
        <v>250.0</v>
      </c>
      <c r="N4943" s="52"/>
      <c r="O4943" s="52" t="s">
        <v>23531</v>
      </c>
      <c r="P4943" s="189"/>
      <c r="Q4943" s="52"/>
      <c r="R4943" s="52" t="s">
        <v>23532</v>
      </c>
      <c r="S4943" s="52" t="s">
        <v>23533</v>
      </c>
      <c r="T4943" s="28" t="s">
        <v>23534</v>
      </c>
      <c r="U4943" s="29" t="s">
        <v>61</v>
      </c>
      <c r="V4943" s="30"/>
      <c r="W4943" s="156"/>
      <c r="X4943" s="49"/>
      <c r="Y4943" s="35"/>
      <c r="Z4943" s="35"/>
      <c r="AA4943" s="35"/>
      <c r="AB4943" s="35"/>
      <c r="AC4943" s="35"/>
      <c r="AD4943" s="35"/>
      <c r="AE4943" s="35"/>
      <c r="AF4943" s="35"/>
      <c r="AG4943" s="35"/>
      <c r="AH4943" s="35"/>
      <c r="AI4943" s="35"/>
      <c r="AJ4943" s="35"/>
      <c r="AK4943" s="35"/>
      <c r="AL4943" s="35"/>
    </row>
    <row r="4944">
      <c r="A4944" s="1"/>
      <c r="B4944" s="19" t="s">
        <v>19332</v>
      </c>
      <c r="C4944" s="20" t="s">
        <v>23535</v>
      </c>
      <c r="D4944" s="47"/>
      <c r="E4944" s="22" t="s">
        <v>23536</v>
      </c>
      <c r="F4944" s="22" t="s">
        <v>697</v>
      </c>
      <c r="G4944" s="23">
        <v>2023.0</v>
      </c>
      <c r="H4944" s="22" t="s">
        <v>1485</v>
      </c>
      <c r="I4944" s="24" t="s">
        <v>23537</v>
      </c>
      <c r="J4944" s="22" t="s">
        <v>1078</v>
      </c>
      <c r="K4944" s="22"/>
      <c r="L4944" s="53" t="s">
        <v>23538</v>
      </c>
      <c r="U4944" s="38" t="s">
        <v>61</v>
      </c>
      <c r="V4944" s="30"/>
      <c r="W4944" s="156"/>
      <c r="X4944" s="49"/>
      <c r="Y4944" s="35"/>
      <c r="Z4944" s="35"/>
      <c r="AA4944" s="35"/>
      <c r="AB4944" s="35"/>
      <c r="AC4944" s="35"/>
      <c r="AD4944" s="35"/>
      <c r="AE4944" s="35"/>
      <c r="AF4944" s="35"/>
      <c r="AG4944" s="35"/>
      <c r="AH4944" s="35"/>
      <c r="AI4944" s="35"/>
      <c r="AJ4944" s="35"/>
      <c r="AK4944" s="35"/>
      <c r="AL4944" s="35"/>
    </row>
    <row r="4945">
      <c r="A4945" s="1"/>
      <c r="B4945" s="19" t="s">
        <v>19332</v>
      </c>
      <c r="C4945" s="20" t="s">
        <v>23535</v>
      </c>
      <c r="D4945" s="47"/>
      <c r="E4945" s="22" t="s">
        <v>23539</v>
      </c>
      <c r="F4945" s="22" t="s">
        <v>23540</v>
      </c>
      <c r="G4945" s="23">
        <v>2021.0</v>
      </c>
      <c r="H4945" s="22" t="s">
        <v>23541</v>
      </c>
      <c r="I4945" s="24" t="s">
        <v>23542</v>
      </c>
      <c r="J4945" s="22" t="s">
        <v>23543</v>
      </c>
      <c r="K4945" s="22" t="s">
        <v>23544</v>
      </c>
      <c r="L4945" s="52">
        <v>980.0</v>
      </c>
      <c r="M4945" s="52"/>
      <c r="N4945" s="52" t="s">
        <v>414</v>
      </c>
      <c r="O4945" s="52"/>
      <c r="P4945" s="189" t="s">
        <v>2886</v>
      </c>
      <c r="Q4945" s="52"/>
      <c r="R4945" s="52">
        <v>180.0</v>
      </c>
      <c r="S4945" s="52">
        <v>2.0</v>
      </c>
      <c r="T4945" s="28" t="s">
        <v>23545</v>
      </c>
      <c r="U4945" s="29" t="s">
        <v>61</v>
      </c>
      <c r="V4945" s="30"/>
      <c r="W4945" s="156"/>
      <c r="X4945" s="49"/>
      <c r="Y4945" s="35"/>
      <c r="Z4945" s="35"/>
      <c r="AA4945" s="35"/>
      <c r="AB4945" s="35"/>
      <c r="AC4945" s="35"/>
      <c r="AD4945" s="35"/>
      <c r="AE4945" s="35"/>
      <c r="AF4945" s="35"/>
      <c r="AG4945" s="35"/>
      <c r="AH4945" s="35"/>
      <c r="AI4945" s="35"/>
      <c r="AJ4945" s="35"/>
      <c r="AK4945" s="35"/>
      <c r="AL4945" s="35"/>
    </row>
    <row r="4946">
      <c r="A4946" s="18"/>
      <c r="B4946" s="19" t="s">
        <v>19332</v>
      </c>
      <c r="C4946" s="20" t="s">
        <v>23535</v>
      </c>
      <c r="D4946" s="47"/>
      <c r="E4946" s="22" t="s">
        <v>23546</v>
      </c>
      <c r="F4946" s="22" t="s">
        <v>8008</v>
      </c>
      <c r="G4946" s="23">
        <v>2020.0</v>
      </c>
      <c r="H4946" s="22" t="s">
        <v>1485</v>
      </c>
      <c r="I4946" s="24" t="s">
        <v>23547</v>
      </c>
      <c r="J4946" s="22" t="s">
        <v>23548</v>
      </c>
      <c r="K4946" s="22"/>
      <c r="L4946" s="36" t="s">
        <v>23549</v>
      </c>
      <c r="M4946" s="36">
        <v>250.0</v>
      </c>
      <c r="N4946" s="36" t="s">
        <v>23550</v>
      </c>
      <c r="O4946" s="36" t="s">
        <v>23551</v>
      </c>
      <c r="P4946" s="37" t="s">
        <v>23552</v>
      </c>
      <c r="Q4946" s="36" t="s">
        <v>23553</v>
      </c>
      <c r="R4946" s="36" t="s">
        <v>23554</v>
      </c>
      <c r="S4946" s="36" t="s">
        <v>23555</v>
      </c>
      <c r="T4946" s="41" t="s">
        <v>23556</v>
      </c>
      <c r="U4946" s="38" t="str">
        <f>HYPERLINK("https://www.ncbi.nlm.nih.gov/pubmed/31945548","PubMed")</f>
        <v>PubMed</v>
      </c>
      <c r="V4946" s="30"/>
      <c r="W4946" s="34"/>
      <c r="X4946" s="49"/>
      <c r="Y4946" s="35"/>
      <c r="Z4946" s="35"/>
      <c r="AA4946" s="35"/>
      <c r="AB4946" s="35"/>
      <c r="AC4946" s="35"/>
      <c r="AD4946" s="35"/>
      <c r="AE4946" s="35"/>
      <c r="AF4946" s="35"/>
      <c r="AG4946" s="35"/>
      <c r="AH4946" s="35"/>
      <c r="AI4946" s="35"/>
      <c r="AJ4946" s="35"/>
      <c r="AK4946" s="35"/>
      <c r="AL4946" s="35"/>
    </row>
    <row r="4947">
      <c r="A4947" s="18"/>
      <c r="B4947" s="19" t="s">
        <v>19332</v>
      </c>
      <c r="C4947" s="20" t="s">
        <v>23535</v>
      </c>
      <c r="D4947" s="47"/>
      <c r="E4947" s="22" t="s">
        <v>23557</v>
      </c>
      <c r="F4947" s="22" t="s">
        <v>1124</v>
      </c>
      <c r="G4947" s="23">
        <v>2019.0</v>
      </c>
      <c r="H4947" s="22" t="s">
        <v>23428</v>
      </c>
      <c r="I4947" s="24" t="s">
        <v>23558</v>
      </c>
      <c r="J4947" s="22" t="s">
        <v>253</v>
      </c>
      <c r="K4947" s="22"/>
      <c r="L4947" s="36"/>
      <c r="M4947" s="36"/>
      <c r="N4947" s="36"/>
      <c r="O4947" s="36"/>
      <c r="P4947" s="37"/>
      <c r="Q4947" s="36"/>
      <c r="R4947" s="36"/>
      <c r="S4947" s="36"/>
      <c r="T4947" s="41" t="s">
        <v>23559</v>
      </c>
      <c r="U4947" s="38" t="str">
        <f>HYPERLINK("https://www.ncbi.nlm.nih.gov/pubmed/31053447","PubMed")</f>
        <v>PubMed</v>
      </c>
      <c r="V4947" s="30"/>
      <c r="W4947" s="156"/>
      <c r="X4947" s="49"/>
      <c r="Y4947" s="35"/>
      <c r="Z4947" s="35"/>
      <c r="AA4947" s="35"/>
      <c r="AB4947" s="35"/>
      <c r="AC4947" s="35"/>
      <c r="AD4947" s="35"/>
      <c r="AE4947" s="35"/>
      <c r="AF4947" s="35"/>
      <c r="AG4947" s="35"/>
      <c r="AH4947" s="35"/>
      <c r="AI4947" s="35"/>
      <c r="AJ4947" s="35"/>
      <c r="AK4947" s="35"/>
      <c r="AL4947" s="35"/>
    </row>
    <row r="4948">
      <c r="A4948" s="18"/>
      <c r="B4948" s="19" t="s">
        <v>19332</v>
      </c>
      <c r="C4948" s="20" t="s">
        <v>23535</v>
      </c>
      <c r="D4948" s="47"/>
      <c r="E4948" s="22" t="s">
        <v>16618</v>
      </c>
      <c r="F4948" s="22" t="s">
        <v>510</v>
      </c>
      <c r="G4948" s="23">
        <v>2018.0</v>
      </c>
      <c r="H4948" s="22" t="s">
        <v>756</v>
      </c>
      <c r="I4948" s="24" t="s">
        <v>23560</v>
      </c>
      <c r="J4948" s="22" t="s">
        <v>55</v>
      </c>
      <c r="K4948" s="22" t="s">
        <v>1112</v>
      </c>
      <c r="L4948" s="36">
        <v>780.0</v>
      </c>
      <c r="M4948" s="36">
        <v>20.0</v>
      </c>
      <c r="N4948" s="36"/>
      <c r="O4948" s="36"/>
      <c r="P4948" s="37" t="s">
        <v>5495</v>
      </c>
      <c r="Q4948" s="36" t="s">
        <v>23561</v>
      </c>
      <c r="R4948" s="36"/>
      <c r="S4948" s="36"/>
      <c r="T4948" s="28" t="s">
        <v>23562</v>
      </c>
      <c r="U4948" s="38" t="str">
        <f>HYPERLINK("https://www.ncbi.nlm.nih.gov/pubmed/30379208","PubMed")</f>
        <v>PubMed</v>
      </c>
      <c r="V4948" s="30"/>
      <c r="W4948" s="156"/>
      <c r="X4948" s="49"/>
      <c r="Y4948" s="35"/>
      <c r="Z4948" s="35"/>
      <c r="AA4948" s="35"/>
      <c r="AB4948" s="35"/>
      <c r="AC4948" s="35"/>
      <c r="AD4948" s="35"/>
      <c r="AE4948" s="35"/>
      <c r="AF4948" s="35"/>
      <c r="AG4948" s="35"/>
      <c r="AH4948" s="35"/>
      <c r="AI4948" s="35"/>
      <c r="AJ4948" s="35"/>
      <c r="AK4948" s="35"/>
      <c r="AL4948" s="35"/>
    </row>
    <row r="4949">
      <c r="A4949" s="18"/>
      <c r="B4949" s="19" t="s">
        <v>19332</v>
      </c>
      <c r="C4949" s="20" t="s">
        <v>23535</v>
      </c>
      <c r="D4949" s="47"/>
      <c r="E4949" s="22" t="s">
        <v>1402</v>
      </c>
      <c r="F4949" s="22" t="s">
        <v>23563</v>
      </c>
      <c r="G4949" s="23">
        <v>2018.0</v>
      </c>
      <c r="H4949" s="22" t="s">
        <v>658</v>
      </c>
      <c r="I4949" s="24" t="s">
        <v>23564</v>
      </c>
      <c r="J4949" s="22" t="s">
        <v>23565</v>
      </c>
      <c r="K4949" s="22" t="s">
        <v>23566</v>
      </c>
      <c r="L4949" s="36">
        <v>660.0</v>
      </c>
      <c r="M4949" s="36">
        <v>100.0</v>
      </c>
      <c r="N4949" s="36" t="s">
        <v>414</v>
      </c>
      <c r="O4949" s="36" t="s">
        <v>23567</v>
      </c>
      <c r="P4949" s="37" t="s">
        <v>269</v>
      </c>
      <c r="Q4949" s="36"/>
      <c r="R4949" s="36" t="s">
        <v>23568</v>
      </c>
      <c r="S4949" s="36">
        <v>1.0</v>
      </c>
      <c r="T4949" s="28" t="s">
        <v>23569</v>
      </c>
      <c r="U4949" s="38" t="str">
        <f>HYPERLINK("https://www.ncbi.nlm.nih.gov/pubmed/29775553","PubMed")</f>
        <v>PubMed</v>
      </c>
      <c r="V4949" s="30"/>
      <c r="W4949" s="49"/>
      <c r="X4949" s="49"/>
      <c r="Y4949" s="35"/>
      <c r="Z4949" s="35"/>
      <c r="AA4949" s="35"/>
      <c r="AB4949" s="35"/>
      <c r="AC4949" s="35"/>
      <c r="AD4949" s="35"/>
      <c r="AE4949" s="35"/>
      <c r="AF4949" s="35"/>
      <c r="AG4949" s="35"/>
      <c r="AH4949" s="35"/>
      <c r="AI4949" s="35"/>
      <c r="AJ4949" s="35"/>
      <c r="AK4949" s="35"/>
      <c r="AL4949" s="35"/>
    </row>
    <row r="4950">
      <c r="A4950" s="1"/>
      <c r="B4950" s="19" t="s">
        <v>19332</v>
      </c>
      <c r="C4950" s="20" t="s">
        <v>23535</v>
      </c>
      <c r="D4950" s="47"/>
      <c r="E4950" s="22" t="s">
        <v>5469</v>
      </c>
      <c r="F4950" s="22" t="s">
        <v>1370</v>
      </c>
      <c r="G4950" s="23">
        <v>2019.0</v>
      </c>
      <c r="H4950" s="22" t="s">
        <v>91</v>
      </c>
      <c r="I4950" s="24" t="s">
        <v>23570</v>
      </c>
      <c r="J4950" s="22" t="s">
        <v>23571</v>
      </c>
      <c r="K4950" s="22"/>
      <c r="L4950" s="36">
        <v>940.0</v>
      </c>
      <c r="M4950" s="36"/>
      <c r="N4950" s="36"/>
      <c r="O4950" s="36"/>
      <c r="P4950" s="37" t="s">
        <v>23572</v>
      </c>
      <c r="Q4950" s="36" t="s">
        <v>20439</v>
      </c>
      <c r="R4950" s="36">
        <v>60.0</v>
      </c>
      <c r="S4950" s="36" t="s">
        <v>23573</v>
      </c>
      <c r="T4950" s="28" t="s">
        <v>23574</v>
      </c>
      <c r="U4950" s="38" t="str">
        <f>HYPERLINK("https://www.ncbi.nlm.nih.gov/pubmed/31833004","PubMed")</f>
        <v>PubMed</v>
      </c>
      <c r="V4950" s="30"/>
      <c r="W4950" s="156"/>
      <c r="X4950" s="49"/>
      <c r="Y4950" s="35"/>
      <c r="Z4950" s="35"/>
      <c r="AA4950" s="35"/>
      <c r="AB4950" s="35"/>
      <c r="AC4950" s="35"/>
      <c r="AD4950" s="35"/>
      <c r="AE4950" s="35"/>
      <c r="AF4950" s="35"/>
      <c r="AG4950" s="35"/>
      <c r="AH4950" s="35"/>
      <c r="AI4950" s="35"/>
      <c r="AJ4950" s="35"/>
      <c r="AK4950" s="35"/>
      <c r="AL4950" s="35"/>
    </row>
    <row r="4951">
      <c r="A4951" s="1"/>
      <c r="B4951" s="19" t="s">
        <v>19332</v>
      </c>
      <c r="C4951" s="20" t="s">
        <v>23535</v>
      </c>
      <c r="D4951" s="47"/>
      <c r="E4951" s="22" t="s">
        <v>16618</v>
      </c>
      <c r="F4951" s="22" t="s">
        <v>510</v>
      </c>
      <c r="G4951" s="23" t="s">
        <v>90</v>
      </c>
      <c r="H4951" s="22" t="s">
        <v>91</v>
      </c>
      <c r="I4951" s="24" t="s">
        <v>23575</v>
      </c>
      <c r="J4951" s="22" t="s">
        <v>55</v>
      </c>
      <c r="K4951" s="22"/>
      <c r="L4951" s="36">
        <v>780.0</v>
      </c>
      <c r="M4951" s="36">
        <v>20.0</v>
      </c>
      <c r="N4951" s="36"/>
      <c r="O4951" s="36"/>
      <c r="P4951" s="37" t="s">
        <v>23576</v>
      </c>
      <c r="Q4951" s="36" t="s">
        <v>23577</v>
      </c>
      <c r="R4951" s="36">
        <v>40.0</v>
      </c>
      <c r="S4951" s="36"/>
      <c r="T4951" s="28" t="s">
        <v>23578</v>
      </c>
      <c r="U4951" s="38" t="str">
        <f>HYPERLINK("https://www.ncbi.nlm.nih.gov/pubmed/28674791","PubMed")</f>
        <v>PubMed</v>
      </c>
      <c r="V4951" s="30"/>
      <c r="W4951" s="156"/>
      <c r="X4951" s="49"/>
      <c r="Y4951" s="35"/>
      <c r="Z4951" s="35"/>
      <c r="AA4951" s="35"/>
      <c r="AB4951" s="35"/>
      <c r="AC4951" s="35"/>
      <c r="AD4951" s="35"/>
      <c r="AE4951" s="35"/>
      <c r="AF4951" s="35"/>
      <c r="AG4951" s="35"/>
      <c r="AH4951" s="35"/>
      <c r="AI4951" s="35"/>
      <c r="AJ4951" s="35"/>
      <c r="AK4951" s="35"/>
      <c r="AL4951" s="35"/>
    </row>
    <row r="4952">
      <c r="A4952" s="18" t="s">
        <v>38</v>
      </c>
      <c r="B4952" s="19" t="s">
        <v>19332</v>
      </c>
      <c r="C4952" s="20" t="s">
        <v>23535</v>
      </c>
      <c r="D4952" s="47"/>
      <c r="E4952" s="22" t="s">
        <v>23579</v>
      </c>
      <c r="F4952" s="22" t="s">
        <v>3885</v>
      </c>
      <c r="G4952" s="23">
        <v>2016.0</v>
      </c>
      <c r="H4952" s="57" t="s">
        <v>658</v>
      </c>
      <c r="I4952" s="24" t="s">
        <v>23580</v>
      </c>
      <c r="J4952" s="22" t="s">
        <v>23581</v>
      </c>
      <c r="K4952" s="22"/>
      <c r="L4952" s="36">
        <v>670.0</v>
      </c>
      <c r="M4952" s="36">
        <v>190.0</v>
      </c>
      <c r="N4952" s="37" t="s">
        <v>23582</v>
      </c>
      <c r="O4952" s="36"/>
      <c r="P4952" s="37"/>
      <c r="Q4952" s="36"/>
      <c r="R4952" s="36" t="s">
        <v>23583</v>
      </c>
      <c r="S4952" s="36" t="s">
        <v>23584</v>
      </c>
      <c r="T4952" s="28" t="s">
        <v>23585</v>
      </c>
      <c r="U4952" s="38" t="str">
        <f>HYPERLINK("https://www.ncbi.nlm.nih.gov/pubmed/27082031","PubMed")</f>
        <v>PubMed</v>
      </c>
      <c r="V4952" s="30"/>
      <c r="W4952" s="49"/>
      <c r="X4952" s="49"/>
      <c r="Y4952" s="35"/>
      <c r="Z4952" s="35"/>
      <c r="AA4952" s="35"/>
      <c r="AB4952" s="35"/>
      <c r="AC4952" s="35"/>
      <c r="AD4952" s="35"/>
      <c r="AE4952" s="35"/>
      <c r="AF4952" s="35"/>
      <c r="AG4952" s="35"/>
      <c r="AH4952" s="35"/>
      <c r="AI4952" s="35"/>
      <c r="AJ4952" s="35"/>
      <c r="AK4952" s="35"/>
      <c r="AL4952" s="35"/>
    </row>
    <row r="4953">
      <c r="A4953" s="1"/>
      <c r="B4953" s="19" t="s">
        <v>19332</v>
      </c>
      <c r="C4953" s="20" t="s">
        <v>23535</v>
      </c>
      <c r="D4953" s="47"/>
      <c r="E4953" s="22" t="s">
        <v>7510</v>
      </c>
      <c r="F4953" s="22" t="s">
        <v>3492</v>
      </c>
      <c r="G4953" s="23">
        <v>2012.0</v>
      </c>
      <c r="H4953" s="22" t="s">
        <v>19759</v>
      </c>
      <c r="I4953" s="24" t="s">
        <v>23586</v>
      </c>
      <c r="J4953" s="22" t="s">
        <v>23587</v>
      </c>
      <c r="K4953" s="22"/>
      <c r="L4953" s="36">
        <v>980.0</v>
      </c>
      <c r="M4953" s="36">
        <v>1000.0</v>
      </c>
      <c r="N4953" s="36"/>
      <c r="O4953" s="36"/>
      <c r="P4953" s="37" t="s">
        <v>15031</v>
      </c>
      <c r="Q4953" s="36"/>
      <c r="R4953" s="36">
        <v>150.0</v>
      </c>
      <c r="S4953" s="36" t="s">
        <v>23588</v>
      </c>
      <c r="T4953" s="28" t="s">
        <v>23589</v>
      </c>
      <c r="U4953" s="38" t="str">
        <f>HYPERLINK("https://www.ncbi.nlm.nih.gov/pubmed/23814581","PubMed")</f>
        <v>PubMed</v>
      </c>
      <c r="V4953" s="30"/>
      <c r="W4953" s="34"/>
      <c r="X4953" s="49"/>
      <c r="Y4953" s="35"/>
      <c r="Z4953" s="35"/>
      <c r="AA4953" s="35"/>
      <c r="AB4953" s="35"/>
      <c r="AC4953" s="35"/>
      <c r="AD4953" s="35"/>
      <c r="AE4953" s="35"/>
      <c r="AF4953" s="35"/>
      <c r="AG4953" s="35"/>
      <c r="AH4953" s="35"/>
      <c r="AI4953" s="35"/>
      <c r="AJ4953" s="35"/>
      <c r="AK4953" s="35"/>
      <c r="AL4953" s="35"/>
    </row>
    <row r="4954">
      <c r="A4954" s="1"/>
      <c r="B4954" s="19" t="s">
        <v>19332</v>
      </c>
      <c r="C4954" s="20" t="s">
        <v>23590</v>
      </c>
      <c r="D4954" s="47"/>
      <c r="E4954" s="22" t="s">
        <v>23591</v>
      </c>
      <c r="F4954" s="22" t="s">
        <v>11536</v>
      </c>
      <c r="G4954" s="23">
        <v>2023.0</v>
      </c>
      <c r="H4954" s="22" t="s">
        <v>147</v>
      </c>
      <c r="I4954" s="24" t="s">
        <v>23592</v>
      </c>
      <c r="J4954" s="22" t="s">
        <v>23593</v>
      </c>
      <c r="K4954" s="22"/>
      <c r="L4954" s="52">
        <v>980.0</v>
      </c>
      <c r="M4954" s="52">
        <v>100.0</v>
      </c>
      <c r="N4954" s="52"/>
      <c r="O4954" s="52"/>
      <c r="P4954" s="189"/>
      <c r="Q4954" s="52"/>
      <c r="R4954" s="52"/>
      <c r="S4954" s="52"/>
      <c r="T4954" s="28" t="s">
        <v>23594</v>
      </c>
      <c r="U4954" s="38" t="s">
        <v>61</v>
      </c>
      <c r="V4954" s="30"/>
      <c r="W4954" s="34"/>
      <c r="X4954" s="49"/>
      <c r="Y4954" s="35"/>
      <c r="Z4954" s="35"/>
      <c r="AA4954" s="35"/>
      <c r="AB4954" s="35"/>
      <c r="AC4954" s="35"/>
      <c r="AD4954" s="35"/>
      <c r="AE4954" s="35"/>
      <c r="AF4954" s="35"/>
      <c r="AG4954" s="35"/>
      <c r="AH4954" s="35"/>
      <c r="AI4954" s="35"/>
      <c r="AJ4954" s="35"/>
      <c r="AK4954" s="35"/>
      <c r="AL4954" s="35"/>
    </row>
    <row r="4955">
      <c r="A4955" s="1"/>
      <c r="B4955" s="19" t="s">
        <v>19332</v>
      </c>
      <c r="C4955" s="20" t="s">
        <v>23590</v>
      </c>
      <c r="D4955" s="47"/>
      <c r="E4955" s="22" t="s">
        <v>3300</v>
      </c>
      <c r="F4955" s="22" t="s">
        <v>18872</v>
      </c>
      <c r="G4955" s="23">
        <v>2023.0</v>
      </c>
      <c r="H4955" s="22" t="s">
        <v>23595</v>
      </c>
      <c r="I4955" s="24" t="s">
        <v>23596</v>
      </c>
      <c r="J4955" s="22" t="s">
        <v>649</v>
      </c>
      <c r="K4955" s="22"/>
      <c r="L4955" s="53" t="s">
        <v>23597</v>
      </c>
      <c r="U4955" s="38" t="s">
        <v>61</v>
      </c>
      <c r="V4955" s="30"/>
      <c r="W4955" s="156"/>
      <c r="X4955" s="49"/>
      <c r="Y4955" s="35"/>
      <c r="Z4955" s="35"/>
      <c r="AA4955" s="35"/>
      <c r="AB4955" s="35"/>
      <c r="AC4955" s="35"/>
      <c r="AD4955" s="35"/>
      <c r="AE4955" s="35"/>
      <c r="AF4955" s="35"/>
      <c r="AG4955" s="35"/>
      <c r="AH4955" s="35"/>
      <c r="AI4955" s="35"/>
      <c r="AJ4955" s="35"/>
      <c r="AK4955" s="35"/>
      <c r="AL4955" s="35"/>
    </row>
    <row r="4956">
      <c r="A4956" s="1"/>
      <c r="B4956" s="19" t="s">
        <v>19332</v>
      </c>
      <c r="C4956" s="20" t="s">
        <v>23590</v>
      </c>
      <c r="D4956" s="47"/>
      <c r="E4956" s="22" t="s">
        <v>23598</v>
      </c>
      <c r="F4956" s="22" t="s">
        <v>1930</v>
      </c>
      <c r="G4956" s="23">
        <v>2022.0</v>
      </c>
      <c r="H4956" s="22" t="s">
        <v>147</v>
      </c>
      <c r="I4956" s="24" t="s">
        <v>23599</v>
      </c>
      <c r="J4956" s="22" t="s">
        <v>1078</v>
      </c>
      <c r="K4956" s="22"/>
      <c r="L4956" s="173" t="s">
        <v>23600</v>
      </c>
      <c r="U4956" s="38" t="s">
        <v>61</v>
      </c>
      <c r="V4956" s="30"/>
      <c r="W4956" s="156"/>
      <c r="X4956" s="49"/>
      <c r="Y4956" s="35"/>
      <c r="Z4956" s="35"/>
      <c r="AA4956" s="35"/>
      <c r="AB4956" s="35"/>
      <c r="AC4956" s="35"/>
      <c r="AD4956" s="35"/>
      <c r="AE4956" s="35"/>
      <c r="AF4956" s="35"/>
      <c r="AG4956" s="35"/>
      <c r="AH4956" s="35"/>
      <c r="AI4956" s="35"/>
      <c r="AJ4956" s="35"/>
      <c r="AK4956" s="35"/>
      <c r="AL4956" s="35"/>
    </row>
    <row r="4957">
      <c r="A4957" s="1"/>
      <c r="B4957" s="19" t="s">
        <v>19332</v>
      </c>
      <c r="C4957" s="20" t="s">
        <v>23590</v>
      </c>
      <c r="D4957" s="47"/>
      <c r="E4957" s="22" t="s">
        <v>23601</v>
      </c>
      <c r="F4957" s="22" t="s">
        <v>52</v>
      </c>
      <c r="G4957" s="23">
        <v>2021.0</v>
      </c>
      <c r="H4957" s="22" t="s">
        <v>21754</v>
      </c>
      <c r="I4957" s="24" t="s">
        <v>23602</v>
      </c>
      <c r="J4957" s="22"/>
      <c r="K4957" s="22"/>
      <c r="L4957" s="52">
        <v>940.0</v>
      </c>
      <c r="M4957" s="52">
        <v>100.0</v>
      </c>
      <c r="N4957" s="52"/>
      <c r="O4957" s="52"/>
      <c r="P4957" s="189" t="s">
        <v>70</v>
      </c>
      <c r="Q4957" s="52" t="s">
        <v>14163</v>
      </c>
      <c r="R4957" s="52">
        <v>10.0</v>
      </c>
      <c r="S4957" s="52"/>
      <c r="T4957" s="41" t="s">
        <v>23603</v>
      </c>
      <c r="U4957" s="29" t="s">
        <v>61</v>
      </c>
      <c r="V4957" s="30"/>
      <c r="W4957" s="34"/>
      <c r="X4957" s="49"/>
      <c r="Y4957" s="35"/>
      <c r="Z4957" s="35"/>
      <c r="AA4957" s="35"/>
      <c r="AB4957" s="35"/>
      <c r="AC4957" s="35"/>
      <c r="AD4957" s="35"/>
      <c r="AE4957" s="35"/>
      <c r="AF4957" s="35"/>
      <c r="AG4957" s="35"/>
      <c r="AH4957" s="35"/>
      <c r="AI4957" s="35"/>
      <c r="AJ4957" s="35"/>
      <c r="AK4957" s="35"/>
      <c r="AL4957" s="35"/>
    </row>
    <row r="4958">
      <c r="A4958" s="1"/>
      <c r="B4958" s="19" t="s">
        <v>19332</v>
      </c>
      <c r="C4958" s="20" t="s">
        <v>23590</v>
      </c>
      <c r="D4958" s="47"/>
      <c r="E4958" s="22" t="s">
        <v>7880</v>
      </c>
      <c r="F4958" s="22" t="s">
        <v>19727</v>
      </c>
      <c r="G4958" s="23">
        <v>2021.0</v>
      </c>
      <c r="H4958" s="22" t="s">
        <v>23604</v>
      </c>
      <c r="I4958" s="24" t="s">
        <v>23605</v>
      </c>
      <c r="J4958" s="22" t="s">
        <v>1078</v>
      </c>
      <c r="K4958" s="22"/>
      <c r="L4958" s="173" t="s">
        <v>23606</v>
      </c>
      <c r="U4958" s="29" t="s">
        <v>61</v>
      </c>
      <c r="V4958" s="30"/>
      <c r="W4958" s="156"/>
      <c r="X4958" s="49"/>
      <c r="Y4958" s="35"/>
      <c r="Z4958" s="35"/>
      <c r="AA4958" s="35"/>
      <c r="AB4958" s="35"/>
      <c r="AC4958" s="35"/>
      <c r="AD4958" s="35"/>
      <c r="AE4958" s="35"/>
      <c r="AF4958" s="35"/>
      <c r="AG4958" s="35"/>
      <c r="AH4958" s="35"/>
      <c r="AI4958" s="35"/>
      <c r="AJ4958" s="35"/>
      <c r="AK4958" s="35"/>
      <c r="AL4958" s="35"/>
    </row>
    <row r="4959">
      <c r="A4959" s="1"/>
      <c r="B4959" s="19" t="s">
        <v>19332</v>
      </c>
      <c r="C4959" s="20" t="s">
        <v>23590</v>
      </c>
      <c r="D4959" s="47"/>
      <c r="E4959" s="22" t="s">
        <v>23607</v>
      </c>
      <c r="F4959" s="22" t="s">
        <v>5227</v>
      </c>
      <c r="G4959" s="23">
        <v>2021.0</v>
      </c>
      <c r="H4959" s="22" t="s">
        <v>23608</v>
      </c>
      <c r="I4959" s="24" t="s">
        <v>23609</v>
      </c>
      <c r="J4959" s="22" t="s">
        <v>1078</v>
      </c>
      <c r="K4959" s="22"/>
      <c r="L4959" s="188" t="s">
        <v>23610</v>
      </c>
      <c r="U4959" s="29" t="s">
        <v>61</v>
      </c>
      <c r="V4959" s="30"/>
      <c r="W4959" s="156"/>
      <c r="X4959" s="49"/>
      <c r="Y4959" s="35"/>
      <c r="Z4959" s="35"/>
      <c r="AA4959" s="35"/>
      <c r="AB4959" s="35"/>
      <c r="AC4959" s="35"/>
      <c r="AD4959" s="35"/>
      <c r="AE4959" s="35"/>
      <c r="AF4959" s="35"/>
      <c r="AG4959" s="35"/>
      <c r="AH4959" s="35"/>
      <c r="AI4959" s="35"/>
      <c r="AJ4959" s="35"/>
      <c r="AK4959" s="35"/>
      <c r="AL4959" s="35"/>
    </row>
    <row r="4960">
      <c r="A4960" s="341"/>
      <c r="B4960" s="75" t="s">
        <v>19332</v>
      </c>
      <c r="C4960" s="20" t="s">
        <v>23590</v>
      </c>
      <c r="D4960" s="47"/>
      <c r="E4960" s="22" t="s">
        <v>23611</v>
      </c>
      <c r="F4960" s="22" t="s">
        <v>1891</v>
      </c>
      <c r="G4960" s="23">
        <v>2021.0</v>
      </c>
      <c r="H4960" s="22" t="s">
        <v>77</v>
      </c>
      <c r="I4960" s="24" t="s">
        <v>23612</v>
      </c>
      <c r="J4960" s="22" t="s">
        <v>649</v>
      </c>
      <c r="K4960" s="22"/>
      <c r="L4960" s="43" t="s">
        <v>23613</v>
      </c>
      <c r="M4960" s="44"/>
      <c r="N4960" s="44"/>
      <c r="O4960" s="44"/>
      <c r="P4960" s="44"/>
      <c r="Q4960" s="44"/>
      <c r="R4960" s="44"/>
      <c r="S4960" s="44"/>
      <c r="T4960" s="45"/>
      <c r="U4960" s="29" t="s">
        <v>61</v>
      </c>
      <c r="V4960" s="50"/>
      <c r="W4960" s="49"/>
      <c r="X4960" s="49"/>
      <c r="Y4960" s="35"/>
      <c r="Z4960" s="35"/>
      <c r="AA4960" s="35"/>
      <c r="AB4960" s="35"/>
      <c r="AC4960" s="35"/>
      <c r="AD4960" s="35"/>
      <c r="AE4960" s="35"/>
      <c r="AF4960" s="35"/>
      <c r="AG4960" s="35"/>
      <c r="AH4960" s="35"/>
      <c r="AI4960" s="35"/>
      <c r="AJ4960" s="35"/>
      <c r="AK4960" s="35"/>
      <c r="AL4960" s="35"/>
    </row>
    <row r="4961">
      <c r="A4961" s="276" t="s">
        <v>38</v>
      </c>
      <c r="B4961" s="19" t="s">
        <v>19332</v>
      </c>
      <c r="C4961" s="20" t="s">
        <v>23590</v>
      </c>
      <c r="D4961" s="47"/>
      <c r="E4961" s="22" t="s">
        <v>20298</v>
      </c>
      <c r="F4961" s="22" t="s">
        <v>5404</v>
      </c>
      <c r="G4961" s="23">
        <v>2020.0</v>
      </c>
      <c r="H4961" s="22" t="s">
        <v>594</v>
      </c>
      <c r="I4961" s="24" t="s">
        <v>23614</v>
      </c>
      <c r="J4961" s="22" t="s">
        <v>23615</v>
      </c>
      <c r="K4961" s="22" t="s">
        <v>23616</v>
      </c>
      <c r="L4961" s="52">
        <v>808.0</v>
      </c>
      <c r="M4961" s="52"/>
      <c r="N4961" s="52"/>
      <c r="O4961" s="52" t="s">
        <v>20344</v>
      </c>
      <c r="P4961" s="189" t="s">
        <v>70</v>
      </c>
      <c r="Q4961" s="52"/>
      <c r="R4961" s="52"/>
      <c r="S4961" s="52" t="s">
        <v>23617</v>
      </c>
      <c r="T4961" s="28" t="s">
        <v>23618</v>
      </c>
      <c r="U4961" s="38" t="s">
        <v>61</v>
      </c>
      <c r="V4961" s="30"/>
      <c r="W4961" s="156"/>
      <c r="X4961" s="49"/>
      <c r="Y4961" s="35"/>
      <c r="Z4961" s="35"/>
      <c r="AA4961" s="35"/>
      <c r="AB4961" s="35"/>
      <c r="AC4961" s="35"/>
      <c r="AD4961" s="35"/>
      <c r="AE4961" s="35"/>
      <c r="AF4961" s="35"/>
      <c r="AG4961" s="35"/>
      <c r="AH4961" s="35"/>
      <c r="AI4961" s="35"/>
      <c r="AJ4961" s="35"/>
      <c r="AK4961" s="35"/>
      <c r="AL4961" s="35"/>
    </row>
    <row r="4962">
      <c r="A4962" s="276" t="s">
        <v>38</v>
      </c>
      <c r="B4962" s="75" t="s">
        <v>19332</v>
      </c>
      <c r="C4962" s="20" t="s">
        <v>23590</v>
      </c>
      <c r="D4962" s="47"/>
      <c r="E4962" s="22" t="s">
        <v>20298</v>
      </c>
      <c r="F4962" s="22" t="s">
        <v>5404</v>
      </c>
      <c r="G4962" s="23">
        <v>2020.0</v>
      </c>
      <c r="H4962" s="22" t="s">
        <v>77</v>
      </c>
      <c r="I4962" s="24" t="s">
        <v>23619</v>
      </c>
      <c r="J4962" s="22" t="s">
        <v>23620</v>
      </c>
      <c r="K4962" s="22" t="s">
        <v>23621</v>
      </c>
      <c r="L4962" s="36">
        <v>635.0</v>
      </c>
      <c r="M4962" s="36">
        <v>100.0</v>
      </c>
      <c r="N4962" s="36" t="s">
        <v>1175</v>
      </c>
      <c r="O4962" s="36" t="s">
        <v>23622</v>
      </c>
      <c r="P4962" s="37" t="s">
        <v>70</v>
      </c>
      <c r="Q4962" s="36" t="s">
        <v>433</v>
      </c>
      <c r="R4962" s="36" t="s">
        <v>23623</v>
      </c>
      <c r="S4962" s="36" t="s">
        <v>23617</v>
      </c>
      <c r="T4962" s="28" t="s">
        <v>23624</v>
      </c>
      <c r="U4962" s="29" t="s">
        <v>61</v>
      </c>
      <c r="V4962" s="50"/>
      <c r="W4962" s="49"/>
      <c r="X4962" s="49"/>
      <c r="Y4962" s="35"/>
      <c r="Z4962" s="35"/>
      <c r="AA4962" s="35"/>
      <c r="AB4962" s="35"/>
      <c r="AC4962" s="35"/>
      <c r="AD4962" s="35"/>
      <c r="AE4962" s="35"/>
      <c r="AF4962" s="35"/>
      <c r="AG4962" s="35"/>
      <c r="AH4962" s="35"/>
      <c r="AI4962" s="35"/>
      <c r="AJ4962" s="35"/>
      <c r="AK4962" s="35"/>
      <c r="AL4962" s="35"/>
    </row>
    <row r="4963">
      <c r="A4963" s="1"/>
      <c r="B4963" s="75" t="s">
        <v>19332</v>
      </c>
      <c r="C4963" s="20" t="s">
        <v>23590</v>
      </c>
      <c r="D4963" s="47"/>
      <c r="E4963" s="22" t="s">
        <v>23625</v>
      </c>
      <c r="F4963" s="22" t="s">
        <v>23626</v>
      </c>
      <c r="G4963" s="23">
        <v>2019.0</v>
      </c>
      <c r="H4963" s="22" t="s">
        <v>3963</v>
      </c>
      <c r="I4963" s="24" t="s">
        <v>23627</v>
      </c>
      <c r="J4963" s="22" t="s">
        <v>23628</v>
      </c>
      <c r="K4963" s="22"/>
      <c r="L4963" s="36">
        <v>635.0</v>
      </c>
      <c r="M4963" s="36"/>
      <c r="N4963" s="36"/>
      <c r="O4963" s="36"/>
      <c r="P4963" s="37" t="s">
        <v>287</v>
      </c>
      <c r="Q4963" s="36"/>
      <c r="R4963" s="36" t="s">
        <v>23629</v>
      </c>
      <c r="S4963" s="36" t="s">
        <v>23617</v>
      </c>
      <c r="T4963" s="28" t="s">
        <v>23630</v>
      </c>
      <c r="U4963" s="38" t="str">
        <f>HYPERLINK("https://www.ncbi.nlm.nih.gov/pubmed/31906190","PubMed")</f>
        <v>PubMed</v>
      </c>
      <c r="V4963" s="50"/>
      <c r="W4963" s="49"/>
      <c r="X4963" s="49"/>
      <c r="Y4963" s="35"/>
      <c r="Z4963" s="35"/>
      <c r="AA4963" s="35"/>
      <c r="AB4963" s="35"/>
      <c r="AC4963" s="35"/>
      <c r="AD4963" s="35"/>
      <c r="AE4963" s="35"/>
      <c r="AF4963" s="35"/>
      <c r="AG4963" s="35"/>
      <c r="AH4963" s="35"/>
      <c r="AI4963" s="35"/>
      <c r="AJ4963" s="35"/>
      <c r="AK4963" s="35"/>
      <c r="AL4963" s="35"/>
    </row>
    <row r="4964">
      <c r="A4964" s="1"/>
      <c r="B4964" s="75" t="s">
        <v>19332</v>
      </c>
      <c r="C4964" s="20" t="s">
        <v>23590</v>
      </c>
      <c r="D4964" s="47"/>
      <c r="E4964" s="22" t="s">
        <v>23631</v>
      </c>
      <c r="F4964" s="22" t="s">
        <v>358</v>
      </c>
      <c r="G4964" s="23">
        <v>2019.0</v>
      </c>
      <c r="H4964" s="22" t="s">
        <v>91</v>
      </c>
      <c r="I4964" s="24" t="s">
        <v>23632</v>
      </c>
      <c r="J4964" s="22" t="s">
        <v>23633</v>
      </c>
      <c r="K4964" s="22" t="s">
        <v>23634</v>
      </c>
      <c r="L4964" s="36" t="s">
        <v>23635</v>
      </c>
      <c r="M4964" s="36"/>
      <c r="N4964" s="36" t="s">
        <v>6712</v>
      </c>
      <c r="O4964" s="36"/>
      <c r="P4964" s="37" t="s">
        <v>4190</v>
      </c>
      <c r="Q4964" s="36" t="s">
        <v>19376</v>
      </c>
      <c r="R4964" s="36" t="s">
        <v>16511</v>
      </c>
      <c r="S4964" s="36" t="s">
        <v>23636</v>
      </c>
      <c r="T4964" s="28" t="s">
        <v>23637</v>
      </c>
      <c r="U4964" s="38" t="str">
        <f>HYPERLINK("https://www.ncbi.nlm.nih.gov/pubmed/31154599","PubMed")</f>
        <v>PubMed</v>
      </c>
      <c r="V4964" s="50"/>
      <c r="W4964" s="49"/>
      <c r="X4964" s="49"/>
      <c r="Y4964" s="35"/>
      <c r="Z4964" s="35"/>
      <c r="AA4964" s="35"/>
      <c r="AB4964" s="35"/>
      <c r="AC4964" s="35"/>
      <c r="AD4964" s="35"/>
      <c r="AE4964" s="35"/>
      <c r="AF4964" s="35"/>
      <c r="AG4964" s="35"/>
      <c r="AH4964" s="35"/>
      <c r="AI4964" s="35"/>
      <c r="AJ4964" s="35"/>
      <c r="AK4964" s="35"/>
      <c r="AL4964" s="35"/>
    </row>
    <row r="4965">
      <c r="A4965" s="18"/>
      <c r="B4965" s="19" t="s">
        <v>19332</v>
      </c>
      <c r="C4965" s="20" t="s">
        <v>23590</v>
      </c>
      <c r="D4965" s="47"/>
      <c r="E4965" s="22" t="s">
        <v>23638</v>
      </c>
      <c r="F4965" s="22" t="s">
        <v>23639</v>
      </c>
      <c r="G4965" s="23">
        <v>2018.0</v>
      </c>
      <c r="H4965" s="22" t="s">
        <v>23640</v>
      </c>
      <c r="I4965" s="24" t="s">
        <v>23641</v>
      </c>
      <c r="J4965" s="22" t="s">
        <v>23642</v>
      </c>
      <c r="K4965" s="22" t="s">
        <v>1534</v>
      </c>
      <c r="L4965" s="36">
        <v>940.0</v>
      </c>
      <c r="M4965" s="36"/>
      <c r="N4965" s="36"/>
      <c r="O4965" s="36"/>
      <c r="P4965" s="37"/>
      <c r="Q4965" s="36"/>
      <c r="R4965" s="36"/>
      <c r="S4965" s="36" t="s">
        <v>21642</v>
      </c>
      <c r="T4965" s="41" t="s">
        <v>23643</v>
      </c>
      <c r="U4965" s="38" t="str">
        <f>HYPERLINK("https://www.ncbi.nlm.nih.gov/pubmed/29874972","PubMed")</f>
        <v>PubMed</v>
      </c>
      <c r="V4965" s="30"/>
      <c r="W4965" s="156"/>
      <c r="X4965" s="49"/>
      <c r="Y4965" s="35"/>
      <c r="Z4965" s="35"/>
      <c r="AA4965" s="35"/>
      <c r="AB4965" s="35"/>
      <c r="AC4965" s="35"/>
      <c r="AD4965" s="35"/>
      <c r="AE4965" s="35"/>
      <c r="AF4965" s="35"/>
      <c r="AG4965" s="35"/>
      <c r="AH4965" s="35"/>
      <c r="AI4965" s="35"/>
      <c r="AJ4965" s="35"/>
      <c r="AK4965" s="35"/>
      <c r="AL4965" s="35"/>
    </row>
    <row r="4966">
      <c r="A4966" s="1"/>
      <c r="B4966" s="19" t="s">
        <v>19332</v>
      </c>
      <c r="C4966" s="20" t="s">
        <v>23590</v>
      </c>
      <c r="D4966" s="47"/>
      <c r="E4966" s="22" t="s">
        <v>23644</v>
      </c>
      <c r="F4966" s="22" t="s">
        <v>237</v>
      </c>
      <c r="G4966" s="23" t="s">
        <v>11799</v>
      </c>
      <c r="H4966" s="22" t="s">
        <v>658</v>
      </c>
      <c r="I4966" s="24" t="s">
        <v>23645</v>
      </c>
      <c r="J4966" s="22" t="s">
        <v>23646</v>
      </c>
      <c r="K4966" s="22" t="s">
        <v>23647</v>
      </c>
      <c r="L4966" s="36">
        <v>660.0</v>
      </c>
      <c r="M4966" s="36">
        <v>40.0</v>
      </c>
      <c r="N4966" s="36"/>
      <c r="O4966" s="129">
        <v>44653.0</v>
      </c>
      <c r="P4966" s="37"/>
      <c r="Q4966" s="36"/>
      <c r="R4966" s="36">
        <v>60.0</v>
      </c>
      <c r="S4966" s="36" t="s">
        <v>6403</v>
      </c>
      <c r="T4966" s="42" t="s">
        <v>23648</v>
      </c>
      <c r="U4966" s="38" t="str">
        <f>HYPERLINK("https://www.ncbi.nlm.nih.gov/pubmed/27813716","PubMed")</f>
        <v>PubMed</v>
      </c>
      <c r="V4966" s="30"/>
      <c r="W4966" s="49"/>
      <c r="X4966" s="49"/>
      <c r="Y4966" s="35"/>
      <c r="Z4966" s="35"/>
      <c r="AA4966" s="35"/>
      <c r="AB4966" s="35"/>
      <c r="AC4966" s="35"/>
      <c r="AD4966" s="35"/>
      <c r="AE4966" s="35"/>
      <c r="AF4966" s="35"/>
      <c r="AG4966" s="35"/>
      <c r="AH4966" s="35"/>
      <c r="AI4966" s="35"/>
      <c r="AJ4966" s="35"/>
      <c r="AK4966" s="35"/>
      <c r="AL4966" s="35"/>
    </row>
    <row r="4967">
      <c r="A4967" s="1" t="s">
        <v>181</v>
      </c>
      <c r="B4967" s="19" t="s">
        <v>19332</v>
      </c>
      <c r="C4967" s="20" t="s">
        <v>23590</v>
      </c>
      <c r="D4967" s="47"/>
      <c r="E4967" s="22" t="s">
        <v>978</v>
      </c>
      <c r="F4967" s="22" t="s">
        <v>979</v>
      </c>
      <c r="G4967" s="23">
        <v>2016.0</v>
      </c>
      <c r="H4967" s="22" t="s">
        <v>53</v>
      </c>
      <c r="I4967" s="24" t="s">
        <v>23649</v>
      </c>
      <c r="J4967" s="22" t="s">
        <v>23650</v>
      </c>
      <c r="K4967" s="22" t="s">
        <v>23651</v>
      </c>
      <c r="L4967" s="36">
        <v>618.0</v>
      </c>
      <c r="M4967" s="36"/>
      <c r="N4967" s="36" t="s">
        <v>211</v>
      </c>
      <c r="O4967" s="36"/>
      <c r="P4967" s="37"/>
      <c r="Q4967" s="36"/>
      <c r="R4967" s="36">
        <v>1200.0</v>
      </c>
      <c r="S4967" s="36" t="s">
        <v>3849</v>
      </c>
      <c r="T4967" s="98" t="s">
        <v>23652</v>
      </c>
      <c r="U4967" s="38" t="str">
        <f>HYPERLINK("https://www.ncbi.nlm.nih.gov/pubmed/27039894","PubMed")</f>
        <v>PubMed</v>
      </c>
      <c r="V4967" s="30"/>
      <c r="W4967" s="49"/>
      <c r="X4967" s="49"/>
      <c r="Y4967" s="35"/>
      <c r="Z4967" s="35"/>
      <c r="AA4967" s="35"/>
      <c r="AB4967" s="35"/>
      <c r="AC4967" s="35"/>
      <c r="AD4967" s="35"/>
      <c r="AE4967" s="35"/>
      <c r="AF4967" s="35"/>
      <c r="AG4967" s="35"/>
      <c r="AH4967" s="35"/>
      <c r="AI4967" s="35"/>
      <c r="AJ4967" s="35"/>
      <c r="AK4967" s="35"/>
      <c r="AL4967" s="35"/>
    </row>
    <row r="4968">
      <c r="A4968" s="1"/>
      <c r="B4968" s="19" t="s">
        <v>19332</v>
      </c>
      <c r="C4968" s="20" t="s">
        <v>23590</v>
      </c>
      <c r="D4968" s="47"/>
      <c r="E4968" s="22" t="s">
        <v>16190</v>
      </c>
      <c r="F4968" s="22" t="s">
        <v>237</v>
      </c>
      <c r="G4968" s="23">
        <v>2015.0</v>
      </c>
      <c r="H4968" s="22" t="s">
        <v>91</v>
      </c>
      <c r="I4968" s="24" t="s">
        <v>23653</v>
      </c>
      <c r="J4968" s="22" t="s">
        <v>3694</v>
      </c>
      <c r="K4968" s="22"/>
      <c r="L4968" s="36">
        <v>780.0</v>
      </c>
      <c r="M4968" s="36">
        <v>70.0</v>
      </c>
      <c r="N4968" s="36"/>
      <c r="O4968" s="36"/>
      <c r="P4968" s="37" t="s">
        <v>23654</v>
      </c>
      <c r="Q4968" s="36" t="s">
        <v>23655</v>
      </c>
      <c r="R4968" s="36">
        <v>60.0</v>
      </c>
      <c r="S4968" s="36"/>
      <c r="T4968" s="342" t="s">
        <v>23656</v>
      </c>
      <c r="U4968" s="38" t="str">
        <f>HYPERLINK("https://www.ncbi.nlm.nih.gov/pubmed/23929562","PubMed")</f>
        <v>PubMed</v>
      </c>
      <c r="V4968" s="50"/>
      <c r="W4968" s="49"/>
      <c r="X4968" s="49"/>
      <c r="Y4968" s="35"/>
      <c r="Z4968" s="35"/>
      <c r="AA4968" s="35"/>
      <c r="AB4968" s="35"/>
      <c r="AC4968" s="35"/>
      <c r="AD4968" s="35"/>
      <c r="AE4968" s="35"/>
      <c r="AF4968" s="35"/>
      <c r="AG4968" s="35"/>
      <c r="AH4968" s="35"/>
      <c r="AI4968" s="35"/>
      <c r="AJ4968" s="35"/>
      <c r="AK4968" s="35"/>
      <c r="AL4968" s="35"/>
    </row>
    <row r="4969">
      <c r="A4969" s="180"/>
      <c r="B4969" s="19" t="s">
        <v>19332</v>
      </c>
      <c r="C4969" s="20" t="s">
        <v>23590</v>
      </c>
      <c r="D4969" s="47"/>
      <c r="E4969" s="22" t="s">
        <v>23657</v>
      </c>
      <c r="F4969" s="22" t="s">
        <v>11512</v>
      </c>
      <c r="G4969" s="23">
        <v>2015.0</v>
      </c>
      <c r="H4969" s="22" t="s">
        <v>658</v>
      </c>
      <c r="I4969" s="24" t="s">
        <v>23658</v>
      </c>
      <c r="J4969" s="22" t="s">
        <v>253</v>
      </c>
      <c r="K4969" s="22"/>
      <c r="L4969" s="36">
        <v>810.0</v>
      </c>
      <c r="M4969" s="36">
        <v>300.0</v>
      </c>
      <c r="N4969" s="36"/>
      <c r="O4969" s="36"/>
      <c r="P4969" s="37" t="s">
        <v>2907</v>
      </c>
      <c r="Q4969" s="36" t="s">
        <v>23659</v>
      </c>
      <c r="R4969" s="36" t="s">
        <v>23660</v>
      </c>
      <c r="S4969" s="36">
        <v>10.0</v>
      </c>
      <c r="T4969" s="28" t="s">
        <v>23661</v>
      </c>
      <c r="U4969" s="38" t="str">
        <f>HYPERLINK("https://www.ncbi.nlm.nih.gov/pubmed/25594769","PubMed")</f>
        <v>PubMed</v>
      </c>
      <c r="V4969" s="30"/>
      <c r="W4969" s="49"/>
      <c r="X4969" s="49"/>
      <c r="Y4969" s="35"/>
      <c r="Z4969" s="35"/>
      <c r="AA4969" s="35"/>
      <c r="AB4969" s="35"/>
      <c r="AC4969" s="35"/>
      <c r="AD4969" s="35"/>
      <c r="AE4969" s="35"/>
      <c r="AF4969" s="35"/>
      <c r="AG4969" s="35"/>
      <c r="AH4969" s="35"/>
      <c r="AI4969" s="35"/>
      <c r="AJ4969" s="35"/>
      <c r="AK4969" s="35"/>
      <c r="AL4969" s="35"/>
    </row>
    <row r="4970">
      <c r="A4970" s="1"/>
      <c r="B4970" s="19" t="s">
        <v>19332</v>
      </c>
      <c r="C4970" s="20" t="s">
        <v>23590</v>
      </c>
      <c r="D4970" s="47"/>
      <c r="E4970" s="22" t="s">
        <v>9596</v>
      </c>
      <c r="F4970" s="22" t="s">
        <v>979</v>
      </c>
      <c r="G4970" s="23">
        <v>2012.0</v>
      </c>
      <c r="H4970" s="22" t="s">
        <v>23608</v>
      </c>
      <c r="I4970" s="24" t="s">
        <v>23662</v>
      </c>
      <c r="J4970" s="22" t="s">
        <v>253</v>
      </c>
      <c r="K4970" s="22" t="s">
        <v>23663</v>
      </c>
      <c r="L4970" s="36">
        <v>618.0</v>
      </c>
      <c r="M4970" s="36"/>
      <c r="N4970" s="36"/>
      <c r="O4970" s="36"/>
      <c r="P4970" s="37"/>
      <c r="Q4970" s="36"/>
      <c r="R4970" s="36"/>
      <c r="S4970" s="36"/>
      <c r="T4970" s="28" t="s">
        <v>23664</v>
      </c>
      <c r="U4970" s="38" t="str">
        <f>HYPERLINK("https://www.ncbi.nlm.nih.gov/pubmed/21187526","PubMed")</f>
        <v>PubMed</v>
      </c>
      <c r="V4970" s="30"/>
      <c r="W4970" s="34"/>
      <c r="X4970" s="49"/>
      <c r="Y4970" s="35"/>
      <c r="Z4970" s="35"/>
      <c r="AA4970" s="35"/>
      <c r="AB4970" s="35"/>
      <c r="AC4970" s="35"/>
      <c r="AD4970" s="35"/>
      <c r="AE4970" s="35"/>
      <c r="AF4970" s="35"/>
      <c r="AG4970" s="35"/>
      <c r="AH4970" s="35"/>
      <c r="AI4970" s="35"/>
      <c r="AJ4970" s="35"/>
      <c r="AK4970" s="35"/>
      <c r="AL4970" s="35"/>
    </row>
    <row r="4971">
      <c r="A4971" s="1"/>
      <c r="B4971" s="19" t="s">
        <v>19332</v>
      </c>
      <c r="C4971" s="20" t="s">
        <v>23665</v>
      </c>
      <c r="D4971" s="47"/>
      <c r="E4971" s="22" t="s">
        <v>20016</v>
      </c>
      <c r="F4971" s="22" t="s">
        <v>1714</v>
      </c>
      <c r="G4971" s="23">
        <v>2023.0</v>
      </c>
      <c r="H4971" s="22" t="s">
        <v>91</v>
      </c>
      <c r="I4971" s="24" t="s">
        <v>23666</v>
      </c>
      <c r="J4971" s="22" t="s">
        <v>55</v>
      </c>
      <c r="K4971" s="22"/>
      <c r="L4971" s="52">
        <v>910.0</v>
      </c>
      <c r="M4971" s="52">
        <v>300.0</v>
      </c>
      <c r="N4971" s="136"/>
      <c r="O4971" s="136"/>
      <c r="P4971" s="136"/>
      <c r="Q4971" s="136"/>
      <c r="R4971" s="136"/>
      <c r="S4971" s="136"/>
      <c r="T4971" s="54" t="s">
        <v>23667</v>
      </c>
      <c r="U4971" s="38" t="s">
        <v>61</v>
      </c>
      <c r="V4971" s="30"/>
      <c r="W4971" s="156"/>
      <c r="X4971" s="49"/>
      <c r="Y4971" s="35"/>
      <c r="Z4971" s="35"/>
      <c r="AA4971" s="35"/>
      <c r="AB4971" s="35"/>
      <c r="AC4971" s="35"/>
      <c r="AD4971" s="35"/>
      <c r="AE4971" s="35"/>
      <c r="AF4971" s="35"/>
      <c r="AG4971" s="35"/>
      <c r="AH4971" s="35"/>
      <c r="AI4971" s="35"/>
      <c r="AJ4971" s="35"/>
      <c r="AK4971" s="35"/>
      <c r="AL4971" s="35"/>
    </row>
    <row r="4972">
      <c r="A4972" s="1"/>
      <c r="B4972" s="19" t="s">
        <v>19332</v>
      </c>
      <c r="C4972" s="20" t="s">
        <v>23665</v>
      </c>
      <c r="D4972" s="47"/>
      <c r="E4972" s="22" t="s">
        <v>444</v>
      </c>
      <c r="F4972" s="22" t="s">
        <v>358</v>
      </c>
      <c r="G4972" s="23">
        <v>2021.0</v>
      </c>
      <c r="H4972" s="22" t="s">
        <v>91</v>
      </c>
      <c r="I4972" s="24" t="s">
        <v>23668</v>
      </c>
      <c r="J4972" s="22" t="s">
        <v>1078</v>
      </c>
      <c r="K4972" s="22"/>
      <c r="L4972" s="53" t="s">
        <v>23669</v>
      </c>
      <c r="U4972" s="29" t="s">
        <v>61</v>
      </c>
      <c r="V4972" s="30"/>
      <c r="W4972" s="156"/>
      <c r="X4972" s="49"/>
      <c r="Y4972" s="35"/>
      <c r="Z4972" s="35"/>
      <c r="AA4972" s="35"/>
      <c r="AB4972" s="35"/>
      <c r="AC4972" s="35"/>
      <c r="AD4972" s="35"/>
      <c r="AE4972" s="35"/>
      <c r="AF4972" s="35"/>
      <c r="AG4972" s="35"/>
      <c r="AH4972" s="35"/>
      <c r="AI4972" s="35"/>
      <c r="AJ4972" s="35"/>
      <c r="AK4972" s="35"/>
      <c r="AL4972" s="35"/>
    </row>
    <row r="4973">
      <c r="A4973" s="39" t="s">
        <v>181</v>
      </c>
      <c r="B4973" s="19" t="s">
        <v>19332</v>
      </c>
      <c r="C4973" s="20" t="s">
        <v>23665</v>
      </c>
      <c r="D4973" s="47"/>
      <c r="E4973" s="22" t="s">
        <v>23670</v>
      </c>
      <c r="F4973" s="22" t="s">
        <v>3958</v>
      </c>
      <c r="G4973" s="23">
        <v>2019.0</v>
      </c>
      <c r="H4973" s="22" t="s">
        <v>21622</v>
      </c>
      <c r="I4973" s="24" t="s">
        <v>23671</v>
      </c>
      <c r="J4973" s="22" t="s">
        <v>9864</v>
      </c>
      <c r="K4973" s="22"/>
      <c r="L4973" s="155" t="s">
        <v>23672</v>
      </c>
      <c r="M4973" s="36"/>
      <c r="N4973" s="36"/>
      <c r="O4973" s="36"/>
      <c r="P4973" s="37" t="s">
        <v>254</v>
      </c>
      <c r="Q4973" s="36"/>
      <c r="R4973" s="36"/>
      <c r="S4973" s="36"/>
      <c r="T4973" s="28" t="s">
        <v>23673</v>
      </c>
      <c r="U4973" s="38" t="str">
        <f>HYPERLINK("https://www.ncbi.nlm.nih.gov/pubmed/31170763","PubMed")</f>
        <v>PubMed</v>
      </c>
      <c r="V4973" s="30"/>
      <c r="W4973" s="156"/>
      <c r="X4973" s="49"/>
      <c r="Y4973" s="35"/>
      <c r="Z4973" s="35"/>
      <c r="AA4973" s="35"/>
      <c r="AB4973" s="35"/>
      <c r="AC4973" s="35"/>
      <c r="AD4973" s="35"/>
      <c r="AE4973" s="35"/>
      <c r="AF4973" s="35"/>
      <c r="AG4973" s="35"/>
      <c r="AH4973" s="35"/>
      <c r="AI4973" s="35"/>
      <c r="AJ4973" s="35"/>
      <c r="AK4973" s="35"/>
      <c r="AL4973" s="35"/>
    </row>
    <row r="4974">
      <c r="A4974" s="39"/>
      <c r="B4974" s="19" t="s">
        <v>19332</v>
      </c>
      <c r="C4974" s="20" t="s">
        <v>23665</v>
      </c>
      <c r="D4974" s="47"/>
      <c r="E4974" s="22" t="s">
        <v>23674</v>
      </c>
      <c r="F4974" s="22" t="s">
        <v>41</v>
      </c>
      <c r="G4974" s="23">
        <v>2018.0</v>
      </c>
      <c r="H4974" s="22" t="s">
        <v>658</v>
      </c>
      <c r="I4974" s="24" t="s">
        <v>23675</v>
      </c>
      <c r="J4974" s="22" t="s">
        <v>55</v>
      </c>
      <c r="K4974" s="22"/>
      <c r="L4974" s="36">
        <v>808.0</v>
      </c>
      <c r="M4974" s="36"/>
      <c r="N4974" s="36"/>
      <c r="O4974" s="36" t="s">
        <v>23676</v>
      </c>
      <c r="P4974" s="37"/>
      <c r="Q4974" s="36"/>
      <c r="R4974" s="36"/>
      <c r="S4974" s="36"/>
      <c r="T4974" s="42" t="s">
        <v>23677</v>
      </c>
      <c r="U4974" s="38" t="str">
        <f>HYPERLINK("https://www.ncbi.nlm.nih.gov/pubmed/31697636","PubMed")</f>
        <v>PubMed</v>
      </c>
      <c r="V4974" s="30"/>
      <c r="W4974" s="156"/>
      <c r="X4974" s="49"/>
      <c r="Y4974" s="35"/>
      <c r="Z4974" s="35"/>
      <c r="AA4974" s="35"/>
      <c r="AB4974" s="35"/>
      <c r="AC4974" s="35"/>
      <c r="AD4974" s="35"/>
      <c r="AE4974" s="35"/>
      <c r="AF4974" s="35"/>
      <c r="AG4974" s="35"/>
      <c r="AH4974" s="35"/>
      <c r="AI4974" s="35"/>
      <c r="AJ4974" s="35"/>
      <c r="AK4974" s="35"/>
      <c r="AL4974" s="35"/>
    </row>
    <row r="4975">
      <c r="A4975" s="18" t="s">
        <v>38</v>
      </c>
      <c r="B4975" s="19" t="s">
        <v>19332</v>
      </c>
      <c r="C4975" s="20" t="s">
        <v>23665</v>
      </c>
      <c r="D4975" s="47"/>
      <c r="E4975" s="22" t="s">
        <v>23678</v>
      </c>
      <c r="F4975" s="22" t="s">
        <v>2221</v>
      </c>
      <c r="G4975" s="23">
        <v>2018.0</v>
      </c>
      <c r="H4975" s="22" t="s">
        <v>23679</v>
      </c>
      <c r="I4975" s="24" t="s">
        <v>23680</v>
      </c>
      <c r="J4975" s="22" t="s">
        <v>23681</v>
      </c>
      <c r="K4975" s="22"/>
      <c r="L4975" s="36">
        <v>810.0</v>
      </c>
      <c r="M4975" s="36">
        <v>100.0</v>
      </c>
      <c r="N4975" s="36"/>
      <c r="O4975" s="36">
        <v>10.0</v>
      </c>
      <c r="P4975" s="37"/>
      <c r="Q4975" s="36"/>
      <c r="R4975" s="36">
        <v>100.0</v>
      </c>
      <c r="S4975" s="36" t="s">
        <v>4484</v>
      </c>
      <c r="T4975" s="42" t="s">
        <v>23682</v>
      </c>
      <c r="U4975" s="38" t="str">
        <f>HYPERLINK("https://www.ncbi.nlm.nih.gov/pubmed/29875572","PubMed")</f>
        <v>PubMed</v>
      </c>
      <c r="V4975" s="30"/>
      <c r="W4975" s="156"/>
      <c r="X4975" s="49"/>
      <c r="Y4975" s="35"/>
      <c r="Z4975" s="35"/>
      <c r="AA4975" s="35"/>
      <c r="AB4975" s="35"/>
      <c r="AC4975" s="35"/>
      <c r="AD4975" s="35"/>
      <c r="AE4975" s="35"/>
      <c r="AF4975" s="35"/>
      <c r="AG4975" s="35"/>
      <c r="AH4975" s="35"/>
      <c r="AI4975" s="35"/>
      <c r="AJ4975" s="35"/>
      <c r="AK4975" s="35"/>
      <c r="AL4975" s="35"/>
    </row>
    <row r="4976">
      <c r="A4976" s="18"/>
      <c r="B4976" s="19" t="s">
        <v>19332</v>
      </c>
      <c r="C4976" s="20" t="s">
        <v>23665</v>
      </c>
      <c r="D4976" s="47"/>
      <c r="E4976" s="22" t="s">
        <v>12717</v>
      </c>
      <c r="F4976" s="22" t="s">
        <v>122</v>
      </c>
      <c r="G4976" s="23">
        <v>2013.0</v>
      </c>
      <c r="H4976" s="22" t="s">
        <v>23683</v>
      </c>
      <c r="I4976" s="24" t="s">
        <v>23684</v>
      </c>
      <c r="J4976" s="22" t="s">
        <v>23685</v>
      </c>
      <c r="K4976" s="22"/>
      <c r="L4976" s="52">
        <v>830.0</v>
      </c>
      <c r="M4976" s="52">
        <v>100.0</v>
      </c>
      <c r="N4976" s="52"/>
      <c r="O4976" s="52" t="s">
        <v>23686</v>
      </c>
      <c r="P4976" s="189" t="s">
        <v>6397</v>
      </c>
      <c r="Q4976" s="52"/>
      <c r="R4976" s="52" t="s">
        <v>23687</v>
      </c>
      <c r="S4976" s="52" t="s">
        <v>23688</v>
      </c>
      <c r="T4976" s="42" t="s">
        <v>23689</v>
      </c>
      <c r="U4976" s="29" t="s">
        <v>61</v>
      </c>
      <c r="V4976" s="30"/>
      <c r="W4976" s="156"/>
      <c r="X4976" s="49"/>
      <c r="Y4976" s="35"/>
      <c r="Z4976" s="35"/>
      <c r="AA4976" s="35"/>
      <c r="AB4976" s="35"/>
      <c r="AC4976" s="35"/>
      <c r="AD4976" s="35"/>
      <c r="AE4976" s="35"/>
      <c r="AF4976" s="35"/>
      <c r="AG4976" s="35"/>
      <c r="AH4976" s="35"/>
      <c r="AI4976" s="35"/>
      <c r="AJ4976" s="35"/>
      <c r="AK4976" s="35"/>
      <c r="AL4976" s="35"/>
    </row>
    <row r="4977">
      <c r="A4977" s="18"/>
      <c r="B4977" s="19" t="s">
        <v>19332</v>
      </c>
      <c r="C4977" s="20" t="s">
        <v>23690</v>
      </c>
      <c r="D4977" s="47"/>
      <c r="E4977" s="22" t="s">
        <v>23691</v>
      </c>
      <c r="F4977" s="22" t="s">
        <v>11529</v>
      </c>
      <c r="G4977" s="23">
        <v>2024.0</v>
      </c>
      <c r="H4977" s="22" t="s">
        <v>23692</v>
      </c>
      <c r="I4977" s="24" t="s">
        <v>23693</v>
      </c>
      <c r="J4977" s="22" t="s">
        <v>23694</v>
      </c>
      <c r="K4977" s="22" t="s">
        <v>21162</v>
      </c>
      <c r="L4977" s="52">
        <v>808.0</v>
      </c>
      <c r="M4977" s="52">
        <v>200.0</v>
      </c>
      <c r="N4977" s="52"/>
      <c r="O4977" s="52"/>
      <c r="P4977" s="189" t="s">
        <v>23695</v>
      </c>
      <c r="Q4977" s="52"/>
      <c r="R4977" s="52"/>
      <c r="S4977" s="52"/>
      <c r="T4977" s="28" t="s">
        <v>23696</v>
      </c>
      <c r="U4977" s="38" t="s">
        <v>61</v>
      </c>
      <c r="V4977" s="30"/>
      <c r="W4977" s="156"/>
      <c r="X4977" s="49"/>
      <c r="Y4977" s="35"/>
      <c r="Z4977" s="35"/>
      <c r="AA4977" s="35"/>
      <c r="AB4977" s="35"/>
      <c r="AC4977" s="35"/>
      <c r="AD4977" s="35"/>
      <c r="AE4977" s="35"/>
      <c r="AF4977" s="35"/>
      <c r="AG4977" s="35"/>
      <c r="AH4977" s="35"/>
      <c r="AI4977" s="35"/>
      <c r="AJ4977" s="35"/>
      <c r="AK4977" s="35"/>
      <c r="AL4977" s="35"/>
    </row>
    <row r="4978">
      <c r="A4978" s="18"/>
      <c r="B4978" s="19" t="s">
        <v>19332</v>
      </c>
      <c r="C4978" s="20" t="s">
        <v>23690</v>
      </c>
      <c r="D4978" s="47"/>
      <c r="E4978" s="22" t="s">
        <v>1689</v>
      </c>
      <c r="F4978" s="22" t="s">
        <v>23697</v>
      </c>
      <c r="G4978" s="23">
        <v>2024.0</v>
      </c>
      <c r="H4978" s="22" t="s">
        <v>627</v>
      </c>
      <c r="I4978" s="24" t="s">
        <v>23698</v>
      </c>
      <c r="J4978" s="22" t="s">
        <v>8451</v>
      </c>
      <c r="K4978" s="22"/>
      <c r="L4978" s="173" t="s">
        <v>23699</v>
      </c>
      <c r="U4978" s="38" t="s">
        <v>61</v>
      </c>
      <c r="V4978" s="30"/>
      <c r="W4978" s="156"/>
      <c r="X4978" s="49"/>
      <c r="Y4978" s="35"/>
      <c r="Z4978" s="35"/>
      <c r="AA4978" s="35"/>
      <c r="AB4978" s="35"/>
      <c r="AC4978" s="35"/>
      <c r="AD4978" s="35"/>
      <c r="AE4978" s="35"/>
      <c r="AF4978" s="35"/>
      <c r="AG4978" s="35"/>
      <c r="AH4978" s="35"/>
      <c r="AI4978" s="35"/>
      <c r="AJ4978" s="35"/>
      <c r="AK4978" s="35"/>
      <c r="AL4978" s="35"/>
    </row>
    <row r="4979">
      <c r="A4979" s="18"/>
      <c r="B4979" s="19" t="s">
        <v>19332</v>
      </c>
      <c r="C4979" s="20" t="s">
        <v>23690</v>
      </c>
      <c r="D4979" s="47"/>
      <c r="E4979" s="22" t="s">
        <v>23700</v>
      </c>
      <c r="F4979" s="22" t="s">
        <v>1943</v>
      </c>
      <c r="G4979" s="23">
        <v>2024.0</v>
      </c>
      <c r="H4979" s="22" t="s">
        <v>19733</v>
      </c>
      <c r="I4979" s="24" t="s">
        <v>23701</v>
      </c>
      <c r="J4979" s="22" t="s">
        <v>23702</v>
      </c>
      <c r="K4979" s="22"/>
      <c r="L4979" s="52">
        <v>635.0</v>
      </c>
      <c r="M4979" s="52">
        <v>100.0</v>
      </c>
      <c r="N4979" s="52"/>
      <c r="O4979" s="52"/>
      <c r="P4979" s="189" t="s">
        <v>9353</v>
      </c>
      <c r="Q4979" s="52" t="s">
        <v>23703</v>
      </c>
      <c r="R4979" s="52"/>
      <c r="S4979" s="52"/>
      <c r="T4979" s="42" t="s">
        <v>23704</v>
      </c>
      <c r="U4979" s="38" t="s">
        <v>61</v>
      </c>
      <c r="V4979" s="30" t="s">
        <v>23705</v>
      </c>
      <c r="W4979" s="156"/>
      <c r="X4979" s="49"/>
      <c r="Y4979" s="35"/>
      <c r="Z4979" s="35"/>
      <c r="AA4979" s="35"/>
      <c r="AB4979" s="35"/>
      <c r="AC4979" s="35"/>
      <c r="AD4979" s="35"/>
      <c r="AE4979" s="35"/>
      <c r="AF4979" s="35"/>
      <c r="AG4979" s="35"/>
      <c r="AH4979" s="35"/>
      <c r="AI4979" s="35"/>
      <c r="AJ4979" s="35"/>
      <c r="AK4979" s="35"/>
      <c r="AL4979" s="35"/>
    </row>
    <row r="4980">
      <c r="A4980" s="18"/>
      <c r="B4980" s="19" t="s">
        <v>19332</v>
      </c>
      <c r="C4980" s="20" t="s">
        <v>23690</v>
      </c>
      <c r="D4980" s="47"/>
      <c r="E4980" s="22" t="s">
        <v>23706</v>
      </c>
      <c r="F4980" s="22" t="s">
        <v>7630</v>
      </c>
      <c r="G4980" s="23">
        <v>2024.0</v>
      </c>
      <c r="H4980" s="22" t="s">
        <v>12502</v>
      </c>
      <c r="I4980" s="24" t="s">
        <v>23707</v>
      </c>
      <c r="J4980" s="22" t="s">
        <v>23708</v>
      </c>
      <c r="K4980" s="22" t="s">
        <v>23709</v>
      </c>
      <c r="L4980" s="52">
        <v>810.0</v>
      </c>
      <c r="M4980" s="52">
        <v>150.0</v>
      </c>
      <c r="N4980" s="52"/>
      <c r="O4980" s="52"/>
      <c r="P4980" s="189" t="s">
        <v>254</v>
      </c>
      <c r="Q4980" s="52" t="s">
        <v>23710</v>
      </c>
      <c r="R4980" s="52" t="s">
        <v>23711</v>
      </c>
      <c r="S4980" s="52" t="s">
        <v>23712</v>
      </c>
      <c r="T4980" s="28" t="s">
        <v>23713</v>
      </c>
      <c r="U4980" s="38" t="s">
        <v>61</v>
      </c>
      <c r="V4980" s="30"/>
      <c r="W4980" s="156"/>
      <c r="X4980" s="49"/>
      <c r="Y4980" s="35"/>
      <c r="Z4980" s="35"/>
      <c r="AA4980" s="35"/>
      <c r="AB4980" s="35"/>
      <c r="AC4980" s="35"/>
      <c r="AD4980" s="35"/>
      <c r="AE4980" s="35"/>
      <c r="AF4980" s="35"/>
      <c r="AG4980" s="35"/>
      <c r="AH4980" s="35"/>
      <c r="AI4980" s="35"/>
      <c r="AJ4980" s="35"/>
      <c r="AK4980" s="35"/>
      <c r="AL4980" s="35"/>
    </row>
    <row r="4981">
      <c r="A4981" s="18"/>
      <c r="B4981" s="19" t="s">
        <v>19332</v>
      </c>
      <c r="C4981" s="20" t="s">
        <v>23690</v>
      </c>
      <c r="D4981" s="47"/>
      <c r="E4981" s="22" t="s">
        <v>23706</v>
      </c>
      <c r="F4981" s="22" t="s">
        <v>7630</v>
      </c>
      <c r="G4981" s="23">
        <v>2024.0</v>
      </c>
      <c r="H4981" s="22" t="s">
        <v>23608</v>
      </c>
      <c r="I4981" s="24" t="s">
        <v>23714</v>
      </c>
      <c r="J4981" s="22" t="s">
        <v>1078</v>
      </c>
      <c r="K4981" s="22"/>
      <c r="L4981" s="173" t="s">
        <v>23715</v>
      </c>
      <c r="U4981" s="38" t="s">
        <v>61</v>
      </c>
      <c r="V4981" s="30"/>
      <c r="W4981" s="156"/>
      <c r="X4981" s="49"/>
      <c r="Y4981" s="35"/>
      <c r="Z4981" s="35"/>
      <c r="AA4981" s="35"/>
      <c r="AB4981" s="35"/>
      <c r="AC4981" s="35"/>
      <c r="AD4981" s="35"/>
      <c r="AE4981" s="35"/>
      <c r="AF4981" s="35"/>
      <c r="AG4981" s="35"/>
      <c r="AH4981" s="35"/>
      <c r="AI4981" s="35"/>
      <c r="AJ4981" s="35"/>
      <c r="AK4981" s="35"/>
      <c r="AL4981" s="35"/>
    </row>
    <row r="4982">
      <c r="A4982" s="18"/>
      <c r="B4982" s="19" t="s">
        <v>19332</v>
      </c>
      <c r="C4982" s="20" t="s">
        <v>23690</v>
      </c>
      <c r="D4982" s="47"/>
      <c r="E4982" s="22" t="s">
        <v>23716</v>
      </c>
      <c r="F4982" s="22" t="s">
        <v>7630</v>
      </c>
      <c r="G4982" s="23">
        <v>2024.0</v>
      </c>
      <c r="H4982" s="22" t="s">
        <v>2375</v>
      </c>
      <c r="I4982" s="24" t="s">
        <v>23717</v>
      </c>
      <c r="J4982" s="22" t="s">
        <v>23718</v>
      </c>
      <c r="K4982" s="22" t="s">
        <v>23719</v>
      </c>
      <c r="L4982" s="52">
        <v>810.0</v>
      </c>
      <c r="M4982" s="52">
        <v>500.0</v>
      </c>
      <c r="N4982" s="52"/>
      <c r="O4982" s="52" t="s">
        <v>23720</v>
      </c>
      <c r="P4982" s="189"/>
      <c r="Q4982" s="52"/>
      <c r="R4982" s="52" t="s">
        <v>17175</v>
      </c>
      <c r="S4982" s="52" t="s">
        <v>23721</v>
      </c>
      <c r="T4982" s="28" t="s">
        <v>23722</v>
      </c>
      <c r="U4982" s="38" t="s">
        <v>61</v>
      </c>
      <c r="V4982" s="30"/>
      <c r="W4982" s="156"/>
      <c r="X4982" s="49"/>
      <c r="Y4982" s="35"/>
      <c r="Z4982" s="35"/>
      <c r="AA4982" s="35"/>
      <c r="AB4982" s="35"/>
      <c r="AC4982" s="35"/>
      <c r="AD4982" s="35"/>
      <c r="AE4982" s="35"/>
      <c r="AF4982" s="35"/>
      <c r="AG4982" s="35"/>
      <c r="AH4982" s="35"/>
      <c r="AI4982" s="35"/>
      <c r="AJ4982" s="35"/>
      <c r="AK4982" s="35"/>
      <c r="AL4982" s="35"/>
    </row>
    <row r="4983">
      <c r="A4983" s="18"/>
      <c r="B4983" s="19" t="s">
        <v>19332</v>
      </c>
      <c r="C4983" s="20" t="s">
        <v>23690</v>
      </c>
      <c r="D4983" s="47"/>
      <c r="E4983" s="22" t="s">
        <v>20016</v>
      </c>
      <c r="F4983" s="22" t="s">
        <v>1714</v>
      </c>
      <c r="G4983" s="23">
        <v>2022.0</v>
      </c>
      <c r="H4983" s="22" t="s">
        <v>91</v>
      </c>
      <c r="I4983" s="24" t="s">
        <v>23723</v>
      </c>
      <c r="J4983" s="22" t="s">
        <v>55</v>
      </c>
      <c r="K4983" s="22"/>
      <c r="L4983" s="52">
        <v>910.0</v>
      </c>
      <c r="M4983" s="52">
        <v>300.0</v>
      </c>
      <c r="N4983" s="52"/>
      <c r="O4983" s="52"/>
      <c r="P4983" s="189"/>
      <c r="Q4983" s="52"/>
      <c r="R4983" s="52"/>
      <c r="S4983" s="52"/>
      <c r="T4983" s="28" t="s">
        <v>23724</v>
      </c>
      <c r="U4983" s="38" t="s">
        <v>61</v>
      </c>
      <c r="V4983" s="30" t="s">
        <v>23725</v>
      </c>
      <c r="W4983" s="156"/>
      <c r="X4983" s="49"/>
      <c r="Y4983" s="35"/>
      <c r="Z4983" s="35"/>
      <c r="AA4983" s="35"/>
      <c r="AB4983" s="35"/>
      <c r="AC4983" s="35"/>
      <c r="AD4983" s="35"/>
      <c r="AE4983" s="35"/>
      <c r="AF4983" s="35"/>
      <c r="AG4983" s="35"/>
      <c r="AH4983" s="35"/>
      <c r="AI4983" s="35"/>
      <c r="AJ4983" s="35"/>
      <c r="AK4983" s="35"/>
      <c r="AL4983" s="35"/>
    </row>
    <row r="4984">
      <c r="A4984" s="18"/>
      <c r="B4984" s="19" t="s">
        <v>19332</v>
      </c>
      <c r="C4984" s="20" t="s">
        <v>23690</v>
      </c>
      <c r="D4984" s="47"/>
      <c r="E4984" s="22" t="s">
        <v>23726</v>
      </c>
      <c r="F4984" s="22" t="s">
        <v>16174</v>
      </c>
      <c r="G4984" s="23">
        <v>2022.0</v>
      </c>
      <c r="H4984" s="22" t="s">
        <v>22712</v>
      </c>
      <c r="I4984" s="24" t="s">
        <v>23727</v>
      </c>
      <c r="J4984" s="22" t="s">
        <v>23728</v>
      </c>
      <c r="K4984" s="22"/>
      <c r="L4984" s="52">
        <v>808.0</v>
      </c>
      <c r="M4984" s="52">
        <v>40.0</v>
      </c>
      <c r="N4984" s="52"/>
      <c r="O4984" s="52" t="s">
        <v>23729</v>
      </c>
      <c r="P4984" s="189" t="s">
        <v>23730</v>
      </c>
      <c r="Q4984" s="52" t="s">
        <v>1141</v>
      </c>
      <c r="R4984" s="52"/>
      <c r="S4984" s="52">
        <v>1.0</v>
      </c>
      <c r="T4984" s="28" t="s">
        <v>23731</v>
      </c>
      <c r="U4984" s="29" t="s">
        <v>61</v>
      </c>
      <c r="V4984" s="30"/>
      <c r="W4984" s="156"/>
      <c r="X4984" s="49"/>
      <c r="Y4984" s="35"/>
      <c r="Z4984" s="35"/>
      <c r="AA4984" s="35"/>
      <c r="AB4984" s="35"/>
      <c r="AC4984" s="35"/>
      <c r="AD4984" s="35"/>
      <c r="AE4984" s="35"/>
      <c r="AF4984" s="35"/>
      <c r="AG4984" s="35"/>
      <c r="AH4984" s="35"/>
      <c r="AI4984" s="35"/>
      <c r="AJ4984" s="35"/>
      <c r="AK4984" s="35"/>
      <c r="AL4984" s="35"/>
    </row>
    <row r="4985">
      <c r="A4985" s="18"/>
      <c r="B4985" s="19" t="s">
        <v>19332</v>
      </c>
      <c r="C4985" s="20" t="s">
        <v>23690</v>
      </c>
      <c r="D4985" s="47"/>
      <c r="E4985" s="22" t="s">
        <v>16315</v>
      </c>
      <c r="F4985" s="22" t="s">
        <v>183</v>
      </c>
      <c r="G4985" s="23">
        <v>2022.0</v>
      </c>
      <c r="H4985" s="22" t="s">
        <v>207</v>
      </c>
      <c r="I4985" s="24" t="s">
        <v>23732</v>
      </c>
      <c r="J4985" s="22" t="s">
        <v>23733</v>
      </c>
      <c r="K4985" s="22" t="s">
        <v>653</v>
      </c>
      <c r="L4985" s="52" t="s">
        <v>741</v>
      </c>
      <c r="M4985" s="52"/>
      <c r="N4985" s="52"/>
      <c r="O4985" s="52"/>
      <c r="P4985" s="189"/>
      <c r="Q4985" s="52"/>
      <c r="R4985" s="52"/>
      <c r="S4985" s="52">
        <v>1.0</v>
      </c>
      <c r="T4985" s="28" t="s">
        <v>23734</v>
      </c>
      <c r="U4985" s="29" t="s">
        <v>61</v>
      </c>
      <c r="V4985" s="30"/>
      <c r="W4985" s="156"/>
      <c r="X4985" s="49"/>
      <c r="Y4985" s="35"/>
      <c r="Z4985" s="35"/>
      <c r="AA4985" s="35"/>
      <c r="AB4985" s="35"/>
      <c r="AC4985" s="35"/>
      <c r="AD4985" s="35"/>
      <c r="AE4985" s="35"/>
      <c r="AF4985" s="35"/>
      <c r="AG4985" s="35"/>
      <c r="AH4985" s="35"/>
      <c r="AI4985" s="35"/>
      <c r="AJ4985" s="35"/>
      <c r="AK4985" s="35"/>
      <c r="AL4985" s="35"/>
    </row>
    <row r="4986">
      <c r="A4986" s="18"/>
      <c r="B4986" s="19" t="s">
        <v>19332</v>
      </c>
      <c r="C4986" s="20" t="s">
        <v>23735</v>
      </c>
      <c r="D4986" s="47"/>
      <c r="E4986" s="22" t="s">
        <v>412</v>
      </c>
      <c r="F4986" s="22" t="s">
        <v>323</v>
      </c>
      <c r="G4986" s="23">
        <v>2022.0</v>
      </c>
      <c r="H4986" s="22" t="s">
        <v>77</v>
      </c>
      <c r="I4986" s="24" t="s">
        <v>23736</v>
      </c>
      <c r="J4986" s="22" t="s">
        <v>23737</v>
      </c>
      <c r="K4986" s="22"/>
      <c r="L4986" s="52">
        <v>940.0</v>
      </c>
      <c r="M4986" s="52">
        <v>300.0</v>
      </c>
      <c r="N4986" s="52"/>
      <c r="O4986" s="52"/>
      <c r="P4986" s="189" t="s">
        <v>10257</v>
      </c>
      <c r="Q4986" s="52" t="s">
        <v>23738</v>
      </c>
      <c r="R4986" s="52"/>
      <c r="S4986" s="52">
        <v>1.0</v>
      </c>
      <c r="T4986" s="28" t="s">
        <v>23739</v>
      </c>
      <c r="U4986" s="29" t="s">
        <v>61</v>
      </c>
      <c r="V4986" s="30"/>
      <c r="W4986" s="156"/>
      <c r="X4986" s="49"/>
      <c r="Y4986" s="35"/>
      <c r="Z4986" s="35"/>
      <c r="AA4986" s="35"/>
      <c r="AB4986" s="35"/>
      <c r="AC4986" s="35"/>
      <c r="AD4986" s="35"/>
      <c r="AE4986" s="35"/>
      <c r="AF4986" s="35"/>
      <c r="AG4986" s="35"/>
      <c r="AH4986" s="35"/>
      <c r="AI4986" s="35"/>
      <c r="AJ4986" s="35"/>
      <c r="AK4986" s="35"/>
      <c r="AL4986" s="35"/>
    </row>
    <row r="4987">
      <c r="A4987" s="278" t="s">
        <v>38</v>
      </c>
      <c r="B4987" s="19" t="s">
        <v>19332</v>
      </c>
      <c r="C4987" s="20" t="s">
        <v>23690</v>
      </c>
      <c r="D4987" s="47"/>
      <c r="E4987" s="22" t="s">
        <v>23740</v>
      </c>
      <c r="F4987" s="22" t="s">
        <v>20564</v>
      </c>
      <c r="G4987" s="23">
        <v>2024.0</v>
      </c>
      <c r="H4987" s="22" t="s">
        <v>2375</v>
      </c>
      <c r="I4987" s="24" t="s">
        <v>23741</v>
      </c>
      <c r="J4987" s="22" t="s">
        <v>23742</v>
      </c>
      <c r="K4987" s="22"/>
      <c r="L4987" s="52">
        <v>810.0</v>
      </c>
      <c r="M4987" s="52">
        <v>300.0</v>
      </c>
      <c r="N4987" s="52"/>
      <c r="O4987" s="52"/>
      <c r="P4987" s="189"/>
      <c r="Q4987" s="52"/>
      <c r="R4987" s="52"/>
      <c r="S4987" s="52">
        <v>1.0</v>
      </c>
      <c r="T4987" s="28" t="s">
        <v>23743</v>
      </c>
      <c r="U4987" s="38" t="s">
        <v>61</v>
      </c>
      <c r="V4987" s="30" t="s">
        <v>23744</v>
      </c>
      <c r="W4987" s="156"/>
      <c r="X4987" s="49"/>
      <c r="Y4987" s="35"/>
      <c r="Z4987" s="35"/>
      <c r="AA4987" s="35"/>
      <c r="AB4987" s="35"/>
      <c r="AC4987" s="35"/>
      <c r="AD4987" s="35"/>
      <c r="AE4987" s="35"/>
      <c r="AF4987" s="35"/>
      <c r="AG4987" s="35"/>
      <c r="AH4987" s="35"/>
      <c r="AI4987" s="35"/>
      <c r="AJ4987" s="35"/>
      <c r="AK4987" s="35"/>
      <c r="AL4987" s="35"/>
    </row>
    <row r="4988">
      <c r="A4988" s="18"/>
      <c r="B4988" s="19" t="s">
        <v>19332</v>
      </c>
      <c r="C4988" s="20" t="s">
        <v>23690</v>
      </c>
      <c r="D4988" s="47"/>
      <c r="E4988" s="22" t="s">
        <v>23745</v>
      </c>
      <c r="F4988" s="22" t="s">
        <v>23746</v>
      </c>
      <c r="G4988" s="23">
        <v>2022.0</v>
      </c>
      <c r="H4988" s="22" t="s">
        <v>23747</v>
      </c>
      <c r="I4988" s="24" t="s">
        <v>23748</v>
      </c>
      <c r="J4988" s="22" t="s">
        <v>23749</v>
      </c>
      <c r="K4988" s="22" t="s">
        <v>23750</v>
      </c>
      <c r="L4988" s="52">
        <v>808.0</v>
      </c>
      <c r="M4988" s="52">
        <v>350.0</v>
      </c>
      <c r="N4988" s="52"/>
      <c r="O4988" s="52" t="s">
        <v>23751</v>
      </c>
      <c r="P4988" s="189"/>
      <c r="Q4988" s="52"/>
      <c r="R4988" s="52"/>
      <c r="S4988" s="52">
        <v>1.0</v>
      </c>
      <c r="T4988" s="28" t="s">
        <v>23752</v>
      </c>
      <c r="U4988" s="29" t="s">
        <v>61</v>
      </c>
      <c r="V4988" s="30"/>
      <c r="W4988" s="156"/>
      <c r="X4988" s="49"/>
      <c r="Y4988" s="35"/>
      <c r="Z4988" s="35"/>
      <c r="AA4988" s="35"/>
      <c r="AB4988" s="35"/>
      <c r="AC4988" s="35"/>
      <c r="AD4988" s="35"/>
      <c r="AE4988" s="35"/>
      <c r="AF4988" s="35"/>
      <c r="AG4988" s="35"/>
      <c r="AH4988" s="35"/>
      <c r="AI4988" s="35"/>
      <c r="AJ4988" s="35"/>
      <c r="AK4988" s="35"/>
      <c r="AL4988" s="35"/>
    </row>
    <row r="4989">
      <c r="A4989" s="1"/>
      <c r="B4989" s="19" t="s">
        <v>19332</v>
      </c>
      <c r="C4989" s="20" t="s">
        <v>23690</v>
      </c>
      <c r="D4989" s="47"/>
      <c r="E4989" s="22" t="s">
        <v>23753</v>
      </c>
      <c r="F4989" s="22" t="s">
        <v>2437</v>
      </c>
      <c r="G4989" s="23">
        <v>2021.0</v>
      </c>
      <c r="H4989" s="22" t="s">
        <v>77</v>
      </c>
      <c r="I4989" s="24" t="s">
        <v>23754</v>
      </c>
      <c r="J4989" s="22" t="s">
        <v>1078</v>
      </c>
      <c r="K4989" s="22"/>
      <c r="L4989" s="202" t="s">
        <v>23755</v>
      </c>
      <c r="U4989" s="29" t="s">
        <v>61</v>
      </c>
      <c r="V4989" s="30"/>
      <c r="W4989" s="156"/>
      <c r="X4989" s="49"/>
      <c r="Y4989" s="35"/>
      <c r="Z4989" s="35"/>
      <c r="AA4989" s="35"/>
      <c r="AB4989" s="35"/>
      <c r="AC4989" s="35"/>
      <c r="AD4989" s="35"/>
      <c r="AE4989" s="35"/>
      <c r="AF4989" s="35"/>
      <c r="AG4989" s="35"/>
      <c r="AH4989" s="35"/>
      <c r="AI4989" s="35"/>
      <c r="AJ4989" s="35"/>
      <c r="AK4989" s="35"/>
      <c r="AL4989" s="35"/>
    </row>
    <row r="4990">
      <c r="A4990" s="1"/>
      <c r="B4990" s="19" t="s">
        <v>19332</v>
      </c>
      <c r="C4990" s="20" t="s">
        <v>23690</v>
      </c>
      <c r="D4990" s="47"/>
      <c r="E4990" s="22" t="s">
        <v>23756</v>
      </c>
      <c r="F4990" s="22" t="s">
        <v>1973</v>
      </c>
      <c r="G4990" s="23">
        <v>2021.0</v>
      </c>
      <c r="H4990" s="22" t="s">
        <v>147</v>
      </c>
      <c r="I4990" s="24" t="s">
        <v>23757</v>
      </c>
      <c r="J4990" s="22" t="s">
        <v>649</v>
      </c>
      <c r="K4990" s="22"/>
      <c r="L4990" s="53" t="s">
        <v>23758</v>
      </c>
      <c r="U4990" s="29" t="s">
        <v>61</v>
      </c>
      <c r="V4990" s="30"/>
      <c r="W4990" s="156"/>
      <c r="X4990" s="49"/>
      <c r="Y4990" s="35"/>
      <c r="Z4990" s="35"/>
      <c r="AA4990" s="35"/>
      <c r="AB4990" s="35"/>
      <c r="AC4990" s="35"/>
      <c r="AD4990" s="35"/>
      <c r="AE4990" s="35"/>
      <c r="AF4990" s="35"/>
      <c r="AG4990" s="35"/>
      <c r="AH4990" s="35"/>
      <c r="AI4990" s="35"/>
      <c r="AJ4990" s="35"/>
      <c r="AK4990" s="35"/>
      <c r="AL4990" s="35"/>
    </row>
    <row r="4991">
      <c r="A4991" s="1"/>
      <c r="B4991" s="19" t="s">
        <v>19332</v>
      </c>
      <c r="C4991" s="20" t="s">
        <v>23690</v>
      </c>
      <c r="D4991" s="47"/>
      <c r="E4991" s="22" t="s">
        <v>23753</v>
      </c>
      <c r="F4991" s="22" t="s">
        <v>2437</v>
      </c>
      <c r="G4991" s="23">
        <v>2021.0</v>
      </c>
      <c r="H4991" s="22" t="s">
        <v>77</v>
      </c>
      <c r="I4991" s="24" t="s">
        <v>23759</v>
      </c>
      <c r="J4991" s="22" t="s">
        <v>1078</v>
      </c>
      <c r="K4991" s="22"/>
      <c r="L4991" s="202" t="s">
        <v>23760</v>
      </c>
      <c r="U4991" s="29" t="s">
        <v>61</v>
      </c>
      <c r="V4991" s="30"/>
      <c r="W4991" s="156"/>
      <c r="X4991" s="49"/>
      <c r="Y4991" s="35"/>
      <c r="Z4991" s="35"/>
      <c r="AA4991" s="35"/>
      <c r="AB4991" s="35"/>
      <c r="AC4991" s="35"/>
      <c r="AD4991" s="35"/>
      <c r="AE4991" s="35"/>
      <c r="AF4991" s="35"/>
      <c r="AG4991" s="35"/>
      <c r="AH4991" s="35"/>
      <c r="AI4991" s="35"/>
      <c r="AJ4991" s="35"/>
      <c r="AK4991" s="35"/>
      <c r="AL4991" s="35"/>
    </row>
    <row r="4992">
      <c r="A4992" s="278" t="s">
        <v>38</v>
      </c>
      <c r="B4992" s="19" t="s">
        <v>19332</v>
      </c>
      <c r="C4992" s="20" t="s">
        <v>23690</v>
      </c>
      <c r="D4992" s="47"/>
      <c r="E4992" s="22" t="s">
        <v>23761</v>
      </c>
      <c r="F4992" s="22" t="s">
        <v>323</v>
      </c>
      <c r="G4992" s="23">
        <v>2021.0</v>
      </c>
      <c r="H4992" s="22" t="s">
        <v>147</v>
      </c>
      <c r="I4992" s="24" t="s">
        <v>23762</v>
      </c>
      <c r="J4992" s="22" t="s">
        <v>23763</v>
      </c>
      <c r="K4992" s="22"/>
      <c r="L4992" s="52">
        <v>808.0</v>
      </c>
      <c r="M4992" s="52">
        <v>400.0</v>
      </c>
      <c r="N4992" s="52"/>
      <c r="O4992" s="52" t="s">
        <v>23764</v>
      </c>
      <c r="P4992" s="189"/>
      <c r="Q4992" s="52"/>
      <c r="R4992" s="52">
        <v>11.0</v>
      </c>
      <c r="S4992" s="52" t="s">
        <v>23765</v>
      </c>
      <c r="T4992" s="28" t="s">
        <v>23766</v>
      </c>
      <c r="U4992" s="29" t="s">
        <v>61</v>
      </c>
      <c r="V4992" s="30"/>
      <c r="W4992" s="156"/>
      <c r="X4992" s="49"/>
      <c r="Y4992" s="35"/>
      <c r="Z4992" s="35"/>
      <c r="AA4992" s="35"/>
      <c r="AB4992" s="35"/>
      <c r="AC4992" s="35"/>
      <c r="AD4992" s="35"/>
      <c r="AE4992" s="35"/>
      <c r="AF4992" s="35"/>
      <c r="AG4992" s="35"/>
      <c r="AH4992" s="35"/>
      <c r="AI4992" s="35"/>
      <c r="AJ4992" s="35"/>
      <c r="AK4992" s="35"/>
      <c r="AL4992" s="35"/>
    </row>
    <row r="4993">
      <c r="A4993" s="1"/>
      <c r="B4993" s="19" t="s">
        <v>19332</v>
      </c>
      <c r="C4993" s="20" t="s">
        <v>23690</v>
      </c>
      <c r="D4993" s="47"/>
      <c r="E4993" s="22" t="s">
        <v>23767</v>
      </c>
      <c r="F4993" s="22" t="s">
        <v>1380</v>
      </c>
      <c r="G4993" s="23">
        <v>2021.0</v>
      </c>
      <c r="H4993" s="22" t="s">
        <v>91</v>
      </c>
      <c r="I4993" s="24" t="s">
        <v>23768</v>
      </c>
      <c r="J4993" s="22" t="s">
        <v>23769</v>
      </c>
      <c r="L4993" s="52">
        <v>980.0</v>
      </c>
      <c r="M4993" s="52">
        <v>500.0</v>
      </c>
      <c r="N4993" s="52"/>
      <c r="O4993" s="52"/>
      <c r="P4993" s="189" t="s">
        <v>2733</v>
      </c>
      <c r="Q4993" s="52"/>
      <c r="R4993" s="52" t="s">
        <v>23770</v>
      </c>
      <c r="S4993" s="52">
        <v>1.0</v>
      </c>
      <c r="T4993" s="28" t="s">
        <v>23771</v>
      </c>
      <c r="U4993" s="29" t="s">
        <v>61</v>
      </c>
      <c r="V4993" s="30"/>
      <c r="W4993" s="156"/>
      <c r="X4993" s="49"/>
      <c r="Y4993" s="35"/>
      <c r="Z4993" s="35"/>
      <c r="AA4993" s="35"/>
      <c r="AB4993" s="35"/>
      <c r="AC4993" s="35"/>
      <c r="AD4993" s="35"/>
      <c r="AE4993" s="35"/>
      <c r="AF4993" s="35"/>
      <c r="AG4993" s="35"/>
      <c r="AH4993" s="35"/>
      <c r="AI4993" s="35"/>
      <c r="AJ4993" s="35"/>
      <c r="AK4993" s="35"/>
      <c r="AL4993" s="35"/>
    </row>
    <row r="4994">
      <c r="A4994" s="1"/>
      <c r="B4994" s="19" t="s">
        <v>19332</v>
      </c>
      <c r="C4994" s="20" t="s">
        <v>23690</v>
      </c>
      <c r="D4994" s="47"/>
      <c r="E4994" s="22" t="s">
        <v>23772</v>
      </c>
      <c r="F4994" s="22" t="s">
        <v>122</v>
      </c>
      <c r="G4994" s="23">
        <v>2020.0</v>
      </c>
      <c r="H4994" s="22" t="s">
        <v>23428</v>
      </c>
      <c r="I4994" s="24" t="s">
        <v>23773</v>
      </c>
      <c r="J4994" s="22" t="s">
        <v>649</v>
      </c>
      <c r="K4994" s="22"/>
      <c r="L4994" s="202" t="s">
        <v>23774</v>
      </c>
      <c r="U4994" s="29" t="s">
        <v>61</v>
      </c>
      <c r="V4994" s="30"/>
      <c r="W4994" s="156"/>
      <c r="X4994" s="49"/>
      <c r="Y4994" s="35"/>
      <c r="Z4994" s="35"/>
      <c r="AA4994" s="35"/>
      <c r="AB4994" s="35"/>
      <c r="AC4994" s="35"/>
      <c r="AD4994" s="35"/>
      <c r="AE4994" s="35"/>
      <c r="AF4994" s="35"/>
      <c r="AG4994" s="35"/>
      <c r="AH4994" s="35"/>
      <c r="AI4994" s="35"/>
      <c r="AJ4994" s="35"/>
      <c r="AK4994" s="35"/>
      <c r="AL4994" s="35"/>
    </row>
    <row r="4995">
      <c r="A4995" s="278" t="s">
        <v>38</v>
      </c>
      <c r="B4995" s="19" t="s">
        <v>19332</v>
      </c>
      <c r="C4995" s="20" t="s">
        <v>23690</v>
      </c>
      <c r="D4995" s="47"/>
      <c r="E4995" s="22" t="s">
        <v>23775</v>
      </c>
      <c r="F4995" s="22" t="s">
        <v>7630</v>
      </c>
      <c r="G4995" s="23">
        <v>2020.0</v>
      </c>
      <c r="H4995" s="22" t="s">
        <v>12502</v>
      </c>
      <c r="I4995" s="24" t="s">
        <v>23776</v>
      </c>
      <c r="J4995" s="22" t="s">
        <v>23777</v>
      </c>
      <c r="K4995" s="22" t="s">
        <v>23778</v>
      </c>
      <c r="L4995" s="52">
        <v>830.0</v>
      </c>
      <c r="M4995" s="52"/>
      <c r="N4995" s="52"/>
      <c r="O4995" s="52" t="s">
        <v>23779</v>
      </c>
      <c r="P4995" s="189"/>
      <c r="Q4995" s="52"/>
      <c r="R4995" s="52" t="s">
        <v>23780</v>
      </c>
      <c r="S4995" s="52">
        <v>1.0</v>
      </c>
      <c r="T4995" s="41" t="s">
        <v>23781</v>
      </c>
      <c r="U4995" s="29" t="s">
        <v>61</v>
      </c>
      <c r="V4995" s="30"/>
      <c r="W4995" s="156"/>
      <c r="X4995" s="49"/>
      <c r="Y4995" s="35"/>
      <c r="Z4995" s="35"/>
      <c r="AA4995" s="35"/>
      <c r="AB4995" s="35"/>
      <c r="AC4995" s="35"/>
      <c r="AD4995" s="35"/>
      <c r="AE4995" s="35"/>
      <c r="AF4995" s="35"/>
      <c r="AG4995" s="35"/>
      <c r="AH4995" s="35"/>
      <c r="AI4995" s="35"/>
      <c r="AJ4995" s="35"/>
      <c r="AK4995" s="35"/>
      <c r="AL4995" s="35"/>
    </row>
    <row r="4996">
      <c r="A4996" s="278" t="s">
        <v>38</v>
      </c>
      <c r="B4996" s="19" t="s">
        <v>19332</v>
      </c>
      <c r="C4996" s="20" t="s">
        <v>23690</v>
      </c>
      <c r="D4996" s="47"/>
      <c r="E4996" s="22" t="s">
        <v>23782</v>
      </c>
      <c r="F4996" s="22" t="s">
        <v>23783</v>
      </c>
      <c r="G4996" s="23">
        <v>2020.0</v>
      </c>
      <c r="H4996" s="22" t="s">
        <v>19412</v>
      </c>
      <c r="I4996" s="24" t="s">
        <v>23784</v>
      </c>
      <c r="J4996" s="22" t="s">
        <v>23785</v>
      </c>
      <c r="K4996" s="22" t="s">
        <v>23786</v>
      </c>
      <c r="L4996" s="52">
        <v>830.0</v>
      </c>
      <c r="M4996" s="52">
        <v>200.0</v>
      </c>
      <c r="N4996" s="52"/>
      <c r="O4996" s="52"/>
      <c r="P4996" s="189"/>
      <c r="Q4996" s="52"/>
      <c r="R4996" s="52" t="s">
        <v>23787</v>
      </c>
      <c r="S4996" s="52">
        <v>1.0</v>
      </c>
      <c r="T4996" s="28" t="s">
        <v>23788</v>
      </c>
      <c r="U4996" s="29" t="s">
        <v>61</v>
      </c>
      <c r="V4996" s="30" t="s">
        <v>23789</v>
      </c>
      <c r="W4996" s="156"/>
      <c r="X4996" s="49"/>
      <c r="Y4996" s="35"/>
      <c r="Z4996" s="35"/>
      <c r="AA4996" s="35"/>
      <c r="AB4996" s="35"/>
      <c r="AC4996" s="35"/>
      <c r="AD4996" s="35"/>
      <c r="AE4996" s="35"/>
      <c r="AF4996" s="35"/>
      <c r="AG4996" s="35"/>
      <c r="AH4996" s="35"/>
      <c r="AI4996" s="35"/>
      <c r="AJ4996" s="35"/>
      <c r="AK4996" s="35"/>
      <c r="AL4996" s="35"/>
    </row>
    <row r="4997">
      <c r="A4997" s="1"/>
      <c r="B4997" s="19" t="s">
        <v>19332</v>
      </c>
      <c r="C4997" s="20" t="s">
        <v>23690</v>
      </c>
      <c r="D4997" s="47"/>
      <c r="E4997" s="22" t="s">
        <v>23790</v>
      </c>
      <c r="F4997" s="22" t="s">
        <v>1773</v>
      </c>
      <c r="G4997" s="23">
        <v>2020.0</v>
      </c>
      <c r="H4997" s="22" t="s">
        <v>23791</v>
      </c>
      <c r="I4997" s="24" t="s">
        <v>23792</v>
      </c>
      <c r="J4997" s="22" t="s">
        <v>202</v>
      </c>
      <c r="K4997" s="22"/>
      <c r="L4997" s="188" t="s">
        <v>23793</v>
      </c>
      <c r="U4997" s="29" t="s">
        <v>61</v>
      </c>
      <c r="V4997" s="30"/>
      <c r="W4997" s="156"/>
      <c r="X4997" s="49"/>
      <c r="Y4997" s="35"/>
      <c r="Z4997" s="35"/>
      <c r="AA4997" s="35"/>
      <c r="AB4997" s="35"/>
      <c r="AC4997" s="35"/>
      <c r="AD4997" s="35"/>
      <c r="AE4997" s="35"/>
      <c r="AF4997" s="35"/>
      <c r="AG4997" s="35"/>
      <c r="AH4997" s="35"/>
      <c r="AI4997" s="35"/>
      <c r="AJ4997" s="35"/>
      <c r="AK4997" s="35"/>
      <c r="AL4997" s="35"/>
    </row>
    <row r="4998">
      <c r="A4998" s="1"/>
      <c r="B4998" s="19" t="s">
        <v>19332</v>
      </c>
      <c r="C4998" s="20" t="s">
        <v>23690</v>
      </c>
      <c r="D4998" s="47"/>
      <c r="E4998" s="22" t="s">
        <v>23794</v>
      </c>
      <c r="F4998" s="22" t="s">
        <v>347</v>
      </c>
      <c r="G4998" s="23">
        <v>2020.0</v>
      </c>
      <c r="H4998" s="22" t="s">
        <v>960</v>
      </c>
      <c r="I4998" s="24" t="s">
        <v>23795</v>
      </c>
      <c r="J4998" s="22" t="s">
        <v>23777</v>
      </c>
      <c r="K4998" s="22"/>
      <c r="L4998" s="52">
        <v>830.0</v>
      </c>
      <c r="M4998" s="52">
        <v>150.0</v>
      </c>
      <c r="N4998" s="52"/>
      <c r="O4998" s="52"/>
      <c r="P4998" s="189" t="s">
        <v>704</v>
      </c>
      <c r="Q4998" s="52" t="s">
        <v>1476</v>
      </c>
      <c r="R4998" s="52" t="s">
        <v>23796</v>
      </c>
      <c r="S4998" s="52">
        <v>1.0</v>
      </c>
      <c r="T4998" s="28" t="s">
        <v>23797</v>
      </c>
      <c r="U4998" s="29" t="s">
        <v>61</v>
      </c>
      <c r="V4998" s="30"/>
      <c r="W4998" s="156"/>
      <c r="X4998" s="49"/>
      <c r="Y4998" s="35"/>
      <c r="Z4998" s="35"/>
      <c r="AA4998" s="35"/>
      <c r="AB4998" s="35"/>
      <c r="AC4998" s="35"/>
      <c r="AD4998" s="35"/>
      <c r="AE4998" s="35"/>
      <c r="AF4998" s="35"/>
      <c r="AG4998" s="35"/>
      <c r="AH4998" s="35"/>
      <c r="AI4998" s="35"/>
      <c r="AJ4998" s="35"/>
      <c r="AK4998" s="35"/>
      <c r="AL4998" s="35"/>
    </row>
    <row r="4999">
      <c r="A4999" s="1"/>
      <c r="B4999" s="19" t="s">
        <v>19332</v>
      </c>
      <c r="C4999" s="20" t="s">
        <v>23690</v>
      </c>
      <c r="D4999" s="47"/>
      <c r="E4999" s="22" t="s">
        <v>23798</v>
      </c>
      <c r="F4999" s="22" t="s">
        <v>7630</v>
      </c>
      <c r="G4999" s="23">
        <v>2020.0</v>
      </c>
      <c r="H4999" s="22" t="s">
        <v>13399</v>
      </c>
      <c r="I4999" s="24" t="s">
        <v>23799</v>
      </c>
      <c r="J4999" s="22" t="s">
        <v>23800</v>
      </c>
      <c r="K4999" s="22"/>
      <c r="L4999" s="36">
        <v>830.0</v>
      </c>
      <c r="M4999" s="36">
        <v>100.0</v>
      </c>
      <c r="N4999" s="36"/>
      <c r="O4999" s="36"/>
      <c r="P4999" s="37"/>
      <c r="Q4999" s="36"/>
      <c r="R4999" s="36"/>
      <c r="S4999" s="36" t="s">
        <v>1819</v>
      </c>
      <c r="T4999" s="28" t="s">
        <v>23801</v>
      </c>
      <c r="U4999" s="38" t="str">
        <f>HYPERLINK("https://www.ncbi.nlm.nih.gov/pubmed/32307932","PubMed")</f>
        <v>PubMed</v>
      </c>
      <c r="V4999" s="30"/>
      <c r="W4999" s="156"/>
      <c r="X4999" s="49"/>
      <c r="Y4999" s="35"/>
      <c r="Z4999" s="35"/>
      <c r="AA4999" s="35"/>
      <c r="AB4999" s="35"/>
      <c r="AC4999" s="35"/>
      <c r="AD4999" s="35"/>
      <c r="AE4999" s="35"/>
      <c r="AF4999" s="35"/>
      <c r="AG4999" s="35"/>
      <c r="AH4999" s="35"/>
      <c r="AI4999" s="35"/>
      <c r="AJ4999" s="35"/>
      <c r="AK4999" s="35"/>
      <c r="AL4999" s="35"/>
    </row>
    <row r="5000">
      <c r="A5000" s="40"/>
      <c r="B5000" s="19" t="s">
        <v>19332</v>
      </c>
      <c r="C5000" s="20" t="s">
        <v>23690</v>
      </c>
      <c r="D5000" s="47"/>
      <c r="E5000" s="22" t="s">
        <v>23802</v>
      </c>
      <c r="F5000" s="22" t="s">
        <v>23803</v>
      </c>
      <c r="G5000" s="23">
        <v>2020.0</v>
      </c>
      <c r="H5000" s="22" t="s">
        <v>10563</v>
      </c>
      <c r="I5000" s="24" t="s">
        <v>23804</v>
      </c>
      <c r="J5000" s="22" t="s">
        <v>23805</v>
      </c>
      <c r="K5000" s="22"/>
      <c r="L5000" s="36">
        <v>980.0</v>
      </c>
      <c r="M5000" s="36">
        <v>1000.0</v>
      </c>
      <c r="N5000" s="36"/>
      <c r="O5000" s="36"/>
      <c r="P5000" s="37" t="s">
        <v>811</v>
      </c>
      <c r="Q5000" s="36" t="s">
        <v>23806</v>
      </c>
      <c r="R5000" s="36">
        <v>30.0</v>
      </c>
      <c r="S5000" s="36">
        <v>1.0</v>
      </c>
      <c r="T5000" s="28" t="s">
        <v>23807</v>
      </c>
      <c r="U5000" s="38" t="str">
        <f>HYPERLINK("https://www.ncbi.nlm.nih.gov/pubmed/32143365","PubMed")</f>
        <v>PubMed</v>
      </c>
      <c r="V5000" s="30"/>
      <c r="W5000" s="156"/>
      <c r="X5000" s="49"/>
      <c r="Y5000" s="35"/>
      <c r="Z5000" s="35"/>
      <c r="AA5000" s="35"/>
      <c r="AB5000" s="35"/>
      <c r="AC5000" s="35"/>
      <c r="AD5000" s="35"/>
      <c r="AE5000" s="35"/>
      <c r="AF5000" s="35"/>
      <c r="AG5000" s="35"/>
      <c r="AH5000" s="35"/>
      <c r="AI5000" s="35"/>
      <c r="AJ5000" s="35"/>
      <c r="AK5000" s="35"/>
      <c r="AL5000" s="35"/>
    </row>
    <row r="5001">
      <c r="A5001" s="1"/>
      <c r="B5001" s="19" t="s">
        <v>19332</v>
      </c>
      <c r="C5001" s="20" t="s">
        <v>23690</v>
      </c>
      <c r="D5001" s="47"/>
      <c r="E5001" s="22" t="s">
        <v>23808</v>
      </c>
      <c r="F5001" s="22" t="s">
        <v>23809</v>
      </c>
      <c r="G5001" s="23">
        <v>2019.0</v>
      </c>
      <c r="H5001" s="22" t="s">
        <v>23810</v>
      </c>
      <c r="I5001" s="24" t="s">
        <v>23811</v>
      </c>
      <c r="J5001" s="22" t="s">
        <v>16987</v>
      </c>
      <c r="K5001" s="22"/>
      <c r="L5001" s="36"/>
      <c r="M5001" s="36"/>
      <c r="N5001" s="36"/>
      <c r="O5001" s="36"/>
      <c r="P5001" s="37"/>
      <c r="Q5001" s="36"/>
      <c r="R5001" s="36"/>
      <c r="S5001" s="36">
        <v>1.0</v>
      </c>
      <c r="T5001" s="28" t="s">
        <v>23812</v>
      </c>
      <c r="U5001" s="38" t="str">
        <f>HYPERLINK("https://www.ncbi.nlm.nih.gov/pubmed/32274491","PubMed")</f>
        <v>PubMed</v>
      </c>
      <c r="V5001" s="30"/>
      <c r="W5001" s="156"/>
      <c r="X5001" s="49"/>
      <c r="Y5001" s="35"/>
      <c r="Z5001" s="35"/>
      <c r="AA5001" s="35"/>
      <c r="AB5001" s="35"/>
      <c r="AC5001" s="35"/>
      <c r="AD5001" s="35"/>
      <c r="AE5001" s="35"/>
      <c r="AF5001" s="35"/>
      <c r="AG5001" s="35"/>
      <c r="AH5001" s="35"/>
      <c r="AI5001" s="35"/>
      <c r="AJ5001" s="35"/>
      <c r="AK5001" s="35"/>
      <c r="AL5001" s="35"/>
    </row>
    <row r="5002">
      <c r="A5002" s="39"/>
      <c r="B5002" s="19" t="s">
        <v>19332</v>
      </c>
      <c r="C5002" s="20" t="s">
        <v>23690</v>
      </c>
      <c r="D5002" s="47"/>
      <c r="E5002" s="22" t="s">
        <v>22545</v>
      </c>
      <c r="F5002" s="22" t="s">
        <v>23813</v>
      </c>
      <c r="G5002" s="23">
        <v>2019.0</v>
      </c>
      <c r="H5002" s="22" t="s">
        <v>77</v>
      </c>
      <c r="I5002" s="24" t="s">
        <v>23814</v>
      </c>
      <c r="J5002" s="22" t="s">
        <v>125</v>
      </c>
      <c r="K5002" s="22"/>
      <c r="L5002" s="43" t="s">
        <v>23815</v>
      </c>
      <c r="M5002" s="44"/>
      <c r="N5002" s="44"/>
      <c r="O5002" s="44"/>
      <c r="P5002" s="44"/>
      <c r="Q5002" s="44"/>
      <c r="R5002" s="44"/>
      <c r="S5002" s="44"/>
      <c r="T5002" s="45"/>
      <c r="U5002" s="38" t="str">
        <f>HYPERLINK("https://www.ncbi.nlm.nih.gov/pubmed/31755850","PubMed")</f>
        <v>PubMed</v>
      </c>
      <c r="V5002" s="30"/>
      <c r="W5002" s="156"/>
      <c r="X5002" s="49"/>
      <c r="Y5002" s="35"/>
      <c r="Z5002" s="35"/>
      <c r="AA5002" s="35"/>
      <c r="AB5002" s="35"/>
      <c r="AC5002" s="35"/>
      <c r="AD5002" s="35"/>
      <c r="AE5002" s="35"/>
      <c r="AF5002" s="35"/>
      <c r="AG5002" s="35"/>
      <c r="AH5002" s="35"/>
      <c r="AI5002" s="35"/>
      <c r="AJ5002" s="35"/>
      <c r="AK5002" s="35"/>
      <c r="AL5002" s="35"/>
    </row>
    <row r="5003">
      <c r="A5003" s="39"/>
      <c r="B5003" s="19" t="s">
        <v>19332</v>
      </c>
      <c r="C5003" s="20" t="s">
        <v>23690</v>
      </c>
      <c r="D5003" s="47"/>
      <c r="E5003" s="22" t="s">
        <v>20298</v>
      </c>
      <c r="F5003" s="22" t="s">
        <v>5404</v>
      </c>
      <c r="G5003" s="23">
        <v>2019.0</v>
      </c>
      <c r="H5003" s="22" t="s">
        <v>91</v>
      </c>
      <c r="I5003" s="24" t="s">
        <v>23816</v>
      </c>
      <c r="J5003" s="22" t="s">
        <v>23817</v>
      </c>
      <c r="K5003" s="22" t="s">
        <v>20336</v>
      </c>
      <c r="L5003" s="36">
        <v>635.0</v>
      </c>
      <c r="M5003" s="36">
        <v>400.0</v>
      </c>
      <c r="N5003" s="36" t="s">
        <v>23818</v>
      </c>
      <c r="O5003" s="36" t="s">
        <v>23819</v>
      </c>
      <c r="P5003" s="37"/>
      <c r="Q5003" s="36" t="s">
        <v>23820</v>
      </c>
      <c r="R5003" s="36" t="s">
        <v>23821</v>
      </c>
      <c r="S5003" s="36">
        <v>1.0</v>
      </c>
      <c r="T5003" s="28" t="s">
        <v>23822</v>
      </c>
      <c r="U5003" s="38" t="str">
        <f>HYPERLINK("https://www.ncbi.nlm.nih.gov/pubmed/31691053","PubMed")</f>
        <v>PubMed</v>
      </c>
      <c r="V5003" s="30"/>
      <c r="W5003" s="156"/>
      <c r="X5003" s="49"/>
      <c r="Y5003" s="35"/>
      <c r="Z5003" s="35"/>
      <c r="AA5003" s="35"/>
      <c r="AB5003" s="35"/>
      <c r="AC5003" s="35"/>
      <c r="AD5003" s="35"/>
      <c r="AE5003" s="35"/>
      <c r="AF5003" s="35"/>
      <c r="AG5003" s="35"/>
      <c r="AH5003" s="35"/>
      <c r="AI5003" s="35"/>
      <c r="AJ5003" s="35"/>
      <c r="AK5003" s="35"/>
      <c r="AL5003" s="35"/>
    </row>
    <row r="5004">
      <c r="A5004" s="39"/>
      <c r="B5004" s="19" t="s">
        <v>19332</v>
      </c>
      <c r="C5004" s="20" t="s">
        <v>23690</v>
      </c>
      <c r="D5004" s="47"/>
      <c r="E5004" s="22" t="s">
        <v>23823</v>
      </c>
      <c r="F5004" s="22" t="s">
        <v>400</v>
      </c>
      <c r="G5004" s="23">
        <v>2019.0</v>
      </c>
      <c r="H5004" s="22" t="s">
        <v>3828</v>
      </c>
      <c r="I5004" s="24" t="s">
        <v>23824</v>
      </c>
      <c r="J5004" s="22" t="s">
        <v>2141</v>
      </c>
      <c r="K5004" s="22"/>
      <c r="L5004" s="362"/>
      <c r="M5004" s="168"/>
      <c r="N5004" s="168"/>
      <c r="O5004" s="168"/>
      <c r="P5004" s="169"/>
      <c r="Q5004" s="168"/>
      <c r="R5004" s="168"/>
      <c r="S5004" s="168"/>
      <c r="T5004" s="185" t="s">
        <v>23825</v>
      </c>
      <c r="U5004" s="38" t="str">
        <f>HYPERLINK("https://www.ncbi.nlm.nih.gov/pubmed/31651838","PubMed")</f>
        <v>PubMed</v>
      </c>
      <c r="V5004" s="30"/>
      <c r="W5004" s="156"/>
      <c r="X5004" s="49"/>
      <c r="Y5004" s="35"/>
      <c r="Z5004" s="35"/>
      <c r="AA5004" s="35"/>
      <c r="AB5004" s="35"/>
      <c r="AC5004" s="35"/>
      <c r="AD5004" s="35"/>
      <c r="AE5004" s="35"/>
      <c r="AF5004" s="35"/>
      <c r="AG5004" s="35"/>
      <c r="AH5004" s="35"/>
      <c r="AI5004" s="35"/>
      <c r="AJ5004" s="35"/>
      <c r="AK5004" s="35"/>
      <c r="AL5004" s="35"/>
    </row>
    <row r="5005">
      <c r="A5005" s="40"/>
      <c r="B5005" s="19" t="s">
        <v>19332</v>
      </c>
      <c r="C5005" s="20" t="s">
        <v>23690</v>
      </c>
      <c r="D5005" s="47"/>
      <c r="E5005" s="22" t="s">
        <v>23826</v>
      </c>
      <c r="F5005" s="22" t="s">
        <v>23827</v>
      </c>
      <c r="G5005" s="23">
        <v>2019.0</v>
      </c>
      <c r="H5005" s="22" t="s">
        <v>23828</v>
      </c>
      <c r="I5005" s="24" t="s">
        <v>23829</v>
      </c>
      <c r="J5005" s="22" t="s">
        <v>23830</v>
      </c>
      <c r="K5005" s="22" t="s">
        <v>23831</v>
      </c>
      <c r="L5005" s="36">
        <v>820.0</v>
      </c>
      <c r="M5005" s="36">
        <v>50.0</v>
      </c>
      <c r="N5005" s="36" t="s">
        <v>23832</v>
      </c>
      <c r="O5005" s="36" t="s">
        <v>102</v>
      </c>
      <c r="P5005" s="37" t="s">
        <v>23833</v>
      </c>
      <c r="Q5005" s="36" t="s">
        <v>23834</v>
      </c>
      <c r="R5005" s="36"/>
      <c r="S5005" s="36">
        <v>1.0</v>
      </c>
      <c r="T5005" s="41" t="s">
        <v>23835</v>
      </c>
      <c r="U5005" s="38" t="str">
        <f>HYPERLINK("https://www.ncbi.nlm.nih.gov/pubmed/31256846","PubMed")</f>
        <v>PubMed</v>
      </c>
      <c r="V5005" s="30"/>
      <c r="W5005" s="156"/>
      <c r="X5005" s="49"/>
      <c r="Y5005" s="35"/>
      <c r="Z5005" s="35"/>
      <c r="AA5005" s="35"/>
      <c r="AB5005" s="35"/>
      <c r="AC5005" s="35"/>
      <c r="AD5005" s="35"/>
      <c r="AE5005" s="35"/>
      <c r="AF5005" s="35"/>
      <c r="AG5005" s="35"/>
      <c r="AH5005" s="35"/>
      <c r="AI5005" s="35"/>
      <c r="AJ5005" s="35"/>
      <c r="AK5005" s="35"/>
      <c r="AL5005" s="35"/>
    </row>
    <row r="5006">
      <c r="A5006" s="1"/>
      <c r="B5006" s="19" t="s">
        <v>19332</v>
      </c>
      <c r="C5006" s="20" t="s">
        <v>23690</v>
      </c>
      <c r="D5006" s="47"/>
      <c r="E5006" s="22" t="s">
        <v>23836</v>
      </c>
      <c r="F5006" s="22" t="s">
        <v>23837</v>
      </c>
      <c r="G5006" s="23">
        <v>2019.0</v>
      </c>
      <c r="H5006" s="22" t="s">
        <v>13222</v>
      </c>
      <c r="I5006" s="24" t="s">
        <v>23838</v>
      </c>
      <c r="J5006" s="22" t="s">
        <v>23839</v>
      </c>
      <c r="K5006" s="22"/>
      <c r="L5006" s="36">
        <v>940.0</v>
      </c>
      <c r="M5006" s="36">
        <v>100.0</v>
      </c>
      <c r="N5006" s="36"/>
      <c r="O5006" s="36" t="s">
        <v>23840</v>
      </c>
      <c r="P5006" s="37" t="s">
        <v>704</v>
      </c>
      <c r="Q5006" s="36" t="s">
        <v>23841</v>
      </c>
      <c r="R5006" s="36" t="s">
        <v>23842</v>
      </c>
      <c r="S5006" s="36">
        <v>1.0</v>
      </c>
      <c r="T5006" s="28" t="s">
        <v>23843</v>
      </c>
      <c r="U5006" s="38" t="str">
        <f>HYPERLINK("https://www.ncbi.nlm.nih.gov/pubmed/31772695","PubMed")</f>
        <v>PubMed</v>
      </c>
      <c r="V5006" s="30"/>
      <c r="W5006" s="156"/>
      <c r="X5006" s="49"/>
      <c r="Y5006" s="35"/>
      <c r="Z5006" s="35"/>
      <c r="AA5006" s="35"/>
      <c r="AB5006" s="35"/>
      <c r="AC5006" s="35"/>
      <c r="AD5006" s="35"/>
      <c r="AE5006" s="35"/>
      <c r="AF5006" s="35"/>
      <c r="AG5006" s="35"/>
      <c r="AH5006" s="35"/>
      <c r="AI5006" s="35"/>
      <c r="AJ5006" s="35"/>
      <c r="AK5006" s="35"/>
      <c r="AL5006" s="35"/>
    </row>
    <row r="5007">
      <c r="A5007" s="1"/>
      <c r="B5007" s="19" t="s">
        <v>19332</v>
      </c>
      <c r="C5007" s="20" t="s">
        <v>23690</v>
      </c>
      <c r="D5007" s="47"/>
      <c r="E5007" s="22" t="s">
        <v>23844</v>
      </c>
      <c r="F5007" s="22" t="s">
        <v>23845</v>
      </c>
      <c r="G5007" s="23">
        <v>2020.0</v>
      </c>
      <c r="H5007" s="22" t="s">
        <v>23791</v>
      </c>
      <c r="I5007" s="24" t="s">
        <v>23846</v>
      </c>
      <c r="J5007" s="22" t="s">
        <v>9403</v>
      </c>
      <c r="K5007" s="22"/>
      <c r="L5007" s="52"/>
      <c r="M5007" s="52"/>
      <c r="N5007" s="52"/>
      <c r="O5007" s="52"/>
      <c r="P5007" s="189"/>
      <c r="Q5007" s="52"/>
      <c r="R5007" s="52"/>
      <c r="S5007" s="52"/>
      <c r="T5007" s="42" t="s">
        <v>23847</v>
      </c>
      <c r="U5007" s="29" t="s">
        <v>61</v>
      </c>
      <c r="V5007" s="30"/>
      <c r="W5007" s="156"/>
      <c r="X5007" s="49"/>
      <c r="Y5007" s="35"/>
      <c r="Z5007" s="35"/>
      <c r="AA5007" s="35"/>
      <c r="AB5007" s="35"/>
      <c r="AC5007" s="35"/>
      <c r="AD5007" s="35"/>
      <c r="AE5007" s="35"/>
      <c r="AF5007" s="35"/>
      <c r="AG5007" s="35"/>
      <c r="AH5007" s="35"/>
      <c r="AI5007" s="35"/>
      <c r="AJ5007" s="35"/>
      <c r="AK5007" s="35"/>
      <c r="AL5007" s="35"/>
    </row>
    <row r="5008">
      <c r="A5008" s="1"/>
      <c r="B5008" s="19" t="s">
        <v>19332</v>
      </c>
      <c r="C5008" s="20" t="s">
        <v>23690</v>
      </c>
      <c r="D5008" s="47"/>
      <c r="E5008" s="22" t="s">
        <v>23848</v>
      </c>
      <c r="F5008" s="22" t="s">
        <v>23849</v>
      </c>
      <c r="G5008" s="23">
        <v>2020.0</v>
      </c>
      <c r="H5008" s="22" t="s">
        <v>2139</v>
      </c>
      <c r="I5008" s="24" t="s">
        <v>23850</v>
      </c>
      <c r="J5008" s="22" t="s">
        <v>55</v>
      </c>
      <c r="K5008" s="22"/>
      <c r="L5008" s="52" t="s">
        <v>23851</v>
      </c>
      <c r="M5008" s="52"/>
      <c r="N5008" s="52"/>
      <c r="O5008" s="52"/>
      <c r="P5008" s="189"/>
      <c r="Q5008" s="52"/>
      <c r="R5008" s="52"/>
      <c r="S5008" s="52"/>
      <c r="T5008" s="42" t="s">
        <v>23852</v>
      </c>
      <c r="U5008" s="29" t="s">
        <v>61</v>
      </c>
      <c r="V5008" s="30"/>
      <c r="W5008" s="156"/>
      <c r="X5008" s="49"/>
      <c r="Y5008" s="35"/>
      <c r="Z5008" s="35"/>
      <c r="AA5008" s="35"/>
      <c r="AB5008" s="35"/>
      <c r="AC5008" s="35"/>
      <c r="AD5008" s="35"/>
      <c r="AE5008" s="35"/>
      <c r="AF5008" s="35"/>
      <c r="AG5008" s="35"/>
      <c r="AH5008" s="35"/>
      <c r="AI5008" s="35"/>
      <c r="AJ5008" s="35"/>
      <c r="AK5008" s="35"/>
      <c r="AL5008" s="35"/>
    </row>
    <row r="5009">
      <c r="A5009" s="18" t="s">
        <v>38</v>
      </c>
      <c r="B5009" s="19" t="s">
        <v>19332</v>
      </c>
      <c r="C5009" s="20" t="s">
        <v>23690</v>
      </c>
      <c r="D5009" s="47"/>
      <c r="E5009" s="22" t="s">
        <v>23853</v>
      </c>
      <c r="F5009" s="22" t="s">
        <v>23854</v>
      </c>
      <c r="G5009" s="23">
        <v>2019.0</v>
      </c>
      <c r="H5009" s="22" t="s">
        <v>23855</v>
      </c>
      <c r="I5009" s="24" t="s">
        <v>23856</v>
      </c>
      <c r="J5009" s="22" t="s">
        <v>23857</v>
      </c>
      <c r="K5009" s="22"/>
      <c r="L5009" s="36">
        <v>980.0</v>
      </c>
      <c r="M5009" s="36"/>
      <c r="N5009" s="129">
        <v>43587.0</v>
      </c>
      <c r="O5009" s="36" t="s">
        <v>23858</v>
      </c>
      <c r="P5009" s="37"/>
      <c r="Q5009" s="36"/>
      <c r="R5009" s="36" t="s">
        <v>23859</v>
      </c>
      <c r="S5009" s="36">
        <v>1.0</v>
      </c>
      <c r="T5009" s="28" t="s">
        <v>23860</v>
      </c>
      <c r="U5009" s="38" t="str">
        <f>HYPERLINK("https://www.ncbi.nlm.nih.gov/pubmed/31198342","PubMed")</f>
        <v>PubMed</v>
      </c>
      <c r="V5009" s="30"/>
      <c r="W5009" s="156"/>
      <c r="X5009" s="49"/>
      <c r="Y5009" s="35"/>
      <c r="Z5009" s="35"/>
      <c r="AA5009" s="35"/>
      <c r="AB5009" s="35"/>
      <c r="AC5009" s="35"/>
      <c r="AD5009" s="35"/>
      <c r="AE5009" s="35"/>
      <c r="AF5009" s="35"/>
      <c r="AG5009" s="35"/>
      <c r="AH5009" s="35"/>
      <c r="AI5009" s="35"/>
      <c r="AJ5009" s="35"/>
      <c r="AK5009" s="35"/>
      <c r="AL5009" s="35"/>
    </row>
    <row r="5010">
      <c r="A5010" s="18" t="s">
        <v>38</v>
      </c>
      <c r="B5010" s="19" t="s">
        <v>19332</v>
      </c>
      <c r="C5010" s="20" t="s">
        <v>23690</v>
      </c>
      <c r="D5010" s="47"/>
      <c r="E5010" s="22" t="s">
        <v>23861</v>
      </c>
      <c r="F5010" s="22" t="s">
        <v>9773</v>
      </c>
      <c r="G5010" s="23">
        <v>2019.0</v>
      </c>
      <c r="H5010" s="22" t="s">
        <v>20150</v>
      </c>
      <c r="I5010" s="24" t="s">
        <v>23862</v>
      </c>
      <c r="J5010" s="22" t="s">
        <v>23863</v>
      </c>
      <c r="K5010" s="22" t="s">
        <v>23864</v>
      </c>
      <c r="L5010" s="36">
        <v>980.0</v>
      </c>
      <c r="M5010" s="36"/>
      <c r="N5010" s="36"/>
      <c r="O5010" s="36"/>
      <c r="P5010" s="37" t="s">
        <v>23865</v>
      </c>
      <c r="Q5010" s="36" t="s">
        <v>675</v>
      </c>
      <c r="R5010" s="36">
        <v>150.0</v>
      </c>
      <c r="S5010" s="36">
        <v>1.0</v>
      </c>
      <c r="T5010" s="28" t="s">
        <v>23866</v>
      </c>
      <c r="U5010" s="38" t="str">
        <f>HYPERLINK("https://www.ncbi.nlm.nih.gov/pubmed/30926104","PubMed")</f>
        <v>PubMed</v>
      </c>
      <c r="V5010" s="30"/>
      <c r="W5010" s="156"/>
      <c r="X5010" s="49"/>
      <c r="Y5010" s="35"/>
      <c r="Z5010" s="35"/>
      <c r="AA5010" s="35"/>
      <c r="AB5010" s="35"/>
      <c r="AC5010" s="35"/>
      <c r="AD5010" s="35"/>
      <c r="AE5010" s="35"/>
      <c r="AF5010" s="35"/>
      <c r="AG5010" s="35"/>
      <c r="AH5010" s="35"/>
      <c r="AI5010" s="35"/>
      <c r="AJ5010" s="35"/>
      <c r="AK5010" s="35"/>
      <c r="AL5010" s="35"/>
    </row>
    <row r="5011">
      <c r="A5011" s="18" t="s">
        <v>38</v>
      </c>
      <c r="B5011" s="19" t="s">
        <v>19332</v>
      </c>
      <c r="C5011" s="20" t="s">
        <v>23690</v>
      </c>
      <c r="D5011" s="47"/>
      <c r="E5011" s="22" t="s">
        <v>23867</v>
      </c>
      <c r="F5011" s="22" t="s">
        <v>183</v>
      </c>
      <c r="G5011" s="23">
        <v>2018.0</v>
      </c>
      <c r="H5011" s="22" t="s">
        <v>91</v>
      </c>
      <c r="I5011" s="24" t="s">
        <v>23868</v>
      </c>
      <c r="J5011" s="22" t="s">
        <v>23869</v>
      </c>
      <c r="K5011" s="22" t="s">
        <v>157</v>
      </c>
      <c r="L5011" s="36">
        <v>846.0</v>
      </c>
      <c r="M5011" s="36">
        <v>180.0</v>
      </c>
      <c r="N5011" s="36" t="s">
        <v>12903</v>
      </c>
      <c r="O5011" s="36">
        <v>4.0</v>
      </c>
      <c r="P5011" s="37" t="s">
        <v>70</v>
      </c>
      <c r="Q5011" s="36" t="s">
        <v>840</v>
      </c>
      <c r="R5011" s="36">
        <v>22.0</v>
      </c>
      <c r="S5011" s="36" t="s">
        <v>11849</v>
      </c>
      <c r="T5011" s="28" t="s">
        <v>23870</v>
      </c>
      <c r="U5011" s="38" t="str">
        <f>HYPERLINK("https://www.ncbi.nlm.nih.gov/pubmed/30121721","PubMed")</f>
        <v>PubMed</v>
      </c>
      <c r="V5011" s="30" t="s">
        <v>23871</v>
      </c>
      <c r="W5011" s="156"/>
      <c r="X5011" s="49"/>
      <c r="Y5011" s="35"/>
      <c r="Z5011" s="35"/>
      <c r="AA5011" s="35"/>
      <c r="AB5011" s="35"/>
      <c r="AC5011" s="35"/>
      <c r="AD5011" s="35"/>
      <c r="AE5011" s="35"/>
      <c r="AF5011" s="35"/>
      <c r="AG5011" s="35"/>
      <c r="AH5011" s="35"/>
      <c r="AI5011" s="35"/>
      <c r="AJ5011" s="35"/>
      <c r="AK5011" s="35"/>
      <c r="AL5011" s="35"/>
    </row>
    <row r="5012">
      <c r="A5012" s="18"/>
      <c r="B5012" s="19" t="s">
        <v>19332</v>
      </c>
      <c r="C5012" s="20" t="s">
        <v>23690</v>
      </c>
      <c r="D5012" s="47"/>
      <c r="E5012" s="22" t="s">
        <v>7486</v>
      </c>
      <c r="F5012" s="22" t="s">
        <v>23872</v>
      </c>
      <c r="G5012" s="23">
        <v>2018.0</v>
      </c>
      <c r="H5012" s="22" t="s">
        <v>21758</v>
      </c>
      <c r="I5012" s="24" t="s">
        <v>23873</v>
      </c>
      <c r="J5012" s="22" t="s">
        <v>23874</v>
      </c>
      <c r="K5012" s="22"/>
      <c r="L5012" s="36">
        <v>940.0</v>
      </c>
      <c r="M5012" s="36">
        <v>200.0</v>
      </c>
      <c r="N5012" s="36"/>
      <c r="O5012" s="36">
        <v>16.0</v>
      </c>
      <c r="P5012" s="37"/>
      <c r="Q5012" s="36"/>
      <c r="R5012" s="36" t="s">
        <v>11820</v>
      </c>
      <c r="S5012" s="36">
        <v>1.0</v>
      </c>
      <c r="T5012" s="28" t="s">
        <v>23875</v>
      </c>
      <c r="U5012" s="38" t="str">
        <f>HYPERLINK("https://link.springer.com/article/10.1007/s41547-018-0040-5","PubMed")</f>
        <v>PubMed</v>
      </c>
      <c r="V5012" s="30"/>
      <c r="W5012" s="156"/>
      <c r="X5012" s="49"/>
      <c r="Y5012" s="35"/>
      <c r="Z5012" s="35"/>
      <c r="AA5012" s="35"/>
      <c r="AB5012" s="35"/>
      <c r="AC5012" s="35"/>
      <c r="AD5012" s="35"/>
      <c r="AE5012" s="35"/>
      <c r="AF5012" s="35"/>
      <c r="AG5012" s="35"/>
      <c r="AH5012" s="35"/>
      <c r="AI5012" s="35"/>
      <c r="AJ5012" s="35"/>
      <c r="AK5012" s="35"/>
      <c r="AL5012" s="35"/>
    </row>
    <row r="5013">
      <c r="A5013" s="18"/>
      <c r="B5013" s="19" t="s">
        <v>19332</v>
      </c>
      <c r="C5013" s="20" t="s">
        <v>23690</v>
      </c>
      <c r="D5013" s="47"/>
      <c r="E5013" s="22" t="s">
        <v>23876</v>
      </c>
      <c r="F5013" s="22" t="s">
        <v>237</v>
      </c>
      <c r="G5013" s="23">
        <v>2018.0</v>
      </c>
      <c r="H5013" s="22" t="s">
        <v>9550</v>
      </c>
      <c r="I5013" s="24" t="s">
        <v>23877</v>
      </c>
      <c r="J5013" s="22" t="s">
        <v>23878</v>
      </c>
      <c r="K5013" s="22"/>
      <c r="L5013" s="36">
        <v>808.0</v>
      </c>
      <c r="M5013" s="36">
        <v>100.0</v>
      </c>
      <c r="N5013" s="36"/>
      <c r="O5013" s="36"/>
      <c r="P5013" s="37" t="s">
        <v>269</v>
      </c>
      <c r="Q5013" s="36"/>
      <c r="R5013" s="36" t="s">
        <v>23879</v>
      </c>
      <c r="S5013" s="36" t="s">
        <v>23880</v>
      </c>
      <c r="T5013" s="28" t="s">
        <v>23881</v>
      </c>
      <c r="U5013" s="38" t="str">
        <f>HYPERLINK("http://iopscience.iop.org/article/10.1088/1612-202X/aad1c1/meta","IOP")</f>
        <v>IOP</v>
      </c>
      <c r="V5013" s="30"/>
      <c r="W5013" s="156"/>
      <c r="X5013" s="49"/>
      <c r="Y5013" s="35"/>
      <c r="Z5013" s="35"/>
      <c r="AA5013" s="35"/>
      <c r="AB5013" s="35"/>
      <c r="AC5013" s="35"/>
      <c r="AD5013" s="35"/>
      <c r="AE5013" s="35"/>
      <c r="AF5013" s="35"/>
      <c r="AG5013" s="35"/>
      <c r="AH5013" s="35"/>
      <c r="AI5013" s="35"/>
      <c r="AJ5013" s="35"/>
      <c r="AK5013" s="35"/>
      <c r="AL5013" s="35"/>
    </row>
    <row r="5014">
      <c r="A5014" s="18"/>
      <c r="B5014" s="19" t="s">
        <v>19332</v>
      </c>
      <c r="C5014" s="20" t="s">
        <v>23690</v>
      </c>
      <c r="D5014" s="47"/>
      <c r="E5014" s="22" t="s">
        <v>2275</v>
      </c>
      <c r="F5014" s="22" t="s">
        <v>217</v>
      </c>
      <c r="G5014" s="23">
        <v>2018.0</v>
      </c>
      <c r="H5014" s="22" t="s">
        <v>1627</v>
      </c>
      <c r="I5014" s="24" t="s">
        <v>23882</v>
      </c>
      <c r="J5014" s="22" t="s">
        <v>23883</v>
      </c>
      <c r="K5014" s="22"/>
      <c r="L5014" s="36">
        <v>810.0</v>
      </c>
      <c r="M5014" s="36">
        <v>400.0</v>
      </c>
      <c r="N5014" s="36"/>
      <c r="O5014" s="36"/>
      <c r="P5014" s="37" t="s">
        <v>269</v>
      </c>
      <c r="Q5014" s="36"/>
      <c r="R5014" s="36"/>
      <c r="S5014" s="36" t="s">
        <v>23884</v>
      </c>
      <c r="T5014" s="28" t="s">
        <v>23885</v>
      </c>
      <c r="U5014" s="38" t="str">
        <f>HYPERLINK("https://www.ncbi.nlm.nih.gov/pubmed/29967411","PubMed")</f>
        <v>PubMed</v>
      </c>
      <c r="V5014" s="30"/>
      <c r="W5014" s="156"/>
      <c r="X5014" s="49"/>
      <c r="Y5014" s="35"/>
      <c r="Z5014" s="35"/>
      <c r="AA5014" s="35"/>
      <c r="AB5014" s="35"/>
      <c r="AC5014" s="35"/>
      <c r="AD5014" s="35"/>
      <c r="AE5014" s="35"/>
      <c r="AF5014" s="35"/>
      <c r="AG5014" s="35"/>
      <c r="AH5014" s="35"/>
      <c r="AI5014" s="35"/>
      <c r="AJ5014" s="35"/>
      <c r="AK5014" s="35"/>
      <c r="AL5014" s="35"/>
    </row>
    <row r="5015">
      <c r="A5015" s="18"/>
      <c r="B5015" s="19" t="s">
        <v>19332</v>
      </c>
      <c r="C5015" s="20" t="s">
        <v>23690</v>
      </c>
      <c r="D5015" s="47"/>
      <c r="E5015" s="22" t="s">
        <v>109</v>
      </c>
      <c r="F5015" s="22" t="s">
        <v>41</v>
      </c>
      <c r="G5015" s="23">
        <v>2018.0</v>
      </c>
      <c r="H5015" s="22" t="s">
        <v>91</v>
      </c>
      <c r="I5015" s="24" t="s">
        <v>23886</v>
      </c>
      <c r="J5015" s="22" t="s">
        <v>23887</v>
      </c>
      <c r="K5015" s="22"/>
      <c r="L5015" s="36">
        <v>830.0</v>
      </c>
      <c r="M5015" s="36">
        <v>100.0</v>
      </c>
      <c r="N5015" s="36"/>
      <c r="O5015" s="36" t="s">
        <v>23888</v>
      </c>
      <c r="P5015" s="37" t="s">
        <v>19288</v>
      </c>
      <c r="Q5015" s="36" t="s">
        <v>23889</v>
      </c>
      <c r="R5015" s="36"/>
      <c r="S5015" s="36" t="s">
        <v>23890</v>
      </c>
      <c r="T5015" s="42" t="s">
        <v>23891</v>
      </c>
      <c r="U5015" s="38" t="str">
        <f>HYPERLINK("https://www.ncbi.nlm.nih.gov/pubmed/29998356","PubMed")</f>
        <v>PubMed</v>
      </c>
      <c r="V5015" s="30"/>
      <c r="W5015" s="156"/>
      <c r="X5015" s="49"/>
      <c r="Y5015" s="35"/>
      <c r="Z5015" s="35"/>
      <c r="AA5015" s="35"/>
      <c r="AB5015" s="35"/>
      <c r="AC5015" s="35"/>
      <c r="AD5015" s="35"/>
      <c r="AE5015" s="35"/>
      <c r="AF5015" s="35"/>
      <c r="AG5015" s="35"/>
      <c r="AH5015" s="35"/>
      <c r="AI5015" s="35"/>
      <c r="AJ5015" s="35"/>
      <c r="AK5015" s="35"/>
      <c r="AL5015" s="35"/>
    </row>
    <row r="5016">
      <c r="A5016" s="1"/>
      <c r="B5016" s="19" t="s">
        <v>19332</v>
      </c>
      <c r="C5016" s="20" t="s">
        <v>23690</v>
      </c>
      <c r="D5016" s="47"/>
      <c r="E5016" s="22" t="s">
        <v>23892</v>
      </c>
      <c r="F5016" s="22" t="s">
        <v>2221</v>
      </c>
      <c r="G5016" s="23">
        <v>2018.0</v>
      </c>
      <c r="H5016" s="22" t="s">
        <v>1204</v>
      </c>
      <c r="I5016" s="24" t="s">
        <v>23893</v>
      </c>
      <c r="J5016" s="22" t="s">
        <v>23894</v>
      </c>
      <c r="K5016" s="22"/>
      <c r="L5016" s="36"/>
      <c r="M5016" s="36"/>
      <c r="N5016" s="36"/>
      <c r="O5016" s="36"/>
      <c r="P5016" s="37"/>
      <c r="Q5016" s="36"/>
      <c r="R5016" s="36"/>
      <c r="S5016" s="36">
        <v>1.0</v>
      </c>
      <c r="T5016" s="28" t="s">
        <v>23895</v>
      </c>
      <c r="U5016" s="38" t="str">
        <f>HYPERLINK("https://www.ncbi.nlm.nih.gov/pubmed/29728552","PubMed")</f>
        <v>PubMed</v>
      </c>
      <c r="V5016" s="30"/>
      <c r="W5016" s="156"/>
      <c r="X5016" s="49"/>
      <c r="Y5016" s="35"/>
      <c r="Z5016" s="35"/>
      <c r="AA5016" s="35"/>
      <c r="AB5016" s="35"/>
      <c r="AC5016" s="35"/>
      <c r="AD5016" s="35"/>
      <c r="AE5016" s="35"/>
      <c r="AF5016" s="35"/>
      <c r="AG5016" s="35"/>
      <c r="AH5016" s="35"/>
      <c r="AI5016" s="35"/>
      <c r="AJ5016" s="35"/>
      <c r="AK5016" s="35"/>
      <c r="AL5016" s="35"/>
    </row>
    <row r="5017">
      <c r="A5017" s="1"/>
      <c r="B5017" s="19" t="s">
        <v>19332</v>
      </c>
      <c r="C5017" s="20" t="s">
        <v>23690</v>
      </c>
      <c r="D5017" s="47"/>
      <c r="E5017" s="22" t="s">
        <v>23896</v>
      </c>
      <c r="F5017" s="22" t="s">
        <v>468</v>
      </c>
      <c r="G5017" s="23">
        <v>2018.0</v>
      </c>
      <c r="H5017" s="22" t="s">
        <v>16453</v>
      </c>
      <c r="I5017" s="24" t="s">
        <v>23897</v>
      </c>
      <c r="J5017" s="22" t="s">
        <v>125</v>
      </c>
      <c r="K5017" s="22"/>
      <c r="L5017" s="167" t="s">
        <v>23898</v>
      </c>
      <c r="M5017" s="44"/>
      <c r="N5017" s="44"/>
      <c r="O5017" s="44"/>
      <c r="P5017" s="44"/>
      <c r="Q5017" s="44"/>
      <c r="R5017" s="44"/>
      <c r="S5017" s="44"/>
      <c r="T5017" s="45"/>
      <c r="U5017" s="38" t="str">
        <f>HYPERLINK("https://www.ncbi.nlm.nih.gov/pubmed/29588616","PubMed")</f>
        <v>PubMed</v>
      </c>
      <c r="V5017" s="30"/>
      <c r="W5017" s="156"/>
      <c r="X5017" s="49"/>
      <c r="Y5017" s="35"/>
      <c r="Z5017" s="35"/>
      <c r="AA5017" s="35"/>
      <c r="AB5017" s="35"/>
      <c r="AC5017" s="35"/>
      <c r="AD5017" s="35"/>
      <c r="AE5017" s="35"/>
      <c r="AF5017" s="35"/>
      <c r="AG5017" s="35"/>
      <c r="AH5017" s="35"/>
      <c r="AI5017" s="35"/>
      <c r="AJ5017" s="35"/>
      <c r="AK5017" s="35"/>
      <c r="AL5017" s="35"/>
    </row>
    <row r="5018">
      <c r="A5018" s="1"/>
      <c r="B5018" s="19" t="s">
        <v>19332</v>
      </c>
      <c r="C5018" s="20" t="s">
        <v>23690</v>
      </c>
      <c r="D5018" s="47"/>
      <c r="E5018" s="22" t="s">
        <v>23899</v>
      </c>
      <c r="F5018" s="22" t="s">
        <v>8062</v>
      </c>
      <c r="G5018" s="23">
        <v>2018.0</v>
      </c>
      <c r="H5018" s="22" t="s">
        <v>23900</v>
      </c>
      <c r="I5018" s="24" t="s">
        <v>23901</v>
      </c>
      <c r="J5018" s="22" t="s">
        <v>23902</v>
      </c>
      <c r="K5018" s="22"/>
      <c r="L5018" s="36">
        <v>940.0</v>
      </c>
      <c r="M5018" s="36">
        <v>100.0</v>
      </c>
      <c r="N5018" s="36"/>
      <c r="O5018" s="36" t="s">
        <v>23903</v>
      </c>
      <c r="P5018" s="37" t="s">
        <v>704</v>
      </c>
      <c r="Q5018" s="36" t="s">
        <v>830</v>
      </c>
      <c r="R5018" s="36"/>
      <c r="S5018" s="36">
        <v>1.0</v>
      </c>
      <c r="T5018" s="28" t="s">
        <v>23904</v>
      </c>
      <c r="U5018" s="38" t="str">
        <f>HYPERLINK("https://www.ncbi.nlm.nih.gov/pubmed/29564218","PubMed")</f>
        <v>PubMed</v>
      </c>
      <c r="V5018" s="30"/>
      <c r="W5018" s="156"/>
      <c r="X5018" s="49"/>
      <c r="Y5018" s="35"/>
      <c r="Z5018" s="35"/>
      <c r="AA5018" s="35"/>
      <c r="AB5018" s="35"/>
      <c r="AC5018" s="35"/>
      <c r="AD5018" s="35"/>
      <c r="AE5018" s="35"/>
      <c r="AF5018" s="35"/>
      <c r="AG5018" s="35"/>
      <c r="AH5018" s="35"/>
      <c r="AI5018" s="35"/>
      <c r="AJ5018" s="35"/>
      <c r="AK5018" s="35"/>
      <c r="AL5018" s="35"/>
    </row>
    <row r="5019">
      <c r="A5019" s="1"/>
      <c r="B5019" s="19" t="s">
        <v>19332</v>
      </c>
      <c r="C5019" s="20" t="s">
        <v>23690</v>
      </c>
      <c r="D5019" s="47"/>
      <c r="E5019" s="22" t="s">
        <v>23905</v>
      </c>
      <c r="F5019" s="22" t="s">
        <v>1891</v>
      </c>
      <c r="G5019" s="23">
        <v>2017.0</v>
      </c>
      <c r="H5019" s="22" t="s">
        <v>1204</v>
      </c>
      <c r="I5019" s="24" t="s">
        <v>23906</v>
      </c>
      <c r="J5019" s="22" t="s">
        <v>1078</v>
      </c>
      <c r="K5019" s="22"/>
      <c r="L5019" s="167" t="s">
        <v>23907</v>
      </c>
      <c r="M5019" s="44"/>
      <c r="N5019" s="44"/>
      <c r="O5019" s="44"/>
      <c r="P5019" s="44"/>
      <c r="Q5019" s="44"/>
      <c r="R5019" s="44"/>
      <c r="S5019" s="44"/>
      <c r="T5019" s="45"/>
      <c r="U5019" s="38" t="str">
        <f>HYPERLINK("https://www.ncbi.nlm.nih.gov/pubmed/28621287","PubMed")</f>
        <v>PubMed</v>
      </c>
      <c r="V5019" s="30"/>
      <c r="W5019" s="156"/>
      <c r="X5019" s="49"/>
      <c r="Y5019" s="35"/>
      <c r="Z5019" s="35"/>
      <c r="AA5019" s="35"/>
      <c r="AB5019" s="35"/>
      <c r="AC5019" s="35"/>
      <c r="AD5019" s="35"/>
      <c r="AE5019" s="35"/>
      <c r="AF5019" s="35"/>
      <c r="AG5019" s="35"/>
      <c r="AH5019" s="35"/>
      <c r="AI5019" s="35"/>
      <c r="AJ5019" s="35"/>
      <c r="AK5019" s="35"/>
      <c r="AL5019" s="35"/>
    </row>
    <row r="5020">
      <c r="A5020" s="1"/>
      <c r="B5020" s="19" t="s">
        <v>19332</v>
      </c>
      <c r="C5020" s="20" t="s">
        <v>23690</v>
      </c>
      <c r="D5020" s="47"/>
      <c r="E5020" s="22" t="s">
        <v>1733</v>
      </c>
      <c r="F5020" s="22" t="s">
        <v>7177</v>
      </c>
      <c r="G5020" s="23">
        <v>2017.0</v>
      </c>
      <c r="H5020" s="22" t="s">
        <v>13222</v>
      </c>
      <c r="I5020" s="24" t="s">
        <v>23908</v>
      </c>
      <c r="J5020" s="22" t="s">
        <v>1078</v>
      </c>
      <c r="K5020" s="22"/>
      <c r="L5020" s="43" t="s">
        <v>23909</v>
      </c>
      <c r="M5020" s="44"/>
      <c r="N5020" s="44"/>
      <c r="O5020" s="44"/>
      <c r="P5020" s="44"/>
      <c r="Q5020" s="44"/>
      <c r="R5020" s="44"/>
      <c r="S5020" s="44"/>
      <c r="T5020" s="45"/>
      <c r="U5020" s="38" t="str">
        <f>HYPERLINK("https://www.ncbi.nlm.nih.gov/pubmed/29089818","PubMed")</f>
        <v>PubMed</v>
      </c>
      <c r="V5020" s="30"/>
      <c r="W5020" s="156"/>
      <c r="X5020" s="49"/>
      <c r="Y5020" s="35"/>
      <c r="Z5020" s="35"/>
      <c r="AA5020" s="35"/>
      <c r="AB5020" s="35"/>
      <c r="AC5020" s="35"/>
      <c r="AD5020" s="35"/>
      <c r="AE5020" s="35"/>
      <c r="AF5020" s="35"/>
      <c r="AG5020" s="35"/>
      <c r="AH5020" s="35"/>
      <c r="AI5020" s="35"/>
      <c r="AJ5020" s="35"/>
      <c r="AK5020" s="35"/>
      <c r="AL5020" s="35"/>
    </row>
    <row r="5021">
      <c r="A5021" s="1"/>
      <c r="B5021" s="19" t="s">
        <v>19332</v>
      </c>
      <c r="C5021" s="20" t="s">
        <v>23690</v>
      </c>
      <c r="D5021" s="47"/>
      <c r="E5021" s="22" t="s">
        <v>23910</v>
      </c>
      <c r="F5021" s="22" t="s">
        <v>9852</v>
      </c>
      <c r="G5021" s="23">
        <v>2017.0</v>
      </c>
      <c r="H5021" s="22" t="s">
        <v>10656</v>
      </c>
      <c r="I5021" s="24" t="s">
        <v>23911</v>
      </c>
      <c r="J5021" s="22" t="s">
        <v>55</v>
      </c>
      <c r="K5021" s="22"/>
      <c r="L5021" s="36">
        <v>10600.0</v>
      </c>
      <c r="M5021" s="36"/>
      <c r="N5021" s="36"/>
      <c r="O5021" s="36"/>
      <c r="P5021" s="37"/>
      <c r="Q5021" s="36"/>
      <c r="R5021" s="36"/>
      <c r="S5021" s="36"/>
      <c r="T5021" s="42" t="s">
        <v>23912</v>
      </c>
      <c r="U5021" s="38" t="str">
        <f>HYPERLINK("https://www.ncbi.nlm.nih.gov/pubmed/28643927","PubMed")</f>
        <v>PubMed</v>
      </c>
      <c r="V5021" s="30"/>
      <c r="W5021" s="156"/>
      <c r="X5021" s="49"/>
      <c r="Y5021" s="35"/>
      <c r="Z5021" s="35"/>
      <c r="AA5021" s="35"/>
      <c r="AB5021" s="35"/>
      <c r="AC5021" s="35"/>
      <c r="AD5021" s="35"/>
      <c r="AE5021" s="35"/>
      <c r="AF5021" s="35"/>
      <c r="AG5021" s="35"/>
      <c r="AH5021" s="35"/>
      <c r="AI5021" s="35"/>
      <c r="AJ5021" s="35"/>
      <c r="AK5021" s="35"/>
      <c r="AL5021" s="35"/>
    </row>
    <row r="5022">
      <c r="A5022" s="40" t="s">
        <v>38</v>
      </c>
      <c r="B5022" s="19" t="s">
        <v>19332</v>
      </c>
      <c r="C5022" s="20" t="s">
        <v>23690</v>
      </c>
      <c r="D5022" s="47"/>
      <c r="E5022" s="22" t="s">
        <v>23798</v>
      </c>
      <c r="F5022" s="22" t="s">
        <v>7630</v>
      </c>
      <c r="G5022" s="23">
        <v>2016.0</v>
      </c>
      <c r="H5022" s="22" t="s">
        <v>19622</v>
      </c>
      <c r="I5022" s="24" t="s">
        <v>23913</v>
      </c>
      <c r="J5022" s="22" t="s">
        <v>23914</v>
      </c>
      <c r="K5022" s="22" t="s">
        <v>7020</v>
      </c>
      <c r="L5022" s="36">
        <v>830.0</v>
      </c>
      <c r="M5022" s="36">
        <v>100.0</v>
      </c>
      <c r="N5022" s="36"/>
      <c r="O5022" s="36"/>
      <c r="P5022" s="37" t="s">
        <v>254</v>
      </c>
      <c r="Q5022" s="36"/>
      <c r="R5022" s="36"/>
      <c r="S5022" s="36" t="s">
        <v>23915</v>
      </c>
      <c r="T5022" s="28" t="s">
        <v>23916</v>
      </c>
      <c r="U5022" s="38" t="str">
        <f>HYPERLINK("https://www.ncbi.nlm.nih.gov/pubmed/28050498","PubMed")</f>
        <v>PubMed</v>
      </c>
      <c r="V5022" s="30"/>
      <c r="W5022" s="49"/>
      <c r="X5022" s="49"/>
      <c r="Y5022" s="35"/>
      <c r="Z5022" s="35"/>
      <c r="AA5022" s="35"/>
      <c r="AB5022" s="35"/>
      <c r="AC5022" s="35"/>
      <c r="AD5022" s="35"/>
      <c r="AE5022" s="35"/>
      <c r="AF5022" s="35"/>
      <c r="AG5022" s="35"/>
      <c r="AH5022" s="35"/>
      <c r="AI5022" s="35"/>
      <c r="AJ5022" s="35"/>
      <c r="AK5022" s="35"/>
      <c r="AL5022" s="35"/>
    </row>
    <row r="5023">
      <c r="A5023" s="1"/>
      <c r="B5023" s="19" t="s">
        <v>19332</v>
      </c>
      <c r="C5023" s="20" t="s">
        <v>23690</v>
      </c>
      <c r="D5023" s="47"/>
      <c r="E5023" s="22" t="s">
        <v>23917</v>
      </c>
      <c r="F5023" s="22" t="s">
        <v>18424</v>
      </c>
      <c r="G5023" s="23">
        <v>2016.0</v>
      </c>
      <c r="H5023" s="22" t="s">
        <v>292</v>
      </c>
      <c r="I5023" s="24" t="s">
        <v>23918</v>
      </c>
      <c r="J5023" s="22" t="s">
        <v>23919</v>
      </c>
      <c r="K5023" s="22" t="s">
        <v>23920</v>
      </c>
      <c r="L5023" s="36" t="s">
        <v>3149</v>
      </c>
      <c r="M5023" s="36" t="s">
        <v>21969</v>
      </c>
      <c r="N5023" s="36"/>
      <c r="O5023" s="36" t="s">
        <v>21972</v>
      </c>
      <c r="P5023" s="37"/>
      <c r="Q5023" s="36"/>
      <c r="R5023" s="36"/>
      <c r="S5023" s="36">
        <v>1.0</v>
      </c>
      <c r="T5023" s="28" t="s">
        <v>23921</v>
      </c>
      <c r="U5023" s="29" t="s">
        <v>61</v>
      </c>
      <c r="V5023" s="30"/>
      <c r="W5023" s="49"/>
      <c r="X5023" s="49"/>
      <c r="Y5023" s="35"/>
      <c r="Z5023" s="35"/>
      <c r="AA5023" s="35"/>
      <c r="AB5023" s="35"/>
      <c r="AC5023" s="35"/>
      <c r="AD5023" s="35"/>
      <c r="AE5023" s="35"/>
      <c r="AF5023" s="35"/>
      <c r="AG5023" s="35"/>
      <c r="AH5023" s="35"/>
      <c r="AI5023" s="35"/>
      <c r="AJ5023" s="35"/>
      <c r="AK5023" s="35"/>
      <c r="AL5023" s="35"/>
    </row>
    <row r="5024">
      <c r="A5024" s="180"/>
      <c r="B5024" s="19" t="s">
        <v>19332</v>
      </c>
      <c r="C5024" s="20" t="s">
        <v>23690</v>
      </c>
      <c r="D5024" s="47"/>
      <c r="E5024" s="22" t="s">
        <v>23767</v>
      </c>
      <c r="F5024" s="22" t="s">
        <v>1380</v>
      </c>
      <c r="G5024" s="23">
        <v>2015.0</v>
      </c>
      <c r="H5024" s="22" t="s">
        <v>23604</v>
      </c>
      <c r="I5024" s="24" t="s">
        <v>23922</v>
      </c>
      <c r="J5024" s="22" t="s">
        <v>23923</v>
      </c>
      <c r="K5024" s="22" t="s">
        <v>7020</v>
      </c>
      <c r="L5024" s="36">
        <v>633.0</v>
      </c>
      <c r="M5024" s="36">
        <v>10.0</v>
      </c>
      <c r="N5024" s="36"/>
      <c r="O5024" s="36"/>
      <c r="P5024" s="37" t="s">
        <v>82</v>
      </c>
      <c r="Q5024" s="36"/>
      <c r="R5024" s="36"/>
      <c r="S5024" s="36">
        <v>1.0</v>
      </c>
      <c r="T5024" s="28" t="s">
        <v>23924</v>
      </c>
      <c r="U5024" s="38" t="str">
        <f>HYPERLINK("https://www.ncbi.nlm.nih.gov/pubmed/26446930","PubMed")</f>
        <v>PubMed</v>
      </c>
      <c r="V5024" s="30"/>
      <c r="W5024" s="49"/>
      <c r="X5024" s="49"/>
      <c r="Y5024" s="35"/>
      <c r="Z5024" s="35"/>
      <c r="AA5024" s="35"/>
      <c r="AB5024" s="35"/>
      <c r="AC5024" s="35"/>
      <c r="AD5024" s="35"/>
      <c r="AE5024" s="35"/>
      <c r="AF5024" s="35"/>
      <c r="AG5024" s="35"/>
      <c r="AH5024" s="35"/>
      <c r="AI5024" s="35"/>
      <c r="AJ5024" s="35"/>
      <c r="AK5024" s="35"/>
      <c r="AL5024" s="35"/>
    </row>
    <row r="5025">
      <c r="A5025" s="180"/>
      <c r="B5025" s="19" t="s">
        <v>19332</v>
      </c>
      <c r="C5025" s="20" t="s">
        <v>23690</v>
      </c>
      <c r="D5025" s="47"/>
      <c r="E5025" s="22" t="s">
        <v>23925</v>
      </c>
      <c r="F5025" s="22" t="s">
        <v>1392</v>
      </c>
      <c r="G5025" s="23">
        <v>2015.0</v>
      </c>
      <c r="H5025" s="22" t="s">
        <v>91</v>
      </c>
      <c r="I5025" s="179" t="s">
        <v>23926</v>
      </c>
      <c r="J5025" s="22" t="s">
        <v>23927</v>
      </c>
      <c r="K5025" s="22" t="s">
        <v>7020</v>
      </c>
      <c r="L5025" s="36">
        <v>910.0</v>
      </c>
      <c r="M5025" s="36">
        <v>160.0</v>
      </c>
      <c r="N5025" s="36"/>
      <c r="O5025" s="36"/>
      <c r="P5025" s="37"/>
      <c r="Q5025" s="36" t="s">
        <v>386</v>
      </c>
      <c r="R5025" s="36">
        <v>340.0</v>
      </c>
      <c r="S5025" s="36">
        <v>1.0</v>
      </c>
      <c r="T5025" s="28" t="s">
        <v>23928</v>
      </c>
      <c r="U5025" s="38" t="str">
        <f>HYPERLINK("http://www.ncbi.nlm.nih.gov/pubmed/23666533","PubMed")</f>
        <v>PubMed</v>
      </c>
      <c r="V5025" s="30"/>
      <c r="W5025" s="49"/>
      <c r="X5025" s="49"/>
      <c r="Y5025" s="35"/>
      <c r="Z5025" s="35"/>
      <c r="AA5025" s="35"/>
      <c r="AB5025" s="35"/>
      <c r="AC5025" s="35"/>
      <c r="AD5025" s="35"/>
      <c r="AE5025" s="35"/>
      <c r="AF5025" s="35"/>
      <c r="AG5025" s="35"/>
      <c r="AH5025" s="35"/>
      <c r="AI5025" s="35"/>
      <c r="AJ5025" s="35"/>
      <c r="AK5025" s="35"/>
      <c r="AL5025" s="35"/>
    </row>
    <row r="5026">
      <c r="A5026" s="1"/>
      <c r="B5026" s="19" t="s">
        <v>19332</v>
      </c>
      <c r="C5026" s="20" t="s">
        <v>23690</v>
      </c>
      <c r="D5026" s="47"/>
      <c r="E5026" s="22" t="s">
        <v>1689</v>
      </c>
      <c r="F5026" s="22" t="s">
        <v>313</v>
      </c>
      <c r="G5026" s="23">
        <v>2015.0</v>
      </c>
      <c r="H5026" s="22" t="s">
        <v>91</v>
      </c>
      <c r="I5026" s="24" t="s">
        <v>23929</v>
      </c>
      <c r="J5026" s="22" t="s">
        <v>1078</v>
      </c>
      <c r="K5026" s="22" t="s">
        <v>7020</v>
      </c>
      <c r="L5026" s="167" t="s">
        <v>23930</v>
      </c>
      <c r="M5026" s="44"/>
      <c r="N5026" s="44"/>
      <c r="O5026" s="44"/>
      <c r="P5026" s="44"/>
      <c r="Q5026" s="44"/>
      <c r="R5026" s="44"/>
      <c r="S5026" s="44"/>
      <c r="T5026" s="45"/>
      <c r="U5026" s="38" t="str">
        <f>HYPERLINK("https://www.ncbi.nlm.nih.gov/pubmed/25258106","PubMed")</f>
        <v>PubMed</v>
      </c>
      <c r="V5026" s="30"/>
      <c r="W5026" s="49"/>
      <c r="X5026" s="49"/>
      <c r="Y5026" s="35"/>
      <c r="Z5026" s="35"/>
      <c r="AA5026" s="35"/>
      <c r="AB5026" s="35"/>
      <c r="AC5026" s="35"/>
      <c r="AD5026" s="35"/>
      <c r="AE5026" s="35"/>
      <c r="AF5026" s="35"/>
      <c r="AG5026" s="35"/>
      <c r="AH5026" s="35"/>
      <c r="AI5026" s="35"/>
      <c r="AJ5026" s="35"/>
      <c r="AK5026" s="35"/>
      <c r="AL5026" s="35"/>
    </row>
    <row r="5027">
      <c r="A5027" s="1"/>
      <c r="B5027" s="19" t="s">
        <v>19332</v>
      </c>
      <c r="C5027" s="20" t="s">
        <v>23690</v>
      </c>
      <c r="D5027" s="47"/>
      <c r="E5027" s="22" t="s">
        <v>23931</v>
      </c>
      <c r="F5027" s="22" t="s">
        <v>224</v>
      </c>
      <c r="G5027" s="23">
        <v>2015.0</v>
      </c>
      <c r="H5027" s="22" t="s">
        <v>22053</v>
      </c>
      <c r="I5027" s="24" t="s">
        <v>23932</v>
      </c>
      <c r="J5027" s="22" t="s">
        <v>1078</v>
      </c>
      <c r="K5027" s="22" t="s">
        <v>7020</v>
      </c>
      <c r="L5027" s="363" t="s">
        <v>23933</v>
      </c>
      <c r="M5027" s="44"/>
      <c r="N5027" s="44"/>
      <c r="O5027" s="44"/>
      <c r="P5027" s="44"/>
      <c r="Q5027" s="44"/>
      <c r="R5027" s="44"/>
      <c r="S5027" s="44"/>
      <c r="T5027" s="45"/>
      <c r="U5027" s="38" t="str">
        <f>HYPERLINK("https://www.ncbi.nlm.nih.gov/pubmed/26315965","PubMed")</f>
        <v>PubMed</v>
      </c>
      <c r="V5027" s="30"/>
      <c r="W5027" s="49"/>
      <c r="X5027" s="49"/>
      <c r="Y5027" s="35"/>
      <c r="Z5027" s="35"/>
      <c r="AA5027" s="35"/>
      <c r="AB5027" s="35"/>
      <c r="AC5027" s="35"/>
      <c r="AD5027" s="35"/>
      <c r="AE5027" s="35"/>
      <c r="AF5027" s="35"/>
      <c r="AG5027" s="35"/>
      <c r="AH5027" s="35"/>
      <c r="AI5027" s="35"/>
      <c r="AJ5027" s="35"/>
      <c r="AK5027" s="35"/>
      <c r="AL5027" s="35"/>
    </row>
    <row r="5028">
      <c r="A5028" s="1"/>
      <c r="B5028" s="19" t="s">
        <v>19332</v>
      </c>
      <c r="C5028" s="20" t="s">
        <v>23690</v>
      </c>
      <c r="D5028" s="47"/>
      <c r="E5028" s="22" t="s">
        <v>23934</v>
      </c>
      <c r="F5028" s="22" t="s">
        <v>323</v>
      </c>
      <c r="G5028" s="23">
        <v>2014.0</v>
      </c>
      <c r="H5028" s="22" t="s">
        <v>91</v>
      </c>
      <c r="I5028" s="24" t="s">
        <v>23935</v>
      </c>
      <c r="J5028" s="22" t="s">
        <v>23936</v>
      </c>
      <c r="K5028" s="22" t="s">
        <v>7020</v>
      </c>
      <c r="L5028" s="36">
        <v>810.0</v>
      </c>
      <c r="M5028" s="36">
        <v>100.0</v>
      </c>
      <c r="N5028" s="36"/>
      <c r="O5028" s="36"/>
      <c r="P5028" s="37" t="s">
        <v>269</v>
      </c>
      <c r="Q5028" s="36"/>
      <c r="R5028" s="36" t="s">
        <v>23937</v>
      </c>
      <c r="S5028" s="36" t="s">
        <v>23938</v>
      </c>
      <c r="T5028" s="42" t="s">
        <v>23939</v>
      </c>
      <c r="U5028" s="38" t="str">
        <f>HYPERLINK("https://www.ncbi.nlm.nih.gov/pubmed/23334785","PubMed")</f>
        <v>PubMed</v>
      </c>
      <c r="V5028" s="30"/>
      <c r="W5028" s="49"/>
      <c r="X5028" s="49"/>
      <c r="Y5028" s="35"/>
      <c r="Z5028" s="35"/>
      <c r="AA5028" s="35"/>
      <c r="AB5028" s="35"/>
      <c r="AC5028" s="35"/>
      <c r="AD5028" s="35"/>
      <c r="AE5028" s="35"/>
      <c r="AF5028" s="35"/>
      <c r="AG5028" s="35"/>
      <c r="AH5028" s="35"/>
      <c r="AI5028" s="35"/>
      <c r="AJ5028" s="35"/>
      <c r="AK5028" s="35"/>
      <c r="AL5028" s="35"/>
    </row>
    <row r="5029">
      <c r="A5029" s="1"/>
      <c r="B5029" s="19" t="s">
        <v>19332</v>
      </c>
      <c r="C5029" s="20" t="s">
        <v>23690</v>
      </c>
      <c r="D5029" s="47"/>
      <c r="E5029" s="22" t="s">
        <v>10106</v>
      </c>
      <c r="F5029" s="22" t="s">
        <v>2801</v>
      </c>
      <c r="G5029" s="23">
        <v>2013.0</v>
      </c>
      <c r="H5029" s="22" t="s">
        <v>91</v>
      </c>
      <c r="I5029" s="24" t="s">
        <v>23940</v>
      </c>
      <c r="J5029" s="22" t="s">
        <v>1078</v>
      </c>
      <c r="K5029" s="22"/>
      <c r="L5029" s="195" t="s">
        <v>23941</v>
      </c>
      <c r="M5029" s="44"/>
      <c r="N5029" s="44"/>
      <c r="O5029" s="44"/>
      <c r="P5029" s="44"/>
      <c r="Q5029" s="44"/>
      <c r="R5029" s="44"/>
      <c r="S5029" s="44"/>
      <c r="T5029" s="45"/>
      <c r="U5029" s="38" t="str">
        <f>HYPERLINK("https://www.ncbi.nlm.nih.gov/pubmed/23001570","PubMed")</f>
        <v>PubMed</v>
      </c>
      <c r="V5029" s="30"/>
      <c r="W5029" s="130" t="str">
        <f>HYPERLINK("https://www.ncbi.nlm.nih.gov/pubmed/23636298","Comment")</f>
        <v>Comment</v>
      </c>
      <c r="X5029" s="130" t="str">
        <f>HYPERLINK("https://www.ncbi.nlm.nih.gov/pubmed/25806375","Reply")</f>
        <v>Reply</v>
      </c>
      <c r="Y5029" s="35"/>
      <c r="Z5029" s="35"/>
      <c r="AA5029" s="35"/>
      <c r="AB5029" s="35"/>
      <c r="AC5029" s="35"/>
      <c r="AD5029" s="35"/>
      <c r="AE5029" s="35"/>
      <c r="AF5029" s="35"/>
      <c r="AG5029" s="35"/>
      <c r="AH5029" s="35"/>
      <c r="AI5029" s="35"/>
      <c r="AJ5029" s="35"/>
      <c r="AK5029" s="35"/>
      <c r="AL5029" s="35"/>
    </row>
    <row r="5030">
      <c r="A5030" s="205"/>
      <c r="B5030" s="19" t="s">
        <v>19332</v>
      </c>
      <c r="C5030" s="20" t="s">
        <v>23690</v>
      </c>
      <c r="D5030" s="47"/>
      <c r="E5030" s="22" t="s">
        <v>23942</v>
      </c>
      <c r="F5030" s="22" t="s">
        <v>11529</v>
      </c>
      <c r="G5030" s="23">
        <v>2013.0</v>
      </c>
      <c r="H5030" s="22" t="s">
        <v>19759</v>
      </c>
      <c r="I5030" s="24" t="s">
        <v>23943</v>
      </c>
      <c r="J5030" s="22" t="s">
        <v>23944</v>
      </c>
      <c r="K5030" s="22" t="s">
        <v>7020</v>
      </c>
      <c r="L5030" s="36">
        <v>904.0</v>
      </c>
      <c r="M5030" s="36">
        <v>200.0</v>
      </c>
      <c r="N5030" s="36"/>
      <c r="O5030" s="36">
        <v>6.0</v>
      </c>
      <c r="P5030" s="37"/>
      <c r="Q5030" s="36"/>
      <c r="R5030" s="36">
        <v>30.0</v>
      </c>
      <c r="S5030" s="36" t="s">
        <v>3125</v>
      </c>
      <c r="T5030" s="41" t="s">
        <v>23945</v>
      </c>
      <c r="U5030" s="38" t="str">
        <f>HYPERLINK("https://www.ncbi.nlm.nih.gov/pubmed/24348624","PubMed")</f>
        <v>PubMed</v>
      </c>
      <c r="V5030" s="30"/>
      <c r="W5030" s="49"/>
      <c r="X5030" s="49"/>
      <c r="Y5030" s="35"/>
      <c r="Z5030" s="35"/>
      <c r="AA5030" s="35"/>
      <c r="AB5030" s="35"/>
      <c r="AC5030" s="35"/>
      <c r="AD5030" s="35"/>
      <c r="AE5030" s="35"/>
      <c r="AF5030" s="35"/>
      <c r="AG5030" s="35"/>
      <c r="AH5030" s="35"/>
      <c r="AI5030" s="35"/>
      <c r="AJ5030" s="35"/>
      <c r="AK5030" s="35"/>
      <c r="AL5030" s="35"/>
    </row>
    <row r="5031">
      <c r="A5031" s="205"/>
      <c r="B5031" s="19" t="s">
        <v>19332</v>
      </c>
      <c r="C5031" s="20" t="s">
        <v>23690</v>
      </c>
      <c r="D5031" s="47"/>
      <c r="E5031" s="22" t="s">
        <v>23946</v>
      </c>
      <c r="F5031" s="22" t="s">
        <v>41</v>
      </c>
      <c r="G5031" s="23">
        <v>2013.0</v>
      </c>
      <c r="H5031" s="22" t="s">
        <v>658</v>
      </c>
      <c r="I5031" s="24" t="s">
        <v>23947</v>
      </c>
      <c r="J5031" s="22" t="s">
        <v>23948</v>
      </c>
      <c r="K5031" s="22" t="s">
        <v>23949</v>
      </c>
      <c r="L5031" s="36">
        <v>830.0</v>
      </c>
      <c r="M5031" s="36" t="s">
        <v>23950</v>
      </c>
      <c r="N5031" s="36"/>
      <c r="O5031" s="36" t="s">
        <v>23951</v>
      </c>
      <c r="P5031" s="37"/>
      <c r="Q5031" s="36"/>
      <c r="R5031" s="36"/>
      <c r="S5031" s="36">
        <v>1.0</v>
      </c>
      <c r="T5031" s="28" t="s">
        <v>23952</v>
      </c>
      <c r="U5031" s="38" t="str">
        <f>HYPERLINK("https://www.ncbi.nlm.nih.gov/pubmed/23153291","PubMed")</f>
        <v>PubMed</v>
      </c>
      <c r="V5031" s="30"/>
      <c r="W5031" s="49"/>
      <c r="X5031" s="49"/>
      <c r="Y5031" s="35"/>
      <c r="Z5031" s="35"/>
      <c r="AA5031" s="35"/>
      <c r="AB5031" s="35"/>
      <c r="AC5031" s="35"/>
      <c r="AD5031" s="35"/>
      <c r="AE5031" s="35"/>
      <c r="AF5031" s="35"/>
      <c r="AG5031" s="35"/>
      <c r="AH5031" s="35"/>
      <c r="AI5031" s="35"/>
      <c r="AJ5031" s="35"/>
      <c r="AK5031" s="35"/>
      <c r="AL5031" s="35"/>
    </row>
    <row r="5032">
      <c r="A5032" s="205"/>
      <c r="B5032" s="19" t="s">
        <v>19332</v>
      </c>
      <c r="C5032" s="20" t="s">
        <v>23690</v>
      </c>
      <c r="D5032" s="47"/>
      <c r="E5032" s="22" t="s">
        <v>23953</v>
      </c>
      <c r="F5032" s="22" t="s">
        <v>122</v>
      </c>
      <c r="G5032" s="23">
        <v>2013.0</v>
      </c>
      <c r="H5032" s="22" t="s">
        <v>658</v>
      </c>
      <c r="I5032" s="24" t="s">
        <v>23954</v>
      </c>
      <c r="J5032" s="22" t="s">
        <v>23955</v>
      </c>
      <c r="K5032" s="22" t="s">
        <v>23778</v>
      </c>
      <c r="L5032" s="36">
        <v>830.0</v>
      </c>
      <c r="M5032" s="36">
        <v>100.0</v>
      </c>
      <c r="N5032" s="36"/>
      <c r="O5032" s="129">
        <v>43133.0</v>
      </c>
      <c r="P5032" s="37" t="s">
        <v>6397</v>
      </c>
      <c r="Q5032" s="36"/>
      <c r="R5032" s="36">
        <v>22.0</v>
      </c>
      <c r="S5032" s="36">
        <v>1.0</v>
      </c>
      <c r="T5032" s="28" t="s">
        <v>23956</v>
      </c>
      <c r="U5032" s="38" t="str">
        <f>HYPERLINK("https://www.ncbi.nlm.nih.gov/pubmed/23240876","PubMed")</f>
        <v>PubMed</v>
      </c>
      <c r="V5032" s="30"/>
      <c r="W5032" s="49"/>
      <c r="X5032" s="49"/>
      <c r="Y5032" s="35"/>
      <c r="Z5032" s="35"/>
      <c r="AA5032" s="35"/>
      <c r="AB5032" s="35"/>
      <c r="AC5032" s="35"/>
      <c r="AD5032" s="35"/>
      <c r="AE5032" s="35"/>
      <c r="AF5032" s="35"/>
      <c r="AG5032" s="35"/>
      <c r="AH5032" s="35"/>
      <c r="AI5032" s="35"/>
      <c r="AJ5032" s="35"/>
      <c r="AK5032" s="35"/>
      <c r="AL5032" s="35"/>
    </row>
    <row r="5033">
      <c r="A5033" s="205"/>
      <c r="B5033" s="19" t="s">
        <v>19332</v>
      </c>
      <c r="C5033" s="20" t="s">
        <v>23690</v>
      </c>
      <c r="D5033" s="47"/>
      <c r="E5033" s="22" t="s">
        <v>1080</v>
      </c>
      <c r="F5033" s="22" t="s">
        <v>3458</v>
      </c>
      <c r="G5033" s="23">
        <v>2013.0</v>
      </c>
      <c r="H5033" s="22" t="s">
        <v>21078</v>
      </c>
      <c r="I5033" s="24" t="s">
        <v>23957</v>
      </c>
      <c r="J5033" s="22" t="s">
        <v>23958</v>
      </c>
      <c r="K5033" s="22" t="s">
        <v>23959</v>
      </c>
      <c r="L5033" s="36">
        <v>635.0</v>
      </c>
      <c r="M5033" s="36">
        <v>6.0</v>
      </c>
      <c r="N5033" s="36"/>
      <c r="O5033" s="36"/>
      <c r="P5033" s="37"/>
      <c r="Q5033" s="36"/>
      <c r="R5033" s="36">
        <v>60.0</v>
      </c>
      <c r="S5033" s="36" t="s">
        <v>23960</v>
      </c>
      <c r="T5033" s="28" t="s">
        <v>23961</v>
      </c>
      <c r="U5033" s="38" t="str">
        <f>HYPERLINK("https://www.ncbi.nlm.nih.gov/pubmed/23241006","PubMed")</f>
        <v>PubMed</v>
      </c>
      <c r="V5033" s="30"/>
      <c r="W5033" s="49"/>
      <c r="X5033" s="49"/>
      <c r="Y5033" s="35"/>
      <c r="Z5033" s="35"/>
      <c r="AA5033" s="35"/>
      <c r="AB5033" s="35"/>
      <c r="AC5033" s="35"/>
      <c r="AD5033" s="35"/>
      <c r="AE5033" s="35"/>
      <c r="AF5033" s="35"/>
      <c r="AG5033" s="35"/>
      <c r="AH5033" s="35"/>
      <c r="AI5033" s="35"/>
      <c r="AJ5033" s="35"/>
      <c r="AK5033" s="35"/>
      <c r="AL5033" s="35"/>
    </row>
    <row r="5034">
      <c r="A5034" s="1"/>
      <c r="B5034" s="19" t="s">
        <v>19332</v>
      </c>
      <c r="C5034" s="20" t="s">
        <v>23690</v>
      </c>
      <c r="D5034" s="47"/>
      <c r="E5034" s="22" t="s">
        <v>23962</v>
      </c>
      <c r="F5034" s="22" t="s">
        <v>1337</v>
      </c>
      <c r="G5034" s="23">
        <v>2013.0</v>
      </c>
      <c r="H5034" s="22" t="s">
        <v>91</v>
      </c>
      <c r="I5034" s="24" t="s">
        <v>23963</v>
      </c>
      <c r="J5034" s="22" t="s">
        <v>23964</v>
      </c>
      <c r="K5034" s="22" t="s">
        <v>7020</v>
      </c>
      <c r="L5034" s="36">
        <v>830.0</v>
      </c>
      <c r="M5034" s="36">
        <v>100.0</v>
      </c>
      <c r="N5034" s="36"/>
      <c r="O5034" s="36"/>
      <c r="P5034" s="37"/>
      <c r="Q5034" s="36" t="s">
        <v>23965</v>
      </c>
      <c r="R5034" s="36">
        <v>120.0</v>
      </c>
      <c r="S5034" s="36">
        <v>1.0</v>
      </c>
      <c r="T5034" s="28" t="s">
        <v>23966</v>
      </c>
      <c r="U5034" s="38" t="str">
        <f>HYPERLINK("http://www.ncbi.nlm.nih.gov/pubmed/22814893","PubMed")</f>
        <v>PubMed</v>
      </c>
      <c r="V5034" s="30" t="s">
        <v>23967</v>
      </c>
      <c r="W5034" s="49"/>
      <c r="X5034" s="49"/>
      <c r="Y5034" s="35"/>
      <c r="Z5034" s="35"/>
      <c r="AA5034" s="35"/>
      <c r="AB5034" s="35"/>
      <c r="AC5034" s="35"/>
      <c r="AD5034" s="35"/>
      <c r="AE5034" s="35"/>
      <c r="AF5034" s="35"/>
      <c r="AG5034" s="35"/>
      <c r="AH5034" s="35"/>
      <c r="AI5034" s="35"/>
      <c r="AJ5034" s="35"/>
      <c r="AK5034" s="35"/>
      <c r="AL5034" s="35"/>
    </row>
    <row r="5035">
      <c r="A5035" s="1"/>
      <c r="B5035" s="19" t="s">
        <v>19332</v>
      </c>
      <c r="C5035" s="20" t="s">
        <v>23690</v>
      </c>
      <c r="D5035" s="47"/>
      <c r="E5035" s="22" t="s">
        <v>23968</v>
      </c>
      <c r="F5035" s="22" t="s">
        <v>1325</v>
      </c>
      <c r="G5035" s="23">
        <v>2012.0</v>
      </c>
      <c r="H5035" s="22" t="s">
        <v>658</v>
      </c>
      <c r="I5035" s="24" t="s">
        <v>23969</v>
      </c>
      <c r="J5035" s="22" t="s">
        <v>23970</v>
      </c>
      <c r="K5035" s="22" t="s">
        <v>23971</v>
      </c>
      <c r="L5035" s="36">
        <v>820.0</v>
      </c>
      <c r="M5035" s="36">
        <v>50.0</v>
      </c>
      <c r="N5035" s="36" t="s">
        <v>23818</v>
      </c>
      <c r="O5035" s="36" t="s">
        <v>3054</v>
      </c>
      <c r="P5035" s="37" t="s">
        <v>23972</v>
      </c>
      <c r="Q5035" s="36" t="s">
        <v>989</v>
      </c>
      <c r="R5035" s="36">
        <v>5.0</v>
      </c>
      <c r="S5035" s="36">
        <v>1.0</v>
      </c>
      <c r="T5035" s="28" t="s">
        <v>23973</v>
      </c>
      <c r="U5035" s="38" t="str">
        <f>HYPERLINK("https://www.ncbi.nlm.nih.gov/pubmed/22775467","PubMed")</f>
        <v>PubMed</v>
      </c>
      <c r="V5035" s="30"/>
      <c r="W5035" s="34"/>
      <c r="X5035" s="49"/>
      <c r="Y5035" s="35"/>
      <c r="Z5035" s="35"/>
      <c r="AA5035" s="35"/>
      <c r="AB5035" s="35"/>
      <c r="AC5035" s="35"/>
      <c r="AD5035" s="35"/>
      <c r="AE5035" s="35"/>
      <c r="AF5035" s="35"/>
      <c r="AG5035" s="35"/>
      <c r="AH5035" s="35"/>
      <c r="AI5035" s="35"/>
      <c r="AJ5035" s="35"/>
      <c r="AK5035" s="35"/>
      <c r="AL5035" s="35"/>
    </row>
    <row r="5036">
      <c r="A5036" s="1"/>
      <c r="B5036" s="19" t="s">
        <v>19332</v>
      </c>
      <c r="C5036" s="20" t="s">
        <v>23690</v>
      </c>
      <c r="D5036" s="47"/>
      <c r="E5036" s="22" t="s">
        <v>23974</v>
      </c>
      <c r="F5036" s="22" t="s">
        <v>510</v>
      </c>
      <c r="G5036" s="23">
        <v>2011.0</v>
      </c>
      <c r="H5036" s="22" t="s">
        <v>91</v>
      </c>
      <c r="I5036" s="24" t="s">
        <v>23975</v>
      </c>
      <c r="J5036" s="22" t="s">
        <v>23976</v>
      </c>
      <c r="K5036" s="22" t="s">
        <v>948</v>
      </c>
      <c r="L5036" s="36" t="s">
        <v>23977</v>
      </c>
      <c r="M5036" s="36" t="s">
        <v>20552</v>
      </c>
      <c r="N5036" s="36"/>
      <c r="O5036" s="36"/>
      <c r="P5036" s="37" t="s">
        <v>4104</v>
      </c>
      <c r="Q5036" s="36"/>
      <c r="R5036" s="36" t="s">
        <v>23978</v>
      </c>
      <c r="S5036" s="36">
        <v>1.0</v>
      </c>
      <c r="T5036" s="42" t="s">
        <v>23979</v>
      </c>
      <c r="U5036" s="38" t="str">
        <f>HYPERLINK("https://www.ncbi.nlm.nih.gov/pubmed/21626017","PubMed")</f>
        <v>PubMed</v>
      </c>
      <c r="V5036" s="30"/>
      <c r="W5036" s="130" t="str">
        <f>HYPERLINK("https://www.ncbi.nlm.nih.gov/pubmed/21997801","Comment")</f>
        <v>Comment</v>
      </c>
      <c r="X5036" s="49"/>
      <c r="Y5036" s="35"/>
      <c r="Z5036" s="35"/>
      <c r="AA5036" s="35"/>
      <c r="AB5036" s="35"/>
      <c r="AC5036" s="35"/>
      <c r="AD5036" s="35"/>
      <c r="AE5036" s="35"/>
      <c r="AF5036" s="35"/>
      <c r="AG5036" s="35"/>
      <c r="AH5036" s="35"/>
      <c r="AI5036" s="35"/>
      <c r="AJ5036" s="35"/>
      <c r="AK5036" s="35"/>
      <c r="AL5036" s="35"/>
    </row>
    <row r="5037">
      <c r="A5037" s="1"/>
      <c r="B5037" s="19" t="s">
        <v>19332</v>
      </c>
      <c r="C5037" s="20" t="s">
        <v>23690</v>
      </c>
      <c r="D5037" s="47"/>
      <c r="E5037" s="22" t="s">
        <v>23980</v>
      </c>
      <c r="F5037" s="22" t="s">
        <v>41</v>
      </c>
      <c r="G5037" s="23">
        <v>2009.0</v>
      </c>
      <c r="H5037" s="22" t="s">
        <v>23828</v>
      </c>
      <c r="I5037" s="24" t="s">
        <v>23981</v>
      </c>
      <c r="J5037" s="22" t="s">
        <v>23982</v>
      </c>
      <c r="K5037" s="22"/>
      <c r="L5037" s="36">
        <v>830.0</v>
      </c>
      <c r="M5037" s="36">
        <v>30.0</v>
      </c>
      <c r="N5037" s="36"/>
      <c r="O5037" s="36"/>
      <c r="P5037" s="37" t="s">
        <v>23983</v>
      </c>
      <c r="Q5037" s="36"/>
      <c r="R5037" s="36"/>
      <c r="S5037" s="36">
        <v>1.0</v>
      </c>
      <c r="T5037" s="28" t="s">
        <v>23984</v>
      </c>
      <c r="U5037" s="38" t="str">
        <f>HYPERLINK("https://www.ncbi.nlm.nih.gov/pubmed/19892282","PubMed")</f>
        <v>PubMed</v>
      </c>
      <c r="V5037" s="30"/>
      <c r="W5037" s="49"/>
      <c r="X5037" s="49"/>
      <c r="Y5037" s="35"/>
      <c r="Z5037" s="35"/>
      <c r="AA5037" s="35"/>
      <c r="AB5037" s="35"/>
      <c r="AC5037" s="35"/>
      <c r="AD5037" s="35"/>
      <c r="AE5037" s="35"/>
      <c r="AF5037" s="35"/>
      <c r="AG5037" s="35"/>
      <c r="AH5037" s="35"/>
      <c r="AI5037" s="35"/>
      <c r="AJ5037" s="35"/>
      <c r="AK5037" s="35"/>
      <c r="AL5037" s="35"/>
    </row>
    <row r="5038">
      <c r="A5038" s="18" t="s">
        <v>38</v>
      </c>
      <c r="B5038" s="19" t="s">
        <v>19332</v>
      </c>
      <c r="C5038" s="20" t="s">
        <v>23690</v>
      </c>
      <c r="D5038" s="47"/>
      <c r="E5038" s="22" t="s">
        <v>23985</v>
      </c>
      <c r="F5038" s="22" t="s">
        <v>1603</v>
      </c>
      <c r="G5038" s="23">
        <v>2006.0</v>
      </c>
      <c r="H5038" s="22" t="s">
        <v>23828</v>
      </c>
      <c r="I5038" s="24" t="s">
        <v>23986</v>
      </c>
      <c r="J5038" s="22" t="s">
        <v>23987</v>
      </c>
      <c r="K5038" s="22" t="s">
        <v>23778</v>
      </c>
      <c r="L5038" s="36">
        <v>670.0</v>
      </c>
      <c r="M5038" s="36">
        <v>75.0</v>
      </c>
      <c r="N5038" s="36"/>
      <c r="O5038" s="36"/>
      <c r="P5038" s="37"/>
      <c r="Q5038" s="36"/>
      <c r="R5038" s="36" t="s">
        <v>23988</v>
      </c>
      <c r="S5038" s="36">
        <v>1.0</v>
      </c>
      <c r="T5038" s="28" t="s">
        <v>23989</v>
      </c>
      <c r="U5038" s="38" t="str">
        <f>HYPERLINK("https://www.ncbi.nlm.nih.gov/pubmed/16979496","PubMed")</f>
        <v>PubMed</v>
      </c>
      <c r="V5038" s="30"/>
      <c r="W5038" s="49"/>
      <c r="X5038" s="49"/>
      <c r="Y5038" s="35"/>
      <c r="Z5038" s="35"/>
      <c r="AA5038" s="35"/>
      <c r="AB5038" s="35"/>
      <c r="AC5038" s="35"/>
      <c r="AD5038" s="35"/>
      <c r="AE5038" s="35"/>
      <c r="AF5038" s="35"/>
      <c r="AG5038" s="35"/>
      <c r="AH5038" s="35"/>
      <c r="AI5038" s="35"/>
      <c r="AJ5038" s="35"/>
      <c r="AK5038" s="35"/>
      <c r="AL5038" s="35"/>
    </row>
    <row r="5039">
      <c r="A5039" s="1"/>
      <c r="B5039" s="19" t="s">
        <v>19332</v>
      </c>
      <c r="C5039" s="20" t="s">
        <v>23690</v>
      </c>
      <c r="D5039" s="47"/>
      <c r="E5039" s="22" t="s">
        <v>23990</v>
      </c>
      <c r="F5039" s="22" t="s">
        <v>1822</v>
      </c>
      <c r="G5039" s="23">
        <v>1998.0</v>
      </c>
      <c r="H5039" s="22" t="s">
        <v>5518</v>
      </c>
      <c r="I5039" s="24" t="s">
        <v>23991</v>
      </c>
      <c r="J5039" s="22" t="s">
        <v>14492</v>
      </c>
      <c r="K5039" s="22"/>
      <c r="L5039" s="36"/>
      <c r="M5039" s="36"/>
      <c r="N5039" s="36"/>
      <c r="O5039" s="36"/>
      <c r="P5039" s="37"/>
      <c r="Q5039" s="36"/>
      <c r="R5039" s="36"/>
      <c r="S5039" s="36"/>
      <c r="T5039" s="28" t="s">
        <v>23992</v>
      </c>
      <c r="U5039" s="38" t="str">
        <f>HYPERLINK("https://www.ncbi.nlm.nih.gov/pubmed/9667142","PubMed")</f>
        <v>PubMed</v>
      </c>
      <c r="V5039" s="30"/>
      <c r="W5039" s="49"/>
      <c r="X5039" s="49"/>
      <c r="Y5039" s="35"/>
      <c r="Z5039" s="35"/>
      <c r="AA5039" s="35"/>
      <c r="AB5039" s="35"/>
      <c r="AC5039" s="35"/>
      <c r="AD5039" s="35"/>
      <c r="AE5039" s="35"/>
      <c r="AF5039" s="35"/>
      <c r="AG5039" s="35"/>
      <c r="AH5039" s="35"/>
      <c r="AI5039" s="35"/>
      <c r="AJ5039" s="35"/>
      <c r="AK5039" s="35"/>
      <c r="AL5039" s="35"/>
    </row>
    <row r="5040">
      <c r="A5040" s="1"/>
      <c r="B5040" s="19" t="s">
        <v>19332</v>
      </c>
      <c r="C5040" s="20" t="s">
        <v>23690</v>
      </c>
      <c r="D5040" s="47"/>
      <c r="E5040" s="22" t="s">
        <v>23993</v>
      </c>
      <c r="F5040" s="22" t="s">
        <v>1822</v>
      </c>
      <c r="G5040" s="23">
        <v>1997.0</v>
      </c>
      <c r="H5040" s="22" t="s">
        <v>5518</v>
      </c>
      <c r="I5040" s="24" t="s">
        <v>23994</v>
      </c>
      <c r="J5040" s="22" t="s">
        <v>14492</v>
      </c>
      <c r="K5040" s="22"/>
      <c r="L5040" s="36"/>
      <c r="M5040" s="36"/>
      <c r="N5040" s="36"/>
      <c r="O5040" s="36"/>
      <c r="P5040" s="37"/>
      <c r="Q5040" s="36"/>
      <c r="R5040" s="36">
        <v>60.0</v>
      </c>
      <c r="S5040" s="36">
        <v>1.0</v>
      </c>
      <c r="T5040" s="28" t="s">
        <v>23995</v>
      </c>
      <c r="U5040" s="38" t="str">
        <f>HYPERLINK("https://www.ncbi.nlm.nih.gov/pubmed/9566142","PubMed")</f>
        <v>PubMed</v>
      </c>
      <c r="V5040" s="30"/>
      <c r="W5040" s="49"/>
      <c r="X5040" s="49"/>
      <c r="Y5040" s="35"/>
      <c r="Z5040" s="35"/>
      <c r="AA5040" s="35"/>
      <c r="AB5040" s="35"/>
      <c r="AC5040" s="35"/>
      <c r="AD5040" s="35"/>
      <c r="AE5040" s="35"/>
      <c r="AF5040" s="35"/>
      <c r="AG5040" s="35"/>
      <c r="AH5040" s="35"/>
      <c r="AI5040" s="35"/>
      <c r="AJ5040" s="35"/>
      <c r="AK5040" s="35"/>
      <c r="AL5040" s="35"/>
    </row>
    <row r="5041">
      <c r="A5041" s="1"/>
      <c r="B5041" s="19" t="s">
        <v>19332</v>
      </c>
      <c r="C5041" s="20" t="s">
        <v>23690</v>
      </c>
      <c r="D5041" s="47"/>
      <c r="E5041" s="22" t="s">
        <v>1904</v>
      </c>
      <c r="F5041" s="22" t="s">
        <v>6888</v>
      </c>
      <c r="G5041" s="23">
        <v>1995.0</v>
      </c>
      <c r="H5041" s="22" t="s">
        <v>23828</v>
      </c>
      <c r="I5041" s="24" t="s">
        <v>23996</v>
      </c>
      <c r="J5041" s="22" t="s">
        <v>23997</v>
      </c>
      <c r="K5041" s="22" t="s">
        <v>7020</v>
      </c>
      <c r="L5041" s="36">
        <v>830.0</v>
      </c>
      <c r="M5041" s="36">
        <v>30.0</v>
      </c>
      <c r="N5041" s="36" t="s">
        <v>23998</v>
      </c>
      <c r="O5041" s="36"/>
      <c r="P5041" s="37"/>
      <c r="Q5041" s="36"/>
      <c r="R5041" s="36" t="s">
        <v>23999</v>
      </c>
      <c r="S5041" s="36" t="s">
        <v>11820</v>
      </c>
      <c r="T5041" s="41" t="s">
        <v>24000</v>
      </c>
      <c r="U5041" s="38" t="str">
        <f>HYPERLINK("https://www.ncbi.nlm.nih.gov/pubmed/7503039","PubMed")</f>
        <v>PubMed</v>
      </c>
      <c r="V5041" s="30"/>
      <c r="W5041" s="49"/>
      <c r="X5041" s="49"/>
      <c r="Y5041" s="35"/>
      <c r="Z5041" s="35"/>
      <c r="AA5041" s="35"/>
      <c r="AB5041" s="35"/>
      <c r="AC5041" s="35"/>
      <c r="AD5041" s="35"/>
      <c r="AE5041" s="35"/>
      <c r="AF5041" s="35"/>
      <c r="AG5041" s="35"/>
      <c r="AH5041" s="35"/>
      <c r="AI5041" s="35"/>
      <c r="AJ5041" s="35"/>
      <c r="AK5041" s="35"/>
      <c r="AL5041" s="35"/>
    </row>
    <row r="5042">
      <c r="A5042" s="1"/>
      <c r="B5042" s="19" t="s">
        <v>19332</v>
      </c>
      <c r="C5042" s="20" t="s">
        <v>24001</v>
      </c>
      <c r="D5042" s="47"/>
      <c r="E5042" s="22" t="s">
        <v>19368</v>
      </c>
      <c r="F5042" s="22" t="s">
        <v>1808</v>
      </c>
      <c r="G5042" s="23">
        <v>2024.0</v>
      </c>
      <c r="H5042" s="22" t="s">
        <v>24002</v>
      </c>
      <c r="I5042" s="24" t="s">
        <v>24003</v>
      </c>
      <c r="J5042" s="22" t="s">
        <v>55</v>
      </c>
      <c r="K5042" s="22"/>
      <c r="L5042" s="52">
        <v>808.0</v>
      </c>
      <c r="M5042" s="52">
        <v>100.0</v>
      </c>
      <c r="N5042" s="52"/>
      <c r="O5042" s="52">
        <v>18.0</v>
      </c>
      <c r="P5042" s="189" t="s">
        <v>24004</v>
      </c>
      <c r="Q5042" s="52"/>
      <c r="R5042" s="52">
        <v>180.0</v>
      </c>
      <c r="S5042" s="52" t="s">
        <v>24005</v>
      </c>
      <c r="T5042" s="28" t="s">
        <v>24006</v>
      </c>
      <c r="U5042" s="38" t="s">
        <v>61</v>
      </c>
      <c r="V5042" s="30"/>
      <c r="W5042" s="156"/>
      <c r="X5042" s="49"/>
      <c r="Y5042" s="35"/>
      <c r="Z5042" s="35"/>
      <c r="AA5042" s="35"/>
      <c r="AB5042" s="35"/>
      <c r="AC5042" s="35"/>
      <c r="AD5042" s="35"/>
      <c r="AE5042" s="35"/>
      <c r="AF5042" s="35"/>
      <c r="AG5042" s="35"/>
      <c r="AH5042" s="35"/>
      <c r="AI5042" s="35"/>
      <c r="AJ5042" s="35"/>
      <c r="AK5042" s="35"/>
      <c r="AL5042" s="35"/>
    </row>
    <row r="5043">
      <c r="A5043" s="1"/>
      <c r="B5043" s="19" t="s">
        <v>19332</v>
      </c>
      <c r="C5043" s="20" t="s">
        <v>24001</v>
      </c>
      <c r="D5043" s="47"/>
      <c r="E5043" s="22" t="s">
        <v>24007</v>
      </c>
      <c r="F5043" s="22" t="s">
        <v>979</v>
      </c>
      <c r="G5043" s="23">
        <v>2021.0</v>
      </c>
      <c r="H5043" s="22" t="s">
        <v>23692</v>
      </c>
      <c r="I5043" s="24" t="s">
        <v>24008</v>
      </c>
      <c r="J5043" s="22" t="s">
        <v>55</v>
      </c>
      <c r="K5043" s="22" t="s">
        <v>24009</v>
      </c>
      <c r="L5043" s="52" t="s">
        <v>24010</v>
      </c>
      <c r="M5043" s="52"/>
      <c r="N5043" s="52"/>
      <c r="O5043" s="52"/>
      <c r="P5043" s="189"/>
      <c r="Q5043" s="52"/>
      <c r="R5043" s="52">
        <v>540.0</v>
      </c>
      <c r="S5043" s="52"/>
      <c r="T5043" s="28" t="s">
        <v>24011</v>
      </c>
      <c r="U5043" s="29" t="s">
        <v>61</v>
      </c>
      <c r="V5043" s="30"/>
      <c r="W5043" s="156"/>
      <c r="X5043" s="49"/>
      <c r="Y5043" s="35"/>
      <c r="Z5043" s="35"/>
      <c r="AA5043" s="35"/>
      <c r="AB5043" s="35"/>
      <c r="AC5043" s="35"/>
      <c r="AD5043" s="35"/>
      <c r="AE5043" s="35"/>
      <c r="AF5043" s="35"/>
      <c r="AG5043" s="35"/>
      <c r="AH5043" s="35"/>
      <c r="AI5043" s="35"/>
      <c r="AJ5043" s="35"/>
      <c r="AK5043" s="35"/>
      <c r="AL5043" s="35"/>
    </row>
    <row r="5044">
      <c r="A5044" s="1"/>
      <c r="B5044" s="19" t="s">
        <v>19332</v>
      </c>
      <c r="C5044" s="20" t="s">
        <v>24001</v>
      </c>
      <c r="D5044" s="47"/>
      <c r="E5044" s="22" t="s">
        <v>17551</v>
      </c>
      <c r="F5044" s="22" t="s">
        <v>1370</v>
      </c>
      <c r="G5044" s="23">
        <v>2021.0</v>
      </c>
      <c r="H5044" s="22" t="s">
        <v>24012</v>
      </c>
      <c r="I5044" s="24" t="s">
        <v>24013</v>
      </c>
      <c r="J5044" s="22" t="s">
        <v>649</v>
      </c>
      <c r="K5044" s="22"/>
      <c r="L5044" s="53" t="s">
        <v>24014</v>
      </c>
      <c r="U5044" s="29" t="s">
        <v>61</v>
      </c>
      <c r="V5044" s="30"/>
      <c r="W5044" s="156"/>
      <c r="X5044" s="49"/>
      <c r="Y5044" s="35"/>
      <c r="Z5044" s="35"/>
      <c r="AA5044" s="35"/>
      <c r="AB5044" s="35"/>
      <c r="AC5044" s="35"/>
      <c r="AD5044" s="35"/>
      <c r="AE5044" s="35"/>
      <c r="AF5044" s="35"/>
      <c r="AG5044" s="35"/>
      <c r="AH5044" s="35"/>
      <c r="AI5044" s="35"/>
      <c r="AJ5044" s="35"/>
      <c r="AK5044" s="35"/>
      <c r="AL5044" s="35"/>
    </row>
    <row r="5045">
      <c r="A5045" s="1"/>
      <c r="B5045" s="19" t="s">
        <v>19332</v>
      </c>
      <c r="C5045" s="20" t="s">
        <v>24001</v>
      </c>
      <c r="D5045" s="47"/>
      <c r="E5045" s="22" t="s">
        <v>2583</v>
      </c>
      <c r="F5045" s="22" t="s">
        <v>2801</v>
      </c>
      <c r="G5045" s="23">
        <v>2017.0</v>
      </c>
      <c r="H5045" s="22" t="s">
        <v>658</v>
      </c>
      <c r="I5045" s="24" t="s">
        <v>24015</v>
      </c>
      <c r="J5045" s="22" t="s">
        <v>649</v>
      </c>
      <c r="K5045" s="22" t="s">
        <v>24016</v>
      </c>
      <c r="L5045" s="167" t="s">
        <v>24017</v>
      </c>
      <c r="M5045" s="44"/>
      <c r="N5045" s="44"/>
      <c r="O5045" s="44"/>
      <c r="P5045" s="44"/>
      <c r="Q5045" s="44"/>
      <c r="R5045" s="44"/>
      <c r="S5045" s="44"/>
      <c r="T5045" s="45"/>
      <c r="U5045" s="38" t="str">
        <f>HYPERLINK("https://www.ncbi.nlm.nih.gov/pubmed/27564090","PubMed")</f>
        <v>PubMed</v>
      </c>
      <c r="V5045" s="30"/>
      <c r="W5045" s="49"/>
      <c r="X5045" s="49"/>
      <c r="Y5045" s="35"/>
      <c r="Z5045" s="35"/>
      <c r="AA5045" s="35"/>
      <c r="AB5045" s="35"/>
      <c r="AC5045" s="35"/>
      <c r="AD5045" s="35"/>
      <c r="AE5045" s="35"/>
      <c r="AF5045" s="35"/>
      <c r="AG5045" s="35"/>
      <c r="AH5045" s="35"/>
      <c r="AI5045" s="35"/>
      <c r="AJ5045" s="35"/>
      <c r="AK5045" s="35"/>
      <c r="AL5045" s="35"/>
    </row>
    <row r="5046">
      <c r="A5046" s="1"/>
      <c r="B5046" s="19" t="s">
        <v>19332</v>
      </c>
      <c r="C5046" s="20" t="s">
        <v>24001</v>
      </c>
      <c r="D5046" s="47"/>
      <c r="E5046" s="22" t="s">
        <v>493</v>
      </c>
      <c r="F5046" s="22" t="s">
        <v>299</v>
      </c>
      <c r="G5046" s="23">
        <v>2016.0</v>
      </c>
      <c r="H5046" s="22" t="s">
        <v>21078</v>
      </c>
      <c r="I5046" s="24" t="s">
        <v>24018</v>
      </c>
      <c r="J5046" s="22" t="s">
        <v>55</v>
      </c>
      <c r="K5046" s="22"/>
      <c r="L5046" s="36">
        <v>780.0</v>
      </c>
      <c r="M5046" s="36"/>
      <c r="N5046" s="36"/>
      <c r="O5046" s="36"/>
      <c r="P5046" s="37" t="s">
        <v>287</v>
      </c>
      <c r="Q5046" s="36"/>
      <c r="R5046" s="36"/>
      <c r="S5046" s="36"/>
      <c r="T5046" s="42" t="s">
        <v>24019</v>
      </c>
      <c r="U5046" s="38" t="str">
        <f>HYPERLINK("https://www.ncbi.nlm.nih.gov/pubmed/26154938","PubMed")</f>
        <v>PubMed</v>
      </c>
      <c r="V5046" s="30"/>
      <c r="W5046" s="49"/>
      <c r="X5046" s="49"/>
      <c r="Y5046" s="35"/>
      <c r="Z5046" s="35"/>
      <c r="AA5046" s="35"/>
      <c r="AB5046" s="35"/>
      <c r="AC5046" s="35"/>
      <c r="AD5046" s="35"/>
      <c r="AE5046" s="35"/>
      <c r="AF5046" s="35"/>
      <c r="AG5046" s="35"/>
      <c r="AH5046" s="35"/>
      <c r="AI5046" s="35"/>
      <c r="AJ5046" s="35"/>
      <c r="AK5046" s="35"/>
      <c r="AL5046" s="35"/>
    </row>
    <row r="5047">
      <c r="A5047" s="1"/>
      <c r="B5047" s="19" t="s">
        <v>19332</v>
      </c>
      <c r="C5047" s="20" t="s">
        <v>24001</v>
      </c>
      <c r="D5047" s="47"/>
      <c r="E5047" s="22" t="s">
        <v>24020</v>
      </c>
      <c r="F5047" s="22" t="s">
        <v>24021</v>
      </c>
      <c r="G5047" s="23">
        <v>2015.0</v>
      </c>
      <c r="H5047" s="22" t="s">
        <v>23608</v>
      </c>
      <c r="I5047" s="24" t="s">
        <v>24022</v>
      </c>
      <c r="J5047" s="22" t="s">
        <v>55</v>
      </c>
      <c r="K5047" s="22"/>
      <c r="L5047" s="36">
        <v>830.0</v>
      </c>
      <c r="M5047" s="36">
        <v>75.0</v>
      </c>
      <c r="N5047" s="36" t="s">
        <v>1261</v>
      </c>
      <c r="O5047" s="36">
        <v>3.0</v>
      </c>
      <c r="P5047" s="37" t="s">
        <v>1263</v>
      </c>
      <c r="Q5047" s="36" t="s">
        <v>1264</v>
      </c>
      <c r="R5047" s="36">
        <v>17.0</v>
      </c>
      <c r="S5047" s="36" t="s">
        <v>24023</v>
      </c>
      <c r="T5047" s="28" t="s">
        <v>24024</v>
      </c>
      <c r="U5047" s="38" t="str">
        <f>HYPERLINK("https://www.ncbi.nlm.nih.gov/pubmed/25287057","PubMed")</f>
        <v>PubMed</v>
      </c>
      <c r="V5047" s="50"/>
      <c r="W5047" s="49"/>
      <c r="X5047" s="49"/>
      <c r="Y5047" s="35"/>
      <c r="Z5047" s="35"/>
      <c r="AA5047" s="35"/>
      <c r="AB5047" s="35"/>
      <c r="AC5047" s="35"/>
      <c r="AD5047" s="35"/>
      <c r="AE5047" s="35"/>
      <c r="AF5047" s="35"/>
      <c r="AG5047" s="35"/>
      <c r="AH5047" s="35"/>
      <c r="AI5047" s="35"/>
      <c r="AJ5047" s="35"/>
      <c r="AK5047" s="35"/>
      <c r="AL5047" s="35"/>
    </row>
    <row r="5048">
      <c r="A5048" s="205"/>
      <c r="B5048" s="19" t="s">
        <v>19332</v>
      </c>
      <c r="C5048" s="20" t="s">
        <v>24001</v>
      </c>
      <c r="D5048" s="47"/>
      <c r="E5048" s="22" t="s">
        <v>1080</v>
      </c>
      <c r="F5048" s="22" t="s">
        <v>299</v>
      </c>
      <c r="G5048" s="23">
        <v>2013.0</v>
      </c>
      <c r="H5048" s="22" t="s">
        <v>91</v>
      </c>
      <c r="I5048" s="24" t="s">
        <v>24025</v>
      </c>
      <c r="J5048" s="22" t="s">
        <v>55</v>
      </c>
      <c r="K5048" s="22"/>
      <c r="L5048" s="36">
        <v>780.0</v>
      </c>
      <c r="M5048" s="36">
        <v>70.0</v>
      </c>
      <c r="N5048" s="36" t="s">
        <v>827</v>
      </c>
      <c r="O5048" s="36"/>
      <c r="P5048" s="37" t="s">
        <v>432</v>
      </c>
      <c r="Q5048" s="36"/>
      <c r="R5048" s="36">
        <v>3.0</v>
      </c>
      <c r="S5048" s="36"/>
      <c r="T5048" s="42" t="s">
        <v>24026</v>
      </c>
      <c r="U5048" s="38" t="str">
        <f>HYPERLINK("https://www.ncbi.nlm.nih.gov/pubmed/22814894","PubMed")</f>
        <v>PubMed</v>
      </c>
      <c r="V5048" s="30"/>
      <c r="W5048" s="49"/>
      <c r="X5048" s="49"/>
      <c r="Y5048" s="35"/>
      <c r="Z5048" s="35"/>
      <c r="AA5048" s="35"/>
      <c r="AB5048" s="35"/>
      <c r="AC5048" s="35"/>
      <c r="AD5048" s="35"/>
      <c r="AE5048" s="35"/>
      <c r="AF5048" s="35"/>
      <c r="AG5048" s="35"/>
      <c r="AH5048" s="35"/>
      <c r="AI5048" s="35"/>
      <c r="AJ5048" s="35"/>
      <c r="AK5048" s="35"/>
      <c r="AL5048" s="35"/>
    </row>
    <row r="5049">
      <c r="A5049" s="18"/>
      <c r="B5049" s="19" t="s">
        <v>19332</v>
      </c>
      <c r="C5049" s="20" t="s">
        <v>24027</v>
      </c>
      <c r="D5049" s="47"/>
      <c r="E5049" s="22" t="s">
        <v>1772</v>
      </c>
      <c r="F5049" s="22" t="s">
        <v>2214</v>
      </c>
      <c r="G5049" s="23">
        <v>2022.0</v>
      </c>
      <c r="H5049" s="22" t="s">
        <v>24028</v>
      </c>
      <c r="I5049" s="24" t="s">
        <v>24029</v>
      </c>
      <c r="J5049" s="22" t="s">
        <v>125</v>
      </c>
      <c r="K5049" s="22"/>
      <c r="L5049" s="105" t="s">
        <v>24030</v>
      </c>
      <c r="M5049" s="44"/>
      <c r="N5049" s="44"/>
      <c r="O5049" s="44"/>
      <c r="P5049" s="44"/>
      <c r="Q5049" s="44"/>
      <c r="R5049" s="44"/>
      <c r="S5049" s="44"/>
      <c r="T5049" s="45"/>
      <c r="U5049" s="38" t="s">
        <v>61</v>
      </c>
      <c r="V5049" s="30"/>
      <c r="W5049" s="156"/>
      <c r="X5049" s="49"/>
      <c r="Y5049" s="35"/>
      <c r="Z5049" s="35"/>
      <c r="AA5049" s="35"/>
      <c r="AB5049" s="35"/>
      <c r="AC5049" s="35"/>
      <c r="AD5049" s="35"/>
      <c r="AE5049" s="35"/>
      <c r="AF5049" s="35"/>
      <c r="AG5049" s="35"/>
      <c r="AH5049" s="35"/>
      <c r="AI5049" s="35"/>
      <c r="AJ5049" s="35"/>
      <c r="AK5049" s="35"/>
      <c r="AL5049" s="35"/>
    </row>
    <row r="5050">
      <c r="A5050" s="18" t="s">
        <v>2983</v>
      </c>
      <c r="B5050" s="19" t="s">
        <v>19332</v>
      </c>
      <c r="C5050" s="20" t="s">
        <v>24027</v>
      </c>
      <c r="D5050" s="47"/>
      <c r="E5050" s="22" t="s">
        <v>24031</v>
      </c>
      <c r="F5050" s="22" t="s">
        <v>24032</v>
      </c>
      <c r="G5050" s="23">
        <v>2017.0</v>
      </c>
      <c r="H5050" s="22" t="s">
        <v>24033</v>
      </c>
      <c r="I5050" s="24" t="s">
        <v>24034</v>
      </c>
      <c r="J5050" s="22" t="s">
        <v>125</v>
      </c>
      <c r="K5050" s="22"/>
      <c r="L5050" s="105" t="s">
        <v>24035</v>
      </c>
      <c r="M5050" s="44"/>
      <c r="N5050" s="44"/>
      <c r="O5050" s="44"/>
      <c r="P5050" s="44"/>
      <c r="Q5050" s="44"/>
      <c r="R5050" s="44"/>
      <c r="S5050" s="44"/>
      <c r="T5050" s="45"/>
      <c r="U5050" s="38" t="str">
        <f>HYPERLINK("https://link.springer.com/chapter/10.1007/978-3-319-51944-9_12","Springer")</f>
        <v>Springer</v>
      </c>
      <c r="V5050" s="30"/>
      <c r="W5050" s="156"/>
      <c r="X5050" s="49"/>
      <c r="Y5050" s="35"/>
      <c r="Z5050" s="35"/>
      <c r="AA5050" s="35"/>
      <c r="AB5050" s="35"/>
      <c r="AC5050" s="35"/>
      <c r="AD5050" s="35"/>
      <c r="AE5050" s="35"/>
      <c r="AF5050" s="35"/>
      <c r="AG5050" s="35"/>
      <c r="AH5050" s="35"/>
      <c r="AI5050" s="35"/>
      <c r="AJ5050" s="35"/>
      <c r="AK5050" s="35"/>
      <c r="AL5050" s="35"/>
    </row>
    <row r="5051">
      <c r="A5051" s="1"/>
      <c r="B5051" s="19" t="s">
        <v>19332</v>
      </c>
      <c r="C5051" s="20" t="s">
        <v>24027</v>
      </c>
      <c r="D5051" s="47"/>
      <c r="E5051" s="22" t="s">
        <v>24036</v>
      </c>
      <c r="F5051" s="22" t="s">
        <v>24037</v>
      </c>
      <c r="G5051" s="23">
        <v>2014.0</v>
      </c>
      <c r="H5051" s="22" t="s">
        <v>17533</v>
      </c>
      <c r="I5051" s="24" t="s">
        <v>24038</v>
      </c>
      <c r="J5051" s="22" t="s">
        <v>125</v>
      </c>
      <c r="K5051" s="22"/>
      <c r="L5051" s="105" t="s">
        <v>24039</v>
      </c>
      <c r="M5051" s="44"/>
      <c r="N5051" s="44"/>
      <c r="O5051" s="44"/>
      <c r="P5051" s="44"/>
      <c r="Q5051" s="44"/>
      <c r="R5051" s="44"/>
      <c r="S5051" s="44"/>
      <c r="T5051" s="44"/>
      <c r="U5051" s="38" t="str">
        <f>HYPERLINK("https://www.ncbi.nlm.nih.gov/pubmed/24748305","PubMed")</f>
        <v>PubMed</v>
      </c>
      <c r="V5051" s="30"/>
      <c r="W5051" s="49"/>
      <c r="X5051" s="49"/>
      <c r="Y5051" s="35"/>
      <c r="Z5051" s="35"/>
      <c r="AA5051" s="35"/>
      <c r="AB5051" s="35"/>
      <c r="AC5051" s="35"/>
      <c r="AD5051" s="35"/>
      <c r="AE5051" s="35"/>
      <c r="AF5051" s="35"/>
      <c r="AG5051" s="35"/>
      <c r="AH5051" s="35"/>
      <c r="AI5051" s="35"/>
      <c r="AJ5051" s="35"/>
      <c r="AK5051" s="35"/>
      <c r="AL5051" s="35"/>
    </row>
    <row r="5052">
      <c r="A5052" s="18"/>
      <c r="B5052" s="19" t="s">
        <v>19332</v>
      </c>
      <c r="C5052" s="20" t="s">
        <v>24040</v>
      </c>
      <c r="D5052" s="47"/>
      <c r="E5052" s="22" t="s">
        <v>24041</v>
      </c>
      <c r="F5052" s="22" t="s">
        <v>1973</v>
      </c>
      <c r="G5052" s="23">
        <v>2022.0</v>
      </c>
      <c r="H5052" s="22" t="s">
        <v>147</v>
      </c>
      <c r="I5052" s="24" t="s">
        <v>24042</v>
      </c>
      <c r="J5052" s="22" t="s">
        <v>649</v>
      </c>
      <c r="K5052" s="22"/>
      <c r="L5052" s="132" t="s">
        <v>24043</v>
      </c>
      <c r="U5052" s="38" t="s">
        <v>61</v>
      </c>
      <c r="V5052" s="30"/>
      <c r="W5052" s="49"/>
      <c r="X5052" s="49"/>
      <c r="Y5052" s="35"/>
      <c r="Z5052" s="35"/>
      <c r="AA5052" s="35"/>
      <c r="AB5052" s="35"/>
      <c r="AC5052" s="35"/>
      <c r="AD5052" s="35"/>
      <c r="AE5052" s="35"/>
      <c r="AF5052" s="35"/>
      <c r="AG5052" s="35"/>
      <c r="AH5052" s="35"/>
      <c r="AI5052" s="35"/>
      <c r="AJ5052" s="35"/>
      <c r="AK5052" s="35"/>
      <c r="AL5052" s="35"/>
    </row>
    <row r="5053">
      <c r="A5053" s="205"/>
      <c r="B5053" s="19" t="s">
        <v>19332</v>
      </c>
      <c r="C5053" s="20" t="s">
        <v>24040</v>
      </c>
      <c r="D5053" s="47"/>
      <c r="E5053" s="22" t="s">
        <v>24044</v>
      </c>
      <c r="F5053" s="22" t="s">
        <v>1943</v>
      </c>
      <c r="G5053" s="23">
        <v>2022.0</v>
      </c>
      <c r="H5053" s="22" t="s">
        <v>23900</v>
      </c>
      <c r="I5053" s="24" t="s">
        <v>24045</v>
      </c>
      <c r="J5053" s="22" t="s">
        <v>24046</v>
      </c>
      <c r="K5053" s="22"/>
      <c r="L5053" s="36">
        <v>780.0</v>
      </c>
      <c r="M5053" s="36" t="s">
        <v>2475</v>
      </c>
      <c r="N5053" s="36"/>
      <c r="O5053" s="36" t="s">
        <v>24047</v>
      </c>
      <c r="P5053" s="37" t="s">
        <v>95</v>
      </c>
      <c r="Q5053" s="36" t="s">
        <v>24048</v>
      </c>
      <c r="R5053" s="36" t="s">
        <v>854</v>
      </c>
      <c r="S5053" s="36" t="s">
        <v>24049</v>
      </c>
      <c r="T5053" s="41" t="s">
        <v>24050</v>
      </c>
      <c r="U5053" s="38" t="s">
        <v>61</v>
      </c>
      <c r="V5053" s="30"/>
      <c r="W5053" s="49"/>
      <c r="X5053" s="49"/>
      <c r="Y5053" s="35"/>
      <c r="Z5053" s="35"/>
      <c r="AA5053" s="35"/>
      <c r="AB5053" s="35"/>
      <c r="AC5053" s="35"/>
      <c r="AD5053" s="35"/>
      <c r="AE5053" s="35"/>
      <c r="AF5053" s="35"/>
      <c r="AG5053" s="35"/>
      <c r="AH5053" s="35"/>
      <c r="AI5053" s="35"/>
      <c r="AJ5053" s="35"/>
      <c r="AK5053" s="35"/>
      <c r="AL5053" s="35"/>
    </row>
    <row r="5054">
      <c r="A5054" s="1"/>
      <c r="B5054" s="19" t="s">
        <v>19332</v>
      </c>
      <c r="C5054" s="20" t="s">
        <v>24040</v>
      </c>
      <c r="D5054" s="47"/>
      <c r="E5054" s="22" t="s">
        <v>24041</v>
      </c>
      <c r="F5054" s="22" t="s">
        <v>1973</v>
      </c>
      <c r="G5054" s="23">
        <v>2022.0</v>
      </c>
      <c r="H5054" s="22" t="s">
        <v>147</v>
      </c>
      <c r="I5054" s="24" t="s">
        <v>24051</v>
      </c>
      <c r="J5054" s="22" t="s">
        <v>55</v>
      </c>
      <c r="K5054" s="22" t="s">
        <v>18178</v>
      </c>
      <c r="L5054" s="36">
        <v>810.0</v>
      </c>
      <c r="M5054" s="36">
        <v>1000.0</v>
      </c>
      <c r="N5054" s="36"/>
      <c r="O5054" s="36">
        <v>5.0</v>
      </c>
      <c r="P5054" s="37"/>
      <c r="Q5054" s="36" t="s">
        <v>24052</v>
      </c>
      <c r="R5054" s="36">
        <v>4.0</v>
      </c>
      <c r="S5054" s="36" t="s">
        <v>24053</v>
      </c>
      <c r="T5054" s="28" t="s">
        <v>24054</v>
      </c>
      <c r="U5054" s="38" t="s">
        <v>61</v>
      </c>
      <c r="V5054" s="30"/>
      <c r="W5054" s="49"/>
      <c r="X5054" s="49"/>
      <c r="Y5054" s="35"/>
      <c r="Z5054" s="35"/>
      <c r="AA5054" s="35"/>
      <c r="AB5054" s="35"/>
      <c r="AC5054" s="35"/>
      <c r="AD5054" s="35"/>
      <c r="AE5054" s="35"/>
      <c r="AF5054" s="35"/>
      <c r="AG5054" s="35"/>
      <c r="AH5054" s="35"/>
      <c r="AI5054" s="35"/>
      <c r="AJ5054" s="35"/>
      <c r="AK5054" s="35"/>
      <c r="AL5054" s="35"/>
    </row>
    <row r="5055">
      <c r="A5055" s="18"/>
      <c r="B5055" s="19" t="s">
        <v>19332</v>
      </c>
      <c r="C5055" s="20" t="s">
        <v>24040</v>
      </c>
      <c r="D5055" s="47"/>
      <c r="E5055" s="22" t="s">
        <v>24055</v>
      </c>
      <c r="F5055" s="22" t="s">
        <v>19727</v>
      </c>
      <c r="G5055" s="23">
        <v>2022.0</v>
      </c>
      <c r="H5055" s="22" t="s">
        <v>10656</v>
      </c>
      <c r="I5055" s="24" t="s">
        <v>24056</v>
      </c>
      <c r="J5055" s="22" t="s">
        <v>649</v>
      </c>
      <c r="K5055" s="22"/>
      <c r="L5055" s="41" t="s">
        <v>24057</v>
      </c>
      <c r="U5055" s="29" t="s">
        <v>61</v>
      </c>
      <c r="V5055" s="30"/>
      <c r="W5055" s="49"/>
      <c r="X5055" s="49"/>
      <c r="Y5055" s="35"/>
      <c r="Z5055" s="35"/>
      <c r="AA5055" s="35"/>
      <c r="AB5055" s="35"/>
      <c r="AC5055" s="35"/>
      <c r="AD5055" s="35"/>
      <c r="AE5055" s="35"/>
      <c r="AF5055" s="35"/>
      <c r="AG5055" s="35"/>
      <c r="AH5055" s="35"/>
      <c r="AI5055" s="35"/>
      <c r="AJ5055" s="35"/>
      <c r="AK5055" s="35"/>
      <c r="AL5055" s="35"/>
    </row>
    <row r="5056">
      <c r="A5056" s="18"/>
      <c r="B5056" s="19" t="s">
        <v>19332</v>
      </c>
      <c r="C5056" s="20" t="s">
        <v>24040</v>
      </c>
      <c r="D5056" s="47"/>
      <c r="E5056" s="22" t="s">
        <v>4403</v>
      </c>
      <c r="F5056" s="22" t="s">
        <v>24058</v>
      </c>
      <c r="G5056" s="23">
        <v>2021.0</v>
      </c>
      <c r="H5056" s="22" t="s">
        <v>19412</v>
      </c>
      <c r="I5056" s="24" t="s">
        <v>24059</v>
      </c>
      <c r="J5056" s="22" t="s">
        <v>649</v>
      </c>
      <c r="K5056" s="22"/>
      <c r="L5056" s="132" t="s">
        <v>24060</v>
      </c>
      <c r="U5056" s="29" t="s">
        <v>61</v>
      </c>
      <c r="V5056" s="30"/>
      <c r="W5056" s="49"/>
      <c r="X5056" s="49"/>
      <c r="Y5056" s="35"/>
      <c r="Z5056" s="35"/>
      <c r="AA5056" s="35"/>
      <c r="AB5056" s="35"/>
      <c r="AC5056" s="35"/>
      <c r="AD5056" s="35"/>
      <c r="AE5056" s="35"/>
      <c r="AF5056" s="35"/>
      <c r="AG5056" s="35"/>
      <c r="AH5056" s="35"/>
      <c r="AI5056" s="35"/>
      <c r="AJ5056" s="35"/>
      <c r="AK5056" s="35"/>
      <c r="AL5056" s="35"/>
    </row>
    <row r="5057">
      <c r="A5057" s="18" t="s">
        <v>38</v>
      </c>
      <c r="B5057" s="19" t="s">
        <v>19332</v>
      </c>
      <c r="C5057" s="20" t="s">
        <v>24040</v>
      </c>
      <c r="D5057" s="47"/>
      <c r="E5057" s="22" t="s">
        <v>7510</v>
      </c>
      <c r="F5057" s="22" t="s">
        <v>24061</v>
      </c>
      <c r="G5057" s="23">
        <v>2021.0</v>
      </c>
      <c r="H5057" s="22" t="s">
        <v>3523</v>
      </c>
      <c r="I5057" s="24" t="s">
        <v>24062</v>
      </c>
      <c r="J5057" s="22" t="s">
        <v>24063</v>
      </c>
      <c r="K5057" s="22" t="s">
        <v>56</v>
      </c>
      <c r="L5057" s="36" t="s">
        <v>24064</v>
      </c>
      <c r="M5057" s="36"/>
      <c r="N5057" s="36"/>
      <c r="O5057" s="36"/>
      <c r="P5057" s="37" t="s">
        <v>24065</v>
      </c>
      <c r="Q5057" s="36"/>
      <c r="R5057" s="36" t="s">
        <v>24066</v>
      </c>
      <c r="S5057" s="36">
        <v>1.0</v>
      </c>
      <c r="T5057" s="28" t="s">
        <v>24067</v>
      </c>
      <c r="U5057" s="29" t="s">
        <v>61</v>
      </c>
      <c r="V5057" s="30"/>
      <c r="W5057" s="49"/>
      <c r="X5057" s="49"/>
      <c r="Y5057" s="35"/>
      <c r="Z5057" s="35"/>
      <c r="AA5057" s="35"/>
      <c r="AB5057" s="35"/>
      <c r="AC5057" s="35"/>
      <c r="AD5057" s="35"/>
      <c r="AE5057" s="35"/>
      <c r="AF5057" s="35"/>
      <c r="AG5057" s="35"/>
      <c r="AH5057" s="35"/>
      <c r="AI5057" s="35"/>
      <c r="AJ5057" s="35"/>
      <c r="AK5057" s="35"/>
      <c r="AL5057" s="35"/>
    </row>
    <row r="5058">
      <c r="A5058" s="1"/>
      <c r="B5058" s="19" t="s">
        <v>19332</v>
      </c>
      <c r="C5058" s="20" t="s">
        <v>24040</v>
      </c>
      <c r="D5058" s="47"/>
      <c r="E5058" s="22" t="s">
        <v>24068</v>
      </c>
      <c r="F5058" s="22" t="s">
        <v>323</v>
      </c>
      <c r="G5058" s="23">
        <v>2020.0</v>
      </c>
      <c r="H5058" s="22" t="s">
        <v>4975</v>
      </c>
      <c r="I5058" s="24" t="s">
        <v>24069</v>
      </c>
      <c r="J5058" s="22" t="s">
        <v>55</v>
      </c>
      <c r="K5058" s="22"/>
      <c r="L5058" s="36">
        <v>810.0</v>
      </c>
      <c r="M5058" s="36">
        <v>100.0</v>
      </c>
      <c r="N5058" s="36"/>
      <c r="O5058" s="36"/>
      <c r="P5058" s="37" t="s">
        <v>254</v>
      </c>
      <c r="Q5058" s="36"/>
      <c r="R5058" s="36">
        <v>30.0</v>
      </c>
      <c r="S5058" s="36"/>
      <c r="T5058" s="42" t="s">
        <v>24070</v>
      </c>
      <c r="U5058" s="29" t="s">
        <v>61</v>
      </c>
      <c r="V5058" s="30"/>
      <c r="W5058" s="49"/>
      <c r="X5058" s="49"/>
      <c r="Y5058" s="35"/>
      <c r="Z5058" s="35"/>
      <c r="AA5058" s="35"/>
      <c r="AB5058" s="35"/>
      <c r="AC5058" s="35"/>
      <c r="AD5058" s="35"/>
      <c r="AE5058" s="35"/>
      <c r="AF5058" s="35"/>
      <c r="AG5058" s="35"/>
      <c r="AH5058" s="35"/>
      <c r="AI5058" s="35"/>
      <c r="AJ5058" s="35"/>
      <c r="AK5058" s="35"/>
      <c r="AL5058" s="35"/>
    </row>
    <row r="5059">
      <c r="A5059" s="1"/>
      <c r="B5059" s="19" t="s">
        <v>19332</v>
      </c>
      <c r="C5059" s="20" t="s">
        <v>24040</v>
      </c>
      <c r="D5059" s="47"/>
      <c r="E5059" s="22" t="s">
        <v>24071</v>
      </c>
      <c r="F5059" s="22" t="s">
        <v>323</v>
      </c>
      <c r="G5059" s="23">
        <v>2020.0</v>
      </c>
      <c r="H5059" s="22" t="s">
        <v>24072</v>
      </c>
      <c r="I5059" s="24" t="s">
        <v>24073</v>
      </c>
      <c r="J5059" s="22" t="s">
        <v>55</v>
      </c>
      <c r="K5059" s="22"/>
      <c r="L5059" s="36" t="s">
        <v>24074</v>
      </c>
      <c r="M5059" s="36"/>
      <c r="N5059" s="36"/>
      <c r="O5059" s="36"/>
      <c r="P5059" s="37"/>
      <c r="Q5059" s="36"/>
      <c r="R5059" s="36"/>
      <c r="S5059" s="36"/>
      <c r="T5059" s="28" t="s">
        <v>24075</v>
      </c>
      <c r="U5059" s="29" t="s">
        <v>61</v>
      </c>
      <c r="V5059" s="30"/>
      <c r="W5059" s="49"/>
      <c r="X5059" s="49"/>
      <c r="Y5059" s="35"/>
      <c r="Z5059" s="35"/>
      <c r="AA5059" s="35"/>
      <c r="AB5059" s="35"/>
      <c r="AC5059" s="35"/>
      <c r="AD5059" s="35"/>
      <c r="AE5059" s="35"/>
      <c r="AF5059" s="35"/>
      <c r="AG5059" s="35"/>
      <c r="AH5059" s="35"/>
      <c r="AI5059" s="35"/>
      <c r="AJ5059" s="35"/>
      <c r="AK5059" s="35"/>
      <c r="AL5059" s="35"/>
    </row>
    <row r="5060">
      <c r="A5060" s="18" t="s">
        <v>38</v>
      </c>
      <c r="B5060" s="19" t="s">
        <v>19332</v>
      </c>
      <c r="C5060" s="20" t="s">
        <v>24040</v>
      </c>
      <c r="D5060" s="47"/>
      <c r="E5060" s="22" t="s">
        <v>23934</v>
      </c>
      <c r="F5060" s="22" t="s">
        <v>323</v>
      </c>
      <c r="G5060" s="23">
        <v>2020.0</v>
      </c>
      <c r="H5060" s="22" t="s">
        <v>147</v>
      </c>
      <c r="I5060" s="24" t="s">
        <v>24076</v>
      </c>
      <c r="J5060" s="22" t="s">
        <v>55</v>
      </c>
      <c r="K5060" s="22"/>
      <c r="L5060" s="36">
        <v>808.0</v>
      </c>
      <c r="M5060" s="36">
        <v>100.0</v>
      </c>
      <c r="N5060" s="36"/>
      <c r="O5060" s="36"/>
      <c r="P5060" s="37"/>
      <c r="Q5060" s="36"/>
      <c r="R5060" s="36" t="s">
        <v>24077</v>
      </c>
      <c r="S5060" s="36"/>
      <c r="T5060" s="28" t="s">
        <v>24078</v>
      </c>
      <c r="U5060" s="29" t="s">
        <v>61</v>
      </c>
      <c r="V5060" s="30"/>
      <c r="W5060" s="49"/>
      <c r="X5060" s="49"/>
      <c r="Y5060" s="35"/>
      <c r="Z5060" s="35"/>
      <c r="AA5060" s="35"/>
      <c r="AB5060" s="35"/>
      <c r="AC5060" s="35"/>
      <c r="AD5060" s="35"/>
      <c r="AE5060" s="35"/>
      <c r="AF5060" s="35"/>
      <c r="AG5060" s="35"/>
      <c r="AH5060" s="35"/>
      <c r="AI5060" s="35"/>
      <c r="AJ5060" s="35"/>
      <c r="AK5060" s="35"/>
      <c r="AL5060" s="35"/>
    </row>
    <row r="5061">
      <c r="A5061" s="1"/>
      <c r="B5061" s="19" t="s">
        <v>19332</v>
      </c>
      <c r="C5061" s="20" t="s">
        <v>24040</v>
      </c>
      <c r="D5061" s="47"/>
      <c r="E5061" s="22" t="s">
        <v>19895</v>
      </c>
      <c r="F5061" s="22" t="s">
        <v>24079</v>
      </c>
      <c r="G5061" s="23">
        <v>2020.0</v>
      </c>
      <c r="H5061" s="22" t="s">
        <v>91</v>
      </c>
      <c r="I5061" s="24" t="s">
        <v>24080</v>
      </c>
      <c r="J5061" s="22" t="s">
        <v>24081</v>
      </c>
      <c r="K5061" s="22"/>
      <c r="L5061" s="36">
        <v>980.0</v>
      </c>
      <c r="M5061" s="36">
        <v>300.0</v>
      </c>
      <c r="N5061" s="36"/>
      <c r="O5061" s="36"/>
      <c r="P5061" s="37"/>
      <c r="Q5061" s="36"/>
      <c r="R5061" s="36"/>
      <c r="S5061" s="36" t="s">
        <v>12874</v>
      </c>
      <c r="T5061" s="41" t="s">
        <v>24082</v>
      </c>
      <c r="U5061" s="29" t="s">
        <v>61</v>
      </c>
      <c r="V5061" s="30"/>
      <c r="W5061" s="49"/>
      <c r="X5061" s="49"/>
      <c r="Y5061" s="35"/>
      <c r="Z5061" s="35"/>
      <c r="AA5061" s="35"/>
      <c r="AB5061" s="35"/>
      <c r="AC5061" s="35"/>
      <c r="AD5061" s="35"/>
      <c r="AE5061" s="35"/>
      <c r="AF5061" s="35"/>
      <c r="AG5061" s="35"/>
      <c r="AH5061" s="35"/>
      <c r="AI5061" s="35"/>
      <c r="AJ5061" s="35"/>
      <c r="AK5061" s="35"/>
      <c r="AL5061" s="35"/>
    </row>
    <row r="5062" ht="52.5" customHeight="1">
      <c r="A5062" s="55"/>
      <c r="B5062" s="19" t="s">
        <v>19332</v>
      </c>
      <c r="C5062" s="20" t="s">
        <v>24040</v>
      </c>
      <c r="D5062" s="47"/>
      <c r="E5062" s="56" t="s">
        <v>24083</v>
      </c>
      <c r="F5062" s="22" t="s">
        <v>605</v>
      </c>
      <c r="G5062" s="57">
        <v>2019.0</v>
      </c>
      <c r="H5062" s="22" t="s">
        <v>21078</v>
      </c>
      <c r="I5062" s="58" t="s">
        <v>24084</v>
      </c>
      <c r="J5062" s="56" t="s">
        <v>55</v>
      </c>
      <c r="K5062" s="56" t="s">
        <v>1240</v>
      </c>
      <c r="L5062" s="67">
        <v>940.0</v>
      </c>
      <c r="M5062" s="67"/>
      <c r="N5062" s="67"/>
      <c r="O5062" s="67" t="s">
        <v>24085</v>
      </c>
      <c r="P5062" s="68"/>
      <c r="Q5062" s="67"/>
      <c r="R5062" s="67"/>
      <c r="S5062" s="67"/>
      <c r="T5062" s="63" t="s">
        <v>24086</v>
      </c>
      <c r="U5062" s="66" t="str">
        <f>HYPERLINK("https://www.ncbi.nlm.nih.gov/pubmed/30605019","PubMed")</f>
        <v>PubMed</v>
      </c>
      <c r="V5062" s="50"/>
      <c r="W5062" s="49"/>
      <c r="X5062" s="49"/>
      <c r="Y5062" s="35"/>
      <c r="Z5062" s="35"/>
      <c r="AA5062" s="35"/>
      <c r="AB5062" s="35"/>
      <c r="AC5062" s="35"/>
      <c r="AD5062" s="35"/>
      <c r="AE5062" s="35"/>
      <c r="AF5062" s="35"/>
      <c r="AG5062" s="35"/>
      <c r="AH5062" s="35"/>
      <c r="AI5062" s="35"/>
      <c r="AJ5062" s="35"/>
      <c r="AK5062" s="35"/>
      <c r="AL5062" s="35"/>
    </row>
    <row r="5063">
      <c r="A5063" s="1"/>
      <c r="B5063" s="19" t="s">
        <v>19332</v>
      </c>
      <c r="C5063" s="20" t="s">
        <v>24040</v>
      </c>
      <c r="D5063" s="47"/>
      <c r="E5063" s="22" t="s">
        <v>1542</v>
      </c>
      <c r="F5063" s="22" t="s">
        <v>510</v>
      </c>
      <c r="G5063" s="23">
        <v>2019.0</v>
      </c>
      <c r="H5063" s="22" t="s">
        <v>3828</v>
      </c>
      <c r="I5063" s="24" t="s">
        <v>24087</v>
      </c>
      <c r="J5063" s="22" t="s">
        <v>2141</v>
      </c>
      <c r="K5063" s="22"/>
      <c r="L5063" s="168"/>
      <c r="M5063" s="168"/>
      <c r="N5063" s="168"/>
      <c r="O5063" s="168"/>
      <c r="P5063" s="168"/>
      <c r="Q5063" s="168"/>
      <c r="R5063" s="168"/>
      <c r="S5063" s="168"/>
      <c r="T5063" s="214"/>
      <c r="U5063" s="38" t="str">
        <f>HYPERLINK("https://www.ncbi.nlm.nih.gov/pubmed/31770194","PubMed")</f>
        <v>PubMed</v>
      </c>
      <c r="V5063" s="30"/>
      <c r="W5063" s="156"/>
      <c r="X5063" s="49"/>
      <c r="Y5063" s="35"/>
      <c r="Z5063" s="35"/>
      <c r="AA5063" s="35"/>
      <c r="AB5063" s="35"/>
      <c r="AC5063" s="35"/>
      <c r="AD5063" s="35"/>
      <c r="AE5063" s="35"/>
      <c r="AF5063" s="35"/>
      <c r="AG5063" s="35"/>
      <c r="AH5063" s="35"/>
      <c r="AI5063" s="35"/>
      <c r="AJ5063" s="35"/>
      <c r="AK5063" s="35"/>
      <c r="AL5063" s="35"/>
    </row>
    <row r="5064">
      <c r="A5064" s="1"/>
      <c r="B5064" s="19" t="s">
        <v>19332</v>
      </c>
      <c r="C5064" s="20" t="s">
        <v>24040</v>
      </c>
      <c r="D5064" s="47"/>
      <c r="E5064" s="22" t="s">
        <v>7510</v>
      </c>
      <c r="F5064" s="22" t="s">
        <v>24061</v>
      </c>
      <c r="G5064" s="23">
        <v>2019.0</v>
      </c>
      <c r="H5064" s="22" t="s">
        <v>147</v>
      </c>
      <c r="I5064" s="24" t="s">
        <v>24088</v>
      </c>
      <c r="J5064" s="22" t="s">
        <v>24089</v>
      </c>
      <c r="K5064" s="22"/>
      <c r="L5064" s="36">
        <v>980.0</v>
      </c>
      <c r="M5064" s="36">
        <v>1000.0</v>
      </c>
      <c r="N5064" s="36"/>
      <c r="O5064" s="36"/>
      <c r="P5064" s="36">
        <v>111.0</v>
      </c>
      <c r="Q5064" s="36" t="s">
        <v>12887</v>
      </c>
      <c r="R5064" s="36">
        <v>111.0</v>
      </c>
      <c r="S5064" s="36" t="s">
        <v>24090</v>
      </c>
      <c r="T5064" s="54" t="s">
        <v>24091</v>
      </c>
      <c r="U5064" s="38" t="str">
        <f>HYPERLINK("https://www.ncbi.nlm.nih.gov/pubmed/31749950","PubMed")</f>
        <v>PubMed</v>
      </c>
      <c r="V5064" s="30"/>
      <c r="W5064" s="156"/>
      <c r="X5064" s="49"/>
      <c r="Y5064" s="35"/>
      <c r="Z5064" s="35"/>
      <c r="AA5064" s="35"/>
      <c r="AB5064" s="35"/>
      <c r="AC5064" s="35"/>
      <c r="AD5064" s="35"/>
      <c r="AE5064" s="35"/>
      <c r="AF5064" s="35"/>
      <c r="AG5064" s="35"/>
      <c r="AH5064" s="35"/>
      <c r="AI5064" s="35"/>
      <c r="AJ5064" s="35"/>
      <c r="AK5064" s="35"/>
      <c r="AL5064" s="35"/>
    </row>
    <row r="5065">
      <c r="A5065" s="1"/>
      <c r="B5065" s="19" t="s">
        <v>19332</v>
      </c>
      <c r="C5065" s="20" t="s">
        <v>24040</v>
      </c>
      <c r="D5065" s="47"/>
      <c r="E5065" s="22" t="s">
        <v>24092</v>
      </c>
      <c r="F5065" s="22" t="s">
        <v>1891</v>
      </c>
      <c r="G5065" s="23">
        <v>2018.0</v>
      </c>
      <c r="H5065" s="22" t="s">
        <v>91</v>
      </c>
      <c r="I5065" s="24" t="s">
        <v>24093</v>
      </c>
      <c r="J5065" s="22" t="s">
        <v>649</v>
      </c>
      <c r="K5065" s="22"/>
      <c r="L5065" s="43" t="s">
        <v>24094</v>
      </c>
      <c r="M5065" s="44"/>
      <c r="N5065" s="44"/>
      <c r="O5065" s="44"/>
      <c r="P5065" s="44"/>
      <c r="Q5065" s="44"/>
      <c r="R5065" s="44"/>
      <c r="S5065" s="44"/>
      <c r="T5065" s="45"/>
      <c r="U5065" s="38" t="str">
        <f>HYPERLINK("https://www.ncbi.nlm.nih.gov/pubmed/29948453","PubMed")</f>
        <v>PubMed</v>
      </c>
      <c r="V5065" s="30"/>
      <c r="W5065" s="156"/>
      <c r="X5065" s="49"/>
      <c r="Y5065" s="35"/>
      <c r="Z5065" s="35"/>
      <c r="AA5065" s="35"/>
      <c r="AB5065" s="35"/>
      <c r="AC5065" s="35"/>
      <c r="AD5065" s="35"/>
      <c r="AE5065" s="35"/>
      <c r="AF5065" s="35"/>
      <c r="AG5065" s="35"/>
      <c r="AH5065" s="35"/>
      <c r="AI5065" s="35"/>
      <c r="AJ5065" s="35"/>
      <c r="AK5065" s="35"/>
      <c r="AL5065" s="35"/>
    </row>
    <row r="5066">
      <c r="A5066" s="1"/>
      <c r="B5066" s="19" t="s">
        <v>19332</v>
      </c>
      <c r="C5066" s="20" t="s">
        <v>24040</v>
      </c>
      <c r="D5066" s="47"/>
      <c r="E5066" s="22" t="s">
        <v>24095</v>
      </c>
      <c r="F5066" s="22" t="s">
        <v>24096</v>
      </c>
      <c r="G5066" s="23">
        <v>2017.0</v>
      </c>
      <c r="H5066" s="22" t="s">
        <v>658</v>
      </c>
      <c r="I5066" s="24" t="s">
        <v>24097</v>
      </c>
      <c r="J5066" s="22" t="s">
        <v>649</v>
      </c>
      <c r="K5066" s="22" t="s">
        <v>24098</v>
      </c>
      <c r="L5066" s="43" t="s">
        <v>24099</v>
      </c>
      <c r="M5066" s="44"/>
      <c r="N5066" s="44"/>
      <c r="O5066" s="44"/>
      <c r="P5066" s="44"/>
      <c r="Q5066" s="44"/>
      <c r="R5066" s="44"/>
      <c r="S5066" s="44"/>
      <c r="T5066" s="45"/>
      <c r="U5066" s="38" t="str">
        <f>HYPERLINK("https://www.ncbi.nlm.nih.gov/pubmed/29072861","PubMed")</f>
        <v>PubMed</v>
      </c>
      <c r="V5066" s="30"/>
      <c r="W5066" s="156"/>
      <c r="X5066" s="49"/>
      <c r="Y5066" s="35"/>
      <c r="Z5066" s="35"/>
      <c r="AA5066" s="35"/>
      <c r="AB5066" s="35"/>
      <c r="AC5066" s="35"/>
      <c r="AD5066" s="35"/>
      <c r="AE5066" s="35"/>
      <c r="AF5066" s="35"/>
      <c r="AG5066" s="35"/>
      <c r="AH5066" s="35"/>
      <c r="AI5066" s="35"/>
      <c r="AJ5066" s="35"/>
      <c r="AK5066" s="35"/>
      <c r="AL5066" s="35"/>
    </row>
    <row r="5067">
      <c r="A5067" s="1"/>
      <c r="B5067" s="19" t="s">
        <v>19332</v>
      </c>
      <c r="C5067" s="20" t="s">
        <v>24040</v>
      </c>
      <c r="D5067" s="47"/>
      <c r="E5067" s="22" t="s">
        <v>1008</v>
      </c>
      <c r="F5067" s="22" t="s">
        <v>183</v>
      </c>
      <c r="G5067" s="23">
        <v>2017.0</v>
      </c>
      <c r="H5067" s="22" t="s">
        <v>91</v>
      </c>
      <c r="I5067" s="24" t="s">
        <v>24100</v>
      </c>
      <c r="J5067" s="22" t="s">
        <v>55</v>
      </c>
      <c r="K5067" s="22"/>
      <c r="L5067" s="36" t="s">
        <v>654</v>
      </c>
      <c r="M5067" s="36" t="s">
        <v>742</v>
      </c>
      <c r="N5067" s="36"/>
      <c r="O5067" s="36"/>
      <c r="P5067" s="37" t="s">
        <v>24101</v>
      </c>
      <c r="Q5067" s="36" t="s">
        <v>744</v>
      </c>
      <c r="R5067" s="36" t="s">
        <v>24102</v>
      </c>
      <c r="S5067" s="36" t="s">
        <v>1773</v>
      </c>
      <c r="T5067" s="28" t="s">
        <v>24103</v>
      </c>
      <c r="U5067" s="38" t="str">
        <f>HYPERLINK("https://www.ncbi.nlm.nih.gov/pubmed/27885521","PubMed")</f>
        <v>PubMed</v>
      </c>
      <c r="V5067" s="30"/>
      <c r="W5067" s="49"/>
      <c r="X5067" s="49"/>
      <c r="Y5067" s="35"/>
      <c r="Z5067" s="35"/>
      <c r="AA5067" s="35"/>
      <c r="AB5067" s="35"/>
      <c r="AC5067" s="35"/>
      <c r="AD5067" s="35"/>
      <c r="AE5067" s="35"/>
      <c r="AF5067" s="35"/>
      <c r="AG5067" s="35"/>
      <c r="AH5067" s="35"/>
      <c r="AI5067" s="35"/>
      <c r="AJ5067" s="35"/>
      <c r="AK5067" s="35"/>
      <c r="AL5067" s="35"/>
    </row>
    <row r="5068">
      <c r="A5068" s="146"/>
      <c r="B5068" s="19" t="s">
        <v>19332</v>
      </c>
      <c r="C5068" s="20" t="s">
        <v>24040</v>
      </c>
      <c r="D5068" s="47"/>
      <c r="E5068" s="22" t="s">
        <v>467</v>
      </c>
      <c r="F5068" s="22" t="s">
        <v>3027</v>
      </c>
      <c r="G5068" s="23">
        <v>2016.0</v>
      </c>
      <c r="H5068" s="22" t="s">
        <v>91</v>
      </c>
      <c r="I5068" s="24" t="s">
        <v>24104</v>
      </c>
      <c r="J5068" s="22" t="s">
        <v>24105</v>
      </c>
      <c r="K5068" s="22"/>
      <c r="L5068" s="36">
        <v>660.0</v>
      </c>
      <c r="M5068" s="36">
        <v>100.0</v>
      </c>
      <c r="N5068" s="36" t="s">
        <v>24106</v>
      </c>
      <c r="O5068" s="36"/>
      <c r="P5068" s="37"/>
      <c r="Q5068" s="36" t="s">
        <v>24107</v>
      </c>
      <c r="R5068" s="36" t="s">
        <v>7729</v>
      </c>
      <c r="S5068" s="36" t="s">
        <v>24108</v>
      </c>
      <c r="T5068" s="28" t="s">
        <v>24109</v>
      </c>
      <c r="U5068" s="38" t="str">
        <f>HYPERLINK("https://www.ncbi.nlm.nih.gov/pubmed/27236292","PubMed")</f>
        <v>PubMed</v>
      </c>
      <c r="V5068" s="30"/>
      <c r="W5068" s="49"/>
      <c r="X5068" s="49"/>
      <c r="Y5068" s="35"/>
      <c r="Z5068" s="35"/>
      <c r="AA5068" s="35"/>
      <c r="AB5068" s="35"/>
      <c r="AC5068" s="35"/>
      <c r="AD5068" s="35"/>
      <c r="AE5068" s="35"/>
      <c r="AF5068" s="35"/>
      <c r="AG5068" s="35"/>
      <c r="AH5068" s="35"/>
      <c r="AI5068" s="35"/>
      <c r="AJ5068" s="35"/>
      <c r="AK5068" s="35"/>
      <c r="AL5068" s="35"/>
    </row>
    <row r="5069">
      <c r="A5069" s="1"/>
      <c r="B5069" s="19" t="s">
        <v>19332</v>
      </c>
      <c r="C5069" s="20" t="s">
        <v>24040</v>
      </c>
      <c r="D5069" s="47"/>
      <c r="E5069" s="22" t="s">
        <v>7700</v>
      </c>
      <c r="F5069" s="22" t="s">
        <v>19727</v>
      </c>
      <c r="G5069" s="23">
        <v>2016.0</v>
      </c>
      <c r="H5069" s="22" t="s">
        <v>91</v>
      </c>
      <c r="I5069" s="24" t="s">
        <v>24110</v>
      </c>
      <c r="J5069" s="22" t="s">
        <v>24111</v>
      </c>
      <c r="K5069" s="22" t="s">
        <v>24112</v>
      </c>
      <c r="L5069" s="36">
        <v>780.0</v>
      </c>
      <c r="M5069" s="36">
        <v>70.0</v>
      </c>
      <c r="N5069" s="36"/>
      <c r="O5069" s="36"/>
      <c r="P5069" s="37"/>
      <c r="Q5069" s="36" t="s">
        <v>830</v>
      </c>
      <c r="R5069" s="36"/>
      <c r="S5069" s="36" t="s">
        <v>24113</v>
      </c>
      <c r="T5069" s="28" t="s">
        <v>24114</v>
      </c>
      <c r="U5069" s="38" t="str">
        <f>HYPERLINK("https://www.ncbi.nlm.nih.gov/pubmed/27056702","PubMed")</f>
        <v>PubMed</v>
      </c>
      <c r="V5069" s="30"/>
      <c r="W5069" s="49"/>
      <c r="X5069" s="49"/>
      <c r="Y5069" s="35"/>
      <c r="Z5069" s="35"/>
      <c r="AA5069" s="35"/>
      <c r="AB5069" s="35"/>
      <c r="AC5069" s="35"/>
      <c r="AD5069" s="35"/>
      <c r="AE5069" s="35"/>
      <c r="AF5069" s="35"/>
      <c r="AG5069" s="35"/>
      <c r="AH5069" s="35"/>
      <c r="AI5069" s="35"/>
      <c r="AJ5069" s="35"/>
      <c r="AK5069" s="35"/>
      <c r="AL5069" s="35"/>
    </row>
    <row r="5070">
      <c r="A5070" s="1"/>
      <c r="B5070" s="19" t="s">
        <v>19332</v>
      </c>
      <c r="C5070" s="20" t="s">
        <v>24040</v>
      </c>
      <c r="D5070" s="47"/>
      <c r="E5070" s="22" t="s">
        <v>24115</v>
      </c>
      <c r="F5070" s="22" t="s">
        <v>323</v>
      </c>
      <c r="G5070" s="23">
        <v>2015.0</v>
      </c>
      <c r="H5070" s="22" t="s">
        <v>1012</v>
      </c>
      <c r="I5070" s="24" t="s">
        <v>24116</v>
      </c>
      <c r="J5070" s="22" t="s">
        <v>55</v>
      </c>
      <c r="K5070" s="22"/>
      <c r="L5070" s="36">
        <v>810.0</v>
      </c>
      <c r="M5070" s="36">
        <v>100.0</v>
      </c>
      <c r="N5070" s="36"/>
      <c r="O5070" s="36"/>
      <c r="P5070" s="37"/>
      <c r="Q5070" s="36"/>
      <c r="R5070" s="36"/>
      <c r="S5070" s="36">
        <v>8.0</v>
      </c>
      <c r="T5070" s="28" t="s">
        <v>24117</v>
      </c>
      <c r="U5070" s="38" t="str">
        <f>HYPERLINK("https://www.ncbi.nlm.nih.gov/pubmed/27148376","PubMed")</f>
        <v>PubMed</v>
      </c>
      <c r="V5070" s="30"/>
      <c r="W5070" s="49"/>
      <c r="X5070" s="49"/>
      <c r="Y5070" s="35"/>
      <c r="Z5070" s="35"/>
      <c r="AA5070" s="35"/>
      <c r="AB5070" s="35"/>
      <c r="AC5070" s="35"/>
      <c r="AD5070" s="35"/>
      <c r="AE5070" s="35"/>
      <c r="AF5070" s="35"/>
      <c r="AG5070" s="35"/>
      <c r="AH5070" s="35"/>
      <c r="AI5070" s="35"/>
      <c r="AJ5070" s="35"/>
      <c r="AK5070" s="35"/>
      <c r="AL5070" s="35"/>
    </row>
    <row r="5071">
      <c r="A5071" s="1"/>
      <c r="B5071" s="75" t="s">
        <v>19332</v>
      </c>
      <c r="C5071" s="77" t="s">
        <v>24040</v>
      </c>
      <c r="D5071" s="47"/>
      <c r="E5071" s="22" t="s">
        <v>24118</v>
      </c>
      <c r="F5071" s="22" t="s">
        <v>323</v>
      </c>
      <c r="G5071" s="23">
        <v>2015.0</v>
      </c>
      <c r="H5071" s="22" t="s">
        <v>24119</v>
      </c>
      <c r="I5071" s="24" t="s">
        <v>24120</v>
      </c>
      <c r="J5071" s="22" t="s">
        <v>55</v>
      </c>
      <c r="K5071" s="22"/>
      <c r="L5071" s="36">
        <v>810.0</v>
      </c>
      <c r="M5071" s="36"/>
      <c r="N5071" s="36"/>
      <c r="O5071" s="36"/>
      <c r="P5071" s="37" t="s">
        <v>254</v>
      </c>
      <c r="Q5071" s="36"/>
      <c r="R5071" s="36"/>
      <c r="S5071" s="36"/>
      <c r="T5071" s="28" t="s">
        <v>24121</v>
      </c>
      <c r="U5071" s="29" t="s">
        <v>61</v>
      </c>
      <c r="V5071" s="30"/>
      <c r="W5071" s="49"/>
      <c r="X5071" s="49"/>
      <c r="Y5071" s="35"/>
      <c r="Z5071" s="35"/>
      <c r="AA5071" s="35"/>
      <c r="AB5071" s="35"/>
      <c r="AC5071" s="35"/>
      <c r="AD5071" s="35"/>
      <c r="AE5071" s="35"/>
      <c r="AF5071" s="35"/>
      <c r="AG5071" s="35"/>
      <c r="AH5071" s="35"/>
      <c r="AI5071" s="35"/>
      <c r="AJ5071" s="35"/>
      <c r="AK5071" s="35"/>
      <c r="AL5071" s="35"/>
    </row>
    <row r="5072">
      <c r="A5072" s="1"/>
      <c r="B5072" s="19" t="s">
        <v>19332</v>
      </c>
      <c r="C5072" s="20" t="s">
        <v>24040</v>
      </c>
      <c r="D5072" s="47"/>
      <c r="E5072" s="22" t="s">
        <v>19872</v>
      </c>
      <c r="F5072" s="22" t="s">
        <v>24122</v>
      </c>
      <c r="G5072" s="23">
        <v>2015.0</v>
      </c>
      <c r="H5072" s="22" t="s">
        <v>21078</v>
      </c>
      <c r="I5072" s="24" t="s">
        <v>24123</v>
      </c>
      <c r="J5072" s="22" t="s">
        <v>253</v>
      </c>
      <c r="K5072" s="22"/>
      <c r="L5072" s="36">
        <v>808.0</v>
      </c>
      <c r="M5072" s="36">
        <v>100.0</v>
      </c>
      <c r="N5072" s="36"/>
      <c r="O5072" s="36"/>
      <c r="P5072" s="37" t="s">
        <v>82</v>
      </c>
      <c r="Q5072" s="36"/>
      <c r="R5072" s="36"/>
      <c r="S5072" s="36"/>
      <c r="T5072" s="28" t="s">
        <v>24124</v>
      </c>
      <c r="U5072" s="38" t="str">
        <f>HYPERLINK("https://www.ncbi.nlm.nih.gov/pubmed/25289655","PubMed")</f>
        <v>PubMed</v>
      </c>
      <c r="V5072" s="30"/>
      <c r="W5072" s="49"/>
      <c r="X5072" s="49"/>
      <c r="Y5072" s="35"/>
      <c r="Z5072" s="35"/>
      <c r="AA5072" s="35"/>
      <c r="AB5072" s="35"/>
      <c r="AC5072" s="35"/>
      <c r="AD5072" s="35"/>
      <c r="AE5072" s="35"/>
      <c r="AF5072" s="35"/>
      <c r="AG5072" s="35"/>
      <c r="AH5072" s="35"/>
      <c r="AI5072" s="35"/>
      <c r="AJ5072" s="35"/>
      <c r="AK5072" s="35"/>
      <c r="AL5072" s="35"/>
    </row>
    <row r="5073">
      <c r="A5073" s="1"/>
      <c r="B5073" s="19" t="s">
        <v>19332</v>
      </c>
      <c r="C5073" s="20" t="s">
        <v>24040</v>
      </c>
      <c r="D5073" s="47"/>
      <c r="E5073" s="22" t="s">
        <v>1008</v>
      </c>
      <c r="F5073" s="22" t="s">
        <v>183</v>
      </c>
      <c r="G5073" s="23">
        <v>2014.0</v>
      </c>
      <c r="H5073" s="22" t="s">
        <v>91</v>
      </c>
      <c r="I5073" s="24" t="s">
        <v>24125</v>
      </c>
      <c r="J5073" s="22" t="s">
        <v>55</v>
      </c>
      <c r="K5073" s="22"/>
      <c r="L5073" s="36" t="s">
        <v>654</v>
      </c>
      <c r="M5073" s="36" t="s">
        <v>742</v>
      </c>
      <c r="N5073" s="36"/>
      <c r="O5073" s="36"/>
      <c r="P5073" s="37" t="s">
        <v>24101</v>
      </c>
      <c r="Q5073" s="36" t="s">
        <v>744</v>
      </c>
      <c r="R5073" s="36" t="s">
        <v>24102</v>
      </c>
      <c r="S5073" s="36" t="s">
        <v>1773</v>
      </c>
      <c r="T5073" s="28" t="s">
        <v>24126</v>
      </c>
      <c r="U5073" s="38" t="str">
        <f>HYPERLINK("https://www.ncbi.nlm.nih.gov/pubmed/23430219","PubMed")</f>
        <v>PubMed</v>
      </c>
      <c r="V5073" s="30"/>
      <c r="W5073" s="49"/>
      <c r="X5073" s="49"/>
      <c r="Y5073" s="35"/>
      <c r="Z5073" s="35"/>
      <c r="AA5073" s="35"/>
      <c r="AB5073" s="35"/>
      <c r="AC5073" s="35"/>
      <c r="AD5073" s="35"/>
      <c r="AE5073" s="35"/>
      <c r="AF5073" s="35"/>
      <c r="AG5073" s="35"/>
      <c r="AH5073" s="35"/>
      <c r="AI5073" s="35"/>
      <c r="AJ5073" s="35"/>
      <c r="AK5073" s="35"/>
      <c r="AL5073" s="35"/>
    </row>
    <row r="5074">
      <c r="A5074" s="1"/>
      <c r="B5074" s="19" t="s">
        <v>19332</v>
      </c>
      <c r="C5074" s="20" t="s">
        <v>24040</v>
      </c>
      <c r="D5074" s="47"/>
      <c r="E5074" s="22" t="s">
        <v>8453</v>
      </c>
      <c r="F5074" s="22" t="s">
        <v>41</v>
      </c>
      <c r="G5074" s="23">
        <v>2012.0</v>
      </c>
      <c r="H5074" s="22" t="s">
        <v>23828</v>
      </c>
      <c r="I5074" s="24" t="s">
        <v>24127</v>
      </c>
      <c r="J5074" s="22" t="s">
        <v>2049</v>
      </c>
      <c r="K5074" s="22"/>
      <c r="L5074" s="36" t="s">
        <v>24128</v>
      </c>
      <c r="M5074" s="36"/>
      <c r="N5074" s="36"/>
      <c r="O5074" s="36"/>
      <c r="P5074" s="37"/>
      <c r="Q5074" s="36"/>
      <c r="R5074" s="36"/>
      <c r="S5074" s="36"/>
      <c r="T5074" s="28" t="s">
        <v>24129</v>
      </c>
      <c r="U5074" s="29" t="s">
        <v>61</v>
      </c>
      <c r="V5074" s="30"/>
      <c r="W5074" s="34"/>
      <c r="X5074" s="49"/>
      <c r="Y5074" s="35"/>
      <c r="Z5074" s="35"/>
      <c r="AA5074" s="35"/>
      <c r="AB5074" s="35"/>
      <c r="AC5074" s="35"/>
      <c r="AD5074" s="35"/>
      <c r="AE5074" s="35"/>
      <c r="AF5074" s="35"/>
      <c r="AG5074" s="35"/>
      <c r="AH5074" s="35"/>
      <c r="AI5074" s="35"/>
      <c r="AJ5074" s="35"/>
      <c r="AK5074" s="35"/>
      <c r="AL5074" s="35"/>
    </row>
    <row r="5075">
      <c r="A5075" s="40" t="s">
        <v>181</v>
      </c>
      <c r="B5075" s="19" t="s">
        <v>19332</v>
      </c>
      <c r="C5075" s="20" t="s">
        <v>24040</v>
      </c>
      <c r="D5075" s="47"/>
      <c r="E5075" s="22" t="s">
        <v>24130</v>
      </c>
      <c r="F5075" s="22" t="s">
        <v>41</v>
      </c>
      <c r="G5075" s="23">
        <v>2012.0</v>
      </c>
      <c r="H5075" s="22" t="s">
        <v>23828</v>
      </c>
      <c r="I5075" s="24" t="s">
        <v>24131</v>
      </c>
      <c r="J5075" s="22" t="s">
        <v>24132</v>
      </c>
      <c r="K5075" s="22"/>
      <c r="L5075" s="36">
        <v>780.0</v>
      </c>
      <c r="M5075" s="36">
        <v>40.0</v>
      </c>
      <c r="N5075" s="36"/>
      <c r="O5075" s="36" t="s">
        <v>24133</v>
      </c>
      <c r="P5075" s="37" t="s">
        <v>95</v>
      </c>
      <c r="Q5075" s="36" t="s">
        <v>830</v>
      </c>
      <c r="R5075" s="36"/>
      <c r="S5075" s="36" t="s">
        <v>24134</v>
      </c>
      <c r="T5075" s="28" t="s">
        <v>24135</v>
      </c>
      <c r="U5075" s="38" t="str">
        <f>HYPERLINK("https://www.ncbi.nlm.nih.gov/pubmed/22464526","PubMed")</f>
        <v>PubMed</v>
      </c>
      <c r="V5075" s="30"/>
      <c r="W5075" s="34"/>
      <c r="X5075" s="49"/>
      <c r="Y5075" s="35"/>
      <c r="Z5075" s="35"/>
      <c r="AA5075" s="35"/>
      <c r="AB5075" s="35"/>
      <c r="AC5075" s="35"/>
      <c r="AD5075" s="35"/>
      <c r="AE5075" s="35"/>
      <c r="AF5075" s="35"/>
      <c r="AG5075" s="35"/>
      <c r="AH5075" s="35"/>
      <c r="AI5075" s="35"/>
      <c r="AJ5075" s="35"/>
      <c r="AK5075" s="35"/>
      <c r="AL5075" s="35"/>
    </row>
    <row r="5076">
      <c r="A5076" s="1"/>
      <c r="B5076" s="19" t="s">
        <v>19332</v>
      </c>
      <c r="C5076" s="20" t="s">
        <v>24040</v>
      </c>
      <c r="D5076" s="47"/>
      <c r="E5076" s="22" t="s">
        <v>24136</v>
      </c>
      <c r="F5076" s="22" t="s">
        <v>797</v>
      </c>
      <c r="G5076" s="23">
        <v>2010.0</v>
      </c>
      <c r="H5076" s="22" t="s">
        <v>24137</v>
      </c>
      <c r="I5076" s="24" t="s">
        <v>24138</v>
      </c>
      <c r="J5076" s="22" t="s">
        <v>2273</v>
      </c>
      <c r="K5076" s="22"/>
      <c r="L5076" s="36">
        <v>824.0</v>
      </c>
      <c r="M5076" s="36">
        <v>100.0</v>
      </c>
      <c r="N5076" s="36"/>
      <c r="O5076" s="36"/>
      <c r="P5076" s="37" t="s">
        <v>671</v>
      </c>
      <c r="Q5076" s="36" t="s">
        <v>24139</v>
      </c>
      <c r="R5076" s="36" t="s">
        <v>24140</v>
      </c>
      <c r="S5076" s="36" t="s">
        <v>24141</v>
      </c>
      <c r="T5076" s="28" t="s">
        <v>24142</v>
      </c>
      <c r="U5076" s="38" t="str">
        <f>HYPERLINK("https://www.ncbi.nlm.nih.gov/pubmed/20877738","PubMed")</f>
        <v>PubMed</v>
      </c>
      <c r="V5076" s="30"/>
      <c r="W5076" s="49"/>
      <c r="X5076" s="49"/>
      <c r="Y5076" s="35"/>
      <c r="Z5076" s="35"/>
      <c r="AA5076" s="35"/>
      <c r="AB5076" s="35"/>
      <c r="AC5076" s="35"/>
      <c r="AD5076" s="35"/>
      <c r="AE5076" s="35"/>
      <c r="AF5076" s="35"/>
      <c r="AG5076" s="35"/>
      <c r="AH5076" s="35"/>
      <c r="AI5076" s="35"/>
      <c r="AJ5076" s="35"/>
      <c r="AK5076" s="35"/>
      <c r="AL5076" s="35"/>
    </row>
    <row r="5077">
      <c r="A5077" s="1"/>
      <c r="B5077" s="19" t="s">
        <v>19332</v>
      </c>
      <c r="C5077" s="20" t="s">
        <v>24040</v>
      </c>
      <c r="D5077" s="47"/>
      <c r="E5077" s="22" t="s">
        <v>24143</v>
      </c>
      <c r="F5077" s="22" t="s">
        <v>41</v>
      </c>
      <c r="G5077" s="23">
        <v>2010.0</v>
      </c>
      <c r="H5077" s="22" t="s">
        <v>1259</v>
      </c>
      <c r="I5077" s="24" t="s">
        <v>24144</v>
      </c>
      <c r="J5077" s="22" t="s">
        <v>24145</v>
      </c>
      <c r="K5077" s="22"/>
      <c r="L5077" s="36">
        <v>830.0</v>
      </c>
      <c r="M5077" s="36">
        <v>100.0</v>
      </c>
      <c r="N5077" s="36"/>
      <c r="O5077" s="36" t="s">
        <v>24146</v>
      </c>
      <c r="P5077" s="37"/>
      <c r="Q5077" s="36" t="s">
        <v>14936</v>
      </c>
      <c r="R5077" s="36"/>
      <c r="S5077" s="36" t="s">
        <v>24147</v>
      </c>
      <c r="T5077" s="28" t="s">
        <v>24148</v>
      </c>
      <c r="U5077" s="38" t="str">
        <f>HYPERLINK("https://www.ncbi.nlm.nih.gov/pubmed/20219584","PubMed")</f>
        <v>PubMed</v>
      </c>
      <c r="V5077" s="30"/>
      <c r="W5077" s="34"/>
      <c r="X5077" s="49"/>
      <c r="Y5077" s="35"/>
      <c r="Z5077" s="35"/>
      <c r="AA5077" s="35"/>
      <c r="AB5077" s="35"/>
      <c r="AC5077" s="35"/>
      <c r="AD5077" s="35"/>
      <c r="AE5077" s="35"/>
      <c r="AF5077" s="35"/>
      <c r="AG5077" s="35"/>
      <c r="AH5077" s="35"/>
      <c r="AI5077" s="35"/>
      <c r="AJ5077" s="35"/>
      <c r="AK5077" s="35"/>
      <c r="AL5077" s="35"/>
    </row>
    <row r="5078">
      <c r="A5078" s="1"/>
      <c r="B5078" s="19" t="s">
        <v>19332</v>
      </c>
      <c r="C5078" s="20" t="s">
        <v>24040</v>
      </c>
      <c r="D5078" s="47"/>
      <c r="E5078" s="22" t="s">
        <v>24149</v>
      </c>
      <c r="F5078" s="22" t="s">
        <v>1822</v>
      </c>
      <c r="G5078" s="23">
        <v>1997.0</v>
      </c>
      <c r="H5078" s="22" t="s">
        <v>23828</v>
      </c>
      <c r="I5078" s="24" t="s">
        <v>24150</v>
      </c>
      <c r="J5078" s="22" t="s">
        <v>55</v>
      </c>
      <c r="K5078" s="22"/>
      <c r="L5078" s="36">
        <v>830.0</v>
      </c>
      <c r="M5078" s="36">
        <v>100.0</v>
      </c>
      <c r="N5078" s="36"/>
      <c r="O5078" s="36"/>
      <c r="P5078" s="37"/>
      <c r="Q5078" s="36"/>
      <c r="R5078" s="36"/>
      <c r="S5078" s="36" t="s">
        <v>17038</v>
      </c>
      <c r="T5078" s="28" t="s">
        <v>24151</v>
      </c>
      <c r="U5078" s="38" t="str">
        <f>HYPERLINK("https://www.ncbi.nlm.nih.gov/pubmed/9155812","PubMed")</f>
        <v>PubMed</v>
      </c>
      <c r="V5078" s="30"/>
      <c r="W5078" s="49"/>
      <c r="X5078" s="49"/>
      <c r="Y5078" s="35"/>
      <c r="Z5078" s="35"/>
      <c r="AA5078" s="35"/>
      <c r="AB5078" s="35"/>
      <c r="AC5078" s="35"/>
      <c r="AD5078" s="35"/>
      <c r="AE5078" s="35"/>
      <c r="AF5078" s="35"/>
      <c r="AG5078" s="35"/>
      <c r="AH5078" s="35"/>
      <c r="AI5078" s="35"/>
      <c r="AJ5078" s="35"/>
      <c r="AK5078" s="35"/>
      <c r="AL5078" s="35"/>
    </row>
    <row r="5079">
      <c r="A5079" s="1"/>
      <c r="B5079" s="19" t="s">
        <v>19332</v>
      </c>
      <c r="C5079" s="20" t="s">
        <v>24152</v>
      </c>
      <c r="D5079" s="47"/>
      <c r="E5079" s="22" t="s">
        <v>24153</v>
      </c>
      <c r="F5079" s="22" t="s">
        <v>24154</v>
      </c>
      <c r="G5079" s="23">
        <v>2024.0</v>
      </c>
      <c r="H5079" s="22" t="s">
        <v>77</v>
      </c>
      <c r="I5079" s="24" t="s">
        <v>24155</v>
      </c>
      <c r="J5079" s="22" t="s">
        <v>2273</v>
      </c>
      <c r="K5079" s="22"/>
      <c r="L5079" s="52">
        <v>810.0</v>
      </c>
      <c r="M5079" s="52"/>
      <c r="N5079" s="52"/>
      <c r="O5079" s="52"/>
      <c r="P5079" s="189"/>
      <c r="Q5079" s="52"/>
      <c r="R5079" s="52"/>
      <c r="S5079" s="52"/>
      <c r="T5079" s="28" t="s">
        <v>24156</v>
      </c>
      <c r="U5079" s="38" t="s">
        <v>61</v>
      </c>
      <c r="V5079" s="30"/>
      <c r="W5079" s="49"/>
      <c r="X5079" s="49"/>
      <c r="Y5079" s="35"/>
      <c r="Z5079" s="35"/>
      <c r="AA5079" s="35"/>
      <c r="AB5079" s="35"/>
      <c r="AC5079" s="35"/>
      <c r="AD5079" s="35"/>
      <c r="AE5079" s="35"/>
      <c r="AF5079" s="35"/>
      <c r="AG5079" s="35"/>
      <c r="AH5079" s="35"/>
      <c r="AI5079" s="35"/>
      <c r="AJ5079" s="35"/>
      <c r="AK5079" s="35"/>
      <c r="AL5079" s="35"/>
    </row>
    <row r="5080">
      <c r="A5080" s="1"/>
      <c r="B5080" s="19" t="s">
        <v>19332</v>
      </c>
      <c r="C5080" s="20" t="s">
        <v>24152</v>
      </c>
      <c r="D5080" s="47"/>
      <c r="E5080" s="22" t="s">
        <v>5165</v>
      </c>
      <c r="F5080" s="22" t="s">
        <v>7954</v>
      </c>
      <c r="G5080" s="23">
        <v>2024.0</v>
      </c>
      <c r="H5080" s="22" t="s">
        <v>21078</v>
      </c>
      <c r="I5080" s="24" t="s">
        <v>24157</v>
      </c>
      <c r="J5080" s="22" t="s">
        <v>24158</v>
      </c>
      <c r="K5080" s="22"/>
      <c r="L5080" s="52"/>
      <c r="M5080" s="52"/>
      <c r="N5080" s="52"/>
      <c r="O5080" s="52"/>
      <c r="P5080" s="189"/>
      <c r="Q5080" s="52"/>
      <c r="R5080" s="52"/>
      <c r="S5080" s="52"/>
      <c r="T5080" s="41" t="s">
        <v>24159</v>
      </c>
      <c r="U5080" s="38" t="s">
        <v>61</v>
      </c>
      <c r="V5080" s="30"/>
      <c r="W5080" s="49"/>
      <c r="X5080" s="49"/>
      <c r="Y5080" s="35"/>
      <c r="Z5080" s="35"/>
      <c r="AA5080" s="35"/>
      <c r="AB5080" s="35"/>
      <c r="AC5080" s="35"/>
      <c r="AD5080" s="35"/>
      <c r="AE5080" s="35"/>
      <c r="AF5080" s="35"/>
      <c r="AG5080" s="35"/>
      <c r="AH5080" s="35"/>
      <c r="AI5080" s="35"/>
      <c r="AJ5080" s="35"/>
      <c r="AK5080" s="35"/>
      <c r="AL5080" s="35"/>
    </row>
    <row r="5081">
      <c r="A5081" s="1"/>
      <c r="B5081" s="19" t="s">
        <v>19332</v>
      </c>
      <c r="C5081" s="20" t="s">
        <v>24152</v>
      </c>
      <c r="D5081" s="47"/>
      <c r="E5081" s="22" t="s">
        <v>24160</v>
      </c>
      <c r="F5081" s="22" t="s">
        <v>3932</v>
      </c>
      <c r="G5081" s="23">
        <v>2023.0</v>
      </c>
      <c r="H5081" s="22" t="s">
        <v>2204</v>
      </c>
      <c r="I5081" s="24" t="s">
        <v>24161</v>
      </c>
      <c r="J5081" s="22" t="s">
        <v>24162</v>
      </c>
      <c r="K5081" s="22"/>
      <c r="L5081" s="52">
        <v>940.0</v>
      </c>
      <c r="M5081" s="52"/>
      <c r="N5081" s="52"/>
      <c r="O5081" s="52"/>
      <c r="P5081" s="189"/>
      <c r="Q5081" s="52"/>
      <c r="R5081" s="52"/>
      <c r="S5081" s="52"/>
      <c r="T5081" s="41" t="s">
        <v>24163</v>
      </c>
      <c r="U5081" s="38" t="s">
        <v>61</v>
      </c>
      <c r="V5081" s="30"/>
      <c r="W5081" s="49"/>
      <c r="X5081" s="49"/>
      <c r="Y5081" s="35"/>
      <c r="Z5081" s="35"/>
      <c r="AA5081" s="35"/>
      <c r="AB5081" s="35"/>
      <c r="AC5081" s="35"/>
      <c r="AD5081" s="35"/>
      <c r="AE5081" s="35"/>
      <c r="AF5081" s="35"/>
      <c r="AG5081" s="35"/>
      <c r="AH5081" s="35"/>
      <c r="AI5081" s="35"/>
      <c r="AJ5081" s="35"/>
      <c r="AK5081" s="35"/>
      <c r="AL5081" s="35"/>
    </row>
    <row r="5082">
      <c r="A5082" s="1"/>
      <c r="B5082" s="19" t="s">
        <v>19332</v>
      </c>
      <c r="C5082" s="20" t="s">
        <v>24152</v>
      </c>
      <c r="D5082" s="47"/>
      <c r="E5082" s="22" t="s">
        <v>24164</v>
      </c>
      <c r="F5082" s="22" t="s">
        <v>7630</v>
      </c>
      <c r="G5082" s="23">
        <v>2023.0</v>
      </c>
      <c r="H5082" s="22" t="s">
        <v>2375</v>
      </c>
      <c r="I5082" s="24" t="s">
        <v>24165</v>
      </c>
      <c r="J5082" s="22" t="s">
        <v>24166</v>
      </c>
      <c r="K5082" s="22"/>
      <c r="L5082" s="52">
        <v>808.0</v>
      </c>
      <c r="M5082" s="52">
        <v>250.0</v>
      </c>
      <c r="N5082" s="52"/>
      <c r="O5082" s="52" t="s">
        <v>21982</v>
      </c>
      <c r="P5082" s="189"/>
      <c r="Q5082" s="52"/>
      <c r="R5082" s="52" t="s">
        <v>18364</v>
      </c>
      <c r="S5082" s="52" t="s">
        <v>24167</v>
      </c>
      <c r="T5082" s="41" t="s">
        <v>24168</v>
      </c>
      <c r="U5082" s="38" t="s">
        <v>61</v>
      </c>
      <c r="V5082" s="30"/>
      <c r="W5082" s="49"/>
      <c r="X5082" s="49"/>
      <c r="Y5082" s="35"/>
      <c r="Z5082" s="35"/>
      <c r="AA5082" s="35"/>
      <c r="AB5082" s="35"/>
      <c r="AC5082" s="35"/>
      <c r="AD5082" s="35"/>
      <c r="AE5082" s="35"/>
      <c r="AF5082" s="35"/>
      <c r="AG5082" s="35"/>
      <c r="AH5082" s="35"/>
      <c r="AI5082" s="35"/>
      <c r="AJ5082" s="35"/>
      <c r="AK5082" s="35"/>
      <c r="AL5082" s="35"/>
    </row>
    <row r="5083">
      <c r="A5083" s="1"/>
      <c r="B5083" s="19" t="s">
        <v>19332</v>
      </c>
      <c r="C5083" s="20" t="s">
        <v>24152</v>
      </c>
      <c r="D5083" s="47"/>
      <c r="E5083" s="22" t="s">
        <v>24169</v>
      </c>
      <c r="F5083" s="22" t="s">
        <v>6233</v>
      </c>
      <c r="G5083" s="23">
        <v>2022.0</v>
      </c>
      <c r="H5083" s="22" t="s">
        <v>12096</v>
      </c>
      <c r="I5083" s="24" t="s">
        <v>24170</v>
      </c>
      <c r="J5083" s="22" t="s">
        <v>1078</v>
      </c>
      <c r="K5083" s="22"/>
      <c r="L5083" s="173" t="s">
        <v>24171</v>
      </c>
      <c r="U5083" s="29" t="s">
        <v>61</v>
      </c>
      <c r="V5083" s="30"/>
      <c r="W5083" s="49"/>
      <c r="X5083" s="49"/>
      <c r="Y5083" s="35"/>
      <c r="Z5083" s="35"/>
      <c r="AA5083" s="35"/>
      <c r="AB5083" s="35"/>
      <c r="AC5083" s="35"/>
      <c r="AD5083" s="35"/>
      <c r="AE5083" s="35"/>
      <c r="AF5083" s="35"/>
      <c r="AG5083" s="35"/>
      <c r="AH5083" s="35"/>
      <c r="AI5083" s="35"/>
      <c r="AJ5083" s="35"/>
      <c r="AK5083" s="35"/>
      <c r="AL5083" s="35"/>
    </row>
    <row r="5084">
      <c r="A5084" s="1"/>
      <c r="B5084" s="19" t="s">
        <v>19332</v>
      </c>
      <c r="C5084" s="20" t="s">
        <v>24152</v>
      </c>
      <c r="D5084" s="47"/>
      <c r="E5084" s="22" t="s">
        <v>7101</v>
      </c>
      <c r="F5084" s="22" t="s">
        <v>2028</v>
      </c>
      <c r="G5084" s="23">
        <v>2022.0</v>
      </c>
      <c r="H5084" s="22" t="s">
        <v>12502</v>
      </c>
      <c r="I5084" s="24" t="s">
        <v>24172</v>
      </c>
      <c r="J5084" s="22" t="s">
        <v>24173</v>
      </c>
      <c r="K5084" s="22" t="s">
        <v>24174</v>
      </c>
      <c r="L5084" s="52">
        <v>980.0</v>
      </c>
      <c r="M5084" s="52">
        <v>100.0</v>
      </c>
      <c r="N5084" s="52" t="s">
        <v>58</v>
      </c>
      <c r="O5084" s="52" t="s">
        <v>58</v>
      </c>
      <c r="P5084" s="189" t="s">
        <v>70</v>
      </c>
      <c r="Q5084" s="52" t="s">
        <v>24175</v>
      </c>
      <c r="R5084" s="52">
        <v>8.0</v>
      </c>
      <c r="S5084" s="52" t="s">
        <v>24176</v>
      </c>
      <c r="T5084" s="41" t="s">
        <v>24177</v>
      </c>
      <c r="U5084" s="29" t="s">
        <v>61</v>
      </c>
      <c r="V5084" s="30" t="s">
        <v>24178</v>
      </c>
      <c r="W5084" s="49"/>
      <c r="X5084" s="49"/>
      <c r="Y5084" s="35"/>
      <c r="Z5084" s="35"/>
      <c r="AA5084" s="35"/>
      <c r="AB5084" s="35"/>
      <c r="AC5084" s="35"/>
      <c r="AD5084" s="35"/>
      <c r="AE5084" s="35"/>
      <c r="AF5084" s="35"/>
      <c r="AG5084" s="35"/>
      <c r="AH5084" s="35"/>
      <c r="AI5084" s="35"/>
      <c r="AJ5084" s="35"/>
      <c r="AK5084" s="35"/>
      <c r="AL5084" s="35"/>
    </row>
    <row r="5085">
      <c r="A5085" s="1"/>
      <c r="B5085" s="19" t="s">
        <v>19332</v>
      </c>
      <c r="C5085" s="20" t="s">
        <v>24152</v>
      </c>
      <c r="D5085" s="47"/>
      <c r="E5085" s="22" t="s">
        <v>24179</v>
      </c>
      <c r="F5085" s="22" t="s">
        <v>1862</v>
      </c>
      <c r="G5085" s="23">
        <v>2022.0</v>
      </c>
      <c r="H5085" s="22" t="s">
        <v>23608</v>
      </c>
      <c r="I5085" s="24" t="s">
        <v>24180</v>
      </c>
      <c r="J5085" s="22" t="s">
        <v>24181</v>
      </c>
      <c r="K5085" s="22" t="s">
        <v>157</v>
      </c>
      <c r="L5085" s="52">
        <v>850.0</v>
      </c>
      <c r="M5085" s="52"/>
      <c r="N5085" s="52" t="s">
        <v>4039</v>
      </c>
      <c r="O5085" s="52"/>
      <c r="P5085" s="189"/>
      <c r="Q5085" s="52"/>
      <c r="R5085" s="52">
        <v>300.0</v>
      </c>
      <c r="S5085" s="52" t="s">
        <v>12137</v>
      </c>
      <c r="T5085" s="41" t="s">
        <v>24182</v>
      </c>
      <c r="U5085" s="29" t="s">
        <v>61</v>
      </c>
      <c r="V5085" s="30" t="s">
        <v>24183</v>
      </c>
      <c r="W5085" s="156"/>
      <c r="X5085" s="49"/>
      <c r="Y5085" s="35"/>
      <c r="Z5085" s="35"/>
      <c r="AA5085" s="35"/>
      <c r="AB5085" s="35"/>
      <c r="AC5085" s="35"/>
      <c r="AD5085" s="35"/>
      <c r="AE5085" s="35"/>
      <c r="AF5085" s="35"/>
      <c r="AG5085" s="35"/>
      <c r="AH5085" s="35"/>
      <c r="AI5085" s="35"/>
      <c r="AJ5085" s="35"/>
      <c r="AK5085" s="35"/>
      <c r="AL5085" s="35"/>
    </row>
    <row r="5086">
      <c r="A5086" s="1"/>
      <c r="B5086" s="19" t="s">
        <v>19332</v>
      </c>
      <c r="C5086" s="20" t="s">
        <v>24152</v>
      </c>
      <c r="D5086" s="47"/>
      <c r="E5086" s="22" t="s">
        <v>21852</v>
      </c>
      <c r="F5086" s="22" t="s">
        <v>24184</v>
      </c>
      <c r="G5086" s="23">
        <v>2022.0</v>
      </c>
      <c r="H5086" s="22" t="s">
        <v>2204</v>
      </c>
      <c r="I5086" s="24" t="s">
        <v>24185</v>
      </c>
      <c r="J5086" s="22" t="s">
        <v>24186</v>
      </c>
      <c r="K5086" s="22"/>
      <c r="L5086" s="52">
        <v>940.0</v>
      </c>
      <c r="M5086" s="52">
        <v>100.0</v>
      </c>
      <c r="N5086" s="52"/>
      <c r="O5086" s="52">
        <v>75.0</v>
      </c>
      <c r="P5086" s="189" t="s">
        <v>704</v>
      </c>
      <c r="Q5086" s="52"/>
      <c r="R5086" s="52"/>
      <c r="S5086" s="52" t="s">
        <v>1231</v>
      </c>
      <c r="T5086" s="28" t="s">
        <v>24187</v>
      </c>
      <c r="U5086" s="29" t="s">
        <v>61</v>
      </c>
      <c r="V5086" s="30"/>
      <c r="W5086" s="156"/>
      <c r="X5086" s="49"/>
      <c r="Y5086" s="35"/>
      <c r="Z5086" s="35"/>
      <c r="AA5086" s="35"/>
      <c r="AB5086" s="35"/>
      <c r="AC5086" s="35"/>
      <c r="AD5086" s="35"/>
      <c r="AE5086" s="35"/>
      <c r="AF5086" s="35"/>
      <c r="AG5086" s="35"/>
      <c r="AH5086" s="35"/>
      <c r="AI5086" s="35"/>
      <c r="AJ5086" s="35"/>
      <c r="AK5086" s="35"/>
      <c r="AL5086" s="35"/>
    </row>
    <row r="5087">
      <c r="A5087" s="1"/>
      <c r="B5087" s="19" t="s">
        <v>19332</v>
      </c>
      <c r="C5087" s="20" t="s">
        <v>24152</v>
      </c>
      <c r="D5087" s="47"/>
      <c r="E5087" s="22" t="s">
        <v>24188</v>
      </c>
      <c r="F5087" s="22" t="s">
        <v>4849</v>
      </c>
      <c r="G5087" s="23">
        <v>2021.0</v>
      </c>
      <c r="H5087" s="22" t="s">
        <v>23828</v>
      </c>
      <c r="I5087" s="24" t="s">
        <v>24189</v>
      </c>
      <c r="J5087" s="22" t="s">
        <v>55</v>
      </c>
      <c r="K5087" s="22" t="s">
        <v>24190</v>
      </c>
      <c r="L5087" s="52" t="s">
        <v>24191</v>
      </c>
      <c r="M5087" s="52"/>
      <c r="N5087" s="52"/>
      <c r="O5087" s="52"/>
      <c r="P5087" s="189"/>
      <c r="Q5087" s="52"/>
      <c r="R5087" s="52"/>
      <c r="S5087" s="52"/>
      <c r="T5087" s="28" t="s">
        <v>24192</v>
      </c>
      <c r="U5087" s="29" t="s">
        <v>61</v>
      </c>
      <c r="V5087" s="30"/>
      <c r="W5087" s="156"/>
      <c r="X5087" s="49"/>
      <c r="Y5087" s="35"/>
      <c r="Z5087" s="35"/>
      <c r="AA5087" s="35"/>
      <c r="AB5087" s="35"/>
      <c r="AC5087" s="35"/>
      <c r="AD5087" s="35"/>
      <c r="AE5087" s="35"/>
      <c r="AF5087" s="35"/>
      <c r="AG5087" s="35"/>
      <c r="AH5087" s="35"/>
      <c r="AI5087" s="35"/>
      <c r="AJ5087" s="35"/>
      <c r="AK5087" s="35"/>
      <c r="AL5087" s="35"/>
    </row>
    <row r="5088">
      <c r="A5088" s="1"/>
      <c r="B5088" s="19" t="s">
        <v>19332</v>
      </c>
      <c r="C5088" s="20" t="s">
        <v>24152</v>
      </c>
      <c r="D5088" s="47"/>
      <c r="E5088" s="22" t="s">
        <v>24169</v>
      </c>
      <c r="F5088" s="22" t="s">
        <v>6233</v>
      </c>
      <c r="G5088" s="23">
        <v>2021.0</v>
      </c>
      <c r="H5088" s="22" t="s">
        <v>23428</v>
      </c>
      <c r="I5088" s="24" t="s">
        <v>24193</v>
      </c>
      <c r="J5088" s="22" t="s">
        <v>24194</v>
      </c>
      <c r="K5088" s="22"/>
      <c r="L5088" s="52">
        <v>980.0</v>
      </c>
      <c r="M5088" s="52">
        <v>100.0</v>
      </c>
      <c r="N5088" s="52"/>
      <c r="O5088" s="52">
        <v>10.0</v>
      </c>
      <c r="P5088" s="189"/>
      <c r="Q5088" s="52"/>
      <c r="R5088" s="52"/>
      <c r="S5088" s="52" t="s">
        <v>22024</v>
      </c>
      <c r="T5088" s="28" t="s">
        <v>24195</v>
      </c>
      <c r="U5088" s="29" t="s">
        <v>61</v>
      </c>
      <c r="V5088" s="30"/>
      <c r="W5088" s="156"/>
      <c r="X5088" s="49"/>
      <c r="Y5088" s="35"/>
      <c r="Z5088" s="35"/>
      <c r="AA5088" s="35"/>
      <c r="AB5088" s="35"/>
      <c r="AC5088" s="35"/>
      <c r="AD5088" s="35"/>
      <c r="AE5088" s="35"/>
      <c r="AF5088" s="35"/>
      <c r="AG5088" s="35"/>
      <c r="AH5088" s="35"/>
      <c r="AI5088" s="35"/>
      <c r="AJ5088" s="35"/>
      <c r="AK5088" s="35"/>
      <c r="AL5088" s="35"/>
    </row>
    <row r="5089">
      <c r="A5089" s="278" t="s">
        <v>38</v>
      </c>
      <c r="B5089" s="19" t="s">
        <v>19332</v>
      </c>
      <c r="C5089" s="20" t="s">
        <v>24152</v>
      </c>
      <c r="D5089" s="47"/>
      <c r="E5089" s="22" t="s">
        <v>24196</v>
      </c>
      <c r="F5089" s="22" t="s">
        <v>979</v>
      </c>
      <c r="G5089" s="23">
        <v>2020.0</v>
      </c>
      <c r="H5089" s="22" t="s">
        <v>91</v>
      </c>
      <c r="I5089" s="24" t="s">
        <v>24197</v>
      </c>
      <c r="J5089" s="22" t="s">
        <v>55</v>
      </c>
      <c r="K5089" s="22" t="s">
        <v>294</v>
      </c>
      <c r="L5089" s="52" t="s">
        <v>24010</v>
      </c>
      <c r="M5089" s="52"/>
      <c r="N5089" s="52"/>
      <c r="O5089" s="52"/>
      <c r="P5089" s="189"/>
      <c r="Q5089" s="52"/>
      <c r="R5089" s="52"/>
      <c r="S5089" s="52"/>
      <c r="T5089" s="28" t="s">
        <v>24198</v>
      </c>
      <c r="U5089" s="29" t="s">
        <v>61</v>
      </c>
      <c r="V5089" s="30"/>
      <c r="W5089" s="156"/>
      <c r="X5089" s="49"/>
      <c r="Y5089" s="35"/>
      <c r="Z5089" s="35"/>
      <c r="AA5089" s="35"/>
      <c r="AB5089" s="35"/>
      <c r="AC5089" s="35"/>
      <c r="AD5089" s="35"/>
      <c r="AE5089" s="35"/>
      <c r="AF5089" s="35"/>
      <c r="AG5089" s="35"/>
      <c r="AH5089" s="35"/>
      <c r="AI5089" s="35"/>
      <c r="AJ5089" s="35"/>
      <c r="AK5089" s="35"/>
      <c r="AL5089" s="35"/>
    </row>
    <row r="5090">
      <c r="A5090" s="1"/>
      <c r="B5090" s="19" t="s">
        <v>19332</v>
      </c>
      <c r="C5090" s="20" t="s">
        <v>24152</v>
      </c>
      <c r="D5090" s="47"/>
      <c r="E5090" s="22" t="s">
        <v>24199</v>
      </c>
      <c r="F5090" s="22" t="s">
        <v>11512</v>
      </c>
      <c r="G5090" s="23">
        <v>2019.0</v>
      </c>
      <c r="H5090" s="22" t="s">
        <v>477</v>
      </c>
      <c r="I5090" s="24" t="s">
        <v>24200</v>
      </c>
      <c r="J5090" s="22" t="s">
        <v>8487</v>
      </c>
      <c r="K5090" s="22" t="s">
        <v>653</v>
      </c>
      <c r="L5090" s="36" t="s">
        <v>24201</v>
      </c>
      <c r="M5090" s="36"/>
      <c r="N5090" s="36" t="s">
        <v>24202</v>
      </c>
      <c r="O5090" s="36"/>
      <c r="P5090" s="37" t="s">
        <v>70</v>
      </c>
      <c r="Q5090" s="36"/>
      <c r="R5090" s="36"/>
      <c r="S5090" s="36" t="s">
        <v>22024</v>
      </c>
      <c r="T5090" s="41" t="s">
        <v>24203</v>
      </c>
      <c r="U5090" s="38" t="str">
        <f>HYPERLINK("https://www.ncbi.nlm.nih.gov/pubmed/31773372","PubMed")</f>
        <v>PubMed</v>
      </c>
      <c r="V5090" s="30"/>
      <c r="W5090" s="156"/>
      <c r="X5090" s="49"/>
      <c r="Y5090" s="35"/>
      <c r="Z5090" s="35"/>
      <c r="AA5090" s="35"/>
      <c r="AB5090" s="35"/>
      <c r="AC5090" s="35"/>
      <c r="AD5090" s="35"/>
      <c r="AE5090" s="35"/>
      <c r="AF5090" s="35"/>
      <c r="AG5090" s="35"/>
      <c r="AH5090" s="35"/>
      <c r="AI5090" s="35"/>
      <c r="AJ5090" s="35"/>
      <c r="AK5090" s="35"/>
      <c r="AL5090" s="35"/>
    </row>
    <row r="5091">
      <c r="A5091" s="39"/>
      <c r="B5091" s="19" t="s">
        <v>19332</v>
      </c>
      <c r="C5091" s="20" t="s">
        <v>24152</v>
      </c>
      <c r="D5091" s="47"/>
      <c r="E5091" s="22" t="s">
        <v>24204</v>
      </c>
      <c r="F5091" s="22" t="s">
        <v>979</v>
      </c>
      <c r="G5091" s="23">
        <v>2018.0</v>
      </c>
      <c r="H5091" s="22" t="s">
        <v>658</v>
      </c>
      <c r="I5091" s="24" t="s">
        <v>24205</v>
      </c>
      <c r="J5091" s="22" t="s">
        <v>55</v>
      </c>
      <c r="K5091" s="22"/>
      <c r="L5091" s="36">
        <v>618.0</v>
      </c>
      <c r="M5091" s="36"/>
      <c r="N5091" s="36" t="s">
        <v>211</v>
      </c>
      <c r="O5091" s="36"/>
      <c r="P5091" s="37"/>
      <c r="Q5091" s="36"/>
      <c r="R5091" s="36"/>
      <c r="S5091" s="36"/>
      <c r="T5091" s="28" t="s">
        <v>24206</v>
      </c>
      <c r="U5091" s="38" t="str">
        <f>HYPERLINK("https://www.ncbi.nlm.nih.gov/pubmed/31697637","PubMed")</f>
        <v>PubMed</v>
      </c>
      <c r="V5091" s="30"/>
      <c r="W5091" s="156"/>
      <c r="X5091" s="49"/>
      <c r="Y5091" s="35"/>
      <c r="Z5091" s="35"/>
      <c r="AA5091" s="35"/>
      <c r="AB5091" s="35"/>
      <c r="AC5091" s="35"/>
      <c r="AD5091" s="35"/>
      <c r="AE5091" s="35"/>
      <c r="AF5091" s="35"/>
      <c r="AG5091" s="35"/>
      <c r="AH5091" s="35"/>
      <c r="AI5091" s="35"/>
      <c r="AJ5091" s="35"/>
      <c r="AK5091" s="35"/>
      <c r="AL5091" s="35"/>
    </row>
    <row r="5092">
      <c r="A5092" s="18"/>
      <c r="B5092" s="19" t="s">
        <v>19332</v>
      </c>
      <c r="C5092" s="20" t="s">
        <v>24152</v>
      </c>
      <c r="D5092" s="47"/>
      <c r="E5092" s="22" t="s">
        <v>24207</v>
      </c>
      <c r="F5092" s="22" t="s">
        <v>237</v>
      </c>
      <c r="G5092" s="23">
        <v>2019.0</v>
      </c>
      <c r="H5092" s="22" t="s">
        <v>4975</v>
      </c>
      <c r="I5092" s="24" t="s">
        <v>24208</v>
      </c>
      <c r="J5092" s="22" t="s">
        <v>55</v>
      </c>
      <c r="K5092" s="22"/>
      <c r="L5092" s="36">
        <v>810.0</v>
      </c>
      <c r="M5092" s="36">
        <v>100.0</v>
      </c>
      <c r="N5092" s="36"/>
      <c r="O5092" s="36" t="s">
        <v>4884</v>
      </c>
      <c r="P5092" s="37" t="s">
        <v>2733</v>
      </c>
      <c r="Q5092" s="36"/>
      <c r="R5092" s="36"/>
      <c r="S5092" s="36">
        <v>4.0</v>
      </c>
      <c r="T5092" s="28" t="s">
        <v>24209</v>
      </c>
      <c r="U5092" s="38" t="str">
        <f>HYPERLINK("https://www.ncbi.nlm.nih.gov/pubmed/30968413","PubMed")</f>
        <v>PubMed</v>
      </c>
      <c r="V5092" s="30"/>
      <c r="W5092" s="156"/>
      <c r="X5092" s="49"/>
      <c r="Y5092" s="35"/>
      <c r="Z5092" s="35"/>
      <c r="AA5092" s="35"/>
      <c r="AB5092" s="35"/>
      <c r="AC5092" s="35"/>
      <c r="AD5092" s="35"/>
      <c r="AE5092" s="35"/>
      <c r="AF5092" s="35"/>
      <c r="AG5092" s="35"/>
      <c r="AH5092" s="35"/>
      <c r="AI5092" s="35"/>
      <c r="AJ5092" s="35"/>
      <c r="AK5092" s="35"/>
      <c r="AL5092" s="35"/>
    </row>
    <row r="5093">
      <c r="A5093" s="18"/>
      <c r="B5093" s="19" t="s">
        <v>19332</v>
      </c>
      <c r="C5093" s="20" t="s">
        <v>24152</v>
      </c>
      <c r="D5093" s="47"/>
      <c r="E5093" s="22" t="s">
        <v>23607</v>
      </c>
      <c r="F5093" s="22" t="s">
        <v>5227</v>
      </c>
      <c r="G5093" s="23">
        <v>2019.0</v>
      </c>
      <c r="H5093" s="22" t="s">
        <v>555</v>
      </c>
      <c r="I5093" s="24" t="s">
        <v>24210</v>
      </c>
      <c r="J5093" s="22" t="s">
        <v>649</v>
      </c>
      <c r="K5093" s="22"/>
      <c r="L5093" s="167" t="s">
        <v>24211</v>
      </c>
      <c r="M5093" s="44"/>
      <c r="N5093" s="44"/>
      <c r="O5093" s="44"/>
      <c r="P5093" s="44"/>
      <c r="Q5093" s="44"/>
      <c r="R5093" s="44"/>
      <c r="S5093" s="44"/>
      <c r="T5093" s="45"/>
      <c r="U5093" s="38" t="str">
        <f>HYPERLINK("https://www.ncbi.nlm.nih.gov/pubmed/30738959","PubMed")</f>
        <v>PubMed</v>
      </c>
      <c r="V5093" s="30"/>
      <c r="W5093" s="156"/>
      <c r="X5093" s="49"/>
      <c r="Y5093" s="35"/>
      <c r="Z5093" s="35"/>
      <c r="AA5093" s="35"/>
      <c r="AB5093" s="35"/>
      <c r="AC5093" s="35"/>
      <c r="AD5093" s="35"/>
      <c r="AE5093" s="35"/>
      <c r="AF5093" s="35"/>
      <c r="AG5093" s="35"/>
      <c r="AH5093" s="35"/>
      <c r="AI5093" s="35"/>
      <c r="AJ5093" s="35"/>
      <c r="AK5093" s="35"/>
      <c r="AL5093" s="35"/>
    </row>
    <row r="5094">
      <c r="A5094" s="1"/>
      <c r="B5094" s="19" t="s">
        <v>19332</v>
      </c>
      <c r="C5094" s="20" t="s">
        <v>24152</v>
      </c>
      <c r="D5094" s="47"/>
      <c r="E5094" s="22" t="s">
        <v>8682</v>
      </c>
      <c r="F5094" s="22" t="s">
        <v>1862</v>
      </c>
      <c r="G5094" s="23" t="s">
        <v>90</v>
      </c>
      <c r="H5094" s="22" t="s">
        <v>23608</v>
      </c>
      <c r="I5094" s="24" t="s">
        <v>24212</v>
      </c>
      <c r="J5094" s="22" t="s">
        <v>24213</v>
      </c>
      <c r="K5094" s="22" t="s">
        <v>24214</v>
      </c>
      <c r="L5094" s="36">
        <v>808.0</v>
      </c>
      <c r="M5094" s="36">
        <v>180.0</v>
      </c>
      <c r="N5094" s="36"/>
      <c r="O5094" s="36" t="s">
        <v>21529</v>
      </c>
      <c r="P5094" s="37"/>
      <c r="Q5094" s="36" t="s">
        <v>24215</v>
      </c>
      <c r="R5094" s="36"/>
      <c r="S5094" s="36" t="s">
        <v>24216</v>
      </c>
      <c r="T5094" s="28" t="s">
        <v>24217</v>
      </c>
      <c r="U5094" s="38" t="str">
        <f>HYPERLINK("https://academic.oup.com/ejo/article/doi/10.1093/ejo/cjx065/4107608/The-effect-of-lowlevel-laser-therapy-on","Oxford Academic")</f>
        <v>Oxford Academic</v>
      </c>
      <c r="V5094" s="30"/>
      <c r="W5094" s="156"/>
      <c r="X5094" s="49"/>
      <c r="Y5094" s="35"/>
      <c r="Z5094" s="35"/>
      <c r="AA5094" s="35"/>
      <c r="AB5094" s="35"/>
      <c r="AC5094" s="35"/>
      <c r="AD5094" s="35"/>
      <c r="AE5094" s="35"/>
      <c r="AF5094" s="35"/>
      <c r="AG5094" s="35"/>
      <c r="AH5094" s="35"/>
      <c r="AI5094" s="35"/>
      <c r="AJ5094" s="35"/>
      <c r="AK5094" s="35"/>
      <c r="AL5094" s="35"/>
    </row>
    <row r="5095" ht="22.5" customHeight="1">
      <c r="A5095" s="55"/>
      <c r="B5095" s="19" t="s">
        <v>19332</v>
      </c>
      <c r="C5095" s="20" t="s">
        <v>24152</v>
      </c>
      <c r="D5095" s="47"/>
      <c r="E5095" s="56" t="s">
        <v>24218</v>
      </c>
      <c r="F5095" s="22" t="s">
        <v>41</v>
      </c>
      <c r="G5095" s="57">
        <v>2016.0</v>
      </c>
      <c r="H5095" s="22" t="s">
        <v>42</v>
      </c>
      <c r="I5095" s="58" t="s">
        <v>24219</v>
      </c>
      <c r="J5095" s="56" t="s">
        <v>55</v>
      </c>
      <c r="K5095" s="56" t="s">
        <v>24220</v>
      </c>
      <c r="L5095" s="69">
        <v>810.0</v>
      </c>
      <c r="M5095" s="69">
        <v>100.0</v>
      </c>
      <c r="N5095" s="69" t="s">
        <v>58</v>
      </c>
      <c r="O5095" s="69" t="s">
        <v>24221</v>
      </c>
      <c r="P5095" s="70" t="s">
        <v>2733</v>
      </c>
      <c r="Q5095" s="69" t="s">
        <v>18100</v>
      </c>
      <c r="R5095" s="69" t="s">
        <v>19925</v>
      </c>
      <c r="S5095" s="69" t="s">
        <v>24222</v>
      </c>
      <c r="T5095" s="63" t="s">
        <v>24223</v>
      </c>
      <c r="U5095" s="66" t="str">
        <f>HYPERLINK("https://www.ncbi.nlm.nih.gov/pubmed/27647761","PubMed")</f>
        <v>PubMed</v>
      </c>
      <c r="V5095" s="50"/>
      <c r="W5095" s="49"/>
      <c r="X5095" s="49"/>
      <c r="Y5095" s="35"/>
      <c r="Z5095" s="35"/>
      <c r="AA5095" s="35"/>
      <c r="AB5095" s="35"/>
      <c r="AC5095" s="35"/>
      <c r="AD5095" s="35"/>
      <c r="AE5095" s="35"/>
      <c r="AF5095" s="35"/>
      <c r="AG5095" s="35"/>
      <c r="AH5095" s="35"/>
      <c r="AI5095" s="35"/>
      <c r="AJ5095" s="35"/>
      <c r="AK5095" s="35"/>
      <c r="AL5095" s="35"/>
    </row>
    <row r="5096">
      <c r="A5096" s="1"/>
      <c r="B5096" s="19" t="s">
        <v>19332</v>
      </c>
      <c r="C5096" s="20" t="s">
        <v>24152</v>
      </c>
      <c r="D5096" s="47"/>
      <c r="E5096" s="22" t="s">
        <v>12824</v>
      </c>
      <c r="F5096" s="22" t="s">
        <v>400</v>
      </c>
      <c r="G5096" s="23">
        <v>2016.0</v>
      </c>
      <c r="H5096" s="22" t="s">
        <v>147</v>
      </c>
      <c r="I5096" s="24" t="s">
        <v>24224</v>
      </c>
      <c r="J5096" s="22" t="s">
        <v>55</v>
      </c>
      <c r="K5096" s="22"/>
      <c r="L5096" s="36">
        <v>808.0</v>
      </c>
      <c r="M5096" s="36">
        <v>100.0</v>
      </c>
      <c r="N5096" s="36"/>
      <c r="O5096" s="36" t="s">
        <v>24225</v>
      </c>
      <c r="P5096" s="37"/>
      <c r="Q5096" s="36" t="s">
        <v>1160</v>
      </c>
      <c r="R5096" s="36"/>
      <c r="S5096" s="36"/>
      <c r="T5096" s="41" t="s">
        <v>24226</v>
      </c>
      <c r="U5096" s="38" t="str">
        <f>HYPERLINK("https://www.ncbi.nlm.nih.gov/pubmed/28144433","PubMed")</f>
        <v>PubMed</v>
      </c>
      <c r="V5096" s="30"/>
      <c r="W5096" s="49"/>
      <c r="X5096" s="49"/>
      <c r="Y5096" s="35"/>
      <c r="Z5096" s="35"/>
      <c r="AA5096" s="35"/>
      <c r="AB5096" s="35"/>
      <c r="AC5096" s="35"/>
      <c r="AD5096" s="35"/>
      <c r="AE5096" s="35"/>
      <c r="AF5096" s="35"/>
      <c r="AG5096" s="35"/>
      <c r="AH5096" s="35"/>
      <c r="AI5096" s="35"/>
      <c r="AJ5096" s="35"/>
      <c r="AK5096" s="35"/>
      <c r="AL5096" s="35"/>
    </row>
    <row r="5097">
      <c r="A5097" s="1"/>
      <c r="B5097" s="19" t="s">
        <v>19332</v>
      </c>
      <c r="C5097" s="20" t="s">
        <v>24152</v>
      </c>
      <c r="D5097" s="47"/>
      <c r="E5097" s="22" t="s">
        <v>877</v>
      </c>
      <c r="F5097" s="22" t="s">
        <v>878</v>
      </c>
      <c r="G5097" s="23">
        <v>2015.0</v>
      </c>
      <c r="H5097" s="22" t="s">
        <v>91</v>
      </c>
      <c r="I5097" s="24" t="s">
        <v>24227</v>
      </c>
      <c r="J5097" s="22" t="s">
        <v>55</v>
      </c>
      <c r="K5097" s="22"/>
      <c r="L5097" s="36">
        <v>820.0</v>
      </c>
      <c r="M5097" s="36">
        <v>50.0</v>
      </c>
      <c r="N5097" s="36"/>
      <c r="O5097" s="36" t="s">
        <v>1468</v>
      </c>
      <c r="P5097" s="37" t="s">
        <v>1878</v>
      </c>
      <c r="Q5097" s="36"/>
      <c r="R5097" s="36">
        <v>12.0</v>
      </c>
      <c r="S5097" s="36"/>
      <c r="T5097" s="28" t="s">
        <v>24228</v>
      </c>
      <c r="U5097" s="38" t="str">
        <f>HYPERLINK("https://www.ncbi.nlm.nih.gov/pubmed/25633918","PubMed")</f>
        <v>PubMed</v>
      </c>
      <c r="V5097" s="50"/>
      <c r="W5097" s="49"/>
      <c r="X5097" s="49"/>
      <c r="Y5097" s="35"/>
      <c r="Z5097" s="35"/>
      <c r="AA5097" s="35"/>
      <c r="AB5097" s="35"/>
      <c r="AC5097" s="35"/>
      <c r="AD5097" s="35"/>
      <c r="AE5097" s="35"/>
      <c r="AF5097" s="35"/>
      <c r="AG5097" s="35"/>
      <c r="AH5097" s="35"/>
      <c r="AI5097" s="35"/>
      <c r="AJ5097" s="35"/>
      <c r="AK5097" s="35"/>
      <c r="AL5097" s="35"/>
    </row>
    <row r="5098">
      <c r="A5098" s="40" t="s">
        <v>181</v>
      </c>
      <c r="B5098" s="19" t="s">
        <v>19332</v>
      </c>
      <c r="C5098" s="20" t="s">
        <v>24152</v>
      </c>
      <c r="D5098" s="47"/>
      <c r="E5098" s="22" t="s">
        <v>24229</v>
      </c>
      <c r="F5098" s="22" t="s">
        <v>7910</v>
      </c>
      <c r="G5098" s="23">
        <v>2014.0</v>
      </c>
      <c r="H5098" s="22" t="s">
        <v>24230</v>
      </c>
      <c r="I5098" s="24" t="s">
        <v>24231</v>
      </c>
      <c r="J5098" s="22" t="s">
        <v>24232</v>
      </c>
      <c r="K5098" s="22" t="s">
        <v>24214</v>
      </c>
      <c r="L5098" s="36">
        <v>850.0</v>
      </c>
      <c r="M5098" s="36"/>
      <c r="N5098" s="36" t="s">
        <v>4039</v>
      </c>
      <c r="O5098" s="36"/>
      <c r="P5098" s="37"/>
      <c r="Q5098" s="36"/>
      <c r="R5098" s="36"/>
      <c r="S5098" s="36"/>
      <c r="T5098" s="42" t="s">
        <v>24233</v>
      </c>
      <c r="U5098" s="38" t="str">
        <f>HYPERLINK("https://www.ncbi.nlm.nih.gov/pubmed/24470774","PubMed")</f>
        <v>PubMed</v>
      </c>
      <c r="V5098" s="30" t="s">
        <v>24234</v>
      </c>
      <c r="W5098" s="49"/>
      <c r="X5098" s="49"/>
      <c r="Y5098" s="35"/>
      <c r="Z5098" s="35"/>
      <c r="AA5098" s="35"/>
      <c r="AB5098" s="35"/>
      <c r="AC5098" s="35"/>
      <c r="AD5098" s="35"/>
      <c r="AE5098" s="35"/>
      <c r="AF5098" s="35"/>
      <c r="AG5098" s="35"/>
      <c r="AH5098" s="35"/>
      <c r="AI5098" s="35"/>
      <c r="AJ5098" s="35"/>
      <c r="AK5098" s="35"/>
      <c r="AL5098" s="35"/>
    </row>
    <row r="5099">
      <c r="A5099" s="1"/>
      <c r="B5099" s="19" t="s">
        <v>19332</v>
      </c>
      <c r="C5099" s="20" t="s">
        <v>24152</v>
      </c>
      <c r="D5099" s="47"/>
      <c r="E5099" s="22" t="s">
        <v>10681</v>
      </c>
      <c r="F5099" s="22" t="s">
        <v>5207</v>
      </c>
      <c r="G5099" s="23">
        <v>2013.0</v>
      </c>
      <c r="H5099" s="22" t="s">
        <v>91</v>
      </c>
      <c r="I5099" s="24" t="s">
        <v>24235</v>
      </c>
      <c r="J5099" s="22" t="s">
        <v>55</v>
      </c>
      <c r="K5099" s="22" t="s">
        <v>24236</v>
      </c>
      <c r="L5099" s="36">
        <v>940.0</v>
      </c>
      <c r="M5099" s="36"/>
      <c r="N5099" s="36"/>
      <c r="O5099" s="36"/>
      <c r="P5099" s="37" t="s">
        <v>254</v>
      </c>
      <c r="Q5099" s="36"/>
      <c r="R5099" s="36"/>
      <c r="S5099" s="36"/>
      <c r="T5099" s="28" t="s">
        <v>24237</v>
      </c>
      <c r="U5099" s="38" t="str">
        <f>HYPERLINK("https://www.ncbi.nlm.nih.gov/pubmed/22350492","PubMed")</f>
        <v>PubMed</v>
      </c>
      <c r="V5099" s="30"/>
      <c r="W5099" s="49"/>
      <c r="X5099" s="49"/>
      <c r="Y5099" s="35"/>
      <c r="Z5099" s="35"/>
      <c r="AA5099" s="35"/>
      <c r="AB5099" s="35"/>
      <c r="AC5099" s="35"/>
      <c r="AD5099" s="35"/>
      <c r="AE5099" s="35"/>
      <c r="AF5099" s="35"/>
      <c r="AG5099" s="35"/>
      <c r="AH5099" s="35"/>
      <c r="AI5099" s="35"/>
      <c r="AJ5099" s="35"/>
      <c r="AK5099" s="35"/>
      <c r="AL5099" s="35"/>
    </row>
    <row r="5100">
      <c r="A5100" s="18"/>
      <c r="B5100" s="19" t="s">
        <v>19332</v>
      </c>
      <c r="C5100" s="20" t="s">
        <v>24238</v>
      </c>
      <c r="D5100" s="47"/>
      <c r="E5100" s="22" t="s">
        <v>24239</v>
      </c>
      <c r="F5100" s="22" t="s">
        <v>1380</v>
      </c>
      <c r="G5100" s="23">
        <v>2023.0</v>
      </c>
      <c r="H5100" s="22" t="s">
        <v>77</v>
      </c>
      <c r="I5100" s="24" t="s">
        <v>24240</v>
      </c>
      <c r="J5100" s="22" t="s">
        <v>24241</v>
      </c>
      <c r="K5100" s="22"/>
      <c r="L5100" s="52">
        <v>940.0</v>
      </c>
      <c r="M5100" s="52" t="s">
        <v>24242</v>
      </c>
      <c r="N5100" s="52"/>
      <c r="O5100" s="52"/>
      <c r="P5100" s="189" t="s">
        <v>944</v>
      </c>
      <c r="Q5100" s="52"/>
      <c r="R5100" s="52"/>
      <c r="S5100" s="52"/>
      <c r="T5100" s="28" t="s">
        <v>24243</v>
      </c>
      <c r="U5100" s="38" t="s">
        <v>61</v>
      </c>
      <c r="V5100" s="30" t="s">
        <v>174</v>
      </c>
      <c r="W5100" s="49"/>
      <c r="X5100" s="49"/>
      <c r="Y5100" s="35"/>
      <c r="Z5100" s="35"/>
      <c r="AA5100" s="35"/>
      <c r="AB5100" s="35"/>
      <c r="AC5100" s="35"/>
      <c r="AD5100" s="35"/>
      <c r="AE5100" s="35"/>
      <c r="AF5100" s="35"/>
      <c r="AG5100" s="35"/>
      <c r="AH5100" s="35"/>
      <c r="AI5100" s="35"/>
      <c r="AJ5100" s="35"/>
      <c r="AK5100" s="35"/>
      <c r="AL5100" s="35"/>
    </row>
    <row r="5101">
      <c r="A5101" s="18" t="s">
        <v>38</v>
      </c>
      <c r="B5101" s="19" t="s">
        <v>19332</v>
      </c>
      <c r="C5101" s="20" t="s">
        <v>24244</v>
      </c>
      <c r="D5101" s="47"/>
      <c r="E5101" s="22" t="s">
        <v>24245</v>
      </c>
      <c r="F5101" s="22" t="s">
        <v>11994</v>
      </c>
      <c r="G5101" s="23">
        <v>2022.0</v>
      </c>
      <c r="H5101" s="22" t="s">
        <v>2375</v>
      </c>
      <c r="I5101" s="24" t="s">
        <v>24246</v>
      </c>
      <c r="J5101" s="22" t="s">
        <v>24247</v>
      </c>
      <c r="K5101" s="22"/>
      <c r="L5101" s="52">
        <v>808.0</v>
      </c>
      <c r="M5101" s="52" t="s">
        <v>24248</v>
      </c>
      <c r="N5101" s="52"/>
      <c r="O5101" s="52" t="s">
        <v>24249</v>
      </c>
      <c r="P5101" s="189" t="s">
        <v>432</v>
      </c>
      <c r="Q5101" s="52"/>
      <c r="R5101" s="52"/>
      <c r="S5101" s="52" t="s">
        <v>24250</v>
      </c>
      <c r="T5101" s="41" t="s">
        <v>24251</v>
      </c>
      <c r="U5101" s="29" t="s">
        <v>61</v>
      </c>
      <c r="V5101" s="30"/>
      <c r="W5101" s="49"/>
      <c r="X5101" s="49"/>
      <c r="Y5101" s="35"/>
      <c r="Z5101" s="35"/>
      <c r="AA5101" s="35"/>
      <c r="AB5101" s="35"/>
      <c r="AC5101" s="35"/>
      <c r="AD5101" s="35"/>
      <c r="AE5101" s="35"/>
      <c r="AF5101" s="35"/>
      <c r="AG5101" s="35"/>
      <c r="AH5101" s="35"/>
      <c r="AI5101" s="35"/>
      <c r="AJ5101" s="35"/>
      <c r="AK5101" s="35"/>
      <c r="AL5101" s="35"/>
    </row>
    <row r="5102">
      <c r="A5102" s="18"/>
      <c r="B5102" s="19" t="s">
        <v>19332</v>
      </c>
      <c r="C5102" s="334" t="s">
        <v>24252</v>
      </c>
      <c r="D5102" s="112"/>
      <c r="E5102" s="218" t="s">
        <v>223</v>
      </c>
      <c r="F5102" s="22" t="s">
        <v>1508</v>
      </c>
      <c r="G5102" s="23">
        <v>2024.0</v>
      </c>
      <c r="H5102" s="218" t="s">
        <v>24253</v>
      </c>
      <c r="I5102" s="220" t="s">
        <v>24254</v>
      </c>
      <c r="J5102" s="113" t="s">
        <v>24255</v>
      </c>
      <c r="K5102" s="229"/>
      <c r="L5102" s="52">
        <v>808.0</v>
      </c>
      <c r="M5102" s="364"/>
      <c r="N5102" s="364"/>
      <c r="O5102" s="364"/>
      <c r="P5102" s="365"/>
      <c r="Q5102" s="364"/>
      <c r="R5102" s="364"/>
      <c r="S5102" s="364"/>
      <c r="T5102" s="63" t="s">
        <v>24256</v>
      </c>
      <c r="U5102" s="283" t="s">
        <v>61</v>
      </c>
      <c r="V5102" s="30"/>
      <c r="W5102" s="49"/>
      <c r="X5102" s="49"/>
      <c r="Y5102" s="35"/>
      <c r="Z5102" s="35"/>
      <c r="AA5102" s="35"/>
      <c r="AB5102" s="35"/>
      <c r="AC5102" s="35"/>
      <c r="AD5102" s="35"/>
      <c r="AE5102" s="35"/>
      <c r="AF5102" s="35"/>
      <c r="AG5102" s="35"/>
      <c r="AH5102" s="35"/>
      <c r="AI5102" s="35"/>
      <c r="AJ5102" s="35"/>
      <c r="AK5102" s="35"/>
      <c r="AL5102" s="35"/>
    </row>
    <row r="5103">
      <c r="A5103" s="18"/>
      <c r="B5103" s="347" t="s">
        <v>19332</v>
      </c>
      <c r="C5103" s="334" t="s">
        <v>24252</v>
      </c>
      <c r="D5103" s="47"/>
      <c r="E5103" s="22" t="s">
        <v>12717</v>
      </c>
      <c r="F5103" s="22" t="s">
        <v>122</v>
      </c>
      <c r="G5103" s="23">
        <v>2024.0</v>
      </c>
      <c r="H5103" s="22" t="s">
        <v>77</v>
      </c>
      <c r="I5103" s="24" t="s">
        <v>24257</v>
      </c>
      <c r="J5103" s="22" t="s">
        <v>24258</v>
      </c>
      <c r="K5103" s="22"/>
      <c r="L5103" s="196" t="s">
        <v>24259</v>
      </c>
      <c r="U5103" s="38" t="s">
        <v>61</v>
      </c>
      <c r="V5103" s="30"/>
      <c r="W5103" s="49"/>
      <c r="X5103" s="49"/>
      <c r="Y5103" s="35"/>
      <c r="Z5103" s="35"/>
      <c r="AA5103" s="35"/>
      <c r="AB5103" s="35"/>
      <c r="AC5103" s="35"/>
      <c r="AD5103" s="35"/>
      <c r="AE5103" s="35"/>
      <c r="AF5103" s="35"/>
      <c r="AG5103" s="35"/>
      <c r="AH5103" s="35"/>
      <c r="AI5103" s="35"/>
      <c r="AJ5103" s="35"/>
      <c r="AK5103" s="35"/>
      <c r="AL5103" s="35"/>
    </row>
    <row r="5104">
      <c r="A5104" s="18"/>
      <c r="B5104" s="347" t="s">
        <v>19332</v>
      </c>
      <c r="C5104" s="334" t="s">
        <v>24252</v>
      </c>
      <c r="D5104" s="47"/>
      <c r="E5104" s="22" t="s">
        <v>24260</v>
      </c>
      <c r="F5104" s="22" t="s">
        <v>1943</v>
      </c>
      <c r="G5104" s="23">
        <v>2024.0</v>
      </c>
      <c r="H5104" s="22" t="s">
        <v>23692</v>
      </c>
      <c r="I5104" s="24" t="s">
        <v>24261</v>
      </c>
      <c r="J5104" s="22" t="s">
        <v>24262</v>
      </c>
      <c r="K5104" s="22"/>
      <c r="L5104" s="52">
        <v>940.0</v>
      </c>
      <c r="M5104" s="52">
        <v>50.0</v>
      </c>
      <c r="N5104" s="52"/>
      <c r="O5104" s="52"/>
      <c r="P5104" s="189" t="s">
        <v>24263</v>
      </c>
      <c r="Q5104" s="52"/>
      <c r="R5104" s="52"/>
      <c r="S5104" s="52" t="s">
        <v>24264</v>
      </c>
      <c r="T5104" s="28" t="s">
        <v>24265</v>
      </c>
      <c r="U5104" s="38" t="s">
        <v>61</v>
      </c>
      <c r="V5104" s="30"/>
      <c r="W5104" s="49"/>
      <c r="X5104" s="49"/>
      <c r="Y5104" s="35"/>
      <c r="Z5104" s="35"/>
      <c r="AA5104" s="35"/>
      <c r="AB5104" s="35"/>
      <c r="AC5104" s="35"/>
      <c r="AD5104" s="35"/>
      <c r="AE5104" s="35"/>
      <c r="AF5104" s="35"/>
      <c r="AG5104" s="35"/>
      <c r="AH5104" s="35"/>
      <c r="AI5104" s="35"/>
      <c r="AJ5104" s="35"/>
      <c r="AK5104" s="35"/>
      <c r="AL5104" s="35"/>
    </row>
    <row r="5105">
      <c r="A5105" s="18"/>
      <c r="B5105" s="347" t="s">
        <v>19332</v>
      </c>
      <c r="C5105" s="334" t="s">
        <v>24252</v>
      </c>
      <c r="D5105" s="47"/>
      <c r="E5105" s="22" t="s">
        <v>24266</v>
      </c>
      <c r="F5105" s="22" t="s">
        <v>24184</v>
      </c>
      <c r="G5105" s="23">
        <v>2024.0</v>
      </c>
      <c r="H5105" s="22" t="s">
        <v>21244</v>
      </c>
      <c r="I5105" s="24" t="s">
        <v>24267</v>
      </c>
      <c r="J5105" s="22" t="s">
        <v>24268</v>
      </c>
      <c r="K5105" s="22"/>
      <c r="L5105" s="52">
        <v>810.0</v>
      </c>
      <c r="M5105" s="52"/>
      <c r="N5105" s="52"/>
      <c r="O5105" s="52"/>
      <c r="P5105" s="189"/>
      <c r="Q5105" s="52"/>
      <c r="R5105" s="52">
        <v>60.0</v>
      </c>
      <c r="S5105" s="52"/>
      <c r="T5105" s="28" t="s">
        <v>24269</v>
      </c>
      <c r="U5105" s="38" t="s">
        <v>61</v>
      </c>
      <c r="V5105" s="30"/>
      <c r="W5105" s="49"/>
      <c r="X5105" s="49"/>
      <c r="Y5105" s="35"/>
      <c r="Z5105" s="35"/>
      <c r="AA5105" s="35"/>
      <c r="AB5105" s="35"/>
      <c r="AC5105" s="35"/>
      <c r="AD5105" s="35"/>
      <c r="AE5105" s="35"/>
      <c r="AF5105" s="35"/>
      <c r="AG5105" s="35"/>
      <c r="AH5105" s="35"/>
      <c r="AI5105" s="35"/>
      <c r="AJ5105" s="35"/>
      <c r="AK5105" s="35"/>
      <c r="AL5105" s="35"/>
    </row>
    <row r="5106">
      <c r="A5106" s="18"/>
      <c r="B5106" s="347" t="s">
        <v>19332</v>
      </c>
      <c r="C5106" s="334" t="s">
        <v>24252</v>
      </c>
      <c r="D5106" s="47"/>
      <c r="E5106" s="22" t="s">
        <v>24270</v>
      </c>
      <c r="F5106" s="22" t="s">
        <v>8008</v>
      </c>
      <c r="G5106" s="23">
        <v>2024.0</v>
      </c>
      <c r="H5106" s="22" t="s">
        <v>2375</v>
      </c>
      <c r="I5106" s="24" t="s">
        <v>24271</v>
      </c>
      <c r="J5106" s="22" t="s">
        <v>125</v>
      </c>
      <c r="K5106" s="22"/>
      <c r="L5106" s="173" t="s">
        <v>24272</v>
      </c>
      <c r="U5106" s="38" t="s">
        <v>61</v>
      </c>
      <c r="V5106" s="30"/>
      <c r="W5106" s="49"/>
      <c r="X5106" s="49"/>
      <c r="Y5106" s="35"/>
      <c r="Z5106" s="35"/>
      <c r="AA5106" s="35"/>
      <c r="AB5106" s="35"/>
      <c r="AC5106" s="35"/>
      <c r="AD5106" s="35"/>
      <c r="AE5106" s="35"/>
      <c r="AF5106" s="35"/>
      <c r="AG5106" s="35"/>
      <c r="AH5106" s="35"/>
      <c r="AI5106" s="35"/>
      <c r="AJ5106" s="35"/>
      <c r="AK5106" s="35"/>
      <c r="AL5106" s="35"/>
    </row>
    <row r="5107">
      <c r="A5107" s="18"/>
      <c r="B5107" s="347" t="s">
        <v>19332</v>
      </c>
      <c r="C5107" s="334" t="s">
        <v>24252</v>
      </c>
      <c r="D5107" s="47"/>
      <c r="E5107" s="22" t="s">
        <v>24273</v>
      </c>
      <c r="F5107" s="22" t="s">
        <v>1504</v>
      </c>
      <c r="G5107" s="23">
        <v>2024.0</v>
      </c>
      <c r="H5107" s="22" t="s">
        <v>2812</v>
      </c>
      <c r="I5107" s="24" t="s">
        <v>24274</v>
      </c>
      <c r="J5107" s="22" t="s">
        <v>202</v>
      </c>
      <c r="K5107" s="22"/>
      <c r="L5107" s="173" t="s">
        <v>24275</v>
      </c>
      <c r="U5107" s="38" t="s">
        <v>61</v>
      </c>
      <c r="V5107" s="30"/>
      <c r="W5107" s="49"/>
      <c r="X5107" s="49"/>
      <c r="Y5107" s="35"/>
      <c r="Z5107" s="35"/>
      <c r="AA5107" s="35"/>
      <c r="AB5107" s="35"/>
      <c r="AC5107" s="35"/>
      <c r="AD5107" s="35"/>
      <c r="AE5107" s="35"/>
      <c r="AF5107" s="35"/>
      <c r="AG5107" s="35"/>
      <c r="AH5107" s="35"/>
      <c r="AI5107" s="35"/>
      <c r="AJ5107" s="35"/>
      <c r="AK5107" s="35"/>
      <c r="AL5107" s="35"/>
    </row>
    <row r="5108">
      <c r="A5108" s="18"/>
      <c r="B5108" s="347" t="s">
        <v>19332</v>
      </c>
      <c r="C5108" s="334" t="s">
        <v>24252</v>
      </c>
      <c r="D5108" s="47"/>
      <c r="E5108" s="22" t="s">
        <v>4212</v>
      </c>
      <c r="F5108" s="22" t="s">
        <v>10060</v>
      </c>
      <c r="G5108" s="23">
        <v>2024.0</v>
      </c>
      <c r="H5108" s="22" t="s">
        <v>12502</v>
      </c>
      <c r="I5108" s="24" t="s">
        <v>24276</v>
      </c>
      <c r="J5108" s="22" t="s">
        <v>378</v>
      </c>
      <c r="K5108" s="22"/>
      <c r="L5108" s="52">
        <v>980.0</v>
      </c>
      <c r="M5108" s="52"/>
      <c r="N5108" s="200">
        <v>45474.0</v>
      </c>
      <c r="O5108" s="52"/>
      <c r="P5108" s="189"/>
      <c r="Q5108" s="52"/>
      <c r="R5108" s="52"/>
      <c r="S5108" s="52"/>
      <c r="T5108" s="28" t="s">
        <v>24277</v>
      </c>
      <c r="U5108" s="38" t="s">
        <v>61</v>
      </c>
      <c r="V5108" s="30" t="s">
        <v>24278</v>
      </c>
      <c r="W5108" s="49"/>
      <c r="X5108" s="49"/>
      <c r="Y5108" s="35"/>
      <c r="Z5108" s="35"/>
      <c r="AA5108" s="35"/>
      <c r="AB5108" s="35"/>
      <c r="AC5108" s="35"/>
      <c r="AD5108" s="35"/>
      <c r="AE5108" s="35"/>
      <c r="AF5108" s="35"/>
      <c r="AG5108" s="35"/>
      <c r="AH5108" s="35"/>
      <c r="AI5108" s="35"/>
      <c r="AJ5108" s="35"/>
      <c r="AK5108" s="35"/>
      <c r="AL5108" s="35"/>
    </row>
    <row r="5109">
      <c r="A5109" s="18"/>
      <c r="B5109" s="347" t="s">
        <v>19332</v>
      </c>
      <c r="C5109" s="334" t="s">
        <v>24252</v>
      </c>
      <c r="D5109" s="47"/>
      <c r="E5109" s="22" t="s">
        <v>24273</v>
      </c>
      <c r="F5109" s="22" t="s">
        <v>1504</v>
      </c>
      <c r="G5109" s="23">
        <v>2023.0</v>
      </c>
      <c r="H5109" s="22" t="s">
        <v>23683</v>
      </c>
      <c r="I5109" s="24" t="s">
        <v>24279</v>
      </c>
      <c r="J5109" s="22" t="s">
        <v>202</v>
      </c>
      <c r="K5109" s="22"/>
      <c r="L5109" s="173" t="s">
        <v>24280</v>
      </c>
      <c r="U5109" s="38" t="s">
        <v>61</v>
      </c>
      <c r="V5109" s="30"/>
      <c r="W5109" s="49"/>
      <c r="X5109" s="49"/>
      <c r="Y5109" s="35"/>
      <c r="Z5109" s="35"/>
      <c r="AA5109" s="35"/>
      <c r="AB5109" s="35"/>
      <c r="AC5109" s="35"/>
      <c r="AD5109" s="35"/>
      <c r="AE5109" s="35"/>
      <c r="AF5109" s="35"/>
      <c r="AG5109" s="35"/>
      <c r="AH5109" s="35"/>
      <c r="AI5109" s="35"/>
      <c r="AJ5109" s="35"/>
      <c r="AK5109" s="35"/>
      <c r="AL5109" s="35"/>
    </row>
    <row r="5110">
      <c r="A5110" s="18"/>
      <c r="B5110" s="19" t="s">
        <v>19332</v>
      </c>
      <c r="C5110" s="20" t="s">
        <v>24252</v>
      </c>
      <c r="D5110" s="47"/>
      <c r="E5110" s="22" t="s">
        <v>24281</v>
      </c>
      <c r="F5110" s="22" t="s">
        <v>20682</v>
      </c>
      <c r="G5110" s="23">
        <v>2023.0</v>
      </c>
      <c r="H5110" s="22" t="s">
        <v>2375</v>
      </c>
      <c r="I5110" s="24" t="s">
        <v>24282</v>
      </c>
      <c r="J5110" s="22" t="s">
        <v>125</v>
      </c>
      <c r="K5110" s="22"/>
      <c r="L5110" s="202" t="s">
        <v>24283</v>
      </c>
      <c r="U5110" s="38" t="s">
        <v>61</v>
      </c>
      <c r="V5110" s="30"/>
      <c r="W5110" s="49"/>
      <c r="X5110" s="49"/>
      <c r="Y5110" s="35"/>
      <c r="Z5110" s="35"/>
      <c r="AA5110" s="35"/>
      <c r="AB5110" s="35"/>
      <c r="AC5110" s="35"/>
      <c r="AD5110" s="35"/>
      <c r="AE5110" s="35"/>
      <c r="AF5110" s="35"/>
      <c r="AG5110" s="35"/>
      <c r="AH5110" s="35"/>
      <c r="AI5110" s="35"/>
      <c r="AJ5110" s="35"/>
      <c r="AK5110" s="35"/>
      <c r="AL5110" s="35"/>
    </row>
    <row r="5111">
      <c r="A5111" s="18"/>
      <c r="B5111" s="19" t="s">
        <v>19332</v>
      </c>
      <c r="C5111" s="20" t="s">
        <v>24252</v>
      </c>
      <c r="D5111" s="47"/>
      <c r="E5111" s="22" t="s">
        <v>21294</v>
      </c>
      <c r="F5111" s="22" t="s">
        <v>2312</v>
      </c>
      <c r="G5111" s="23">
        <v>2023.0</v>
      </c>
      <c r="H5111" s="22" t="s">
        <v>24284</v>
      </c>
      <c r="I5111" s="24" t="s">
        <v>24285</v>
      </c>
      <c r="J5111" s="22" t="s">
        <v>125</v>
      </c>
      <c r="K5111" s="22"/>
      <c r="L5111" s="202" t="s">
        <v>24286</v>
      </c>
      <c r="U5111" s="38" t="s">
        <v>61</v>
      </c>
      <c r="V5111" s="30"/>
      <c r="W5111" s="49"/>
      <c r="X5111" s="49"/>
      <c r="Y5111" s="35"/>
      <c r="Z5111" s="35"/>
      <c r="AA5111" s="35"/>
      <c r="AB5111" s="35"/>
      <c r="AC5111" s="35"/>
      <c r="AD5111" s="35"/>
      <c r="AE5111" s="35"/>
      <c r="AF5111" s="35"/>
      <c r="AG5111" s="35"/>
      <c r="AH5111" s="35"/>
      <c r="AI5111" s="35"/>
      <c r="AJ5111" s="35"/>
      <c r="AK5111" s="35"/>
      <c r="AL5111" s="35"/>
    </row>
    <row r="5112">
      <c r="A5112" s="18"/>
      <c r="B5112" s="19" t="s">
        <v>19332</v>
      </c>
      <c r="C5112" s="20" t="s">
        <v>24252</v>
      </c>
      <c r="D5112" s="47"/>
      <c r="E5112" s="22" t="s">
        <v>24287</v>
      </c>
      <c r="F5112" s="22" t="s">
        <v>24288</v>
      </c>
      <c r="G5112" s="23">
        <v>2023.0</v>
      </c>
      <c r="H5112" s="22" t="s">
        <v>2375</v>
      </c>
      <c r="I5112" s="24" t="s">
        <v>24289</v>
      </c>
      <c r="J5112" s="22" t="s">
        <v>24290</v>
      </c>
      <c r="K5112" s="22"/>
      <c r="L5112" s="52">
        <v>980.0</v>
      </c>
      <c r="M5112" s="52">
        <v>100.0</v>
      </c>
      <c r="N5112" s="52" t="s">
        <v>58</v>
      </c>
      <c r="O5112" s="52" t="s">
        <v>58</v>
      </c>
      <c r="P5112" s="189" t="s">
        <v>70</v>
      </c>
      <c r="Q5112" s="52" t="s">
        <v>58</v>
      </c>
      <c r="R5112" s="52" t="s">
        <v>17490</v>
      </c>
      <c r="S5112" s="52" t="s">
        <v>7087</v>
      </c>
      <c r="T5112" s="132" t="s">
        <v>24291</v>
      </c>
      <c r="U5112" s="38" t="s">
        <v>61</v>
      </c>
      <c r="V5112" s="30" t="s">
        <v>24292</v>
      </c>
      <c r="W5112" s="49"/>
      <c r="X5112" s="49"/>
      <c r="Y5112" s="35"/>
      <c r="Z5112" s="35"/>
      <c r="AA5112" s="35"/>
      <c r="AB5112" s="35"/>
      <c r="AC5112" s="35"/>
      <c r="AD5112" s="35"/>
      <c r="AE5112" s="35"/>
      <c r="AF5112" s="35"/>
      <c r="AG5112" s="35"/>
      <c r="AH5112" s="35"/>
      <c r="AI5112" s="35"/>
      <c r="AJ5112" s="35"/>
      <c r="AK5112" s="35"/>
      <c r="AL5112" s="35"/>
    </row>
    <row r="5113">
      <c r="A5113" s="18"/>
      <c r="B5113" s="19" t="s">
        <v>19332</v>
      </c>
      <c r="C5113" s="20" t="s">
        <v>24252</v>
      </c>
      <c r="D5113" s="47"/>
      <c r="E5113" s="22" t="s">
        <v>24293</v>
      </c>
      <c r="F5113" s="22" t="s">
        <v>3027</v>
      </c>
      <c r="G5113" s="23">
        <v>2023.0</v>
      </c>
      <c r="H5113" s="22" t="s">
        <v>91</v>
      </c>
      <c r="I5113" s="24" t="s">
        <v>24294</v>
      </c>
      <c r="J5113" s="22" t="s">
        <v>1078</v>
      </c>
      <c r="K5113" s="22"/>
      <c r="L5113" s="173" t="s">
        <v>24295</v>
      </c>
      <c r="U5113" s="38" t="s">
        <v>61</v>
      </c>
      <c r="V5113" s="30"/>
      <c r="W5113" s="49"/>
      <c r="X5113" s="49"/>
      <c r="Y5113" s="35"/>
      <c r="Z5113" s="35"/>
      <c r="AA5113" s="35"/>
      <c r="AB5113" s="35"/>
      <c r="AC5113" s="35"/>
      <c r="AD5113" s="35"/>
      <c r="AE5113" s="35"/>
      <c r="AF5113" s="35"/>
      <c r="AG5113" s="35"/>
      <c r="AH5113" s="35"/>
      <c r="AI5113" s="35"/>
      <c r="AJ5113" s="35"/>
      <c r="AK5113" s="35"/>
      <c r="AL5113" s="35"/>
    </row>
    <row r="5114">
      <c r="A5114" s="18"/>
      <c r="B5114" s="19" t="s">
        <v>19332</v>
      </c>
      <c r="C5114" s="20" t="s">
        <v>24252</v>
      </c>
      <c r="D5114" s="47"/>
      <c r="E5114" s="22" t="s">
        <v>3300</v>
      </c>
      <c r="F5114" s="22" t="s">
        <v>18872</v>
      </c>
      <c r="G5114" s="23">
        <v>2023.0</v>
      </c>
      <c r="H5114" s="22" t="s">
        <v>91</v>
      </c>
      <c r="I5114" s="24" t="s">
        <v>24296</v>
      </c>
      <c r="J5114" s="22" t="s">
        <v>1078</v>
      </c>
      <c r="K5114" s="22"/>
      <c r="L5114" s="173" t="s">
        <v>24297</v>
      </c>
      <c r="U5114" s="38" t="s">
        <v>61</v>
      </c>
      <c r="V5114" s="30"/>
      <c r="W5114" s="49"/>
      <c r="X5114" s="49"/>
      <c r="Y5114" s="35"/>
      <c r="Z5114" s="35"/>
      <c r="AA5114" s="35"/>
      <c r="AB5114" s="35"/>
      <c r="AC5114" s="35"/>
      <c r="AD5114" s="35"/>
      <c r="AE5114" s="35"/>
      <c r="AF5114" s="35"/>
      <c r="AG5114" s="35"/>
      <c r="AH5114" s="35"/>
      <c r="AI5114" s="35"/>
      <c r="AJ5114" s="35"/>
      <c r="AK5114" s="35"/>
      <c r="AL5114" s="35"/>
    </row>
    <row r="5115">
      <c r="A5115" s="18"/>
      <c r="B5115" s="19" t="s">
        <v>19332</v>
      </c>
      <c r="C5115" s="20" t="s">
        <v>24252</v>
      </c>
      <c r="D5115" s="47"/>
      <c r="E5115" s="22" t="s">
        <v>626</v>
      </c>
      <c r="F5115" s="22" t="s">
        <v>313</v>
      </c>
      <c r="G5115" s="23">
        <v>2023.0</v>
      </c>
      <c r="H5115" s="22" t="s">
        <v>584</v>
      </c>
      <c r="I5115" s="24" t="s">
        <v>24298</v>
      </c>
      <c r="J5115" s="22" t="s">
        <v>125</v>
      </c>
      <c r="K5115" s="22"/>
      <c r="L5115" s="173" t="s">
        <v>24299</v>
      </c>
      <c r="U5115" s="38" t="s">
        <v>61</v>
      </c>
      <c r="V5115" s="30"/>
      <c r="W5115" s="49"/>
      <c r="X5115" s="49"/>
      <c r="Y5115" s="35"/>
      <c r="Z5115" s="35"/>
      <c r="AA5115" s="35"/>
      <c r="AB5115" s="35"/>
      <c r="AC5115" s="35"/>
      <c r="AD5115" s="35"/>
      <c r="AE5115" s="35"/>
      <c r="AF5115" s="35"/>
      <c r="AG5115" s="35"/>
      <c r="AH5115" s="35"/>
      <c r="AI5115" s="35"/>
      <c r="AJ5115" s="35"/>
      <c r="AK5115" s="35"/>
      <c r="AL5115" s="35"/>
    </row>
    <row r="5116">
      <c r="A5116" s="18"/>
      <c r="B5116" s="19" t="s">
        <v>19332</v>
      </c>
      <c r="C5116" s="20" t="s">
        <v>24252</v>
      </c>
      <c r="D5116" s="47"/>
      <c r="E5116" s="22" t="s">
        <v>24300</v>
      </c>
      <c r="F5116" s="22" t="s">
        <v>400</v>
      </c>
      <c r="G5116" s="23">
        <v>2023.0</v>
      </c>
      <c r="H5116" s="22" t="s">
        <v>42</v>
      </c>
      <c r="I5116" s="24" t="s">
        <v>24301</v>
      </c>
      <c r="J5116" s="22" t="s">
        <v>24302</v>
      </c>
      <c r="K5116" s="22"/>
      <c r="L5116" s="52">
        <v>808.0</v>
      </c>
      <c r="M5116" s="52">
        <v>100.0</v>
      </c>
      <c r="N5116" s="52"/>
      <c r="O5116" s="52" t="s">
        <v>24303</v>
      </c>
      <c r="P5116" s="189" t="s">
        <v>7604</v>
      </c>
      <c r="Q5116" s="52"/>
      <c r="R5116" s="52"/>
      <c r="S5116" s="52">
        <v>5.0</v>
      </c>
      <c r="T5116" s="28" t="s">
        <v>24304</v>
      </c>
      <c r="U5116" s="38" t="s">
        <v>61</v>
      </c>
      <c r="V5116" s="30"/>
      <c r="W5116" s="49"/>
      <c r="X5116" s="49"/>
      <c r="Y5116" s="35"/>
      <c r="Z5116" s="35"/>
      <c r="AA5116" s="35"/>
      <c r="AB5116" s="35"/>
      <c r="AC5116" s="35"/>
      <c r="AD5116" s="35"/>
      <c r="AE5116" s="35"/>
      <c r="AF5116" s="35"/>
      <c r="AG5116" s="35"/>
      <c r="AH5116" s="35"/>
      <c r="AI5116" s="35"/>
      <c r="AJ5116" s="35"/>
      <c r="AK5116" s="35"/>
      <c r="AL5116" s="35"/>
    </row>
    <row r="5117">
      <c r="A5117" s="18"/>
      <c r="B5117" s="19" t="s">
        <v>19332</v>
      </c>
      <c r="C5117" s="20" t="s">
        <v>24252</v>
      </c>
      <c r="D5117" s="47"/>
      <c r="E5117" s="22" t="s">
        <v>24305</v>
      </c>
      <c r="F5117" s="22" t="s">
        <v>24306</v>
      </c>
      <c r="G5117" s="23">
        <v>2023.0</v>
      </c>
      <c r="H5117" s="22" t="s">
        <v>9459</v>
      </c>
      <c r="I5117" s="24" t="s">
        <v>24307</v>
      </c>
      <c r="J5117" s="22" t="s">
        <v>1078</v>
      </c>
      <c r="K5117" s="22"/>
      <c r="L5117" s="103" t="s">
        <v>24308</v>
      </c>
      <c r="U5117" s="38" t="s">
        <v>61</v>
      </c>
      <c r="V5117" s="30"/>
      <c r="W5117" s="49"/>
      <c r="X5117" s="49"/>
      <c r="Y5117" s="35"/>
      <c r="Z5117" s="35"/>
      <c r="AA5117" s="35"/>
      <c r="AB5117" s="35"/>
      <c r="AC5117" s="35"/>
      <c r="AD5117" s="35"/>
      <c r="AE5117" s="35"/>
      <c r="AF5117" s="35"/>
      <c r="AG5117" s="35"/>
      <c r="AH5117" s="35"/>
      <c r="AI5117" s="35"/>
      <c r="AJ5117" s="35"/>
      <c r="AK5117" s="35"/>
      <c r="AL5117" s="35"/>
    </row>
    <row r="5118">
      <c r="A5118" s="18"/>
      <c r="B5118" s="19" t="s">
        <v>19332</v>
      </c>
      <c r="C5118" s="20" t="s">
        <v>24252</v>
      </c>
      <c r="D5118" s="47"/>
      <c r="E5118" s="22" t="s">
        <v>24309</v>
      </c>
      <c r="F5118" s="22" t="s">
        <v>23854</v>
      </c>
      <c r="G5118" s="23">
        <v>2023.0</v>
      </c>
      <c r="H5118" s="22" t="s">
        <v>24119</v>
      </c>
      <c r="I5118" s="24" t="s">
        <v>24310</v>
      </c>
      <c r="J5118" s="22" t="s">
        <v>1078</v>
      </c>
      <c r="K5118" s="22"/>
      <c r="L5118" s="173" t="s">
        <v>24311</v>
      </c>
      <c r="U5118" s="38" t="s">
        <v>61</v>
      </c>
      <c r="V5118" s="30"/>
      <c r="W5118" s="49"/>
      <c r="X5118" s="49"/>
      <c r="Y5118" s="35"/>
      <c r="Z5118" s="35"/>
      <c r="AA5118" s="35"/>
      <c r="AB5118" s="35"/>
      <c r="AC5118" s="35"/>
      <c r="AD5118" s="35"/>
      <c r="AE5118" s="35"/>
      <c r="AF5118" s="35"/>
      <c r="AG5118" s="35"/>
      <c r="AH5118" s="35"/>
      <c r="AI5118" s="35"/>
      <c r="AJ5118" s="35"/>
      <c r="AK5118" s="35"/>
      <c r="AL5118" s="35"/>
    </row>
    <row r="5119">
      <c r="A5119" s="18"/>
      <c r="B5119" s="19" t="s">
        <v>19332</v>
      </c>
      <c r="C5119" s="20" t="s">
        <v>24252</v>
      </c>
      <c r="D5119" s="47"/>
      <c r="E5119" s="22" t="s">
        <v>24312</v>
      </c>
      <c r="F5119" s="22" t="s">
        <v>237</v>
      </c>
      <c r="G5119" s="23">
        <v>2023.0</v>
      </c>
      <c r="H5119" s="22" t="s">
        <v>77</v>
      </c>
      <c r="I5119" s="24" t="s">
        <v>24313</v>
      </c>
      <c r="J5119" s="22" t="s">
        <v>55</v>
      </c>
      <c r="K5119" s="22"/>
      <c r="L5119" s="52">
        <v>810.0</v>
      </c>
      <c r="M5119" s="52">
        <v>100.0</v>
      </c>
      <c r="N5119" s="52">
        <v>5.0</v>
      </c>
      <c r="O5119" s="52">
        <v>3.0</v>
      </c>
      <c r="P5119" s="189" t="s">
        <v>15031</v>
      </c>
      <c r="Q5119" s="52" t="s">
        <v>24314</v>
      </c>
      <c r="R5119" s="52" t="s">
        <v>24315</v>
      </c>
      <c r="S5119" s="52" t="s">
        <v>24316</v>
      </c>
      <c r="T5119" s="28" t="s">
        <v>24317</v>
      </c>
      <c r="U5119" s="38" t="s">
        <v>61</v>
      </c>
      <c r="V5119" s="30"/>
      <c r="W5119" s="49"/>
      <c r="X5119" s="49"/>
      <c r="Y5119" s="35"/>
      <c r="Z5119" s="35"/>
      <c r="AA5119" s="35"/>
      <c r="AB5119" s="35"/>
      <c r="AC5119" s="35"/>
      <c r="AD5119" s="35"/>
      <c r="AE5119" s="35"/>
      <c r="AF5119" s="35"/>
      <c r="AG5119" s="35"/>
      <c r="AH5119" s="35"/>
      <c r="AI5119" s="35"/>
      <c r="AJ5119" s="35"/>
      <c r="AK5119" s="35"/>
      <c r="AL5119" s="35"/>
    </row>
    <row r="5120">
      <c r="A5120" s="18"/>
      <c r="B5120" s="19" t="s">
        <v>19332</v>
      </c>
      <c r="C5120" s="20" t="s">
        <v>24252</v>
      </c>
      <c r="D5120" s="47"/>
      <c r="E5120" s="22" t="s">
        <v>23836</v>
      </c>
      <c r="F5120" s="22" t="s">
        <v>24184</v>
      </c>
      <c r="G5120" s="23">
        <v>2023.0</v>
      </c>
      <c r="H5120" s="22" t="s">
        <v>2706</v>
      </c>
      <c r="I5120" s="24" t="s">
        <v>24318</v>
      </c>
      <c r="J5120" s="22" t="s">
        <v>24319</v>
      </c>
      <c r="K5120" s="22"/>
      <c r="L5120" s="52">
        <v>940.0</v>
      </c>
      <c r="M5120" s="52">
        <v>100.0</v>
      </c>
      <c r="N5120" s="52"/>
      <c r="O5120" s="52" t="s">
        <v>23903</v>
      </c>
      <c r="P5120" s="189" t="s">
        <v>704</v>
      </c>
      <c r="Q5120" s="52" t="s">
        <v>830</v>
      </c>
      <c r="R5120" s="52"/>
      <c r="S5120" s="52" t="s">
        <v>24320</v>
      </c>
      <c r="T5120" s="41" t="s">
        <v>24321</v>
      </c>
      <c r="U5120" s="38" t="s">
        <v>61</v>
      </c>
      <c r="V5120" s="30"/>
      <c r="W5120" s="49"/>
      <c r="X5120" s="49"/>
      <c r="Y5120" s="35"/>
      <c r="Z5120" s="35"/>
      <c r="AA5120" s="35"/>
      <c r="AB5120" s="35"/>
      <c r="AC5120" s="35"/>
      <c r="AD5120" s="35"/>
      <c r="AE5120" s="35"/>
      <c r="AF5120" s="35"/>
      <c r="AG5120" s="35"/>
      <c r="AH5120" s="35"/>
      <c r="AI5120" s="35"/>
      <c r="AJ5120" s="35"/>
      <c r="AK5120" s="35"/>
      <c r="AL5120" s="35"/>
    </row>
    <row r="5121">
      <c r="A5121" s="18"/>
      <c r="B5121" s="19" t="s">
        <v>19332</v>
      </c>
      <c r="C5121" s="20" t="s">
        <v>24252</v>
      </c>
      <c r="D5121" s="47"/>
      <c r="E5121" s="22" t="s">
        <v>24322</v>
      </c>
      <c r="F5121" s="22" t="s">
        <v>20564</v>
      </c>
      <c r="G5121" s="23">
        <v>2023.0</v>
      </c>
      <c r="H5121" s="22" t="s">
        <v>2375</v>
      </c>
      <c r="I5121" s="24" t="s">
        <v>24323</v>
      </c>
      <c r="J5121" s="22" t="s">
        <v>24324</v>
      </c>
      <c r="K5121" s="22"/>
      <c r="L5121" s="52">
        <v>940.0</v>
      </c>
      <c r="M5121" s="52"/>
      <c r="N5121" s="52"/>
      <c r="O5121" s="52"/>
      <c r="P5121" s="189"/>
      <c r="Q5121" s="52"/>
      <c r="R5121" s="52"/>
      <c r="S5121" s="52" t="s">
        <v>24325</v>
      </c>
      <c r="T5121" s="28" t="s">
        <v>24326</v>
      </c>
      <c r="U5121" s="38" t="s">
        <v>61</v>
      </c>
      <c r="V5121" s="30"/>
      <c r="W5121" s="49"/>
      <c r="X5121" s="49"/>
      <c r="Y5121" s="35"/>
      <c r="Z5121" s="35"/>
      <c r="AA5121" s="35"/>
      <c r="AB5121" s="35"/>
      <c r="AC5121" s="35"/>
      <c r="AD5121" s="35"/>
      <c r="AE5121" s="35"/>
      <c r="AF5121" s="35"/>
      <c r="AG5121" s="35"/>
      <c r="AH5121" s="35"/>
      <c r="AI5121" s="35"/>
      <c r="AJ5121" s="35"/>
      <c r="AK5121" s="35"/>
      <c r="AL5121" s="35"/>
    </row>
    <row r="5122">
      <c r="A5122" s="18"/>
      <c r="B5122" s="19" t="s">
        <v>19332</v>
      </c>
      <c r="C5122" s="20" t="s">
        <v>24252</v>
      </c>
      <c r="D5122" s="47"/>
      <c r="E5122" s="22" t="s">
        <v>223</v>
      </c>
      <c r="F5122" s="22" t="s">
        <v>2801</v>
      </c>
      <c r="G5122" s="23">
        <v>2023.0</v>
      </c>
      <c r="H5122" s="22" t="s">
        <v>383</v>
      </c>
      <c r="I5122" s="24" t="s">
        <v>24327</v>
      </c>
      <c r="J5122" s="22" t="s">
        <v>1078</v>
      </c>
      <c r="K5122" s="22"/>
      <c r="L5122" s="173" t="s">
        <v>24328</v>
      </c>
      <c r="U5122" s="38" t="s">
        <v>61</v>
      </c>
      <c r="V5122" s="30"/>
      <c r="W5122" s="49"/>
      <c r="X5122" s="49"/>
      <c r="Y5122" s="35"/>
      <c r="Z5122" s="35"/>
      <c r="AA5122" s="35"/>
      <c r="AB5122" s="35"/>
      <c r="AC5122" s="35"/>
      <c r="AD5122" s="35"/>
      <c r="AE5122" s="35"/>
      <c r="AF5122" s="35"/>
      <c r="AG5122" s="35"/>
      <c r="AH5122" s="35"/>
      <c r="AI5122" s="35"/>
      <c r="AJ5122" s="35"/>
      <c r="AK5122" s="35"/>
      <c r="AL5122" s="35"/>
    </row>
    <row r="5123">
      <c r="A5123" s="18"/>
      <c r="B5123" s="19" t="s">
        <v>19332</v>
      </c>
      <c r="C5123" s="20" t="s">
        <v>24252</v>
      </c>
      <c r="D5123" s="47"/>
      <c r="E5123" s="22" t="s">
        <v>24329</v>
      </c>
      <c r="F5123" s="22" t="s">
        <v>24330</v>
      </c>
      <c r="G5123" s="23">
        <v>2023.0</v>
      </c>
      <c r="H5123" s="22" t="s">
        <v>91</v>
      </c>
      <c r="I5123" s="24" t="s">
        <v>24331</v>
      </c>
      <c r="J5123" s="22" t="s">
        <v>24332</v>
      </c>
      <c r="K5123" s="22"/>
      <c r="L5123" s="52">
        <v>980.0</v>
      </c>
      <c r="M5123" s="52">
        <v>20.0</v>
      </c>
      <c r="N5123" s="52"/>
      <c r="O5123" s="52" t="s">
        <v>24333</v>
      </c>
      <c r="P5123" s="52" t="s">
        <v>5132</v>
      </c>
      <c r="Q5123" s="52" t="s">
        <v>24334</v>
      </c>
      <c r="R5123" s="52" t="s">
        <v>1454</v>
      </c>
      <c r="S5123" s="52" t="s">
        <v>24335</v>
      </c>
      <c r="T5123" s="102" t="s">
        <v>24336</v>
      </c>
      <c r="U5123" s="38" t="s">
        <v>61</v>
      </c>
      <c r="V5123" s="30"/>
      <c r="W5123" s="49"/>
      <c r="X5123" s="49"/>
      <c r="Y5123" s="35"/>
      <c r="Z5123" s="35"/>
      <c r="AA5123" s="35"/>
      <c r="AB5123" s="35"/>
      <c r="AC5123" s="35"/>
      <c r="AD5123" s="35"/>
      <c r="AE5123" s="35"/>
      <c r="AF5123" s="35"/>
      <c r="AG5123" s="35"/>
      <c r="AH5123" s="35"/>
      <c r="AI5123" s="35"/>
      <c r="AJ5123" s="35"/>
      <c r="AK5123" s="35"/>
      <c r="AL5123" s="35"/>
    </row>
    <row r="5124">
      <c r="A5124" s="18"/>
      <c r="B5124" s="19" t="s">
        <v>19332</v>
      </c>
      <c r="C5124" s="20" t="s">
        <v>24252</v>
      </c>
      <c r="D5124" s="47"/>
      <c r="E5124" s="22" t="s">
        <v>24337</v>
      </c>
      <c r="F5124" s="22" t="s">
        <v>24338</v>
      </c>
      <c r="G5124" s="23">
        <v>2022.0</v>
      </c>
      <c r="H5124" s="22" t="s">
        <v>10563</v>
      </c>
      <c r="I5124" s="24" t="s">
        <v>24339</v>
      </c>
      <c r="J5124" s="22" t="s">
        <v>24340</v>
      </c>
      <c r="K5124" s="22"/>
      <c r="L5124" s="52">
        <v>850.0</v>
      </c>
      <c r="M5124" s="136"/>
      <c r="N5124" s="52" t="s">
        <v>6646</v>
      </c>
      <c r="O5124" s="136"/>
      <c r="P5124" s="136"/>
      <c r="Q5124" s="136"/>
      <c r="R5124" s="136"/>
      <c r="S5124" s="136"/>
      <c r="T5124" s="54" t="s">
        <v>24341</v>
      </c>
      <c r="U5124" s="38" t="s">
        <v>61</v>
      </c>
      <c r="V5124" s="30" t="s">
        <v>24234</v>
      </c>
      <c r="W5124" s="49"/>
      <c r="X5124" s="49"/>
      <c r="Y5124" s="35"/>
      <c r="Z5124" s="35"/>
      <c r="AA5124" s="35"/>
      <c r="AB5124" s="35"/>
      <c r="AC5124" s="35"/>
      <c r="AD5124" s="35"/>
      <c r="AE5124" s="35"/>
      <c r="AF5124" s="35"/>
      <c r="AG5124" s="35"/>
      <c r="AH5124" s="35"/>
      <c r="AI5124" s="35"/>
      <c r="AJ5124" s="35"/>
      <c r="AK5124" s="35"/>
      <c r="AL5124" s="35"/>
    </row>
    <row r="5125">
      <c r="A5125" s="18"/>
      <c r="B5125" s="19" t="s">
        <v>19332</v>
      </c>
      <c r="C5125" s="20" t="s">
        <v>24252</v>
      </c>
      <c r="D5125" s="47"/>
      <c r="E5125" s="22" t="s">
        <v>24342</v>
      </c>
      <c r="F5125" s="22" t="s">
        <v>7630</v>
      </c>
      <c r="G5125" s="23">
        <v>2022.0</v>
      </c>
      <c r="H5125" s="22" t="s">
        <v>2375</v>
      </c>
      <c r="I5125" s="24" t="s">
        <v>24343</v>
      </c>
      <c r="J5125" s="22" t="s">
        <v>649</v>
      </c>
      <c r="K5125" s="22"/>
      <c r="L5125" s="53" t="s">
        <v>24344</v>
      </c>
      <c r="U5125" s="38" t="s">
        <v>61</v>
      </c>
      <c r="V5125" s="30"/>
      <c r="W5125" s="49"/>
      <c r="X5125" s="49"/>
      <c r="Y5125" s="35"/>
      <c r="Z5125" s="35"/>
      <c r="AA5125" s="35"/>
      <c r="AB5125" s="35"/>
      <c r="AC5125" s="35"/>
      <c r="AD5125" s="35"/>
      <c r="AE5125" s="35"/>
      <c r="AF5125" s="35"/>
      <c r="AG5125" s="35"/>
      <c r="AH5125" s="35"/>
      <c r="AI5125" s="35"/>
      <c r="AJ5125" s="35"/>
      <c r="AK5125" s="35"/>
      <c r="AL5125" s="35"/>
    </row>
    <row r="5126">
      <c r="A5126" s="18"/>
      <c r="B5126" s="19" t="s">
        <v>19332</v>
      </c>
      <c r="C5126" s="20" t="s">
        <v>24252</v>
      </c>
      <c r="D5126" s="47"/>
      <c r="E5126" s="22" t="s">
        <v>24345</v>
      </c>
      <c r="F5126" s="22" t="s">
        <v>24346</v>
      </c>
      <c r="G5126" s="23">
        <v>2022.0</v>
      </c>
      <c r="H5126" s="22" t="s">
        <v>23692</v>
      </c>
      <c r="I5126" s="24" t="s">
        <v>24347</v>
      </c>
      <c r="J5126" s="22" t="s">
        <v>24348</v>
      </c>
      <c r="K5126" s="22" t="s">
        <v>24349</v>
      </c>
      <c r="L5126" s="52">
        <v>940.0</v>
      </c>
      <c r="M5126" s="52">
        <v>500.0</v>
      </c>
      <c r="N5126" s="52"/>
      <c r="O5126" s="52" t="s">
        <v>24350</v>
      </c>
      <c r="P5126" s="189"/>
      <c r="Q5126" s="52"/>
      <c r="R5126" s="52" t="s">
        <v>24351</v>
      </c>
      <c r="S5126" s="52"/>
      <c r="T5126" s="28" t="s">
        <v>24352</v>
      </c>
      <c r="U5126" s="38" t="s">
        <v>61</v>
      </c>
      <c r="V5126" s="30"/>
      <c r="W5126" s="49"/>
      <c r="X5126" s="49"/>
      <c r="Y5126" s="35"/>
      <c r="Z5126" s="35"/>
      <c r="AA5126" s="35"/>
      <c r="AB5126" s="35"/>
      <c r="AC5126" s="35"/>
      <c r="AD5126" s="35"/>
      <c r="AE5126" s="35"/>
      <c r="AF5126" s="35"/>
      <c r="AG5126" s="35"/>
      <c r="AH5126" s="35"/>
      <c r="AI5126" s="35"/>
      <c r="AJ5126" s="35"/>
      <c r="AK5126" s="35"/>
      <c r="AL5126" s="35"/>
    </row>
    <row r="5127">
      <c r="A5127" s="18"/>
      <c r="B5127" s="19" t="s">
        <v>19332</v>
      </c>
      <c r="C5127" s="20" t="s">
        <v>24252</v>
      </c>
      <c r="D5127" s="47"/>
      <c r="E5127" s="22" t="s">
        <v>24353</v>
      </c>
      <c r="F5127" s="22" t="s">
        <v>24354</v>
      </c>
      <c r="G5127" s="23">
        <v>2022.0</v>
      </c>
      <c r="H5127" s="22" t="s">
        <v>23692</v>
      </c>
      <c r="I5127" s="24" t="s">
        <v>24355</v>
      </c>
      <c r="J5127" s="22" t="s">
        <v>24356</v>
      </c>
      <c r="K5127" s="22" t="s">
        <v>157</v>
      </c>
      <c r="L5127" s="52">
        <v>850.0</v>
      </c>
      <c r="M5127" s="52"/>
      <c r="N5127" s="52" t="s">
        <v>7249</v>
      </c>
      <c r="O5127" s="52"/>
      <c r="P5127" s="189"/>
      <c r="Q5127" s="52"/>
      <c r="R5127" s="52">
        <v>300.0</v>
      </c>
      <c r="S5127" s="52" t="s">
        <v>24357</v>
      </c>
      <c r="T5127" s="28" t="s">
        <v>24358</v>
      </c>
      <c r="U5127" s="38" t="s">
        <v>61</v>
      </c>
      <c r="V5127" s="30"/>
      <c r="W5127" s="49"/>
      <c r="X5127" s="49"/>
      <c r="Y5127" s="35"/>
      <c r="Z5127" s="35"/>
      <c r="AA5127" s="35"/>
      <c r="AB5127" s="35"/>
      <c r="AC5127" s="35"/>
      <c r="AD5127" s="35"/>
      <c r="AE5127" s="35"/>
      <c r="AF5127" s="35"/>
      <c r="AG5127" s="35"/>
      <c r="AH5127" s="35"/>
      <c r="AI5127" s="35"/>
      <c r="AJ5127" s="35"/>
      <c r="AK5127" s="35"/>
      <c r="AL5127" s="35"/>
    </row>
    <row r="5128">
      <c r="A5128" s="18" t="s">
        <v>38</v>
      </c>
      <c r="B5128" s="19" t="s">
        <v>19332</v>
      </c>
      <c r="C5128" s="20" t="s">
        <v>24252</v>
      </c>
      <c r="D5128" s="47"/>
      <c r="E5128" s="22" t="s">
        <v>7101</v>
      </c>
      <c r="F5128" s="22" t="s">
        <v>2028</v>
      </c>
      <c r="G5128" s="23">
        <v>2022.0</v>
      </c>
      <c r="H5128" s="22" t="s">
        <v>2181</v>
      </c>
      <c r="I5128" s="24" t="s">
        <v>24359</v>
      </c>
      <c r="J5128" s="22" t="s">
        <v>24360</v>
      </c>
      <c r="K5128" s="22" t="s">
        <v>24361</v>
      </c>
      <c r="L5128" s="52">
        <v>980.0</v>
      </c>
      <c r="M5128" s="52">
        <v>100.0</v>
      </c>
      <c r="N5128" s="52"/>
      <c r="O5128" s="52"/>
      <c r="P5128" s="189" t="s">
        <v>70</v>
      </c>
      <c r="Q5128" s="52" t="s">
        <v>6449</v>
      </c>
      <c r="R5128" s="52">
        <v>8.0</v>
      </c>
      <c r="S5128" s="52" t="s">
        <v>24362</v>
      </c>
      <c r="T5128" s="28" t="s">
        <v>24363</v>
      </c>
      <c r="U5128" s="29" t="s">
        <v>61</v>
      </c>
      <c r="V5128" s="30"/>
      <c r="W5128" s="49"/>
      <c r="X5128" s="49"/>
      <c r="Y5128" s="35"/>
      <c r="Z5128" s="35"/>
      <c r="AA5128" s="35"/>
      <c r="AB5128" s="35"/>
      <c r="AC5128" s="35"/>
      <c r="AD5128" s="35"/>
      <c r="AE5128" s="35"/>
      <c r="AF5128" s="35"/>
      <c r="AG5128" s="35"/>
      <c r="AH5128" s="35"/>
      <c r="AI5128" s="35"/>
      <c r="AJ5128" s="35"/>
      <c r="AK5128" s="35"/>
      <c r="AL5128" s="35"/>
    </row>
    <row r="5129">
      <c r="A5129" s="1"/>
      <c r="B5129" s="19" t="s">
        <v>19332</v>
      </c>
      <c r="C5129" s="20" t="s">
        <v>24252</v>
      </c>
      <c r="D5129" s="47"/>
      <c r="E5129" s="22" t="s">
        <v>24364</v>
      </c>
      <c r="F5129" s="22" t="s">
        <v>1943</v>
      </c>
      <c r="G5129" s="23">
        <v>2022.0</v>
      </c>
      <c r="H5129" s="22" t="s">
        <v>21078</v>
      </c>
      <c r="I5129" s="24" t="s">
        <v>24365</v>
      </c>
      <c r="J5129" s="22" t="s">
        <v>24366</v>
      </c>
      <c r="K5129" s="22"/>
      <c r="L5129" s="52">
        <v>940.0</v>
      </c>
      <c r="M5129" s="52">
        <v>2500.0</v>
      </c>
      <c r="N5129" s="52"/>
      <c r="O5129" s="52"/>
      <c r="P5129" s="189" t="s">
        <v>24367</v>
      </c>
      <c r="Q5129" s="52" t="s">
        <v>24368</v>
      </c>
      <c r="R5129" s="52"/>
      <c r="S5129" s="52" t="s">
        <v>24369</v>
      </c>
      <c r="T5129" s="28" t="s">
        <v>24370</v>
      </c>
      <c r="U5129" s="29" t="s">
        <v>61</v>
      </c>
      <c r="V5129" s="30"/>
      <c r="W5129" s="49"/>
      <c r="X5129" s="49"/>
      <c r="Y5129" s="35"/>
      <c r="Z5129" s="35"/>
      <c r="AA5129" s="35"/>
      <c r="AB5129" s="35"/>
      <c r="AC5129" s="35"/>
      <c r="AD5129" s="35"/>
      <c r="AE5129" s="35"/>
      <c r="AF5129" s="35"/>
      <c r="AG5129" s="35"/>
      <c r="AH5129" s="35"/>
      <c r="AI5129" s="35"/>
      <c r="AJ5129" s="35"/>
      <c r="AK5129" s="35"/>
      <c r="AL5129" s="35"/>
    </row>
    <row r="5130">
      <c r="A5130" s="18"/>
      <c r="B5130" s="19" t="s">
        <v>19332</v>
      </c>
      <c r="C5130" s="20" t="s">
        <v>24252</v>
      </c>
      <c r="D5130" s="47"/>
      <c r="E5130" s="22" t="s">
        <v>24371</v>
      </c>
      <c r="F5130" s="22" t="s">
        <v>24372</v>
      </c>
      <c r="G5130" s="23">
        <v>2022.0</v>
      </c>
      <c r="H5130" s="22" t="s">
        <v>91</v>
      </c>
      <c r="I5130" s="24" t="s">
        <v>24373</v>
      </c>
      <c r="J5130" s="22" t="s">
        <v>1078</v>
      </c>
      <c r="K5130" s="22"/>
      <c r="L5130" s="103" t="s">
        <v>24374</v>
      </c>
      <c r="U5130" s="29" t="s">
        <v>61</v>
      </c>
      <c r="V5130" s="30"/>
      <c r="W5130" s="49"/>
      <c r="X5130" s="49"/>
      <c r="Y5130" s="35"/>
      <c r="Z5130" s="35"/>
      <c r="AA5130" s="35"/>
      <c r="AB5130" s="35"/>
      <c r="AC5130" s="35"/>
      <c r="AD5130" s="35"/>
      <c r="AE5130" s="35"/>
      <c r="AF5130" s="35"/>
      <c r="AG5130" s="35"/>
      <c r="AH5130" s="35"/>
      <c r="AI5130" s="35"/>
      <c r="AJ5130" s="35"/>
      <c r="AK5130" s="35"/>
      <c r="AL5130" s="35"/>
    </row>
    <row r="5131">
      <c r="A5131" s="18" t="s">
        <v>38</v>
      </c>
      <c r="B5131" s="19" t="s">
        <v>19332</v>
      </c>
      <c r="C5131" s="20" t="s">
        <v>24252</v>
      </c>
      <c r="D5131" s="47"/>
      <c r="E5131" s="22" t="s">
        <v>24375</v>
      </c>
      <c r="F5131" s="22" t="s">
        <v>24376</v>
      </c>
      <c r="G5131" s="23">
        <v>2022.0</v>
      </c>
      <c r="H5131" s="22" t="s">
        <v>5430</v>
      </c>
      <c r="I5131" s="24" t="s">
        <v>24377</v>
      </c>
      <c r="J5131" s="22" t="s">
        <v>24378</v>
      </c>
      <c r="K5131" s="22"/>
      <c r="L5131" s="52">
        <v>970.0</v>
      </c>
      <c r="M5131" s="52">
        <v>1000.0</v>
      </c>
      <c r="N5131" s="52"/>
      <c r="O5131" s="52"/>
      <c r="P5131" s="189" t="s">
        <v>24379</v>
      </c>
      <c r="Q5131" s="52"/>
      <c r="R5131" s="52" t="s">
        <v>17490</v>
      </c>
      <c r="S5131" s="52" t="s">
        <v>24380</v>
      </c>
      <c r="T5131" s="41" t="s">
        <v>24381</v>
      </c>
      <c r="U5131" s="29" t="s">
        <v>61</v>
      </c>
      <c r="V5131" s="30"/>
      <c r="W5131" s="49"/>
      <c r="X5131" s="49"/>
      <c r="Y5131" s="35"/>
      <c r="Z5131" s="35"/>
      <c r="AA5131" s="35"/>
      <c r="AB5131" s="35"/>
      <c r="AC5131" s="35"/>
      <c r="AD5131" s="35"/>
      <c r="AE5131" s="35"/>
      <c r="AF5131" s="35"/>
      <c r="AG5131" s="35"/>
      <c r="AH5131" s="35"/>
      <c r="AI5131" s="35"/>
      <c r="AJ5131" s="35"/>
      <c r="AK5131" s="35"/>
      <c r="AL5131" s="35"/>
    </row>
    <row r="5132">
      <c r="A5132" s="1"/>
      <c r="B5132" s="19" t="s">
        <v>19332</v>
      </c>
      <c r="C5132" s="20" t="s">
        <v>24252</v>
      </c>
      <c r="D5132" s="47"/>
      <c r="E5132" s="22" t="s">
        <v>21209</v>
      </c>
      <c r="F5132" s="22" t="s">
        <v>2221</v>
      </c>
      <c r="G5132" s="23">
        <v>2021.0</v>
      </c>
      <c r="H5132" s="22" t="s">
        <v>19412</v>
      </c>
      <c r="I5132" s="24" t="s">
        <v>24382</v>
      </c>
      <c r="J5132" s="22" t="s">
        <v>1078</v>
      </c>
      <c r="K5132" s="22"/>
      <c r="L5132" s="202" t="s">
        <v>24383</v>
      </c>
      <c r="U5132" s="29" t="s">
        <v>61</v>
      </c>
      <c r="V5132" s="30"/>
      <c r="W5132" s="156"/>
      <c r="X5132" s="49"/>
      <c r="Y5132" s="35"/>
      <c r="Z5132" s="35"/>
      <c r="AA5132" s="35"/>
      <c r="AB5132" s="35"/>
      <c r="AC5132" s="35"/>
      <c r="AD5132" s="35"/>
      <c r="AE5132" s="35"/>
      <c r="AF5132" s="35"/>
      <c r="AG5132" s="35"/>
      <c r="AH5132" s="35"/>
      <c r="AI5132" s="35"/>
      <c r="AJ5132" s="35"/>
      <c r="AK5132" s="35"/>
      <c r="AL5132" s="35"/>
    </row>
    <row r="5133">
      <c r="A5133" s="1"/>
      <c r="B5133" s="19" t="s">
        <v>19332</v>
      </c>
      <c r="C5133" s="20" t="s">
        <v>24252</v>
      </c>
      <c r="D5133" s="47"/>
      <c r="E5133" s="22" t="s">
        <v>24384</v>
      </c>
      <c r="F5133" s="22" t="s">
        <v>24385</v>
      </c>
      <c r="G5133" s="23">
        <v>2021.0</v>
      </c>
      <c r="H5133" s="22" t="s">
        <v>2181</v>
      </c>
      <c r="I5133" s="24" t="s">
        <v>24386</v>
      </c>
      <c r="J5133" s="22" t="s">
        <v>24387</v>
      </c>
      <c r="K5133" s="22"/>
      <c r="L5133" s="52">
        <v>970.0</v>
      </c>
      <c r="M5133" s="52"/>
      <c r="N5133" s="52"/>
      <c r="O5133" s="52"/>
      <c r="P5133" s="189"/>
      <c r="Q5133" s="52"/>
      <c r="R5133" s="52"/>
      <c r="S5133" s="52"/>
      <c r="T5133" s="42" t="s">
        <v>24388</v>
      </c>
      <c r="U5133" s="29" t="s">
        <v>24389</v>
      </c>
      <c r="V5133" s="30"/>
      <c r="W5133" s="156"/>
      <c r="X5133" s="49"/>
      <c r="Y5133" s="35"/>
      <c r="Z5133" s="35"/>
      <c r="AA5133" s="35"/>
      <c r="AB5133" s="35"/>
      <c r="AC5133" s="35"/>
      <c r="AD5133" s="35"/>
      <c r="AE5133" s="35"/>
      <c r="AF5133" s="35"/>
      <c r="AG5133" s="35"/>
      <c r="AH5133" s="35"/>
      <c r="AI5133" s="35"/>
      <c r="AJ5133" s="35"/>
      <c r="AK5133" s="35"/>
      <c r="AL5133" s="35"/>
    </row>
    <row r="5134">
      <c r="A5134" s="1"/>
      <c r="B5134" s="19" t="s">
        <v>19332</v>
      </c>
      <c r="C5134" s="20" t="s">
        <v>24252</v>
      </c>
      <c r="D5134" s="47"/>
      <c r="E5134" s="22" t="s">
        <v>23775</v>
      </c>
      <c r="F5134" s="22" t="s">
        <v>7630</v>
      </c>
      <c r="G5134" s="23">
        <v>2021.0</v>
      </c>
      <c r="H5134" s="22" t="s">
        <v>23428</v>
      </c>
      <c r="I5134" s="24" t="s">
        <v>24390</v>
      </c>
      <c r="J5134" s="22" t="s">
        <v>24391</v>
      </c>
      <c r="K5134" s="22"/>
      <c r="L5134" s="52">
        <v>808.0</v>
      </c>
      <c r="M5134" s="52"/>
      <c r="N5134" s="52"/>
      <c r="O5134" s="52"/>
      <c r="P5134" s="189"/>
      <c r="Q5134" s="52"/>
      <c r="R5134" s="52"/>
      <c r="S5134" s="52" t="s">
        <v>24392</v>
      </c>
      <c r="T5134" s="28" t="s">
        <v>24393</v>
      </c>
      <c r="U5134" s="29" t="s">
        <v>61</v>
      </c>
      <c r="V5134" s="30" t="s">
        <v>174</v>
      </c>
      <c r="W5134" s="156"/>
      <c r="X5134" s="49"/>
      <c r="Y5134" s="35"/>
      <c r="Z5134" s="35"/>
      <c r="AA5134" s="35"/>
      <c r="AB5134" s="35"/>
      <c r="AC5134" s="35"/>
      <c r="AD5134" s="35"/>
      <c r="AE5134" s="35"/>
      <c r="AF5134" s="35"/>
      <c r="AG5134" s="35"/>
      <c r="AH5134" s="35"/>
      <c r="AI5134" s="35"/>
      <c r="AJ5134" s="35"/>
      <c r="AK5134" s="35"/>
      <c r="AL5134" s="35"/>
    </row>
    <row r="5135">
      <c r="A5135" s="1"/>
      <c r="B5135" s="19" t="s">
        <v>19332</v>
      </c>
      <c r="C5135" s="20" t="s">
        <v>24252</v>
      </c>
      <c r="D5135" s="47"/>
      <c r="E5135" s="22" t="s">
        <v>24394</v>
      </c>
      <c r="F5135" s="22" t="s">
        <v>15220</v>
      </c>
      <c r="G5135" s="23">
        <v>2021.0</v>
      </c>
      <c r="H5135" s="22" t="s">
        <v>21078</v>
      </c>
      <c r="I5135" s="24" t="s">
        <v>24395</v>
      </c>
      <c r="J5135" s="22" t="s">
        <v>24396</v>
      </c>
      <c r="K5135" s="22" t="s">
        <v>24397</v>
      </c>
      <c r="L5135" s="52">
        <v>850.0</v>
      </c>
      <c r="M5135" s="52"/>
      <c r="N5135" s="52" t="s">
        <v>4039</v>
      </c>
      <c r="O5135" s="52"/>
      <c r="P5135" s="189"/>
      <c r="Q5135" s="52"/>
      <c r="R5135" s="52">
        <v>600.0</v>
      </c>
      <c r="S5135" s="52" t="s">
        <v>3478</v>
      </c>
      <c r="T5135" s="28" t="s">
        <v>24398</v>
      </c>
      <c r="U5135" s="29" t="s">
        <v>61</v>
      </c>
      <c r="V5135" s="30"/>
      <c r="W5135" s="156"/>
      <c r="X5135" s="49"/>
      <c r="Y5135" s="35"/>
      <c r="Z5135" s="35"/>
      <c r="AA5135" s="35"/>
      <c r="AB5135" s="35"/>
      <c r="AC5135" s="35"/>
      <c r="AD5135" s="35"/>
      <c r="AE5135" s="35"/>
      <c r="AF5135" s="35"/>
      <c r="AG5135" s="35"/>
      <c r="AH5135" s="35"/>
      <c r="AI5135" s="35"/>
      <c r="AJ5135" s="35"/>
      <c r="AK5135" s="35"/>
      <c r="AL5135" s="35"/>
    </row>
    <row r="5136">
      <c r="A5136" s="1"/>
      <c r="B5136" s="19" t="s">
        <v>19332</v>
      </c>
      <c r="C5136" s="20" t="s">
        <v>24252</v>
      </c>
      <c r="D5136" s="47"/>
      <c r="E5136" s="22" t="s">
        <v>24399</v>
      </c>
      <c r="F5136" s="22" t="s">
        <v>1930</v>
      </c>
      <c r="G5136" s="23">
        <v>2021.0</v>
      </c>
      <c r="H5136" s="22" t="s">
        <v>23428</v>
      </c>
      <c r="I5136" s="24" t="s">
        <v>24400</v>
      </c>
      <c r="J5136" s="22" t="s">
        <v>24401</v>
      </c>
      <c r="K5136" s="22" t="s">
        <v>948</v>
      </c>
      <c r="L5136" s="52" t="s">
        <v>24402</v>
      </c>
      <c r="M5136" s="52"/>
      <c r="N5136" s="52" t="s">
        <v>3587</v>
      </c>
      <c r="O5136" s="52"/>
      <c r="P5136" s="189"/>
      <c r="Q5136" s="52"/>
      <c r="R5136" s="52">
        <v>300.0</v>
      </c>
      <c r="S5136" s="52" t="s">
        <v>24403</v>
      </c>
      <c r="T5136" s="42" t="s">
        <v>24404</v>
      </c>
      <c r="U5136" s="29" t="s">
        <v>61</v>
      </c>
      <c r="V5136" s="30"/>
      <c r="W5136" s="156"/>
      <c r="X5136" s="49"/>
      <c r="Y5136" s="35"/>
      <c r="Z5136" s="35"/>
      <c r="AA5136" s="35"/>
      <c r="AB5136" s="35"/>
      <c r="AC5136" s="35"/>
      <c r="AD5136" s="35"/>
      <c r="AE5136" s="35"/>
      <c r="AF5136" s="35"/>
      <c r="AG5136" s="35"/>
      <c r="AH5136" s="35"/>
      <c r="AI5136" s="35"/>
      <c r="AJ5136" s="35"/>
      <c r="AK5136" s="35"/>
      <c r="AL5136" s="35"/>
    </row>
    <row r="5137">
      <c r="A5137" s="1"/>
      <c r="B5137" s="19" t="s">
        <v>19332</v>
      </c>
      <c r="C5137" s="20" t="s">
        <v>24252</v>
      </c>
      <c r="D5137" s="47"/>
      <c r="E5137" s="22" t="s">
        <v>24405</v>
      </c>
      <c r="F5137" s="22" t="s">
        <v>224</v>
      </c>
      <c r="G5137" s="23">
        <v>2021.0</v>
      </c>
      <c r="H5137" s="22" t="s">
        <v>12502</v>
      </c>
      <c r="I5137" s="24" t="s">
        <v>24406</v>
      </c>
      <c r="J5137" s="22" t="s">
        <v>24407</v>
      </c>
      <c r="K5137" s="22"/>
      <c r="L5137" s="52">
        <v>810.0</v>
      </c>
      <c r="M5137" s="52">
        <v>100.0</v>
      </c>
      <c r="N5137" s="52"/>
      <c r="O5137" s="52"/>
      <c r="P5137" s="189" t="s">
        <v>24408</v>
      </c>
      <c r="Q5137" s="52"/>
      <c r="R5137" s="52"/>
      <c r="S5137" s="52" t="s">
        <v>21642</v>
      </c>
      <c r="T5137" s="28" t="s">
        <v>24409</v>
      </c>
      <c r="U5137" s="29" t="s">
        <v>61</v>
      </c>
      <c r="V5137" s="30"/>
      <c r="W5137" s="156"/>
      <c r="X5137" s="49"/>
      <c r="Y5137" s="35"/>
      <c r="Z5137" s="35"/>
      <c r="AA5137" s="35"/>
      <c r="AB5137" s="35"/>
      <c r="AC5137" s="35"/>
      <c r="AD5137" s="35"/>
      <c r="AE5137" s="35"/>
      <c r="AF5137" s="35"/>
      <c r="AG5137" s="35"/>
      <c r="AH5137" s="35"/>
      <c r="AI5137" s="35"/>
      <c r="AJ5137" s="35"/>
      <c r="AK5137" s="35"/>
      <c r="AL5137" s="35"/>
    </row>
    <row r="5138">
      <c r="A5138" s="1"/>
      <c r="B5138" s="19" t="s">
        <v>19332</v>
      </c>
      <c r="C5138" s="20" t="s">
        <v>24252</v>
      </c>
      <c r="D5138" s="47"/>
      <c r="E5138" s="22" t="s">
        <v>23579</v>
      </c>
      <c r="F5138" s="22" t="s">
        <v>3885</v>
      </c>
      <c r="G5138" s="23">
        <v>2021.0</v>
      </c>
      <c r="H5138" s="22" t="s">
        <v>77</v>
      </c>
      <c r="I5138" s="24" t="s">
        <v>24410</v>
      </c>
      <c r="J5138" s="22" t="s">
        <v>24411</v>
      </c>
      <c r="K5138" s="22" t="s">
        <v>24412</v>
      </c>
      <c r="L5138" s="52"/>
      <c r="M5138" s="52"/>
      <c r="N5138" s="52"/>
      <c r="O5138" s="52"/>
      <c r="P5138" s="189"/>
      <c r="Q5138" s="52"/>
      <c r="R5138" s="52"/>
      <c r="S5138" s="52" t="s">
        <v>24413</v>
      </c>
      <c r="T5138" s="53" t="s">
        <v>24414</v>
      </c>
      <c r="U5138" s="29" t="s">
        <v>61</v>
      </c>
      <c r="V5138" s="30"/>
      <c r="W5138" s="156"/>
      <c r="X5138" s="49"/>
      <c r="Y5138" s="35"/>
      <c r="Z5138" s="35"/>
      <c r="AA5138" s="35"/>
      <c r="AB5138" s="35"/>
      <c r="AC5138" s="35"/>
      <c r="AD5138" s="35"/>
      <c r="AE5138" s="35"/>
      <c r="AF5138" s="35"/>
      <c r="AG5138" s="35"/>
      <c r="AH5138" s="35"/>
      <c r="AI5138" s="35"/>
      <c r="AJ5138" s="35"/>
      <c r="AK5138" s="35"/>
      <c r="AL5138" s="35"/>
    </row>
    <row r="5139">
      <c r="A5139" s="1"/>
      <c r="B5139" s="19" t="s">
        <v>19332</v>
      </c>
      <c r="C5139" s="20" t="s">
        <v>24252</v>
      </c>
      <c r="D5139" s="47"/>
      <c r="E5139" s="22" t="s">
        <v>24394</v>
      </c>
      <c r="F5139" s="22" t="s">
        <v>58</v>
      </c>
      <c r="G5139" s="23">
        <v>2021.0</v>
      </c>
      <c r="H5139" s="22" t="s">
        <v>21078</v>
      </c>
      <c r="I5139" s="24" t="s">
        <v>24415</v>
      </c>
      <c r="J5139" s="22" t="s">
        <v>24416</v>
      </c>
      <c r="K5139" s="22"/>
      <c r="L5139" s="52">
        <v>850.0</v>
      </c>
      <c r="M5139" s="52"/>
      <c r="N5139" s="52" t="s">
        <v>4039</v>
      </c>
      <c r="O5139" s="52"/>
      <c r="P5139" s="189"/>
      <c r="Q5139" s="52"/>
      <c r="R5139" s="52">
        <v>600.0</v>
      </c>
      <c r="S5139" s="52" t="s">
        <v>3478</v>
      </c>
      <c r="T5139" s="28" t="s">
        <v>24417</v>
      </c>
      <c r="U5139" s="29" t="s">
        <v>61</v>
      </c>
      <c r="V5139" s="30"/>
      <c r="W5139" s="156"/>
      <c r="X5139" s="49"/>
      <c r="Y5139" s="35"/>
      <c r="Z5139" s="35"/>
      <c r="AA5139" s="35"/>
      <c r="AB5139" s="35"/>
      <c r="AC5139" s="35"/>
      <c r="AD5139" s="35"/>
      <c r="AE5139" s="35"/>
      <c r="AF5139" s="35"/>
      <c r="AG5139" s="35"/>
      <c r="AH5139" s="35"/>
      <c r="AI5139" s="35"/>
      <c r="AJ5139" s="35"/>
      <c r="AK5139" s="35"/>
      <c r="AL5139" s="35"/>
    </row>
    <row r="5140">
      <c r="A5140" s="278"/>
      <c r="B5140" s="19" t="s">
        <v>19332</v>
      </c>
      <c r="C5140" s="20" t="s">
        <v>24252</v>
      </c>
      <c r="D5140" s="47"/>
      <c r="E5140" s="22" t="s">
        <v>23953</v>
      </c>
      <c r="F5140" s="22" t="s">
        <v>122</v>
      </c>
      <c r="G5140" s="23">
        <v>2021.0</v>
      </c>
      <c r="H5140" s="22" t="s">
        <v>77</v>
      </c>
      <c r="I5140" s="24" t="s">
        <v>24418</v>
      </c>
      <c r="J5140" s="22" t="s">
        <v>3289</v>
      </c>
      <c r="K5140" s="22"/>
      <c r="L5140" s="202"/>
      <c r="U5140" s="29"/>
      <c r="V5140" s="30"/>
      <c r="W5140" s="156"/>
      <c r="X5140" s="49"/>
      <c r="Y5140" s="35"/>
      <c r="Z5140" s="35"/>
      <c r="AA5140" s="35"/>
      <c r="AB5140" s="35"/>
      <c r="AC5140" s="35"/>
      <c r="AD5140" s="35"/>
      <c r="AE5140" s="35"/>
      <c r="AF5140" s="35"/>
      <c r="AG5140" s="35"/>
      <c r="AH5140" s="35"/>
      <c r="AI5140" s="35"/>
      <c r="AJ5140" s="35"/>
      <c r="AK5140" s="35"/>
      <c r="AL5140" s="35"/>
    </row>
    <row r="5141">
      <c r="A5141" s="278"/>
      <c r="B5141" s="19" t="s">
        <v>19332</v>
      </c>
      <c r="C5141" s="20" t="s">
        <v>24252</v>
      </c>
      <c r="D5141" s="47"/>
      <c r="E5141" s="22" t="s">
        <v>24419</v>
      </c>
      <c r="F5141" s="22" t="s">
        <v>1862</v>
      </c>
      <c r="G5141" s="23">
        <v>2021.0</v>
      </c>
      <c r="H5141" s="22" t="s">
        <v>23828</v>
      </c>
      <c r="I5141" s="24" t="s">
        <v>24420</v>
      </c>
      <c r="J5141" s="22" t="s">
        <v>24421</v>
      </c>
      <c r="K5141" s="22" t="s">
        <v>157</v>
      </c>
      <c r="L5141" s="52">
        <v>850.0</v>
      </c>
      <c r="M5141" s="52"/>
      <c r="N5141" s="52" t="s">
        <v>4039</v>
      </c>
      <c r="O5141" s="52"/>
      <c r="P5141" s="189"/>
      <c r="Q5141" s="52"/>
      <c r="R5141" s="52">
        <v>300.0</v>
      </c>
      <c r="S5141" s="52" t="s">
        <v>3478</v>
      </c>
      <c r="T5141" s="41" t="s">
        <v>24422</v>
      </c>
      <c r="U5141" s="29" t="s">
        <v>61</v>
      </c>
      <c r="V5141" s="30" t="s">
        <v>24423</v>
      </c>
      <c r="W5141" s="156"/>
      <c r="X5141" s="49"/>
      <c r="Y5141" s="35"/>
      <c r="Z5141" s="35"/>
      <c r="AA5141" s="35"/>
      <c r="AB5141" s="35"/>
      <c r="AC5141" s="35"/>
      <c r="AD5141" s="35"/>
      <c r="AE5141" s="35"/>
      <c r="AF5141" s="35"/>
      <c r="AG5141" s="35"/>
      <c r="AH5141" s="35"/>
      <c r="AI5141" s="35"/>
      <c r="AJ5141" s="35"/>
      <c r="AK5141" s="35"/>
      <c r="AL5141" s="35"/>
    </row>
    <row r="5142">
      <c r="A5142" s="1"/>
      <c r="B5142" s="19" t="s">
        <v>19332</v>
      </c>
      <c r="C5142" s="20" t="s">
        <v>24252</v>
      </c>
      <c r="D5142" s="47"/>
      <c r="E5142" s="22" t="s">
        <v>23899</v>
      </c>
      <c r="F5142" s="22" t="s">
        <v>24424</v>
      </c>
      <c r="G5142" s="23">
        <v>2021.0</v>
      </c>
      <c r="H5142" s="22" t="s">
        <v>13222</v>
      </c>
      <c r="I5142" s="24" t="s">
        <v>24425</v>
      </c>
      <c r="J5142" s="22" t="s">
        <v>24426</v>
      </c>
      <c r="K5142" s="22" t="s">
        <v>23778</v>
      </c>
      <c r="L5142" s="52">
        <v>940.0</v>
      </c>
      <c r="M5142" s="52"/>
      <c r="N5142" s="52"/>
      <c r="O5142" s="52"/>
      <c r="P5142" s="189" t="s">
        <v>704</v>
      </c>
      <c r="Q5142" s="52"/>
      <c r="R5142" s="52"/>
      <c r="S5142" s="52" t="s">
        <v>24427</v>
      </c>
      <c r="T5142" s="28" t="s">
        <v>24428</v>
      </c>
      <c r="U5142" s="29" t="s">
        <v>61</v>
      </c>
      <c r="V5142" s="30" t="s">
        <v>24429</v>
      </c>
      <c r="W5142" s="156"/>
      <c r="X5142" s="49"/>
      <c r="Y5142" s="35"/>
      <c r="Z5142" s="35"/>
      <c r="AA5142" s="35"/>
      <c r="AB5142" s="35"/>
      <c r="AC5142" s="35"/>
      <c r="AD5142" s="35"/>
      <c r="AE5142" s="35"/>
      <c r="AF5142" s="35"/>
      <c r="AG5142" s="35"/>
      <c r="AH5142" s="35"/>
      <c r="AI5142" s="35"/>
      <c r="AJ5142" s="35"/>
      <c r="AK5142" s="35"/>
      <c r="AL5142" s="35"/>
    </row>
    <row r="5143">
      <c r="A5143" s="1"/>
      <c r="B5143" s="19" t="s">
        <v>19332</v>
      </c>
      <c r="C5143" s="20" t="s">
        <v>24252</v>
      </c>
      <c r="D5143" s="47"/>
      <c r="E5143" s="22" t="s">
        <v>1689</v>
      </c>
      <c r="F5143" s="22" t="s">
        <v>19540</v>
      </c>
      <c r="G5143" s="23">
        <v>2021.0</v>
      </c>
      <c r="H5143" s="22" t="s">
        <v>77</v>
      </c>
      <c r="I5143" s="24" t="s">
        <v>24430</v>
      </c>
      <c r="J5143" s="22" t="s">
        <v>1078</v>
      </c>
      <c r="K5143" s="22"/>
      <c r="L5143" s="41" t="s">
        <v>24431</v>
      </c>
      <c r="U5143" s="29" t="s">
        <v>61</v>
      </c>
      <c r="V5143" s="30"/>
      <c r="W5143" s="156"/>
      <c r="X5143" s="49"/>
      <c r="Y5143" s="35"/>
      <c r="Z5143" s="35"/>
      <c r="AA5143" s="35"/>
      <c r="AB5143" s="35"/>
      <c r="AC5143" s="35"/>
      <c r="AD5143" s="35"/>
      <c r="AE5143" s="35"/>
      <c r="AF5143" s="35"/>
      <c r="AG5143" s="35"/>
      <c r="AH5143" s="35"/>
      <c r="AI5143" s="35"/>
      <c r="AJ5143" s="35"/>
      <c r="AK5143" s="35"/>
      <c r="AL5143" s="35"/>
    </row>
    <row r="5144">
      <c r="A5144" s="1"/>
      <c r="B5144" s="19" t="s">
        <v>19332</v>
      </c>
      <c r="C5144" s="20" t="s">
        <v>24252</v>
      </c>
      <c r="D5144" s="47"/>
      <c r="E5144" s="22" t="s">
        <v>24432</v>
      </c>
      <c r="F5144" s="22" t="s">
        <v>24433</v>
      </c>
      <c r="G5144" s="23">
        <v>2021.0</v>
      </c>
      <c r="H5144" s="22" t="s">
        <v>309</v>
      </c>
      <c r="I5144" s="24" t="s">
        <v>24434</v>
      </c>
      <c r="J5144" s="22" t="s">
        <v>55</v>
      </c>
      <c r="K5144" s="22" t="s">
        <v>1848</v>
      </c>
      <c r="L5144" s="52"/>
      <c r="M5144" s="52"/>
      <c r="N5144" s="52"/>
      <c r="O5144" s="52"/>
      <c r="P5144" s="189"/>
      <c r="Q5144" s="52"/>
      <c r="R5144" s="52"/>
      <c r="S5144" s="52"/>
      <c r="T5144" s="42" t="s">
        <v>24435</v>
      </c>
      <c r="U5144" s="29" t="s">
        <v>61</v>
      </c>
      <c r="V5144" s="30"/>
      <c r="W5144" s="156"/>
      <c r="X5144" s="49"/>
      <c r="Y5144" s="35"/>
      <c r="Z5144" s="35"/>
      <c r="AA5144" s="35"/>
      <c r="AB5144" s="35"/>
      <c r="AC5144" s="35"/>
      <c r="AD5144" s="35"/>
      <c r="AE5144" s="35"/>
      <c r="AF5144" s="35"/>
      <c r="AG5144" s="35"/>
      <c r="AH5144" s="35"/>
      <c r="AI5144" s="35"/>
      <c r="AJ5144" s="35"/>
      <c r="AK5144" s="35"/>
      <c r="AL5144" s="35"/>
    </row>
    <row r="5145">
      <c r="A5145" s="1"/>
      <c r="B5145" s="19" t="s">
        <v>19332</v>
      </c>
      <c r="C5145" s="20" t="s">
        <v>24252</v>
      </c>
      <c r="D5145" s="47"/>
      <c r="E5145" s="22" t="s">
        <v>24436</v>
      </c>
      <c r="F5145" s="22" t="s">
        <v>4849</v>
      </c>
      <c r="G5145" s="23">
        <v>2020.0</v>
      </c>
      <c r="H5145" s="22" t="s">
        <v>23604</v>
      </c>
      <c r="I5145" s="24" t="s">
        <v>24437</v>
      </c>
      <c r="J5145" s="22" t="s">
        <v>55</v>
      </c>
      <c r="K5145" s="22" t="s">
        <v>294</v>
      </c>
      <c r="L5145" s="52" t="s">
        <v>24191</v>
      </c>
      <c r="M5145" s="52"/>
      <c r="N5145" s="52"/>
      <c r="O5145" s="52"/>
      <c r="P5145" s="189" t="s">
        <v>24438</v>
      </c>
      <c r="Q5145" s="52"/>
      <c r="R5145" s="52">
        <v>540.0</v>
      </c>
      <c r="S5145" s="52"/>
      <c r="T5145" s="28" t="s">
        <v>24439</v>
      </c>
      <c r="U5145" s="29" t="s">
        <v>61</v>
      </c>
      <c r="V5145" s="30"/>
      <c r="W5145" s="156"/>
      <c r="X5145" s="49"/>
      <c r="Y5145" s="35"/>
      <c r="Z5145" s="35"/>
      <c r="AA5145" s="35"/>
      <c r="AB5145" s="35"/>
      <c r="AC5145" s="35"/>
      <c r="AD5145" s="35"/>
      <c r="AE5145" s="35"/>
      <c r="AF5145" s="35"/>
      <c r="AG5145" s="35"/>
      <c r="AH5145" s="35"/>
      <c r="AI5145" s="35"/>
      <c r="AJ5145" s="35"/>
      <c r="AK5145" s="35"/>
      <c r="AL5145" s="35"/>
    </row>
    <row r="5146">
      <c r="A5146" s="1"/>
      <c r="B5146" s="19" t="s">
        <v>19332</v>
      </c>
      <c r="C5146" s="20" t="s">
        <v>24252</v>
      </c>
      <c r="D5146" s="47"/>
      <c r="E5146" s="22" t="s">
        <v>24440</v>
      </c>
      <c r="F5146" s="22" t="s">
        <v>979</v>
      </c>
      <c r="G5146" s="23">
        <v>2020.0</v>
      </c>
      <c r="H5146" s="22" t="s">
        <v>23692</v>
      </c>
      <c r="I5146" s="24" t="s">
        <v>24441</v>
      </c>
      <c r="J5146" s="22" t="s">
        <v>24442</v>
      </c>
      <c r="K5146" s="22"/>
      <c r="L5146" s="52">
        <v>940.0</v>
      </c>
      <c r="M5146" s="52"/>
      <c r="N5146" s="52"/>
      <c r="O5146" s="52"/>
      <c r="P5146" s="189" t="s">
        <v>432</v>
      </c>
      <c r="Q5146" s="52"/>
      <c r="R5146" s="52"/>
      <c r="S5146" s="52" t="s">
        <v>22024</v>
      </c>
      <c r="T5146" s="42" t="s">
        <v>24443</v>
      </c>
      <c r="U5146" s="29" t="s">
        <v>61</v>
      </c>
      <c r="V5146" s="30"/>
      <c r="W5146" s="156"/>
      <c r="X5146" s="49"/>
      <c r="Y5146" s="35"/>
      <c r="Z5146" s="35"/>
      <c r="AA5146" s="35"/>
      <c r="AB5146" s="35"/>
      <c r="AC5146" s="35"/>
      <c r="AD5146" s="35"/>
      <c r="AE5146" s="35"/>
      <c r="AF5146" s="35"/>
      <c r="AG5146" s="35"/>
      <c r="AH5146" s="35"/>
      <c r="AI5146" s="35"/>
      <c r="AJ5146" s="35"/>
      <c r="AK5146" s="35"/>
      <c r="AL5146" s="35"/>
    </row>
    <row r="5147">
      <c r="A5147" s="1"/>
      <c r="B5147" s="19" t="s">
        <v>19332</v>
      </c>
      <c r="C5147" s="20" t="s">
        <v>24252</v>
      </c>
      <c r="D5147" s="47"/>
      <c r="E5147" s="22" t="s">
        <v>24444</v>
      </c>
      <c r="F5147" s="22" t="s">
        <v>1398</v>
      </c>
      <c r="G5147" s="23">
        <v>2020.0</v>
      </c>
      <c r="H5147" s="22" t="s">
        <v>23791</v>
      </c>
      <c r="I5147" s="24" t="s">
        <v>24445</v>
      </c>
      <c r="J5147" s="22" t="s">
        <v>3053</v>
      </c>
      <c r="K5147" s="22"/>
      <c r="L5147" s="52"/>
      <c r="M5147" s="52"/>
      <c r="N5147" s="52"/>
      <c r="O5147" s="52"/>
      <c r="P5147" s="189"/>
      <c r="Q5147" s="52"/>
      <c r="R5147" s="52"/>
      <c r="S5147" s="52"/>
      <c r="T5147" s="42" t="s">
        <v>23793</v>
      </c>
      <c r="U5147" s="29" t="s">
        <v>61</v>
      </c>
      <c r="V5147" s="30"/>
      <c r="W5147" s="156"/>
      <c r="X5147" s="49"/>
      <c r="Y5147" s="35"/>
      <c r="Z5147" s="35"/>
      <c r="AA5147" s="35"/>
      <c r="AB5147" s="35"/>
      <c r="AC5147" s="35"/>
      <c r="AD5147" s="35"/>
      <c r="AE5147" s="35"/>
      <c r="AF5147" s="35"/>
      <c r="AG5147" s="35"/>
      <c r="AH5147" s="35"/>
      <c r="AI5147" s="35"/>
      <c r="AJ5147" s="35"/>
      <c r="AK5147" s="35"/>
      <c r="AL5147" s="35"/>
    </row>
    <row r="5148">
      <c r="A5148" s="40" t="s">
        <v>38</v>
      </c>
      <c r="B5148" s="19" t="s">
        <v>19332</v>
      </c>
      <c r="C5148" s="20" t="s">
        <v>24252</v>
      </c>
      <c r="D5148" s="47"/>
      <c r="E5148" s="22" t="s">
        <v>24446</v>
      </c>
      <c r="F5148" s="22" t="s">
        <v>24447</v>
      </c>
      <c r="G5148" s="23">
        <v>2020.0</v>
      </c>
      <c r="H5148" s="22" t="s">
        <v>23428</v>
      </c>
      <c r="I5148" s="24" t="s">
        <v>24448</v>
      </c>
      <c r="J5148" s="22" t="s">
        <v>24449</v>
      </c>
      <c r="K5148" s="22"/>
      <c r="L5148" s="52">
        <v>658.0</v>
      </c>
      <c r="M5148" s="52">
        <v>8.0</v>
      </c>
      <c r="N5148" s="52" t="s">
        <v>58</v>
      </c>
      <c r="O5148" s="52" t="s">
        <v>24450</v>
      </c>
      <c r="P5148" s="189" t="s">
        <v>24451</v>
      </c>
      <c r="Q5148" s="52" t="s">
        <v>58</v>
      </c>
      <c r="R5148" s="52" t="s">
        <v>24452</v>
      </c>
      <c r="S5148" s="52" t="s">
        <v>24453</v>
      </c>
      <c r="T5148" s="28" t="s">
        <v>24454</v>
      </c>
      <c r="U5148" s="29" t="s">
        <v>61</v>
      </c>
      <c r="V5148" s="30" t="s">
        <v>24455</v>
      </c>
      <c r="W5148" s="156"/>
      <c r="X5148" s="49"/>
      <c r="Y5148" s="35"/>
      <c r="Z5148" s="35"/>
      <c r="AA5148" s="35"/>
      <c r="AB5148" s="35"/>
      <c r="AC5148" s="35"/>
      <c r="AD5148" s="35"/>
      <c r="AE5148" s="35"/>
      <c r="AF5148" s="35"/>
      <c r="AG5148" s="35"/>
      <c r="AH5148" s="35"/>
      <c r="AI5148" s="35"/>
      <c r="AJ5148" s="35"/>
      <c r="AK5148" s="35"/>
      <c r="AL5148" s="35"/>
    </row>
    <row r="5149">
      <c r="A5149" s="278"/>
      <c r="B5149" s="19" t="s">
        <v>19332</v>
      </c>
      <c r="C5149" s="20" t="s">
        <v>24252</v>
      </c>
      <c r="D5149" s="47"/>
      <c r="E5149" s="22" t="s">
        <v>23772</v>
      </c>
      <c r="F5149" s="22" t="s">
        <v>122</v>
      </c>
      <c r="G5149" s="23">
        <v>2020.0</v>
      </c>
      <c r="H5149" s="22" t="s">
        <v>77</v>
      </c>
      <c r="I5149" s="24" t="s">
        <v>24456</v>
      </c>
      <c r="J5149" s="22" t="s">
        <v>649</v>
      </c>
      <c r="K5149" s="22"/>
      <c r="L5149" s="202" t="s">
        <v>24457</v>
      </c>
      <c r="U5149" s="29" t="s">
        <v>61</v>
      </c>
      <c r="V5149" s="30"/>
      <c r="W5149" s="156"/>
      <c r="X5149" s="49"/>
      <c r="Y5149" s="35"/>
      <c r="Z5149" s="35"/>
      <c r="AA5149" s="35"/>
      <c r="AB5149" s="35"/>
      <c r="AC5149" s="35"/>
      <c r="AD5149" s="35"/>
      <c r="AE5149" s="35"/>
      <c r="AF5149" s="35"/>
      <c r="AG5149" s="35"/>
      <c r="AH5149" s="35"/>
      <c r="AI5149" s="35"/>
      <c r="AJ5149" s="35"/>
      <c r="AK5149" s="35"/>
      <c r="AL5149" s="35"/>
    </row>
    <row r="5150">
      <c r="A5150" s="278" t="s">
        <v>38</v>
      </c>
      <c r="B5150" s="19" t="s">
        <v>19332</v>
      </c>
      <c r="C5150" s="20" t="s">
        <v>24252</v>
      </c>
      <c r="D5150" s="47"/>
      <c r="E5150" s="22" t="s">
        <v>24458</v>
      </c>
      <c r="F5150" s="22" t="s">
        <v>24459</v>
      </c>
      <c r="G5150" s="23">
        <v>2020.0</v>
      </c>
      <c r="H5150" s="22" t="s">
        <v>23428</v>
      </c>
      <c r="I5150" s="24" t="s">
        <v>24460</v>
      </c>
      <c r="J5150" s="22" t="s">
        <v>24461</v>
      </c>
      <c r="K5150" s="22"/>
      <c r="L5150" s="52">
        <v>980.0</v>
      </c>
      <c r="M5150" s="52">
        <v>300.0</v>
      </c>
      <c r="N5150" s="52" t="s">
        <v>58</v>
      </c>
      <c r="O5150" s="52" t="s">
        <v>58</v>
      </c>
      <c r="P5150" s="189" t="s">
        <v>58</v>
      </c>
      <c r="Q5150" s="52" t="s">
        <v>58</v>
      </c>
      <c r="R5150" s="52" t="s">
        <v>23842</v>
      </c>
      <c r="S5150" s="52" t="s">
        <v>24453</v>
      </c>
      <c r="T5150" s="28" t="s">
        <v>24462</v>
      </c>
      <c r="U5150" s="29" t="s">
        <v>61</v>
      </c>
      <c r="V5150" s="30" t="s">
        <v>24463</v>
      </c>
      <c r="W5150" s="156"/>
      <c r="X5150" s="49"/>
      <c r="Y5150" s="35"/>
      <c r="Z5150" s="35"/>
      <c r="AA5150" s="35"/>
      <c r="AB5150" s="35"/>
      <c r="AC5150" s="35"/>
      <c r="AD5150" s="35"/>
      <c r="AE5150" s="35"/>
      <c r="AF5150" s="35"/>
      <c r="AG5150" s="35"/>
      <c r="AH5150" s="35"/>
      <c r="AI5150" s="35"/>
      <c r="AJ5150" s="35"/>
      <c r="AK5150" s="35"/>
      <c r="AL5150" s="35"/>
    </row>
    <row r="5151">
      <c r="A5151" s="40" t="s">
        <v>38</v>
      </c>
      <c r="B5151" s="19" t="s">
        <v>19332</v>
      </c>
      <c r="C5151" s="20" t="s">
        <v>24252</v>
      </c>
      <c r="D5151" s="47"/>
      <c r="E5151" s="22" t="s">
        <v>24464</v>
      </c>
      <c r="F5151" s="22" t="s">
        <v>5429</v>
      </c>
      <c r="G5151" s="23">
        <v>2020.0</v>
      </c>
      <c r="H5151" s="22" t="s">
        <v>15946</v>
      </c>
      <c r="I5151" s="24" t="s">
        <v>24465</v>
      </c>
      <c r="J5151" s="22" t="s">
        <v>24466</v>
      </c>
      <c r="K5151" s="22"/>
      <c r="L5151" s="52" t="s">
        <v>24467</v>
      </c>
      <c r="M5151" s="52" t="s">
        <v>24468</v>
      </c>
      <c r="N5151" s="52" t="s">
        <v>58</v>
      </c>
      <c r="O5151" s="52" t="s">
        <v>58</v>
      </c>
      <c r="P5151" s="189" t="s">
        <v>269</v>
      </c>
      <c r="Q5151" s="52" t="s">
        <v>24469</v>
      </c>
      <c r="R5151" s="52" t="s">
        <v>24470</v>
      </c>
      <c r="S5151" s="52" t="s">
        <v>20259</v>
      </c>
      <c r="T5151" s="28" t="s">
        <v>24471</v>
      </c>
      <c r="U5151" s="29" t="s">
        <v>61</v>
      </c>
      <c r="V5151" s="30" t="s">
        <v>24472</v>
      </c>
      <c r="W5151" s="156"/>
      <c r="X5151" s="49"/>
      <c r="Y5151" s="35"/>
      <c r="Z5151" s="35"/>
      <c r="AA5151" s="35"/>
      <c r="AB5151" s="35"/>
      <c r="AC5151" s="35"/>
      <c r="AD5151" s="35"/>
      <c r="AE5151" s="35"/>
      <c r="AF5151" s="35"/>
      <c r="AG5151" s="35"/>
      <c r="AH5151" s="35"/>
      <c r="AI5151" s="35"/>
      <c r="AJ5151" s="35"/>
      <c r="AK5151" s="35"/>
      <c r="AL5151" s="35"/>
    </row>
    <row r="5152">
      <c r="A5152" s="1"/>
      <c r="B5152" s="19" t="s">
        <v>19332</v>
      </c>
      <c r="C5152" s="20" t="s">
        <v>24252</v>
      </c>
      <c r="D5152" s="47"/>
      <c r="E5152" s="22" t="s">
        <v>24473</v>
      </c>
      <c r="F5152" s="22" t="s">
        <v>7630</v>
      </c>
      <c r="G5152" s="23">
        <v>2020.0</v>
      </c>
      <c r="H5152" s="22" t="s">
        <v>13399</v>
      </c>
      <c r="I5152" s="24" t="s">
        <v>24474</v>
      </c>
      <c r="J5152" s="22" t="s">
        <v>1078</v>
      </c>
      <c r="K5152" s="22"/>
      <c r="L5152" s="196" t="s">
        <v>24475</v>
      </c>
      <c r="U5152" s="38" t="str">
        <f>HYPERLINK("https://www.ncbi.nlm.nih.gov/pubmed/32314880","PubMed")</f>
        <v>PubMed</v>
      </c>
      <c r="V5152" s="30"/>
      <c r="W5152" s="156"/>
      <c r="X5152" s="49"/>
      <c r="Y5152" s="35"/>
      <c r="Z5152" s="35"/>
      <c r="AA5152" s="35"/>
      <c r="AB5152" s="35"/>
      <c r="AC5152" s="35"/>
      <c r="AD5152" s="35"/>
      <c r="AE5152" s="35"/>
      <c r="AF5152" s="35"/>
      <c r="AG5152" s="35"/>
      <c r="AH5152" s="35"/>
      <c r="AI5152" s="35"/>
      <c r="AJ5152" s="35"/>
      <c r="AK5152" s="35"/>
      <c r="AL5152" s="35"/>
    </row>
    <row r="5153">
      <c r="A5153" s="40"/>
      <c r="B5153" s="19" t="s">
        <v>19332</v>
      </c>
      <c r="C5153" s="20" t="s">
        <v>24252</v>
      </c>
      <c r="D5153" s="47"/>
      <c r="E5153" s="22" t="s">
        <v>24476</v>
      </c>
      <c r="F5153" s="22" t="s">
        <v>323</v>
      </c>
      <c r="G5153" s="23">
        <v>2020.0</v>
      </c>
      <c r="H5153" s="22" t="s">
        <v>147</v>
      </c>
      <c r="I5153" s="24" t="s">
        <v>24477</v>
      </c>
      <c r="J5153" s="22" t="s">
        <v>649</v>
      </c>
      <c r="K5153" s="22"/>
      <c r="L5153" s="167" t="s">
        <v>24478</v>
      </c>
      <c r="M5153" s="44"/>
      <c r="N5153" s="44"/>
      <c r="O5153" s="44"/>
      <c r="P5153" s="44"/>
      <c r="Q5153" s="44"/>
      <c r="R5153" s="44"/>
      <c r="S5153" s="44"/>
      <c r="T5153" s="45"/>
      <c r="U5153" s="38" t="str">
        <f>HYPERLINK("https://www.ncbi.nlm.nih.gov/pubmed/32273964","PubMed")</f>
        <v>PubMed</v>
      </c>
      <c r="V5153" s="30"/>
      <c r="W5153" s="156"/>
      <c r="X5153" s="49"/>
      <c r="Y5153" s="35"/>
      <c r="Z5153" s="35"/>
      <c r="AA5153" s="35"/>
      <c r="AB5153" s="35"/>
      <c r="AC5153" s="35"/>
      <c r="AD5153" s="35"/>
      <c r="AE5153" s="35"/>
      <c r="AF5153" s="35"/>
      <c r="AG5153" s="35"/>
      <c r="AH5153" s="35"/>
      <c r="AI5153" s="35"/>
      <c r="AJ5153" s="35"/>
      <c r="AK5153" s="35"/>
      <c r="AL5153" s="35"/>
    </row>
    <row r="5154">
      <c r="A5154" s="40"/>
      <c r="B5154" s="19" t="s">
        <v>19332</v>
      </c>
      <c r="C5154" s="20" t="s">
        <v>24252</v>
      </c>
      <c r="D5154" s="47"/>
      <c r="E5154" s="22" t="s">
        <v>24479</v>
      </c>
      <c r="F5154" s="22" t="s">
        <v>1862</v>
      </c>
      <c r="G5154" s="23">
        <v>2020.0</v>
      </c>
      <c r="H5154" s="22" t="s">
        <v>23828</v>
      </c>
      <c r="I5154" s="24" t="s">
        <v>24480</v>
      </c>
      <c r="J5154" s="22" t="s">
        <v>24481</v>
      </c>
      <c r="K5154" s="22"/>
      <c r="L5154" s="94">
        <v>808.0</v>
      </c>
      <c r="M5154" s="94">
        <v>200.0</v>
      </c>
      <c r="N5154" s="94" t="s">
        <v>19924</v>
      </c>
      <c r="O5154" s="94" t="s">
        <v>24482</v>
      </c>
      <c r="P5154" s="95"/>
      <c r="Q5154" s="94"/>
      <c r="R5154" s="94" t="s">
        <v>24483</v>
      </c>
      <c r="S5154" s="94" t="s">
        <v>24484</v>
      </c>
      <c r="T5154" s="41" t="s">
        <v>24485</v>
      </c>
      <c r="U5154" s="38" t="str">
        <f>HYPERLINK("https://www.ncbi.nlm.nih.gov/pubmed/32241351","PubMed")</f>
        <v>PubMed</v>
      </c>
      <c r="V5154" s="30"/>
      <c r="W5154" s="156"/>
      <c r="X5154" s="49"/>
      <c r="Y5154" s="35"/>
      <c r="Z5154" s="35"/>
      <c r="AA5154" s="35"/>
      <c r="AB5154" s="35"/>
      <c r="AC5154" s="35"/>
      <c r="AD5154" s="35"/>
      <c r="AE5154" s="35"/>
      <c r="AF5154" s="35"/>
      <c r="AG5154" s="35"/>
      <c r="AH5154" s="35"/>
      <c r="AI5154" s="35"/>
      <c r="AJ5154" s="35"/>
      <c r="AK5154" s="35"/>
      <c r="AL5154" s="35"/>
    </row>
    <row r="5155">
      <c r="A5155" s="40"/>
      <c r="B5155" s="19" t="s">
        <v>19332</v>
      </c>
      <c r="C5155" s="20" t="s">
        <v>24252</v>
      </c>
      <c r="D5155" s="47"/>
      <c r="E5155" s="22" t="s">
        <v>24300</v>
      </c>
      <c r="F5155" s="22" t="s">
        <v>400</v>
      </c>
      <c r="G5155" s="23">
        <v>2020.0</v>
      </c>
      <c r="H5155" s="22" t="s">
        <v>3828</v>
      </c>
      <c r="I5155" s="24" t="s">
        <v>24486</v>
      </c>
      <c r="J5155" s="22" t="s">
        <v>2141</v>
      </c>
      <c r="K5155" s="22"/>
      <c r="L5155" s="168"/>
      <c r="M5155" s="168"/>
      <c r="N5155" s="168"/>
      <c r="O5155" s="168"/>
      <c r="P5155" s="169"/>
      <c r="Q5155" s="168"/>
      <c r="R5155" s="168"/>
      <c r="S5155" s="168"/>
      <c r="T5155" s="185" t="s">
        <v>24487</v>
      </c>
      <c r="U5155" s="38" t="str">
        <f>HYPERLINK("https://www.ncbi.nlm.nih.gov/pubmed/32221067","PubMed")</f>
        <v>PubMed</v>
      </c>
      <c r="V5155" s="30"/>
      <c r="W5155" s="156"/>
      <c r="X5155" s="49"/>
      <c r="Y5155" s="35"/>
      <c r="Z5155" s="35"/>
      <c r="AA5155" s="35"/>
      <c r="AB5155" s="35"/>
      <c r="AC5155" s="35"/>
      <c r="AD5155" s="35"/>
      <c r="AE5155" s="35"/>
      <c r="AF5155" s="35"/>
      <c r="AG5155" s="35"/>
      <c r="AH5155" s="35"/>
      <c r="AI5155" s="35"/>
      <c r="AJ5155" s="35"/>
      <c r="AK5155" s="35"/>
      <c r="AL5155" s="35"/>
    </row>
    <row r="5156">
      <c r="A5156" s="40"/>
      <c r="B5156" s="19" t="s">
        <v>19332</v>
      </c>
      <c r="C5156" s="20" t="s">
        <v>24252</v>
      </c>
      <c r="D5156" s="47"/>
      <c r="E5156" s="22" t="s">
        <v>23670</v>
      </c>
      <c r="F5156" s="22" t="s">
        <v>3958</v>
      </c>
      <c r="G5156" s="23">
        <v>2020.0</v>
      </c>
      <c r="H5156" s="22" t="s">
        <v>19759</v>
      </c>
      <c r="I5156" s="24" t="s">
        <v>24488</v>
      </c>
      <c r="J5156" s="22" t="s">
        <v>9864</v>
      </c>
      <c r="K5156" s="22"/>
      <c r="L5156" s="36">
        <v>810.0</v>
      </c>
      <c r="M5156" s="36"/>
      <c r="N5156" s="36"/>
      <c r="O5156" s="36"/>
      <c r="P5156" s="37" t="s">
        <v>254</v>
      </c>
      <c r="Q5156" s="36"/>
      <c r="R5156" s="36">
        <v>180.0</v>
      </c>
      <c r="S5156" s="36">
        <v>14.0</v>
      </c>
      <c r="T5156" s="28" t="s">
        <v>24489</v>
      </c>
      <c r="U5156" s="38" t="str">
        <f>HYPERLINK("https://www.ncbi.nlm.nih.gov/pubmed/32055297","PubMed")</f>
        <v>PubMed</v>
      </c>
      <c r="V5156" s="30"/>
      <c r="W5156" s="156"/>
      <c r="X5156" s="49"/>
      <c r="Y5156" s="35"/>
      <c r="Z5156" s="35"/>
      <c r="AA5156" s="35"/>
      <c r="AB5156" s="35"/>
      <c r="AC5156" s="35"/>
      <c r="AD5156" s="35"/>
      <c r="AE5156" s="35"/>
      <c r="AF5156" s="35"/>
      <c r="AG5156" s="35"/>
      <c r="AH5156" s="35"/>
      <c r="AI5156" s="35"/>
      <c r="AJ5156" s="35"/>
      <c r="AK5156" s="35"/>
      <c r="AL5156" s="35"/>
    </row>
    <row r="5157">
      <c r="A5157" s="40" t="s">
        <v>38</v>
      </c>
      <c r="B5157" s="19" t="s">
        <v>19332</v>
      </c>
      <c r="C5157" s="20" t="s">
        <v>24252</v>
      </c>
      <c r="D5157" s="47"/>
      <c r="E5157" s="22" t="s">
        <v>23861</v>
      </c>
      <c r="F5157" s="22" t="s">
        <v>23803</v>
      </c>
      <c r="G5157" s="23">
        <v>2020.0</v>
      </c>
      <c r="H5157" s="22" t="s">
        <v>77</v>
      </c>
      <c r="I5157" s="24" t="s">
        <v>24490</v>
      </c>
      <c r="J5157" s="22" t="s">
        <v>24491</v>
      </c>
      <c r="K5157" s="22" t="s">
        <v>24492</v>
      </c>
      <c r="L5157" s="36" t="s">
        <v>24064</v>
      </c>
      <c r="M5157" s="36"/>
      <c r="N5157" s="36"/>
      <c r="O5157" s="36"/>
      <c r="P5157" s="37" t="s">
        <v>24493</v>
      </c>
      <c r="Q5157" s="36"/>
      <c r="R5157" s="36">
        <v>1080.0</v>
      </c>
      <c r="S5157" s="36" t="s">
        <v>24494</v>
      </c>
      <c r="T5157" s="28" t="s">
        <v>24495</v>
      </c>
      <c r="U5157" s="38" t="str">
        <f>HYPERLINK("https://www.ncbi.nlm.nih.gov/pubmed/31944878","PubMed")</f>
        <v>PubMed</v>
      </c>
      <c r="V5157" s="30"/>
      <c r="W5157" s="156"/>
      <c r="X5157" s="49"/>
      <c r="Y5157" s="35"/>
      <c r="Z5157" s="35"/>
      <c r="AA5157" s="35"/>
      <c r="AB5157" s="35"/>
      <c r="AC5157" s="35"/>
      <c r="AD5157" s="35"/>
      <c r="AE5157" s="35"/>
      <c r="AF5157" s="35"/>
      <c r="AG5157" s="35"/>
      <c r="AH5157" s="35"/>
      <c r="AI5157" s="35"/>
      <c r="AJ5157" s="35"/>
      <c r="AK5157" s="35"/>
      <c r="AL5157" s="35"/>
    </row>
    <row r="5158">
      <c r="A5158" s="1"/>
      <c r="B5158" s="19" t="s">
        <v>19332</v>
      </c>
      <c r="C5158" s="20" t="s">
        <v>24252</v>
      </c>
      <c r="D5158" s="47"/>
      <c r="E5158" s="22" t="s">
        <v>24458</v>
      </c>
      <c r="F5158" s="22" t="s">
        <v>24459</v>
      </c>
      <c r="G5158" s="23">
        <v>2020.0</v>
      </c>
      <c r="H5158" s="22" t="s">
        <v>23428</v>
      </c>
      <c r="I5158" s="24" t="s">
        <v>24496</v>
      </c>
      <c r="J5158" s="22" t="s">
        <v>24497</v>
      </c>
      <c r="K5158" s="22"/>
      <c r="L5158" s="36">
        <v>980.0</v>
      </c>
      <c r="M5158" s="36">
        <v>300.0</v>
      </c>
      <c r="N5158" s="36"/>
      <c r="O5158" s="36"/>
      <c r="P5158" s="37"/>
      <c r="Q5158" s="36"/>
      <c r="R5158" s="36"/>
      <c r="S5158" s="36" t="s">
        <v>20306</v>
      </c>
      <c r="T5158" s="28" t="s">
        <v>24498</v>
      </c>
      <c r="U5158" s="38" t="str">
        <f>HYPERLINK("https://www.ncbi.nlm.nih.gov/pubmed/32081593","PubMed")</f>
        <v>PubMed</v>
      </c>
      <c r="V5158" s="30"/>
      <c r="W5158" s="156"/>
      <c r="X5158" s="49"/>
      <c r="Y5158" s="35"/>
      <c r="Z5158" s="35"/>
      <c r="AA5158" s="35"/>
      <c r="AB5158" s="35"/>
      <c r="AC5158" s="35"/>
      <c r="AD5158" s="35"/>
      <c r="AE5158" s="35"/>
      <c r="AF5158" s="35"/>
      <c r="AG5158" s="35"/>
      <c r="AH5158" s="35"/>
      <c r="AI5158" s="35"/>
      <c r="AJ5158" s="35"/>
      <c r="AK5158" s="35"/>
      <c r="AL5158" s="35"/>
    </row>
    <row r="5159">
      <c r="A5159" s="40"/>
      <c r="B5159" s="19" t="s">
        <v>19332</v>
      </c>
      <c r="C5159" s="20" t="s">
        <v>24252</v>
      </c>
      <c r="D5159" s="47"/>
      <c r="E5159" s="22" t="s">
        <v>7510</v>
      </c>
      <c r="F5159" s="22" t="s">
        <v>15303</v>
      </c>
      <c r="G5159" s="23">
        <v>2019.0</v>
      </c>
      <c r="H5159" s="22" t="s">
        <v>7511</v>
      </c>
      <c r="I5159" s="24" t="s">
        <v>24499</v>
      </c>
      <c r="J5159" s="22" t="s">
        <v>24500</v>
      </c>
      <c r="K5159" s="22" t="s">
        <v>23778</v>
      </c>
      <c r="L5159" s="43" t="s">
        <v>24501</v>
      </c>
      <c r="M5159" s="44"/>
      <c r="N5159" s="44"/>
      <c r="O5159" s="44"/>
      <c r="P5159" s="44"/>
      <c r="Q5159" s="44"/>
      <c r="R5159" s="44"/>
      <c r="S5159" s="44"/>
      <c r="T5159" s="45"/>
      <c r="U5159" s="38" t="str">
        <f>HYPERLINK("https://www.ncbi.nlm.nih.gov/pubmed/31828995","PubMed")</f>
        <v>PubMed</v>
      </c>
      <c r="V5159" s="30"/>
      <c r="W5159" s="156"/>
      <c r="X5159" s="49"/>
      <c r="Y5159" s="35"/>
      <c r="Z5159" s="35"/>
      <c r="AA5159" s="35"/>
      <c r="AB5159" s="35"/>
      <c r="AC5159" s="35"/>
      <c r="AD5159" s="35"/>
      <c r="AE5159" s="35"/>
      <c r="AF5159" s="35"/>
      <c r="AG5159" s="35"/>
      <c r="AH5159" s="35"/>
      <c r="AI5159" s="35"/>
      <c r="AJ5159" s="35"/>
      <c r="AK5159" s="35"/>
      <c r="AL5159" s="35"/>
    </row>
    <row r="5160">
      <c r="A5160" s="1"/>
      <c r="B5160" s="19" t="s">
        <v>19332</v>
      </c>
      <c r="C5160" s="20" t="s">
        <v>24252</v>
      </c>
      <c r="D5160" s="47"/>
      <c r="E5160" s="22" t="s">
        <v>24502</v>
      </c>
      <c r="F5160" s="22" t="s">
        <v>605</v>
      </c>
      <c r="G5160" s="23">
        <v>2019.0</v>
      </c>
      <c r="H5160" s="22" t="s">
        <v>24503</v>
      </c>
      <c r="I5160" s="24" t="s">
        <v>24504</v>
      </c>
      <c r="J5160" s="22" t="s">
        <v>55</v>
      </c>
      <c r="K5160" s="22"/>
      <c r="L5160" s="36">
        <v>830.0</v>
      </c>
      <c r="M5160" s="36">
        <v>100.0</v>
      </c>
      <c r="N5160" s="36"/>
      <c r="O5160" s="36"/>
      <c r="P5160" s="37" t="s">
        <v>24438</v>
      </c>
      <c r="Q5160" s="36"/>
      <c r="R5160" s="36">
        <v>540.0</v>
      </c>
      <c r="S5160" s="36"/>
      <c r="T5160" s="28" t="s">
        <v>24505</v>
      </c>
      <c r="U5160" s="38" t="str">
        <f>HYPERLINK("https://www.ncbi.nlm.nih.gov/pubmed/31890129","PubMed")</f>
        <v>PubMed</v>
      </c>
      <c r="V5160" s="30"/>
      <c r="W5160" s="156"/>
      <c r="X5160" s="49"/>
      <c r="Y5160" s="35"/>
      <c r="Z5160" s="35"/>
      <c r="AA5160" s="35"/>
      <c r="AB5160" s="35"/>
      <c r="AC5160" s="35"/>
      <c r="AD5160" s="35"/>
      <c r="AE5160" s="35"/>
      <c r="AF5160" s="35"/>
      <c r="AG5160" s="35"/>
      <c r="AH5160" s="35"/>
      <c r="AI5160" s="35"/>
      <c r="AJ5160" s="35"/>
      <c r="AK5160" s="35"/>
      <c r="AL5160" s="35"/>
    </row>
    <row r="5161">
      <c r="A5161" s="40"/>
      <c r="B5161" s="19" t="s">
        <v>19332</v>
      </c>
      <c r="C5161" s="20" t="s">
        <v>24252</v>
      </c>
      <c r="D5161" s="47"/>
      <c r="E5161" s="22" t="s">
        <v>24506</v>
      </c>
      <c r="F5161" s="22" t="s">
        <v>1943</v>
      </c>
      <c r="G5161" s="23">
        <v>2019.0</v>
      </c>
      <c r="H5161" s="22" t="s">
        <v>292</v>
      </c>
      <c r="I5161" s="24" t="s">
        <v>24507</v>
      </c>
      <c r="J5161" s="22" t="s">
        <v>24508</v>
      </c>
      <c r="K5161" s="22"/>
      <c r="L5161" s="94">
        <v>940.0</v>
      </c>
      <c r="M5161" s="94"/>
      <c r="N5161" s="94" t="s">
        <v>4163</v>
      </c>
      <c r="O5161" s="94"/>
      <c r="P5161" s="95" t="s">
        <v>432</v>
      </c>
      <c r="Q5161" s="94"/>
      <c r="R5161" s="94">
        <v>240.0</v>
      </c>
      <c r="S5161" s="94" t="s">
        <v>24509</v>
      </c>
      <c r="T5161" s="41" t="s">
        <v>24510</v>
      </c>
      <c r="U5161" s="38" t="str">
        <f>HYPERLINK("https://www.ncbi.nlm.nih.gov/pubmed/32255919","PubMed")</f>
        <v>PubMed</v>
      </c>
      <c r="V5161" s="30"/>
      <c r="W5161" s="156"/>
      <c r="X5161" s="49"/>
      <c r="Y5161" s="35"/>
      <c r="Z5161" s="35"/>
      <c r="AA5161" s="35"/>
      <c r="AB5161" s="35"/>
      <c r="AC5161" s="35"/>
      <c r="AD5161" s="35"/>
      <c r="AE5161" s="35"/>
      <c r="AF5161" s="35"/>
      <c r="AG5161" s="35"/>
      <c r="AH5161" s="35"/>
      <c r="AI5161" s="35"/>
      <c r="AJ5161" s="35"/>
      <c r="AK5161" s="35"/>
      <c r="AL5161" s="35"/>
    </row>
    <row r="5162">
      <c r="A5162" s="1"/>
      <c r="B5162" s="19" t="s">
        <v>19332</v>
      </c>
      <c r="C5162" s="20" t="s">
        <v>24252</v>
      </c>
      <c r="D5162" s="47"/>
      <c r="E5162" s="22" t="s">
        <v>24502</v>
      </c>
      <c r="F5162" s="22" t="s">
        <v>605</v>
      </c>
      <c r="G5162" s="23">
        <v>2019.0</v>
      </c>
      <c r="H5162" s="22" t="s">
        <v>24503</v>
      </c>
      <c r="I5162" s="24" t="s">
        <v>24511</v>
      </c>
      <c r="J5162" s="22" t="s">
        <v>55</v>
      </c>
      <c r="K5162" s="22"/>
      <c r="L5162" s="36">
        <v>830.0</v>
      </c>
      <c r="M5162" s="36">
        <v>100.0</v>
      </c>
      <c r="N5162" s="36"/>
      <c r="O5162" s="36">
        <v>54.0</v>
      </c>
      <c r="P5162" s="37"/>
      <c r="Q5162" s="36"/>
      <c r="R5162" s="36" t="s">
        <v>24512</v>
      </c>
      <c r="S5162" s="36"/>
      <c r="T5162" s="42" t="s">
        <v>24513</v>
      </c>
      <c r="U5162" s="38" t="str">
        <f>HYPERLINK("https://www.sciencedirect.com/science/article/pii/S1991790219305306#!","ScienceDirect")</f>
        <v>ScienceDirect</v>
      </c>
      <c r="V5162" s="30"/>
      <c r="W5162" s="156"/>
      <c r="X5162" s="49"/>
      <c r="Y5162" s="35"/>
      <c r="Z5162" s="35"/>
      <c r="AA5162" s="35"/>
      <c r="AB5162" s="35"/>
      <c r="AC5162" s="35"/>
      <c r="AD5162" s="35"/>
      <c r="AE5162" s="35"/>
      <c r="AF5162" s="35"/>
      <c r="AG5162" s="35"/>
      <c r="AH5162" s="35"/>
      <c r="AI5162" s="35"/>
      <c r="AJ5162" s="35"/>
      <c r="AK5162" s="35"/>
      <c r="AL5162" s="35"/>
    </row>
    <row r="5163">
      <c r="A5163" s="39"/>
      <c r="B5163" s="19" t="s">
        <v>19332</v>
      </c>
      <c r="C5163" s="20" t="s">
        <v>24252</v>
      </c>
      <c r="D5163" s="47"/>
      <c r="E5163" s="22" t="s">
        <v>24514</v>
      </c>
      <c r="F5163" s="22" t="s">
        <v>20175</v>
      </c>
      <c r="G5163" s="23">
        <v>2019.0</v>
      </c>
      <c r="H5163" s="22" t="s">
        <v>14630</v>
      </c>
      <c r="I5163" s="24" t="s">
        <v>24515</v>
      </c>
      <c r="J5163" s="22" t="s">
        <v>1078</v>
      </c>
      <c r="K5163" s="22"/>
      <c r="L5163" s="167" t="s">
        <v>24516</v>
      </c>
      <c r="M5163" s="44"/>
      <c r="N5163" s="44"/>
      <c r="O5163" s="44"/>
      <c r="P5163" s="44"/>
      <c r="Q5163" s="44"/>
      <c r="R5163" s="44"/>
      <c r="S5163" s="44"/>
      <c r="T5163" s="45"/>
      <c r="U5163" s="38" t="str">
        <f>HYPERLINK("https://www.ncbi.nlm.nih.gov/pubmed/31780019","PubMed")</f>
        <v>PubMed</v>
      </c>
      <c r="V5163" s="30"/>
      <c r="W5163" s="156"/>
      <c r="X5163" s="49"/>
      <c r="Y5163" s="35"/>
      <c r="Z5163" s="35"/>
      <c r="AA5163" s="35"/>
      <c r="AB5163" s="35"/>
      <c r="AC5163" s="35"/>
      <c r="AD5163" s="35"/>
      <c r="AE5163" s="35"/>
      <c r="AF5163" s="35"/>
      <c r="AG5163" s="35"/>
      <c r="AH5163" s="35"/>
      <c r="AI5163" s="35"/>
      <c r="AJ5163" s="35"/>
      <c r="AK5163" s="35"/>
      <c r="AL5163" s="35"/>
    </row>
    <row r="5164">
      <c r="A5164" s="40"/>
      <c r="B5164" s="19" t="s">
        <v>19332</v>
      </c>
      <c r="C5164" s="20" t="s">
        <v>24252</v>
      </c>
      <c r="D5164" s="47"/>
      <c r="E5164" s="22" t="s">
        <v>24517</v>
      </c>
      <c r="F5164" s="22" t="s">
        <v>41</v>
      </c>
      <c r="G5164" s="23">
        <v>2019.0</v>
      </c>
      <c r="H5164" s="22" t="s">
        <v>837</v>
      </c>
      <c r="I5164" s="24" t="s">
        <v>24518</v>
      </c>
      <c r="J5164" s="22" t="s">
        <v>55</v>
      </c>
      <c r="K5164" s="22" t="s">
        <v>157</v>
      </c>
      <c r="L5164" s="36">
        <v>850.0</v>
      </c>
      <c r="M5164" s="36">
        <v>30.0</v>
      </c>
      <c r="N5164" s="36"/>
      <c r="O5164" s="36"/>
      <c r="P5164" s="37"/>
      <c r="Q5164" s="36"/>
      <c r="R5164" s="36"/>
      <c r="S5164" s="36"/>
      <c r="T5164" s="41" t="s">
        <v>24519</v>
      </c>
      <c r="U5164" s="38" t="str">
        <f>HYPERLINK("https://www.ncbi.nlm.nih.gov/pubmed/31340233","PubMed")</f>
        <v>PubMed</v>
      </c>
      <c r="V5164" s="30"/>
      <c r="W5164" s="156"/>
      <c r="X5164" s="49"/>
      <c r="Y5164" s="35"/>
      <c r="Z5164" s="35"/>
      <c r="AA5164" s="35"/>
      <c r="AB5164" s="35"/>
      <c r="AC5164" s="35"/>
      <c r="AD5164" s="35"/>
      <c r="AE5164" s="35"/>
      <c r="AF5164" s="35"/>
      <c r="AG5164" s="35"/>
      <c r="AH5164" s="35"/>
      <c r="AI5164" s="35"/>
      <c r="AJ5164" s="35"/>
      <c r="AK5164" s="35"/>
      <c r="AL5164" s="35"/>
    </row>
    <row r="5165">
      <c r="A5165" s="40"/>
      <c r="B5165" s="19" t="s">
        <v>19332</v>
      </c>
      <c r="C5165" s="20" t="s">
        <v>24252</v>
      </c>
      <c r="D5165" s="47"/>
      <c r="E5165" s="22" t="s">
        <v>24520</v>
      </c>
      <c r="F5165" s="22" t="s">
        <v>23803</v>
      </c>
      <c r="G5165" s="23">
        <v>2019.0</v>
      </c>
      <c r="H5165" s="22" t="s">
        <v>24521</v>
      </c>
      <c r="I5165" s="24" t="s">
        <v>24522</v>
      </c>
      <c r="J5165" s="22" t="s">
        <v>24523</v>
      </c>
      <c r="K5165" s="22"/>
      <c r="L5165" s="36">
        <v>810.0</v>
      </c>
      <c r="M5165" s="36">
        <v>1000.0</v>
      </c>
      <c r="N5165" s="36"/>
      <c r="O5165" s="36"/>
      <c r="P5165" s="37" t="s">
        <v>24524</v>
      </c>
      <c r="Q5165" s="36"/>
      <c r="R5165" s="36"/>
      <c r="S5165" s="36" t="s">
        <v>24525</v>
      </c>
      <c r="T5165" s="42" t="s">
        <v>24526</v>
      </c>
      <c r="U5165" s="38" t="str">
        <f>HYPERLINK("https://www.ncbi.nlm.nih.gov/pubmed/31288379","PubMed")</f>
        <v>PubMed</v>
      </c>
      <c r="V5165" s="30"/>
      <c r="W5165" s="156"/>
      <c r="X5165" s="49"/>
      <c r="Y5165" s="35"/>
      <c r="Z5165" s="35"/>
      <c r="AA5165" s="35"/>
      <c r="AB5165" s="35"/>
      <c r="AC5165" s="35"/>
      <c r="AD5165" s="35"/>
      <c r="AE5165" s="35"/>
      <c r="AF5165" s="35"/>
      <c r="AG5165" s="35"/>
      <c r="AH5165" s="35"/>
      <c r="AI5165" s="35"/>
      <c r="AJ5165" s="35"/>
      <c r="AK5165" s="35"/>
      <c r="AL5165" s="35"/>
    </row>
    <row r="5166">
      <c r="A5166" s="40"/>
      <c r="B5166" s="19" t="s">
        <v>19332</v>
      </c>
      <c r="C5166" s="20" t="s">
        <v>24252</v>
      </c>
      <c r="D5166" s="47"/>
      <c r="E5166" s="22" t="s">
        <v>24527</v>
      </c>
      <c r="F5166" s="22" t="s">
        <v>966</v>
      </c>
      <c r="G5166" s="23">
        <v>2019.0</v>
      </c>
      <c r="H5166" s="22" t="s">
        <v>477</v>
      </c>
      <c r="I5166" s="24" t="s">
        <v>24528</v>
      </c>
      <c r="J5166" s="22" t="s">
        <v>55</v>
      </c>
      <c r="K5166" s="22"/>
      <c r="L5166" s="36">
        <v>808.0</v>
      </c>
      <c r="M5166" s="36"/>
      <c r="N5166" s="129"/>
      <c r="O5166" s="36" t="s">
        <v>24529</v>
      </c>
      <c r="P5166" s="37"/>
      <c r="Q5166" s="36"/>
      <c r="R5166" s="36">
        <v>50.0</v>
      </c>
      <c r="S5166" s="36"/>
      <c r="T5166" s="42" t="s">
        <v>24530</v>
      </c>
      <c r="U5166" s="38" t="str">
        <f>HYPERLINK("https://www.ncbi.nlm.nih.gov/pubmed/30771000","PubMed")</f>
        <v>PubMed</v>
      </c>
      <c r="V5166" s="30"/>
      <c r="W5166" s="156"/>
      <c r="X5166" s="49"/>
      <c r="Y5166" s="35"/>
      <c r="Z5166" s="35"/>
      <c r="AA5166" s="35"/>
      <c r="AB5166" s="35"/>
      <c r="AC5166" s="35"/>
      <c r="AD5166" s="35"/>
      <c r="AE5166" s="35"/>
      <c r="AF5166" s="35"/>
      <c r="AG5166" s="35"/>
      <c r="AH5166" s="35"/>
      <c r="AI5166" s="35"/>
      <c r="AJ5166" s="35"/>
      <c r="AK5166" s="35"/>
      <c r="AL5166" s="35"/>
    </row>
    <row r="5167">
      <c r="A5167" s="40" t="s">
        <v>38</v>
      </c>
      <c r="B5167" s="19" t="s">
        <v>19332</v>
      </c>
      <c r="C5167" s="20" t="s">
        <v>24252</v>
      </c>
      <c r="D5167" s="47"/>
      <c r="E5167" s="22" t="s">
        <v>24531</v>
      </c>
      <c r="F5167" s="22" t="s">
        <v>1943</v>
      </c>
      <c r="G5167" s="23">
        <v>2019.0</v>
      </c>
      <c r="H5167" s="22" t="s">
        <v>19565</v>
      </c>
      <c r="I5167" s="24" t="s">
        <v>24532</v>
      </c>
      <c r="J5167" s="22" t="s">
        <v>253</v>
      </c>
      <c r="K5167" s="22" t="s">
        <v>1848</v>
      </c>
      <c r="L5167" s="36">
        <v>940.0</v>
      </c>
      <c r="M5167" s="36"/>
      <c r="N5167" s="129"/>
      <c r="O5167" s="36" t="s">
        <v>14584</v>
      </c>
      <c r="P5167" s="37"/>
      <c r="Q5167" s="36" t="s">
        <v>24533</v>
      </c>
      <c r="R5167" s="36"/>
      <c r="S5167" s="36"/>
      <c r="T5167" s="42" t="s">
        <v>24534</v>
      </c>
      <c r="U5167" s="38" t="str">
        <f>HYPERLINK("https://www.ncbi.nlm.nih.gov/pubmed/30834013","PubMed")</f>
        <v>PubMed</v>
      </c>
      <c r="V5167" s="30"/>
      <c r="W5167" s="156"/>
      <c r="X5167" s="49"/>
      <c r="Y5167" s="35"/>
      <c r="Z5167" s="35"/>
      <c r="AA5167" s="35"/>
      <c r="AB5167" s="35"/>
      <c r="AC5167" s="35"/>
      <c r="AD5167" s="35"/>
      <c r="AE5167" s="35"/>
      <c r="AF5167" s="35"/>
      <c r="AG5167" s="35"/>
      <c r="AH5167" s="35"/>
      <c r="AI5167" s="35"/>
      <c r="AJ5167" s="35"/>
      <c r="AK5167" s="35"/>
      <c r="AL5167" s="35"/>
    </row>
    <row r="5168">
      <c r="A5168" s="18"/>
      <c r="B5168" s="19" t="s">
        <v>19332</v>
      </c>
      <c r="C5168" s="20" t="s">
        <v>24252</v>
      </c>
      <c r="D5168" s="47"/>
      <c r="E5168" s="22" t="s">
        <v>2338</v>
      </c>
      <c r="F5168" s="22" t="s">
        <v>224</v>
      </c>
      <c r="G5168" s="23">
        <v>2019.0</v>
      </c>
      <c r="H5168" s="22" t="s">
        <v>77</v>
      </c>
      <c r="I5168" s="24" t="s">
        <v>24535</v>
      </c>
      <c r="J5168" s="22" t="s">
        <v>55</v>
      </c>
      <c r="K5168" s="22" t="s">
        <v>294</v>
      </c>
      <c r="L5168" s="36" t="s">
        <v>943</v>
      </c>
      <c r="M5168" s="36"/>
      <c r="N5168" s="36"/>
      <c r="O5168" s="36"/>
      <c r="P5168" s="37" t="s">
        <v>432</v>
      </c>
      <c r="Q5168" s="36"/>
      <c r="R5168" s="36"/>
      <c r="S5168" s="36"/>
      <c r="T5168" s="42" t="s">
        <v>24536</v>
      </c>
      <c r="U5168" s="38" t="str">
        <f>HYPERLINK("https://www.ncbi.nlm.nih.gov/pubmed/31188090","PubMed")</f>
        <v>PubMed</v>
      </c>
      <c r="V5168" s="30"/>
      <c r="W5168" s="156"/>
      <c r="X5168" s="49"/>
      <c r="Y5168" s="35"/>
      <c r="Z5168" s="35"/>
      <c r="AA5168" s="35"/>
      <c r="AB5168" s="35"/>
      <c r="AC5168" s="35"/>
      <c r="AD5168" s="35"/>
      <c r="AE5168" s="35"/>
      <c r="AF5168" s="35"/>
      <c r="AG5168" s="35"/>
      <c r="AH5168" s="35"/>
      <c r="AI5168" s="35"/>
      <c r="AJ5168" s="35"/>
      <c r="AK5168" s="35"/>
      <c r="AL5168" s="35"/>
    </row>
    <row r="5169">
      <c r="A5169" s="18"/>
      <c r="B5169" s="19" t="s">
        <v>19332</v>
      </c>
      <c r="C5169" s="20" t="s">
        <v>24252</v>
      </c>
      <c r="D5169" s="47"/>
      <c r="E5169" s="22" t="s">
        <v>24517</v>
      </c>
      <c r="F5169" s="22" t="s">
        <v>41</v>
      </c>
      <c r="G5169" s="23">
        <v>2019.0</v>
      </c>
      <c r="H5169" s="22" t="s">
        <v>21078</v>
      </c>
      <c r="I5169" s="24" t="s">
        <v>24537</v>
      </c>
      <c r="J5169" s="22" t="s">
        <v>55</v>
      </c>
      <c r="K5169" s="22" t="s">
        <v>948</v>
      </c>
      <c r="L5169" s="36">
        <v>850.0</v>
      </c>
      <c r="M5169" s="36"/>
      <c r="N5169" s="36" t="s">
        <v>2325</v>
      </c>
      <c r="O5169" s="36"/>
      <c r="P5169" s="37"/>
      <c r="Q5169" s="36"/>
      <c r="R5169" s="36"/>
      <c r="S5169" s="36"/>
      <c r="T5169" s="41" t="s">
        <v>24538</v>
      </c>
      <c r="U5169" s="38" t="str">
        <f>HYPERLINK("https://www.ncbi.nlm.nih.gov/pubmed/30920868","PubMed")</f>
        <v>PubMed</v>
      </c>
      <c r="V5169" s="30"/>
      <c r="W5169" s="156"/>
      <c r="X5169" s="49"/>
      <c r="Y5169" s="35"/>
      <c r="Z5169" s="35"/>
      <c r="AA5169" s="35"/>
      <c r="AB5169" s="35"/>
      <c r="AC5169" s="35"/>
      <c r="AD5169" s="35"/>
      <c r="AE5169" s="35"/>
      <c r="AF5169" s="35"/>
      <c r="AG5169" s="35"/>
      <c r="AH5169" s="35"/>
      <c r="AI5169" s="35"/>
      <c r="AJ5169" s="35"/>
      <c r="AK5169" s="35"/>
      <c r="AL5169" s="35"/>
    </row>
    <row r="5170">
      <c r="A5170" s="18" t="s">
        <v>38</v>
      </c>
      <c r="B5170" s="19" t="s">
        <v>19332</v>
      </c>
      <c r="C5170" s="20" t="s">
        <v>24252</v>
      </c>
      <c r="D5170" s="47"/>
      <c r="E5170" s="22" t="s">
        <v>714</v>
      </c>
      <c r="F5170" s="22" t="s">
        <v>41</v>
      </c>
      <c r="G5170" s="23">
        <v>2019.0</v>
      </c>
      <c r="H5170" s="22" t="s">
        <v>42</v>
      </c>
      <c r="I5170" s="24" t="s">
        <v>24539</v>
      </c>
      <c r="J5170" s="22" t="s">
        <v>24540</v>
      </c>
      <c r="K5170" s="22"/>
      <c r="L5170" s="36">
        <v>808.0</v>
      </c>
      <c r="M5170" s="36">
        <v>100.0</v>
      </c>
      <c r="N5170" s="36"/>
      <c r="O5170" s="36" t="s">
        <v>24541</v>
      </c>
      <c r="P5170" s="37" t="s">
        <v>7604</v>
      </c>
      <c r="Q5170" s="36" t="s">
        <v>24542</v>
      </c>
      <c r="R5170" s="36" t="s">
        <v>17490</v>
      </c>
      <c r="S5170" s="36" t="s">
        <v>24543</v>
      </c>
      <c r="T5170" s="28" t="s">
        <v>24544</v>
      </c>
      <c r="U5170" s="38" t="str">
        <f>HYPERLINK("https://www.ncbi.nlm.nih.gov/pubmed/31001928","PubMed")</f>
        <v>PubMed</v>
      </c>
      <c r="V5170" s="30"/>
      <c r="W5170" s="156"/>
      <c r="X5170" s="49"/>
      <c r="Y5170" s="35"/>
      <c r="Z5170" s="35"/>
      <c r="AA5170" s="35"/>
      <c r="AB5170" s="35"/>
      <c r="AC5170" s="35"/>
      <c r="AD5170" s="35"/>
      <c r="AE5170" s="35"/>
      <c r="AF5170" s="35"/>
      <c r="AG5170" s="35"/>
      <c r="AH5170" s="35"/>
      <c r="AI5170" s="35"/>
      <c r="AJ5170" s="35"/>
      <c r="AK5170" s="35"/>
      <c r="AL5170" s="35"/>
    </row>
    <row r="5171">
      <c r="A5171" s="18" t="s">
        <v>181</v>
      </c>
      <c r="B5171" s="19" t="s">
        <v>19332</v>
      </c>
      <c r="C5171" s="20" t="s">
        <v>24252</v>
      </c>
      <c r="D5171" s="47"/>
      <c r="E5171" s="22" t="s">
        <v>24444</v>
      </c>
      <c r="F5171" s="22" t="s">
        <v>1398</v>
      </c>
      <c r="G5171" s="23">
        <v>2018.0</v>
      </c>
      <c r="H5171" s="22" t="s">
        <v>23791</v>
      </c>
      <c r="I5171" s="24" t="s">
        <v>24545</v>
      </c>
      <c r="J5171" s="22" t="s">
        <v>2273</v>
      </c>
      <c r="K5171" s="22"/>
      <c r="L5171" s="36" t="s">
        <v>58</v>
      </c>
      <c r="M5171" s="36" t="s">
        <v>58</v>
      </c>
      <c r="N5171" s="36" t="s">
        <v>58</v>
      </c>
      <c r="O5171" s="36" t="s">
        <v>58</v>
      </c>
      <c r="P5171" s="37" t="s">
        <v>58</v>
      </c>
      <c r="Q5171" s="36" t="s">
        <v>58</v>
      </c>
      <c r="R5171" s="36"/>
      <c r="S5171" s="36"/>
      <c r="T5171" s="28" t="s">
        <v>24546</v>
      </c>
      <c r="U5171" s="38" t="str">
        <f>HYPERLINK("https://www.jco-online.com/archive/2018/12/675-upper-molar-distalization-with-invisalign-treatment-accelerated-by-photobiomodulation/","JCO")</f>
        <v>JCO</v>
      </c>
      <c r="V5171" s="30"/>
      <c r="W5171" s="156"/>
      <c r="X5171" s="49"/>
      <c r="Y5171" s="35"/>
      <c r="Z5171" s="35"/>
      <c r="AA5171" s="35"/>
      <c r="AB5171" s="35"/>
      <c r="AC5171" s="35"/>
      <c r="AD5171" s="35"/>
      <c r="AE5171" s="35"/>
      <c r="AF5171" s="35"/>
      <c r="AG5171" s="35"/>
      <c r="AH5171" s="35"/>
      <c r="AI5171" s="35"/>
      <c r="AJ5171" s="35"/>
      <c r="AK5171" s="35"/>
      <c r="AL5171" s="35"/>
    </row>
    <row r="5172">
      <c r="A5172" s="18" t="s">
        <v>38</v>
      </c>
      <c r="B5172" s="19" t="s">
        <v>19332</v>
      </c>
      <c r="C5172" s="20" t="s">
        <v>24252</v>
      </c>
      <c r="D5172" s="47"/>
      <c r="E5172" s="22" t="s">
        <v>24547</v>
      </c>
      <c r="F5172" s="22" t="s">
        <v>24548</v>
      </c>
      <c r="G5172" s="23">
        <v>2018.0</v>
      </c>
      <c r="H5172" s="22" t="s">
        <v>19565</v>
      </c>
      <c r="I5172" s="24" t="s">
        <v>24549</v>
      </c>
      <c r="J5172" s="22" t="s">
        <v>24550</v>
      </c>
      <c r="K5172" s="22"/>
      <c r="L5172" s="36">
        <v>810.0</v>
      </c>
      <c r="M5172" s="36"/>
      <c r="N5172" s="36" t="s">
        <v>4163</v>
      </c>
      <c r="O5172" s="36"/>
      <c r="P5172" s="37"/>
      <c r="Q5172" s="36"/>
      <c r="R5172" s="36"/>
      <c r="S5172" s="36" t="s">
        <v>24551</v>
      </c>
      <c r="T5172" s="28" t="s">
        <v>24552</v>
      </c>
      <c r="U5172" s="38" t="str">
        <f>HYPERLINK("https://www.ncbi.nlm.nih.gov/pubmed/30559886","PubMed")</f>
        <v>PubMed</v>
      </c>
      <c r="V5172" s="30" t="s">
        <v>24553</v>
      </c>
      <c r="W5172" s="156"/>
      <c r="X5172" s="49"/>
      <c r="Y5172" s="35"/>
      <c r="Z5172" s="35"/>
      <c r="AA5172" s="35"/>
      <c r="AB5172" s="35"/>
      <c r="AC5172" s="35"/>
      <c r="AD5172" s="35"/>
      <c r="AE5172" s="35"/>
      <c r="AF5172" s="35"/>
      <c r="AG5172" s="35"/>
      <c r="AH5172" s="35"/>
      <c r="AI5172" s="35"/>
      <c r="AJ5172" s="35"/>
      <c r="AK5172" s="35"/>
      <c r="AL5172" s="35"/>
    </row>
    <row r="5173">
      <c r="A5173" s="1"/>
      <c r="B5173" s="19" t="s">
        <v>19332</v>
      </c>
      <c r="C5173" s="20" t="s">
        <v>24252</v>
      </c>
      <c r="D5173" s="47"/>
      <c r="E5173" s="22" t="s">
        <v>24554</v>
      </c>
      <c r="F5173" s="22" t="s">
        <v>5850</v>
      </c>
      <c r="G5173" s="23">
        <v>2018.0</v>
      </c>
      <c r="H5173" s="22" t="s">
        <v>6778</v>
      </c>
      <c r="I5173" s="24" t="s">
        <v>24555</v>
      </c>
      <c r="J5173" s="22" t="s">
        <v>1078</v>
      </c>
      <c r="K5173" s="22" t="s">
        <v>24556</v>
      </c>
      <c r="L5173" s="132" t="s">
        <v>24557</v>
      </c>
      <c r="U5173" s="38" t="str">
        <f>HYPERLINK("https://www.ncbi.nlm.nih.gov/pubmed/30061788","PubMed")</f>
        <v>PubMed</v>
      </c>
      <c r="V5173" s="30"/>
      <c r="W5173" s="156"/>
      <c r="X5173" s="49"/>
      <c r="Y5173" s="35"/>
      <c r="Z5173" s="35"/>
      <c r="AA5173" s="35"/>
      <c r="AB5173" s="35"/>
      <c r="AC5173" s="35"/>
      <c r="AD5173" s="35"/>
      <c r="AE5173" s="35"/>
      <c r="AF5173" s="35"/>
      <c r="AG5173" s="35"/>
      <c r="AH5173" s="35"/>
      <c r="AI5173" s="35"/>
      <c r="AJ5173" s="35"/>
      <c r="AK5173" s="35"/>
      <c r="AL5173" s="35"/>
    </row>
    <row r="5174">
      <c r="A5174" s="18"/>
      <c r="B5174" s="19" t="s">
        <v>19332</v>
      </c>
      <c r="C5174" s="20" t="s">
        <v>24252</v>
      </c>
      <c r="D5174" s="47"/>
      <c r="E5174" s="22" t="s">
        <v>24558</v>
      </c>
      <c r="F5174" s="22" t="s">
        <v>24559</v>
      </c>
      <c r="G5174" s="23">
        <v>2018.0</v>
      </c>
      <c r="H5174" s="22" t="s">
        <v>23828</v>
      </c>
      <c r="I5174" s="24" t="s">
        <v>24560</v>
      </c>
      <c r="J5174" s="22" t="s">
        <v>24561</v>
      </c>
      <c r="K5174" s="22"/>
      <c r="L5174" s="36">
        <v>940.0</v>
      </c>
      <c r="M5174" s="36">
        <v>100.0</v>
      </c>
      <c r="N5174" s="36"/>
      <c r="O5174" s="36"/>
      <c r="P5174" s="37" t="s">
        <v>70</v>
      </c>
      <c r="Q5174" s="36"/>
      <c r="R5174" s="36" t="s">
        <v>24562</v>
      </c>
      <c r="S5174" s="36" t="s">
        <v>24563</v>
      </c>
      <c r="T5174" s="28" t="s">
        <v>24564</v>
      </c>
      <c r="U5174" s="38" t="str">
        <f>HYPERLINK("https://www.ncbi.nlm.nih.gov/pubmed/30268264","PubMed")</f>
        <v>PubMed</v>
      </c>
      <c r="V5174" s="30" t="s">
        <v>24565</v>
      </c>
      <c r="W5174" s="156"/>
      <c r="X5174" s="49"/>
      <c r="Y5174" s="35"/>
      <c r="Z5174" s="35"/>
      <c r="AA5174" s="35"/>
      <c r="AB5174" s="35"/>
      <c r="AC5174" s="35"/>
      <c r="AD5174" s="35"/>
      <c r="AE5174" s="35"/>
      <c r="AF5174" s="35"/>
      <c r="AG5174" s="35"/>
      <c r="AH5174" s="35"/>
      <c r="AI5174" s="35"/>
      <c r="AJ5174" s="35"/>
      <c r="AK5174" s="35"/>
      <c r="AL5174" s="35"/>
    </row>
    <row r="5175">
      <c r="A5175" s="18" t="s">
        <v>38</v>
      </c>
      <c r="B5175" s="19" t="s">
        <v>19332</v>
      </c>
      <c r="C5175" s="20" t="s">
        <v>24252</v>
      </c>
      <c r="D5175" s="47"/>
      <c r="E5175" s="22" t="s">
        <v>24566</v>
      </c>
      <c r="F5175" s="22" t="s">
        <v>24567</v>
      </c>
      <c r="G5175" s="23">
        <v>2018.0</v>
      </c>
      <c r="H5175" s="22" t="s">
        <v>23679</v>
      </c>
      <c r="I5175" s="24" t="s">
        <v>24568</v>
      </c>
      <c r="J5175" s="22" t="s">
        <v>24569</v>
      </c>
      <c r="K5175" s="22"/>
      <c r="L5175" s="36">
        <v>810.0</v>
      </c>
      <c r="M5175" s="36">
        <v>100.0</v>
      </c>
      <c r="N5175" s="36"/>
      <c r="O5175" s="36">
        <v>10.0</v>
      </c>
      <c r="P5175" s="37"/>
      <c r="Q5175" s="36"/>
      <c r="R5175" s="36"/>
      <c r="S5175" s="36" t="s">
        <v>24570</v>
      </c>
      <c r="T5175" s="42" t="s">
        <v>24571</v>
      </c>
      <c r="U5175" s="38" t="str">
        <f>HYPERLINK("https://www.ncbi.nlm.nih.gov/pubmed/29875571","PubMed")</f>
        <v>PubMed</v>
      </c>
      <c r="V5175" s="30"/>
      <c r="W5175" s="156"/>
      <c r="X5175" s="49"/>
      <c r="Y5175" s="35"/>
      <c r="Z5175" s="35"/>
      <c r="AA5175" s="35"/>
      <c r="AB5175" s="35"/>
      <c r="AC5175" s="35"/>
      <c r="AD5175" s="35"/>
      <c r="AE5175" s="35"/>
      <c r="AF5175" s="35"/>
      <c r="AG5175" s="35"/>
      <c r="AH5175" s="35"/>
      <c r="AI5175" s="35"/>
      <c r="AJ5175" s="35"/>
      <c r="AK5175" s="35"/>
      <c r="AL5175" s="35"/>
    </row>
    <row r="5176">
      <c r="A5176" s="18"/>
      <c r="B5176" s="19" t="s">
        <v>19332</v>
      </c>
      <c r="C5176" s="20" t="s">
        <v>24252</v>
      </c>
      <c r="D5176" s="47"/>
      <c r="E5176" s="22" t="s">
        <v>24572</v>
      </c>
      <c r="F5176" s="22" t="s">
        <v>2076</v>
      </c>
      <c r="G5176" s="23">
        <v>2018.0</v>
      </c>
      <c r="H5176" s="22" t="s">
        <v>13399</v>
      </c>
      <c r="I5176" s="24" t="s">
        <v>24573</v>
      </c>
      <c r="J5176" s="22" t="s">
        <v>125</v>
      </c>
      <c r="K5176" s="22"/>
      <c r="L5176" s="43" t="s">
        <v>24574</v>
      </c>
      <c r="M5176" s="44"/>
      <c r="N5176" s="44"/>
      <c r="O5176" s="44"/>
      <c r="P5176" s="44"/>
      <c r="Q5176" s="44"/>
      <c r="R5176" s="44"/>
      <c r="S5176" s="44"/>
      <c r="T5176" s="45"/>
      <c r="U5176" s="38" t="str">
        <f>HYPERLINK("https://www.ncbi.nlm.nih.gov/pubmed/30152625","PubMed")</f>
        <v>PubMed</v>
      </c>
      <c r="V5176" s="30"/>
      <c r="W5176" s="156"/>
      <c r="X5176" s="49"/>
      <c r="Y5176" s="35"/>
      <c r="Z5176" s="35"/>
      <c r="AA5176" s="35"/>
      <c r="AB5176" s="35"/>
      <c r="AC5176" s="35"/>
      <c r="AD5176" s="35"/>
      <c r="AE5176" s="35"/>
      <c r="AF5176" s="35"/>
      <c r="AG5176" s="35"/>
      <c r="AH5176" s="35"/>
      <c r="AI5176" s="35"/>
      <c r="AJ5176" s="35"/>
      <c r="AK5176" s="35"/>
      <c r="AL5176" s="35"/>
    </row>
    <row r="5177">
      <c r="A5177" s="18"/>
      <c r="B5177" s="19" t="s">
        <v>19332</v>
      </c>
      <c r="C5177" s="20" t="s">
        <v>24252</v>
      </c>
      <c r="D5177" s="47"/>
      <c r="E5177" s="22" t="s">
        <v>24575</v>
      </c>
      <c r="F5177" s="22" t="s">
        <v>12068</v>
      </c>
      <c r="G5177" s="23">
        <v>2018.0</v>
      </c>
      <c r="H5177" s="22" t="s">
        <v>207</v>
      </c>
      <c r="I5177" s="24" t="s">
        <v>24576</v>
      </c>
      <c r="J5177" s="22" t="s">
        <v>55</v>
      </c>
      <c r="K5177" s="22" t="s">
        <v>1112</v>
      </c>
      <c r="L5177" s="36">
        <v>970.0</v>
      </c>
      <c r="M5177" s="36"/>
      <c r="N5177" s="36"/>
      <c r="O5177" s="36"/>
      <c r="P5177" s="37" t="s">
        <v>24577</v>
      </c>
      <c r="Q5177" s="36"/>
      <c r="R5177" s="36"/>
      <c r="S5177" s="36"/>
      <c r="T5177" s="28" t="s">
        <v>24578</v>
      </c>
      <c r="U5177" s="38" t="str">
        <f>HYPERLINK("https://www.ncbi.nlm.nih.gov/pubmed/30005205","PubMed")</f>
        <v>PubMed</v>
      </c>
      <c r="V5177" s="30"/>
      <c r="W5177" s="156"/>
      <c r="X5177" s="49"/>
      <c r="Y5177" s="35"/>
      <c r="Z5177" s="35"/>
      <c r="AA5177" s="35"/>
      <c r="AB5177" s="35"/>
      <c r="AC5177" s="35"/>
      <c r="AD5177" s="35"/>
      <c r="AE5177" s="35"/>
      <c r="AF5177" s="35"/>
      <c r="AG5177" s="35"/>
      <c r="AH5177" s="35"/>
      <c r="AI5177" s="35"/>
      <c r="AJ5177" s="35"/>
      <c r="AK5177" s="35"/>
      <c r="AL5177" s="35"/>
    </row>
    <row r="5178">
      <c r="A5178" s="1"/>
      <c r="B5178" s="19" t="s">
        <v>19332</v>
      </c>
      <c r="C5178" s="20" t="s">
        <v>24252</v>
      </c>
      <c r="D5178" s="47"/>
      <c r="E5178" s="22" t="s">
        <v>24579</v>
      </c>
      <c r="F5178" s="22" t="s">
        <v>5227</v>
      </c>
      <c r="G5178" s="23">
        <v>2018.0</v>
      </c>
      <c r="H5178" s="22" t="s">
        <v>23604</v>
      </c>
      <c r="I5178" s="24" t="s">
        <v>24580</v>
      </c>
      <c r="J5178" s="22" t="s">
        <v>55</v>
      </c>
      <c r="K5178" s="22"/>
      <c r="L5178" s="36">
        <v>940.0</v>
      </c>
      <c r="M5178" s="36"/>
      <c r="N5178" s="36"/>
      <c r="O5178" s="36"/>
      <c r="P5178" s="37"/>
      <c r="Q5178" s="36"/>
      <c r="R5178" s="36"/>
      <c r="S5178" s="36"/>
      <c r="T5178" s="28" t="s">
        <v>24581</v>
      </c>
      <c r="U5178" s="38" t="str">
        <f>HYPERLINK("https://www.ncbi.nlm.nih.gov/pubmed/29658096","PubMed")</f>
        <v>PubMed</v>
      </c>
      <c r="V5178" s="30"/>
      <c r="W5178" s="156"/>
      <c r="X5178" s="49"/>
      <c r="Y5178" s="35"/>
      <c r="Z5178" s="35"/>
      <c r="AA5178" s="35"/>
      <c r="AB5178" s="35"/>
      <c r="AC5178" s="35"/>
      <c r="AD5178" s="35"/>
      <c r="AE5178" s="35"/>
      <c r="AF5178" s="35"/>
      <c r="AG5178" s="35"/>
      <c r="AH5178" s="35"/>
      <c r="AI5178" s="35"/>
      <c r="AJ5178" s="35"/>
      <c r="AK5178" s="35"/>
      <c r="AL5178" s="35"/>
    </row>
    <row r="5179">
      <c r="A5179" s="1"/>
      <c r="B5179" s="19" t="s">
        <v>19332</v>
      </c>
      <c r="C5179" s="20" t="s">
        <v>24252</v>
      </c>
      <c r="D5179" s="47"/>
      <c r="E5179" s="22" t="s">
        <v>24582</v>
      </c>
      <c r="F5179" s="22" t="s">
        <v>24583</v>
      </c>
      <c r="G5179" s="23">
        <v>2018.0</v>
      </c>
      <c r="H5179" s="22" t="s">
        <v>23679</v>
      </c>
      <c r="I5179" s="24" t="s">
        <v>24584</v>
      </c>
      <c r="J5179" s="22" t="s">
        <v>24585</v>
      </c>
      <c r="K5179" s="22"/>
      <c r="L5179" s="36">
        <v>810.0</v>
      </c>
      <c r="M5179" s="36">
        <v>200.0</v>
      </c>
      <c r="N5179" s="36"/>
      <c r="O5179" s="36"/>
      <c r="P5179" s="37" t="s">
        <v>432</v>
      </c>
      <c r="Q5179" s="36"/>
      <c r="R5179" s="36" t="s">
        <v>24586</v>
      </c>
      <c r="S5179" s="36" t="s">
        <v>24587</v>
      </c>
      <c r="T5179" s="28" t="s">
        <v>24588</v>
      </c>
      <c r="U5179" s="38" t="str">
        <f>HYPERLINK("https://www.ncbi.nlm.nih.gov/pubmed/29599594","PubMed")</f>
        <v>PubMed</v>
      </c>
      <c r="V5179" s="30"/>
      <c r="W5179" s="156"/>
      <c r="X5179" s="49"/>
      <c r="Y5179" s="35"/>
      <c r="Z5179" s="35"/>
      <c r="AA5179" s="35"/>
      <c r="AB5179" s="35"/>
      <c r="AC5179" s="35"/>
      <c r="AD5179" s="35"/>
      <c r="AE5179" s="35"/>
      <c r="AF5179" s="35"/>
      <c r="AG5179" s="35"/>
      <c r="AH5179" s="35"/>
      <c r="AI5179" s="35"/>
      <c r="AJ5179" s="35"/>
      <c r="AK5179" s="35"/>
      <c r="AL5179" s="35"/>
    </row>
    <row r="5180" ht="27.75" customHeight="1">
      <c r="A5180" s="1"/>
      <c r="B5180" s="19" t="s">
        <v>19332</v>
      </c>
      <c r="C5180" s="20" t="s">
        <v>24252</v>
      </c>
      <c r="D5180" s="47"/>
      <c r="E5180" s="22" t="s">
        <v>23942</v>
      </c>
      <c r="F5180" s="22" t="s">
        <v>11529</v>
      </c>
      <c r="G5180" s="23">
        <v>2018.0</v>
      </c>
      <c r="H5180" s="22" t="s">
        <v>24589</v>
      </c>
      <c r="I5180" s="24" t="s">
        <v>24590</v>
      </c>
      <c r="J5180" s="22" t="s">
        <v>253</v>
      </c>
      <c r="K5180" s="22"/>
      <c r="L5180" s="36">
        <v>980.0</v>
      </c>
      <c r="M5180" s="36">
        <v>80.0</v>
      </c>
      <c r="N5180" s="36"/>
      <c r="O5180" s="36"/>
      <c r="P5180" s="37"/>
      <c r="Q5180" s="36"/>
      <c r="R5180" s="36">
        <v>180.0</v>
      </c>
      <c r="S5180" s="36"/>
      <c r="T5180" s="28" t="s">
        <v>24591</v>
      </c>
      <c r="U5180" s="38" t="str">
        <f>HYPERLINK("https://www.ncbi.nlm.nih.gov/pubmed/29588823","PubMed")</f>
        <v>PubMed</v>
      </c>
      <c r="V5180" s="30"/>
      <c r="W5180" s="156"/>
      <c r="X5180" s="49"/>
      <c r="Y5180" s="35"/>
      <c r="Z5180" s="35"/>
      <c r="AA5180" s="35"/>
      <c r="AB5180" s="35"/>
      <c r="AC5180" s="35"/>
      <c r="AD5180" s="35"/>
      <c r="AE5180" s="35"/>
      <c r="AF5180" s="35"/>
      <c r="AG5180" s="35"/>
      <c r="AH5180" s="35"/>
      <c r="AI5180" s="35"/>
      <c r="AJ5180" s="35"/>
      <c r="AK5180" s="35"/>
      <c r="AL5180" s="35"/>
    </row>
    <row r="5181">
      <c r="A5181" s="1"/>
      <c r="B5181" s="19" t="s">
        <v>19332</v>
      </c>
      <c r="C5181" s="20" t="s">
        <v>24252</v>
      </c>
      <c r="D5181" s="47"/>
      <c r="E5181" s="22" t="s">
        <v>24592</v>
      </c>
      <c r="F5181" s="22" t="s">
        <v>23845</v>
      </c>
      <c r="G5181" s="23">
        <v>2018.0</v>
      </c>
      <c r="H5181" s="22" t="s">
        <v>21758</v>
      </c>
      <c r="I5181" s="24" t="s">
        <v>24593</v>
      </c>
      <c r="J5181" s="22" t="s">
        <v>24594</v>
      </c>
      <c r="K5181" s="22" t="s">
        <v>157</v>
      </c>
      <c r="L5181" s="36">
        <v>850.0</v>
      </c>
      <c r="M5181" s="36"/>
      <c r="N5181" s="36" t="s">
        <v>24595</v>
      </c>
      <c r="O5181" s="36"/>
      <c r="P5181" s="37" t="s">
        <v>82</v>
      </c>
      <c r="Q5181" s="36"/>
      <c r="R5181" s="36" t="s">
        <v>24596</v>
      </c>
      <c r="S5181" s="36"/>
      <c r="T5181" s="42" t="s">
        <v>24597</v>
      </c>
      <c r="U5181" s="38" t="str">
        <f>HYPERLINK("https://link.springer.com/article/10.1007/s41547-018-0026-3","Springer")</f>
        <v>Springer</v>
      </c>
      <c r="V5181" s="30" t="s">
        <v>24598</v>
      </c>
      <c r="W5181" s="156"/>
      <c r="X5181" s="49"/>
      <c r="Y5181" s="35"/>
      <c r="Z5181" s="35"/>
      <c r="AA5181" s="35"/>
      <c r="AB5181" s="35"/>
      <c r="AC5181" s="35"/>
      <c r="AD5181" s="35"/>
      <c r="AE5181" s="35"/>
      <c r="AF5181" s="35"/>
      <c r="AG5181" s="35"/>
      <c r="AH5181" s="35"/>
      <c r="AI5181" s="35"/>
      <c r="AJ5181" s="35"/>
      <c r="AK5181" s="35"/>
      <c r="AL5181" s="35"/>
    </row>
    <row r="5182">
      <c r="A5182" s="1"/>
      <c r="B5182" s="19" t="s">
        <v>19332</v>
      </c>
      <c r="C5182" s="20" t="s">
        <v>24252</v>
      </c>
      <c r="D5182" s="47"/>
      <c r="E5182" s="22" t="s">
        <v>24599</v>
      </c>
      <c r="F5182" s="22" t="s">
        <v>1714</v>
      </c>
      <c r="G5182" s="23">
        <v>2018.0</v>
      </c>
      <c r="H5182" s="22" t="s">
        <v>53</v>
      </c>
      <c r="I5182" s="24" t="s">
        <v>24600</v>
      </c>
      <c r="J5182" s="22" t="s">
        <v>55</v>
      </c>
      <c r="K5182" s="22"/>
      <c r="L5182" s="36">
        <v>910.0</v>
      </c>
      <c r="M5182" s="36">
        <v>300.0</v>
      </c>
      <c r="N5182" s="36"/>
      <c r="O5182" s="36"/>
      <c r="P5182" s="37"/>
      <c r="Q5182" s="36"/>
      <c r="R5182" s="36"/>
      <c r="S5182" s="36"/>
      <c r="T5182" s="28" t="s">
        <v>24601</v>
      </c>
      <c r="U5182" s="38" t="str">
        <f>HYPERLINK("https://www.ncbi.nlm.nih.gov/pubmed/29399884","PubMed")</f>
        <v>PubMed</v>
      </c>
      <c r="V5182" s="30" t="s">
        <v>24602</v>
      </c>
      <c r="W5182" s="156"/>
      <c r="X5182" s="49"/>
      <c r="Y5182" s="35"/>
      <c r="Z5182" s="35"/>
      <c r="AA5182" s="35"/>
      <c r="AB5182" s="35"/>
      <c r="AC5182" s="35"/>
      <c r="AD5182" s="35"/>
      <c r="AE5182" s="35"/>
      <c r="AF5182" s="35"/>
      <c r="AG5182" s="35"/>
      <c r="AH5182" s="35"/>
      <c r="AI5182" s="35"/>
      <c r="AJ5182" s="35"/>
      <c r="AK5182" s="35"/>
      <c r="AL5182" s="35"/>
    </row>
    <row r="5183">
      <c r="A5183" s="1"/>
      <c r="B5183" s="19" t="s">
        <v>19332</v>
      </c>
      <c r="C5183" s="20" t="s">
        <v>24252</v>
      </c>
      <c r="D5183" s="47"/>
      <c r="E5183" s="22" t="s">
        <v>24603</v>
      </c>
      <c r="F5183" s="22" t="s">
        <v>41</v>
      </c>
      <c r="G5183" s="23">
        <v>2017.0</v>
      </c>
      <c r="H5183" s="22" t="s">
        <v>91</v>
      </c>
      <c r="I5183" s="24" t="s">
        <v>24604</v>
      </c>
      <c r="J5183" s="22" t="s">
        <v>55</v>
      </c>
      <c r="K5183" s="22"/>
      <c r="L5183" s="36">
        <v>810.0</v>
      </c>
      <c r="M5183" s="36">
        <v>100.0</v>
      </c>
      <c r="N5183" s="36"/>
      <c r="O5183" s="36"/>
      <c r="P5183" s="37"/>
      <c r="Q5183" s="36"/>
      <c r="R5183" s="36">
        <v>15.0</v>
      </c>
      <c r="S5183" s="36"/>
      <c r="T5183" s="28" t="s">
        <v>24605</v>
      </c>
      <c r="U5183" s="38" t="str">
        <f>HYPERLINK("https://www.ncbi.nlm.nih.gov/pubmed/29282560","PubMed")</f>
        <v>PubMed</v>
      </c>
      <c r="V5183" s="30"/>
      <c r="W5183" s="156"/>
      <c r="X5183" s="49"/>
      <c r="Y5183" s="35"/>
      <c r="Z5183" s="35"/>
      <c r="AA5183" s="35"/>
      <c r="AB5183" s="35"/>
      <c r="AC5183" s="35"/>
      <c r="AD5183" s="35"/>
      <c r="AE5183" s="35"/>
      <c r="AF5183" s="35"/>
      <c r="AG5183" s="35"/>
      <c r="AH5183" s="35"/>
      <c r="AI5183" s="35"/>
      <c r="AJ5183" s="35"/>
      <c r="AK5183" s="35"/>
      <c r="AL5183" s="35"/>
    </row>
    <row r="5184">
      <c r="A5184" s="1"/>
      <c r="B5184" s="19" t="s">
        <v>19332</v>
      </c>
      <c r="C5184" s="20" t="s">
        <v>24252</v>
      </c>
      <c r="D5184" s="47"/>
      <c r="E5184" s="22" t="s">
        <v>24606</v>
      </c>
      <c r="F5184" s="22" t="s">
        <v>237</v>
      </c>
      <c r="G5184" s="23" t="s">
        <v>90</v>
      </c>
      <c r="H5184" s="22" t="s">
        <v>4975</v>
      </c>
      <c r="I5184" s="24" t="s">
        <v>24607</v>
      </c>
      <c r="J5184" s="22" t="s">
        <v>55</v>
      </c>
      <c r="K5184" s="22"/>
      <c r="L5184" s="36">
        <v>810.0</v>
      </c>
      <c r="M5184" s="36">
        <v>100.0</v>
      </c>
      <c r="N5184" s="36"/>
      <c r="O5184" s="36" t="s">
        <v>4884</v>
      </c>
      <c r="P5184" s="37" t="s">
        <v>2733</v>
      </c>
      <c r="Q5184" s="36" t="s">
        <v>18100</v>
      </c>
      <c r="R5184" s="36"/>
      <c r="S5184" s="36"/>
      <c r="T5184" s="28" t="s">
        <v>24608</v>
      </c>
      <c r="U5184" s="38" t="str">
        <f>HYPERLINK("https://www.ncbi.nlm.nih.gov/pubmed/29274167","PubMed")</f>
        <v>PubMed</v>
      </c>
      <c r="V5184" s="30"/>
      <c r="W5184" s="156"/>
      <c r="X5184" s="49"/>
      <c r="Y5184" s="35"/>
      <c r="Z5184" s="35"/>
      <c r="AA5184" s="35"/>
      <c r="AB5184" s="35"/>
      <c r="AC5184" s="35"/>
      <c r="AD5184" s="35"/>
      <c r="AE5184" s="35"/>
      <c r="AF5184" s="35"/>
      <c r="AG5184" s="35"/>
      <c r="AH5184" s="35"/>
      <c r="AI5184" s="35"/>
      <c r="AJ5184" s="35"/>
      <c r="AK5184" s="35"/>
      <c r="AL5184" s="35"/>
    </row>
    <row r="5185">
      <c r="A5185" s="1"/>
      <c r="B5185" s="19" t="s">
        <v>19332</v>
      </c>
      <c r="C5185" s="20" t="s">
        <v>24252</v>
      </c>
      <c r="D5185" s="47"/>
      <c r="E5185" s="22" t="s">
        <v>23899</v>
      </c>
      <c r="F5185" s="22" t="s">
        <v>24424</v>
      </c>
      <c r="G5185" s="23">
        <v>2017.0</v>
      </c>
      <c r="H5185" s="22" t="s">
        <v>23828</v>
      </c>
      <c r="I5185" s="24" t="s">
        <v>24609</v>
      </c>
      <c r="J5185" s="22" t="s">
        <v>24610</v>
      </c>
      <c r="K5185" s="22" t="s">
        <v>23778</v>
      </c>
      <c r="L5185" s="36">
        <v>940.0</v>
      </c>
      <c r="M5185" s="36">
        <v>100.0</v>
      </c>
      <c r="N5185" s="36"/>
      <c r="O5185" s="36"/>
      <c r="P5185" s="37" t="s">
        <v>704</v>
      </c>
      <c r="Q5185" s="36" t="s">
        <v>24611</v>
      </c>
      <c r="R5185" s="36" t="s">
        <v>24612</v>
      </c>
      <c r="S5185" s="36" t="s">
        <v>24613</v>
      </c>
      <c r="T5185" s="28" t="s">
        <v>24614</v>
      </c>
      <c r="U5185" s="38" t="str">
        <f>HYPERLINK("https://www.ncbi.nlm.nih.gov/pubmed/29103440","PubMed")</f>
        <v>PubMed</v>
      </c>
      <c r="V5185" s="30"/>
      <c r="W5185" s="156"/>
      <c r="X5185" s="49"/>
      <c r="Y5185" s="35"/>
      <c r="Z5185" s="35"/>
      <c r="AA5185" s="35"/>
      <c r="AB5185" s="35"/>
      <c r="AC5185" s="35"/>
      <c r="AD5185" s="35"/>
      <c r="AE5185" s="35"/>
      <c r="AF5185" s="35"/>
      <c r="AG5185" s="35"/>
      <c r="AH5185" s="35"/>
      <c r="AI5185" s="35"/>
      <c r="AJ5185" s="35"/>
      <c r="AK5185" s="35"/>
      <c r="AL5185" s="35"/>
    </row>
    <row r="5186">
      <c r="A5186" s="1"/>
      <c r="B5186" s="19" t="s">
        <v>19332</v>
      </c>
      <c r="C5186" s="20" t="s">
        <v>24252</v>
      </c>
      <c r="D5186" s="47"/>
      <c r="E5186" s="22" t="s">
        <v>24615</v>
      </c>
      <c r="F5186" s="22" t="s">
        <v>2445</v>
      </c>
      <c r="G5186" s="23">
        <v>2017.0</v>
      </c>
      <c r="H5186" s="22" t="s">
        <v>555</v>
      </c>
      <c r="I5186" s="24" t="s">
        <v>24616</v>
      </c>
      <c r="J5186" s="22" t="s">
        <v>55</v>
      </c>
      <c r="K5186" s="22" t="s">
        <v>1240</v>
      </c>
      <c r="L5186" s="36">
        <v>810.0</v>
      </c>
      <c r="M5186" s="36" t="s">
        <v>24617</v>
      </c>
      <c r="N5186" s="36"/>
      <c r="O5186" s="36"/>
      <c r="P5186" s="37" t="s">
        <v>24618</v>
      </c>
      <c r="Q5186" s="36" t="s">
        <v>802</v>
      </c>
      <c r="R5186" s="36"/>
      <c r="S5186" s="36"/>
      <c r="T5186" s="28" t="s">
        <v>24619</v>
      </c>
      <c r="U5186" s="38" t="str">
        <f>HYPERLINK("https://www.ncbi.nlm.nih.gov/pubmed/28391087","PubMed")</f>
        <v>PubMed</v>
      </c>
      <c r="V5186" s="30"/>
      <c r="W5186" s="156"/>
      <c r="X5186" s="49"/>
      <c r="Y5186" s="35"/>
      <c r="Z5186" s="35"/>
      <c r="AA5186" s="35"/>
      <c r="AB5186" s="35"/>
      <c r="AC5186" s="35"/>
      <c r="AD5186" s="35"/>
      <c r="AE5186" s="35"/>
      <c r="AF5186" s="35"/>
      <c r="AG5186" s="35"/>
      <c r="AH5186" s="35"/>
      <c r="AI5186" s="35"/>
      <c r="AJ5186" s="35"/>
      <c r="AK5186" s="35"/>
      <c r="AL5186" s="35"/>
    </row>
    <row r="5187">
      <c r="A5187" s="1"/>
      <c r="B5187" s="19" t="s">
        <v>19332</v>
      </c>
      <c r="C5187" s="20" t="s">
        <v>24252</v>
      </c>
      <c r="D5187" s="47"/>
      <c r="E5187" s="22" t="s">
        <v>24620</v>
      </c>
      <c r="F5187" s="22" t="s">
        <v>605</v>
      </c>
      <c r="G5187" s="23" t="s">
        <v>90</v>
      </c>
      <c r="H5187" s="22" t="s">
        <v>91</v>
      </c>
      <c r="I5187" s="24" t="s">
        <v>24621</v>
      </c>
      <c r="J5187" s="22" t="s">
        <v>24622</v>
      </c>
      <c r="K5187" s="22"/>
      <c r="L5187" s="36">
        <v>820.0</v>
      </c>
      <c r="M5187" s="36">
        <v>20.0</v>
      </c>
      <c r="N5187" s="36" t="s">
        <v>58</v>
      </c>
      <c r="O5187" s="36" t="s">
        <v>24623</v>
      </c>
      <c r="P5187" s="37" t="s">
        <v>432</v>
      </c>
      <c r="Q5187" s="36" t="s">
        <v>1199</v>
      </c>
      <c r="R5187" s="36" t="s">
        <v>17634</v>
      </c>
      <c r="S5187" s="36" t="s">
        <v>24624</v>
      </c>
      <c r="T5187" s="28" t="s">
        <v>24625</v>
      </c>
      <c r="U5187" s="38" t="str">
        <f>HYPERLINK("https://www.ncbi.nlm.nih.gov/pubmed/28289894","PubMed")</f>
        <v>PubMed</v>
      </c>
      <c r="V5187" s="30" t="s">
        <v>24626</v>
      </c>
      <c r="W5187" s="156"/>
      <c r="X5187" s="49"/>
      <c r="Y5187" s="35"/>
      <c r="Z5187" s="35"/>
      <c r="AA5187" s="35"/>
      <c r="AB5187" s="35"/>
      <c r="AC5187" s="35"/>
      <c r="AD5187" s="35"/>
      <c r="AE5187" s="35"/>
      <c r="AF5187" s="35"/>
      <c r="AG5187" s="35"/>
      <c r="AH5187" s="35"/>
      <c r="AI5187" s="35"/>
      <c r="AJ5187" s="35"/>
      <c r="AK5187" s="35"/>
      <c r="AL5187" s="35"/>
    </row>
    <row r="5188">
      <c r="A5188" s="1"/>
      <c r="B5188" s="19" t="s">
        <v>19332</v>
      </c>
      <c r="C5188" s="20" t="s">
        <v>24252</v>
      </c>
      <c r="D5188" s="47"/>
      <c r="E5188" s="22" t="s">
        <v>24627</v>
      </c>
      <c r="F5188" s="22" t="s">
        <v>2801</v>
      </c>
      <c r="G5188" s="23">
        <v>2017.0</v>
      </c>
      <c r="H5188" s="22" t="s">
        <v>1144</v>
      </c>
      <c r="I5188" s="24" t="s">
        <v>24628</v>
      </c>
      <c r="J5188" s="22" t="s">
        <v>649</v>
      </c>
      <c r="K5188" s="22" t="s">
        <v>24629</v>
      </c>
      <c r="L5188" s="167" t="s">
        <v>24630</v>
      </c>
      <c r="M5188" s="44"/>
      <c r="N5188" s="44"/>
      <c r="O5188" s="44"/>
      <c r="P5188" s="44"/>
      <c r="Q5188" s="44"/>
      <c r="R5188" s="44"/>
      <c r="S5188" s="44"/>
      <c r="T5188" s="45"/>
      <c r="U5188" s="38" t="str">
        <f>HYPERLINK("https://www.ncbi.nlm.nih.gov/pubmed/28301678","PubMed")</f>
        <v>PubMed</v>
      </c>
      <c r="V5188" s="30"/>
      <c r="W5188" s="156"/>
      <c r="X5188" s="49"/>
      <c r="Y5188" s="35"/>
      <c r="Z5188" s="35"/>
      <c r="AA5188" s="35"/>
      <c r="AB5188" s="35"/>
      <c r="AC5188" s="35"/>
      <c r="AD5188" s="35"/>
      <c r="AE5188" s="35"/>
      <c r="AF5188" s="35"/>
      <c r="AG5188" s="35"/>
      <c r="AH5188" s="35"/>
      <c r="AI5188" s="35"/>
      <c r="AJ5188" s="35"/>
      <c r="AK5188" s="35"/>
      <c r="AL5188" s="35"/>
    </row>
    <row r="5189">
      <c r="A5189" s="1"/>
      <c r="B5189" s="19" t="s">
        <v>19332</v>
      </c>
      <c r="C5189" s="20" t="s">
        <v>24252</v>
      </c>
      <c r="D5189" s="47"/>
      <c r="E5189" s="22" t="s">
        <v>24631</v>
      </c>
      <c r="F5189" s="22" t="s">
        <v>24632</v>
      </c>
      <c r="G5189" s="23">
        <v>2017.0</v>
      </c>
      <c r="H5189" s="22" t="s">
        <v>6893</v>
      </c>
      <c r="I5189" s="24" t="s">
        <v>24633</v>
      </c>
      <c r="J5189" s="22" t="s">
        <v>125</v>
      </c>
      <c r="K5189" s="22"/>
      <c r="L5189" s="167" t="s">
        <v>24634</v>
      </c>
      <c r="M5189" s="44"/>
      <c r="N5189" s="44"/>
      <c r="O5189" s="44"/>
      <c r="P5189" s="44"/>
      <c r="Q5189" s="44"/>
      <c r="R5189" s="44"/>
      <c r="S5189" s="44"/>
      <c r="T5189" s="45"/>
      <c r="U5189" s="38" t="str">
        <f>HYPERLINK("https://www.ncbi.nlm.nih.gov/pubmed/28297096","PubMed")</f>
        <v>PubMed</v>
      </c>
      <c r="V5189" s="30"/>
      <c r="W5189" s="156"/>
      <c r="X5189" s="49"/>
      <c r="Y5189" s="35"/>
      <c r="Z5189" s="35"/>
      <c r="AA5189" s="35"/>
      <c r="AB5189" s="35"/>
      <c r="AC5189" s="35"/>
      <c r="AD5189" s="35"/>
      <c r="AE5189" s="35"/>
      <c r="AF5189" s="35"/>
      <c r="AG5189" s="35"/>
      <c r="AH5189" s="35"/>
      <c r="AI5189" s="35"/>
      <c r="AJ5189" s="35"/>
      <c r="AK5189" s="35"/>
      <c r="AL5189" s="35"/>
    </row>
    <row r="5190">
      <c r="A5190" s="1"/>
      <c r="B5190" s="19" t="s">
        <v>19332</v>
      </c>
      <c r="C5190" s="20" t="s">
        <v>24252</v>
      </c>
      <c r="D5190" s="47"/>
      <c r="E5190" s="22" t="s">
        <v>7510</v>
      </c>
      <c r="F5190" s="22" t="s">
        <v>24635</v>
      </c>
      <c r="G5190" s="23" t="s">
        <v>90</v>
      </c>
      <c r="H5190" s="22" t="s">
        <v>658</v>
      </c>
      <c r="I5190" s="24" t="s">
        <v>24636</v>
      </c>
      <c r="J5190" s="22" t="s">
        <v>24637</v>
      </c>
      <c r="K5190" s="22"/>
      <c r="L5190" s="36">
        <v>980.0</v>
      </c>
      <c r="M5190" s="36">
        <v>1000.0</v>
      </c>
      <c r="N5190" s="36"/>
      <c r="O5190" s="36"/>
      <c r="P5190" s="37" t="s">
        <v>15031</v>
      </c>
      <c r="Q5190" s="36"/>
      <c r="R5190" s="36"/>
      <c r="S5190" s="36" t="s">
        <v>24638</v>
      </c>
      <c r="T5190" s="28" t="s">
        <v>24639</v>
      </c>
      <c r="U5190" s="38" t="str">
        <f>HYPERLINK("https://www.ncbi.nlm.nih.gov/pubmed/28253073","PubMed")</f>
        <v>PubMed</v>
      </c>
      <c r="V5190" s="30"/>
      <c r="W5190" s="156"/>
      <c r="X5190" s="49"/>
      <c r="Y5190" s="35"/>
      <c r="Z5190" s="35"/>
      <c r="AA5190" s="35"/>
      <c r="AB5190" s="35"/>
      <c r="AC5190" s="35"/>
      <c r="AD5190" s="35"/>
      <c r="AE5190" s="35"/>
      <c r="AF5190" s="35"/>
      <c r="AG5190" s="35"/>
      <c r="AH5190" s="35"/>
      <c r="AI5190" s="35"/>
      <c r="AJ5190" s="35"/>
      <c r="AK5190" s="35"/>
      <c r="AL5190" s="35"/>
    </row>
    <row r="5191">
      <c r="A5191" s="1"/>
      <c r="B5191" s="19" t="s">
        <v>19332</v>
      </c>
      <c r="C5191" s="20" t="s">
        <v>24252</v>
      </c>
      <c r="D5191" s="47"/>
      <c r="E5191" s="22" t="s">
        <v>24640</v>
      </c>
      <c r="F5191" s="22" t="s">
        <v>23845</v>
      </c>
      <c r="G5191" s="23">
        <v>2017.0</v>
      </c>
      <c r="H5191" s="22" t="s">
        <v>91</v>
      </c>
      <c r="I5191" s="24" t="s">
        <v>24641</v>
      </c>
      <c r="J5191" s="22" t="s">
        <v>24642</v>
      </c>
      <c r="K5191" s="22" t="s">
        <v>24643</v>
      </c>
      <c r="L5191" s="36">
        <v>850.0</v>
      </c>
      <c r="M5191" s="36"/>
      <c r="N5191" s="36" t="s">
        <v>6646</v>
      </c>
      <c r="O5191" s="36"/>
      <c r="P5191" s="37" t="s">
        <v>6558</v>
      </c>
      <c r="Q5191" s="36"/>
      <c r="R5191" s="36">
        <v>1200.0</v>
      </c>
      <c r="S5191" s="36" t="s">
        <v>24644</v>
      </c>
      <c r="T5191" s="28" t="s">
        <v>24645</v>
      </c>
      <c r="U5191" s="38" t="str">
        <f>HYPERLINK("https://www.ncbi.nlm.nih.gov/pubmed/27761668","PubMed")</f>
        <v>PubMed</v>
      </c>
      <c r="V5191" s="50"/>
      <c r="W5191" s="49"/>
      <c r="X5191" s="49"/>
      <c r="Y5191" s="35"/>
      <c r="Z5191" s="35"/>
      <c r="AA5191" s="35"/>
      <c r="AB5191" s="35"/>
      <c r="AC5191" s="35"/>
      <c r="AD5191" s="35"/>
      <c r="AE5191" s="35"/>
      <c r="AF5191" s="35"/>
      <c r="AG5191" s="35"/>
      <c r="AH5191" s="35"/>
      <c r="AI5191" s="35"/>
      <c r="AJ5191" s="35"/>
      <c r="AK5191" s="35"/>
      <c r="AL5191" s="35"/>
    </row>
    <row r="5192">
      <c r="A5192" s="1"/>
      <c r="B5192" s="19" t="s">
        <v>19332</v>
      </c>
      <c r="C5192" s="20" t="s">
        <v>24252</v>
      </c>
      <c r="D5192" s="47"/>
      <c r="E5192" s="22" t="s">
        <v>24646</v>
      </c>
      <c r="F5192" s="22" t="s">
        <v>24647</v>
      </c>
      <c r="G5192" s="23">
        <v>2016.0</v>
      </c>
      <c r="H5192" s="22" t="s">
        <v>12502</v>
      </c>
      <c r="I5192" s="24" t="s">
        <v>24648</v>
      </c>
      <c r="J5192" s="22" t="s">
        <v>649</v>
      </c>
      <c r="K5192" s="22"/>
      <c r="L5192" s="42" t="s">
        <v>24649</v>
      </c>
      <c r="U5192" s="38" t="str">
        <f>HYPERLINK("https://www.ncbi.nlm.nih.gov/pubmed/27431504","PubMed")</f>
        <v>PubMed</v>
      </c>
      <c r="V5192" s="30"/>
      <c r="W5192" s="49"/>
      <c r="X5192" s="49"/>
      <c r="Y5192" s="35"/>
      <c r="Z5192" s="35"/>
      <c r="AA5192" s="35"/>
      <c r="AB5192" s="35"/>
      <c r="AC5192" s="35"/>
      <c r="AD5192" s="35"/>
      <c r="AE5192" s="35"/>
      <c r="AF5192" s="35"/>
      <c r="AG5192" s="35"/>
      <c r="AH5192" s="35"/>
      <c r="AI5192" s="35"/>
      <c r="AJ5192" s="35"/>
      <c r="AK5192" s="35"/>
      <c r="AL5192" s="35"/>
    </row>
    <row r="5193">
      <c r="A5193" s="1"/>
      <c r="B5193" s="19" t="s">
        <v>19332</v>
      </c>
      <c r="C5193" s="20" t="s">
        <v>24252</v>
      </c>
      <c r="D5193" s="47"/>
      <c r="E5193" s="22" t="s">
        <v>24650</v>
      </c>
      <c r="F5193" s="22" t="s">
        <v>1603</v>
      </c>
      <c r="G5193" s="23">
        <v>2016.0</v>
      </c>
      <c r="H5193" s="22" t="s">
        <v>24651</v>
      </c>
      <c r="I5193" s="24" t="s">
        <v>24652</v>
      </c>
      <c r="J5193" s="22" t="s">
        <v>125</v>
      </c>
      <c r="K5193" s="22"/>
      <c r="L5193" s="53" t="s">
        <v>24653</v>
      </c>
      <c r="U5193" s="38" t="str">
        <f>HYPERLINK("https://www.ncbi.nlm.nih.gov/pubmed/26599125","PubMed")</f>
        <v>PubMed</v>
      </c>
      <c r="V5193" s="30"/>
      <c r="W5193" s="49"/>
      <c r="X5193" s="49"/>
      <c r="Y5193" s="35"/>
      <c r="Z5193" s="35"/>
      <c r="AA5193" s="35"/>
      <c r="AB5193" s="35"/>
      <c r="AC5193" s="35"/>
      <c r="AD5193" s="35"/>
      <c r="AE5193" s="35"/>
      <c r="AF5193" s="35"/>
      <c r="AG5193" s="35"/>
      <c r="AH5193" s="35"/>
      <c r="AI5193" s="35"/>
      <c r="AJ5193" s="35"/>
      <c r="AK5193" s="35"/>
      <c r="AL5193" s="35"/>
    </row>
    <row r="5194">
      <c r="A5194" s="146" t="s">
        <v>38</v>
      </c>
      <c r="B5194" s="19" t="s">
        <v>19332</v>
      </c>
      <c r="C5194" s="20" t="s">
        <v>24252</v>
      </c>
      <c r="D5194" s="47"/>
      <c r="E5194" s="22" t="s">
        <v>3831</v>
      </c>
      <c r="F5194" s="22" t="s">
        <v>41</v>
      </c>
      <c r="G5194" s="23">
        <v>2016.0</v>
      </c>
      <c r="H5194" s="22" t="s">
        <v>91</v>
      </c>
      <c r="I5194" s="24" t="s">
        <v>24654</v>
      </c>
      <c r="J5194" s="22" t="s">
        <v>55</v>
      </c>
      <c r="K5194" s="22" t="s">
        <v>24629</v>
      </c>
      <c r="L5194" s="36">
        <v>780.0</v>
      </c>
      <c r="M5194" s="36">
        <v>40.0</v>
      </c>
      <c r="N5194" s="36"/>
      <c r="O5194" s="36"/>
      <c r="P5194" s="37" t="s">
        <v>95</v>
      </c>
      <c r="Q5194" s="36"/>
      <c r="R5194" s="36">
        <v>10.0</v>
      </c>
      <c r="S5194" s="36"/>
      <c r="T5194" s="28" t="s">
        <v>24655</v>
      </c>
      <c r="U5194" s="38" t="str">
        <f>HYPERLINK("https://www.ncbi.nlm.nih.gov/pubmed/27576737","PubMed")</f>
        <v>PubMed</v>
      </c>
      <c r="V5194" s="30"/>
      <c r="W5194" s="49"/>
      <c r="X5194" s="49"/>
      <c r="Y5194" s="35"/>
      <c r="Z5194" s="35"/>
      <c r="AA5194" s="35"/>
      <c r="AB5194" s="35"/>
      <c r="AC5194" s="35"/>
      <c r="AD5194" s="35"/>
      <c r="AE5194" s="35"/>
      <c r="AF5194" s="35"/>
      <c r="AG5194" s="35"/>
      <c r="AH5194" s="35"/>
      <c r="AI5194" s="35"/>
      <c r="AJ5194" s="35"/>
      <c r="AK5194" s="35"/>
      <c r="AL5194" s="35"/>
    </row>
    <row r="5195">
      <c r="A5195" s="1"/>
      <c r="B5195" s="19" t="s">
        <v>19332</v>
      </c>
      <c r="C5195" s="20" t="s">
        <v>24252</v>
      </c>
      <c r="D5195" s="47"/>
      <c r="E5195" s="22" t="s">
        <v>24656</v>
      </c>
      <c r="F5195" s="22" t="s">
        <v>7630</v>
      </c>
      <c r="G5195" s="23" t="s">
        <v>11799</v>
      </c>
      <c r="H5195" s="22" t="s">
        <v>21078</v>
      </c>
      <c r="I5195" s="24" t="s">
        <v>24657</v>
      </c>
      <c r="J5195" s="22" t="s">
        <v>24658</v>
      </c>
      <c r="K5195" s="22" t="s">
        <v>24629</v>
      </c>
      <c r="L5195" s="36">
        <v>830.0</v>
      </c>
      <c r="M5195" s="36"/>
      <c r="N5195" s="36"/>
      <c r="O5195" s="36" t="s">
        <v>24659</v>
      </c>
      <c r="P5195" s="37"/>
      <c r="Q5195" s="36"/>
      <c r="R5195" s="36"/>
      <c r="S5195" s="36" t="s">
        <v>24660</v>
      </c>
      <c r="T5195" s="28" t="s">
        <v>24661</v>
      </c>
      <c r="U5195" s="38" t="str">
        <f>HYPERLINK("https://www.ncbi.nlm.nih.gov/pubmed/27869476","PubMed")</f>
        <v>PubMed</v>
      </c>
      <c r="V5195" s="30"/>
      <c r="W5195" s="49"/>
      <c r="X5195" s="49"/>
      <c r="Y5195" s="35"/>
      <c r="Z5195" s="35"/>
      <c r="AA5195" s="35"/>
      <c r="AB5195" s="35"/>
      <c r="AC5195" s="35"/>
      <c r="AD5195" s="35"/>
      <c r="AE5195" s="35"/>
      <c r="AF5195" s="35"/>
      <c r="AG5195" s="35"/>
      <c r="AH5195" s="35"/>
      <c r="AI5195" s="35"/>
      <c r="AJ5195" s="35"/>
      <c r="AK5195" s="35"/>
      <c r="AL5195" s="35"/>
    </row>
    <row r="5196">
      <c r="A5196" s="1"/>
      <c r="B5196" s="19" t="s">
        <v>19332</v>
      </c>
      <c r="C5196" s="20" t="s">
        <v>24252</v>
      </c>
      <c r="D5196" s="47"/>
      <c r="E5196" s="22" t="s">
        <v>23591</v>
      </c>
      <c r="F5196" s="22" t="s">
        <v>24662</v>
      </c>
      <c r="G5196" s="23">
        <v>2016.0</v>
      </c>
      <c r="H5196" s="22" t="s">
        <v>91</v>
      </c>
      <c r="I5196" s="24" t="s">
        <v>24663</v>
      </c>
      <c r="J5196" s="22" t="s">
        <v>24664</v>
      </c>
      <c r="K5196" s="22" t="s">
        <v>24629</v>
      </c>
      <c r="L5196" s="36">
        <v>980.0</v>
      </c>
      <c r="M5196" s="36">
        <v>100.0</v>
      </c>
      <c r="N5196" s="36"/>
      <c r="O5196" s="36"/>
      <c r="P5196" s="37" t="s">
        <v>24665</v>
      </c>
      <c r="Q5196" s="36"/>
      <c r="R5196" s="36" t="s">
        <v>24666</v>
      </c>
      <c r="S5196" s="36" t="s">
        <v>24667</v>
      </c>
      <c r="T5196" s="41" t="s">
        <v>24668</v>
      </c>
      <c r="U5196" s="38" t="str">
        <f>HYPERLINK("https://www.ncbi.nlm.nih.gov/pubmed/27680969","PubMed")</f>
        <v>PubMed</v>
      </c>
      <c r="V5196" s="30" t="s">
        <v>24669</v>
      </c>
      <c r="W5196" s="49"/>
      <c r="X5196" s="49"/>
      <c r="Y5196" s="35"/>
      <c r="Z5196" s="35"/>
      <c r="AA5196" s="35"/>
      <c r="AB5196" s="35"/>
      <c r="AC5196" s="35"/>
      <c r="AD5196" s="35"/>
      <c r="AE5196" s="35"/>
      <c r="AF5196" s="35"/>
      <c r="AG5196" s="35"/>
      <c r="AH5196" s="35"/>
      <c r="AI5196" s="35"/>
      <c r="AJ5196" s="35"/>
      <c r="AK5196" s="35"/>
      <c r="AL5196" s="35"/>
    </row>
    <row r="5197">
      <c r="A5197" s="1" t="s">
        <v>38</v>
      </c>
      <c r="B5197" s="19" t="s">
        <v>19332</v>
      </c>
      <c r="C5197" s="20" t="s">
        <v>24252</v>
      </c>
      <c r="D5197" s="47"/>
      <c r="E5197" s="22" t="s">
        <v>24670</v>
      </c>
      <c r="F5197" s="22" t="s">
        <v>24671</v>
      </c>
      <c r="G5197" s="23">
        <v>2016.0</v>
      </c>
      <c r="H5197" s="22" t="s">
        <v>12502</v>
      </c>
      <c r="I5197" s="24" t="s">
        <v>24672</v>
      </c>
      <c r="J5197" s="22" t="s">
        <v>24673</v>
      </c>
      <c r="K5197" s="22" t="s">
        <v>24674</v>
      </c>
      <c r="L5197" s="36">
        <v>850.0</v>
      </c>
      <c r="M5197" s="36" t="s">
        <v>58</v>
      </c>
      <c r="N5197" s="36" t="s">
        <v>1692</v>
      </c>
      <c r="O5197" s="36" t="s">
        <v>58</v>
      </c>
      <c r="P5197" s="37" t="s">
        <v>24675</v>
      </c>
      <c r="Q5197" s="36" t="s">
        <v>58</v>
      </c>
      <c r="R5197" s="36">
        <v>228.0</v>
      </c>
      <c r="S5197" s="36" t="s">
        <v>3478</v>
      </c>
      <c r="T5197" s="28" t="s">
        <v>24676</v>
      </c>
      <c r="U5197" s="38" t="str">
        <f>HYPERLINK("http://www.ncbi.nlm.nih.gov/pubmed/26762247","PubMed")</f>
        <v>PubMed</v>
      </c>
      <c r="V5197" s="30" t="s">
        <v>24677</v>
      </c>
      <c r="W5197" s="49"/>
      <c r="X5197" s="49"/>
      <c r="Y5197" s="35"/>
      <c r="Z5197" s="35"/>
      <c r="AA5197" s="35"/>
      <c r="AB5197" s="35"/>
      <c r="AC5197" s="35"/>
      <c r="AD5197" s="35"/>
      <c r="AE5197" s="35"/>
      <c r="AF5197" s="35"/>
      <c r="AG5197" s="35"/>
      <c r="AH5197" s="35"/>
      <c r="AI5197" s="35"/>
      <c r="AJ5197" s="35"/>
      <c r="AK5197" s="35"/>
      <c r="AL5197" s="35"/>
    </row>
    <row r="5198">
      <c r="A5198" s="1"/>
      <c r="B5198" s="19" t="s">
        <v>19332</v>
      </c>
      <c r="C5198" s="20" t="s">
        <v>24252</v>
      </c>
      <c r="D5198" s="47"/>
      <c r="E5198" s="22" t="s">
        <v>24678</v>
      </c>
      <c r="F5198" s="22" t="s">
        <v>323</v>
      </c>
      <c r="G5198" s="23">
        <v>2015.0</v>
      </c>
      <c r="H5198" s="22" t="s">
        <v>1012</v>
      </c>
      <c r="I5198" s="24" t="s">
        <v>24679</v>
      </c>
      <c r="J5198" s="22" t="s">
        <v>24680</v>
      </c>
      <c r="K5198" s="22"/>
      <c r="L5198" s="36">
        <v>880.0</v>
      </c>
      <c r="M5198" s="36">
        <v>100.0</v>
      </c>
      <c r="N5198" s="36"/>
      <c r="O5198" s="36"/>
      <c r="P5198" s="37" t="s">
        <v>432</v>
      </c>
      <c r="Q5198" s="36"/>
      <c r="R5198" s="36" t="s">
        <v>24681</v>
      </c>
      <c r="S5198" s="36" t="s">
        <v>1231</v>
      </c>
      <c r="T5198" s="41" t="s">
        <v>24682</v>
      </c>
      <c r="U5198" s="29" t="s">
        <v>61</v>
      </c>
      <c r="V5198" s="30" t="s">
        <v>24683</v>
      </c>
      <c r="W5198" s="49"/>
      <c r="X5198" s="49"/>
      <c r="Y5198" s="35"/>
      <c r="Z5198" s="35"/>
      <c r="AA5198" s="35"/>
      <c r="AB5198" s="35"/>
      <c r="AC5198" s="35"/>
      <c r="AD5198" s="35"/>
      <c r="AE5198" s="35"/>
      <c r="AF5198" s="35"/>
      <c r="AG5198" s="35"/>
      <c r="AH5198" s="35"/>
      <c r="AI5198" s="35"/>
      <c r="AJ5198" s="35"/>
      <c r="AK5198" s="35"/>
      <c r="AL5198" s="35"/>
    </row>
    <row r="5199">
      <c r="A5199" s="180"/>
      <c r="B5199" s="19" t="s">
        <v>19332</v>
      </c>
      <c r="C5199" s="20" t="s">
        <v>24252</v>
      </c>
      <c r="D5199" s="47"/>
      <c r="E5199" s="22" t="s">
        <v>7055</v>
      </c>
      <c r="F5199" s="22" t="s">
        <v>2445</v>
      </c>
      <c r="G5199" s="23">
        <v>2015.0</v>
      </c>
      <c r="H5199" s="22" t="s">
        <v>23640</v>
      </c>
      <c r="I5199" s="24" t="s">
        <v>24684</v>
      </c>
      <c r="J5199" s="22" t="s">
        <v>24685</v>
      </c>
      <c r="K5199" s="22" t="s">
        <v>157</v>
      </c>
      <c r="L5199" s="36"/>
      <c r="M5199" s="36"/>
      <c r="N5199" s="36"/>
      <c r="O5199" s="129"/>
      <c r="P5199" s="37" t="s">
        <v>24686</v>
      </c>
      <c r="Q5199" s="36"/>
      <c r="R5199" s="36">
        <v>1260.0</v>
      </c>
      <c r="S5199" s="36" t="s">
        <v>3478</v>
      </c>
      <c r="T5199" s="41" t="s">
        <v>24687</v>
      </c>
      <c r="U5199" s="38" t="str">
        <f>HYPERLINK("https://www.ncbi.nlm.nih.gov/pubmed/26216550","PubMed")</f>
        <v>PubMed</v>
      </c>
      <c r="V5199" s="30"/>
      <c r="W5199" s="49"/>
      <c r="X5199" s="49"/>
      <c r="Y5199" s="35"/>
      <c r="Z5199" s="35"/>
      <c r="AA5199" s="35"/>
      <c r="AB5199" s="35"/>
      <c r="AC5199" s="35"/>
      <c r="AD5199" s="35"/>
      <c r="AE5199" s="35"/>
      <c r="AF5199" s="35"/>
      <c r="AG5199" s="35"/>
      <c r="AH5199" s="35"/>
      <c r="AI5199" s="35"/>
      <c r="AJ5199" s="35"/>
      <c r="AK5199" s="35"/>
      <c r="AL5199" s="35"/>
    </row>
    <row r="5200">
      <c r="A5200" s="180"/>
      <c r="B5200" s="19" t="s">
        <v>19332</v>
      </c>
      <c r="C5200" s="20" t="s">
        <v>24252</v>
      </c>
      <c r="D5200" s="47"/>
      <c r="E5200" s="22" t="s">
        <v>24688</v>
      </c>
      <c r="F5200" s="22" t="s">
        <v>323</v>
      </c>
      <c r="G5200" s="23">
        <v>2015.0</v>
      </c>
      <c r="H5200" s="22" t="s">
        <v>91</v>
      </c>
      <c r="I5200" s="24" t="s">
        <v>24689</v>
      </c>
      <c r="J5200" s="22" t="s">
        <v>55</v>
      </c>
      <c r="K5200" s="22" t="s">
        <v>24690</v>
      </c>
      <c r="L5200" s="36">
        <v>660.0</v>
      </c>
      <c r="M5200" s="36">
        <v>25.0</v>
      </c>
      <c r="N5200" s="36" t="s">
        <v>58</v>
      </c>
      <c r="O5200" s="129">
        <v>43227.0</v>
      </c>
      <c r="P5200" s="37" t="s">
        <v>58</v>
      </c>
      <c r="Q5200" s="36" t="s">
        <v>675</v>
      </c>
      <c r="R5200" s="36">
        <v>300.0</v>
      </c>
      <c r="S5200" s="36">
        <v>6.0</v>
      </c>
      <c r="T5200" s="28" t="s">
        <v>24691</v>
      </c>
      <c r="U5200" s="38" t="str">
        <f>HYPERLINK("https://www.ncbi.nlm.nih.gov/pubmed/23917413","PubMed")</f>
        <v>PubMed</v>
      </c>
      <c r="V5200" s="30"/>
      <c r="W5200" s="49"/>
      <c r="X5200" s="49"/>
      <c r="Y5200" s="35"/>
      <c r="Z5200" s="35"/>
      <c r="AA5200" s="35"/>
      <c r="AB5200" s="35"/>
      <c r="AC5200" s="35"/>
      <c r="AD5200" s="35"/>
      <c r="AE5200" s="35"/>
      <c r="AF5200" s="35"/>
      <c r="AG5200" s="35"/>
      <c r="AH5200" s="35"/>
      <c r="AI5200" s="35"/>
      <c r="AJ5200" s="35"/>
      <c r="AK5200" s="35"/>
      <c r="AL5200" s="35"/>
    </row>
    <row r="5201">
      <c r="A5201" s="1"/>
      <c r="B5201" s="19" t="s">
        <v>19332</v>
      </c>
      <c r="C5201" s="20" t="s">
        <v>24252</v>
      </c>
      <c r="D5201" s="47"/>
      <c r="E5201" s="22" t="s">
        <v>978</v>
      </c>
      <c r="F5201" s="22" t="s">
        <v>979</v>
      </c>
      <c r="G5201" s="23">
        <v>2015.0</v>
      </c>
      <c r="H5201" s="22" t="s">
        <v>91</v>
      </c>
      <c r="I5201" s="24" t="s">
        <v>24692</v>
      </c>
      <c r="J5201" s="22" t="s">
        <v>55</v>
      </c>
      <c r="K5201" s="22" t="s">
        <v>24693</v>
      </c>
      <c r="L5201" s="36">
        <v>618.0</v>
      </c>
      <c r="M5201" s="36" t="s">
        <v>821</v>
      </c>
      <c r="N5201" s="36"/>
      <c r="O5201" s="36"/>
      <c r="P5201" s="37"/>
      <c r="Q5201" s="36"/>
      <c r="R5201" s="36">
        <v>1200.0</v>
      </c>
      <c r="S5201" s="36" t="s">
        <v>132</v>
      </c>
      <c r="T5201" s="28" t="s">
        <v>24694</v>
      </c>
      <c r="U5201" s="38" t="str">
        <f>HYPERLINK("https://www.ncbi.nlm.nih.gov/pubmed/23990217","PubMed")</f>
        <v>PubMed</v>
      </c>
      <c r="V5201" s="50"/>
      <c r="W5201" s="49"/>
      <c r="X5201" s="49"/>
      <c r="Y5201" s="35"/>
      <c r="Z5201" s="35"/>
      <c r="AA5201" s="35"/>
      <c r="AB5201" s="35"/>
      <c r="AC5201" s="35"/>
      <c r="AD5201" s="35"/>
      <c r="AE5201" s="35"/>
      <c r="AF5201" s="35"/>
      <c r="AG5201" s="35"/>
      <c r="AH5201" s="35"/>
      <c r="AI5201" s="35"/>
      <c r="AJ5201" s="35"/>
      <c r="AK5201" s="35"/>
      <c r="AL5201" s="35"/>
    </row>
    <row r="5202">
      <c r="A5202" s="1"/>
      <c r="B5202" s="19" t="s">
        <v>19332</v>
      </c>
      <c r="C5202" s="20" t="s">
        <v>24252</v>
      </c>
      <c r="D5202" s="47"/>
      <c r="E5202" s="22" t="s">
        <v>12717</v>
      </c>
      <c r="F5202" s="22" t="s">
        <v>1337</v>
      </c>
      <c r="G5202" s="23">
        <v>2015.0</v>
      </c>
      <c r="H5202" s="22" t="s">
        <v>91</v>
      </c>
      <c r="I5202" s="24" t="s">
        <v>24695</v>
      </c>
      <c r="J5202" s="22" t="s">
        <v>24696</v>
      </c>
      <c r="K5202" s="22" t="s">
        <v>7020</v>
      </c>
      <c r="L5202" s="36">
        <v>670.0</v>
      </c>
      <c r="M5202" s="36">
        <v>200.0</v>
      </c>
      <c r="N5202" s="36" t="s">
        <v>24697</v>
      </c>
      <c r="O5202" s="36"/>
      <c r="P5202" s="37"/>
      <c r="Q5202" s="36"/>
      <c r="R5202" s="36">
        <v>540.0</v>
      </c>
      <c r="S5202" s="36" t="s">
        <v>24698</v>
      </c>
      <c r="T5202" s="42" t="s">
        <v>24699</v>
      </c>
      <c r="U5202" s="38" t="str">
        <f>HYPERLINK("http://www.ncbi.nlm.nih.gov/pubmed/24346335","PubMed")</f>
        <v>PubMed</v>
      </c>
      <c r="V5202" s="30"/>
      <c r="W5202" s="49"/>
      <c r="X5202" s="49"/>
      <c r="Y5202" s="35"/>
      <c r="Z5202" s="35"/>
      <c r="AA5202" s="35"/>
      <c r="AB5202" s="35"/>
      <c r="AC5202" s="35"/>
      <c r="AD5202" s="35"/>
      <c r="AE5202" s="35"/>
      <c r="AF5202" s="35"/>
      <c r="AG5202" s="35"/>
      <c r="AH5202" s="35"/>
      <c r="AI5202" s="35"/>
      <c r="AJ5202" s="35"/>
      <c r="AK5202" s="35"/>
      <c r="AL5202" s="35"/>
    </row>
    <row r="5203">
      <c r="A5203" s="1"/>
      <c r="B5203" s="19" t="s">
        <v>19332</v>
      </c>
      <c r="C5203" s="20" t="s">
        <v>24252</v>
      </c>
      <c r="D5203" s="47"/>
      <c r="E5203" s="22" t="s">
        <v>24700</v>
      </c>
      <c r="F5203" s="22" t="s">
        <v>22556</v>
      </c>
      <c r="G5203" s="23">
        <v>2015.0</v>
      </c>
      <c r="H5203" s="22" t="s">
        <v>91</v>
      </c>
      <c r="I5203" s="24" t="s">
        <v>24701</v>
      </c>
      <c r="J5203" s="22" t="s">
        <v>1078</v>
      </c>
      <c r="K5203" s="22"/>
      <c r="L5203" s="167" t="s">
        <v>24702</v>
      </c>
      <c r="M5203" s="44"/>
      <c r="N5203" s="44"/>
      <c r="O5203" s="44"/>
      <c r="P5203" s="44"/>
      <c r="Q5203" s="44"/>
      <c r="R5203" s="44"/>
      <c r="S5203" s="44"/>
      <c r="T5203" s="45"/>
      <c r="U5203" s="38" t="str">
        <f>HYPERLINK("https://www.ncbi.nlm.nih.gov/pubmed/24326745","PubMed")</f>
        <v>PubMed</v>
      </c>
      <c r="V5203" s="30"/>
      <c r="W5203" s="49"/>
      <c r="X5203" s="49"/>
      <c r="Y5203" s="35"/>
      <c r="Z5203" s="35"/>
      <c r="AA5203" s="35"/>
      <c r="AB5203" s="35"/>
      <c r="AC5203" s="35"/>
      <c r="AD5203" s="35"/>
      <c r="AE5203" s="35"/>
      <c r="AF5203" s="35"/>
      <c r="AG5203" s="35"/>
      <c r="AH5203" s="35"/>
      <c r="AI5203" s="35"/>
      <c r="AJ5203" s="35"/>
      <c r="AK5203" s="35"/>
      <c r="AL5203" s="35"/>
    </row>
    <row r="5204">
      <c r="A5204" s="1"/>
      <c r="B5204" s="19" t="s">
        <v>19332</v>
      </c>
      <c r="C5204" s="20" t="s">
        <v>24252</v>
      </c>
      <c r="D5204" s="47"/>
      <c r="E5204" s="22" t="s">
        <v>24703</v>
      </c>
      <c r="F5204" s="22" t="s">
        <v>2801</v>
      </c>
      <c r="G5204" s="23">
        <v>2015.0</v>
      </c>
      <c r="H5204" s="22" t="s">
        <v>91</v>
      </c>
      <c r="I5204" s="24" t="s">
        <v>24704</v>
      </c>
      <c r="J5204" s="22" t="s">
        <v>1078</v>
      </c>
      <c r="K5204" s="22" t="s">
        <v>1240</v>
      </c>
      <c r="L5204" s="43" t="s">
        <v>24705</v>
      </c>
      <c r="M5204" s="44"/>
      <c r="N5204" s="44"/>
      <c r="O5204" s="44"/>
      <c r="P5204" s="44"/>
      <c r="Q5204" s="44"/>
      <c r="R5204" s="44"/>
      <c r="S5204" s="44"/>
      <c r="T5204" s="45"/>
      <c r="U5204" s="38" t="str">
        <f>HYPERLINK("https://www.ncbi.nlm.nih.gov/pubmed/24554452","PubMed")</f>
        <v>PubMed</v>
      </c>
      <c r="V5204" s="30"/>
      <c r="W5204" s="49"/>
      <c r="X5204" s="49"/>
      <c r="Y5204" s="35"/>
      <c r="Z5204" s="35"/>
      <c r="AA5204" s="35"/>
      <c r="AB5204" s="35"/>
      <c r="AC5204" s="35"/>
      <c r="AD5204" s="35"/>
      <c r="AE5204" s="35"/>
      <c r="AF5204" s="35"/>
      <c r="AG5204" s="35"/>
      <c r="AH5204" s="35"/>
      <c r="AI5204" s="35"/>
      <c r="AJ5204" s="35"/>
      <c r="AK5204" s="35"/>
      <c r="AL5204" s="35"/>
    </row>
    <row r="5205">
      <c r="A5205" s="40" t="s">
        <v>181</v>
      </c>
      <c r="B5205" s="19" t="s">
        <v>19332</v>
      </c>
      <c r="C5205" s="20" t="s">
        <v>24252</v>
      </c>
      <c r="D5205" s="47"/>
      <c r="E5205" s="22" t="s">
        <v>21772</v>
      </c>
      <c r="F5205" s="22" t="s">
        <v>323</v>
      </c>
      <c r="G5205" s="23">
        <v>2014.0</v>
      </c>
      <c r="H5205" s="22" t="s">
        <v>19759</v>
      </c>
      <c r="I5205" s="24" t="s">
        <v>24706</v>
      </c>
      <c r="J5205" s="22" t="s">
        <v>253</v>
      </c>
      <c r="K5205" s="22" t="s">
        <v>24707</v>
      </c>
      <c r="L5205" s="36">
        <v>808.0</v>
      </c>
      <c r="M5205" s="36"/>
      <c r="N5205" s="36"/>
      <c r="O5205" s="36"/>
      <c r="P5205" s="37" t="s">
        <v>82</v>
      </c>
      <c r="Q5205" s="36"/>
      <c r="R5205" s="36"/>
      <c r="S5205" s="36">
        <v>20.0</v>
      </c>
      <c r="T5205" s="42" t="s">
        <v>24708</v>
      </c>
      <c r="U5205" s="38" t="str">
        <f>HYPERLINK("https://www.ncbi.nlm.nih.gov/pubmed/24688562","PubMed")</f>
        <v>PubMed</v>
      </c>
      <c r="V5205" s="30"/>
      <c r="W5205" s="49"/>
      <c r="X5205" s="49"/>
      <c r="Y5205" s="35"/>
      <c r="Z5205" s="35"/>
      <c r="AA5205" s="35"/>
      <c r="AB5205" s="35"/>
      <c r="AC5205" s="35"/>
      <c r="AD5205" s="35"/>
      <c r="AE5205" s="35"/>
      <c r="AF5205" s="35"/>
      <c r="AG5205" s="35"/>
      <c r="AH5205" s="35"/>
      <c r="AI5205" s="35"/>
      <c r="AJ5205" s="35"/>
      <c r="AK5205" s="35"/>
      <c r="AL5205" s="35"/>
    </row>
    <row r="5206">
      <c r="A5206" s="1"/>
      <c r="B5206" s="75" t="s">
        <v>19332</v>
      </c>
      <c r="C5206" s="20" t="s">
        <v>24252</v>
      </c>
      <c r="D5206" s="47"/>
      <c r="E5206" s="22" t="s">
        <v>24709</v>
      </c>
      <c r="F5206" s="22" t="s">
        <v>24710</v>
      </c>
      <c r="G5206" s="23">
        <v>2014.0</v>
      </c>
      <c r="H5206" s="22" t="s">
        <v>19759</v>
      </c>
      <c r="I5206" s="24" t="s">
        <v>24711</v>
      </c>
      <c r="J5206" s="22" t="s">
        <v>24712</v>
      </c>
      <c r="K5206" s="22"/>
      <c r="L5206" s="292">
        <v>904.0</v>
      </c>
      <c r="M5206" s="292">
        <v>12.0</v>
      </c>
      <c r="N5206" s="292"/>
      <c r="O5206" s="292"/>
      <c r="P5206" s="366" t="s">
        <v>20995</v>
      </c>
      <c r="Q5206" s="292"/>
      <c r="R5206" s="292">
        <v>10.0</v>
      </c>
      <c r="S5206" s="292" t="s">
        <v>24713</v>
      </c>
      <c r="T5206" s="41" t="s">
        <v>24714</v>
      </c>
      <c r="U5206" s="38" t="str">
        <f>HYPERLINK("https://www.ncbi.nlm.nih.gov/pubmed/25225562","PubMed")</f>
        <v>PubMed</v>
      </c>
      <c r="V5206" s="30"/>
      <c r="W5206" s="49"/>
      <c r="X5206" s="49"/>
      <c r="Y5206" s="35"/>
      <c r="Z5206" s="35"/>
      <c r="AA5206" s="35"/>
      <c r="AB5206" s="35"/>
      <c r="AC5206" s="35"/>
      <c r="AD5206" s="35"/>
      <c r="AE5206" s="35"/>
      <c r="AF5206" s="35"/>
      <c r="AG5206" s="35"/>
      <c r="AH5206" s="35"/>
      <c r="AI5206" s="35"/>
      <c r="AJ5206" s="35"/>
      <c r="AK5206" s="35"/>
      <c r="AL5206" s="35"/>
    </row>
    <row r="5207">
      <c r="A5207" s="1"/>
      <c r="B5207" s="19" t="s">
        <v>19332</v>
      </c>
      <c r="C5207" s="20" t="s">
        <v>24252</v>
      </c>
      <c r="D5207" s="47"/>
      <c r="E5207" s="22" t="s">
        <v>7573</v>
      </c>
      <c r="F5207" s="22" t="s">
        <v>299</v>
      </c>
      <c r="G5207" s="23">
        <v>2014.0</v>
      </c>
      <c r="H5207" s="22" t="s">
        <v>798</v>
      </c>
      <c r="I5207" s="24" t="s">
        <v>24715</v>
      </c>
      <c r="J5207" s="22" t="s">
        <v>24716</v>
      </c>
      <c r="K5207" s="22"/>
      <c r="L5207" s="36"/>
      <c r="M5207" s="36"/>
      <c r="N5207" s="36"/>
      <c r="O5207" s="36"/>
      <c r="P5207" s="37"/>
      <c r="Q5207" s="36"/>
      <c r="R5207" s="36"/>
      <c r="S5207" s="36"/>
      <c r="T5207" s="41" t="s">
        <v>24717</v>
      </c>
      <c r="U5207" s="38" t="str">
        <f>HYPERLINK("https://www.ncbi.nlm.nih.gov/pubmed/24704036","PubMed")</f>
        <v>PubMed</v>
      </c>
      <c r="V5207" s="30"/>
      <c r="W5207" s="49"/>
      <c r="X5207" s="49"/>
      <c r="Y5207" s="35"/>
      <c r="Z5207" s="35"/>
      <c r="AA5207" s="35"/>
      <c r="AB5207" s="35"/>
      <c r="AC5207" s="35"/>
      <c r="AD5207" s="35"/>
      <c r="AE5207" s="35"/>
      <c r="AF5207" s="35"/>
      <c r="AG5207" s="35"/>
      <c r="AH5207" s="35"/>
      <c r="AI5207" s="35"/>
      <c r="AJ5207" s="35"/>
      <c r="AK5207" s="35"/>
      <c r="AL5207" s="35"/>
    </row>
    <row r="5208">
      <c r="A5208" s="1"/>
      <c r="B5208" s="19" t="s">
        <v>19332</v>
      </c>
      <c r="C5208" s="20" t="s">
        <v>24252</v>
      </c>
      <c r="D5208" s="47"/>
      <c r="E5208" s="22" t="s">
        <v>20980</v>
      </c>
      <c r="F5208" s="22" t="s">
        <v>11529</v>
      </c>
      <c r="G5208" s="23">
        <v>2014.0</v>
      </c>
      <c r="H5208" s="22" t="s">
        <v>24718</v>
      </c>
      <c r="I5208" s="24" t="s">
        <v>24719</v>
      </c>
      <c r="J5208" s="22" t="s">
        <v>24720</v>
      </c>
      <c r="K5208" s="22" t="s">
        <v>7020</v>
      </c>
      <c r="L5208" s="36">
        <v>810.0</v>
      </c>
      <c r="M5208" s="36">
        <v>200.0</v>
      </c>
      <c r="N5208" s="36"/>
      <c r="O5208" s="36"/>
      <c r="P5208" s="37" t="s">
        <v>24721</v>
      </c>
      <c r="Q5208" s="36"/>
      <c r="R5208" s="36"/>
      <c r="S5208" s="36" t="s">
        <v>24722</v>
      </c>
      <c r="T5208" s="41" t="s">
        <v>24723</v>
      </c>
      <c r="U5208" s="38" t="str">
        <f>HYPERLINK("https://www.ncbi.nlm.nih.gov/pubmed/24984620","PubMed")</f>
        <v>PubMed</v>
      </c>
      <c r="V5208" s="30"/>
      <c r="W5208" s="49"/>
      <c r="X5208" s="49"/>
      <c r="Y5208" s="35"/>
      <c r="Z5208" s="35"/>
      <c r="AA5208" s="35"/>
      <c r="AB5208" s="35"/>
      <c r="AC5208" s="35"/>
      <c r="AD5208" s="35"/>
      <c r="AE5208" s="35"/>
      <c r="AF5208" s="35"/>
      <c r="AG5208" s="35"/>
      <c r="AH5208" s="35"/>
      <c r="AI5208" s="35"/>
      <c r="AJ5208" s="35"/>
      <c r="AK5208" s="35"/>
      <c r="AL5208" s="35"/>
    </row>
    <row r="5209">
      <c r="A5209" s="1"/>
      <c r="B5209" s="19" t="s">
        <v>19332</v>
      </c>
      <c r="C5209" s="20" t="s">
        <v>24252</v>
      </c>
      <c r="D5209" s="47"/>
      <c r="E5209" s="22" t="s">
        <v>24724</v>
      </c>
      <c r="F5209" s="22" t="s">
        <v>19584</v>
      </c>
      <c r="G5209" s="23">
        <v>2014.0</v>
      </c>
      <c r="H5209" s="22" t="s">
        <v>20582</v>
      </c>
      <c r="I5209" s="24" t="s">
        <v>24725</v>
      </c>
      <c r="J5209" s="22" t="s">
        <v>1078</v>
      </c>
      <c r="K5209" s="22"/>
      <c r="L5209" s="171" t="s">
        <v>24726</v>
      </c>
      <c r="M5209" s="44"/>
      <c r="N5209" s="44"/>
      <c r="O5209" s="44"/>
      <c r="P5209" s="44"/>
      <c r="Q5209" s="44"/>
      <c r="R5209" s="44"/>
      <c r="S5209" s="44"/>
      <c r="T5209" s="45"/>
      <c r="U5209" s="38" t="str">
        <f>HYPERLINK("https://www.ncbi.nlm.nih.gov/pubmed/25072362","PubMed")</f>
        <v>PubMed</v>
      </c>
      <c r="V5209" s="50"/>
      <c r="W5209" s="34"/>
      <c r="X5209" s="34"/>
      <c r="Y5209" s="35"/>
      <c r="Z5209" s="35"/>
      <c r="AA5209" s="35"/>
      <c r="AB5209" s="35"/>
      <c r="AC5209" s="35"/>
      <c r="AD5209" s="35"/>
      <c r="AE5209" s="35"/>
      <c r="AF5209" s="35"/>
      <c r="AG5209" s="35"/>
      <c r="AH5209" s="35"/>
      <c r="AI5209" s="35"/>
      <c r="AJ5209" s="35"/>
      <c r="AK5209" s="35"/>
      <c r="AL5209" s="35"/>
    </row>
    <row r="5210">
      <c r="A5210" s="1"/>
      <c r="B5210" s="19" t="s">
        <v>19332</v>
      </c>
      <c r="C5210" s="20" t="s">
        <v>24252</v>
      </c>
      <c r="D5210" s="47"/>
      <c r="E5210" s="22" t="s">
        <v>24727</v>
      </c>
      <c r="F5210" s="22" t="s">
        <v>1337</v>
      </c>
      <c r="G5210" s="23">
        <v>2014.0</v>
      </c>
      <c r="H5210" s="22" t="s">
        <v>658</v>
      </c>
      <c r="I5210" s="24" t="s">
        <v>24728</v>
      </c>
      <c r="J5210" s="22" t="s">
        <v>649</v>
      </c>
      <c r="K5210" s="22"/>
      <c r="L5210" s="171" t="s">
        <v>24729</v>
      </c>
      <c r="M5210" s="44"/>
      <c r="N5210" s="44"/>
      <c r="O5210" s="44"/>
      <c r="P5210" s="44"/>
      <c r="Q5210" s="44"/>
      <c r="R5210" s="44"/>
      <c r="S5210" s="44"/>
      <c r="T5210" s="45"/>
      <c r="U5210" s="38" t="str">
        <f>HYPERLINK("http://www.ncbi.nlm.nih.gov/pubmed/24628587","PubMed")</f>
        <v>PubMed</v>
      </c>
      <c r="V5210" s="50"/>
      <c r="W5210" s="130" t="str">
        <f>HYPERLINK("https://www.ncbi.nlm.nih.gov/pubmed/24786132","Editorial Comment")</f>
        <v>Editorial Comment</v>
      </c>
      <c r="X5210" s="130" t="str">
        <f>HYPERLINK("https://www.ncbi.nlm.nih.gov/pubmed/25101537","Another comment (Letter to the Editor)")</f>
        <v>Another comment (Letter to the Editor)</v>
      </c>
      <c r="Y5210" s="35"/>
      <c r="Z5210" s="35"/>
      <c r="AA5210" s="35"/>
      <c r="AB5210" s="35"/>
      <c r="AC5210" s="35"/>
      <c r="AD5210" s="35"/>
      <c r="AE5210" s="35"/>
      <c r="AF5210" s="35"/>
      <c r="AG5210" s="35"/>
      <c r="AH5210" s="35"/>
      <c r="AI5210" s="35"/>
      <c r="AJ5210" s="35"/>
      <c r="AK5210" s="35"/>
      <c r="AL5210" s="35"/>
    </row>
    <row r="5211">
      <c r="A5211" s="1"/>
      <c r="B5211" s="19" t="s">
        <v>19332</v>
      </c>
      <c r="C5211" s="20" t="s">
        <v>24252</v>
      </c>
      <c r="D5211" s="47"/>
      <c r="E5211" s="22" t="s">
        <v>24730</v>
      </c>
      <c r="F5211" s="22" t="s">
        <v>797</v>
      </c>
      <c r="G5211" s="23">
        <v>2013.0</v>
      </c>
      <c r="H5211" s="22" t="s">
        <v>658</v>
      </c>
      <c r="I5211" s="24" t="s">
        <v>24731</v>
      </c>
      <c r="J5211" s="22" t="s">
        <v>125</v>
      </c>
      <c r="K5211" s="22"/>
      <c r="L5211" s="105" t="s">
        <v>24732</v>
      </c>
      <c r="M5211" s="44"/>
      <c r="N5211" s="44"/>
      <c r="O5211" s="44"/>
      <c r="P5211" s="44"/>
      <c r="Q5211" s="44"/>
      <c r="R5211" s="44"/>
      <c r="S5211" s="44"/>
      <c r="T5211" s="45"/>
      <c r="U5211" s="38" t="str">
        <f>HYPERLINK("https://www.ncbi.nlm.nih.gov/pubmed/23883115","PubMed")</f>
        <v>PubMed</v>
      </c>
      <c r="V5211" s="30"/>
      <c r="W5211" s="49"/>
      <c r="X5211" s="49"/>
      <c r="Y5211" s="35"/>
      <c r="Z5211" s="35"/>
      <c r="AA5211" s="35"/>
      <c r="AB5211" s="35"/>
      <c r="AC5211" s="35"/>
      <c r="AD5211" s="35"/>
      <c r="AE5211" s="35"/>
      <c r="AF5211" s="35"/>
      <c r="AG5211" s="35"/>
      <c r="AH5211" s="35"/>
      <c r="AI5211" s="35"/>
      <c r="AJ5211" s="35"/>
      <c r="AK5211" s="35"/>
      <c r="AL5211" s="35"/>
    </row>
    <row r="5212">
      <c r="A5212" s="205" t="s">
        <v>38</v>
      </c>
      <c r="B5212" s="19" t="s">
        <v>19332</v>
      </c>
      <c r="C5212" s="20" t="s">
        <v>24252</v>
      </c>
      <c r="D5212" s="47"/>
      <c r="E5212" s="22" t="s">
        <v>24733</v>
      </c>
      <c r="F5212" s="22" t="s">
        <v>7910</v>
      </c>
      <c r="G5212" s="23">
        <v>2013.0</v>
      </c>
      <c r="H5212" s="22" t="s">
        <v>23604</v>
      </c>
      <c r="I5212" s="24" t="s">
        <v>24734</v>
      </c>
      <c r="J5212" s="22" t="s">
        <v>24735</v>
      </c>
      <c r="K5212" s="22" t="s">
        <v>24736</v>
      </c>
      <c r="L5212" s="36">
        <v>850.0</v>
      </c>
      <c r="M5212" s="36"/>
      <c r="N5212" s="36" t="s">
        <v>8949</v>
      </c>
      <c r="O5212" s="36"/>
      <c r="P5212" s="37" t="s">
        <v>24737</v>
      </c>
      <c r="Q5212" s="36"/>
      <c r="R5212" s="36"/>
      <c r="S5212" s="36"/>
      <c r="T5212" s="28" t="s">
        <v>24738</v>
      </c>
      <c r="U5212" s="38" t="str">
        <f>HYPERLINK("https://www.ncbi.nlm.nih.gov/pubmed/24326198","PubMed")</f>
        <v>PubMed</v>
      </c>
      <c r="V5212" s="30" t="s">
        <v>24739</v>
      </c>
      <c r="W5212" s="49"/>
      <c r="X5212" s="49"/>
      <c r="Y5212" s="35"/>
      <c r="Z5212" s="35"/>
      <c r="AA5212" s="35"/>
      <c r="AB5212" s="35"/>
      <c r="AC5212" s="35"/>
      <c r="AD5212" s="35"/>
      <c r="AE5212" s="35"/>
      <c r="AF5212" s="35"/>
      <c r="AG5212" s="35"/>
      <c r="AH5212" s="35"/>
      <c r="AI5212" s="35"/>
      <c r="AJ5212" s="35"/>
      <c r="AK5212" s="35"/>
      <c r="AL5212" s="35"/>
    </row>
    <row r="5213">
      <c r="A5213" s="1"/>
      <c r="B5213" s="19" t="s">
        <v>19332</v>
      </c>
      <c r="C5213" s="20" t="s">
        <v>24252</v>
      </c>
      <c r="D5213" s="47"/>
      <c r="E5213" s="22" t="s">
        <v>24740</v>
      </c>
      <c r="F5213" s="22" t="s">
        <v>993</v>
      </c>
      <c r="G5213" s="23">
        <v>2013.0</v>
      </c>
      <c r="H5213" s="22" t="s">
        <v>24741</v>
      </c>
      <c r="I5213" s="24" t="s">
        <v>24742</v>
      </c>
      <c r="J5213" s="22" t="s">
        <v>55</v>
      </c>
      <c r="K5213" s="22"/>
      <c r="L5213" s="36">
        <v>830.0</v>
      </c>
      <c r="M5213" s="36">
        <v>100.0</v>
      </c>
      <c r="N5213" s="36"/>
      <c r="O5213" s="36">
        <v>54.0</v>
      </c>
      <c r="P5213" s="37" t="s">
        <v>24743</v>
      </c>
      <c r="Q5213" s="36" t="s">
        <v>24744</v>
      </c>
      <c r="R5213" s="36">
        <v>180.0</v>
      </c>
      <c r="S5213" s="36"/>
      <c r="T5213" s="41" t="s">
        <v>24745</v>
      </c>
      <c r="U5213" s="38" t="str">
        <f>HYPERLINK("https://www.ncbi.nlm.nih.gov/pubmed/23876967","PubMed")</f>
        <v>PubMed</v>
      </c>
      <c r="V5213" s="30"/>
      <c r="W5213" s="49"/>
      <c r="X5213" s="49"/>
      <c r="Y5213" s="35"/>
      <c r="Z5213" s="35"/>
      <c r="AA5213" s="35"/>
      <c r="AB5213" s="35"/>
      <c r="AC5213" s="35"/>
      <c r="AD5213" s="35"/>
      <c r="AE5213" s="35"/>
      <c r="AF5213" s="35"/>
      <c r="AG5213" s="35"/>
      <c r="AH5213" s="35"/>
      <c r="AI5213" s="35"/>
      <c r="AJ5213" s="35"/>
      <c r="AK5213" s="35"/>
      <c r="AL5213" s="35"/>
    </row>
    <row r="5214">
      <c r="A5214" s="1"/>
      <c r="B5214" s="19" t="s">
        <v>19332</v>
      </c>
      <c r="C5214" s="20" t="s">
        <v>24252</v>
      </c>
      <c r="D5214" s="47"/>
      <c r="E5214" s="22" t="s">
        <v>24746</v>
      </c>
      <c r="F5214" s="22" t="s">
        <v>183</v>
      </c>
      <c r="G5214" s="23">
        <v>2012.0</v>
      </c>
      <c r="H5214" s="22" t="s">
        <v>658</v>
      </c>
      <c r="I5214" s="24" t="s">
        <v>24747</v>
      </c>
      <c r="J5214" s="22" t="s">
        <v>55</v>
      </c>
      <c r="K5214" s="22"/>
      <c r="L5214" s="36">
        <v>790.0</v>
      </c>
      <c r="M5214" s="36">
        <v>40.0</v>
      </c>
      <c r="N5214" s="36" t="s">
        <v>24748</v>
      </c>
      <c r="O5214" s="36">
        <v>20.0</v>
      </c>
      <c r="P5214" s="37" t="s">
        <v>24749</v>
      </c>
      <c r="Q5214" s="36" t="s">
        <v>989</v>
      </c>
      <c r="R5214" s="36">
        <v>499.0</v>
      </c>
      <c r="S5214" s="36"/>
      <c r="T5214" s="42" t="s">
        <v>24750</v>
      </c>
      <c r="U5214" s="38" t="str">
        <f>HYPERLINK("https://www.ncbi.nlm.nih.gov/pubmed/22321059","PubMed")</f>
        <v>PubMed</v>
      </c>
      <c r="V5214" s="30"/>
      <c r="W5214" s="34"/>
      <c r="X5214" s="49"/>
      <c r="Y5214" s="35"/>
      <c r="Z5214" s="35"/>
      <c r="AA5214" s="35"/>
      <c r="AB5214" s="35"/>
      <c r="AC5214" s="35"/>
      <c r="AD5214" s="35"/>
      <c r="AE5214" s="35"/>
      <c r="AF5214" s="35"/>
      <c r="AG5214" s="35"/>
      <c r="AH5214" s="35"/>
      <c r="AI5214" s="35"/>
      <c r="AJ5214" s="35"/>
      <c r="AK5214" s="35"/>
      <c r="AL5214" s="35"/>
    </row>
    <row r="5215">
      <c r="A5215" s="1"/>
      <c r="B5215" s="19" t="s">
        <v>19332</v>
      </c>
      <c r="C5215" s="20" t="s">
        <v>24252</v>
      </c>
      <c r="D5215" s="47"/>
      <c r="E5215" s="22" t="s">
        <v>24751</v>
      </c>
      <c r="F5215" s="22" t="s">
        <v>24752</v>
      </c>
      <c r="G5215" s="23">
        <v>2012.0</v>
      </c>
      <c r="H5215" s="22" t="s">
        <v>23828</v>
      </c>
      <c r="I5215" s="24" t="s">
        <v>24753</v>
      </c>
      <c r="J5215" s="22" t="s">
        <v>24754</v>
      </c>
      <c r="K5215" s="22"/>
      <c r="L5215" s="36">
        <v>808.0</v>
      </c>
      <c r="M5215" s="36" t="s">
        <v>24755</v>
      </c>
      <c r="N5215" s="36"/>
      <c r="O5215" s="36"/>
      <c r="P5215" s="37"/>
      <c r="Q5215" s="36" t="s">
        <v>1199</v>
      </c>
      <c r="R5215" s="36"/>
      <c r="S5215" s="36" t="s">
        <v>24756</v>
      </c>
      <c r="T5215" s="28" t="s">
        <v>24757</v>
      </c>
      <c r="U5215" s="38" t="str">
        <f>HYPERLINK("https://www.ncbi.nlm.nih.gov/pubmed/22381489","PubMed")</f>
        <v>PubMed</v>
      </c>
      <c r="V5215" s="30"/>
      <c r="W5215" s="130" t="str">
        <f>HYPERLINK("https://www.ncbi.nlm.nih.gov/pubmed/22748981","Comment")</f>
        <v>Comment</v>
      </c>
      <c r="X5215" s="49"/>
      <c r="Y5215" s="35"/>
      <c r="Z5215" s="35"/>
      <c r="AA5215" s="35"/>
      <c r="AB5215" s="35"/>
      <c r="AC5215" s="35"/>
      <c r="AD5215" s="35"/>
      <c r="AE5215" s="35"/>
      <c r="AF5215" s="35"/>
      <c r="AG5215" s="35"/>
      <c r="AH5215" s="35"/>
      <c r="AI5215" s="35"/>
      <c r="AJ5215" s="35"/>
      <c r="AK5215" s="35"/>
      <c r="AL5215" s="35"/>
    </row>
    <row r="5216">
      <c r="A5216" s="1"/>
      <c r="B5216" s="19" t="s">
        <v>19332</v>
      </c>
      <c r="C5216" s="20" t="s">
        <v>24252</v>
      </c>
      <c r="D5216" s="47"/>
      <c r="E5216" s="22" t="s">
        <v>877</v>
      </c>
      <c r="F5216" s="22" t="s">
        <v>1325</v>
      </c>
      <c r="G5216" s="23">
        <v>2012.0</v>
      </c>
      <c r="H5216" s="22" t="s">
        <v>91</v>
      </c>
      <c r="I5216" s="24" t="s">
        <v>24758</v>
      </c>
      <c r="J5216" s="22" t="s">
        <v>55</v>
      </c>
      <c r="K5216" s="22"/>
      <c r="L5216" s="36">
        <v>820.0</v>
      </c>
      <c r="M5216" s="36">
        <v>100.0</v>
      </c>
      <c r="N5216" s="36" t="s">
        <v>24759</v>
      </c>
      <c r="O5216" s="36" t="s">
        <v>24760</v>
      </c>
      <c r="P5216" s="37" t="s">
        <v>24761</v>
      </c>
      <c r="Q5216" s="36" t="s">
        <v>885</v>
      </c>
      <c r="R5216" s="36" t="s">
        <v>24762</v>
      </c>
      <c r="S5216" s="36">
        <v>3.0</v>
      </c>
      <c r="T5216" s="42" t="s">
        <v>24763</v>
      </c>
      <c r="U5216" s="38" t="str">
        <f>HYPERLINK("https://www.ncbi.nlm.nih.gov/pubmed/21038101","PubMed")</f>
        <v>PubMed</v>
      </c>
      <c r="V5216" s="30"/>
      <c r="W5216" s="34"/>
      <c r="X5216" s="49"/>
      <c r="Y5216" s="35"/>
      <c r="Z5216" s="35"/>
      <c r="AA5216" s="35"/>
      <c r="AB5216" s="35"/>
      <c r="AC5216" s="35"/>
      <c r="AD5216" s="35"/>
      <c r="AE5216" s="35"/>
      <c r="AF5216" s="35"/>
      <c r="AG5216" s="35"/>
      <c r="AH5216" s="35"/>
      <c r="AI5216" s="35"/>
      <c r="AJ5216" s="35"/>
      <c r="AK5216" s="35"/>
      <c r="AL5216" s="35"/>
    </row>
    <row r="5217">
      <c r="A5217" s="1"/>
      <c r="B5217" s="19" t="s">
        <v>19332</v>
      </c>
      <c r="C5217" s="20" t="s">
        <v>24252</v>
      </c>
      <c r="D5217" s="47"/>
      <c r="E5217" s="22" t="s">
        <v>2195</v>
      </c>
      <c r="F5217" s="22" t="s">
        <v>2801</v>
      </c>
      <c r="G5217" s="23">
        <v>2011.0</v>
      </c>
      <c r="H5217" s="22" t="s">
        <v>15357</v>
      </c>
      <c r="I5217" s="24" t="s">
        <v>24764</v>
      </c>
      <c r="J5217" s="22" t="s">
        <v>125</v>
      </c>
      <c r="K5217" s="22"/>
      <c r="L5217" s="105" t="s">
        <v>24765</v>
      </c>
      <c r="M5217" s="44"/>
      <c r="N5217" s="44"/>
      <c r="O5217" s="44"/>
      <c r="P5217" s="44"/>
      <c r="Q5217" s="44"/>
      <c r="R5217" s="44"/>
      <c r="S5217" s="44"/>
      <c r="T5217" s="45"/>
      <c r="U5217" s="38" t="str">
        <f>HYPERLINK("https://www.ncbi.nlm.nih.gov/pubmed/21194847","PubMed")</f>
        <v>PubMed</v>
      </c>
      <c r="V5217" s="30"/>
      <c r="W5217" s="49"/>
      <c r="X5217" s="49"/>
      <c r="Y5217" s="35"/>
      <c r="Z5217" s="35"/>
      <c r="AA5217" s="35"/>
      <c r="AB5217" s="35"/>
      <c r="AC5217" s="35"/>
      <c r="AD5217" s="35"/>
      <c r="AE5217" s="35"/>
      <c r="AF5217" s="35"/>
      <c r="AG5217" s="35"/>
      <c r="AH5217" s="35"/>
      <c r="AI5217" s="35"/>
      <c r="AJ5217" s="35"/>
      <c r="AK5217" s="35"/>
      <c r="AL5217" s="35"/>
    </row>
    <row r="5218">
      <c r="A5218" s="1"/>
      <c r="B5218" s="19" t="s">
        <v>19332</v>
      </c>
      <c r="C5218" s="20" t="s">
        <v>24252</v>
      </c>
      <c r="D5218" s="47"/>
      <c r="E5218" s="22" t="s">
        <v>12105</v>
      </c>
      <c r="F5218" s="22" t="s">
        <v>41</v>
      </c>
      <c r="G5218" s="23">
        <v>2011.0</v>
      </c>
      <c r="H5218" s="22" t="s">
        <v>658</v>
      </c>
      <c r="I5218" s="24" t="s">
        <v>24766</v>
      </c>
      <c r="J5218" s="22" t="s">
        <v>24767</v>
      </c>
      <c r="K5218" s="22" t="s">
        <v>24629</v>
      </c>
      <c r="L5218" s="36">
        <v>780.0</v>
      </c>
      <c r="M5218" s="36">
        <v>20.0</v>
      </c>
      <c r="N5218" s="36"/>
      <c r="O5218" s="36"/>
      <c r="P5218" s="37" t="s">
        <v>432</v>
      </c>
      <c r="Q5218" s="36"/>
      <c r="R5218" s="36">
        <v>10.0</v>
      </c>
      <c r="S5218" s="36" t="s">
        <v>24768</v>
      </c>
      <c r="T5218" s="28" t="s">
        <v>24769</v>
      </c>
      <c r="U5218" s="38" t="str">
        <f>HYPERLINK("https://www.ncbi.nlm.nih.gov/pubmed/21254890","PubMed")</f>
        <v>PubMed</v>
      </c>
      <c r="V5218" s="30"/>
      <c r="W5218" s="49"/>
      <c r="X5218" s="49"/>
      <c r="Y5218" s="35"/>
      <c r="Z5218" s="35"/>
      <c r="AA5218" s="35"/>
      <c r="AB5218" s="35"/>
      <c r="AC5218" s="35"/>
      <c r="AD5218" s="35"/>
      <c r="AE5218" s="35"/>
      <c r="AF5218" s="35"/>
      <c r="AG5218" s="35"/>
      <c r="AH5218" s="35"/>
      <c r="AI5218" s="35"/>
      <c r="AJ5218" s="35"/>
      <c r="AK5218" s="35"/>
      <c r="AL5218" s="35"/>
    </row>
    <row r="5219">
      <c r="A5219" s="1"/>
      <c r="B5219" s="19" t="s">
        <v>19332</v>
      </c>
      <c r="C5219" s="20" t="s">
        <v>24252</v>
      </c>
      <c r="D5219" s="47"/>
      <c r="E5219" s="22" t="s">
        <v>1080</v>
      </c>
      <c r="F5219" s="22" t="s">
        <v>24770</v>
      </c>
      <c r="G5219" s="23">
        <v>2010.0</v>
      </c>
      <c r="H5219" s="22" t="s">
        <v>91</v>
      </c>
      <c r="I5219" s="24" t="s">
        <v>24771</v>
      </c>
      <c r="J5219" s="22" t="s">
        <v>55</v>
      </c>
      <c r="K5219" s="22"/>
      <c r="L5219" s="36">
        <v>808.0</v>
      </c>
      <c r="M5219" s="36">
        <v>96.0</v>
      </c>
      <c r="N5219" s="36"/>
      <c r="O5219" s="36"/>
      <c r="P5219" s="37" t="s">
        <v>24772</v>
      </c>
      <c r="Q5219" s="36"/>
      <c r="R5219" s="36"/>
      <c r="S5219" s="36">
        <v>7.0</v>
      </c>
      <c r="T5219" s="42" t="s">
        <v>24773</v>
      </c>
      <c r="U5219" s="38" t="str">
        <f>HYPERLINK("https://www.ncbi.nlm.nih.gov/pubmed/18600290","PubMed")</f>
        <v>PubMed</v>
      </c>
      <c r="V5219" s="30"/>
      <c r="W5219" s="49"/>
      <c r="X5219" s="49"/>
      <c r="Y5219" s="35"/>
      <c r="Z5219" s="35"/>
      <c r="AA5219" s="35"/>
      <c r="AB5219" s="35"/>
      <c r="AC5219" s="35"/>
      <c r="AD5219" s="35"/>
      <c r="AE5219" s="35"/>
      <c r="AF5219" s="35"/>
      <c r="AG5219" s="35"/>
      <c r="AH5219" s="35"/>
      <c r="AI5219" s="35"/>
      <c r="AJ5219" s="35"/>
      <c r="AK5219" s="35"/>
      <c r="AL5219" s="35"/>
    </row>
    <row r="5220">
      <c r="A5220" s="1"/>
      <c r="B5220" s="19" t="s">
        <v>19332</v>
      </c>
      <c r="C5220" s="20" t="s">
        <v>24252</v>
      </c>
      <c r="D5220" s="47"/>
      <c r="E5220" s="22" t="s">
        <v>24746</v>
      </c>
      <c r="F5220" s="22" t="s">
        <v>183</v>
      </c>
      <c r="G5220" s="23">
        <v>2010.0</v>
      </c>
      <c r="H5220" s="22" t="s">
        <v>658</v>
      </c>
      <c r="I5220" s="24" t="s">
        <v>24774</v>
      </c>
      <c r="J5220" s="22" t="s">
        <v>55</v>
      </c>
      <c r="K5220" s="22" t="s">
        <v>24775</v>
      </c>
      <c r="L5220" s="36">
        <v>790.0</v>
      </c>
      <c r="M5220" s="36">
        <v>40.0</v>
      </c>
      <c r="N5220" s="36"/>
      <c r="O5220" s="36" t="s">
        <v>24776</v>
      </c>
      <c r="P5220" s="37" t="s">
        <v>24777</v>
      </c>
      <c r="Q5220" s="36" t="s">
        <v>989</v>
      </c>
      <c r="R5220" s="36">
        <v>499.0</v>
      </c>
      <c r="S5220" s="36">
        <v>9.0</v>
      </c>
      <c r="T5220" s="28" t="s">
        <v>24778</v>
      </c>
      <c r="U5220" s="38" t="str">
        <f>HYPERLINK("https://www.ncbi.nlm.nih.gov/pubmed/21142724","PubMed")</f>
        <v>PubMed</v>
      </c>
      <c r="V5220" s="30"/>
      <c r="W5220" s="49"/>
      <c r="X5220" s="49"/>
      <c r="Y5220" s="35"/>
      <c r="Z5220" s="35"/>
      <c r="AA5220" s="35"/>
      <c r="AB5220" s="35"/>
      <c r="AC5220" s="35"/>
      <c r="AD5220" s="35"/>
      <c r="AE5220" s="35"/>
      <c r="AF5220" s="35"/>
      <c r="AG5220" s="35"/>
      <c r="AH5220" s="35"/>
      <c r="AI5220" s="35"/>
      <c r="AJ5220" s="35"/>
      <c r="AK5220" s="35"/>
      <c r="AL5220" s="35"/>
    </row>
    <row r="5221">
      <c r="A5221" s="1"/>
      <c r="B5221" s="19" t="s">
        <v>19332</v>
      </c>
      <c r="C5221" s="20" t="s">
        <v>24252</v>
      </c>
      <c r="D5221" s="47"/>
      <c r="E5221" s="22" t="s">
        <v>24740</v>
      </c>
      <c r="F5221" s="22" t="s">
        <v>993</v>
      </c>
      <c r="G5221" s="23">
        <v>2010.0</v>
      </c>
      <c r="H5221" s="22" t="s">
        <v>658</v>
      </c>
      <c r="I5221" s="24" t="s">
        <v>24779</v>
      </c>
      <c r="J5221" s="22" t="s">
        <v>55</v>
      </c>
      <c r="K5221" s="22" t="s">
        <v>24780</v>
      </c>
      <c r="L5221" s="36">
        <v>830.0</v>
      </c>
      <c r="M5221" s="36">
        <v>100.0</v>
      </c>
      <c r="N5221" s="36"/>
      <c r="O5221" s="36"/>
      <c r="P5221" s="37" t="s">
        <v>24743</v>
      </c>
      <c r="Q5221" s="36"/>
      <c r="R5221" s="36"/>
      <c r="S5221" s="36"/>
      <c r="T5221" s="41" t="s">
        <v>24781</v>
      </c>
      <c r="U5221" s="38" t="str">
        <f>HYPERLINK("https://www.ncbi.nlm.nih.gov/pubmed/21142720","PubMed")</f>
        <v>PubMed</v>
      </c>
      <c r="V5221" s="30"/>
      <c r="W5221" s="49"/>
      <c r="X5221" s="49"/>
      <c r="Y5221" s="35"/>
      <c r="Z5221" s="35"/>
      <c r="AA5221" s="35"/>
      <c r="AB5221" s="35"/>
      <c r="AC5221" s="35"/>
      <c r="AD5221" s="35"/>
      <c r="AE5221" s="35"/>
      <c r="AF5221" s="35"/>
      <c r="AG5221" s="35"/>
      <c r="AH5221" s="35"/>
      <c r="AI5221" s="35"/>
      <c r="AJ5221" s="35"/>
      <c r="AK5221" s="35"/>
      <c r="AL5221" s="35"/>
    </row>
    <row r="5222">
      <c r="A5222" s="1"/>
      <c r="B5222" s="19" t="s">
        <v>19332</v>
      </c>
      <c r="C5222" s="20" t="s">
        <v>24252</v>
      </c>
      <c r="D5222" s="47"/>
      <c r="E5222" s="22" t="s">
        <v>24782</v>
      </c>
      <c r="F5222" s="22" t="s">
        <v>183</v>
      </c>
      <c r="G5222" s="23">
        <v>2010.0</v>
      </c>
      <c r="H5222" s="22" t="s">
        <v>658</v>
      </c>
      <c r="I5222" s="24" t="s">
        <v>24783</v>
      </c>
      <c r="J5222" s="22" t="s">
        <v>55</v>
      </c>
      <c r="K5222" s="22"/>
      <c r="L5222" s="36">
        <v>790.0</v>
      </c>
      <c r="M5222" s="36"/>
      <c r="N5222" s="36"/>
      <c r="O5222" s="36"/>
      <c r="P5222" s="37"/>
      <c r="Q5222" s="36"/>
      <c r="R5222" s="36"/>
      <c r="S5222" s="36">
        <v>9.0</v>
      </c>
      <c r="T5222" s="41" t="s">
        <v>24784</v>
      </c>
      <c r="U5222" s="38" t="str">
        <f>HYPERLINK("https://www.ncbi.nlm.nih.gov/pubmed/20932152","PubMed")</f>
        <v>PubMed</v>
      </c>
      <c r="V5222" s="30"/>
      <c r="W5222" s="49"/>
      <c r="X5222" s="49"/>
      <c r="Y5222" s="35"/>
      <c r="Z5222" s="35"/>
      <c r="AA5222" s="35"/>
      <c r="AB5222" s="35"/>
      <c r="AC5222" s="35"/>
      <c r="AD5222" s="35"/>
      <c r="AE5222" s="35"/>
      <c r="AF5222" s="35"/>
      <c r="AG5222" s="35"/>
      <c r="AH5222" s="35"/>
      <c r="AI5222" s="35"/>
      <c r="AJ5222" s="35"/>
      <c r="AK5222" s="35"/>
      <c r="AL5222" s="35"/>
    </row>
    <row r="5223">
      <c r="A5223" s="1"/>
      <c r="B5223" s="19" t="s">
        <v>19332</v>
      </c>
      <c r="C5223" s="20" t="s">
        <v>24252</v>
      </c>
      <c r="D5223" s="47"/>
      <c r="E5223" s="22" t="s">
        <v>22741</v>
      </c>
      <c r="F5223" s="22" t="s">
        <v>1822</v>
      </c>
      <c r="G5223" s="23">
        <v>2009.0</v>
      </c>
      <c r="H5223" s="22" t="s">
        <v>10656</v>
      </c>
      <c r="I5223" s="24" t="s">
        <v>24785</v>
      </c>
      <c r="J5223" s="22" t="s">
        <v>55</v>
      </c>
      <c r="K5223" s="22"/>
      <c r="L5223" s="36">
        <v>810.0</v>
      </c>
      <c r="M5223" s="36">
        <v>100.0</v>
      </c>
      <c r="N5223" s="36"/>
      <c r="O5223" s="36"/>
      <c r="P5223" s="37"/>
      <c r="Q5223" s="36" t="s">
        <v>1133</v>
      </c>
      <c r="R5223" s="36" t="s">
        <v>24786</v>
      </c>
      <c r="S5223" s="36">
        <v>9.0</v>
      </c>
      <c r="T5223" s="28" t="s">
        <v>24787</v>
      </c>
      <c r="U5223" s="38" t="str">
        <f>HYPERLINK("https://www.ncbi.nlm.nih.gov/pubmed/19840281","PubMed")</f>
        <v>PubMed</v>
      </c>
      <c r="V5223" s="30"/>
      <c r="W5223" s="49"/>
      <c r="X5223" s="49"/>
      <c r="Y5223" s="35"/>
      <c r="Z5223" s="35"/>
      <c r="AA5223" s="35"/>
      <c r="AB5223" s="35"/>
      <c r="AC5223" s="35"/>
      <c r="AD5223" s="35"/>
      <c r="AE5223" s="35"/>
      <c r="AF5223" s="35"/>
      <c r="AG5223" s="35"/>
      <c r="AH5223" s="35"/>
      <c r="AI5223" s="35"/>
      <c r="AJ5223" s="35"/>
      <c r="AK5223" s="35"/>
      <c r="AL5223" s="35"/>
    </row>
    <row r="5224">
      <c r="A5224" s="1"/>
      <c r="B5224" s="19" t="s">
        <v>19332</v>
      </c>
      <c r="C5224" s="20" t="s">
        <v>24252</v>
      </c>
      <c r="D5224" s="47"/>
      <c r="E5224" s="22" t="s">
        <v>1080</v>
      </c>
      <c r="F5224" s="22" t="s">
        <v>299</v>
      </c>
      <c r="G5224" s="23">
        <v>2009.0</v>
      </c>
      <c r="H5224" s="22" t="s">
        <v>53</v>
      </c>
      <c r="I5224" s="24" t="s">
        <v>24788</v>
      </c>
      <c r="J5224" s="22" t="s">
        <v>2049</v>
      </c>
      <c r="K5224" s="22" t="s">
        <v>24789</v>
      </c>
      <c r="L5224" s="36">
        <v>808.0</v>
      </c>
      <c r="M5224" s="36">
        <v>763.0</v>
      </c>
      <c r="N5224" s="36"/>
      <c r="O5224" s="36"/>
      <c r="P5224" s="37" t="s">
        <v>16479</v>
      </c>
      <c r="Q5224" s="36"/>
      <c r="R5224" s="36"/>
      <c r="S5224" s="36" t="s">
        <v>24790</v>
      </c>
      <c r="T5224" s="42" t="s">
        <v>24791</v>
      </c>
      <c r="U5224" s="38" t="str">
        <f>HYPERLINK("https://www.ncbi.nlm.nih.gov/pubmed/19639625","PubMed")</f>
        <v>PubMed</v>
      </c>
      <c r="V5224" s="30"/>
      <c r="W5224" s="49"/>
      <c r="X5224" s="49"/>
      <c r="Y5224" s="35"/>
      <c r="Z5224" s="35"/>
      <c r="AA5224" s="35"/>
      <c r="AB5224" s="35"/>
      <c r="AC5224" s="35"/>
      <c r="AD5224" s="35"/>
      <c r="AE5224" s="35"/>
      <c r="AF5224" s="35"/>
      <c r="AG5224" s="35"/>
      <c r="AH5224" s="35"/>
      <c r="AI5224" s="35"/>
      <c r="AJ5224" s="35"/>
      <c r="AK5224" s="35"/>
      <c r="AL5224" s="35"/>
    </row>
    <row r="5225">
      <c r="A5225" s="1"/>
      <c r="B5225" s="75" t="s">
        <v>19332</v>
      </c>
      <c r="C5225" s="77" t="s">
        <v>24252</v>
      </c>
      <c r="D5225" s="47"/>
      <c r="E5225" s="22" t="s">
        <v>24792</v>
      </c>
      <c r="F5225" s="22" t="s">
        <v>1822</v>
      </c>
      <c r="G5225" s="23">
        <v>2008.0</v>
      </c>
      <c r="H5225" s="22" t="s">
        <v>10656</v>
      </c>
      <c r="I5225" s="24" t="s">
        <v>24793</v>
      </c>
      <c r="J5225" s="22" t="s">
        <v>378</v>
      </c>
      <c r="K5225" s="22"/>
      <c r="L5225" s="36">
        <v>810.0</v>
      </c>
      <c r="M5225" s="36">
        <v>100.0</v>
      </c>
      <c r="N5225" s="36"/>
      <c r="O5225" s="36"/>
      <c r="P5225" s="37" t="s">
        <v>24438</v>
      </c>
      <c r="Q5225" s="36"/>
      <c r="R5225" s="36">
        <v>540.0</v>
      </c>
      <c r="S5225" s="36"/>
      <c r="T5225" s="28" t="s">
        <v>24794</v>
      </c>
      <c r="U5225" s="29" t="s">
        <v>61</v>
      </c>
      <c r="V5225" s="30"/>
      <c r="W5225" s="49"/>
      <c r="X5225" s="49"/>
      <c r="Y5225" s="35"/>
      <c r="Z5225" s="35"/>
      <c r="AA5225" s="35"/>
      <c r="AB5225" s="35"/>
      <c r="AC5225" s="35"/>
      <c r="AD5225" s="35"/>
      <c r="AE5225" s="35"/>
      <c r="AF5225" s="35"/>
      <c r="AG5225" s="35"/>
      <c r="AH5225" s="35"/>
      <c r="AI5225" s="35"/>
      <c r="AJ5225" s="35"/>
      <c r="AK5225" s="35"/>
      <c r="AL5225" s="35"/>
    </row>
    <row r="5226">
      <c r="A5226" s="1"/>
      <c r="B5226" s="19" t="s">
        <v>19332</v>
      </c>
      <c r="C5226" s="20" t="s">
        <v>24252</v>
      </c>
      <c r="D5226" s="47"/>
      <c r="E5226" s="22" t="s">
        <v>10038</v>
      </c>
      <c r="F5226" s="22" t="s">
        <v>7630</v>
      </c>
      <c r="G5226" s="23">
        <v>2008.0</v>
      </c>
      <c r="H5226" s="22" t="s">
        <v>91</v>
      </c>
      <c r="I5226" s="24" t="s">
        <v>24795</v>
      </c>
      <c r="J5226" s="22" t="s">
        <v>24796</v>
      </c>
      <c r="K5226" s="22" t="s">
        <v>24797</v>
      </c>
      <c r="L5226" s="36">
        <v>809.0</v>
      </c>
      <c r="M5226" s="36">
        <v>100.0</v>
      </c>
      <c r="N5226" s="36"/>
      <c r="O5226" s="36">
        <v>8.0</v>
      </c>
      <c r="P5226" s="37"/>
      <c r="Q5226" s="36"/>
      <c r="R5226" s="36"/>
      <c r="S5226" s="36" t="s">
        <v>24798</v>
      </c>
      <c r="T5226" s="28" t="s">
        <v>24799</v>
      </c>
      <c r="U5226" s="38" t="str">
        <f>HYPERLINK("https://www.ncbi.nlm.nih.gov/pubmed/17361391","PubMed")</f>
        <v>PubMed</v>
      </c>
      <c r="V5226" s="30"/>
      <c r="W5226" s="49"/>
      <c r="X5226" s="49"/>
      <c r="Y5226" s="35"/>
      <c r="Z5226" s="35"/>
      <c r="AA5226" s="35"/>
      <c r="AB5226" s="35"/>
      <c r="AC5226" s="35"/>
      <c r="AD5226" s="35"/>
      <c r="AE5226" s="35"/>
      <c r="AF5226" s="35"/>
      <c r="AG5226" s="35"/>
      <c r="AH5226" s="35"/>
      <c r="AI5226" s="35"/>
      <c r="AJ5226" s="35"/>
      <c r="AK5226" s="35"/>
      <c r="AL5226" s="35"/>
    </row>
    <row r="5227">
      <c r="A5227" s="1"/>
      <c r="B5227" s="19" t="s">
        <v>19332</v>
      </c>
      <c r="C5227" s="20" t="s">
        <v>24252</v>
      </c>
      <c r="D5227" s="47"/>
      <c r="E5227" s="22" t="s">
        <v>21772</v>
      </c>
      <c r="F5227" s="22" t="s">
        <v>323</v>
      </c>
      <c r="G5227" s="23">
        <v>2007.0</v>
      </c>
      <c r="H5227" s="22" t="s">
        <v>91</v>
      </c>
      <c r="I5227" s="24" t="s">
        <v>24800</v>
      </c>
      <c r="J5227" s="22" t="s">
        <v>253</v>
      </c>
      <c r="K5227" s="22" t="s">
        <v>294</v>
      </c>
      <c r="L5227" s="36" t="s">
        <v>16809</v>
      </c>
      <c r="M5227" s="36" t="s">
        <v>24801</v>
      </c>
      <c r="N5227" s="36"/>
      <c r="O5227" s="36" t="s">
        <v>24802</v>
      </c>
      <c r="P5227" s="37"/>
      <c r="Q5227" s="36"/>
      <c r="R5227" s="36"/>
      <c r="S5227" s="36"/>
      <c r="T5227" s="41" t="s">
        <v>24803</v>
      </c>
      <c r="U5227" s="38" t="str">
        <f>HYPERLINK("https://www.ncbi.nlm.nih.gov/pubmed/17334676","PubMed")</f>
        <v>PubMed</v>
      </c>
      <c r="V5227" s="30"/>
      <c r="W5227" s="49"/>
      <c r="X5227" s="49"/>
      <c r="Y5227" s="35"/>
      <c r="Z5227" s="35"/>
      <c r="AA5227" s="35"/>
      <c r="AB5227" s="35"/>
      <c r="AC5227" s="35"/>
      <c r="AD5227" s="35"/>
      <c r="AE5227" s="35"/>
      <c r="AF5227" s="35"/>
      <c r="AG5227" s="35"/>
      <c r="AH5227" s="35"/>
      <c r="AI5227" s="35"/>
      <c r="AJ5227" s="35"/>
      <c r="AK5227" s="35"/>
      <c r="AL5227" s="35"/>
    </row>
    <row r="5228">
      <c r="A5228" s="1"/>
      <c r="B5228" s="19" t="s">
        <v>19332</v>
      </c>
      <c r="C5228" s="20" t="s">
        <v>24252</v>
      </c>
      <c r="D5228" s="47"/>
      <c r="E5228" s="22" t="s">
        <v>24804</v>
      </c>
      <c r="F5228" s="22" t="s">
        <v>24805</v>
      </c>
      <c r="G5228" s="23">
        <v>2006.0</v>
      </c>
      <c r="H5228" s="22" t="s">
        <v>10656</v>
      </c>
      <c r="I5228" s="24" t="s">
        <v>24806</v>
      </c>
      <c r="J5228" s="22" t="s">
        <v>24807</v>
      </c>
      <c r="K5228" s="22" t="s">
        <v>24629</v>
      </c>
      <c r="L5228" s="36">
        <v>860.0</v>
      </c>
      <c r="M5228" s="36">
        <v>100.0</v>
      </c>
      <c r="N5228" s="129">
        <v>44866.0</v>
      </c>
      <c r="O5228" s="36" t="s">
        <v>24808</v>
      </c>
      <c r="P5228" s="37" t="s">
        <v>7604</v>
      </c>
      <c r="Q5228" s="36" t="s">
        <v>24809</v>
      </c>
      <c r="R5228" s="36" t="s">
        <v>24810</v>
      </c>
      <c r="S5228" s="36" t="s">
        <v>6403</v>
      </c>
      <c r="T5228" s="41" t="s">
        <v>24811</v>
      </c>
      <c r="U5228" s="38" t="str">
        <f>HYPERLINK("https://www.ncbi.nlm.nih.gov/pubmed/16420273","PubMed")</f>
        <v>PubMed</v>
      </c>
      <c r="V5228" s="30" t="s">
        <v>24812</v>
      </c>
      <c r="W5228" s="49"/>
      <c r="X5228" s="49"/>
      <c r="Y5228" s="35"/>
      <c r="Z5228" s="35"/>
      <c r="AA5228" s="35"/>
      <c r="AB5228" s="35"/>
      <c r="AC5228" s="35"/>
      <c r="AD5228" s="35"/>
      <c r="AE5228" s="35"/>
      <c r="AF5228" s="35"/>
      <c r="AG5228" s="35"/>
      <c r="AH5228" s="35"/>
      <c r="AI5228" s="35"/>
      <c r="AJ5228" s="35"/>
      <c r="AK5228" s="35"/>
      <c r="AL5228" s="35"/>
    </row>
    <row r="5229">
      <c r="A5229" s="18"/>
      <c r="B5229" s="19" t="s">
        <v>19332</v>
      </c>
      <c r="C5229" s="20" t="s">
        <v>24252</v>
      </c>
      <c r="D5229" s="47"/>
      <c r="E5229" s="22" t="s">
        <v>24813</v>
      </c>
      <c r="F5229" s="22" t="s">
        <v>24814</v>
      </c>
      <c r="G5229" s="23">
        <v>2006.0</v>
      </c>
      <c r="H5229" s="22" t="s">
        <v>658</v>
      </c>
      <c r="I5229" s="24" t="s">
        <v>24815</v>
      </c>
      <c r="J5229" s="22" t="s">
        <v>2049</v>
      </c>
      <c r="K5229" s="22" t="s">
        <v>1240</v>
      </c>
      <c r="L5229" s="36">
        <v>780.0</v>
      </c>
      <c r="M5229" s="36">
        <v>70.0</v>
      </c>
      <c r="N5229" s="36"/>
      <c r="O5229" s="36"/>
      <c r="P5229" s="37"/>
      <c r="Q5229" s="36"/>
      <c r="R5229" s="36"/>
      <c r="S5229" s="36"/>
      <c r="T5229" s="28" t="s">
        <v>24816</v>
      </c>
      <c r="U5229" s="29" t="s">
        <v>61</v>
      </c>
      <c r="V5229" s="30"/>
      <c r="W5229" s="49"/>
      <c r="X5229" s="49"/>
      <c r="Y5229" s="35"/>
      <c r="Z5229" s="35"/>
      <c r="AA5229" s="35"/>
      <c r="AB5229" s="35"/>
      <c r="AC5229" s="35"/>
      <c r="AD5229" s="35"/>
      <c r="AE5229" s="35"/>
      <c r="AF5229" s="35"/>
      <c r="AG5229" s="35"/>
      <c r="AH5229" s="35"/>
      <c r="AI5229" s="35"/>
      <c r="AJ5229" s="35"/>
      <c r="AK5229" s="35"/>
      <c r="AL5229" s="35"/>
    </row>
    <row r="5230" ht="21.0" customHeight="1">
      <c r="A5230" s="1"/>
      <c r="B5230" s="19" t="s">
        <v>19332</v>
      </c>
      <c r="C5230" s="20" t="s">
        <v>24252</v>
      </c>
      <c r="D5230" s="47"/>
      <c r="E5230" s="22" t="s">
        <v>565</v>
      </c>
      <c r="F5230" s="22" t="s">
        <v>41</v>
      </c>
      <c r="G5230" s="23">
        <v>2004.0</v>
      </c>
      <c r="H5230" s="22" t="s">
        <v>53</v>
      </c>
      <c r="I5230" s="24" t="s">
        <v>24817</v>
      </c>
      <c r="J5230" s="22" t="s">
        <v>24818</v>
      </c>
      <c r="K5230" s="22" t="s">
        <v>24629</v>
      </c>
      <c r="L5230" s="36">
        <v>780.0</v>
      </c>
      <c r="M5230" s="36">
        <v>20.0</v>
      </c>
      <c r="N5230" s="36"/>
      <c r="O5230" s="36"/>
      <c r="P5230" s="37" t="s">
        <v>432</v>
      </c>
      <c r="Q5230" s="36"/>
      <c r="R5230" s="36">
        <v>10.0</v>
      </c>
      <c r="S5230" s="36" t="s">
        <v>24819</v>
      </c>
      <c r="T5230" s="28" t="s">
        <v>24820</v>
      </c>
      <c r="U5230" s="38" t="str">
        <f>HYPERLINK("https://www.ncbi.nlm.nih.gov/pubmed/15334614","PubMed")</f>
        <v>PubMed</v>
      </c>
      <c r="V5230" s="30"/>
      <c r="W5230" s="49"/>
      <c r="X5230" s="49"/>
      <c r="Y5230" s="35"/>
      <c r="Z5230" s="35"/>
      <c r="AA5230" s="35"/>
      <c r="AB5230" s="35"/>
      <c r="AC5230" s="35"/>
      <c r="AD5230" s="35"/>
      <c r="AE5230" s="35"/>
      <c r="AF5230" s="35"/>
      <c r="AG5230" s="35"/>
      <c r="AH5230" s="35"/>
      <c r="AI5230" s="35"/>
      <c r="AJ5230" s="35"/>
      <c r="AK5230" s="35"/>
      <c r="AL5230" s="35"/>
    </row>
    <row r="5231" ht="21.0" customHeight="1">
      <c r="A5231" s="1"/>
      <c r="B5231" s="19" t="s">
        <v>19332</v>
      </c>
      <c r="C5231" s="20" t="s">
        <v>24252</v>
      </c>
      <c r="D5231" s="47"/>
      <c r="E5231" s="22" t="s">
        <v>24821</v>
      </c>
      <c r="F5231" s="22" t="s">
        <v>1822</v>
      </c>
      <c r="G5231" s="23">
        <v>2000.0</v>
      </c>
      <c r="H5231" s="22" t="s">
        <v>53</v>
      </c>
      <c r="I5231" s="24" t="s">
        <v>24822</v>
      </c>
      <c r="J5231" s="22" t="s">
        <v>55</v>
      </c>
      <c r="K5231" s="22"/>
      <c r="L5231" s="36">
        <v>830.0</v>
      </c>
      <c r="M5231" s="36">
        <v>100.0</v>
      </c>
      <c r="N5231" s="36" t="s">
        <v>24823</v>
      </c>
      <c r="O5231" s="36">
        <v>54.0</v>
      </c>
      <c r="P5231" s="37"/>
      <c r="Q5231" s="36" t="s">
        <v>1065</v>
      </c>
      <c r="R5231" s="36" t="s">
        <v>24824</v>
      </c>
      <c r="S5231" s="36"/>
      <c r="T5231" s="28" t="s">
        <v>24825</v>
      </c>
      <c r="U5231" s="38" t="str">
        <f>HYPERLINK("https://www.ncbi.nlm.nih.gov/pubmed/10738291","PubMed")</f>
        <v>PubMed</v>
      </c>
      <c r="V5231" s="30"/>
      <c r="W5231" s="49"/>
      <c r="X5231" s="49"/>
      <c r="Y5231" s="35"/>
      <c r="Z5231" s="35"/>
      <c r="AA5231" s="35"/>
      <c r="AB5231" s="35"/>
      <c r="AC5231" s="35"/>
      <c r="AD5231" s="35"/>
      <c r="AE5231" s="35"/>
      <c r="AF5231" s="35"/>
      <c r="AG5231" s="35"/>
      <c r="AH5231" s="35"/>
      <c r="AI5231" s="35"/>
      <c r="AJ5231" s="35"/>
      <c r="AK5231" s="35"/>
      <c r="AL5231" s="35"/>
    </row>
    <row r="5232" ht="37.5" customHeight="1">
      <c r="A5232" s="1"/>
      <c r="B5232" s="19" t="s">
        <v>19332</v>
      </c>
      <c r="C5232" s="20" t="s">
        <v>1911</v>
      </c>
      <c r="D5232" s="47"/>
      <c r="E5232" s="22" t="s">
        <v>24826</v>
      </c>
      <c r="F5232" s="22" t="s">
        <v>3767</v>
      </c>
      <c r="G5232" s="23">
        <v>2023.0</v>
      </c>
      <c r="H5232" s="22" t="s">
        <v>20074</v>
      </c>
      <c r="I5232" s="24" t="s">
        <v>24827</v>
      </c>
      <c r="J5232" s="22" t="s">
        <v>24828</v>
      </c>
      <c r="K5232" s="22" t="s">
        <v>157</v>
      </c>
      <c r="L5232" s="36">
        <v>635.0</v>
      </c>
      <c r="M5232" s="36"/>
      <c r="N5232" s="36" t="s">
        <v>24829</v>
      </c>
      <c r="O5232" s="36"/>
      <c r="P5232" s="37"/>
      <c r="Q5232" s="36"/>
      <c r="R5232" s="36"/>
      <c r="S5232" s="36" t="s">
        <v>4746</v>
      </c>
      <c r="T5232" s="28" t="s">
        <v>24830</v>
      </c>
      <c r="U5232" s="38" t="s">
        <v>61</v>
      </c>
      <c r="V5232" s="30" t="s">
        <v>24831</v>
      </c>
      <c r="W5232" s="49"/>
      <c r="X5232" s="49"/>
      <c r="Y5232" s="35"/>
      <c r="Z5232" s="35"/>
      <c r="AA5232" s="35"/>
      <c r="AB5232" s="35"/>
      <c r="AC5232" s="35"/>
      <c r="AD5232" s="35"/>
      <c r="AE5232" s="35"/>
      <c r="AF5232" s="35"/>
      <c r="AG5232" s="35"/>
      <c r="AH5232" s="35"/>
      <c r="AI5232" s="35"/>
      <c r="AJ5232" s="35"/>
      <c r="AK5232" s="35"/>
      <c r="AL5232" s="35"/>
    </row>
    <row r="5233" ht="21.0" customHeight="1">
      <c r="A5233" s="1"/>
      <c r="B5233" s="19" t="s">
        <v>19332</v>
      </c>
      <c r="C5233" s="20" t="s">
        <v>24832</v>
      </c>
      <c r="D5233" s="47"/>
      <c r="E5233" s="22" t="s">
        <v>24833</v>
      </c>
      <c r="F5233" s="22" t="s">
        <v>4711</v>
      </c>
      <c r="G5233" s="23">
        <v>2024.0</v>
      </c>
      <c r="H5233" s="22" t="s">
        <v>23595</v>
      </c>
      <c r="I5233" s="24" t="s">
        <v>24834</v>
      </c>
      <c r="J5233" s="22" t="s">
        <v>55</v>
      </c>
      <c r="K5233" s="22" t="s">
        <v>24835</v>
      </c>
      <c r="L5233" s="36">
        <v>808.0</v>
      </c>
      <c r="M5233" s="36">
        <v>500.0</v>
      </c>
      <c r="N5233" s="36"/>
      <c r="O5233" s="36"/>
      <c r="P5233" s="37"/>
      <c r="Q5233" s="36"/>
      <c r="R5233" s="36"/>
      <c r="S5233" s="36"/>
      <c r="T5233" s="54" t="s">
        <v>24836</v>
      </c>
      <c r="U5233" s="38" t="s">
        <v>61</v>
      </c>
      <c r="V5233" s="30"/>
      <c r="W5233" s="49"/>
      <c r="X5233" s="49"/>
      <c r="Y5233" s="35"/>
      <c r="Z5233" s="35"/>
      <c r="AA5233" s="35"/>
      <c r="AB5233" s="35"/>
      <c r="AC5233" s="35"/>
      <c r="AD5233" s="35"/>
      <c r="AE5233" s="35"/>
      <c r="AF5233" s="35"/>
      <c r="AG5233" s="35"/>
      <c r="AH5233" s="35"/>
      <c r="AI5233" s="35"/>
      <c r="AJ5233" s="35"/>
      <c r="AK5233" s="35"/>
      <c r="AL5233" s="35"/>
    </row>
    <row r="5234" ht="21.0" customHeight="1">
      <c r="A5234" s="1"/>
      <c r="B5234" s="19" t="s">
        <v>19332</v>
      </c>
      <c r="C5234" s="20" t="s">
        <v>24832</v>
      </c>
      <c r="D5234" s="47"/>
      <c r="E5234" s="22" t="s">
        <v>24837</v>
      </c>
      <c r="F5234" s="22" t="s">
        <v>323</v>
      </c>
      <c r="G5234" s="23">
        <v>2024.0</v>
      </c>
      <c r="H5234" s="22" t="s">
        <v>77</v>
      </c>
      <c r="I5234" s="24" t="s">
        <v>24838</v>
      </c>
      <c r="J5234" s="22" t="s">
        <v>55</v>
      </c>
      <c r="K5234" s="22"/>
      <c r="L5234" s="36">
        <v>810.0</v>
      </c>
      <c r="M5234" s="36"/>
      <c r="N5234" s="36" t="s">
        <v>18811</v>
      </c>
      <c r="O5234" s="36"/>
      <c r="P5234" s="37" t="s">
        <v>95</v>
      </c>
      <c r="Q5234" s="36"/>
      <c r="R5234" s="36">
        <v>30.0</v>
      </c>
      <c r="S5234" s="36"/>
      <c r="T5234" s="54" t="s">
        <v>24839</v>
      </c>
      <c r="U5234" s="38" t="s">
        <v>61</v>
      </c>
      <c r="V5234" s="30"/>
      <c r="W5234" s="49"/>
      <c r="X5234" s="49"/>
      <c r="Y5234" s="35"/>
      <c r="Z5234" s="35"/>
      <c r="AA5234" s="35"/>
      <c r="AB5234" s="35"/>
      <c r="AC5234" s="35"/>
      <c r="AD5234" s="35"/>
      <c r="AE5234" s="35"/>
      <c r="AF5234" s="35"/>
      <c r="AG5234" s="35"/>
      <c r="AH5234" s="35"/>
      <c r="AI5234" s="35"/>
      <c r="AJ5234" s="35"/>
      <c r="AK5234" s="35"/>
      <c r="AL5234" s="35"/>
    </row>
    <row r="5235" ht="21.0" customHeight="1">
      <c r="A5235" s="1"/>
      <c r="B5235" s="19" t="s">
        <v>19332</v>
      </c>
      <c r="C5235" s="20" t="s">
        <v>24832</v>
      </c>
      <c r="D5235" s="47"/>
      <c r="E5235" s="22" t="s">
        <v>24840</v>
      </c>
      <c r="F5235" s="22" t="s">
        <v>4440</v>
      </c>
      <c r="G5235" s="23">
        <v>2024.0</v>
      </c>
      <c r="H5235" s="22" t="s">
        <v>18777</v>
      </c>
      <c r="I5235" s="24" t="s">
        <v>24841</v>
      </c>
      <c r="J5235" s="22" t="s">
        <v>22473</v>
      </c>
      <c r="K5235" s="22"/>
      <c r="L5235" s="241" t="s">
        <v>24842</v>
      </c>
      <c r="M5235" s="44"/>
      <c r="N5235" s="44"/>
      <c r="O5235" s="44"/>
      <c r="P5235" s="44"/>
      <c r="Q5235" s="44"/>
      <c r="R5235" s="44"/>
      <c r="S5235" s="44"/>
      <c r="T5235" s="45"/>
      <c r="U5235" s="38" t="s">
        <v>61</v>
      </c>
      <c r="V5235" s="30"/>
      <c r="W5235" s="49"/>
      <c r="X5235" s="49"/>
      <c r="Y5235" s="35"/>
      <c r="Z5235" s="35"/>
      <c r="AA5235" s="35"/>
      <c r="AB5235" s="35"/>
      <c r="AC5235" s="35"/>
      <c r="AD5235" s="35"/>
      <c r="AE5235" s="35"/>
      <c r="AF5235" s="35"/>
      <c r="AG5235" s="35"/>
      <c r="AH5235" s="35"/>
      <c r="AI5235" s="35"/>
      <c r="AJ5235" s="35"/>
      <c r="AK5235" s="35"/>
      <c r="AL5235" s="35"/>
    </row>
    <row r="5236" ht="21.0" customHeight="1">
      <c r="A5236" s="1"/>
      <c r="B5236" s="19" t="s">
        <v>19332</v>
      </c>
      <c r="C5236" s="20" t="s">
        <v>24832</v>
      </c>
      <c r="D5236" s="47"/>
      <c r="E5236" s="22" t="s">
        <v>24843</v>
      </c>
      <c r="F5236" s="22" t="s">
        <v>323</v>
      </c>
      <c r="G5236" s="23">
        <v>2024.0</v>
      </c>
      <c r="H5236" s="22" t="s">
        <v>4975</v>
      </c>
      <c r="I5236" s="24" t="s">
        <v>24844</v>
      </c>
      <c r="J5236" s="22" t="s">
        <v>31</v>
      </c>
      <c r="K5236" s="22"/>
      <c r="L5236" s="36" t="s">
        <v>24845</v>
      </c>
      <c r="M5236" s="36"/>
      <c r="N5236" s="36"/>
      <c r="O5236" s="36"/>
      <c r="P5236" s="37"/>
      <c r="Q5236" s="36"/>
      <c r="R5236" s="36"/>
      <c r="S5236" s="36"/>
      <c r="T5236" s="28" t="s">
        <v>24846</v>
      </c>
      <c r="U5236" s="38" t="s">
        <v>61</v>
      </c>
      <c r="V5236" s="30"/>
      <c r="W5236" s="49"/>
      <c r="X5236" s="49"/>
      <c r="Y5236" s="35"/>
      <c r="Z5236" s="35"/>
      <c r="AA5236" s="35"/>
      <c r="AB5236" s="35"/>
      <c r="AC5236" s="35"/>
      <c r="AD5236" s="35"/>
      <c r="AE5236" s="35"/>
      <c r="AF5236" s="35"/>
      <c r="AG5236" s="35"/>
      <c r="AH5236" s="35"/>
      <c r="AI5236" s="35"/>
      <c r="AJ5236" s="35"/>
      <c r="AK5236" s="35"/>
      <c r="AL5236" s="35"/>
    </row>
    <row r="5237" ht="21.0" customHeight="1">
      <c r="A5237" s="1"/>
      <c r="B5237" s="19" t="s">
        <v>19332</v>
      </c>
      <c r="C5237" s="20" t="s">
        <v>24832</v>
      </c>
      <c r="D5237" s="47"/>
      <c r="E5237" s="22" t="s">
        <v>352</v>
      </c>
      <c r="F5237" s="22" t="s">
        <v>41</v>
      </c>
      <c r="G5237" s="23">
        <v>2023.0</v>
      </c>
      <c r="H5237" s="22" t="s">
        <v>147</v>
      </c>
      <c r="I5237" s="24" t="s">
        <v>24847</v>
      </c>
      <c r="J5237" s="22" t="s">
        <v>2273</v>
      </c>
      <c r="K5237" s="22"/>
      <c r="L5237" s="36" t="s">
        <v>6257</v>
      </c>
      <c r="M5237" s="36"/>
      <c r="N5237" s="36"/>
      <c r="O5237" s="36"/>
      <c r="P5237" s="37"/>
      <c r="Q5237" s="36"/>
      <c r="R5237" s="36"/>
      <c r="S5237" s="36"/>
      <c r="T5237" s="28" t="s">
        <v>24848</v>
      </c>
      <c r="U5237" s="38" t="s">
        <v>61</v>
      </c>
      <c r="V5237" s="30"/>
      <c r="W5237" s="49"/>
      <c r="X5237" s="49"/>
      <c r="Y5237" s="35"/>
      <c r="Z5237" s="35"/>
      <c r="AA5237" s="35"/>
      <c r="AB5237" s="35"/>
      <c r="AC5237" s="35"/>
      <c r="AD5237" s="35"/>
      <c r="AE5237" s="35"/>
      <c r="AF5237" s="35"/>
      <c r="AG5237" s="35"/>
      <c r="AH5237" s="35"/>
      <c r="AI5237" s="35"/>
      <c r="AJ5237" s="35"/>
      <c r="AK5237" s="35"/>
      <c r="AL5237" s="35"/>
    </row>
    <row r="5238" ht="21.0" customHeight="1">
      <c r="A5238" s="1"/>
      <c r="B5238" s="19" t="s">
        <v>19332</v>
      </c>
      <c r="C5238" s="20" t="s">
        <v>24832</v>
      </c>
      <c r="D5238" s="47"/>
      <c r="E5238" s="22" t="s">
        <v>10561</v>
      </c>
      <c r="F5238" s="22" t="s">
        <v>5404</v>
      </c>
      <c r="G5238" s="23">
        <v>2023.0</v>
      </c>
      <c r="H5238" s="22" t="s">
        <v>10563</v>
      </c>
      <c r="I5238" s="24" t="s">
        <v>24849</v>
      </c>
      <c r="J5238" s="22" t="s">
        <v>2273</v>
      </c>
      <c r="K5238" s="22"/>
      <c r="L5238" s="36">
        <v>635.0</v>
      </c>
      <c r="M5238" s="36">
        <v>50.0</v>
      </c>
      <c r="N5238" s="36"/>
      <c r="O5238" s="36"/>
      <c r="P5238" s="37" t="s">
        <v>254</v>
      </c>
      <c r="Q5238" s="36"/>
      <c r="R5238" s="36"/>
      <c r="S5238" s="36">
        <v>9.0</v>
      </c>
      <c r="T5238" s="28" t="s">
        <v>24850</v>
      </c>
      <c r="U5238" s="38" t="s">
        <v>61</v>
      </c>
      <c r="V5238" s="30" t="s">
        <v>24851</v>
      </c>
      <c r="W5238" s="49"/>
      <c r="X5238" s="49"/>
      <c r="Y5238" s="35"/>
      <c r="Z5238" s="35"/>
      <c r="AA5238" s="35"/>
      <c r="AB5238" s="35"/>
      <c r="AC5238" s="35"/>
      <c r="AD5238" s="35"/>
      <c r="AE5238" s="35"/>
      <c r="AF5238" s="35"/>
      <c r="AG5238" s="35"/>
      <c r="AH5238" s="35"/>
      <c r="AI5238" s="35"/>
      <c r="AJ5238" s="35"/>
      <c r="AK5238" s="35"/>
      <c r="AL5238" s="35"/>
    </row>
    <row r="5239">
      <c r="A5239" s="1"/>
      <c r="B5239" s="19" t="s">
        <v>19332</v>
      </c>
      <c r="C5239" s="20" t="s">
        <v>24832</v>
      </c>
      <c r="D5239" s="47"/>
      <c r="E5239" s="22" t="s">
        <v>24852</v>
      </c>
      <c r="F5239" s="22" t="s">
        <v>347</v>
      </c>
      <c r="G5239" s="23">
        <v>2023.0</v>
      </c>
      <c r="H5239" s="22" t="s">
        <v>8884</v>
      </c>
      <c r="I5239" s="24" t="s">
        <v>24853</v>
      </c>
      <c r="J5239" s="22" t="s">
        <v>649</v>
      </c>
      <c r="K5239" s="22"/>
      <c r="L5239" s="195" t="s">
        <v>24854</v>
      </c>
      <c r="M5239" s="44"/>
      <c r="N5239" s="44"/>
      <c r="O5239" s="44"/>
      <c r="P5239" s="44"/>
      <c r="Q5239" s="44"/>
      <c r="R5239" s="44"/>
      <c r="S5239" s="44"/>
      <c r="T5239" s="45"/>
      <c r="U5239" s="38" t="s">
        <v>61</v>
      </c>
      <c r="V5239" s="30"/>
      <c r="W5239" s="49"/>
      <c r="X5239" s="49"/>
      <c r="Y5239" s="35"/>
      <c r="Z5239" s="35"/>
      <c r="AA5239" s="35"/>
      <c r="AB5239" s="35"/>
      <c r="AC5239" s="35"/>
      <c r="AD5239" s="35"/>
      <c r="AE5239" s="35"/>
      <c r="AF5239" s="35"/>
      <c r="AG5239" s="35"/>
      <c r="AH5239" s="35"/>
      <c r="AI5239" s="35"/>
      <c r="AJ5239" s="35"/>
      <c r="AK5239" s="35"/>
      <c r="AL5239" s="35"/>
    </row>
    <row r="5240">
      <c r="A5240" s="1"/>
      <c r="B5240" s="19" t="s">
        <v>19332</v>
      </c>
      <c r="C5240" s="20" t="s">
        <v>24832</v>
      </c>
      <c r="D5240" s="47"/>
      <c r="E5240" s="22" t="s">
        <v>21545</v>
      </c>
      <c r="F5240" s="22" t="s">
        <v>21546</v>
      </c>
      <c r="G5240" s="23">
        <v>2023.0</v>
      </c>
      <c r="H5240" s="22" t="s">
        <v>24855</v>
      </c>
      <c r="I5240" s="24" t="s">
        <v>24856</v>
      </c>
      <c r="J5240" s="22" t="s">
        <v>10915</v>
      </c>
      <c r="K5240" s="22"/>
      <c r="L5240" s="36"/>
      <c r="M5240" s="36"/>
      <c r="N5240" s="36"/>
      <c r="O5240" s="36"/>
      <c r="P5240" s="37"/>
      <c r="Q5240" s="36"/>
      <c r="R5240" s="36"/>
      <c r="S5240" s="36"/>
      <c r="T5240" s="247" t="s">
        <v>24857</v>
      </c>
      <c r="U5240" s="38" t="s">
        <v>61</v>
      </c>
      <c r="V5240" s="30"/>
      <c r="W5240" s="49"/>
      <c r="X5240" s="49"/>
      <c r="Y5240" s="35"/>
      <c r="Z5240" s="35"/>
      <c r="AA5240" s="35"/>
      <c r="AB5240" s="35"/>
      <c r="AC5240" s="35"/>
      <c r="AD5240" s="35"/>
      <c r="AE5240" s="35"/>
      <c r="AF5240" s="35"/>
      <c r="AG5240" s="35"/>
      <c r="AH5240" s="35"/>
      <c r="AI5240" s="35"/>
      <c r="AJ5240" s="35"/>
      <c r="AK5240" s="35"/>
      <c r="AL5240" s="35"/>
    </row>
    <row r="5241">
      <c r="A5241" s="1"/>
      <c r="B5241" s="19" t="s">
        <v>19332</v>
      </c>
      <c r="C5241" s="20" t="s">
        <v>24832</v>
      </c>
      <c r="D5241" s="47"/>
      <c r="E5241" s="22" t="s">
        <v>24858</v>
      </c>
      <c r="F5241" s="22" t="s">
        <v>323</v>
      </c>
      <c r="G5241" s="23">
        <v>2022.0</v>
      </c>
      <c r="H5241" s="22" t="s">
        <v>77</v>
      </c>
      <c r="I5241" s="24" t="s">
        <v>24859</v>
      </c>
      <c r="J5241" s="22" t="s">
        <v>649</v>
      </c>
      <c r="K5241" s="22"/>
      <c r="L5241" s="105" t="s">
        <v>24860</v>
      </c>
      <c r="M5241" s="44"/>
      <c r="N5241" s="44"/>
      <c r="O5241" s="44"/>
      <c r="P5241" s="44"/>
      <c r="Q5241" s="44"/>
      <c r="R5241" s="44"/>
      <c r="S5241" s="44"/>
      <c r="T5241" s="45"/>
      <c r="U5241" s="38" t="s">
        <v>61</v>
      </c>
      <c r="V5241" s="30"/>
      <c r="W5241" s="49"/>
      <c r="X5241" s="49"/>
      <c r="Y5241" s="35"/>
      <c r="Z5241" s="35"/>
      <c r="AA5241" s="35"/>
      <c r="AB5241" s="35"/>
      <c r="AC5241" s="35"/>
      <c r="AD5241" s="35"/>
      <c r="AE5241" s="35"/>
      <c r="AF5241" s="35"/>
      <c r="AG5241" s="35"/>
      <c r="AH5241" s="35"/>
      <c r="AI5241" s="35"/>
      <c r="AJ5241" s="35"/>
      <c r="AK5241" s="35"/>
      <c r="AL5241" s="35"/>
    </row>
    <row r="5242">
      <c r="A5242" s="1"/>
      <c r="B5242" s="19" t="s">
        <v>19332</v>
      </c>
      <c r="C5242" s="20" t="s">
        <v>24832</v>
      </c>
      <c r="D5242" s="47"/>
      <c r="E5242" s="22" t="s">
        <v>3300</v>
      </c>
      <c r="F5242" s="22" t="s">
        <v>224</v>
      </c>
      <c r="G5242" s="23">
        <v>2023.0</v>
      </c>
      <c r="H5242" s="22" t="s">
        <v>12502</v>
      </c>
      <c r="I5242" s="24" t="s">
        <v>24861</v>
      </c>
      <c r="J5242" s="22" t="s">
        <v>44</v>
      </c>
      <c r="K5242" s="22"/>
      <c r="L5242" s="36">
        <v>980.0</v>
      </c>
      <c r="M5242" s="36">
        <v>500.0</v>
      </c>
      <c r="N5242" s="36" t="s">
        <v>24862</v>
      </c>
      <c r="O5242" s="129"/>
      <c r="P5242" s="37"/>
      <c r="Q5242" s="36"/>
      <c r="R5242" s="36">
        <v>45.0</v>
      </c>
      <c r="S5242" s="36" t="s">
        <v>11849</v>
      </c>
      <c r="T5242" s="28" t="s">
        <v>24863</v>
      </c>
      <c r="U5242" s="38" t="s">
        <v>61</v>
      </c>
      <c r="V5242" s="30"/>
      <c r="W5242" s="49"/>
      <c r="X5242" s="49"/>
      <c r="Y5242" s="35"/>
      <c r="Z5242" s="35"/>
      <c r="AA5242" s="35"/>
      <c r="AB5242" s="35"/>
      <c r="AC5242" s="35"/>
      <c r="AD5242" s="35"/>
      <c r="AE5242" s="35"/>
      <c r="AF5242" s="35"/>
      <c r="AG5242" s="35"/>
      <c r="AH5242" s="35"/>
      <c r="AI5242" s="35"/>
      <c r="AJ5242" s="35"/>
      <c r="AK5242" s="35"/>
      <c r="AL5242" s="35"/>
    </row>
    <row r="5243">
      <c r="A5243" s="1"/>
      <c r="B5243" s="19" t="s">
        <v>19332</v>
      </c>
      <c r="C5243" s="20" t="s">
        <v>24832</v>
      </c>
      <c r="D5243" s="47"/>
      <c r="E5243" s="22" t="s">
        <v>24864</v>
      </c>
      <c r="F5243" s="22" t="s">
        <v>1930</v>
      </c>
      <c r="G5243" s="23">
        <v>2022.0</v>
      </c>
      <c r="H5243" s="22" t="s">
        <v>12502</v>
      </c>
      <c r="I5243" s="24" t="s">
        <v>24865</v>
      </c>
      <c r="J5243" s="22" t="s">
        <v>55</v>
      </c>
      <c r="K5243" s="22"/>
      <c r="L5243" s="36">
        <v>808.0</v>
      </c>
      <c r="M5243" s="36">
        <v>500.0</v>
      </c>
      <c r="N5243" s="36" t="s">
        <v>24866</v>
      </c>
      <c r="O5243" s="129">
        <v>44652.0</v>
      </c>
      <c r="P5243" s="37" t="s">
        <v>432</v>
      </c>
      <c r="Q5243" s="36" t="s">
        <v>24867</v>
      </c>
      <c r="R5243" s="36">
        <v>120.0</v>
      </c>
      <c r="S5243" s="36" t="s">
        <v>24868</v>
      </c>
      <c r="T5243" s="28" t="s">
        <v>24869</v>
      </c>
      <c r="U5243" s="29" t="s">
        <v>61</v>
      </c>
      <c r="V5243" s="30" t="s">
        <v>24870</v>
      </c>
      <c r="W5243" s="49"/>
      <c r="X5243" s="49"/>
      <c r="Y5243" s="35"/>
      <c r="Z5243" s="35"/>
      <c r="AA5243" s="35"/>
      <c r="AB5243" s="35"/>
      <c r="AC5243" s="35"/>
      <c r="AD5243" s="35"/>
      <c r="AE5243" s="35"/>
      <c r="AF5243" s="35"/>
      <c r="AG5243" s="35"/>
      <c r="AH5243" s="35"/>
      <c r="AI5243" s="35"/>
      <c r="AJ5243" s="35"/>
      <c r="AK5243" s="35"/>
      <c r="AL5243" s="35"/>
    </row>
    <row r="5244">
      <c r="A5244" s="1"/>
      <c r="B5244" s="19" t="s">
        <v>19332</v>
      </c>
      <c r="C5244" s="20" t="s">
        <v>24832</v>
      </c>
      <c r="D5244" s="47"/>
      <c r="E5244" s="22" t="s">
        <v>19726</v>
      </c>
      <c r="F5244" s="22" t="s">
        <v>19727</v>
      </c>
      <c r="G5244" s="23">
        <v>2022.0</v>
      </c>
      <c r="H5244" s="22" t="s">
        <v>1485</v>
      </c>
      <c r="I5244" s="24" t="s">
        <v>24871</v>
      </c>
      <c r="J5244" s="22" t="s">
        <v>55</v>
      </c>
      <c r="K5244" s="22"/>
      <c r="L5244" s="36">
        <v>660.0</v>
      </c>
      <c r="M5244" s="36">
        <v>100.0</v>
      </c>
      <c r="N5244" s="36"/>
      <c r="O5244" s="129"/>
      <c r="P5244" s="37" t="s">
        <v>17284</v>
      </c>
      <c r="Q5244" s="36" t="s">
        <v>280</v>
      </c>
      <c r="R5244" s="36"/>
      <c r="S5244" s="36"/>
      <c r="T5244" s="28" t="s">
        <v>24872</v>
      </c>
      <c r="U5244" s="29" t="s">
        <v>61</v>
      </c>
      <c r="V5244" s="30" t="s">
        <v>24873</v>
      </c>
      <c r="W5244" s="49"/>
      <c r="X5244" s="49"/>
      <c r="Y5244" s="35"/>
      <c r="Z5244" s="35"/>
      <c r="AA5244" s="35"/>
      <c r="AB5244" s="35"/>
      <c r="AC5244" s="35"/>
      <c r="AD5244" s="35"/>
      <c r="AE5244" s="35"/>
      <c r="AF5244" s="35"/>
      <c r="AG5244" s="35"/>
      <c r="AH5244" s="35"/>
      <c r="AI5244" s="35"/>
      <c r="AJ5244" s="35"/>
      <c r="AK5244" s="35"/>
      <c r="AL5244" s="35"/>
    </row>
    <row r="5245">
      <c r="A5245" s="1"/>
      <c r="B5245" s="19" t="s">
        <v>19332</v>
      </c>
      <c r="C5245" s="20" t="s">
        <v>24832</v>
      </c>
      <c r="D5245" s="47"/>
      <c r="E5245" s="22" t="s">
        <v>109</v>
      </c>
      <c r="F5245" s="22" t="s">
        <v>41</v>
      </c>
      <c r="G5245" s="23">
        <v>2021.0</v>
      </c>
      <c r="H5245" s="22" t="s">
        <v>1485</v>
      </c>
      <c r="I5245" s="24" t="s">
        <v>24874</v>
      </c>
      <c r="J5245" s="22" t="s">
        <v>24875</v>
      </c>
      <c r="K5245" s="22"/>
      <c r="L5245" s="36"/>
      <c r="M5245" s="36"/>
      <c r="N5245" s="36"/>
      <c r="O5245" s="129"/>
      <c r="P5245" s="37"/>
      <c r="Q5245" s="36"/>
      <c r="R5245" s="36"/>
      <c r="S5245" s="36"/>
      <c r="T5245" s="28"/>
      <c r="U5245" s="29" t="s">
        <v>61</v>
      </c>
      <c r="V5245" s="30"/>
      <c r="W5245" s="49"/>
      <c r="X5245" s="49"/>
      <c r="Y5245" s="35"/>
      <c r="Z5245" s="35"/>
      <c r="AA5245" s="35"/>
      <c r="AB5245" s="35"/>
      <c r="AC5245" s="35"/>
      <c r="AD5245" s="35"/>
      <c r="AE5245" s="35"/>
      <c r="AF5245" s="35"/>
      <c r="AG5245" s="35"/>
      <c r="AH5245" s="35"/>
      <c r="AI5245" s="35"/>
      <c r="AJ5245" s="35"/>
      <c r="AK5245" s="35"/>
      <c r="AL5245" s="35"/>
    </row>
    <row r="5246">
      <c r="A5246" s="1" t="s">
        <v>38</v>
      </c>
      <c r="B5246" s="19" t="s">
        <v>19332</v>
      </c>
      <c r="C5246" s="20" t="s">
        <v>24832</v>
      </c>
      <c r="D5246" s="47"/>
      <c r="E5246" s="22" t="s">
        <v>190</v>
      </c>
      <c r="F5246" s="22" t="s">
        <v>24876</v>
      </c>
      <c r="G5246" s="23">
        <v>2021.0</v>
      </c>
      <c r="H5246" s="22" t="s">
        <v>469</v>
      </c>
      <c r="I5246" s="24" t="s">
        <v>24877</v>
      </c>
      <c r="J5246" s="22" t="s">
        <v>24878</v>
      </c>
      <c r="K5246" s="22"/>
      <c r="L5246" s="36">
        <v>635.0</v>
      </c>
      <c r="M5246" s="36"/>
      <c r="N5246" s="36"/>
      <c r="O5246" s="129"/>
      <c r="P5246" s="37" t="s">
        <v>95</v>
      </c>
      <c r="Q5246" s="36"/>
      <c r="R5246" s="36">
        <v>25.0</v>
      </c>
      <c r="S5246" s="36" t="s">
        <v>3233</v>
      </c>
      <c r="T5246" s="28" t="s">
        <v>24879</v>
      </c>
      <c r="U5246" s="29" t="s">
        <v>61</v>
      </c>
      <c r="V5246" s="30" t="s">
        <v>24880</v>
      </c>
      <c r="W5246" s="49"/>
      <c r="X5246" s="49"/>
      <c r="Y5246" s="35"/>
      <c r="Z5246" s="35"/>
      <c r="AA5246" s="35"/>
      <c r="AB5246" s="35"/>
      <c r="AC5246" s="35"/>
      <c r="AD5246" s="35"/>
      <c r="AE5246" s="35"/>
      <c r="AF5246" s="35"/>
      <c r="AG5246" s="35"/>
      <c r="AH5246" s="35"/>
      <c r="AI5246" s="35"/>
      <c r="AJ5246" s="35"/>
      <c r="AK5246" s="35"/>
      <c r="AL5246" s="35"/>
    </row>
    <row r="5247">
      <c r="A5247" s="1"/>
      <c r="B5247" s="19" t="s">
        <v>19332</v>
      </c>
      <c r="C5247" s="20" t="s">
        <v>24832</v>
      </c>
      <c r="D5247" s="47"/>
      <c r="E5247" s="22" t="s">
        <v>1138</v>
      </c>
      <c r="F5247" s="22" t="s">
        <v>24881</v>
      </c>
      <c r="G5247" s="23">
        <v>2020.0</v>
      </c>
      <c r="H5247" s="22" t="s">
        <v>147</v>
      </c>
      <c r="I5247" s="24" t="s">
        <v>24882</v>
      </c>
      <c r="J5247" s="22" t="s">
        <v>2273</v>
      </c>
      <c r="K5247" s="22"/>
      <c r="L5247" s="36" t="s">
        <v>6257</v>
      </c>
      <c r="M5247" s="36" t="s">
        <v>20855</v>
      </c>
      <c r="N5247" s="36"/>
      <c r="O5247" s="36" t="s">
        <v>24883</v>
      </c>
      <c r="P5247" s="37"/>
      <c r="Q5247" s="36"/>
      <c r="R5247" s="36"/>
      <c r="S5247" s="36">
        <v>1.0</v>
      </c>
      <c r="T5247" s="28" t="s">
        <v>24884</v>
      </c>
      <c r="U5247" s="29" t="s">
        <v>61</v>
      </c>
      <c r="V5247" s="30" t="s">
        <v>24885</v>
      </c>
      <c r="W5247" s="49"/>
      <c r="X5247" s="49"/>
      <c r="Y5247" s="35"/>
      <c r="Z5247" s="35"/>
      <c r="AA5247" s="35"/>
      <c r="AB5247" s="35"/>
      <c r="AC5247" s="35"/>
      <c r="AD5247" s="35"/>
      <c r="AE5247" s="35"/>
      <c r="AF5247" s="35"/>
      <c r="AG5247" s="35"/>
      <c r="AH5247" s="35"/>
      <c r="AI5247" s="35"/>
      <c r="AJ5247" s="35"/>
      <c r="AK5247" s="35"/>
      <c r="AL5247" s="35"/>
    </row>
    <row r="5248">
      <c r="A5248" s="1"/>
      <c r="B5248" s="19" t="s">
        <v>19332</v>
      </c>
      <c r="C5248" s="20" t="s">
        <v>24832</v>
      </c>
      <c r="D5248" s="47"/>
      <c r="E5248" s="22" t="s">
        <v>24886</v>
      </c>
      <c r="F5248" s="22" t="s">
        <v>5429</v>
      </c>
      <c r="G5248" s="23">
        <v>2020.0</v>
      </c>
      <c r="H5248" s="22" t="s">
        <v>3963</v>
      </c>
      <c r="I5248" s="24" t="s">
        <v>24887</v>
      </c>
      <c r="J5248" s="22" t="s">
        <v>24888</v>
      </c>
      <c r="K5248" s="22"/>
      <c r="L5248" s="36" t="s">
        <v>24889</v>
      </c>
      <c r="M5248" s="36">
        <v>1100.0</v>
      </c>
      <c r="N5248" s="36"/>
      <c r="O5248" s="36" t="s">
        <v>24890</v>
      </c>
      <c r="P5248" s="37"/>
      <c r="Q5248" s="36"/>
      <c r="R5248" s="36">
        <v>900.0</v>
      </c>
      <c r="S5248" s="36" t="s">
        <v>2099</v>
      </c>
      <c r="T5248" s="28" t="s">
        <v>24891</v>
      </c>
      <c r="U5248" s="29" t="s">
        <v>61</v>
      </c>
      <c r="V5248" s="30"/>
      <c r="W5248" s="49"/>
      <c r="X5248" s="49"/>
      <c r="Y5248" s="35"/>
      <c r="Z5248" s="35"/>
      <c r="AA5248" s="35"/>
      <c r="AB5248" s="35"/>
      <c r="AC5248" s="35"/>
      <c r="AD5248" s="35"/>
      <c r="AE5248" s="35"/>
      <c r="AF5248" s="35"/>
      <c r="AG5248" s="35"/>
      <c r="AH5248" s="35"/>
      <c r="AI5248" s="35"/>
      <c r="AJ5248" s="35"/>
      <c r="AK5248" s="35"/>
      <c r="AL5248" s="35"/>
    </row>
    <row r="5249">
      <c r="A5249" s="1"/>
      <c r="B5249" s="19" t="s">
        <v>19332</v>
      </c>
      <c r="C5249" s="20" t="s">
        <v>24832</v>
      </c>
      <c r="D5249" s="47"/>
      <c r="E5249" s="22" t="s">
        <v>15492</v>
      </c>
      <c r="F5249" s="22" t="s">
        <v>19727</v>
      </c>
      <c r="G5249" s="23">
        <v>2020.0</v>
      </c>
      <c r="H5249" s="22" t="s">
        <v>1485</v>
      </c>
      <c r="I5249" s="24" t="s">
        <v>24892</v>
      </c>
      <c r="J5249" s="22" t="s">
        <v>19666</v>
      </c>
      <c r="K5249" s="22"/>
      <c r="L5249" s="36">
        <v>660.0</v>
      </c>
      <c r="M5249" s="36">
        <v>100.0</v>
      </c>
      <c r="N5249" s="36"/>
      <c r="O5249" s="129"/>
      <c r="P5249" s="37"/>
      <c r="Q5249" s="36"/>
      <c r="R5249" s="36"/>
      <c r="S5249" s="36" t="s">
        <v>24893</v>
      </c>
      <c r="T5249" s="28" t="s">
        <v>24894</v>
      </c>
      <c r="U5249" s="29" t="s">
        <v>61</v>
      </c>
      <c r="V5249" s="30" t="s">
        <v>24895</v>
      </c>
      <c r="W5249" s="49"/>
      <c r="X5249" s="49"/>
      <c r="Y5249" s="35"/>
      <c r="Z5249" s="35"/>
      <c r="AA5249" s="35"/>
      <c r="AB5249" s="35"/>
      <c r="AC5249" s="35"/>
      <c r="AD5249" s="35"/>
      <c r="AE5249" s="35"/>
      <c r="AF5249" s="35"/>
      <c r="AG5249" s="35"/>
      <c r="AH5249" s="35"/>
      <c r="AI5249" s="35"/>
      <c r="AJ5249" s="35"/>
      <c r="AK5249" s="35"/>
      <c r="AL5249" s="35"/>
    </row>
    <row r="5250">
      <c r="A5250" s="1"/>
      <c r="B5250" s="19" t="s">
        <v>19332</v>
      </c>
      <c r="C5250" s="20" t="s">
        <v>24832</v>
      </c>
      <c r="D5250" s="47"/>
      <c r="E5250" s="22" t="s">
        <v>21417</v>
      </c>
      <c r="F5250" s="22" t="s">
        <v>41</v>
      </c>
      <c r="G5250" s="23">
        <v>2020.0</v>
      </c>
      <c r="H5250" s="22" t="s">
        <v>1485</v>
      </c>
      <c r="I5250" s="24" t="s">
        <v>24896</v>
      </c>
      <c r="J5250" s="22" t="s">
        <v>2273</v>
      </c>
      <c r="K5250" s="22"/>
      <c r="L5250" s="36" t="s">
        <v>6257</v>
      </c>
      <c r="M5250" s="36"/>
      <c r="N5250" s="36"/>
      <c r="O5250" s="129"/>
      <c r="P5250" s="37"/>
      <c r="Q5250" s="36"/>
      <c r="R5250" s="36"/>
      <c r="S5250" s="36" t="s">
        <v>24897</v>
      </c>
      <c r="T5250" s="28" t="s">
        <v>24898</v>
      </c>
      <c r="U5250" s="29" t="s">
        <v>61</v>
      </c>
      <c r="V5250" s="30"/>
      <c r="W5250" s="49"/>
      <c r="X5250" s="49"/>
      <c r="Y5250" s="35"/>
      <c r="Z5250" s="35"/>
      <c r="AA5250" s="35"/>
      <c r="AB5250" s="35"/>
      <c r="AC5250" s="35"/>
      <c r="AD5250" s="35"/>
      <c r="AE5250" s="35"/>
      <c r="AF5250" s="35"/>
      <c r="AG5250" s="35"/>
      <c r="AH5250" s="35"/>
      <c r="AI5250" s="35"/>
      <c r="AJ5250" s="35"/>
      <c r="AK5250" s="35"/>
      <c r="AL5250" s="35"/>
    </row>
    <row r="5251">
      <c r="A5251" s="1"/>
      <c r="B5251" s="19" t="s">
        <v>19332</v>
      </c>
      <c r="C5251" s="20" t="s">
        <v>24832</v>
      </c>
      <c r="D5251" s="47"/>
      <c r="E5251" s="22" t="s">
        <v>24899</v>
      </c>
      <c r="F5251" s="22" t="s">
        <v>24900</v>
      </c>
      <c r="G5251" s="23">
        <v>2020.0</v>
      </c>
      <c r="H5251" s="22" t="s">
        <v>147</v>
      </c>
      <c r="I5251" s="24" t="s">
        <v>24901</v>
      </c>
      <c r="J5251" s="22" t="s">
        <v>2273</v>
      </c>
      <c r="K5251" s="22"/>
      <c r="L5251" s="36">
        <v>808.0</v>
      </c>
      <c r="M5251" s="36">
        <v>50.0</v>
      </c>
      <c r="N5251" s="36" t="s">
        <v>23833</v>
      </c>
      <c r="O5251" s="129">
        <v>43925.0</v>
      </c>
      <c r="P5251" s="37" t="s">
        <v>24902</v>
      </c>
      <c r="Q5251" s="36" t="s">
        <v>24903</v>
      </c>
      <c r="R5251" s="36" t="s">
        <v>24904</v>
      </c>
      <c r="S5251" s="36" t="s">
        <v>24905</v>
      </c>
      <c r="T5251" s="28" t="s">
        <v>24906</v>
      </c>
      <c r="U5251" s="38" t="str">
        <f>HYPERLINK("https://www.ncbi.nlm.nih.gov/pubmed/32099634","PubMed")</f>
        <v>PubMed</v>
      </c>
      <c r="V5251" s="30"/>
      <c r="W5251" s="49"/>
      <c r="X5251" s="49"/>
      <c r="Y5251" s="35"/>
      <c r="Z5251" s="35"/>
      <c r="AA5251" s="35"/>
      <c r="AB5251" s="35"/>
      <c r="AC5251" s="35"/>
      <c r="AD5251" s="35"/>
      <c r="AE5251" s="35"/>
      <c r="AF5251" s="35"/>
      <c r="AG5251" s="35"/>
      <c r="AH5251" s="35"/>
      <c r="AI5251" s="35"/>
      <c r="AJ5251" s="35"/>
      <c r="AK5251" s="35"/>
      <c r="AL5251" s="35"/>
    </row>
    <row r="5252">
      <c r="A5252" s="18"/>
      <c r="B5252" s="19" t="s">
        <v>19332</v>
      </c>
      <c r="C5252" s="20" t="s">
        <v>24832</v>
      </c>
      <c r="D5252" s="47"/>
      <c r="E5252" s="22" t="s">
        <v>1689</v>
      </c>
      <c r="F5252" s="22" t="s">
        <v>18306</v>
      </c>
      <c r="G5252" s="23">
        <v>2020.0</v>
      </c>
      <c r="H5252" s="22" t="s">
        <v>13752</v>
      </c>
      <c r="I5252" s="24" t="s">
        <v>24907</v>
      </c>
      <c r="J5252" s="22" t="s">
        <v>24908</v>
      </c>
      <c r="K5252" s="22"/>
      <c r="L5252" s="105" t="s">
        <v>24909</v>
      </c>
      <c r="M5252" s="44"/>
      <c r="N5252" s="44"/>
      <c r="O5252" s="44"/>
      <c r="P5252" s="44"/>
      <c r="Q5252" s="44"/>
      <c r="R5252" s="44"/>
      <c r="S5252" s="44"/>
      <c r="T5252" s="45"/>
      <c r="U5252" s="38" t="str">
        <f>HYPERLINK("https://www.ncbi.nlm.nih.gov/pubmed/31926767","PubMed")</f>
        <v>PubMed</v>
      </c>
      <c r="V5252" s="30"/>
      <c r="W5252" s="49"/>
      <c r="X5252" s="49"/>
      <c r="Y5252" s="35"/>
      <c r="Z5252" s="35"/>
      <c r="AA5252" s="35"/>
      <c r="AB5252" s="35"/>
      <c r="AC5252" s="35"/>
      <c r="AD5252" s="35"/>
      <c r="AE5252" s="35"/>
      <c r="AF5252" s="35"/>
      <c r="AG5252" s="35"/>
      <c r="AH5252" s="35"/>
      <c r="AI5252" s="35"/>
      <c r="AJ5252" s="35"/>
      <c r="AK5252" s="35"/>
      <c r="AL5252" s="35"/>
    </row>
    <row r="5253">
      <c r="A5253" s="18"/>
      <c r="B5253" s="19" t="s">
        <v>19332</v>
      </c>
      <c r="C5253" s="20" t="s">
        <v>24832</v>
      </c>
      <c r="D5253" s="47"/>
      <c r="E5253" s="22" t="s">
        <v>24910</v>
      </c>
      <c r="F5253" s="22" t="s">
        <v>41</v>
      </c>
      <c r="G5253" s="23">
        <v>2020.0</v>
      </c>
      <c r="H5253" s="22" t="s">
        <v>1485</v>
      </c>
      <c r="I5253" s="24" t="s">
        <v>24911</v>
      </c>
      <c r="J5253" s="22" t="s">
        <v>24912</v>
      </c>
      <c r="K5253" s="22" t="s">
        <v>19336</v>
      </c>
      <c r="L5253" s="36" t="s">
        <v>24913</v>
      </c>
      <c r="M5253" s="36"/>
      <c r="N5253" s="36"/>
      <c r="O5253" s="129"/>
      <c r="P5253" s="37"/>
      <c r="Q5253" s="36"/>
      <c r="R5253" s="36"/>
      <c r="S5253" s="36"/>
      <c r="T5253" s="28" t="s">
        <v>24914</v>
      </c>
      <c r="U5253" s="38" t="str">
        <f>HYPERLINK("https://www.ncbi.nlm.nih.gov/pubmed/31923636","PubMed")</f>
        <v>PubMed</v>
      </c>
      <c r="V5253" s="30"/>
      <c r="W5253" s="49"/>
      <c r="X5253" s="49"/>
      <c r="Y5253" s="35"/>
      <c r="Z5253" s="35"/>
      <c r="AA5253" s="35"/>
      <c r="AB5253" s="35"/>
      <c r="AC5253" s="35"/>
      <c r="AD5253" s="35"/>
      <c r="AE5253" s="35"/>
      <c r="AF5253" s="35"/>
      <c r="AG5253" s="35"/>
      <c r="AH5253" s="35"/>
      <c r="AI5253" s="35"/>
      <c r="AJ5253" s="35"/>
      <c r="AK5253" s="35"/>
      <c r="AL5253" s="35"/>
    </row>
    <row r="5254">
      <c r="A5254" s="18"/>
      <c r="B5254" s="19" t="s">
        <v>19332</v>
      </c>
      <c r="C5254" s="20" t="s">
        <v>24832</v>
      </c>
      <c r="D5254" s="47"/>
      <c r="E5254" s="22" t="s">
        <v>24915</v>
      </c>
      <c r="F5254" s="22" t="s">
        <v>2152</v>
      </c>
      <c r="G5254" s="23">
        <v>2019.0</v>
      </c>
      <c r="H5254" s="22" t="s">
        <v>680</v>
      </c>
      <c r="I5254" s="24" t="s">
        <v>24916</v>
      </c>
      <c r="J5254" s="22" t="s">
        <v>24917</v>
      </c>
      <c r="K5254" s="22"/>
      <c r="L5254" s="36">
        <v>1340.0</v>
      </c>
      <c r="M5254" s="36"/>
      <c r="N5254" s="36"/>
      <c r="O5254" s="129"/>
      <c r="P5254" s="37" t="s">
        <v>24918</v>
      </c>
      <c r="Q5254" s="36"/>
      <c r="R5254" s="36"/>
      <c r="S5254" s="36" t="s">
        <v>24919</v>
      </c>
      <c r="T5254" s="28" t="s">
        <v>24920</v>
      </c>
      <c r="U5254" s="38" t="str">
        <f>HYPERLINK("https://www.ncbi.nlm.nih.gov/pubmed/31301390","PubMed")</f>
        <v>PubMed</v>
      </c>
      <c r="V5254" s="30" t="s">
        <v>24921</v>
      </c>
      <c r="W5254" s="49"/>
      <c r="X5254" s="49"/>
      <c r="Y5254" s="35"/>
      <c r="Z5254" s="35"/>
      <c r="AA5254" s="35"/>
      <c r="AB5254" s="35"/>
      <c r="AC5254" s="35"/>
      <c r="AD5254" s="35"/>
      <c r="AE5254" s="35"/>
      <c r="AF5254" s="35"/>
      <c r="AG5254" s="35"/>
      <c r="AH5254" s="35"/>
      <c r="AI5254" s="35"/>
      <c r="AJ5254" s="35"/>
      <c r="AK5254" s="35"/>
      <c r="AL5254" s="35"/>
    </row>
    <row r="5255">
      <c r="A5255" s="18"/>
      <c r="B5255" s="19" t="s">
        <v>19332</v>
      </c>
      <c r="C5255" s="20" t="s">
        <v>24832</v>
      </c>
      <c r="D5255" s="47"/>
      <c r="E5255" s="22" t="s">
        <v>999</v>
      </c>
      <c r="F5255" s="22" t="s">
        <v>24922</v>
      </c>
      <c r="G5255" s="23">
        <v>2018.0</v>
      </c>
      <c r="H5255" s="22" t="s">
        <v>611</v>
      </c>
      <c r="I5255" s="24" t="s">
        <v>24923</v>
      </c>
      <c r="J5255" s="22" t="s">
        <v>8875</v>
      </c>
      <c r="K5255" s="22" t="s">
        <v>24924</v>
      </c>
      <c r="L5255" s="36" t="s">
        <v>24925</v>
      </c>
      <c r="M5255" s="36"/>
      <c r="N5255" s="36"/>
      <c r="O5255" s="129"/>
      <c r="P5255" s="37"/>
      <c r="Q5255" s="36"/>
      <c r="R5255" s="36"/>
      <c r="S5255" s="36"/>
      <c r="T5255" s="28" t="s">
        <v>24926</v>
      </c>
      <c r="U5255" s="38" t="str">
        <f>HYPERLINK("https://www.ncbi.nlm.nih.gov/pubmed/29791570","PubMed")</f>
        <v>PubMed</v>
      </c>
      <c r="V5255" s="30"/>
      <c r="W5255" s="49"/>
      <c r="X5255" s="49"/>
      <c r="Y5255" s="35"/>
      <c r="Z5255" s="35"/>
      <c r="AA5255" s="35"/>
      <c r="AB5255" s="35"/>
      <c r="AC5255" s="35"/>
      <c r="AD5255" s="35"/>
      <c r="AE5255" s="35"/>
      <c r="AF5255" s="35"/>
      <c r="AG5255" s="35"/>
      <c r="AH5255" s="35"/>
      <c r="AI5255" s="35"/>
      <c r="AJ5255" s="35"/>
      <c r="AK5255" s="35"/>
      <c r="AL5255" s="35"/>
    </row>
    <row r="5256">
      <c r="A5256" s="18" t="s">
        <v>38</v>
      </c>
      <c r="B5256" s="19" t="s">
        <v>19332</v>
      </c>
      <c r="C5256" s="20" t="s">
        <v>24832</v>
      </c>
      <c r="D5256" s="47"/>
      <c r="E5256" s="22" t="s">
        <v>24927</v>
      </c>
      <c r="F5256" s="22" t="s">
        <v>765</v>
      </c>
      <c r="G5256" s="23">
        <v>2018.0</v>
      </c>
      <c r="H5256" s="22" t="s">
        <v>207</v>
      </c>
      <c r="I5256" s="24" t="s">
        <v>24928</v>
      </c>
      <c r="J5256" s="22" t="s">
        <v>55</v>
      </c>
      <c r="K5256" s="22"/>
      <c r="L5256" s="36">
        <v>660.0</v>
      </c>
      <c r="M5256" s="36">
        <v>35.0</v>
      </c>
      <c r="N5256" s="36"/>
      <c r="O5256" s="129">
        <v>43102.0</v>
      </c>
      <c r="P5256" s="37" t="s">
        <v>24929</v>
      </c>
      <c r="Q5256" s="36"/>
      <c r="R5256" s="36">
        <v>60.0</v>
      </c>
      <c r="S5256" s="36"/>
      <c r="T5256" s="28" t="s">
        <v>24930</v>
      </c>
      <c r="U5256" s="38" t="str">
        <f>HYPERLINK("https://www.ncbi.nlm.nih.gov/pubmed/29777942","PubMed")</f>
        <v>PubMed</v>
      </c>
      <c r="V5256" s="30"/>
      <c r="W5256" s="49"/>
      <c r="X5256" s="49"/>
      <c r="Y5256" s="35"/>
      <c r="Z5256" s="35"/>
      <c r="AA5256" s="35"/>
      <c r="AB5256" s="35"/>
      <c r="AC5256" s="35"/>
      <c r="AD5256" s="35"/>
      <c r="AE5256" s="35"/>
      <c r="AF5256" s="35"/>
      <c r="AG5256" s="35"/>
      <c r="AH5256" s="35"/>
      <c r="AI5256" s="35"/>
      <c r="AJ5256" s="35"/>
      <c r="AK5256" s="35"/>
      <c r="AL5256" s="35"/>
    </row>
    <row r="5257">
      <c r="A5257" s="18"/>
      <c r="B5257" s="19" t="s">
        <v>19332</v>
      </c>
      <c r="C5257" s="20" t="s">
        <v>24832</v>
      </c>
      <c r="D5257" s="47"/>
      <c r="E5257" s="22" t="s">
        <v>24931</v>
      </c>
      <c r="F5257" s="22" t="s">
        <v>765</v>
      </c>
      <c r="G5257" s="23">
        <v>2017.0</v>
      </c>
      <c r="H5257" s="22" t="s">
        <v>147</v>
      </c>
      <c r="I5257" s="24" t="s">
        <v>24932</v>
      </c>
      <c r="J5257" s="22" t="s">
        <v>2273</v>
      </c>
      <c r="K5257" s="22"/>
      <c r="L5257" s="36">
        <v>810.0</v>
      </c>
      <c r="M5257" s="36">
        <v>100.0</v>
      </c>
      <c r="N5257" s="36" t="s">
        <v>24933</v>
      </c>
      <c r="O5257" s="36"/>
      <c r="P5257" s="37"/>
      <c r="Q5257" s="36"/>
      <c r="R5257" s="36"/>
      <c r="S5257" s="36" t="s">
        <v>6552</v>
      </c>
      <c r="T5257" s="28" t="s">
        <v>24934</v>
      </c>
      <c r="U5257" s="38" t="str">
        <f>HYPERLINK("https://www.ncbi.nlm.nih.gov/pubmed/29071028","PubMed")</f>
        <v>PubMed</v>
      </c>
      <c r="V5257" s="30" t="s">
        <v>24935</v>
      </c>
      <c r="W5257" s="49"/>
      <c r="X5257" s="49"/>
      <c r="Y5257" s="35"/>
      <c r="Z5257" s="35"/>
      <c r="AA5257" s="35"/>
      <c r="AB5257" s="35"/>
      <c r="AC5257" s="35"/>
      <c r="AD5257" s="35"/>
      <c r="AE5257" s="35"/>
      <c r="AF5257" s="35"/>
      <c r="AG5257" s="35"/>
      <c r="AH5257" s="35"/>
      <c r="AI5257" s="35"/>
      <c r="AJ5257" s="35"/>
      <c r="AK5257" s="35"/>
      <c r="AL5257" s="35"/>
    </row>
    <row r="5258">
      <c r="A5258" s="18"/>
      <c r="B5258" s="19" t="s">
        <v>19332</v>
      </c>
      <c r="C5258" s="20" t="s">
        <v>24832</v>
      </c>
      <c r="D5258" s="47"/>
      <c r="E5258" s="22" t="s">
        <v>24936</v>
      </c>
      <c r="F5258" s="22" t="s">
        <v>19158</v>
      </c>
      <c r="G5258" s="23">
        <v>2015.0</v>
      </c>
      <c r="H5258" s="22" t="s">
        <v>24937</v>
      </c>
      <c r="I5258" s="24" t="s">
        <v>24938</v>
      </c>
      <c r="J5258" s="22" t="s">
        <v>31</v>
      </c>
      <c r="K5258" s="22"/>
      <c r="L5258" s="36">
        <v>670.0</v>
      </c>
      <c r="M5258" s="36">
        <v>280.0</v>
      </c>
      <c r="N5258" s="36" t="s">
        <v>58</v>
      </c>
      <c r="O5258" s="36" t="s">
        <v>58</v>
      </c>
      <c r="P5258" s="37" t="s">
        <v>58</v>
      </c>
      <c r="Q5258" s="36" t="s">
        <v>58</v>
      </c>
      <c r="R5258" s="36">
        <v>60.0</v>
      </c>
      <c r="S5258" s="36"/>
      <c r="T5258" s="28" t="s">
        <v>24939</v>
      </c>
      <c r="U5258" s="38" t="str">
        <f>HYPERLINK("https://www.ncbi.nlm.nih.gov/pubmed/25469239","PubMed")</f>
        <v>PubMed</v>
      </c>
      <c r="V5258" s="30"/>
      <c r="W5258" s="49"/>
      <c r="X5258" s="49"/>
      <c r="Y5258" s="35"/>
      <c r="Z5258" s="35"/>
      <c r="AA5258" s="35"/>
      <c r="AB5258" s="35"/>
      <c r="AC5258" s="35"/>
      <c r="AD5258" s="35"/>
      <c r="AE5258" s="35"/>
      <c r="AF5258" s="35"/>
      <c r="AG5258" s="35"/>
      <c r="AH5258" s="35"/>
      <c r="AI5258" s="35"/>
      <c r="AJ5258" s="35"/>
      <c r="AK5258" s="35"/>
      <c r="AL5258" s="35"/>
    </row>
    <row r="5259">
      <c r="A5259" s="18"/>
      <c r="B5259" s="19" t="s">
        <v>19332</v>
      </c>
      <c r="C5259" s="20" t="s">
        <v>24832</v>
      </c>
      <c r="D5259" s="47"/>
      <c r="E5259" s="22" t="s">
        <v>24940</v>
      </c>
      <c r="F5259" s="22" t="s">
        <v>4711</v>
      </c>
      <c r="G5259" s="23">
        <v>2014.0</v>
      </c>
      <c r="H5259" s="22" t="s">
        <v>658</v>
      </c>
      <c r="I5259" s="24" t="s">
        <v>24941</v>
      </c>
      <c r="J5259" s="22" t="s">
        <v>24942</v>
      </c>
      <c r="K5259" s="22"/>
      <c r="L5259" s="36">
        <v>808.0</v>
      </c>
      <c r="M5259" s="36">
        <v>500.0</v>
      </c>
      <c r="N5259" s="36"/>
      <c r="O5259" s="36" t="s">
        <v>13456</v>
      </c>
      <c r="P5259" s="37" t="s">
        <v>432</v>
      </c>
      <c r="Q5259" s="36" t="s">
        <v>12922</v>
      </c>
      <c r="R5259" s="36"/>
      <c r="S5259" s="36" t="s">
        <v>24868</v>
      </c>
      <c r="T5259" s="28" t="s">
        <v>24943</v>
      </c>
      <c r="U5259" s="38" t="str">
        <f>HYPERLINK("https://www.ncbi.nlm.nih.gov/pubmed/25045921","PubMed")</f>
        <v>PubMed</v>
      </c>
      <c r="V5259" s="30" t="s">
        <v>24944</v>
      </c>
      <c r="W5259" s="49"/>
      <c r="X5259" s="49"/>
      <c r="Y5259" s="35"/>
      <c r="Z5259" s="35"/>
      <c r="AA5259" s="35"/>
      <c r="AB5259" s="35"/>
      <c r="AC5259" s="35"/>
      <c r="AD5259" s="35"/>
      <c r="AE5259" s="35"/>
      <c r="AF5259" s="35"/>
      <c r="AG5259" s="35"/>
      <c r="AH5259" s="35"/>
      <c r="AI5259" s="35"/>
      <c r="AJ5259" s="35"/>
      <c r="AK5259" s="35"/>
      <c r="AL5259" s="35"/>
    </row>
    <row r="5260">
      <c r="A5260" s="18"/>
      <c r="B5260" s="19" t="s">
        <v>19332</v>
      </c>
      <c r="C5260" s="20" t="s">
        <v>24832</v>
      </c>
      <c r="D5260" s="47"/>
      <c r="E5260" s="22" t="s">
        <v>5459</v>
      </c>
      <c r="F5260" s="22" t="s">
        <v>308</v>
      </c>
      <c r="G5260" s="23">
        <v>2014.0</v>
      </c>
      <c r="H5260" s="22" t="s">
        <v>8177</v>
      </c>
      <c r="I5260" s="24" t="s">
        <v>24945</v>
      </c>
      <c r="J5260" s="22" t="s">
        <v>31</v>
      </c>
      <c r="K5260" s="22" t="s">
        <v>1615</v>
      </c>
      <c r="L5260" s="36">
        <v>780.0</v>
      </c>
      <c r="M5260" s="36">
        <v>25.0</v>
      </c>
      <c r="N5260" s="36"/>
      <c r="O5260" s="36"/>
      <c r="P5260" s="37" t="s">
        <v>24946</v>
      </c>
      <c r="Q5260" s="36"/>
      <c r="R5260" s="36"/>
      <c r="S5260" s="36">
        <v>3.0</v>
      </c>
      <c r="T5260" s="42" t="s">
        <v>24947</v>
      </c>
      <c r="U5260" s="38" t="str">
        <f>HYPERLINK("https://www.ncbi.nlm.nih.gov/pubmed/24801347","PubMed")</f>
        <v>PubMed</v>
      </c>
      <c r="V5260" s="30"/>
      <c r="W5260" s="49"/>
      <c r="X5260" s="49"/>
      <c r="Y5260" s="35"/>
      <c r="Z5260" s="35"/>
      <c r="AA5260" s="35"/>
      <c r="AB5260" s="35"/>
      <c r="AC5260" s="35"/>
      <c r="AD5260" s="35"/>
      <c r="AE5260" s="35"/>
      <c r="AF5260" s="35"/>
      <c r="AG5260" s="35"/>
      <c r="AH5260" s="35"/>
      <c r="AI5260" s="35"/>
      <c r="AJ5260" s="35"/>
      <c r="AK5260" s="35"/>
      <c r="AL5260" s="35"/>
    </row>
    <row r="5261">
      <c r="A5261" s="18"/>
      <c r="B5261" s="19" t="s">
        <v>19332</v>
      </c>
      <c r="C5261" s="20" t="s">
        <v>24832</v>
      </c>
      <c r="D5261" s="47"/>
      <c r="E5261" s="22" t="s">
        <v>5730</v>
      </c>
      <c r="F5261" s="22" t="s">
        <v>308</v>
      </c>
      <c r="G5261" s="23">
        <v>2014.0</v>
      </c>
      <c r="H5261" s="22" t="s">
        <v>284</v>
      </c>
      <c r="I5261" s="24" t="s">
        <v>24948</v>
      </c>
      <c r="J5261" s="22" t="s">
        <v>31</v>
      </c>
      <c r="K5261" s="22" t="s">
        <v>24949</v>
      </c>
      <c r="L5261" s="36">
        <v>780.0</v>
      </c>
      <c r="M5261" s="36">
        <v>25.0</v>
      </c>
      <c r="N5261" s="36"/>
      <c r="O5261" s="36"/>
      <c r="P5261" s="37" t="s">
        <v>24950</v>
      </c>
      <c r="Q5261" s="36"/>
      <c r="R5261" s="36"/>
      <c r="S5261" s="36"/>
      <c r="T5261" s="42" t="s">
        <v>24951</v>
      </c>
      <c r="U5261" s="38" t="str">
        <f>HYPERLINK("https://www.ncbi.nlm.nih.gov/pubmed/24656494","PubMed")</f>
        <v>PubMed</v>
      </c>
      <c r="V5261" s="30"/>
      <c r="W5261" s="49"/>
      <c r="X5261" s="49"/>
      <c r="Y5261" s="35"/>
      <c r="Z5261" s="35"/>
      <c r="AA5261" s="35"/>
      <c r="AB5261" s="35"/>
      <c r="AC5261" s="35"/>
      <c r="AD5261" s="35"/>
      <c r="AE5261" s="35"/>
      <c r="AF5261" s="35"/>
      <c r="AG5261" s="35"/>
      <c r="AH5261" s="35"/>
      <c r="AI5261" s="35"/>
      <c r="AJ5261" s="35"/>
      <c r="AK5261" s="35"/>
      <c r="AL5261" s="35"/>
    </row>
    <row r="5262">
      <c r="A5262" s="18"/>
      <c r="B5262" s="19" t="s">
        <v>19332</v>
      </c>
      <c r="C5262" s="20" t="s">
        <v>24832</v>
      </c>
      <c r="D5262" s="47"/>
      <c r="E5262" s="22" t="s">
        <v>109</v>
      </c>
      <c r="F5262" s="22" t="s">
        <v>41</v>
      </c>
      <c r="G5262" s="23">
        <v>2012.0</v>
      </c>
      <c r="H5262" s="22" t="s">
        <v>18716</v>
      </c>
      <c r="I5262" s="24" t="s">
        <v>24952</v>
      </c>
      <c r="J5262" s="22" t="s">
        <v>24953</v>
      </c>
      <c r="K5262" s="22"/>
      <c r="L5262" s="36">
        <v>660.0</v>
      </c>
      <c r="M5262" s="36">
        <v>40.0</v>
      </c>
      <c r="N5262" s="36"/>
      <c r="O5262" s="36" t="s">
        <v>24954</v>
      </c>
      <c r="P5262" s="37" t="s">
        <v>82</v>
      </c>
      <c r="Q5262" s="36" t="s">
        <v>5266</v>
      </c>
      <c r="R5262" s="36" t="s">
        <v>24955</v>
      </c>
      <c r="S5262" s="36"/>
      <c r="T5262" s="28" t="s">
        <v>24956</v>
      </c>
      <c r="U5262" s="38" t="str">
        <f>HYPERLINK("https://www.ncbi.nlm.nih.gov/pubmed/21940198","PubMed")</f>
        <v>PubMed</v>
      </c>
      <c r="V5262" s="30"/>
      <c r="W5262" s="49"/>
      <c r="X5262" s="49"/>
      <c r="Y5262" s="35"/>
      <c r="Z5262" s="35"/>
      <c r="AA5262" s="35"/>
      <c r="AB5262" s="35"/>
      <c r="AC5262" s="35"/>
      <c r="AD5262" s="35"/>
      <c r="AE5262" s="35"/>
      <c r="AF5262" s="35"/>
      <c r="AG5262" s="35"/>
      <c r="AH5262" s="35"/>
      <c r="AI5262" s="35"/>
      <c r="AJ5262" s="35"/>
      <c r="AK5262" s="35"/>
      <c r="AL5262" s="35"/>
    </row>
    <row r="5263">
      <c r="A5263" s="18" t="s">
        <v>38</v>
      </c>
      <c r="B5263" s="19" t="s">
        <v>19332</v>
      </c>
      <c r="C5263" s="20" t="s">
        <v>24832</v>
      </c>
      <c r="D5263" s="47"/>
      <c r="E5263" s="22" t="s">
        <v>24957</v>
      </c>
      <c r="F5263" s="22" t="s">
        <v>1659</v>
      </c>
      <c r="G5263" s="23">
        <v>2012.0</v>
      </c>
      <c r="H5263" s="22" t="s">
        <v>658</v>
      </c>
      <c r="I5263" s="24" t="s">
        <v>24958</v>
      </c>
      <c r="J5263" s="24" t="s">
        <v>24958</v>
      </c>
      <c r="K5263" s="22"/>
      <c r="L5263" s="36">
        <v>1064.0</v>
      </c>
      <c r="M5263" s="36">
        <v>1250.0</v>
      </c>
      <c r="N5263" s="36"/>
      <c r="O5263" s="36"/>
      <c r="P5263" s="37"/>
      <c r="Q5263" s="36"/>
      <c r="R5263" s="36"/>
      <c r="S5263" s="36"/>
      <c r="T5263" s="28" t="s">
        <v>24959</v>
      </c>
      <c r="U5263" s="38" t="str">
        <f>HYPERLINK("https://www.ncbi.nlm.nih.gov/pubmed/22054203","PubMed")</f>
        <v>PubMed</v>
      </c>
      <c r="V5263" s="30"/>
      <c r="W5263" s="49"/>
      <c r="X5263" s="49"/>
      <c r="Y5263" s="35"/>
      <c r="Z5263" s="35"/>
      <c r="AA5263" s="35"/>
      <c r="AB5263" s="35"/>
      <c r="AC5263" s="35"/>
      <c r="AD5263" s="35"/>
      <c r="AE5263" s="35"/>
      <c r="AF5263" s="35"/>
      <c r="AG5263" s="35"/>
      <c r="AH5263" s="35"/>
      <c r="AI5263" s="35"/>
      <c r="AJ5263" s="35"/>
      <c r="AK5263" s="35"/>
      <c r="AL5263" s="35"/>
    </row>
    <row r="5264">
      <c r="A5264" s="1"/>
      <c r="B5264" s="19" t="s">
        <v>19332</v>
      </c>
      <c r="C5264" s="20" t="s">
        <v>24832</v>
      </c>
      <c r="D5264" s="47"/>
      <c r="E5264" s="22" t="s">
        <v>24960</v>
      </c>
      <c r="F5264" s="22" t="s">
        <v>183</v>
      </c>
      <c r="G5264" s="23">
        <v>2012.0</v>
      </c>
      <c r="H5264" s="22" t="s">
        <v>658</v>
      </c>
      <c r="I5264" s="24" t="s">
        <v>24961</v>
      </c>
      <c r="J5264" s="22" t="s">
        <v>24962</v>
      </c>
      <c r="K5264" s="22"/>
      <c r="L5264" s="36">
        <v>860.0</v>
      </c>
      <c r="M5264" s="36">
        <v>70.0</v>
      </c>
      <c r="N5264" s="36"/>
      <c r="O5264" s="36"/>
      <c r="P5264" s="37" t="s">
        <v>20995</v>
      </c>
      <c r="Q5264" s="36" t="s">
        <v>1199</v>
      </c>
      <c r="R5264" s="36"/>
      <c r="S5264" s="36" t="s">
        <v>24868</v>
      </c>
      <c r="T5264" s="28" t="s">
        <v>24963</v>
      </c>
      <c r="U5264" s="38" t="str">
        <f>HYPERLINK("https://www.ncbi.nlm.nih.gov/pubmed/22509722","PubMed")</f>
        <v>PubMed</v>
      </c>
      <c r="V5264" s="30"/>
      <c r="W5264" s="49"/>
      <c r="X5264" s="49"/>
      <c r="Y5264" s="35"/>
      <c r="Z5264" s="35"/>
      <c r="AA5264" s="35"/>
      <c r="AB5264" s="35"/>
      <c r="AC5264" s="35"/>
      <c r="AD5264" s="35"/>
      <c r="AE5264" s="35"/>
      <c r="AF5264" s="35"/>
      <c r="AG5264" s="35"/>
      <c r="AH5264" s="35"/>
      <c r="AI5264" s="35"/>
      <c r="AJ5264" s="35"/>
      <c r="AK5264" s="35"/>
      <c r="AL5264" s="35"/>
    </row>
    <row r="5265">
      <c r="A5265" s="1"/>
      <c r="B5265" s="19" t="s">
        <v>19332</v>
      </c>
      <c r="C5265" s="20" t="s">
        <v>24832</v>
      </c>
      <c r="D5265" s="47"/>
      <c r="E5265" s="22" t="s">
        <v>10473</v>
      </c>
      <c r="F5265" s="22" t="s">
        <v>5429</v>
      </c>
      <c r="G5265" s="23">
        <v>2011.0</v>
      </c>
      <c r="H5265" s="22" t="s">
        <v>658</v>
      </c>
      <c r="I5265" s="24" t="s">
        <v>24964</v>
      </c>
      <c r="J5265" s="22" t="s">
        <v>24965</v>
      </c>
      <c r="K5265" s="22" t="s">
        <v>7020</v>
      </c>
      <c r="L5265" s="36" t="s">
        <v>24966</v>
      </c>
      <c r="M5265" s="36"/>
      <c r="N5265" s="36"/>
      <c r="O5265" s="36"/>
      <c r="P5265" s="37"/>
      <c r="Q5265" s="36"/>
      <c r="R5265" s="36">
        <v>900.0</v>
      </c>
      <c r="S5265" s="36" t="s">
        <v>4746</v>
      </c>
      <c r="T5265" s="28" t="s">
        <v>24967</v>
      </c>
      <c r="U5265" s="38" t="str">
        <f>HYPERLINK("https://www.ncbi.nlm.nih.gov/pubmed/21235406","PubMed")</f>
        <v>PubMed</v>
      </c>
      <c r="V5265" s="30"/>
      <c r="W5265" s="49"/>
      <c r="X5265" s="49"/>
      <c r="Y5265" s="35"/>
      <c r="Z5265" s="35"/>
      <c r="AA5265" s="35"/>
      <c r="AB5265" s="35"/>
      <c r="AC5265" s="35"/>
      <c r="AD5265" s="35"/>
      <c r="AE5265" s="35"/>
      <c r="AF5265" s="35"/>
      <c r="AG5265" s="35"/>
      <c r="AH5265" s="35"/>
      <c r="AI5265" s="35"/>
      <c r="AJ5265" s="35"/>
      <c r="AK5265" s="35"/>
      <c r="AL5265" s="35"/>
    </row>
    <row r="5266">
      <c r="A5266" s="1"/>
      <c r="B5266" s="19" t="s">
        <v>19332</v>
      </c>
      <c r="C5266" s="20" t="s">
        <v>24832</v>
      </c>
      <c r="D5266" s="47"/>
      <c r="E5266" s="22" t="s">
        <v>24968</v>
      </c>
      <c r="F5266" s="22" t="s">
        <v>2635</v>
      </c>
      <c r="G5266" s="23">
        <v>2010.0</v>
      </c>
      <c r="H5266" s="22" t="s">
        <v>658</v>
      </c>
      <c r="I5266" s="24" t="s">
        <v>24969</v>
      </c>
      <c r="J5266" s="22" t="s">
        <v>24970</v>
      </c>
      <c r="K5266" s="22"/>
      <c r="L5266" s="36">
        <v>904.0</v>
      </c>
      <c r="M5266" s="36"/>
      <c r="N5266" s="36"/>
      <c r="O5266" s="36"/>
      <c r="P5266" s="37" t="s">
        <v>20973</v>
      </c>
      <c r="Q5266" s="36" t="s">
        <v>24971</v>
      </c>
      <c r="R5266" s="36"/>
      <c r="S5266" s="36" t="s">
        <v>20822</v>
      </c>
      <c r="T5266" s="28" t="s">
        <v>24972</v>
      </c>
      <c r="U5266" s="38" t="str">
        <f>HYPERLINK("https://www.ncbi.nlm.nih.gov/pubmed/19795990","PubMed")</f>
        <v>PubMed</v>
      </c>
      <c r="V5266" s="30"/>
      <c r="W5266" s="49"/>
      <c r="X5266" s="49"/>
      <c r="Y5266" s="35"/>
      <c r="Z5266" s="35"/>
      <c r="AA5266" s="35"/>
      <c r="AB5266" s="35"/>
      <c r="AC5266" s="35"/>
      <c r="AD5266" s="35"/>
      <c r="AE5266" s="35"/>
      <c r="AF5266" s="35"/>
      <c r="AG5266" s="35"/>
      <c r="AH5266" s="35"/>
      <c r="AI5266" s="35"/>
      <c r="AJ5266" s="35"/>
      <c r="AK5266" s="35"/>
      <c r="AL5266" s="35"/>
    </row>
    <row r="5267">
      <c r="A5267" s="1"/>
      <c r="B5267" s="19" t="s">
        <v>19332</v>
      </c>
      <c r="C5267" s="20" t="s">
        <v>24832</v>
      </c>
      <c r="D5267" s="47"/>
      <c r="E5267" s="22" t="s">
        <v>24957</v>
      </c>
      <c r="F5267" s="22" t="s">
        <v>1659</v>
      </c>
      <c r="G5267" s="23">
        <v>2008.0</v>
      </c>
      <c r="H5267" s="22" t="s">
        <v>658</v>
      </c>
      <c r="I5267" s="24" t="s">
        <v>24973</v>
      </c>
      <c r="J5267" s="22" t="s">
        <v>24974</v>
      </c>
      <c r="K5267" s="22" t="s">
        <v>24975</v>
      </c>
      <c r="L5267" s="36" t="s">
        <v>13068</v>
      </c>
      <c r="M5267" s="36"/>
      <c r="N5267" s="36"/>
      <c r="O5267" s="36"/>
      <c r="P5267" s="37"/>
      <c r="Q5267" s="36"/>
      <c r="R5267" s="36"/>
      <c r="S5267" s="36" t="s">
        <v>24976</v>
      </c>
      <c r="T5267" s="28" t="s">
        <v>24977</v>
      </c>
      <c r="U5267" s="38" t="str">
        <f>HYPERLINK("https://www.ncbi.nlm.nih.gov/pubmed/18248160","PubMed")</f>
        <v>PubMed</v>
      </c>
      <c r="V5267" s="30"/>
      <c r="W5267" s="49"/>
      <c r="X5267" s="49"/>
      <c r="Y5267" s="35"/>
      <c r="Z5267" s="35"/>
      <c r="AA5267" s="35"/>
      <c r="AB5267" s="35"/>
      <c r="AC5267" s="35"/>
      <c r="AD5267" s="35"/>
      <c r="AE5267" s="35"/>
      <c r="AF5267" s="35"/>
      <c r="AG5267" s="35"/>
      <c r="AH5267" s="35"/>
      <c r="AI5267" s="35"/>
      <c r="AJ5267" s="35"/>
      <c r="AK5267" s="35"/>
      <c r="AL5267" s="35"/>
    </row>
    <row r="5268">
      <c r="A5268" s="1"/>
      <c r="B5268" s="19" t="s">
        <v>19332</v>
      </c>
      <c r="C5268" s="20" t="s">
        <v>24832</v>
      </c>
      <c r="D5268" s="47"/>
      <c r="E5268" s="22" t="s">
        <v>24957</v>
      </c>
      <c r="F5268" s="22" t="s">
        <v>1659</v>
      </c>
      <c r="G5268" s="23">
        <v>2007.0</v>
      </c>
      <c r="H5268" s="22" t="s">
        <v>13752</v>
      </c>
      <c r="I5268" s="24" t="s">
        <v>24978</v>
      </c>
      <c r="J5268" s="22" t="s">
        <v>24979</v>
      </c>
      <c r="K5268" s="22"/>
      <c r="L5268" s="36">
        <v>1064.0</v>
      </c>
      <c r="M5268" s="36">
        <v>1250.0</v>
      </c>
      <c r="N5268" s="36"/>
      <c r="O5268" s="36"/>
      <c r="P5268" s="37"/>
      <c r="Q5268" s="36"/>
      <c r="R5268" s="36"/>
      <c r="S5268" s="36" t="s">
        <v>24976</v>
      </c>
      <c r="T5268" s="28" t="s">
        <v>24980</v>
      </c>
      <c r="U5268" s="38" t="str">
        <f>HYPERLINK("https://www.ncbi.nlm.nih.gov/pubmed/17524535","PubMed")</f>
        <v>PubMed</v>
      </c>
      <c r="V5268" s="30" t="s">
        <v>24981</v>
      </c>
      <c r="W5268" s="49"/>
      <c r="X5268" s="49"/>
      <c r="Y5268" s="35"/>
      <c r="Z5268" s="35"/>
      <c r="AA5268" s="35"/>
      <c r="AB5268" s="35"/>
      <c r="AC5268" s="35"/>
      <c r="AD5268" s="35"/>
      <c r="AE5268" s="35"/>
      <c r="AF5268" s="35"/>
      <c r="AG5268" s="35"/>
      <c r="AH5268" s="35"/>
      <c r="AI5268" s="35"/>
      <c r="AJ5268" s="35"/>
      <c r="AK5268" s="35"/>
      <c r="AL5268" s="35"/>
    </row>
    <row r="5269">
      <c r="A5269" s="18"/>
      <c r="B5269" s="19" t="s">
        <v>19332</v>
      </c>
      <c r="C5269" s="20" t="s">
        <v>24982</v>
      </c>
      <c r="D5269" s="47"/>
      <c r="E5269" s="22" t="s">
        <v>24983</v>
      </c>
      <c r="F5269" s="22" t="s">
        <v>993</v>
      </c>
      <c r="G5269" s="23">
        <v>2021.0</v>
      </c>
      <c r="H5269" s="22" t="s">
        <v>24984</v>
      </c>
      <c r="I5269" s="24" t="s">
        <v>24985</v>
      </c>
      <c r="J5269" s="22" t="s">
        <v>2273</v>
      </c>
      <c r="K5269" s="22"/>
      <c r="L5269" s="36">
        <v>808.0</v>
      </c>
      <c r="M5269" s="36">
        <v>100.0</v>
      </c>
      <c r="N5269" s="36"/>
      <c r="O5269" s="129">
        <v>44595.0</v>
      </c>
      <c r="P5269" s="37" t="s">
        <v>16893</v>
      </c>
      <c r="Q5269" s="36" t="s">
        <v>13174</v>
      </c>
      <c r="R5269" s="36"/>
      <c r="S5269" s="36" t="s">
        <v>24986</v>
      </c>
      <c r="T5269" s="28" t="s">
        <v>24987</v>
      </c>
      <c r="U5269" s="29" t="s">
        <v>61</v>
      </c>
      <c r="V5269" s="30" t="s">
        <v>24988</v>
      </c>
      <c r="W5269" s="49"/>
      <c r="X5269" s="49"/>
      <c r="Y5269" s="35"/>
      <c r="Z5269" s="35"/>
      <c r="AA5269" s="35"/>
      <c r="AB5269" s="35"/>
      <c r="AC5269" s="35"/>
      <c r="AD5269" s="35"/>
      <c r="AE5269" s="35"/>
      <c r="AF5269" s="35"/>
      <c r="AG5269" s="35"/>
      <c r="AH5269" s="35"/>
      <c r="AI5269" s="35"/>
      <c r="AJ5269" s="35"/>
      <c r="AK5269" s="35"/>
      <c r="AL5269" s="35"/>
    </row>
    <row r="5270">
      <c r="A5270" s="18" t="s">
        <v>38</v>
      </c>
      <c r="B5270" s="19" t="s">
        <v>19332</v>
      </c>
      <c r="C5270" s="20" t="s">
        <v>24982</v>
      </c>
      <c r="D5270" s="47"/>
      <c r="E5270" s="22" t="s">
        <v>21873</v>
      </c>
      <c r="F5270" s="22" t="s">
        <v>24989</v>
      </c>
      <c r="G5270" s="23" t="s">
        <v>90</v>
      </c>
      <c r="H5270" s="22" t="s">
        <v>20953</v>
      </c>
      <c r="I5270" s="24" t="s">
        <v>24990</v>
      </c>
      <c r="J5270" s="22" t="s">
        <v>2273</v>
      </c>
      <c r="K5270" s="22"/>
      <c r="L5270" s="36">
        <v>810.0</v>
      </c>
      <c r="M5270" s="36">
        <v>1000.0</v>
      </c>
      <c r="N5270" s="36"/>
      <c r="O5270" s="36"/>
      <c r="P5270" s="37"/>
      <c r="Q5270" s="36"/>
      <c r="R5270" s="36"/>
      <c r="S5270" s="36" t="s">
        <v>24868</v>
      </c>
      <c r="T5270" s="28" t="s">
        <v>24991</v>
      </c>
      <c r="U5270" s="38" t="str">
        <f>HYPERLINK("https://www.ncbi.nlm.nih.gov/pubmed/29168896","PubMed")</f>
        <v>PubMed</v>
      </c>
      <c r="V5270" s="30"/>
      <c r="W5270" s="49"/>
      <c r="X5270" s="49"/>
      <c r="Y5270" s="35"/>
      <c r="Z5270" s="35"/>
      <c r="AA5270" s="35"/>
      <c r="AB5270" s="35"/>
      <c r="AC5270" s="35"/>
      <c r="AD5270" s="35"/>
      <c r="AE5270" s="35"/>
      <c r="AF5270" s="35"/>
      <c r="AG5270" s="35"/>
      <c r="AH5270" s="35"/>
      <c r="AI5270" s="35"/>
      <c r="AJ5270" s="35"/>
      <c r="AK5270" s="35"/>
      <c r="AL5270" s="35"/>
    </row>
    <row r="5271">
      <c r="A5271" s="1"/>
      <c r="B5271" s="19" t="s">
        <v>19332</v>
      </c>
      <c r="C5271" s="20" t="s">
        <v>24992</v>
      </c>
      <c r="D5271" s="47"/>
      <c r="E5271" s="22" t="s">
        <v>388</v>
      </c>
      <c r="F5271" s="22" t="s">
        <v>400</v>
      </c>
      <c r="G5271" s="23">
        <v>2021.0</v>
      </c>
      <c r="H5271" s="22" t="s">
        <v>24993</v>
      </c>
      <c r="I5271" s="24" t="s">
        <v>24994</v>
      </c>
      <c r="J5271" s="22" t="s">
        <v>2273</v>
      </c>
      <c r="K5271" s="22"/>
      <c r="L5271" s="36">
        <v>660.0</v>
      </c>
      <c r="M5271" s="36"/>
      <c r="N5271" s="36"/>
      <c r="O5271" s="36"/>
      <c r="P5271" s="37"/>
      <c r="Q5271" s="36"/>
      <c r="R5271" s="36"/>
      <c r="S5271" s="36"/>
      <c r="T5271" s="28" t="s">
        <v>24995</v>
      </c>
      <c r="U5271" s="29" t="s">
        <v>61</v>
      </c>
      <c r="V5271" s="30"/>
      <c r="W5271" s="49"/>
      <c r="X5271" s="49"/>
      <c r="Y5271" s="35"/>
      <c r="Z5271" s="35"/>
      <c r="AA5271" s="35"/>
      <c r="AB5271" s="35"/>
      <c r="AC5271" s="35"/>
      <c r="AD5271" s="35"/>
      <c r="AE5271" s="35"/>
      <c r="AF5271" s="35"/>
      <c r="AG5271" s="35"/>
      <c r="AH5271" s="35"/>
      <c r="AI5271" s="35"/>
      <c r="AJ5271" s="35"/>
      <c r="AK5271" s="35"/>
      <c r="AL5271" s="35"/>
    </row>
    <row r="5272">
      <c r="A5272" s="1"/>
      <c r="B5272" s="19" t="s">
        <v>19332</v>
      </c>
      <c r="C5272" s="20" t="s">
        <v>24996</v>
      </c>
      <c r="D5272" s="47"/>
      <c r="E5272" s="22" t="s">
        <v>24997</v>
      </c>
      <c r="F5272" s="22" t="s">
        <v>24998</v>
      </c>
      <c r="G5272" s="23">
        <v>2020.0</v>
      </c>
      <c r="H5272" s="22" t="s">
        <v>147</v>
      </c>
      <c r="I5272" s="24" t="s">
        <v>24999</v>
      </c>
      <c r="J5272" s="22" t="s">
        <v>2273</v>
      </c>
      <c r="K5272" s="22" t="s">
        <v>19336</v>
      </c>
      <c r="L5272" s="36">
        <v>660.0</v>
      </c>
      <c r="M5272" s="36"/>
      <c r="N5272" s="36"/>
      <c r="O5272" s="36"/>
      <c r="P5272" s="37"/>
      <c r="Q5272" s="36"/>
      <c r="R5272" s="36"/>
      <c r="S5272" s="36" t="s">
        <v>25000</v>
      </c>
      <c r="T5272" s="28" t="s">
        <v>25001</v>
      </c>
      <c r="U5272" s="38" t="str">
        <f>HYPERLINK("https://www.ncbi.nlm.nih.gov/pubmed/32273968","PubMed")</f>
        <v>PubMed</v>
      </c>
      <c r="V5272" s="30"/>
      <c r="W5272" s="49"/>
      <c r="X5272" s="49"/>
      <c r="Y5272" s="35"/>
      <c r="Z5272" s="35"/>
      <c r="AA5272" s="35"/>
      <c r="AB5272" s="35"/>
      <c r="AC5272" s="35"/>
      <c r="AD5272" s="35"/>
      <c r="AE5272" s="35"/>
      <c r="AF5272" s="35"/>
      <c r="AG5272" s="35"/>
      <c r="AH5272" s="35"/>
      <c r="AI5272" s="35"/>
      <c r="AJ5272" s="35"/>
      <c r="AK5272" s="35"/>
      <c r="AL5272" s="35"/>
    </row>
    <row r="5273">
      <c r="A5273" s="1"/>
      <c r="B5273" s="19" t="s">
        <v>19332</v>
      </c>
      <c r="C5273" s="20" t="s">
        <v>4202</v>
      </c>
      <c r="D5273" s="47"/>
      <c r="E5273" s="22" t="s">
        <v>20689</v>
      </c>
      <c r="F5273" s="22" t="s">
        <v>11994</v>
      </c>
      <c r="G5273" s="23">
        <v>2021.0</v>
      </c>
      <c r="H5273" s="22" t="s">
        <v>77</v>
      </c>
      <c r="I5273" s="24" t="s">
        <v>25002</v>
      </c>
      <c r="J5273" s="22" t="s">
        <v>125</v>
      </c>
      <c r="K5273" s="22"/>
      <c r="L5273" s="132" t="s">
        <v>25003</v>
      </c>
      <c r="U5273" s="29" t="s">
        <v>61</v>
      </c>
      <c r="V5273" s="30"/>
      <c r="W5273" s="49"/>
      <c r="X5273" s="49"/>
      <c r="Y5273" s="35"/>
      <c r="Z5273" s="35"/>
      <c r="AA5273" s="35"/>
      <c r="AB5273" s="35"/>
      <c r="AC5273" s="35"/>
      <c r="AD5273" s="35"/>
      <c r="AE5273" s="35"/>
      <c r="AF5273" s="35"/>
      <c r="AG5273" s="35"/>
      <c r="AH5273" s="35"/>
      <c r="AI5273" s="35"/>
      <c r="AJ5273" s="35"/>
      <c r="AK5273" s="35"/>
      <c r="AL5273" s="35"/>
    </row>
    <row r="5274">
      <c r="A5274" s="1"/>
      <c r="B5274" s="19" t="s">
        <v>19332</v>
      </c>
      <c r="C5274" s="20" t="s">
        <v>4202</v>
      </c>
      <c r="D5274" s="47"/>
      <c r="E5274" s="22" t="s">
        <v>22545</v>
      </c>
      <c r="F5274" s="22" t="s">
        <v>11994</v>
      </c>
      <c r="G5274" s="23">
        <v>2020.0</v>
      </c>
      <c r="H5274" s="22" t="s">
        <v>10563</v>
      </c>
      <c r="I5274" s="24" t="s">
        <v>25004</v>
      </c>
      <c r="J5274" s="22" t="s">
        <v>1078</v>
      </c>
      <c r="K5274" s="22" t="s">
        <v>25005</v>
      </c>
      <c r="L5274" s="132" t="s">
        <v>25006</v>
      </c>
      <c r="U5274" s="29" t="s">
        <v>61</v>
      </c>
      <c r="V5274" s="30"/>
      <c r="W5274" s="49"/>
      <c r="X5274" s="49"/>
      <c r="Y5274" s="35"/>
      <c r="Z5274" s="35"/>
      <c r="AA5274" s="35"/>
      <c r="AB5274" s="35"/>
      <c r="AC5274" s="35"/>
      <c r="AD5274" s="35"/>
      <c r="AE5274" s="35"/>
      <c r="AF5274" s="35"/>
      <c r="AG5274" s="35"/>
      <c r="AH5274" s="35"/>
      <c r="AI5274" s="35"/>
      <c r="AJ5274" s="35"/>
      <c r="AK5274" s="35"/>
      <c r="AL5274" s="35"/>
    </row>
    <row r="5275">
      <c r="A5275" s="1"/>
      <c r="B5275" s="19" t="s">
        <v>19332</v>
      </c>
      <c r="C5275" s="20" t="s">
        <v>25007</v>
      </c>
      <c r="D5275" s="47"/>
      <c r="E5275" s="22" t="s">
        <v>12701</v>
      </c>
      <c r="F5275" s="22" t="s">
        <v>7945</v>
      </c>
      <c r="G5275" s="23">
        <v>2019.0</v>
      </c>
      <c r="H5275" s="22" t="s">
        <v>77</v>
      </c>
      <c r="I5275" s="24" t="s">
        <v>25008</v>
      </c>
      <c r="J5275" s="22" t="s">
        <v>125</v>
      </c>
      <c r="K5275" s="22"/>
      <c r="L5275" s="105" t="s">
        <v>25009</v>
      </c>
      <c r="M5275" s="44"/>
      <c r="N5275" s="44"/>
      <c r="O5275" s="44"/>
      <c r="P5275" s="44"/>
      <c r="Q5275" s="44"/>
      <c r="R5275" s="44"/>
      <c r="S5275" s="44"/>
      <c r="T5275" s="45"/>
      <c r="U5275" s="38" t="str">
        <f>HYPERLINK("https://www.ncbi.nlm.nih.gov/pubmed/31873064","PubMed")</f>
        <v>PubMed</v>
      </c>
      <c r="V5275" s="30"/>
      <c r="W5275" s="49"/>
      <c r="X5275" s="49"/>
      <c r="Y5275" s="35"/>
      <c r="Z5275" s="35"/>
      <c r="AA5275" s="35"/>
      <c r="AB5275" s="35"/>
      <c r="AC5275" s="35"/>
      <c r="AD5275" s="35"/>
      <c r="AE5275" s="35"/>
      <c r="AF5275" s="35"/>
      <c r="AG5275" s="35"/>
      <c r="AH5275" s="35"/>
      <c r="AI5275" s="35"/>
      <c r="AJ5275" s="35"/>
      <c r="AK5275" s="35"/>
      <c r="AL5275" s="35"/>
    </row>
    <row r="5276">
      <c r="A5276" s="1"/>
      <c r="B5276" s="19" t="s">
        <v>19332</v>
      </c>
      <c r="C5276" s="20" t="s">
        <v>25010</v>
      </c>
      <c r="D5276" s="47"/>
      <c r="E5276" s="22" t="s">
        <v>20930</v>
      </c>
      <c r="F5276" s="22" t="s">
        <v>2635</v>
      </c>
      <c r="G5276" s="23">
        <v>2012.0</v>
      </c>
      <c r="H5276" s="22" t="s">
        <v>91</v>
      </c>
      <c r="I5276" s="24" t="s">
        <v>25011</v>
      </c>
      <c r="J5276" s="22" t="s">
        <v>25012</v>
      </c>
      <c r="K5276" s="22"/>
      <c r="L5276" s="36">
        <v>980.0</v>
      </c>
      <c r="M5276" s="36">
        <v>300.0</v>
      </c>
      <c r="N5276" s="36"/>
      <c r="O5276" s="36"/>
      <c r="P5276" s="37" t="s">
        <v>254</v>
      </c>
      <c r="Q5276" s="36"/>
      <c r="R5276" s="36"/>
      <c r="S5276" s="36" t="s">
        <v>25013</v>
      </c>
      <c r="T5276" s="28" t="s">
        <v>25014</v>
      </c>
      <c r="U5276" s="38" t="str">
        <f>HYPERLINK("https://www.ncbi.nlm.nih.gov/pubmed/22706567","PubMed")</f>
        <v>PubMed</v>
      </c>
      <c r="V5276" s="30"/>
      <c r="W5276" s="49"/>
      <c r="X5276" s="49"/>
      <c r="Y5276" s="35"/>
      <c r="Z5276" s="35"/>
      <c r="AA5276" s="35"/>
      <c r="AB5276" s="35"/>
      <c r="AC5276" s="35"/>
      <c r="AD5276" s="35"/>
      <c r="AE5276" s="35"/>
      <c r="AF5276" s="35"/>
      <c r="AG5276" s="35"/>
      <c r="AH5276" s="35"/>
      <c r="AI5276" s="35"/>
      <c r="AJ5276" s="35"/>
      <c r="AK5276" s="35"/>
      <c r="AL5276" s="35"/>
    </row>
    <row r="5277" ht="52.5" customHeight="1">
      <c r="A5277" s="133"/>
      <c r="B5277" s="19" t="s">
        <v>19332</v>
      </c>
      <c r="C5277" s="20" t="s">
        <v>25015</v>
      </c>
      <c r="D5277" s="21"/>
      <c r="E5277" s="22" t="s">
        <v>25016</v>
      </c>
      <c r="F5277" s="22" t="s">
        <v>323</v>
      </c>
      <c r="G5277" s="23">
        <v>2017.0</v>
      </c>
      <c r="H5277" s="22" t="s">
        <v>147</v>
      </c>
      <c r="I5277" s="24" t="s">
        <v>25017</v>
      </c>
      <c r="J5277" s="22" t="s">
        <v>25018</v>
      </c>
      <c r="K5277" s="22" t="s">
        <v>157</v>
      </c>
      <c r="L5277" s="52">
        <v>660.0</v>
      </c>
      <c r="M5277" s="52" t="s">
        <v>25019</v>
      </c>
      <c r="N5277" s="52" t="s">
        <v>58</v>
      </c>
      <c r="O5277" s="52" t="s">
        <v>58</v>
      </c>
      <c r="P5277" s="52" t="s">
        <v>58</v>
      </c>
      <c r="Q5277" s="52" t="s">
        <v>58</v>
      </c>
      <c r="R5277" s="52" t="s">
        <v>58</v>
      </c>
      <c r="S5277" s="52" t="s">
        <v>2302</v>
      </c>
      <c r="T5277" s="28" t="s">
        <v>25020</v>
      </c>
      <c r="U5277" s="38" t="str">
        <f>HYPERLINK("https://www.ncbi.nlm.nih.gov/pubmed/29071023","PubMed")</f>
        <v>PubMed</v>
      </c>
      <c r="V5277" s="30" t="s">
        <v>25021</v>
      </c>
      <c r="W5277" s="31"/>
      <c r="X5277" s="31"/>
      <c r="Y5277" s="31"/>
      <c r="Z5277" s="32"/>
      <c r="AA5277" s="31"/>
      <c r="AB5277" s="31"/>
      <c r="AC5277" s="9"/>
      <c r="AD5277" s="31"/>
      <c r="AE5277" s="31"/>
      <c r="AF5277" s="33"/>
      <c r="AG5277" s="34"/>
      <c r="AH5277" s="31"/>
      <c r="AI5277" s="35"/>
      <c r="AJ5277" s="35"/>
      <c r="AK5277" s="35"/>
      <c r="AL5277" s="35"/>
    </row>
    <row r="5278" ht="52.5" customHeight="1">
      <c r="A5278" s="133"/>
      <c r="B5278" s="19" t="s">
        <v>19332</v>
      </c>
      <c r="C5278" s="20" t="s">
        <v>25015</v>
      </c>
      <c r="D5278" s="21"/>
      <c r="E5278" s="22" t="s">
        <v>19606</v>
      </c>
      <c r="F5278" s="22" t="s">
        <v>1773</v>
      </c>
      <c r="G5278" s="23">
        <v>2014.0</v>
      </c>
      <c r="H5278" s="22" t="s">
        <v>25022</v>
      </c>
      <c r="I5278" s="24" t="s">
        <v>25023</v>
      </c>
      <c r="J5278" s="22" t="s">
        <v>125</v>
      </c>
      <c r="K5278" s="22"/>
      <c r="L5278" s="196" t="s">
        <v>25024</v>
      </c>
      <c r="U5278" s="38" t="str">
        <f>HYPERLINK("https://www.ncbi.nlm.nih.gov/pubmed/24964567","PubMed")</f>
        <v>PubMed</v>
      </c>
      <c r="V5278" s="30"/>
      <c r="W5278" s="31"/>
      <c r="X5278" s="31"/>
      <c r="Y5278" s="31"/>
      <c r="Z5278" s="32"/>
      <c r="AA5278" s="31"/>
      <c r="AB5278" s="31"/>
      <c r="AC5278" s="9"/>
      <c r="AD5278" s="31"/>
      <c r="AE5278" s="31"/>
      <c r="AF5278" s="33"/>
      <c r="AG5278" s="34"/>
      <c r="AH5278" s="31"/>
      <c r="AI5278" s="35"/>
      <c r="AJ5278" s="35"/>
      <c r="AK5278" s="35"/>
      <c r="AL5278" s="35"/>
    </row>
    <row r="5279" ht="52.5" customHeight="1">
      <c r="A5279" s="133"/>
      <c r="B5279" s="19" t="s">
        <v>19332</v>
      </c>
      <c r="C5279" s="20" t="s">
        <v>25015</v>
      </c>
      <c r="D5279" s="21"/>
      <c r="E5279" s="22" t="s">
        <v>25025</v>
      </c>
      <c r="F5279" s="22" t="s">
        <v>490</v>
      </c>
      <c r="G5279" s="23">
        <v>2012.0</v>
      </c>
      <c r="H5279" s="22" t="s">
        <v>91</v>
      </c>
      <c r="I5279" s="24" t="s">
        <v>25026</v>
      </c>
      <c r="J5279" s="22" t="s">
        <v>25027</v>
      </c>
      <c r="K5279" s="22"/>
      <c r="L5279" s="36">
        <v>660.0</v>
      </c>
      <c r="M5279" s="36">
        <v>100.0</v>
      </c>
      <c r="N5279" s="36" t="s">
        <v>58</v>
      </c>
      <c r="O5279" s="36" t="s">
        <v>25028</v>
      </c>
      <c r="P5279" s="37" t="s">
        <v>9353</v>
      </c>
      <c r="Q5279" s="36" t="s">
        <v>58</v>
      </c>
      <c r="R5279" s="36" t="s">
        <v>13402</v>
      </c>
      <c r="S5279" s="36" t="s">
        <v>25029</v>
      </c>
      <c r="T5279" s="28" t="s">
        <v>25030</v>
      </c>
      <c r="U5279" s="38" t="str">
        <f>HYPERLINK("https://www.ncbi.nlm.nih.gov/pubmed/22538841","PubMed")</f>
        <v>PubMed</v>
      </c>
      <c r="V5279" s="30"/>
      <c r="W5279" s="31"/>
      <c r="X5279" s="31"/>
      <c r="Y5279" s="31"/>
      <c r="Z5279" s="32"/>
      <c r="AA5279" s="31"/>
      <c r="AB5279" s="31"/>
      <c r="AC5279" s="9"/>
      <c r="AD5279" s="31"/>
      <c r="AE5279" s="31"/>
      <c r="AF5279" s="33"/>
      <c r="AG5279" s="34"/>
      <c r="AH5279" s="31"/>
      <c r="AI5279" s="35"/>
      <c r="AJ5279" s="35"/>
      <c r="AK5279" s="35"/>
      <c r="AL5279" s="35"/>
    </row>
    <row r="5280">
      <c r="A5280" s="1"/>
      <c r="B5280" s="19" t="s">
        <v>19332</v>
      </c>
      <c r="C5280" s="20" t="s">
        <v>25031</v>
      </c>
      <c r="D5280" s="47"/>
      <c r="E5280" s="22" t="s">
        <v>22145</v>
      </c>
      <c r="F5280" s="22" t="s">
        <v>11512</v>
      </c>
      <c r="G5280" s="23">
        <v>2012.0</v>
      </c>
      <c r="H5280" s="22" t="s">
        <v>658</v>
      </c>
      <c r="I5280" s="24" t="s">
        <v>25032</v>
      </c>
      <c r="J5280" s="22" t="s">
        <v>25033</v>
      </c>
      <c r="K5280" s="22" t="s">
        <v>294</v>
      </c>
      <c r="L5280" s="36" t="s">
        <v>25034</v>
      </c>
      <c r="M5280" s="36"/>
      <c r="N5280" s="36"/>
      <c r="O5280" s="36"/>
      <c r="P5280" s="37" t="s">
        <v>25035</v>
      </c>
      <c r="Q5280" s="36"/>
      <c r="R5280" s="36"/>
      <c r="S5280" s="36">
        <v>1.0</v>
      </c>
      <c r="T5280" s="42" t="s">
        <v>25036</v>
      </c>
      <c r="U5280" s="38" t="str">
        <f>HYPERLINK("https://www.ncbi.nlm.nih.gov/pubmed/22974370","PubMed")</f>
        <v>PubMed</v>
      </c>
      <c r="V5280" s="30"/>
      <c r="W5280" s="49"/>
      <c r="X5280" s="49"/>
      <c r="Y5280" s="35"/>
      <c r="Z5280" s="35"/>
      <c r="AA5280" s="35"/>
      <c r="AB5280" s="35"/>
      <c r="AC5280" s="35"/>
      <c r="AD5280" s="35"/>
      <c r="AE5280" s="35"/>
      <c r="AF5280" s="35"/>
      <c r="AG5280" s="35"/>
      <c r="AH5280" s="35"/>
      <c r="AI5280" s="35"/>
      <c r="AJ5280" s="35"/>
      <c r="AK5280" s="35"/>
      <c r="AL5280" s="35"/>
    </row>
    <row r="5281">
      <c r="A5281" s="18"/>
      <c r="B5281" s="19" t="s">
        <v>19332</v>
      </c>
      <c r="C5281" s="20" t="s">
        <v>25037</v>
      </c>
      <c r="D5281" s="47"/>
      <c r="E5281" s="22" t="s">
        <v>25038</v>
      </c>
      <c r="F5281" s="22" t="s">
        <v>11512</v>
      </c>
      <c r="G5281" s="23">
        <v>2018.0</v>
      </c>
      <c r="H5281" s="22" t="s">
        <v>147</v>
      </c>
      <c r="I5281" s="24" t="s">
        <v>25039</v>
      </c>
      <c r="J5281" s="22" t="s">
        <v>2273</v>
      </c>
      <c r="K5281" s="22"/>
      <c r="L5281" s="36">
        <v>980.0</v>
      </c>
      <c r="M5281" s="36"/>
      <c r="N5281" s="36"/>
      <c r="O5281" s="36"/>
      <c r="P5281" s="37" t="s">
        <v>2395</v>
      </c>
      <c r="Q5281" s="36"/>
      <c r="R5281" s="36"/>
      <c r="S5281" s="36" t="s">
        <v>25040</v>
      </c>
      <c r="T5281" s="28" t="s">
        <v>25041</v>
      </c>
      <c r="U5281" s="38" t="str">
        <f>HYPERLINK("https://www.ncbi.nlm.nih.gov/pubmed/29399316","PubMed")</f>
        <v>PubMed</v>
      </c>
      <c r="V5281" s="30"/>
      <c r="W5281" s="49"/>
      <c r="X5281" s="49"/>
      <c r="Y5281" s="35"/>
      <c r="Z5281" s="35"/>
      <c r="AA5281" s="35"/>
      <c r="AB5281" s="35"/>
      <c r="AC5281" s="35"/>
      <c r="AD5281" s="35"/>
      <c r="AE5281" s="35"/>
      <c r="AF5281" s="35"/>
      <c r="AG5281" s="35"/>
      <c r="AH5281" s="35"/>
      <c r="AI5281" s="35"/>
      <c r="AJ5281" s="35"/>
      <c r="AK5281" s="35"/>
      <c r="AL5281" s="35"/>
    </row>
    <row r="5282">
      <c r="A5282" s="18"/>
      <c r="B5282" s="19" t="s">
        <v>19332</v>
      </c>
      <c r="C5282" s="20" t="s">
        <v>25042</v>
      </c>
      <c r="D5282" s="47"/>
      <c r="E5282" s="22" t="s">
        <v>25043</v>
      </c>
      <c r="F5282" s="22" t="s">
        <v>8008</v>
      </c>
      <c r="G5282" s="23">
        <v>2018.0</v>
      </c>
      <c r="H5282" s="22" t="s">
        <v>20714</v>
      </c>
      <c r="I5282" s="24" t="s">
        <v>25044</v>
      </c>
      <c r="J5282" s="22" t="s">
        <v>649</v>
      </c>
      <c r="K5282" s="22"/>
      <c r="L5282" s="167" t="s">
        <v>25045</v>
      </c>
      <c r="M5282" s="44"/>
      <c r="N5282" s="44"/>
      <c r="O5282" s="44"/>
      <c r="P5282" s="44"/>
      <c r="Q5282" s="44"/>
      <c r="R5282" s="44"/>
      <c r="S5282" s="44"/>
      <c r="T5282" s="45"/>
      <c r="U5282" s="38" t="str">
        <f>HYPERLINK("https://www.ncbi.nlm.nih.gov/pubmed/30198204","PubMed")</f>
        <v>PubMed</v>
      </c>
      <c r="V5282" s="30"/>
      <c r="W5282" s="49"/>
      <c r="X5282" s="49"/>
      <c r="Y5282" s="35"/>
      <c r="Z5282" s="35"/>
      <c r="AA5282" s="35"/>
      <c r="AB5282" s="35"/>
      <c r="AC5282" s="35"/>
      <c r="AD5282" s="35"/>
      <c r="AE5282" s="35"/>
      <c r="AF5282" s="35"/>
      <c r="AG5282" s="35"/>
      <c r="AH5282" s="35"/>
      <c r="AI5282" s="35"/>
      <c r="AJ5282" s="35"/>
      <c r="AK5282" s="35"/>
      <c r="AL5282" s="35"/>
    </row>
    <row r="5283">
      <c r="A5283" s="1"/>
      <c r="B5283" s="19" t="s">
        <v>19332</v>
      </c>
      <c r="C5283" s="20" t="s">
        <v>25042</v>
      </c>
      <c r="D5283" s="47"/>
      <c r="E5283" s="22" t="s">
        <v>25046</v>
      </c>
      <c r="F5283" s="22" t="s">
        <v>25047</v>
      </c>
      <c r="G5283" s="23">
        <v>2009.0</v>
      </c>
      <c r="H5283" s="22" t="s">
        <v>658</v>
      </c>
      <c r="I5283" s="24" t="s">
        <v>25048</v>
      </c>
      <c r="J5283" s="22" t="s">
        <v>25049</v>
      </c>
      <c r="K5283" s="22" t="s">
        <v>25050</v>
      </c>
      <c r="L5283" s="36">
        <v>980.0</v>
      </c>
      <c r="M5283" s="36">
        <v>2000.0</v>
      </c>
      <c r="N5283" s="36"/>
      <c r="O5283" s="36"/>
      <c r="P5283" s="37"/>
      <c r="Q5283" s="36"/>
      <c r="R5283" s="36"/>
      <c r="S5283" s="36">
        <v>1.0</v>
      </c>
      <c r="T5283" s="28" t="s">
        <v>25051</v>
      </c>
      <c r="U5283" s="38" t="str">
        <f>HYPERLINK("https://www.ncbi.nlm.nih.gov/pubmed/19196111","PubMed")</f>
        <v>PubMed</v>
      </c>
      <c r="V5283" s="30"/>
      <c r="W5283" s="49"/>
      <c r="X5283" s="49"/>
      <c r="Y5283" s="35"/>
      <c r="Z5283" s="35"/>
      <c r="AA5283" s="35"/>
      <c r="AB5283" s="35"/>
      <c r="AC5283" s="35"/>
      <c r="AD5283" s="35"/>
      <c r="AE5283" s="35"/>
      <c r="AF5283" s="35"/>
      <c r="AG5283" s="35"/>
      <c r="AH5283" s="35"/>
      <c r="AI5283" s="35"/>
      <c r="AJ5283" s="35"/>
      <c r="AK5283" s="35"/>
      <c r="AL5283" s="35"/>
    </row>
    <row r="5284">
      <c r="A5284" s="18"/>
      <c r="B5284" s="19" t="s">
        <v>19332</v>
      </c>
      <c r="C5284" s="20" t="s">
        <v>25052</v>
      </c>
      <c r="D5284" s="47"/>
      <c r="E5284" s="22" t="s">
        <v>25053</v>
      </c>
      <c r="F5284" s="22" t="s">
        <v>1392</v>
      </c>
      <c r="G5284" s="23">
        <v>2018.0</v>
      </c>
      <c r="H5284" s="22" t="s">
        <v>7511</v>
      </c>
      <c r="I5284" s="24" t="s">
        <v>25054</v>
      </c>
      <c r="J5284" s="22" t="s">
        <v>25055</v>
      </c>
      <c r="K5284" s="22"/>
      <c r="L5284" s="52"/>
      <c r="M5284" s="52"/>
      <c r="N5284" s="52"/>
      <c r="O5284" s="52"/>
      <c r="P5284" s="189"/>
      <c r="Q5284" s="52"/>
      <c r="R5284" s="52"/>
      <c r="S5284" s="52" t="s">
        <v>1231</v>
      </c>
      <c r="T5284" s="42" t="s">
        <v>25056</v>
      </c>
      <c r="U5284" s="38" t="str">
        <f>HYPERLINK("https://www.ncbi.nlm.nih.gov/pubmed/29577710","PubMed")</f>
        <v>PubMed</v>
      </c>
      <c r="V5284" s="30"/>
      <c r="W5284" s="49"/>
      <c r="X5284" s="49"/>
      <c r="Y5284" s="35"/>
      <c r="Z5284" s="35"/>
      <c r="AA5284" s="35"/>
      <c r="AB5284" s="35"/>
      <c r="AC5284" s="35"/>
      <c r="AD5284" s="35"/>
      <c r="AE5284" s="35"/>
      <c r="AF5284" s="35"/>
      <c r="AG5284" s="35"/>
      <c r="AH5284" s="35"/>
      <c r="AI5284" s="35"/>
      <c r="AJ5284" s="35"/>
      <c r="AK5284" s="35"/>
      <c r="AL5284" s="35"/>
    </row>
    <row r="5285">
      <c r="A5285" s="1"/>
      <c r="B5285" s="19" t="s">
        <v>19332</v>
      </c>
      <c r="C5285" s="20" t="s">
        <v>25052</v>
      </c>
      <c r="D5285" s="47"/>
      <c r="E5285" s="22" t="s">
        <v>25057</v>
      </c>
      <c r="F5285" s="22" t="s">
        <v>5227</v>
      </c>
      <c r="G5285" s="23">
        <v>2017.0</v>
      </c>
      <c r="H5285" s="22" t="s">
        <v>1485</v>
      </c>
      <c r="I5285" s="24" t="s">
        <v>25058</v>
      </c>
      <c r="J5285" s="22" t="s">
        <v>649</v>
      </c>
      <c r="K5285" s="22" t="s">
        <v>7447</v>
      </c>
      <c r="L5285" s="195" t="s">
        <v>25059</v>
      </c>
      <c r="M5285" s="44"/>
      <c r="N5285" s="44"/>
      <c r="O5285" s="44"/>
      <c r="P5285" s="44"/>
      <c r="Q5285" s="44"/>
      <c r="R5285" s="44"/>
      <c r="S5285" s="44"/>
      <c r="T5285" s="45"/>
      <c r="U5285" s="38" t="str">
        <f>HYPERLINK("https://www.ncbi.nlm.nih.gov/pubmed/28232271","PubMed")</f>
        <v>PubMed</v>
      </c>
      <c r="V5285" s="30"/>
      <c r="W5285" s="49"/>
      <c r="X5285" s="49"/>
      <c r="Y5285" s="35"/>
      <c r="Z5285" s="35"/>
      <c r="AA5285" s="35"/>
      <c r="AB5285" s="35"/>
      <c r="AC5285" s="35"/>
      <c r="AD5285" s="35"/>
      <c r="AE5285" s="35"/>
      <c r="AF5285" s="35"/>
      <c r="AG5285" s="35"/>
      <c r="AH5285" s="35"/>
      <c r="AI5285" s="35"/>
      <c r="AJ5285" s="35"/>
      <c r="AK5285" s="35"/>
      <c r="AL5285" s="35"/>
    </row>
    <row r="5286">
      <c r="A5286" s="1"/>
      <c r="B5286" s="19" t="s">
        <v>19332</v>
      </c>
      <c r="C5286" s="20" t="s">
        <v>25052</v>
      </c>
      <c r="D5286" s="47"/>
      <c r="E5286" s="22" t="s">
        <v>20595</v>
      </c>
      <c r="F5286" s="22" t="s">
        <v>10235</v>
      </c>
      <c r="G5286" s="23">
        <v>2012.0</v>
      </c>
      <c r="H5286" s="57" t="s">
        <v>91</v>
      </c>
      <c r="I5286" s="24" t="s">
        <v>25060</v>
      </c>
      <c r="J5286" s="22" t="s">
        <v>25061</v>
      </c>
      <c r="K5286" s="22"/>
      <c r="L5286" s="36" t="s">
        <v>20599</v>
      </c>
      <c r="M5286" s="36"/>
      <c r="N5286" s="36"/>
      <c r="O5286" s="36"/>
      <c r="P5286" s="37" t="s">
        <v>25062</v>
      </c>
      <c r="Q5286" s="36"/>
      <c r="R5286" s="36">
        <v>960.0</v>
      </c>
      <c r="S5286" s="36" t="s">
        <v>25063</v>
      </c>
      <c r="T5286" s="28" t="s">
        <v>25064</v>
      </c>
      <c r="U5286" s="38" t="str">
        <f>HYPERLINK("https://www.ncbi.nlm.nih.gov/pubmed/21380536","PubMed")</f>
        <v>PubMed</v>
      </c>
      <c r="V5286" s="30" t="s">
        <v>25065</v>
      </c>
      <c r="W5286" s="49"/>
      <c r="X5286" s="49"/>
      <c r="Y5286" s="35"/>
      <c r="Z5286" s="35"/>
      <c r="AA5286" s="35"/>
      <c r="AB5286" s="35"/>
      <c r="AC5286" s="35"/>
      <c r="AD5286" s="35"/>
      <c r="AE5286" s="35"/>
      <c r="AF5286" s="35"/>
      <c r="AG5286" s="35"/>
      <c r="AH5286" s="35"/>
      <c r="AI5286" s="35"/>
      <c r="AJ5286" s="35"/>
      <c r="AK5286" s="35"/>
      <c r="AL5286" s="35"/>
    </row>
    <row r="5287">
      <c r="A5287" s="1"/>
      <c r="B5287" s="75" t="s">
        <v>19332</v>
      </c>
      <c r="C5287" s="77" t="s">
        <v>25066</v>
      </c>
      <c r="D5287" s="47"/>
      <c r="E5287" s="22" t="s">
        <v>25067</v>
      </c>
      <c r="F5287" s="22" t="s">
        <v>25068</v>
      </c>
      <c r="G5287" s="23">
        <v>2024.0</v>
      </c>
      <c r="H5287" s="57" t="s">
        <v>8884</v>
      </c>
      <c r="I5287" s="24" t="s">
        <v>25069</v>
      </c>
      <c r="J5287" s="22" t="s">
        <v>25070</v>
      </c>
      <c r="K5287" s="22"/>
      <c r="L5287" s="292">
        <v>2780.0</v>
      </c>
      <c r="M5287" s="292"/>
      <c r="N5287" s="292"/>
      <c r="O5287" s="292"/>
      <c r="P5287" s="366"/>
      <c r="Q5287" s="292"/>
      <c r="R5287" s="292"/>
      <c r="S5287" s="292" t="s">
        <v>25071</v>
      </c>
      <c r="T5287" s="28" t="s">
        <v>25072</v>
      </c>
      <c r="U5287" s="38" t="s">
        <v>61</v>
      </c>
      <c r="V5287" s="30"/>
      <c r="W5287" s="49"/>
      <c r="X5287" s="49"/>
      <c r="Y5287" s="35"/>
      <c r="Z5287" s="35"/>
      <c r="AA5287" s="35"/>
      <c r="AB5287" s="35"/>
      <c r="AC5287" s="35"/>
      <c r="AD5287" s="35"/>
      <c r="AE5287" s="35"/>
      <c r="AF5287" s="35"/>
      <c r="AG5287" s="35"/>
      <c r="AH5287" s="35"/>
      <c r="AI5287" s="35"/>
      <c r="AJ5287" s="35"/>
      <c r="AK5287" s="35"/>
      <c r="AL5287" s="35"/>
    </row>
    <row r="5288">
      <c r="A5288" s="1"/>
      <c r="B5288" s="75" t="s">
        <v>19332</v>
      </c>
      <c r="C5288" s="77" t="s">
        <v>25066</v>
      </c>
      <c r="D5288" s="47"/>
      <c r="E5288" s="22" t="s">
        <v>25073</v>
      </c>
      <c r="F5288" s="22" t="s">
        <v>560</v>
      </c>
      <c r="G5288" s="23">
        <v>2023.0</v>
      </c>
      <c r="H5288" s="57" t="s">
        <v>25074</v>
      </c>
      <c r="I5288" s="24" t="s">
        <v>25075</v>
      </c>
      <c r="J5288" s="22" t="s">
        <v>25076</v>
      </c>
      <c r="K5288" s="22"/>
      <c r="L5288" s="292">
        <v>1064.0</v>
      </c>
      <c r="M5288" s="292"/>
      <c r="N5288" s="292"/>
      <c r="O5288" s="292"/>
      <c r="P5288" s="366"/>
      <c r="Q5288" s="292"/>
      <c r="R5288" s="292"/>
      <c r="S5288" s="292">
        <v>6.0</v>
      </c>
      <c r="T5288" s="41" t="s">
        <v>25077</v>
      </c>
      <c r="U5288" s="38" t="s">
        <v>61</v>
      </c>
      <c r="V5288" s="30"/>
      <c r="W5288" s="49"/>
      <c r="X5288" s="49"/>
      <c r="Y5288" s="35"/>
      <c r="Z5288" s="35"/>
      <c r="AA5288" s="35"/>
      <c r="AB5288" s="35"/>
      <c r="AC5288" s="35"/>
      <c r="AD5288" s="35"/>
      <c r="AE5288" s="35"/>
      <c r="AF5288" s="35"/>
      <c r="AG5288" s="35"/>
      <c r="AH5288" s="35"/>
      <c r="AI5288" s="35"/>
      <c r="AJ5288" s="35"/>
      <c r="AK5288" s="35"/>
      <c r="AL5288" s="35"/>
    </row>
    <row r="5289">
      <c r="A5289" s="1"/>
      <c r="B5289" s="75" t="s">
        <v>19332</v>
      </c>
      <c r="C5289" s="77" t="s">
        <v>25066</v>
      </c>
      <c r="D5289" s="47"/>
      <c r="E5289" s="22" t="s">
        <v>25078</v>
      </c>
      <c r="F5289" s="22" t="s">
        <v>6207</v>
      </c>
      <c r="G5289" s="23">
        <v>2023.0</v>
      </c>
      <c r="H5289" s="57" t="s">
        <v>477</v>
      </c>
      <c r="I5289" s="24" t="s">
        <v>25079</v>
      </c>
      <c r="J5289" s="22" t="s">
        <v>25080</v>
      </c>
      <c r="K5289" s="22" t="s">
        <v>25081</v>
      </c>
      <c r="L5289" s="292">
        <v>940.0</v>
      </c>
      <c r="M5289" s="292"/>
      <c r="N5289" s="292"/>
      <c r="O5289" s="292"/>
      <c r="P5289" s="366" t="s">
        <v>25082</v>
      </c>
      <c r="Q5289" s="292" t="s">
        <v>25083</v>
      </c>
      <c r="R5289" s="292"/>
      <c r="S5289" s="292" t="s">
        <v>20171</v>
      </c>
      <c r="T5289" s="41" t="s">
        <v>25084</v>
      </c>
      <c r="U5289" s="38" t="s">
        <v>61</v>
      </c>
      <c r="V5289" s="30" t="s">
        <v>25085</v>
      </c>
      <c r="W5289" s="49"/>
      <c r="X5289" s="49"/>
      <c r="Y5289" s="35"/>
      <c r="Z5289" s="35"/>
      <c r="AA5289" s="35"/>
      <c r="AB5289" s="35"/>
      <c r="AC5289" s="35"/>
      <c r="AD5289" s="35"/>
      <c r="AE5289" s="35"/>
      <c r="AF5289" s="35"/>
      <c r="AG5289" s="35"/>
      <c r="AH5289" s="35"/>
      <c r="AI5289" s="35"/>
      <c r="AJ5289" s="35"/>
      <c r="AK5289" s="35"/>
      <c r="AL5289" s="35"/>
    </row>
    <row r="5290">
      <c r="A5290" s="40"/>
      <c r="B5290" s="75" t="s">
        <v>19332</v>
      </c>
      <c r="C5290" s="77" t="s">
        <v>25066</v>
      </c>
      <c r="D5290" s="47"/>
      <c r="E5290" s="22" t="s">
        <v>25086</v>
      </c>
      <c r="F5290" s="22" t="s">
        <v>5425</v>
      </c>
      <c r="G5290" s="23">
        <v>2023.0</v>
      </c>
      <c r="H5290" s="22" t="s">
        <v>91</v>
      </c>
      <c r="I5290" s="24" t="s">
        <v>25087</v>
      </c>
      <c r="J5290" s="22" t="s">
        <v>1078</v>
      </c>
      <c r="K5290" s="22"/>
      <c r="L5290" s="105" t="s">
        <v>25088</v>
      </c>
      <c r="M5290" s="44"/>
      <c r="N5290" s="44"/>
      <c r="O5290" s="44"/>
      <c r="P5290" s="44"/>
      <c r="Q5290" s="44"/>
      <c r="R5290" s="44"/>
      <c r="S5290" s="44"/>
      <c r="T5290" s="44"/>
      <c r="U5290" s="38" t="s">
        <v>61</v>
      </c>
      <c r="V5290" s="30"/>
      <c r="W5290" s="34"/>
      <c r="X5290" s="49"/>
      <c r="Y5290" s="35"/>
      <c r="Z5290" s="35"/>
      <c r="AA5290" s="35"/>
      <c r="AB5290" s="35"/>
      <c r="AC5290" s="35"/>
      <c r="AD5290" s="35"/>
      <c r="AE5290" s="35"/>
      <c r="AF5290" s="35"/>
      <c r="AG5290" s="35"/>
      <c r="AH5290" s="35"/>
      <c r="AI5290" s="35"/>
      <c r="AJ5290" s="35"/>
      <c r="AK5290" s="35"/>
      <c r="AL5290" s="35"/>
    </row>
    <row r="5291">
      <c r="A5291" s="40"/>
      <c r="B5291" s="75" t="s">
        <v>19332</v>
      </c>
      <c r="C5291" s="77" t="s">
        <v>25066</v>
      </c>
      <c r="D5291" s="47"/>
      <c r="E5291" s="22" t="s">
        <v>25089</v>
      </c>
      <c r="F5291" s="22" t="s">
        <v>25090</v>
      </c>
      <c r="G5291" s="23">
        <v>2022.0</v>
      </c>
      <c r="H5291" s="22" t="s">
        <v>21594</v>
      </c>
      <c r="I5291" s="24" t="s">
        <v>25091</v>
      </c>
      <c r="J5291" s="22" t="s">
        <v>25092</v>
      </c>
      <c r="K5291" s="22"/>
      <c r="L5291" s="292" t="s">
        <v>20599</v>
      </c>
      <c r="M5291" s="367">
        <v>800.0</v>
      </c>
      <c r="N5291" s="367"/>
      <c r="O5291" s="367"/>
      <c r="P5291" s="367"/>
      <c r="Q5291" s="367"/>
      <c r="R5291" s="367" t="s">
        <v>25093</v>
      </c>
      <c r="S5291" s="280" t="s">
        <v>25094</v>
      </c>
      <c r="T5291" s="103" t="s">
        <v>25095</v>
      </c>
      <c r="U5291" s="29" t="s">
        <v>61</v>
      </c>
      <c r="V5291" s="30"/>
      <c r="W5291" s="34"/>
      <c r="X5291" s="49"/>
      <c r="Y5291" s="35"/>
      <c r="Z5291" s="35"/>
      <c r="AA5291" s="35"/>
      <c r="AB5291" s="35"/>
      <c r="AC5291" s="35"/>
      <c r="AD5291" s="35"/>
      <c r="AE5291" s="35"/>
      <c r="AF5291" s="35"/>
      <c r="AG5291" s="35"/>
      <c r="AH5291" s="35"/>
      <c r="AI5291" s="35"/>
      <c r="AJ5291" s="35"/>
      <c r="AK5291" s="35"/>
      <c r="AL5291" s="35"/>
    </row>
    <row r="5292">
      <c r="A5292" s="40"/>
      <c r="B5292" s="75" t="s">
        <v>19332</v>
      </c>
      <c r="C5292" s="77" t="s">
        <v>25066</v>
      </c>
      <c r="D5292" s="47"/>
      <c r="E5292" s="22" t="s">
        <v>2338</v>
      </c>
      <c r="F5292" s="22" t="s">
        <v>25096</v>
      </c>
      <c r="G5292" s="23">
        <v>2022.0</v>
      </c>
      <c r="H5292" s="22" t="s">
        <v>24012</v>
      </c>
      <c r="I5292" s="24" t="s">
        <v>25097</v>
      </c>
      <c r="J5292" s="22" t="s">
        <v>25098</v>
      </c>
      <c r="K5292" s="22"/>
      <c r="L5292" s="292" t="s">
        <v>25099</v>
      </c>
      <c r="M5292" s="367"/>
      <c r="N5292" s="367"/>
      <c r="O5292" s="367"/>
      <c r="P5292" s="367"/>
      <c r="Q5292" s="367"/>
      <c r="R5292" s="367"/>
      <c r="S5292" s="280" t="s">
        <v>1231</v>
      </c>
      <c r="T5292" s="54" t="s">
        <v>25100</v>
      </c>
      <c r="U5292" s="29" t="s">
        <v>61</v>
      </c>
      <c r="V5292" s="30" t="s">
        <v>174</v>
      </c>
      <c r="W5292" s="34"/>
      <c r="X5292" s="49"/>
      <c r="Y5292" s="35"/>
      <c r="Z5292" s="35"/>
      <c r="AA5292" s="35"/>
      <c r="AB5292" s="35"/>
      <c r="AC5292" s="35"/>
      <c r="AD5292" s="35"/>
      <c r="AE5292" s="35"/>
      <c r="AF5292" s="35"/>
      <c r="AG5292" s="35"/>
      <c r="AH5292" s="35"/>
      <c r="AI5292" s="35"/>
      <c r="AJ5292" s="35"/>
      <c r="AK5292" s="35"/>
      <c r="AL5292" s="35"/>
    </row>
    <row r="5293">
      <c r="A5293" s="40" t="s">
        <v>181</v>
      </c>
      <c r="B5293" s="75" t="s">
        <v>19332</v>
      </c>
      <c r="C5293" s="77" t="s">
        <v>25066</v>
      </c>
      <c r="D5293" s="47"/>
      <c r="E5293" s="22" t="s">
        <v>25101</v>
      </c>
      <c r="F5293" s="22" t="s">
        <v>25090</v>
      </c>
      <c r="G5293" s="23">
        <v>2022.0</v>
      </c>
      <c r="H5293" s="22" t="s">
        <v>21594</v>
      </c>
      <c r="I5293" s="24" t="s">
        <v>25102</v>
      </c>
      <c r="J5293" s="22" t="s">
        <v>25103</v>
      </c>
      <c r="K5293" s="22"/>
      <c r="L5293" s="292" t="s">
        <v>20599</v>
      </c>
      <c r="M5293" s="367">
        <v>4000.0</v>
      </c>
      <c r="N5293" s="367"/>
      <c r="O5293" s="367"/>
      <c r="P5293" s="367"/>
      <c r="Q5293" s="367"/>
      <c r="R5293" s="367"/>
      <c r="S5293" s="280">
        <v>1.0</v>
      </c>
      <c r="T5293" s="54" t="s">
        <v>25104</v>
      </c>
      <c r="U5293" s="29" t="s">
        <v>61</v>
      </c>
      <c r="V5293" s="30"/>
      <c r="W5293" s="34"/>
      <c r="X5293" s="49"/>
      <c r="Y5293" s="35"/>
      <c r="Z5293" s="35"/>
      <c r="AA5293" s="35"/>
      <c r="AB5293" s="35"/>
      <c r="AC5293" s="35"/>
      <c r="AD5293" s="35"/>
      <c r="AE5293" s="35"/>
      <c r="AF5293" s="35"/>
      <c r="AG5293" s="35"/>
      <c r="AH5293" s="35"/>
      <c r="AI5293" s="35"/>
      <c r="AJ5293" s="35"/>
      <c r="AK5293" s="35"/>
      <c r="AL5293" s="35"/>
    </row>
    <row r="5294">
      <c r="A5294" s="18"/>
      <c r="B5294" s="19" t="s">
        <v>19332</v>
      </c>
      <c r="C5294" s="20" t="s">
        <v>25066</v>
      </c>
      <c r="D5294" s="47"/>
      <c r="E5294" s="22" t="s">
        <v>24852</v>
      </c>
      <c r="F5294" s="22" t="s">
        <v>347</v>
      </c>
      <c r="G5294" s="23">
        <v>2022.0</v>
      </c>
      <c r="H5294" s="22" t="s">
        <v>2483</v>
      </c>
      <c r="I5294" s="24" t="s">
        <v>25105</v>
      </c>
      <c r="J5294" s="22" t="s">
        <v>25106</v>
      </c>
      <c r="K5294" s="22" t="s">
        <v>25107</v>
      </c>
      <c r="L5294" s="292">
        <v>980.0</v>
      </c>
      <c r="M5294" s="367">
        <v>1500.0</v>
      </c>
      <c r="N5294" s="367" t="s">
        <v>414</v>
      </c>
      <c r="O5294" s="367"/>
      <c r="P5294" s="367"/>
      <c r="Q5294" s="367" t="s">
        <v>25108</v>
      </c>
      <c r="R5294" s="367" t="s">
        <v>25109</v>
      </c>
      <c r="S5294" s="280" t="s">
        <v>25110</v>
      </c>
      <c r="T5294" s="102" t="s">
        <v>25111</v>
      </c>
      <c r="U5294" s="29" t="s">
        <v>2453</v>
      </c>
      <c r="V5294" s="30"/>
      <c r="W5294" s="34"/>
      <c r="X5294" s="49"/>
      <c r="Y5294" s="35"/>
      <c r="Z5294" s="35"/>
      <c r="AA5294" s="35"/>
      <c r="AB5294" s="35"/>
      <c r="AC5294" s="35"/>
      <c r="AD5294" s="35"/>
      <c r="AE5294" s="35"/>
      <c r="AF5294" s="35"/>
      <c r="AG5294" s="35"/>
      <c r="AH5294" s="35"/>
      <c r="AI5294" s="35"/>
      <c r="AJ5294" s="35"/>
      <c r="AK5294" s="35"/>
      <c r="AL5294" s="35"/>
    </row>
    <row r="5295">
      <c r="A5295" s="18" t="s">
        <v>2</v>
      </c>
      <c r="B5295" s="19" t="s">
        <v>19332</v>
      </c>
      <c r="C5295" s="20" t="s">
        <v>25066</v>
      </c>
      <c r="D5295" s="47"/>
      <c r="E5295" s="22" t="s">
        <v>25112</v>
      </c>
      <c r="F5295" s="22" t="s">
        <v>25113</v>
      </c>
      <c r="G5295" s="23">
        <v>2021.0</v>
      </c>
      <c r="H5295" s="22" t="s">
        <v>25114</v>
      </c>
      <c r="I5295" s="24" t="s">
        <v>25115</v>
      </c>
      <c r="J5295" s="22" t="s">
        <v>25116</v>
      </c>
      <c r="K5295" s="22" t="s">
        <v>56</v>
      </c>
      <c r="L5295" s="292" t="s">
        <v>5966</v>
      </c>
      <c r="M5295" s="367"/>
      <c r="N5295" s="367" t="s">
        <v>573</v>
      </c>
      <c r="O5295" s="367"/>
      <c r="P5295" s="367"/>
      <c r="Q5295" s="367"/>
      <c r="R5295" s="367">
        <v>1200.0</v>
      </c>
      <c r="S5295" s="280" t="s">
        <v>7986</v>
      </c>
      <c r="T5295" s="237" t="s">
        <v>25117</v>
      </c>
      <c r="U5295" s="29" t="s">
        <v>61</v>
      </c>
      <c r="V5295" s="30"/>
      <c r="W5295" s="34"/>
      <c r="X5295" s="49"/>
      <c r="Y5295" s="35"/>
      <c r="Z5295" s="35"/>
      <c r="AA5295" s="35"/>
      <c r="AB5295" s="35"/>
      <c r="AC5295" s="35"/>
      <c r="AD5295" s="35"/>
      <c r="AE5295" s="35"/>
      <c r="AF5295" s="35"/>
      <c r="AG5295" s="35"/>
      <c r="AH5295" s="35"/>
      <c r="AI5295" s="35"/>
      <c r="AJ5295" s="35"/>
      <c r="AK5295" s="35"/>
      <c r="AL5295" s="35"/>
    </row>
    <row r="5296">
      <c r="A5296" s="18"/>
      <c r="B5296" s="19" t="s">
        <v>19332</v>
      </c>
      <c r="C5296" s="20" t="s">
        <v>25066</v>
      </c>
      <c r="D5296" s="47"/>
      <c r="E5296" s="22" t="s">
        <v>25118</v>
      </c>
      <c r="F5296" s="22" t="s">
        <v>720</v>
      </c>
      <c r="G5296" s="23">
        <v>2021.0</v>
      </c>
      <c r="H5296" s="22" t="s">
        <v>91</v>
      </c>
      <c r="I5296" s="24" t="s">
        <v>25119</v>
      </c>
      <c r="J5296" s="22" t="s">
        <v>25120</v>
      </c>
      <c r="K5296" s="22"/>
      <c r="L5296" s="292">
        <v>660.0</v>
      </c>
      <c r="M5296" s="367">
        <v>100.0</v>
      </c>
      <c r="N5296" s="367"/>
      <c r="O5296" s="367"/>
      <c r="P5296" s="367" t="s">
        <v>25121</v>
      </c>
      <c r="Q5296" s="367" t="s">
        <v>25122</v>
      </c>
      <c r="R5296" s="367">
        <v>1800.0</v>
      </c>
      <c r="S5296" s="280" t="s">
        <v>20822</v>
      </c>
      <c r="T5296" s="237" t="s">
        <v>25123</v>
      </c>
      <c r="U5296" s="29" t="s">
        <v>61</v>
      </c>
      <c r="V5296" s="30"/>
      <c r="W5296" s="34"/>
      <c r="X5296" s="49"/>
      <c r="Y5296" s="35"/>
      <c r="Z5296" s="35"/>
      <c r="AA5296" s="35"/>
      <c r="AB5296" s="35"/>
      <c r="AC5296" s="35"/>
      <c r="AD5296" s="35"/>
      <c r="AE5296" s="35"/>
      <c r="AF5296" s="35"/>
      <c r="AG5296" s="35"/>
      <c r="AH5296" s="35"/>
      <c r="AI5296" s="35"/>
      <c r="AJ5296" s="35"/>
      <c r="AK5296" s="35"/>
      <c r="AL5296" s="35"/>
    </row>
    <row r="5297">
      <c r="A5297" s="18"/>
      <c r="B5297" s="19" t="s">
        <v>19332</v>
      </c>
      <c r="C5297" s="20" t="s">
        <v>25066</v>
      </c>
      <c r="D5297" s="47"/>
      <c r="E5297" s="22" t="s">
        <v>2783</v>
      </c>
      <c r="F5297" s="22" t="s">
        <v>19584</v>
      </c>
      <c r="G5297" s="23">
        <v>2021.0</v>
      </c>
      <c r="H5297" s="22" t="s">
        <v>477</v>
      </c>
      <c r="I5297" s="24" t="s">
        <v>25124</v>
      </c>
      <c r="J5297" s="22" t="s">
        <v>1078</v>
      </c>
      <c r="K5297" s="22" t="s">
        <v>25125</v>
      </c>
      <c r="L5297" s="167" t="s">
        <v>25126</v>
      </c>
      <c r="M5297" s="44"/>
      <c r="N5297" s="44"/>
      <c r="O5297" s="44"/>
      <c r="P5297" s="44"/>
      <c r="Q5297" s="44"/>
      <c r="R5297" s="44"/>
      <c r="S5297" s="44"/>
      <c r="T5297" s="45"/>
      <c r="U5297" s="29" t="s">
        <v>61</v>
      </c>
      <c r="V5297" s="30"/>
      <c r="W5297" s="34"/>
      <c r="X5297" s="49"/>
      <c r="Y5297" s="35"/>
      <c r="Z5297" s="35"/>
      <c r="AA5297" s="35"/>
      <c r="AB5297" s="35"/>
      <c r="AC5297" s="35"/>
      <c r="AD5297" s="35"/>
      <c r="AE5297" s="35"/>
      <c r="AF5297" s="35"/>
      <c r="AG5297" s="35"/>
      <c r="AH5297" s="35"/>
      <c r="AI5297" s="35"/>
      <c r="AJ5297" s="35"/>
      <c r="AK5297" s="35"/>
      <c r="AL5297" s="35"/>
    </row>
    <row r="5298">
      <c r="A5298" s="18"/>
      <c r="B5298" s="19" t="s">
        <v>19332</v>
      </c>
      <c r="C5298" s="20" t="s">
        <v>25066</v>
      </c>
      <c r="D5298" s="47"/>
      <c r="E5298" s="22" t="s">
        <v>5978</v>
      </c>
      <c r="F5298" s="22" t="s">
        <v>765</v>
      </c>
      <c r="G5298" s="23">
        <v>2021.0</v>
      </c>
      <c r="H5298" s="22" t="s">
        <v>756</v>
      </c>
      <c r="I5298" s="24" t="s">
        <v>25127</v>
      </c>
      <c r="J5298" s="22" t="s">
        <v>125</v>
      </c>
      <c r="K5298" s="22"/>
      <c r="L5298" s="195" t="s">
        <v>25128</v>
      </c>
      <c r="M5298" s="44"/>
      <c r="N5298" s="44"/>
      <c r="O5298" s="44"/>
      <c r="P5298" s="44"/>
      <c r="Q5298" s="44"/>
      <c r="R5298" s="44"/>
      <c r="S5298" s="44"/>
      <c r="T5298" s="45"/>
      <c r="U5298" s="29" t="s">
        <v>61</v>
      </c>
      <c r="V5298" s="30"/>
      <c r="W5298" s="34"/>
      <c r="X5298" s="49"/>
      <c r="Y5298" s="35"/>
      <c r="Z5298" s="35"/>
      <c r="AA5298" s="35"/>
      <c r="AB5298" s="35"/>
      <c r="AC5298" s="35"/>
      <c r="AD5298" s="35"/>
      <c r="AE5298" s="35"/>
      <c r="AF5298" s="35"/>
      <c r="AG5298" s="35"/>
      <c r="AH5298" s="35"/>
      <c r="AI5298" s="35"/>
      <c r="AJ5298" s="35"/>
      <c r="AK5298" s="35"/>
      <c r="AL5298" s="35"/>
    </row>
    <row r="5299">
      <c r="A5299" s="18"/>
      <c r="B5299" s="19" t="s">
        <v>19332</v>
      </c>
      <c r="C5299" s="20" t="s">
        <v>25066</v>
      </c>
      <c r="D5299" s="47"/>
      <c r="E5299" s="22" t="s">
        <v>25129</v>
      </c>
      <c r="F5299" s="22" t="s">
        <v>25130</v>
      </c>
      <c r="G5299" s="23">
        <v>2021.0</v>
      </c>
      <c r="H5299" s="22" t="s">
        <v>4975</v>
      </c>
      <c r="I5299" s="24" t="s">
        <v>25131</v>
      </c>
      <c r="J5299" s="22" t="s">
        <v>25132</v>
      </c>
      <c r="K5299" s="22"/>
      <c r="L5299" s="292">
        <v>820.0</v>
      </c>
      <c r="M5299" s="367"/>
      <c r="N5299" s="367"/>
      <c r="O5299" s="367" t="s">
        <v>25133</v>
      </c>
      <c r="P5299" s="367" t="s">
        <v>23972</v>
      </c>
      <c r="Q5299" s="367" t="s">
        <v>989</v>
      </c>
      <c r="R5299" s="367" t="s">
        <v>25134</v>
      </c>
      <c r="S5299" s="280" t="s">
        <v>8418</v>
      </c>
      <c r="T5299" s="137" t="s">
        <v>25135</v>
      </c>
      <c r="U5299" s="29" t="s">
        <v>61</v>
      </c>
      <c r="V5299" s="30"/>
      <c r="W5299" s="34"/>
      <c r="X5299" s="49"/>
      <c r="Y5299" s="35"/>
      <c r="Z5299" s="35"/>
      <c r="AA5299" s="35"/>
      <c r="AB5299" s="35"/>
      <c r="AC5299" s="35"/>
      <c r="AD5299" s="35"/>
      <c r="AE5299" s="35"/>
      <c r="AF5299" s="35"/>
      <c r="AG5299" s="35"/>
      <c r="AH5299" s="35"/>
      <c r="AI5299" s="35"/>
      <c r="AJ5299" s="35"/>
      <c r="AK5299" s="35"/>
      <c r="AL5299" s="35"/>
    </row>
    <row r="5300">
      <c r="A5300" s="18"/>
      <c r="B5300" s="19" t="s">
        <v>19332</v>
      </c>
      <c r="C5300" s="20" t="s">
        <v>25066</v>
      </c>
      <c r="D5300" s="47"/>
      <c r="E5300" s="22" t="s">
        <v>1723</v>
      </c>
      <c r="F5300" s="22" t="s">
        <v>1398</v>
      </c>
      <c r="G5300" s="23">
        <v>2020.0</v>
      </c>
      <c r="H5300" s="22" t="s">
        <v>627</v>
      </c>
      <c r="I5300" s="24" t="s">
        <v>25136</v>
      </c>
      <c r="J5300" s="22" t="s">
        <v>1078</v>
      </c>
      <c r="K5300" s="22" t="s">
        <v>25137</v>
      </c>
      <c r="L5300" s="43" t="s">
        <v>25138</v>
      </c>
      <c r="M5300" s="44"/>
      <c r="N5300" s="44"/>
      <c r="O5300" s="44"/>
      <c r="P5300" s="44"/>
      <c r="Q5300" s="44"/>
      <c r="R5300" s="44"/>
      <c r="S5300" s="44"/>
      <c r="T5300" s="45"/>
      <c r="U5300" s="29" t="s">
        <v>61</v>
      </c>
      <c r="V5300" s="30"/>
      <c r="W5300" s="34"/>
      <c r="X5300" s="49"/>
      <c r="Y5300" s="35"/>
      <c r="Z5300" s="35"/>
      <c r="AA5300" s="35"/>
      <c r="AB5300" s="35"/>
      <c r="AC5300" s="35"/>
      <c r="AD5300" s="35"/>
      <c r="AE5300" s="35"/>
      <c r="AF5300" s="35"/>
      <c r="AG5300" s="35"/>
      <c r="AH5300" s="35"/>
      <c r="AI5300" s="35"/>
      <c r="AJ5300" s="35"/>
      <c r="AK5300" s="35"/>
      <c r="AL5300" s="35"/>
    </row>
    <row r="5301">
      <c r="A5301" s="18"/>
      <c r="B5301" s="19" t="s">
        <v>19332</v>
      </c>
      <c r="C5301" s="20" t="s">
        <v>25066</v>
      </c>
      <c r="D5301" s="47"/>
      <c r="E5301" s="22" t="s">
        <v>25139</v>
      </c>
      <c r="F5301" s="22" t="s">
        <v>8008</v>
      </c>
      <c r="G5301" s="23">
        <v>2020.0</v>
      </c>
      <c r="H5301" s="22" t="s">
        <v>77</v>
      </c>
      <c r="I5301" s="24" t="s">
        <v>25140</v>
      </c>
      <c r="J5301" s="22" t="s">
        <v>25141</v>
      </c>
      <c r="K5301" s="22"/>
      <c r="L5301" s="292">
        <v>940.0</v>
      </c>
      <c r="M5301" s="367">
        <v>300.0</v>
      </c>
      <c r="N5301" s="367"/>
      <c r="O5301" s="367"/>
      <c r="P5301" s="367" t="s">
        <v>20121</v>
      </c>
      <c r="Q5301" s="367" t="s">
        <v>25142</v>
      </c>
      <c r="R5301" s="367" t="s">
        <v>25143</v>
      </c>
      <c r="S5301" s="280">
        <v>1.0</v>
      </c>
      <c r="T5301" s="137" t="s">
        <v>25144</v>
      </c>
      <c r="U5301" s="29" t="s">
        <v>61</v>
      </c>
      <c r="V5301" s="30"/>
      <c r="W5301" s="34"/>
      <c r="X5301" s="49"/>
      <c r="Y5301" s="35"/>
      <c r="Z5301" s="35"/>
      <c r="AA5301" s="35"/>
      <c r="AB5301" s="35"/>
      <c r="AC5301" s="35"/>
      <c r="AD5301" s="35"/>
      <c r="AE5301" s="35"/>
      <c r="AF5301" s="35"/>
      <c r="AG5301" s="35"/>
      <c r="AH5301" s="35"/>
      <c r="AI5301" s="35"/>
      <c r="AJ5301" s="35"/>
      <c r="AK5301" s="35"/>
      <c r="AL5301" s="35"/>
    </row>
    <row r="5302">
      <c r="A5302" s="18"/>
      <c r="B5302" s="19" t="s">
        <v>19332</v>
      </c>
      <c r="C5302" s="20" t="s">
        <v>25066</v>
      </c>
      <c r="D5302" s="47"/>
      <c r="E5302" s="22" t="s">
        <v>25145</v>
      </c>
      <c r="F5302" s="22" t="s">
        <v>2492</v>
      </c>
      <c r="G5302" s="23">
        <v>2020.0</v>
      </c>
      <c r="H5302" s="22" t="s">
        <v>10563</v>
      </c>
      <c r="I5302" s="24" t="s">
        <v>25146</v>
      </c>
      <c r="J5302" s="22" t="s">
        <v>649</v>
      </c>
      <c r="K5302" s="22"/>
      <c r="L5302" s="167" t="s">
        <v>25147</v>
      </c>
      <c r="M5302" s="44"/>
      <c r="N5302" s="44"/>
      <c r="O5302" s="44"/>
      <c r="P5302" s="44"/>
      <c r="Q5302" s="44"/>
      <c r="R5302" s="44"/>
      <c r="S5302" s="44"/>
      <c r="T5302" s="45"/>
      <c r="U5302" s="29" t="s">
        <v>61</v>
      </c>
      <c r="V5302" s="30"/>
      <c r="W5302" s="34"/>
      <c r="X5302" s="49"/>
      <c r="Y5302" s="35"/>
      <c r="Z5302" s="35"/>
      <c r="AA5302" s="35"/>
      <c r="AB5302" s="35"/>
      <c r="AC5302" s="35"/>
      <c r="AD5302" s="35"/>
      <c r="AE5302" s="35"/>
      <c r="AF5302" s="35"/>
      <c r="AG5302" s="35"/>
      <c r="AH5302" s="35"/>
      <c r="AI5302" s="35"/>
      <c r="AJ5302" s="35"/>
      <c r="AK5302" s="35"/>
      <c r="AL5302" s="35"/>
    </row>
    <row r="5303">
      <c r="A5303" s="18"/>
      <c r="B5303" s="19" t="s">
        <v>19332</v>
      </c>
      <c r="C5303" s="20" t="s">
        <v>25066</v>
      </c>
      <c r="D5303" s="47"/>
      <c r="E5303" s="22" t="s">
        <v>25148</v>
      </c>
      <c r="F5303" s="22" t="s">
        <v>540</v>
      </c>
      <c r="G5303" s="23">
        <v>2020.0</v>
      </c>
      <c r="H5303" s="22" t="s">
        <v>4975</v>
      </c>
      <c r="I5303" s="24" t="s">
        <v>25149</v>
      </c>
      <c r="J5303" s="22" t="s">
        <v>649</v>
      </c>
      <c r="K5303" s="22"/>
      <c r="L5303" s="167" t="s">
        <v>25150</v>
      </c>
      <c r="M5303" s="44"/>
      <c r="N5303" s="44"/>
      <c r="O5303" s="44"/>
      <c r="P5303" s="44"/>
      <c r="Q5303" s="44"/>
      <c r="R5303" s="44"/>
      <c r="S5303" s="44"/>
      <c r="T5303" s="45"/>
      <c r="U5303" s="29" t="s">
        <v>61</v>
      </c>
      <c r="V5303" s="30"/>
      <c r="W5303" s="34"/>
      <c r="X5303" s="49"/>
      <c r="Y5303" s="35"/>
      <c r="Z5303" s="35"/>
      <c r="AA5303" s="35"/>
      <c r="AB5303" s="35"/>
      <c r="AC5303" s="35"/>
      <c r="AD5303" s="35"/>
      <c r="AE5303" s="35"/>
      <c r="AF5303" s="35"/>
      <c r="AG5303" s="35"/>
      <c r="AH5303" s="35"/>
      <c r="AI5303" s="35"/>
      <c r="AJ5303" s="35"/>
      <c r="AK5303" s="35"/>
      <c r="AL5303" s="35"/>
    </row>
    <row r="5304">
      <c r="A5304" s="18"/>
      <c r="B5304" s="19" t="s">
        <v>19332</v>
      </c>
      <c r="C5304" s="20" t="s">
        <v>25066</v>
      </c>
      <c r="D5304" s="47"/>
      <c r="E5304" s="22" t="s">
        <v>25151</v>
      </c>
      <c r="F5304" s="22" t="s">
        <v>23306</v>
      </c>
      <c r="G5304" s="23">
        <v>2020.0</v>
      </c>
      <c r="H5304" s="22" t="s">
        <v>91</v>
      </c>
      <c r="I5304" s="24" t="s">
        <v>25152</v>
      </c>
      <c r="J5304" s="22" t="s">
        <v>25153</v>
      </c>
      <c r="K5304" s="22"/>
      <c r="L5304" s="36">
        <v>940.0</v>
      </c>
      <c r="M5304" s="36">
        <v>750.0</v>
      </c>
      <c r="N5304" s="36" t="s">
        <v>25154</v>
      </c>
      <c r="O5304" s="36" t="s">
        <v>25155</v>
      </c>
      <c r="P5304" s="37"/>
      <c r="Q5304" s="36" t="s">
        <v>25156</v>
      </c>
      <c r="R5304" s="36" t="s">
        <v>25157</v>
      </c>
      <c r="S5304" s="36">
        <v>1.0</v>
      </c>
      <c r="T5304" s="41" t="s">
        <v>25158</v>
      </c>
      <c r="U5304" s="38" t="str">
        <f>HYPERLINK("https://www.ncbi.nlm.nih.gov/pubmed/32193820","PubMed")</f>
        <v>PubMed</v>
      </c>
      <c r="V5304" s="30" t="s">
        <v>25159</v>
      </c>
      <c r="W5304" s="34"/>
      <c r="X5304" s="49"/>
      <c r="Y5304" s="35"/>
      <c r="Z5304" s="35"/>
      <c r="AA5304" s="35"/>
      <c r="AB5304" s="35"/>
      <c r="AC5304" s="35"/>
      <c r="AD5304" s="35"/>
      <c r="AE5304" s="35"/>
      <c r="AF5304" s="35"/>
      <c r="AG5304" s="35"/>
      <c r="AH5304" s="35"/>
      <c r="AI5304" s="35"/>
      <c r="AJ5304" s="35"/>
      <c r="AK5304" s="35"/>
      <c r="AL5304" s="35"/>
    </row>
    <row r="5305">
      <c r="A5305" s="18"/>
      <c r="B5305" s="19" t="s">
        <v>19332</v>
      </c>
      <c r="C5305" s="20" t="s">
        <v>25066</v>
      </c>
      <c r="D5305" s="47"/>
      <c r="E5305" s="22" t="s">
        <v>25160</v>
      </c>
      <c r="F5305" s="22" t="s">
        <v>217</v>
      </c>
      <c r="G5305" s="23">
        <v>2020.0</v>
      </c>
      <c r="H5305" s="22" t="s">
        <v>23271</v>
      </c>
      <c r="I5305" s="24" t="s">
        <v>25161</v>
      </c>
      <c r="J5305" s="22" t="s">
        <v>25162</v>
      </c>
      <c r="K5305" s="22"/>
      <c r="L5305" s="36" t="s">
        <v>13068</v>
      </c>
      <c r="M5305" s="36" t="s">
        <v>58</v>
      </c>
      <c r="N5305" s="36" t="s">
        <v>58</v>
      </c>
      <c r="O5305" s="36" t="s">
        <v>58</v>
      </c>
      <c r="P5305" s="37" t="s">
        <v>58</v>
      </c>
      <c r="Q5305" s="36" t="s">
        <v>25163</v>
      </c>
      <c r="R5305" s="36" t="s">
        <v>25164</v>
      </c>
      <c r="S5305" s="36">
        <v>1.0</v>
      </c>
      <c r="T5305" s="41" t="s">
        <v>25165</v>
      </c>
      <c r="U5305" s="38" t="str">
        <f>HYPERLINK("https://www.ncbi.nlm.nih.gov/pubmed/32146720","PubMed")</f>
        <v>PubMed</v>
      </c>
      <c r="V5305" s="30"/>
      <c r="W5305" s="34"/>
      <c r="X5305" s="49"/>
      <c r="Y5305" s="35"/>
      <c r="Z5305" s="35"/>
      <c r="AA5305" s="35"/>
      <c r="AB5305" s="35"/>
      <c r="AC5305" s="35"/>
      <c r="AD5305" s="35"/>
      <c r="AE5305" s="35"/>
      <c r="AF5305" s="35"/>
      <c r="AG5305" s="35"/>
      <c r="AH5305" s="35"/>
      <c r="AI5305" s="35"/>
      <c r="AJ5305" s="35"/>
      <c r="AK5305" s="35"/>
      <c r="AL5305" s="35"/>
    </row>
    <row r="5306">
      <c r="A5306" s="18"/>
      <c r="B5306" s="19" t="s">
        <v>19332</v>
      </c>
      <c r="C5306" s="20" t="s">
        <v>25066</v>
      </c>
      <c r="D5306" s="47"/>
      <c r="E5306" s="22" t="s">
        <v>25166</v>
      </c>
      <c r="F5306" s="22" t="s">
        <v>14812</v>
      </c>
      <c r="G5306" s="23">
        <v>2019.0</v>
      </c>
      <c r="H5306" s="22" t="s">
        <v>91</v>
      </c>
      <c r="I5306" s="24" t="s">
        <v>25167</v>
      </c>
      <c r="J5306" s="22" t="s">
        <v>25168</v>
      </c>
      <c r="K5306" s="22"/>
      <c r="L5306" s="36">
        <v>645.0</v>
      </c>
      <c r="M5306" s="36" t="s">
        <v>58</v>
      </c>
      <c r="N5306" s="36" t="s">
        <v>4163</v>
      </c>
      <c r="O5306" s="36" t="s">
        <v>16594</v>
      </c>
      <c r="P5306" s="37" t="s">
        <v>95</v>
      </c>
      <c r="Q5306" s="36" t="s">
        <v>25169</v>
      </c>
      <c r="R5306" s="36"/>
      <c r="S5306" s="36" t="s">
        <v>20078</v>
      </c>
      <c r="T5306" s="42" t="s">
        <v>25170</v>
      </c>
      <c r="U5306" s="38" t="str">
        <f>HYPERLINK("https://www.ncbi.nlm.nih.gov/pubmed/31784929","PubMed")</f>
        <v>PubMed</v>
      </c>
      <c r="V5306" s="30"/>
      <c r="W5306" s="34"/>
      <c r="X5306" s="49"/>
      <c r="Y5306" s="35"/>
      <c r="Z5306" s="35"/>
      <c r="AA5306" s="35"/>
      <c r="AB5306" s="35"/>
      <c r="AC5306" s="35"/>
      <c r="AD5306" s="35"/>
      <c r="AE5306" s="35"/>
      <c r="AF5306" s="35"/>
      <c r="AG5306" s="35"/>
      <c r="AH5306" s="35"/>
      <c r="AI5306" s="35"/>
      <c r="AJ5306" s="35"/>
      <c r="AK5306" s="35"/>
      <c r="AL5306" s="35"/>
    </row>
    <row r="5307">
      <c r="A5307" s="18"/>
      <c r="B5307" s="19" t="s">
        <v>19332</v>
      </c>
      <c r="C5307" s="20" t="s">
        <v>25066</v>
      </c>
      <c r="D5307" s="47"/>
      <c r="E5307" s="22" t="s">
        <v>25038</v>
      </c>
      <c r="F5307" s="22" t="s">
        <v>11512</v>
      </c>
      <c r="G5307" s="23" t="s">
        <v>76</v>
      </c>
      <c r="H5307" s="22" t="s">
        <v>91</v>
      </c>
      <c r="I5307" s="24" t="s">
        <v>25171</v>
      </c>
      <c r="J5307" s="22" t="s">
        <v>25172</v>
      </c>
      <c r="K5307" s="22"/>
      <c r="L5307" s="36">
        <v>980.0</v>
      </c>
      <c r="M5307" s="36">
        <v>400.0</v>
      </c>
      <c r="N5307" s="36"/>
      <c r="O5307" s="36"/>
      <c r="P5307" s="37" t="s">
        <v>4163</v>
      </c>
      <c r="Q5307" s="36" t="s">
        <v>2386</v>
      </c>
      <c r="R5307" s="36" t="s">
        <v>25155</v>
      </c>
      <c r="S5307" s="36" t="s">
        <v>20078</v>
      </c>
      <c r="T5307" s="28" t="s">
        <v>25173</v>
      </c>
      <c r="U5307" s="38" t="str">
        <f>HYPERLINK("https://www.ncbi.nlm.nih.gov/pubmed/31641967","PubMed")</f>
        <v>PubMed</v>
      </c>
      <c r="V5307" s="30"/>
      <c r="W5307" s="34"/>
      <c r="X5307" s="49"/>
      <c r="Y5307" s="35"/>
      <c r="Z5307" s="35"/>
      <c r="AA5307" s="35"/>
      <c r="AB5307" s="35"/>
      <c r="AC5307" s="35"/>
      <c r="AD5307" s="35"/>
      <c r="AE5307" s="35"/>
      <c r="AF5307" s="35"/>
      <c r="AG5307" s="35"/>
      <c r="AH5307" s="35"/>
      <c r="AI5307" s="35"/>
      <c r="AJ5307" s="35"/>
      <c r="AK5307" s="35"/>
      <c r="AL5307" s="35"/>
    </row>
    <row r="5308">
      <c r="A5308" s="18" t="s">
        <v>38</v>
      </c>
      <c r="B5308" s="19" t="s">
        <v>19332</v>
      </c>
      <c r="C5308" s="20" t="s">
        <v>25066</v>
      </c>
      <c r="D5308" s="47"/>
      <c r="E5308" s="22" t="s">
        <v>25174</v>
      </c>
      <c r="F5308" s="22" t="s">
        <v>25175</v>
      </c>
      <c r="G5308" s="23">
        <v>2019.0</v>
      </c>
      <c r="H5308" s="22" t="s">
        <v>25176</v>
      </c>
      <c r="I5308" s="24" t="s">
        <v>25177</v>
      </c>
      <c r="J5308" s="22" t="s">
        <v>25178</v>
      </c>
      <c r="K5308" s="22" t="s">
        <v>25179</v>
      </c>
      <c r="L5308" s="36">
        <v>810.0</v>
      </c>
      <c r="M5308" s="36">
        <v>100.0</v>
      </c>
      <c r="N5308" s="36"/>
      <c r="O5308" s="36"/>
      <c r="P5308" s="37"/>
      <c r="Q5308" s="36"/>
      <c r="R5308" s="36" t="s">
        <v>25180</v>
      </c>
      <c r="S5308" s="36">
        <v>1.0</v>
      </c>
      <c r="T5308" s="28" t="s">
        <v>25181</v>
      </c>
      <c r="U5308" s="38" t="str">
        <f>HYPERLINK("https://www.ncbi.nlm.nih.gov/pubmed/31613945","PubMed")</f>
        <v>PubMed</v>
      </c>
      <c r="V5308" s="30" t="s">
        <v>25182</v>
      </c>
      <c r="W5308" s="34"/>
      <c r="X5308" s="49"/>
      <c r="Y5308" s="35"/>
      <c r="Z5308" s="35"/>
      <c r="AA5308" s="35"/>
      <c r="AB5308" s="35"/>
      <c r="AC5308" s="35"/>
      <c r="AD5308" s="35"/>
      <c r="AE5308" s="35"/>
      <c r="AF5308" s="35"/>
      <c r="AG5308" s="35"/>
      <c r="AH5308" s="35"/>
      <c r="AI5308" s="35"/>
      <c r="AJ5308" s="35"/>
      <c r="AK5308" s="35"/>
      <c r="AL5308" s="35"/>
    </row>
    <row r="5309">
      <c r="A5309" s="18"/>
      <c r="B5309" s="19" t="s">
        <v>19332</v>
      </c>
      <c r="C5309" s="20" t="s">
        <v>25066</v>
      </c>
      <c r="D5309" s="47"/>
      <c r="E5309" s="22" t="s">
        <v>25183</v>
      </c>
      <c r="F5309" s="22" t="s">
        <v>510</v>
      </c>
      <c r="G5309" s="23">
        <v>2019.0</v>
      </c>
      <c r="H5309" s="22" t="s">
        <v>91</v>
      </c>
      <c r="I5309" s="24" t="s">
        <v>25184</v>
      </c>
      <c r="J5309" s="22" t="s">
        <v>25185</v>
      </c>
      <c r="K5309" s="22"/>
      <c r="L5309" s="36">
        <v>660.0</v>
      </c>
      <c r="M5309" s="36">
        <v>30.0</v>
      </c>
      <c r="N5309" s="129">
        <v>43466.0</v>
      </c>
      <c r="O5309" s="36" t="s">
        <v>1468</v>
      </c>
      <c r="P5309" s="37" t="s">
        <v>1976</v>
      </c>
      <c r="Q5309" s="36" t="s">
        <v>280</v>
      </c>
      <c r="R5309" s="36" t="s">
        <v>25186</v>
      </c>
      <c r="S5309" s="36">
        <v>1.0</v>
      </c>
      <c r="T5309" s="42" t="s">
        <v>25187</v>
      </c>
      <c r="U5309" s="38" t="str">
        <f>HYPERLINK("https://www.ncbi.nlm.nih.gov/pubmed/31093797","PubMed")</f>
        <v>PubMed</v>
      </c>
      <c r="V5309" s="30" t="s">
        <v>25188</v>
      </c>
      <c r="W5309" s="49"/>
      <c r="X5309" s="49"/>
      <c r="Y5309" s="35"/>
      <c r="Z5309" s="35"/>
      <c r="AA5309" s="35"/>
      <c r="AB5309" s="35"/>
      <c r="AC5309" s="35"/>
      <c r="AD5309" s="35"/>
      <c r="AE5309" s="35"/>
      <c r="AF5309" s="35"/>
      <c r="AG5309" s="35"/>
      <c r="AH5309" s="35"/>
      <c r="AI5309" s="35"/>
      <c r="AJ5309" s="35"/>
      <c r="AK5309" s="35"/>
      <c r="AL5309" s="35"/>
    </row>
    <row r="5310">
      <c r="A5310" s="18"/>
      <c r="B5310" s="19" t="s">
        <v>19332</v>
      </c>
      <c r="C5310" s="20" t="s">
        <v>25066</v>
      </c>
      <c r="D5310" s="47"/>
      <c r="E5310" s="22" t="s">
        <v>2195</v>
      </c>
      <c r="F5310" s="22" t="s">
        <v>206</v>
      </c>
      <c r="G5310" s="23">
        <v>2019.0</v>
      </c>
      <c r="H5310" s="22" t="s">
        <v>25189</v>
      </c>
      <c r="I5310" s="24" t="s">
        <v>25190</v>
      </c>
      <c r="J5310" s="22" t="s">
        <v>25191</v>
      </c>
      <c r="K5310" s="22" t="s">
        <v>157</v>
      </c>
      <c r="L5310" s="36">
        <v>660.0</v>
      </c>
      <c r="M5310" s="36" t="s">
        <v>58</v>
      </c>
      <c r="N5310" s="36" t="s">
        <v>58</v>
      </c>
      <c r="O5310" s="36" t="s">
        <v>58</v>
      </c>
      <c r="P5310" s="37" t="s">
        <v>95</v>
      </c>
      <c r="Q5310" s="36" t="s">
        <v>58</v>
      </c>
      <c r="R5310" s="36">
        <v>180.0</v>
      </c>
      <c r="S5310" s="36" t="s">
        <v>3478</v>
      </c>
      <c r="T5310" s="42" t="s">
        <v>25192</v>
      </c>
      <c r="U5310" s="38" t="str">
        <f>HYPERLINK("https://www.ncbi.nlm.nih.gov/pubmed/30709694","PubMed")</f>
        <v>PubMed</v>
      </c>
      <c r="V5310" s="30" t="s">
        <v>25193</v>
      </c>
      <c r="W5310" s="49"/>
      <c r="X5310" s="49"/>
      <c r="Y5310" s="35"/>
      <c r="Z5310" s="35"/>
      <c r="AA5310" s="35"/>
      <c r="AB5310" s="35"/>
      <c r="AC5310" s="35"/>
      <c r="AD5310" s="35"/>
      <c r="AE5310" s="35"/>
      <c r="AF5310" s="35"/>
      <c r="AG5310" s="35"/>
      <c r="AH5310" s="35"/>
      <c r="AI5310" s="35"/>
      <c r="AJ5310" s="35"/>
      <c r="AK5310" s="35"/>
      <c r="AL5310" s="35"/>
    </row>
    <row r="5311">
      <c r="A5311" s="18"/>
      <c r="B5311" s="19" t="s">
        <v>19332</v>
      </c>
      <c r="C5311" s="20" t="s">
        <v>25066</v>
      </c>
      <c r="D5311" s="47"/>
      <c r="E5311" s="22" t="s">
        <v>20113</v>
      </c>
      <c r="F5311" s="22" t="s">
        <v>5429</v>
      </c>
      <c r="G5311" s="23">
        <v>2019.0</v>
      </c>
      <c r="H5311" s="22" t="s">
        <v>7511</v>
      </c>
      <c r="I5311" s="24" t="s">
        <v>25194</v>
      </c>
      <c r="J5311" s="22" t="s">
        <v>25195</v>
      </c>
      <c r="K5311" s="22" t="s">
        <v>4825</v>
      </c>
      <c r="L5311" s="36" t="s">
        <v>4772</v>
      </c>
      <c r="M5311" s="36"/>
      <c r="N5311" s="36" t="s">
        <v>3587</v>
      </c>
      <c r="O5311" s="36"/>
      <c r="P5311" s="37" t="s">
        <v>25196</v>
      </c>
      <c r="Q5311" s="36"/>
      <c r="R5311" s="36">
        <v>600.0</v>
      </c>
      <c r="S5311" s="36" t="s">
        <v>25197</v>
      </c>
      <c r="T5311" s="42" t="s">
        <v>25198</v>
      </c>
      <c r="U5311" s="38" t="str">
        <f>HYPERLINK("https://www.ncbi.nlm.nih.gov/pubmed/30666859","PubMed")</f>
        <v>PubMed</v>
      </c>
      <c r="V5311" s="30"/>
      <c r="W5311" s="49"/>
      <c r="X5311" s="49"/>
      <c r="Y5311" s="35"/>
      <c r="Z5311" s="35"/>
      <c r="AA5311" s="35"/>
      <c r="AB5311" s="35"/>
      <c r="AC5311" s="35"/>
      <c r="AD5311" s="35"/>
      <c r="AE5311" s="35"/>
      <c r="AF5311" s="35"/>
      <c r="AG5311" s="35"/>
      <c r="AH5311" s="35"/>
      <c r="AI5311" s="35"/>
      <c r="AJ5311" s="35"/>
      <c r="AK5311" s="35"/>
      <c r="AL5311" s="35"/>
    </row>
    <row r="5312">
      <c r="A5312" s="18"/>
      <c r="B5312" s="19" t="s">
        <v>19332</v>
      </c>
      <c r="C5312" s="20" t="s">
        <v>25066</v>
      </c>
      <c r="D5312" s="47"/>
      <c r="E5312" s="22" t="s">
        <v>25199</v>
      </c>
      <c r="F5312" s="22" t="s">
        <v>1582</v>
      </c>
      <c r="G5312" s="23" t="s">
        <v>2499</v>
      </c>
      <c r="H5312" s="22" t="s">
        <v>25200</v>
      </c>
      <c r="I5312" s="24" t="s">
        <v>25201</v>
      </c>
      <c r="J5312" s="22" t="s">
        <v>25202</v>
      </c>
      <c r="K5312" s="22"/>
      <c r="L5312" s="36">
        <v>980.0</v>
      </c>
      <c r="M5312" s="36">
        <v>200.0</v>
      </c>
      <c r="N5312" s="36" t="s">
        <v>58</v>
      </c>
      <c r="O5312" s="36" t="s">
        <v>58</v>
      </c>
      <c r="P5312" s="37" t="s">
        <v>82</v>
      </c>
      <c r="Q5312" s="36" t="s">
        <v>1021</v>
      </c>
      <c r="R5312" s="36">
        <v>720.0</v>
      </c>
      <c r="S5312" s="36" t="s">
        <v>25203</v>
      </c>
      <c r="T5312" s="28" t="s">
        <v>25204</v>
      </c>
      <c r="U5312" s="38" t="str">
        <f>HYPERLINK("https://www.ncbi.nlm.nih.gov/pubmed/29327449","PubMed")</f>
        <v>PubMed</v>
      </c>
      <c r="V5312" s="30" t="s">
        <v>25205</v>
      </c>
      <c r="W5312" s="49"/>
      <c r="X5312" s="49"/>
      <c r="Y5312" s="35"/>
      <c r="Z5312" s="35"/>
      <c r="AA5312" s="35"/>
      <c r="AB5312" s="35"/>
      <c r="AC5312" s="35"/>
      <c r="AD5312" s="35"/>
      <c r="AE5312" s="35"/>
      <c r="AF5312" s="35"/>
      <c r="AG5312" s="35"/>
      <c r="AH5312" s="35"/>
      <c r="AI5312" s="35"/>
      <c r="AJ5312" s="35"/>
      <c r="AK5312" s="35"/>
      <c r="AL5312" s="35"/>
    </row>
    <row r="5313">
      <c r="A5313" s="18" t="s">
        <v>181</v>
      </c>
      <c r="B5313" s="19" t="s">
        <v>19332</v>
      </c>
      <c r="C5313" s="20" t="s">
        <v>25066</v>
      </c>
      <c r="D5313" s="47"/>
      <c r="E5313" s="22" t="s">
        <v>25078</v>
      </c>
      <c r="F5313" s="22" t="s">
        <v>605</v>
      </c>
      <c r="G5313" s="23">
        <v>2017.0</v>
      </c>
      <c r="H5313" s="22" t="s">
        <v>14965</v>
      </c>
      <c r="I5313" s="24" t="s">
        <v>25206</v>
      </c>
      <c r="J5313" s="22" t="s">
        <v>25207</v>
      </c>
      <c r="K5313" s="22"/>
      <c r="L5313" s="36">
        <v>940.0</v>
      </c>
      <c r="M5313" s="36">
        <v>300.0</v>
      </c>
      <c r="N5313" s="36"/>
      <c r="O5313" s="36"/>
      <c r="P5313" s="37" t="s">
        <v>20121</v>
      </c>
      <c r="Q5313" s="36" t="s">
        <v>25142</v>
      </c>
      <c r="R5313" s="36"/>
      <c r="S5313" s="36" t="s">
        <v>20171</v>
      </c>
      <c r="T5313" s="41" t="s">
        <v>25208</v>
      </c>
      <c r="U5313" s="38" t="str">
        <f>HYPERLINK("https://www.ncbi.nlm.nih.gov/pubmed/28394081","PubMed")</f>
        <v>PubMed</v>
      </c>
      <c r="V5313" s="30"/>
      <c r="W5313" s="49"/>
      <c r="X5313" s="49"/>
      <c r="Y5313" s="35"/>
      <c r="Z5313" s="35"/>
      <c r="AA5313" s="35"/>
      <c r="AB5313" s="35"/>
      <c r="AC5313" s="35"/>
      <c r="AD5313" s="35"/>
      <c r="AE5313" s="35"/>
      <c r="AF5313" s="35"/>
      <c r="AG5313" s="35"/>
      <c r="AH5313" s="35"/>
      <c r="AI5313" s="35"/>
      <c r="AJ5313" s="35"/>
      <c r="AK5313" s="35"/>
      <c r="AL5313" s="35"/>
    </row>
    <row r="5314">
      <c r="A5314" s="1"/>
      <c r="B5314" s="19" t="s">
        <v>19332</v>
      </c>
      <c r="C5314" s="20" t="s">
        <v>25066</v>
      </c>
      <c r="D5314" s="47"/>
      <c r="E5314" s="22" t="s">
        <v>5469</v>
      </c>
      <c r="F5314" s="22" t="s">
        <v>1370</v>
      </c>
      <c r="G5314" s="23">
        <v>2017.0</v>
      </c>
      <c r="H5314" s="22" t="s">
        <v>14965</v>
      </c>
      <c r="I5314" s="24" t="s">
        <v>25209</v>
      </c>
      <c r="J5314" s="22" t="s">
        <v>1078</v>
      </c>
      <c r="K5314" s="22"/>
      <c r="L5314" s="195" t="s">
        <v>25210</v>
      </c>
      <c r="M5314" s="44"/>
      <c r="N5314" s="44"/>
      <c r="O5314" s="44"/>
      <c r="P5314" s="44"/>
      <c r="Q5314" s="44"/>
      <c r="R5314" s="44"/>
      <c r="S5314" s="44"/>
      <c r="T5314" s="45"/>
      <c r="U5314" s="38" t="str">
        <f>HYPERLINK("https://www.ncbi.nlm.nih.gov/pubmed/26932392","PubMed")</f>
        <v>PubMed</v>
      </c>
      <c r="V5314" s="30"/>
      <c r="W5314" s="49"/>
      <c r="X5314" s="49"/>
      <c r="Y5314" s="35"/>
      <c r="Z5314" s="35"/>
      <c r="AA5314" s="35"/>
      <c r="AB5314" s="35"/>
      <c r="AC5314" s="35"/>
      <c r="AD5314" s="35"/>
      <c r="AE5314" s="35"/>
      <c r="AF5314" s="35"/>
      <c r="AG5314" s="35"/>
      <c r="AH5314" s="35"/>
      <c r="AI5314" s="35"/>
      <c r="AJ5314" s="35"/>
      <c r="AK5314" s="35"/>
      <c r="AL5314" s="35"/>
    </row>
    <row r="5315">
      <c r="A5315" s="1" t="s">
        <v>14517</v>
      </c>
      <c r="B5315" s="19" t="s">
        <v>19332</v>
      </c>
      <c r="C5315" s="20" t="s">
        <v>25066</v>
      </c>
      <c r="D5315" s="47"/>
      <c r="E5315" s="22" t="s">
        <v>25211</v>
      </c>
      <c r="F5315" s="22" t="s">
        <v>25212</v>
      </c>
      <c r="G5315" s="23">
        <v>2017.0</v>
      </c>
      <c r="H5315" s="22" t="s">
        <v>25213</v>
      </c>
      <c r="I5315" s="24" t="s">
        <v>25214</v>
      </c>
      <c r="J5315" s="22" t="s">
        <v>125</v>
      </c>
      <c r="K5315" s="22"/>
      <c r="L5315" s="195" t="s">
        <v>25215</v>
      </c>
      <c r="M5315" s="44"/>
      <c r="N5315" s="44"/>
      <c r="O5315" s="44"/>
      <c r="P5315" s="44"/>
      <c r="Q5315" s="44"/>
      <c r="R5315" s="44"/>
      <c r="S5315" s="44"/>
      <c r="T5315" s="45"/>
      <c r="U5315" s="38" t="str">
        <f>HYPERLINK("https://www.ncbi.nlm.nih.gov/pubmed/28758295","PubMed")</f>
        <v>PubMed</v>
      </c>
      <c r="V5315" s="30"/>
      <c r="W5315" s="49"/>
      <c r="X5315" s="49"/>
      <c r="Y5315" s="35"/>
      <c r="Z5315" s="35"/>
      <c r="AA5315" s="35"/>
      <c r="AB5315" s="35"/>
      <c r="AC5315" s="35"/>
      <c r="AD5315" s="35"/>
      <c r="AE5315" s="35"/>
      <c r="AF5315" s="35"/>
      <c r="AG5315" s="35"/>
      <c r="AH5315" s="35"/>
      <c r="AI5315" s="35"/>
      <c r="AJ5315" s="35"/>
      <c r="AK5315" s="35"/>
      <c r="AL5315" s="35"/>
    </row>
    <row r="5316">
      <c r="A5316" s="1"/>
      <c r="B5316" s="19" t="s">
        <v>19332</v>
      </c>
      <c r="C5316" s="20" t="s">
        <v>25066</v>
      </c>
      <c r="D5316" s="47"/>
      <c r="E5316" s="22" t="s">
        <v>25216</v>
      </c>
      <c r="F5316" s="22" t="s">
        <v>8008</v>
      </c>
      <c r="G5316" s="23">
        <v>2017.0</v>
      </c>
      <c r="H5316" s="22" t="s">
        <v>207</v>
      </c>
      <c r="I5316" s="24" t="s">
        <v>25217</v>
      </c>
      <c r="J5316" s="22" t="s">
        <v>25218</v>
      </c>
      <c r="K5316" s="22"/>
      <c r="L5316" s="36">
        <v>1064.0</v>
      </c>
      <c r="M5316" s="36">
        <v>4000.0</v>
      </c>
      <c r="N5316" s="36"/>
      <c r="O5316" s="36" t="s">
        <v>25219</v>
      </c>
      <c r="P5316" s="37"/>
      <c r="Q5316" s="36"/>
      <c r="R5316" s="36"/>
      <c r="S5316" s="36">
        <v>1.0</v>
      </c>
      <c r="T5316" s="28" t="s">
        <v>25220</v>
      </c>
      <c r="U5316" s="38" t="str">
        <f>HYPERLINK("https://www.ncbi.nlm.nih.gov/pubmed/28282558","PubMed")</f>
        <v>PubMed</v>
      </c>
      <c r="V5316" s="30" t="s">
        <v>25221</v>
      </c>
      <c r="W5316" s="49"/>
      <c r="X5316" s="49"/>
      <c r="Y5316" s="35"/>
      <c r="Z5316" s="35"/>
      <c r="AA5316" s="35"/>
      <c r="AB5316" s="35"/>
      <c r="AC5316" s="35"/>
      <c r="AD5316" s="35"/>
      <c r="AE5316" s="35"/>
      <c r="AF5316" s="35"/>
      <c r="AG5316" s="35"/>
      <c r="AH5316" s="35"/>
      <c r="AI5316" s="35"/>
      <c r="AJ5316" s="35"/>
      <c r="AK5316" s="35"/>
      <c r="AL5316" s="35"/>
    </row>
    <row r="5317">
      <c r="A5317" s="1"/>
      <c r="B5317" s="19" t="s">
        <v>19332</v>
      </c>
      <c r="C5317" s="20" t="s">
        <v>25066</v>
      </c>
      <c r="D5317" s="47"/>
      <c r="E5317" s="22" t="s">
        <v>20595</v>
      </c>
      <c r="F5317" s="22" t="s">
        <v>10235</v>
      </c>
      <c r="G5317" s="23">
        <v>2017.0</v>
      </c>
      <c r="H5317" s="22" t="s">
        <v>91</v>
      </c>
      <c r="I5317" s="24" t="s">
        <v>25222</v>
      </c>
      <c r="J5317" s="22" t="s">
        <v>25223</v>
      </c>
      <c r="K5317" s="22"/>
      <c r="L5317" s="36" t="s">
        <v>20599</v>
      </c>
      <c r="M5317" s="36"/>
      <c r="N5317" s="36"/>
      <c r="O5317" s="36"/>
      <c r="P5317" s="37" t="s">
        <v>25062</v>
      </c>
      <c r="Q5317" s="36"/>
      <c r="R5317" s="36"/>
      <c r="S5317" s="36" t="s">
        <v>14584</v>
      </c>
      <c r="T5317" s="28" t="s">
        <v>25224</v>
      </c>
      <c r="U5317" s="38" t="str">
        <f>HYPERLINK("https://www.ncbi.nlm.nih.gov/pubmed/28523391","PubMed")</f>
        <v>PubMed</v>
      </c>
      <c r="V5317" s="30"/>
      <c r="W5317" s="49"/>
      <c r="X5317" s="49"/>
      <c r="Y5317" s="35"/>
      <c r="Z5317" s="35"/>
      <c r="AA5317" s="35"/>
      <c r="AB5317" s="35"/>
      <c r="AC5317" s="35"/>
      <c r="AD5317" s="35"/>
      <c r="AE5317" s="35"/>
      <c r="AF5317" s="35"/>
      <c r="AG5317" s="35"/>
      <c r="AH5317" s="35"/>
      <c r="AI5317" s="35"/>
      <c r="AJ5317" s="35"/>
      <c r="AK5317" s="35"/>
      <c r="AL5317" s="35"/>
    </row>
    <row r="5318">
      <c r="A5318" s="1"/>
      <c r="B5318" s="19" t="s">
        <v>19332</v>
      </c>
      <c r="C5318" s="20" t="s">
        <v>25066</v>
      </c>
      <c r="D5318" s="47"/>
      <c r="E5318" s="22" t="s">
        <v>25225</v>
      </c>
      <c r="F5318" s="22" t="s">
        <v>605</v>
      </c>
      <c r="G5318" s="23">
        <v>2017.0</v>
      </c>
      <c r="H5318" s="22" t="s">
        <v>658</v>
      </c>
      <c r="I5318" s="24" t="s">
        <v>25226</v>
      </c>
      <c r="J5318" s="22" t="s">
        <v>25227</v>
      </c>
      <c r="K5318" s="22" t="s">
        <v>25228</v>
      </c>
      <c r="L5318" s="36">
        <v>808.0</v>
      </c>
      <c r="M5318" s="36"/>
      <c r="N5318" s="36"/>
      <c r="O5318" s="36" t="s">
        <v>25229</v>
      </c>
      <c r="P5318" s="37" t="s">
        <v>23552</v>
      </c>
      <c r="Q5318" s="36"/>
      <c r="R5318" s="36" t="s">
        <v>23720</v>
      </c>
      <c r="S5318" s="36">
        <v>3.0</v>
      </c>
      <c r="T5318" s="41" t="s">
        <v>25230</v>
      </c>
      <c r="U5318" s="38" t="str">
        <f>HYPERLINK("https://www.ncbi.nlm.nih.gov/pubmed/27855270","PubMed")</f>
        <v>PubMed</v>
      </c>
      <c r="V5318" s="30"/>
      <c r="W5318" s="49"/>
      <c r="X5318" s="49"/>
      <c r="Y5318" s="35"/>
      <c r="Z5318" s="35"/>
      <c r="AA5318" s="35"/>
      <c r="AB5318" s="35"/>
      <c r="AC5318" s="35"/>
      <c r="AD5318" s="35"/>
      <c r="AE5318" s="35"/>
      <c r="AF5318" s="35"/>
      <c r="AG5318" s="35"/>
      <c r="AH5318" s="35"/>
      <c r="AI5318" s="35"/>
      <c r="AJ5318" s="35"/>
      <c r="AK5318" s="35"/>
      <c r="AL5318" s="35"/>
    </row>
    <row r="5319">
      <c r="A5319" s="1"/>
      <c r="B5319" s="19" t="s">
        <v>19332</v>
      </c>
      <c r="C5319" s="20" t="s">
        <v>25066</v>
      </c>
      <c r="D5319" s="47"/>
      <c r="E5319" s="22" t="s">
        <v>25231</v>
      </c>
      <c r="F5319" s="22" t="s">
        <v>11512</v>
      </c>
      <c r="G5319" s="23">
        <v>2016.0</v>
      </c>
      <c r="H5319" s="22" t="s">
        <v>91</v>
      </c>
      <c r="I5319" s="24" t="s">
        <v>25232</v>
      </c>
      <c r="J5319" s="22" t="s">
        <v>25233</v>
      </c>
      <c r="K5319" s="22"/>
      <c r="L5319" s="36">
        <v>980.0</v>
      </c>
      <c r="M5319" s="36">
        <v>400.0</v>
      </c>
      <c r="N5319" s="36"/>
      <c r="O5319" s="36"/>
      <c r="P5319" s="37" t="s">
        <v>25234</v>
      </c>
      <c r="Q5319" s="36" t="s">
        <v>25235</v>
      </c>
      <c r="R5319" s="36" t="s">
        <v>25155</v>
      </c>
      <c r="S5319" s="36" t="s">
        <v>23366</v>
      </c>
      <c r="T5319" s="28" t="s">
        <v>25236</v>
      </c>
      <c r="U5319" s="38" t="str">
        <f>HYPERLINK("https://www.ncbi.nlm.nih.gov/pubmed/27523046","PubMed")</f>
        <v>PubMed</v>
      </c>
      <c r="V5319" s="30"/>
      <c r="W5319" s="49"/>
      <c r="X5319" s="49"/>
      <c r="Y5319" s="35"/>
      <c r="Z5319" s="35"/>
      <c r="AA5319" s="35"/>
      <c r="AB5319" s="35"/>
      <c r="AC5319" s="35"/>
      <c r="AD5319" s="35"/>
      <c r="AE5319" s="35"/>
      <c r="AF5319" s="35"/>
      <c r="AG5319" s="35"/>
      <c r="AH5319" s="35"/>
      <c r="AI5319" s="35"/>
      <c r="AJ5319" s="35"/>
      <c r="AK5319" s="35"/>
      <c r="AL5319" s="35"/>
    </row>
    <row r="5320">
      <c r="A5320" s="1"/>
      <c r="B5320" s="19" t="s">
        <v>19332</v>
      </c>
      <c r="C5320" s="20" t="s">
        <v>25066</v>
      </c>
      <c r="D5320" s="47"/>
      <c r="E5320" s="22" t="s">
        <v>25237</v>
      </c>
      <c r="F5320" s="22" t="s">
        <v>8008</v>
      </c>
      <c r="G5320" s="23">
        <v>2016.0</v>
      </c>
      <c r="H5320" s="22" t="s">
        <v>25200</v>
      </c>
      <c r="I5320" s="24" t="s">
        <v>25238</v>
      </c>
      <c r="J5320" s="22" t="s">
        <v>25239</v>
      </c>
      <c r="K5320" s="22"/>
      <c r="L5320" s="36">
        <v>685.0</v>
      </c>
      <c r="M5320" s="36" t="s">
        <v>58</v>
      </c>
      <c r="N5320" s="36" t="s">
        <v>58</v>
      </c>
      <c r="O5320" s="36" t="s">
        <v>58</v>
      </c>
      <c r="P5320" s="37" t="s">
        <v>5711</v>
      </c>
      <c r="Q5320" s="36" t="s">
        <v>58</v>
      </c>
      <c r="R5320" s="36" t="s">
        <v>25157</v>
      </c>
      <c r="S5320" s="36" t="s">
        <v>25240</v>
      </c>
      <c r="T5320" s="28" t="s">
        <v>25241</v>
      </c>
      <c r="U5320" s="38" t="str">
        <f>HYPERLINK("https://www.ncbi.nlm.nih.gov/pubmed/26250477","PubMed")</f>
        <v>PubMed</v>
      </c>
      <c r="V5320" s="30" t="s">
        <v>25242</v>
      </c>
      <c r="W5320" s="49"/>
      <c r="X5320" s="49"/>
      <c r="Y5320" s="35"/>
      <c r="Z5320" s="35"/>
      <c r="AA5320" s="35"/>
      <c r="AB5320" s="35"/>
      <c r="AC5320" s="35"/>
      <c r="AD5320" s="35"/>
      <c r="AE5320" s="35"/>
      <c r="AF5320" s="35"/>
      <c r="AG5320" s="35"/>
      <c r="AH5320" s="35"/>
      <c r="AI5320" s="35"/>
      <c r="AJ5320" s="35"/>
      <c r="AK5320" s="35"/>
      <c r="AL5320" s="35"/>
    </row>
    <row r="5321">
      <c r="A5321" s="1"/>
      <c r="B5321" s="19" t="s">
        <v>19332</v>
      </c>
      <c r="C5321" s="20" t="s">
        <v>25066</v>
      </c>
      <c r="D5321" s="47"/>
      <c r="E5321" s="22" t="s">
        <v>25243</v>
      </c>
      <c r="F5321" s="22" t="s">
        <v>2143</v>
      </c>
      <c r="G5321" s="23">
        <v>2016.0</v>
      </c>
      <c r="H5321" s="22" t="s">
        <v>21622</v>
      </c>
      <c r="I5321" s="24" t="s">
        <v>25244</v>
      </c>
      <c r="J5321" s="22" t="s">
        <v>25245</v>
      </c>
      <c r="K5321" s="22"/>
      <c r="L5321" s="36">
        <v>810.0</v>
      </c>
      <c r="M5321" s="36">
        <v>700.0</v>
      </c>
      <c r="N5321" s="36" t="s">
        <v>58</v>
      </c>
      <c r="O5321" s="36" t="s">
        <v>58</v>
      </c>
      <c r="P5321" s="37" t="s">
        <v>58</v>
      </c>
      <c r="Q5321" s="36"/>
      <c r="R5321" s="36" t="s">
        <v>25246</v>
      </c>
      <c r="S5321" s="36" t="s">
        <v>6951</v>
      </c>
      <c r="T5321" s="42" t="s">
        <v>25247</v>
      </c>
      <c r="U5321" s="38" t="str">
        <f>HYPERLINK("https://www.ncbi.nlm.nih.gov/pubmed/28042273","PubMed")</f>
        <v>PubMed</v>
      </c>
      <c r="V5321" s="30" t="s">
        <v>25248</v>
      </c>
      <c r="W5321" s="49"/>
      <c r="X5321" s="49"/>
      <c r="Y5321" s="35"/>
      <c r="Z5321" s="35"/>
      <c r="AA5321" s="35"/>
      <c r="AB5321" s="35"/>
      <c r="AC5321" s="35"/>
      <c r="AD5321" s="35"/>
      <c r="AE5321" s="35"/>
      <c r="AF5321" s="35"/>
      <c r="AG5321" s="35"/>
      <c r="AH5321" s="35"/>
      <c r="AI5321" s="35"/>
      <c r="AJ5321" s="35"/>
      <c r="AK5321" s="35"/>
      <c r="AL5321" s="35"/>
    </row>
    <row r="5322">
      <c r="A5322" s="1"/>
      <c r="B5322" s="19" t="s">
        <v>19332</v>
      </c>
      <c r="C5322" s="20" t="s">
        <v>25066</v>
      </c>
      <c r="D5322" s="47"/>
      <c r="E5322" s="22" t="s">
        <v>25249</v>
      </c>
      <c r="F5322" s="22" t="s">
        <v>21831</v>
      </c>
      <c r="G5322" s="23">
        <v>2015.0</v>
      </c>
      <c r="H5322" s="22" t="s">
        <v>658</v>
      </c>
      <c r="I5322" s="24" t="s">
        <v>25250</v>
      </c>
      <c r="J5322" s="22" t="s">
        <v>649</v>
      </c>
      <c r="K5322" s="22"/>
      <c r="L5322" s="105" t="s">
        <v>25251</v>
      </c>
      <c r="M5322" s="44"/>
      <c r="N5322" s="44"/>
      <c r="O5322" s="44"/>
      <c r="P5322" s="44"/>
      <c r="Q5322" s="44"/>
      <c r="R5322" s="44"/>
      <c r="S5322" s="44"/>
      <c r="T5322" s="45"/>
      <c r="U5322" s="38" t="str">
        <f>HYPERLINK("https://www.ncbi.nlm.nih.gov/pubmed/26436596","PubMed")</f>
        <v>PubMed</v>
      </c>
      <c r="V5322" s="30"/>
      <c r="W5322" s="49"/>
      <c r="X5322" s="49"/>
      <c r="Y5322" s="35"/>
      <c r="Z5322" s="35"/>
      <c r="AA5322" s="35"/>
      <c r="AB5322" s="35"/>
      <c r="AC5322" s="35"/>
      <c r="AD5322" s="35"/>
      <c r="AE5322" s="35"/>
      <c r="AF5322" s="35"/>
      <c r="AG5322" s="35"/>
      <c r="AH5322" s="35"/>
      <c r="AI5322" s="35"/>
      <c r="AJ5322" s="35"/>
      <c r="AK5322" s="35"/>
      <c r="AL5322" s="35"/>
    </row>
    <row r="5323">
      <c r="A5323" s="1"/>
      <c r="B5323" s="19" t="s">
        <v>19332</v>
      </c>
      <c r="C5323" s="20" t="s">
        <v>25066</v>
      </c>
      <c r="D5323" s="47"/>
      <c r="E5323" s="22" t="s">
        <v>25252</v>
      </c>
      <c r="F5323" s="22" t="s">
        <v>6630</v>
      </c>
      <c r="G5323" s="23">
        <v>2014.0</v>
      </c>
      <c r="H5323" s="22" t="s">
        <v>19819</v>
      </c>
      <c r="I5323" s="24" t="s">
        <v>25253</v>
      </c>
      <c r="J5323" s="22" t="s">
        <v>1078</v>
      </c>
      <c r="K5323" s="22"/>
      <c r="L5323" s="213" t="s">
        <v>25254</v>
      </c>
      <c r="M5323" s="44"/>
      <c r="N5323" s="44"/>
      <c r="O5323" s="44"/>
      <c r="P5323" s="44"/>
      <c r="Q5323" s="44"/>
      <c r="R5323" s="44"/>
      <c r="S5323" s="44"/>
      <c r="T5323" s="45"/>
      <c r="U5323" s="38" t="str">
        <f>HYPERLINK("https://www.ncbi.nlm.nih.gov/pubmed/24460795","PubMed")</f>
        <v>PubMed</v>
      </c>
      <c r="V5323" s="30"/>
      <c r="W5323" s="49"/>
      <c r="X5323" s="49"/>
      <c r="Y5323" s="35"/>
      <c r="Z5323" s="35"/>
      <c r="AA5323" s="35"/>
      <c r="AB5323" s="35"/>
      <c r="AC5323" s="35"/>
      <c r="AD5323" s="35"/>
      <c r="AE5323" s="35"/>
      <c r="AF5323" s="35"/>
      <c r="AG5323" s="35"/>
      <c r="AH5323" s="35"/>
      <c r="AI5323" s="35"/>
      <c r="AJ5323" s="35"/>
      <c r="AK5323" s="35"/>
      <c r="AL5323" s="35"/>
    </row>
    <row r="5324">
      <c r="A5324" s="1"/>
      <c r="B5324" s="19" t="s">
        <v>19332</v>
      </c>
      <c r="C5324" s="20" t="s">
        <v>25066</v>
      </c>
      <c r="D5324" s="47"/>
      <c r="E5324" s="22" t="s">
        <v>25255</v>
      </c>
      <c r="F5324" s="22" t="s">
        <v>1773</v>
      </c>
      <c r="G5324" s="23">
        <v>2014.0</v>
      </c>
      <c r="H5324" s="22" t="s">
        <v>25256</v>
      </c>
      <c r="I5324" s="24" t="s">
        <v>25257</v>
      </c>
      <c r="J5324" s="22" t="s">
        <v>125</v>
      </c>
      <c r="K5324" s="22"/>
      <c r="L5324" s="329" t="s">
        <v>25258</v>
      </c>
      <c r="M5324" s="44"/>
      <c r="N5324" s="44"/>
      <c r="O5324" s="44"/>
      <c r="P5324" s="44"/>
      <c r="Q5324" s="44"/>
      <c r="R5324" s="44"/>
      <c r="S5324" s="44"/>
      <c r="T5324" s="45"/>
      <c r="U5324" s="38" t="str">
        <f>HYPERLINK("https://www.ncbi.nlm.nih.gov/pubmed/24771772","PubMed")</f>
        <v>PubMed</v>
      </c>
      <c r="V5324" s="30"/>
      <c r="W5324" s="49"/>
      <c r="X5324" s="49"/>
      <c r="Y5324" s="35"/>
      <c r="Z5324" s="35"/>
      <c r="AA5324" s="35"/>
      <c r="AB5324" s="35"/>
      <c r="AC5324" s="35"/>
      <c r="AD5324" s="35"/>
      <c r="AE5324" s="35"/>
      <c r="AF5324" s="35"/>
      <c r="AG5324" s="35"/>
      <c r="AH5324" s="35"/>
      <c r="AI5324" s="35"/>
      <c r="AJ5324" s="35"/>
      <c r="AK5324" s="35"/>
      <c r="AL5324" s="35"/>
    </row>
    <row r="5325">
      <c r="A5325" s="1"/>
      <c r="B5325" s="19" t="s">
        <v>19332</v>
      </c>
      <c r="C5325" s="20" t="s">
        <v>25066</v>
      </c>
      <c r="D5325" s="47"/>
      <c r="E5325" s="22" t="s">
        <v>7155</v>
      </c>
      <c r="F5325" s="22" t="s">
        <v>299</v>
      </c>
      <c r="G5325" s="23">
        <v>2014.0</v>
      </c>
      <c r="H5325" s="22" t="s">
        <v>15533</v>
      </c>
      <c r="I5325" s="24" t="s">
        <v>25259</v>
      </c>
      <c r="J5325" s="22" t="s">
        <v>25260</v>
      </c>
      <c r="K5325" s="22" t="s">
        <v>25261</v>
      </c>
      <c r="L5325" s="36">
        <v>635.0</v>
      </c>
      <c r="M5325" s="36"/>
      <c r="N5325" s="36" t="s">
        <v>25262</v>
      </c>
      <c r="O5325" s="36"/>
      <c r="P5325" s="37"/>
      <c r="Q5325" s="36"/>
      <c r="R5325" s="36">
        <v>180.0</v>
      </c>
      <c r="S5325" s="36" t="s">
        <v>25263</v>
      </c>
      <c r="T5325" s="28" t="s">
        <v>25264</v>
      </c>
      <c r="U5325" s="29" t="s">
        <v>61</v>
      </c>
      <c r="V5325" s="30" t="s">
        <v>25265</v>
      </c>
      <c r="W5325" s="49"/>
      <c r="X5325" s="49"/>
      <c r="Y5325" s="35"/>
      <c r="Z5325" s="35"/>
      <c r="AA5325" s="35"/>
      <c r="AB5325" s="35"/>
      <c r="AC5325" s="35"/>
      <c r="AD5325" s="35"/>
      <c r="AE5325" s="35"/>
      <c r="AF5325" s="35"/>
      <c r="AG5325" s="35"/>
      <c r="AH5325" s="35"/>
      <c r="AI5325" s="35"/>
      <c r="AJ5325" s="35"/>
      <c r="AK5325" s="35"/>
      <c r="AL5325" s="35"/>
    </row>
    <row r="5326">
      <c r="A5326" s="1"/>
      <c r="B5326" s="19" t="s">
        <v>19332</v>
      </c>
      <c r="C5326" s="20" t="s">
        <v>25066</v>
      </c>
      <c r="D5326" s="47"/>
      <c r="E5326" s="22" t="s">
        <v>25266</v>
      </c>
      <c r="F5326" s="22" t="s">
        <v>19972</v>
      </c>
      <c r="G5326" s="23">
        <v>2013.0</v>
      </c>
      <c r="H5326" s="22" t="s">
        <v>23271</v>
      </c>
      <c r="I5326" s="24" t="s">
        <v>25267</v>
      </c>
      <c r="J5326" s="22" t="s">
        <v>25268</v>
      </c>
      <c r="K5326" s="22" t="s">
        <v>25269</v>
      </c>
      <c r="L5326" s="36">
        <v>980.0</v>
      </c>
      <c r="M5326" s="36"/>
      <c r="N5326" s="36">
        <v>1.0</v>
      </c>
      <c r="O5326" s="36"/>
      <c r="P5326" s="37"/>
      <c r="Q5326" s="36"/>
      <c r="R5326" s="36"/>
      <c r="S5326" s="36" t="s">
        <v>20171</v>
      </c>
      <c r="T5326" s="42" t="s">
        <v>25270</v>
      </c>
      <c r="U5326" s="38" t="str">
        <f>HYPERLINK("http://www.ncbi.nlm.nih.gov/pubmed/23075433","PubMed")</f>
        <v>PubMed</v>
      </c>
      <c r="V5326" s="30"/>
      <c r="W5326" s="49"/>
      <c r="X5326" s="49"/>
      <c r="Y5326" s="35"/>
      <c r="Z5326" s="35"/>
      <c r="AA5326" s="35"/>
      <c r="AB5326" s="35"/>
      <c r="AC5326" s="35"/>
      <c r="AD5326" s="35"/>
      <c r="AE5326" s="35"/>
      <c r="AF5326" s="35"/>
      <c r="AG5326" s="35"/>
      <c r="AH5326" s="35"/>
      <c r="AI5326" s="35"/>
      <c r="AJ5326" s="35"/>
      <c r="AK5326" s="35"/>
      <c r="AL5326" s="35"/>
    </row>
    <row r="5327">
      <c r="A5327" s="1" t="s">
        <v>38</v>
      </c>
      <c r="B5327" s="19" t="s">
        <v>19332</v>
      </c>
      <c r="C5327" s="20" t="s">
        <v>25066</v>
      </c>
      <c r="D5327" s="47"/>
      <c r="E5327" s="22" t="s">
        <v>25271</v>
      </c>
      <c r="F5327" s="22" t="s">
        <v>1337</v>
      </c>
      <c r="G5327" s="23">
        <v>2013.0</v>
      </c>
      <c r="H5327" s="22" t="s">
        <v>91</v>
      </c>
      <c r="I5327" s="24" t="s">
        <v>25272</v>
      </c>
      <c r="J5327" s="22" t="s">
        <v>25273</v>
      </c>
      <c r="K5327" s="22" t="s">
        <v>25269</v>
      </c>
      <c r="L5327" s="36">
        <v>670.0</v>
      </c>
      <c r="M5327" s="36">
        <v>200.0</v>
      </c>
      <c r="N5327" s="36"/>
      <c r="O5327" s="36"/>
      <c r="P5327" s="37"/>
      <c r="Q5327" s="36"/>
      <c r="R5327" s="36" t="s">
        <v>23583</v>
      </c>
      <c r="S5327" s="36" t="s">
        <v>25274</v>
      </c>
      <c r="T5327" s="28" t="s">
        <v>25275</v>
      </c>
      <c r="U5327" s="38" t="str">
        <f>HYPERLINK("http://www.ncbi.nlm.nih.gov/pubmed/22546942","PubMed")</f>
        <v>PubMed</v>
      </c>
      <c r="V5327" s="30" t="s">
        <v>25276</v>
      </c>
      <c r="W5327" s="49"/>
      <c r="X5327" s="49"/>
      <c r="Y5327" s="35"/>
      <c r="Z5327" s="35"/>
      <c r="AA5327" s="35"/>
      <c r="AB5327" s="35"/>
      <c r="AC5327" s="35"/>
      <c r="AD5327" s="35"/>
      <c r="AE5327" s="35"/>
      <c r="AF5327" s="35"/>
      <c r="AG5327" s="35"/>
      <c r="AH5327" s="35"/>
      <c r="AI5327" s="35"/>
      <c r="AJ5327" s="35"/>
      <c r="AK5327" s="35"/>
      <c r="AL5327" s="35"/>
    </row>
    <row r="5328">
      <c r="A5328" s="1"/>
      <c r="B5328" s="19" t="s">
        <v>19332</v>
      </c>
      <c r="C5328" s="20" t="s">
        <v>25066</v>
      </c>
      <c r="D5328" s="47"/>
      <c r="E5328" s="22" t="s">
        <v>25277</v>
      </c>
      <c r="F5328" s="22" t="s">
        <v>1943</v>
      </c>
      <c r="G5328" s="23">
        <v>2012.0</v>
      </c>
      <c r="H5328" s="57" t="s">
        <v>658</v>
      </c>
      <c r="I5328" s="24" t="s">
        <v>25278</v>
      </c>
      <c r="J5328" s="22" t="s">
        <v>25279</v>
      </c>
      <c r="K5328" s="22"/>
      <c r="L5328" s="36">
        <v>830.0</v>
      </c>
      <c r="M5328" s="36">
        <v>100.0</v>
      </c>
      <c r="N5328" s="36"/>
      <c r="O5328" s="36" t="s">
        <v>362</v>
      </c>
      <c r="P5328" s="37" t="s">
        <v>969</v>
      </c>
      <c r="Q5328" s="36"/>
      <c r="R5328" s="36"/>
      <c r="S5328" s="36" t="s">
        <v>7333</v>
      </c>
      <c r="T5328" s="42" t="s">
        <v>25280</v>
      </c>
      <c r="U5328" s="38" t="str">
        <f>HYPERLINK("https://www.ncbi.nlm.nih.gov/pubmed/22233558","PubMed")</f>
        <v>PubMed</v>
      </c>
      <c r="V5328" s="30" t="s">
        <v>25281</v>
      </c>
      <c r="W5328" s="49"/>
      <c r="X5328" s="49"/>
      <c r="Y5328" s="35"/>
      <c r="Z5328" s="35"/>
      <c r="AA5328" s="35"/>
      <c r="AB5328" s="35"/>
      <c r="AC5328" s="35"/>
      <c r="AD5328" s="35"/>
      <c r="AE5328" s="35"/>
      <c r="AF5328" s="35"/>
      <c r="AG5328" s="35"/>
      <c r="AH5328" s="35"/>
      <c r="AI5328" s="35"/>
      <c r="AJ5328" s="35"/>
      <c r="AK5328" s="35"/>
      <c r="AL5328" s="35"/>
    </row>
    <row r="5329">
      <c r="A5329" s="1"/>
      <c r="B5329" s="19" t="s">
        <v>19332</v>
      </c>
      <c r="C5329" s="20" t="s">
        <v>25066</v>
      </c>
      <c r="D5329" s="47"/>
      <c r="E5329" s="22" t="s">
        <v>1581</v>
      </c>
      <c r="F5329" s="22" t="s">
        <v>1582</v>
      </c>
      <c r="G5329" s="23">
        <v>2011.0</v>
      </c>
      <c r="H5329" s="57" t="s">
        <v>3766</v>
      </c>
      <c r="I5329" s="24" t="s">
        <v>25282</v>
      </c>
      <c r="J5329" s="22" t="s">
        <v>3053</v>
      </c>
      <c r="K5329" s="22"/>
      <c r="L5329" s="36"/>
      <c r="M5329" s="36">
        <v>5.0</v>
      </c>
      <c r="N5329" s="36"/>
      <c r="O5329" s="36"/>
      <c r="P5329" s="37"/>
      <c r="Q5329" s="36"/>
      <c r="R5329" s="36"/>
      <c r="S5329" s="36"/>
      <c r="T5329" s="28" t="s">
        <v>25283</v>
      </c>
      <c r="U5329" s="38" t="str">
        <f>HYPERLINK("https://www.ncbi.nlm.nih.gov/pubmed/21991792","PubMed")</f>
        <v>PubMed</v>
      </c>
      <c r="V5329" s="30"/>
      <c r="W5329" s="49"/>
      <c r="X5329" s="49"/>
      <c r="Y5329" s="35"/>
      <c r="Z5329" s="35"/>
      <c r="AA5329" s="35"/>
      <c r="AB5329" s="35"/>
      <c r="AC5329" s="35"/>
      <c r="AD5329" s="35"/>
      <c r="AE5329" s="35"/>
      <c r="AF5329" s="35"/>
      <c r="AG5329" s="35"/>
      <c r="AH5329" s="35"/>
      <c r="AI5329" s="35"/>
      <c r="AJ5329" s="35"/>
      <c r="AK5329" s="35"/>
      <c r="AL5329" s="35"/>
    </row>
    <row r="5330">
      <c r="A5330" s="1"/>
      <c r="B5330" s="19" t="s">
        <v>19332</v>
      </c>
      <c r="C5330" s="20" t="s">
        <v>25066</v>
      </c>
      <c r="D5330" s="47"/>
      <c r="E5330" s="22" t="s">
        <v>25284</v>
      </c>
      <c r="F5330" s="22" t="s">
        <v>605</v>
      </c>
      <c r="G5330" s="23">
        <v>2011.0</v>
      </c>
      <c r="H5330" s="57" t="s">
        <v>23271</v>
      </c>
      <c r="I5330" s="24" t="s">
        <v>25285</v>
      </c>
      <c r="J5330" s="22" t="s">
        <v>25286</v>
      </c>
      <c r="K5330" s="22"/>
      <c r="L5330" s="36">
        <v>808.0</v>
      </c>
      <c r="M5330" s="36">
        <v>250.0</v>
      </c>
      <c r="N5330" s="36"/>
      <c r="O5330" s="36"/>
      <c r="P5330" s="37" t="s">
        <v>254</v>
      </c>
      <c r="Q5330" s="36" t="s">
        <v>24867</v>
      </c>
      <c r="R5330" s="36" t="s">
        <v>25287</v>
      </c>
      <c r="S5330" s="36" t="s">
        <v>20171</v>
      </c>
      <c r="T5330" s="28" t="s">
        <v>25288</v>
      </c>
      <c r="U5330" s="38" t="str">
        <f>HYPERLINK("https://www.ncbi.nlm.nih.gov/pubmed/20932157","PubMed")</f>
        <v>PubMed</v>
      </c>
      <c r="V5330" s="30"/>
      <c r="W5330" s="49"/>
      <c r="X5330" s="49"/>
      <c r="Y5330" s="35"/>
      <c r="Z5330" s="35"/>
      <c r="AA5330" s="35"/>
      <c r="AB5330" s="35"/>
      <c r="AC5330" s="35"/>
      <c r="AD5330" s="35"/>
      <c r="AE5330" s="35"/>
      <c r="AF5330" s="35"/>
      <c r="AG5330" s="35"/>
      <c r="AH5330" s="35"/>
      <c r="AI5330" s="35"/>
      <c r="AJ5330" s="35"/>
      <c r="AK5330" s="35"/>
      <c r="AL5330" s="35"/>
    </row>
    <row r="5331">
      <c r="A5331" s="1"/>
      <c r="B5331" s="19" t="s">
        <v>19332</v>
      </c>
      <c r="C5331" s="20" t="s">
        <v>25066</v>
      </c>
      <c r="D5331" s="47"/>
      <c r="E5331" s="22" t="s">
        <v>25289</v>
      </c>
      <c r="F5331" s="22" t="s">
        <v>1370</v>
      </c>
      <c r="G5331" s="23">
        <v>2011.0</v>
      </c>
      <c r="H5331" s="57" t="s">
        <v>14965</v>
      </c>
      <c r="I5331" s="24" t="s">
        <v>25290</v>
      </c>
      <c r="J5331" s="22" t="s">
        <v>25291</v>
      </c>
      <c r="K5331" s="22" t="s">
        <v>25292</v>
      </c>
      <c r="L5331" s="36">
        <v>940.0</v>
      </c>
      <c r="M5331" s="36">
        <v>1500.0</v>
      </c>
      <c r="N5331" s="36"/>
      <c r="O5331" s="36"/>
      <c r="P5331" s="37" t="s">
        <v>25293</v>
      </c>
      <c r="Q5331" s="36"/>
      <c r="R5331" s="36" t="s">
        <v>25294</v>
      </c>
      <c r="S5331" s="36" t="s">
        <v>25295</v>
      </c>
      <c r="T5331" s="41" t="s">
        <v>25296</v>
      </c>
      <c r="U5331" s="38" t="str">
        <f>HYPERLINK("https://www.ncbi.nlm.nih.gov/pubmed/20860592","PubMed")</f>
        <v>PubMed</v>
      </c>
      <c r="V5331" s="30"/>
      <c r="W5331" s="49"/>
      <c r="X5331" s="49"/>
      <c r="Y5331" s="35"/>
      <c r="Z5331" s="35"/>
      <c r="AA5331" s="35"/>
      <c r="AB5331" s="35"/>
      <c r="AC5331" s="35"/>
      <c r="AD5331" s="35"/>
      <c r="AE5331" s="35"/>
      <c r="AF5331" s="35"/>
      <c r="AG5331" s="35"/>
      <c r="AH5331" s="35"/>
      <c r="AI5331" s="35"/>
      <c r="AJ5331" s="35"/>
      <c r="AK5331" s="35"/>
      <c r="AL5331" s="35"/>
    </row>
    <row r="5332">
      <c r="A5332" s="1"/>
      <c r="B5332" s="19" t="s">
        <v>19332</v>
      </c>
      <c r="C5332" s="20" t="s">
        <v>25066</v>
      </c>
      <c r="D5332" s="47"/>
      <c r="E5332" s="22" t="s">
        <v>7670</v>
      </c>
      <c r="F5332" s="22" t="s">
        <v>41</v>
      </c>
      <c r="G5332" s="23">
        <v>2010.0</v>
      </c>
      <c r="H5332" s="22" t="s">
        <v>91</v>
      </c>
      <c r="I5332" s="24" t="s">
        <v>25297</v>
      </c>
      <c r="J5332" s="22" t="s">
        <v>125</v>
      </c>
      <c r="K5332" s="22"/>
      <c r="L5332" s="105" t="s">
        <v>25298</v>
      </c>
      <c r="M5332" s="44"/>
      <c r="N5332" s="44"/>
      <c r="O5332" s="44"/>
      <c r="P5332" s="44"/>
      <c r="Q5332" s="44"/>
      <c r="R5332" s="44"/>
      <c r="S5332" s="44"/>
      <c r="T5332" s="45"/>
      <c r="U5332" s="38" t="str">
        <f>HYPERLINK("https://www.ncbi.nlm.nih.gov/pubmed/20640471","PubMed")</f>
        <v>PubMed</v>
      </c>
      <c r="V5332" s="30"/>
      <c r="W5332" s="49"/>
      <c r="X5332" s="49"/>
      <c r="Y5332" s="35"/>
      <c r="Z5332" s="35"/>
      <c r="AA5332" s="35"/>
      <c r="AB5332" s="35"/>
      <c r="AC5332" s="35"/>
      <c r="AD5332" s="35"/>
      <c r="AE5332" s="35"/>
      <c r="AF5332" s="35"/>
      <c r="AG5332" s="35"/>
      <c r="AH5332" s="35"/>
      <c r="AI5332" s="35"/>
      <c r="AJ5332" s="35"/>
      <c r="AK5332" s="35"/>
      <c r="AL5332" s="35"/>
    </row>
    <row r="5333">
      <c r="A5333" s="1"/>
      <c r="B5333" s="19" t="s">
        <v>19332</v>
      </c>
      <c r="C5333" s="20" t="s">
        <v>25066</v>
      </c>
      <c r="D5333" s="47"/>
      <c r="E5333" s="22" t="s">
        <v>25299</v>
      </c>
      <c r="F5333" s="22" t="s">
        <v>25300</v>
      </c>
      <c r="G5333" s="23">
        <v>2010.0</v>
      </c>
      <c r="H5333" s="57" t="s">
        <v>658</v>
      </c>
      <c r="I5333" s="24" t="s">
        <v>25301</v>
      </c>
      <c r="J5333" s="22" t="s">
        <v>25302</v>
      </c>
      <c r="K5333" s="22"/>
      <c r="L5333" s="36">
        <v>670.0</v>
      </c>
      <c r="M5333" s="36"/>
      <c r="N5333" s="36" t="s">
        <v>25303</v>
      </c>
      <c r="O5333" s="36"/>
      <c r="P5333" s="37"/>
      <c r="Q5333" s="36" t="s">
        <v>9545</v>
      </c>
      <c r="R5333" s="36">
        <v>120.0</v>
      </c>
      <c r="S5333" s="36" t="s">
        <v>10290</v>
      </c>
      <c r="T5333" s="28" t="s">
        <v>25304</v>
      </c>
      <c r="U5333" s="38" t="str">
        <f>HYPERLINK("https://www.ncbi.nlm.nih.gov/pubmed/19929224","PubMed")</f>
        <v>PubMed</v>
      </c>
      <c r="V5333" s="30"/>
      <c r="W5333" s="49"/>
      <c r="X5333" s="49"/>
      <c r="Y5333" s="35"/>
      <c r="Z5333" s="35"/>
      <c r="AA5333" s="35"/>
      <c r="AB5333" s="35"/>
      <c r="AC5333" s="35"/>
      <c r="AD5333" s="35"/>
      <c r="AE5333" s="35"/>
      <c r="AF5333" s="35"/>
      <c r="AG5333" s="35"/>
      <c r="AH5333" s="35"/>
      <c r="AI5333" s="35"/>
      <c r="AJ5333" s="35"/>
      <c r="AK5333" s="35"/>
      <c r="AL5333" s="35"/>
    </row>
    <row r="5334">
      <c r="A5334" s="1"/>
      <c r="B5334" s="19" t="s">
        <v>19332</v>
      </c>
      <c r="C5334" s="20" t="s">
        <v>25066</v>
      </c>
      <c r="D5334" s="47"/>
      <c r="E5334" s="22" t="s">
        <v>25305</v>
      </c>
      <c r="F5334" s="22" t="s">
        <v>25306</v>
      </c>
      <c r="G5334" s="23">
        <v>2009.0</v>
      </c>
      <c r="H5334" s="22" t="s">
        <v>20456</v>
      </c>
      <c r="I5334" s="24" t="s">
        <v>25307</v>
      </c>
      <c r="J5334" s="22" t="s">
        <v>25308</v>
      </c>
      <c r="K5334" s="22"/>
      <c r="L5334" s="36" t="s">
        <v>20599</v>
      </c>
      <c r="M5334" s="36"/>
      <c r="N5334" s="36"/>
      <c r="O5334" s="36"/>
      <c r="P5334" s="37"/>
      <c r="Q5334" s="36"/>
      <c r="R5334" s="36"/>
      <c r="S5334" s="36" t="s">
        <v>25063</v>
      </c>
      <c r="T5334" s="28" t="s">
        <v>25309</v>
      </c>
      <c r="U5334" s="38" t="str">
        <f>HYPERLINK("https://www.ncbi.nlm.nih.gov/pubmed/19903643","PubMed")</f>
        <v>PubMed</v>
      </c>
      <c r="V5334" s="30"/>
      <c r="W5334" s="49"/>
      <c r="X5334" s="49"/>
      <c r="Y5334" s="35"/>
      <c r="Z5334" s="35"/>
      <c r="AA5334" s="35"/>
      <c r="AB5334" s="35"/>
      <c r="AC5334" s="35"/>
      <c r="AD5334" s="35"/>
      <c r="AE5334" s="35"/>
      <c r="AF5334" s="35"/>
      <c r="AG5334" s="35"/>
      <c r="AH5334" s="35"/>
      <c r="AI5334" s="35"/>
      <c r="AJ5334" s="35"/>
      <c r="AK5334" s="35"/>
      <c r="AL5334" s="35"/>
    </row>
    <row r="5335">
      <c r="A5335" s="1"/>
      <c r="B5335" s="19" t="s">
        <v>19332</v>
      </c>
      <c r="C5335" s="20" t="s">
        <v>25066</v>
      </c>
      <c r="D5335" s="47"/>
      <c r="E5335" s="22" t="s">
        <v>4403</v>
      </c>
      <c r="F5335" s="22" t="s">
        <v>1370</v>
      </c>
      <c r="G5335" s="23">
        <v>2009.0</v>
      </c>
      <c r="H5335" s="22" t="s">
        <v>658</v>
      </c>
      <c r="I5335" s="24" t="s">
        <v>25310</v>
      </c>
      <c r="J5335" s="22" t="s">
        <v>25311</v>
      </c>
      <c r="K5335" s="22"/>
      <c r="L5335" s="36">
        <v>633.0</v>
      </c>
      <c r="M5335" s="36" t="s">
        <v>267</v>
      </c>
      <c r="N5335" s="36"/>
      <c r="O5335" s="36"/>
      <c r="P5335" s="37"/>
      <c r="Q5335" s="36"/>
      <c r="R5335" s="36">
        <v>600.0</v>
      </c>
      <c r="S5335" s="36" t="s">
        <v>25312</v>
      </c>
      <c r="T5335" s="41" t="s">
        <v>25313</v>
      </c>
      <c r="U5335" s="38" t="str">
        <f>HYPERLINK("https://www.ncbi.nlm.nih.gov/pubmed/18785848","PubMed")</f>
        <v>PubMed</v>
      </c>
      <c r="V5335" s="30"/>
      <c r="W5335" s="49"/>
      <c r="X5335" s="49"/>
      <c r="Y5335" s="35"/>
      <c r="Z5335" s="35"/>
      <c r="AA5335" s="35"/>
      <c r="AB5335" s="35"/>
      <c r="AC5335" s="35"/>
      <c r="AD5335" s="35"/>
      <c r="AE5335" s="35"/>
      <c r="AF5335" s="35"/>
      <c r="AG5335" s="35"/>
      <c r="AH5335" s="35"/>
      <c r="AI5335" s="35"/>
      <c r="AJ5335" s="35"/>
      <c r="AK5335" s="35"/>
      <c r="AL5335" s="35"/>
    </row>
    <row r="5336">
      <c r="A5336" s="1"/>
      <c r="B5336" s="19" t="s">
        <v>19332</v>
      </c>
      <c r="C5336" s="20" t="s">
        <v>25066</v>
      </c>
      <c r="D5336" s="47"/>
      <c r="E5336" s="22" t="s">
        <v>999</v>
      </c>
      <c r="F5336" s="22" t="s">
        <v>241</v>
      </c>
      <c r="G5336" s="23">
        <v>2008.0</v>
      </c>
      <c r="H5336" s="22" t="s">
        <v>658</v>
      </c>
      <c r="I5336" s="24" t="s">
        <v>25314</v>
      </c>
      <c r="J5336" s="22" t="s">
        <v>25315</v>
      </c>
      <c r="K5336" s="22"/>
      <c r="L5336" s="36" t="s">
        <v>25316</v>
      </c>
      <c r="M5336" s="36" t="s">
        <v>25317</v>
      </c>
      <c r="N5336" s="36"/>
      <c r="O5336" s="36"/>
      <c r="P5336" s="37" t="s">
        <v>25318</v>
      </c>
      <c r="Q5336" s="36"/>
      <c r="R5336" s="36" t="s">
        <v>25319</v>
      </c>
      <c r="S5336" s="36" t="s">
        <v>6403</v>
      </c>
      <c r="T5336" s="41" t="s">
        <v>25320</v>
      </c>
      <c r="U5336" s="38" t="str">
        <f>HYPERLINK("https://www.ncbi.nlm.nih.gov/pubmed/18647095","PubMed")</f>
        <v>PubMed</v>
      </c>
      <c r="V5336" s="30"/>
      <c r="W5336" s="49"/>
      <c r="X5336" s="49"/>
      <c r="Y5336" s="35"/>
      <c r="Z5336" s="35"/>
      <c r="AA5336" s="35"/>
      <c r="AB5336" s="35"/>
      <c r="AC5336" s="35"/>
      <c r="AD5336" s="35"/>
      <c r="AE5336" s="35"/>
      <c r="AF5336" s="35"/>
      <c r="AG5336" s="35"/>
      <c r="AH5336" s="35"/>
      <c r="AI5336" s="35"/>
      <c r="AJ5336" s="35"/>
      <c r="AK5336" s="35"/>
      <c r="AL5336" s="35"/>
    </row>
    <row r="5337">
      <c r="A5337" s="1"/>
      <c r="B5337" s="19" t="s">
        <v>19332</v>
      </c>
      <c r="C5337" s="20" t="s">
        <v>25066</v>
      </c>
      <c r="D5337" s="47"/>
      <c r="E5337" s="22" t="s">
        <v>25249</v>
      </c>
      <c r="F5337" s="22" t="s">
        <v>21831</v>
      </c>
      <c r="G5337" s="23">
        <v>2007.0</v>
      </c>
      <c r="H5337" s="22" t="s">
        <v>91</v>
      </c>
      <c r="I5337" s="24" t="s">
        <v>25321</v>
      </c>
      <c r="J5337" s="22" t="s">
        <v>25322</v>
      </c>
      <c r="K5337" s="22" t="s">
        <v>294</v>
      </c>
      <c r="L5337" s="36" t="s">
        <v>25323</v>
      </c>
      <c r="M5337" s="36" t="s">
        <v>25324</v>
      </c>
      <c r="N5337" s="36"/>
      <c r="O5337" s="36" t="s">
        <v>25325</v>
      </c>
      <c r="P5337" s="37"/>
      <c r="Q5337" s="36"/>
      <c r="R5337" s="36" t="s">
        <v>25326</v>
      </c>
      <c r="S5337" s="36" t="s">
        <v>6951</v>
      </c>
      <c r="T5337" s="28" t="s">
        <v>25327</v>
      </c>
      <c r="U5337" s="38" t="str">
        <f>HYPERLINK("https://www.ncbi.nlm.nih.gov/pubmed/17334677","PubMed")</f>
        <v>PubMed</v>
      </c>
      <c r="V5337" s="30"/>
      <c r="W5337" s="49"/>
      <c r="X5337" s="49"/>
      <c r="Y5337" s="35"/>
      <c r="Z5337" s="35"/>
      <c r="AA5337" s="35"/>
      <c r="AB5337" s="35"/>
      <c r="AC5337" s="35"/>
      <c r="AD5337" s="35"/>
      <c r="AE5337" s="35"/>
      <c r="AF5337" s="35"/>
      <c r="AG5337" s="35"/>
      <c r="AH5337" s="35"/>
      <c r="AI5337" s="35"/>
      <c r="AJ5337" s="35"/>
      <c r="AK5337" s="35"/>
      <c r="AL5337" s="35"/>
    </row>
    <row r="5338">
      <c r="A5338" s="1"/>
      <c r="B5338" s="19" t="s">
        <v>19332</v>
      </c>
      <c r="C5338" s="20" t="s">
        <v>25066</v>
      </c>
      <c r="D5338" s="47"/>
      <c r="E5338" s="22" t="s">
        <v>25249</v>
      </c>
      <c r="F5338" s="22" t="s">
        <v>21831</v>
      </c>
      <c r="G5338" s="23">
        <v>2005.0</v>
      </c>
      <c r="H5338" s="22" t="s">
        <v>19819</v>
      </c>
      <c r="I5338" s="24" t="s">
        <v>25328</v>
      </c>
      <c r="J5338" s="22" t="s">
        <v>25329</v>
      </c>
      <c r="K5338" s="22"/>
      <c r="L5338" s="36" t="s">
        <v>25330</v>
      </c>
      <c r="M5338" s="36" t="s">
        <v>25331</v>
      </c>
      <c r="N5338" s="36" t="s">
        <v>25332</v>
      </c>
      <c r="O5338" s="36" t="s">
        <v>25333</v>
      </c>
      <c r="P5338" s="37" t="s">
        <v>25334</v>
      </c>
      <c r="Q5338" s="36"/>
      <c r="R5338" s="36" t="s">
        <v>25335</v>
      </c>
      <c r="S5338" s="36" t="s">
        <v>6951</v>
      </c>
      <c r="T5338" s="28" t="s">
        <v>25336</v>
      </c>
      <c r="U5338" s="38" t="str">
        <f>HYPERLINK("https://www.ncbi.nlm.nih.gov/pubmed/15966876","PubMed")</f>
        <v>PubMed</v>
      </c>
      <c r="V5338" s="30"/>
      <c r="W5338" s="49"/>
      <c r="X5338" s="49"/>
      <c r="Y5338" s="35"/>
      <c r="Z5338" s="35"/>
      <c r="AA5338" s="35"/>
      <c r="AB5338" s="35"/>
      <c r="AC5338" s="35"/>
      <c r="AD5338" s="35"/>
      <c r="AE5338" s="35"/>
      <c r="AF5338" s="35"/>
      <c r="AG5338" s="35"/>
      <c r="AH5338" s="35"/>
      <c r="AI5338" s="35"/>
      <c r="AJ5338" s="35"/>
      <c r="AK5338" s="35"/>
      <c r="AL5338" s="35"/>
    </row>
    <row r="5339">
      <c r="A5339" s="1"/>
      <c r="B5339" s="19" t="s">
        <v>19332</v>
      </c>
      <c r="C5339" s="20" t="s">
        <v>25066</v>
      </c>
      <c r="D5339" s="47"/>
      <c r="E5339" s="22" t="s">
        <v>20581</v>
      </c>
      <c r="F5339" s="22" t="s">
        <v>605</v>
      </c>
      <c r="G5339" s="23">
        <v>2002.0</v>
      </c>
      <c r="H5339" s="22" t="s">
        <v>53</v>
      </c>
      <c r="I5339" s="24" t="s">
        <v>25337</v>
      </c>
      <c r="J5339" s="22" t="s">
        <v>25338</v>
      </c>
      <c r="K5339" s="22"/>
      <c r="L5339" s="36">
        <v>685.0</v>
      </c>
      <c r="M5339" s="36">
        <v>30.0</v>
      </c>
      <c r="N5339" s="36"/>
      <c r="O5339" s="36"/>
      <c r="P5339" s="37" t="s">
        <v>5711</v>
      </c>
      <c r="Q5339" s="36"/>
      <c r="R5339" s="36">
        <v>67.0</v>
      </c>
      <c r="S5339" s="36" t="s">
        <v>25339</v>
      </c>
      <c r="T5339" s="41" t="s">
        <v>25340</v>
      </c>
      <c r="U5339" s="38" t="str">
        <f>HYPERLINK("https://www.ncbi.nlm.nih.gov/pubmed/11857606","PubMed")</f>
        <v>PubMed</v>
      </c>
      <c r="V5339" s="30" t="s">
        <v>25341</v>
      </c>
      <c r="W5339" s="49"/>
      <c r="X5339" s="49"/>
      <c r="Y5339" s="35"/>
      <c r="Z5339" s="35"/>
      <c r="AA5339" s="35"/>
      <c r="AB5339" s="35"/>
      <c r="AC5339" s="35"/>
      <c r="AD5339" s="35"/>
      <c r="AE5339" s="35"/>
      <c r="AF5339" s="35"/>
      <c r="AG5339" s="35"/>
      <c r="AH5339" s="35"/>
      <c r="AI5339" s="35"/>
      <c r="AJ5339" s="35"/>
      <c r="AK5339" s="35"/>
      <c r="AL5339" s="35"/>
    </row>
    <row r="5340">
      <c r="A5340" s="1"/>
      <c r="B5340" s="19" t="s">
        <v>19332</v>
      </c>
      <c r="C5340" s="20" t="s">
        <v>25342</v>
      </c>
      <c r="D5340" s="47"/>
      <c r="E5340" s="22" t="s">
        <v>23068</v>
      </c>
      <c r="F5340" s="22" t="s">
        <v>993</v>
      </c>
      <c r="G5340" s="23">
        <v>2022.0</v>
      </c>
      <c r="H5340" s="57" t="s">
        <v>77</v>
      </c>
      <c r="I5340" s="24" t="s">
        <v>25343</v>
      </c>
      <c r="J5340" s="22" t="s">
        <v>3289</v>
      </c>
      <c r="K5340" s="22"/>
      <c r="L5340" s="43"/>
      <c r="M5340" s="44"/>
      <c r="N5340" s="44"/>
      <c r="O5340" s="44"/>
      <c r="P5340" s="44"/>
      <c r="Q5340" s="44"/>
      <c r="R5340" s="44"/>
      <c r="S5340" s="44"/>
      <c r="T5340" s="45"/>
      <c r="U5340" s="29" t="s">
        <v>61</v>
      </c>
      <c r="V5340" s="30"/>
      <c r="W5340" s="49"/>
      <c r="X5340" s="49"/>
      <c r="Y5340" s="35"/>
      <c r="Z5340" s="35"/>
      <c r="AA5340" s="35"/>
      <c r="AB5340" s="35"/>
      <c r="AC5340" s="35"/>
      <c r="AD5340" s="35"/>
      <c r="AE5340" s="35"/>
      <c r="AF5340" s="35"/>
      <c r="AG5340" s="35"/>
      <c r="AH5340" s="35"/>
      <c r="AI5340" s="35"/>
      <c r="AJ5340" s="35"/>
      <c r="AK5340" s="35"/>
      <c r="AL5340" s="35"/>
    </row>
    <row r="5341">
      <c r="A5341" s="1"/>
      <c r="B5341" s="19" t="s">
        <v>19332</v>
      </c>
      <c r="C5341" s="20" t="s">
        <v>25344</v>
      </c>
      <c r="D5341" s="47"/>
      <c r="E5341" s="22" t="s">
        <v>20930</v>
      </c>
      <c r="F5341" s="22" t="s">
        <v>2635</v>
      </c>
      <c r="G5341" s="23">
        <v>2013.0</v>
      </c>
      <c r="H5341" s="57" t="s">
        <v>19985</v>
      </c>
      <c r="I5341" s="24" t="s">
        <v>25345</v>
      </c>
      <c r="J5341" s="22" t="s">
        <v>2273</v>
      </c>
      <c r="K5341" s="22" t="s">
        <v>39</v>
      </c>
      <c r="L5341" s="36" t="s">
        <v>25346</v>
      </c>
      <c r="M5341" s="36"/>
      <c r="N5341" s="36"/>
      <c r="O5341" s="36"/>
      <c r="P5341" s="37"/>
      <c r="Q5341" s="36"/>
      <c r="R5341" s="36"/>
      <c r="S5341" s="36"/>
      <c r="T5341" s="28" t="s">
        <v>25347</v>
      </c>
      <c r="U5341" s="38" t="str">
        <f>HYPERLINK("https://www.ncbi.nlm.nih.gov/pubmed/24353764","PubMed")</f>
        <v>PubMed</v>
      </c>
      <c r="V5341" s="30"/>
      <c r="W5341" s="49"/>
      <c r="X5341" s="49"/>
      <c r="Y5341" s="35"/>
      <c r="Z5341" s="35"/>
      <c r="AA5341" s="35"/>
      <c r="AB5341" s="35"/>
      <c r="AC5341" s="35"/>
      <c r="AD5341" s="35"/>
      <c r="AE5341" s="35"/>
      <c r="AF5341" s="35"/>
      <c r="AG5341" s="35"/>
      <c r="AH5341" s="35"/>
      <c r="AI5341" s="35"/>
      <c r="AJ5341" s="35"/>
      <c r="AK5341" s="35"/>
      <c r="AL5341" s="35"/>
    </row>
    <row r="5342">
      <c r="A5342" s="18" t="s">
        <v>181</v>
      </c>
      <c r="B5342" s="19" t="s">
        <v>19332</v>
      </c>
      <c r="C5342" s="20" t="s">
        <v>25348</v>
      </c>
      <c r="D5342" s="47"/>
      <c r="E5342" s="22" t="s">
        <v>493</v>
      </c>
      <c r="F5342" s="22" t="s">
        <v>6828</v>
      </c>
      <c r="G5342" s="23">
        <v>2017.0</v>
      </c>
      <c r="H5342" s="22" t="s">
        <v>25349</v>
      </c>
      <c r="I5342" s="24" t="s">
        <v>25350</v>
      </c>
      <c r="J5342" s="22" t="s">
        <v>25351</v>
      </c>
      <c r="K5342" s="22" t="s">
        <v>23959</v>
      </c>
      <c r="L5342" s="36" t="s">
        <v>1773</v>
      </c>
      <c r="M5342" s="36"/>
      <c r="N5342" s="36"/>
      <c r="O5342" s="36" t="s">
        <v>1773</v>
      </c>
      <c r="P5342" s="37" t="s">
        <v>1773</v>
      </c>
      <c r="Q5342" s="36"/>
      <c r="R5342" s="36"/>
      <c r="S5342" s="36"/>
      <c r="T5342" s="28" t="s">
        <v>25352</v>
      </c>
      <c r="U5342" s="29" t="s">
        <v>25353</v>
      </c>
      <c r="V5342" s="30"/>
      <c r="W5342" s="49"/>
      <c r="X5342" s="49"/>
      <c r="Y5342" s="35"/>
      <c r="Z5342" s="35"/>
      <c r="AA5342" s="35"/>
      <c r="AB5342" s="35"/>
      <c r="AC5342" s="35"/>
      <c r="AD5342" s="35"/>
      <c r="AE5342" s="35"/>
      <c r="AF5342" s="35"/>
      <c r="AG5342" s="35"/>
      <c r="AH5342" s="35"/>
      <c r="AI5342" s="35"/>
      <c r="AJ5342" s="35"/>
      <c r="AK5342" s="35"/>
      <c r="AL5342" s="35"/>
    </row>
    <row r="5343">
      <c r="A5343" s="1"/>
      <c r="B5343" s="19" t="s">
        <v>19332</v>
      </c>
      <c r="C5343" s="20" t="s">
        <v>25348</v>
      </c>
      <c r="D5343" s="47"/>
      <c r="E5343" s="22" t="s">
        <v>16315</v>
      </c>
      <c r="F5343" s="22" t="s">
        <v>41</v>
      </c>
      <c r="G5343" s="23">
        <v>2015.0</v>
      </c>
      <c r="H5343" s="22" t="s">
        <v>17630</v>
      </c>
      <c r="I5343" s="24" t="s">
        <v>25354</v>
      </c>
      <c r="J5343" s="22" t="s">
        <v>2273</v>
      </c>
      <c r="K5343" s="22"/>
      <c r="L5343" s="36">
        <v>660.0</v>
      </c>
      <c r="M5343" s="36">
        <v>100.0</v>
      </c>
      <c r="N5343" s="36"/>
      <c r="O5343" s="36" t="s">
        <v>25355</v>
      </c>
      <c r="P5343" s="37" t="s">
        <v>16013</v>
      </c>
      <c r="Q5343" s="36"/>
      <c r="R5343" s="36"/>
      <c r="S5343" s="36"/>
      <c r="T5343" s="28" t="s">
        <v>25356</v>
      </c>
      <c r="U5343" s="29" t="s">
        <v>61</v>
      </c>
      <c r="V5343" s="30"/>
      <c r="W5343" s="49"/>
      <c r="X5343" s="49"/>
      <c r="Y5343" s="35"/>
      <c r="Z5343" s="35"/>
      <c r="AA5343" s="35"/>
      <c r="AB5343" s="35"/>
      <c r="AC5343" s="35"/>
      <c r="AD5343" s="35"/>
      <c r="AE5343" s="35"/>
      <c r="AF5343" s="35"/>
      <c r="AG5343" s="35"/>
      <c r="AH5343" s="35"/>
      <c r="AI5343" s="35"/>
      <c r="AJ5343" s="35"/>
      <c r="AK5343" s="35"/>
      <c r="AL5343" s="35"/>
    </row>
    <row r="5344">
      <c r="A5344" s="1"/>
      <c r="B5344" s="19" t="s">
        <v>19332</v>
      </c>
      <c r="C5344" s="20" t="s">
        <v>25348</v>
      </c>
      <c r="D5344" s="47"/>
      <c r="E5344" s="22" t="s">
        <v>25357</v>
      </c>
      <c r="F5344" s="22" t="s">
        <v>1582</v>
      </c>
      <c r="G5344" s="23">
        <v>2008.0</v>
      </c>
      <c r="H5344" s="22" t="s">
        <v>3766</v>
      </c>
      <c r="I5344" s="24" t="s">
        <v>25358</v>
      </c>
      <c r="K5344" s="22"/>
      <c r="L5344" s="36"/>
      <c r="M5344" s="36"/>
      <c r="N5344" s="36"/>
      <c r="O5344" s="36"/>
      <c r="P5344" s="37"/>
      <c r="Q5344" s="36"/>
      <c r="R5344" s="36"/>
      <c r="S5344" s="36"/>
      <c r="T5344" s="28" t="s">
        <v>25359</v>
      </c>
      <c r="U5344" s="38" t="str">
        <f>HYPERLINK("https://www.ncbi.nlm.nih.gov/pubmed/19024121","PubMed")</f>
        <v>PubMed</v>
      </c>
      <c r="V5344" s="30"/>
      <c r="W5344" s="49"/>
      <c r="X5344" s="49"/>
      <c r="Y5344" s="35"/>
      <c r="Z5344" s="35"/>
      <c r="AA5344" s="35"/>
      <c r="AB5344" s="35"/>
      <c r="AC5344" s="35"/>
      <c r="AD5344" s="35"/>
      <c r="AE5344" s="35"/>
      <c r="AF5344" s="35"/>
      <c r="AG5344" s="35"/>
      <c r="AH5344" s="35"/>
      <c r="AI5344" s="35"/>
      <c r="AJ5344" s="35"/>
      <c r="AK5344" s="35"/>
      <c r="AL5344" s="35"/>
    </row>
    <row r="5345">
      <c r="A5345" s="1"/>
      <c r="B5345" s="19" t="s">
        <v>19332</v>
      </c>
      <c r="C5345" s="20" t="s">
        <v>25348</v>
      </c>
      <c r="D5345" s="47"/>
      <c r="E5345" s="22" t="s">
        <v>25360</v>
      </c>
      <c r="F5345" s="22" t="s">
        <v>21831</v>
      </c>
      <c r="G5345" s="23">
        <v>1994.0</v>
      </c>
      <c r="H5345" s="22" t="s">
        <v>25361</v>
      </c>
      <c r="I5345" s="24" t="s">
        <v>25362</v>
      </c>
      <c r="J5345" s="22" t="s">
        <v>25363</v>
      </c>
      <c r="K5345" s="22"/>
      <c r="L5345" s="36"/>
      <c r="M5345" s="36"/>
      <c r="N5345" s="36"/>
      <c r="O5345" s="36">
        <v>1.0</v>
      </c>
      <c r="P5345" s="37"/>
      <c r="Q5345" s="36"/>
      <c r="R5345" s="36">
        <v>240.0</v>
      </c>
      <c r="S5345" s="36" t="s">
        <v>20609</v>
      </c>
      <c r="T5345" s="41" t="s">
        <v>25364</v>
      </c>
      <c r="U5345" s="38" t="str">
        <f>HYPERLINK("https://www.ncbi.nlm.nih.gov/pubmed/8052950","PubMed")</f>
        <v>PubMed</v>
      </c>
      <c r="V5345" s="30"/>
      <c r="W5345" s="49"/>
      <c r="X5345" s="49"/>
      <c r="Y5345" s="35"/>
      <c r="Z5345" s="35"/>
      <c r="AA5345" s="35"/>
      <c r="AB5345" s="35"/>
      <c r="AC5345" s="35"/>
      <c r="AD5345" s="35"/>
      <c r="AE5345" s="35"/>
      <c r="AF5345" s="35"/>
      <c r="AG5345" s="35"/>
      <c r="AH5345" s="35"/>
      <c r="AI5345" s="35"/>
      <c r="AJ5345" s="35"/>
      <c r="AK5345" s="35"/>
      <c r="AL5345" s="35"/>
    </row>
    <row r="5346">
      <c r="A5346" s="18"/>
      <c r="B5346" s="19" t="s">
        <v>19332</v>
      </c>
      <c r="C5346" s="20" t="s">
        <v>25365</v>
      </c>
      <c r="D5346" s="47"/>
      <c r="E5346" s="22" t="s">
        <v>7705</v>
      </c>
      <c r="F5346" s="22" t="s">
        <v>12293</v>
      </c>
      <c r="G5346" s="23">
        <v>2022.0</v>
      </c>
      <c r="H5346" s="22" t="s">
        <v>477</v>
      </c>
      <c r="I5346" s="24" t="s">
        <v>25366</v>
      </c>
      <c r="J5346" s="22" t="s">
        <v>1078</v>
      </c>
      <c r="K5346" s="22"/>
      <c r="L5346" s="195" t="s">
        <v>25367</v>
      </c>
      <c r="M5346" s="44"/>
      <c r="N5346" s="44"/>
      <c r="O5346" s="44"/>
      <c r="P5346" s="44"/>
      <c r="Q5346" s="44"/>
      <c r="R5346" s="44"/>
      <c r="S5346" s="44"/>
      <c r="T5346" s="45"/>
      <c r="U5346" s="29" t="s">
        <v>61</v>
      </c>
      <c r="V5346" s="30"/>
      <c r="W5346" s="34"/>
      <c r="X5346" s="49"/>
      <c r="Y5346" s="35"/>
      <c r="Z5346" s="35"/>
      <c r="AA5346" s="35"/>
      <c r="AB5346" s="35"/>
      <c r="AC5346" s="35"/>
      <c r="AD5346" s="35"/>
      <c r="AE5346" s="35"/>
      <c r="AF5346" s="35"/>
      <c r="AG5346" s="35"/>
      <c r="AH5346" s="35"/>
      <c r="AI5346" s="35"/>
      <c r="AJ5346" s="35"/>
      <c r="AK5346" s="35"/>
      <c r="AL5346" s="35"/>
    </row>
    <row r="5347">
      <c r="A5347" s="18"/>
      <c r="B5347" s="19" t="s">
        <v>19332</v>
      </c>
      <c r="C5347" s="20" t="s">
        <v>25368</v>
      </c>
      <c r="D5347" s="47"/>
      <c r="E5347" s="22" t="s">
        <v>5136</v>
      </c>
      <c r="F5347" s="22" t="s">
        <v>1930</v>
      </c>
      <c r="G5347" s="23">
        <v>2019.0</v>
      </c>
      <c r="H5347" s="22" t="s">
        <v>77</v>
      </c>
      <c r="I5347" s="24" t="s">
        <v>25369</v>
      </c>
      <c r="J5347" s="22" t="s">
        <v>125</v>
      </c>
      <c r="K5347" s="22"/>
      <c r="L5347" s="43" t="s">
        <v>25370</v>
      </c>
      <c r="M5347" s="44"/>
      <c r="N5347" s="44"/>
      <c r="O5347" s="44"/>
      <c r="P5347" s="44"/>
      <c r="Q5347" s="44"/>
      <c r="R5347" s="44"/>
      <c r="S5347" s="44"/>
      <c r="T5347" s="45"/>
      <c r="U5347" s="38" t="str">
        <f>HYPERLINK("https://www.ncbi.nlm.nih.gov/pubmed/31765274","PubMed")</f>
        <v>PubMed</v>
      </c>
      <c r="V5347" s="30"/>
      <c r="W5347" s="34"/>
      <c r="X5347" s="49"/>
      <c r="Y5347" s="35"/>
      <c r="Z5347" s="35"/>
      <c r="AA5347" s="35"/>
      <c r="AB5347" s="35"/>
      <c r="AC5347" s="35"/>
      <c r="AD5347" s="35"/>
      <c r="AE5347" s="35"/>
      <c r="AF5347" s="35"/>
      <c r="AG5347" s="35"/>
      <c r="AH5347" s="35"/>
      <c r="AI5347" s="35"/>
      <c r="AJ5347" s="35"/>
      <c r="AK5347" s="35"/>
      <c r="AL5347" s="35"/>
    </row>
    <row r="5348">
      <c r="A5348" s="18"/>
      <c r="B5348" s="19" t="s">
        <v>19332</v>
      </c>
      <c r="C5348" s="20" t="s">
        <v>25368</v>
      </c>
      <c r="D5348" s="47"/>
      <c r="E5348" s="22" t="s">
        <v>5136</v>
      </c>
      <c r="F5348" s="22" t="s">
        <v>1930</v>
      </c>
      <c r="G5348" s="23">
        <v>2019.0</v>
      </c>
      <c r="H5348" s="22" t="s">
        <v>77</v>
      </c>
      <c r="I5348" s="24" t="s">
        <v>25371</v>
      </c>
      <c r="J5348" s="22" t="s">
        <v>125</v>
      </c>
      <c r="K5348" s="22" t="s">
        <v>25372</v>
      </c>
      <c r="L5348" s="43" t="s">
        <v>25373</v>
      </c>
      <c r="M5348" s="44"/>
      <c r="N5348" s="44"/>
      <c r="O5348" s="44"/>
      <c r="P5348" s="44"/>
      <c r="Q5348" s="44"/>
      <c r="R5348" s="44"/>
      <c r="S5348" s="44"/>
      <c r="T5348" s="45"/>
      <c r="U5348" s="38" t="str">
        <f>HYPERLINK("https://www.ncbi.nlm.nih.gov/pubmed/31750783","PubMed")</f>
        <v>PubMed</v>
      </c>
      <c r="V5348" s="30"/>
      <c r="W5348" s="34"/>
      <c r="X5348" s="49"/>
      <c r="Y5348" s="35"/>
      <c r="Z5348" s="35"/>
      <c r="AA5348" s="35"/>
      <c r="AB5348" s="35"/>
      <c r="AC5348" s="35"/>
      <c r="AD5348" s="35"/>
      <c r="AE5348" s="35"/>
      <c r="AF5348" s="35"/>
      <c r="AG5348" s="35"/>
      <c r="AH5348" s="35"/>
      <c r="AI5348" s="35"/>
      <c r="AJ5348" s="35"/>
      <c r="AK5348" s="35"/>
      <c r="AL5348" s="35"/>
    </row>
    <row r="5349">
      <c r="A5349" s="1"/>
      <c r="B5349" s="19" t="s">
        <v>19332</v>
      </c>
      <c r="C5349" s="20" t="s">
        <v>25374</v>
      </c>
      <c r="D5349" s="47"/>
      <c r="E5349" s="22" t="s">
        <v>20753</v>
      </c>
      <c r="F5349" s="22" t="s">
        <v>1398</v>
      </c>
      <c r="G5349" s="23">
        <v>1991.0</v>
      </c>
      <c r="H5349" s="22" t="s">
        <v>292</v>
      </c>
      <c r="I5349" s="24" t="s">
        <v>25375</v>
      </c>
      <c r="J5349" s="22" t="s">
        <v>10915</v>
      </c>
      <c r="K5349" s="22"/>
      <c r="L5349" s="36" t="s">
        <v>25376</v>
      </c>
      <c r="M5349" s="36"/>
      <c r="N5349" s="36"/>
      <c r="O5349" s="36"/>
      <c r="P5349" s="37"/>
      <c r="Q5349" s="36"/>
      <c r="R5349" s="36"/>
      <c r="S5349" s="36"/>
      <c r="T5349" s="28" t="s">
        <v>25377</v>
      </c>
      <c r="U5349" s="38" t="str">
        <f>HYPERLINK("https://www.jstage.jst.go.jp/article/islsm/3/2/3_91-OR-07/_article/-char/en","J-STAGE")</f>
        <v>J-STAGE</v>
      </c>
      <c r="V5349" s="30"/>
      <c r="W5349" s="49"/>
      <c r="X5349" s="49"/>
      <c r="Y5349" s="35"/>
      <c r="Z5349" s="35"/>
      <c r="AA5349" s="35"/>
      <c r="AB5349" s="35"/>
      <c r="AC5349" s="35"/>
      <c r="AD5349" s="35"/>
      <c r="AE5349" s="35"/>
      <c r="AF5349" s="35"/>
      <c r="AG5349" s="35"/>
      <c r="AH5349" s="35"/>
      <c r="AI5349" s="35"/>
      <c r="AJ5349" s="35"/>
      <c r="AK5349" s="35"/>
      <c r="AL5349" s="35"/>
    </row>
    <row r="5350">
      <c r="A5350" s="1"/>
      <c r="B5350" s="19" t="s">
        <v>19332</v>
      </c>
      <c r="C5350" s="20" t="s">
        <v>25378</v>
      </c>
      <c r="D5350" s="47"/>
      <c r="E5350" s="22" t="s">
        <v>25379</v>
      </c>
      <c r="F5350" s="22" t="s">
        <v>25380</v>
      </c>
      <c r="G5350" s="23">
        <v>2006.0</v>
      </c>
      <c r="H5350" s="22" t="s">
        <v>25361</v>
      </c>
      <c r="I5350" s="24" t="s">
        <v>25381</v>
      </c>
      <c r="J5350" s="22" t="s">
        <v>25382</v>
      </c>
      <c r="K5350" s="22"/>
      <c r="L5350" s="36"/>
      <c r="M5350" s="36"/>
      <c r="N5350" s="36"/>
      <c r="O5350" s="36"/>
      <c r="P5350" s="37"/>
      <c r="Q5350" s="36"/>
      <c r="R5350" s="36"/>
      <c r="S5350" s="36"/>
      <c r="T5350" s="41" t="s">
        <v>25383</v>
      </c>
      <c r="U5350" s="38" t="str">
        <f>HYPERLINK("https://www.ncbi.nlm.nih.gov/pubmed/16878682","PubMed")</f>
        <v>PubMed</v>
      </c>
      <c r="V5350" s="30"/>
      <c r="W5350" s="49"/>
      <c r="X5350" s="49"/>
      <c r="Y5350" s="35"/>
      <c r="Z5350" s="35"/>
      <c r="AA5350" s="35"/>
      <c r="AB5350" s="35"/>
      <c r="AC5350" s="35"/>
      <c r="AD5350" s="35"/>
      <c r="AE5350" s="35"/>
      <c r="AF5350" s="35"/>
      <c r="AG5350" s="35"/>
      <c r="AH5350" s="35"/>
      <c r="AI5350" s="35"/>
      <c r="AJ5350" s="35"/>
      <c r="AK5350" s="35"/>
      <c r="AL5350" s="35"/>
    </row>
    <row r="5351">
      <c r="A5351" s="18"/>
      <c r="B5351" s="19" t="s">
        <v>19332</v>
      </c>
      <c r="C5351" s="20" t="s">
        <v>25384</v>
      </c>
      <c r="D5351" s="47"/>
      <c r="E5351" s="22" t="s">
        <v>25385</v>
      </c>
      <c r="F5351" s="22" t="s">
        <v>20718</v>
      </c>
      <c r="G5351" s="23">
        <v>2024.0</v>
      </c>
      <c r="H5351" s="22" t="s">
        <v>2375</v>
      </c>
      <c r="I5351" s="24" t="s">
        <v>25386</v>
      </c>
      <c r="J5351" s="22" t="s">
        <v>2273</v>
      </c>
      <c r="K5351" s="22"/>
      <c r="L5351" s="368">
        <v>635.0</v>
      </c>
      <c r="M5351" s="319"/>
      <c r="N5351" s="226"/>
      <c r="O5351" s="226"/>
      <c r="P5351" s="367"/>
      <c r="Q5351" s="226"/>
      <c r="R5351" s="319"/>
      <c r="S5351" s="319"/>
      <c r="T5351" s="54" t="s">
        <v>25387</v>
      </c>
      <c r="U5351" s="38" t="s">
        <v>61</v>
      </c>
      <c r="V5351" s="30"/>
      <c r="W5351" s="34"/>
      <c r="X5351" s="49"/>
      <c r="Y5351" s="35"/>
      <c r="Z5351" s="35"/>
      <c r="AA5351" s="35"/>
      <c r="AB5351" s="35"/>
      <c r="AC5351" s="35"/>
      <c r="AD5351" s="35"/>
      <c r="AE5351" s="35"/>
      <c r="AF5351" s="35"/>
      <c r="AG5351" s="35"/>
      <c r="AH5351" s="35"/>
      <c r="AI5351" s="35"/>
      <c r="AJ5351" s="35"/>
      <c r="AK5351" s="35"/>
      <c r="AL5351" s="35"/>
    </row>
    <row r="5352">
      <c r="A5352" s="18"/>
      <c r="B5352" s="19" t="s">
        <v>19332</v>
      </c>
      <c r="C5352" s="20" t="s">
        <v>25384</v>
      </c>
      <c r="D5352" s="47"/>
      <c r="E5352" s="22" t="s">
        <v>2195</v>
      </c>
      <c r="F5352" s="22" t="s">
        <v>3301</v>
      </c>
      <c r="G5352" s="23">
        <v>2022.0</v>
      </c>
      <c r="H5352" s="22" t="s">
        <v>25388</v>
      </c>
      <c r="I5352" s="24" t="s">
        <v>25389</v>
      </c>
      <c r="J5352" s="22" t="s">
        <v>25390</v>
      </c>
      <c r="K5352" s="22"/>
      <c r="L5352" s="368">
        <v>810.0</v>
      </c>
      <c r="M5352" s="319">
        <v>100.0</v>
      </c>
      <c r="N5352" s="226"/>
      <c r="O5352" s="226"/>
      <c r="P5352" s="367" t="s">
        <v>95</v>
      </c>
      <c r="Q5352" s="226"/>
      <c r="R5352" s="319">
        <v>50.0</v>
      </c>
      <c r="S5352" s="319" t="s">
        <v>25391</v>
      </c>
      <c r="T5352" s="54" t="s">
        <v>25392</v>
      </c>
      <c r="U5352" s="29" t="s">
        <v>61</v>
      </c>
      <c r="V5352" s="30"/>
      <c r="W5352" s="34"/>
      <c r="X5352" s="49"/>
      <c r="Y5352" s="35"/>
      <c r="Z5352" s="35"/>
      <c r="AA5352" s="35"/>
      <c r="AB5352" s="35"/>
      <c r="AC5352" s="35"/>
      <c r="AD5352" s="35"/>
      <c r="AE5352" s="35"/>
      <c r="AF5352" s="35"/>
      <c r="AG5352" s="35"/>
      <c r="AH5352" s="35"/>
      <c r="AI5352" s="35"/>
      <c r="AJ5352" s="35"/>
      <c r="AK5352" s="35"/>
      <c r="AL5352" s="35"/>
    </row>
    <row r="5353">
      <c r="A5353" s="18"/>
      <c r="B5353" s="19" t="s">
        <v>19332</v>
      </c>
      <c r="C5353" s="20" t="s">
        <v>25393</v>
      </c>
      <c r="D5353" s="47"/>
      <c r="E5353" s="22" t="s">
        <v>25394</v>
      </c>
      <c r="F5353" s="22" t="s">
        <v>993</v>
      </c>
      <c r="G5353" s="23">
        <v>2020.0</v>
      </c>
      <c r="H5353" s="22" t="s">
        <v>77</v>
      </c>
      <c r="I5353" s="24" t="s">
        <v>25395</v>
      </c>
      <c r="J5353" s="22" t="s">
        <v>202</v>
      </c>
      <c r="K5353" s="22"/>
      <c r="L5353" s="43"/>
      <c r="M5353" s="44"/>
      <c r="N5353" s="44"/>
      <c r="O5353" s="44"/>
      <c r="P5353" s="44"/>
      <c r="Q5353" s="44"/>
      <c r="R5353" s="44"/>
      <c r="S5353" s="44"/>
      <c r="T5353" s="45"/>
      <c r="U5353" s="29" t="s">
        <v>61</v>
      </c>
      <c r="V5353" s="30"/>
      <c r="W5353" s="34"/>
      <c r="X5353" s="49"/>
      <c r="Y5353" s="35"/>
      <c r="Z5353" s="35"/>
      <c r="AA5353" s="35"/>
      <c r="AB5353" s="35"/>
      <c r="AC5353" s="35"/>
      <c r="AD5353" s="35"/>
      <c r="AE5353" s="35"/>
      <c r="AF5353" s="35"/>
      <c r="AG5353" s="35"/>
      <c r="AH5353" s="35"/>
      <c r="AI5353" s="35"/>
      <c r="AJ5353" s="35"/>
      <c r="AK5353" s="35"/>
      <c r="AL5353" s="35"/>
    </row>
    <row r="5354">
      <c r="A5354" s="18"/>
      <c r="B5354" s="19" t="s">
        <v>19332</v>
      </c>
      <c r="C5354" s="20" t="s">
        <v>25396</v>
      </c>
      <c r="D5354" s="47"/>
      <c r="E5354" s="22" t="s">
        <v>25397</v>
      </c>
      <c r="F5354" s="22" t="s">
        <v>3492</v>
      </c>
      <c r="G5354" s="23">
        <v>2022.0</v>
      </c>
      <c r="H5354" s="22" t="s">
        <v>17630</v>
      </c>
      <c r="I5354" s="24" t="s">
        <v>25398</v>
      </c>
      <c r="J5354" s="22" t="s">
        <v>25399</v>
      </c>
      <c r="K5354" s="22"/>
      <c r="L5354" s="368">
        <v>635.0</v>
      </c>
      <c r="M5354" s="319">
        <v>300.0</v>
      </c>
      <c r="N5354" s="226"/>
      <c r="O5354" s="226"/>
      <c r="P5354" s="367">
        <v>22.0</v>
      </c>
      <c r="Q5354" s="319" t="s">
        <v>25400</v>
      </c>
      <c r="R5354" s="319">
        <v>720.0</v>
      </c>
      <c r="S5354" s="319" t="s">
        <v>4905</v>
      </c>
      <c r="T5354" s="54" t="s">
        <v>25401</v>
      </c>
      <c r="U5354" s="38" t="s">
        <v>61</v>
      </c>
      <c r="V5354" s="30" t="s">
        <v>25402</v>
      </c>
      <c r="W5354" s="34"/>
      <c r="X5354" s="49"/>
      <c r="Y5354" s="35"/>
      <c r="Z5354" s="35"/>
      <c r="AA5354" s="35"/>
      <c r="AB5354" s="35"/>
      <c r="AC5354" s="35"/>
      <c r="AD5354" s="35"/>
      <c r="AE5354" s="35"/>
      <c r="AF5354" s="35"/>
      <c r="AG5354" s="35"/>
      <c r="AH5354" s="35"/>
      <c r="AI5354" s="35"/>
      <c r="AJ5354" s="35"/>
      <c r="AK5354" s="35"/>
      <c r="AL5354" s="35"/>
    </row>
    <row r="5355">
      <c r="A5355" s="18"/>
      <c r="B5355" s="19" t="s">
        <v>19332</v>
      </c>
      <c r="C5355" s="20" t="s">
        <v>25403</v>
      </c>
      <c r="D5355" s="47"/>
      <c r="E5355" s="22" t="s">
        <v>25404</v>
      </c>
      <c r="F5355" s="22" t="s">
        <v>25405</v>
      </c>
      <c r="G5355" s="23">
        <v>2024.0</v>
      </c>
      <c r="H5355" s="22" t="s">
        <v>1485</v>
      </c>
      <c r="I5355" s="24" t="s">
        <v>25406</v>
      </c>
      <c r="J5355" s="22" t="s">
        <v>125</v>
      </c>
      <c r="K5355" s="22"/>
      <c r="L5355" s="105" t="s">
        <v>25407</v>
      </c>
      <c r="M5355" s="44"/>
      <c r="N5355" s="44"/>
      <c r="O5355" s="44"/>
      <c r="P5355" s="44"/>
      <c r="Q5355" s="44"/>
      <c r="R5355" s="44"/>
      <c r="S5355" s="44"/>
      <c r="T5355" s="45"/>
      <c r="U5355" s="38" t="s">
        <v>61</v>
      </c>
      <c r="V5355" s="30"/>
      <c r="W5355" s="34"/>
      <c r="X5355" s="49"/>
      <c r="Y5355" s="35"/>
      <c r="Z5355" s="35"/>
      <c r="AA5355" s="35"/>
      <c r="AB5355" s="35"/>
      <c r="AC5355" s="35"/>
      <c r="AD5355" s="35"/>
      <c r="AE5355" s="35"/>
      <c r="AF5355" s="35"/>
      <c r="AG5355" s="35"/>
      <c r="AH5355" s="35"/>
      <c r="AI5355" s="35"/>
      <c r="AJ5355" s="35"/>
      <c r="AK5355" s="35"/>
      <c r="AL5355" s="35"/>
    </row>
    <row r="5356">
      <c r="A5356" s="18"/>
      <c r="B5356" s="19" t="s">
        <v>19332</v>
      </c>
      <c r="C5356" s="20" t="s">
        <v>25403</v>
      </c>
      <c r="D5356" s="47"/>
      <c r="E5356" s="22" t="s">
        <v>25408</v>
      </c>
      <c r="F5356" s="22" t="s">
        <v>2705</v>
      </c>
      <c r="G5356" s="23">
        <v>2019.0</v>
      </c>
      <c r="H5356" s="22" t="s">
        <v>348</v>
      </c>
      <c r="I5356" s="24" t="s">
        <v>25409</v>
      </c>
      <c r="J5356" s="22" t="s">
        <v>125</v>
      </c>
      <c r="K5356" s="22"/>
      <c r="L5356" s="105" t="s">
        <v>25410</v>
      </c>
      <c r="M5356" s="44"/>
      <c r="N5356" s="44"/>
      <c r="O5356" s="44"/>
      <c r="P5356" s="44"/>
      <c r="Q5356" s="44"/>
      <c r="R5356" s="44"/>
      <c r="S5356" s="44"/>
      <c r="T5356" s="45"/>
      <c r="U5356" s="38" t="str">
        <f>HYPERLINK("https://www.ncbi.nlm.nih.gov/pubmed/31554277","PubMed")</f>
        <v>PubMed</v>
      </c>
      <c r="V5356" s="30"/>
      <c r="W5356" s="34"/>
      <c r="X5356" s="49"/>
      <c r="Y5356" s="35"/>
      <c r="Z5356" s="35"/>
      <c r="AA5356" s="35"/>
      <c r="AB5356" s="35"/>
      <c r="AC5356" s="35"/>
      <c r="AD5356" s="35"/>
      <c r="AE5356" s="35"/>
      <c r="AF5356" s="35"/>
      <c r="AG5356" s="35"/>
      <c r="AH5356" s="35"/>
      <c r="AI5356" s="35"/>
      <c r="AJ5356" s="35"/>
      <c r="AK5356" s="35"/>
      <c r="AL5356" s="35"/>
    </row>
    <row r="5357">
      <c r="A5357" s="1"/>
      <c r="B5357" s="19" t="s">
        <v>19332</v>
      </c>
      <c r="C5357" s="20" t="s">
        <v>25403</v>
      </c>
      <c r="D5357" s="47"/>
      <c r="E5357" s="22" t="s">
        <v>25211</v>
      </c>
      <c r="F5357" s="22" t="s">
        <v>25212</v>
      </c>
      <c r="G5357" s="23">
        <v>2006.0</v>
      </c>
      <c r="H5357" s="22" t="s">
        <v>23271</v>
      </c>
      <c r="I5357" s="24" t="s">
        <v>25411</v>
      </c>
      <c r="J5357" s="22" t="s">
        <v>125</v>
      </c>
      <c r="K5357" s="22"/>
      <c r="L5357" s="195" t="s">
        <v>25412</v>
      </c>
      <c r="M5357" s="44"/>
      <c r="N5357" s="44"/>
      <c r="O5357" s="44"/>
      <c r="P5357" s="44"/>
      <c r="Q5357" s="44"/>
      <c r="R5357" s="44"/>
      <c r="S5357" s="44"/>
      <c r="T5357" s="45"/>
      <c r="U5357" s="38" t="str">
        <f>HYPERLINK("https://www.ncbi.nlm.nih.gov/pubmed/16584335","PubMed")</f>
        <v>PubMed</v>
      </c>
      <c r="V5357" s="30"/>
      <c r="W5357" s="49"/>
      <c r="X5357" s="49"/>
      <c r="Y5357" s="35"/>
      <c r="Z5357" s="35"/>
      <c r="AA5357" s="35"/>
      <c r="AB5357" s="35"/>
      <c r="AC5357" s="35"/>
      <c r="AD5357" s="35"/>
      <c r="AE5357" s="35"/>
      <c r="AF5357" s="35"/>
      <c r="AG5357" s="35"/>
      <c r="AH5357" s="35"/>
      <c r="AI5357" s="35"/>
      <c r="AJ5357" s="35"/>
      <c r="AK5357" s="35"/>
      <c r="AL5357" s="35"/>
    </row>
    <row r="5358">
      <c r="A5358" s="18"/>
      <c r="B5358" s="75" t="s">
        <v>19332</v>
      </c>
      <c r="C5358" s="76" t="s">
        <v>25413</v>
      </c>
      <c r="D5358" s="47"/>
      <c r="E5358" s="22" t="s">
        <v>19645</v>
      </c>
      <c r="F5358" s="22" t="s">
        <v>25414</v>
      </c>
      <c r="G5358" s="23">
        <v>2023.0</v>
      </c>
      <c r="H5358" s="22" t="s">
        <v>2375</v>
      </c>
      <c r="I5358" s="24" t="s">
        <v>25415</v>
      </c>
      <c r="J5358" s="22" t="s">
        <v>25416</v>
      </c>
      <c r="K5358" s="22"/>
      <c r="L5358" s="36">
        <v>890.0</v>
      </c>
      <c r="M5358" s="36">
        <v>1500.0</v>
      </c>
      <c r="N5358" s="36"/>
      <c r="O5358" s="36"/>
      <c r="P5358" s="36"/>
      <c r="Q5358" s="36"/>
      <c r="R5358" s="36"/>
      <c r="S5358" s="36" t="s">
        <v>20171</v>
      </c>
      <c r="T5358" s="222" t="s">
        <v>25417</v>
      </c>
      <c r="U5358" s="38" t="s">
        <v>61</v>
      </c>
      <c r="V5358" s="30"/>
      <c r="W5358" s="34"/>
      <c r="X5358" s="49"/>
      <c r="Y5358" s="35"/>
      <c r="Z5358" s="35"/>
      <c r="AA5358" s="35"/>
      <c r="AB5358" s="35"/>
      <c r="AC5358" s="35"/>
      <c r="AD5358" s="35"/>
      <c r="AE5358" s="35"/>
      <c r="AF5358" s="35"/>
      <c r="AG5358" s="35"/>
      <c r="AH5358" s="35"/>
      <c r="AI5358" s="35"/>
      <c r="AJ5358" s="35"/>
      <c r="AK5358" s="35"/>
      <c r="AL5358" s="35"/>
    </row>
    <row r="5359">
      <c r="A5359" s="18"/>
      <c r="B5359" s="75" t="s">
        <v>19332</v>
      </c>
      <c r="C5359" s="76" t="s">
        <v>25413</v>
      </c>
      <c r="D5359" s="47"/>
      <c r="E5359" s="22" t="s">
        <v>25418</v>
      </c>
      <c r="F5359" s="22" t="s">
        <v>18291</v>
      </c>
      <c r="G5359" s="23">
        <v>2023.0</v>
      </c>
      <c r="H5359" s="22" t="s">
        <v>3963</v>
      </c>
      <c r="I5359" s="24" t="s">
        <v>25419</v>
      </c>
      <c r="J5359" s="22" t="s">
        <v>25420</v>
      </c>
      <c r="K5359" s="22" t="s">
        <v>19911</v>
      </c>
      <c r="L5359" s="36"/>
      <c r="M5359" s="36"/>
      <c r="N5359" s="36"/>
      <c r="O5359" s="36"/>
      <c r="P5359" s="36"/>
      <c r="Q5359" s="36"/>
      <c r="R5359" s="36"/>
      <c r="S5359" s="36" t="s">
        <v>25421</v>
      </c>
      <c r="T5359" s="222" t="s">
        <v>25422</v>
      </c>
      <c r="U5359" s="38" t="s">
        <v>61</v>
      </c>
      <c r="V5359" s="30"/>
      <c r="W5359" s="34"/>
      <c r="X5359" s="49"/>
      <c r="Y5359" s="35"/>
      <c r="Z5359" s="35"/>
      <c r="AA5359" s="35"/>
      <c r="AB5359" s="35"/>
      <c r="AC5359" s="35"/>
      <c r="AD5359" s="35"/>
      <c r="AE5359" s="35"/>
      <c r="AF5359" s="35"/>
      <c r="AG5359" s="35"/>
      <c r="AH5359" s="35"/>
      <c r="AI5359" s="35"/>
      <c r="AJ5359" s="35"/>
      <c r="AK5359" s="35"/>
      <c r="AL5359" s="35"/>
    </row>
    <row r="5360">
      <c r="A5360" s="18"/>
      <c r="B5360" s="75" t="s">
        <v>19332</v>
      </c>
      <c r="C5360" s="76" t="s">
        <v>25413</v>
      </c>
      <c r="D5360" s="47"/>
      <c r="E5360" s="22" t="s">
        <v>7750</v>
      </c>
      <c r="F5360" s="22" t="s">
        <v>19533</v>
      </c>
      <c r="G5360" s="23">
        <v>2023.0</v>
      </c>
      <c r="H5360" s="22" t="s">
        <v>91</v>
      </c>
      <c r="I5360" s="24" t="s">
        <v>25423</v>
      </c>
      <c r="J5360" s="22" t="s">
        <v>25424</v>
      </c>
      <c r="K5360" s="22" t="s">
        <v>25425</v>
      </c>
      <c r="L5360" s="36"/>
      <c r="M5360" s="36"/>
      <c r="N5360" s="36"/>
      <c r="O5360" s="36"/>
      <c r="P5360" s="36"/>
      <c r="Q5360" s="36"/>
      <c r="R5360" s="36"/>
      <c r="S5360" s="36"/>
      <c r="T5360" s="222" t="s">
        <v>25426</v>
      </c>
      <c r="U5360" s="38" t="s">
        <v>61</v>
      </c>
      <c r="V5360" s="30"/>
      <c r="W5360" s="34"/>
      <c r="X5360" s="49"/>
      <c r="Y5360" s="35"/>
      <c r="Z5360" s="35"/>
      <c r="AA5360" s="35"/>
      <c r="AB5360" s="35"/>
      <c r="AC5360" s="35"/>
      <c r="AD5360" s="35"/>
      <c r="AE5360" s="35"/>
      <c r="AF5360" s="35"/>
      <c r="AG5360" s="35"/>
      <c r="AH5360" s="35"/>
      <c r="AI5360" s="35"/>
      <c r="AJ5360" s="35"/>
      <c r="AK5360" s="35"/>
      <c r="AL5360" s="35"/>
    </row>
    <row r="5361">
      <c r="A5361" s="18"/>
      <c r="B5361" s="75" t="s">
        <v>19332</v>
      </c>
      <c r="C5361" s="76" t="s">
        <v>25413</v>
      </c>
      <c r="D5361" s="47"/>
      <c r="E5361" s="22" t="s">
        <v>25427</v>
      </c>
      <c r="F5361" s="22" t="s">
        <v>25428</v>
      </c>
      <c r="G5361" s="23">
        <v>2022.0</v>
      </c>
      <c r="H5361" s="22" t="s">
        <v>25429</v>
      </c>
      <c r="I5361" s="24" t="s">
        <v>25430</v>
      </c>
      <c r="J5361" s="22" t="s">
        <v>25431</v>
      </c>
      <c r="K5361" s="22"/>
      <c r="L5361" s="36">
        <v>808.0</v>
      </c>
      <c r="M5361" s="36"/>
      <c r="N5361" s="36"/>
      <c r="O5361" s="36"/>
      <c r="P5361" s="36"/>
      <c r="Q5361" s="36"/>
      <c r="R5361" s="36"/>
      <c r="S5361" s="36">
        <v>1.0</v>
      </c>
      <c r="T5361" s="137" t="s">
        <v>25432</v>
      </c>
      <c r="U5361" s="38" t="s">
        <v>61</v>
      </c>
      <c r="V5361" s="30" t="s">
        <v>174</v>
      </c>
      <c r="W5361" s="34"/>
      <c r="X5361" s="49"/>
      <c r="Y5361" s="35"/>
      <c r="Z5361" s="35"/>
      <c r="AA5361" s="35"/>
      <c r="AB5361" s="35"/>
      <c r="AC5361" s="35"/>
      <c r="AD5361" s="35"/>
      <c r="AE5361" s="35"/>
      <c r="AF5361" s="35"/>
      <c r="AG5361" s="35"/>
      <c r="AH5361" s="35"/>
      <c r="AI5361" s="35"/>
      <c r="AJ5361" s="35"/>
      <c r="AK5361" s="35"/>
      <c r="AL5361" s="35"/>
    </row>
    <row r="5362">
      <c r="A5362" s="18"/>
      <c r="B5362" s="19" t="s">
        <v>19332</v>
      </c>
      <c r="C5362" s="76" t="s">
        <v>25413</v>
      </c>
      <c r="D5362" s="47"/>
      <c r="E5362" s="22" t="s">
        <v>25433</v>
      </c>
      <c r="F5362" s="22" t="s">
        <v>2143</v>
      </c>
      <c r="G5362" s="23">
        <v>2022.0</v>
      </c>
      <c r="H5362" s="22" t="s">
        <v>2204</v>
      </c>
      <c r="I5362" s="24" t="s">
        <v>25434</v>
      </c>
      <c r="J5362" s="22" t="s">
        <v>25435</v>
      </c>
      <c r="K5362" s="22" t="s">
        <v>19911</v>
      </c>
      <c r="L5362" s="36" t="s">
        <v>25436</v>
      </c>
      <c r="M5362" s="36" t="s">
        <v>1446</v>
      </c>
      <c r="N5362" s="36"/>
      <c r="O5362" s="36"/>
      <c r="P5362" s="36"/>
      <c r="Q5362" s="36"/>
      <c r="R5362" s="36" t="s">
        <v>8269</v>
      </c>
      <c r="S5362" s="36"/>
      <c r="T5362" s="237" t="s">
        <v>25437</v>
      </c>
      <c r="U5362" s="38" t="s">
        <v>61</v>
      </c>
      <c r="V5362" s="30"/>
      <c r="W5362" s="34"/>
      <c r="X5362" s="49"/>
      <c r="Y5362" s="35"/>
      <c r="Z5362" s="35"/>
      <c r="AA5362" s="35"/>
      <c r="AB5362" s="35"/>
      <c r="AC5362" s="35"/>
      <c r="AD5362" s="35"/>
      <c r="AE5362" s="35"/>
      <c r="AF5362" s="35"/>
      <c r="AG5362" s="35"/>
      <c r="AH5362" s="35"/>
      <c r="AI5362" s="35"/>
      <c r="AJ5362" s="35"/>
      <c r="AK5362" s="35"/>
      <c r="AL5362" s="35"/>
    </row>
    <row r="5363">
      <c r="A5363" s="18"/>
      <c r="B5363" s="19" t="s">
        <v>19332</v>
      </c>
      <c r="C5363" s="76" t="s">
        <v>25413</v>
      </c>
      <c r="D5363" s="47"/>
      <c r="E5363" s="22" t="s">
        <v>25438</v>
      </c>
      <c r="F5363" s="22" t="s">
        <v>1046</v>
      </c>
      <c r="G5363" s="23">
        <v>2021.0</v>
      </c>
      <c r="H5363" s="22" t="s">
        <v>25439</v>
      </c>
      <c r="I5363" s="24" t="s">
        <v>25440</v>
      </c>
      <c r="J5363" s="22" t="s">
        <v>25441</v>
      </c>
      <c r="K5363" s="22"/>
      <c r="L5363" s="36">
        <v>860.0</v>
      </c>
      <c r="M5363" s="36">
        <v>100.0</v>
      </c>
      <c r="N5363" s="36"/>
      <c r="O5363" s="36"/>
      <c r="P5363" s="36"/>
      <c r="Q5363" s="36"/>
      <c r="R5363" s="36">
        <v>30.0</v>
      </c>
      <c r="S5363" s="36" t="s">
        <v>19601</v>
      </c>
      <c r="T5363" s="222" t="s">
        <v>25442</v>
      </c>
      <c r="U5363" s="38" t="s">
        <v>61</v>
      </c>
      <c r="V5363" s="30"/>
      <c r="W5363" s="34"/>
      <c r="X5363" s="49"/>
      <c r="Y5363" s="35"/>
      <c r="Z5363" s="35"/>
      <c r="AA5363" s="35"/>
      <c r="AB5363" s="35"/>
      <c r="AC5363" s="35"/>
      <c r="AD5363" s="35"/>
      <c r="AE5363" s="35"/>
      <c r="AF5363" s="35"/>
      <c r="AG5363" s="35"/>
      <c r="AH5363" s="35"/>
      <c r="AI5363" s="35"/>
      <c r="AJ5363" s="35"/>
      <c r="AK5363" s="35"/>
      <c r="AL5363" s="35"/>
    </row>
    <row r="5364">
      <c r="A5364" s="18"/>
      <c r="B5364" s="19" t="s">
        <v>19332</v>
      </c>
      <c r="C5364" s="76" t="s">
        <v>25413</v>
      </c>
      <c r="D5364" s="47"/>
      <c r="E5364" s="22" t="s">
        <v>3159</v>
      </c>
      <c r="F5364" s="22" t="s">
        <v>224</v>
      </c>
      <c r="G5364" s="23">
        <v>2020.0</v>
      </c>
      <c r="H5364" s="22" t="s">
        <v>91</v>
      </c>
      <c r="I5364" s="24" t="s">
        <v>25443</v>
      </c>
      <c r="J5364" s="22" t="s">
        <v>1078</v>
      </c>
      <c r="K5364" s="22"/>
      <c r="L5364" s="105" t="s">
        <v>25444</v>
      </c>
      <c r="M5364" s="44"/>
      <c r="N5364" s="44"/>
      <c r="O5364" s="44"/>
      <c r="P5364" s="44"/>
      <c r="Q5364" s="44"/>
      <c r="R5364" s="44"/>
      <c r="S5364" s="44"/>
      <c r="T5364" s="45"/>
      <c r="U5364" s="29" t="s">
        <v>61</v>
      </c>
      <c r="V5364" s="30"/>
      <c r="W5364" s="34"/>
      <c r="X5364" s="49"/>
      <c r="Y5364" s="35"/>
      <c r="Z5364" s="35"/>
      <c r="AA5364" s="35"/>
      <c r="AB5364" s="35"/>
      <c r="AC5364" s="35"/>
      <c r="AD5364" s="35"/>
      <c r="AE5364" s="35"/>
      <c r="AF5364" s="35"/>
      <c r="AG5364" s="35"/>
      <c r="AH5364" s="35"/>
      <c r="AI5364" s="35"/>
      <c r="AJ5364" s="35"/>
      <c r="AK5364" s="35"/>
      <c r="AL5364" s="35"/>
    </row>
    <row r="5365">
      <c r="A5365" s="18"/>
      <c r="B5365" s="19" t="s">
        <v>19332</v>
      </c>
      <c r="C5365" s="76" t="s">
        <v>25413</v>
      </c>
      <c r="D5365" s="47"/>
      <c r="E5365" s="22" t="s">
        <v>25445</v>
      </c>
      <c r="F5365" s="22" t="s">
        <v>2143</v>
      </c>
      <c r="G5365" s="23">
        <v>2020.0</v>
      </c>
      <c r="H5365" s="22" t="s">
        <v>147</v>
      </c>
      <c r="I5365" s="24" t="s">
        <v>25446</v>
      </c>
      <c r="J5365" s="22" t="s">
        <v>25447</v>
      </c>
      <c r="K5365" s="22"/>
      <c r="L5365" s="292">
        <v>810.0</v>
      </c>
      <c r="M5365" s="367">
        <v>500.0</v>
      </c>
      <c r="N5365" s="367"/>
      <c r="O5365" s="367"/>
      <c r="P5365" s="367"/>
      <c r="Q5365" s="367"/>
      <c r="R5365" s="367">
        <v>60.0</v>
      </c>
      <c r="S5365" s="280">
        <v>1.0</v>
      </c>
      <c r="T5365" s="222" t="s">
        <v>25448</v>
      </c>
      <c r="U5365" s="29" t="s">
        <v>61</v>
      </c>
      <c r="V5365" s="30"/>
      <c r="W5365" s="34"/>
      <c r="X5365" s="49"/>
      <c r="Y5365" s="35"/>
      <c r="Z5365" s="35"/>
      <c r="AA5365" s="35"/>
      <c r="AB5365" s="35"/>
      <c r="AC5365" s="35"/>
      <c r="AD5365" s="35"/>
      <c r="AE5365" s="35"/>
      <c r="AF5365" s="35"/>
      <c r="AG5365" s="35"/>
      <c r="AH5365" s="35"/>
      <c r="AI5365" s="35"/>
      <c r="AJ5365" s="35"/>
      <c r="AK5365" s="35"/>
      <c r="AL5365" s="35"/>
    </row>
    <row r="5366">
      <c r="A5366" s="18" t="s">
        <v>38</v>
      </c>
      <c r="B5366" s="19" t="s">
        <v>19332</v>
      </c>
      <c r="C5366" s="76" t="s">
        <v>25413</v>
      </c>
      <c r="D5366" s="47"/>
      <c r="E5366" s="22" t="s">
        <v>25449</v>
      </c>
      <c r="F5366" s="22" t="s">
        <v>23854</v>
      </c>
      <c r="G5366" s="23">
        <v>2018.0</v>
      </c>
      <c r="H5366" s="22" t="s">
        <v>21594</v>
      </c>
      <c r="I5366" s="24" t="s">
        <v>25450</v>
      </c>
      <c r="J5366" s="22" t="s">
        <v>2273</v>
      </c>
      <c r="K5366" s="22"/>
      <c r="L5366" s="36">
        <v>810.0</v>
      </c>
      <c r="M5366" s="36"/>
      <c r="N5366" s="36"/>
      <c r="O5366" s="36"/>
      <c r="P5366" s="37"/>
      <c r="Q5366" s="36"/>
      <c r="R5366" s="36"/>
      <c r="S5366" s="36"/>
      <c r="T5366" s="28" t="s">
        <v>25451</v>
      </c>
      <c r="U5366" s="38" t="str">
        <f>HYPERLINK("https://www.ncbi.nlm.nih.gov/pubmed/30131632","PubMed")</f>
        <v>PubMed</v>
      </c>
      <c r="V5366" s="30"/>
      <c r="W5366" s="49"/>
      <c r="X5366" s="49"/>
      <c r="Y5366" s="35"/>
      <c r="Z5366" s="35"/>
      <c r="AA5366" s="35"/>
      <c r="AB5366" s="35"/>
      <c r="AC5366" s="35"/>
      <c r="AD5366" s="35"/>
      <c r="AE5366" s="35"/>
      <c r="AF5366" s="35"/>
      <c r="AG5366" s="35"/>
      <c r="AH5366" s="35"/>
      <c r="AI5366" s="35"/>
      <c r="AJ5366" s="35"/>
      <c r="AK5366" s="35"/>
      <c r="AL5366" s="35"/>
    </row>
    <row r="5367">
      <c r="A5367" s="18"/>
      <c r="B5367" s="19" t="s">
        <v>19332</v>
      </c>
      <c r="C5367" s="76" t="s">
        <v>25413</v>
      </c>
      <c r="D5367" s="47"/>
      <c r="E5367" s="22" t="s">
        <v>23311</v>
      </c>
      <c r="F5367" s="22" t="s">
        <v>1380</v>
      </c>
      <c r="G5367" s="23">
        <v>2018.0</v>
      </c>
      <c r="H5367" s="22" t="s">
        <v>91</v>
      </c>
      <c r="I5367" s="24" t="s">
        <v>25452</v>
      </c>
      <c r="J5367" s="22" t="s">
        <v>20152</v>
      </c>
      <c r="K5367" s="22"/>
      <c r="L5367" s="36">
        <v>940.0</v>
      </c>
      <c r="M5367" s="36">
        <v>500.0</v>
      </c>
      <c r="N5367" s="36"/>
      <c r="O5367" s="36"/>
      <c r="P5367" s="37" t="s">
        <v>287</v>
      </c>
      <c r="Q5367" s="36" t="s">
        <v>25453</v>
      </c>
      <c r="R5367" s="36">
        <v>112.0</v>
      </c>
      <c r="S5367" s="36">
        <v>1.0</v>
      </c>
      <c r="T5367" s="28" t="s">
        <v>25454</v>
      </c>
      <c r="U5367" s="38" t="str">
        <f>HYPERLINK("https://www.ncbi.nlm.nih.gov/pubmed/29978268","PubMed")</f>
        <v>PubMed</v>
      </c>
      <c r="V5367" s="30" t="s">
        <v>25455</v>
      </c>
      <c r="W5367" s="130" t="str">
        <f>HYPERLINK("https://www.ncbi.nlm.nih.gov/pubmed/30830557","Rakhshan (2019)")</f>
        <v>Rakhshan (2019)</v>
      </c>
      <c r="X5367" s="49"/>
      <c r="Y5367" s="35"/>
      <c r="Z5367" s="35"/>
      <c r="AA5367" s="35"/>
      <c r="AB5367" s="35"/>
      <c r="AC5367" s="35"/>
      <c r="AD5367" s="35"/>
      <c r="AE5367" s="35"/>
      <c r="AF5367" s="35"/>
      <c r="AG5367" s="35"/>
      <c r="AH5367" s="35"/>
      <c r="AI5367" s="35"/>
      <c r="AJ5367" s="35"/>
      <c r="AK5367" s="35"/>
      <c r="AL5367" s="35"/>
    </row>
    <row r="5368">
      <c r="A5368" s="1"/>
      <c r="B5368" s="19" t="s">
        <v>19332</v>
      </c>
      <c r="C5368" s="76" t="s">
        <v>25413</v>
      </c>
      <c r="D5368" s="47"/>
      <c r="E5368" s="22" t="s">
        <v>25456</v>
      </c>
      <c r="F5368" s="22" t="s">
        <v>408</v>
      </c>
      <c r="G5368" s="23">
        <v>2016.0</v>
      </c>
      <c r="H5368" s="22" t="s">
        <v>169</v>
      </c>
      <c r="I5368" s="24" t="s">
        <v>25457</v>
      </c>
      <c r="J5368" s="22" t="s">
        <v>25458</v>
      </c>
      <c r="K5368" s="22" t="s">
        <v>25459</v>
      </c>
      <c r="L5368" s="36">
        <v>1064.0</v>
      </c>
      <c r="M5368" s="36">
        <v>100.0</v>
      </c>
      <c r="N5368" s="36"/>
      <c r="O5368" s="36"/>
      <c r="P5368" s="37" t="s">
        <v>969</v>
      </c>
      <c r="Q5368" s="36"/>
      <c r="R5368" s="36" t="s">
        <v>25460</v>
      </c>
      <c r="S5368" s="36" t="s">
        <v>24698</v>
      </c>
      <c r="T5368" s="28" t="s">
        <v>25461</v>
      </c>
      <c r="U5368" s="38" t="str">
        <f>HYPERLINK("https://www.ncbi.nlm.nih.gov/pubmed/26734916","PubMed")</f>
        <v>PubMed</v>
      </c>
      <c r="V5368" s="30" t="s">
        <v>25462</v>
      </c>
      <c r="W5368" s="49"/>
      <c r="X5368" s="49"/>
      <c r="Y5368" s="35"/>
      <c r="Z5368" s="35"/>
      <c r="AA5368" s="35"/>
      <c r="AB5368" s="35"/>
      <c r="AC5368" s="35"/>
      <c r="AD5368" s="35"/>
      <c r="AE5368" s="35"/>
      <c r="AF5368" s="35"/>
      <c r="AG5368" s="35"/>
      <c r="AH5368" s="35"/>
      <c r="AI5368" s="35"/>
      <c r="AJ5368" s="35"/>
      <c r="AK5368" s="35"/>
      <c r="AL5368" s="35"/>
    </row>
    <row r="5369">
      <c r="A5369" s="1"/>
      <c r="B5369" s="19" t="s">
        <v>19332</v>
      </c>
      <c r="C5369" s="76" t="s">
        <v>25413</v>
      </c>
      <c r="D5369" s="47"/>
      <c r="E5369" s="22" t="s">
        <v>23767</v>
      </c>
      <c r="F5369" s="22" t="s">
        <v>25463</v>
      </c>
      <c r="G5369" s="23">
        <v>2015.0</v>
      </c>
      <c r="H5369" s="22" t="s">
        <v>147</v>
      </c>
      <c r="I5369" s="24" t="s">
        <v>25464</v>
      </c>
      <c r="J5369" s="22" t="s">
        <v>125</v>
      </c>
      <c r="K5369" s="22"/>
      <c r="L5369" s="105" t="s">
        <v>25465</v>
      </c>
      <c r="M5369" s="44"/>
      <c r="N5369" s="44"/>
      <c r="O5369" s="44"/>
      <c r="P5369" s="44"/>
      <c r="Q5369" s="44"/>
      <c r="R5369" s="44"/>
      <c r="S5369" s="44"/>
      <c r="T5369" s="45"/>
      <c r="U5369" s="38" t="str">
        <f>HYPERLINK("https://www.ncbi.nlm.nih.gov/pubmed/25987968","PubMed")</f>
        <v>PubMed</v>
      </c>
      <c r="V5369" s="30"/>
      <c r="W5369" s="49"/>
      <c r="X5369" s="49"/>
      <c r="Y5369" s="35"/>
      <c r="Z5369" s="35"/>
      <c r="AA5369" s="35"/>
      <c r="AB5369" s="35"/>
      <c r="AC5369" s="35"/>
      <c r="AD5369" s="35"/>
      <c r="AE5369" s="35"/>
      <c r="AF5369" s="35"/>
      <c r="AG5369" s="35"/>
      <c r="AH5369" s="35"/>
      <c r="AI5369" s="35"/>
      <c r="AJ5369" s="35"/>
      <c r="AK5369" s="35"/>
      <c r="AL5369" s="35"/>
    </row>
    <row r="5370">
      <c r="A5370" s="1"/>
      <c r="B5370" s="19" t="s">
        <v>19332</v>
      </c>
      <c r="C5370" s="76" t="s">
        <v>25413</v>
      </c>
      <c r="D5370" s="47"/>
      <c r="E5370" s="22" t="s">
        <v>25456</v>
      </c>
      <c r="F5370" s="22" t="s">
        <v>408</v>
      </c>
      <c r="G5370" s="23">
        <v>2014.0</v>
      </c>
      <c r="H5370" s="22" t="s">
        <v>658</v>
      </c>
      <c r="I5370" s="24" t="s">
        <v>25466</v>
      </c>
      <c r="J5370" s="22" t="s">
        <v>25467</v>
      </c>
      <c r="K5370" s="22" t="s">
        <v>25468</v>
      </c>
      <c r="L5370" s="36">
        <v>1064.0</v>
      </c>
      <c r="M5370" s="36">
        <v>100.0</v>
      </c>
      <c r="N5370" s="36" t="s">
        <v>58</v>
      </c>
      <c r="O5370" s="36" t="s">
        <v>892</v>
      </c>
      <c r="P5370" s="37" t="s">
        <v>254</v>
      </c>
      <c r="Q5370" s="36" t="s">
        <v>58</v>
      </c>
      <c r="R5370" s="36" t="s">
        <v>25469</v>
      </c>
      <c r="S5370" s="36" t="s">
        <v>23315</v>
      </c>
      <c r="T5370" s="28" t="s">
        <v>25470</v>
      </c>
      <c r="U5370" s="38" t="str">
        <f>HYPERLINK("https://www.ncbi.nlm.nih.gov/pubmed/24661107","PubMed")</f>
        <v>PubMed</v>
      </c>
      <c r="V5370" s="30"/>
      <c r="W5370" s="49"/>
      <c r="X5370" s="49"/>
      <c r="Y5370" s="35"/>
      <c r="Z5370" s="35"/>
      <c r="AA5370" s="35"/>
      <c r="AB5370" s="35"/>
      <c r="AC5370" s="35"/>
      <c r="AD5370" s="35"/>
      <c r="AE5370" s="35"/>
      <c r="AF5370" s="35"/>
      <c r="AG5370" s="35"/>
      <c r="AH5370" s="35"/>
      <c r="AI5370" s="35"/>
      <c r="AJ5370" s="35"/>
      <c r="AK5370" s="35"/>
      <c r="AL5370" s="35"/>
    </row>
    <row r="5371">
      <c r="A5371" s="18" t="s">
        <v>38</v>
      </c>
      <c r="B5371" s="19" t="s">
        <v>19332</v>
      </c>
      <c r="C5371" s="76" t="s">
        <v>25413</v>
      </c>
      <c r="D5371" s="47"/>
      <c r="E5371" s="22" t="s">
        <v>25471</v>
      </c>
      <c r="F5371" s="22" t="s">
        <v>13151</v>
      </c>
      <c r="G5371" s="23">
        <v>2008.0</v>
      </c>
      <c r="H5371" s="22" t="s">
        <v>19819</v>
      </c>
      <c r="I5371" s="24" t="s">
        <v>25472</v>
      </c>
      <c r="J5371" s="22" t="s">
        <v>25473</v>
      </c>
      <c r="K5371" s="22" t="s">
        <v>25474</v>
      </c>
      <c r="L5371" s="36">
        <v>588.0</v>
      </c>
      <c r="M5371" s="36"/>
      <c r="N5371" s="36"/>
      <c r="O5371" s="36"/>
      <c r="P5371" s="37" t="s">
        <v>254</v>
      </c>
      <c r="Q5371" s="36"/>
      <c r="R5371" s="36"/>
      <c r="S5371" s="36" t="s">
        <v>13892</v>
      </c>
      <c r="T5371" s="28" t="s">
        <v>25475</v>
      </c>
      <c r="U5371" s="38" t="str">
        <f>HYPERLINK("https://www.ncbi.nlm.nih.gov/pubmed/18081859","PubMed")</f>
        <v>PubMed</v>
      </c>
      <c r="V5371" s="30" t="s">
        <v>25476</v>
      </c>
      <c r="W5371" s="49"/>
      <c r="X5371" s="49"/>
      <c r="Y5371" s="35"/>
      <c r="Z5371" s="35"/>
      <c r="AA5371" s="35"/>
      <c r="AB5371" s="35"/>
      <c r="AC5371" s="35"/>
      <c r="AD5371" s="35"/>
      <c r="AE5371" s="35"/>
      <c r="AF5371" s="35"/>
      <c r="AG5371" s="35"/>
      <c r="AH5371" s="35"/>
      <c r="AI5371" s="35"/>
      <c r="AJ5371" s="35"/>
      <c r="AK5371" s="35"/>
      <c r="AL5371" s="35"/>
    </row>
    <row r="5372">
      <c r="A5372" s="1"/>
      <c r="B5372" s="19" t="s">
        <v>19332</v>
      </c>
      <c r="C5372" s="76" t="s">
        <v>25413</v>
      </c>
      <c r="D5372" s="47"/>
      <c r="E5372" s="22" t="s">
        <v>25477</v>
      </c>
      <c r="F5372" s="22" t="s">
        <v>8047</v>
      </c>
      <c r="G5372" s="23">
        <v>1993.0</v>
      </c>
      <c r="H5372" s="22" t="s">
        <v>21099</v>
      </c>
      <c r="I5372" s="24" t="s">
        <v>25478</v>
      </c>
      <c r="J5372" s="22" t="s">
        <v>25479</v>
      </c>
      <c r="K5372" s="22"/>
      <c r="L5372" s="36"/>
      <c r="M5372" s="36"/>
      <c r="N5372" s="36"/>
      <c r="O5372" s="36"/>
      <c r="P5372" s="37" t="s">
        <v>8949</v>
      </c>
      <c r="Q5372" s="36"/>
      <c r="R5372" s="36"/>
      <c r="S5372" s="36" t="s">
        <v>1231</v>
      </c>
      <c r="T5372" s="41" t="s">
        <v>25480</v>
      </c>
      <c r="U5372" s="38" t="str">
        <f>HYPERLINK("https://www.ncbi.nlm.nih.gov/pubmed/8320005","PubMed")</f>
        <v>PubMed</v>
      </c>
      <c r="V5372" s="30"/>
      <c r="W5372" s="49"/>
      <c r="X5372" s="49"/>
      <c r="Y5372" s="35"/>
      <c r="Z5372" s="35"/>
      <c r="AA5372" s="35"/>
      <c r="AB5372" s="35"/>
      <c r="AC5372" s="35"/>
      <c r="AD5372" s="35"/>
      <c r="AE5372" s="35"/>
      <c r="AF5372" s="35"/>
      <c r="AG5372" s="35"/>
      <c r="AH5372" s="35"/>
      <c r="AI5372" s="35"/>
      <c r="AJ5372" s="35"/>
      <c r="AK5372" s="35"/>
      <c r="AL5372" s="35"/>
    </row>
    <row r="5373">
      <c r="A5373" s="1"/>
      <c r="B5373" s="75" t="s">
        <v>19332</v>
      </c>
      <c r="C5373" s="77" t="s">
        <v>25481</v>
      </c>
      <c r="D5373" s="47"/>
      <c r="E5373" s="22" t="s">
        <v>6740</v>
      </c>
      <c r="F5373" s="22" t="s">
        <v>22556</v>
      </c>
      <c r="G5373" s="23">
        <v>2024.0</v>
      </c>
      <c r="H5373" s="22" t="s">
        <v>91</v>
      </c>
      <c r="I5373" s="24" t="s">
        <v>25482</v>
      </c>
      <c r="J5373" s="22" t="s">
        <v>44</v>
      </c>
      <c r="K5373" s="22" t="s">
        <v>3782</v>
      </c>
      <c r="L5373" s="292">
        <v>810.0</v>
      </c>
      <c r="M5373" s="292">
        <v>100.0</v>
      </c>
      <c r="N5373" s="292" t="s">
        <v>25483</v>
      </c>
      <c r="O5373" s="292"/>
      <c r="P5373" s="366" t="s">
        <v>254</v>
      </c>
      <c r="Q5373" s="292"/>
      <c r="R5373" s="292"/>
      <c r="S5373" s="292" t="s">
        <v>25484</v>
      </c>
      <c r="T5373" s="28" t="s">
        <v>25485</v>
      </c>
      <c r="U5373" s="38" t="s">
        <v>61</v>
      </c>
      <c r="V5373" s="30"/>
      <c r="W5373" s="49"/>
      <c r="X5373" s="49"/>
      <c r="Y5373" s="35"/>
      <c r="Z5373" s="35"/>
      <c r="AA5373" s="35"/>
      <c r="AB5373" s="35"/>
      <c r="AC5373" s="35"/>
      <c r="AD5373" s="35"/>
      <c r="AE5373" s="35"/>
      <c r="AF5373" s="35"/>
      <c r="AG5373" s="35"/>
      <c r="AH5373" s="35"/>
      <c r="AI5373" s="35"/>
      <c r="AJ5373" s="35"/>
      <c r="AK5373" s="35"/>
      <c r="AL5373" s="35"/>
    </row>
    <row r="5374">
      <c r="A5374" s="1"/>
      <c r="B5374" s="75" t="s">
        <v>19332</v>
      </c>
      <c r="C5374" s="77" t="s">
        <v>25481</v>
      </c>
      <c r="D5374" s="47"/>
      <c r="E5374" s="22" t="s">
        <v>999</v>
      </c>
      <c r="F5374" s="22" t="s">
        <v>23440</v>
      </c>
      <c r="G5374" s="23">
        <v>2023.0</v>
      </c>
      <c r="H5374" s="22" t="s">
        <v>25486</v>
      </c>
      <c r="I5374" s="24" t="s">
        <v>25487</v>
      </c>
      <c r="J5374" s="22" t="s">
        <v>44</v>
      </c>
      <c r="K5374" s="22" t="s">
        <v>2158</v>
      </c>
      <c r="L5374" s="292">
        <v>808.0</v>
      </c>
      <c r="M5374" s="292">
        <v>100.0</v>
      </c>
      <c r="N5374" s="292"/>
      <c r="O5374" s="292"/>
      <c r="P5374" s="366"/>
      <c r="Q5374" s="292" t="s">
        <v>455</v>
      </c>
      <c r="R5374" s="292">
        <v>60.0</v>
      </c>
      <c r="S5374" s="292" t="s">
        <v>35</v>
      </c>
      <c r="T5374" s="28" t="s">
        <v>25488</v>
      </c>
      <c r="U5374" s="38" t="s">
        <v>61</v>
      </c>
      <c r="V5374" s="30"/>
      <c r="W5374" s="49"/>
      <c r="X5374" s="49"/>
      <c r="Y5374" s="35"/>
      <c r="Z5374" s="35"/>
      <c r="AA5374" s="35"/>
      <c r="AB5374" s="35"/>
      <c r="AC5374" s="35"/>
      <c r="AD5374" s="35"/>
      <c r="AE5374" s="35"/>
      <c r="AF5374" s="35"/>
      <c r="AG5374" s="35"/>
      <c r="AH5374" s="35"/>
      <c r="AI5374" s="35"/>
      <c r="AJ5374" s="35"/>
      <c r="AK5374" s="35"/>
      <c r="AL5374" s="35"/>
    </row>
    <row r="5375">
      <c r="A5375" s="1"/>
      <c r="B5375" s="75" t="s">
        <v>19332</v>
      </c>
      <c r="C5375" s="77" t="s">
        <v>25481</v>
      </c>
      <c r="D5375" s="47"/>
      <c r="E5375" s="22" t="s">
        <v>493</v>
      </c>
      <c r="F5375" s="22" t="s">
        <v>299</v>
      </c>
      <c r="G5375" s="23">
        <v>2023.0</v>
      </c>
      <c r="H5375" s="22" t="s">
        <v>15533</v>
      </c>
      <c r="I5375" s="24" t="s">
        <v>25489</v>
      </c>
      <c r="J5375" s="22" t="s">
        <v>25490</v>
      </c>
      <c r="K5375" s="22" t="s">
        <v>157</v>
      </c>
      <c r="L5375" s="292" t="s">
        <v>25491</v>
      </c>
      <c r="M5375" s="292"/>
      <c r="N5375" s="292"/>
      <c r="O5375" s="292"/>
      <c r="P5375" s="366"/>
      <c r="Q5375" s="292"/>
      <c r="R5375" s="292"/>
      <c r="S5375" s="292"/>
      <c r="T5375" s="28" t="s">
        <v>25492</v>
      </c>
      <c r="U5375" s="38" t="s">
        <v>61</v>
      </c>
      <c r="V5375" s="30"/>
      <c r="W5375" s="49"/>
      <c r="X5375" s="49"/>
      <c r="Y5375" s="35"/>
      <c r="Z5375" s="35"/>
      <c r="AA5375" s="35"/>
      <c r="AB5375" s="35"/>
      <c r="AC5375" s="35"/>
      <c r="AD5375" s="35"/>
      <c r="AE5375" s="35"/>
      <c r="AF5375" s="35"/>
      <c r="AG5375" s="35"/>
      <c r="AH5375" s="35"/>
      <c r="AI5375" s="35"/>
      <c r="AJ5375" s="35"/>
      <c r="AK5375" s="35"/>
      <c r="AL5375" s="35"/>
    </row>
    <row r="5376">
      <c r="A5376" s="1"/>
      <c r="B5376" s="75" t="s">
        <v>19332</v>
      </c>
      <c r="C5376" s="77" t="s">
        <v>25481</v>
      </c>
      <c r="D5376" s="47"/>
      <c r="E5376" s="22" t="s">
        <v>626</v>
      </c>
      <c r="F5376" s="22" t="s">
        <v>2437</v>
      </c>
      <c r="G5376" s="23">
        <v>2023.0</v>
      </c>
      <c r="H5376" s="22" t="s">
        <v>25493</v>
      </c>
      <c r="I5376" s="24" t="s">
        <v>25494</v>
      </c>
      <c r="J5376" s="22" t="s">
        <v>378</v>
      </c>
      <c r="K5376" s="22"/>
      <c r="L5376" s="292">
        <v>635.0</v>
      </c>
      <c r="M5376" s="292"/>
      <c r="N5376" s="292"/>
      <c r="O5376" s="292"/>
      <c r="P5376" s="366"/>
      <c r="Q5376" s="292"/>
      <c r="R5376" s="292"/>
      <c r="S5376" s="292"/>
      <c r="T5376" s="28" t="s">
        <v>25495</v>
      </c>
      <c r="U5376" s="38" t="s">
        <v>61</v>
      </c>
      <c r="V5376" s="30"/>
      <c r="W5376" s="49"/>
      <c r="X5376" s="49"/>
      <c r="Y5376" s="35"/>
      <c r="Z5376" s="35"/>
      <c r="AA5376" s="35"/>
      <c r="AB5376" s="35"/>
      <c r="AC5376" s="35"/>
      <c r="AD5376" s="35"/>
      <c r="AE5376" s="35"/>
      <c r="AF5376" s="35"/>
      <c r="AG5376" s="35"/>
      <c r="AH5376" s="35"/>
      <c r="AI5376" s="35"/>
      <c r="AJ5376" s="35"/>
      <c r="AK5376" s="35"/>
      <c r="AL5376" s="35"/>
    </row>
    <row r="5377">
      <c r="A5377" s="18"/>
      <c r="B5377" s="75" t="s">
        <v>19332</v>
      </c>
      <c r="C5377" s="77" t="s">
        <v>25481</v>
      </c>
      <c r="D5377" s="47"/>
      <c r="E5377" s="22" t="s">
        <v>5058</v>
      </c>
      <c r="F5377" s="22" t="s">
        <v>12293</v>
      </c>
      <c r="G5377" s="23">
        <v>2022.0</v>
      </c>
      <c r="H5377" s="22" t="s">
        <v>15533</v>
      </c>
      <c r="I5377" s="24" t="s">
        <v>25496</v>
      </c>
      <c r="J5377" s="22" t="s">
        <v>55</v>
      </c>
      <c r="K5377" s="22"/>
      <c r="L5377" s="36">
        <v>660.0</v>
      </c>
      <c r="M5377" s="36"/>
      <c r="N5377" s="36">
        <v>1.0</v>
      </c>
      <c r="O5377" s="36" t="s">
        <v>25497</v>
      </c>
      <c r="P5377" s="37"/>
      <c r="Q5377" s="36" t="s">
        <v>96</v>
      </c>
      <c r="R5377" s="36"/>
      <c r="S5377" s="36"/>
      <c r="T5377" s="28" t="s">
        <v>25498</v>
      </c>
      <c r="U5377" s="29" t="s">
        <v>61</v>
      </c>
      <c r="V5377" s="30"/>
      <c r="W5377" s="34"/>
      <c r="X5377" s="49"/>
      <c r="Y5377" s="35"/>
      <c r="Z5377" s="35"/>
      <c r="AA5377" s="35"/>
      <c r="AB5377" s="35"/>
      <c r="AC5377" s="35"/>
      <c r="AD5377" s="35"/>
      <c r="AE5377" s="35"/>
      <c r="AF5377" s="35"/>
      <c r="AG5377" s="35"/>
      <c r="AH5377" s="35"/>
      <c r="AI5377" s="35"/>
      <c r="AJ5377" s="35"/>
      <c r="AK5377" s="35"/>
      <c r="AL5377" s="35"/>
    </row>
    <row r="5378">
      <c r="A5378" s="18"/>
      <c r="B5378" s="19" t="s">
        <v>19332</v>
      </c>
      <c r="C5378" s="20" t="s">
        <v>25481</v>
      </c>
      <c r="D5378" s="47"/>
      <c r="E5378" s="22" t="s">
        <v>999</v>
      </c>
      <c r="F5378" s="22" t="s">
        <v>358</v>
      </c>
      <c r="G5378" s="23">
        <v>2021.0</v>
      </c>
      <c r="H5378" s="22" t="s">
        <v>91</v>
      </c>
      <c r="I5378" s="24" t="s">
        <v>25499</v>
      </c>
      <c r="J5378" s="22" t="s">
        <v>55</v>
      </c>
      <c r="K5378" s="22"/>
      <c r="L5378" s="36">
        <v>830.0</v>
      </c>
      <c r="M5378" s="36">
        <v>30.0</v>
      </c>
      <c r="N5378" s="36"/>
      <c r="O5378" s="36"/>
      <c r="P5378" s="37" t="s">
        <v>25500</v>
      </c>
      <c r="Q5378" s="36" t="s">
        <v>25501</v>
      </c>
      <c r="R5378" s="36"/>
      <c r="S5378" s="36">
        <v>4.0</v>
      </c>
      <c r="T5378" s="28" t="s">
        <v>25502</v>
      </c>
      <c r="U5378" s="29" t="s">
        <v>61</v>
      </c>
      <c r="V5378" s="30"/>
      <c r="W5378" s="34"/>
      <c r="X5378" s="49"/>
      <c r="Y5378" s="35"/>
      <c r="Z5378" s="35"/>
      <c r="AA5378" s="35"/>
      <c r="AB5378" s="35"/>
      <c r="AC5378" s="35"/>
      <c r="AD5378" s="35"/>
      <c r="AE5378" s="35"/>
      <c r="AF5378" s="35"/>
      <c r="AG5378" s="35"/>
      <c r="AH5378" s="35"/>
      <c r="AI5378" s="35"/>
      <c r="AJ5378" s="35"/>
      <c r="AK5378" s="35"/>
      <c r="AL5378" s="35"/>
    </row>
    <row r="5379">
      <c r="A5379" s="18"/>
      <c r="B5379" s="19" t="s">
        <v>19332</v>
      </c>
      <c r="C5379" s="20" t="s">
        <v>25481</v>
      </c>
      <c r="D5379" s="47"/>
      <c r="E5379" s="22" t="s">
        <v>25503</v>
      </c>
      <c r="F5379" s="22" t="s">
        <v>52</v>
      </c>
      <c r="G5379" s="23">
        <v>2020.0</v>
      </c>
      <c r="H5379" s="22" t="s">
        <v>25504</v>
      </c>
      <c r="I5379" s="24" t="s">
        <v>25505</v>
      </c>
      <c r="J5379" s="22" t="s">
        <v>55</v>
      </c>
      <c r="K5379" s="22"/>
      <c r="L5379" s="36">
        <v>810.0</v>
      </c>
      <c r="M5379" s="36"/>
      <c r="N5379" s="36"/>
      <c r="O5379" s="36"/>
      <c r="P5379" s="37" t="s">
        <v>480</v>
      </c>
      <c r="Q5379" s="36"/>
      <c r="R5379" s="36"/>
      <c r="S5379" s="36"/>
      <c r="T5379" s="28" t="s">
        <v>25506</v>
      </c>
      <c r="U5379" s="38" t="str">
        <f>HYPERLINK("https://www.ncbi.nlm.nih.gov/pubmed/32292090","PubMed")</f>
        <v>PubMed</v>
      </c>
      <c r="V5379" s="30"/>
      <c r="W5379" s="34"/>
      <c r="X5379" s="49"/>
      <c r="Y5379" s="35"/>
      <c r="Z5379" s="35"/>
      <c r="AA5379" s="35"/>
      <c r="AB5379" s="35"/>
      <c r="AC5379" s="35"/>
      <c r="AD5379" s="35"/>
      <c r="AE5379" s="35"/>
      <c r="AF5379" s="35"/>
      <c r="AG5379" s="35"/>
      <c r="AH5379" s="35"/>
      <c r="AI5379" s="35"/>
      <c r="AJ5379" s="35"/>
      <c r="AK5379" s="35"/>
      <c r="AL5379" s="35"/>
    </row>
    <row r="5380">
      <c r="A5380" s="18"/>
      <c r="B5380" s="19" t="s">
        <v>19332</v>
      </c>
      <c r="C5380" s="20" t="s">
        <v>25481</v>
      </c>
      <c r="D5380" s="47"/>
      <c r="E5380" s="22" t="s">
        <v>1689</v>
      </c>
      <c r="F5380" s="22" t="s">
        <v>1690</v>
      </c>
      <c r="G5380" s="23">
        <v>2020.0</v>
      </c>
      <c r="H5380" s="22" t="s">
        <v>2594</v>
      </c>
      <c r="I5380" s="24" t="s">
        <v>25507</v>
      </c>
      <c r="J5380" s="22" t="s">
        <v>55</v>
      </c>
      <c r="K5380" s="22" t="s">
        <v>25508</v>
      </c>
      <c r="L5380" s="36">
        <v>450.0</v>
      </c>
      <c r="M5380" s="36">
        <v>25.0</v>
      </c>
      <c r="N5380" s="36"/>
      <c r="O5380" s="36"/>
      <c r="P5380" s="37" t="s">
        <v>671</v>
      </c>
      <c r="Q5380" s="36" t="s">
        <v>1141</v>
      </c>
      <c r="R5380" s="36">
        <v>60.0</v>
      </c>
      <c r="S5380" s="36"/>
      <c r="T5380" s="28" t="s">
        <v>25509</v>
      </c>
      <c r="U5380" s="38" t="str">
        <f>HYPERLINK("https://www.ncbi.nlm.nih.gov/pubmed/32014500","PubMed")</f>
        <v>PubMed</v>
      </c>
      <c r="V5380" s="30"/>
      <c r="W5380" s="34"/>
      <c r="X5380" s="49"/>
      <c r="Y5380" s="35"/>
      <c r="Z5380" s="35"/>
      <c r="AA5380" s="35"/>
      <c r="AB5380" s="35"/>
      <c r="AC5380" s="35"/>
      <c r="AD5380" s="35"/>
      <c r="AE5380" s="35"/>
      <c r="AF5380" s="35"/>
      <c r="AG5380" s="35"/>
      <c r="AH5380" s="35"/>
      <c r="AI5380" s="35"/>
      <c r="AJ5380" s="35"/>
      <c r="AK5380" s="35"/>
      <c r="AL5380" s="35"/>
    </row>
    <row r="5381">
      <c r="A5381" s="18"/>
      <c r="B5381" s="19" t="s">
        <v>19332</v>
      </c>
      <c r="C5381" s="20" t="s">
        <v>25481</v>
      </c>
      <c r="D5381" s="47"/>
      <c r="E5381" s="22" t="s">
        <v>1101</v>
      </c>
      <c r="F5381" s="22" t="s">
        <v>7657</v>
      </c>
      <c r="G5381" s="23" t="s">
        <v>16943</v>
      </c>
      <c r="H5381" s="22" t="s">
        <v>91</v>
      </c>
      <c r="I5381" s="24" t="s">
        <v>25510</v>
      </c>
      <c r="J5381" s="22" t="s">
        <v>55</v>
      </c>
      <c r="K5381" s="22" t="s">
        <v>294</v>
      </c>
      <c r="L5381" s="36" t="s">
        <v>112</v>
      </c>
      <c r="M5381" s="36"/>
      <c r="N5381" s="36"/>
      <c r="O5381" s="36"/>
      <c r="P5381" s="37"/>
      <c r="Q5381" s="36"/>
      <c r="R5381" s="36"/>
      <c r="S5381" s="36"/>
      <c r="T5381" s="28" t="s">
        <v>25511</v>
      </c>
      <c r="U5381" s="38" t="str">
        <f>HYPERLINK("https://www.ncbi.nlm.nih.gov/pubmed/31955304","PubMed")</f>
        <v>PubMed</v>
      </c>
      <c r="V5381" s="30"/>
      <c r="W5381" s="34"/>
      <c r="X5381" s="49"/>
      <c r="Y5381" s="35"/>
      <c r="Z5381" s="35"/>
      <c r="AA5381" s="35"/>
      <c r="AB5381" s="35"/>
      <c r="AC5381" s="35"/>
      <c r="AD5381" s="35"/>
      <c r="AE5381" s="35"/>
      <c r="AF5381" s="35"/>
      <c r="AG5381" s="35"/>
      <c r="AH5381" s="35"/>
      <c r="AI5381" s="35"/>
      <c r="AJ5381" s="35"/>
      <c r="AK5381" s="35"/>
      <c r="AL5381" s="35"/>
    </row>
    <row r="5382">
      <c r="A5382" s="18"/>
      <c r="B5382" s="19" t="s">
        <v>19332</v>
      </c>
      <c r="C5382" s="20" t="s">
        <v>25481</v>
      </c>
      <c r="D5382" s="47"/>
      <c r="E5382" s="22" t="s">
        <v>25512</v>
      </c>
      <c r="F5382" s="22" t="s">
        <v>1943</v>
      </c>
      <c r="G5382" s="23">
        <v>2019.0</v>
      </c>
      <c r="H5382" s="22" t="s">
        <v>19565</v>
      </c>
      <c r="I5382" s="24" t="s">
        <v>25513</v>
      </c>
      <c r="J5382" s="22" t="s">
        <v>253</v>
      </c>
      <c r="K5382" s="22"/>
      <c r="L5382" s="36">
        <v>810.0</v>
      </c>
      <c r="M5382" s="36">
        <v>100.0</v>
      </c>
      <c r="N5382" s="129"/>
      <c r="O5382" s="36">
        <v>18.0</v>
      </c>
      <c r="P5382" s="37" t="s">
        <v>24004</v>
      </c>
      <c r="Q5382" s="36" t="s">
        <v>25514</v>
      </c>
      <c r="R5382" s="36">
        <v>180.0</v>
      </c>
      <c r="S5382" s="36"/>
      <c r="T5382" s="28" t="s">
        <v>25515</v>
      </c>
      <c r="U5382" s="38" t="str">
        <f>HYPERLINK("https://www.ncbi.nlm.nih.gov/pubmed/31316672","PubMed")</f>
        <v>PubMed</v>
      </c>
      <c r="V5382" s="30"/>
      <c r="W5382" s="49"/>
      <c r="X5382" s="49"/>
      <c r="Y5382" s="35"/>
      <c r="Z5382" s="35"/>
      <c r="AA5382" s="35"/>
      <c r="AB5382" s="35"/>
      <c r="AC5382" s="35"/>
      <c r="AD5382" s="35"/>
      <c r="AE5382" s="35"/>
      <c r="AF5382" s="35"/>
      <c r="AG5382" s="35"/>
      <c r="AH5382" s="35"/>
      <c r="AI5382" s="35"/>
      <c r="AJ5382" s="35"/>
      <c r="AK5382" s="35"/>
      <c r="AL5382" s="35"/>
    </row>
    <row r="5383">
      <c r="A5383" s="18"/>
      <c r="B5383" s="19" t="s">
        <v>19332</v>
      </c>
      <c r="C5383" s="20" t="s">
        <v>25481</v>
      </c>
      <c r="D5383" s="47"/>
      <c r="E5383" s="22" t="s">
        <v>25516</v>
      </c>
      <c r="F5383" s="22" t="s">
        <v>23201</v>
      </c>
      <c r="G5383" s="23">
        <v>2019.0</v>
      </c>
      <c r="H5383" s="22" t="s">
        <v>77</v>
      </c>
      <c r="I5383" s="24" t="s">
        <v>25517</v>
      </c>
      <c r="J5383" s="22" t="s">
        <v>2049</v>
      </c>
      <c r="K5383" s="22"/>
      <c r="L5383" s="36">
        <v>650.0</v>
      </c>
      <c r="M5383" s="36">
        <v>100.0</v>
      </c>
      <c r="N5383" s="36" t="s">
        <v>267</v>
      </c>
      <c r="O5383" s="36">
        <v>10.0</v>
      </c>
      <c r="P5383" s="37" t="s">
        <v>287</v>
      </c>
      <c r="Q5383" s="36" t="s">
        <v>840</v>
      </c>
      <c r="R5383" s="36">
        <v>100.0</v>
      </c>
      <c r="S5383" s="36">
        <v>1.0</v>
      </c>
      <c r="T5383" s="42" t="s">
        <v>25518</v>
      </c>
      <c r="U5383" s="38" t="str">
        <f>HYPERLINK("https://www.ncbi.nlm.nih.gov/pubmed/31084563","PubMed")</f>
        <v>PubMed</v>
      </c>
      <c r="V5383" s="30"/>
      <c r="W5383" s="49"/>
      <c r="X5383" s="49"/>
      <c r="Y5383" s="35"/>
      <c r="Z5383" s="35"/>
      <c r="AA5383" s="35"/>
      <c r="AB5383" s="35"/>
      <c r="AC5383" s="35"/>
      <c r="AD5383" s="35"/>
      <c r="AE5383" s="35"/>
      <c r="AF5383" s="35"/>
      <c r="AG5383" s="35"/>
      <c r="AH5383" s="35"/>
      <c r="AI5383" s="35"/>
      <c r="AJ5383" s="35"/>
      <c r="AK5383" s="35"/>
      <c r="AL5383" s="35"/>
    </row>
    <row r="5384">
      <c r="A5384" s="18"/>
      <c r="B5384" s="19" t="s">
        <v>19332</v>
      </c>
      <c r="C5384" s="20" t="s">
        <v>25481</v>
      </c>
      <c r="D5384" s="47"/>
      <c r="E5384" s="22" t="s">
        <v>2316</v>
      </c>
      <c r="F5384" s="22" t="s">
        <v>2437</v>
      </c>
      <c r="G5384" s="23">
        <v>2018.0</v>
      </c>
      <c r="H5384" s="22" t="s">
        <v>91</v>
      </c>
      <c r="I5384" s="24" t="s">
        <v>25519</v>
      </c>
      <c r="J5384" s="22" t="s">
        <v>55</v>
      </c>
      <c r="K5384" s="22"/>
      <c r="L5384" s="36">
        <v>650.0</v>
      </c>
      <c r="M5384" s="36" t="s">
        <v>58</v>
      </c>
      <c r="N5384" s="36" t="s">
        <v>5323</v>
      </c>
      <c r="O5384" s="36" t="s">
        <v>58</v>
      </c>
      <c r="P5384" s="37" t="s">
        <v>82</v>
      </c>
      <c r="Q5384" s="36" t="s">
        <v>6653</v>
      </c>
      <c r="R5384" s="36">
        <v>600.0</v>
      </c>
      <c r="S5384" s="36" t="s">
        <v>25520</v>
      </c>
      <c r="T5384" s="42" t="s">
        <v>25521</v>
      </c>
      <c r="U5384" s="38" t="str">
        <f>HYPERLINK("https://www.ncbi.nlm.nih.gov/pubmed/30341668","PubMed")</f>
        <v>PubMed</v>
      </c>
      <c r="V5384" s="30"/>
      <c r="W5384" s="49"/>
      <c r="X5384" s="49"/>
      <c r="Y5384" s="35"/>
      <c r="Z5384" s="35"/>
      <c r="AA5384" s="35"/>
      <c r="AB5384" s="35"/>
      <c r="AC5384" s="35"/>
      <c r="AD5384" s="35"/>
      <c r="AE5384" s="35"/>
      <c r="AF5384" s="35"/>
      <c r="AG5384" s="35"/>
      <c r="AH5384" s="35"/>
      <c r="AI5384" s="35"/>
      <c r="AJ5384" s="35"/>
      <c r="AK5384" s="35"/>
      <c r="AL5384" s="35"/>
    </row>
    <row r="5385">
      <c r="A5385" s="278" t="s">
        <v>38</v>
      </c>
      <c r="B5385" s="19" t="s">
        <v>19332</v>
      </c>
      <c r="C5385" s="20" t="s">
        <v>25481</v>
      </c>
      <c r="D5385" s="47"/>
      <c r="E5385" s="22" t="s">
        <v>18010</v>
      </c>
      <c r="F5385" s="22" t="s">
        <v>25522</v>
      </c>
      <c r="G5385" s="23">
        <v>2018.0</v>
      </c>
      <c r="H5385" s="22" t="s">
        <v>7933</v>
      </c>
      <c r="I5385" s="24" t="s">
        <v>25523</v>
      </c>
      <c r="J5385" s="22" t="s">
        <v>378</v>
      </c>
      <c r="K5385" s="22"/>
      <c r="L5385" s="36">
        <v>633.0</v>
      </c>
      <c r="M5385" s="129">
        <v>43230.0</v>
      </c>
      <c r="N5385" s="36"/>
      <c r="O5385" s="36"/>
      <c r="P5385" s="37" t="s">
        <v>287</v>
      </c>
      <c r="Q5385" s="36"/>
      <c r="R5385" s="36">
        <v>3600.0</v>
      </c>
      <c r="S5385" s="36"/>
      <c r="T5385" s="28" t="s">
        <v>25524</v>
      </c>
      <c r="U5385" s="38" t="str">
        <f>HYPERLINK("https://www.ncbi.nlm.nih.gov/pubmed/30085334","PubMed")</f>
        <v>PubMed</v>
      </c>
      <c r="V5385" s="30"/>
      <c r="W5385" s="49"/>
      <c r="X5385" s="49"/>
      <c r="Y5385" s="35"/>
      <c r="Z5385" s="35"/>
      <c r="AA5385" s="35"/>
      <c r="AB5385" s="35"/>
      <c r="AC5385" s="35"/>
      <c r="AD5385" s="35"/>
      <c r="AE5385" s="35"/>
      <c r="AF5385" s="35"/>
      <c r="AG5385" s="35"/>
      <c r="AH5385" s="35"/>
      <c r="AI5385" s="35"/>
      <c r="AJ5385" s="35"/>
      <c r="AK5385" s="35"/>
      <c r="AL5385" s="35"/>
    </row>
    <row r="5386">
      <c r="A5386" s="18" t="s">
        <v>38</v>
      </c>
      <c r="B5386" s="19" t="s">
        <v>19332</v>
      </c>
      <c r="C5386" s="20" t="s">
        <v>25481</v>
      </c>
      <c r="D5386" s="47"/>
      <c r="E5386" s="22" t="s">
        <v>25525</v>
      </c>
      <c r="F5386" s="22" t="s">
        <v>25526</v>
      </c>
      <c r="G5386" s="23">
        <v>2018.0</v>
      </c>
      <c r="H5386" s="22" t="s">
        <v>611</v>
      </c>
      <c r="I5386" s="24" t="s">
        <v>25527</v>
      </c>
      <c r="J5386" s="22" t="s">
        <v>55</v>
      </c>
      <c r="K5386" s="22"/>
      <c r="L5386" s="36">
        <v>810.0</v>
      </c>
      <c r="M5386" s="36" t="s">
        <v>13048</v>
      </c>
      <c r="N5386" s="36"/>
      <c r="O5386" s="36">
        <v>10.0</v>
      </c>
      <c r="P5386" s="37"/>
      <c r="Q5386" s="36"/>
      <c r="R5386" s="36">
        <v>20.0</v>
      </c>
      <c r="S5386" s="36"/>
      <c r="T5386" s="28" t="s">
        <v>25528</v>
      </c>
      <c r="U5386" s="38" t="str">
        <f>HYPERLINK("https://www.ncbi.nlm.nih.gov/pubmed/30020350","PubMed")</f>
        <v>PubMed</v>
      </c>
      <c r="V5386" s="30"/>
      <c r="W5386" s="49"/>
      <c r="X5386" s="49"/>
      <c r="Y5386" s="35"/>
      <c r="Z5386" s="35"/>
      <c r="AA5386" s="35"/>
      <c r="AB5386" s="35"/>
      <c r="AC5386" s="35"/>
      <c r="AD5386" s="35"/>
      <c r="AE5386" s="35"/>
      <c r="AF5386" s="35"/>
      <c r="AG5386" s="35"/>
      <c r="AH5386" s="35"/>
      <c r="AI5386" s="35"/>
      <c r="AJ5386" s="35"/>
      <c r="AK5386" s="35"/>
      <c r="AL5386" s="35"/>
    </row>
    <row r="5387">
      <c r="A5387" s="18" t="s">
        <v>38</v>
      </c>
      <c r="B5387" s="19" t="s">
        <v>19332</v>
      </c>
      <c r="C5387" s="20" t="s">
        <v>25481</v>
      </c>
      <c r="D5387" s="47"/>
      <c r="E5387" s="22" t="s">
        <v>25529</v>
      </c>
      <c r="F5387" s="22" t="s">
        <v>52</v>
      </c>
      <c r="G5387" s="23">
        <v>2017.0</v>
      </c>
      <c r="H5387" s="22" t="s">
        <v>798</v>
      </c>
      <c r="I5387" s="24" t="s">
        <v>25530</v>
      </c>
      <c r="J5387" s="22" t="s">
        <v>55</v>
      </c>
      <c r="K5387" s="22" t="s">
        <v>25531</v>
      </c>
      <c r="L5387" s="36">
        <v>830.0</v>
      </c>
      <c r="M5387" s="36">
        <v>50.0</v>
      </c>
      <c r="N5387" s="36"/>
      <c r="O5387" s="36"/>
      <c r="P5387" s="37" t="s">
        <v>95</v>
      </c>
      <c r="Q5387" s="36"/>
      <c r="R5387" s="36">
        <v>200.0</v>
      </c>
      <c r="S5387" s="36">
        <v>7.0</v>
      </c>
      <c r="T5387" s="28" t="s">
        <v>25532</v>
      </c>
      <c r="U5387" s="38" t="str">
        <f>HYPERLINK("https://www.ncbi.nlm.nih.gov/pubmed/29125929","PubMed")</f>
        <v>PubMed</v>
      </c>
      <c r="V5387" s="30"/>
      <c r="W5387" s="49"/>
      <c r="X5387" s="49"/>
      <c r="Y5387" s="35"/>
      <c r="Z5387" s="35"/>
      <c r="AA5387" s="35"/>
      <c r="AB5387" s="35"/>
      <c r="AC5387" s="35"/>
      <c r="AD5387" s="35"/>
      <c r="AE5387" s="35"/>
      <c r="AF5387" s="35"/>
      <c r="AG5387" s="35"/>
      <c r="AH5387" s="35"/>
      <c r="AI5387" s="35"/>
      <c r="AJ5387" s="35"/>
      <c r="AK5387" s="35"/>
      <c r="AL5387" s="35"/>
    </row>
    <row r="5388">
      <c r="A5388" s="18" t="s">
        <v>2</v>
      </c>
      <c r="B5388" s="19" t="s">
        <v>19332</v>
      </c>
      <c r="C5388" s="20" t="s">
        <v>25481</v>
      </c>
      <c r="D5388" s="47"/>
      <c r="E5388" s="22" t="s">
        <v>25533</v>
      </c>
      <c r="F5388" s="22" t="s">
        <v>12293</v>
      </c>
      <c r="G5388" s="23">
        <v>2017.0</v>
      </c>
      <c r="H5388" s="22" t="s">
        <v>611</v>
      </c>
      <c r="I5388" s="24" t="s">
        <v>25534</v>
      </c>
      <c r="J5388" s="22" t="s">
        <v>55</v>
      </c>
      <c r="K5388" s="22"/>
      <c r="L5388" s="36">
        <v>660.0</v>
      </c>
      <c r="M5388" s="36">
        <v>30.0</v>
      </c>
      <c r="N5388" s="36" t="s">
        <v>19667</v>
      </c>
      <c r="O5388" s="36" t="s">
        <v>16757</v>
      </c>
      <c r="P5388" s="37" t="s">
        <v>13354</v>
      </c>
      <c r="Q5388" s="36" t="s">
        <v>809</v>
      </c>
      <c r="R5388" s="36">
        <v>400.0</v>
      </c>
      <c r="S5388" s="36" t="s">
        <v>860</v>
      </c>
      <c r="T5388" s="28" t="s">
        <v>25535</v>
      </c>
      <c r="U5388" s="38" t="str">
        <f>HYPERLINK("https://www.ncbi.nlm.nih.gov/pubmed/28877277","PubMed")</f>
        <v>PubMed</v>
      </c>
      <c r="V5388" s="30"/>
      <c r="W5388" s="49"/>
      <c r="X5388" s="49"/>
      <c r="Y5388" s="35"/>
      <c r="Z5388" s="35"/>
      <c r="AA5388" s="35"/>
      <c r="AB5388" s="35"/>
      <c r="AC5388" s="35"/>
      <c r="AD5388" s="35"/>
      <c r="AE5388" s="35"/>
      <c r="AF5388" s="35"/>
      <c r="AG5388" s="35"/>
      <c r="AH5388" s="35"/>
      <c r="AI5388" s="35"/>
      <c r="AJ5388" s="35"/>
      <c r="AK5388" s="35"/>
      <c r="AL5388" s="35"/>
    </row>
    <row r="5389">
      <c r="A5389" s="1"/>
      <c r="B5389" s="19" t="s">
        <v>19332</v>
      </c>
      <c r="C5389" s="20" t="s">
        <v>25481</v>
      </c>
      <c r="D5389" s="47"/>
      <c r="E5389" s="22" t="s">
        <v>5978</v>
      </c>
      <c r="F5389" s="22" t="s">
        <v>765</v>
      </c>
      <c r="G5389" s="23" t="s">
        <v>90</v>
      </c>
      <c r="H5389" s="22" t="s">
        <v>8177</v>
      </c>
      <c r="I5389" s="24" t="s">
        <v>25536</v>
      </c>
      <c r="J5389" s="22" t="s">
        <v>55</v>
      </c>
      <c r="K5389" s="22"/>
      <c r="L5389" s="36">
        <v>660.0</v>
      </c>
      <c r="M5389" s="36">
        <v>35.0</v>
      </c>
      <c r="N5389" s="36"/>
      <c r="O5389" s="36"/>
      <c r="P5389" s="37" t="s">
        <v>25537</v>
      </c>
      <c r="Q5389" s="36"/>
      <c r="R5389" s="36"/>
      <c r="S5389" s="106"/>
      <c r="T5389" s="42" t="s">
        <v>25538</v>
      </c>
      <c r="U5389" s="38" t="str">
        <f>HYPERLINK("https://www.ncbi.nlm.nih.gov/pubmed/28488051","PubMed")</f>
        <v>PubMed</v>
      </c>
      <c r="V5389" s="30"/>
      <c r="W5389" s="49"/>
      <c r="X5389" s="49"/>
      <c r="Y5389" s="35"/>
      <c r="Z5389" s="35"/>
      <c r="AA5389" s="35"/>
      <c r="AB5389" s="35"/>
      <c r="AC5389" s="35"/>
      <c r="AD5389" s="35"/>
      <c r="AE5389" s="35"/>
      <c r="AF5389" s="35"/>
      <c r="AG5389" s="35"/>
      <c r="AH5389" s="35"/>
      <c r="AI5389" s="35"/>
      <c r="AJ5389" s="35"/>
      <c r="AK5389" s="35"/>
      <c r="AL5389" s="35"/>
    </row>
    <row r="5390">
      <c r="A5390" s="1"/>
      <c r="B5390" s="19" t="s">
        <v>19332</v>
      </c>
      <c r="C5390" s="20" t="s">
        <v>25481</v>
      </c>
      <c r="D5390" s="47"/>
      <c r="E5390" s="22" t="s">
        <v>2361</v>
      </c>
      <c r="F5390" s="22" t="s">
        <v>206</v>
      </c>
      <c r="G5390" s="23">
        <v>2016.0</v>
      </c>
      <c r="H5390" s="57" t="s">
        <v>91</v>
      </c>
      <c r="I5390" s="24" t="s">
        <v>25539</v>
      </c>
      <c r="J5390" s="22" t="s">
        <v>55</v>
      </c>
      <c r="K5390" s="22" t="s">
        <v>157</v>
      </c>
      <c r="L5390" s="36">
        <v>660.0</v>
      </c>
      <c r="M5390" s="36" t="s">
        <v>25540</v>
      </c>
      <c r="N5390" s="36" t="s">
        <v>25541</v>
      </c>
      <c r="O5390" s="36"/>
      <c r="P5390" s="37" t="s">
        <v>95</v>
      </c>
      <c r="Q5390" s="36"/>
      <c r="R5390" s="36"/>
      <c r="S5390" s="36" t="s">
        <v>25542</v>
      </c>
      <c r="T5390" s="28" t="s">
        <v>25543</v>
      </c>
      <c r="U5390" s="38" t="str">
        <f>HYPERLINK("https://www.ncbi.nlm.nih.gov/pubmed/27184157","PubMed")</f>
        <v>PubMed</v>
      </c>
      <c r="V5390" s="30"/>
      <c r="W5390" s="49"/>
      <c r="X5390" s="49"/>
      <c r="Y5390" s="35"/>
      <c r="Z5390" s="35"/>
      <c r="AA5390" s="35"/>
      <c r="AB5390" s="35"/>
      <c r="AC5390" s="35"/>
      <c r="AD5390" s="35"/>
      <c r="AE5390" s="35"/>
      <c r="AF5390" s="35"/>
      <c r="AG5390" s="35"/>
      <c r="AH5390" s="35"/>
      <c r="AI5390" s="35"/>
      <c r="AJ5390" s="35"/>
      <c r="AK5390" s="35"/>
      <c r="AL5390" s="35"/>
    </row>
    <row r="5391">
      <c r="A5391" s="1"/>
      <c r="B5391" s="19" t="s">
        <v>19332</v>
      </c>
      <c r="C5391" s="20" t="s">
        <v>25481</v>
      </c>
      <c r="D5391" s="47"/>
      <c r="E5391" s="22" t="s">
        <v>5978</v>
      </c>
      <c r="F5391" s="22" t="s">
        <v>765</v>
      </c>
      <c r="G5391" s="23">
        <v>2016.0</v>
      </c>
      <c r="H5391" s="22" t="s">
        <v>14965</v>
      </c>
      <c r="I5391" s="24" t="s">
        <v>25544</v>
      </c>
      <c r="J5391" s="22" t="s">
        <v>55</v>
      </c>
      <c r="K5391" s="22"/>
      <c r="L5391" s="36">
        <v>660.0</v>
      </c>
      <c r="M5391" s="36"/>
      <c r="N5391" s="36" t="s">
        <v>9755</v>
      </c>
      <c r="O5391" s="129">
        <v>42770.0</v>
      </c>
      <c r="P5391" s="37"/>
      <c r="Q5391" s="36"/>
      <c r="R5391" s="36">
        <v>120.0</v>
      </c>
      <c r="S5391" s="36" t="s">
        <v>18105</v>
      </c>
      <c r="T5391" s="28" t="s">
        <v>25545</v>
      </c>
      <c r="U5391" s="38" t="str">
        <f>HYPERLINK("https://www.ncbi.nlm.nih.gov/pubmed/26750739","PubMed")</f>
        <v>PubMed</v>
      </c>
      <c r="V5391" s="30"/>
      <c r="W5391" s="49"/>
      <c r="X5391" s="49"/>
      <c r="Y5391" s="35"/>
      <c r="Z5391" s="35"/>
      <c r="AA5391" s="35"/>
      <c r="AB5391" s="35"/>
      <c r="AC5391" s="35"/>
      <c r="AD5391" s="35"/>
      <c r="AE5391" s="35"/>
      <c r="AF5391" s="35"/>
      <c r="AG5391" s="35"/>
      <c r="AH5391" s="35"/>
      <c r="AI5391" s="35"/>
      <c r="AJ5391" s="35"/>
      <c r="AK5391" s="35"/>
      <c r="AL5391" s="35"/>
    </row>
    <row r="5392">
      <c r="A5392" s="1"/>
      <c r="B5392" s="19" t="s">
        <v>19332</v>
      </c>
      <c r="C5392" s="20" t="s">
        <v>25481</v>
      </c>
      <c r="D5392" s="47"/>
      <c r="E5392" s="22" t="s">
        <v>5978</v>
      </c>
      <c r="F5392" s="22" t="s">
        <v>765</v>
      </c>
      <c r="G5392" s="23">
        <v>2015.0</v>
      </c>
      <c r="H5392" s="57" t="s">
        <v>91</v>
      </c>
      <c r="I5392" s="24" t="s">
        <v>25546</v>
      </c>
      <c r="J5392" s="22" t="s">
        <v>55</v>
      </c>
      <c r="K5392" s="22"/>
      <c r="L5392" s="36">
        <v>808.0</v>
      </c>
      <c r="M5392" s="36" t="s">
        <v>25547</v>
      </c>
      <c r="N5392" s="36">
        <v>833.0</v>
      </c>
      <c r="O5392" s="36">
        <v>10.0</v>
      </c>
      <c r="P5392" s="37"/>
      <c r="Q5392" s="36" t="s">
        <v>1563</v>
      </c>
      <c r="R5392" s="36">
        <v>20.0</v>
      </c>
      <c r="S5392" s="36"/>
      <c r="T5392" s="28" t="s">
        <v>25548</v>
      </c>
      <c r="U5392" s="38" t="str">
        <f>HYPERLINK("https://www.ncbi.nlm.nih.gov/pubmed/24733282","PubMed")</f>
        <v>PubMed</v>
      </c>
      <c r="V5392" s="30"/>
      <c r="W5392" s="49"/>
      <c r="X5392" s="49"/>
      <c r="Y5392" s="35"/>
      <c r="Z5392" s="35"/>
      <c r="AA5392" s="35"/>
      <c r="AB5392" s="35"/>
      <c r="AC5392" s="35"/>
      <c r="AD5392" s="35"/>
      <c r="AE5392" s="35"/>
      <c r="AF5392" s="35"/>
      <c r="AG5392" s="35"/>
      <c r="AH5392" s="35"/>
      <c r="AI5392" s="35"/>
      <c r="AJ5392" s="35"/>
      <c r="AK5392" s="35"/>
      <c r="AL5392" s="35"/>
    </row>
    <row r="5393">
      <c r="A5393" s="1"/>
      <c r="B5393" s="19" t="s">
        <v>19332</v>
      </c>
      <c r="C5393" s="20" t="s">
        <v>25481</v>
      </c>
      <c r="D5393" s="47"/>
      <c r="E5393" s="22" t="s">
        <v>1507</v>
      </c>
      <c r="F5393" s="22" t="s">
        <v>25549</v>
      </c>
      <c r="G5393" s="23">
        <v>2015.0</v>
      </c>
      <c r="H5393" s="57" t="s">
        <v>91</v>
      </c>
      <c r="I5393" s="24" t="s">
        <v>25550</v>
      </c>
      <c r="J5393" s="22" t="s">
        <v>55</v>
      </c>
      <c r="K5393" s="22" t="s">
        <v>157</v>
      </c>
      <c r="L5393" s="36">
        <v>660.0</v>
      </c>
      <c r="M5393" s="36"/>
      <c r="N5393" s="36" t="s">
        <v>6876</v>
      </c>
      <c r="O5393" s="36"/>
      <c r="P5393" s="37" t="s">
        <v>95</v>
      </c>
      <c r="Q5393" s="36"/>
      <c r="R5393" s="36"/>
      <c r="S5393" s="36" t="s">
        <v>25551</v>
      </c>
      <c r="T5393" s="28" t="s">
        <v>25552</v>
      </c>
      <c r="U5393" s="38" t="str">
        <f>HYPERLINK("https://www.ncbi.nlm.nih.gov/pubmed/23933707","PubMed")</f>
        <v>PubMed</v>
      </c>
      <c r="V5393" s="30"/>
      <c r="W5393" s="49"/>
      <c r="X5393" s="49"/>
      <c r="Y5393" s="35"/>
      <c r="Z5393" s="35"/>
      <c r="AA5393" s="35"/>
      <c r="AB5393" s="35"/>
      <c r="AC5393" s="35"/>
      <c r="AD5393" s="35"/>
      <c r="AE5393" s="35"/>
      <c r="AF5393" s="35"/>
      <c r="AG5393" s="35"/>
      <c r="AH5393" s="35"/>
      <c r="AI5393" s="35"/>
      <c r="AJ5393" s="35"/>
      <c r="AK5393" s="35"/>
      <c r="AL5393" s="35"/>
    </row>
    <row r="5394">
      <c r="A5394" s="1"/>
      <c r="B5394" s="19" t="s">
        <v>19332</v>
      </c>
      <c r="C5394" s="20" t="s">
        <v>25481</v>
      </c>
      <c r="D5394" s="47"/>
      <c r="E5394" s="22" t="s">
        <v>25553</v>
      </c>
      <c r="F5394" s="22" t="s">
        <v>1714</v>
      </c>
      <c r="G5394" s="23">
        <v>2014.0</v>
      </c>
      <c r="H5394" s="22" t="s">
        <v>627</v>
      </c>
      <c r="I5394" s="24" t="s">
        <v>25554</v>
      </c>
      <c r="J5394" s="22" t="s">
        <v>55</v>
      </c>
      <c r="K5394" s="22"/>
      <c r="L5394" s="36" t="s">
        <v>1842</v>
      </c>
      <c r="M5394" s="36"/>
      <c r="N5394" s="36"/>
      <c r="O5394" s="36" t="s">
        <v>25555</v>
      </c>
      <c r="P5394" s="37"/>
      <c r="Q5394" s="36"/>
      <c r="R5394" s="36"/>
      <c r="S5394" s="36" t="s">
        <v>745</v>
      </c>
      <c r="T5394" s="28" t="s">
        <v>25556</v>
      </c>
      <c r="U5394" s="38" t="str">
        <f>HYPERLINK("https://www.ncbi.nlm.nih.gov/pubmed/24927024","PubMed")</f>
        <v>PubMed</v>
      </c>
      <c r="V5394" s="30" t="s">
        <v>25557</v>
      </c>
      <c r="W5394" s="49"/>
      <c r="X5394" s="49"/>
      <c r="Y5394" s="35"/>
      <c r="Z5394" s="35"/>
      <c r="AA5394" s="35"/>
      <c r="AB5394" s="35"/>
      <c r="AC5394" s="35"/>
      <c r="AD5394" s="35"/>
      <c r="AE5394" s="35"/>
      <c r="AF5394" s="35"/>
      <c r="AG5394" s="35"/>
      <c r="AH5394" s="35"/>
      <c r="AI5394" s="35"/>
      <c r="AJ5394" s="35"/>
      <c r="AK5394" s="35"/>
      <c r="AL5394" s="35"/>
    </row>
    <row r="5395">
      <c r="A5395" s="1"/>
      <c r="B5395" s="19" t="s">
        <v>19332</v>
      </c>
      <c r="C5395" s="20" t="s">
        <v>25481</v>
      </c>
      <c r="D5395" s="47"/>
      <c r="E5395" s="22" t="s">
        <v>25558</v>
      </c>
      <c r="F5395" s="22" t="s">
        <v>765</v>
      </c>
      <c r="G5395" s="23">
        <v>2014.0</v>
      </c>
      <c r="H5395" s="22" t="s">
        <v>23271</v>
      </c>
      <c r="I5395" s="24" t="s">
        <v>25559</v>
      </c>
      <c r="J5395" s="22" t="s">
        <v>55</v>
      </c>
      <c r="K5395" s="22"/>
      <c r="L5395" s="36">
        <v>660.0</v>
      </c>
      <c r="M5395" s="36">
        <v>35.0</v>
      </c>
      <c r="N5395" s="36"/>
      <c r="O5395" s="36" t="s">
        <v>15916</v>
      </c>
      <c r="P5395" s="37" t="s">
        <v>82</v>
      </c>
      <c r="Q5395" s="36" t="s">
        <v>938</v>
      </c>
      <c r="R5395" s="36">
        <v>5.0</v>
      </c>
      <c r="S5395" s="36">
        <v>1.0</v>
      </c>
      <c r="T5395" s="28" t="s">
        <v>25560</v>
      </c>
      <c r="U5395" s="38" t="str">
        <f>HYPERLINK("https://www.ncbi.nlm.nih.gov/pubmed/24001046","PubMed")</f>
        <v>PubMed</v>
      </c>
      <c r="V5395" s="30"/>
      <c r="W5395" s="49"/>
      <c r="X5395" s="49"/>
      <c r="Y5395" s="35"/>
      <c r="Z5395" s="35"/>
      <c r="AA5395" s="35"/>
      <c r="AB5395" s="35"/>
      <c r="AC5395" s="35"/>
      <c r="AD5395" s="35"/>
      <c r="AE5395" s="35"/>
      <c r="AF5395" s="35"/>
      <c r="AG5395" s="35"/>
      <c r="AH5395" s="35"/>
      <c r="AI5395" s="35"/>
      <c r="AJ5395" s="35"/>
      <c r="AK5395" s="35"/>
      <c r="AL5395" s="35"/>
    </row>
    <row r="5396">
      <c r="A5396" s="1"/>
      <c r="B5396" s="19" t="s">
        <v>19332</v>
      </c>
      <c r="C5396" s="20" t="s">
        <v>25481</v>
      </c>
      <c r="D5396" s="47"/>
      <c r="E5396" s="22" t="s">
        <v>25561</v>
      </c>
      <c r="F5396" s="22" t="s">
        <v>578</v>
      </c>
      <c r="G5396" s="23">
        <v>2014.0</v>
      </c>
      <c r="H5396" s="57" t="s">
        <v>207</v>
      </c>
      <c r="I5396" s="24" t="s">
        <v>25562</v>
      </c>
      <c r="J5396" s="22" t="s">
        <v>55</v>
      </c>
      <c r="K5396" s="22"/>
      <c r="L5396" s="36">
        <v>780.0</v>
      </c>
      <c r="M5396" s="36">
        <v>70.0</v>
      </c>
      <c r="N5396" s="36" t="s">
        <v>827</v>
      </c>
      <c r="O5396" s="36" t="s">
        <v>21614</v>
      </c>
      <c r="P5396" s="37" t="s">
        <v>9353</v>
      </c>
      <c r="Q5396" s="36" t="s">
        <v>830</v>
      </c>
      <c r="R5396" s="36" t="s">
        <v>23787</v>
      </c>
      <c r="S5396" s="36" t="s">
        <v>1061</v>
      </c>
      <c r="T5396" s="28" t="s">
        <v>25563</v>
      </c>
      <c r="U5396" s="38" t="str">
        <f>HYPERLINK("https://www.ncbi.nlm.nih.gov/pubmed/24814932","PubMed")</f>
        <v>PubMed</v>
      </c>
      <c r="V5396" s="30"/>
      <c r="W5396" s="49"/>
      <c r="X5396" s="49"/>
      <c r="Y5396" s="35"/>
      <c r="Z5396" s="35"/>
      <c r="AA5396" s="35"/>
      <c r="AB5396" s="35"/>
      <c r="AC5396" s="35"/>
      <c r="AD5396" s="35"/>
      <c r="AE5396" s="35"/>
      <c r="AF5396" s="35"/>
      <c r="AG5396" s="35"/>
      <c r="AH5396" s="35"/>
      <c r="AI5396" s="35"/>
      <c r="AJ5396" s="35"/>
      <c r="AK5396" s="35"/>
      <c r="AL5396" s="35"/>
    </row>
    <row r="5397">
      <c r="A5397" s="1"/>
      <c r="B5397" s="19" t="s">
        <v>19332</v>
      </c>
      <c r="C5397" s="20" t="s">
        <v>25481</v>
      </c>
      <c r="D5397" s="47"/>
      <c r="E5397" s="22" t="s">
        <v>1507</v>
      </c>
      <c r="F5397" s="22" t="s">
        <v>6888</v>
      </c>
      <c r="G5397" s="23">
        <v>2013.0</v>
      </c>
      <c r="H5397" s="57" t="s">
        <v>14965</v>
      </c>
      <c r="I5397" s="24" t="s">
        <v>25564</v>
      </c>
      <c r="J5397" s="22" t="s">
        <v>55</v>
      </c>
      <c r="K5397" s="22" t="s">
        <v>25565</v>
      </c>
      <c r="L5397" s="36">
        <v>660.0</v>
      </c>
      <c r="M5397" s="36"/>
      <c r="N5397" s="36"/>
      <c r="O5397" s="36"/>
      <c r="P5397" s="37" t="s">
        <v>1765</v>
      </c>
      <c r="Q5397" s="36"/>
      <c r="R5397" s="36"/>
      <c r="S5397" s="36">
        <v>1.0</v>
      </c>
      <c r="T5397" s="28" t="s">
        <v>25566</v>
      </c>
      <c r="U5397" s="38" t="str">
        <f>HYPERLINK("https://www.ncbi.nlm.nih.gov/pubmed/22845797","PubMed")</f>
        <v>PubMed</v>
      </c>
      <c r="V5397" s="30"/>
      <c r="W5397" s="49"/>
      <c r="X5397" s="49"/>
      <c r="Y5397" s="35"/>
      <c r="Z5397" s="35"/>
      <c r="AA5397" s="35"/>
      <c r="AB5397" s="35"/>
      <c r="AC5397" s="35"/>
      <c r="AD5397" s="35"/>
      <c r="AE5397" s="35"/>
      <c r="AF5397" s="35"/>
      <c r="AG5397" s="35"/>
      <c r="AH5397" s="35"/>
      <c r="AI5397" s="35"/>
      <c r="AJ5397" s="35"/>
      <c r="AK5397" s="35"/>
      <c r="AL5397" s="35"/>
    </row>
    <row r="5398">
      <c r="A5398" s="1"/>
      <c r="B5398" s="19" t="s">
        <v>19332</v>
      </c>
      <c r="C5398" s="20" t="s">
        <v>25481</v>
      </c>
      <c r="D5398" s="47"/>
      <c r="E5398" s="22" t="s">
        <v>467</v>
      </c>
      <c r="F5398" s="22" t="s">
        <v>765</v>
      </c>
      <c r="G5398" s="23">
        <v>2010.0</v>
      </c>
      <c r="H5398" s="57" t="s">
        <v>91</v>
      </c>
      <c r="I5398" s="24" t="s">
        <v>25567</v>
      </c>
      <c r="J5398" s="22" t="s">
        <v>55</v>
      </c>
      <c r="K5398" s="22"/>
      <c r="L5398" s="36">
        <v>660.0</v>
      </c>
      <c r="M5398" s="36"/>
      <c r="N5398" s="36" t="s">
        <v>19667</v>
      </c>
      <c r="O5398" s="36">
        <v>24.0</v>
      </c>
      <c r="P5398" s="37"/>
      <c r="Q5398" s="36"/>
      <c r="R5398" s="36"/>
      <c r="S5398" s="36"/>
      <c r="T5398" s="28" t="s">
        <v>25568</v>
      </c>
      <c r="U5398" s="38" t="str">
        <f>HYPERLINK("https://www.ncbi.nlm.nih.gov/pubmed/19440786","PubMed")</f>
        <v>PubMed</v>
      </c>
      <c r="V5398" s="30"/>
      <c r="W5398" s="49"/>
      <c r="X5398" s="49"/>
      <c r="Y5398" s="35"/>
      <c r="Z5398" s="35"/>
      <c r="AA5398" s="35"/>
      <c r="AB5398" s="35"/>
      <c r="AC5398" s="35"/>
      <c r="AD5398" s="35"/>
      <c r="AE5398" s="35"/>
      <c r="AF5398" s="35"/>
      <c r="AG5398" s="35"/>
      <c r="AH5398" s="35"/>
      <c r="AI5398" s="35"/>
      <c r="AJ5398" s="35"/>
      <c r="AK5398" s="35"/>
      <c r="AL5398" s="35"/>
    </row>
    <row r="5399">
      <c r="A5399" s="1"/>
      <c r="B5399" s="19" t="s">
        <v>19332</v>
      </c>
      <c r="C5399" s="20" t="s">
        <v>25481</v>
      </c>
      <c r="D5399" s="47"/>
      <c r="E5399" s="22" t="s">
        <v>25569</v>
      </c>
      <c r="F5399" s="22" t="s">
        <v>3492</v>
      </c>
      <c r="G5399" s="23">
        <v>1997.0</v>
      </c>
      <c r="H5399" s="22" t="s">
        <v>53</v>
      </c>
      <c r="I5399" s="24" t="s">
        <v>25570</v>
      </c>
      <c r="J5399" s="22" t="s">
        <v>2049</v>
      </c>
      <c r="K5399" s="22"/>
      <c r="L5399" s="36">
        <v>10600.0</v>
      </c>
      <c r="M5399" s="129"/>
      <c r="N5399" s="36"/>
      <c r="O5399" s="36"/>
      <c r="P5399" s="37"/>
      <c r="Q5399" s="36"/>
      <c r="R5399" s="36"/>
      <c r="S5399" s="36"/>
      <c r="T5399" s="42" t="s">
        <v>25571</v>
      </c>
      <c r="U5399" s="38" t="str">
        <f>HYPERLINK("https://www.ncbi.nlm.nih.gov/pubmed/9328987","PubMed")</f>
        <v>PubMed</v>
      </c>
      <c r="V5399" s="30"/>
      <c r="W5399" s="49"/>
      <c r="X5399" s="49"/>
      <c r="Y5399" s="35"/>
      <c r="Z5399" s="35"/>
      <c r="AA5399" s="35"/>
      <c r="AB5399" s="35"/>
      <c r="AC5399" s="35"/>
      <c r="AD5399" s="35"/>
      <c r="AE5399" s="35"/>
      <c r="AF5399" s="35"/>
      <c r="AG5399" s="35"/>
      <c r="AH5399" s="35"/>
      <c r="AI5399" s="35"/>
      <c r="AJ5399" s="35"/>
      <c r="AK5399" s="35"/>
      <c r="AL5399" s="35"/>
    </row>
    <row r="5400" ht="24.75" customHeight="1">
      <c r="A5400" s="1"/>
      <c r="B5400" s="19" t="s">
        <v>19332</v>
      </c>
      <c r="C5400" s="20" t="s">
        <v>25481</v>
      </c>
      <c r="D5400" s="47"/>
      <c r="E5400" s="22" t="s">
        <v>4644</v>
      </c>
      <c r="F5400" s="22"/>
      <c r="G5400" s="23">
        <v>1989.0</v>
      </c>
      <c r="H5400" s="22" t="s">
        <v>14965</v>
      </c>
      <c r="I5400" s="24" t="s">
        <v>25572</v>
      </c>
      <c r="J5400" s="22" t="s">
        <v>8564</v>
      </c>
      <c r="K5400" s="22"/>
      <c r="L5400" s="36">
        <v>633.0</v>
      </c>
      <c r="M5400" s="36">
        <v>6.0</v>
      </c>
      <c r="N5400" s="36"/>
      <c r="O5400" s="36"/>
      <c r="P5400" s="37"/>
      <c r="Q5400" s="36" t="s">
        <v>1141</v>
      </c>
      <c r="R5400" s="36"/>
      <c r="S5400" s="36"/>
      <c r="T5400" s="41" t="s">
        <v>25573</v>
      </c>
      <c r="U5400" s="38" t="str">
        <f>HYPERLINK("https://www.ncbi.nlm.nih.gov/pubmed/2528627","PubMed")</f>
        <v>PubMed</v>
      </c>
      <c r="V5400" s="30"/>
      <c r="W5400" s="49"/>
      <c r="X5400" s="49"/>
      <c r="Y5400" s="35"/>
      <c r="Z5400" s="35"/>
      <c r="AA5400" s="35"/>
      <c r="AB5400" s="35"/>
      <c r="AC5400" s="35"/>
      <c r="AD5400" s="35"/>
      <c r="AE5400" s="35"/>
      <c r="AF5400" s="35"/>
      <c r="AG5400" s="35"/>
      <c r="AH5400" s="35"/>
      <c r="AI5400" s="35"/>
      <c r="AJ5400" s="35"/>
      <c r="AK5400" s="35"/>
      <c r="AL5400" s="35"/>
    </row>
    <row r="5401">
      <c r="A5401" s="1"/>
      <c r="B5401" s="75" t="s">
        <v>19332</v>
      </c>
      <c r="C5401" s="77" t="s">
        <v>25574</v>
      </c>
      <c r="D5401" s="47"/>
      <c r="E5401" s="22" t="s">
        <v>5469</v>
      </c>
      <c r="F5401" s="22" t="s">
        <v>10060</v>
      </c>
      <c r="G5401" s="23">
        <v>2024.0</v>
      </c>
      <c r="H5401" s="22" t="s">
        <v>14965</v>
      </c>
      <c r="I5401" s="24" t="s">
        <v>25575</v>
      </c>
      <c r="J5401" s="22" t="s">
        <v>31</v>
      </c>
      <c r="K5401" s="22" t="s">
        <v>157</v>
      </c>
      <c r="L5401" s="52"/>
      <c r="M5401" s="52"/>
      <c r="N5401" s="52"/>
      <c r="O5401" s="52"/>
      <c r="P5401" s="189" t="s">
        <v>432</v>
      </c>
      <c r="Q5401" s="52"/>
      <c r="R5401" s="52"/>
      <c r="S5401" s="52"/>
      <c r="T5401" s="28" t="s">
        <v>25576</v>
      </c>
      <c r="U5401" s="38" t="s">
        <v>61</v>
      </c>
      <c r="V5401" s="30"/>
      <c r="W5401" s="49"/>
      <c r="X5401" s="49"/>
      <c r="Y5401" s="35"/>
      <c r="Z5401" s="35"/>
      <c r="AA5401" s="35"/>
      <c r="AB5401" s="35"/>
      <c r="AC5401" s="35"/>
      <c r="AD5401" s="35"/>
      <c r="AE5401" s="35"/>
      <c r="AF5401" s="35"/>
      <c r="AG5401" s="35"/>
      <c r="AH5401" s="35"/>
      <c r="AI5401" s="35"/>
      <c r="AJ5401" s="35"/>
      <c r="AK5401" s="35"/>
      <c r="AL5401" s="35"/>
    </row>
    <row r="5402">
      <c r="A5402" s="1"/>
      <c r="B5402" s="75" t="s">
        <v>19332</v>
      </c>
      <c r="C5402" s="77" t="s">
        <v>25574</v>
      </c>
      <c r="D5402" s="47"/>
      <c r="E5402" s="22" t="s">
        <v>25577</v>
      </c>
      <c r="F5402" s="22" t="s">
        <v>2876</v>
      </c>
      <c r="G5402" s="23">
        <v>2024.0</v>
      </c>
      <c r="H5402" s="22" t="s">
        <v>19235</v>
      </c>
      <c r="I5402" s="24" t="s">
        <v>25578</v>
      </c>
      <c r="J5402" s="22" t="s">
        <v>31</v>
      </c>
      <c r="K5402" s="22"/>
      <c r="L5402" s="52">
        <v>850.0</v>
      </c>
      <c r="M5402" s="52"/>
      <c r="N5402" s="52"/>
      <c r="O5402" s="52"/>
      <c r="P5402" s="189"/>
      <c r="Q5402" s="52"/>
      <c r="R5402" s="52"/>
      <c r="S5402" s="52"/>
      <c r="T5402" s="28" t="s">
        <v>25579</v>
      </c>
      <c r="U5402" s="38" t="s">
        <v>61</v>
      </c>
      <c r="V5402" s="30"/>
      <c r="W5402" s="49"/>
      <c r="X5402" s="49"/>
      <c r="Y5402" s="35"/>
      <c r="Z5402" s="35"/>
      <c r="AA5402" s="35"/>
      <c r="AB5402" s="35"/>
      <c r="AC5402" s="35"/>
      <c r="AD5402" s="35"/>
      <c r="AE5402" s="35"/>
      <c r="AF5402" s="35"/>
      <c r="AG5402" s="35"/>
      <c r="AH5402" s="35"/>
      <c r="AI5402" s="35"/>
      <c r="AJ5402" s="35"/>
      <c r="AK5402" s="35"/>
      <c r="AL5402" s="35"/>
    </row>
    <row r="5403">
      <c r="A5403" s="1"/>
      <c r="B5403" s="75" t="s">
        <v>19332</v>
      </c>
      <c r="C5403" s="77" t="s">
        <v>25574</v>
      </c>
      <c r="D5403" s="47"/>
      <c r="E5403" s="22" t="s">
        <v>25580</v>
      </c>
      <c r="F5403" s="22" t="s">
        <v>323</v>
      </c>
      <c r="G5403" s="23">
        <v>2024.0</v>
      </c>
      <c r="H5403" s="22" t="s">
        <v>147</v>
      </c>
      <c r="I5403" s="24" t="s">
        <v>25581</v>
      </c>
      <c r="J5403" s="22" t="s">
        <v>31</v>
      </c>
      <c r="K5403" s="22"/>
      <c r="L5403" s="52" t="s">
        <v>25582</v>
      </c>
      <c r="M5403" s="52"/>
      <c r="N5403" s="52"/>
      <c r="O5403" s="52"/>
      <c r="P5403" s="189"/>
      <c r="Q5403" s="52"/>
      <c r="R5403" s="52"/>
      <c r="S5403" s="52"/>
      <c r="T5403" s="28" t="s">
        <v>25583</v>
      </c>
      <c r="U5403" s="38" t="s">
        <v>61</v>
      </c>
      <c r="V5403" s="30"/>
      <c r="W5403" s="49"/>
      <c r="X5403" s="49"/>
      <c r="Y5403" s="35"/>
      <c r="Z5403" s="35"/>
      <c r="AA5403" s="35"/>
      <c r="AB5403" s="35"/>
      <c r="AC5403" s="35"/>
      <c r="AD5403" s="35"/>
      <c r="AE5403" s="35"/>
      <c r="AF5403" s="35"/>
      <c r="AG5403" s="35"/>
      <c r="AH5403" s="35"/>
      <c r="AI5403" s="35"/>
      <c r="AJ5403" s="35"/>
      <c r="AK5403" s="35"/>
      <c r="AL5403" s="35"/>
    </row>
    <row r="5404">
      <c r="A5404" s="1"/>
      <c r="B5404" s="75" t="s">
        <v>19332</v>
      </c>
      <c r="C5404" s="77" t="s">
        <v>25574</v>
      </c>
      <c r="D5404" s="47"/>
      <c r="E5404" s="22" t="s">
        <v>25584</v>
      </c>
      <c r="F5404" s="22" t="s">
        <v>4448</v>
      </c>
      <c r="G5404" s="23">
        <v>2024.0</v>
      </c>
      <c r="H5404" s="22" t="s">
        <v>15324</v>
      </c>
      <c r="I5404" s="24" t="s">
        <v>25585</v>
      </c>
      <c r="J5404" s="22" t="s">
        <v>31</v>
      </c>
      <c r="K5404" s="22" t="s">
        <v>157</v>
      </c>
      <c r="L5404" s="52"/>
      <c r="M5404" s="52"/>
      <c r="N5404" s="52"/>
      <c r="O5404" s="52"/>
      <c r="P5404" s="189"/>
      <c r="Q5404" s="52"/>
      <c r="R5404" s="52"/>
      <c r="S5404" s="52"/>
      <c r="T5404" s="28" t="s">
        <v>25586</v>
      </c>
      <c r="U5404" s="38" t="s">
        <v>61</v>
      </c>
      <c r="V5404" s="30"/>
      <c r="W5404" s="49"/>
      <c r="X5404" s="49"/>
      <c r="Y5404" s="35"/>
      <c r="Z5404" s="35"/>
      <c r="AA5404" s="35"/>
      <c r="AB5404" s="35"/>
      <c r="AC5404" s="35"/>
      <c r="AD5404" s="35"/>
      <c r="AE5404" s="35"/>
      <c r="AF5404" s="35"/>
      <c r="AG5404" s="35"/>
      <c r="AH5404" s="35"/>
      <c r="AI5404" s="35"/>
      <c r="AJ5404" s="35"/>
      <c r="AK5404" s="35"/>
      <c r="AL5404" s="35"/>
    </row>
    <row r="5405">
      <c r="A5405" s="1"/>
      <c r="B5405" s="75" t="s">
        <v>19332</v>
      </c>
      <c r="C5405" s="77" t="s">
        <v>25574</v>
      </c>
      <c r="D5405" s="47"/>
      <c r="E5405" s="22" t="s">
        <v>25587</v>
      </c>
      <c r="F5405" s="22" t="s">
        <v>25588</v>
      </c>
      <c r="G5405" s="23">
        <v>2024.0</v>
      </c>
      <c r="H5405" s="22" t="s">
        <v>25388</v>
      </c>
      <c r="I5405" s="24" t="s">
        <v>25589</v>
      </c>
      <c r="J5405" s="22" t="s">
        <v>31</v>
      </c>
      <c r="K5405" s="22"/>
      <c r="L5405" s="52"/>
      <c r="M5405" s="52"/>
      <c r="N5405" s="52"/>
      <c r="O5405" s="52"/>
      <c r="P5405" s="189"/>
      <c r="Q5405" s="52"/>
      <c r="R5405" s="52"/>
      <c r="S5405" s="52"/>
      <c r="T5405" s="28" t="s">
        <v>25590</v>
      </c>
      <c r="U5405" s="38" t="s">
        <v>61</v>
      </c>
      <c r="V5405" s="30"/>
      <c r="W5405" s="49"/>
      <c r="X5405" s="49"/>
      <c r="Y5405" s="35"/>
      <c r="Z5405" s="35"/>
      <c r="AA5405" s="35"/>
      <c r="AB5405" s="35"/>
      <c r="AC5405" s="35"/>
      <c r="AD5405" s="35"/>
      <c r="AE5405" s="35"/>
      <c r="AF5405" s="35"/>
      <c r="AG5405" s="35"/>
      <c r="AH5405" s="35"/>
      <c r="AI5405" s="35"/>
      <c r="AJ5405" s="35"/>
      <c r="AK5405" s="35"/>
      <c r="AL5405" s="35"/>
    </row>
    <row r="5406">
      <c r="A5406" s="1"/>
      <c r="B5406" s="75" t="s">
        <v>19332</v>
      </c>
      <c r="C5406" s="77" t="s">
        <v>25574</v>
      </c>
      <c r="D5406" s="47"/>
      <c r="E5406" s="22" t="s">
        <v>25591</v>
      </c>
      <c r="F5406" s="22" t="s">
        <v>1943</v>
      </c>
      <c r="G5406" s="23">
        <v>2024.0</v>
      </c>
      <c r="H5406" s="22" t="s">
        <v>2181</v>
      </c>
      <c r="I5406" s="24" t="s">
        <v>25592</v>
      </c>
      <c r="J5406" s="22" t="s">
        <v>31</v>
      </c>
      <c r="K5406" s="22"/>
      <c r="L5406" s="52">
        <v>970.0</v>
      </c>
      <c r="M5406" s="52"/>
      <c r="N5406" s="52"/>
      <c r="O5406" s="52"/>
      <c r="P5406" s="189" t="s">
        <v>254</v>
      </c>
      <c r="Q5406" s="52"/>
      <c r="R5406" s="52"/>
      <c r="S5406" s="52"/>
      <c r="T5406" s="28" t="s">
        <v>25593</v>
      </c>
      <c r="U5406" s="38" t="s">
        <v>61</v>
      </c>
      <c r="V5406" s="30"/>
      <c r="W5406" s="49"/>
      <c r="X5406" s="49"/>
      <c r="Y5406" s="35"/>
      <c r="Z5406" s="35"/>
      <c r="AA5406" s="35"/>
      <c r="AB5406" s="35"/>
      <c r="AC5406" s="35"/>
      <c r="AD5406" s="35"/>
      <c r="AE5406" s="35"/>
      <c r="AF5406" s="35"/>
      <c r="AG5406" s="35"/>
      <c r="AH5406" s="35"/>
      <c r="AI5406" s="35"/>
      <c r="AJ5406" s="35"/>
      <c r="AK5406" s="35"/>
      <c r="AL5406" s="35"/>
    </row>
    <row r="5407">
      <c r="A5407" s="1"/>
      <c r="B5407" s="75" t="s">
        <v>19332</v>
      </c>
      <c r="C5407" s="77" t="s">
        <v>25574</v>
      </c>
      <c r="D5407" s="47"/>
      <c r="E5407" s="22" t="s">
        <v>25594</v>
      </c>
      <c r="F5407" s="22" t="s">
        <v>2143</v>
      </c>
      <c r="G5407" s="23">
        <v>2024.0</v>
      </c>
      <c r="H5407" s="22" t="s">
        <v>1667</v>
      </c>
      <c r="I5407" s="24" t="s">
        <v>25595</v>
      </c>
      <c r="J5407" s="22" t="s">
        <v>125</v>
      </c>
      <c r="K5407" s="22"/>
      <c r="L5407" s="196" t="s">
        <v>25596</v>
      </c>
      <c r="U5407" s="38" t="s">
        <v>61</v>
      </c>
      <c r="V5407" s="30"/>
      <c r="W5407" s="49"/>
      <c r="X5407" s="49"/>
      <c r="Y5407" s="35"/>
      <c r="Z5407" s="35"/>
      <c r="AA5407" s="35"/>
      <c r="AB5407" s="35"/>
      <c r="AC5407" s="35"/>
      <c r="AD5407" s="35"/>
      <c r="AE5407" s="35"/>
      <c r="AF5407" s="35"/>
      <c r="AG5407" s="35"/>
      <c r="AH5407" s="35"/>
      <c r="AI5407" s="35"/>
      <c r="AJ5407" s="35"/>
      <c r="AK5407" s="35"/>
      <c r="AL5407" s="35"/>
    </row>
    <row r="5408">
      <c r="A5408" s="1"/>
      <c r="B5408" s="75" t="s">
        <v>19332</v>
      </c>
      <c r="C5408" s="77" t="s">
        <v>25574</v>
      </c>
      <c r="D5408" s="47"/>
      <c r="E5408" s="22" t="s">
        <v>3831</v>
      </c>
      <c r="F5408" s="22" t="s">
        <v>24876</v>
      </c>
      <c r="G5408" s="23">
        <v>2024.0</v>
      </c>
      <c r="H5408" s="22" t="s">
        <v>191</v>
      </c>
      <c r="I5408" s="24" t="s">
        <v>25597</v>
      </c>
      <c r="J5408" s="22" t="s">
        <v>31</v>
      </c>
      <c r="K5408" s="22"/>
      <c r="L5408" s="292" t="s">
        <v>25598</v>
      </c>
      <c r="M5408" s="292"/>
      <c r="N5408" s="292"/>
      <c r="O5408" s="292"/>
      <c r="P5408" s="366"/>
      <c r="Q5408" s="292"/>
      <c r="R5408" s="292"/>
      <c r="S5408" s="292"/>
      <c r="T5408" s="42" t="s">
        <v>25599</v>
      </c>
      <c r="U5408" s="38" t="s">
        <v>61</v>
      </c>
      <c r="V5408" s="30"/>
      <c r="W5408" s="49"/>
      <c r="X5408" s="49"/>
      <c r="Y5408" s="35"/>
      <c r="Z5408" s="35"/>
      <c r="AA5408" s="35"/>
      <c r="AB5408" s="35"/>
      <c r="AC5408" s="35"/>
      <c r="AD5408" s="35"/>
      <c r="AE5408" s="35"/>
      <c r="AF5408" s="35"/>
      <c r="AG5408" s="35"/>
      <c r="AH5408" s="35"/>
      <c r="AI5408" s="35"/>
      <c r="AJ5408" s="35"/>
      <c r="AK5408" s="35"/>
      <c r="AL5408" s="35"/>
    </row>
    <row r="5409">
      <c r="A5409" s="1"/>
      <c r="B5409" s="75" t="s">
        <v>19332</v>
      </c>
      <c r="C5409" s="77" t="s">
        <v>25574</v>
      </c>
      <c r="D5409" s="47"/>
      <c r="E5409" s="22" t="s">
        <v>2316</v>
      </c>
      <c r="F5409" s="22" t="s">
        <v>2312</v>
      </c>
      <c r="G5409" s="23">
        <v>2024.0</v>
      </c>
      <c r="H5409" s="22" t="s">
        <v>207</v>
      </c>
      <c r="I5409" s="24" t="s">
        <v>25600</v>
      </c>
      <c r="J5409" s="22" t="s">
        <v>31</v>
      </c>
      <c r="K5409" s="22"/>
      <c r="L5409" s="292" t="s">
        <v>25601</v>
      </c>
      <c r="M5409" s="292"/>
      <c r="N5409" s="292"/>
      <c r="O5409" s="292"/>
      <c r="P5409" s="366"/>
      <c r="Q5409" s="292"/>
      <c r="R5409" s="292"/>
      <c r="S5409" s="292"/>
      <c r="T5409" s="28" t="s">
        <v>25602</v>
      </c>
      <c r="U5409" s="38" t="s">
        <v>61</v>
      </c>
      <c r="V5409" s="30" t="s">
        <v>174</v>
      </c>
      <c r="W5409" s="49"/>
      <c r="X5409" s="49"/>
      <c r="Y5409" s="35"/>
      <c r="Z5409" s="35"/>
      <c r="AA5409" s="35"/>
      <c r="AB5409" s="35"/>
      <c r="AC5409" s="35"/>
      <c r="AD5409" s="35"/>
      <c r="AE5409" s="35"/>
      <c r="AF5409" s="35"/>
      <c r="AG5409" s="35"/>
      <c r="AH5409" s="35"/>
      <c r="AI5409" s="35"/>
      <c r="AJ5409" s="35"/>
      <c r="AK5409" s="35"/>
      <c r="AL5409" s="35"/>
    </row>
    <row r="5410">
      <c r="A5410" s="1"/>
      <c r="B5410" s="75" t="s">
        <v>19332</v>
      </c>
      <c r="C5410" s="77" t="s">
        <v>25574</v>
      </c>
      <c r="D5410" s="47"/>
      <c r="E5410" s="22" t="s">
        <v>216</v>
      </c>
      <c r="F5410" s="22" t="s">
        <v>10060</v>
      </c>
      <c r="G5410" s="23">
        <v>2023.0</v>
      </c>
      <c r="H5410" s="22" t="s">
        <v>91</v>
      </c>
      <c r="I5410" s="24" t="s">
        <v>25603</v>
      </c>
      <c r="J5410" s="22" t="s">
        <v>31</v>
      </c>
      <c r="K5410" s="22" t="s">
        <v>157</v>
      </c>
      <c r="L5410" s="292">
        <v>620.0</v>
      </c>
      <c r="M5410" s="292"/>
      <c r="N5410" s="292" t="s">
        <v>25604</v>
      </c>
      <c r="O5410" s="292"/>
      <c r="P5410" s="366" t="s">
        <v>2218</v>
      </c>
      <c r="Q5410" s="292"/>
      <c r="R5410" s="292" t="s">
        <v>25605</v>
      </c>
      <c r="S5410" s="292" t="s">
        <v>25606</v>
      </c>
      <c r="T5410" s="28" t="s">
        <v>25607</v>
      </c>
      <c r="U5410" s="38" t="s">
        <v>61</v>
      </c>
      <c r="V5410" s="30"/>
      <c r="W5410" s="49"/>
      <c r="X5410" s="49"/>
      <c r="Y5410" s="35"/>
      <c r="Z5410" s="35"/>
      <c r="AA5410" s="35"/>
      <c r="AB5410" s="35"/>
      <c r="AC5410" s="35"/>
      <c r="AD5410" s="35"/>
      <c r="AE5410" s="35"/>
      <c r="AF5410" s="35"/>
      <c r="AG5410" s="35"/>
      <c r="AH5410" s="35"/>
      <c r="AI5410" s="35"/>
      <c r="AJ5410" s="35"/>
      <c r="AK5410" s="35"/>
      <c r="AL5410" s="35"/>
    </row>
    <row r="5411">
      <c r="A5411" s="1"/>
      <c r="B5411" s="75" t="s">
        <v>19332</v>
      </c>
      <c r="C5411" s="77" t="s">
        <v>25574</v>
      </c>
      <c r="D5411" s="47"/>
      <c r="E5411" s="22" t="s">
        <v>2316</v>
      </c>
      <c r="F5411" s="22" t="s">
        <v>2437</v>
      </c>
      <c r="G5411" s="23">
        <v>2023.0</v>
      </c>
      <c r="H5411" s="22" t="s">
        <v>91</v>
      </c>
      <c r="I5411" s="24" t="s">
        <v>25608</v>
      </c>
      <c r="J5411" s="22" t="s">
        <v>31</v>
      </c>
      <c r="K5411" s="22"/>
      <c r="L5411" s="292">
        <v>808.0</v>
      </c>
      <c r="M5411" s="292"/>
      <c r="N5411" s="292"/>
      <c r="O5411" s="292"/>
      <c r="P5411" s="366"/>
      <c r="Q5411" s="292"/>
      <c r="R5411" s="292"/>
      <c r="S5411" s="292">
        <v>1.0</v>
      </c>
      <c r="T5411" s="28" t="s">
        <v>25609</v>
      </c>
      <c r="U5411" s="38" t="s">
        <v>61</v>
      </c>
      <c r="V5411" s="30"/>
      <c r="W5411" s="49"/>
      <c r="X5411" s="49"/>
      <c r="Y5411" s="35"/>
      <c r="Z5411" s="35"/>
      <c r="AA5411" s="35"/>
      <c r="AB5411" s="35"/>
      <c r="AC5411" s="35"/>
      <c r="AD5411" s="35"/>
      <c r="AE5411" s="35"/>
      <c r="AF5411" s="35"/>
      <c r="AG5411" s="35"/>
      <c r="AH5411" s="35"/>
      <c r="AI5411" s="35"/>
      <c r="AJ5411" s="35"/>
      <c r="AK5411" s="35"/>
      <c r="AL5411" s="35"/>
    </row>
    <row r="5412">
      <c r="A5412" s="1"/>
      <c r="B5412" s="75" t="s">
        <v>19332</v>
      </c>
      <c r="C5412" s="77" t="s">
        <v>25574</v>
      </c>
      <c r="D5412" s="47"/>
      <c r="E5412" s="22" t="s">
        <v>1767</v>
      </c>
      <c r="F5412" s="22" t="s">
        <v>19540</v>
      </c>
      <c r="G5412" s="23">
        <v>2023.0</v>
      </c>
      <c r="H5412" s="22" t="s">
        <v>25610</v>
      </c>
      <c r="I5412" s="24" t="s">
        <v>25611</v>
      </c>
      <c r="J5412" s="22" t="s">
        <v>31</v>
      </c>
      <c r="K5412" s="22"/>
      <c r="L5412" s="292">
        <v>810.0</v>
      </c>
      <c r="M5412" s="292">
        <v>100.0</v>
      </c>
      <c r="N5412" s="292"/>
      <c r="O5412" s="292"/>
      <c r="P5412" s="366" t="s">
        <v>25612</v>
      </c>
      <c r="Q5412" s="292"/>
      <c r="R5412" s="292"/>
      <c r="S5412" s="292"/>
      <c r="T5412" s="28" t="s">
        <v>25613</v>
      </c>
      <c r="U5412" s="38" t="s">
        <v>61</v>
      </c>
      <c r="V5412" s="30"/>
      <c r="W5412" s="49"/>
      <c r="X5412" s="49"/>
      <c r="Y5412" s="35"/>
      <c r="Z5412" s="35"/>
      <c r="AA5412" s="35"/>
      <c r="AB5412" s="35"/>
      <c r="AC5412" s="35"/>
      <c r="AD5412" s="35"/>
      <c r="AE5412" s="35"/>
      <c r="AF5412" s="35"/>
      <c r="AG5412" s="35"/>
      <c r="AH5412" s="35"/>
      <c r="AI5412" s="35"/>
      <c r="AJ5412" s="35"/>
      <c r="AK5412" s="35"/>
      <c r="AL5412" s="35"/>
    </row>
    <row r="5413">
      <c r="A5413" s="1"/>
      <c r="B5413" s="75" t="s">
        <v>19332</v>
      </c>
      <c r="C5413" s="77" t="s">
        <v>25574</v>
      </c>
      <c r="D5413" s="47"/>
      <c r="E5413" s="22" t="s">
        <v>25614</v>
      </c>
      <c r="F5413" s="22" t="s">
        <v>206</v>
      </c>
      <c r="G5413" s="23">
        <v>2023.0</v>
      </c>
      <c r="H5413" s="22" t="s">
        <v>25189</v>
      </c>
      <c r="I5413" s="24" t="s">
        <v>25615</v>
      </c>
      <c r="J5413" s="22" t="s">
        <v>31</v>
      </c>
      <c r="K5413" s="22"/>
      <c r="L5413" s="292">
        <v>980.0</v>
      </c>
      <c r="M5413" s="292"/>
      <c r="N5413" s="292"/>
      <c r="O5413" s="292"/>
      <c r="P5413" s="366" t="s">
        <v>3448</v>
      </c>
      <c r="Q5413" s="292"/>
      <c r="R5413" s="292"/>
      <c r="S5413" s="292"/>
      <c r="T5413" s="28" t="s">
        <v>25616</v>
      </c>
      <c r="U5413" s="38" t="s">
        <v>61</v>
      </c>
      <c r="V5413" s="30"/>
      <c r="W5413" s="49"/>
      <c r="X5413" s="49"/>
      <c r="Y5413" s="35"/>
      <c r="Z5413" s="35"/>
      <c r="AA5413" s="35"/>
      <c r="AB5413" s="35"/>
      <c r="AC5413" s="35"/>
      <c r="AD5413" s="35"/>
      <c r="AE5413" s="35"/>
      <c r="AF5413" s="35"/>
      <c r="AG5413" s="35"/>
      <c r="AH5413" s="35"/>
      <c r="AI5413" s="35"/>
      <c r="AJ5413" s="35"/>
      <c r="AK5413" s="35"/>
      <c r="AL5413" s="35"/>
    </row>
    <row r="5414">
      <c r="A5414" s="1"/>
      <c r="B5414" s="75" t="s">
        <v>19332</v>
      </c>
      <c r="C5414" s="77" t="s">
        <v>25574</v>
      </c>
      <c r="D5414" s="47"/>
      <c r="E5414" s="22" t="s">
        <v>23384</v>
      </c>
      <c r="F5414" s="22" t="s">
        <v>2221</v>
      </c>
      <c r="G5414" s="23">
        <v>2023.0</v>
      </c>
      <c r="H5414" s="22" t="s">
        <v>21594</v>
      </c>
      <c r="I5414" s="24" t="s">
        <v>25617</v>
      </c>
      <c r="J5414" s="22" t="s">
        <v>31</v>
      </c>
      <c r="K5414" s="22"/>
      <c r="L5414" s="292">
        <v>660.0</v>
      </c>
      <c r="M5414" s="292">
        <v>100.0</v>
      </c>
      <c r="N5414" s="292"/>
      <c r="O5414" s="292">
        <v>4.0</v>
      </c>
      <c r="P5414" s="366"/>
      <c r="Q5414" s="292"/>
      <c r="R5414" s="292"/>
      <c r="S5414" s="292"/>
      <c r="T5414" s="28" t="s">
        <v>25618</v>
      </c>
      <c r="U5414" s="38" t="s">
        <v>61</v>
      </c>
      <c r="V5414" s="30"/>
      <c r="W5414" s="49"/>
      <c r="X5414" s="49"/>
      <c r="Y5414" s="35"/>
      <c r="Z5414" s="35"/>
      <c r="AA5414" s="35"/>
      <c r="AB5414" s="35"/>
      <c r="AC5414" s="35"/>
      <c r="AD5414" s="35"/>
      <c r="AE5414" s="35"/>
      <c r="AF5414" s="35"/>
      <c r="AG5414" s="35"/>
      <c r="AH5414" s="35"/>
      <c r="AI5414" s="35"/>
      <c r="AJ5414" s="35"/>
      <c r="AK5414" s="35"/>
      <c r="AL5414" s="35"/>
    </row>
    <row r="5415">
      <c r="A5415" s="1"/>
      <c r="B5415" s="75" t="s">
        <v>19332</v>
      </c>
      <c r="C5415" s="77" t="s">
        <v>25574</v>
      </c>
      <c r="D5415" s="47"/>
      <c r="E5415" s="22" t="s">
        <v>25619</v>
      </c>
      <c r="F5415" s="22" t="s">
        <v>237</v>
      </c>
      <c r="G5415" s="23">
        <v>2023.0</v>
      </c>
      <c r="H5415" s="22" t="s">
        <v>91</v>
      </c>
      <c r="I5415" s="24" t="s">
        <v>25620</v>
      </c>
      <c r="J5415" s="22" t="s">
        <v>31</v>
      </c>
      <c r="K5415" s="22" t="s">
        <v>1112</v>
      </c>
      <c r="L5415" s="292">
        <v>660.0</v>
      </c>
      <c r="M5415" s="292"/>
      <c r="N5415" s="292"/>
      <c r="O5415" s="292"/>
      <c r="P5415" s="366" t="s">
        <v>25621</v>
      </c>
      <c r="Q5415" s="292"/>
      <c r="R5415" s="292"/>
      <c r="S5415" s="292"/>
      <c r="T5415" s="28" t="s">
        <v>25622</v>
      </c>
      <c r="U5415" s="38" t="s">
        <v>61</v>
      </c>
      <c r="V5415" s="30"/>
      <c r="W5415" s="49"/>
      <c r="X5415" s="49"/>
      <c r="Y5415" s="35"/>
      <c r="Z5415" s="35"/>
      <c r="AA5415" s="35"/>
      <c r="AB5415" s="35"/>
      <c r="AC5415" s="35"/>
      <c r="AD5415" s="35"/>
      <c r="AE5415" s="35"/>
      <c r="AF5415" s="35"/>
      <c r="AG5415" s="35"/>
      <c r="AH5415" s="35"/>
      <c r="AI5415" s="35"/>
      <c r="AJ5415" s="35"/>
      <c r="AK5415" s="35"/>
      <c r="AL5415" s="35"/>
    </row>
    <row r="5416">
      <c r="A5416" s="1"/>
      <c r="B5416" s="75" t="s">
        <v>19332</v>
      </c>
      <c r="C5416" s="77" t="s">
        <v>25574</v>
      </c>
      <c r="D5416" s="47"/>
      <c r="E5416" s="22" t="s">
        <v>25623</v>
      </c>
      <c r="F5416" s="22" t="s">
        <v>323</v>
      </c>
      <c r="G5416" s="23">
        <v>2023.0</v>
      </c>
      <c r="H5416" s="22" t="s">
        <v>4975</v>
      </c>
      <c r="I5416" s="24" t="s">
        <v>25624</v>
      </c>
      <c r="J5416" s="22" t="s">
        <v>31</v>
      </c>
      <c r="K5416" s="22" t="s">
        <v>25625</v>
      </c>
      <c r="L5416" s="292"/>
      <c r="M5416" s="292"/>
      <c r="N5416" s="292"/>
      <c r="O5416" s="292"/>
      <c r="P5416" s="366" t="s">
        <v>25626</v>
      </c>
      <c r="Q5416" s="292"/>
      <c r="R5416" s="292"/>
      <c r="S5416" s="292"/>
      <c r="T5416" s="42" t="s">
        <v>25627</v>
      </c>
      <c r="U5416" s="38" t="s">
        <v>61</v>
      </c>
      <c r="V5416" s="30"/>
      <c r="W5416" s="49"/>
      <c r="X5416" s="49"/>
      <c r="Y5416" s="35"/>
      <c r="Z5416" s="35"/>
      <c r="AA5416" s="35"/>
      <c r="AB5416" s="35"/>
      <c r="AC5416" s="35"/>
      <c r="AD5416" s="35"/>
      <c r="AE5416" s="35"/>
      <c r="AF5416" s="35"/>
      <c r="AG5416" s="35"/>
      <c r="AH5416" s="35"/>
      <c r="AI5416" s="35"/>
      <c r="AJ5416" s="35"/>
      <c r="AK5416" s="35"/>
      <c r="AL5416" s="35"/>
    </row>
    <row r="5417">
      <c r="A5417" s="1"/>
      <c r="B5417" s="75" t="s">
        <v>19332</v>
      </c>
      <c r="C5417" s="77" t="s">
        <v>25574</v>
      </c>
      <c r="D5417" s="47"/>
      <c r="E5417" s="22" t="s">
        <v>2275</v>
      </c>
      <c r="F5417" s="22" t="s">
        <v>25628</v>
      </c>
      <c r="G5417" s="23">
        <v>2023.0</v>
      </c>
      <c r="H5417" s="22" t="s">
        <v>12502</v>
      </c>
      <c r="I5417" s="24" t="s">
        <v>25629</v>
      </c>
      <c r="J5417" s="22" t="s">
        <v>31</v>
      </c>
      <c r="K5417" s="22" t="s">
        <v>1827</v>
      </c>
      <c r="L5417" s="292"/>
      <c r="M5417" s="292"/>
      <c r="N5417" s="292"/>
      <c r="O5417" s="292"/>
      <c r="P5417" s="366"/>
      <c r="Q5417" s="292"/>
      <c r="R5417" s="292"/>
      <c r="S5417" s="292"/>
      <c r="T5417" s="28" t="s">
        <v>25630</v>
      </c>
      <c r="U5417" s="38" t="s">
        <v>61</v>
      </c>
      <c r="V5417" s="30"/>
      <c r="W5417" s="49"/>
      <c r="X5417" s="49"/>
      <c r="Y5417" s="35"/>
      <c r="Z5417" s="35"/>
      <c r="AA5417" s="35"/>
      <c r="AB5417" s="35"/>
      <c r="AC5417" s="35"/>
      <c r="AD5417" s="35"/>
      <c r="AE5417" s="35"/>
      <c r="AF5417" s="35"/>
      <c r="AG5417" s="35"/>
      <c r="AH5417" s="35"/>
      <c r="AI5417" s="35"/>
      <c r="AJ5417" s="35"/>
      <c r="AK5417" s="35"/>
      <c r="AL5417" s="35"/>
    </row>
    <row r="5418">
      <c r="A5418" s="1"/>
      <c r="B5418" s="75" t="s">
        <v>19332</v>
      </c>
      <c r="C5418" s="77" t="s">
        <v>25574</v>
      </c>
      <c r="D5418" s="47"/>
      <c r="E5418" s="22" t="s">
        <v>20497</v>
      </c>
      <c r="F5418" s="22" t="s">
        <v>323</v>
      </c>
      <c r="G5418" s="23">
        <v>2023.0</v>
      </c>
      <c r="H5418" s="22" t="s">
        <v>4975</v>
      </c>
      <c r="I5418" s="24" t="s">
        <v>25631</v>
      </c>
      <c r="J5418" s="22" t="s">
        <v>31</v>
      </c>
      <c r="K5418" s="22"/>
      <c r="L5418" s="292">
        <v>980.0</v>
      </c>
      <c r="M5418" s="292">
        <v>100.0</v>
      </c>
      <c r="N5418" s="292"/>
      <c r="O5418" s="292"/>
      <c r="P5418" s="366" t="s">
        <v>4852</v>
      </c>
      <c r="Q5418" s="292"/>
      <c r="R5418" s="292"/>
      <c r="S5418" s="292"/>
      <c r="T5418" s="28" t="s">
        <v>25632</v>
      </c>
      <c r="U5418" s="38" t="s">
        <v>61</v>
      </c>
      <c r="V5418" s="30"/>
      <c r="W5418" s="49"/>
      <c r="X5418" s="49"/>
      <c r="Y5418" s="35"/>
      <c r="Z5418" s="35"/>
      <c r="AA5418" s="35"/>
      <c r="AB5418" s="35"/>
      <c r="AC5418" s="35"/>
      <c r="AD5418" s="35"/>
      <c r="AE5418" s="35"/>
      <c r="AF5418" s="35"/>
      <c r="AG5418" s="35"/>
      <c r="AH5418" s="35"/>
      <c r="AI5418" s="35"/>
      <c r="AJ5418" s="35"/>
      <c r="AK5418" s="35"/>
      <c r="AL5418" s="35"/>
    </row>
    <row r="5419">
      <c r="A5419" s="1"/>
      <c r="B5419" s="75" t="s">
        <v>19332</v>
      </c>
      <c r="C5419" s="77" t="s">
        <v>25574</v>
      </c>
      <c r="D5419" s="47"/>
      <c r="E5419" s="22" t="s">
        <v>3617</v>
      </c>
      <c r="F5419" s="22" t="s">
        <v>19540</v>
      </c>
      <c r="G5419" s="23">
        <v>2022.0</v>
      </c>
      <c r="H5419" s="22" t="s">
        <v>1682</v>
      </c>
      <c r="I5419" s="24" t="s">
        <v>25633</v>
      </c>
      <c r="J5419" s="22" t="s">
        <v>31</v>
      </c>
      <c r="K5419" s="22"/>
      <c r="L5419" s="292" t="s">
        <v>25634</v>
      </c>
      <c r="M5419" s="292"/>
      <c r="N5419" s="292"/>
      <c r="O5419" s="292"/>
      <c r="P5419" s="366"/>
      <c r="Q5419" s="292"/>
      <c r="R5419" s="292"/>
      <c r="S5419" s="292"/>
      <c r="T5419" s="28" t="s">
        <v>25635</v>
      </c>
      <c r="U5419" s="38" t="s">
        <v>61</v>
      </c>
      <c r="V5419" s="30"/>
      <c r="W5419" s="49"/>
      <c r="X5419" s="49"/>
      <c r="Y5419" s="35"/>
      <c r="Z5419" s="35"/>
      <c r="AA5419" s="35"/>
      <c r="AB5419" s="35"/>
      <c r="AC5419" s="35"/>
      <c r="AD5419" s="35"/>
      <c r="AE5419" s="35"/>
      <c r="AF5419" s="35"/>
      <c r="AG5419" s="35"/>
      <c r="AH5419" s="35"/>
      <c r="AI5419" s="35"/>
      <c r="AJ5419" s="35"/>
      <c r="AK5419" s="35"/>
      <c r="AL5419" s="35"/>
    </row>
    <row r="5420">
      <c r="A5420" s="1"/>
      <c r="B5420" s="75" t="s">
        <v>19332</v>
      </c>
      <c r="C5420" s="77" t="s">
        <v>25574</v>
      </c>
      <c r="D5420" s="47"/>
      <c r="E5420" s="22" t="s">
        <v>5136</v>
      </c>
      <c r="F5420" s="22" t="s">
        <v>1930</v>
      </c>
      <c r="G5420" s="23">
        <v>2022.0</v>
      </c>
      <c r="H5420" s="22" t="s">
        <v>25636</v>
      </c>
      <c r="I5420" s="24" t="s">
        <v>25637</v>
      </c>
      <c r="J5420" s="22" t="s">
        <v>31</v>
      </c>
      <c r="K5420" s="22"/>
      <c r="L5420" s="292" t="s">
        <v>25638</v>
      </c>
      <c r="M5420" s="292"/>
      <c r="N5420" s="292"/>
      <c r="O5420" s="292"/>
      <c r="P5420" s="366"/>
      <c r="Q5420" s="292"/>
      <c r="R5420" s="292"/>
      <c r="S5420" s="292"/>
      <c r="T5420" s="28" t="s">
        <v>25639</v>
      </c>
      <c r="U5420" s="38" t="s">
        <v>61</v>
      </c>
      <c r="V5420" s="30"/>
      <c r="W5420" s="49"/>
      <c r="X5420" s="49"/>
      <c r="Y5420" s="35"/>
      <c r="Z5420" s="35"/>
      <c r="AA5420" s="35"/>
      <c r="AB5420" s="35"/>
      <c r="AC5420" s="35"/>
      <c r="AD5420" s="35"/>
      <c r="AE5420" s="35"/>
      <c r="AF5420" s="35"/>
      <c r="AG5420" s="35"/>
      <c r="AH5420" s="35"/>
      <c r="AI5420" s="35"/>
      <c r="AJ5420" s="35"/>
      <c r="AK5420" s="35"/>
      <c r="AL5420" s="35"/>
    </row>
    <row r="5421">
      <c r="A5421" s="1"/>
      <c r="B5421" s="19" t="s">
        <v>19332</v>
      </c>
      <c r="C5421" s="20" t="s">
        <v>25574</v>
      </c>
      <c r="D5421" s="47"/>
      <c r="E5421" s="22" t="s">
        <v>626</v>
      </c>
      <c r="F5421" s="22" t="s">
        <v>3301</v>
      </c>
      <c r="G5421" s="23">
        <v>2022.0</v>
      </c>
      <c r="H5421" s="22" t="s">
        <v>91</v>
      </c>
      <c r="I5421" s="24" t="s">
        <v>25640</v>
      </c>
      <c r="J5421" s="22" t="s">
        <v>31</v>
      </c>
      <c r="K5421" s="22"/>
      <c r="L5421" s="292">
        <v>1064.0</v>
      </c>
      <c r="M5421" s="292"/>
      <c r="N5421" s="292"/>
      <c r="O5421" s="292"/>
      <c r="P5421" s="366" t="s">
        <v>1328</v>
      </c>
      <c r="Q5421" s="292"/>
      <c r="R5421" s="292"/>
      <c r="S5421" s="292"/>
      <c r="T5421" s="28" t="s">
        <v>25641</v>
      </c>
      <c r="U5421" s="38" t="s">
        <v>61</v>
      </c>
      <c r="V5421" s="30"/>
      <c r="W5421" s="49"/>
      <c r="X5421" s="49"/>
      <c r="Y5421" s="35"/>
      <c r="Z5421" s="35"/>
      <c r="AA5421" s="35"/>
      <c r="AB5421" s="35"/>
      <c r="AC5421" s="35"/>
      <c r="AD5421" s="35"/>
      <c r="AE5421" s="35"/>
      <c r="AF5421" s="35"/>
      <c r="AG5421" s="35"/>
      <c r="AH5421" s="35"/>
      <c r="AI5421" s="35"/>
      <c r="AJ5421" s="35"/>
      <c r="AK5421" s="35"/>
      <c r="AL5421" s="35"/>
    </row>
    <row r="5422">
      <c r="A5422" s="1"/>
      <c r="B5422" s="19" t="s">
        <v>19332</v>
      </c>
      <c r="C5422" s="20" t="s">
        <v>25574</v>
      </c>
      <c r="D5422" s="47"/>
      <c r="E5422" s="22" t="s">
        <v>25642</v>
      </c>
      <c r="F5422" s="22" t="s">
        <v>323</v>
      </c>
      <c r="G5422" s="23">
        <v>2022.0</v>
      </c>
      <c r="H5422" s="22" t="s">
        <v>4975</v>
      </c>
      <c r="I5422" s="24" t="s">
        <v>25643</v>
      </c>
      <c r="J5422" s="22" t="s">
        <v>31</v>
      </c>
      <c r="K5422" s="22" t="s">
        <v>5045</v>
      </c>
      <c r="L5422" s="292" t="s">
        <v>25582</v>
      </c>
      <c r="M5422" s="292"/>
      <c r="N5422" s="292"/>
      <c r="O5422" s="292"/>
      <c r="P5422" s="366"/>
      <c r="Q5422" s="292"/>
      <c r="R5422" s="292"/>
      <c r="S5422" s="292"/>
      <c r="T5422" s="28" t="s">
        <v>25644</v>
      </c>
      <c r="U5422" s="38" t="s">
        <v>61</v>
      </c>
      <c r="V5422" s="30"/>
      <c r="W5422" s="49"/>
      <c r="X5422" s="49"/>
      <c r="Y5422" s="35"/>
      <c r="Z5422" s="35"/>
      <c r="AA5422" s="35"/>
      <c r="AB5422" s="35"/>
      <c r="AC5422" s="35"/>
      <c r="AD5422" s="35"/>
      <c r="AE5422" s="35"/>
      <c r="AF5422" s="35"/>
      <c r="AG5422" s="35"/>
      <c r="AH5422" s="35"/>
      <c r="AI5422" s="35"/>
      <c r="AJ5422" s="35"/>
      <c r="AK5422" s="35"/>
      <c r="AL5422" s="35"/>
    </row>
    <row r="5423">
      <c r="A5423" s="1"/>
      <c r="B5423" s="19" t="s">
        <v>19332</v>
      </c>
      <c r="C5423" s="20" t="s">
        <v>25574</v>
      </c>
      <c r="D5423" s="47"/>
      <c r="E5423" s="22" t="s">
        <v>1671</v>
      </c>
      <c r="F5423" s="22" t="s">
        <v>308</v>
      </c>
      <c r="G5423" s="23">
        <v>2022.0</v>
      </c>
      <c r="H5423" s="22" t="s">
        <v>91</v>
      </c>
      <c r="I5423" s="24" t="s">
        <v>25645</v>
      </c>
      <c r="J5423" s="22" t="s">
        <v>31</v>
      </c>
      <c r="K5423" s="22"/>
      <c r="L5423" s="292">
        <v>780.0</v>
      </c>
      <c r="M5423" s="292">
        <v>25.0</v>
      </c>
      <c r="N5423" s="292"/>
      <c r="O5423" s="292"/>
      <c r="P5423" s="366" t="s">
        <v>969</v>
      </c>
      <c r="Q5423" s="292"/>
      <c r="R5423" s="292"/>
      <c r="S5423" s="292"/>
      <c r="T5423" s="28" t="s">
        <v>25646</v>
      </c>
      <c r="U5423" s="29" t="s">
        <v>61</v>
      </c>
      <c r="V5423" s="30"/>
      <c r="W5423" s="49"/>
      <c r="X5423" s="49"/>
      <c r="Y5423" s="35"/>
      <c r="Z5423" s="35"/>
      <c r="AA5423" s="35"/>
      <c r="AB5423" s="35"/>
      <c r="AC5423" s="35"/>
      <c r="AD5423" s="35"/>
      <c r="AE5423" s="35"/>
      <c r="AF5423" s="35"/>
      <c r="AG5423" s="35"/>
      <c r="AH5423" s="35"/>
      <c r="AI5423" s="35"/>
      <c r="AJ5423" s="35"/>
      <c r="AK5423" s="35"/>
      <c r="AL5423" s="35"/>
    </row>
    <row r="5424">
      <c r="A5424" s="1"/>
      <c r="B5424" s="19" t="s">
        <v>19332</v>
      </c>
      <c r="C5424" s="20" t="s">
        <v>25574</v>
      </c>
      <c r="D5424" s="47"/>
      <c r="E5424" s="22" t="s">
        <v>25647</v>
      </c>
      <c r="F5424" s="22" t="s">
        <v>3762</v>
      </c>
      <c r="G5424" s="23">
        <v>2022.0</v>
      </c>
      <c r="H5424" s="22" t="s">
        <v>3523</v>
      </c>
      <c r="I5424" s="24" t="s">
        <v>25648</v>
      </c>
      <c r="J5424" s="22" t="s">
        <v>31</v>
      </c>
      <c r="K5424" s="22" t="s">
        <v>2216</v>
      </c>
      <c r="L5424" s="292">
        <v>650.0</v>
      </c>
      <c r="M5424" s="292"/>
      <c r="N5424" s="292" t="s">
        <v>17125</v>
      </c>
      <c r="O5424" s="292"/>
      <c r="P5424" s="366" t="s">
        <v>25649</v>
      </c>
      <c r="Q5424" s="292"/>
      <c r="R5424" s="292"/>
      <c r="S5424" s="292"/>
      <c r="T5424" s="28" t="s">
        <v>25650</v>
      </c>
      <c r="U5424" s="29" t="s">
        <v>61</v>
      </c>
      <c r="V5424" s="30"/>
      <c r="W5424" s="49"/>
      <c r="X5424" s="49"/>
      <c r="Y5424" s="35"/>
      <c r="Z5424" s="35"/>
      <c r="AA5424" s="35"/>
      <c r="AB5424" s="35"/>
      <c r="AC5424" s="35"/>
      <c r="AD5424" s="35"/>
      <c r="AE5424" s="35"/>
      <c r="AF5424" s="35"/>
      <c r="AG5424" s="35"/>
      <c r="AH5424" s="35"/>
      <c r="AI5424" s="35"/>
      <c r="AJ5424" s="35"/>
      <c r="AK5424" s="35"/>
      <c r="AL5424" s="35"/>
    </row>
    <row r="5425">
      <c r="A5425" s="18"/>
      <c r="B5425" s="19" t="s">
        <v>19332</v>
      </c>
      <c r="C5425" s="20" t="s">
        <v>25574</v>
      </c>
      <c r="D5425" s="47"/>
      <c r="E5425" s="22" t="s">
        <v>25651</v>
      </c>
      <c r="F5425" s="22" t="s">
        <v>11994</v>
      </c>
      <c r="G5425" s="23">
        <v>2022.0</v>
      </c>
      <c r="H5425" s="22" t="s">
        <v>21300</v>
      </c>
      <c r="I5425" s="24" t="s">
        <v>25652</v>
      </c>
      <c r="J5425" s="22" t="s">
        <v>25653</v>
      </c>
      <c r="K5425" s="22"/>
      <c r="L5425" s="105" t="s">
        <v>25654</v>
      </c>
      <c r="M5425" s="44"/>
      <c r="N5425" s="44"/>
      <c r="O5425" s="44"/>
      <c r="P5425" s="44"/>
      <c r="Q5425" s="44"/>
      <c r="R5425" s="44"/>
      <c r="S5425" s="44"/>
      <c r="T5425" s="44"/>
      <c r="U5425" s="29" t="s">
        <v>61</v>
      </c>
      <c r="V5425" s="30"/>
      <c r="W5425" s="34"/>
      <c r="X5425" s="49"/>
      <c r="Y5425" s="35"/>
      <c r="Z5425" s="35"/>
      <c r="AA5425" s="35"/>
      <c r="AB5425" s="35"/>
      <c r="AC5425" s="35"/>
      <c r="AD5425" s="35"/>
      <c r="AE5425" s="35"/>
      <c r="AF5425" s="35"/>
      <c r="AG5425" s="35"/>
      <c r="AH5425" s="35"/>
      <c r="AI5425" s="35"/>
      <c r="AJ5425" s="35"/>
      <c r="AK5425" s="35"/>
      <c r="AL5425" s="35"/>
    </row>
    <row r="5426">
      <c r="A5426" s="18"/>
      <c r="B5426" s="19" t="s">
        <v>19332</v>
      </c>
      <c r="C5426" s="20" t="s">
        <v>25574</v>
      </c>
      <c r="D5426" s="47"/>
      <c r="E5426" s="22" t="s">
        <v>25655</v>
      </c>
      <c r="F5426" s="22" t="s">
        <v>25656</v>
      </c>
      <c r="G5426" s="23">
        <v>2022.0</v>
      </c>
      <c r="H5426" s="22" t="s">
        <v>25657</v>
      </c>
      <c r="I5426" s="24" t="s">
        <v>25658</v>
      </c>
      <c r="J5426" s="22" t="s">
        <v>31</v>
      </c>
      <c r="K5426" s="22"/>
      <c r="L5426" s="292" t="s">
        <v>25659</v>
      </c>
      <c r="M5426" s="367"/>
      <c r="N5426" s="367"/>
      <c r="O5426" s="367"/>
      <c r="P5426" s="367" t="s">
        <v>25660</v>
      </c>
      <c r="Q5426" s="367"/>
      <c r="R5426" s="367"/>
      <c r="S5426" s="367"/>
      <c r="T5426" s="102" t="s">
        <v>25661</v>
      </c>
      <c r="U5426" s="29" t="s">
        <v>61</v>
      </c>
      <c r="V5426" s="30"/>
      <c r="W5426" s="34"/>
      <c r="X5426" s="49"/>
      <c r="Y5426" s="35"/>
      <c r="Z5426" s="35"/>
      <c r="AA5426" s="35"/>
      <c r="AB5426" s="35"/>
      <c r="AC5426" s="35"/>
      <c r="AD5426" s="35"/>
      <c r="AE5426" s="35"/>
      <c r="AF5426" s="35"/>
      <c r="AG5426" s="35"/>
      <c r="AH5426" s="35"/>
      <c r="AI5426" s="35"/>
      <c r="AJ5426" s="35"/>
      <c r="AK5426" s="35"/>
      <c r="AL5426" s="35"/>
    </row>
    <row r="5427">
      <c r="A5427" s="18"/>
      <c r="B5427" s="19" t="s">
        <v>19332</v>
      </c>
      <c r="C5427" s="20" t="s">
        <v>25574</v>
      </c>
      <c r="D5427" s="47"/>
      <c r="E5427" s="22" t="s">
        <v>25662</v>
      </c>
      <c r="F5427" s="22" t="s">
        <v>2221</v>
      </c>
      <c r="G5427" s="23">
        <v>2022.0</v>
      </c>
      <c r="H5427" s="22" t="s">
        <v>21594</v>
      </c>
      <c r="I5427" s="24" t="s">
        <v>25663</v>
      </c>
      <c r="J5427" s="22" t="s">
        <v>25653</v>
      </c>
      <c r="K5427" s="22"/>
      <c r="L5427" s="43" t="s">
        <v>25664</v>
      </c>
      <c r="M5427" s="44"/>
      <c r="N5427" s="44"/>
      <c r="O5427" s="44"/>
      <c r="P5427" s="44"/>
      <c r="Q5427" s="44"/>
      <c r="R5427" s="44"/>
      <c r="S5427" s="44"/>
      <c r="T5427" s="44"/>
      <c r="U5427" s="29" t="s">
        <v>61</v>
      </c>
      <c r="V5427" s="30"/>
      <c r="W5427" s="34"/>
      <c r="X5427" s="49"/>
      <c r="Y5427" s="35"/>
      <c r="Z5427" s="35"/>
      <c r="AA5427" s="35"/>
      <c r="AB5427" s="35"/>
      <c r="AC5427" s="35"/>
      <c r="AD5427" s="35"/>
      <c r="AE5427" s="35"/>
      <c r="AF5427" s="35"/>
      <c r="AG5427" s="35"/>
      <c r="AH5427" s="35"/>
      <c r="AI5427" s="35"/>
      <c r="AJ5427" s="35"/>
      <c r="AK5427" s="35"/>
      <c r="AL5427" s="35"/>
    </row>
    <row r="5428">
      <c r="A5428" s="18"/>
      <c r="B5428" s="19" t="s">
        <v>19332</v>
      </c>
      <c r="C5428" s="20" t="s">
        <v>25574</v>
      </c>
      <c r="D5428" s="47"/>
      <c r="E5428" s="22" t="s">
        <v>21294</v>
      </c>
      <c r="F5428" s="22" t="s">
        <v>8147</v>
      </c>
      <c r="G5428" s="23">
        <v>2022.0</v>
      </c>
      <c r="H5428" s="22" t="s">
        <v>25665</v>
      </c>
      <c r="I5428" s="24" t="s">
        <v>25666</v>
      </c>
      <c r="J5428" s="22" t="s">
        <v>31</v>
      </c>
      <c r="K5428" s="22"/>
      <c r="L5428" s="292">
        <v>2940.0</v>
      </c>
      <c r="M5428" s="367">
        <v>340.0</v>
      </c>
      <c r="N5428" s="367"/>
      <c r="O5428" s="367"/>
      <c r="P5428" s="367" t="s">
        <v>1819</v>
      </c>
      <c r="Q5428" s="367"/>
      <c r="R5428" s="367">
        <v>15.0</v>
      </c>
      <c r="S5428" s="280"/>
      <c r="T5428" s="54" t="s">
        <v>25667</v>
      </c>
      <c r="U5428" s="29" t="s">
        <v>61</v>
      </c>
      <c r="V5428" s="30"/>
      <c r="W5428" s="34"/>
      <c r="X5428" s="49"/>
      <c r="Y5428" s="35"/>
      <c r="Z5428" s="35"/>
      <c r="AA5428" s="35"/>
      <c r="AB5428" s="35"/>
      <c r="AC5428" s="35"/>
      <c r="AD5428" s="35"/>
      <c r="AE5428" s="35"/>
      <c r="AF5428" s="35"/>
      <c r="AG5428" s="35"/>
      <c r="AH5428" s="35"/>
      <c r="AI5428" s="35"/>
      <c r="AJ5428" s="35"/>
      <c r="AK5428" s="35"/>
      <c r="AL5428" s="35"/>
    </row>
    <row r="5429">
      <c r="A5429" s="18"/>
      <c r="B5429" s="19" t="s">
        <v>19332</v>
      </c>
      <c r="C5429" s="20" t="s">
        <v>25574</v>
      </c>
      <c r="D5429" s="47"/>
      <c r="E5429" s="22" t="s">
        <v>25668</v>
      </c>
      <c r="F5429" s="22" t="s">
        <v>3351</v>
      </c>
      <c r="G5429" s="23">
        <v>2021.0</v>
      </c>
      <c r="H5429" s="22" t="s">
        <v>21622</v>
      </c>
      <c r="I5429" s="24" t="s">
        <v>25669</v>
      </c>
      <c r="J5429" s="22" t="s">
        <v>31</v>
      </c>
      <c r="K5429" s="22" t="s">
        <v>25670</v>
      </c>
      <c r="L5429" s="292">
        <v>660.0</v>
      </c>
      <c r="M5429" s="367">
        <v>30.0</v>
      </c>
      <c r="N5429" s="367"/>
      <c r="O5429" s="367"/>
      <c r="P5429" s="367">
        <v>50.0</v>
      </c>
      <c r="Q5429" s="367"/>
      <c r="R5429" s="367"/>
      <c r="S5429" s="280"/>
      <c r="T5429" s="137" t="s">
        <v>25671</v>
      </c>
      <c r="U5429" s="29" t="s">
        <v>61</v>
      </c>
      <c r="V5429" s="30"/>
      <c r="W5429" s="34"/>
      <c r="X5429" s="49"/>
      <c r="Y5429" s="35"/>
      <c r="Z5429" s="35"/>
      <c r="AA5429" s="35"/>
      <c r="AB5429" s="35"/>
      <c r="AC5429" s="35"/>
      <c r="AD5429" s="35"/>
      <c r="AE5429" s="35"/>
      <c r="AF5429" s="35"/>
      <c r="AG5429" s="35"/>
      <c r="AH5429" s="35"/>
      <c r="AI5429" s="35"/>
      <c r="AJ5429" s="35"/>
      <c r="AK5429" s="35"/>
      <c r="AL5429" s="35"/>
    </row>
    <row r="5430">
      <c r="A5430" s="18"/>
      <c r="B5430" s="19" t="s">
        <v>19332</v>
      </c>
      <c r="C5430" s="20" t="s">
        <v>25574</v>
      </c>
      <c r="D5430" s="47"/>
      <c r="E5430" s="22" t="s">
        <v>23467</v>
      </c>
      <c r="F5430" s="22" t="s">
        <v>323</v>
      </c>
      <c r="G5430" s="23">
        <v>2021.0</v>
      </c>
      <c r="H5430" s="22" t="s">
        <v>4975</v>
      </c>
      <c r="I5430" s="24" t="s">
        <v>25672</v>
      </c>
      <c r="J5430" s="22" t="s">
        <v>31</v>
      </c>
      <c r="K5430" s="22" t="s">
        <v>25673</v>
      </c>
      <c r="L5430" s="292" t="s">
        <v>25674</v>
      </c>
      <c r="M5430" s="367"/>
      <c r="N5430" s="367"/>
      <c r="O5430" s="367"/>
      <c r="P5430" s="367"/>
      <c r="Q5430" s="367"/>
      <c r="R5430" s="367"/>
      <c r="S5430" s="280"/>
      <c r="T5430" s="137" t="s">
        <v>25675</v>
      </c>
      <c r="U5430" s="29" t="s">
        <v>61</v>
      </c>
      <c r="V5430" s="30"/>
      <c r="W5430" s="34"/>
      <c r="X5430" s="49"/>
      <c r="Y5430" s="35"/>
      <c r="Z5430" s="35"/>
      <c r="AA5430" s="35"/>
      <c r="AB5430" s="35"/>
      <c r="AC5430" s="35"/>
      <c r="AD5430" s="35"/>
      <c r="AE5430" s="35"/>
      <c r="AF5430" s="35"/>
      <c r="AG5430" s="35"/>
      <c r="AH5430" s="35"/>
      <c r="AI5430" s="35"/>
      <c r="AJ5430" s="35"/>
      <c r="AK5430" s="35"/>
      <c r="AL5430" s="35"/>
    </row>
    <row r="5431">
      <c r="A5431" s="18"/>
      <c r="B5431" s="19" t="s">
        <v>19332</v>
      </c>
      <c r="C5431" s="20" t="s">
        <v>25574</v>
      </c>
      <c r="D5431" s="47"/>
      <c r="E5431" s="22" t="s">
        <v>2275</v>
      </c>
      <c r="F5431" s="22" t="s">
        <v>25676</v>
      </c>
      <c r="G5431" s="23">
        <v>2021.0</v>
      </c>
      <c r="H5431" s="22" t="s">
        <v>91</v>
      </c>
      <c r="I5431" s="24" t="s">
        <v>25677</v>
      </c>
      <c r="J5431" s="22" t="s">
        <v>31</v>
      </c>
      <c r="K5431" s="22"/>
      <c r="L5431" s="292" t="s">
        <v>9219</v>
      </c>
      <c r="M5431" s="367"/>
      <c r="N5431" s="367"/>
      <c r="O5431" s="367"/>
      <c r="P5431" s="367" t="s">
        <v>2218</v>
      </c>
      <c r="Q5431" s="367"/>
      <c r="R5431" s="367"/>
      <c r="S5431" s="280"/>
      <c r="T5431" s="137" t="s">
        <v>25678</v>
      </c>
      <c r="U5431" s="29" t="s">
        <v>61</v>
      </c>
      <c r="V5431" s="30"/>
      <c r="W5431" s="34"/>
      <c r="X5431" s="49"/>
      <c r="Y5431" s="35"/>
      <c r="Z5431" s="35"/>
      <c r="AA5431" s="35"/>
      <c r="AB5431" s="35"/>
      <c r="AC5431" s="35"/>
      <c r="AD5431" s="35"/>
      <c r="AE5431" s="35"/>
      <c r="AF5431" s="35"/>
      <c r="AG5431" s="35"/>
      <c r="AH5431" s="35"/>
      <c r="AI5431" s="35"/>
      <c r="AJ5431" s="35"/>
      <c r="AK5431" s="35"/>
      <c r="AL5431" s="35"/>
    </row>
    <row r="5432">
      <c r="A5432" s="18"/>
      <c r="B5432" s="19" t="s">
        <v>19332</v>
      </c>
      <c r="C5432" s="20" t="s">
        <v>25574</v>
      </c>
      <c r="D5432" s="47"/>
      <c r="E5432" s="22" t="s">
        <v>25679</v>
      </c>
      <c r="F5432" s="22" t="s">
        <v>17916</v>
      </c>
      <c r="G5432" s="23">
        <v>2021.0</v>
      </c>
      <c r="H5432" s="22" t="s">
        <v>555</v>
      </c>
      <c r="I5432" s="24" t="s">
        <v>25680</v>
      </c>
      <c r="J5432" s="22" t="s">
        <v>31</v>
      </c>
      <c r="K5432" s="22"/>
      <c r="L5432" s="292" t="s">
        <v>25681</v>
      </c>
      <c r="M5432" s="367"/>
      <c r="N5432" s="367"/>
      <c r="O5432" s="367"/>
      <c r="P5432" s="367"/>
      <c r="Q5432" s="367"/>
      <c r="R5432" s="367"/>
      <c r="S5432" s="280"/>
      <c r="T5432" s="222" t="s">
        <v>25682</v>
      </c>
      <c r="U5432" s="29" t="s">
        <v>61</v>
      </c>
      <c r="V5432" s="30"/>
      <c r="W5432" s="34"/>
      <c r="X5432" s="49"/>
      <c r="Y5432" s="35"/>
      <c r="Z5432" s="35"/>
      <c r="AA5432" s="35"/>
      <c r="AB5432" s="35"/>
      <c r="AC5432" s="35"/>
      <c r="AD5432" s="35"/>
      <c r="AE5432" s="35"/>
      <c r="AF5432" s="35"/>
      <c r="AG5432" s="35"/>
      <c r="AH5432" s="35"/>
      <c r="AI5432" s="35"/>
      <c r="AJ5432" s="35"/>
      <c r="AK5432" s="35"/>
      <c r="AL5432" s="35"/>
    </row>
    <row r="5433">
      <c r="A5433" s="18"/>
      <c r="B5433" s="19" t="s">
        <v>19332</v>
      </c>
      <c r="C5433" s="20" t="s">
        <v>25574</v>
      </c>
      <c r="D5433" s="47"/>
      <c r="E5433" s="22" t="s">
        <v>25683</v>
      </c>
      <c r="F5433" s="22" t="s">
        <v>323</v>
      </c>
      <c r="G5433" s="23">
        <v>2021.0</v>
      </c>
      <c r="H5433" s="22" t="s">
        <v>4975</v>
      </c>
      <c r="I5433" s="24" t="s">
        <v>25684</v>
      </c>
      <c r="J5433" s="22" t="s">
        <v>31</v>
      </c>
      <c r="K5433" s="22"/>
      <c r="L5433" s="292">
        <v>915.0</v>
      </c>
      <c r="M5433" s="367"/>
      <c r="N5433" s="367"/>
      <c r="O5433" s="367"/>
      <c r="P5433" s="367" t="s">
        <v>4548</v>
      </c>
      <c r="Q5433" s="367"/>
      <c r="R5433" s="367"/>
      <c r="S5433" s="280"/>
      <c r="T5433" s="102" t="s">
        <v>25685</v>
      </c>
      <c r="U5433" s="29" t="s">
        <v>61</v>
      </c>
      <c r="V5433" s="30"/>
      <c r="W5433" s="34"/>
      <c r="X5433" s="49"/>
      <c r="Y5433" s="35"/>
      <c r="Z5433" s="35"/>
      <c r="AA5433" s="35"/>
      <c r="AB5433" s="35"/>
      <c r="AC5433" s="35"/>
      <c r="AD5433" s="35"/>
      <c r="AE5433" s="35"/>
      <c r="AF5433" s="35"/>
      <c r="AG5433" s="35"/>
      <c r="AH5433" s="35"/>
      <c r="AI5433" s="35"/>
      <c r="AJ5433" s="35"/>
      <c r="AK5433" s="35"/>
      <c r="AL5433" s="35"/>
    </row>
    <row r="5434">
      <c r="A5434" s="18"/>
      <c r="B5434" s="19" t="s">
        <v>19332</v>
      </c>
      <c r="C5434" s="20" t="s">
        <v>25574</v>
      </c>
      <c r="D5434" s="47"/>
      <c r="E5434" s="22" t="s">
        <v>23467</v>
      </c>
      <c r="F5434" s="22" t="s">
        <v>323</v>
      </c>
      <c r="G5434" s="23">
        <v>2021.0</v>
      </c>
      <c r="H5434" s="22" t="s">
        <v>4975</v>
      </c>
      <c r="I5434" s="24" t="s">
        <v>25686</v>
      </c>
      <c r="J5434" s="22" t="s">
        <v>31</v>
      </c>
      <c r="K5434" s="22"/>
      <c r="L5434" s="292" t="s">
        <v>25674</v>
      </c>
      <c r="M5434" s="367"/>
      <c r="N5434" s="367"/>
      <c r="O5434" s="367"/>
      <c r="P5434" s="367"/>
      <c r="Q5434" s="367"/>
      <c r="R5434" s="367"/>
      <c r="S5434" s="280"/>
      <c r="T5434" s="54" t="s">
        <v>25687</v>
      </c>
      <c r="U5434" s="29" t="s">
        <v>61</v>
      </c>
      <c r="V5434" s="30"/>
      <c r="W5434" s="34"/>
      <c r="X5434" s="49"/>
      <c r="Y5434" s="35"/>
      <c r="Z5434" s="35"/>
      <c r="AA5434" s="35"/>
      <c r="AB5434" s="35"/>
      <c r="AC5434" s="35"/>
      <c r="AD5434" s="35"/>
      <c r="AE5434" s="35"/>
      <c r="AF5434" s="35"/>
      <c r="AG5434" s="35"/>
      <c r="AH5434" s="35"/>
      <c r="AI5434" s="35"/>
      <c r="AJ5434" s="35"/>
      <c r="AK5434" s="35"/>
      <c r="AL5434" s="35"/>
    </row>
    <row r="5435">
      <c r="A5435" s="18"/>
      <c r="B5435" s="19" t="s">
        <v>19332</v>
      </c>
      <c r="C5435" s="20" t="s">
        <v>25574</v>
      </c>
      <c r="D5435" s="47"/>
      <c r="E5435" s="22" t="s">
        <v>23467</v>
      </c>
      <c r="F5435" s="22" t="s">
        <v>323</v>
      </c>
      <c r="G5435" s="23">
        <v>2021.0</v>
      </c>
      <c r="H5435" s="22" t="s">
        <v>4975</v>
      </c>
      <c r="I5435" s="24" t="s">
        <v>25688</v>
      </c>
      <c r="J5435" s="22" t="s">
        <v>31</v>
      </c>
      <c r="K5435" s="22" t="s">
        <v>25689</v>
      </c>
      <c r="L5435" s="292" t="s">
        <v>6257</v>
      </c>
      <c r="M5435" s="367"/>
      <c r="N5435" s="367"/>
      <c r="O5435" s="367"/>
      <c r="P5435" s="367"/>
      <c r="Q5435" s="367"/>
      <c r="R5435" s="367"/>
      <c r="S5435" s="280"/>
      <c r="T5435" s="54" t="s">
        <v>25690</v>
      </c>
      <c r="U5435" s="29" t="s">
        <v>61</v>
      </c>
      <c r="V5435" s="30"/>
      <c r="W5435" s="34"/>
      <c r="X5435" s="49"/>
      <c r="Y5435" s="35"/>
      <c r="Z5435" s="35"/>
      <c r="AA5435" s="35"/>
      <c r="AB5435" s="35"/>
      <c r="AC5435" s="35"/>
      <c r="AD5435" s="35"/>
      <c r="AE5435" s="35"/>
      <c r="AF5435" s="35"/>
      <c r="AG5435" s="35"/>
      <c r="AH5435" s="35"/>
      <c r="AI5435" s="35"/>
      <c r="AJ5435" s="35"/>
      <c r="AK5435" s="35"/>
      <c r="AL5435" s="35"/>
    </row>
    <row r="5436">
      <c r="A5436" s="18"/>
      <c r="B5436" s="19" t="s">
        <v>19332</v>
      </c>
      <c r="C5436" s="20" t="s">
        <v>25574</v>
      </c>
      <c r="D5436" s="47"/>
      <c r="E5436" s="22" t="s">
        <v>8001</v>
      </c>
      <c r="F5436" s="22" t="s">
        <v>2437</v>
      </c>
      <c r="G5436" s="23">
        <v>2021.0</v>
      </c>
      <c r="H5436" s="22" t="s">
        <v>25610</v>
      </c>
      <c r="I5436" s="24" t="s">
        <v>25691</v>
      </c>
      <c r="J5436" s="22" t="s">
        <v>31</v>
      </c>
      <c r="K5436" s="22"/>
      <c r="L5436" s="292">
        <v>980.0</v>
      </c>
      <c r="M5436" s="367"/>
      <c r="N5436" s="367"/>
      <c r="O5436" s="367"/>
      <c r="P5436" s="367" t="s">
        <v>25692</v>
      </c>
      <c r="Q5436" s="367"/>
      <c r="R5436" s="367"/>
      <c r="S5436" s="280"/>
      <c r="T5436" s="54" t="s">
        <v>25693</v>
      </c>
      <c r="U5436" s="29" t="s">
        <v>61</v>
      </c>
      <c r="V5436" s="30"/>
      <c r="W5436" s="34"/>
      <c r="X5436" s="49"/>
      <c r="Y5436" s="35"/>
      <c r="Z5436" s="35"/>
      <c r="AA5436" s="35"/>
      <c r="AB5436" s="35"/>
      <c r="AC5436" s="35"/>
      <c r="AD5436" s="35"/>
      <c r="AE5436" s="35"/>
      <c r="AF5436" s="35"/>
      <c r="AG5436" s="35"/>
      <c r="AH5436" s="35"/>
      <c r="AI5436" s="35"/>
      <c r="AJ5436" s="35"/>
      <c r="AK5436" s="35"/>
      <c r="AL5436" s="35"/>
    </row>
    <row r="5437">
      <c r="A5437" s="18"/>
      <c r="B5437" s="19" t="s">
        <v>19332</v>
      </c>
      <c r="C5437" s="20" t="s">
        <v>25574</v>
      </c>
      <c r="D5437" s="47"/>
      <c r="E5437" s="22" t="s">
        <v>626</v>
      </c>
      <c r="F5437" s="22" t="s">
        <v>224</v>
      </c>
      <c r="G5437" s="23">
        <v>2021.0</v>
      </c>
      <c r="H5437" s="22" t="s">
        <v>77</v>
      </c>
      <c r="I5437" s="24" t="s">
        <v>25694</v>
      </c>
      <c r="J5437" s="22" t="s">
        <v>31</v>
      </c>
      <c r="K5437" s="22"/>
      <c r="L5437" s="292">
        <v>808.0</v>
      </c>
      <c r="M5437" s="367"/>
      <c r="N5437" s="367"/>
      <c r="O5437" s="367"/>
      <c r="P5437" s="367" t="s">
        <v>25695</v>
      </c>
      <c r="Q5437" s="367"/>
      <c r="R5437" s="367"/>
      <c r="S5437" s="280"/>
      <c r="T5437" s="54" t="s">
        <v>25696</v>
      </c>
      <c r="U5437" s="29" t="s">
        <v>61</v>
      </c>
      <c r="V5437" s="30"/>
      <c r="W5437" s="34"/>
      <c r="X5437" s="49"/>
      <c r="Y5437" s="35"/>
      <c r="Z5437" s="35"/>
      <c r="AA5437" s="35"/>
      <c r="AB5437" s="35"/>
      <c r="AC5437" s="35"/>
      <c r="AD5437" s="35"/>
      <c r="AE5437" s="35"/>
      <c r="AF5437" s="35"/>
      <c r="AG5437" s="35"/>
      <c r="AH5437" s="35"/>
      <c r="AI5437" s="35"/>
      <c r="AJ5437" s="35"/>
      <c r="AK5437" s="35"/>
      <c r="AL5437" s="35"/>
    </row>
    <row r="5438">
      <c r="A5438" s="18"/>
      <c r="B5438" s="19" t="s">
        <v>19332</v>
      </c>
      <c r="C5438" s="20" t="s">
        <v>25574</v>
      </c>
      <c r="D5438" s="47"/>
      <c r="E5438" s="22" t="s">
        <v>25697</v>
      </c>
      <c r="F5438" s="22" t="s">
        <v>25698</v>
      </c>
      <c r="G5438" s="23">
        <v>2021.0</v>
      </c>
      <c r="H5438" s="22" t="s">
        <v>594</v>
      </c>
      <c r="I5438" s="24" t="s">
        <v>25699</v>
      </c>
      <c r="J5438" s="22" t="s">
        <v>31</v>
      </c>
      <c r="K5438" s="22"/>
      <c r="L5438" s="292" t="s">
        <v>25700</v>
      </c>
      <c r="M5438" s="367"/>
      <c r="N5438" s="367"/>
      <c r="O5438" s="367"/>
      <c r="P5438" s="367">
        <v>4.0</v>
      </c>
      <c r="Q5438" s="367"/>
      <c r="R5438" s="367"/>
      <c r="S5438" s="280"/>
      <c r="T5438" s="54" t="s">
        <v>25701</v>
      </c>
      <c r="U5438" s="29" t="s">
        <v>61</v>
      </c>
      <c r="V5438" s="30"/>
      <c r="W5438" s="34"/>
      <c r="X5438" s="49"/>
      <c r="Y5438" s="35"/>
      <c r="Z5438" s="35"/>
      <c r="AA5438" s="35"/>
      <c r="AB5438" s="35"/>
      <c r="AC5438" s="35"/>
      <c r="AD5438" s="35"/>
      <c r="AE5438" s="35"/>
      <c r="AF5438" s="35"/>
      <c r="AG5438" s="35"/>
      <c r="AH5438" s="35"/>
      <c r="AI5438" s="35"/>
      <c r="AJ5438" s="35"/>
      <c r="AK5438" s="35"/>
      <c r="AL5438" s="35"/>
    </row>
    <row r="5439">
      <c r="A5439" s="18"/>
      <c r="B5439" s="19" t="s">
        <v>19332</v>
      </c>
      <c r="C5439" s="20" t="s">
        <v>25574</v>
      </c>
      <c r="D5439" s="47"/>
      <c r="E5439" s="22" t="s">
        <v>1746</v>
      </c>
      <c r="F5439" s="22" t="s">
        <v>1617</v>
      </c>
      <c r="G5439" s="23">
        <v>2021.0</v>
      </c>
      <c r="H5439" s="22" t="s">
        <v>147</v>
      </c>
      <c r="I5439" s="24" t="s">
        <v>25702</v>
      </c>
      <c r="J5439" s="22" t="s">
        <v>31</v>
      </c>
      <c r="K5439" s="22" t="s">
        <v>1112</v>
      </c>
      <c r="L5439" s="292">
        <v>810.0</v>
      </c>
      <c r="M5439" s="367"/>
      <c r="N5439" s="367"/>
      <c r="O5439" s="367"/>
      <c r="P5439" s="367" t="s">
        <v>25703</v>
      </c>
      <c r="Q5439" s="367"/>
      <c r="R5439" s="367"/>
      <c r="S5439" s="280"/>
      <c r="T5439" s="54" t="s">
        <v>25704</v>
      </c>
      <c r="U5439" s="29" t="s">
        <v>61</v>
      </c>
      <c r="V5439" s="30"/>
      <c r="W5439" s="34"/>
      <c r="X5439" s="49"/>
      <c r="Y5439" s="35"/>
      <c r="Z5439" s="35"/>
      <c r="AA5439" s="35"/>
      <c r="AB5439" s="35"/>
      <c r="AC5439" s="35"/>
      <c r="AD5439" s="35"/>
      <c r="AE5439" s="35"/>
      <c r="AF5439" s="35"/>
      <c r="AG5439" s="35"/>
      <c r="AH5439" s="35"/>
      <c r="AI5439" s="35"/>
      <c r="AJ5439" s="35"/>
      <c r="AK5439" s="35"/>
      <c r="AL5439" s="35"/>
    </row>
    <row r="5440">
      <c r="A5440" s="18"/>
      <c r="B5440" s="19" t="s">
        <v>19332</v>
      </c>
      <c r="C5440" s="20" t="s">
        <v>25574</v>
      </c>
      <c r="D5440" s="47"/>
      <c r="E5440" s="22" t="s">
        <v>21334</v>
      </c>
      <c r="F5440" s="22" t="s">
        <v>1943</v>
      </c>
      <c r="G5440" s="23">
        <v>2021.0</v>
      </c>
      <c r="H5440" s="22" t="s">
        <v>25705</v>
      </c>
      <c r="I5440" s="24" t="s">
        <v>25706</v>
      </c>
      <c r="J5440" s="22" t="s">
        <v>31</v>
      </c>
      <c r="K5440" s="22" t="s">
        <v>25707</v>
      </c>
      <c r="L5440" s="292">
        <v>808.0</v>
      </c>
      <c r="M5440" s="367"/>
      <c r="N5440" s="367"/>
      <c r="O5440" s="367"/>
      <c r="P5440" s="367" t="s">
        <v>103</v>
      </c>
      <c r="Q5440" s="367"/>
      <c r="R5440" s="367"/>
      <c r="S5440" s="280"/>
      <c r="T5440" s="54" t="s">
        <v>25708</v>
      </c>
      <c r="U5440" s="29" t="s">
        <v>61</v>
      </c>
      <c r="V5440" s="30"/>
      <c r="W5440" s="34"/>
      <c r="X5440" s="49"/>
      <c r="Y5440" s="35"/>
      <c r="Z5440" s="35"/>
      <c r="AA5440" s="35"/>
      <c r="AB5440" s="35"/>
      <c r="AC5440" s="35"/>
      <c r="AD5440" s="35"/>
      <c r="AE5440" s="35"/>
      <c r="AF5440" s="35"/>
      <c r="AG5440" s="35"/>
      <c r="AH5440" s="35"/>
      <c r="AI5440" s="35"/>
      <c r="AJ5440" s="35"/>
      <c r="AK5440" s="35"/>
      <c r="AL5440" s="35"/>
    </row>
    <row r="5441">
      <c r="A5441" s="18"/>
      <c r="B5441" s="19" t="s">
        <v>19332</v>
      </c>
      <c r="C5441" s="20" t="s">
        <v>25574</v>
      </c>
      <c r="D5441" s="47"/>
      <c r="E5441" s="22" t="s">
        <v>25709</v>
      </c>
      <c r="F5441" s="22" t="s">
        <v>2214</v>
      </c>
      <c r="G5441" s="23">
        <v>2021.0</v>
      </c>
      <c r="H5441" s="22" t="s">
        <v>23747</v>
      </c>
      <c r="I5441" s="24" t="s">
        <v>25710</v>
      </c>
      <c r="J5441" s="22" t="s">
        <v>31</v>
      </c>
      <c r="K5441" s="22" t="s">
        <v>157</v>
      </c>
      <c r="L5441" s="292" t="s">
        <v>25711</v>
      </c>
      <c r="M5441" s="367"/>
      <c r="N5441" s="367"/>
      <c r="O5441" s="367"/>
      <c r="P5441" s="369">
        <v>44319.0</v>
      </c>
      <c r="Q5441" s="367"/>
      <c r="R5441" s="367"/>
      <c r="S5441" s="280"/>
      <c r="T5441" s="54" t="s">
        <v>25712</v>
      </c>
      <c r="U5441" s="29" t="s">
        <v>61</v>
      </c>
      <c r="V5441" s="30"/>
      <c r="W5441" s="34"/>
      <c r="X5441" s="49"/>
      <c r="Y5441" s="35"/>
      <c r="Z5441" s="35"/>
      <c r="AA5441" s="35"/>
      <c r="AB5441" s="35"/>
      <c r="AC5441" s="35"/>
      <c r="AD5441" s="35"/>
      <c r="AE5441" s="35"/>
      <c r="AF5441" s="35"/>
      <c r="AG5441" s="35"/>
      <c r="AH5441" s="35"/>
      <c r="AI5441" s="35"/>
      <c r="AJ5441" s="35"/>
      <c r="AK5441" s="35"/>
      <c r="AL5441" s="35"/>
    </row>
    <row r="5442">
      <c r="A5442" s="18"/>
      <c r="B5442" s="19" t="s">
        <v>19332</v>
      </c>
      <c r="C5442" s="20" t="s">
        <v>25574</v>
      </c>
      <c r="D5442" s="47"/>
      <c r="E5442" s="22" t="s">
        <v>25713</v>
      </c>
      <c r="F5442" s="22" t="s">
        <v>1398</v>
      </c>
      <c r="G5442" s="23">
        <v>2021.0</v>
      </c>
      <c r="H5442" s="22" t="s">
        <v>3963</v>
      </c>
      <c r="I5442" s="24" t="s">
        <v>25714</v>
      </c>
      <c r="J5442" s="22" t="s">
        <v>31</v>
      </c>
      <c r="K5442" s="22"/>
      <c r="L5442" s="292" t="s">
        <v>13068</v>
      </c>
      <c r="M5442" s="367">
        <v>500.0</v>
      </c>
      <c r="N5442" s="367"/>
      <c r="O5442" s="367"/>
      <c r="P5442" s="367"/>
      <c r="Q5442" s="367"/>
      <c r="R5442" s="367"/>
      <c r="S5442" s="280"/>
      <c r="T5442" s="54" t="s">
        <v>25715</v>
      </c>
      <c r="U5442" s="29" t="s">
        <v>61</v>
      </c>
      <c r="V5442" s="30"/>
      <c r="W5442" s="34"/>
      <c r="X5442" s="49"/>
      <c r="Y5442" s="35"/>
      <c r="Z5442" s="35"/>
      <c r="AA5442" s="35"/>
      <c r="AB5442" s="35"/>
      <c r="AC5442" s="35"/>
      <c r="AD5442" s="35"/>
      <c r="AE5442" s="35"/>
      <c r="AF5442" s="35"/>
      <c r="AG5442" s="35"/>
      <c r="AH5442" s="35"/>
      <c r="AI5442" s="35"/>
      <c r="AJ5442" s="35"/>
      <c r="AK5442" s="35"/>
      <c r="AL5442" s="35"/>
    </row>
    <row r="5443">
      <c r="A5443" s="278" t="s">
        <v>38</v>
      </c>
      <c r="B5443" s="19" t="s">
        <v>19332</v>
      </c>
      <c r="C5443" s="20" t="s">
        <v>25574</v>
      </c>
      <c r="D5443" s="47"/>
      <c r="E5443" s="22" t="s">
        <v>2195</v>
      </c>
      <c r="F5443" s="22" t="s">
        <v>18872</v>
      </c>
      <c r="G5443" s="23">
        <v>2021.0</v>
      </c>
      <c r="H5443" s="22" t="s">
        <v>2483</v>
      </c>
      <c r="I5443" s="24" t="s">
        <v>25716</v>
      </c>
      <c r="J5443" s="22" t="s">
        <v>31</v>
      </c>
      <c r="K5443" s="22" t="s">
        <v>1112</v>
      </c>
      <c r="L5443" s="292">
        <v>630.0</v>
      </c>
      <c r="M5443" s="367"/>
      <c r="N5443" s="367"/>
      <c r="O5443" s="367"/>
      <c r="P5443" s="367" t="s">
        <v>25717</v>
      </c>
      <c r="Q5443" s="367"/>
      <c r="R5443" s="367"/>
      <c r="S5443" s="280"/>
      <c r="T5443" s="54" t="s">
        <v>25718</v>
      </c>
      <c r="U5443" s="29" t="s">
        <v>2453</v>
      </c>
      <c r="V5443" s="30"/>
      <c r="W5443" s="34"/>
      <c r="X5443" s="49"/>
      <c r="Y5443" s="35"/>
      <c r="Z5443" s="35"/>
      <c r="AA5443" s="35"/>
      <c r="AB5443" s="35"/>
      <c r="AC5443" s="35"/>
      <c r="AD5443" s="35"/>
      <c r="AE5443" s="35"/>
      <c r="AF5443" s="35"/>
      <c r="AG5443" s="35"/>
      <c r="AH5443" s="35"/>
      <c r="AI5443" s="35"/>
      <c r="AJ5443" s="35"/>
      <c r="AK5443" s="35"/>
      <c r="AL5443" s="35"/>
    </row>
    <row r="5444">
      <c r="A5444" s="18"/>
      <c r="B5444" s="19" t="s">
        <v>19332</v>
      </c>
      <c r="C5444" s="20" t="s">
        <v>25574</v>
      </c>
      <c r="D5444" s="47"/>
      <c r="E5444" s="22" t="s">
        <v>14901</v>
      </c>
      <c r="F5444" s="22" t="s">
        <v>25719</v>
      </c>
      <c r="G5444" s="23">
        <v>2021.0</v>
      </c>
      <c r="H5444" s="22" t="s">
        <v>91</v>
      </c>
      <c r="I5444" s="24" t="s">
        <v>25720</v>
      </c>
      <c r="J5444" s="22" t="s">
        <v>31</v>
      </c>
      <c r="K5444" s="22"/>
      <c r="L5444" s="292" t="s">
        <v>25721</v>
      </c>
      <c r="M5444" s="367"/>
      <c r="N5444" s="367"/>
      <c r="O5444" s="367"/>
      <c r="P5444" s="367"/>
      <c r="Q5444" s="367"/>
      <c r="R5444" s="367"/>
      <c r="S5444" s="280"/>
      <c r="T5444" s="222" t="s">
        <v>25722</v>
      </c>
      <c r="U5444" s="29" t="s">
        <v>61</v>
      </c>
      <c r="V5444" s="30"/>
      <c r="W5444" s="34"/>
      <c r="X5444" s="49"/>
      <c r="Y5444" s="35"/>
      <c r="Z5444" s="35"/>
      <c r="AA5444" s="35"/>
      <c r="AB5444" s="35"/>
      <c r="AC5444" s="35"/>
      <c r="AD5444" s="35"/>
      <c r="AE5444" s="35"/>
      <c r="AF5444" s="35"/>
      <c r="AG5444" s="35"/>
      <c r="AH5444" s="35"/>
      <c r="AI5444" s="35"/>
      <c r="AJ5444" s="35"/>
      <c r="AK5444" s="35"/>
      <c r="AL5444" s="35"/>
    </row>
    <row r="5445">
      <c r="A5445" s="18"/>
      <c r="B5445" s="19" t="s">
        <v>19332</v>
      </c>
      <c r="C5445" s="20" t="s">
        <v>25574</v>
      </c>
      <c r="D5445" s="47"/>
      <c r="E5445" s="22" t="s">
        <v>25723</v>
      </c>
      <c r="F5445" s="22" t="s">
        <v>1891</v>
      </c>
      <c r="G5445" s="23">
        <v>2020.0</v>
      </c>
      <c r="H5445" s="22" t="s">
        <v>19759</v>
      </c>
      <c r="I5445" s="24" t="s">
        <v>25724</v>
      </c>
      <c r="J5445" s="22" t="s">
        <v>31</v>
      </c>
      <c r="K5445" s="22" t="s">
        <v>25725</v>
      </c>
      <c r="L5445" s="292"/>
      <c r="M5445" s="367"/>
      <c r="N5445" s="367"/>
      <c r="O5445" s="367"/>
      <c r="P5445" s="367"/>
      <c r="Q5445" s="367"/>
      <c r="R5445" s="367"/>
      <c r="S5445" s="280"/>
      <c r="T5445" s="102" t="s">
        <v>25726</v>
      </c>
      <c r="U5445" s="29" t="s">
        <v>61</v>
      </c>
      <c r="V5445" s="30"/>
      <c r="W5445" s="34"/>
      <c r="X5445" s="49"/>
      <c r="Y5445" s="35"/>
      <c r="Z5445" s="35"/>
      <c r="AA5445" s="35"/>
      <c r="AB5445" s="35"/>
      <c r="AC5445" s="35"/>
      <c r="AD5445" s="35"/>
      <c r="AE5445" s="35"/>
      <c r="AF5445" s="35"/>
      <c r="AG5445" s="35"/>
      <c r="AH5445" s="35"/>
      <c r="AI5445" s="35"/>
      <c r="AJ5445" s="35"/>
      <c r="AK5445" s="35"/>
      <c r="AL5445" s="35"/>
    </row>
    <row r="5446">
      <c r="A5446" s="18"/>
      <c r="B5446" s="19" t="s">
        <v>19332</v>
      </c>
      <c r="C5446" s="20" t="s">
        <v>25574</v>
      </c>
      <c r="D5446" s="47"/>
      <c r="E5446" s="22" t="s">
        <v>21334</v>
      </c>
      <c r="F5446" s="22" t="s">
        <v>1943</v>
      </c>
      <c r="G5446" s="23">
        <v>2020.0</v>
      </c>
      <c r="H5446" s="22" t="s">
        <v>25727</v>
      </c>
      <c r="I5446" s="24" t="s">
        <v>25728</v>
      </c>
      <c r="J5446" s="22" t="s">
        <v>31</v>
      </c>
      <c r="K5446" s="22" t="s">
        <v>21336</v>
      </c>
      <c r="L5446" s="292"/>
      <c r="M5446" s="367"/>
      <c r="N5446" s="367"/>
      <c r="O5446" s="367"/>
      <c r="P5446" s="367"/>
      <c r="Q5446" s="367"/>
      <c r="R5446" s="367"/>
      <c r="S5446" s="280"/>
      <c r="T5446" s="54" t="s">
        <v>25729</v>
      </c>
      <c r="U5446" s="29" t="s">
        <v>61</v>
      </c>
      <c r="V5446" s="30"/>
      <c r="W5446" s="34"/>
      <c r="X5446" s="49"/>
      <c r="Y5446" s="35"/>
      <c r="Z5446" s="35"/>
      <c r="AA5446" s="35"/>
      <c r="AB5446" s="35"/>
      <c r="AC5446" s="35"/>
      <c r="AD5446" s="35"/>
      <c r="AE5446" s="35"/>
      <c r="AF5446" s="35"/>
      <c r="AG5446" s="35"/>
      <c r="AH5446" s="35"/>
      <c r="AI5446" s="35"/>
      <c r="AJ5446" s="35"/>
      <c r="AK5446" s="35"/>
      <c r="AL5446" s="35"/>
    </row>
    <row r="5447">
      <c r="A5447" s="18" t="s">
        <v>181</v>
      </c>
      <c r="B5447" s="19" t="s">
        <v>19332</v>
      </c>
      <c r="C5447" s="20" t="s">
        <v>25574</v>
      </c>
      <c r="D5447" s="47"/>
      <c r="E5447" s="22" t="s">
        <v>5136</v>
      </c>
      <c r="F5447" s="22" t="s">
        <v>1930</v>
      </c>
      <c r="G5447" s="23">
        <v>2020.0</v>
      </c>
      <c r="H5447" s="22" t="s">
        <v>4975</v>
      </c>
      <c r="I5447" s="24" t="s">
        <v>25730</v>
      </c>
      <c r="J5447" s="22" t="s">
        <v>31</v>
      </c>
      <c r="K5447" s="22"/>
      <c r="L5447" s="52">
        <v>940.0</v>
      </c>
      <c r="M5447" s="52"/>
      <c r="N5447" s="52"/>
      <c r="O5447" s="52"/>
      <c r="P5447" s="189" t="s">
        <v>254</v>
      </c>
      <c r="Q5447" s="52"/>
      <c r="R5447" s="52"/>
      <c r="S5447" s="52"/>
      <c r="T5447" s="41" t="s">
        <v>25731</v>
      </c>
      <c r="U5447" s="29" t="s">
        <v>61</v>
      </c>
      <c r="V5447" s="30"/>
      <c r="W5447" s="49"/>
      <c r="X5447" s="49"/>
      <c r="Y5447" s="35"/>
      <c r="Z5447" s="35"/>
      <c r="AA5447" s="35"/>
      <c r="AB5447" s="35"/>
      <c r="AC5447" s="35"/>
      <c r="AD5447" s="35"/>
      <c r="AE5447" s="35"/>
      <c r="AF5447" s="35"/>
      <c r="AG5447" s="35"/>
      <c r="AH5447" s="35"/>
      <c r="AI5447" s="35"/>
      <c r="AJ5447" s="35"/>
      <c r="AK5447" s="35"/>
      <c r="AL5447" s="35"/>
    </row>
    <row r="5448">
      <c r="A5448" s="1"/>
      <c r="B5448" s="19" t="s">
        <v>19332</v>
      </c>
      <c r="C5448" s="20" t="s">
        <v>25574</v>
      </c>
      <c r="D5448" s="47"/>
      <c r="E5448" s="22" t="s">
        <v>25732</v>
      </c>
      <c r="F5448" s="22" t="s">
        <v>1617</v>
      </c>
      <c r="G5448" s="23">
        <v>2021.0</v>
      </c>
      <c r="H5448" s="22" t="s">
        <v>555</v>
      </c>
      <c r="I5448" s="24" t="s">
        <v>25733</v>
      </c>
      <c r="J5448" s="22" t="s">
        <v>31</v>
      </c>
      <c r="K5448" s="22"/>
      <c r="L5448" s="52" t="s">
        <v>11516</v>
      </c>
      <c r="M5448" s="52"/>
      <c r="N5448" s="52"/>
      <c r="O5448" s="52"/>
      <c r="P5448" s="189"/>
      <c r="Q5448" s="52"/>
      <c r="R5448" s="52"/>
      <c r="S5448" s="52"/>
      <c r="T5448" s="28" t="s">
        <v>25734</v>
      </c>
      <c r="U5448" s="29" t="s">
        <v>61</v>
      </c>
      <c r="V5448" s="30"/>
      <c r="W5448" s="49"/>
      <c r="X5448" s="49"/>
      <c r="Y5448" s="35"/>
      <c r="Z5448" s="35"/>
      <c r="AA5448" s="35"/>
      <c r="AB5448" s="35"/>
      <c r="AC5448" s="35"/>
      <c r="AD5448" s="35"/>
      <c r="AE5448" s="35"/>
      <c r="AF5448" s="35"/>
      <c r="AG5448" s="35"/>
      <c r="AH5448" s="35"/>
      <c r="AI5448" s="35"/>
      <c r="AJ5448" s="35"/>
      <c r="AK5448" s="35"/>
      <c r="AL5448" s="35"/>
    </row>
    <row r="5449">
      <c r="A5449" s="1"/>
      <c r="B5449" s="19" t="s">
        <v>19332</v>
      </c>
      <c r="C5449" s="20" t="s">
        <v>25574</v>
      </c>
      <c r="D5449" s="47"/>
      <c r="E5449" s="22" t="s">
        <v>5136</v>
      </c>
      <c r="F5449" s="22" t="s">
        <v>1930</v>
      </c>
      <c r="G5449" s="23">
        <v>2021.0</v>
      </c>
      <c r="H5449" s="22" t="s">
        <v>91</v>
      </c>
      <c r="I5449" s="24" t="s">
        <v>25735</v>
      </c>
      <c r="J5449" s="22" t="s">
        <v>31</v>
      </c>
      <c r="K5449" s="22"/>
      <c r="L5449" s="52">
        <v>940.0</v>
      </c>
      <c r="M5449" s="52">
        <v>100.0</v>
      </c>
      <c r="N5449" s="52"/>
      <c r="O5449" s="52"/>
      <c r="P5449" s="189" t="s">
        <v>254</v>
      </c>
      <c r="Q5449" s="52"/>
      <c r="R5449" s="52"/>
      <c r="S5449" s="52"/>
      <c r="T5449" s="42" t="s">
        <v>25736</v>
      </c>
      <c r="U5449" s="29" t="s">
        <v>61</v>
      </c>
      <c r="V5449" s="30"/>
      <c r="W5449" s="49"/>
      <c r="X5449" s="49"/>
      <c r="Y5449" s="35"/>
      <c r="Z5449" s="35"/>
      <c r="AA5449" s="35"/>
      <c r="AB5449" s="35"/>
      <c r="AC5449" s="35"/>
      <c r="AD5449" s="35"/>
      <c r="AE5449" s="35"/>
      <c r="AF5449" s="35"/>
      <c r="AG5449" s="35"/>
      <c r="AH5449" s="35"/>
      <c r="AI5449" s="35"/>
      <c r="AJ5449" s="35"/>
      <c r="AK5449" s="35"/>
      <c r="AL5449" s="35"/>
    </row>
    <row r="5450">
      <c r="A5450" s="1"/>
      <c r="B5450" s="19" t="s">
        <v>19332</v>
      </c>
      <c r="C5450" s="20" t="s">
        <v>25574</v>
      </c>
      <c r="D5450" s="47"/>
      <c r="E5450" s="22" t="s">
        <v>25737</v>
      </c>
      <c r="F5450" s="22" t="s">
        <v>1398</v>
      </c>
      <c r="G5450" s="23">
        <v>2020.0</v>
      </c>
      <c r="H5450" s="22" t="s">
        <v>348</v>
      </c>
      <c r="I5450" s="24" t="s">
        <v>25738</v>
      </c>
      <c r="J5450" s="22" t="s">
        <v>125</v>
      </c>
      <c r="K5450" s="22"/>
      <c r="L5450" s="173" t="s">
        <v>25739</v>
      </c>
      <c r="U5450" s="29" t="s">
        <v>61</v>
      </c>
      <c r="V5450" s="30"/>
      <c r="W5450" s="49"/>
      <c r="X5450" s="49"/>
      <c r="Y5450" s="35"/>
      <c r="Z5450" s="35"/>
      <c r="AA5450" s="35"/>
      <c r="AB5450" s="35"/>
      <c r="AC5450" s="35"/>
      <c r="AD5450" s="35"/>
      <c r="AE5450" s="35"/>
      <c r="AF5450" s="35"/>
      <c r="AG5450" s="35"/>
      <c r="AH5450" s="35"/>
      <c r="AI5450" s="35"/>
      <c r="AJ5450" s="35"/>
      <c r="AK5450" s="35"/>
      <c r="AL5450" s="35"/>
    </row>
    <row r="5451">
      <c r="A5451" s="1"/>
      <c r="B5451" s="19" t="s">
        <v>19332</v>
      </c>
      <c r="C5451" s="20" t="s">
        <v>25574</v>
      </c>
      <c r="D5451" s="47"/>
      <c r="E5451" s="22" t="s">
        <v>23467</v>
      </c>
      <c r="F5451" s="22" t="s">
        <v>323</v>
      </c>
      <c r="G5451" s="23">
        <v>2020.0</v>
      </c>
      <c r="H5451" s="22" t="s">
        <v>147</v>
      </c>
      <c r="I5451" s="24" t="s">
        <v>25740</v>
      </c>
      <c r="J5451" s="22" t="s">
        <v>31</v>
      </c>
      <c r="K5451" s="22" t="s">
        <v>1725</v>
      </c>
      <c r="L5451" s="52">
        <v>445.0</v>
      </c>
      <c r="M5451" s="200"/>
      <c r="N5451" s="52"/>
      <c r="O5451" s="52"/>
      <c r="P5451" s="189" t="s">
        <v>404</v>
      </c>
      <c r="Q5451" s="52"/>
      <c r="R5451" s="52"/>
      <c r="S5451" s="52"/>
      <c r="T5451" s="28" t="s">
        <v>25741</v>
      </c>
      <c r="U5451" s="29" t="s">
        <v>61</v>
      </c>
      <c r="V5451" s="30"/>
      <c r="W5451" s="49"/>
      <c r="X5451" s="49"/>
      <c r="Y5451" s="35"/>
      <c r="Z5451" s="35"/>
      <c r="AA5451" s="35"/>
      <c r="AB5451" s="35"/>
      <c r="AC5451" s="35"/>
      <c r="AD5451" s="35"/>
      <c r="AE5451" s="35"/>
      <c r="AF5451" s="35"/>
      <c r="AG5451" s="35"/>
      <c r="AH5451" s="35"/>
      <c r="AI5451" s="35"/>
      <c r="AJ5451" s="35"/>
      <c r="AK5451" s="35"/>
      <c r="AL5451" s="35"/>
    </row>
    <row r="5452">
      <c r="A5452" s="1"/>
      <c r="B5452" s="19" t="s">
        <v>19332</v>
      </c>
      <c r="C5452" s="20" t="s">
        <v>25574</v>
      </c>
      <c r="D5452" s="47"/>
      <c r="E5452" s="22" t="s">
        <v>25742</v>
      </c>
      <c r="F5452" s="22" t="s">
        <v>7665</v>
      </c>
      <c r="G5452" s="23">
        <v>2020.0</v>
      </c>
      <c r="H5452" s="22" t="s">
        <v>13399</v>
      </c>
      <c r="I5452" s="24" t="s">
        <v>25743</v>
      </c>
      <c r="J5452" s="22" t="s">
        <v>31</v>
      </c>
      <c r="K5452" s="22"/>
      <c r="L5452" s="52" t="s">
        <v>25744</v>
      </c>
      <c r="M5452" s="52"/>
      <c r="N5452" s="52"/>
      <c r="O5452" s="52"/>
      <c r="P5452" s="189" t="s">
        <v>25745</v>
      </c>
      <c r="Q5452" s="52"/>
      <c r="R5452" s="52"/>
      <c r="S5452" s="52"/>
      <c r="T5452" s="41" t="s">
        <v>25746</v>
      </c>
      <c r="U5452" s="29" t="s">
        <v>61</v>
      </c>
      <c r="V5452" s="30"/>
      <c r="W5452" s="49"/>
      <c r="X5452" s="49"/>
      <c r="Y5452" s="35"/>
      <c r="Z5452" s="35"/>
      <c r="AA5452" s="35"/>
      <c r="AB5452" s="35"/>
      <c r="AC5452" s="35"/>
      <c r="AD5452" s="35"/>
      <c r="AE5452" s="35"/>
      <c r="AF5452" s="35"/>
      <c r="AG5452" s="35"/>
      <c r="AH5452" s="35"/>
      <c r="AI5452" s="35"/>
      <c r="AJ5452" s="35"/>
      <c r="AK5452" s="35"/>
      <c r="AL5452" s="35"/>
    </row>
    <row r="5453">
      <c r="A5453" s="1"/>
      <c r="B5453" s="19" t="s">
        <v>19332</v>
      </c>
      <c r="C5453" s="20" t="s">
        <v>25574</v>
      </c>
      <c r="D5453" s="47"/>
      <c r="E5453" s="22" t="s">
        <v>5730</v>
      </c>
      <c r="F5453" s="22" t="s">
        <v>308</v>
      </c>
      <c r="G5453" s="23">
        <v>2020.0</v>
      </c>
      <c r="H5453" s="22" t="s">
        <v>91</v>
      </c>
      <c r="I5453" s="24" t="s">
        <v>25747</v>
      </c>
      <c r="J5453" s="22" t="s">
        <v>31</v>
      </c>
      <c r="K5453" s="22"/>
      <c r="L5453" s="52">
        <v>780.0</v>
      </c>
      <c r="M5453" s="52">
        <v>25.0</v>
      </c>
      <c r="N5453" s="52"/>
      <c r="O5453" s="52"/>
      <c r="P5453" s="189"/>
      <c r="Q5453" s="52"/>
      <c r="R5453" s="52"/>
      <c r="S5453" s="52"/>
      <c r="T5453" s="42" t="s">
        <v>25748</v>
      </c>
      <c r="U5453" s="29" t="s">
        <v>61</v>
      </c>
      <c r="V5453" s="30"/>
      <c r="W5453" s="49"/>
      <c r="X5453" s="49"/>
      <c r="Y5453" s="35"/>
      <c r="Z5453" s="35"/>
      <c r="AA5453" s="35"/>
      <c r="AB5453" s="35"/>
      <c r="AC5453" s="35"/>
      <c r="AD5453" s="35"/>
      <c r="AE5453" s="35"/>
      <c r="AF5453" s="35"/>
      <c r="AG5453" s="35"/>
      <c r="AH5453" s="35"/>
      <c r="AI5453" s="35"/>
      <c r="AJ5453" s="35"/>
      <c r="AK5453" s="35"/>
      <c r="AL5453" s="35"/>
    </row>
    <row r="5454">
      <c r="A5454" s="1"/>
      <c r="B5454" s="19" t="s">
        <v>19332</v>
      </c>
      <c r="C5454" s="20" t="s">
        <v>25574</v>
      </c>
      <c r="D5454" s="47"/>
      <c r="E5454" s="22" t="s">
        <v>18818</v>
      </c>
      <c r="F5454" s="22" t="s">
        <v>5425</v>
      </c>
      <c r="G5454" s="23">
        <v>2020.0</v>
      </c>
      <c r="H5454" s="22" t="s">
        <v>91</v>
      </c>
      <c r="I5454" s="24" t="s">
        <v>25749</v>
      </c>
      <c r="J5454" s="22" t="s">
        <v>31</v>
      </c>
      <c r="K5454" s="22" t="s">
        <v>1112</v>
      </c>
      <c r="L5454" s="52">
        <v>830.0</v>
      </c>
      <c r="M5454" s="52"/>
      <c r="N5454" s="52"/>
      <c r="O5454" s="52"/>
      <c r="P5454" s="189"/>
      <c r="Q5454" s="52"/>
      <c r="R5454" s="52"/>
      <c r="S5454" s="52"/>
      <c r="T5454" s="28" t="s">
        <v>25750</v>
      </c>
      <c r="U5454" s="29" t="s">
        <v>61</v>
      </c>
      <c r="V5454" s="30"/>
      <c r="W5454" s="49"/>
      <c r="X5454" s="49"/>
      <c r="Y5454" s="35"/>
      <c r="Z5454" s="35"/>
      <c r="AA5454" s="35"/>
      <c r="AB5454" s="35"/>
      <c r="AC5454" s="35"/>
      <c r="AD5454" s="35"/>
      <c r="AE5454" s="35"/>
      <c r="AF5454" s="35"/>
      <c r="AG5454" s="35"/>
      <c r="AH5454" s="35"/>
      <c r="AI5454" s="35"/>
      <c r="AJ5454" s="35"/>
      <c r="AK5454" s="35"/>
      <c r="AL5454" s="35"/>
    </row>
    <row r="5455">
      <c r="A5455" s="1"/>
      <c r="B5455" s="19" t="s">
        <v>19332</v>
      </c>
      <c r="C5455" s="20" t="s">
        <v>25574</v>
      </c>
      <c r="D5455" s="47"/>
      <c r="E5455" s="22" t="s">
        <v>1671</v>
      </c>
      <c r="F5455" s="22" t="s">
        <v>308</v>
      </c>
      <c r="G5455" s="23">
        <v>2020.0</v>
      </c>
      <c r="H5455" s="22" t="s">
        <v>91</v>
      </c>
      <c r="I5455" s="24" t="s">
        <v>25751</v>
      </c>
      <c r="J5455" s="22" t="s">
        <v>31</v>
      </c>
      <c r="K5455" s="22"/>
      <c r="L5455" s="52">
        <v>780.0</v>
      </c>
      <c r="M5455" s="52">
        <v>25.0</v>
      </c>
      <c r="N5455" s="52"/>
      <c r="O5455" s="52"/>
      <c r="P5455" s="189" t="s">
        <v>4163</v>
      </c>
      <c r="Q5455" s="52"/>
      <c r="R5455" s="52"/>
      <c r="S5455" s="52"/>
      <c r="T5455" s="42" t="s">
        <v>25752</v>
      </c>
      <c r="U5455" s="38" t="str">
        <f>HYPERLINK("https://www.ncbi.nlm.nih.gov/pubmed/32030556","PubMed")</f>
        <v>PubMed</v>
      </c>
      <c r="V5455" s="30"/>
      <c r="W5455" s="49"/>
      <c r="X5455" s="49"/>
      <c r="Y5455" s="35"/>
      <c r="Z5455" s="35"/>
      <c r="AA5455" s="35"/>
      <c r="AB5455" s="35"/>
      <c r="AC5455" s="35"/>
      <c r="AD5455" s="35"/>
      <c r="AE5455" s="35"/>
      <c r="AF5455" s="35"/>
      <c r="AG5455" s="35"/>
      <c r="AH5455" s="35"/>
      <c r="AI5455" s="35"/>
      <c r="AJ5455" s="35"/>
      <c r="AK5455" s="35"/>
      <c r="AL5455" s="35"/>
    </row>
    <row r="5456">
      <c r="A5456" s="1"/>
      <c r="B5456" s="19" t="s">
        <v>19332</v>
      </c>
      <c r="C5456" s="20" t="s">
        <v>25574</v>
      </c>
      <c r="D5456" s="47"/>
      <c r="E5456" s="22" t="s">
        <v>25753</v>
      </c>
      <c r="F5456" s="22" t="s">
        <v>25754</v>
      </c>
      <c r="G5456" s="23">
        <v>2019.0</v>
      </c>
      <c r="H5456" s="22" t="s">
        <v>25755</v>
      </c>
      <c r="I5456" s="24" t="s">
        <v>25756</v>
      </c>
      <c r="J5456" s="22" t="s">
        <v>125</v>
      </c>
      <c r="K5456" s="22"/>
      <c r="L5456" s="132" t="s">
        <v>25757</v>
      </c>
      <c r="U5456" s="38" t="str">
        <f>HYPERLINK("https://link.springer.com/article/10.1007/s41547-019-00056-9","Springer")</f>
        <v>Springer</v>
      </c>
      <c r="V5456" s="30"/>
      <c r="W5456" s="49"/>
      <c r="X5456" s="49"/>
      <c r="Y5456" s="35"/>
      <c r="Z5456" s="35"/>
      <c r="AA5456" s="35"/>
      <c r="AB5456" s="35"/>
      <c r="AC5456" s="35"/>
      <c r="AD5456" s="35"/>
      <c r="AE5456" s="35"/>
      <c r="AF5456" s="35"/>
      <c r="AG5456" s="35"/>
      <c r="AH5456" s="35"/>
      <c r="AI5456" s="35"/>
      <c r="AJ5456" s="35"/>
      <c r="AK5456" s="35"/>
      <c r="AL5456" s="35"/>
    </row>
    <row r="5457">
      <c r="A5457" s="1"/>
      <c r="B5457" s="19" t="s">
        <v>19332</v>
      </c>
      <c r="C5457" s="20" t="s">
        <v>25574</v>
      </c>
      <c r="D5457" s="47"/>
      <c r="E5457" s="22" t="s">
        <v>493</v>
      </c>
      <c r="F5457" s="22" t="s">
        <v>494</v>
      </c>
      <c r="G5457" s="23">
        <v>2019.0</v>
      </c>
      <c r="H5457" s="22" t="s">
        <v>91</v>
      </c>
      <c r="I5457" s="24" t="s">
        <v>25758</v>
      </c>
      <c r="J5457" s="22" t="s">
        <v>31</v>
      </c>
      <c r="K5457" s="22"/>
      <c r="L5457" s="36">
        <v>660.0</v>
      </c>
      <c r="M5457" s="36">
        <v>70.0</v>
      </c>
      <c r="N5457" s="36"/>
      <c r="O5457" s="36"/>
      <c r="P5457" s="37" t="s">
        <v>70</v>
      </c>
      <c r="Q5457" s="36"/>
      <c r="R5457" s="36"/>
      <c r="S5457" s="36"/>
      <c r="T5457" s="28" t="s">
        <v>25759</v>
      </c>
      <c r="U5457" s="38" t="str">
        <f>HYPERLINK("https://www.ncbi.nlm.nih.gov/pubmed/30456536","PubMed")</f>
        <v>PubMed</v>
      </c>
      <c r="V5457" s="30"/>
      <c r="W5457" s="49"/>
      <c r="X5457" s="49"/>
      <c r="Y5457" s="35"/>
      <c r="Z5457" s="35"/>
      <c r="AA5457" s="35"/>
      <c r="AB5457" s="35"/>
      <c r="AC5457" s="35"/>
      <c r="AD5457" s="35"/>
      <c r="AE5457" s="35"/>
      <c r="AF5457" s="35"/>
      <c r="AG5457" s="35"/>
      <c r="AH5457" s="35"/>
      <c r="AI5457" s="35"/>
      <c r="AJ5457" s="35"/>
      <c r="AK5457" s="35"/>
      <c r="AL5457" s="35"/>
    </row>
    <row r="5458">
      <c r="A5458" s="1"/>
      <c r="B5458" s="19" t="s">
        <v>19332</v>
      </c>
      <c r="C5458" s="20" t="s">
        <v>25574</v>
      </c>
      <c r="D5458" s="47"/>
      <c r="E5458" s="22" t="s">
        <v>25647</v>
      </c>
      <c r="F5458" s="22" t="s">
        <v>6785</v>
      </c>
      <c r="G5458" s="23">
        <v>2018.0</v>
      </c>
      <c r="H5458" s="22" t="s">
        <v>23271</v>
      </c>
      <c r="I5458" s="24" t="s">
        <v>25760</v>
      </c>
      <c r="J5458" s="22" t="s">
        <v>31</v>
      </c>
      <c r="K5458" s="22" t="s">
        <v>157</v>
      </c>
      <c r="L5458" s="36">
        <v>650.0</v>
      </c>
      <c r="M5458" s="36"/>
      <c r="N5458" s="36"/>
      <c r="O5458" s="36"/>
      <c r="P5458" s="37" t="s">
        <v>25761</v>
      </c>
      <c r="Q5458" s="36"/>
      <c r="R5458" s="36"/>
      <c r="S5458" s="36"/>
      <c r="T5458" s="28" t="s">
        <v>25762</v>
      </c>
      <c r="U5458" s="38" t="str">
        <f>HYPERLINK("http://onlinelibrary.wiley.com/doi/10.1002/JPER.17-0365/abstract","Wiley")</f>
        <v>Wiley</v>
      </c>
      <c r="V5458" s="30"/>
      <c r="W5458" s="49"/>
      <c r="X5458" s="49"/>
      <c r="Y5458" s="35"/>
      <c r="Z5458" s="35"/>
      <c r="AA5458" s="35"/>
      <c r="AB5458" s="35"/>
      <c r="AC5458" s="35"/>
      <c r="AD5458" s="35"/>
      <c r="AE5458" s="35"/>
      <c r="AF5458" s="35"/>
      <c r="AG5458" s="35"/>
      <c r="AH5458" s="35"/>
      <c r="AI5458" s="35"/>
      <c r="AJ5458" s="35"/>
      <c r="AK5458" s="35"/>
      <c r="AL5458" s="35"/>
    </row>
    <row r="5459">
      <c r="A5459" s="18"/>
      <c r="B5459" s="19" t="s">
        <v>19332</v>
      </c>
      <c r="C5459" s="20" t="s">
        <v>25574</v>
      </c>
      <c r="D5459" s="47"/>
      <c r="E5459" s="22" t="s">
        <v>493</v>
      </c>
      <c r="F5459" s="22" t="s">
        <v>494</v>
      </c>
      <c r="G5459" s="23" t="s">
        <v>90</v>
      </c>
      <c r="H5459" s="22" t="s">
        <v>91</v>
      </c>
      <c r="I5459" s="24" t="s">
        <v>25763</v>
      </c>
      <c r="J5459" s="22" t="s">
        <v>31</v>
      </c>
      <c r="K5459" s="22" t="s">
        <v>25764</v>
      </c>
      <c r="L5459" s="36">
        <v>660.0</v>
      </c>
      <c r="M5459" s="36"/>
      <c r="N5459" s="36"/>
      <c r="O5459" s="36"/>
      <c r="P5459" s="37" t="s">
        <v>70</v>
      </c>
      <c r="Q5459" s="36"/>
      <c r="R5459" s="36"/>
      <c r="S5459" s="36"/>
      <c r="T5459" s="28" t="s">
        <v>25765</v>
      </c>
      <c r="U5459" s="38" t="str">
        <f>HYPERLINK("https://www.ncbi.nlm.nih.gov/pubmed/29116611","PubMed")</f>
        <v>PubMed</v>
      </c>
      <c r="V5459" s="30"/>
      <c r="W5459" s="49"/>
      <c r="X5459" s="49"/>
      <c r="Y5459" s="35"/>
      <c r="Z5459" s="35"/>
      <c r="AA5459" s="35"/>
      <c r="AB5459" s="35"/>
      <c r="AC5459" s="35"/>
      <c r="AD5459" s="35"/>
      <c r="AE5459" s="35"/>
      <c r="AF5459" s="35"/>
      <c r="AG5459" s="35"/>
      <c r="AH5459" s="35"/>
      <c r="AI5459" s="35"/>
      <c r="AJ5459" s="35"/>
      <c r="AK5459" s="35"/>
      <c r="AL5459" s="35"/>
    </row>
    <row r="5460">
      <c r="A5460" s="1"/>
      <c r="B5460" s="19" t="s">
        <v>19332</v>
      </c>
      <c r="C5460" s="20" t="s">
        <v>25574</v>
      </c>
      <c r="D5460" s="47"/>
      <c r="E5460" s="22" t="s">
        <v>25766</v>
      </c>
      <c r="F5460" s="22" t="s">
        <v>1046</v>
      </c>
      <c r="G5460" s="23">
        <v>2017.0</v>
      </c>
      <c r="H5460" s="22" t="s">
        <v>292</v>
      </c>
      <c r="I5460" s="24" t="s">
        <v>25767</v>
      </c>
      <c r="J5460" s="22" t="s">
        <v>31</v>
      </c>
      <c r="K5460" s="22" t="s">
        <v>1848</v>
      </c>
      <c r="L5460" s="36">
        <v>633.0</v>
      </c>
      <c r="M5460" s="36"/>
      <c r="N5460" s="36"/>
      <c r="O5460" s="36"/>
      <c r="P5460" s="37" t="s">
        <v>25768</v>
      </c>
      <c r="Q5460" s="36"/>
      <c r="R5460" s="36"/>
      <c r="S5460" s="36"/>
      <c r="T5460" s="28" t="s">
        <v>25769</v>
      </c>
      <c r="U5460" s="38" t="str">
        <f>HYPERLINK("https://www.ncbi.nlm.nih.gov/pubmed/28785130","PubMed")</f>
        <v>PubMed</v>
      </c>
      <c r="V5460" s="30"/>
      <c r="W5460" s="49"/>
      <c r="X5460" s="49"/>
      <c r="Y5460" s="35"/>
      <c r="Z5460" s="35"/>
      <c r="AA5460" s="35"/>
      <c r="AB5460" s="35"/>
      <c r="AC5460" s="35"/>
      <c r="AD5460" s="35"/>
      <c r="AE5460" s="35"/>
      <c r="AF5460" s="35"/>
      <c r="AG5460" s="35"/>
      <c r="AH5460" s="35"/>
      <c r="AI5460" s="35"/>
      <c r="AJ5460" s="35"/>
      <c r="AK5460" s="35"/>
      <c r="AL5460" s="35"/>
    </row>
    <row r="5461">
      <c r="A5461" s="1"/>
      <c r="B5461" s="19" t="s">
        <v>19332</v>
      </c>
      <c r="C5461" s="20" t="s">
        <v>25574</v>
      </c>
      <c r="D5461" s="47"/>
      <c r="E5461" s="22" t="s">
        <v>5730</v>
      </c>
      <c r="F5461" s="22" t="s">
        <v>308</v>
      </c>
      <c r="G5461" s="23">
        <v>2017.0</v>
      </c>
      <c r="H5461" s="22" t="s">
        <v>91</v>
      </c>
      <c r="I5461" s="24" t="s">
        <v>25770</v>
      </c>
      <c r="J5461" s="22" t="s">
        <v>31</v>
      </c>
      <c r="K5461" s="22"/>
      <c r="L5461" s="36">
        <v>780.0</v>
      </c>
      <c r="M5461" s="36">
        <v>25.0</v>
      </c>
      <c r="N5461" s="36"/>
      <c r="O5461" s="36"/>
      <c r="P5461" s="37" t="s">
        <v>969</v>
      </c>
      <c r="Q5461" s="36"/>
      <c r="R5461" s="36"/>
      <c r="S5461" s="36"/>
      <c r="T5461" s="28" t="s">
        <v>25771</v>
      </c>
      <c r="U5461" s="38" t="str">
        <f>HYPERLINK("https://www.ncbi.nlm.nih.gov/pubmed/27677475","PubMed")</f>
        <v>PubMed</v>
      </c>
      <c r="V5461" s="30"/>
      <c r="W5461" s="49"/>
      <c r="X5461" s="49"/>
      <c r="Y5461" s="35"/>
      <c r="Z5461" s="35"/>
      <c r="AA5461" s="35"/>
      <c r="AB5461" s="35"/>
      <c r="AC5461" s="35"/>
      <c r="AD5461" s="35"/>
      <c r="AE5461" s="35"/>
      <c r="AF5461" s="35"/>
      <c r="AG5461" s="35"/>
      <c r="AH5461" s="35"/>
      <c r="AI5461" s="35"/>
      <c r="AJ5461" s="35"/>
      <c r="AK5461" s="35"/>
      <c r="AL5461" s="35"/>
    </row>
    <row r="5462">
      <c r="A5462" s="1"/>
      <c r="B5462" s="19" t="s">
        <v>19332</v>
      </c>
      <c r="C5462" s="20" t="s">
        <v>25574</v>
      </c>
      <c r="D5462" s="47"/>
      <c r="E5462" s="22" t="s">
        <v>25772</v>
      </c>
      <c r="F5462" s="22" t="s">
        <v>25773</v>
      </c>
      <c r="G5462" s="23">
        <v>2017.0</v>
      </c>
      <c r="H5462" s="22" t="s">
        <v>25774</v>
      </c>
      <c r="I5462" s="24" t="s">
        <v>25775</v>
      </c>
      <c r="J5462" s="22" t="s">
        <v>31</v>
      </c>
      <c r="K5462" s="22" t="s">
        <v>157</v>
      </c>
      <c r="L5462" s="36">
        <v>640.0</v>
      </c>
      <c r="M5462" s="36"/>
      <c r="N5462" s="36"/>
      <c r="O5462" s="36"/>
      <c r="P5462" s="37"/>
      <c r="Q5462" s="36"/>
      <c r="R5462" s="36"/>
      <c r="S5462" s="36"/>
      <c r="T5462" s="42" t="s">
        <v>25776</v>
      </c>
      <c r="U5462" s="38" t="str">
        <f>HYPERLINK("https://www.ncbi.nlm.nih.gov/pubmed/29876040","PubMed")</f>
        <v>PubMed</v>
      </c>
      <c r="V5462" s="30"/>
      <c r="W5462" s="49"/>
      <c r="X5462" s="49"/>
      <c r="Y5462" s="35"/>
      <c r="Z5462" s="35"/>
      <c r="AA5462" s="35"/>
      <c r="AB5462" s="35"/>
      <c r="AC5462" s="35"/>
      <c r="AD5462" s="35"/>
      <c r="AE5462" s="35"/>
      <c r="AF5462" s="35"/>
      <c r="AG5462" s="35"/>
      <c r="AH5462" s="35"/>
      <c r="AI5462" s="35"/>
      <c r="AJ5462" s="35"/>
      <c r="AK5462" s="35"/>
      <c r="AL5462" s="35"/>
    </row>
    <row r="5463">
      <c r="A5463" s="1"/>
      <c r="B5463" s="19" t="s">
        <v>19332</v>
      </c>
      <c r="C5463" s="20" t="s">
        <v>25574</v>
      </c>
      <c r="D5463" s="47"/>
      <c r="E5463" s="22" t="s">
        <v>25777</v>
      </c>
      <c r="F5463" s="22" t="s">
        <v>230</v>
      </c>
      <c r="G5463" s="23">
        <v>2016.0</v>
      </c>
      <c r="H5463" s="22" t="s">
        <v>7511</v>
      </c>
      <c r="I5463" s="24" t="s">
        <v>25778</v>
      </c>
      <c r="J5463" s="22" t="s">
        <v>31</v>
      </c>
      <c r="K5463" s="22" t="s">
        <v>25779</v>
      </c>
      <c r="L5463" s="36">
        <v>835.0</v>
      </c>
      <c r="M5463" s="36"/>
      <c r="N5463" s="36"/>
      <c r="O5463" s="36"/>
      <c r="P5463" s="37"/>
      <c r="Q5463" s="36"/>
      <c r="R5463" s="36"/>
      <c r="S5463" s="36"/>
      <c r="T5463" s="28" t="s">
        <v>25780</v>
      </c>
      <c r="U5463" s="38" t="str">
        <f>HYPERLINK("https://www.ncbi.nlm.nih.gov/pubmed/27469564","PubMed")</f>
        <v>PubMed</v>
      </c>
      <c r="V5463" s="30"/>
      <c r="W5463" s="49"/>
      <c r="X5463" s="49"/>
      <c r="Y5463" s="35"/>
      <c r="Z5463" s="35"/>
      <c r="AA5463" s="35"/>
      <c r="AB5463" s="35"/>
      <c r="AC5463" s="35"/>
      <c r="AD5463" s="35"/>
      <c r="AE5463" s="35"/>
      <c r="AF5463" s="35"/>
      <c r="AG5463" s="35"/>
      <c r="AH5463" s="35"/>
      <c r="AI5463" s="35"/>
      <c r="AJ5463" s="35"/>
      <c r="AK5463" s="35"/>
      <c r="AL5463" s="35"/>
    </row>
    <row r="5464">
      <c r="A5464" s="1"/>
      <c r="B5464" s="19" t="s">
        <v>19332</v>
      </c>
      <c r="C5464" s="20" t="s">
        <v>25574</v>
      </c>
      <c r="D5464" s="47"/>
      <c r="E5464" s="22" t="s">
        <v>5459</v>
      </c>
      <c r="F5464" s="22" t="s">
        <v>308</v>
      </c>
      <c r="G5464" s="23">
        <v>2016.0</v>
      </c>
      <c r="H5464" s="22" t="s">
        <v>91</v>
      </c>
      <c r="I5464" s="24" t="s">
        <v>25781</v>
      </c>
      <c r="J5464" s="22" t="s">
        <v>31</v>
      </c>
      <c r="K5464" s="22" t="s">
        <v>1112</v>
      </c>
      <c r="L5464" s="36">
        <v>780.0</v>
      </c>
      <c r="M5464" s="36">
        <v>30.0</v>
      </c>
      <c r="N5464" s="36"/>
      <c r="O5464" s="36"/>
      <c r="P5464" s="37" t="s">
        <v>1786</v>
      </c>
      <c r="Q5464" s="36"/>
      <c r="R5464" s="36"/>
      <c r="S5464" s="36"/>
      <c r="T5464" s="28" t="s">
        <v>25782</v>
      </c>
      <c r="U5464" s="38" t="str">
        <f>HYPERLINK("https://www.ncbi.nlm.nih.gov/pubmed/27126408","PubMed")</f>
        <v>PubMed</v>
      </c>
      <c r="V5464" s="30"/>
      <c r="W5464" s="49"/>
      <c r="X5464" s="49"/>
      <c r="Y5464" s="35"/>
      <c r="Z5464" s="35"/>
      <c r="AA5464" s="35"/>
      <c r="AB5464" s="35"/>
      <c r="AC5464" s="35"/>
      <c r="AD5464" s="35"/>
      <c r="AE5464" s="35"/>
      <c r="AF5464" s="35"/>
      <c r="AG5464" s="35"/>
      <c r="AH5464" s="35"/>
      <c r="AI5464" s="35"/>
      <c r="AJ5464" s="35"/>
      <c r="AK5464" s="35"/>
      <c r="AL5464" s="35"/>
    </row>
    <row r="5465">
      <c r="A5465" s="1"/>
      <c r="B5465" s="19" t="s">
        <v>19332</v>
      </c>
      <c r="C5465" s="20" t="s">
        <v>25574</v>
      </c>
      <c r="D5465" s="47"/>
      <c r="E5465" s="22" t="s">
        <v>25783</v>
      </c>
      <c r="F5465" s="22" t="s">
        <v>1617</v>
      </c>
      <c r="G5465" s="23">
        <v>2015.0</v>
      </c>
      <c r="H5465" s="22" t="s">
        <v>22712</v>
      </c>
      <c r="I5465" s="24" t="s">
        <v>25784</v>
      </c>
      <c r="J5465" s="22" t="s">
        <v>31</v>
      </c>
      <c r="K5465" s="22" t="s">
        <v>1112</v>
      </c>
      <c r="L5465" s="36">
        <v>1064.0</v>
      </c>
      <c r="M5465" s="36"/>
      <c r="N5465" s="36"/>
      <c r="O5465" s="36"/>
      <c r="P5465" s="37" t="s">
        <v>25785</v>
      </c>
      <c r="Q5465" s="36"/>
      <c r="R5465" s="36" t="s">
        <v>25786</v>
      </c>
      <c r="S5465" s="36"/>
      <c r="T5465" s="42" t="s">
        <v>25787</v>
      </c>
      <c r="U5465" s="38" t="str">
        <f>HYPERLINK("https://www.ncbi.nlm.nih.gov/pubmed/26504463","PubMed")</f>
        <v>PubMed</v>
      </c>
      <c r="V5465" s="30"/>
      <c r="W5465" s="49"/>
      <c r="X5465" s="49"/>
      <c r="Y5465" s="35"/>
      <c r="Z5465" s="35"/>
      <c r="AA5465" s="35"/>
      <c r="AB5465" s="35"/>
      <c r="AC5465" s="35"/>
      <c r="AD5465" s="35"/>
      <c r="AE5465" s="35"/>
      <c r="AF5465" s="35"/>
      <c r="AG5465" s="35"/>
      <c r="AH5465" s="35"/>
      <c r="AI5465" s="35"/>
      <c r="AJ5465" s="35"/>
      <c r="AK5465" s="35"/>
      <c r="AL5465" s="35"/>
    </row>
    <row r="5466">
      <c r="A5466" s="1"/>
      <c r="B5466" s="19" t="s">
        <v>19332</v>
      </c>
      <c r="C5466" s="20" t="s">
        <v>25574</v>
      </c>
      <c r="D5466" s="47"/>
      <c r="E5466" s="22" t="s">
        <v>25788</v>
      </c>
      <c r="F5466" s="22" t="s">
        <v>1398</v>
      </c>
      <c r="G5466" s="23">
        <v>2015.0</v>
      </c>
      <c r="H5466" s="22" t="s">
        <v>91</v>
      </c>
      <c r="I5466" s="24" t="s">
        <v>25789</v>
      </c>
      <c r="J5466" s="22" t="s">
        <v>31</v>
      </c>
      <c r="K5466" s="22" t="s">
        <v>25790</v>
      </c>
      <c r="L5466" s="36">
        <v>2940.0</v>
      </c>
      <c r="M5466" s="36"/>
      <c r="N5466" s="36"/>
      <c r="O5466" s="52"/>
      <c r="P5466" s="37"/>
      <c r="Q5466" s="36"/>
      <c r="R5466" s="36"/>
      <c r="S5466" s="36"/>
      <c r="T5466" s="28" t="s">
        <v>25791</v>
      </c>
      <c r="U5466" s="38" t="str">
        <f>HYPERLINK("https://www.ncbi.nlm.nih.gov/pubmed/25429773","PubMed")</f>
        <v>PubMed</v>
      </c>
      <c r="V5466" s="30"/>
      <c r="W5466" s="49"/>
      <c r="X5466" s="49"/>
      <c r="Y5466" s="35"/>
      <c r="Z5466" s="35"/>
      <c r="AA5466" s="35"/>
      <c r="AB5466" s="35"/>
      <c r="AC5466" s="35"/>
      <c r="AD5466" s="35"/>
      <c r="AE5466" s="35"/>
      <c r="AF5466" s="35"/>
      <c r="AG5466" s="35"/>
      <c r="AH5466" s="35"/>
      <c r="AI5466" s="35"/>
      <c r="AJ5466" s="35"/>
      <c r="AK5466" s="35"/>
      <c r="AL5466" s="35"/>
    </row>
    <row r="5467">
      <c r="A5467" s="1"/>
      <c r="B5467" s="19" t="s">
        <v>19332</v>
      </c>
      <c r="C5467" s="20" t="s">
        <v>25574</v>
      </c>
      <c r="D5467" s="47"/>
      <c r="E5467" s="22" t="s">
        <v>1904</v>
      </c>
      <c r="F5467" s="22" t="s">
        <v>1622</v>
      </c>
      <c r="G5467" s="23">
        <v>2015.0</v>
      </c>
      <c r="H5467" s="22" t="s">
        <v>21704</v>
      </c>
      <c r="I5467" s="24" t="s">
        <v>25792</v>
      </c>
      <c r="J5467" s="22" t="s">
        <v>31</v>
      </c>
      <c r="K5467" s="22" t="s">
        <v>2158</v>
      </c>
      <c r="L5467" s="36">
        <v>635.0</v>
      </c>
      <c r="M5467" s="36"/>
      <c r="N5467" s="36"/>
      <c r="O5467" s="52"/>
      <c r="P5467" s="37"/>
      <c r="Q5467" s="36"/>
      <c r="R5467" s="36"/>
      <c r="S5467" s="36"/>
      <c r="T5467" s="28" t="s">
        <v>25793</v>
      </c>
      <c r="U5467" s="38" t="str">
        <f>HYPERLINK("https://www.ncbi.nlm.nih.gov/pubmed/25066944","PubMed")</f>
        <v>PubMed</v>
      </c>
      <c r="V5467" s="30"/>
      <c r="W5467" s="49"/>
      <c r="X5467" s="49"/>
      <c r="Y5467" s="35"/>
      <c r="Z5467" s="35"/>
      <c r="AA5467" s="35"/>
      <c r="AB5467" s="35"/>
      <c r="AC5467" s="35"/>
      <c r="AD5467" s="35"/>
      <c r="AE5467" s="35"/>
      <c r="AF5467" s="35"/>
      <c r="AG5467" s="35"/>
      <c r="AH5467" s="35"/>
      <c r="AI5467" s="35"/>
      <c r="AJ5467" s="35"/>
      <c r="AK5467" s="35"/>
      <c r="AL5467" s="35"/>
    </row>
    <row r="5468">
      <c r="A5468" s="1"/>
      <c r="B5468" s="19" t="s">
        <v>19332</v>
      </c>
      <c r="C5468" s="20" t="s">
        <v>25574</v>
      </c>
      <c r="D5468" s="47"/>
      <c r="E5468" s="22" t="s">
        <v>493</v>
      </c>
      <c r="F5468" s="22" t="s">
        <v>1081</v>
      </c>
      <c r="G5468" s="23">
        <v>2015.0</v>
      </c>
      <c r="H5468" s="22" t="s">
        <v>91</v>
      </c>
      <c r="I5468" s="24" t="s">
        <v>25794</v>
      </c>
      <c r="J5468" s="22" t="s">
        <v>31</v>
      </c>
      <c r="K5468" s="22"/>
      <c r="L5468" s="36">
        <v>808.0</v>
      </c>
      <c r="M5468" s="36">
        <v>80.0</v>
      </c>
      <c r="N5468" s="36" t="s">
        <v>58</v>
      </c>
      <c r="O5468" s="52" t="s">
        <v>58</v>
      </c>
      <c r="P5468" s="37" t="s">
        <v>325</v>
      </c>
      <c r="Q5468" s="36" t="s">
        <v>675</v>
      </c>
      <c r="R5468" s="36">
        <v>15.0</v>
      </c>
      <c r="S5468" s="36">
        <v>1.0</v>
      </c>
      <c r="T5468" s="28" t="s">
        <v>25795</v>
      </c>
      <c r="U5468" s="38" t="str">
        <f>HYPERLINK("https://www.ncbi.nlm.nih.gov/pubmed/23835780","PubMed")</f>
        <v>PubMed</v>
      </c>
      <c r="V5468" s="30"/>
      <c r="W5468" s="49"/>
      <c r="X5468" s="49"/>
      <c r="Y5468" s="35"/>
      <c r="Z5468" s="35"/>
      <c r="AA5468" s="35"/>
      <c r="AB5468" s="35"/>
      <c r="AC5468" s="35"/>
      <c r="AD5468" s="35"/>
      <c r="AE5468" s="35"/>
      <c r="AF5468" s="35"/>
      <c r="AG5468" s="35"/>
      <c r="AH5468" s="35"/>
      <c r="AI5468" s="35"/>
      <c r="AJ5468" s="35"/>
      <c r="AK5468" s="35"/>
      <c r="AL5468" s="35"/>
    </row>
    <row r="5469">
      <c r="A5469" s="1"/>
      <c r="B5469" s="19" t="s">
        <v>19332</v>
      </c>
      <c r="C5469" s="20" t="s">
        <v>25574</v>
      </c>
      <c r="D5469" s="47"/>
      <c r="E5469" s="22" t="s">
        <v>25796</v>
      </c>
      <c r="F5469" s="22" t="s">
        <v>1398</v>
      </c>
      <c r="G5469" s="23">
        <v>2014.0</v>
      </c>
      <c r="H5469" s="22" t="s">
        <v>91</v>
      </c>
      <c r="I5469" s="24" t="s">
        <v>25797</v>
      </c>
      <c r="J5469" s="22" t="s">
        <v>31</v>
      </c>
      <c r="K5469" s="22"/>
      <c r="L5469" s="36">
        <v>904.0</v>
      </c>
      <c r="M5469" s="36">
        <v>170.0</v>
      </c>
      <c r="N5469" s="36" t="s">
        <v>25798</v>
      </c>
      <c r="P5469" s="37" t="s">
        <v>25799</v>
      </c>
      <c r="Q5469" s="36"/>
      <c r="R5469" s="36"/>
      <c r="S5469" s="36"/>
      <c r="T5469" s="28" t="s">
        <v>25800</v>
      </c>
      <c r="U5469" s="38" t="str">
        <f>HYPERLINK("https://www.ncbi.nlm.nih.gov/pubmed/23515630","PubMed")</f>
        <v>PubMed</v>
      </c>
      <c r="V5469" s="30"/>
      <c r="W5469" s="49"/>
      <c r="X5469" s="49"/>
      <c r="Y5469" s="35"/>
      <c r="Z5469" s="35"/>
      <c r="AA5469" s="35"/>
      <c r="AB5469" s="35"/>
      <c r="AC5469" s="35"/>
      <c r="AD5469" s="35"/>
      <c r="AE5469" s="35"/>
      <c r="AF5469" s="35"/>
      <c r="AG5469" s="35"/>
      <c r="AH5469" s="35"/>
      <c r="AI5469" s="35"/>
      <c r="AJ5469" s="35"/>
      <c r="AK5469" s="35"/>
      <c r="AL5469" s="35"/>
    </row>
    <row r="5470">
      <c r="A5470" s="1"/>
      <c r="B5470" s="75" t="s">
        <v>19332</v>
      </c>
      <c r="C5470" s="77" t="s">
        <v>25574</v>
      </c>
      <c r="D5470" s="47"/>
      <c r="E5470" s="22" t="s">
        <v>25801</v>
      </c>
      <c r="F5470" s="22" t="s">
        <v>11529</v>
      </c>
      <c r="G5470" s="23">
        <v>2013.0</v>
      </c>
      <c r="H5470" s="57" t="s">
        <v>25802</v>
      </c>
      <c r="I5470" s="24" t="s">
        <v>25803</v>
      </c>
      <c r="J5470" s="22" t="s">
        <v>31</v>
      </c>
      <c r="K5470" s="22"/>
      <c r="L5470" s="36">
        <v>810.0</v>
      </c>
      <c r="M5470" s="36">
        <v>50.0</v>
      </c>
      <c r="N5470" s="36"/>
      <c r="O5470" s="52"/>
      <c r="P5470" s="37" t="s">
        <v>254</v>
      </c>
      <c r="Q5470" s="36"/>
      <c r="R5470" s="36"/>
      <c r="S5470" s="36">
        <v>3.0</v>
      </c>
      <c r="T5470" s="28" t="s">
        <v>25804</v>
      </c>
      <c r="U5470" s="38" t="str">
        <f>HYPERLINK("https://www.ncbi.nlm.nih.gov/pubmed/24379964","PubMed")</f>
        <v>PubMed</v>
      </c>
      <c r="V5470" s="30"/>
      <c r="W5470" s="49"/>
      <c r="X5470" s="49"/>
      <c r="Y5470" s="35"/>
      <c r="Z5470" s="35"/>
      <c r="AA5470" s="35"/>
      <c r="AB5470" s="35"/>
      <c r="AC5470" s="35"/>
      <c r="AD5470" s="35"/>
      <c r="AE5470" s="35"/>
      <c r="AF5470" s="35"/>
      <c r="AG5470" s="35"/>
      <c r="AH5470" s="35"/>
      <c r="AI5470" s="35"/>
      <c r="AJ5470" s="35"/>
      <c r="AK5470" s="35"/>
      <c r="AL5470" s="35"/>
    </row>
    <row r="5471">
      <c r="A5471" s="1"/>
      <c r="B5471" s="19" t="s">
        <v>19332</v>
      </c>
      <c r="C5471" s="20" t="s">
        <v>25574</v>
      </c>
      <c r="D5471" s="47"/>
      <c r="E5471" s="22" t="s">
        <v>4595</v>
      </c>
      <c r="F5471" s="22" t="s">
        <v>25805</v>
      </c>
      <c r="G5471" s="23">
        <v>2012.0</v>
      </c>
      <c r="H5471" s="57" t="s">
        <v>91</v>
      </c>
      <c r="I5471" s="24" t="s">
        <v>25806</v>
      </c>
      <c r="J5471" s="22" t="s">
        <v>31</v>
      </c>
      <c r="K5471" s="22" t="s">
        <v>25807</v>
      </c>
      <c r="L5471" s="36">
        <v>635.0</v>
      </c>
      <c r="M5471" s="36"/>
      <c r="N5471" s="36" t="s">
        <v>1897</v>
      </c>
      <c r="O5471" s="36"/>
      <c r="P5471" s="37"/>
      <c r="Q5471" s="36"/>
      <c r="R5471" s="36" t="s">
        <v>25808</v>
      </c>
      <c r="S5471" s="36"/>
      <c r="T5471" s="28" t="s">
        <v>25809</v>
      </c>
      <c r="U5471" s="38" t="str">
        <f>HYPERLINK("https://www.ncbi.nlm.nih.gov/pubmed/21814735","PubMed")</f>
        <v>PubMed</v>
      </c>
      <c r="V5471" s="30"/>
      <c r="W5471" s="49"/>
      <c r="X5471" s="49"/>
      <c r="Y5471" s="35"/>
      <c r="Z5471" s="35"/>
      <c r="AA5471" s="35"/>
      <c r="AB5471" s="35"/>
      <c r="AC5471" s="35"/>
      <c r="AD5471" s="35"/>
      <c r="AE5471" s="35"/>
      <c r="AF5471" s="35"/>
      <c r="AG5471" s="35"/>
      <c r="AH5471" s="35"/>
      <c r="AI5471" s="35"/>
      <c r="AJ5471" s="35"/>
      <c r="AK5471" s="35"/>
      <c r="AL5471" s="35"/>
    </row>
    <row r="5472">
      <c r="A5472" s="1"/>
      <c r="B5472" s="19" t="s">
        <v>19332</v>
      </c>
      <c r="C5472" s="20" t="s">
        <v>25574</v>
      </c>
      <c r="D5472" s="47"/>
      <c r="E5472" s="22" t="s">
        <v>25810</v>
      </c>
      <c r="F5472" s="22" t="s">
        <v>4645</v>
      </c>
      <c r="G5472" s="23">
        <v>2010.0</v>
      </c>
      <c r="H5472" s="22" t="s">
        <v>9113</v>
      </c>
      <c r="I5472" s="24" t="s">
        <v>25811</v>
      </c>
      <c r="J5472" s="22" t="s">
        <v>31</v>
      </c>
      <c r="K5472" s="22"/>
      <c r="L5472" s="36">
        <v>805.0</v>
      </c>
      <c r="M5472" s="36"/>
      <c r="N5472" s="36"/>
      <c r="O5472" s="36"/>
      <c r="P5472" s="37" t="s">
        <v>25812</v>
      </c>
      <c r="Q5472" s="36"/>
      <c r="R5472" s="36"/>
      <c r="S5472" s="36"/>
      <c r="T5472" s="28" t="s">
        <v>25813</v>
      </c>
      <c r="U5472" s="29" t="s">
        <v>61</v>
      </c>
      <c r="V5472" s="30"/>
      <c r="W5472" s="49"/>
      <c r="X5472" s="49"/>
      <c r="Y5472" s="35"/>
      <c r="Z5472" s="35"/>
      <c r="AA5472" s="35"/>
      <c r="AB5472" s="35"/>
      <c r="AC5472" s="35"/>
      <c r="AD5472" s="35"/>
      <c r="AE5472" s="35"/>
      <c r="AF5472" s="35"/>
      <c r="AG5472" s="35"/>
      <c r="AH5472" s="35"/>
      <c r="AI5472" s="35"/>
      <c r="AJ5472" s="35"/>
      <c r="AK5472" s="35"/>
      <c r="AL5472" s="35"/>
    </row>
    <row r="5473">
      <c r="A5473" s="1"/>
      <c r="B5473" s="19" t="s">
        <v>19332</v>
      </c>
      <c r="C5473" s="20" t="s">
        <v>25574</v>
      </c>
      <c r="D5473" s="47"/>
      <c r="E5473" s="22" t="s">
        <v>25814</v>
      </c>
      <c r="F5473" s="22" t="s">
        <v>1398</v>
      </c>
      <c r="G5473" s="23">
        <v>2010.0</v>
      </c>
      <c r="H5473" s="22" t="s">
        <v>53</v>
      </c>
      <c r="I5473" s="24" t="s">
        <v>25815</v>
      </c>
      <c r="J5473" s="22" t="s">
        <v>31</v>
      </c>
      <c r="K5473" s="22"/>
      <c r="L5473" s="36">
        <v>830.0</v>
      </c>
      <c r="M5473" s="36"/>
      <c r="N5473" s="36"/>
      <c r="O5473" s="36"/>
      <c r="P5473" s="37" t="s">
        <v>8745</v>
      </c>
      <c r="Q5473" s="36"/>
      <c r="R5473" s="36"/>
      <c r="S5473" s="36"/>
      <c r="T5473" s="28" t="s">
        <v>25816</v>
      </c>
      <c r="U5473" s="29" t="s">
        <v>61</v>
      </c>
      <c r="V5473" s="30"/>
      <c r="W5473" s="49"/>
      <c r="X5473" s="49"/>
      <c r="Y5473" s="35"/>
      <c r="Z5473" s="35"/>
      <c r="AA5473" s="35"/>
      <c r="AB5473" s="35"/>
      <c r="AC5473" s="35"/>
      <c r="AD5473" s="35"/>
      <c r="AE5473" s="35"/>
      <c r="AF5473" s="35"/>
      <c r="AG5473" s="35"/>
      <c r="AH5473" s="35"/>
      <c r="AI5473" s="35"/>
      <c r="AJ5473" s="35"/>
      <c r="AK5473" s="35"/>
      <c r="AL5473" s="35"/>
    </row>
    <row r="5474">
      <c r="A5474" s="1"/>
      <c r="B5474" s="19" t="s">
        <v>19332</v>
      </c>
      <c r="C5474" s="20" t="s">
        <v>25574</v>
      </c>
      <c r="D5474" s="47"/>
      <c r="E5474" s="22" t="s">
        <v>1816</v>
      </c>
      <c r="F5474" s="22" t="s">
        <v>52</v>
      </c>
      <c r="G5474" s="23">
        <v>2008.0</v>
      </c>
      <c r="H5474" s="22" t="s">
        <v>91</v>
      </c>
      <c r="I5474" s="24" t="s">
        <v>25817</v>
      </c>
      <c r="J5474" s="22" t="s">
        <v>31</v>
      </c>
      <c r="K5474" s="22" t="s">
        <v>25818</v>
      </c>
      <c r="L5474" s="36">
        <v>685.0</v>
      </c>
      <c r="M5474" s="36"/>
      <c r="N5474" s="36"/>
      <c r="O5474" s="36"/>
      <c r="P5474" s="37" t="s">
        <v>269</v>
      </c>
      <c r="Q5474" s="36"/>
      <c r="R5474" s="36">
        <v>140.0</v>
      </c>
      <c r="S5474" s="36" t="s">
        <v>1819</v>
      </c>
      <c r="T5474" s="28" t="s">
        <v>25819</v>
      </c>
      <c r="U5474" s="38" t="str">
        <f>HYPERLINK("https://www.ncbi.nlm.nih.gov/pubmed/17619941","PubMed")</f>
        <v>PubMed</v>
      </c>
      <c r="V5474" s="30"/>
      <c r="W5474" s="49"/>
      <c r="X5474" s="49"/>
      <c r="Y5474" s="35"/>
      <c r="Z5474" s="35"/>
      <c r="AA5474" s="35"/>
      <c r="AB5474" s="35"/>
      <c r="AC5474" s="35"/>
      <c r="AD5474" s="35"/>
      <c r="AE5474" s="35"/>
      <c r="AF5474" s="35"/>
      <c r="AG5474" s="35"/>
      <c r="AH5474" s="35"/>
      <c r="AI5474" s="35"/>
      <c r="AJ5474" s="35"/>
      <c r="AK5474" s="35"/>
      <c r="AL5474" s="35"/>
    </row>
    <row r="5475">
      <c r="A5475" s="1"/>
      <c r="B5475" s="19" t="s">
        <v>19332</v>
      </c>
      <c r="C5475" s="20" t="s">
        <v>25574</v>
      </c>
      <c r="D5475" s="47"/>
      <c r="E5475" s="22" t="s">
        <v>25820</v>
      </c>
      <c r="F5475" s="22" t="s">
        <v>1398</v>
      </c>
      <c r="G5475" s="23">
        <v>2005.0</v>
      </c>
      <c r="H5475" s="22" t="s">
        <v>23271</v>
      </c>
      <c r="I5475" s="24" t="s">
        <v>25821</v>
      </c>
      <c r="J5475" s="22" t="s">
        <v>31</v>
      </c>
      <c r="K5475" s="22" t="s">
        <v>25818</v>
      </c>
      <c r="L5475" s="36">
        <v>2940.0</v>
      </c>
      <c r="M5475" s="36"/>
      <c r="N5475" s="36"/>
      <c r="O5475" s="36"/>
      <c r="P5475" s="37" t="s">
        <v>25822</v>
      </c>
      <c r="Q5475" s="36"/>
      <c r="R5475" s="36"/>
      <c r="S5475" s="36"/>
      <c r="T5475" s="28" t="s">
        <v>25823</v>
      </c>
      <c r="U5475" s="38" t="str">
        <f>HYPERLINK("https://www.ncbi.nlm.nih.gov/pubmed/15974841","PubMed")</f>
        <v>PubMed</v>
      </c>
      <c r="V5475" s="30"/>
      <c r="W5475" s="49"/>
      <c r="X5475" s="49"/>
      <c r="Y5475" s="35"/>
      <c r="Z5475" s="35"/>
      <c r="AA5475" s="35"/>
      <c r="AB5475" s="35"/>
      <c r="AC5475" s="35"/>
      <c r="AD5475" s="35"/>
      <c r="AE5475" s="35"/>
      <c r="AF5475" s="35"/>
      <c r="AG5475" s="35"/>
      <c r="AH5475" s="35"/>
      <c r="AI5475" s="35"/>
      <c r="AJ5475" s="35"/>
      <c r="AK5475" s="35"/>
      <c r="AL5475" s="35"/>
    </row>
    <row r="5476">
      <c r="A5476" s="1"/>
      <c r="B5476" s="19" t="s">
        <v>19332</v>
      </c>
      <c r="C5476" s="20" t="s">
        <v>25574</v>
      </c>
      <c r="D5476" s="47"/>
      <c r="E5476" s="22" t="s">
        <v>1257</v>
      </c>
      <c r="F5476" s="22" t="s">
        <v>1258</v>
      </c>
      <c r="G5476" s="23">
        <v>2005.0</v>
      </c>
      <c r="H5476" s="22" t="s">
        <v>531</v>
      </c>
      <c r="I5476" s="24" t="s">
        <v>25824</v>
      </c>
      <c r="J5476" s="22" t="s">
        <v>31</v>
      </c>
      <c r="K5476" s="22" t="s">
        <v>25825</v>
      </c>
      <c r="L5476" s="36">
        <v>830.0</v>
      </c>
      <c r="M5476" s="36"/>
      <c r="N5476" s="36"/>
      <c r="O5476" s="36"/>
      <c r="P5476" s="37" t="s">
        <v>25826</v>
      </c>
      <c r="Q5476" s="36"/>
      <c r="R5476" s="36"/>
      <c r="S5476" s="36"/>
      <c r="T5476" s="28" t="s">
        <v>25827</v>
      </c>
      <c r="U5476" s="38" t="str">
        <f>HYPERLINK("https://www.ncbi.nlm.nih.gov/pubmed/15704112","PubMed")</f>
        <v>PubMed</v>
      </c>
      <c r="V5476" s="30"/>
      <c r="W5476" s="49"/>
      <c r="X5476" s="49"/>
      <c r="Y5476" s="35"/>
      <c r="Z5476" s="35"/>
      <c r="AA5476" s="35"/>
      <c r="AB5476" s="35"/>
      <c r="AC5476" s="35"/>
      <c r="AD5476" s="35"/>
      <c r="AE5476" s="35"/>
      <c r="AF5476" s="35"/>
      <c r="AG5476" s="35"/>
      <c r="AH5476" s="35"/>
      <c r="AI5476" s="35"/>
      <c r="AJ5476" s="35"/>
      <c r="AK5476" s="35"/>
      <c r="AL5476" s="35"/>
    </row>
    <row r="5477">
      <c r="A5477" s="1"/>
      <c r="B5477" s="19" t="s">
        <v>19332</v>
      </c>
      <c r="C5477" s="20" t="s">
        <v>25574</v>
      </c>
      <c r="D5477" s="47"/>
      <c r="E5477" s="22" t="s">
        <v>19157</v>
      </c>
      <c r="F5477" s="22" t="s">
        <v>19158</v>
      </c>
      <c r="G5477" s="23">
        <v>2003.0</v>
      </c>
      <c r="H5477" s="22" t="s">
        <v>19819</v>
      </c>
      <c r="I5477" s="24" t="s">
        <v>25828</v>
      </c>
      <c r="J5477" s="22" t="s">
        <v>31</v>
      </c>
      <c r="K5477" s="22" t="s">
        <v>25829</v>
      </c>
      <c r="L5477" s="36">
        <v>809.0</v>
      </c>
      <c r="M5477" s="36">
        <v>10.0</v>
      </c>
      <c r="N5477" s="36"/>
      <c r="O5477" s="36"/>
      <c r="P5477" s="37" t="s">
        <v>25830</v>
      </c>
      <c r="Q5477" s="36"/>
      <c r="R5477" s="36" t="s">
        <v>25831</v>
      </c>
      <c r="S5477" s="36"/>
      <c r="T5477" s="28" t="s">
        <v>25832</v>
      </c>
      <c r="U5477" s="38" t="str">
        <f>HYPERLINK("https://www.ncbi.nlm.nih.gov/pubmed/12694435","PubMed")</f>
        <v>PubMed</v>
      </c>
      <c r="V5477" s="30"/>
      <c r="W5477" s="49"/>
      <c r="X5477" s="49"/>
      <c r="Y5477" s="35"/>
      <c r="Z5477" s="35"/>
      <c r="AA5477" s="35"/>
      <c r="AB5477" s="35"/>
      <c r="AC5477" s="35"/>
      <c r="AD5477" s="35"/>
      <c r="AE5477" s="35"/>
      <c r="AF5477" s="35"/>
      <c r="AG5477" s="35"/>
      <c r="AH5477" s="35"/>
      <c r="AI5477" s="35"/>
      <c r="AJ5477" s="35"/>
      <c r="AK5477" s="35"/>
      <c r="AL5477" s="35"/>
    </row>
    <row r="5478">
      <c r="A5478" s="40" t="s">
        <v>38</v>
      </c>
      <c r="B5478" s="19" t="s">
        <v>19332</v>
      </c>
      <c r="C5478" s="20" t="s">
        <v>25574</v>
      </c>
      <c r="D5478" s="47"/>
      <c r="E5478" s="22" t="s">
        <v>19157</v>
      </c>
      <c r="F5478" s="22" t="s">
        <v>19158</v>
      </c>
      <c r="G5478" s="23">
        <v>2002.0</v>
      </c>
      <c r="H5478" s="22" t="s">
        <v>53</v>
      </c>
      <c r="I5478" s="24" t="s">
        <v>25833</v>
      </c>
      <c r="J5478" s="22" t="s">
        <v>31</v>
      </c>
      <c r="K5478" s="22" t="s">
        <v>8953</v>
      </c>
      <c r="L5478" s="36">
        <v>809.0</v>
      </c>
      <c r="M5478" s="36">
        <v>10.0</v>
      </c>
      <c r="N5478" s="36"/>
      <c r="O5478" s="36"/>
      <c r="P5478" s="37" t="s">
        <v>25830</v>
      </c>
      <c r="Q5478" s="36"/>
      <c r="R5478" s="36" t="s">
        <v>25831</v>
      </c>
      <c r="S5478" s="36"/>
      <c r="T5478" s="28" t="s">
        <v>25834</v>
      </c>
      <c r="U5478" s="38" t="str">
        <f>HYPERLINK("https://www.ncbi.nlm.nih.gov/pubmed/12116329","PubMed")</f>
        <v>PubMed</v>
      </c>
      <c r="V5478" s="30"/>
      <c r="W5478" s="49"/>
      <c r="X5478" s="49"/>
      <c r="Y5478" s="35"/>
      <c r="Z5478" s="35"/>
      <c r="AA5478" s="35"/>
      <c r="AB5478" s="35"/>
      <c r="AC5478" s="35"/>
      <c r="AD5478" s="35"/>
      <c r="AE5478" s="35"/>
      <c r="AF5478" s="35"/>
      <c r="AG5478" s="35"/>
      <c r="AH5478" s="35"/>
      <c r="AI5478" s="35"/>
      <c r="AJ5478" s="35"/>
      <c r="AK5478" s="35"/>
      <c r="AL5478" s="35"/>
    </row>
    <row r="5479">
      <c r="A5479" s="18" t="s">
        <v>38</v>
      </c>
      <c r="B5479" s="19" t="s">
        <v>19332</v>
      </c>
      <c r="C5479" s="20" t="s">
        <v>25574</v>
      </c>
      <c r="D5479" s="47"/>
      <c r="E5479" s="22" t="s">
        <v>19157</v>
      </c>
      <c r="F5479" s="22" t="s">
        <v>19158</v>
      </c>
      <c r="G5479" s="23">
        <v>2001.0</v>
      </c>
      <c r="H5479" s="22" t="s">
        <v>53</v>
      </c>
      <c r="I5479" s="24" t="s">
        <v>25833</v>
      </c>
      <c r="J5479" s="22" t="s">
        <v>31</v>
      </c>
      <c r="K5479" s="22" t="s">
        <v>8953</v>
      </c>
      <c r="L5479" s="36">
        <v>810.0</v>
      </c>
      <c r="M5479" s="36" t="s">
        <v>25835</v>
      </c>
      <c r="N5479" s="36"/>
      <c r="O5479" s="36"/>
      <c r="P5479" s="37" t="s">
        <v>25836</v>
      </c>
      <c r="Q5479" s="36"/>
      <c r="R5479" s="36" t="s">
        <v>25837</v>
      </c>
      <c r="S5479" s="36"/>
      <c r="T5479" s="41" t="s">
        <v>25838</v>
      </c>
      <c r="U5479" s="38" t="str">
        <f>HYPERLINK("https://www.ncbi.nlm.nih.gov/pubmed/11413556","PubMed")</f>
        <v>PubMed</v>
      </c>
      <c r="V5479" s="30"/>
      <c r="W5479" s="49"/>
      <c r="X5479" s="49"/>
      <c r="Y5479" s="35"/>
      <c r="Z5479" s="35"/>
      <c r="AA5479" s="35"/>
      <c r="AB5479" s="35"/>
      <c r="AC5479" s="35"/>
      <c r="AD5479" s="35"/>
      <c r="AE5479" s="35"/>
      <c r="AF5479" s="35"/>
      <c r="AG5479" s="35"/>
      <c r="AH5479" s="35"/>
      <c r="AI5479" s="35"/>
      <c r="AJ5479" s="35"/>
      <c r="AK5479" s="35"/>
      <c r="AL5479" s="35"/>
    </row>
    <row r="5480">
      <c r="A5480" s="18"/>
      <c r="B5480" s="19" t="s">
        <v>19332</v>
      </c>
      <c r="C5480" s="20" t="s">
        <v>25574</v>
      </c>
      <c r="D5480" s="47"/>
      <c r="E5480" s="22" t="s">
        <v>19157</v>
      </c>
      <c r="F5480" s="22" t="s">
        <v>19158</v>
      </c>
      <c r="G5480" s="23">
        <v>2001.0</v>
      </c>
      <c r="H5480" s="22" t="s">
        <v>23271</v>
      </c>
      <c r="I5480" s="24" t="s">
        <v>25839</v>
      </c>
      <c r="J5480" s="22" t="s">
        <v>31</v>
      </c>
      <c r="K5480" s="22" t="s">
        <v>25840</v>
      </c>
      <c r="L5480" s="36">
        <v>810.0</v>
      </c>
      <c r="M5480" s="36">
        <v>1000.0</v>
      </c>
      <c r="N5480" s="36"/>
      <c r="O5480" s="36"/>
      <c r="P5480" s="37"/>
      <c r="Q5480" s="36"/>
      <c r="R5480" s="36">
        <v>20.0</v>
      </c>
      <c r="S5480" s="36"/>
      <c r="T5480" s="41" t="s">
        <v>25841</v>
      </c>
      <c r="U5480" s="38" t="str">
        <f>HYPERLINK("https://www.ncbi.nlm.nih.gov/pubmed/11699471","PubMed")</f>
        <v>PubMed</v>
      </c>
      <c r="V5480" s="30"/>
      <c r="W5480" s="49"/>
      <c r="X5480" s="49"/>
      <c r="Y5480" s="35"/>
      <c r="Z5480" s="35"/>
      <c r="AA5480" s="35"/>
      <c r="AB5480" s="35"/>
      <c r="AC5480" s="35"/>
      <c r="AD5480" s="35"/>
      <c r="AE5480" s="35"/>
      <c r="AF5480" s="35"/>
      <c r="AG5480" s="35"/>
      <c r="AH5480" s="35"/>
      <c r="AI5480" s="35"/>
      <c r="AJ5480" s="35"/>
      <c r="AK5480" s="35"/>
      <c r="AL5480" s="35"/>
    </row>
    <row r="5481">
      <c r="A5481" s="1"/>
      <c r="B5481" s="19" t="s">
        <v>19332</v>
      </c>
      <c r="C5481" s="20" t="s">
        <v>25574</v>
      </c>
      <c r="D5481" s="47"/>
      <c r="E5481" s="22" t="s">
        <v>25842</v>
      </c>
      <c r="F5481" s="22" t="s">
        <v>1822</v>
      </c>
      <c r="G5481" s="23">
        <v>2000.0</v>
      </c>
      <c r="H5481" s="22" t="s">
        <v>91</v>
      </c>
      <c r="I5481" s="24" t="s">
        <v>25843</v>
      </c>
      <c r="J5481" s="22" t="s">
        <v>31</v>
      </c>
      <c r="K5481" s="22" t="s">
        <v>25844</v>
      </c>
      <c r="L5481" s="36">
        <v>830.0</v>
      </c>
      <c r="M5481" s="36"/>
      <c r="N5481" s="36"/>
      <c r="O5481" s="36"/>
      <c r="P5481" s="37" t="s">
        <v>25845</v>
      </c>
      <c r="Q5481" s="36"/>
      <c r="R5481" s="36" t="s">
        <v>25846</v>
      </c>
      <c r="S5481" s="36"/>
      <c r="T5481" s="28" t="s">
        <v>25847</v>
      </c>
      <c r="U5481" s="38" t="str">
        <f>HYPERLINK("https://www.ncbi.nlm.nih.gov/pubmed/24590197","PubMed")</f>
        <v>PubMed</v>
      </c>
      <c r="V5481" s="30"/>
      <c r="W5481" s="49"/>
      <c r="X5481" s="49"/>
      <c r="Y5481" s="35"/>
      <c r="Z5481" s="35"/>
      <c r="AA5481" s="35"/>
      <c r="AB5481" s="35"/>
      <c r="AC5481" s="35"/>
      <c r="AD5481" s="35"/>
      <c r="AE5481" s="35"/>
      <c r="AF5481" s="35"/>
      <c r="AG5481" s="35"/>
      <c r="AH5481" s="35"/>
      <c r="AI5481" s="35"/>
      <c r="AJ5481" s="35"/>
      <c r="AK5481" s="35"/>
      <c r="AL5481" s="35"/>
    </row>
    <row r="5482">
      <c r="A5482" s="1"/>
      <c r="B5482" s="19" t="s">
        <v>19332</v>
      </c>
      <c r="C5482" s="20" t="s">
        <v>25574</v>
      </c>
      <c r="D5482" s="47"/>
      <c r="E5482" s="22" t="s">
        <v>1420</v>
      </c>
      <c r="F5482" s="22" t="s">
        <v>1822</v>
      </c>
      <c r="G5482" s="23">
        <v>1997.0</v>
      </c>
      <c r="H5482" s="22" t="s">
        <v>53</v>
      </c>
      <c r="I5482" s="24" t="s">
        <v>25848</v>
      </c>
      <c r="J5482" s="22" t="s">
        <v>31</v>
      </c>
      <c r="K5482" s="22" t="s">
        <v>1112</v>
      </c>
      <c r="L5482" s="36">
        <v>830.0</v>
      </c>
      <c r="M5482" s="129"/>
      <c r="N5482" s="36"/>
      <c r="O5482" s="36"/>
      <c r="P5482" s="37" t="s">
        <v>25849</v>
      </c>
      <c r="Q5482" s="36"/>
      <c r="R5482" s="36"/>
      <c r="S5482" s="36"/>
      <c r="T5482" s="28" t="s">
        <v>25850</v>
      </c>
      <c r="U5482" s="38" t="str">
        <f>HYPERLINK("https://www.ncbi.nlm.nih.gov/pubmed/9365956","PubMed")</f>
        <v>PubMed</v>
      </c>
      <c r="V5482" s="30"/>
      <c r="W5482" s="49"/>
      <c r="X5482" s="49"/>
      <c r="Y5482" s="35"/>
      <c r="Z5482" s="35"/>
      <c r="AA5482" s="35"/>
      <c r="AB5482" s="35"/>
      <c r="AC5482" s="35"/>
      <c r="AD5482" s="35"/>
      <c r="AE5482" s="35"/>
      <c r="AF5482" s="35"/>
      <c r="AG5482" s="35"/>
      <c r="AH5482" s="35"/>
      <c r="AI5482" s="35"/>
      <c r="AJ5482" s="35"/>
      <c r="AK5482" s="35"/>
      <c r="AL5482" s="35"/>
    </row>
    <row r="5483">
      <c r="A5483" s="1"/>
      <c r="B5483" s="19" t="s">
        <v>19332</v>
      </c>
      <c r="C5483" s="20" t="s">
        <v>25574</v>
      </c>
      <c r="D5483" s="47"/>
      <c r="E5483" s="22" t="s">
        <v>1397</v>
      </c>
      <c r="F5483" s="22" t="s">
        <v>1822</v>
      </c>
      <c r="G5483" s="23">
        <v>1995.0</v>
      </c>
      <c r="H5483" s="22" t="s">
        <v>15324</v>
      </c>
      <c r="I5483" s="24" t="s">
        <v>25851</v>
      </c>
      <c r="J5483" s="22" t="s">
        <v>31</v>
      </c>
      <c r="K5483" s="22" t="s">
        <v>25852</v>
      </c>
      <c r="L5483" s="36">
        <v>830.0</v>
      </c>
      <c r="M5483" s="36">
        <v>60.0</v>
      </c>
      <c r="N5483" s="36"/>
      <c r="O5483" s="36"/>
      <c r="P5483" s="37" t="s">
        <v>25853</v>
      </c>
      <c r="Q5483" s="36"/>
      <c r="R5483" s="36" t="s">
        <v>25854</v>
      </c>
      <c r="S5483" s="36"/>
      <c r="T5483" s="28" t="s">
        <v>25855</v>
      </c>
      <c r="U5483" s="38" t="str">
        <f>HYPERLINK("https://www.ncbi.nlm.nih.gov/pubmed/7560389","PubMed")</f>
        <v>PubMed</v>
      </c>
      <c r="V5483" s="30" t="s">
        <v>25856</v>
      </c>
      <c r="W5483" s="49"/>
      <c r="X5483" s="49"/>
      <c r="Y5483" s="35"/>
      <c r="Z5483" s="35"/>
      <c r="AA5483" s="35"/>
      <c r="AB5483" s="35"/>
      <c r="AC5483" s="35"/>
      <c r="AD5483" s="35"/>
      <c r="AE5483" s="35"/>
      <c r="AF5483" s="35"/>
      <c r="AG5483" s="35"/>
      <c r="AH5483" s="35"/>
      <c r="AI5483" s="35"/>
      <c r="AJ5483" s="35"/>
      <c r="AK5483" s="35"/>
      <c r="AL5483" s="35"/>
    </row>
    <row r="5484">
      <c r="A5484" s="1"/>
      <c r="B5484" s="19" t="s">
        <v>19332</v>
      </c>
      <c r="C5484" s="20" t="s">
        <v>25574</v>
      </c>
      <c r="D5484" s="47"/>
      <c r="E5484" s="22" t="s">
        <v>25857</v>
      </c>
      <c r="F5484" s="22" t="s">
        <v>5238</v>
      </c>
      <c r="G5484" s="23">
        <v>1988.0</v>
      </c>
      <c r="H5484" s="22" t="s">
        <v>25858</v>
      </c>
      <c r="I5484" s="24" t="s">
        <v>25859</v>
      </c>
      <c r="J5484" s="22" t="s">
        <v>31</v>
      </c>
      <c r="K5484" s="22"/>
      <c r="L5484" s="36">
        <v>633.0</v>
      </c>
      <c r="M5484" s="36">
        <v>10.0</v>
      </c>
      <c r="N5484" s="36"/>
      <c r="O5484" s="36"/>
      <c r="P5484" s="37" t="s">
        <v>325</v>
      </c>
      <c r="Q5484" s="36"/>
      <c r="R5484" s="36">
        <v>600.0</v>
      </c>
      <c r="S5484" s="36"/>
      <c r="T5484" s="28" t="s">
        <v>25860</v>
      </c>
      <c r="U5484" s="38" t="str">
        <f>HYPERLINK("https://www.ncbi.nlm.nih.gov/pubmed/3198585","PubMed")</f>
        <v>PubMed</v>
      </c>
      <c r="V5484" s="30"/>
      <c r="W5484" s="49"/>
      <c r="X5484" s="49"/>
      <c r="Y5484" s="35"/>
      <c r="Z5484" s="35"/>
      <c r="AA5484" s="35"/>
      <c r="AB5484" s="35"/>
      <c r="AC5484" s="35"/>
      <c r="AD5484" s="35"/>
      <c r="AE5484" s="35"/>
      <c r="AF5484" s="35"/>
      <c r="AG5484" s="35"/>
      <c r="AH5484" s="35"/>
      <c r="AI5484" s="35"/>
      <c r="AJ5484" s="35"/>
      <c r="AK5484" s="35"/>
      <c r="AL5484" s="35"/>
    </row>
    <row r="5485">
      <c r="A5485" s="1"/>
      <c r="B5485" s="19" t="s">
        <v>19332</v>
      </c>
      <c r="C5485" s="20" t="s">
        <v>25861</v>
      </c>
      <c r="D5485" s="47"/>
      <c r="E5485" s="22" t="s">
        <v>16560</v>
      </c>
      <c r="F5485" s="22" t="s">
        <v>19727</v>
      </c>
      <c r="G5485" s="23">
        <v>2023.0</v>
      </c>
      <c r="H5485" s="22" t="s">
        <v>91</v>
      </c>
      <c r="I5485" s="24" t="s">
        <v>25862</v>
      </c>
      <c r="J5485" s="22" t="s">
        <v>25863</v>
      </c>
      <c r="K5485" s="22"/>
      <c r="L5485" s="36">
        <v>808.0</v>
      </c>
      <c r="M5485" s="36">
        <v>100.0</v>
      </c>
      <c r="N5485" s="36"/>
      <c r="O5485" s="36" t="s">
        <v>362</v>
      </c>
      <c r="P5485" s="37" t="s">
        <v>3556</v>
      </c>
      <c r="Q5485" s="37" t="s">
        <v>25864</v>
      </c>
      <c r="R5485" s="36" t="s">
        <v>16277</v>
      </c>
      <c r="S5485" s="36" t="s">
        <v>1773</v>
      </c>
      <c r="T5485" s="28" t="s">
        <v>25865</v>
      </c>
      <c r="U5485" s="38" t="s">
        <v>61</v>
      </c>
      <c r="V5485" s="30" t="s">
        <v>25866</v>
      </c>
      <c r="W5485" s="49"/>
      <c r="X5485" s="49"/>
      <c r="Y5485" s="35"/>
      <c r="Z5485" s="35"/>
      <c r="AA5485" s="35"/>
      <c r="AB5485" s="35"/>
      <c r="AC5485" s="35"/>
      <c r="AD5485" s="35"/>
      <c r="AE5485" s="35"/>
      <c r="AF5485" s="35"/>
      <c r="AG5485" s="35"/>
      <c r="AH5485" s="35"/>
      <c r="AI5485" s="35"/>
      <c r="AJ5485" s="35"/>
      <c r="AK5485" s="35"/>
      <c r="AL5485" s="35"/>
    </row>
    <row r="5486">
      <c r="A5486" s="1"/>
      <c r="B5486" s="19" t="s">
        <v>19332</v>
      </c>
      <c r="C5486" s="20" t="s">
        <v>24214</v>
      </c>
      <c r="D5486" s="47"/>
      <c r="E5486" s="22" t="s">
        <v>16621</v>
      </c>
      <c r="F5486" s="22" t="s">
        <v>5207</v>
      </c>
      <c r="G5486" s="23">
        <v>2016.0</v>
      </c>
      <c r="H5486" s="22" t="s">
        <v>91</v>
      </c>
      <c r="I5486" s="24" t="s">
        <v>25867</v>
      </c>
      <c r="J5486" s="22" t="s">
        <v>55</v>
      </c>
      <c r="K5486" s="22" t="s">
        <v>157</v>
      </c>
      <c r="L5486" s="36">
        <v>940.0</v>
      </c>
      <c r="M5486" s="36"/>
      <c r="N5486" s="36"/>
      <c r="O5486" s="36">
        <v>4.0</v>
      </c>
      <c r="P5486" s="37" t="s">
        <v>254</v>
      </c>
      <c r="Q5486" s="36"/>
      <c r="R5486" s="36"/>
      <c r="S5486" s="36" t="s">
        <v>103</v>
      </c>
      <c r="T5486" s="28" t="s">
        <v>25868</v>
      </c>
      <c r="U5486" s="38" t="str">
        <f>HYPERLINK("https://www.ncbi.nlm.nih.gov/pubmed/27796672","PubMed")</f>
        <v>PubMed</v>
      </c>
      <c r="V5486" s="30"/>
      <c r="W5486" s="49"/>
      <c r="X5486" s="49"/>
      <c r="Y5486" s="35"/>
      <c r="Z5486" s="35"/>
      <c r="AA5486" s="35"/>
      <c r="AB5486" s="35"/>
      <c r="AC5486" s="35"/>
      <c r="AD5486" s="35"/>
      <c r="AE5486" s="35"/>
      <c r="AF5486" s="35"/>
      <c r="AG5486" s="35"/>
      <c r="AH5486" s="35"/>
      <c r="AI5486" s="35"/>
      <c r="AJ5486" s="35"/>
      <c r="AK5486" s="35"/>
      <c r="AL5486" s="35"/>
    </row>
    <row r="5487">
      <c r="A5487" s="1"/>
      <c r="B5487" s="19" t="s">
        <v>19332</v>
      </c>
      <c r="C5487" s="20" t="s">
        <v>10426</v>
      </c>
      <c r="D5487" s="47"/>
      <c r="E5487" s="22" t="s">
        <v>2770</v>
      </c>
      <c r="F5487" s="22" t="s">
        <v>1862</v>
      </c>
      <c r="G5487" s="23">
        <v>2014.0</v>
      </c>
      <c r="H5487" s="22" t="s">
        <v>292</v>
      </c>
      <c r="I5487" s="24" t="s">
        <v>25869</v>
      </c>
      <c r="J5487" s="22" t="s">
        <v>3053</v>
      </c>
      <c r="K5487" s="22"/>
      <c r="L5487" s="36">
        <v>1064.0</v>
      </c>
      <c r="M5487" s="36">
        <v>1100.0</v>
      </c>
      <c r="N5487" s="36">
        <v>39.0</v>
      </c>
      <c r="O5487" s="36"/>
      <c r="P5487" s="37" t="s">
        <v>25870</v>
      </c>
      <c r="Q5487" s="36" t="s">
        <v>12922</v>
      </c>
      <c r="R5487" s="36"/>
      <c r="S5487" s="36"/>
      <c r="T5487" s="28" t="s">
        <v>25871</v>
      </c>
      <c r="U5487" s="38" t="str">
        <f>HYPERLINK("https://www.ncbi.nlm.nih.gov/pubmed/25705081","PubMed")</f>
        <v>PubMed</v>
      </c>
      <c r="V5487" s="30"/>
      <c r="W5487" s="49"/>
      <c r="X5487" s="49"/>
      <c r="Y5487" s="35"/>
      <c r="Z5487" s="35"/>
      <c r="AA5487" s="35"/>
      <c r="AB5487" s="35"/>
      <c r="AC5487" s="35"/>
      <c r="AD5487" s="35"/>
      <c r="AE5487" s="35"/>
      <c r="AF5487" s="35"/>
      <c r="AG5487" s="35"/>
      <c r="AH5487" s="35"/>
      <c r="AI5487" s="35"/>
      <c r="AJ5487" s="35"/>
      <c r="AK5487" s="35"/>
      <c r="AL5487" s="35"/>
    </row>
    <row r="5488">
      <c r="A5488" s="278"/>
      <c r="B5488" s="19" t="s">
        <v>19332</v>
      </c>
      <c r="C5488" s="20" t="s">
        <v>25872</v>
      </c>
      <c r="D5488" s="47"/>
      <c r="E5488" s="22" t="s">
        <v>2374</v>
      </c>
      <c r="F5488" s="22" t="s">
        <v>224</v>
      </c>
      <c r="G5488" s="23">
        <v>2024.0</v>
      </c>
      <c r="H5488" s="22" t="s">
        <v>77</v>
      </c>
      <c r="I5488" s="24" t="s">
        <v>25873</v>
      </c>
      <c r="J5488" s="22" t="s">
        <v>31</v>
      </c>
      <c r="K5488" s="22" t="s">
        <v>25874</v>
      </c>
      <c r="L5488" s="36">
        <v>540.0</v>
      </c>
      <c r="M5488" s="36"/>
      <c r="N5488" s="36"/>
      <c r="O5488" s="36"/>
      <c r="P5488" s="37"/>
      <c r="Q5488" s="36"/>
      <c r="R5488" s="36"/>
      <c r="S5488" s="36"/>
      <c r="T5488" s="28" t="s">
        <v>25875</v>
      </c>
      <c r="U5488" s="38" t="s">
        <v>61</v>
      </c>
      <c r="V5488" s="30"/>
      <c r="W5488" s="49"/>
      <c r="X5488" s="49"/>
      <c r="Y5488" s="35"/>
      <c r="Z5488" s="35"/>
      <c r="AA5488" s="35"/>
      <c r="AB5488" s="35"/>
      <c r="AC5488" s="35"/>
      <c r="AD5488" s="35"/>
      <c r="AE5488" s="35"/>
      <c r="AF5488" s="35"/>
      <c r="AG5488" s="35"/>
      <c r="AH5488" s="35"/>
      <c r="AI5488" s="35"/>
      <c r="AJ5488" s="35"/>
      <c r="AK5488" s="35"/>
      <c r="AL5488" s="35"/>
    </row>
    <row r="5489">
      <c r="A5489" s="278"/>
      <c r="B5489" s="19" t="s">
        <v>19332</v>
      </c>
      <c r="C5489" s="20" t="s">
        <v>25872</v>
      </c>
      <c r="D5489" s="47"/>
      <c r="E5489" s="22" t="s">
        <v>1080</v>
      </c>
      <c r="F5489" s="22" t="s">
        <v>1905</v>
      </c>
      <c r="G5489" s="23">
        <v>2024.0</v>
      </c>
      <c r="H5489" s="22" t="s">
        <v>77</v>
      </c>
      <c r="I5489" s="24" t="s">
        <v>25876</v>
      </c>
      <c r="J5489" s="22" t="s">
        <v>55</v>
      </c>
      <c r="K5489" s="22" t="s">
        <v>157</v>
      </c>
      <c r="L5489" s="36">
        <v>850.0</v>
      </c>
      <c r="M5489" s="36"/>
      <c r="N5489" s="36"/>
      <c r="O5489" s="36"/>
      <c r="P5489" s="37" t="s">
        <v>25877</v>
      </c>
      <c r="Q5489" s="36"/>
      <c r="R5489" s="36"/>
      <c r="S5489" s="36" t="s">
        <v>13892</v>
      </c>
      <c r="T5489" s="28" t="s">
        <v>25878</v>
      </c>
      <c r="U5489" s="38" t="s">
        <v>61</v>
      </c>
      <c r="V5489" s="30"/>
      <c r="W5489" s="49"/>
      <c r="X5489" s="49"/>
      <c r="Y5489" s="35"/>
      <c r="Z5489" s="35"/>
      <c r="AA5489" s="35"/>
      <c r="AB5489" s="35"/>
      <c r="AC5489" s="35"/>
      <c r="AD5489" s="35"/>
      <c r="AE5489" s="35"/>
      <c r="AF5489" s="35"/>
      <c r="AG5489" s="35"/>
      <c r="AH5489" s="35"/>
      <c r="AI5489" s="35"/>
      <c r="AJ5489" s="35"/>
      <c r="AK5489" s="35"/>
      <c r="AL5489" s="35"/>
    </row>
    <row r="5490">
      <c r="A5490" s="278"/>
      <c r="B5490" s="19" t="s">
        <v>19332</v>
      </c>
      <c r="C5490" s="20" t="s">
        <v>25872</v>
      </c>
      <c r="D5490" s="47"/>
      <c r="E5490" s="22" t="s">
        <v>25879</v>
      </c>
      <c r="F5490" s="22" t="s">
        <v>183</v>
      </c>
      <c r="G5490" s="23">
        <v>2021.0</v>
      </c>
      <c r="H5490" s="22" t="s">
        <v>91</v>
      </c>
      <c r="I5490" s="24" t="s">
        <v>25880</v>
      </c>
      <c r="J5490" s="22" t="s">
        <v>55</v>
      </c>
      <c r="K5490" s="22"/>
      <c r="L5490" s="36">
        <v>808.0</v>
      </c>
      <c r="M5490" s="36">
        <v>40.0</v>
      </c>
      <c r="N5490" s="36"/>
      <c r="O5490" s="36" t="s">
        <v>25881</v>
      </c>
      <c r="P5490" s="37" t="s">
        <v>1028</v>
      </c>
      <c r="Q5490" s="36" t="s">
        <v>7605</v>
      </c>
      <c r="R5490" s="36">
        <v>60.0</v>
      </c>
      <c r="S5490" s="36"/>
      <c r="T5490" s="42" t="s">
        <v>25882</v>
      </c>
      <c r="U5490" s="29" t="s">
        <v>61</v>
      </c>
      <c r="V5490" s="30"/>
      <c r="W5490" s="49"/>
      <c r="X5490" s="49"/>
      <c r="Y5490" s="35"/>
      <c r="Z5490" s="35"/>
      <c r="AA5490" s="35"/>
      <c r="AB5490" s="35"/>
      <c r="AC5490" s="35"/>
      <c r="AD5490" s="35"/>
      <c r="AE5490" s="35"/>
      <c r="AF5490" s="35"/>
      <c r="AG5490" s="35"/>
      <c r="AH5490" s="35"/>
      <c r="AI5490" s="35"/>
      <c r="AJ5490" s="35"/>
      <c r="AK5490" s="35"/>
      <c r="AL5490" s="35"/>
    </row>
    <row r="5491">
      <c r="A5491" s="278"/>
      <c r="B5491" s="19" t="s">
        <v>19332</v>
      </c>
      <c r="C5491" s="20" t="s">
        <v>25872</v>
      </c>
      <c r="D5491" s="47"/>
      <c r="E5491" s="22" t="s">
        <v>9261</v>
      </c>
      <c r="F5491" s="22" t="s">
        <v>41</v>
      </c>
      <c r="G5491" s="23">
        <v>2020.0</v>
      </c>
      <c r="H5491" s="22" t="s">
        <v>627</v>
      </c>
      <c r="I5491" s="24" t="s">
        <v>25883</v>
      </c>
      <c r="J5491" s="22" t="s">
        <v>55</v>
      </c>
      <c r="K5491" s="22"/>
      <c r="L5491" s="36">
        <v>660.0</v>
      </c>
      <c r="M5491" s="36">
        <v>70.0</v>
      </c>
      <c r="N5491" s="36"/>
      <c r="O5491" s="129">
        <v>44673.0</v>
      </c>
      <c r="P5491" s="37" t="s">
        <v>287</v>
      </c>
      <c r="Q5491" s="36"/>
      <c r="R5491" s="36"/>
      <c r="S5491" s="36"/>
      <c r="T5491" s="28" t="s">
        <v>25884</v>
      </c>
      <c r="U5491" s="29" t="s">
        <v>61</v>
      </c>
      <c r="V5491" s="30"/>
      <c r="W5491" s="49"/>
      <c r="X5491" s="49"/>
      <c r="Y5491" s="35"/>
      <c r="Z5491" s="35"/>
      <c r="AA5491" s="35"/>
      <c r="AB5491" s="35"/>
      <c r="AC5491" s="35"/>
      <c r="AD5491" s="35"/>
      <c r="AE5491" s="35"/>
      <c r="AF5491" s="35"/>
      <c r="AG5491" s="35"/>
      <c r="AH5491" s="35"/>
      <c r="AI5491" s="35"/>
      <c r="AJ5491" s="35"/>
      <c r="AK5491" s="35"/>
      <c r="AL5491" s="35"/>
    </row>
    <row r="5492">
      <c r="A5492" s="278" t="s">
        <v>38</v>
      </c>
      <c r="B5492" s="19" t="s">
        <v>19332</v>
      </c>
      <c r="C5492" s="20" t="s">
        <v>25872</v>
      </c>
      <c r="D5492" s="47"/>
      <c r="E5492" s="22" t="s">
        <v>25885</v>
      </c>
      <c r="F5492" s="22" t="s">
        <v>110</v>
      </c>
      <c r="G5492" s="23">
        <v>2020.0</v>
      </c>
      <c r="H5492" s="22" t="s">
        <v>147</v>
      </c>
      <c r="I5492" s="24" t="s">
        <v>25886</v>
      </c>
      <c r="J5492" s="22" t="s">
        <v>55</v>
      </c>
      <c r="K5492" s="22"/>
      <c r="L5492" s="36">
        <v>660.0</v>
      </c>
      <c r="M5492" s="36">
        <v>100.0</v>
      </c>
      <c r="N5492" s="36"/>
      <c r="O5492" s="36"/>
      <c r="P5492" s="37" t="s">
        <v>269</v>
      </c>
      <c r="Q5492" s="36"/>
      <c r="R5492" s="36"/>
      <c r="S5492" s="36"/>
      <c r="T5492" s="28" t="s">
        <v>25887</v>
      </c>
      <c r="U5492" s="29" t="s">
        <v>61</v>
      </c>
      <c r="V5492" s="30"/>
      <c r="W5492" s="49"/>
      <c r="X5492" s="49"/>
      <c r="Y5492" s="35"/>
      <c r="Z5492" s="35"/>
      <c r="AA5492" s="35"/>
      <c r="AB5492" s="35"/>
      <c r="AC5492" s="35"/>
      <c r="AD5492" s="35"/>
      <c r="AE5492" s="35"/>
      <c r="AF5492" s="35"/>
      <c r="AG5492" s="35"/>
      <c r="AH5492" s="35"/>
      <c r="AI5492" s="35"/>
      <c r="AJ5492" s="35"/>
      <c r="AK5492" s="35"/>
      <c r="AL5492" s="35"/>
    </row>
    <row r="5493">
      <c r="A5493" s="1"/>
      <c r="B5493" s="19" t="s">
        <v>19332</v>
      </c>
      <c r="C5493" s="20" t="s">
        <v>25872</v>
      </c>
      <c r="D5493" s="47"/>
      <c r="E5493" s="22" t="s">
        <v>3309</v>
      </c>
      <c r="F5493" s="22" t="s">
        <v>41</v>
      </c>
      <c r="G5493" s="23">
        <v>2018.0</v>
      </c>
      <c r="H5493" s="22" t="s">
        <v>3828</v>
      </c>
      <c r="I5493" s="24" t="s">
        <v>25888</v>
      </c>
      <c r="J5493" s="22" t="s">
        <v>2141</v>
      </c>
      <c r="K5493" s="22" t="s">
        <v>25889</v>
      </c>
      <c r="L5493" s="168"/>
      <c r="M5493" s="168"/>
      <c r="N5493" s="168"/>
      <c r="O5493" s="168"/>
      <c r="P5493" s="169"/>
      <c r="Q5493" s="168"/>
      <c r="R5493" s="168"/>
      <c r="S5493" s="168"/>
      <c r="T5493" s="185" t="s">
        <v>25890</v>
      </c>
      <c r="U5493" s="38" t="str">
        <f>HYPERLINK("https://www.ncbi.nlm.nih.gov/pubmed/29703031","PubMed")</f>
        <v>PubMed</v>
      </c>
      <c r="V5493" s="30"/>
      <c r="W5493" s="49"/>
      <c r="X5493" s="49"/>
      <c r="Y5493" s="35"/>
      <c r="Z5493" s="35"/>
      <c r="AA5493" s="35"/>
      <c r="AB5493" s="35"/>
      <c r="AC5493" s="35"/>
      <c r="AD5493" s="35"/>
      <c r="AE5493" s="35"/>
      <c r="AF5493" s="35"/>
      <c r="AG5493" s="35"/>
      <c r="AH5493" s="35"/>
      <c r="AI5493" s="35"/>
      <c r="AJ5493" s="35"/>
      <c r="AK5493" s="35"/>
      <c r="AL5493" s="35"/>
    </row>
    <row r="5494">
      <c r="A5494" s="1"/>
      <c r="B5494" s="19" t="s">
        <v>19332</v>
      </c>
      <c r="C5494" s="20" t="s">
        <v>25872</v>
      </c>
      <c r="D5494" s="47"/>
      <c r="E5494" s="22" t="s">
        <v>10048</v>
      </c>
      <c r="F5494" s="22" t="s">
        <v>1905</v>
      </c>
      <c r="G5494" s="23">
        <v>2018.0</v>
      </c>
      <c r="H5494" s="22" t="s">
        <v>14537</v>
      </c>
      <c r="I5494" s="24" t="s">
        <v>25891</v>
      </c>
      <c r="J5494" s="22" t="s">
        <v>209</v>
      </c>
      <c r="K5494" s="22" t="s">
        <v>25892</v>
      </c>
      <c r="L5494" s="36">
        <v>850.0</v>
      </c>
      <c r="M5494" s="36">
        <v>30.0</v>
      </c>
      <c r="N5494" s="36"/>
      <c r="O5494" s="36"/>
      <c r="P5494" s="37" t="s">
        <v>2886</v>
      </c>
      <c r="Q5494" s="36"/>
      <c r="R5494" s="36">
        <v>600.0</v>
      </c>
      <c r="S5494" s="36"/>
      <c r="T5494" s="28" t="s">
        <v>25893</v>
      </c>
      <c r="U5494" s="38" t="str">
        <f>HYPERLINK("https://www.ncbi.nlm.nih.gov/pubmed/29751100","PubMed")</f>
        <v>PubMed</v>
      </c>
      <c r="V5494" s="30"/>
      <c r="W5494" s="49"/>
      <c r="X5494" s="49"/>
      <c r="Y5494" s="35"/>
      <c r="Z5494" s="35"/>
      <c r="AA5494" s="35"/>
      <c r="AB5494" s="35"/>
      <c r="AC5494" s="35"/>
      <c r="AD5494" s="35"/>
      <c r="AE5494" s="35"/>
      <c r="AF5494" s="35"/>
      <c r="AG5494" s="35"/>
      <c r="AH5494" s="35"/>
      <c r="AI5494" s="35"/>
      <c r="AJ5494" s="35"/>
      <c r="AK5494" s="35"/>
      <c r="AL5494" s="35"/>
    </row>
    <row r="5495">
      <c r="A5495" s="1"/>
      <c r="B5495" s="19" t="s">
        <v>19332</v>
      </c>
      <c r="C5495" s="20" t="s">
        <v>25872</v>
      </c>
      <c r="D5495" s="47"/>
      <c r="E5495" s="22" t="s">
        <v>25894</v>
      </c>
      <c r="F5495" s="22" t="s">
        <v>183</v>
      </c>
      <c r="G5495" s="23">
        <v>2017.0</v>
      </c>
      <c r="H5495" s="22" t="s">
        <v>207</v>
      </c>
      <c r="I5495" s="24" t="s">
        <v>25895</v>
      </c>
      <c r="J5495" s="22" t="s">
        <v>55</v>
      </c>
      <c r="K5495" s="22" t="s">
        <v>25896</v>
      </c>
      <c r="L5495" s="36" t="s">
        <v>1750</v>
      </c>
      <c r="M5495" s="36">
        <v>40.0</v>
      </c>
      <c r="N5495" s="36"/>
      <c r="O5495" s="36"/>
      <c r="P5495" s="37" t="s">
        <v>25897</v>
      </c>
      <c r="Q5495" s="36" t="s">
        <v>25898</v>
      </c>
      <c r="R5495" s="36">
        <v>300.0</v>
      </c>
      <c r="S5495" s="36">
        <v>7.0</v>
      </c>
      <c r="T5495" s="28" t="s">
        <v>25899</v>
      </c>
      <c r="U5495" s="38" t="str">
        <f>HYPERLINK("https://www.ncbi.nlm.nih.gov/pubmed/28732334","PubMed")</f>
        <v>PubMed</v>
      </c>
      <c r="V5495" s="30"/>
      <c r="W5495" s="49"/>
      <c r="X5495" s="49"/>
      <c r="Y5495" s="35"/>
      <c r="Z5495" s="35"/>
      <c r="AA5495" s="35"/>
      <c r="AB5495" s="35"/>
      <c r="AC5495" s="35"/>
      <c r="AD5495" s="35"/>
      <c r="AE5495" s="35"/>
      <c r="AF5495" s="35"/>
      <c r="AG5495" s="35"/>
      <c r="AH5495" s="35"/>
      <c r="AI5495" s="35"/>
      <c r="AJ5495" s="35"/>
      <c r="AK5495" s="35"/>
      <c r="AL5495" s="35"/>
    </row>
    <row r="5496">
      <c r="A5496" s="1"/>
      <c r="B5496" s="19" t="s">
        <v>19332</v>
      </c>
      <c r="C5496" s="20" t="s">
        <v>25872</v>
      </c>
      <c r="D5496" s="47"/>
      <c r="E5496" s="22" t="s">
        <v>9261</v>
      </c>
      <c r="F5496" s="22" t="s">
        <v>41</v>
      </c>
      <c r="G5496" s="23">
        <v>2017.0</v>
      </c>
      <c r="H5496" s="22" t="s">
        <v>627</v>
      </c>
      <c r="I5496" s="24" t="s">
        <v>25900</v>
      </c>
      <c r="J5496" s="22" t="s">
        <v>55</v>
      </c>
      <c r="K5496" s="22" t="s">
        <v>607</v>
      </c>
      <c r="L5496" s="36">
        <v>660.0</v>
      </c>
      <c r="M5496" s="36">
        <v>70.0</v>
      </c>
      <c r="N5496" s="36"/>
      <c r="O5496" s="36" t="s">
        <v>25901</v>
      </c>
      <c r="P5496" s="37" t="s">
        <v>287</v>
      </c>
      <c r="Q5496" s="36" t="s">
        <v>280</v>
      </c>
      <c r="R5496" s="36"/>
      <c r="S5496" s="36"/>
      <c r="T5496" s="28" t="s">
        <v>25902</v>
      </c>
      <c r="U5496" s="38" t="str">
        <f>HYPERLINK("https://www.ncbi.nlm.nih.gov/pubmed/28099448","PubMed")</f>
        <v>PubMed</v>
      </c>
      <c r="V5496" s="30"/>
      <c r="W5496" s="49"/>
      <c r="X5496" s="49"/>
      <c r="Y5496" s="35"/>
      <c r="Z5496" s="35"/>
      <c r="AA5496" s="35"/>
      <c r="AB5496" s="35"/>
      <c r="AC5496" s="35"/>
      <c r="AD5496" s="35"/>
      <c r="AE5496" s="35"/>
      <c r="AF5496" s="35"/>
      <c r="AG5496" s="35"/>
      <c r="AH5496" s="35"/>
      <c r="AI5496" s="35"/>
      <c r="AJ5496" s="35"/>
      <c r="AK5496" s="35"/>
      <c r="AL5496" s="35"/>
    </row>
    <row r="5497">
      <c r="A5497" s="1"/>
      <c r="B5497" s="19" t="s">
        <v>19332</v>
      </c>
      <c r="C5497" s="20" t="s">
        <v>25872</v>
      </c>
      <c r="D5497" s="47"/>
      <c r="E5497" s="22" t="s">
        <v>9001</v>
      </c>
      <c r="F5497" s="22" t="s">
        <v>183</v>
      </c>
      <c r="G5497" s="23">
        <v>2015.0</v>
      </c>
      <c r="H5497" s="22" t="s">
        <v>91</v>
      </c>
      <c r="I5497" s="24" t="s">
        <v>25903</v>
      </c>
      <c r="J5497" s="22" t="s">
        <v>55</v>
      </c>
      <c r="K5497" s="22" t="s">
        <v>25896</v>
      </c>
      <c r="L5497" s="36" t="s">
        <v>25904</v>
      </c>
      <c r="M5497" s="36" t="s">
        <v>25905</v>
      </c>
      <c r="N5497" s="36"/>
      <c r="O5497" s="36"/>
      <c r="P5497" s="37"/>
      <c r="Q5497" s="36"/>
      <c r="R5497" s="36"/>
      <c r="S5497" s="36">
        <v>7.0</v>
      </c>
      <c r="T5497" s="41" t="s">
        <v>25906</v>
      </c>
      <c r="U5497" s="38" t="str">
        <f>HYPERLINK("https://www.ncbi.nlm.nih.gov/pubmed/25722066","PubMed")</f>
        <v>PubMed</v>
      </c>
      <c r="V5497" s="30"/>
      <c r="W5497" s="49"/>
      <c r="X5497" s="49"/>
      <c r="Y5497" s="35"/>
      <c r="Z5497" s="35"/>
      <c r="AA5497" s="35"/>
      <c r="AB5497" s="35"/>
      <c r="AC5497" s="35"/>
      <c r="AD5497" s="35"/>
      <c r="AE5497" s="35"/>
      <c r="AF5497" s="35"/>
      <c r="AG5497" s="35"/>
      <c r="AH5497" s="35"/>
      <c r="AI5497" s="35"/>
      <c r="AJ5497" s="35"/>
      <c r="AK5497" s="35"/>
      <c r="AL5497" s="35"/>
    </row>
    <row r="5498">
      <c r="A5498" s="1"/>
      <c r="B5498" s="19" t="s">
        <v>19332</v>
      </c>
      <c r="C5498" s="20" t="s">
        <v>25872</v>
      </c>
      <c r="D5498" s="47"/>
      <c r="E5498" s="22" t="s">
        <v>25907</v>
      </c>
      <c r="F5498" s="22" t="s">
        <v>41</v>
      </c>
      <c r="G5498" s="23">
        <v>2013.0</v>
      </c>
      <c r="H5498" s="22" t="s">
        <v>91</v>
      </c>
      <c r="I5498" s="24" t="s">
        <v>25908</v>
      </c>
      <c r="J5498" s="22" t="s">
        <v>55</v>
      </c>
      <c r="K5498" s="22" t="s">
        <v>25909</v>
      </c>
      <c r="L5498" s="36">
        <v>660.0</v>
      </c>
      <c r="M5498" s="36">
        <v>90.0</v>
      </c>
      <c r="N5498" s="36"/>
      <c r="O5498" s="36" t="s">
        <v>25910</v>
      </c>
      <c r="P5498" s="37" t="s">
        <v>5521</v>
      </c>
      <c r="Q5498" s="36"/>
      <c r="R5498" s="36" t="s">
        <v>25911</v>
      </c>
      <c r="S5498" s="36"/>
      <c r="T5498" s="42" t="s">
        <v>25912</v>
      </c>
      <c r="U5498" s="38" t="str">
        <f>HYPERLINK("https://www.ncbi.nlm.nih.gov/pubmed/22869159","PubMed")</f>
        <v>PubMed</v>
      </c>
      <c r="V5498" s="30"/>
      <c r="W5498" s="49"/>
      <c r="X5498" s="49"/>
      <c r="Y5498" s="35"/>
      <c r="Z5498" s="35"/>
      <c r="AA5498" s="35"/>
      <c r="AB5498" s="35"/>
      <c r="AC5498" s="35"/>
      <c r="AD5498" s="35"/>
      <c r="AE5498" s="35"/>
      <c r="AF5498" s="35"/>
      <c r="AG5498" s="35"/>
      <c r="AH5498" s="35"/>
      <c r="AI5498" s="35"/>
      <c r="AJ5498" s="35"/>
      <c r="AK5498" s="35"/>
      <c r="AL5498" s="35"/>
    </row>
    <row r="5499">
      <c r="A5499" s="1"/>
      <c r="B5499" s="19" t="s">
        <v>19332</v>
      </c>
      <c r="C5499" s="20" t="s">
        <v>25872</v>
      </c>
      <c r="D5499" s="47"/>
      <c r="E5499" s="22" t="s">
        <v>20942</v>
      </c>
      <c r="F5499" s="22" t="s">
        <v>41</v>
      </c>
      <c r="G5499" s="23">
        <v>2009.0</v>
      </c>
      <c r="H5499" s="22" t="s">
        <v>91</v>
      </c>
      <c r="I5499" s="24" t="s">
        <v>25913</v>
      </c>
      <c r="J5499" s="22" t="s">
        <v>55</v>
      </c>
      <c r="K5499" s="22"/>
      <c r="L5499" s="36">
        <v>808.0</v>
      </c>
      <c r="M5499" s="36">
        <v>500.0</v>
      </c>
      <c r="N5499" s="36" t="s">
        <v>25914</v>
      </c>
      <c r="O5499" s="36" t="s">
        <v>13822</v>
      </c>
      <c r="P5499" s="37" t="s">
        <v>4190</v>
      </c>
      <c r="Q5499" s="36"/>
      <c r="R5499" s="36"/>
      <c r="S5499" s="36"/>
      <c r="T5499" s="28" t="s">
        <v>25915</v>
      </c>
      <c r="U5499" s="38" t="str">
        <f>HYPERLINK("https://www.ncbi.nlm.nih.gov/pubmed/18309457","PubMed")</f>
        <v>PubMed</v>
      </c>
      <c r="V5499" s="30"/>
      <c r="W5499" s="49"/>
      <c r="X5499" s="49"/>
      <c r="Y5499" s="35"/>
      <c r="Z5499" s="35"/>
      <c r="AA5499" s="35"/>
      <c r="AB5499" s="35"/>
      <c r="AC5499" s="35"/>
      <c r="AD5499" s="35"/>
      <c r="AE5499" s="35"/>
      <c r="AF5499" s="35"/>
      <c r="AG5499" s="35"/>
      <c r="AH5499" s="35"/>
      <c r="AI5499" s="35"/>
      <c r="AJ5499" s="35"/>
      <c r="AK5499" s="35"/>
      <c r="AL5499" s="35"/>
    </row>
    <row r="5500">
      <c r="A5500" s="1"/>
      <c r="B5500" s="19" t="s">
        <v>19332</v>
      </c>
      <c r="C5500" s="20" t="s">
        <v>25872</v>
      </c>
      <c r="D5500" s="47"/>
      <c r="E5500" s="22" t="s">
        <v>20942</v>
      </c>
      <c r="F5500" s="22" t="s">
        <v>41</v>
      </c>
      <c r="G5500" s="23">
        <v>2009.0</v>
      </c>
      <c r="H5500" s="22" t="s">
        <v>91</v>
      </c>
      <c r="I5500" s="24" t="s">
        <v>25916</v>
      </c>
      <c r="J5500" s="22" t="s">
        <v>55</v>
      </c>
      <c r="K5500" s="22" t="s">
        <v>607</v>
      </c>
      <c r="L5500" s="36">
        <v>660.0</v>
      </c>
      <c r="M5500" s="36">
        <v>100.0</v>
      </c>
      <c r="N5500" s="36"/>
      <c r="O5500" s="36"/>
      <c r="P5500" s="37" t="s">
        <v>760</v>
      </c>
      <c r="Q5500" s="36"/>
      <c r="R5500" s="36"/>
      <c r="S5500" s="36"/>
      <c r="T5500" s="42" t="s">
        <v>25917</v>
      </c>
      <c r="U5500" s="38" t="str">
        <f>HYPERLINK("https://www.ncbi.nlm.nih.gov/pubmed/18982402","PubMed")</f>
        <v>PubMed</v>
      </c>
      <c r="V5500" s="30"/>
      <c r="W5500" s="49"/>
      <c r="X5500" s="49"/>
      <c r="Y5500" s="35"/>
      <c r="Z5500" s="35"/>
      <c r="AA5500" s="35"/>
      <c r="AB5500" s="35"/>
      <c r="AC5500" s="35"/>
      <c r="AD5500" s="35"/>
      <c r="AE5500" s="35"/>
      <c r="AF5500" s="35"/>
      <c r="AG5500" s="35"/>
      <c r="AH5500" s="35"/>
      <c r="AI5500" s="35"/>
      <c r="AJ5500" s="35"/>
      <c r="AK5500" s="35"/>
      <c r="AL5500" s="35"/>
    </row>
    <row r="5501">
      <c r="A5501" s="1"/>
      <c r="B5501" s="19" t="s">
        <v>19332</v>
      </c>
      <c r="C5501" s="20" t="s">
        <v>25872</v>
      </c>
      <c r="D5501" s="47"/>
      <c r="E5501" s="22" t="s">
        <v>25918</v>
      </c>
      <c r="F5501" s="22" t="s">
        <v>1822</v>
      </c>
      <c r="G5501" s="23">
        <v>2009.0</v>
      </c>
      <c r="H5501" s="22" t="s">
        <v>91</v>
      </c>
      <c r="I5501" s="24" t="s">
        <v>25919</v>
      </c>
      <c r="J5501" s="22" t="s">
        <v>31</v>
      </c>
      <c r="K5501" s="22" t="s">
        <v>25920</v>
      </c>
      <c r="L5501" s="36">
        <v>810.0</v>
      </c>
      <c r="M5501" s="36"/>
      <c r="N5501" s="36"/>
      <c r="O5501" s="36"/>
      <c r="P5501" s="37" t="s">
        <v>25921</v>
      </c>
      <c r="Q5501" s="36"/>
      <c r="R5501" s="36" t="s">
        <v>25922</v>
      </c>
      <c r="S5501" s="36"/>
      <c r="T5501" s="28" t="s">
        <v>25923</v>
      </c>
      <c r="U5501" s="38" t="str">
        <f>HYPERLINK("https://www.ncbi.nlm.nih.gov/pubmed/18228085","PubMed")</f>
        <v>PubMed</v>
      </c>
      <c r="V5501" s="30"/>
      <c r="W5501" s="49"/>
      <c r="X5501" s="49"/>
      <c r="Y5501" s="35"/>
      <c r="Z5501" s="35"/>
      <c r="AA5501" s="35"/>
      <c r="AB5501" s="35"/>
      <c r="AC5501" s="35"/>
      <c r="AD5501" s="35"/>
      <c r="AE5501" s="35"/>
      <c r="AF5501" s="35"/>
      <c r="AG5501" s="35"/>
      <c r="AH5501" s="35"/>
      <c r="AI5501" s="35"/>
      <c r="AJ5501" s="35"/>
      <c r="AK5501" s="35"/>
      <c r="AL5501" s="35"/>
    </row>
    <row r="5502">
      <c r="A5502" s="1"/>
      <c r="B5502" s="19" t="s">
        <v>19332</v>
      </c>
      <c r="C5502" s="20" t="s">
        <v>25872</v>
      </c>
      <c r="D5502" s="47"/>
      <c r="E5502" s="22" t="s">
        <v>20942</v>
      </c>
      <c r="F5502" s="22" t="s">
        <v>41</v>
      </c>
      <c r="G5502" s="23">
        <v>2008.0</v>
      </c>
      <c r="H5502" s="22" t="s">
        <v>477</v>
      </c>
      <c r="I5502" s="24" t="s">
        <v>25924</v>
      </c>
      <c r="J5502" s="22" t="s">
        <v>55</v>
      </c>
      <c r="K5502" s="22"/>
      <c r="L5502" s="36">
        <v>808.0</v>
      </c>
      <c r="M5502" s="36"/>
      <c r="N5502" s="36"/>
      <c r="O5502" s="36"/>
      <c r="P5502" s="37" t="s">
        <v>4190</v>
      </c>
      <c r="Q5502" s="36"/>
      <c r="R5502" s="36"/>
      <c r="S5502" s="36"/>
      <c r="T5502" s="28" t="s">
        <v>25925</v>
      </c>
      <c r="U5502" s="38" t="str">
        <f>HYPERLINK("https://www.ncbi.nlm.nih.gov/pubmed/17624559","PubMed")</f>
        <v>PubMed</v>
      </c>
      <c r="V5502" s="30"/>
      <c r="W5502" s="49"/>
      <c r="X5502" s="49"/>
      <c r="Y5502" s="35"/>
      <c r="Z5502" s="35"/>
      <c r="AA5502" s="35"/>
      <c r="AB5502" s="35"/>
      <c r="AC5502" s="35"/>
      <c r="AD5502" s="35"/>
      <c r="AE5502" s="35"/>
      <c r="AF5502" s="35"/>
      <c r="AG5502" s="35"/>
      <c r="AH5502" s="35"/>
      <c r="AI5502" s="35"/>
      <c r="AJ5502" s="35"/>
      <c r="AK5502" s="35"/>
      <c r="AL5502" s="35"/>
    </row>
    <row r="5503">
      <c r="A5503" s="1"/>
      <c r="B5503" s="75" t="s">
        <v>19332</v>
      </c>
      <c r="C5503" s="77" t="s">
        <v>25872</v>
      </c>
      <c r="D5503" s="47"/>
      <c r="E5503" s="22" t="s">
        <v>25926</v>
      </c>
      <c r="F5503" s="22" t="s">
        <v>9079</v>
      </c>
      <c r="G5503" s="23">
        <v>2003.0</v>
      </c>
      <c r="H5503" s="22" t="s">
        <v>1289</v>
      </c>
      <c r="I5503" s="24" t="s">
        <v>25927</v>
      </c>
      <c r="J5503" s="22" t="s">
        <v>9864</v>
      </c>
      <c r="K5503" s="22"/>
      <c r="L5503" s="36">
        <v>633.0</v>
      </c>
      <c r="M5503" s="36">
        <v>7.0</v>
      </c>
      <c r="N5503" s="36"/>
      <c r="O5503" s="36"/>
      <c r="P5503" s="37" t="s">
        <v>25928</v>
      </c>
      <c r="Q5503" s="36" t="s">
        <v>25929</v>
      </c>
      <c r="R5503" s="36">
        <v>120.0</v>
      </c>
      <c r="S5503" s="36"/>
      <c r="T5503" s="41" t="s">
        <v>25930</v>
      </c>
      <c r="U5503" s="38" t="str">
        <f>HYPERLINK("https://www.ncbi.nlm.nih.gov/pubmed/13678459","PubMed")</f>
        <v>PubMed</v>
      </c>
      <c r="V5503" s="30"/>
      <c r="W5503" s="49"/>
      <c r="X5503" s="49"/>
      <c r="Y5503" s="35"/>
      <c r="Z5503" s="35"/>
      <c r="AA5503" s="35"/>
      <c r="AB5503" s="35"/>
      <c r="AC5503" s="35"/>
      <c r="AD5503" s="35"/>
      <c r="AE5503" s="35"/>
      <c r="AF5503" s="35"/>
      <c r="AG5503" s="35"/>
      <c r="AH5503" s="35"/>
      <c r="AI5503" s="35"/>
      <c r="AJ5503" s="35"/>
      <c r="AK5503" s="35"/>
      <c r="AL5503" s="35"/>
    </row>
    <row r="5504">
      <c r="A5504" s="1"/>
      <c r="B5504" s="19" t="s">
        <v>19332</v>
      </c>
      <c r="C5504" s="20" t="s">
        <v>1331</v>
      </c>
      <c r="D5504" s="47"/>
      <c r="E5504" s="22" t="s">
        <v>850</v>
      </c>
      <c r="F5504" s="22" t="s">
        <v>41</v>
      </c>
      <c r="G5504" s="23">
        <v>2016.0</v>
      </c>
      <c r="H5504" s="22" t="s">
        <v>658</v>
      </c>
      <c r="I5504" s="24" t="s">
        <v>25931</v>
      </c>
      <c r="J5504" s="22" t="s">
        <v>649</v>
      </c>
      <c r="K5504" s="22"/>
      <c r="L5504" s="167" t="s">
        <v>25932</v>
      </c>
      <c r="M5504" s="44"/>
      <c r="N5504" s="44"/>
      <c r="O5504" s="44"/>
      <c r="P5504" s="44"/>
      <c r="Q5504" s="44"/>
      <c r="R5504" s="44"/>
      <c r="S5504" s="44"/>
      <c r="T5504" s="45"/>
      <c r="U5504" s="38" t="str">
        <f>HYPERLINK("https://www.ncbi.nlm.nih.gov/pubmed/27058214","PubMed")</f>
        <v>PubMed</v>
      </c>
      <c r="V5504" s="30"/>
      <c r="W5504" s="49"/>
      <c r="X5504" s="49"/>
      <c r="Y5504" s="35"/>
      <c r="Z5504" s="35"/>
      <c r="AA5504" s="35"/>
      <c r="AB5504" s="35"/>
      <c r="AC5504" s="35"/>
      <c r="AD5504" s="35"/>
      <c r="AE5504" s="35"/>
      <c r="AF5504" s="35"/>
      <c r="AG5504" s="35"/>
      <c r="AH5504" s="35"/>
      <c r="AI5504" s="35"/>
      <c r="AJ5504" s="35"/>
      <c r="AK5504" s="35"/>
      <c r="AL5504" s="35"/>
    </row>
    <row r="5505">
      <c r="A5505" s="1"/>
      <c r="B5505" s="19" t="s">
        <v>19332</v>
      </c>
      <c r="C5505" s="20" t="s">
        <v>1331</v>
      </c>
      <c r="D5505" s="47"/>
      <c r="E5505" s="22" t="s">
        <v>25933</v>
      </c>
      <c r="F5505" s="22" t="s">
        <v>25934</v>
      </c>
      <c r="G5505" s="23">
        <v>2016.0</v>
      </c>
      <c r="H5505" s="22" t="s">
        <v>207</v>
      </c>
      <c r="I5505" s="24" t="s">
        <v>25935</v>
      </c>
      <c r="J5505" s="22" t="s">
        <v>649</v>
      </c>
      <c r="K5505" s="22"/>
      <c r="L5505" s="167" t="s">
        <v>25936</v>
      </c>
      <c r="M5505" s="44"/>
      <c r="N5505" s="44"/>
      <c r="O5505" s="44"/>
      <c r="P5505" s="44"/>
      <c r="Q5505" s="44"/>
      <c r="R5505" s="44"/>
      <c r="S5505" s="44"/>
      <c r="T5505" s="45"/>
      <c r="U5505" s="38" t="str">
        <f>HYPERLINK("https://www.ncbi.nlm.nih.gov/pubmed/27475781","PubMed")</f>
        <v>PubMed</v>
      </c>
      <c r="V5505" s="30"/>
      <c r="W5505" s="49"/>
      <c r="X5505" s="49"/>
      <c r="Y5505" s="35"/>
      <c r="Z5505" s="35"/>
      <c r="AA5505" s="35"/>
      <c r="AB5505" s="35"/>
      <c r="AC5505" s="35"/>
      <c r="AD5505" s="35"/>
      <c r="AE5505" s="35"/>
      <c r="AF5505" s="35"/>
      <c r="AG5505" s="35"/>
      <c r="AH5505" s="35"/>
      <c r="AI5505" s="35"/>
      <c r="AJ5505" s="35"/>
      <c r="AK5505" s="35"/>
      <c r="AL5505" s="35"/>
    </row>
    <row r="5506">
      <c r="A5506" s="1"/>
      <c r="B5506" s="19" t="s">
        <v>19332</v>
      </c>
      <c r="C5506" s="20" t="s">
        <v>25937</v>
      </c>
      <c r="D5506" s="47"/>
      <c r="E5506" s="22" t="s">
        <v>25938</v>
      </c>
      <c r="F5506" s="22" t="s">
        <v>3636</v>
      </c>
      <c r="G5506" s="23">
        <v>2022.0</v>
      </c>
      <c r="H5506" s="22" t="s">
        <v>21244</v>
      </c>
      <c r="I5506" s="24" t="s">
        <v>25939</v>
      </c>
      <c r="J5506" s="22" t="s">
        <v>25940</v>
      </c>
      <c r="K5506" s="22"/>
      <c r="L5506" s="36">
        <v>830.0</v>
      </c>
      <c r="M5506" s="36">
        <v>100.0</v>
      </c>
      <c r="N5506" s="36" t="s">
        <v>58</v>
      </c>
      <c r="O5506" s="36" t="s">
        <v>58</v>
      </c>
      <c r="P5506" s="37" t="s">
        <v>58</v>
      </c>
      <c r="Q5506" s="36" t="s">
        <v>58</v>
      </c>
      <c r="R5506" s="36"/>
      <c r="S5506" s="36" t="s">
        <v>25941</v>
      </c>
      <c r="T5506" s="28" t="s">
        <v>25942</v>
      </c>
      <c r="U5506" s="38" t="s">
        <v>61</v>
      </c>
      <c r="V5506" s="30"/>
      <c r="W5506" s="49"/>
      <c r="X5506" s="49"/>
      <c r="Y5506" s="35"/>
      <c r="Z5506" s="35"/>
      <c r="AA5506" s="35"/>
      <c r="AB5506" s="35"/>
      <c r="AC5506" s="35"/>
      <c r="AD5506" s="35"/>
      <c r="AE5506" s="35"/>
      <c r="AF5506" s="35"/>
      <c r="AG5506" s="35"/>
      <c r="AH5506" s="35"/>
      <c r="AI5506" s="35"/>
      <c r="AJ5506" s="35"/>
      <c r="AK5506" s="35"/>
      <c r="AL5506" s="35"/>
    </row>
    <row r="5507">
      <c r="A5507" s="1"/>
      <c r="B5507" s="19" t="s">
        <v>19332</v>
      </c>
      <c r="C5507" s="20" t="s">
        <v>25937</v>
      </c>
      <c r="D5507" s="47"/>
      <c r="E5507" s="22" t="s">
        <v>25943</v>
      </c>
      <c r="F5507" s="22" t="s">
        <v>494</v>
      </c>
      <c r="G5507" s="23">
        <v>2020.0</v>
      </c>
      <c r="H5507" s="22" t="s">
        <v>19235</v>
      </c>
      <c r="I5507" s="24" t="s">
        <v>25944</v>
      </c>
      <c r="J5507" s="22" t="s">
        <v>44</v>
      </c>
      <c r="K5507" s="22" t="s">
        <v>25945</v>
      </c>
      <c r="L5507" s="36">
        <v>660.0</v>
      </c>
      <c r="M5507" s="36"/>
      <c r="N5507" s="36" t="s">
        <v>25946</v>
      </c>
      <c r="O5507" s="36"/>
      <c r="P5507" s="37" t="s">
        <v>70</v>
      </c>
      <c r="Q5507" s="36"/>
      <c r="R5507" s="36"/>
      <c r="S5507" s="36"/>
      <c r="T5507" s="28" t="s">
        <v>25947</v>
      </c>
      <c r="U5507" s="29" t="s">
        <v>61</v>
      </c>
      <c r="V5507" s="30"/>
      <c r="W5507" s="49"/>
      <c r="X5507" s="49"/>
      <c r="Y5507" s="35"/>
      <c r="Z5507" s="35"/>
      <c r="AA5507" s="35"/>
      <c r="AB5507" s="35"/>
      <c r="AC5507" s="35"/>
      <c r="AD5507" s="35"/>
      <c r="AE5507" s="35"/>
      <c r="AF5507" s="35"/>
      <c r="AG5507" s="35"/>
      <c r="AH5507" s="35"/>
      <c r="AI5507" s="35"/>
      <c r="AJ5507" s="35"/>
      <c r="AK5507" s="35"/>
      <c r="AL5507" s="35"/>
    </row>
    <row r="5508">
      <c r="A5508" s="1"/>
      <c r="B5508" s="19" t="s">
        <v>19332</v>
      </c>
      <c r="C5508" s="20" t="s">
        <v>25948</v>
      </c>
      <c r="D5508" s="47"/>
      <c r="E5508" s="22" t="s">
        <v>25949</v>
      </c>
      <c r="F5508" s="22" t="s">
        <v>14699</v>
      </c>
      <c r="G5508" s="23">
        <v>2021.0</v>
      </c>
      <c r="H5508" s="22" t="s">
        <v>2649</v>
      </c>
      <c r="I5508" s="24" t="s">
        <v>25950</v>
      </c>
      <c r="J5508" s="22" t="s">
        <v>25951</v>
      </c>
      <c r="K5508" s="22"/>
      <c r="L5508" s="36">
        <v>808.0</v>
      </c>
      <c r="M5508" s="36">
        <v>100.0</v>
      </c>
      <c r="N5508" s="36"/>
      <c r="O5508" s="129">
        <v>44440.0</v>
      </c>
      <c r="P5508" s="37" t="s">
        <v>21170</v>
      </c>
      <c r="Q5508" s="36"/>
      <c r="R5508" s="36">
        <v>19.0</v>
      </c>
      <c r="S5508" s="36" t="s">
        <v>2099</v>
      </c>
      <c r="T5508" s="28" t="s">
        <v>25952</v>
      </c>
      <c r="U5508" s="29" t="s">
        <v>61</v>
      </c>
      <c r="V5508" s="30"/>
      <c r="W5508" s="49"/>
      <c r="X5508" s="49"/>
      <c r="Y5508" s="35"/>
      <c r="Z5508" s="35"/>
      <c r="AA5508" s="35"/>
      <c r="AB5508" s="35"/>
      <c r="AC5508" s="35"/>
      <c r="AD5508" s="35"/>
      <c r="AE5508" s="35"/>
      <c r="AF5508" s="35"/>
      <c r="AG5508" s="35"/>
      <c r="AH5508" s="35"/>
      <c r="AI5508" s="35"/>
      <c r="AJ5508" s="35"/>
      <c r="AK5508" s="35"/>
      <c r="AL5508" s="35"/>
    </row>
    <row r="5509">
      <c r="A5509" s="1"/>
      <c r="B5509" s="19" t="s">
        <v>19332</v>
      </c>
      <c r="C5509" s="20" t="s">
        <v>25953</v>
      </c>
      <c r="D5509" s="47"/>
      <c r="E5509" s="22" t="s">
        <v>2770</v>
      </c>
      <c r="F5509" s="22" t="s">
        <v>5157</v>
      </c>
      <c r="G5509" s="23">
        <v>2024.0</v>
      </c>
      <c r="H5509" s="22" t="s">
        <v>77</v>
      </c>
      <c r="I5509" s="24" t="s">
        <v>25954</v>
      </c>
      <c r="J5509" s="22" t="s">
        <v>2273</v>
      </c>
      <c r="K5509" s="22" t="s">
        <v>25955</v>
      </c>
      <c r="L5509" s="52">
        <v>660.0</v>
      </c>
      <c r="M5509" s="52"/>
      <c r="N5509" s="52"/>
      <c r="O5509" s="200"/>
      <c r="P5509" s="189"/>
      <c r="Q5509" s="52"/>
      <c r="R5509" s="52"/>
      <c r="S5509" s="52"/>
      <c r="T5509" s="28" t="s">
        <v>25956</v>
      </c>
      <c r="U5509" s="38" t="s">
        <v>61</v>
      </c>
      <c r="V5509" s="30"/>
      <c r="W5509" s="49"/>
      <c r="X5509" s="49"/>
      <c r="Y5509" s="35"/>
      <c r="Z5509" s="35"/>
      <c r="AA5509" s="35"/>
      <c r="AB5509" s="35"/>
      <c r="AC5509" s="35"/>
      <c r="AD5509" s="35"/>
      <c r="AE5509" s="35"/>
      <c r="AF5509" s="35"/>
      <c r="AG5509" s="35"/>
      <c r="AH5509" s="35"/>
      <c r="AI5509" s="35"/>
      <c r="AJ5509" s="35"/>
      <c r="AK5509" s="35"/>
      <c r="AL5509" s="35"/>
    </row>
    <row r="5510">
      <c r="A5510" s="1"/>
      <c r="B5510" s="19" t="s">
        <v>19332</v>
      </c>
      <c r="C5510" s="20" t="s">
        <v>25953</v>
      </c>
      <c r="D5510" s="47"/>
      <c r="E5510" s="22" t="s">
        <v>22985</v>
      </c>
      <c r="F5510" s="22" t="s">
        <v>765</v>
      </c>
      <c r="G5510" s="23">
        <v>2024.0</v>
      </c>
      <c r="H5510" s="22" t="s">
        <v>91</v>
      </c>
      <c r="I5510" s="24" t="s">
        <v>25957</v>
      </c>
      <c r="J5510" s="22" t="s">
        <v>533</v>
      </c>
      <c r="K5510" s="22"/>
      <c r="L5510" s="132" t="s">
        <v>25958</v>
      </c>
      <c r="U5510" s="38" t="s">
        <v>61</v>
      </c>
      <c r="V5510" s="30"/>
      <c r="W5510" s="49"/>
      <c r="X5510" s="49"/>
      <c r="Y5510" s="35"/>
      <c r="Z5510" s="35"/>
      <c r="AA5510" s="35"/>
      <c r="AB5510" s="35"/>
      <c r="AC5510" s="35"/>
      <c r="AD5510" s="35"/>
      <c r="AE5510" s="35"/>
      <c r="AF5510" s="35"/>
      <c r="AG5510" s="35"/>
      <c r="AH5510" s="35"/>
      <c r="AI5510" s="35"/>
      <c r="AJ5510" s="35"/>
      <c r="AK5510" s="35"/>
      <c r="AL5510" s="35"/>
    </row>
    <row r="5511">
      <c r="A5511" s="1"/>
      <c r="B5511" s="19" t="s">
        <v>19332</v>
      </c>
      <c r="C5511" s="20" t="s">
        <v>25953</v>
      </c>
      <c r="D5511" s="47"/>
      <c r="E5511" s="22" t="s">
        <v>25959</v>
      </c>
      <c r="F5511" s="22" t="s">
        <v>797</v>
      </c>
      <c r="G5511" s="23">
        <v>2024.0</v>
      </c>
      <c r="H5511" s="22" t="s">
        <v>91</v>
      </c>
      <c r="I5511" s="24" t="s">
        <v>25960</v>
      </c>
      <c r="J5511" s="22" t="s">
        <v>533</v>
      </c>
      <c r="K5511" s="22"/>
      <c r="L5511" s="196" t="s">
        <v>25961</v>
      </c>
      <c r="U5511" s="38" t="s">
        <v>61</v>
      </c>
      <c r="V5511" s="30"/>
      <c r="W5511" s="49"/>
      <c r="X5511" s="49"/>
      <c r="Y5511" s="35"/>
      <c r="Z5511" s="35"/>
      <c r="AA5511" s="35"/>
      <c r="AB5511" s="35"/>
      <c r="AC5511" s="35"/>
      <c r="AD5511" s="35"/>
      <c r="AE5511" s="35"/>
      <c r="AF5511" s="35"/>
      <c r="AG5511" s="35"/>
      <c r="AH5511" s="35"/>
      <c r="AI5511" s="35"/>
      <c r="AJ5511" s="35"/>
      <c r="AK5511" s="35"/>
      <c r="AL5511" s="35"/>
    </row>
    <row r="5512">
      <c r="A5512" s="1"/>
      <c r="B5512" s="19" t="s">
        <v>19332</v>
      </c>
      <c r="C5512" s="20" t="s">
        <v>25953</v>
      </c>
      <c r="D5512" s="47"/>
      <c r="E5512" s="22" t="s">
        <v>22777</v>
      </c>
      <c r="F5512" s="22" t="s">
        <v>797</v>
      </c>
      <c r="G5512" s="23">
        <v>2023.0</v>
      </c>
      <c r="H5512" s="22" t="s">
        <v>25962</v>
      </c>
      <c r="I5512" s="24" t="s">
        <v>25963</v>
      </c>
      <c r="J5512" s="22" t="s">
        <v>533</v>
      </c>
      <c r="K5512" s="22"/>
      <c r="L5512" s="132" t="s">
        <v>25964</v>
      </c>
      <c r="U5512" s="38" t="s">
        <v>61</v>
      </c>
      <c r="V5512" s="30"/>
      <c r="W5512" s="49"/>
      <c r="X5512" s="49"/>
      <c r="Y5512" s="35"/>
      <c r="Z5512" s="35"/>
      <c r="AA5512" s="35"/>
      <c r="AB5512" s="35"/>
      <c r="AC5512" s="35"/>
      <c r="AD5512" s="35"/>
      <c r="AE5512" s="35"/>
      <c r="AF5512" s="35"/>
      <c r="AG5512" s="35"/>
      <c r="AH5512" s="35"/>
      <c r="AI5512" s="35"/>
      <c r="AJ5512" s="35"/>
      <c r="AK5512" s="35"/>
      <c r="AL5512" s="35"/>
    </row>
    <row r="5513">
      <c r="A5513" s="1"/>
      <c r="B5513" s="19" t="s">
        <v>19332</v>
      </c>
      <c r="C5513" s="20" t="s">
        <v>25953</v>
      </c>
      <c r="D5513" s="47"/>
      <c r="E5513" s="22" t="s">
        <v>19895</v>
      </c>
      <c r="F5513" s="22" t="s">
        <v>510</v>
      </c>
      <c r="G5513" s="23">
        <v>2018.0</v>
      </c>
      <c r="H5513" s="22" t="s">
        <v>469</v>
      </c>
      <c r="I5513" s="24" t="s">
        <v>25965</v>
      </c>
      <c r="J5513" s="22" t="s">
        <v>55</v>
      </c>
      <c r="K5513" s="22"/>
      <c r="L5513" s="36" t="s">
        <v>6257</v>
      </c>
      <c r="M5513" s="36"/>
      <c r="N5513" s="36"/>
      <c r="O5513" s="129"/>
      <c r="P5513" s="37"/>
      <c r="Q5513" s="36"/>
      <c r="R5513" s="36"/>
      <c r="S5513" s="36"/>
      <c r="T5513" s="28" t="s">
        <v>25966</v>
      </c>
      <c r="U5513" s="29" t="s">
        <v>61</v>
      </c>
      <c r="V5513" s="30"/>
      <c r="W5513" s="49"/>
      <c r="X5513" s="49"/>
      <c r="Y5513" s="35"/>
      <c r="Z5513" s="35"/>
      <c r="AA5513" s="35"/>
      <c r="AB5513" s="35"/>
      <c r="AC5513" s="35"/>
      <c r="AD5513" s="35"/>
      <c r="AE5513" s="35"/>
      <c r="AF5513" s="35"/>
      <c r="AG5513" s="35"/>
      <c r="AH5513" s="35"/>
      <c r="AI5513" s="35"/>
      <c r="AJ5513" s="35"/>
      <c r="AK5513" s="35"/>
      <c r="AL5513" s="35"/>
    </row>
    <row r="5514">
      <c r="A5514" s="1"/>
      <c r="B5514" s="19" t="s">
        <v>19332</v>
      </c>
      <c r="C5514" s="20" t="s">
        <v>25953</v>
      </c>
      <c r="D5514" s="47"/>
      <c r="E5514" s="22" t="s">
        <v>25967</v>
      </c>
      <c r="F5514" s="22" t="s">
        <v>5207</v>
      </c>
      <c r="G5514" s="23">
        <v>2017.0</v>
      </c>
      <c r="H5514" s="22" t="s">
        <v>25968</v>
      </c>
      <c r="I5514" s="24" t="s">
        <v>25969</v>
      </c>
      <c r="J5514" s="22" t="s">
        <v>55</v>
      </c>
      <c r="K5514" s="22" t="s">
        <v>157</v>
      </c>
      <c r="L5514" s="36">
        <v>940.0</v>
      </c>
      <c r="M5514" s="36"/>
      <c r="N5514" s="129"/>
      <c r="O5514" s="36"/>
      <c r="P5514" s="37" t="s">
        <v>254</v>
      </c>
      <c r="Q5514" s="36"/>
      <c r="R5514" s="36"/>
      <c r="S5514" s="36">
        <v>3.0</v>
      </c>
      <c r="T5514" s="41" t="s">
        <v>25970</v>
      </c>
      <c r="U5514" s="38" t="str">
        <f>HYPERLINK("https://www.ncbi.nlm.nih.gov/pubmed/27472656","PubMed")</f>
        <v>PubMed</v>
      </c>
      <c r="V5514" s="30"/>
      <c r="W5514" s="49"/>
      <c r="X5514" s="49"/>
      <c r="Y5514" s="35"/>
      <c r="Z5514" s="35"/>
      <c r="AA5514" s="35"/>
      <c r="AB5514" s="35"/>
      <c r="AC5514" s="35"/>
      <c r="AD5514" s="35"/>
      <c r="AE5514" s="35"/>
      <c r="AF5514" s="35"/>
      <c r="AG5514" s="35"/>
      <c r="AH5514" s="35"/>
      <c r="AI5514" s="35"/>
      <c r="AJ5514" s="35"/>
      <c r="AK5514" s="35"/>
      <c r="AL5514" s="35"/>
    </row>
    <row r="5515">
      <c r="A5515" s="1"/>
      <c r="B5515" s="19" t="s">
        <v>19332</v>
      </c>
      <c r="C5515" s="20" t="s">
        <v>25953</v>
      </c>
      <c r="D5515" s="47"/>
      <c r="E5515" s="22" t="s">
        <v>7705</v>
      </c>
      <c r="F5515" s="22" t="s">
        <v>183</v>
      </c>
      <c r="G5515" s="23">
        <v>2016.0</v>
      </c>
      <c r="H5515" s="22" t="s">
        <v>25968</v>
      </c>
      <c r="I5515" s="24" t="s">
        <v>25971</v>
      </c>
      <c r="J5515" s="22" t="s">
        <v>55</v>
      </c>
      <c r="K5515" s="22"/>
      <c r="L5515" s="36">
        <v>780.0</v>
      </c>
      <c r="M5515" s="36">
        <v>70.0</v>
      </c>
      <c r="N5515" s="129"/>
      <c r="O5515" s="36"/>
      <c r="P5515" s="37" t="s">
        <v>3112</v>
      </c>
      <c r="Q5515" s="36"/>
      <c r="R5515" s="36"/>
      <c r="S5515" s="36"/>
      <c r="T5515" s="28" t="s">
        <v>25972</v>
      </c>
      <c r="U5515" s="38" t="str">
        <f>HYPERLINK("https://www.ncbi.nlm.nih.gov/pubmed/27242245","PubMed")</f>
        <v>PubMed</v>
      </c>
      <c r="V5515" s="30"/>
      <c r="W5515" s="49"/>
      <c r="X5515" s="49"/>
      <c r="Y5515" s="35"/>
      <c r="Z5515" s="35"/>
      <c r="AA5515" s="35"/>
      <c r="AB5515" s="35"/>
      <c r="AC5515" s="35"/>
      <c r="AD5515" s="35"/>
      <c r="AE5515" s="35"/>
      <c r="AF5515" s="35"/>
      <c r="AG5515" s="35"/>
      <c r="AH5515" s="35"/>
      <c r="AI5515" s="35"/>
      <c r="AJ5515" s="35"/>
      <c r="AK5515" s="35"/>
      <c r="AL5515" s="35"/>
    </row>
    <row r="5516">
      <c r="A5516" s="1"/>
      <c r="B5516" s="19" t="s">
        <v>19332</v>
      </c>
      <c r="C5516" s="20" t="s">
        <v>25953</v>
      </c>
      <c r="D5516" s="47"/>
      <c r="E5516" s="22" t="s">
        <v>25973</v>
      </c>
      <c r="F5516" s="22" t="s">
        <v>578</v>
      </c>
      <c r="G5516" s="23">
        <v>2016.0</v>
      </c>
      <c r="H5516" s="22" t="s">
        <v>25968</v>
      </c>
      <c r="I5516" s="24" t="s">
        <v>25974</v>
      </c>
      <c r="J5516" s="22" t="s">
        <v>55</v>
      </c>
      <c r="K5516" s="22" t="s">
        <v>294</v>
      </c>
      <c r="L5516" s="36" t="s">
        <v>5357</v>
      </c>
      <c r="M5516" s="36"/>
      <c r="N5516" s="129"/>
      <c r="O5516" s="36"/>
      <c r="P5516" s="37"/>
      <c r="Q5516" s="36"/>
      <c r="R5516" s="36"/>
      <c r="S5516" s="36"/>
      <c r="T5516" s="28" t="s">
        <v>25975</v>
      </c>
      <c r="U5516" s="38" t="str">
        <f>HYPERLINK("https://www.ncbi.nlm.nih.gov/pubmed/27126801","PubMed")</f>
        <v>PubMed</v>
      </c>
      <c r="V5516" s="30"/>
      <c r="W5516" s="49"/>
      <c r="X5516" s="49"/>
      <c r="Y5516" s="35"/>
      <c r="Z5516" s="35"/>
      <c r="AA5516" s="35"/>
      <c r="AB5516" s="35"/>
      <c r="AC5516" s="35"/>
      <c r="AD5516" s="35"/>
      <c r="AE5516" s="35"/>
      <c r="AF5516" s="35"/>
      <c r="AG5516" s="35"/>
      <c r="AH5516" s="35"/>
      <c r="AI5516" s="35"/>
      <c r="AJ5516" s="35"/>
      <c r="AK5516" s="35"/>
      <c r="AL5516" s="35"/>
    </row>
    <row r="5517">
      <c r="A5517" s="1"/>
      <c r="B5517" s="19" t="s">
        <v>19332</v>
      </c>
      <c r="C5517" s="20" t="s">
        <v>25953</v>
      </c>
      <c r="D5517" s="47"/>
      <c r="E5517" s="22" t="s">
        <v>17005</v>
      </c>
      <c r="F5517" s="22" t="s">
        <v>183</v>
      </c>
      <c r="G5517" s="23">
        <v>2016.0</v>
      </c>
      <c r="H5517" s="22" t="s">
        <v>25968</v>
      </c>
      <c r="I5517" s="24" t="s">
        <v>25976</v>
      </c>
      <c r="J5517" s="22" t="s">
        <v>55</v>
      </c>
      <c r="K5517" s="22"/>
      <c r="L5517" s="36">
        <v>810.0</v>
      </c>
      <c r="M5517" s="36">
        <v>1000.0</v>
      </c>
      <c r="N5517" s="129"/>
      <c r="O5517" s="36"/>
      <c r="P5517" s="37"/>
      <c r="Q5517" s="36"/>
      <c r="R5517" s="36">
        <v>30.0</v>
      </c>
      <c r="S5517" s="36"/>
      <c r="T5517" s="28" t="s">
        <v>25977</v>
      </c>
      <c r="U5517" s="38" t="str">
        <f>HYPERLINK("https://www.ncbi.nlm.nih.gov/pubmed/27748036","PubMed")</f>
        <v>PubMed</v>
      </c>
      <c r="V5517" s="30"/>
      <c r="W5517" s="49"/>
      <c r="X5517" s="49"/>
      <c r="Y5517" s="35"/>
      <c r="Z5517" s="35"/>
      <c r="AA5517" s="35"/>
      <c r="AB5517" s="35"/>
      <c r="AC5517" s="35"/>
      <c r="AD5517" s="35"/>
      <c r="AE5517" s="35"/>
      <c r="AF5517" s="35"/>
      <c r="AG5517" s="35"/>
      <c r="AH5517" s="35"/>
      <c r="AI5517" s="35"/>
      <c r="AJ5517" s="35"/>
      <c r="AK5517" s="35"/>
      <c r="AL5517" s="35"/>
    </row>
    <row r="5518">
      <c r="A5518" s="1"/>
      <c r="B5518" s="19" t="s">
        <v>19332</v>
      </c>
      <c r="C5518" s="20" t="s">
        <v>25953</v>
      </c>
      <c r="D5518" s="47"/>
      <c r="E5518" s="22" t="s">
        <v>12403</v>
      </c>
      <c r="F5518" s="22" t="s">
        <v>41</v>
      </c>
      <c r="G5518" s="23">
        <v>2012.0</v>
      </c>
      <c r="H5518" s="22" t="s">
        <v>91</v>
      </c>
      <c r="I5518" s="24" t="s">
        <v>25978</v>
      </c>
      <c r="J5518" s="22" t="s">
        <v>55</v>
      </c>
      <c r="K5518" s="22"/>
      <c r="L5518" s="36">
        <v>685.0</v>
      </c>
      <c r="M5518" s="36"/>
      <c r="N5518" s="129">
        <v>42857.0</v>
      </c>
      <c r="O5518" s="36" t="s">
        <v>16456</v>
      </c>
      <c r="P5518" s="37" t="s">
        <v>1529</v>
      </c>
      <c r="Q5518" s="36" t="s">
        <v>18100</v>
      </c>
      <c r="R5518" s="36"/>
      <c r="S5518" s="36"/>
      <c r="T5518" s="28" t="s">
        <v>25979</v>
      </c>
      <c r="U5518" s="38" t="str">
        <f>HYPERLINK("https://www.ncbi.nlm.nih.gov/pubmed/21617972","PubMed")</f>
        <v>PubMed</v>
      </c>
      <c r="V5518" s="30"/>
      <c r="W5518" s="49"/>
      <c r="X5518" s="49"/>
      <c r="Y5518" s="35"/>
      <c r="Z5518" s="35"/>
      <c r="AA5518" s="35"/>
      <c r="AB5518" s="35"/>
      <c r="AC5518" s="35"/>
      <c r="AD5518" s="35"/>
      <c r="AE5518" s="35"/>
      <c r="AF5518" s="35"/>
      <c r="AG5518" s="35"/>
      <c r="AH5518" s="35"/>
      <c r="AI5518" s="35"/>
      <c r="AJ5518" s="35"/>
      <c r="AK5518" s="35"/>
      <c r="AL5518" s="35"/>
    </row>
    <row r="5519">
      <c r="A5519" s="1"/>
      <c r="B5519" s="19" t="s">
        <v>19332</v>
      </c>
      <c r="C5519" s="20" t="s">
        <v>25953</v>
      </c>
      <c r="D5519" s="47"/>
      <c r="E5519" s="22" t="s">
        <v>25980</v>
      </c>
      <c r="F5519" s="22" t="s">
        <v>25981</v>
      </c>
      <c r="G5519" s="23">
        <v>2012.0</v>
      </c>
      <c r="H5519" s="22" t="s">
        <v>25968</v>
      </c>
      <c r="I5519" s="24" t="s">
        <v>25982</v>
      </c>
      <c r="J5519" s="22" t="s">
        <v>55</v>
      </c>
      <c r="K5519" s="22"/>
      <c r="L5519" s="36">
        <v>810.0</v>
      </c>
      <c r="M5519" s="36">
        <v>1000.0</v>
      </c>
      <c r="N5519" s="129"/>
      <c r="O5519" s="36"/>
      <c r="P5519" s="37"/>
      <c r="Q5519" s="36"/>
      <c r="R5519" s="36">
        <v>30.0</v>
      </c>
      <c r="S5519" s="36"/>
      <c r="T5519" s="28" t="s">
        <v>25983</v>
      </c>
      <c r="U5519" s="38" t="str">
        <f>HYPERLINK("https://www.ncbi.nlm.nih.gov/pubmed/22236150","PubMed")</f>
        <v>PubMed</v>
      </c>
      <c r="V5519" s="30"/>
      <c r="W5519" s="49"/>
      <c r="X5519" s="49"/>
      <c r="Y5519" s="35"/>
      <c r="Z5519" s="35"/>
      <c r="AA5519" s="35"/>
      <c r="AB5519" s="35"/>
      <c r="AC5519" s="35"/>
      <c r="AD5519" s="35"/>
      <c r="AE5519" s="35"/>
      <c r="AF5519" s="35"/>
      <c r="AG5519" s="35"/>
      <c r="AH5519" s="35"/>
      <c r="AI5519" s="35"/>
      <c r="AJ5519" s="35"/>
      <c r="AK5519" s="35"/>
      <c r="AL5519" s="35"/>
    </row>
    <row r="5520">
      <c r="A5520" s="1" t="s">
        <v>2</v>
      </c>
      <c r="B5520" s="19" t="s">
        <v>19332</v>
      </c>
      <c r="C5520" s="20" t="s">
        <v>20986</v>
      </c>
      <c r="D5520" s="47"/>
      <c r="E5520" s="22" t="s">
        <v>15055</v>
      </c>
      <c r="F5520" s="22" t="s">
        <v>25984</v>
      </c>
      <c r="G5520" s="23">
        <v>2014.0</v>
      </c>
      <c r="H5520" s="22" t="s">
        <v>6832</v>
      </c>
      <c r="I5520" s="24" t="s">
        <v>25985</v>
      </c>
      <c r="J5520" s="22" t="s">
        <v>44</v>
      </c>
      <c r="K5520" s="22" t="s">
        <v>25986</v>
      </c>
      <c r="L5520" s="36">
        <v>810.0</v>
      </c>
      <c r="M5520" s="36"/>
      <c r="N5520" s="36" t="s">
        <v>2554</v>
      </c>
      <c r="O5520" s="36"/>
      <c r="P5520" s="37" t="s">
        <v>969</v>
      </c>
      <c r="Q5520" s="36"/>
      <c r="R5520" s="36">
        <v>300.0</v>
      </c>
      <c r="S5520" s="36">
        <v>1.0</v>
      </c>
      <c r="T5520" s="28" t="s">
        <v>25987</v>
      </c>
      <c r="U5520" s="38" t="str">
        <f>HYPERLINK("https://www.ncbi.nlm.nih.gov/pubmed/24871130","PubMed")</f>
        <v>PubMed</v>
      </c>
      <c r="V5520" s="30"/>
      <c r="W5520" s="49"/>
      <c r="X5520" s="49"/>
      <c r="Y5520" s="35"/>
      <c r="Z5520" s="35"/>
      <c r="AA5520" s="35"/>
      <c r="AB5520" s="35"/>
      <c r="AC5520" s="35"/>
      <c r="AD5520" s="35"/>
      <c r="AE5520" s="35"/>
      <c r="AF5520" s="35"/>
      <c r="AG5520" s="35"/>
      <c r="AH5520" s="35"/>
      <c r="AI5520" s="35"/>
      <c r="AJ5520" s="35"/>
      <c r="AK5520" s="35"/>
      <c r="AL5520" s="35"/>
    </row>
    <row r="5521">
      <c r="A5521" s="133"/>
      <c r="B5521" s="19" t="s">
        <v>19332</v>
      </c>
      <c r="C5521" s="158" t="s">
        <v>8894</v>
      </c>
      <c r="D5521" s="159"/>
      <c r="E5521" s="57" t="s">
        <v>20417</v>
      </c>
      <c r="F5521" s="23" t="s">
        <v>13127</v>
      </c>
      <c r="G5521" s="57">
        <v>2016.0</v>
      </c>
      <c r="H5521" s="57" t="s">
        <v>91</v>
      </c>
      <c r="I5521" s="134" t="s">
        <v>20418</v>
      </c>
      <c r="J5521" s="23" t="s">
        <v>31</v>
      </c>
      <c r="K5521" s="23" t="s">
        <v>25988</v>
      </c>
      <c r="L5521" s="36">
        <v>660.0</v>
      </c>
      <c r="M5521" s="36" t="s">
        <v>25989</v>
      </c>
      <c r="N5521" s="36"/>
      <c r="O5521" s="36"/>
      <c r="P5521" s="37" t="s">
        <v>1307</v>
      </c>
      <c r="Q5521" s="36"/>
      <c r="R5521" s="36"/>
      <c r="S5521" s="36"/>
      <c r="T5521" s="28" t="s">
        <v>25990</v>
      </c>
      <c r="U5521" s="250" t="str">
        <f>HYPERLINK("https://www.ncbi.nlm.nih.gov/pubmed/27785631","PubMed")</f>
        <v>PubMed</v>
      </c>
      <c r="V5521" s="50"/>
      <c r="W5521" s="49"/>
      <c r="X5521" s="49"/>
      <c r="Y5521" s="35"/>
      <c r="Z5521" s="35"/>
      <c r="AA5521" s="35"/>
      <c r="AB5521" s="35"/>
      <c r="AC5521" s="35"/>
      <c r="AD5521" s="35"/>
      <c r="AE5521" s="35"/>
      <c r="AF5521" s="35"/>
      <c r="AG5521" s="35"/>
      <c r="AH5521" s="35"/>
      <c r="AI5521" s="35"/>
      <c r="AJ5521" s="35"/>
      <c r="AK5521" s="35"/>
      <c r="AL5521" s="35"/>
    </row>
    <row r="5522">
      <c r="A5522" s="133"/>
      <c r="B5522" s="75" t="s">
        <v>19332</v>
      </c>
      <c r="C5522" s="77" t="s">
        <v>25991</v>
      </c>
      <c r="D5522" s="159"/>
      <c r="E5522" s="57" t="s">
        <v>25992</v>
      </c>
      <c r="F5522" s="23" t="s">
        <v>25993</v>
      </c>
      <c r="G5522" s="57">
        <v>2024.0</v>
      </c>
      <c r="H5522" s="57" t="s">
        <v>25994</v>
      </c>
      <c r="I5522" s="134" t="s">
        <v>25995</v>
      </c>
      <c r="J5522" s="23" t="s">
        <v>25996</v>
      </c>
      <c r="K5522" s="23" t="s">
        <v>25997</v>
      </c>
      <c r="L5522" s="36">
        <v>660.0</v>
      </c>
      <c r="M5522" s="36"/>
      <c r="N5522" s="36"/>
      <c r="O5522" s="36"/>
      <c r="P5522" s="37"/>
      <c r="Q5522" s="36"/>
      <c r="R5522" s="36"/>
      <c r="S5522" s="36"/>
      <c r="T5522" s="28" t="s">
        <v>25998</v>
      </c>
      <c r="U5522" s="255" t="s">
        <v>61</v>
      </c>
      <c r="V5522" s="30"/>
      <c r="W5522" s="49"/>
      <c r="X5522" s="49"/>
      <c r="Y5522" s="35"/>
      <c r="Z5522" s="35"/>
      <c r="AA5522" s="35"/>
      <c r="AB5522" s="35"/>
      <c r="AC5522" s="35"/>
      <c r="AD5522" s="35"/>
      <c r="AE5522" s="35"/>
      <c r="AF5522" s="35"/>
      <c r="AG5522" s="35"/>
      <c r="AH5522" s="35"/>
      <c r="AI5522" s="35"/>
      <c r="AJ5522" s="35"/>
      <c r="AK5522" s="35"/>
      <c r="AL5522" s="35"/>
    </row>
    <row r="5523">
      <c r="A5523" s="133"/>
      <c r="B5523" s="75" t="s">
        <v>19332</v>
      </c>
      <c r="C5523" s="77" t="s">
        <v>25991</v>
      </c>
      <c r="D5523" s="159"/>
      <c r="E5523" s="57" t="s">
        <v>25999</v>
      </c>
      <c r="F5523" s="23" t="s">
        <v>1943</v>
      </c>
      <c r="G5523" s="57">
        <v>2024.0</v>
      </c>
      <c r="H5523" s="57" t="s">
        <v>24028</v>
      </c>
      <c r="I5523" s="134" t="s">
        <v>26000</v>
      </c>
      <c r="J5523" s="23" t="s">
        <v>26001</v>
      </c>
      <c r="K5523" s="23"/>
      <c r="L5523" s="36">
        <v>808.0</v>
      </c>
      <c r="M5523" s="36">
        <v>70.0</v>
      </c>
      <c r="N5523" s="36"/>
      <c r="O5523" s="36"/>
      <c r="P5523" s="37" t="s">
        <v>14065</v>
      </c>
      <c r="Q5523" s="36"/>
      <c r="R5523" s="36" t="s">
        <v>420</v>
      </c>
      <c r="S5523" s="36" t="s">
        <v>2099</v>
      </c>
      <c r="T5523" s="42" t="s">
        <v>26002</v>
      </c>
      <c r="U5523" s="255" t="s">
        <v>61</v>
      </c>
      <c r="V5523" s="30" t="s">
        <v>26003</v>
      </c>
      <c r="W5523" s="49"/>
      <c r="X5523" s="49"/>
      <c r="Y5523" s="35"/>
      <c r="Z5523" s="35"/>
      <c r="AA5523" s="35"/>
      <c r="AB5523" s="35"/>
      <c r="AC5523" s="35"/>
      <c r="AD5523" s="35"/>
      <c r="AE5523" s="35"/>
      <c r="AF5523" s="35"/>
      <c r="AG5523" s="35"/>
      <c r="AH5523" s="35"/>
      <c r="AI5523" s="35"/>
      <c r="AJ5523" s="35"/>
      <c r="AK5523" s="35"/>
      <c r="AL5523" s="35"/>
    </row>
    <row r="5524">
      <c r="A5524" s="133"/>
      <c r="B5524" s="75" t="s">
        <v>19332</v>
      </c>
      <c r="C5524" s="77" t="s">
        <v>25991</v>
      </c>
      <c r="D5524" s="159"/>
      <c r="E5524" s="57" t="s">
        <v>26004</v>
      </c>
      <c r="F5524" s="23" t="s">
        <v>2214</v>
      </c>
      <c r="G5524" s="57">
        <v>2024.0</v>
      </c>
      <c r="H5524" s="57" t="s">
        <v>1144</v>
      </c>
      <c r="I5524" s="134" t="s">
        <v>26005</v>
      </c>
      <c r="J5524" s="23" t="s">
        <v>26006</v>
      </c>
      <c r="K5524" s="23" t="s">
        <v>26007</v>
      </c>
      <c r="L5524" s="36" t="s">
        <v>4503</v>
      </c>
      <c r="M5524" s="36"/>
      <c r="N5524" s="36"/>
      <c r="O5524" s="36"/>
      <c r="P5524" s="37"/>
      <c r="Q5524" s="36"/>
      <c r="R5524" s="36"/>
      <c r="S5524" s="36"/>
      <c r="T5524" s="42" t="s">
        <v>26008</v>
      </c>
      <c r="U5524" s="255" t="s">
        <v>61</v>
      </c>
      <c r="V5524" s="30" t="s">
        <v>174</v>
      </c>
      <c r="W5524" s="49"/>
      <c r="X5524" s="49"/>
      <c r="Y5524" s="35"/>
      <c r="Z5524" s="35"/>
      <c r="AA5524" s="35"/>
      <c r="AB5524" s="35"/>
      <c r="AC5524" s="35"/>
      <c r="AD5524" s="35"/>
      <c r="AE5524" s="35"/>
      <c r="AF5524" s="35"/>
      <c r="AG5524" s="35"/>
      <c r="AH5524" s="35"/>
      <c r="AI5524" s="35"/>
      <c r="AJ5524" s="35"/>
      <c r="AK5524" s="35"/>
      <c r="AL5524" s="35"/>
    </row>
    <row r="5525">
      <c r="A5525" s="133"/>
      <c r="B5525" s="75" t="s">
        <v>19332</v>
      </c>
      <c r="C5525" s="77" t="s">
        <v>25991</v>
      </c>
      <c r="D5525" s="159"/>
      <c r="E5525" s="57" t="s">
        <v>26009</v>
      </c>
      <c r="F5525" s="23" t="s">
        <v>26010</v>
      </c>
      <c r="G5525" s="57">
        <v>2023.0</v>
      </c>
      <c r="H5525" s="57" t="s">
        <v>1144</v>
      </c>
      <c r="I5525" s="134" t="s">
        <v>26011</v>
      </c>
      <c r="J5525" s="23" t="s">
        <v>26012</v>
      </c>
      <c r="K5525" s="23" t="s">
        <v>26013</v>
      </c>
      <c r="L5525" s="36"/>
      <c r="M5525" s="36"/>
      <c r="N5525" s="36"/>
      <c r="O5525" s="36"/>
      <c r="P5525" s="37"/>
      <c r="Q5525" s="36"/>
      <c r="R5525" s="36"/>
      <c r="S5525" s="36" t="s">
        <v>7333</v>
      </c>
      <c r="T5525" s="41" t="s">
        <v>26014</v>
      </c>
      <c r="U5525" s="255" t="s">
        <v>61</v>
      </c>
      <c r="V5525" s="30" t="s">
        <v>174</v>
      </c>
      <c r="W5525" s="49"/>
      <c r="X5525" s="49"/>
      <c r="Y5525" s="35"/>
      <c r="Z5525" s="35"/>
      <c r="AA5525" s="35"/>
      <c r="AB5525" s="35"/>
      <c r="AC5525" s="35"/>
      <c r="AD5525" s="35"/>
      <c r="AE5525" s="35"/>
      <c r="AF5525" s="35"/>
      <c r="AG5525" s="35"/>
      <c r="AH5525" s="35"/>
      <c r="AI5525" s="35"/>
      <c r="AJ5525" s="35"/>
      <c r="AK5525" s="35"/>
      <c r="AL5525" s="35"/>
    </row>
    <row r="5526">
      <c r="A5526" s="133"/>
      <c r="B5526" s="75" t="s">
        <v>19332</v>
      </c>
      <c r="C5526" s="77" t="s">
        <v>25991</v>
      </c>
      <c r="D5526" s="159"/>
      <c r="E5526" s="57" t="s">
        <v>26015</v>
      </c>
      <c r="F5526" s="23" t="s">
        <v>697</v>
      </c>
      <c r="G5526" s="57">
        <v>2023.0</v>
      </c>
      <c r="H5526" s="57" t="s">
        <v>147</v>
      </c>
      <c r="I5526" s="134" t="s">
        <v>26016</v>
      </c>
      <c r="J5526" s="23" t="s">
        <v>649</v>
      </c>
      <c r="K5526" s="23"/>
      <c r="L5526" s="105" t="s">
        <v>26017</v>
      </c>
      <c r="M5526" s="44"/>
      <c r="N5526" s="44"/>
      <c r="O5526" s="44"/>
      <c r="P5526" s="44"/>
      <c r="Q5526" s="44"/>
      <c r="R5526" s="44"/>
      <c r="S5526" s="44"/>
      <c r="T5526" s="45"/>
      <c r="U5526" s="255" t="s">
        <v>61</v>
      </c>
      <c r="V5526" s="30"/>
      <c r="W5526" s="49"/>
      <c r="X5526" s="49"/>
      <c r="Y5526" s="35"/>
      <c r="Z5526" s="35"/>
      <c r="AA5526" s="35"/>
      <c r="AB5526" s="35"/>
      <c r="AC5526" s="35"/>
      <c r="AD5526" s="35"/>
      <c r="AE5526" s="35"/>
      <c r="AF5526" s="35"/>
      <c r="AG5526" s="35"/>
      <c r="AH5526" s="35"/>
      <c r="AI5526" s="35"/>
      <c r="AJ5526" s="35"/>
      <c r="AK5526" s="35"/>
      <c r="AL5526" s="35"/>
    </row>
    <row r="5527">
      <c r="A5527" s="133"/>
      <c r="B5527" s="75" t="s">
        <v>19332</v>
      </c>
      <c r="C5527" s="77" t="s">
        <v>25991</v>
      </c>
      <c r="D5527" s="159"/>
      <c r="E5527" s="57" t="s">
        <v>17005</v>
      </c>
      <c r="F5527" s="23" t="s">
        <v>41</v>
      </c>
      <c r="G5527" s="57">
        <v>2023.0</v>
      </c>
      <c r="H5527" s="57" t="s">
        <v>2204</v>
      </c>
      <c r="I5527" s="134" t="s">
        <v>26018</v>
      </c>
      <c r="J5527" s="23" t="s">
        <v>26019</v>
      </c>
      <c r="K5527" s="23" t="s">
        <v>26020</v>
      </c>
      <c r="L5527" s="36">
        <v>808.0</v>
      </c>
      <c r="M5527" s="36">
        <v>100.0</v>
      </c>
      <c r="N5527" s="36" t="s">
        <v>278</v>
      </c>
      <c r="O5527" s="36" t="s">
        <v>26021</v>
      </c>
      <c r="P5527" s="37" t="s">
        <v>3743</v>
      </c>
      <c r="Q5527" s="36" t="s">
        <v>26022</v>
      </c>
      <c r="R5527" s="36" t="s">
        <v>16277</v>
      </c>
      <c r="S5527" s="36">
        <v>1.0</v>
      </c>
      <c r="T5527" s="83" t="s">
        <v>26023</v>
      </c>
      <c r="U5527" s="255" t="s">
        <v>61</v>
      </c>
      <c r="V5527" s="30"/>
      <c r="W5527" s="49"/>
      <c r="X5527" s="49"/>
      <c r="Y5527" s="35"/>
      <c r="Z5527" s="35"/>
      <c r="AA5527" s="35"/>
      <c r="AB5527" s="35"/>
      <c r="AC5527" s="35"/>
      <c r="AD5527" s="35"/>
      <c r="AE5527" s="35"/>
      <c r="AF5527" s="35"/>
      <c r="AG5527" s="35"/>
      <c r="AH5527" s="35"/>
      <c r="AI5527" s="35"/>
      <c r="AJ5527" s="35"/>
      <c r="AK5527" s="35"/>
      <c r="AL5527" s="35"/>
    </row>
    <row r="5528">
      <c r="A5528" s="133"/>
      <c r="B5528" s="75" t="s">
        <v>19332</v>
      </c>
      <c r="C5528" s="77" t="s">
        <v>25991</v>
      </c>
      <c r="D5528" s="159"/>
      <c r="E5528" s="57" t="s">
        <v>26024</v>
      </c>
      <c r="F5528" s="23" t="s">
        <v>20700</v>
      </c>
      <c r="G5528" s="57">
        <v>2023.0</v>
      </c>
      <c r="H5528" s="57" t="s">
        <v>24028</v>
      </c>
      <c r="I5528" s="134" t="s">
        <v>26025</v>
      </c>
      <c r="J5528" s="23" t="s">
        <v>26026</v>
      </c>
      <c r="K5528" s="23" t="s">
        <v>26027</v>
      </c>
      <c r="L5528" s="36">
        <v>808.0</v>
      </c>
      <c r="M5528" s="36">
        <v>70.0</v>
      </c>
      <c r="N5528" s="36" t="s">
        <v>58</v>
      </c>
      <c r="O5528" s="36" t="s">
        <v>58</v>
      </c>
      <c r="P5528" s="37" t="s">
        <v>26028</v>
      </c>
      <c r="Q5528" s="36" t="s">
        <v>58</v>
      </c>
      <c r="R5528" s="36" t="s">
        <v>58</v>
      </c>
      <c r="S5528" s="36" t="s">
        <v>2099</v>
      </c>
      <c r="T5528" s="84" t="s">
        <v>26029</v>
      </c>
      <c r="U5528" s="255" t="s">
        <v>61</v>
      </c>
      <c r="V5528" s="30"/>
      <c r="W5528" s="49"/>
      <c r="X5528" s="49"/>
      <c r="Y5528" s="35"/>
      <c r="Z5528" s="35"/>
      <c r="AA5528" s="35"/>
      <c r="AB5528" s="35"/>
      <c r="AC5528" s="35"/>
      <c r="AD5528" s="35"/>
      <c r="AE5528" s="35"/>
      <c r="AF5528" s="35"/>
      <c r="AG5528" s="35"/>
      <c r="AH5528" s="35"/>
      <c r="AI5528" s="35"/>
      <c r="AJ5528" s="35"/>
      <c r="AK5528" s="35"/>
      <c r="AL5528" s="35"/>
    </row>
    <row r="5529">
      <c r="A5529" s="133"/>
      <c r="B5529" s="75" t="s">
        <v>19332</v>
      </c>
      <c r="C5529" s="77" t="s">
        <v>25991</v>
      </c>
      <c r="D5529" s="159"/>
      <c r="E5529" s="57" t="s">
        <v>26030</v>
      </c>
      <c r="F5529" s="23" t="s">
        <v>26031</v>
      </c>
      <c r="G5529" s="57">
        <v>2023.0</v>
      </c>
      <c r="H5529" s="57" t="s">
        <v>1144</v>
      </c>
      <c r="I5529" s="134" t="s">
        <v>26032</v>
      </c>
      <c r="J5529" s="23" t="s">
        <v>13500</v>
      </c>
      <c r="K5529" s="23"/>
      <c r="L5529" s="36">
        <v>660.0</v>
      </c>
      <c r="M5529" s="36"/>
      <c r="N5529" s="36"/>
      <c r="O5529" s="36" t="s">
        <v>354</v>
      </c>
      <c r="P5529" s="37"/>
      <c r="Q5529" s="36"/>
      <c r="R5529" s="36"/>
      <c r="S5529" s="36" t="s">
        <v>2099</v>
      </c>
      <c r="T5529" s="82" t="s">
        <v>26033</v>
      </c>
      <c r="U5529" s="255" t="s">
        <v>61</v>
      </c>
      <c r="V5529" s="30"/>
      <c r="W5529" s="49"/>
      <c r="X5529" s="49"/>
      <c r="Y5529" s="35"/>
      <c r="Z5529" s="35"/>
      <c r="AA5529" s="35"/>
      <c r="AB5529" s="35"/>
      <c r="AC5529" s="35"/>
      <c r="AD5529" s="35"/>
      <c r="AE5529" s="35"/>
      <c r="AF5529" s="35"/>
      <c r="AG5529" s="35"/>
      <c r="AH5529" s="35"/>
      <c r="AI5529" s="35"/>
      <c r="AJ5529" s="35"/>
      <c r="AK5529" s="35"/>
      <c r="AL5529" s="35"/>
    </row>
    <row r="5530">
      <c r="A5530" s="133"/>
      <c r="B5530" s="75" t="s">
        <v>19332</v>
      </c>
      <c r="C5530" s="77" t="s">
        <v>25991</v>
      </c>
      <c r="D5530" s="159"/>
      <c r="E5530" s="57" t="s">
        <v>26034</v>
      </c>
      <c r="F5530" s="23" t="s">
        <v>6319</v>
      </c>
      <c r="G5530" s="57">
        <v>2023.0</v>
      </c>
      <c r="H5530" s="57" t="s">
        <v>17630</v>
      </c>
      <c r="I5530" s="134" t="s">
        <v>26035</v>
      </c>
      <c r="J5530" s="23" t="s">
        <v>2273</v>
      </c>
      <c r="K5530" s="23"/>
      <c r="L5530" s="36">
        <v>1064.0</v>
      </c>
      <c r="M5530" s="36"/>
      <c r="N5530" s="36"/>
      <c r="O5530" s="36"/>
      <c r="P5530" s="37"/>
      <c r="Q5530" s="36"/>
      <c r="R5530" s="36"/>
      <c r="S5530" s="36">
        <v>4.0</v>
      </c>
      <c r="T5530" s="83" t="s">
        <v>26036</v>
      </c>
      <c r="U5530" s="255" t="s">
        <v>61</v>
      </c>
      <c r="V5530" s="30"/>
      <c r="W5530" s="49"/>
      <c r="X5530" s="49"/>
      <c r="Y5530" s="35"/>
      <c r="Z5530" s="35"/>
      <c r="AA5530" s="35"/>
      <c r="AB5530" s="35"/>
      <c r="AC5530" s="35"/>
      <c r="AD5530" s="35"/>
      <c r="AE5530" s="35"/>
      <c r="AF5530" s="35"/>
      <c r="AG5530" s="35"/>
      <c r="AH5530" s="35"/>
      <c r="AI5530" s="35"/>
      <c r="AJ5530" s="35"/>
      <c r="AK5530" s="35"/>
      <c r="AL5530" s="35"/>
    </row>
    <row r="5531">
      <c r="A5531" s="133"/>
      <c r="B5531" s="75" t="s">
        <v>19332</v>
      </c>
      <c r="C5531" s="77" t="s">
        <v>25991</v>
      </c>
      <c r="D5531" s="159"/>
      <c r="E5531" s="57" t="s">
        <v>26037</v>
      </c>
      <c r="F5531" s="23" t="s">
        <v>1808</v>
      </c>
      <c r="G5531" s="57">
        <v>2023.0</v>
      </c>
      <c r="H5531" s="57" t="s">
        <v>12502</v>
      </c>
      <c r="I5531" s="134" t="s">
        <v>26038</v>
      </c>
      <c r="J5531" s="23" t="s">
        <v>6797</v>
      </c>
      <c r="K5531" s="23" t="s">
        <v>653</v>
      </c>
      <c r="L5531" s="36" t="s">
        <v>26039</v>
      </c>
      <c r="M5531" s="36" t="s">
        <v>26040</v>
      </c>
      <c r="N5531" s="36"/>
      <c r="O5531" s="36"/>
      <c r="P5531" s="37"/>
      <c r="Q5531" s="36"/>
      <c r="R5531" s="36"/>
      <c r="S5531" s="36"/>
      <c r="T5531" s="83" t="s">
        <v>26041</v>
      </c>
      <c r="U5531" s="255" t="s">
        <v>61</v>
      </c>
      <c r="V5531" s="30"/>
      <c r="W5531" s="49"/>
      <c r="X5531" s="49"/>
      <c r="Y5531" s="35"/>
      <c r="Z5531" s="35"/>
      <c r="AA5531" s="35"/>
      <c r="AB5531" s="35"/>
      <c r="AC5531" s="35"/>
      <c r="AD5531" s="35"/>
      <c r="AE5531" s="35"/>
      <c r="AF5531" s="35"/>
      <c r="AG5531" s="35"/>
      <c r="AH5531" s="35"/>
      <c r="AI5531" s="35"/>
      <c r="AJ5531" s="35"/>
      <c r="AK5531" s="35"/>
      <c r="AL5531" s="35"/>
    </row>
    <row r="5532">
      <c r="A5532" s="133"/>
      <c r="B5532" s="75" t="s">
        <v>19332</v>
      </c>
      <c r="C5532" s="77" t="s">
        <v>25991</v>
      </c>
      <c r="D5532" s="159"/>
      <c r="E5532" s="57" t="s">
        <v>26042</v>
      </c>
      <c r="F5532" s="23" t="s">
        <v>358</v>
      </c>
      <c r="G5532" s="57">
        <v>2023.0</v>
      </c>
      <c r="H5532" s="57" t="s">
        <v>207</v>
      </c>
      <c r="I5532" s="134" t="s">
        <v>26043</v>
      </c>
      <c r="J5532" s="23" t="s">
        <v>26044</v>
      </c>
      <c r="K5532" s="23"/>
      <c r="L5532" s="36">
        <v>780.0</v>
      </c>
      <c r="M5532" s="36"/>
      <c r="N5532" s="36"/>
      <c r="O5532" s="36"/>
      <c r="P5532" s="37"/>
      <c r="Q5532" s="36"/>
      <c r="R5532" s="36"/>
      <c r="S5532" s="36" t="s">
        <v>26045</v>
      </c>
      <c r="T5532" s="83" t="s">
        <v>26046</v>
      </c>
      <c r="U5532" s="255" t="s">
        <v>61</v>
      </c>
      <c r="V5532" s="30"/>
      <c r="W5532" s="49"/>
      <c r="X5532" s="49"/>
      <c r="Y5532" s="35"/>
      <c r="Z5532" s="35"/>
      <c r="AA5532" s="35"/>
      <c r="AB5532" s="35"/>
      <c r="AC5532" s="35"/>
      <c r="AD5532" s="35"/>
      <c r="AE5532" s="35"/>
      <c r="AF5532" s="35"/>
      <c r="AG5532" s="35"/>
      <c r="AH5532" s="35"/>
      <c r="AI5532" s="35"/>
      <c r="AJ5532" s="35"/>
      <c r="AK5532" s="35"/>
      <c r="AL5532" s="35"/>
    </row>
    <row r="5533">
      <c r="A5533" s="133"/>
      <c r="B5533" s="75" t="s">
        <v>19332</v>
      </c>
      <c r="C5533" s="77" t="s">
        <v>25991</v>
      </c>
      <c r="D5533" s="159"/>
      <c r="E5533" s="57" t="s">
        <v>26047</v>
      </c>
      <c r="F5533" s="23" t="s">
        <v>2028</v>
      </c>
      <c r="G5533" s="57">
        <v>2022.0</v>
      </c>
      <c r="H5533" s="57" t="s">
        <v>12502</v>
      </c>
      <c r="I5533" s="134" t="s">
        <v>26048</v>
      </c>
      <c r="J5533" s="23" t="s">
        <v>26049</v>
      </c>
      <c r="K5533" s="23" t="s">
        <v>26050</v>
      </c>
      <c r="L5533" s="36">
        <v>780.0</v>
      </c>
      <c r="M5533" s="36">
        <v>100.0</v>
      </c>
      <c r="N5533" s="36"/>
      <c r="O5533" s="36"/>
      <c r="P5533" s="37" t="s">
        <v>17055</v>
      </c>
      <c r="Q5533" s="36"/>
      <c r="R5533" s="36"/>
      <c r="S5533" s="36" t="s">
        <v>26051</v>
      </c>
      <c r="T5533" s="83" t="s">
        <v>26052</v>
      </c>
      <c r="U5533" s="255" t="s">
        <v>61</v>
      </c>
      <c r="V5533" s="30"/>
      <c r="W5533" s="49"/>
      <c r="X5533" s="49"/>
      <c r="Y5533" s="35"/>
      <c r="Z5533" s="35"/>
      <c r="AA5533" s="35"/>
      <c r="AB5533" s="35"/>
      <c r="AC5533" s="35"/>
      <c r="AD5533" s="35"/>
      <c r="AE5533" s="35"/>
      <c r="AF5533" s="35"/>
      <c r="AG5533" s="35"/>
      <c r="AH5533" s="35"/>
      <c r="AI5533" s="35"/>
      <c r="AJ5533" s="35"/>
      <c r="AK5533" s="35"/>
      <c r="AL5533" s="35"/>
    </row>
    <row r="5534">
      <c r="A5534" s="133"/>
      <c r="B5534" s="75" t="s">
        <v>19332</v>
      </c>
      <c r="C5534" s="77" t="s">
        <v>25991</v>
      </c>
      <c r="D5534" s="159"/>
      <c r="E5534" s="57" t="s">
        <v>26053</v>
      </c>
      <c r="F5534" s="23" t="s">
        <v>1124</v>
      </c>
      <c r="G5534" s="57">
        <v>2022.0</v>
      </c>
      <c r="H5534" s="57" t="s">
        <v>1144</v>
      </c>
      <c r="I5534" s="134" t="s">
        <v>26054</v>
      </c>
      <c r="J5534" s="23" t="s">
        <v>26055</v>
      </c>
      <c r="K5534" s="23" t="s">
        <v>26056</v>
      </c>
      <c r="L5534" s="36"/>
      <c r="M5534" s="36"/>
      <c r="N5534" s="36"/>
      <c r="O5534" s="36"/>
      <c r="P5534" s="37"/>
      <c r="Q5534" s="36"/>
      <c r="R5534" s="36"/>
      <c r="S5534" s="36"/>
      <c r="T5534" s="83" t="s">
        <v>26057</v>
      </c>
      <c r="U5534" s="255" t="s">
        <v>61</v>
      </c>
      <c r="V5534" s="30" t="s">
        <v>174</v>
      </c>
      <c r="W5534" s="49"/>
      <c r="X5534" s="49"/>
      <c r="Y5534" s="35"/>
      <c r="Z5534" s="35"/>
      <c r="AA5534" s="35"/>
      <c r="AB5534" s="35"/>
      <c r="AC5534" s="35"/>
      <c r="AD5534" s="35"/>
      <c r="AE5534" s="35"/>
      <c r="AF5534" s="35"/>
      <c r="AG5534" s="35"/>
      <c r="AH5534" s="35"/>
      <c r="AI5534" s="35"/>
      <c r="AJ5534" s="35"/>
      <c r="AK5534" s="35"/>
      <c r="AL5534" s="35"/>
    </row>
    <row r="5535">
      <c r="A5535" s="133"/>
      <c r="B5535" s="75" t="s">
        <v>19332</v>
      </c>
      <c r="C5535" s="77" t="s">
        <v>25991</v>
      </c>
      <c r="D5535" s="159"/>
      <c r="E5535" s="57" t="s">
        <v>26058</v>
      </c>
      <c r="F5535" s="23" t="s">
        <v>13127</v>
      </c>
      <c r="G5535" s="57">
        <v>2022.0</v>
      </c>
      <c r="H5535" s="57" t="s">
        <v>20574</v>
      </c>
      <c r="I5535" s="134" t="s">
        <v>26059</v>
      </c>
      <c r="J5535" s="23" t="s">
        <v>649</v>
      </c>
      <c r="K5535" s="23"/>
      <c r="L5535" s="83" t="s">
        <v>26060</v>
      </c>
      <c r="U5535" s="255" t="s">
        <v>61</v>
      </c>
      <c r="V5535" s="30"/>
      <c r="W5535" s="49"/>
      <c r="X5535" s="49"/>
      <c r="Y5535" s="35"/>
      <c r="Z5535" s="35"/>
      <c r="AA5535" s="35"/>
      <c r="AB5535" s="35"/>
      <c r="AC5535" s="35"/>
      <c r="AD5535" s="35"/>
      <c r="AE5535" s="35"/>
      <c r="AF5535" s="35"/>
      <c r="AG5535" s="35"/>
      <c r="AH5535" s="35"/>
      <c r="AI5535" s="35"/>
      <c r="AJ5535" s="35"/>
      <c r="AK5535" s="35"/>
      <c r="AL5535" s="35"/>
    </row>
    <row r="5536">
      <c r="A5536" s="133"/>
      <c r="B5536" s="75" t="s">
        <v>19332</v>
      </c>
      <c r="C5536" s="77" t="s">
        <v>25991</v>
      </c>
      <c r="D5536" s="159"/>
      <c r="E5536" s="57" t="s">
        <v>26061</v>
      </c>
      <c r="F5536" s="23" t="s">
        <v>26062</v>
      </c>
      <c r="G5536" s="57">
        <v>2022.0</v>
      </c>
      <c r="H5536" s="57" t="s">
        <v>3828</v>
      </c>
      <c r="I5536" s="134" t="s">
        <v>26063</v>
      </c>
      <c r="J5536" s="23" t="s">
        <v>2141</v>
      </c>
      <c r="K5536" s="23" t="s">
        <v>26064</v>
      </c>
      <c r="L5536" s="168"/>
      <c r="M5536" s="168"/>
      <c r="N5536" s="168"/>
      <c r="O5536" s="168"/>
      <c r="P5536" s="169"/>
      <c r="Q5536" s="168"/>
      <c r="R5536" s="168"/>
      <c r="S5536" s="168"/>
      <c r="T5536" s="83" t="s">
        <v>26065</v>
      </c>
      <c r="U5536" s="255" t="s">
        <v>61</v>
      </c>
      <c r="V5536" s="30"/>
      <c r="W5536" s="49"/>
      <c r="X5536" s="49"/>
      <c r="Y5536" s="35"/>
      <c r="Z5536" s="35"/>
      <c r="AA5536" s="35"/>
      <c r="AB5536" s="35"/>
      <c r="AC5536" s="35"/>
      <c r="AD5536" s="35"/>
      <c r="AE5536" s="35"/>
      <c r="AF5536" s="35"/>
      <c r="AG5536" s="35"/>
      <c r="AH5536" s="35"/>
      <c r="AI5536" s="35"/>
      <c r="AJ5536" s="35"/>
      <c r="AK5536" s="35"/>
      <c r="AL5536" s="35"/>
    </row>
    <row r="5537">
      <c r="A5537" s="133"/>
      <c r="B5537" s="75" t="s">
        <v>19332</v>
      </c>
      <c r="C5537" s="77" t="s">
        <v>25991</v>
      </c>
      <c r="D5537" s="159"/>
      <c r="E5537" s="57" t="s">
        <v>26066</v>
      </c>
      <c r="F5537" s="23" t="s">
        <v>6233</v>
      </c>
      <c r="G5537" s="57">
        <v>2022.0</v>
      </c>
      <c r="H5537" s="57" t="s">
        <v>20265</v>
      </c>
      <c r="I5537" s="134" t="s">
        <v>26067</v>
      </c>
      <c r="J5537" s="23" t="s">
        <v>26068</v>
      </c>
      <c r="K5537" s="23"/>
      <c r="L5537" s="36"/>
      <c r="M5537" s="36"/>
      <c r="N5537" s="36"/>
      <c r="O5537" s="36"/>
      <c r="P5537" s="37"/>
      <c r="Q5537" s="36"/>
      <c r="R5537" s="36"/>
      <c r="S5537" s="36">
        <v>20.0</v>
      </c>
      <c r="T5537" s="83" t="s">
        <v>26069</v>
      </c>
      <c r="U5537" s="255" t="s">
        <v>61</v>
      </c>
      <c r="V5537" s="30" t="s">
        <v>174</v>
      </c>
      <c r="W5537" s="49"/>
      <c r="X5537" s="49"/>
      <c r="Y5537" s="35"/>
      <c r="Z5537" s="35"/>
      <c r="AA5537" s="35"/>
      <c r="AB5537" s="35"/>
      <c r="AC5537" s="35"/>
      <c r="AD5537" s="35"/>
      <c r="AE5537" s="35"/>
      <c r="AF5537" s="35"/>
      <c r="AG5537" s="35"/>
      <c r="AH5537" s="35"/>
      <c r="AI5537" s="35"/>
      <c r="AJ5537" s="35"/>
      <c r="AK5537" s="35"/>
      <c r="AL5537" s="35"/>
    </row>
    <row r="5538">
      <c r="A5538" s="133"/>
      <c r="B5538" s="75" t="s">
        <v>19332</v>
      </c>
      <c r="C5538" s="77" t="s">
        <v>25991</v>
      </c>
      <c r="D5538" s="159"/>
      <c r="E5538" s="57" t="s">
        <v>26070</v>
      </c>
      <c r="F5538" s="23" t="s">
        <v>26071</v>
      </c>
      <c r="G5538" s="57">
        <v>2022.0</v>
      </c>
      <c r="H5538" s="57" t="s">
        <v>15946</v>
      </c>
      <c r="I5538" s="134" t="s">
        <v>26072</v>
      </c>
      <c r="J5538" s="23" t="s">
        <v>26073</v>
      </c>
      <c r="K5538" s="23"/>
      <c r="L5538" s="69">
        <v>940.0</v>
      </c>
      <c r="M5538" s="69"/>
      <c r="N5538" s="69"/>
      <c r="O5538" s="69"/>
      <c r="P5538" s="69"/>
      <c r="Q5538" s="69"/>
      <c r="R5538" s="69"/>
      <c r="S5538" s="69"/>
      <c r="T5538" s="82" t="s">
        <v>26074</v>
      </c>
      <c r="U5538" s="255" t="s">
        <v>61</v>
      </c>
      <c r="V5538" s="50"/>
      <c r="W5538" s="49"/>
      <c r="X5538" s="49"/>
      <c r="Y5538" s="35"/>
      <c r="Z5538" s="35"/>
      <c r="AA5538" s="35"/>
      <c r="AB5538" s="35"/>
      <c r="AC5538" s="35"/>
      <c r="AD5538" s="35"/>
      <c r="AE5538" s="35"/>
      <c r="AF5538" s="35"/>
      <c r="AG5538" s="35"/>
      <c r="AH5538" s="35"/>
      <c r="AI5538" s="35"/>
      <c r="AJ5538" s="35"/>
      <c r="AK5538" s="35"/>
      <c r="AL5538" s="35"/>
    </row>
    <row r="5539">
      <c r="A5539" s="133"/>
      <c r="B5539" s="75" t="s">
        <v>19332</v>
      </c>
      <c r="C5539" s="77" t="s">
        <v>25991</v>
      </c>
      <c r="D5539" s="159"/>
      <c r="E5539" s="57" t="s">
        <v>5532</v>
      </c>
      <c r="F5539" s="23" t="s">
        <v>41</v>
      </c>
      <c r="G5539" s="57">
        <v>2022.0</v>
      </c>
      <c r="H5539" s="57" t="s">
        <v>91</v>
      </c>
      <c r="I5539" s="134" t="s">
        <v>26075</v>
      </c>
      <c r="J5539" s="23" t="s">
        <v>26076</v>
      </c>
      <c r="K5539" s="23" t="s">
        <v>157</v>
      </c>
      <c r="L5539" s="69" t="s">
        <v>3031</v>
      </c>
      <c r="M5539" s="69">
        <v>126.0</v>
      </c>
      <c r="N5539" s="69"/>
      <c r="O5539" s="69" t="s">
        <v>26077</v>
      </c>
      <c r="P5539" s="69"/>
      <c r="Q5539" s="69"/>
      <c r="R5539" s="69"/>
      <c r="S5539" s="69" t="s">
        <v>2302</v>
      </c>
      <c r="T5539" s="83" t="s">
        <v>26078</v>
      </c>
      <c r="U5539" s="248" t="s">
        <v>61</v>
      </c>
      <c r="V5539" s="50"/>
      <c r="W5539" s="49"/>
      <c r="X5539" s="49"/>
      <c r="Y5539" s="35"/>
      <c r="Z5539" s="35"/>
      <c r="AA5539" s="35"/>
      <c r="AB5539" s="35"/>
      <c r="AC5539" s="35"/>
      <c r="AD5539" s="35"/>
      <c r="AE5539" s="35"/>
      <c r="AF5539" s="35"/>
      <c r="AG5539" s="35"/>
      <c r="AH5539" s="35"/>
      <c r="AI5539" s="35"/>
      <c r="AJ5539" s="35"/>
      <c r="AK5539" s="35"/>
      <c r="AL5539" s="35"/>
    </row>
    <row r="5540">
      <c r="A5540" s="133"/>
      <c r="B5540" s="75" t="s">
        <v>19332</v>
      </c>
      <c r="C5540" s="77" t="s">
        <v>25991</v>
      </c>
      <c r="D5540" s="159"/>
      <c r="E5540" s="57" t="s">
        <v>11060</v>
      </c>
      <c r="F5540" s="23" t="s">
        <v>26079</v>
      </c>
      <c r="G5540" s="57">
        <v>2022.0</v>
      </c>
      <c r="H5540" s="57" t="s">
        <v>2649</v>
      </c>
      <c r="I5540" s="134" t="s">
        <v>26080</v>
      </c>
      <c r="J5540" s="23" t="s">
        <v>649</v>
      </c>
      <c r="K5540" s="23"/>
      <c r="L5540" s="86" t="s">
        <v>26081</v>
      </c>
      <c r="U5540" s="248" t="s">
        <v>61</v>
      </c>
      <c r="V5540" s="50"/>
      <c r="W5540" s="49"/>
      <c r="X5540" s="49"/>
      <c r="Y5540" s="35"/>
      <c r="Z5540" s="35"/>
      <c r="AA5540" s="35"/>
      <c r="AB5540" s="35"/>
      <c r="AC5540" s="35"/>
      <c r="AD5540" s="35"/>
      <c r="AE5540" s="35"/>
      <c r="AF5540" s="35"/>
      <c r="AG5540" s="35"/>
      <c r="AH5540" s="35"/>
      <c r="AI5540" s="35"/>
      <c r="AJ5540" s="35"/>
      <c r="AK5540" s="35"/>
      <c r="AL5540" s="35"/>
    </row>
    <row r="5541">
      <c r="A5541" s="133"/>
      <c r="B5541" s="75" t="s">
        <v>19332</v>
      </c>
      <c r="C5541" s="77" t="s">
        <v>25991</v>
      </c>
      <c r="D5541" s="159"/>
      <c r="E5541" s="57" t="s">
        <v>26082</v>
      </c>
      <c r="F5541" s="23" t="s">
        <v>26083</v>
      </c>
      <c r="G5541" s="57">
        <v>2022.0</v>
      </c>
      <c r="H5541" s="57" t="s">
        <v>16973</v>
      </c>
      <c r="I5541" s="134" t="s">
        <v>26084</v>
      </c>
      <c r="J5541" s="23" t="s">
        <v>26085</v>
      </c>
      <c r="K5541" s="23"/>
      <c r="L5541" s="36">
        <v>830.0</v>
      </c>
      <c r="M5541" s="36"/>
      <c r="N5541" s="36"/>
      <c r="O5541" s="36" t="s">
        <v>26086</v>
      </c>
      <c r="P5541" s="37" t="s">
        <v>26087</v>
      </c>
      <c r="Q5541" s="36"/>
      <c r="R5541" s="36"/>
      <c r="S5541" s="36" t="s">
        <v>24868</v>
      </c>
      <c r="T5541" s="82" t="s">
        <v>26088</v>
      </c>
      <c r="U5541" s="248" t="s">
        <v>61</v>
      </c>
      <c r="V5541" s="50"/>
      <c r="W5541" s="49"/>
      <c r="X5541" s="49"/>
      <c r="Y5541" s="35"/>
      <c r="Z5541" s="35"/>
      <c r="AA5541" s="35"/>
      <c r="AB5541" s="35"/>
      <c r="AC5541" s="35"/>
      <c r="AD5541" s="35"/>
      <c r="AE5541" s="35"/>
      <c r="AF5541" s="35"/>
      <c r="AG5541" s="35"/>
      <c r="AH5541" s="35"/>
      <c r="AI5541" s="35"/>
      <c r="AJ5541" s="35"/>
      <c r="AK5541" s="35"/>
      <c r="AL5541" s="35"/>
    </row>
    <row r="5542">
      <c r="A5542" s="18"/>
      <c r="B5542" s="75" t="s">
        <v>19332</v>
      </c>
      <c r="C5542" s="77" t="s">
        <v>25991</v>
      </c>
      <c r="D5542" s="159"/>
      <c r="E5542" s="57" t="s">
        <v>21224</v>
      </c>
      <c r="F5542" s="23" t="s">
        <v>20095</v>
      </c>
      <c r="G5542" s="57">
        <v>2022.0</v>
      </c>
      <c r="H5542" s="57" t="s">
        <v>2649</v>
      </c>
      <c r="I5542" s="134" t="s">
        <v>26089</v>
      </c>
      <c r="J5542" s="23" t="s">
        <v>1078</v>
      </c>
      <c r="K5542" s="23"/>
      <c r="L5542" s="370" t="s">
        <v>26090</v>
      </c>
      <c r="M5542" s="44"/>
      <c r="N5542" s="44"/>
      <c r="O5542" s="44"/>
      <c r="P5542" s="44"/>
      <c r="Q5542" s="44"/>
      <c r="R5542" s="44"/>
      <c r="S5542" s="44"/>
      <c r="T5542" s="45"/>
      <c r="U5542" s="248" t="s">
        <v>61</v>
      </c>
      <c r="V5542" s="50"/>
      <c r="W5542" s="49"/>
      <c r="X5542" s="49"/>
      <c r="Y5542" s="35"/>
      <c r="Z5542" s="35"/>
      <c r="AA5542" s="35"/>
      <c r="AB5542" s="35"/>
      <c r="AC5542" s="35"/>
      <c r="AD5542" s="35"/>
      <c r="AE5542" s="35"/>
      <c r="AF5542" s="35"/>
      <c r="AG5542" s="35"/>
      <c r="AH5542" s="35"/>
      <c r="AI5542" s="35"/>
      <c r="AJ5542" s="35"/>
      <c r="AK5542" s="35"/>
      <c r="AL5542" s="35"/>
    </row>
    <row r="5543">
      <c r="A5543" s="18" t="s">
        <v>38</v>
      </c>
      <c r="B5543" s="75" t="s">
        <v>19332</v>
      </c>
      <c r="C5543" s="77" t="s">
        <v>25991</v>
      </c>
      <c r="D5543" s="159"/>
      <c r="E5543" s="57" t="s">
        <v>26091</v>
      </c>
      <c r="F5543" s="23" t="s">
        <v>323</v>
      </c>
      <c r="G5543" s="57">
        <v>2022.0</v>
      </c>
      <c r="H5543" s="57" t="s">
        <v>19380</v>
      </c>
      <c r="I5543" s="134" t="s">
        <v>26092</v>
      </c>
      <c r="J5543" s="23" t="s">
        <v>26093</v>
      </c>
      <c r="K5543" s="23" t="s">
        <v>26094</v>
      </c>
      <c r="L5543" s="280">
        <v>810.0</v>
      </c>
      <c r="M5543" s="280" t="s">
        <v>26095</v>
      </c>
      <c r="N5543" s="280" t="s">
        <v>58</v>
      </c>
      <c r="O5543" s="280" t="s">
        <v>58</v>
      </c>
      <c r="P5543" s="281" t="s">
        <v>26096</v>
      </c>
      <c r="Q5543" s="280" t="s">
        <v>58</v>
      </c>
      <c r="R5543" s="280" t="s">
        <v>26097</v>
      </c>
      <c r="S5543" s="280" t="s">
        <v>21692</v>
      </c>
      <c r="T5543" s="371" t="s">
        <v>26098</v>
      </c>
      <c r="U5543" s="248" t="s">
        <v>61</v>
      </c>
      <c r="V5543" s="50"/>
      <c r="W5543" s="49"/>
      <c r="X5543" s="49"/>
      <c r="Y5543" s="35"/>
      <c r="Z5543" s="35"/>
      <c r="AA5543" s="35"/>
      <c r="AB5543" s="35"/>
      <c r="AC5543" s="35"/>
      <c r="AD5543" s="35"/>
      <c r="AE5543" s="35"/>
      <c r="AF5543" s="35"/>
      <c r="AG5543" s="35"/>
      <c r="AH5543" s="35"/>
      <c r="AI5543" s="35"/>
      <c r="AJ5543" s="35"/>
      <c r="AK5543" s="35"/>
      <c r="AL5543" s="35"/>
    </row>
    <row r="5544">
      <c r="A5544" s="133"/>
      <c r="B5544" s="75" t="s">
        <v>19332</v>
      </c>
      <c r="C5544" s="77" t="s">
        <v>25991</v>
      </c>
      <c r="D5544" s="159"/>
      <c r="E5544" s="57" t="s">
        <v>26099</v>
      </c>
      <c r="F5544" s="23" t="s">
        <v>26083</v>
      </c>
      <c r="G5544" s="57">
        <v>2022.0</v>
      </c>
      <c r="H5544" s="57" t="s">
        <v>16973</v>
      </c>
      <c r="I5544" s="134" t="s">
        <v>26100</v>
      </c>
      <c r="J5544" s="23" t="s">
        <v>1078</v>
      </c>
      <c r="K5544" s="23"/>
      <c r="L5544" s="372" t="s">
        <v>26101</v>
      </c>
      <c r="M5544" s="44"/>
      <c r="N5544" s="44"/>
      <c r="O5544" s="44"/>
      <c r="P5544" s="44"/>
      <c r="Q5544" s="44"/>
      <c r="R5544" s="44"/>
      <c r="S5544" s="44"/>
      <c r="T5544" s="45"/>
      <c r="U5544" s="248" t="s">
        <v>61</v>
      </c>
      <c r="V5544" s="50"/>
      <c r="W5544" s="49"/>
      <c r="X5544" s="49"/>
      <c r="Y5544" s="35"/>
      <c r="Z5544" s="35"/>
      <c r="AA5544" s="35"/>
      <c r="AB5544" s="35"/>
      <c r="AC5544" s="35"/>
      <c r="AD5544" s="35"/>
      <c r="AE5544" s="35"/>
      <c r="AF5544" s="35"/>
      <c r="AG5544" s="35"/>
      <c r="AH5544" s="35"/>
      <c r="AI5544" s="35"/>
      <c r="AJ5544" s="35"/>
      <c r="AK5544" s="35"/>
      <c r="AL5544" s="35"/>
    </row>
    <row r="5545">
      <c r="A5545" s="133"/>
      <c r="B5545" s="75" t="s">
        <v>19332</v>
      </c>
      <c r="C5545" s="77" t="s">
        <v>25991</v>
      </c>
      <c r="D5545" s="159"/>
      <c r="E5545" s="57" t="s">
        <v>2275</v>
      </c>
      <c r="F5545" s="23" t="s">
        <v>4491</v>
      </c>
      <c r="G5545" s="57">
        <v>2021.0</v>
      </c>
      <c r="H5545" s="57" t="s">
        <v>3828</v>
      </c>
      <c r="I5545" s="134" t="s">
        <v>26102</v>
      </c>
      <c r="J5545" s="23" t="s">
        <v>1078</v>
      </c>
      <c r="K5545" s="23"/>
      <c r="L5545" s="372" t="s">
        <v>26103</v>
      </c>
      <c r="M5545" s="44"/>
      <c r="N5545" s="44"/>
      <c r="O5545" s="44"/>
      <c r="P5545" s="44"/>
      <c r="Q5545" s="44"/>
      <c r="R5545" s="44"/>
      <c r="S5545" s="44"/>
      <c r="T5545" s="45"/>
      <c r="U5545" s="248" t="s">
        <v>61</v>
      </c>
      <c r="V5545" s="50"/>
      <c r="W5545" s="49"/>
      <c r="X5545" s="49"/>
      <c r="Y5545" s="35"/>
      <c r="Z5545" s="35"/>
      <c r="AA5545" s="35"/>
      <c r="AB5545" s="35"/>
      <c r="AC5545" s="35"/>
      <c r="AD5545" s="35"/>
      <c r="AE5545" s="35"/>
      <c r="AF5545" s="35"/>
      <c r="AG5545" s="35"/>
      <c r="AH5545" s="35"/>
      <c r="AI5545" s="35"/>
      <c r="AJ5545" s="35"/>
      <c r="AK5545" s="35"/>
      <c r="AL5545" s="35"/>
    </row>
    <row r="5546">
      <c r="A5546" s="133"/>
      <c r="B5546" s="75" t="s">
        <v>19332</v>
      </c>
      <c r="C5546" s="77" t="s">
        <v>25991</v>
      </c>
      <c r="D5546" s="159"/>
      <c r="E5546" s="57" t="s">
        <v>26104</v>
      </c>
      <c r="F5546" s="23" t="s">
        <v>26105</v>
      </c>
      <c r="G5546" s="57">
        <v>2021.0</v>
      </c>
      <c r="H5546" s="57" t="s">
        <v>26106</v>
      </c>
      <c r="I5546" s="134" t="s">
        <v>26107</v>
      </c>
      <c r="J5546" s="23" t="s">
        <v>26108</v>
      </c>
      <c r="K5546" s="23" t="s">
        <v>26109</v>
      </c>
      <c r="L5546" s="280">
        <v>940.0</v>
      </c>
      <c r="M5546" s="280"/>
      <c r="N5546" s="280"/>
      <c r="O5546" s="280">
        <v>1800.0</v>
      </c>
      <c r="P5546" s="281"/>
      <c r="Q5546" s="280" t="s">
        <v>26110</v>
      </c>
      <c r="R5546" s="280">
        <v>420.0</v>
      </c>
      <c r="S5546" s="280" t="s">
        <v>26111</v>
      </c>
      <c r="T5546" s="371" t="s">
        <v>26112</v>
      </c>
      <c r="U5546" s="248" t="s">
        <v>61</v>
      </c>
      <c r="V5546" s="50"/>
      <c r="W5546" s="49"/>
      <c r="X5546" s="49"/>
      <c r="Y5546" s="35"/>
      <c r="Z5546" s="35"/>
      <c r="AA5546" s="35"/>
      <c r="AB5546" s="35"/>
      <c r="AC5546" s="35"/>
      <c r="AD5546" s="35"/>
      <c r="AE5546" s="35"/>
      <c r="AF5546" s="35"/>
      <c r="AG5546" s="35"/>
      <c r="AH5546" s="35"/>
      <c r="AI5546" s="35"/>
      <c r="AJ5546" s="35"/>
      <c r="AK5546" s="35"/>
      <c r="AL5546" s="35"/>
    </row>
    <row r="5547">
      <c r="A5547" s="133"/>
      <c r="B5547" s="75" t="s">
        <v>19332</v>
      </c>
      <c r="C5547" s="77" t="s">
        <v>25991</v>
      </c>
      <c r="D5547" s="159"/>
      <c r="E5547" s="57" t="s">
        <v>11469</v>
      </c>
      <c r="F5547" s="23" t="s">
        <v>274</v>
      </c>
      <c r="G5547" s="57">
        <v>2021.0</v>
      </c>
      <c r="H5547" s="57" t="s">
        <v>9550</v>
      </c>
      <c r="I5547" s="134" t="s">
        <v>26113</v>
      </c>
      <c r="J5547" s="23" t="s">
        <v>26114</v>
      </c>
      <c r="K5547" s="23" t="s">
        <v>26115</v>
      </c>
      <c r="L5547" s="280" t="s">
        <v>6257</v>
      </c>
      <c r="M5547" s="280">
        <v>600.0</v>
      </c>
      <c r="N5547" s="280"/>
      <c r="O5547" s="373"/>
      <c r="P5547" s="281"/>
      <c r="Q5547" s="280"/>
      <c r="R5547" s="280"/>
      <c r="S5547" s="280"/>
      <c r="T5547" s="371" t="s">
        <v>26116</v>
      </c>
      <c r="U5547" s="248" t="s">
        <v>2360</v>
      </c>
      <c r="V5547" s="50"/>
      <c r="W5547" s="49"/>
      <c r="X5547" s="49"/>
      <c r="Y5547" s="35"/>
      <c r="Z5547" s="35"/>
      <c r="AA5547" s="35"/>
      <c r="AB5547" s="35"/>
      <c r="AC5547" s="35"/>
      <c r="AD5547" s="35"/>
      <c r="AE5547" s="35"/>
      <c r="AF5547" s="35"/>
      <c r="AG5547" s="35"/>
      <c r="AH5547" s="35"/>
      <c r="AI5547" s="35"/>
      <c r="AJ5547" s="35"/>
      <c r="AK5547" s="35"/>
      <c r="AL5547" s="35"/>
    </row>
    <row r="5548">
      <c r="A5548" s="133"/>
      <c r="B5548" s="75" t="s">
        <v>19332</v>
      </c>
      <c r="C5548" s="77" t="s">
        <v>25991</v>
      </c>
      <c r="D5548" s="159"/>
      <c r="E5548" s="57" t="s">
        <v>1101</v>
      </c>
      <c r="F5548" s="23" t="s">
        <v>237</v>
      </c>
      <c r="G5548" s="57">
        <v>2021.0</v>
      </c>
      <c r="H5548" s="57" t="s">
        <v>207</v>
      </c>
      <c r="I5548" s="134" t="s">
        <v>26117</v>
      </c>
      <c r="J5548" s="23" t="s">
        <v>55</v>
      </c>
      <c r="K5548" s="23"/>
      <c r="L5548" s="280">
        <v>808.0</v>
      </c>
      <c r="M5548" s="280">
        <v>100.0</v>
      </c>
      <c r="N5548" s="280"/>
      <c r="O5548" s="373">
        <v>44317.0</v>
      </c>
      <c r="P5548" s="281" t="s">
        <v>1529</v>
      </c>
      <c r="Q5548" s="280"/>
      <c r="R5548" s="280"/>
      <c r="S5548" s="280"/>
      <c r="T5548" s="371" t="s">
        <v>26118</v>
      </c>
      <c r="U5548" s="248" t="s">
        <v>61</v>
      </c>
      <c r="V5548" s="50"/>
      <c r="W5548" s="49"/>
      <c r="X5548" s="49"/>
      <c r="Y5548" s="35"/>
      <c r="Z5548" s="35"/>
      <c r="AA5548" s="35"/>
      <c r="AB5548" s="35"/>
      <c r="AC5548" s="35"/>
      <c r="AD5548" s="35"/>
      <c r="AE5548" s="35"/>
      <c r="AF5548" s="35"/>
      <c r="AG5548" s="35"/>
      <c r="AH5548" s="35"/>
      <c r="AI5548" s="35"/>
      <c r="AJ5548" s="35"/>
      <c r="AK5548" s="35"/>
      <c r="AL5548" s="35"/>
    </row>
    <row r="5549">
      <c r="A5549" s="133"/>
      <c r="B5549" s="75" t="s">
        <v>19332</v>
      </c>
      <c r="C5549" s="77" t="s">
        <v>25991</v>
      </c>
      <c r="D5549" s="159"/>
      <c r="E5549" s="57" t="s">
        <v>26119</v>
      </c>
      <c r="F5549" s="23" t="s">
        <v>26120</v>
      </c>
      <c r="G5549" s="57">
        <v>2021.0</v>
      </c>
      <c r="H5549" s="57" t="s">
        <v>627</v>
      </c>
      <c r="I5549" s="134" t="s">
        <v>26121</v>
      </c>
      <c r="J5549" s="22" t="s">
        <v>26122</v>
      </c>
      <c r="K5549" s="23" t="s">
        <v>26123</v>
      </c>
      <c r="L5549" s="280">
        <v>940.0</v>
      </c>
      <c r="M5549" s="280">
        <v>200.0</v>
      </c>
      <c r="N5549" s="280"/>
      <c r="O5549" s="280"/>
      <c r="P5549" s="281" t="s">
        <v>7500</v>
      </c>
      <c r="Q5549" s="280"/>
      <c r="R5549" s="280" t="s">
        <v>17175</v>
      </c>
      <c r="S5549" s="280" t="s">
        <v>17419</v>
      </c>
      <c r="T5549" s="371" t="s">
        <v>26124</v>
      </c>
      <c r="U5549" s="248" t="s">
        <v>61</v>
      </c>
      <c r="V5549" s="50"/>
      <c r="W5549" s="49"/>
      <c r="X5549" s="49"/>
      <c r="Y5549" s="35"/>
      <c r="Z5549" s="35"/>
      <c r="AA5549" s="35"/>
      <c r="AB5549" s="35"/>
      <c r="AC5549" s="35"/>
      <c r="AD5549" s="35"/>
      <c r="AE5549" s="35"/>
      <c r="AF5549" s="35"/>
      <c r="AG5549" s="35"/>
      <c r="AH5549" s="35"/>
      <c r="AI5549" s="35"/>
      <c r="AJ5549" s="35"/>
      <c r="AK5549" s="35"/>
      <c r="AL5549" s="35"/>
    </row>
    <row r="5550">
      <c r="A5550" s="133"/>
      <c r="B5550" s="75" t="s">
        <v>19332</v>
      </c>
      <c r="C5550" s="77" t="s">
        <v>25991</v>
      </c>
      <c r="D5550" s="159"/>
      <c r="E5550" s="57" t="s">
        <v>539</v>
      </c>
      <c r="F5550" s="23" t="s">
        <v>540</v>
      </c>
      <c r="G5550" s="57">
        <v>2021.0</v>
      </c>
      <c r="H5550" s="57" t="s">
        <v>4473</v>
      </c>
      <c r="I5550" s="134" t="s">
        <v>26125</v>
      </c>
      <c r="J5550" s="23" t="s">
        <v>1078</v>
      </c>
      <c r="K5550" s="23"/>
      <c r="L5550" s="374" t="s">
        <v>26126</v>
      </c>
      <c r="M5550" s="44"/>
      <c r="N5550" s="44"/>
      <c r="O5550" s="44"/>
      <c r="P5550" s="44"/>
      <c r="Q5550" s="44"/>
      <c r="R5550" s="44"/>
      <c r="S5550" s="44"/>
      <c r="T5550" s="45"/>
      <c r="U5550" s="248" t="s">
        <v>61</v>
      </c>
      <c r="V5550" s="50"/>
      <c r="W5550" s="49"/>
      <c r="X5550" s="49"/>
      <c r="Y5550" s="35"/>
      <c r="Z5550" s="35"/>
      <c r="AA5550" s="35"/>
      <c r="AB5550" s="35"/>
      <c r="AC5550" s="35"/>
      <c r="AD5550" s="35"/>
      <c r="AE5550" s="35"/>
      <c r="AF5550" s="35"/>
      <c r="AG5550" s="35"/>
      <c r="AH5550" s="35"/>
      <c r="AI5550" s="35"/>
      <c r="AJ5550" s="35"/>
      <c r="AK5550" s="35"/>
      <c r="AL5550" s="35"/>
    </row>
    <row r="5551">
      <c r="A5551" s="133"/>
      <c r="B5551" s="75" t="s">
        <v>19332</v>
      </c>
      <c r="C5551" s="77" t="s">
        <v>25991</v>
      </c>
      <c r="D5551" s="159"/>
      <c r="E5551" s="57" t="s">
        <v>5469</v>
      </c>
      <c r="F5551" s="23" t="s">
        <v>14604</v>
      </c>
      <c r="G5551" s="57">
        <v>2021.0</v>
      </c>
      <c r="H5551" s="57" t="s">
        <v>1144</v>
      </c>
      <c r="I5551" s="134" t="s">
        <v>26127</v>
      </c>
      <c r="J5551" s="23" t="s">
        <v>1078</v>
      </c>
      <c r="K5551" s="23" t="s">
        <v>294</v>
      </c>
      <c r="L5551" s="374" t="s">
        <v>26128</v>
      </c>
      <c r="M5551" s="44"/>
      <c r="N5551" s="44"/>
      <c r="O5551" s="44"/>
      <c r="P5551" s="44"/>
      <c r="Q5551" s="44"/>
      <c r="R5551" s="44"/>
      <c r="S5551" s="44"/>
      <c r="T5551" s="45"/>
      <c r="U5551" s="248" t="s">
        <v>61</v>
      </c>
      <c r="V5551" s="50"/>
      <c r="W5551" s="49"/>
      <c r="X5551" s="49"/>
      <c r="Y5551" s="35"/>
      <c r="Z5551" s="35"/>
      <c r="AA5551" s="35"/>
      <c r="AB5551" s="35"/>
      <c r="AC5551" s="35"/>
      <c r="AD5551" s="35"/>
      <c r="AE5551" s="35"/>
      <c r="AF5551" s="35"/>
      <c r="AG5551" s="35"/>
      <c r="AH5551" s="35"/>
      <c r="AI5551" s="35"/>
      <c r="AJ5551" s="35"/>
      <c r="AK5551" s="35"/>
      <c r="AL5551" s="35"/>
    </row>
    <row r="5552">
      <c r="A5552" s="133"/>
      <c r="B5552" s="75" t="s">
        <v>19332</v>
      </c>
      <c r="C5552" s="77" t="s">
        <v>25991</v>
      </c>
      <c r="D5552" s="159"/>
      <c r="E5552" s="57" t="s">
        <v>21667</v>
      </c>
      <c r="F5552" s="23" t="s">
        <v>41</v>
      </c>
      <c r="G5552" s="57">
        <v>2021.0</v>
      </c>
      <c r="H5552" s="57" t="s">
        <v>469</v>
      </c>
      <c r="I5552" s="134" t="s">
        <v>26129</v>
      </c>
      <c r="J5552" s="23" t="s">
        <v>1078</v>
      </c>
      <c r="K5552" s="23"/>
      <c r="L5552" s="374" t="s">
        <v>26130</v>
      </c>
      <c r="M5552" s="44"/>
      <c r="N5552" s="44"/>
      <c r="O5552" s="44"/>
      <c r="P5552" s="44"/>
      <c r="Q5552" s="44"/>
      <c r="R5552" s="44"/>
      <c r="S5552" s="44"/>
      <c r="T5552" s="45"/>
      <c r="U5552" s="248" t="s">
        <v>61</v>
      </c>
      <c r="V5552" s="50"/>
      <c r="W5552" s="49"/>
      <c r="X5552" s="49"/>
      <c r="Y5552" s="35"/>
      <c r="Z5552" s="35"/>
      <c r="AA5552" s="35"/>
      <c r="AB5552" s="35"/>
      <c r="AC5552" s="35"/>
      <c r="AD5552" s="35"/>
      <c r="AE5552" s="35"/>
      <c r="AF5552" s="35"/>
      <c r="AG5552" s="35"/>
      <c r="AH5552" s="35"/>
      <c r="AI5552" s="35"/>
      <c r="AJ5552" s="35"/>
      <c r="AK5552" s="35"/>
      <c r="AL5552" s="35"/>
    </row>
    <row r="5553">
      <c r="A5553" s="133"/>
      <c r="B5553" s="75" t="s">
        <v>19332</v>
      </c>
      <c r="C5553" s="77" t="s">
        <v>25991</v>
      </c>
      <c r="D5553" s="159"/>
      <c r="E5553" s="57" t="s">
        <v>13177</v>
      </c>
      <c r="F5553" s="23" t="s">
        <v>6233</v>
      </c>
      <c r="G5553" s="57">
        <v>2021.0</v>
      </c>
      <c r="H5553" s="57" t="s">
        <v>26131</v>
      </c>
      <c r="I5553" s="134" t="s">
        <v>26132</v>
      </c>
      <c r="J5553" s="23" t="s">
        <v>649</v>
      </c>
      <c r="K5553" s="23"/>
      <c r="L5553" s="374" t="s">
        <v>26133</v>
      </c>
      <c r="M5553" s="44"/>
      <c r="N5553" s="44"/>
      <c r="O5553" s="44"/>
      <c r="P5553" s="44"/>
      <c r="Q5553" s="44"/>
      <c r="R5553" s="44"/>
      <c r="S5553" s="44"/>
      <c r="T5553" s="45"/>
      <c r="U5553" s="248" t="s">
        <v>61</v>
      </c>
      <c r="V5553" s="50"/>
      <c r="W5553" s="49"/>
      <c r="X5553" s="49"/>
      <c r="Y5553" s="35"/>
      <c r="Z5553" s="35"/>
      <c r="AA5553" s="35"/>
      <c r="AB5553" s="35"/>
      <c r="AC5553" s="35"/>
      <c r="AD5553" s="35"/>
      <c r="AE5553" s="35"/>
      <c r="AF5553" s="35"/>
      <c r="AG5553" s="35"/>
      <c r="AH5553" s="35"/>
      <c r="AI5553" s="35"/>
      <c r="AJ5553" s="35"/>
      <c r="AK5553" s="35"/>
      <c r="AL5553" s="35"/>
    </row>
    <row r="5554">
      <c r="A5554" s="133"/>
      <c r="B5554" s="19" t="s">
        <v>19332</v>
      </c>
      <c r="C5554" s="20" t="s">
        <v>25991</v>
      </c>
      <c r="D5554" s="159"/>
      <c r="E5554" s="57" t="s">
        <v>543</v>
      </c>
      <c r="F5554" s="23" t="s">
        <v>26083</v>
      </c>
      <c r="G5554" s="57">
        <v>2021.0</v>
      </c>
      <c r="H5554" s="57" t="s">
        <v>16973</v>
      </c>
      <c r="I5554" s="134" t="s">
        <v>26134</v>
      </c>
      <c r="J5554" s="22" t="s">
        <v>26135</v>
      </c>
      <c r="K5554" s="23"/>
      <c r="L5554" s="280">
        <v>830.0</v>
      </c>
      <c r="M5554" s="280"/>
      <c r="N5554" s="280"/>
      <c r="O5554" s="280">
        <v>3.0</v>
      </c>
      <c r="P5554" s="281" t="s">
        <v>7303</v>
      </c>
      <c r="Q5554" s="280"/>
      <c r="R5554" s="280"/>
      <c r="S5554" s="280" t="s">
        <v>26136</v>
      </c>
      <c r="T5554" s="375" t="s">
        <v>26137</v>
      </c>
      <c r="U5554" s="248" t="s">
        <v>61</v>
      </c>
      <c r="V5554" s="30" t="s">
        <v>26138</v>
      </c>
      <c r="W5554" s="49"/>
      <c r="X5554" s="49"/>
      <c r="Y5554" s="35"/>
      <c r="Z5554" s="35"/>
      <c r="AA5554" s="35"/>
      <c r="AB5554" s="35"/>
      <c r="AC5554" s="35"/>
      <c r="AD5554" s="35"/>
      <c r="AE5554" s="35"/>
      <c r="AF5554" s="35"/>
      <c r="AG5554" s="35"/>
      <c r="AH5554" s="35"/>
      <c r="AI5554" s="35"/>
      <c r="AJ5554" s="35"/>
      <c r="AK5554" s="35"/>
      <c r="AL5554" s="35"/>
    </row>
    <row r="5555">
      <c r="A5555" s="133"/>
      <c r="B5555" s="19" t="s">
        <v>19332</v>
      </c>
      <c r="C5555" s="20" t="s">
        <v>25991</v>
      </c>
      <c r="D5555" s="159"/>
      <c r="E5555" s="57" t="s">
        <v>26139</v>
      </c>
      <c r="F5555" s="23" t="s">
        <v>217</v>
      </c>
      <c r="G5555" s="57">
        <v>2021.0</v>
      </c>
      <c r="H5555" s="57" t="s">
        <v>2181</v>
      </c>
      <c r="I5555" s="134" t="s">
        <v>26140</v>
      </c>
      <c r="J5555" s="22" t="s">
        <v>26141</v>
      </c>
      <c r="K5555" s="23"/>
      <c r="L5555" s="280">
        <v>810.0</v>
      </c>
      <c r="M5555" s="280"/>
      <c r="N5555" s="280"/>
      <c r="O5555" s="280"/>
      <c r="P5555" s="281" t="s">
        <v>82</v>
      </c>
      <c r="Q5555" s="280"/>
      <c r="R5555" s="280"/>
      <c r="S5555" s="280" t="s">
        <v>35</v>
      </c>
      <c r="T5555" s="376" t="s">
        <v>26142</v>
      </c>
      <c r="U5555" s="248" t="s">
        <v>61</v>
      </c>
      <c r="V5555" s="50"/>
      <c r="W5555" s="49"/>
      <c r="X5555" s="49"/>
      <c r="Y5555" s="35"/>
      <c r="Z5555" s="35"/>
      <c r="AA5555" s="35"/>
      <c r="AB5555" s="35"/>
      <c r="AC5555" s="35"/>
      <c r="AD5555" s="35"/>
      <c r="AE5555" s="35"/>
      <c r="AF5555" s="35"/>
      <c r="AG5555" s="35"/>
      <c r="AH5555" s="35"/>
      <c r="AI5555" s="35"/>
      <c r="AJ5555" s="35"/>
      <c r="AK5555" s="35"/>
      <c r="AL5555" s="35"/>
    </row>
    <row r="5556">
      <c r="A5556" s="133"/>
      <c r="B5556" s="19" t="s">
        <v>19332</v>
      </c>
      <c r="C5556" s="20" t="s">
        <v>25991</v>
      </c>
      <c r="D5556" s="159"/>
      <c r="E5556" s="57" t="s">
        <v>26143</v>
      </c>
      <c r="F5556" s="23" t="s">
        <v>605</v>
      </c>
      <c r="G5556" s="57">
        <v>2021.0</v>
      </c>
      <c r="H5556" s="57" t="s">
        <v>2649</v>
      </c>
      <c r="I5556" s="134" t="s">
        <v>26144</v>
      </c>
      <c r="J5556" s="22" t="s">
        <v>26145</v>
      </c>
      <c r="K5556" s="23" t="s">
        <v>26146</v>
      </c>
      <c r="L5556" s="280">
        <v>808.0</v>
      </c>
      <c r="M5556" s="280"/>
      <c r="N5556" s="280"/>
      <c r="O5556" s="280" t="s">
        <v>26147</v>
      </c>
      <c r="P5556" s="281" t="s">
        <v>95</v>
      </c>
      <c r="Q5556" s="280"/>
      <c r="R5556" s="280"/>
      <c r="S5556" s="280" t="s">
        <v>4905</v>
      </c>
      <c r="T5556" s="371" t="s">
        <v>26148</v>
      </c>
      <c r="U5556" s="248" t="s">
        <v>61</v>
      </c>
      <c r="V5556" s="50"/>
      <c r="W5556" s="49"/>
      <c r="X5556" s="49"/>
      <c r="Y5556" s="35"/>
      <c r="Z5556" s="35"/>
      <c r="AA5556" s="35"/>
      <c r="AB5556" s="35"/>
      <c r="AC5556" s="35"/>
      <c r="AD5556" s="35"/>
      <c r="AE5556" s="35"/>
      <c r="AF5556" s="35"/>
      <c r="AG5556" s="35"/>
      <c r="AH5556" s="35"/>
      <c r="AI5556" s="35"/>
      <c r="AJ5556" s="35"/>
      <c r="AK5556" s="35"/>
      <c r="AL5556" s="35"/>
    </row>
    <row r="5557">
      <c r="A5557" s="133"/>
      <c r="B5557" s="19" t="s">
        <v>19332</v>
      </c>
      <c r="C5557" s="20" t="s">
        <v>25991</v>
      </c>
      <c r="D5557" s="159"/>
      <c r="E5557" s="57" t="s">
        <v>7880</v>
      </c>
      <c r="F5557" s="23" t="s">
        <v>41</v>
      </c>
      <c r="G5557" s="57">
        <v>2021.0</v>
      </c>
      <c r="H5557" s="57" t="s">
        <v>91</v>
      </c>
      <c r="I5557" s="134" t="s">
        <v>26149</v>
      </c>
      <c r="J5557" s="22" t="s">
        <v>26150</v>
      </c>
      <c r="K5557" s="23" t="s">
        <v>157</v>
      </c>
      <c r="L5557" s="280">
        <v>880.0</v>
      </c>
      <c r="M5557" s="280"/>
      <c r="N5557" s="280"/>
      <c r="O5557" s="280" t="s">
        <v>26151</v>
      </c>
      <c r="P5557" s="281" t="s">
        <v>969</v>
      </c>
      <c r="Q5557" s="280" t="s">
        <v>26152</v>
      </c>
      <c r="R5557" s="280" t="s">
        <v>26153</v>
      </c>
      <c r="S5557" s="280" t="s">
        <v>2099</v>
      </c>
      <c r="T5557" s="371" t="s">
        <v>26154</v>
      </c>
      <c r="U5557" s="248" t="s">
        <v>61</v>
      </c>
      <c r="V5557" s="30" t="s">
        <v>26155</v>
      </c>
      <c r="W5557" s="49"/>
      <c r="X5557" s="49"/>
      <c r="Y5557" s="35"/>
      <c r="Z5557" s="35"/>
      <c r="AA5557" s="35"/>
      <c r="AB5557" s="35"/>
      <c r="AC5557" s="35"/>
      <c r="AD5557" s="35"/>
      <c r="AE5557" s="35"/>
      <c r="AF5557" s="35"/>
      <c r="AG5557" s="35"/>
      <c r="AH5557" s="35"/>
      <c r="AI5557" s="35"/>
      <c r="AJ5557" s="35"/>
      <c r="AK5557" s="35"/>
      <c r="AL5557" s="35"/>
    </row>
    <row r="5558">
      <c r="A5558" s="133"/>
      <c r="B5558" s="19" t="s">
        <v>19332</v>
      </c>
      <c r="C5558" s="20" t="s">
        <v>25991</v>
      </c>
      <c r="D5558" s="159"/>
      <c r="E5558" s="57" t="s">
        <v>26156</v>
      </c>
      <c r="F5558" s="23" t="s">
        <v>14604</v>
      </c>
      <c r="G5558" s="57">
        <v>2020.0</v>
      </c>
      <c r="H5558" s="57" t="s">
        <v>91</v>
      </c>
      <c r="I5558" s="134" t="s">
        <v>26157</v>
      </c>
      <c r="J5558" s="23" t="s">
        <v>649</v>
      </c>
      <c r="K5558" s="23"/>
      <c r="L5558" s="370" t="s">
        <v>26158</v>
      </c>
      <c r="M5558" s="44"/>
      <c r="N5558" s="44"/>
      <c r="O5558" s="44"/>
      <c r="P5558" s="44"/>
      <c r="Q5558" s="44"/>
      <c r="R5558" s="44"/>
      <c r="S5558" s="44"/>
      <c r="T5558" s="45"/>
      <c r="U5558" s="248" t="s">
        <v>61</v>
      </c>
      <c r="V5558" s="50"/>
      <c r="W5558" s="49"/>
      <c r="X5558" s="49"/>
      <c r="Y5558" s="35"/>
      <c r="Z5558" s="35"/>
      <c r="AA5558" s="35"/>
      <c r="AB5558" s="35"/>
      <c r="AC5558" s="35"/>
      <c r="AD5558" s="35"/>
      <c r="AE5558" s="35"/>
      <c r="AF5558" s="35"/>
      <c r="AG5558" s="35"/>
      <c r="AH5558" s="35"/>
      <c r="AI5558" s="35"/>
      <c r="AJ5558" s="35"/>
      <c r="AK5558" s="35"/>
      <c r="AL5558" s="35"/>
    </row>
    <row r="5559">
      <c r="A5559" s="133"/>
      <c r="B5559" s="19" t="s">
        <v>19332</v>
      </c>
      <c r="C5559" s="20" t="s">
        <v>25991</v>
      </c>
      <c r="D5559" s="159"/>
      <c r="E5559" s="57" t="s">
        <v>26159</v>
      </c>
      <c r="F5559" s="23" t="s">
        <v>1203</v>
      </c>
      <c r="G5559" s="57">
        <v>2020.0</v>
      </c>
      <c r="H5559" s="57" t="s">
        <v>2649</v>
      </c>
      <c r="I5559" s="134" t="s">
        <v>26160</v>
      </c>
      <c r="J5559" s="22" t="s">
        <v>26161</v>
      </c>
      <c r="K5559" s="23" t="s">
        <v>26162</v>
      </c>
      <c r="L5559" s="280">
        <v>808.0</v>
      </c>
      <c r="M5559" s="280">
        <v>100.0</v>
      </c>
      <c r="N5559" s="280" t="s">
        <v>58</v>
      </c>
      <c r="O5559" s="280" t="s">
        <v>58</v>
      </c>
      <c r="P5559" s="281" t="s">
        <v>6397</v>
      </c>
      <c r="Q5559" s="280" t="s">
        <v>58</v>
      </c>
      <c r="R5559" s="280" t="s">
        <v>26163</v>
      </c>
      <c r="S5559" s="280" t="s">
        <v>7730</v>
      </c>
      <c r="T5559" s="376" t="s">
        <v>26164</v>
      </c>
      <c r="U5559" s="248" t="s">
        <v>61</v>
      </c>
      <c r="V5559" s="50"/>
      <c r="W5559" s="49"/>
      <c r="X5559" s="49"/>
      <c r="Y5559" s="35"/>
      <c r="Z5559" s="35"/>
      <c r="AA5559" s="35"/>
      <c r="AB5559" s="35"/>
      <c r="AC5559" s="35"/>
      <c r="AD5559" s="35"/>
      <c r="AE5559" s="35"/>
      <c r="AF5559" s="35"/>
      <c r="AG5559" s="35"/>
      <c r="AH5559" s="35"/>
      <c r="AI5559" s="35"/>
      <c r="AJ5559" s="35"/>
      <c r="AK5559" s="35"/>
      <c r="AL5559" s="35"/>
    </row>
    <row r="5560">
      <c r="A5560" s="133"/>
      <c r="B5560" s="19" t="s">
        <v>19332</v>
      </c>
      <c r="C5560" s="20" t="s">
        <v>25991</v>
      </c>
      <c r="D5560" s="159"/>
      <c r="E5560" s="57" t="s">
        <v>26165</v>
      </c>
      <c r="F5560" s="23" t="s">
        <v>1203</v>
      </c>
      <c r="G5560" s="57">
        <v>2020.0</v>
      </c>
      <c r="H5560" s="57" t="s">
        <v>2649</v>
      </c>
      <c r="I5560" s="134" t="s">
        <v>26166</v>
      </c>
      <c r="J5560" s="22" t="s">
        <v>26167</v>
      </c>
      <c r="K5560" s="23"/>
      <c r="L5560" s="280">
        <v>808.0</v>
      </c>
      <c r="M5560" s="280">
        <v>100.0</v>
      </c>
      <c r="N5560" s="280" t="s">
        <v>58</v>
      </c>
      <c r="O5560" s="280" t="s">
        <v>58</v>
      </c>
      <c r="P5560" s="281" t="s">
        <v>6397</v>
      </c>
      <c r="Q5560" s="280" t="s">
        <v>58</v>
      </c>
      <c r="R5560" s="280" t="s">
        <v>26163</v>
      </c>
      <c r="S5560" s="280" t="s">
        <v>7730</v>
      </c>
      <c r="T5560" s="371" t="s">
        <v>26168</v>
      </c>
      <c r="U5560" s="248" t="s">
        <v>61</v>
      </c>
      <c r="V5560" s="50"/>
      <c r="W5560" s="49"/>
      <c r="X5560" s="49"/>
      <c r="Y5560" s="35"/>
      <c r="Z5560" s="35"/>
      <c r="AA5560" s="35"/>
      <c r="AB5560" s="35"/>
      <c r="AC5560" s="35"/>
      <c r="AD5560" s="35"/>
      <c r="AE5560" s="35"/>
      <c r="AF5560" s="35"/>
      <c r="AG5560" s="35"/>
      <c r="AH5560" s="35"/>
      <c r="AI5560" s="35"/>
      <c r="AJ5560" s="35"/>
      <c r="AK5560" s="35"/>
      <c r="AL5560" s="35"/>
    </row>
    <row r="5561">
      <c r="A5561" s="133"/>
      <c r="B5561" s="19" t="s">
        <v>19332</v>
      </c>
      <c r="C5561" s="20" t="s">
        <v>25991</v>
      </c>
      <c r="D5561" s="159"/>
      <c r="E5561" s="57" t="s">
        <v>26169</v>
      </c>
      <c r="F5561" s="23" t="s">
        <v>1386</v>
      </c>
      <c r="G5561" s="57">
        <v>2020.0</v>
      </c>
      <c r="H5561" s="57" t="s">
        <v>77</v>
      </c>
      <c r="I5561" s="134" t="s">
        <v>26170</v>
      </c>
      <c r="J5561" s="22" t="s">
        <v>125</v>
      </c>
      <c r="K5561" s="23"/>
      <c r="L5561" s="377" t="s">
        <v>26171</v>
      </c>
      <c r="M5561" s="44"/>
      <c r="N5561" s="44"/>
      <c r="O5561" s="44"/>
      <c r="P5561" s="44"/>
      <c r="Q5561" s="44"/>
      <c r="R5561" s="44"/>
      <c r="S5561" s="44"/>
      <c r="T5561" s="45"/>
      <c r="U5561" s="248" t="s">
        <v>61</v>
      </c>
      <c r="V5561" s="50"/>
      <c r="W5561" s="49"/>
      <c r="X5561" s="49"/>
      <c r="Y5561" s="35"/>
      <c r="Z5561" s="35"/>
      <c r="AA5561" s="35"/>
      <c r="AB5561" s="35"/>
      <c r="AC5561" s="35"/>
      <c r="AD5561" s="35"/>
      <c r="AE5561" s="35"/>
      <c r="AF5561" s="35"/>
      <c r="AG5561" s="35"/>
      <c r="AH5561" s="35"/>
      <c r="AI5561" s="35"/>
      <c r="AJ5561" s="35"/>
      <c r="AK5561" s="35"/>
      <c r="AL5561" s="35"/>
    </row>
    <row r="5562">
      <c r="A5562" s="133"/>
      <c r="B5562" s="19" t="s">
        <v>19332</v>
      </c>
      <c r="C5562" s="20" t="s">
        <v>25991</v>
      </c>
      <c r="D5562" s="159"/>
      <c r="E5562" s="57" t="s">
        <v>190</v>
      </c>
      <c r="F5562" s="23" t="s">
        <v>24876</v>
      </c>
      <c r="G5562" s="57">
        <v>2020.0</v>
      </c>
      <c r="H5562" s="57" t="s">
        <v>77</v>
      </c>
      <c r="I5562" s="134" t="s">
        <v>26172</v>
      </c>
      <c r="J5562" s="22" t="s">
        <v>26173</v>
      </c>
      <c r="K5562" s="23"/>
      <c r="L5562" s="36">
        <v>635.0</v>
      </c>
      <c r="M5562" s="36">
        <v>200.0</v>
      </c>
      <c r="N5562" s="36" t="s">
        <v>17125</v>
      </c>
      <c r="O5562" s="36" t="s">
        <v>21982</v>
      </c>
      <c r="P5562" s="37" t="s">
        <v>70</v>
      </c>
      <c r="Q5562" s="36" t="s">
        <v>26174</v>
      </c>
      <c r="R5562" s="36" t="s">
        <v>26175</v>
      </c>
      <c r="S5562" s="36" t="s">
        <v>8418</v>
      </c>
      <c r="T5562" s="371" t="s">
        <v>26176</v>
      </c>
      <c r="U5562" s="248" t="s">
        <v>61</v>
      </c>
      <c r="V5562" s="30" t="s">
        <v>26177</v>
      </c>
      <c r="W5562" s="49"/>
      <c r="X5562" s="49"/>
      <c r="Y5562" s="35"/>
      <c r="Z5562" s="35"/>
      <c r="AA5562" s="35"/>
      <c r="AB5562" s="35"/>
      <c r="AC5562" s="35"/>
      <c r="AD5562" s="35"/>
      <c r="AE5562" s="35"/>
      <c r="AF5562" s="35"/>
      <c r="AG5562" s="35"/>
      <c r="AH5562" s="35"/>
      <c r="AI5562" s="35"/>
      <c r="AJ5562" s="35"/>
      <c r="AK5562" s="35"/>
      <c r="AL5562" s="35"/>
    </row>
    <row r="5563">
      <c r="A5563" s="133"/>
      <c r="B5563" s="19" t="s">
        <v>19332</v>
      </c>
      <c r="C5563" s="20" t="s">
        <v>25991</v>
      </c>
      <c r="D5563" s="159"/>
      <c r="E5563" s="57" t="s">
        <v>26178</v>
      </c>
      <c r="F5563" s="23" t="s">
        <v>2143</v>
      </c>
      <c r="G5563" s="57">
        <v>2020.0</v>
      </c>
      <c r="H5563" s="57" t="s">
        <v>17533</v>
      </c>
      <c r="I5563" s="134" t="s">
        <v>26179</v>
      </c>
      <c r="J5563" s="23" t="s">
        <v>26180</v>
      </c>
      <c r="K5563" s="23"/>
      <c r="L5563" s="36">
        <v>672.0</v>
      </c>
      <c r="M5563" s="36">
        <v>50.0</v>
      </c>
      <c r="N5563" s="36"/>
      <c r="O5563" s="36" t="s">
        <v>26181</v>
      </c>
      <c r="P5563" s="37"/>
      <c r="Q5563" s="36"/>
      <c r="R5563" s="36" t="s">
        <v>26182</v>
      </c>
      <c r="S5563" s="36" t="s">
        <v>4387</v>
      </c>
      <c r="T5563" s="371" t="s">
        <v>26183</v>
      </c>
      <c r="U5563" s="250" t="str">
        <f>HYPERLINK("https://www.ncbi.nlm.nih.gov/pubmed/32246680","PubMed")</f>
        <v>PubMed</v>
      </c>
      <c r="V5563" s="30" t="s">
        <v>26184</v>
      </c>
      <c r="W5563" s="49"/>
      <c r="X5563" s="49"/>
      <c r="Y5563" s="35"/>
      <c r="Z5563" s="35"/>
      <c r="AA5563" s="35"/>
      <c r="AB5563" s="35"/>
      <c r="AC5563" s="35"/>
      <c r="AD5563" s="35"/>
      <c r="AE5563" s="35"/>
      <c r="AF5563" s="35"/>
      <c r="AG5563" s="35"/>
      <c r="AH5563" s="35"/>
      <c r="AI5563" s="35"/>
      <c r="AJ5563" s="35"/>
      <c r="AK5563" s="35"/>
      <c r="AL5563" s="35"/>
    </row>
    <row r="5564">
      <c r="A5564" s="133"/>
      <c r="B5564" s="19" t="s">
        <v>19332</v>
      </c>
      <c r="C5564" s="20" t="s">
        <v>25991</v>
      </c>
      <c r="D5564" s="159"/>
      <c r="E5564" s="57" t="s">
        <v>26185</v>
      </c>
      <c r="F5564" s="23" t="s">
        <v>323</v>
      </c>
      <c r="G5564" s="57">
        <v>2020.0</v>
      </c>
      <c r="H5564" s="57" t="s">
        <v>147</v>
      </c>
      <c r="I5564" s="134" t="s">
        <v>26186</v>
      </c>
      <c r="J5564" s="23" t="s">
        <v>26187</v>
      </c>
      <c r="K5564" s="23"/>
      <c r="L5564" s="36">
        <v>940.0</v>
      </c>
      <c r="M5564" s="36">
        <v>200.0</v>
      </c>
      <c r="N5564" s="36"/>
      <c r="O5564" s="36" t="s">
        <v>26188</v>
      </c>
      <c r="P5564" s="37" t="s">
        <v>7500</v>
      </c>
      <c r="Q5564" s="36" t="s">
        <v>4833</v>
      </c>
      <c r="R5564" s="36"/>
      <c r="S5564" s="36" t="s">
        <v>4701</v>
      </c>
      <c r="T5564" s="375" t="s">
        <v>26189</v>
      </c>
      <c r="U5564" s="250" t="str">
        <f>HYPERLINK("https://www.ncbi.nlm.nih.gov/pubmed/32099625","PubMed")</f>
        <v>PubMed</v>
      </c>
      <c r="V5564" s="30" t="s">
        <v>26190</v>
      </c>
      <c r="W5564" s="49"/>
      <c r="X5564" s="49"/>
      <c r="Y5564" s="35"/>
      <c r="Z5564" s="35"/>
      <c r="AA5564" s="35"/>
      <c r="AB5564" s="35"/>
      <c r="AC5564" s="35"/>
      <c r="AD5564" s="35"/>
      <c r="AE5564" s="35"/>
      <c r="AF5564" s="35"/>
      <c r="AG5564" s="35"/>
      <c r="AH5564" s="35"/>
      <c r="AI5564" s="35"/>
      <c r="AJ5564" s="35"/>
      <c r="AK5564" s="35"/>
      <c r="AL5564" s="35"/>
    </row>
    <row r="5565">
      <c r="A5565" s="40"/>
      <c r="B5565" s="19" t="s">
        <v>19332</v>
      </c>
      <c r="C5565" s="20" t="s">
        <v>25991</v>
      </c>
      <c r="D5565" s="159"/>
      <c r="E5565" s="57" t="s">
        <v>5795</v>
      </c>
      <c r="F5565" s="23" t="s">
        <v>400</v>
      </c>
      <c r="G5565" s="57">
        <v>2020.0</v>
      </c>
      <c r="H5565" s="57" t="s">
        <v>3828</v>
      </c>
      <c r="I5565" s="134" t="s">
        <v>26191</v>
      </c>
      <c r="J5565" s="23" t="s">
        <v>2141</v>
      </c>
      <c r="K5565" s="23"/>
      <c r="L5565" s="168">
        <v>808.0</v>
      </c>
      <c r="M5565" s="168"/>
      <c r="N5565" s="168"/>
      <c r="O5565" s="168"/>
      <c r="P5565" s="169"/>
      <c r="Q5565" s="168"/>
      <c r="R5565" s="168"/>
      <c r="S5565" s="168"/>
      <c r="T5565" s="378"/>
      <c r="U5565" s="250" t="str">
        <f>HYPERLINK("https://www.ncbi.nlm.nih.gov/pubmed/32150048","PubMed")</f>
        <v>PubMed</v>
      </c>
      <c r="V5565" s="50"/>
      <c r="W5565" s="49"/>
      <c r="X5565" s="49"/>
      <c r="Y5565" s="35"/>
      <c r="Z5565" s="35"/>
      <c r="AA5565" s="35"/>
      <c r="AB5565" s="35"/>
      <c r="AC5565" s="35"/>
      <c r="AD5565" s="35"/>
      <c r="AE5565" s="35"/>
      <c r="AF5565" s="35"/>
      <c r="AG5565" s="35"/>
      <c r="AH5565" s="35"/>
      <c r="AI5565" s="35"/>
      <c r="AJ5565" s="35"/>
      <c r="AK5565" s="35"/>
      <c r="AL5565" s="35"/>
    </row>
    <row r="5566">
      <c r="A5566" s="40"/>
      <c r="B5566" s="19" t="s">
        <v>19332</v>
      </c>
      <c r="C5566" s="20" t="s">
        <v>25991</v>
      </c>
      <c r="D5566" s="159"/>
      <c r="E5566" s="57" t="s">
        <v>21385</v>
      </c>
      <c r="F5566" s="23" t="s">
        <v>22416</v>
      </c>
      <c r="G5566" s="57">
        <v>2020.0</v>
      </c>
      <c r="H5566" s="57" t="s">
        <v>14619</v>
      </c>
      <c r="I5566" s="134" t="s">
        <v>26192</v>
      </c>
      <c r="J5566" s="23" t="s">
        <v>26193</v>
      </c>
      <c r="K5566" s="23"/>
      <c r="L5566" s="36">
        <v>940.0</v>
      </c>
      <c r="M5566" s="36">
        <v>300.0</v>
      </c>
      <c r="N5566" s="36"/>
      <c r="O5566" s="36"/>
      <c r="P5566" s="37" t="s">
        <v>18810</v>
      </c>
      <c r="Q5566" s="36"/>
      <c r="R5566" s="36" t="s">
        <v>16594</v>
      </c>
      <c r="S5566" s="36" t="s">
        <v>2099</v>
      </c>
      <c r="T5566" s="375" t="s">
        <v>26194</v>
      </c>
      <c r="U5566" s="248" t="s">
        <v>61</v>
      </c>
      <c r="V5566" s="50"/>
      <c r="W5566" s="49"/>
      <c r="X5566" s="49"/>
      <c r="Y5566" s="35"/>
      <c r="Z5566" s="35"/>
      <c r="AA5566" s="35"/>
      <c r="AB5566" s="35"/>
      <c r="AC5566" s="35"/>
      <c r="AD5566" s="35"/>
      <c r="AE5566" s="35"/>
      <c r="AF5566" s="35"/>
      <c r="AG5566" s="35"/>
      <c r="AH5566" s="35"/>
      <c r="AI5566" s="35"/>
      <c r="AJ5566" s="35"/>
      <c r="AK5566" s="35"/>
      <c r="AL5566" s="35"/>
    </row>
    <row r="5567">
      <c r="A5567" s="40" t="s">
        <v>181</v>
      </c>
      <c r="B5567" s="19" t="s">
        <v>19332</v>
      </c>
      <c r="C5567" s="20" t="s">
        <v>25991</v>
      </c>
      <c r="D5567" s="159"/>
      <c r="E5567" s="57" t="s">
        <v>26195</v>
      </c>
      <c r="F5567" s="23" t="s">
        <v>21019</v>
      </c>
      <c r="G5567" s="57">
        <v>2020.0</v>
      </c>
      <c r="H5567" s="57" t="s">
        <v>20265</v>
      </c>
      <c r="I5567" s="134" t="s">
        <v>26196</v>
      </c>
      <c r="J5567" s="22" t="s">
        <v>26197</v>
      </c>
      <c r="K5567" s="23"/>
      <c r="L5567" s="36">
        <v>940.0</v>
      </c>
      <c r="M5567" s="36">
        <v>7000.0</v>
      </c>
      <c r="N5567" s="36"/>
      <c r="O5567" s="36">
        <v>1500.0</v>
      </c>
      <c r="P5567" s="37" t="s">
        <v>1600</v>
      </c>
      <c r="Q5567" s="36" t="s">
        <v>26198</v>
      </c>
      <c r="R5567" s="36">
        <v>120.0</v>
      </c>
      <c r="S5567" s="36" t="s">
        <v>24868</v>
      </c>
      <c r="T5567" s="371" t="s">
        <v>26199</v>
      </c>
      <c r="U5567" s="250" t="str">
        <f>HYPERLINK("https://www.ncbi.nlm.nih.gov/pubmed/31988570","PubMed")</f>
        <v>PubMed</v>
      </c>
      <c r="V5567" s="50"/>
      <c r="W5567" s="49"/>
      <c r="X5567" s="49"/>
      <c r="Y5567" s="35"/>
      <c r="Z5567" s="35"/>
      <c r="AA5567" s="35"/>
      <c r="AB5567" s="35"/>
      <c r="AC5567" s="35"/>
      <c r="AD5567" s="35"/>
      <c r="AE5567" s="35"/>
      <c r="AF5567" s="35"/>
      <c r="AG5567" s="35"/>
      <c r="AH5567" s="35"/>
      <c r="AI5567" s="35"/>
      <c r="AJ5567" s="35"/>
      <c r="AK5567" s="35"/>
      <c r="AL5567" s="35"/>
    </row>
    <row r="5568">
      <c r="A5568" s="133"/>
      <c r="B5568" s="19" t="s">
        <v>19332</v>
      </c>
      <c r="C5568" s="20" t="s">
        <v>25991</v>
      </c>
      <c r="D5568" s="159"/>
      <c r="E5568" s="57" t="s">
        <v>26200</v>
      </c>
      <c r="F5568" s="23" t="s">
        <v>22593</v>
      </c>
      <c r="G5568" s="57">
        <v>2019.0</v>
      </c>
      <c r="H5568" s="57" t="s">
        <v>91</v>
      </c>
      <c r="I5568" s="134" t="s">
        <v>26201</v>
      </c>
      <c r="J5568" s="23" t="s">
        <v>55</v>
      </c>
      <c r="K5568" s="23"/>
      <c r="L5568" s="36">
        <v>830.0</v>
      </c>
      <c r="M5568" s="36">
        <v>30.0</v>
      </c>
      <c r="N5568" s="36" t="s">
        <v>339</v>
      </c>
      <c r="O5568" s="36"/>
      <c r="P5568" s="37" t="s">
        <v>760</v>
      </c>
      <c r="Q5568" s="36" t="s">
        <v>245</v>
      </c>
      <c r="R5568" s="36"/>
      <c r="S5568" s="36"/>
      <c r="T5568" s="371" t="s">
        <v>26202</v>
      </c>
      <c r="U5568" s="250" t="str">
        <f>HYPERLINK("https://www.ncbi.nlm.nih.gov/pubmed/31834562","PubMed")</f>
        <v>PubMed</v>
      </c>
      <c r="V5568" s="50"/>
      <c r="W5568" s="49"/>
      <c r="X5568" s="49"/>
      <c r="Y5568" s="35"/>
      <c r="Z5568" s="35"/>
      <c r="AA5568" s="35"/>
      <c r="AB5568" s="35"/>
      <c r="AC5568" s="35"/>
      <c r="AD5568" s="35"/>
      <c r="AE5568" s="35"/>
      <c r="AF5568" s="35"/>
      <c r="AG5568" s="35"/>
      <c r="AH5568" s="35"/>
      <c r="AI5568" s="35"/>
      <c r="AJ5568" s="35"/>
      <c r="AK5568" s="35"/>
      <c r="AL5568" s="35"/>
    </row>
    <row r="5569">
      <c r="A5569" s="133"/>
      <c r="B5569" s="19" t="s">
        <v>19332</v>
      </c>
      <c r="C5569" s="20" t="s">
        <v>25991</v>
      </c>
      <c r="D5569" s="159"/>
      <c r="E5569" s="57" t="s">
        <v>26203</v>
      </c>
      <c r="F5569" s="23" t="s">
        <v>26204</v>
      </c>
      <c r="G5569" s="57">
        <v>2019.0</v>
      </c>
      <c r="H5569" s="57" t="s">
        <v>658</v>
      </c>
      <c r="I5569" s="134" t="s">
        <v>26205</v>
      </c>
      <c r="J5569" s="22" t="s">
        <v>125</v>
      </c>
      <c r="K5569" s="23"/>
      <c r="L5569" s="43" t="s">
        <v>26206</v>
      </c>
      <c r="M5569" s="44"/>
      <c r="N5569" s="44"/>
      <c r="O5569" s="44"/>
      <c r="P5569" s="44"/>
      <c r="Q5569" s="44"/>
      <c r="R5569" s="44"/>
      <c r="S5569" s="44"/>
      <c r="T5569" s="45"/>
      <c r="U5569" s="250" t="str">
        <f>HYPERLINK("https://www.ncbi.nlm.nih.gov/pubmed/31770071","PubMed")</f>
        <v>PubMed</v>
      </c>
      <c r="V5569" s="50"/>
      <c r="W5569" s="49"/>
      <c r="X5569" s="49"/>
      <c r="Y5569" s="35"/>
      <c r="Z5569" s="35"/>
      <c r="AA5569" s="35"/>
      <c r="AB5569" s="35"/>
      <c r="AC5569" s="35"/>
      <c r="AD5569" s="35"/>
      <c r="AE5569" s="35"/>
      <c r="AF5569" s="35"/>
      <c r="AG5569" s="35"/>
      <c r="AH5569" s="35"/>
      <c r="AI5569" s="35"/>
      <c r="AJ5569" s="35"/>
      <c r="AK5569" s="35"/>
      <c r="AL5569" s="35"/>
    </row>
    <row r="5570">
      <c r="A5570" s="133"/>
      <c r="B5570" s="19" t="s">
        <v>19332</v>
      </c>
      <c r="C5570" s="20" t="s">
        <v>25991</v>
      </c>
      <c r="D5570" s="159"/>
      <c r="E5570" s="57" t="s">
        <v>26207</v>
      </c>
      <c r="F5570" s="23" t="s">
        <v>20564</v>
      </c>
      <c r="G5570" s="57">
        <v>2019.0</v>
      </c>
      <c r="H5570" s="57" t="s">
        <v>19380</v>
      </c>
      <c r="I5570" s="134" t="s">
        <v>26208</v>
      </c>
      <c r="J5570" s="23" t="s">
        <v>26209</v>
      </c>
      <c r="K5570" s="23" t="s">
        <v>26210</v>
      </c>
      <c r="L5570" s="36">
        <v>660.0</v>
      </c>
      <c r="M5570" s="36"/>
      <c r="N5570" s="36"/>
      <c r="O5570" s="36" t="s">
        <v>26211</v>
      </c>
      <c r="P5570" s="37"/>
      <c r="Q5570" s="36"/>
      <c r="R5570" s="36">
        <v>180.0</v>
      </c>
      <c r="S5570" s="36" t="s">
        <v>26212</v>
      </c>
      <c r="T5570" s="371" t="s">
        <v>26213</v>
      </c>
      <c r="U5570" s="250" t="str">
        <f>HYPERLINK("https://www.ncbi.nlm.nih.gov/pubmed/31723669","PubMed")</f>
        <v>PubMed</v>
      </c>
      <c r="V5570" s="30" t="s">
        <v>26214</v>
      </c>
      <c r="W5570" s="49"/>
      <c r="X5570" s="49"/>
      <c r="Y5570" s="35"/>
      <c r="Z5570" s="35"/>
      <c r="AA5570" s="35"/>
      <c r="AB5570" s="35"/>
      <c r="AC5570" s="35"/>
      <c r="AD5570" s="35"/>
      <c r="AE5570" s="35"/>
      <c r="AF5570" s="35"/>
      <c r="AG5570" s="35"/>
      <c r="AH5570" s="35"/>
      <c r="AI5570" s="35"/>
      <c r="AJ5570" s="35"/>
      <c r="AK5570" s="35"/>
      <c r="AL5570" s="35"/>
    </row>
    <row r="5571">
      <c r="A5571" s="133"/>
      <c r="B5571" s="19" t="s">
        <v>19332</v>
      </c>
      <c r="C5571" s="20" t="s">
        <v>25991</v>
      </c>
      <c r="D5571" s="159"/>
      <c r="E5571" s="57" t="s">
        <v>11469</v>
      </c>
      <c r="F5571" s="23" t="s">
        <v>41</v>
      </c>
      <c r="G5571" s="57">
        <v>2019.0</v>
      </c>
      <c r="H5571" s="57" t="s">
        <v>77</v>
      </c>
      <c r="I5571" s="134" t="s">
        <v>26215</v>
      </c>
      <c r="J5571" s="22" t="s">
        <v>26216</v>
      </c>
      <c r="K5571" s="23" t="s">
        <v>26217</v>
      </c>
      <c r="L5571" s="36">
        <v>808.0</v>
      </c>
      <c r="M5571" s="36">
        <v>100.0</v>
      </c>
      <c r="N5571" s="36" t="s">
        <v>58</v>
      </c>
      <c r="O5571" s="36" t="s">
        <v>58</v>
      </c>
      <c r="P5571" s="37" t="s">
        <v>58</v>
      </c>
      <c r="Q5571" s="36" t="s">
        <v>26218</v>
      </c>
      <c r="R5571" s="36"/>
      <c r="S5571" s="36" t="s">
        <v>2099</v>
      </c>
      <c r="T5571" s="371" t="s">
        <v>26219</v>
      </c>
      <c r="U5571" s="250" t="str">
        <f>HYPERLINK("https://www.ncbi.nlm.nih.gov/pubmed/31589559","PubMed")</f>
        <v>PubMed</v>
      </c>
      <c r="V5571" s="50"/>
      <c r="W5571" s="49"/>
      <c r="X5571" s="49"/>
      <c r="Y5571" s="35"/>
      <c r="Z5571" s="35"/>
      <c r="AA5571" s="35"/>
      <c r="AB5571" s="35"/>
      <c r="AC5571" s="35"/>
      <c r="AD5571" s="35"/>
      <c r="AE5571" s="35"/>
      <c r="AF5571" s="35"/>
      <c r="AG5571" s="35"/>
      <c r="AH5571" s="35"/>
      <c r="AI5571" s="35"/>
      <c r="AJ5571" s="35"/>
      <c r="AK5571" s="35"/>
      <c r="AL5571" s="35"/>
    </row>
    <row r="5572">
      <c r="A5572" s="133"/>
      <c r="B5572" s="19" t="s">
        <v>19332</v>
      </c>
      <c r="C5572" s="20" t="s">
        <v>25991</v>
      </c>
      <c r="D5572" s="159"/>
      <c r="E5572" s="57" t="s">
        <v>26220</v>
      </c>
      <c r="F5572" s="23" t="s">
        <v>605</v>
      </c>
      <c r="G5572" s="57">
        <v>2019.0</v>
      </c>
      <c r="H5572" s="57" t="s">
        <v>284</v>
      </c>
      <c r="I5572" s="134" t="s">
        <v>26221</v>
      </c>
      <c r="J5572" s="22" t="s">
        <v>26222</v>
      </c>
      <c r="K5572" s="23" t="s">
        <v>26223</v>
      </c>
      <c r="L5572" s="36">
        <v>1064.0</v>
      </c>
      <c r="M5572" s="36">
        <v>500.0</v>
      </c>
      <c r="N5572" s="36" t="s">
        <v>58</v>
      </c>
      <c r="O5572" s="36" t="s">
        <v>58</v>
      </c>
      <c r="P5572" s="37" t="s">
        <v>26224</v>
      </c>
      <c r="Q5572" s="36" t="s">
        <v>58</v>
      </c>
      <c r="R5572" s="36"/>
      <c r="S5572" s="36" t="s">
        <v>4905</v>
      </c>
      <c r="T5572" s="371" t="s">
        <v>26225</v>
      </c>
      <c r="U5572" s="250" t="str">
        <f>HYPERLINK("https://www.ncbi.nlm.nih.gov/pubmed/31547949","PubMed")</f>
        <v>PubMed</v>
      </c>
      <c r="V5572" s="50"/>
      <c r="W5572" s="49"/>
      <c r="X5572" s="49"/>
      <c r="Y5572" s="35"/>
      <c r="Z5572" s="35"/>
      <c r="AA5572" s="35"/>
      <c r="AB5572" s="35"/>
      <c r="AC5572" s="35"/>
      <c r="AD5572" s="35"/>
      <c r="AE5572" s="35"/>
      <c r="AF5572" s="35"/>
      <c r="AG5572" s="35"/>
      <c r="AH5572" s="35"/>
      <c r="AI5572" s="35"/>
      <c r="AJ5572" s="35"/>
      <c r="AK5572" s="35"/>
      <c r="AL5572" s="35"/>
    </row>
    <row r="5573">
      <c r="A5573" s="133"/>
      <c r="B5573" s="19" t="s">
        <v>19332</v>
      </c>
      <c r="C5573" s="20" t="s">
        <v>25991</v>
      </c>
      <c r="D5573" s="159"/>
      <c r="E5573" s="57" t="s">
        <v>529</v>
      </c>
      <c r="F5573" s="23" t="s">
        <v>358</v>
      </c>
      <c r="G5573" s="57">
        <v>2019.0</v>
      </c>
      <c r="H5573" s="57" t="s">
        <v>2649</v>
      </c>
      <c r="I5573" s="134" t="s">
        <v>26226</v>
      </c>
      <c r="J5573" s="23" t="s">
        <v>26227</v>
      </c>
      <c r="K5573" s="23"/>
      <c r="L5573" s="36">
        <v>780.0</v>
      </c>
      <c r="M5573" s="36"/>
      <c r="N5573" s="36"/>
      <c r="O5573" s="36"/>
      <c r="P5573" s="37" t="s">
        <v>26228</v>
      </c>
      <c r="Q5573" s="36"/>
      <c r="R5573" s="36"/>
      <c r="S5573" s="36" t="s">
        <v>2099</v>
      </c>
      <c r="T5573" s="376" t="s">
        <v>26229</v>
      </c>
      <c r="U5573" s="250" t="str">
        <f>HYPERLINK("https://www.ncbi.nlm.nih.gov/pubmed/31585522","PubMed")</f>
        <v>PubMed</v>
      </c>
      <c r="V5573" s="50"/>
      <c r="W5573" s="49"/>
      <c r="X5573" s="49"/>
      <c r="Y5573" s="35"/>
      <c r="Z5573" s="35"/>
      <c r="AA5573" s="35"/>
      <c r="AB5573" s="35"/>
      <c r="AC5573" s="35"/>
      <c r="AD5573" s="35"/>
      <c r="AE5573" s="35"/>
      <c r="AF5573" s="35"/>
      <c r="AG5573" s="35"/>
      <c r="AH5573" s="35"/>
      <c r="AI5573" s="35"/>
      <c r="AJ5573" s="35"/>
      <c r="AK5573" s="35"/>
      <c r="AL5573" s="35"/>
    </row>
    <row r="5574">
      <c r="A5574" s="133"/>
      <c r="B5574" s="19" t="s">
        <v>19332</v>
      </c>
      <c r="C5574" s="20" t="s">
        <v>25991</v>
      </c>
      <c r="D5574" s="159"/>
      <c r="E5574" s="57" t="s">
        <v>26230</v>
      </c>
      <c r="F5574" s="23" t="s">
        <v>11529</v>
      </c>
      <c r="G5574" s="57" t="s">
        <v>76</v>
      </c>
      <c r="H5574" s="57" t="s">
        <v>91</v>
      </c>
      <c r="I5574" s="134" t="s">
        <v>26231</v>
      </c>
      <c r="J5574" s="22" t="s">
        <v>26232</v>
      </c>
      <c r="K5574" s="23" t="s">
        <v>26233</v>
      </c>
      <c r="L5574" s="36">
        <v>810.0</v>
      </c>
      <c r="M5574" s="36">
        <v>200.0</v>
      </c>
      <c r="N5574" s="36"/>
      <c r="O5574" s="36"/>
      <c r="P5574" s="37" t="s">
        <v>3112</v>
      </c>
      <c r="Q5574" s="36" t="s">
        <v>23553</v>
      </c>
      <c r="R5574" s="36" t="s">
        <v>3744</v>
      </c>
      <c r="S5574" s="36" t="s">
        <v>7333</v>
      </c>
      <c r="T5574" s="371" t="s">
        <v>26234</v>
      </c>
      <c r="U5574" s="250" t="str">
        <f>HYPERLINK("https://www.ncbi.nlm.nih.gov/pubmed/31396794","PubMed")</f>
        <v>PubMed</v>
      </c>
      <c r="V5574" s="50"/>
      <c r="W5574" s="49"/>
      <c r="X5574" s="49"/>
      <c r="Y5574" s="35"/>
      <c r="Z5574" s="35"/>
      <c r="AA5574" s="35"/>
      <c r="AB5574" s="35"/>
      <c r="AC5574" s="35"/>
      <c r="AD5574" s="35"/>
      <c r="AE5574" s="35"/>
      <c r="AF5574" s="35"/>
      <c r="AG5574" s="35"/>
      <c r="AH5574" s="35"/>
      <c r="AI5574" s="35"/>
      <c r="AJ5574" s="35"/>
      <c r="AK5574" s="35"/>
      <c r="AL5574" s="35"/>
    </row>
    <row r="5575">
      <c r="A5575" s="18" t="s">
        <v>38</v>
      </c>
      <c r="B5575" s="19" t="s">
        <v>19332</v>
      </c>
      <c r="C5575" s="20" t="s">
        <v>25991</v>
      </c>
      <c r="D5575" s="159"/>
      <c r="E5575" s="57" t="s">
        <v>26235</v>
      </c>
      <c r="F5575" s="23" t="s">
        <v>41</v>
      </c>
      <c r="G5575" s="57">
        <v>2019.0</v>
      </c>
      <c r="H5575" s="57" t="s">
        <v>91</v>
      </c>
      <c r="I5575" s="134" t="s">
        <v>26236</v>
      </c>
      <c r="J5575" s="22" t="s">
        <v>26237</v>
      </c>
      <c r="K5575" s="23" t="s">
        <v>26238</v>
      </c>
      <c r="L5575" s="36" t="s">
        <v>194</v>
      </c>
      <c r="M5575" s="36"/>
      <c r="N5575" s="36"/>
      <c r="O5575" s="36" t="s">
        <v>26239</v>
      </c>
      <c r="P5575" s="37" t="s">
        <v>26240</v>
      </c>
      <c r="Q5575" s="36"/>
      <c r="R5575" s="36"/>
      <c r="S5575" s="36" t="s">
        <v>2302</v>
      </c>
      <c r="T5575" s="375" t="s">
        <v>26241</v>
      </c>
      <c r="U5575" s="250" t="str">
        <f>HYPERLINK("https://www.ncbi.nlm.nih.gov/pubmed/31325122","PubMed")</f>
        <v>PubMed</v>
      </c>
      <c r="V5575" s="30" t="s">
        <v>26242</v>
      </c>
      <c r="W5575" s="49"/>
      <c r="X5575" s="49"/>
      <c r="Y5575" s="35"/>
      <c r="Z5575" s="35"/>
      <c r="AA5575" s="35"/>
      <c r="AB5575" s="35"/>
      <c r="AC5575" s="35"/>
      <c r="AD5575" s="35"/>
      <c r="AE5575" s="35"/>
      <c r="AF5575" s="35"/>
      <c r="AG5575" s="35"/>
      <c r="AH5575" s="35"/>
      <c r="AI5575" s="35"/>
      <c r="AJ5575" s="35"/>
      <c r="AK5575" s="35"/>
      <c r="AL5575" s="35"/>
    </row>
    <row r="5576">
      <c r="A5576" s="133"/>
      <c r="B5576" s="19" t="s">
        <v>19332</v>
      </c>
      <c r="C5576" s="20" t="s">
        <v>25991</v>
      </c>
      <c r="D5576" s="159"/>
      <c r="E5576" s="57" t="s">
        <v>26243</v>
      </c>
      <c r="F5576" s="23" t="s">
        <v>41</v>
      </c>
      <c r="G5576" s="57" t="s">
        <v>76</v>
      </c>
      <c r="H5576" s="57" t="s">
        <v>91</v>
      </c>
      <c r="I5576" s="134" t="s">
        <v>26244</v>
      </c>
      <c r="J5576" s="23" t="s">
        <v>55</v>
      </c>
      <c r="K5576" s="23"/>
      <c r="L5576" s="36">
        <v>904.0</v>
      </c>
      <c r="M5576" s="36"/>
      <c r="N5576" s="36"/>
      <c r="O5576" s="36"/>
      <c r="P5576" s="37"/>
      <c r="Q5576" s="36"/>
      <c r="R5576" s="36"/>
      <c r="S5576" s="36"/>
      <c r="T5576" s="371" t="s">
        <v>26245</v>
      </c>
      <c r="U5576" s="250" t="str">
        <f>HYPERLINK("https://www.ncbi.nlm.nih.gov/pubmed/31292820","PubMed")</f>
        <v>PubMed</v>
      </c>
      <c r="V5576" s="30"/>
      <c r="W5576" s="49"/>
      <c r="X5576" s="49"/>
      <c r="Y5576" s="35"/>
      <c r="Z5576" s="35"/>
      <c r="AA5576" s="35"/>
      <c r="AB5576" s="35"/>
      <c r="AC5576" s="35"/>
      <c r="AD5576" s="35"/>
      <c r="AE5576" s="35"/>
      <c r="AF5576" s="35"/>
      <c r="AG5576" s="35"/>
      <c r="AH5576" s="35"/>
      <c r="AI5576" s="35"/>
      <c r="AJ5576" s="35"/>
      <c r="AK5576" s="35"/>
      <c r="AL5576" s="35"/>
    </row>
    <row r="5577">
      <c r="A5577" s="133"/>
      <c r="B5577" s="19" t="s">
        <v>19332</v>
      </c>
      <c r="C5577" s="20" t="s">
        <v>25991</v>
      </c>
      <c r="D5577" s="159"/>
      <c r="E5577" s="57" t="s">
        <v>26037</v>
      </c>
      <c r="F5577" s="23" t="s">
        <v>1808</v>
      </c>
      <c r="G5577" s="57">
        <v>2019.0</v>
      </c>
      <c r="H5577" s="57" t="s">
        <v>26246</v>
      </c>
      <c r="I5577" s="134" t="s">
        <v>26247</v>
      </c>
      <c r="J5577" s="22" t="s">
        <v>17922</v>
      </c>
      <c r="K5577" s="23" t="s">
        <v>157</v>
      </c>
      <c r="L5577" s="36">
        <v>660.0</v>
      </c>
      <c r="M5577" s="36">
        <v>1600.0</v>
      </c>
      <c r="N5577" s="36" t="s">
        <v>58</v>
      </c>
      <c r="O5577" s="36" t="s">
        <v>58</v>
      </c>
      <c r="P5577" s="37" t="s">
        <v>58</v>
      </c>
      <c r="Q5577" s="36" t="s">
        <v>58</v>
      </c>
      <c r="R5577" s="36" t="s">
        <v>26248</v>
      </c>
      <c r="S5577" s="36" t="s">
        <v>8418</v>
      </c>
      <c r="T5577" s="371" t="s">
        <v>26249</v>
      </c>
      <c r="U5577" s="250" t="str">
        <f>HYPERLINK("https://www.ncbi.nlm.nih.gov/pubmed/31205787","PubMed")</f>
        <v>PubMed</v>
      </c>
      <c r="V5577" s="30" t="s">
        <v>26250</v>
      </c>
      <c r="W5577" s="49"/>
      <c r="X5577" s="49"/>
      <c r="Y5577" s="35"/>
      <c r="Z5577" s="35"/>
      <c r="AA5577" s="35"/>
      <c r="AB5577" s="35"/>
      <c r="AC5577" s="35"/>
      <c r="AD5577" s="35"/>
      <c r="AE5577" s="35"/>
      <c r="AF5577" s="35"/>
      <c r="AG5577" s="35"/>
      <c r="AH5577" s="35"/>
      <c r="AI5577" s="35"/>
      <c r="AJ5577" s="35"/>
      <c r="AK5577" s="35"/>
      <c r="AL5577" s="35"/>
    </row>
    <row r="5578">
      <c r="A5578" s="133"/>
      <c r="B5578" s="19" t="s">
        <v>19332</v>
      </c>
      <c r="C5578" s="20" t="s">
        <v>25991</v>
      </c>
      <c r="D5578" s="159"/>
      <c r="E5578" s="57" t="s">
        <v>10513</v>
      </c>
      <c r="F5578" s="23" t="s">
        <v>12890</v>
      </c>
      <c r="G5578" s="57">
        <v>2019.0</v>
      </c>
      <c r="H5578" s="57" t="s">
        <v>14630</v>
      </c>
      <c r="I5578" s="134" t="s">
        <v>26251</v>
      </c>
      <c r="J5578" s="23" t="s">
        <v>26252</v>
      </c>
      <c r="K5578" s="23" t="s">
        <v>26253</v>
      </c>
      <c r="L5578" s="94">
        <v>904.0</v>
      </c>
      <c r="M5578" s="94">
        <v>50.0</v>
      </c>
      <c r="N5578" s="94" t="s">
        <v>58</v>
      </c>
      <c r="O5578" s="94" t="s">
        <v>58</v>
      </c>
      <c r="P5578" s="95" t="s">
        <v>254</v>
      </c>
      <c r="Q5578" s="94" t="s">
        <v>26254</v>
      </c>
      <c r="R5578" s="94" t="s">
        <v>26255</v>
      </c>
      <c r="S5578" s="94" t="s">
        <v>2799</v>
      </c>
      <c r="T5578" s="375" t="s">
        <v>26256</v>
      </c>
      <c r="U5578" s="250" t="str">
        <f>HYPERLINK("https://www.ncbi.nlm.nih.gov/pubmed/30670264","PubMed")</f>
        <v>PubMed</v>
      </c>
      <c r="V5578" s="30"/>
      <c r="W5578" s="49"/>
      <c r="X5578" s="49"/>
      <c r="Y5578" s="35"/>
      <c r="Z5578" s="35"/>
      <c r="AA5578" s="35"/>
      <c r="AB5578" s="35"/>
      <c r="AC5578" s="35"/>
      <c r="AD5578" s="35"/>
      <c r="AE5578" s="35"/>
      <c r="AF5578" s="35"/>
      <c r="AG5578" s="35"/>
      <c r="AH5578" s="35"/>
      <c r="AI5578" s="35"/>
      <c r="AJ5578" s="35"/>
      <c r="AK5578" s="35"/>
      <c r="AL5578" s="35"/>
    </row>
    <row r="5579">
      <c r="A5579" s="133"/>
      <c r="B5579" s="19" t="s">
        <v>19332</v>
      </c>
      <c r="C5579" s="20" t="s">
        <v>25991</v>
      </c>
      <c r="D5579" s="159"/>
      <c r="E5579" s="57" t="s">
        <v>18687</v>
      </c>
      <c r="F5579" s="23" t="s">
        <v>5429</v>
      </c>
      <c r="G5579" s="57">
        <v>2019.0</v>
      </c>
      <c r="H5579" s="57" t="s">
        <v>2649</v>
      </c>
      <c r="I5579" s="134" t="s">
        <v>26257</v>
      </c>
      <c r="J5579" s="22" t="s">
        <v>26258</v>
      </c>
      <c r="K5579" s="23" t="s">
        <v>26259</v>
      </c>
      <c r="L5579" s="94">
        <v>808.0</v>
      </c>
      <c r="M5579" s="94">
        <v>250.0</v>
      </c>
      <c r="N5579" s="94"/>
      <c r="O5579" s="94">
        <v>40.0</v>
      </c>
      <c r="P5579" s="95"/>
      <c r="Q5579" s="94"/>
      <c r="R5579" s="94">
        <v>480.0</v>
      </c>
      <c r="S5579" s="94" t="s">
        <v>26260</v>
      </c>
      <c r="T5579" s="375" t="s">
        <v>26261</v>
      </c>
      <c r="U5579" s="250" t="str">
        <f>HYPERLINK("https://www.ncbi.nlm.nih.gov/pubmed/30999823","PubMed")</f>
        <v>PubMed</v>
      </c>
      <c r="V5579" s="30" t="s">
        <v>26262</v>
      </c>
      <c r="W5579" s="49"/>
      <c r="X5579" s="49"/>
      <c r="Y5579" s="35"/>
      <c r="Z5579" s="35"/>
      <c r="AA5579" s="35"/>
      <c r="AB5579" s="35"/>
      <c r="AC5579" s="35"/>
      <c r="AD5579" s="35"/>
      <c r="AE5579" s="35"/>
      <c r="AF5579" s="35"/>
      <c r="AG5579" s="35"/>
      <c r="AH5579" s="35"/>
      <c r="AI5579" s="35"/>
      <c r="AJ5579" s="35"/>
      <c r="AK5579" s="35"/>
      <c r="AL5579" s="35"/>
    </row>
    <row r="5580">
      <c r="A5580" s="133"/>
      <c r="B5580" s="19" t="s">
        <v>19332</v>
      </c>
      <c r="C5580" s="20" t="s">
        <v>25991</v>
      </c>
      <c r="D5580" s="159"/>
      <c r="E5580" s="57" t="s">
        <v>17005</v>
      </c>
      <c r="F5580" s="23" t="s">
        <v>41</v>
      </c>
      <c r="G5580" s="57">
        <v>2019.0</v>
      </c>
      <c r="H5580" s="57" t="s">
        <v>2863</v>
      </c>
      <c r="I5580" s="134" t="s">
        <v>26263</v>
      </c>
      <c r="J5580" s="23" t="s">
        <v>2141</v>
      </c>
      <c r="K5580" s="23"/>
      <c r="L5580" s="168"/>
      <c r="M5580" s="168"/>
      <c r="N5580" s="168"/>
      <c r="O5580" s="168"/>
      <c r="P5580" s="169"/>
      <c r="Q5580" s="168"/>
      <c r="R5580" s="168"/>
      <c r="S5580" s="168"/>
      <c r="T5580" s="378" t="s">
        <v>26264</v>
      </c>
      <c r="U5580" s="250" t="str">
        <f>HYPERLINK("https://www.ncbi.nlm.nih.gov/pubmed/30954086","PubMed")</f>
        <v>PubMed</v>
      </c>
      <c r="V5580" s="50"/>
      <c r="W5580" s="49"/>
      <c r="X5580" s="49"/>
      <c r="Y5580" s="35"/>
      <c r="Z5580" s="35"/>
      <c r="AA5580" s="35"/>
      <c r="AB5580" s="35"/>
      <c r="AC5580" s="35"/>
      <c r="AD5580" s="35"/>
      <c r="AE5580" s="35"/>
      <c r="AF5580" s="35"/>
      <c r="AG5580" s="35"/>
      <c r="AH5580" s="35"/>
      <c r="AI5580" s="35"/>
      <c r="AJ5580" s="35"/>
      <c r="AK5580" s="35"/>
      <c r="AL5580" s="35"/>
    </row>
    <row r="5581">
      <c r="A5581" s="133"/>
      <c r="B5581" s="19" t="s">
        <v>19332</v>
      </c>
      <c r="C5581" s="20" t="s">
        <v>25991</v>
      </c>
      <c r="D5581" s="159"/>
      <c r="E5581" s="57" t="s">
        <v>12105</v>
      </c>
      <c r="F5581" s="23" t="s">
        <v>41</v>
      </c>
      <c r="G5581" s="57">
        <v>2019.0</v>
      </c>
      <c r="H5581" s="57" t="s">
        <v>3828</v>
      </c>
      <c r="I5581" s="134" t="s">
        <v>26265</v>
      </c>
      <c r="J5581" s="23" t="s">
        <v>2141</v>
      </c>
      <c r="K5581" s="23" t="s">
        <v>157</v>
      </c>
      <c r="L5581" s="168"/>
      <c r="M5581" s="168"/>
      <c r="N5581" s="168"/>
      <c r="O5581" s="168"/>
      <c r="P5581" s="169"/>
      <c r="Q5581" s="168"/>
      <c r="R5581" s="168"/>
      <c r="S5581" s="168"/>
      <c r="T5581" s="378" t="s">
        <v>26266</v>
      </c>
      <c r="U5581" s="250" t="str">
        <f>HYPERLINK("https://www.ncbi.nlm.nih.gov/pubmed/30732181","PubMed")</f>
        <v>PubMed</v>
      </c>
      <c r="V5581" s="50"/>
      <c r="W5581" s="49"/>
      <c r="X5581" s="49"/>
      <c r="Y5581" s="35"/>
      <c r="Z5581" s="35"/>
      <c r="AA5581" s="35"/>
      <c r="AB5581" s="35"/>
      <c r="AC5581" s="35"/>
      <c r="AD5581" s="35"/>
      <c r="AE5581" s="35"/>
      <c r="AF5581" s="35"/>
      <c r="AG5581" s="35"/>
      <c r="AH5581" s="35"/>
      <c r="AI5581" s="35"/>
      <c r="AJ5581" s="35"/>
      <c r="AK5581" s="35"/>
      <c r="AL5581" s="35"/>
    </row>
    <row r="5582">
      <c r="A5582" s="133"/>
      <c r="B5582" s="19" t="s">
        <v>19332</v>
      </c>
      <c r="C5582" s="20" t="s">
        <v>25991</v>
      </c>
      <c r="D5582" s="159"/>
      <c r="E5582" s="57" t="s">
        <v>10513</v>
      </c>
      <c r="F5582" s="23" t="s">
        <v>358</v>
      </c>
      <c r="G5582" s="57">
        <v>2018.0</v>
      </c>
      <c r="H5582" s="57" t="s">
        <v>2649</v>
      </c>
      <c r="I5582" s="134" t="s">
        <v>26267</v>
      </c>
      <c r="J5582" s="22" t="s">
        <v>26268</v>
      </c>
      <c r="K5582" s="23"/>
      <c r="L5582" s="36">
        <v>780.0</v>
      </c>
      <c r="M5582" s="36" t="s">
        <v>26269</v>
      </c>
      <c r="N5582" s="36"/>
      <c r="O5582" s="36"/>
      <c r="P5582" s="37" t="s">
        <v>26270</v>
      </c>
      <c r="Q5582" s="36"/>
      <c r="R5582" s="36"/>
      <c r="S5582" s="36" t="s">
        <v>2099</v>
      </c>
      <c r="T5582" s="376" t="s">
        <v>26271</v>
      </c>
      <c r="U5582" s="250" t="str">
        <f>HYPERLINK("https://www.ncbi.nlm.nih.gov/pubmed/30244669","PubMed")</f>
        <v>PubMed</v>
      </c>
      <c r="V5582" s="50"/>
      <c r="W5582" s="49"/>
      <c r="X5582" s="49"/>
      <c r="Y5582" s="35"/>
      <c r="Z5582" s="35"/>
      <c r="AA5582" s="35"/>
      <c r="AB5582" s="35"/>
      <c r="AC5582" s="35"/>
      <c r="AD5582" s="35"/>
      <c r="AE5582" s="35"/>
      <c r="AF5582" s="35"/>
      <c r="AG5582" s="35"/>
      <c r="AH5582" s="35"/>
      <c r="AI5582" s="35"/>
      <c r="AJ5582" s="35"/>
      <c r="AK5582" s="35"/>
      <c r="AL5582" s="35"/>
    </row>
    <row r="5583">
      <c r="A5583" s="133"/>
      <c r="B5583" s="19" t="s">
        <v>19332</v>
      </c>
      <c r="C5583" s="20" t="s">
        <v>25991</v>
      </c>
      <c r="D5583" s="159"/>
      <c r="E5583" s="57" t="s">
        <v>15766</v>
      </c>
      <c r="F5583" s="23" t="s">
        <v>797</v>
      </c>
      <c r="G5583" s="57">
        <v>2018.0</v>
      </c>
      <c r="H5583" s="57" t="s">
        <v>756</v>
      </c>
      <c r="I5583" s="134" t="s">
        <v>26272</v>
      </c>
      <c r="J5583" s="23" t="s">
        <v>26273</v>
      </c>
      <c r="K5583" s="23" t="s">
        <v>26274</v>
      </c>
      <c r="L5583" s="36">
        <v>808.0</v>
      </c>
      <c r="M5583" s="36">
        <v>100.0</v>
      </c>
      <c r="N5583" s="36" t="s">
        <v>13172</v>
      </c>
      <c r="O5583" s="36" t="s">
        <v>7653</v>
      </c>
      <c r="P5583" s="37" t="s">
        <v>26275</v>
      </c>
      <c r="Q5583" s="36" t="s">
        <v>13174</v>
      </c>
      <c r="R5583" s="36" t="s">
        <v>26276</v>
      </c>
      <c r="S5583" s="36" t="s">
        <v>4905</v>
      </c>
      <c r="T5583" s="375" t="s">
        <v>26277</v>
      </c>
      <c r="U5583" s="250" t="str">
        <f>HYPERLINK("https://www.ncbi.nlm.nih.gov/pubmed/29995062","PubMed")</f>
        <v>PubMed</v>
      </c>
      <c r="V5583" s="50"/>
      <c r="W5583" s="49"/>
      <c r="X5583" s="49"/>
      <c r="Y5583" s="35"/>
      <c r="Z5583" s="35"/>
      <c r="AA5583" s="35"/>
      <c r="AB5583" s="35"/>
      <c r="AC5583" s="35"/>
      <c r="AD5583" s="35"/>
      <c r="AE5583" s="35"/>
      <c r="AF5583" s="35"/>
      <c r="AG5583" s="35"/>
      <c r="AH5583" s="35"/>
      <c r="AI5583" s="35"/>
      <c r="AJ5583" s="35"/>
      <c r="AK5583" s="35"/>
      <c r="AL5583" s="35"/>
    </row>
    <row r="5584">
      <c r="A5584" s="133"/>
      <c r="B5584" s="19" t="s">
        <v>19332</v>
      </c>
      <c r="C5584" s="20" t="s">
        <v>25991</v>
      </c>
      <c r="D5584" s="159"/>
      <c r="E5584" s="57" t="s">
        <v>1369</v>
      </c>
      <c r="F5584" s="23" t="s">
        <v>7062</v>
      </c>
      <c r="G5584" s="57">
        <v>2018.0</v>
      </c>
      <c r="H5584" s="57" t="s">
        <v>13222</v>
      </c>
      <c r="I5584" s="134" t="s">
        <v>26278</v>
      </c>
      <c r="J5584" s="23" t="s">
        <v>1078</v>
      </c>
      <c r="K5584" s="23"/>
      <c r="L5584" s="43" t="s">
        <v>26279</v>
      </c>
      <c r="M5584" s="44"/>
      <c r="N5584" s="44"/>
      <c r="O5584" s="44"/>
      <c r="P5584" s="44"/>
      <c r="Q5584" s="44"/>
      <c r="R5584" s="44"/>
      <c r="S5584" s="44"/>
      <c r="T5584" s="45"/>
      <c r="U5584" s="250" t="str">
        <f>HYPERLINK("https://www.ncbi.nlm.nih.gov/pubmed/29861802","PubMed")</f>
        <v>PubMed</v>
      </c>
      <c r="V5584" s="50"/>
      <c r="W5584" s="49"/>
      <c r="X5584" s="49"/>
      <c r="Y5584" s="35"/>
      <c r="Z5584" s="35"/>
      <c r="AA5584" s="35"/>
      <c r="AB5584" s="35"/>
      <c r="AC5584" s="35"/>
      <c r="AD5584" s="35"/>
      <c r="AE5584" s="35"/>
      <c r="AF5584" s="35"/>
      <c r="AG5584" s="35"/>
      <c r="AH5584" s="35"/>
      <c r="AI5584" s="35"/>
      <c r="AJ5584" s="35"/>
      <c r="AK5584" s="35"/>
      <c r="AL5584" s="35"/>
    </row>
    <row r="5585">
      <c r="A5585" s="18" t="s">
        <v>38</v>
      </c>
      <c r="B5585" s="19" t="s">
        <v>19332</v>
      </c>
      <c r="C5585" s="20" t="s">
        <v>25991</v>
      </c>
      <c r="D5585" s="159"/>
      <c r="E5585" s="57" t="s">
        <v>26280</v>
      </c>
      <c r="F5585" s="23" t="s">
        <v>23306</v>
      </c>
      <c r="G5585" s="57">
        <v>2018.0</v>
      </c>
      <c r="H5585" s="57" t="s">
        <v>756</v>
      </c>
      <c r="I5585" s="134" t="s">
        <v>26281</v>
      </c>
      <c r="J5585" s="23" t="s">
        <v>253</v>
      </c>
      <c r="K5585" s="23"/>
      <c r="L5585" s="36">
        <v>940.0</v>
      </c>
      <c r="M5585" s="36"/>
      <c r="N5585" s="36"/>
      <c r="O5585" s="36">
        <v>45.0</v>
      </c>
      <c r="P5585" s="37" t="s">
        <v>5401</v>
      </c>
      <c r="Q5585" s="36"/>
      <c r="R5585" s="36"/>
      <c r="S5585" s="36" t="s">
        <v>1040</v>
      </c>
      <c r="T5585" s="376" t="s">
        <v>26282</v>
      </c>
      <c r="U5585" s="250" t="str">
        <f>HYPERLINK("https://www.ncbi.nlm.nih.gov/pubmed/30110088","PubMed")</f>
        <v>PubMed</v>
      </c>
      <c r="V5585" s="50"/>
      <c r="W5585" s="49"/>
      <c r="X5585" s="49"/>
      <c r="Y5585" s="35"/>
      <c r="Z5585" s="35"/>
      <c r="AA5585" s="35"/>
      <c r="AB5585" s="35"/>
      <c r="AC5585" s="35"/>
      <c r="AD5585" s="35"/>
      <c r="AE5585" s="35"/>
      <c r="AF5585" s="35"/>
      <c r="AG5585" s="35"/>
      <c r="AH5585" s="35"/>
      <c r="AI5585" s="35"/>
      <c r="AJ5585" s="35"/>
      <c r="AK5585" s="35"/>
      <c r="AL5585" s="35"/>
    </row>
    <row r="5586">
      <c r="A5586" s="133"/>
      <c r="B5586" s="19" t="s">
        <v>19332</v>
      </c>
      <c r="C5586" s="20" t="s">
        <v>25991</v>
      </c>
      <c r="D5586" s="159"/>
      <c r="E5586" s="57" t="s">
        <v>16560</v>
      </c>
      <c r="F5586" s="23" t="s">
        <v>26283</v>
      </c>
      <c r="G5586" s="57">
        <v>2018.0</v>
      </c>
      <c r="H5586" s="57" t="s">
        <v>91</v>
      </c>
      <c r="I5586" s="134" t="s">
        <v>26284</v>
      </c>
      <c r="J5586" s="22" t="s">
        <v>26285</v>
      </c>
      <c r="K5586" s="23" t="s">
        <v>1240</v>
      </c>
      <c r="L5586" s="36">
        <v>830.0</v>
      </c>
      <c r="M5586" s="36" t="s">
        <v>58</v>
      </c>
      <c r="N5586" s="36" t="s">
        <v>2325</v>
      </c>
      <c r="O5586" s="36" t="s">
        <v>58</v>
      </c>
      <c r="P5586" s="37" t="s">
        <v>26286</v>
      </c>
      <c r="Q5586" s="36" t="s">
        <v>26287</v>
      </c>
      <c r="R5586" s="36" t="s">
        <v>26288</v>
      </c>
      <c r="S5586" s="36" t="s">
        <v>17419</v>
      </c>
      <c r="T5586" s="371" t="s">
        <v>26289</v>
      </c>
      <c r="U5586" s="250" t="str">
        <f>HYPERLINK("https://www.ncbi.nlm.nih.gov/pubmed/29850961","PubMed")</f>
        <v>PubMed</v>
      </c>
      <c r="V5586" s="30" t="s">
        <v>26290</v>
      </c>
      <c r="W5586" s="49"/>
      <c r="X5586" s="49"/>
      <c r="Y5586" s="35"/>
      <c r="Z5586" s="35"/>
      <c r="AA5586" s="35"/>
      <c r="AB5586" s="35"/>
      <c r="AC5586" s="35"/>
      <c r="AD5586" s="35"/>
      <c r="AE5586" s="35"/>
      <c r="AF5586" s="35"/>
      <c r="AG5586" s="35"/>
      <c r="AH5586" s="35"/>
      <c r="AI5586" s="35"/>
      <c r="AJ5586" s="35"/>
      <c r="AK5586" s="35"/>
      <c r="AL5586" s="35"/>
    </row>
    <row r="5587">
      <c r="A5587" s="133"/>
      <c r="B5587" s="19" t="s">
        <v>19332</v>
      </c>
      <c r="C5587" s="20" t="s">
        <v>25991</v>
      </c>
      <c r="D5587" s="159"/>
      <c r="E5587" s="57" t="s">
        <v>21667</v>
      </c>
      <c r="F5587" s="23" t="s">
        <v>41</v>
      </c>
      <c r="G5587" s="57">
        <v>2018.0</v>
      </c>
      <c r="H5587" s="57" t="s">
        <v>6911</v>
      </c>
      <c r="I5587" s="134" t="s">
        <v>26291</v>
      </c>
      <c r="J5587" s="23" t="s">
        <v>2141</v>
      </c>
      <c r="K5587" s="23"/>
      <c r="L5587" s="168"/>
      <c r="M5587" s="168"/>
      <c r="N5587" s="168"/>
      <c r="O5587" s="168"/>
      <c r="P5587" s="169"/>
      <c r="Q5587" s="168"/>
      <c r="R5587" s="168"/>
      <c r="S5587" s="168"/>
      <c r="T5587" s="378" t="s">
        <v>26292</v>
      </c>
      <c r="U5587" s="250" t="str">
        <f t="shared" ref="U5587:U5588" si="2">HYPERLINK("https://www.ncbi.nlm.nih.gov/pubmed/29730613","PubMed")</f>
        <v>PubMed</v>
      </c>
      <c r="V5587" s="50"/>
      <c r="W5587" s="49"/>
      <c r="X5587" s="49"/>
      <c r="Y5587" s="35"/>
      <c r="Z5587" s="35"/>
      <c r="AA5587" s="35"/>
      <c r="AB5587" s="35"/>
      <c r="AC5587" s="35"/>
      <c r="AD5587" s="35"/>
      <c r="AE5587" s="35"/>
      <c r="AF5587" s="35"/>
      <c r="AG5587" s="35"/>
      <c r="AH5587" s="35"/>
      <c r="AI5587" s="35"/>
      <c r="AJ5587" s="35"/>
      <c r="AK5587" s="35"/>
      <c r="AL5587" s="35"/>
    </row>
    <row r="5588">
      <c r="A5588" s="133"/>
      <c r="B5588" s="19" t="s">
        <v>19332</v>
      </c>
      <c r="C5588" s="20" t="s">
        <v>25991</v>
      </c>
      <c r="D5588" s="159"/>
      <c r="E5588" s="57" t="s">
        <v>26293</v>
      </c>
      <c r="F5588" s="23" t="s">
        <v>41</v>
      </c>
      <c r="G5588" s="57">
        <v>2018.0</v>
      </c>
      <c r="H5588" s="57" t="s">
        <v>2863</v>
      </c>
      <c r="I5588" s="134" t="s">
        <v>26294</v>
      </c>
      <c r="J5588" s="23" t="s">
        <v>2141</v>
      </c>
      <c r="K5588" s="23"/>
      <c r="L5588" s="168"/>
      <c r="M5588" s="168"/>
      <c r="N5588" s="168"/>
      <c r="O5588" s="168"/>
      <c r="P5588" s="169"/>
      <c r="Q5588" s="168"/>
      <c r="R5588" s="168"/>
      <c r="S5588" s="168"/>
      <c r="T5588" s="378" t="s">
        <v>26295</v>
      </c>
      <c r="U5588" s="250" t="str">
        <f t="shared" si="2"/>
        <v>PubMed</v>
      </c>
      <c r="V5588" s="50"/>
      <c r="W5588" s="49"/>
      <c r="X5588" s="49"/>
      <c r="Y5588" s="35"/>
      <c r="Z5588" s="35"/>
      <c r="AA5588" s="35"/>
      <c r="AB5588" s="35"/>
      <c r="AC5588" s="35"/>
      <c r="AD5588" s="35"/>
      <c r="AE5588" s="35"/>
      <c r="AF5588" s="35"/>
      <c r="AG5588" s="35"/>
      <c r="AH5588" s="35"/>
      <c r="AI5588" s="35"/>
      <c r="AJ5588" s="35"/>
      <c r="AK5588" s="35"/>
      <c r="AL5588" s="35"/>
    </row>
    <row r="5589">
      <c r="A5589" s="133"/>
      <c r="B5589" s="19" t="s">
        <v>19332</v>
      </c>
      <c r="C5589" s="20" t="s">
        <v>25991</v>
      </c>
      <c r="D5589" s="159"/>
      <c r="E5589" s="57" t="s">
        <v>26296</v>
      </c>
      <c r="F5589" s="23" t="s">
        <v>41</v>
      </c>
      <c r="G5589" s="57">
        <v>2017.0</v>
      </c>
      <c r="H5589" s="57" t="s">
        <v>1958</v>
      </c>
      <c r="I5589" s="134" t="s">
        <v>26297</v>
      </c>
      <c r="J5589" s="23" t="s">
        <v>26298</v>
      </c>
      <c r="K5589" s="23"/>
      <c r="L5589" s="36">
        <v>780.0</v>
      </c>
      <c r="M5589" s="36">
        <v>50.0</v>
      </c>
      <c r="N5589" s="36" t="s">
        <v>23551</v>
      </c>
      <c r="O5589" s="36"/>
      <c r="P5589" s="37" t="s">
        <v>7604</v>
      </c>
      <c r="Q5589" s="36"/>
      <c r="R5589" s="36">
        <v>20.0</v>
      </c>
      <c r="S5589" s="36" t="s">
        <v>2688</v>
      </c>
      <c r="T5589" s="375" t="s">
        <v>26299</v>
      </c>
      <c r="U5589" s="250" t="str">
        <f>HYPERLINK("https://www.ncbi.nlm.nih.gov/pubmed/29643585","PubMed")</f>
        <v>PubMed</v>
      </c>
      <c r="V5589" s="50"/>
      <c r="W5589" s="49"/>
      <c r="X5589" s="49"/>
      <c r="Y5589" s="35"/>
      <c r="Z5589" s="35"/>
      <c r="AA5589" s="35"/>
      <c r="AB5589" s="35"/>
      <c r="AC5589" s="35"/>
      <c r="AD5589" s="35"/>
      <c r="AE5589" s="35"/>
      <c r="AF5589" s="35"/>
      <c r="AG5589" s="35"/>
      <c r="AH5589" s="35"/>
      <c r="AI5589" s="35"/>
      <c r="AJ5589" s="35"/>
      <c r="AK5589" s="35"/>
      <c r="AL5589" s="35"/>
    </row>
    <row r="5590">
      <c r="A5590" s="133"/>
      <c r="B5590" s="19" t="s">
        <v>19332</v>
      </c>
      <c r="C5590" s="20" t="s">
        <v>25991</v>
      </c>
      <c r="D5590" s="159"/>
      <c r="E5590" s="57" t="s">
        <v>21772</v>
      </c>
      <c r="F5590" s="23" t="s">
        <v>323</v>
      </c>
      <c r="G5590" s="57">
        <v>2017.0</v>
      </c>
      <c r="H5590" s="57" t="s">
        <v>147</v>
      </c>
      <c r="I5590" s="134" t="s">
        <v>26300</v>
      </c>
      <c r="J5590" s="23" t="s">
        <v>26301</v>
      </c>
      <c r="K5590" s="23" t="s">
        <v>26302</v>
      </c>
      <c r="L5590" s="36">
        <v>810.0</v>
      </c>
      <c r="M5590" s="36">
        <v>500.0</v>
      </c>
      <c r="N5590" s="36"/>
      <c r="O5590" s="36"/>
      <c r="P5590" s="37"/>
      <c r="Q5590" s="36" t="s">
        <v>26303</v>
      </c>
      <c r="R5590" s="36" t="s">
        <v>26304</v>
      </c>
      <c r="S5590" s="36" t="s">
        <v>23366</v>
      </c>
      <c r="T5590" s="371" t="s">
        <v>26305</v>
      </c>
      <c r="U5590" s="250" t="str">
        <f>HYPERLINK("https://www.ncbi.nlm.nih.gov/pubmed/29071032","PubMed")</f>
        <v>PubMed</v>
      </c>
      <c r="V5590" s="30" t="s">
        <v>26306</v>
      </c>
      <c r="W5590" s="49"/>
      <c r="X5590" s="49"/>
      <c r="Y5590" s="35"/>
      <c r="Z5590" s="35"/>
      <c r="AA5590" s="35"/>
      <c r="AB5590" s="35"/>
      <c r="AC5590" s="35"/>
      <c r="AD5590" s="35"/>
      <c r="AE5590" s="35"/>
      <c r="AF5590" s="35"/>
      <c r="AG5590" s="35"/>
      <c r="AH5590" s="35"/>
      <c r="AI5590" s="35"/>
      <c r="AJ5590" s="35"/>
      <c r="AK5590" s="35"/>
      <c r="AL5590" s="35"/>
    </row>
    <row r="5591">
      <c r="A5591" s="40" t="s">
        <v>11251</v>
      </c>
      <c r="B5591" s="19" t="s">
        <v>19332</v>
      </c>
      <c r="C5591" s="20" t="s">
        <v>25991</v>
      </c>
      <c r="D5591" s="159"/>
      <c r="E5591" s="57" t="s">
        <v>26307</v>
      </c>
      <c r="F5591" s="23" t="s">
        <v>5429</v>
      </c>
      <c r="G5591" s="57">
        <v>2017.0</v>
      </c>
      <c r="H5591" s="57" t="s">
        <v>25774</v>
      </c>
      <c r="I5591" s="134" t="s">
        <v>26308</v>
      </c>
      <c r="J5591" s="23" t="s">
        <v>26309</v>
      </c>
      <c r="K5591" s="23"/>
      <c r="L5591" s="36">
        <v>830.0</v>
      </c>
      <c r="M5591" s="36">
        <v>40.0</v>
      </c>
      <c r="N5591" s="36" t="s">
        <v>58</v>
      </c>
      <c r="O5591" s="36" t="s">
        <v>58</v>
      </c>
      <c r="P5591" s="37" t="s">
        <v>58</v>
      </c>
      <c r="Q5591" s="36" t="s">
        <v>58</v>
      </c>
      <c r="R5591" s="36" t="s">
        <v>26310</v>
      </c>
      <c r="S5591" s="36" t="s">
        <v>2688</v>
      </c>
      <c r="T5591" s="371" t="s">
        <v>26311</v>
      </c>
      <c r="U5591" s="248" t="s">
        <v>61</v>
      </c>
      <c r="V5591" s="30" t="s">
        <v>26312</v>
      </c>
      <c r="W5591" s="49"/>
      <c r="X5591" s="49"/>
      <c r="Y5591" s="35"/>
      <c r="Z5591" s="35"/>
      <c r="AA5591" s="35"/>
      <c r="AB5591" s="35"/>
      <c r="AC5591" s="35"/>
      <c r="AD5591" s="35"/>
      <c r="AE5591" s="35"/>
      <c r="AF5591" s="35"/>
      <c r="AG5591" s="35"/>
      <c r="AH5591" s="35"/>
      <c r="AI5591" s="35"/>
      <c r="AJ5591" s="35"/>
      <c r="AK5591" s="35"/>
      <c r="AL5591" s="35"/>
    </row>
    <row r="5592">
      <c r="A5592" s="133"/>
      <c r="B5592" s="19" t="s">
        <v>19332</v>
      </c>
      <c r="C5592" s="20" t="s">
        <v>25991</v>
      </c>
      <c r="D5592" s="159"/>
      <c r="E5592" s="57" t="s">
        <v>26313</v>
      </c>
      <c r="F5592" s="23" t="s">
        <v>697</v>
      </c>
      <c r="G5592" s="57">
        <v>2017.0</v>
      </c>
      <c r="H5592" s="57" t="s">
        <v>19588</v>
      </c>
      <c r="I5592" s="134" t="s">
        <v>26314</v>
      </c>
      <c r="J5592" s="23" t="s">
        <v>26315</v>
      </c>
      <c r="K5592" s="23" t="s">
        <v>26316</v>
      </c>
      <c r="L5592" s="36">
        <v>980.0</v>
      </c>
      <c r="M5592" s="36">
        <v>200.0</v>
      </c>
      <c r="N5592" s="36" t="s">
        <v>58</v>
      </c>
      <c r="O5592" s="36" t="s">
        <v>58</v>
      </c>
      <c r="P5592" s="37" t="s">
        <v>432</v>
      </c>
      <c r="Q5592" s="36" t="s">
        <v>58</v>
      </c>
      <c r="R5592" s="36">
        <v>150.0</v>
      </c>
      <c r="S5592" s="36" t="s">
        <v>23274</v>
      </c>
      <c r="T5592" s="375" t="s">
        <v>26317</v>
      </c>
      <c r="U5592" s="250" t="str">
        <f>HYPERLINK("https://www.ncbi.nlm.nih.gov/pubmed/29034273","PubMed")</f>
        <v>PubMed</v>
      </c>
      <c r="V5592" s="30" t="s">
        <v>26318</v>
      </c>
      <c r="W5592" s="49"/>
      <c r="X5592" s="49"/>
      <c r="Y5592" s="35"/>
      <c r="Z5592" s="35"/>
      <c r="AA5592" s="35"/>
      <c r="AB5592" s="35"/>
      <c r="AC5592" s="35"/>
      <c r="AD5592" s="35"/>
      <c r="AE5592" s="35"/>
      <c r="AF5592" s="35"/>
      <c r="AG5592" s="35"/>
      <c r="AH5592" s="35"/>
      <c r="AI5592" s="35"/>
      <c r="AJ5592" s="35"/>
      <c r="AK5592" s="35"/>
      <c r="AL5592" s="35"/>
    </row>
    <row r="5593">
      <c r="A5593" s="133"/>
      <c r="B5593" s="19" t="s">
        <v>19332</v>
      </c>
      <c r="C5593" s="20" t="s">
        <v>25991</v>
      </c>
      <c r="D5593" s="159"/>
      <c r="E5593" s="57" t="s">
        <v>529</v>
      </c>
      <c r="F5593" s="23" t="s">
        <v>358</v>
      </c>
      <c r="G5593" s="57" t="s">
        <v>90</v>
      </c>
      <c r="H5593" s="57" t="s">
        <v>91</v>
      </c>
      <c r="I5593" s="134" t="s">
        <v>26319</v>
      </c>
      <c r="J5593" s="22" t="s">
        <v>26320</v>
      </c>
      <c r="K5593" s="23"/>
      <c r="L5593" s="36">
        <v>780.0</v>
      </c>
      <c r="M5593" s="36">
        <v>20.0</v>
      </c>
      <c r="N5593" s="36" t="s">
        <v>4163</v>
      </c>
      <c r="O5593" s="36"/>
      <c r="P5593" s="37" t="s">
        <v>26321</v>
      </c>
      <c r="Q5593" s="36"/>
      <c r="R5593" s="36"/>
      <c r="S5593" s="36" t="s">
        <v>2099</v>
      </c>
      <c r="T5593" s="376" t="s">
        <v>26322</v>
      </c>
      <c r="U5593" s="250" t="str">
        <f>HYPERLINK("https://www.ncbi.nlm.nih.gov/pubmed/29209867","PubMed")</f>
        <v>PubMed</v>
      </c>
      <c r="V5593" s="50"/>
      <c r="W5593" s="49"/>
      <c r="X5593" s="49"/>
      <c r="Y5593" s="35"/>
      <c r="Z5593" s="35"/>
      <c r="AA5593" s="35"/>
      <c r="AB5593" s="35"/>
      <c r="AC5593" s="35"/>
      <c r="AD5593" s="35"/>
      <c r="AE5593" s="35"/>
      <c r="AF5593" s="35"/>
      <c r="AG5593" s="35"/>
      <c r="AH5593" s="35"/>
      <c r="AI5593" s="35"/>
      <c r="AJ5593" s="35"/>
      <c r="AK5593" s="35"/>
      <c r="AL5593" s="35"/>
    </row>
    <row r="5594">
      <c r="A5594" s="133"/>
      <c r="B5594" s="19" t="s">
        <v>19332</v>
      </c>
      <c r="C5594" s="20" t="s">
        <v>25991</v>
      </c>
      <c r="D5594" s="159"/>
      <c r="E5594" s="57" t="s">
        <v>26323</v>
      </c>
      <c r="F5594" s="23" t="s">
        <v>26324</v>
      </c>
      <c r="G5594" s="57">
        <v>2017.0</v>
      </c>
      <c r="H5594" s="57" t="s">
        <v>17533</v>
      </c>
      <c r="I5594" s="134" t="s">
        <v>26325</v>
      </c>
      <c r="J5594" s="22" t="s">
        <v>26326</v>
      </c>
      <c r="K5594" s="23"/>
      <c r="L5594" s="36">
        <v>810.0</v>
      </c>
      <c r="M5594" s="36">
        <v>100.0</v>
      </c>
      <c r="N5594" s="36"/>
      <c r="O5594" s="36"/>
      <c r="P5594" s="37" t="s">
        <v>82</v>
      </c>
      <c r="Q5594" s="36" t="s">
        <v>26327</v>
      </c>
      <c r="R5594" s="36">
        <v>60.0</v>
      </c>
      <c r="S5594" s="36" t="s">
        <v>26328</v>
      </c>
      <c r="T5594" s="376" t="s">
        <v>26329</v>
      </c>
      <c r="U5594" s="250" t="str">
        <f>HYPERLINK("https://www.ncbi.nlm.nih.gov/pubmed/28836528","PubMed")</f>
        <v>PubMed</v>
      </c>
      <c r="V5594" s="50"/>
      <c r="W5594" s="49"/>
      <c r="X5594" s="49"/>
      <c r="Y5594" s="35"/>
      <c r="Z5594" s="35"/>
      <c r="AA5594" s="35"/>
      <c r="AB5594" s="35"/>
      <c r="AC5594" s="35"/>
      <c r="AD5594" s="35"/>
      <c r="AE5594" s="35"/>
      <c r="AF5594" s="35"/>
      <c r="AG5594" s="35"/>
      <c r="AH5594" s="35"/>
      <c r="AI5594" s="35"/>
      <c r="AJ5594" s="35"/>
      <c r="AK5594" s="35"/>
      <c r="AL5594" s="35"/>
    </row>
    <row r="5595">
      <c r="A5595" s="1"/>
      <c r="B5595" s="19" t="s">
        <v>19332</v>
      </c>
      <c r="C5595" s="20" t="s">
        <v>25991</v>
      </c>
      <c r="D5595" s="47"/>
      <c r="E5595" s="22" t="s">
        <v>26235</v>
      </c>
      <c r="F5595" s="22" t="s">
        <v>41</v>
      </c>
      <c r="G5595" s="57">
        <v>2017.0</v>
      </c>
      <c r="H5595" s="57" t="s">
        <v>13115</v>
      </c>
      <c r="I5595" s="24" t="s">
        <v>26330</v>
      </c>
      <c r="J5595" s="22" t="s">
        <v>26331</v>
      </c>
      <c r="K5595" s="22"/>
      <c r="L5595" s="36" t="s">
        <v>26332</v>
      </c>
      <c r="M5595" s="36"/>
      <c r="N5595" s="36"/>
      <c r="O5595" s="36" t="s">
        <v>26333</v>
      </c>
      <c r="P5595" s="37"/>
      <c r="Q5595" s="36"/>
      <c r="R5595" s="36"/>
      <c r="S5595" s="36">
        <v>1.0</v>
      </c>
      <c r="T5595" s="104" t="s">
        <v>26334</v>
      </c>
      <c r="U5595" s="38" t="str">
        <f>HYPERLINK("https://www.ncbi.nlm.nih.gov/pubmed/28602137","PubMed")</f>
        <v>PubMed</v>
      </c>
      <c r="V5595" s="30"/>
      <c r="W5595" s="49"/>
      <c r="X5595" s="49"/>
      <c r="Y5595" s="35"/>
      <c r="Z5595" s="35"/>
      <c r="AA5595" s="35"/>
      <c r="AB5595" s="35"/>
      <c r="AC5595" s="35"/>
      <c r="AD5595" s="35"/>
      <c r="AE5595" s="35"/>
      <c r="AF5595" s="35"/>
      <c r="AG5595" s="35"/>
      <c r="AH5595" s="35"/>
      <c r="AI5595" s="35"/>
      <c r="AJ5595" s="35"/>
      <c r="AK5595" s="35"/>
      <c r="AL5595" s="35"/>
    </row>
    <row r="5596">
      <c r="A5596" s="1"/>
      <c r="B5596" s="19" t="s">
        <v>19332</v>
      </c>
      <c r="C5596" s="20" t="s">
        <v>25991</v>
      </c>
      <c r="D5596" s="47"/>
      <c r="E5596" s="22" t="s">
        <v>26335</v>
      </c>
      <c r="F5596" s="22" t="s">
        <v>26336</v>
      </c>
      <c r="G5596" s="57">
        <v>2016.0</v>
      </c>
      <c r="H5596" s="57" t="s">
        <v>7541</v>
      </c>
      <c r="I5596" s="24" t="s">
        <v>26337</v>
      </c>
      <c r="J5596" s="22" t="s">
        <v>649</v>
      </c>
      <c r="K5596" s="22"/>
      <c r="L5596" s="167" t="s">
        <v>26338</v>
      </c>
      <c r="M5596" s="44"/>
      <c r="N5596" s="44"/>
      <c r="O5596" s="44"/>
      <c r="P5596" s="44"/>
      <c r="Q5596" s="44"/>
      <c r="R5596" s="44"/>
      <c r="S5596" s="44"/>
      <c r="T5596" s="45"/>
      <c r="U5596" s="38" t="str">
        <f>HYPERLINK("https://www.ncbi.nlm.nih.gov/pubmed/28163481","PubMed")</f>
        <v>PubMed</v>
      </c>
      <c r="V5596" s="30"/>
      <c r="W5596" s="49"/>
      <c r="X5596" s="49"/>
      <c r="Y5596" s="35"/>
      <c r="Z5596" s="35"/>
      <c r="AA5596" s="35"/>
      <c r="AB5596" s="35"/>
      <c r="AC5596" s="35"/>
      <c r="AD5596" s="35"/>
      <c r="AE5596" s="35"/>
      <c r="AF5596" s="35"/>
      <c r="AG5596" s="35"/>
      <c r="AH5596" s="35"/>
      <c r="AI5596" s="35"/>
      <c r="AJ5596" s="35"/>
      <c r="AK5596" s="35"/>
      <c r="AL5596" s="35"/>
    </row>
    <row r="5597">
      <c r="A5597" s="18" t="s">
        <v>2</v>
      </c>
      <c r="B5597" s="19" t="s">
        <v>19332</v>
      </c>
      <c r="C5597" s="20" t="s">
        <v>25991</v>
      </c>
      <c r="D5597" s="47"/>
      <c r="E5597" s="22" t="s">
        <v>26200</v>
      </c>
      <c r="F5597" s="22" t="s">
        <v>237</v>
      </c>
      <c r="G5597" s="57">
        <v>2016.0</v>
      </c>
      <c r="H5597" s="57" t="s">
        <v>91</v>
      </c>
      <c r="I5597" s="24" t="s">
        <v>26339</v>
      </c>
      <c r="J5597" s="22" t="s">
        <v>55</v>
      </c>
      <c r="K5597" s="22" t="s">
        <v>26340</v>
      </c>
      <c r="L5597" s="36">
        <v>830.0</v>
      </c>
      <c r="M5597" s="36">
        <v>30.0</v>
      </c>
      <c r="N5597" s="36" t="s">
        <v>3054</v>
      </c>
      <c r="O5597" s="36"/>
      <c r="P5597" s="37" t="s">
        <v>969</v>
      </c>
      <c r="Q5597" s="36" t="s">
        <v>245</v>
      </c>
      <c r="R5597" s="36">
        <v>12.0</v>
      </c>
      <c r="S5597" s="36">
        <v>7.0</v>
      </c>
      <c r="T5597" s="28" t="s">
        <v>26341</v>
      </c>
      <c r="U5597" s="38" t="str">
        <f>HYPERLINK("https://www.ncbi.nlm.nih.gov/pubmed/27147076","PubMed")</f>
        <v>PubMed</v>
      </c>
      <c r="V5597" s="30"/>
      <c r="W5597" s="49"/>
      <c r="X5597" s="49"/>
      <c r="Y5597" s="35"/>
      <c r="Z5597" s="35"/>
      <c r="AA5597" s="35"/>
      <c r="AB5597" s="35"/>
      <c r="AC5597" s="35"/>
      <c r="AD5597" s="35"/>
      <c r="AE5597" s="35"/>
      <c r="AF5597" s="35"/>
      <c r="AG5597" s="35"/>
      <c r="AH5597" s="35"/>
      <c r="AI5597" s="35"/>
      <c r="AJ5597" s="35"/>
      <c r="AK5597" s="35"/>
      <c r="AL5597" s="35"/>
    </row>
    <row r="5598">
      <c r="A5598" s="1"/>
      <c r="B5598" s="19" t="s">
        <v>19332</v>
      </c>
      <c r="C5598" s="20" t="s">
        <v>25991</v>
      </c>
      <c r="D5598" s="47"/>
      <c r="E5598" s="22" t="s">
        <v>5144</v>
      </c>
      <c r="F5598" s="22" t="s">
        <v>41</v>
      </c>
      <c r="G5598" s="57" t="s">
        <v>11799</v>
      </c>
      <c r="H5598" s="57" t="s">
        <v>658</v>
      </c>
      <c r="I5598" s="24" t="s">
        <v>26342</v>
      </c>
      <c r="J5598" s="22" t="s">
        <v>6797</v>
      </c>
      <c r="K5598" s="22"/>
      <c r="L5598" s="36">
        <v>780.0</v>
      </c>
      <c r="M5598" s="36"/>
      <c r="N5598" s="36"/>
      <c r="O5598" s="36"/>
      <c r="P5598" s="37" t="s">
        <v>9353</v>
      </c>
      <c r="Q5598" s="36"/>
      <c r="R5598" s="36">
        <v>20.0</v>
      </c>
      <c r="S5598" s="36" t="s">
        <v>4905</v>
      </c>
      <c r="T5598" s="28" t="s">
        <v>26343</v>
      </c>
      <c r="U5598" s="38" t="str">
        <f>HYPERLINK("https://www.ncbi.nlm.nih.gov/pubmed/27898256","PubMed")</f>
        <v>PubMed</v>
      </c>
      <c r="V5598" s="30"/>
      <c r="W5598" s="49"/>
      <c r="X5598" s="49"/>
      <c r="Y5598" s="35"/>
      <c r="Z5598" s="35"/>
      <c r="AA5598" s="35"/>
      <c r="AB5598" s="35"/>
      <c r="AC5598" s="35"/>
      <c r="AD5598" s="35"/>
      <c r="AE5598" s="35"/>
      <c r="AF5598" s="35"/>
      <c r="AG5598" s="35"/>
      <c r="AH5598" s="35"/>
      <c r="AI5598" s="35"/>
      <c r="AJ5598" s="35"/>
      <c r="AK5598" s="35"/>
      <c r="AL5598" s="35"/>
    </row>
    <row r="5599">
      <c r="A5599" s="1"/>
      <c r="B5599" s="19" t="s">
        <v>19332</v>
      </c>
      <c r="C5599" s="20" t="s">
        <v>25991</v>
      </c>
      <c r="D5599" s="47"/>
      <c r="E5599" s="22" t="s">
        <v>16074</v>
      </c>
      <c r="F5599" s="22" t="s">
        <v>358</v>
      </c>
      <c r="G5599" s="57">
        <v>2016.0</v>
      </c>
      <c r="H5599" s="57" t="s">
        <v>91</v>
      </c>
      <c r="I5599" s="24" t="s">
        <v>26344</v>
      </c>
      <c r="J5599" s="22" t="s">
        <v>26345</v>
      </c>
      <c r="K5599" s="22"/>
      <c r="L5599" s="36">
        <v>780.0</v>
      </c>
      <c r="M5599" s="36">
        <v>60.0</v>
      </c>
      <c r="N5599" s="36" t="s">
        <v>58</v>
      </c>
      <c r="O5599" s="36" t="s">
        <v>58</v>
      </c>
      <c r="P5599" s="37" t="s">
        <v>1028</v>
      </c>
      <c r="Q5599" s="36" t="s">
        <v>58</v>
      </c>
      <c r="R5599" s="36">
        <v>40.0</v>
      </c>
      <c r="S5599" s="36" t="s">
        <v>26346</v>
      </c>
      <c r="T5599" s="41" t="s">
        <v>26347</v>
      </c>
      <c r="U5599" s="38" t="str">
        <f>HYPERLINK("https://www.ncbi.nlm.nih.gov/pubmed/27085322","PubMed")</f>
        <v>PubMed</v>
      </c>
      <c r="V5599" s="30"/>
      <c r="W5599" s="49"/>
      <c r="X5599" s="49"/>
      <c r="Y5599" s="35"/>
      <c r="Z5599" s="35"/>
      <c r="AA5599" s="35"/>
      <c r="AB5599" s="35"/>
      <c r="AC5599" s="35"/>
      <c r="AD5599" s="35"/>
      <c r="AE5599" s="35"/>
      <c r="AF5599" s="35"/>
      <c r="AG5599" s="35"/>
      <c r="AH5599" s="35"/>
      <c r="AI5599" s="35"/>
      <c r="AJ5599" s="35"/>
      <c r="AK5599" s="35"/>
      <c r="AL5599" s="35"/>
    </row>
    <row r="5600">
      <c r="A5600" s="1"/>
      <c r="B5600" s="19" t="s">
        <v>19332</v>
      </c>
      <c r="C5600" s="20" t="s">
        <v>25991</v>
      </c>
      <c r="D5600" s="47"/>
      <c r="E5600" s="22" t="s">
        <v>2195</v>
      </c>
      <c r="F5600" s="22" t="s">
        <v>2801</v>
      </c>
      <c r="G5600" s="57">
        <v>2015.0</v>
      </c>
      <c r="H5600" s="57" t="s">
        <v>1144</v>
      </c>
      <c r="I5600" s="24" t="s">
        <v>26348</v>
      </c>
      <c r="J5600" s="22" t="s">
        <v>1078</v>
      </c>
      <c r="K5600" s="22"/>
      <c r="L5600" s="167" t="s">
        <v>26349</v>
      </c>
      <c r="M5600" s="44"/>
      <c r="N5600" s="44"/>
      <c r="O5600" s="44"/>
      <c r="P5600" s="44"/>
      <c r="Q5600" s="44"/>
      <c r="R5600" s="44"/>
      <c r="S5600" s="44"/>
      <c r="T5600" s="45"/>
      <c r="U5600" s="38" t="str">
        <f>HYPERLINK("https://www.ncbi.nlm.nih.gov/pubmed/25491183","PubMed")</f>
        <v>PubMed</v>
      </c>
      <c r="V5600" s="30"/>
      <c r="W5600" s="49"/>
      <c r="X5600" s="49"/>
      <c r="Y5600" s="35"/>
      <c r="Z5600" s="35"/>
      <c r="AA5600" s="35"/>
      <c r="AB5600" s="35"/>
      <c r="AC5600" s="35"/>
      <c r="AD5600" s="35"/>
      <c r="AE5600" s="35"/>
      <c r="AF5600" s="35"/>
      <c r="AG5600" s="35"/>
      <c r="AH5600" s="35"/>
      <c r="AI5600" s="35"/>
      <c r="AJ5600" s="35"/>
      <c r="AK5600" s="35"/>
      <c r="AL5600" s="35"/>
    </row>
    <row r="5601">
      <c r="A5601" s="1"/>
      <c r="B5601" s="19" t="s">
        <v>19332</v>
      </c>
      <c r="C5601" s="20" t="s">
        <v>25991</v>
      </c>
      <c r="D5601" s="47"/>
      <c r="E5601" s="22" t="s">
        <v>26235</v>
      </c>
      <c r="F5601" s="22" t="s">
        <v>41</v>
      </c>
      <c r="G5601" s="57">
        <v>2015.0</v>
      </c>
      <c r="H5601" s="57" t="s">
        <v>1958</v>
      </c>
      <c r="I5601" s="24" t="s">
        <v>26350</v>
      </c>
      <c r="J5601" s="22" t="s">
        <v>649</v>
      </c>
      <c r="K5601" s="22"/>
      <c r="L5601" s="43" t="s">
        <v>26351</v>
      </c>
      <c r="M5601" s="44"/>
      <c r="N5601" s="44"/>
      <c r="O5601" s="44"/>
      <c r="P5601" s="44"/>
      <c r="Q5601" s="44"/>
      <c r="R5601" s="44"/>
      <c r="S5601" s="44"/>
      <c r="T5601" s="45"/>
      <c r="U5601" s="38" t="str">
        <f>HYPERLINK("https://www.ncbi.nlm.nih.gov/pubmed/25642095","PubMed")</f>
        <v>PubMed</v>
      </c>
      <c r="V5601" s="30"/>
      <c r="W5601" s="49"/>
      <c r="X5601" s="49"/>
      <c r="Y5601" s="35"/>
      <c r="Z5601" s="35"/>
      <c r="AA5601" s="35"/>
      <c r="AB5601" s="35"/>
      <c r="AC5601" s="35"/>
      <c r="AD5601" s="35"/>
      <c r="AE5601" s="35"/>
      <c r="AF5601" s="35"/>
      <c r="AG5601" s="35"/>
      <c r="AH5601" s="35"/>
      <c r="AI5601" s="35"/>
      <c r="AJ5601" s="35"/>
      <c r="AK5601" s="35"/>
      <c r="AL5601" s="35"/>
    </row>
    <row r="5602">
      <c r="A5602" s="1"/>
      <c r="B5602" s="19" t="s">
        <v>19332</v>
      </c>
      <c r="C5602" s="20" t="s">
        <v>25991</v>
      </c>
      <c r="D5602" s="47"/>
      <c r="E5602" s="22" t="s">
        <v>10513</v>
      </c>
      <c r="F5602" s="22" t="s">
        <v>41</v>
      </c>
      <c r="G5602" s="23">
        <v>2015.0</v>
      </c>
      <c r="H5602" s="22" t="s">
        <v>91</v>
      </c>
      <c r="I5602" s="24" t="s">
        <v>26352</v>
      </c>
      <c r="J5602" s="22" t="s">
        <v>26353</v>
      </c>
      <c r="K5602" s="22"/>
      <c r="L5602" s="36">
        <v>780.0</v>
      </c>
      <c r="M5602" s="36" t="s">
        <v>26354</v>
      </c>
      <c r="N5602" s="36"/>
      <c r="O5602" s="36" t="s">
        <v>26355</v>
      </c>
      <c r="P5602" s="37" t="s">
        <v>26356</v>
      </c>
      <c r="Q5602" s="36" t="s">
        <v>7605</v>
      </c>
      <c r="R5602" s="36" t="s">
        <v>26357</v>
      </c>
      <c r="S5602" s="36" t="s">
        <v>2099</v>
      </c>
      <c r="T5602" s="28" t="s">
        <v>26358</v>
      </c>
      <c r="U5602" s="38" t="str">
        <f>HYPERLINK("https://www.ncbi.nlm.nih.gov/pubmed/24366293","PubMed")</f>
        <v>PubMed</v>
      </c>
      <c r="V5602" s="30"/>
      <c r="W5602" s="49"/>
      <c r="X5602" s="49"/>
      <c r="Y5602" s="35"/>
      <c r="Z5602" s="35"/>
      <c r="AA5602" s="35"/>
      <c r="AB5602" s="35"/>
      <c r="AC5602" s="35"/>
      <c r="AD5602" s="35"/>
      <c r="AE5602" s="35"/>
      <c r="AF5602" s="35"/>
      <c r="AG5602" s="35"/>
      <c r="AH5602" s="35"/>
      <c r="AI5602" s="35"/>
      <c r="AJ5602" s="35"/>
      <c r="AK5602" s="35"/>
      <c r="AL5602" s="35"/>
    </row>
    <row r="5603">
      <c r="A5603" s="40" t="s">
        <v>38</v>
      </c>
      <c r="B5603" s="19" t="s">
        <v>19332</v>
      </c>
      <c r="C5603" s="20" t="s">
        <v>25991</v>
      </c>
      <c r="D5603" s="47"/>
      <c r="E5603" s="22" t="s">
        <v>26359</v>
      </c>
      <c r="F5603" s="22" t="s">
        <v>52</v>
      </c>
      <c r="G5603" s="23">
        <v>2015.0</v>
      </c>
      <c r="H5603" s="22" t="s">
        <v>17630</v>
      </c>
      <c r="I5603" s="24" t="s">
        <v>26360</v>
      </c>
      <c r="J5603" s="22" t="s">
        <v>26361</v>
      </c>
      <c r="K5603" s="22"/>
      <c r="L5603" s="36">
        <v>685.0</v>
      </c>
      <c r="M5603" s="36">
        <v>25.0</v>
      </c>
      <c r="N5603" s="36"/>
      <c r="O5603" s="36"/>
      <c r="P5603" s="37" t="s">
        <v>447</v>
      </c>
      <c r="Q5603" s="36"/>
      <c r="R5603" s="36">
        <v>30.0</v>
      </c>
      <c r="S5603" s="36" t="s">
        <v>21692</v>
      </c>
      <c r="T5603" s="28" t="s">
        <v>26362</v>
      </c>
      <c r="U5603" s="38" t="str">
        <f>HYPERLINK("https://www.ncbi.nlm.nih.gov/pubmed/26587294","PubMed")</f>
        <v>PubMed</v>
      </c>
      <c r="V5603" s="30" t="s">
        <v>26363</v>
      </c>
      <c r="W5603" s="49"/>
      <c r="X5603" s="49"/>
      <c r="Y5603" s="35"/>
      <c r="Z5603" s="35"/>
      <c r="AA5603" s="35"/>
      <c r="AB5603" s="35"/>
      <c r="AC5603" s="35"/>
      <c r="AD5603" s="35"/>
      <c r="AE5603" s="35"/>
      <c r="AF5603" s="35"/>
      <c r="AG5603" s="35"/>
      <c r="AH5603" s="35"/>
      <c r="AI5603" s="35"/>
      <c r="AJ5603" s="35"/>
      <c r="AK5603" s="35"/>
      <c r="AL5603" s="35"/>
    </row>
    <row r="5604">
      <c r="A5604" s="1"/>
      <c r="B5604" s="19" t="s">
        <v>19332</v>
      </c>
      <c r="C5604" s="20" t="s">
        <v>25991</v>
      </c>
      <c r="D5604" s="47"/>
      <c r="E5604" s="22" t="s">
        <v>22989</v>
      </c>
      <c r="F5604" s="22" t="s">
        <v>183</v>
      </c>
      <c r="G5604" s="23">
        <v>2015.0</v>
      </c>
      <c r="H5604" s="22" t="s">
        <v>91</v>
      </c>
      <c r="I5604" s="24" t="s">
        <v>26364</v>
      </c>
      <c r="J5604" s="22" t="s">
        <v>55</v>
      </c>
      <c r="K5604" s="22" t="s">
        <v>948</v>
      </c>
      <c r="L5604" s="36" t="s">
        <v>654</v>
      </c>
      <c r="M5604" s="36" t="s">
        <v>26365</v>
      </c>
      <c r="N5604" s="36"/>
      <c r="O5604" s="36" t="s">
        <v>26366</v>
      </c>
      <c r="P5604" s="37"/>
      <c r="Q5604" s="36"/>
      <c r="R5604" s="36"/>
      <c r="S5604" s="36"/>
      <c r="T5604" s="28" t="s">
        <v>26367</v>
      </c>
      <c r="U5604" s="38" t="str">
        <f>HYPERLINK("https://www.ncbi.nlm.nih.gov/pubmed/25854994","PubMed")</f>
        <v>PubMed</v>
      </c>
      <c r="V5604" s="30"/>
      <c r="W5604" s="49"/>
      <c r="X5604" s="49"/>
      <c r="Y5604" s="35"/>
      <c r="Z5604" s="35"/>
      <c r="AA5604" s="35"/>
      <c r="AB5604" s="35"/>
      <c r="AC5604" s="35"/>
      <c r="AD5604" s="35"/>
      <c r="AE5604" s="35"/>
      <c r="AF5604" s="35"/>
      <c r="AG5604" s="35"/>
      <c r="AH5604" s="35"/>
      <c r="AI5604" s="35"/>
      <c r="AJ5604" s="35"/>
      <c r="AK5604" s="35"/>
      <c r="AL5604" s="35"/>
    </row>
    <row r="5605">
      <c r="A5605" s="1"/>
      <c r="B5605" s="19" t="s">
        <v>19332</v>
      </c>
      <c r="C5605" s="20" t="s">
        <v>25991</v>
      </c>
      <c r="D5605" s="47"/>
      <c r="E5605" s="22" t="s">
        <v>12543</v>
      </c>
      <c r="F5605" s="22" t="s">
        <v>274</v>
      </c>
      <c r="G5605" s="23">
        <v>2015.0</v>
      </c>
      <c r="H5605" s="22" t="s">
        <v>91</v>
      </c>
      <c r="I5605" s="24" t="s">
        <v>26368</v>
      </c>
      <c r="J5605" s="22" t="s">
        <v>26369</v>
      </c>
      <c r="K5605" s="22" t="s">
        <v>948</v>
      </c>
      <c r="L5605" s="36" t="s">
        <v>26370</v>
      </c>
      <c r="M5605" s="36" t="s">
        <v>26371</v>
      </c>
      <c r="N5605" s="36" t="s">
        <v>26372</v>
      </c>
      <c r="O5605" s="36" t="s">
        <v>26373</v>
      </c>
      <c r="P5605" s="37" t="s">
        <v>26374</v>
      </c>
      <c r="Q5605" s="36"/>
      <c r="R5605" s="36" t="s">
        <v>26375</v>
      </c>
      <c r="S5605" s="36" t="s">
        <v>2099</v>
      </c>
      <c r="T5605" s="28" t="s">
        <v>26376</v>
      </c>
      <c r="U5605" s="38" t="str">
        <f>HYPERLINK("https://www.ncbi.nlm.nih.gov/pubmed/24197518","PubMed")</f>
        <v>PubMed</v>
      </c>
      <c r="V5605" s="30"/>
      <c r="W5605" s="49"/>
      <c r="X5605" s="49"/>
      <c r="Y5605" s="35"/>
      <c r="Z5605" s="35"/>
      <c r="AA5605" s="35"/>
      <c r="AB5605" s="35"/>
      <c r="AC5605" s="35"/>
      <c r="AD5605" s="35"/>
      <c r="AE5605" s="35"/>
      <c r="AF5605" s="35"/>
      <c r="AG5605" s="35"/>
      <c r="AH5605" s="35"/>
      <c r="AI5605" s="35"/>
      <c r="AJ5605" s="35"/>
      <c r="AK5605" s="35"/>
      <c r="AL5605" s="35"/>
    </row>
    <row r="5606">
      <c r="A5606" s="1"/>
      <c r="B5606" s="19" t="s">
        <v>19332</v>
      </c>
      <c r="C5606" s="20" t="s">
        <v>25991</v>
      </c>
      <c r="D5606" s="47"/>
      <c r="E5606" s="22" t="s">
        <v>26296</v>
      </c>
      <c r="F5606" s="22" t="s">
        <v>41</v>
      </c>
      <c r="G5606" s="23">
        <v>2015.0</v>
      </c>
      <c r="H5606" s="22" t="s">
        <v>798</v>
      </c>
      <c r="I5606" s="24" t="s">
        <v>26377</v>
      </c>
      <c r="J5606" s="22" t="s">
        <v>26378</v>
      </c>
      <c r="K5606" s="22" t="s">
        <v>26379</v>
      </c>
      <c r="L5606" s="36">
        <v>780.0</v>
      </c>
      <c r="M5606" s="36">
        <v>50.0</v>
      </c>
      <c r="N5606" s="36" t="s">
        <v>17152</v>
      </c>
      <c r="O5606" s="36">
        <v>1.0</v>
      </c>
      <c r="P5606" s="37" t="s">
        <v>26380</v>
      </c>
      <c r="Q5606" s="36"/>
      <c r="R5606" s="36">
        <v>20.0</v>
      </c>
      <c r="S5606" s="36" t="s">
        <v>2688</v>
      </c>
      <c r="T5606" s="41" t="s">
        <v>26381</v>
      </c>
      <c r="U5606" s="38" t="s">
        <v>61</v>
      </c>
      <c r="V5606" s="30"/>
      <c r="W5606" s="49"/>
      <c r="X5606" s="49"/>
      <c r="Y5606" s="35"/>
      <c r="Z5606" s="35"/>
      <c r="AA5606" s="35"/>
      <c r="AB5606" s="35"/>
      <c r="AC5606" s="35"/>
      <c r="AD5606" s="35"/>
      <c r="AE5606" s="35"/>
      <c r="AF5606" s="35"/>
      <c r="AG5606" s="35"/>
      <c r="AH5606" s="35"/>
      <c r="AI5606" s="35"/>
      <c r="AJ5606" s="35"/>
      <c r="AK5606" s="35"/>
      <c r="AL5606" s="35"/>
    </row>
    <row r="5607">
      <c r="A5607" s="1"/>
      <c r="B5607" s="19" t="s">
        <v>19332</v>
      </c>
      <c r="C5607" s="20" t="s">
        <v>25991</v>
      </c>
      <c r="D5607" s="47"/>
      <c r="E5607" s="22" t="s">
        <v>12701</v>
      </c>
      <c r="F5607" s="22" t="s">
        <v>1392</v>
      </c>
      <c r="G5607" s="23">
        <v>2015.0</v>
      </c>
      <c r="H5607" s="22" t="s">
        <v>292</v>
      </c>
      <c r="I5607" s="24" t="s">
        <v>26382</v>
      </c>
      <c r="J5607" s="22" t="s">
        <v>26383</v>
      </c>
      <c r="K5607" s="22" t="s">
        <v>2355</v>
      </c>
      <c r="L5607" s="36">
        <v>808.0</v>
      </c>
      <c r="M5607" s="36" t="s">
        <v>4841</v>
      </c>
      <c r="N5607" s="36"/>
      <c r="O5607" s="36"/>
      <c r="P5607" s="37"/>
      <c r="Q5607" s="36" t="s">
        <v>18508</v>
      </c>
      <c r="R5607" s="36"/>
      <c r="S5607" s="36" t="s">
        <v>26384</v>
      </c>
      <c r="T5607" s="28" t="s">
        <v>26385</v>
      </c>
      <c r="U5607" s="38" t="str">
        <f>HYPERLINK("http://www.ncbi.nlm.nih.gov/pubmed/25941425","PubMed")</f>
        <v>PubMed</v>
      </c>
      <c r="V5607" s="30" t="s">
        <v>26386</v>
      </c>
      <c r="W5607" s="49"/>
      <c r="X5607" s="49"/>
      <c r="Y5607" s="35"/>
      <c r="Z5607" s="35"/>
      <c r="AA5607" s="35"/>
      <c r="AB5607" s="35"/>
      <c r="AC5607" s="35"/>
      <c r="AD5607" s="35"/>
      <c r="AE5607" s="35"/>
      <c r="AF5607" s="35"/>
      <c r="AG5607" s="35"/>
      <c r="AH5607" s="35"/>
      <c r="AI5607" s="35"/>
      <c r="AJ5607" s="35"/>
      <c r="AK5607" s="35"/>
      <c r="AL5607" s="35"/>
    </row>
    <row r="5608">
      <c r="A5608" s="1"/>
      <c r="B5608" s="19" t="s">
        <v>19332</v>
      </c>
      <c r="C5608" s="20" t="s">
        <v>25991</v>
      </c>
      <c r="D5608" s="47"/>
      <c r="E5608" s="22" t="s">
        <v>1101</v>
      </c>
      <c r="F5608" s="22" t="s">
        <v>89</v>
      </c>
      <c r="G5608" s="23">
        <v>2014.0</v>
      </c>
      <c r="H5608" s="22" t="s">
        <v>2649</v>
      </c>
      <c r="I5608" s="24" t="s">
        <v>26387</v>
      </c>
      <c r="J5608" s="22" t="s">
        <v>26388</v>
      </c>
      <c r="K5608" s="22" t="s">
        <v>294</v>
      </c>
      <c r="L5608" s="36" t="s">
        <v>26389</v>
      </c>
      <c r="M5608" s="36" t="s">
        <v>58</v>
      </c>
      <c r="N5608" s="36" t="s">
        <v>58</v>
      </c>
      <c r="O5608" s="36" t="s">
        <v>58</v>
      </c>
      <c r="P5608" s="37" t="s">
        <v>26390</v>
      </c>
      <c r="Q5608" s="36" t="s">
        <v>58</v>
      </c>
      <c r="R5608" s="36"/>
      <c r="S5608" s="36" t="s">
        <v>363</v>
      </c>
      <c r="T5608" s="28" t="s">
        <v>26391</v>
      </c>
      <c r="U5608" s="38" t="str">
        <f>HYPERLINK("https://www.ncbi.nlm.nih.gov/pubmed/24660647","PubMed")</f>
        <v>PubMed</v>
      </c>
      <c r="V5608" s="30"/>
      <c r="W5608" s="49"/>
      <c r="X5608" s="49"/>
      <c r="Y5608" s="35"/>
      <c r="Z5608" s="35"/>
      <c r="AA5608" s="35"/>
      <c r="AB5608" s="35"/>
      <c r="AC5608" s="35"/>
      <c r="AD5608" s="35"/>
      <c r="AE5608" s="35"/>
      <c r="AF5608" s="35"/>
      <c r="AG5608" s="35"/>
      <c r="AH5608" s="35"/>
      <c r="AI5608" s="35"/>
      <c r="AJ5608" s="35"/>
      <c r="AK5608" s="35"/>
      <c r="AL5608" s="35"/>
    </row>
    <row r="5609">
      <c r="A5609" s="1"/>
      <c r="B5609" s="19" t="s">
        <v>19332</v>
      </c>
      <c r="C5609" s="20" t="s">
        <v>25991</v>
      </c>
      <c r="D5609" s="47"/>
      <c r="E5609" s="22" t="s">
        <v>23691</v>
      </c>
      <c r="F5609" s="22" t="s">
        <v>11529</v>
      </c>
      <c r="G5609" s="23">
        <v>2014.0</v>
      </c>
      <c r="H5609" s="22" t="s">
        <v>91</v>
      </c>
      <c r="I5609" s="24" t="s">
        <v>26392</v>
      </c>
      <c r="J5609" s="22" t="s">
        <v>26393</v>
      </c>
      <c r="K5609" s="22"/>
      <c r="L5609" s="36">
        <v>810.0</v>
      </c>
      <c r="M5609" s="36">
        <v>50.0</v>
      </c>
      <c r="N5609" s="36"/>
      <c r="O5609" s="36">
        <v>6.0</v>
      </c>
      <c r="P5609" s="37" t="s">
        <v>4832</v>
      </c>
      <c r="Q5609" s="36"/>
      <c r="R5609" s="36">
        <v>120.0</v>
      </c>
      <c r="S5609" s="36" t="s">
        <v>4905</v>
      </c>
      <c r="T5609" s="28" t="s">
        <v>26394</v>
      </c>
      <c r="U5609" s="38" t="str">
        <f>HYPERLINK("https://www.ncbi.nlm.nih.gov/pubmed/23318917","PubMed")</f>
        <v>PubMed</v>
      </c>
      <c r="V5609" s="30"/>
      <c r="W5609" s="49"/>
      <c r="X5609" s="49"/>
      <c r="Y5609" s="35"/>
      <c r="Z5609" s="35"/>
      <c r="AA5609" s="35"/>
      <c r="AB5609" s="35"/>
      <c r="AC5609" s="35"/>
      <c r="AD5609" s="35"/>
      <c r="AE5609" s="35"/>
      <c r="AF5609" s="35"/>
      <c r="AG5609" s="35"/>
      <c r="AH5609" s="35"/>
      <c r="AI5609" s="35"/>
      <c r="AJ5609" s="35"/>
      <c r="AK5609" s="35"/>
      <c r="AL5609" s="35"/>
    </row>
    <row r="5610">
      <c r="A5610" s="1"/>
      <c r="B5610" s="19" t="s">
        <v>19332</v>
      </c>
      <c r="C5610" s="20" t="s">
        <v>25991</v>
      </c>
      <c r="D5610" s="47"/>
      <c r="E5610" s="22" t="s">
        <v>26230</v>
      </c>
      <c r="F5610" s="22" t="s">
        <v>11529</v>
      </c>
      <c r="G5610" s="23">
        <v>2014.0</v>
      </c>
      <c r="H5610" s="22" t="s">
        <v>2649</v>
      </c>
      <c r="I5610" s="24" t="s">
        <v>26395</v>
      </c>
      <c r="J5610" s="22" t="s">
        <v>26393</v>
      </c>
      <c r="K5610" s="22"/>
      <c r="L5610" s="36">
        <v>810.0</v>
      </c>
      <c r="M5610" s="36">
        <v>50.0</v>
      </c>
      <c r="N5610" s="36" t="s">
        <v>58</v>
      </c>
      <c r="O5610" s="36" t="s">
        <v>962</v>
      </c>
      <c r="P5610" s="37" t="s">
        <v>4832</v>
      </c>
      <c r="Q5610" s="36" t="s">
        <v>25142</v>
      </c>
      <c r="R5610" s="36" t="s">
        <v>4627</v>
      </c>
      <c r="S5610" s="36" t="s">
        <v>4905</v>
      </c>
      <c r="T5610" s="41" t="s">
        <v>26396</v>
      </c>
      <c r="U5610" s="38" t="str">
        <f>HYPERLINK("https://www.ncbi.nlm.nih.gov/pubmed/24660645","PubMed")</f>
        <v>PubMed</v>
      </c>
      <c r="V5610" s="30" t="s">
        <v>26397</v>
      </c>
      <c r="W5610" s="49"/>
      <c r="X5610" s="49"/>
      <c r="Y5610" s="35"/>
      <c r="Z5610" s="35"/>
      <c r="AA5610" s="35"/>
      <c r="AB5610" s="35"/>
      <c r="AC5610" s="35"/>
      <c r="AD5610" s="35"/>
      <c r="AE5610" s="35"/>
      <c r="AF5610" s="35"/>
      <c r="AG5610" s="35"/>
      <c r="AH5610" s="35"/>
      <c r="AI5610" s="35"/>
      <c r="AJ5610" s="35"/>
      <c r="AK5610" s="35"/>
      <c r="AL5610" s="35"/>
    </row>
    <row r="5611">
      <c r="A5611" s="1"/>
      <c r="B5611" s="19" t="s">
        <v>19332</v>
      </c>
      <c r="C5611" s="20" t="s">
        <v>25991</v>
      </c>
      <c r="D5611" s="47"/>
      <c r="E5611" s="22" t="s">
        <v>26398</v>
      </c>
      <c r="F5611" s="22" t="s">
        <v>26399</v>
      </c>
      <c r="G5611" s="23">
        <v>2014.0</v>
      </c>
      <c r="H5611" s="22" t="s">
        <v>1012</v>
      </c>
      <c r="I5611" s="24" t="s">
        <v>26400</v>
      </c>
      <c r="J5611" s="22" t="s">
        <v>55</v>
      </c>
      <c r="K5611" s="22"/>
      <c r="L5611" s="36">
        <v>880.0</v>
      </c>
      <c r="M5611" s="36">
        <v>100.0</v>
      </c>
      <c r="N5611" s="36"/>
      <c r="O5611" s="36"/>
      <c r="P5611" s="37"/>
      <c r="Q5611" s="36" t="s">
        <v>19817</v>
      </c>
      <c r="R5611" s="36">
        <v>600.0</v>
      </c>
      <c r="S5611" s="36"/>
      <c r="T5611" s="28" t="s">
        <v>26401</v>
      </c>
      <c r="U5611" s="38" t="str">
        <f>HYPERLINK("https://www.ncbi.nlm.nih.gov/pubmed/25628667","PubMed")</f>
        <v>PubMed</v>
      </c>
      <c r="V5611" s="30"/>
      <c r="W5611" s="49"/>
      <c r="X5611" s="49"/>
      <c r="Y5611" s="35"/>
      <c r="Z5611" s="35"/>
      <c r="AA5611" s="35"/>
      <c r="AB5611" s="35"/>
      <c r="AC5611" s="35"/>
      <c r="AD5611" s="35"/>
      <c r="AE5611" s="35"/>
      <c r="AF5611" s="35"/>
      <c r="AG5611" s="35"/>
      <c r="AH5611" s="35"/>
      <c r="AI5611" s="35"/>
      <c r="AJ5611" s="35"/>
      <c r="AK5611" s="35"/>
      <c r="AL5611" s="35"/>
    </row>
    <row r="5612">
      <c r="A5612" s="1"/>
      <c r="B5612" s="19" t="s">
        <v>19332</v>
      </c>
      <c r="C5612" s="20" t="s">
        <v>25991</v>
      </c>
      <c r="D5612" s="47"/>
      <c r="E5612" s="22" t="s">
        <v>26235</v>
      </c>
      <c r="F5612" s="22" t="s">
        <v>41</v>
      </c>
      <c r="G5612" s="23">
        <v>2014.0</v>
      </c>
      <c r="H5612" s="22" t="s">
        <v>2863</v>
      </c>
      <c r="I5612" s="24" t="s">
        <v>26402</v>
      </c>
      <c r="J5612" s="22" t="s">
        <v>2141</v>
      </c>
      <c r="K5612" s="22"/>
      <c r="L5612" s="36"/>
      <c r="M5612" s="36"/>
      <c r="N5612" s="36"/>
      <c r="O5612" s="36"/>
      <c r="P5612" s="37"/>
      <c r="Q5612" s="36"/>
      <c r="R5612" s="36"/>
      <c r="S5612" s="36"/>
      <c r="T5612" s="185" t="s">
        <v>26403</v>
      </c>
      <c r="U5612" s="38" t="str">
        <f>HYPERLINK("https://www.ncbi.nlm.nih.gov/pubmed/25514875","PubMed")</f>
        <v>PubMed</v>
      </c>
      <c r="V5612" s="30"/>
      <c r="W5612" s="49"/>
      <c r="X5612" s="49"/>
      <c r="Y5612" s="35"/>
      <c r="Z5612" s="35"/>
      <c r="AA5612" s="35"/>
      <c r="AB5612" s="35"/>
      <c r="AC5612" s="35"/>
      <c r="AD5612" s="35"/>
      <c r="AE5612" s="35"/>
      <c r="AF5612" s="35"/>
      <c r="AG5612" s="35"/>
      <c r="AH5612" s="35"/>
      <c r="AI5612" s="35"/>
      <c r="AJ5612" s="35"/>
      <c r="AK5612" s="35"/>
      <c r="AL5612" s="35"/>
    </row>
    <row r="5613">
      <c r="A5613" s="1"/>
      <c r="B5613" s="19" t="s">
        <v>19332</v>
      </c>
      <c r="C5613" s="20" t="s">
        <v>25991</v>
      </c>
      <c r="D5613" s="47"/>
      <c r="E5613" s="22" t="s">
        <v>21788</v>
      </c>
      <c r="F5613" s="22" t="s">
        <v>41</v>
      </c>
      <c r="G5613" s="23">
        <v>2013.0</v>
      </c>
      <c r="H5613" s="22" t="s">
        <v>2863</v>
      </c>
      <c r="I5613" s="24" t="s">
        <v>26404</v>
      </c>
      <c r="J5613" s="22" t="s">
        <v>2141</v>
      </c>
      <c r="K5613" s="22"/>
      <c r="L5613" s="36"/>
      <c r="M5613" s="36"/>
      <c r="N5613" s="36"/>
      <c r="O5613" s="36"/>
      <c r="P5613" s="37"/>
      <c r="Q5613" s="36"/>
      <c r="R5613" s="36"/>
      <c r="S5613" s="36"/>
      <c r="T5613" s="185" t="s">
        <v>26405</v>
      </c>
      <c r="U5613" s="38" t="str">
        <f>HYPERLINK("https://www.ncbi.nlm.nih.gov/pubmed/23876095","PubMed")</f>
        <v>PubMed</v>
      </c>
      <c r="V5613" s="30"/>
      <c r="W5613" s="49"/>
      <c r="X5613" s="49"/>
      <c r="Y5613" s="35"/>
      <c r="Z5613" s="35"/>
      <c r="AA5613" s="35"/>
      <c r="AB5613" s="35"/>
      <c r="AC5613" s="35"/>
      <c r="AD5613" s="35"/>
      <c r="AE5613" s="35"/>
      <c r="AF5613" s="35"/>
      <c r="AG5613" s="35"/>
      <c r="AH5613" s="35"/>
      <c r="AI5613" s="35"/>
      <c r="AJ5613" s="35"/>
      <c r="AK5613" s="35"/>
      <c r="AL5613" s="35"/>
    </row>
    <row r="5614">
      <c r="A5614" s="1" t="s">
        <v>2</v>
      </c>
      <c r="B5614" s="19" t="s">
        <v>19332</v>
      </c>
      <c r="C5614" s="20" t="s">
        <v>25991</v>
      </c>
      <c r="D5614" s="47"/>
      <c r="E5614" s="22" t="s">
        <v>26406</v>
      </c>
      <c r="F5614" s="22" t="s">
        <v>578</v>
      </c>
      <c r="G5614" s="23">
        <v>2013.0</v>
      </c>
      <c r="H5614" s="22" t="s">
        <v>207</v>
      </c>
      <c r="I5614" s="24" t="s">
        <v>26407</v>
      </c>
      <c r="J5614" s="22" t="s">
        <v>55</v>
      </c>
      <c r="K5614" s="22" t="s">
        <v>26408</v>
      </c>
      <c r="L5614" s="36">
        <v>780.0</v>
      </c>
      <c r="M5614" s="36">
        <v>70.0</v>
      </c>
      <c r="N5614" s="36" t="s">
        <v>827</v>
      </c>
      <c r="O5614" s="129">
        <v>42737.0</v>
      </c>
      <c r="P5614" s="37" t="s">
        <v>26409</v>
      </c>
      <c r="Q5614" s="36" t="s">
        <v>830</v>
      </c>
      <c r="R5614" s="36">
        <v>30.0</v>
      </c>
      <c r="S5614" s="36">
        <v>1.0</v>
      </c>
      <c r="T5614" s="28" t="s">
        <v>26410</v>
      </c>
      <c r="U5614" s="38" t="str">
        <f>HYPERLINK("https://www.ncbi.nlm.nih.gov/pubmed/24231378","PubMed")</f>
        <v>PubMed</v>
      </c>
      <c r="V5614" s="30"/>
      <c r="W5614" s="49"/>
      <c r="X5614" s="49"/>
      <c r="Y5614" s="35"/>
      <c r="Z5614" s="35"/>
      <c r="AA5614" s="35"/>
      <c r="AB5614" s="35"/>
      <c r="AC5614" s="35"/>
      <c r="AD5614" s="35"/>
      <c r="AE5614" s="35"/>
      <c r="AF5614" s="35"/>
      <c r="AG5614" s="35"/>
      <c r="AH5614" s="35"/>
      <c r="AI5614" s="35"/>
      <c r="AJ5614" s="35"/>
      <c r="AK5614" s="35"/>
      <c r="AL5614" s="35"/>
    </row>
    <row r="5615">
      <c r="A5615" s="1"/>
      <c r="B5615" s="19" t="s">
        <v>19332</v>
      </c>
      <c r="C5615" s="20" t="s">
        <v>25991</v>
      </c>
      <c r="D5615" s="47"/>
      <c r="E5615" s="22" t="s">
        <v>26411</v>
      </c>
      <c r="F5615" s="22" t="s">
        <v>358</v>
      </c>
      <c r="G5615" s="23">
        <v>2013.0</v>
      </c>
      <c r="H5615" s="22" t="s">
        <v>2649</v>
      </c>
      <c r="I5615" s="24" t="s">
        <v>26412</v>
      </c>
      <c r="J5615" s="22" t="s">
        <v>26413</v>
      </c>
      <c r="K5615" s="22"/>
      <c r="L5615" s="36">
        <v>780.0</v>
      </c>
      <c r="M5615" s="36">
        <v>60.0</v>
      </c>
      <c r="N5615" s="36"/>
      <c r="O5615" s="36"/>
      <c r="P5615" s="37" t="s">
        <v>1028</v>
      </c>
      <c r="Q5615" s="36"/>
      <c r="R5615" s="36">
        <v>40.0</v>
      </c>
      <c r="S5615" s="36" t="s">
        <v>2099</v>
      </c>
      <c r="T5615" s="28" t="s">
        <v>26414</v>
      </c>
      <c r="U5615" s="38" t="str">
        <f>HYPERLINK("https://www.ncbi.nlm.nih.gov/pubmed/23795403","PubMed")</f>
        <v>PubMed</v>
      </c>
      <c r="V5615" s="30"/>
      <c r="W5615" s="49"/>
      <c r="X5615" s="49"/>
      <c r="Y5615" s="35"/>
      <c r="Z5615" s="35"/>
      <c r="AA5615" s="35"/>
      <c r="AB5615" s="35"/>
      <c r="AC5615" s="35"/>
      <c r="AD5615" s="35"/>
      <c r="AE5615" s="35"/>
      <c r="AF5615" s="35"/>
      <c r="AG5615" s="35"/>
      <c r="AH5615" s="35"/>
      <c r="AI5615" s="35"/>
      <c r="AJ5615" s="35"/>
      <c r="AK5615" s="35"/>
      <c r="AL5615" s="35"/>
    </row>
    <row r="5616">
      <c r="A5616" s="1"/>
      <c r="B5616" s="19" t="s">
        <v>19332</v>
      </c>
      <c r="C5616" s="20" t="s">
        <v>25991</v>
      </c>
      <c r="D5616" s="47"/>
      <c r="E5616" s="22" t="s">
        <v>26415</v>
      </c>
      <c r="F5616" s="22" t="s">
        <v>1154</v>
      </c>
      <c r="G5616" s="23">
        <v>2013.0</v>
      </c>
      <c r="H5616" s="22" t="s">
        <v>91</v>
      </c>
      <c r="I5616" s="24" t="s">
        <v>26416</v>
      </c>
      <c r="J5616" s="22" t="s">
        <v>26417</v>
      </c>
      <c r="K5616" s="22"/>
      <c r="L5616" s="36">
        <v>830.0</v>
      </c>
      <c r="M5616" s="36">
        <v>40.0</v>
      </c>
      <c r="N5616" s="36"/>
      <c r="O5616" s="36" t="s">
        <v>854</v>
      </c>
      <c r="P5616" s="37"/>
      <c r="Q5616" s="36" t="s">
        <v>26418</v>
      </c>
      <c r="R5616" s="36" t="s">
        <v>26419</v>
      </c>
      <c r="S5616" s="36" t="s">
        <v>2688</v>
      </c>
      <c r="T5616" s="28" t="s">
        <v>26420</v>
      </c>
      <c r="U5616" s="38" t="str">
        <f>HYPERLINK("https://www.ncbi.nlm.nih.gov/pubmed/22367394","PubMed")</f>
        <v>PubMed</v>
      </c>
      <c r="V5616" s="30"/>
      <c r="W5616" s="49"/>
      <c r="X5616" s="49"/>
      <c r="Y5616" s="35"/>
      <c r="Z5616" s="35"/>
      <c r="AA5616" s="35"/>
      <c r="AB5616" s="35"/>
      <c r="AC5616" s="35"/>
      <c r="AD5616" s="35"/>
      <c r="AE5616" s="35"/>
      <c r="AF5616" s="35"/>
      <c r="AG5616" s="35"/>
      <c r="AH5616" s="35"/>
      <c r="AI5616" s="35"/>
      <c r="AJ5616" s="35"/>
      <c r="AK5616" s="35"/>
      <c r="AL5616" s="35"/>
    </row>
    <row r="5617">
      <c r="A5617" s="1"/>
      <c r="B5617" s="19" t="s">
        <v>19332</v>
      </c>
      <c r="C5617" s="20" t="s">
        <v>25991</v>
      </c>
      <c r="D5617" s="47"/>
      <c r="E5617" s="22" t="s">
        <v>26421</v>
      </c>
      <c r="F5617" s="22" t="s">
        <v>1337</v>
      </c>
      <c r="G5617" s="23">
        <v>2013.0</v>
      </c>
      <c r="H5617" s="22" t="s">
        <v>19552</v>
      </c>
      <c r="I5617" s="24" t="s">
        <v>26422</v>
      </c>
      <c r="J5617" s="22" t="s">
        <v>649</v>
      </c>
      <c r="K5617" s="22"/>
      <c r="L5617" s="171" t="s">
        <v>26423</v>
      </c>
      <c r="M5617" s="44"/>
      <c r="N5617" s="44"/>
      <c r="O5617" s="44"/>
      <c r="P5617" s="44"/>
      <c r="Q5617" s="44"/>
      <c r="R5617" s="44"/>
      <c r="S5617" s="44"/>
      <c r="T5617" s="45"/>
      <c r="U5617" s="38" t="str">
        <f>HYPERLINK("http://www.ncbi.nlm.nih.gov/pubmed/23722130","PubMed")</f>
        <v>PubMed</v>
      </c>
      <c r="V5617" s="50"/>
      <c r="W5617" s="49"/>
      <c r="X5617" s="49"/>
      <c r="Y5617" s="35"/>
      <c r="Z5617" s="35"/>
      <c r="AA5617" s="35"/>
      <c r="AB5617" s="35"/>
      <c r="AC5617" s="35"/>
      <c r="AD5617" s="35"/>
      <c r="AE5617" s="35"/>
      <c r="AF5617" s="35"/>
      <c r="AG5617" s="35"/>
      <c r="AH5617" s="35"/>
      <c r="AI5617" s="35"/>
      <c r="AJ5617" s="35"/>
      <c r="AK5617" s="35"/>
      <c r="AL5617" s="35"/>
    </row>
    <row r="5618">
      <c r="A5618" s="1"/>
      <c r="B5618" s="19" t="s">
        <v>19332</v>
      </c>
      <c r="C5618" s="20" t="s">
        <v>25991</v>
      </c>
      <c r="D5618" s="47"/>
      <c r="E5618" s="22" t="s">
        <v>25561</v>
      </c>
      <c r="F5618" s="22" t="s">
        <v>578</v>
      </c>
      <c r="G5618" s="23">
        <v>2012.0</v>
      </c>
      <c r="H5618" s="22" t="s">
        <v>611</v>
      </c>
      <c r="I5618" s="24" t="s">
        <v>26424</v>
      </c>
      <c r="J5618" s="22" t="s">
        <v>649</v>
      </c>
      <c r="K5618" s="22"/>
      <c r="L5618" s="105" t="s">
        <v>26425</v>
      </c>
      <c r="M5618" s="44"/>
      <c r="N5618" s="44"/>
      <c r="O5618" s="44"/>
      <c r="P5618" s="44"/>
      <c r="Q5618" s="44"/>
      <c r="R5618" s="44"/>
      <c r="S5618" s="44"/>
      <c r="T5618" s="45"/>
      <c r="U5618" s="38" t="str">
        <f>HYPERLINK("https://www.ncbi.nlm.nih.gov/pubmed/23329239","PubMed")</f>
        <v>PubMed</v>
      </c>
      <c r="V5618" s="50"/>
      <c r="W5618" s="49"/>
      <c r="X5618" s="49"/>
      <c r="Y5618" s="35"/>
      <c r="Z5618" s="35"/>
      <c r="AA5618" s="35"/>
      <c r="AB5618" s="35"/>
      <c r="AC5618" s="35"/>
      <c r="AD5618" s="35"/>
      <c r="AE5618" s="35"/>
      <c r="AF5618" s="35"/>
      <c r="AG5618" s="35"/>
      <c r="AH5618" s="35"/>
      <c r="AI5618" s="35"/>
      <c r="AJ5618" s="35"/>
      <c r="AK5618" s="35"/>
      <c r="AL5618" s="35"/>
    </row>
    <row r="5619">
      <c r="A5619" s="379"/>
      <c r="B5619" s="19" t="s">
        <v>19332</v>
      </c>
      <c r="C5619" s="20" t="s">
        <v>25991</v>
      </c>
      <c r="D5619" s="47"/>
      <c r="E5619" s="22" t="s">
        <v>26426</v>
      </c>
      <c r="F5619" s="22" t="s">
        <v>26427</v>
      </c>
      <c r="G5619" s="23">
        <v>2012.0</v>
      </c>
      <c r="H5619" s="22" t="s">
        <v>292</v>
      </c>
      <c r="I5619" s="380" t="s">
        <v>26428</v>
      </c>
      <c r="J5619" s="22" t="s">
        <v>26429</v>
      </c>
      <c r="K5619" s="22" t="s">
        <v>26430</v>
      </c>
      <c r="L5619" s="36">
        <v>820.0</v>
      </c>
      <c r="M5619" s="36" t="s">
        <v>26431</v>
      </c>
      <c r="N5619" s="36" t="s">
        <v>58</v>
      </c>
      <c r="O5619" s="36" t="s">
        <v>26432</v>
      </c>
      <c r="P5619" s="37" t="s">
        <v>26433</v>
      </c>
      <c r="Q5619" s="36" t="s">
        <v>58</v>
      </c>
      <c r="R5619" s="36"/>
      <c r="S5619" s="36" t="s">
        <v>363</v>
      </c>
      <c r="T5619" s="42" t="s">
        <v>26434</v>
      </c>
      <c r="U5619" s="38" t="str">
        <f>HYPERLINK("https://www.ncbi.nlm.nih.gov/pubmed/24511188","PubMed")</f>
        <v>PubMed</v>
      </c>
      <c r="V5619" s="30" t="s">
        <v>26435</v>
      </c>
      <c r="W5619" s="49"/>
      <c r="X5619" s="49"/>
      <c r="Y5619" s="35"/>
      <c r="Z5619" s="35"/>
      <c r="AA5619" s="35"/>
      <c r="AB5619" s="35"/>
      <c r="AC5619" s="35"/>
      <c r="AD5619" s="35"/>
      <c r="AE5619" s="35"/>
      <c r="AF5619" s="35"/>
      <c r="AG5619" s="35"/>
      <c r="AH5619" s="35"/>
      <c r="AI5619" s="35"/>
      <c r="AJ5619" s="35"/>
      <c r="AK5619" s="35"/>
      <c r="AL5619" s="35"/>
    </row>
    <row r="5620">
      <c r="A5620" s="379"/>
      <c r="B5620" s="19" t="s">
        <v>19332</v>
      </c>
      <c r="C5620" s="20" t="s">
        <v>25991</v>
      </c>
      <c r="D5620" s="47"/>
      <c r="E5620" s="22" t="s">
        <v>26436</v>
      </c>
      <c r="F5620" s="22" t="s">
        <v>8506</v>
      </c>
      <c r="G5620" s="23">
        <v>2012.0</v>
      </c>
      <c r="H5620" s="22" t="s">
        <v>658</v>
      </c>
      <c r="I5620" s="380" t="s">
        <v>26437</v>
      </c>
      <c r="J5620" s="22" t="s">
        <v>26438</v>
      </c>
      <c r="K5620" s="22" t="s">
        <v>26439</v>
      </c>
      <c r="L5620" s="36">
        <v>830.0</v>
      </c>
      <c r="M5620" s="36">
        <v>280.0</v>
      </c>
      <c r="N5620" s="36"/>
      <c r="O5620" s="36"/>
      <c r="P5620" s="37"/>
      <c r="Q5620" s="36"/>
      <c r="R5620" s="36"/>
      <c r="S5620" s="36" t="s">
        <v>3233</v>
      </c>
      <c r="T5620" s="28" t="s">
        <v>26440</v>
      </c>
      <c r="U5620" s="38" t="str">
        <f>HYPERLINK("http://www.ncbi.nlm.nih.gov/pubmed/22551049","PubMed")</f>
        <v>PubMed</v>
      </c>
      <c r="V5620" s="30"/>
      <c r="W5620" s="49"/>
      <c r="X5620" s="49"/>
      <c r="Y5620" s="35"/>
      <c r="Z5620" s="35"/>
      <c r="AA5620" s="35"/>
      <c r="AB5620" s="35"/>
      <c r="AC5620" s="35"/>
      <c r="AD5620" s="35"/>
      <c r="AE5620" s="35"/>
      <c r="AF5620" s="35"/>
      <c r="AG5620" s="35"/>
      <c r="AH5620" s="35"/>
      <c r="AI5620" s="35"/>
      <c r="AJ5620" s="35"/>
      <c r="AK5620" s="35"/>
      <c r="AL5620" s="35"/>
    </row>
    <row r="5621">
      <c r="A5621" s="1"/>
      <c r="B5621" s="19" t="s">
        <v>19332</v>
      </c>
      <c r="C5621" s="20" t="s">
        <v>25991</v>
      </c>
      <c r="D5621" s="47"/>
      <c r="E5621" s="22" t="s">
        <v>26441</v>
      </c>
      <c r="F5621" s="22" t="s">
        <v>4033</v>
      </c>
      <c r="G5621" s="23">
        <v>2011.0</v>
      </c>
      <c r="H5621" s="22" t="s">
        <v>26442</v>
      </c>
      <c r="I5621" s="24" t="s">
        <v>26443</v>
      </c>
      <c r="J5621" s="22" t="s">
        <v>1078</v>
      </c>
      <c r="K5621" s="22"/>
      <c r="L5621" s="195" t="s">
        <v>26444</v>
      </c>
      <c r="M5621" s="44"/>
      <c r="N5621" s="44"/>
      <c r="O5621" s="44"/>
      <c r="P5621" s="44"/>
      <c r="Q5621" s="44"/>
      <c r="R5621" s="44"/>
      <c r="S5621" s="44"/>
      <c r="T5621" s="45"/>
      <c r="U5621" s="38" t="str">
        <f>HYPERLINK("https://www.ncbi.nlm.nih.gov/pubmed/22247925","PubMed")</f>
        <v>PubMed</v>
      </c>
      <c r="V5621" s="50"/>
      <c r="W5621" s="49"/>
      <c r="X5621" s="49"/>
      <c r="Y5621" s="35"/>
      <c r="Z5621" s="35"/>
      <c r="AA5621" s="35"/>
      <c r="AB5621" s="35"/>
      <c r="AC5621" s="35"/>
      <c r="AD5621" s="35"/>
      <c r="AE5621" s="35"/>
      <c r="AF5621" s="35"/>
      <c r="AG5621" s="35"/>
      <c r="AH5621" s="35"/>
      <c r="AI5621" s="35"/>
      <c r="AJ5621" s="35"/>
      <c r="AK5621" s="35"/>
      <c r="AL5621" s="35"/>
    </row>
    <row r="5622">
      <c r="A5622" s="379"/>
      <c r="B5622" s="19" t="s">
        <v>19332</v>
      </c>
      <c r="C5622" s="20" t="s">
        <v>25991</v>
      </c>
      <c r="D5622" s="47"/>
      <c r="E5622" s="22" t="s">
        <v>26445</v>
      </c>
      <c r="F5622" s="22" t="s">
        <v>358</v>
      </c>
      <c r="G5622" s="23">
        <v>2010.0</v>
      </c>
      <c r="H5622" s="22" t="s">
        <v>20791</v>
      </c>
      <c r="I5622" s="380" t="s">
        <v>26446</v>
      </c>
      <c r="J5622" s="22" t="s">
        <v>26447</v>
      </c>
      <c r="K5622" s="22" t="s">
        <v>2686</v>
      </c>
      <c r="L5622" s="36">
        <v>780.0</v>
      </c>
      <c r="M5622" s="36">
        <v>70.0</v>
      </c>
      <c r="N5622" s="36"/>
      <c r="O5622" s="36"/>
      <c r="P5622" s="37" t="s">
        <v>9353</v>
      </c>
      <c r="Q5622" s="36"/>
      <c r="R5622" s="36"/>
      <c r="S5622" s="36" t="s">
        <v>7132</v>
      </c>
      <c r="T5622" s="28" t="s">
        <v>26448</v>
      </c>
      <c r="U5622" s="29" t="s">
        <v>61</v>
      </c>
      <c r="V5622" s="30"/>
      <c r="W5622" s="49"/>
      <c r="X5622" s="49"/>
      <c r="Y5622" s="35"/>
      <c r="Z5622" s="35"/>
      <c r="AA5622" s="35"/>
      <c r="AB5622" s="35"/>
      <c r="AC5622" s="35"/>
      <c r="AD5622" s="35"/>
      <c r="AE5622" s="35"/>
      <c r="AF5622" s="35"/>
      <c r="AG5622" s="35"/>
      <c r="AH5622" s="35"/>
      <c r="AI5622" s="35"/>
      <c r="AJ5622" s="35"/>
      <c r="AK5622" s="35"/>
      <c r="AL5622" s="35"/>
    </row>
    <row r="5623">
      <c r="A5623" s="379"/>
      <c r="B5623" s="19" t="s">
        <v>19332</v>
      </c>
      <c r="C5623" s="20" t="s">
        <v>25991</v>
      </c>
      <c r="D5623" s="47"/>
      <c r="E5623" s="22" t="s">
        <v>23925</v>
      </c>
      <c r="F5623" s="22" t="s">
        <v>230</v>
      </c>
      <c r="G5623" s="23">
        <v>2010.0</v>
      </c>
      <c r="H5623" s="22" t="s">
        <v>7777</v>
      </c>
      <c r="I5623" s="380" t="s">
        <v>26449</v>
      </c>
      <c r="J5623" s="22" t="s">
        <v>26450</v>
      </c>
      <c r="K5623" s="22" t="s">
        <v>26451</v>
      </c>
      <c r="L5623" s="36">
        <v>910.0</v>
      </c>
      <c r="M5623" s="36">
        <v>400.0</v>
      </c>
      <c r="N5623" s="36"/>
      <c r="O5623" s="36"/>
      <c r="P5623" s="37"/>
      <c r="Q5623" s="36"/>
      <c r="R5623" s="36"/>
      <c r="S5623" s="36" t="s">
        <v>1514</v>
      </c>
      <c r="T5623" s="28" t="s">
        <v>26452</v>
      </c>
      <c r="U5623" s="38" t="str">
        <f>HYPERLINK("https://www.ncbi.nlm.nih.gov/pubmed/20664343","PubMed")</f>
        <v>PubMed</v>
      </c>
      <c r="V5623" s="30"/>
      <c r="W5623" s="49"/>
      <c r="X5623" s="49"/>
      <c r="Y5623" s="35"/>
      <c r="Z5623" s="35"/>
      <c r="AA5623" s="35"/>
      <c r="AB5623" s="35"/>
      <c r="AC5623" s="35"/>
      <c r="AD5623" s="35"/>
      <c r="AE5623" s="35"/>
      <c r="AF5623" s="35"/>
      <c r="AG5623" s="35"/>
      <c r="AH5623" s="35"/>
      <c r="AI5623" s="35"/>
      <c r="AJ5623" s="35"/>
      <c r="AK5623" s="35"/>
      <c r="AL5623" s="35"/>
    </row>
    <row r="5624">
      <c r="A5624" s="379"/>
      <c r="B5624" s="19" t="s">
        <v>19332</v>
      </c>
      <c r="C5624" s="20" t="s">
        <v>25991</v>
      </c>
      <c r="D5624" s="47"/>
      <c r="E5624" s="22" t="s">
        <v>17005</v>
      </c>
      <c r="F5624" s="22" t="s">
        <v>183</v>
      </c>
      <c r="G5624" s="23">
        <v>2010.0</v>
      </c>
      <c r="H5624" s="22" t="s">
        <v>91</v>
      </c>
      <c r="I5624" s="380" t="s">
        <v>26453</v>
      </c>
      <c r="J5624" s="22" t="s">
        <v>26454</v>
      </c>
      <c r="K5624" s="22" t="s">
        <v>294</v>
      </c>
      <c r="L5624" s="36" t="s">
        <v>26455</v>
      </c>
      <c r="M5624" s="36"/>
      <c r="N5624" s="36"/>
      <c r="O5624" s="36"/>
      <c r="P5624" s="37" t="s">
        <v>26456</v>
      </c>
      <c r="Q5624" s="36"/>
      <c r="R5624" s="36"/>
      <c r="S5624" s="36" t="s">
        <v>26457</v>
      </c>
      <c r="T5624" s="42" t="s">
        <v>26458</v>
      </c>
      <c r="U5624" s="38" t="str">
        <f>HYPERLINK("https://www.ncbi.nlm.nih.gov/pubmed/19565312","PubMed")</f>
        <v>PubMed</v>
      </c>
      <c r="V5624" s="30"/>
      <c r="W5624" s="49"/>
      <c r="X5624" s="49"/>
      <c r="Y5624" s="35"/>
      <c r="Z5624" s="35"/>
      <c r="AA5624" s="35"/>
      <c r="AB5624" s="35"/>
      <c r="AC5624" s="35"/>
      <c r="AD5624" s="35"/>
      <c r="AE5624" s="35"/>
      <c r="AF5624" s="35"/>
      <c r="AG5624" s="35"/>
      <c r="AH5624" s="35"/>
      <c r="AI5624" s="35"/>
      <c r="AJ5624" s="35"/>
      <c r="AK5624" s="35"/>
      <c r="AL5624" s="35"/>
    </row>
    <row r="5625">
      <c r="A5625" s="379"/>
      <c r="B5625" s="19" t="s">
        <v>19332</v>
      </c>
      <c r="C5625" s="20" t="s">
        <v>25991</v>
      </c>
      <c r="D5625" s="47"/>
      <c r="E5625" s="22" t="s">
        <v>26459</v>
      </c>
      <c r="F5625" s="22" t="s">
        <v>605</v>
      </c>
      <c r="G5625" s="23">
        <v>2010.0</v>
      </c>
      <c r="H5625" s="22" t="s">
        <v>26442</v>
      </c>
      <c r="I5625" s="380" t="s">
        <v>26460</v>
      </c>
      <c r="J5625" s="22" t="s">
        <v>253</v>
      </c>
      <c r="K5625" s="22"/>
      <c r="L5625" s="36">
        <v>815.0</v>
      </c>
      <c r="M5625" s="36">
        <v>250.0</v>
      </c>
      <c r="N5625" s="36"/>
      <c r="O5625" s="36"/>
      <c r="P5625" s="37" t="s">
        <v>2848</v>
      </c>
      <c r="Q5625" s="36"/>
      <c r="R5625" s="36">
        <v>48.0</v>
      </c>
      <c r="S5625" s="36"/>
      <c r="T5625" s="41" t="s">
        <v>26461</v>
      </c>
      <c r="U5625" s="38" t="str">
        <f>HYPERLINK("https://www.ncbi.nlm.nih.gov/pubmed/20664831","PubMed")</f>
        <v>PubMed</v>
      </c>
      <c r="V5625" s="30"/>
      <c r="W5625" s="49"/>
      <c r="X5625" s="49"/>
      <c r="Y5625" s="35"/>
      <c r="Z5625" s="35"/>
      <c r="AA5625" s="35"/>
      <c r="AB5625" s="35"/>
      <c r="AC5625" s="35"/>
      <c r="AD5625" s="35"/>
      <c r="AE5625" s="35"/>
      <c r="AF5625" s="35"/>
      <c r="AG5625" s="35"/>
      <c r="AH5625" s="35"/>
      <c r="AI5625" s="35"/>
      <c r="AJ5625" s="35"/>
      <c r="AK5625" s="35"/>
      <c r="AL5625" s="35"/>
    </row>
    <row r="5626">
      <c r="A5626" s="379"/>
      <c r="B5626" s="19" t="s">
        <v>19332</v>
      </c>
      <c r="C5626" s="20" t="s">
        <v>25991</v>
      </c>
      <c r="D5626" s="47"/>
      <c r="E5626" s="22" t="s">
        <v>26462</v>
      </c>
      <c r="F5626" s="22" t="s">
        <v>26463</v>
      </c>
      <c r="G5626" s="23">
        <v>2008.0</v>
      </c>
      <c r="H5626" s="22" t="s">
        <v>26464</v>
      </c>
      <c r="I5626" s="380" t="s">
        <v>26465</v>
      </c>
      <c r="J5626" s="22" t="s">
        <v>26466</v>
      </c>
      <c r="K5626" s="22"/>
      <c r="L5626" s="36">
        <v>10600.0</v>
      </c>
      <c r="M5626" s="36"/>
      <c r="N5626" s="36"/>
      <c r="O5626" s="36"/>
      <c r="P5626" s="37"/>
      <c r="Q5626" s="36"/>
      <c r="R5626" s="36"/>
      <c r="S5626" s="36"/>
      <c r="T5626" s="28" t="s">
        <v>26467</v>
      </c>
      <c r="U5626" s="38" t="str">
        <f>HYPERLINK("https://www.ncbi.nlm.nih.gov/pubmed/18467786","PubMed")</f>
        <v>PubMed</v>
      </c>
      <c r="V5626" s="30"/>
      <c r="W5626" s="49"/>
      <c r="X5626" s="49"/>
      <c r="Y5626" s="35"/>
      <c r="Z5626" s="35"/>
      <c r="AA5626" s="35"/>
      <c r="AB5626" s="35"/>
      <c r="AC5626" s="35"/>
      <c r="AD5626" s="35"/>
      <c r="AE5626" s="35"/>
      <c r="AF5626" s="35"/>
      <c r="AG5626" s="35"/>
      <c r="AH5626" s="35"/>
      <c r="AI5626" s="35"/>
      <c r="AJ5626" s="35"/>
      <c r="AK5626" s="35"/>
      <c r="AL5626" s="35"/>
    </row>
    <row r="5627">
      <c r="A5627" s="379"/>
      <c r="B5627" s="19" t="s">
        <v>19332</v>
      </c>
      <c r="C5627" s="20" t="s">
        <v>25991</v>
      </c>
      <c r="D5627" s="47"/>
      <c r="E5627" s="22" t="s">
        <v>26468</v>
      </c>
      <c r="F5627" s="22" t="s">
        <v>358</v>
      </c>
      <c r="G5627" s="23">
        <v>2008.0</v>
      </c>
      <c r="H5627" s="22" t="s">
        <v>2649</v>
      </c>
      <c r="I5627" s="380" t="s">
        <v>26469</v>
      </c>
      <c r="J5627" s="22" t="s">
        <v>26470</v>
      </c>
      <c r="K5627" s="22"/>
      <c r="L5627" s="36">
        <v>780.0</v>
      </c>
      <c r="M5627" s="36">
        <v>70.0</v>
      </c>
      <c r="N5627" s="36"/>
      <c r="O5627" s="36"/>
      <c r="P5627" s="37" t="s">
        <v>14065</v>
      </c>
      <c r="Q5627" s="36"/>
      <c r="R5627" s="36">
        <v>60.0</v>
      </c>
      <c r="S5627" s="36" t="s">
        <v>2099</v>
      </c>
      <c r="T5627" s="28" t="s">
        <v>26471</v>
      </c>
      <c r="U5627" s="38" t="str">
        <f>HYPERLINK("https://www.ncbi.nlm.nih.gov/pubmed/19004308","PubMed")</f>
        <v>PubMed</v>
      </c>
      <c r="V5627" s="30"/>
      <c r="W5627" s="49"/>
      <c r="X5627" s="49"/>
      <c r="Y5627" s="35"/>
      <c r="Z5627" s="35"/>
      <c r="AA5627" s="35"/>
      <c r="AB5627" s="35"/>
      <c r="AC5627" s="35"/>
      <c r="AD5627" s="35"/>
      <c r="AE5627" s="35"/>
      <c r="AF5627" s="35"/>
      <c r="AG5627" s="35"/>
      <c r="AH5627" s="35"/>
      <c r="AI5627" s="35"/>
      <c r="AJ5627" s="35"/>
      <c r="AK5627" s="35"/>
      <c r="AL5627" s="35"/>
    </row>
    <row r="5628">
      <c r="A5628" s="379"/>
      <c r="B5628" s="19" t="s">
        <v>19332</v>
      </c>
      <c r="C5628" s="20" t="s">
        <v>25991</v>
      </c>
      <c r="D5628" s="47"/>
      <c r="E5628" s="22" t="s">
        <v>26472</v>
      </c>
      <c r="F5628" s="22" t="s">
        <v>19117</v>
      </c>
      <c r="G5628" s="23">
        <v>2008.0</v>
      </c>
      <c r="H5628" s="22" t="s">
        <v>1259</v>
      </c>
      <c r="I5628" s="380" t="s">
        <v>26473</v>
      </c>
      <c r="J5628" s="22" t="s">
        <v>26474</v>
      </c>
      <c r="K5628" s="22"/>
      <c r="L5628" s="36">
        <v>633.0</v>
      </c>
      <c r="M5628" s="36">
        <v>30.0</v>
      </c>
      <c r="N5628" s="36" t="s">
        <v>58</v>
      </c>
      <c r="O5628" s="36" t="s">
        <v>58</v>
      </c>
      <c r="P5628" s="37" t="s">
        <v>671</v>
      </c>
      <c r="Q5628" s="36" t="s">
        <v>58</v>
      </c>
      <c r="R5628" s="36" t="s">
        <v>26475</v>
      </c>
      <c r="S5628" s="36" t="s">
        <v>26476</v>
      </c>
      <c r="T5628" s="41" t="s">
        <v>26477</v>
      </c>
      <c r="U5628" s="38" t="str">
        <f>HYPERLINK("https://www.ncbi.nlm.nih.gov/pubmed/18329580","PubMed")</f>
        <v>PubMed</v>
      </c>
      <c r="V5628" s="30"/>
      <c r="W5628" s="49"/>
      <c r="X5628" s="49"/>
      <c r="Y5628" s="35"/>
      <c r="Z5628" s="35"/>
      <c r="AA5628" s="35"/>
      <c r="AB5628" s="35"/>
      <c r="AC5628" s="35"/>
      <c r="AD5628" s="35"/>
      <c r="AE5628" s="35"/>
      <c r="AF5628" s="35"/>
      <c r="AG5628" s="35"/>
      <c r="AH5628" s="35"/>
      <c r="AI5628" s="35"/>
      <c r="AJ5628" s="35"/>
      <c r="AK5628" s="35"/>
      <c r="AL5628" s="35"/>
    </row>
    <row r="5629">
      <c r="A5629" s="379"/>
      <c r="B5629" s="19" t="s">
        <v>19332</v>
      </c>
      <c r="C5629" s="20" t="s">
        <v>25991</v>
      </c>
      <c r="D5629" s="47"/>
      <c r="E5629" s="22" t="s">
        <v>16222</v>
      </c>
      <c r="F5629" s="22" t="s">
        <v>510</v>
      </c>
      <c r="G5629" s="23">
        <v>2008.0</v>
      </c>
      <c r="H5629" s="22" t="s">
        <v>21099</v>
      </c>
      <c r="I5629" s="380" t="s">
        <v>26478</v>
      </c>
      <c r="J5629" s="22" t="s">
        <v>20766</v>
      </c>
      <c r="K5629" s="22"/>
      <c r="L5629" s="36">
        <v>830.0</v>
      </c>
      <c r="M5629" s="36">
        <v>500.0</v>
      </c>
      <c r="N5629" s="36"/>
      <c r="O5629" s="36" t="s">
        <v>7653</v>
      </c>
      <c r="P5629" s="37" t="s">
        <v>777</v>
      </c>
      <c r="Q5629" s="36"/>
      <c r="R5629" s="36" t="s">
        <v>16594</v>
      </c>
      <c r="S5629" s="36" t="s">
        <v>8418</v>
      </c>
      <c r="T5629" s="42" t="s">
        <v>26479</v>
      </c>
      <c r="U5629" s="38" t="str">
        <f>HYPERLINK("https://www.ncbi.nlm.nih.gov/pubmed/18783114","PubMed")</f>
        <v>PubMed</v>
      </c>
      <c r="V5629" s="30"/>
      <c r="W5629" s="49"/>
      <c r="X5629" s="49"/>
      <c r="Y5629" s="35"/>
      <c r="Z5629" s="35"/>
      <c r="AA5629" s="35"/>
      <c r="AB5629" s="35"/>
      <c r="AC5629" s="35"/>
      <c r="AD5629" s="35"/>
      <c r="AE5629" s="35"/>
      <c r="AF5629" s="35"/>
      <c r="AG5629" s="35"/>
      <c r="AH5629" s="35"/>
      <c r="AI5629" s="35"/>
      <c r="AJ5629" s="35"/>
      <c r="AK5629" s="35"/>
      <c r="AL5629" s="35"/>
    </row>
    <row r="5630">
      <c r="A5630" s="1"/>
      <c r="B5630" s="19" t="s">
        <v>19332</v>
      </c>
      <c r="C5630" s="20" t="s">
        <v>25991</v>
      </c>
      <c r="D5630" s="47"/>
      <c r="E5630" s="22" t="s">
        <v>26480</v>
      </c>
      <c r="F5630" s="22" t="s">
        <v>4724</v>
      </c>
      <c r="G5630" s="23">
        <v>2007.0</v>
      </c>
      <c r="H5630" s="22" t="s">
        <v>19534</v>
      </c>
      <c r="I5630" s="24" t="s">
        <v>26481</v>
      </c>
      <c r="J5630" s="22" t="s">
        <v>26482</v>
      </c>
      <c r="K5630" s="22"/>
      <c r="L5630" s="36">
        <v>780.0</v>
      </c>
      <c r="M5630" s="36">
        <v>10.0</v>
      </c>
      <c r="N5630" s="36"/>
      <c r="O5630" s="129">
        <v>44593.0</v>
      </c>
      <c r="P5630" s="37"/>
      <c r="Q5630" s="36"/>
      <c r="R5630" s="36">
        <v>120.0</v>
      </c>
      <c r="S5630" s="36" t="s">
        <v>4905</v>
      </c>
      <c r="T5630" s="28" t="s">
        <v>26483</v>
      </c>
      <c r="U5630" s="29" t="s">
        <v>61</v>
      </c>
      <c r="V5630" s="30"/>
      <c r="W5630" s="49"/>
      <c r="X5630" s="49"/>
      <c r="Y5630" s="35"/>
      <c r="Z5630" s="35"/>
      <c r="AA5630" s="35"/>
      <c r="AB5630" s="35"/>
      <c r="AC5630" s="35"/>
      <c r="AD5630" s="35"/>
      <c r="AE5630" s="35"/>
      <c r="AF5630" s="35"/>
      <c r="AG5630" s="35"/>
      <c r="AH5630" s="35"/>
      <c r="AI5630" s="35"/>
      <c r="AJ5630" s="35"/>
      <c r="AK5630" s="35"/>
      <c r="AL5630" s="35"/>
    </row>
    <row r="5631">
      <c r="A5631" s="1"/>
      <c r="B5631" s="19" t="s">
        <v>19332</v>
      </c>
      <c r="C5631" s="20" t="s">
        <v>25991</v>
      </c>
      <c r="D5631" s="47"/>
      <c r="E5631" s="22" t="s">
        <v>26484</v>
      </c>
      <c r="F5631" s="22" t="s">
        <v>358</v>
      </c>
      <c r="G5631" s="23">
        <v>2007.0</v>
      </c>
      <c r="H5631" s="22" t="s">
        <v>2649</v>
      </c>
      <c r="I5631" s="24" t="s">
        <v>26485</v>
      </c>
      <c r="J5631" s="22" t="s">
        <v>26486</v>
      </c>
      <c r="K5631" s="22"/>
      <c r="L5631" s="36">
        <v>780.0</v>
      </c>
      <c r="M5631" s="36">
        <v>70.0</v>
      </c>
      <c r="N5631" s="36"/>
      <c r="O5631" s="36"/>
      <c r="P5631" s="37" t="s">
        <v>26487</v>
      </c>
      <c r="Q5631" s="36"/>
      <c r="R5631" s="36">
        <v>10.0</v>
      </c>
      <c r="S5631" s="36" t="s">
        <v>2099</v>
      </c>
      <c r="T5631" s="28" t="s">
        <v>26488</v>
      </c>
      <c r="U5631" s="38" t="str">
        <f>HYPERLINK("https://www.ncbi.nlm.nih.gov/pubmed/17696035","PubMed")</f>
        <v>PubMed</v>
      </c>
      <c r="V5631" s="30"/>
      <c r="W5631" s="49"/>
      <c r="X5631" s="49"/>
      <c r="Y5631" s="35"/>
      <c r="Z5631" s="35"/>
      <c r="AA5631" s="35"/>
      <c r="AB5631" s="35"/>
      <c r="AC5631" s="35"/>
      <c r="AD5631" s="35"/>
      <c r="AE5631" s="35"/>
      <c r="AF5631" s="35"/>
      <c r="AG5631" s="35"/>
      <c r="AH5631" s="35"/>
      <c r="AI5631" s="35"/>
      <c r="AJ5631" s="35"/>
      <c r="AK5631" s="35"/>
      <c r="AL5631" s="35"/>
    </row>
    <row r="5632">
      <c r="A5632" s="1"/>
      <c r="B5632" s="19" t="s">
        <v>19332</v>
      </c>
      <c r="C5632" s="20" t="s">
        <v>25991</v>
      </c>
      <c r="D5632" s="47"/>
      <c r="E5632" s="22" t="s">
        <v>26489</v>
      </c>
      <c r="F5632" s="22" t="s">
        <v>8506</v>
      </c>
      <c r="G5632" s="23">
        <v>2007.0</v>
      </c>
      <c r="H5632" s="22" t="s">
        <v>658</v>
      </c>
      <c r="I5632" s="24" t="s">
        <v>26490</v>
      </c>
      <c r="J5632" s="22" t="s">
        <v>26491</v>
      </c>
      <c r="K5632" s="22"/>
      <c r="L5632" s="36">
        <v>830.0</v>
      </c>
      <c r="M5632" s="36">
        <v>40.0</v>
      </c>
      <c r="N5632" s="36" t="s">
        <v>58</v>
      </c>
      <c r="O5632" s="36" t="s">
        <v>26492</v>
      </c>
      <c r="P5632" s="37" t="s">
        <v>26493</v>
      </c>
      <c r="Q5632" s="36" t="s">
        <v>26494</v>
      </c>
      <c r="R5632" s="36"/>
      <c r="S5632" s="36" t="s">
        <v>26495</v>
      </c>
      <c r="T5632" s="28" t="s">
        <v>26496</v>
      </c>
      <c r="U5632" s="38" t="str">
        <f>HYPERLINK("http://www.ncbi.nlm.nih.gov/pubmed/17803388","PubMed")</f>
        <v>PubMed</v>
      </c>
      <c r="V5632" s="30"/>
      <c r="W5632" s="49"/>
      <c r="X5632" s="49"/>
      <c r="Y5632" s="35"/>
      <c r="Z5632" s="35"/>
      <c r="AA5632" s="35"/>
      <c r="AB5632" s="35"/>
      <c r="AC5632" s="35"/>
      <c r="AD5632" s="35"/>
      <c r="AE5632" s="35"/>
      <c r="AF5632" s="35"/>
      <c r="AG5632" s="35"/>
      <c r="AH5632" s="35"/>
      <c r="AI5632" s="35"/>
      <c r="AJ5632" s="35"/>
      <c r="AK5632" s="35"/>
      <c r="AL5632" s="35"/>
    </row>
    <row r="5633">
      <c r="A5633" s="1"/>
      <c r="B5633" s="19" t="s">
        <v>19332</v>
      </c>
      <c r="C5633" s="20" t="s">
        <v>25991</v>
      </c>
      <c r="D5633" s="47"/>
      <c r="E5633" s="22" t="s">
        <v>26489</v>
      </c>
      <c r="F5633" s="22" t="s">
        <v>8506</v>
      </c>
      <c r="G5633" s="23">
        <v>2006.0</v>
      </c>
      <c r="H5633" s="22" t="s">
        <v>658</v>
      </c>
      <c r="I5633" s="24" t="s">
        <v>26497</v>
      </c>
      <c r="J5633" s="22" t="s">
        <v>2273</v>
      </c>
      <c r="K5633" s="22"/>
      <c r="L5633" s="36">
        <v>830.0</v>
      </c>
      <c r="M5633" s="36">
        <v>400.0</v>
      </c>
      <c r="N5633" s="36" t="s">
        <v>58</v>
      </c>
      <c r="O5633" s="36" t="s">
        <v>58</v>
      </c>
      <c r="P5633" s="37" t="s">
        <v>5401</v>
      </c>
      <c r="Q5633" s="36" t="s">
        <v>26494</v>
      </c>
      <c r="R5633" s="36" t="s">
        <v>26498</v>
      </c>
      <c r="S5633" s="36">
        <v>10.0</v>
      </c>
      <c r="T5633" s="28" t="s">
        <v>26499</v>
      </c>
      <c r="U5633" s="38" t="str">
        <f>HYPERLINK("http://www.ncbi.nlm.nih.gov/pubmed/16942435","PubMed")</f>
        <v>PubMed</v>
      </c>
      <c r="V5633" s="30" t="s">
        <v>26500</v>
      </c>
      <c r="W5633" s="49"/>
      <c r="X5633" s="49"/>
      <c r="Y5633" s="35"/>
      <c r="Z5633" s="35"/>
      <c r="AA5633" s="35"/>
      <c r="AB5633" s="35"/>
      <c r="AC5633" s="35"/>
      <c r="AD5633" s="35"/>
      <c r="AE5633" s="35"/>
      <c r="AF5633" s="35"/>
      <c r="AG5633" s="35"/>
      <c r="AH5633" s="35"/>
      <c r="AI5633" s="35"/>
      <c r="AJ5633" s="35"/>
      <c r="AK5633" s="35"/>
      <c r="AL5633" s="35"/>
    </row>
    <row r="5634">
      <c r="A5634" s="1"/>
      <c r="B5634" s="19" t="s">
        <v>19332</v>
      </c>
      <c r="C5634" s="20" t="s">
        <v>25991</v>
      </c>
      <c r="D5634" s="47"/>
      <c r="E5634" s="22" t="s">
        <v>26501</v>
      </c>
      <c r="F5634" s="22" t="s">
        <v>52</v>
      </c>
      <c r="G5634" s="23">
        <v>2006.0</v>
      </c>
      <c r="H5634" s="22" t="s">
        <v>658</v>
      </c>
      <c r="I5634" s="24" t="s">
        <v>26502</v>
      </c>
      <c r="J5634" s="22" t="s">
        <v>26503</v>
      </c>
      <c r="K5634" s="22" t="s">
        <v>26504</v>
      </c>
      <c r="L5634" s="36">
        <v>830.0</v>
      </c>
      <c r="M5634" s="36" t="s">
        <v>58</v>
      </c>
      <c r="N5634" s="36" t="s">
        <v>58</v>
      </c>
      <c r="O5634" s="36" t="s">
        <v>58</v>
      </c>
      <c r="P5634" s="37" t="s">
        <v>2532</v>
      </c>
      <c r="Q5634" s="36" t="s">
        <v>58</v>
      </c>
      <c r="R5634" s="36">
        <v>162.0</v>
      </c>
      <c r="S5634" s="36" t="s">
        <v>1514</v>
      </c>
      <c r="T5634" s="28" t="s">
        <v>26505</v>
      </c>
      <c r="U5634" s="38" t="str">
        <f>HYPERLINK("https://www.ncbi.nlm.nih.gov/pubmed/17069496","PubMed")</f>
        <v>PubMed</v>
      </c>
      <c r="V5634" s="50"/>
      <c r="W5634" s="49"/>
      <c r="X5634" s="49"/>
      <c r="Y5634" s="35"/>
      <c r="Z5634" s="35"/>
      <c r="AA5634" s="35"/>
      <c r="AB5634" s="35"/>
      <c r="AC5634" s="35"/>
      <c r="AD5634" s="35"/>
      <c r="AE5634" s="35"/>
      <c r="AF5634" s="35"/>
      <c r="AG5634" s="35"/>
      <c r="AH5634" s="35"/>
      <c r="AI5634" s="35"/>
      <c r="AJ5634" s="35"/>
      <c r="AK5634" s="35"/>
      <c r="AL5634" s="35"/>
    </row>
    <row r="5635">
      <c r="A5635" s="1"/>
      <c r="B5635" s="19" t="s">
        <v>19332</v>
      </c>
      <c r="C5635" s="20" t="s">
        <v>25991</v>
      </c>
      <c r="D5635" s="47"/>
      <c r="E5635" s="22" t="s">
        <v>6564</v>
      </c>
      <c r="F5635" s="22" t="s">
        <v>41</v>
      </c>
      <c r="G5635" s="23">
        <v>2006.0</v>
      </c>
      <c r="H5635" s="22" t="s">
        <v>658</v>
      </c>
      <c r="I5635" s="24" t="s">
        <v>26506</v>
      </c>
      <c r="J5635" s="22" t="s">
        <v>26507</v>
      </c>
      <c r="K5635" s="22" t="s">
        <v>26316</v>
      </c>
      <c r="L5635" s="36">
        <v>670.0</v>
      </c>
      <c r="M5635" s="36">
        <v>50.0</v>
      </c>
      <c r="N5635" s="36" t="s">
        <v>58</v>
      </c>
      <c r="O5635" s="36" t="s">
        <v>26508</v>
      </c>
      <c r="P5635" s="37" t="s">
        <v>58</v>
      </c>
      <c r="Q5635" s="36" t="s">
        <v>58</v>
      </c>
      <c r="R5635" s="36">
        <v>480.0</v>
      </c>
      <c r="S5635" s="36" t="s">
        <v>26509</v>
      </c>
      <c r="T5635" s="28" t="s">
        <v>26510</v>
      </c>
      <c r="U5635" s="38" t="str">
        <f>HYPERLINK("https://www.ncbi.nlm.nih.gov/pubmed/16503788","PubMed")</f>
        <v>PubMed</v>
      </c>
      <c r="V5635" s="50"/>
      <c r="W5635" s="49"/>
      <c r="X5635" s="49"/>
      <c r="Y5635" s="35"/>
      <c r="Z5635" s="35"/>
      <c r="AA5635" s="35"/>
      <c r="AB5635" s="35"/>
      <c r="AC5635" s="35"/>
      <c r="AD5635" s="35"/>
      <c r="AE5635" s="35"/>
      <c r="AF5635" s="35"/>
      <c r="AG5635" s="35"/>
      <c r="AH5635" s="35"/>
      <c r="AI5635" s="35"/>
      <c r="AJ5635" s="35"/>
      <c r="AK5635" s="35"/>
      <c r="AL5635" s="35"/>
    </row>
    <row r="5636">
      <c r="A5636" s="1"/>
      <c r="B5636" s="19" t="s">
        <v>19332</v>
      </c>
      <c r="C5636" s="20" t="s">
        <v>25991</v>
      </c>
      <c r="D5636" s="47"/>
      <c r="E5636" s="22" t="s">
        <v>26511</v>
      </c>
      <c r="F5636" s="22" t="s">
        <v>400</v>
      </c>
      <c r="G5636" s="23">
        <v>2005.0</v>
      </c>
      <c r="H5636" s="22" t="s">
        <v>611</v>
      </c>
      <c r="I5636" s="24" t="s">
        <v>26512</v>
      </c>
      <c r="J5636" s="22" t="s">
        <v>26513</v>
      </c>
      <c r="K5636" s="22"/>
      <c r="L5636" s="36" t="s">
        <v>26514</v>
      </c>
      <c r="M5636" s="36">
        <v>100.0</v>
      </c>
      <c r="N5636" s="36" t="s">
        <v>58</v>
      </c>
      <c r="O5636" s="36" t="s">
        <v>58</v>
      </c>
      <c r="P5636" s="37" t="s">
        <v>254</v>
      </c>
      <c r="Q5636" s="36" t="s">
        <v>58</v>
      </c>
      <c r="R5636" s="36" t="s">
        <v>58</v>
      </c>
      <c r="S5636" s="36" t="s">
        <v>17419</v>
      </c>
      <c r="T5636" s="28" t="s">
        <v>26515</v>
      </c>
      <c r="U5636" s="38" t="str">
        <f>HYPERLINK("https://www.ncbi.nlm.nih.gov/pubmed/20878031","PubMed")</f>
        <v>PubMed</v>
      </c>
      <c r="V5636" s="50"/>
      <c r="W5636" s="49"/>
      <c r="X5636" s="49"/>
      <c r="Y5636" s="35"/>
      <c r="Z5636" s="35"/>
      <c r="AA5636" s="35"/>
      <c r="AB5636" s="35"/>
      <c r="AC5636" s="35"/>
      <c r="AD5636" s="35"/>
      <c r="AE5636" s="35"/>
      <c r="AF5636" s="35"/>
      <c r="AG5636" s="35"/>
      <c r="AH5636" s="35"/>
      <c r="AI5636" s="35"/>
      <c r="AJ5636" s="35"/>
      <c r="AK5636" s="35"/>
      <c r="AL5636" s="35"/>
    </row>
    <row r="5637">
      <c r="A5637" s="1"/>
      <c r="B5637" s="19" t="s">
        <v>19332</v>
      </c>
      <c r="C5637" s="20" t="s">
        <v>25991</v>
      </c>
      <c r="D5637" s="47"/>
      <c r="E5637" s="22" t="s">
        <v>26516</v>
      </c>
      <c r="F5637" s="22" t="s">
        <v>308</v>
      </c>
      <c r="G5637" s="23">
        <v>2005.0</v>
      </c>
      <c r="H5637" s="22" t="s">
        <v>1144</v>
      </c>
      <c r="I5637" s="24" t="s">
        <v>26517</v>
      </c>
      <c r="J5637" s="22" t="s">
        <v>26518</v>
      </c>
      <c r="K5637" s="22"/>
      <c r="L5637" s="36">
        <v>780.0</v>
      </c>
      <c r="M5637" s="36">
        <v>30.0</v>
      </c>
      <c r="N5637" s="36" t="s">
        <v>58</v>
      </c>
      <c r="O5637" s="36" t="s">
        <v>58</v>
      </c>
      <c r="P5637" s="37" t="s">
        <v>19631</v>
      </c>
      <c r="Q5637" s="36" t="s">
        <v>58</v>
      </c>
      <c r="R5637" s="36" t="s">
        <v>26519</v>
      </c>
      <c r="S5637" s="36" t="s">
        <v>4387</v>
      </c>
      <c r="T5637" s="41" t="s">
        <v>26520</v>
      </c>
      <c r="U5637" s="38" t="str">
        <f>HYPERLINK("https://www.ncbi.nlm.nih.gov/pubmed/16202043","PubMed")</f>
        <v>PubMed</v>
      </c>
      <c r="V5637" s="30" t="s">
        <v>26521</v>
      </c>
      <c r="W5637" s="49"/>
      <c r="X5637" s="49"/>
      <c r="Y5637" s="35"/>
      <c r="Z5637" s="35"/>
      <c r="AA5637" s="35"/>
      <c r="AB5637" s="35"/>
      <c r="AC5637" s="35"/>
      <c r="AD5637" s="35"/>
      <c r="AE5637" s="35"/>
      <c r="AF5637" s="35"/>
      <c r="AG5637" s="35"/>
      <c r="AH5637" s="35"/>
      <c r="AI5637" s="35"/>
      <c r="AJ5637" s="35"/>
      <c r="AK5637" s="35"/>
      <c r="AL5637" s="35"/>
    </row>
    <row r="5638">
      <c r="A5638" s="1"/>
      <c r="B5638" s="19" t="s">
        <v>19332</v>
      </c>
      <c r="C5638" s="20" t="s">
        <v>25991</v>
      </c>
      <c r="D5638" s="47"/>
      <c r="E5638" s="22" t="s">
        <v>26522</v>
      </c>
      <c r="F5638" s="22" t="s">
        <v>4763</v>
      </c>
      <c r="G5638" s="23">
        <v>2003.0</v>
      </c>
      <c r="H5638" s="22" t="s">
        <v>13862</v>
      </c>
      <c r="I5638" s="24" t="s">
        <v>26523</v>
      </c>
      <c r="J5638" s="22" t="s">
        <v>26524</v>
      </c>
      <c r="K5638" s="22" t="s">
        <v>26525</v>
      </c>
      <c r="L5638" s="36">
        <v>904.0</v>
      </c>
      <c r="M5638" s="36">
        <v>17.0</v>
      </c>
      <c r="N5638" s="36" t="s">
        <v>58</v>
      </c>
      <c r="O5638" s="36" t="s">
        <v>58</v>
      </c>
      <c r="P5638" s="37" t="s">
        <v>969</v>
      </c>
      <c r="Q5638" s="36" t="s">
        <v>58</v>
      </c>
      <c r="R5638" s="36">
        <v>180.0</v>
      </c>
      <c r="S5638" s="36">
        <v>15.0</v>
      </c>
      <c r="T5638" s="28" t="s">
        <v>26526</v>
      </c>
      <c r="U5638" s="38" t="str">
        <f>HYPERLINK("https://www.ncbi.nlm.nih.gov/pubmed/12737331","PubMed")</f>
        <v>PubMed</v>
      </c>
      <c r="V5638" s="30" t="s">
        <v>26527</v>
      </c>
      <c r="W5638" s="49"/>
      <c r="X5638" s="49"/>
      <c r="Y5638" s="35"/>
      <c r="Z5638" s="35"/>
      <c r="AA5638" s="35"/>
      <c r="AB5638" s="35"/>
      <c r="AC5638" s="35"/>
      <c r="AD5638" s="35"/>
      <c r="AE5638" s="35"/>
      <c r="AF5638" s="35"/>
      <c r="AG5638" s="35"/>
      <c r="AH5638" s="35"/>
      <c r="AI5638" s="35"/>
      <c r="AJ5638" s="35"/>
      <c r="AK5638" s="35"/>
      <c r="AL5638" s="35"/>
    </row>
    <row r="5639">
      <c r="A5639" s="1"/>
      <c r="B5639" s="19" t="s">
        <v>19332</v>
      </c>
      <c r="C5639" s="20" t="s">
        <v>25991</v>
      </c>
      <c r="D5639" s="47"/>
      <c r="E5639" s="22" t="s">
        <v>651</v>
      </c>
      <c r="F5639" s="22" t="s">
        <v>400</v>
      </c>
      <c r="G5639" s="23">
        <v>1998.0</v>
      </c>
      <c r="H5639" s="22" t="s">
        <v>1289</v>
      </c>
      <c r="I5639" s="24" t="s">
        <v>26528</v>
      </c>
      <c r="J5639" s="22" t="s">
        <v>26529</v>
      </c>
      <c r="K5639" s="22"/>
      <c r="L5639" s="36" t="s">
        <v>26530</v>
      </c>
      <c r="M5639" s="36" t="s">
        <v>26531</v>
      </c>
      <c r="N5639" s="36" t="s">
        <v>58</v>
      </c>
      <c r="O5639" s="36" t="s">
        <v>26532</v>
      </c>
      <c r="P5639" s="37" t="s">
        <v>26533</v>
      </c>
      <c r="Q5639" s="36" t="s">
        <v>58</v>
      </c>
      <c r="R5639" s="36" t="s">
        <v>58</v>
      </c>
      <c r="S5639" s="36" t="s">
        <v>26534</v>
      </c>
      <c r="T5639" s="28" t="s">
        <v>26535</v>
      </c>
      <c r="U5639" s="38" t="str">
        <f>HYPERLINK("https://www.ncbi.nlm.nih.gov/pubmed/9796491","PubMed")</f>
        <v>PubMed</v>
      </c>
      <c r="V5639" s="50"/>
      <c r="W5639" s="49"/>
      <c r="X5639" s="49"/>
      <c r="Y5639" s="35"/>
      <c r="Z5639" s="35"/>
      <c r="AA5639" s="35"/>
      <c r="AB5639" s="35"/>
      <c r="AC5639" s="35"/>
      <c r="AD5639" s="35"/>
      <c r="AE5639" s="35"/>
      <c r="AF5639" s="35"/>
      <c r="AG5639" s="35"/>
      <c r="AH5639" s="35"/>
      <c r="AI5639" s="35"/>
      <c r="AJ5639" s="35"/>
      <c r="AK5639" s="35"/>
      <c r="AL5639" s="35"/>
    </row>
    <row r="5640">
      <c r="A5640" s="1"/>
      <c r="B5640" s="19" t="s">
        <v>19332</v>
      </c>
      <c r="C5640" s="20" t="s">
        <v>25991</v>
      </c>
      <c r="D5640" s="47"/>
      <c r="E5640" s="22" t="s">
        <v>26536</v>
      </c>
      <c r="F5640" s="22" t="s">
        <v>241</v>
      </c>
      <c r="G5640" s="23">
        <v>1997.0</v>
      </c>
      <c r="H5640" s="22" t="s">
        <v>2649</v>
      </c>
      <c r="I5640" s="24" t="s">
        <v>26537</v>
      </c>
      <c r="J5640" s="22" t="s">
        <v>26538</v>
      </c>
      <c r="K5640" s="22"/>
      <c r="L5640" s="36">
        <v>830.0</v>
      </c>
      <c r="M5640" s="36">
        <v>100.0</v>
      </c>
      <c r="N5640" s="36" t="s">
        <v>58</v>
      </c>
      <c r="O5640" s="36">
        <v>4.0</v>
      </c>
      <c r="P5640" s="37" t="s">
        <v>58</v>
      </c>
      <c r="Q5640" s="36" t="s">
        <v>58</v>
      </c>
      <c r="R5640" s="36">
        <v>40.0</v>
      </c>
      <c r="S5640" s="36" t="s">
        <v>7321</v>
      </c>
      <c r="T5640" s="42" t="s">
        <v>26539</v>
      </c>
      <c r="U5640" s="29" t="s">
        <v>61</v>
      </c>
      <c r="V5640" s="30" t="s">
        <v>26540</v>
      </c>
      <c r="W5640" s="49"/>
      <c r="X5640" s="49"/>
      <c r="Y5640" s="35"/>
      <c r="Z5640" s="35"/>
      <c r="AA5640" s="35"/>
      <c r="AB5640" s="35"/>
      <c r="AC5640" s="35"/>
      <c r="AD5640" s="35"/>
      <c r="AE5640" s="35"/>
      <c r="AF5640" s="35"/>
      <c r="AG5640" s="35"/>
      <c r="AH5640" s="35"/>
      <c r="AI5640" s="35"/>
      <c r="AJ5640" s="35"/>
      <c r="AK5640" s="35"/>
      <c r="AL5640" s="35"/>
    </row>
    <row r="5641">
      <c r="A5641" s="1"/>
      <c r="B5641" s="19" t="s">
        <v>19332</v>
      </c>
      <c r="C5641" s="20" t="s">
        <v>25991</v>
      </c>
      <c r="D5641" s="47"/>
      <c r="E5641" s="22" t="s">
        <v>651</v>
      </c>
      <c r="F5641" s="22" t="s">
        <v>400</v>
      </c>
      <c r="G5641" s="23">
        <v>1997.0</v>
      </c>
      <c r="H5641" s="22" t="s">
        <v>1289</v>
      </c>
      <c r="I5641" s="24" t="s">
        <v>26541</v>
      </c>
      <c r="J5641" s="22" t="s">
        <v>26542</v>
      </c>
      <c r="K5641" s="22"/>
      <c r="L5641" s="36" t="s">
        <v>26530</v>
      </c>
      <c r="M5641" s="36" t="s">
        <v>26543</v>
      </c>
      <c r="N5641" s="36" t="s">
        <v>58</v>
      </c>
      <c r="O5641" s="36" t="s">
        <v>26544</v>
      </c>
      <c r="P5641" s="37" t="s">
        <v>26545</v>
      </c>
      <c r="Q5641" s="36" t="s">
        <v>58</v>
      </c>
      <c r="R5641" s="36" t="s">
        <v>58</v>
      </c>
      <c r="S5641" s="36" t="s">
        <v>26534</v>
      </c>
      <c r="T5641" s="28" t="s">
        <v>26546</v>
      </c>
      <c r="U5641" s="38" t="str">
        <f>HYPERLINK("https://www.ncbi.nlm.nih.gov/pubmed/9612167","PubMed")</f>
        <v>PubMed</v>
      </c>
      <c r="V5641" s="50"/>
      <c r="W5641" s="49"/>
      <c r="X5641" s="49"/>
      <c r="Y5641" s="35"/>
      <c r="Z5641" s="35"/>
      <c r="AA5641" s="35"/>
      <c r="AB5641" s="35"/>
      <c r="AC5641" s="35"/>
      <c r="AD5641" s="35"/>
      <c r="AE5641" s="35"/>
      <c r="AF5641" s="35"/>
      <c r="AG5641" s="35"/>
      <c r="AH5641" s="35"/>
      <c r="AI5641" s="35"/>
      <c r="AJ5641" s="35"/>
      <c r="AK5641" s="35"/>
      <c r="AL5641" s="35"/>
    </row>
    <row r="5642">
      <c r="A5642" s="40"/>
      <c r="B5642" s="19" t="s">
        <v>19332</v>
      </c>
      <c r="C5642" s="20" t="s">
        <v>25991</v>
      </c>
      <c r="D5642" s="47"/>
      <c r="E5642" s="22" t="s">
        <v>26547</v>
      </c>
      <c r="F5642" s="22" t="s">
        <v>26548</v>
      </c>
      <c r="G5642" s="23">
        <v>1995.0</v>
      </c>
      <c r="H5642" s="22" t="s">
        <v>2649</v>
      </c>
      <c r="I5642" s="24" t="s">
        <v>26549</v>
      </c>
      <c r="J5642" s="22" t="s">
        <v>26550</v>
      </c>
      <c r="K5642" s="22"/>
      <c r="L5642" s="36">
        <v>904.0</v>
      </c>
      <c r="M5642" s="36" t="s">
        <v>58</v>
      </c>
      <c r="N5642" s="36" t="s">
        <v>58</v>
      </c>
      <c r="O5642" s="36" t="s">
        <v>58</v>
      </c>
      <c r="P5642" s="37" t="s">
        <v>58</v>
      </c>
      <c r="Q5642" s="36" t="s">
        <v>58</v>
      </c>
      <c r="R5642" s="36">
        <v>540.0</v>
      </c>
      <c r="S5642" s="36" t="s">
        <v>8476</v>
      </c>
      <c r="T5642" s="28" t="s">
        <v>26551</v>
      </c>
      <c r="U5642" s="29" t="s">
        <v>61</v>
      </c>
      <c r="V5642" s="50"/>
      <c r="W5642" s="49"/>
      <c r="X5642" s="49"/>
      <c r="Y5642" s="35"/>
      <c r="Z5642" s="35"/>
      <c r="AA5642" s="35"/>
      <c r="AB5642" s="35"/>
      <c r="AC5642" s="35"/>
      <c r="AD5642" s="35"/>
      <c r="AE5642" s="35"/>
      <c r="AF5642" s="35"/>
      <c r="AG5642" s="35"/>
      <c r="AH5642" s="35"/>
      <c r="AI5642" s="35"/>
      <c r="AJ5642" s="35"/>
      <c r="AK5642" s="35"/>
      <c r="AL5642" s="35"/>
    </row>
    <row r="5643">
      <c r="A5643" s="40" t="s">
        <v>181</v>
      </c>
      <c r="B5643" s="19" t="s">
        <v>19332</v>
      </c>
      <c r="C5643" s="20" t="s">
        <v>25991</v>
      </c>
      <c r="D5643" s="47"/>
      <c r="E5643" s="22" t="s">
        <v>26547</v>
      </c>
      <c r="F5643" s="22" t="s">
        <v>26548</v>
      </c>
      <c r="G5643" s="23">
        <v>1995.0</v>
      </c>
      <c r="H5643" s="22" t="s">
        <v>2649</v>
      </c>
      <c r="I5643" s="24" t="s">
        <v>26552</v>
      </c>
      <c r="J5643" s="22" t="s">
        <v>26553</v>
      </c>
      <c r="K5643" s="22"/>
      <c r="L5643" s="36">
        <v>904.0</v>
      </c>
      <c r="M5643" s="36" t="s">
        <v>58</v>
      </c>
      <c r="N5643" s="36" t="s">
        <v>58</v>
      </c>
      <c r="O5643" s="36" t="s">
        <v>58</v>
      </c>
      <c r="P5643" s="37" t="s">
        <v>58</v>
      </c>
      <c r="Q5643" s="36" t="s">
        <v>58</v>
      </c>
      <c r="R5643" s="36">
        <v>540.0</v>
      </c>
      <c r="S5643" s="36" t="s">
        <v>8476</v>
      </c>
      <c r="T5643" s="28" t="s">
        <v>26554</v>
      </c>
      <c r="U5643" s="38" t="str">
        <f>HYPERLINK("https://www.ncbi.nlm.nih.gov/pubmed/7585998","PubMed")</f>
        <v>PubMed</v>
      </c>
      <c r="V5643" s="30" t="s">
        <v>26555</v>
      </c>
      <c r="W5643" s="49"/>
      <c r="X5643" s="49"/>
      <c r="Y5643" s="35"/>
      <c r="Z5643" s="35"/>
      <c r="AA5643" s="35"/>
      <c r="AB5643" s="35"/>
      <c r="AC5643" s="35"/>
      <c r="AD5643" s="35"/>
      <c r="AE5643" s="35"/>
      <c r="AF5643" s="35"/>
      <c r="AG5643" s="35"/>
      <c r="AH5643" s="35"/>
      <c r="AI5643" s="35"/>
      <c r="AJ5643" s="35"/>
      <c r="AK5643" s="35"/>
      <c r="AL5643" s="35"/>
    </row>
    <row r="5644">
      <c r="A5644" s="40"/>
      <c r="B5644" s="19" t="s">
        <v>19332</v>
      </c>
      <c r="C5644" s="20" t="s">
        <v>25991</v>
      </c>
      <c r="D5644" s="47"/>
      <c r="E5644" s="22" t="s">
        <v>26556</v>
      </c>
      <c r="F5644" s="22" t="s">
        <v>22029</v>
      </c>
      <c r="G5644" s="23">
        <v>1994.0</v>
      </c>
      <c r="H5644" s="22" t="s">
        <v>26557</v>
      </c>
      <c r="I5644" s="24" t="s">
        <v>26558</v>
      </c>
      <c r="J5644" s="22" t="s">
        <v>13715</v>
      </c>
      <c r="K5644" s="22"/>
      <c r="L5644" s="36"/>
      <c r="M5644" s="36"/>
      <c r="N5644" s="36"/>
      <c r="O5644" s="36"/>
      <c r="P5644" s="37"/>
      <c r="Q5644" s="36"/>
      <c r="R5644" s="36"/>
      <c r="S5644" s="36"/>
      <c r="T5644" s="28" t="s">
        <v>26559</v>
      </c>
      <c r="U5644" s="38" t="str">
        <f>HYPERLINK("https://www.ncbi.nlm.nih.gov/pubmed/8186034","PubMed")</f>
        <v>PubMed</v>
      </c>
      <c r="V5644" s="50"/>
      <c r="W5644" s="49"/>
      <c r="X5644" s="49"/>
      <c r="Y5644" s="35"/>
      <c r="Z5644" s="35"/>
      <c r="AA5644" s="35"/>
      <c r="AB5644" s="35"/>
      <c r="AC5644" s="35"/>
      <c r="AD5644" s="35"/>
      <c r="AE5644" s="35"/>
      <c r="AF5644" s="35"/>
      <c r="AG5644" s="35"/>
      <c r="AH5644" s="35"/>
      <c r="AI5644" s="35"/>
      <c r="AJ5644" s="35"/>
      <c r="AK5644" s="35"/>
      <c r="AL5644" s="35"/>
    </row>
    <row r="5645">
      <c r="A5645" s="40"/>
      <c r="B5645" s="19" t="s">
        <v>19332</v>
      </c>
      <c r="C5645" s="20" t="s">
        <v>25991</v>
      </c>
      <c r="D5645" s="47"/>
      <c r="E5645" s="22" t="s">
        <v>26560</v>
      </c>
      <c r="F5645" s="22" t="s">
        <v>6630</v>
      </c>
      <c r="G5645" s="23">
        <v>1989.0</v>
      </c>
      <c r="H5645" s="22" t="s">
        <v>20779</v>
      </c>
      <c r="I5645" s="24" t="s">
        <v>26561</v>
      </c>
      <c r="J5645" s="22" t="s">
        <v>26562</v>
      </c>
      <c r="K5645" s="22"/>
      <c r="L5645" s="36">
        <v>904.0</v>
      </c>
      <c r="M5645" s="36" t="s">
        <v>3089</v>
      </c>
      <c r="N5645" s="36" t="s">
        <v>58</v>
      </c>
      <c r="O5645" s="36" t="s">
        <v>58</v>
      </c>
      <c r="P5645" s="37" t="s">
        <v>58</v>
      </c>
      <c r="Q5645" s="36" t="s">
        <v>58</v>
      </c>
      <c r="R5645" s="36">
        <v>300.0</v>
      </c>
      <c r="S5645" s="36" t="s">
        <v>3125</v>
      </c>
      <c r="T5645" s="28" t="s">
        <v>26563</v>
      </c>
      <c r="U5645" s="38" t="str">
        <f>HYPERLINK("https://www.ncbi.nlm.nih.gov/pubmed/2746531","PubMed")</f>
        <v>PubMed</v>
      </c>
      <c r="V5645" s="50"/>
      <c r="W5645" s="49"/>
      <c r="X5645" s="49"/>
      <c r="Y5645" s="35"/>
      <c r="Z5645" s="35"/>
      <c r="AA5645" s="35"/>
      <c r="AB5645" s="35"/>
      <c r="AC5645" s="35"/>
      <c r="AD5645" s="35"/>
      <c r="AE5645" s="35"/>
      <c r="AF5645" s="35"/>
      <c r="AG5645" s="35"/>
      <c r="AH5645" s="35"/>
      <c r="AI5645" s="35"/>
      <c r="AJ5645" s="35"/>
      <c r="AK5645" s="35"/>
      <c r="AL5645" s="35"/>
    </row>
    <row r="5646">
      <c r="A5646" s="40"/>
      <c r="B5646" s="19" t="s">
        <v>19332</v>
      </c>
      <c r="C5646" s="20" t="s">
        <v>25991</v>
      </c>
      <c r="D5646" s="47"/>
      <c r="E5646" s="22" t="s">
        <v>26564</v>
      </c>
      <c r="F5646" s="22"/>
      <c r="G5646" s="23">
        <v>1988.0</v>
      </c>
      <c r="H5646" s="22" t="s">
        <v>26565</v>
      </c>
      <c r="I5646" s="24" t="s">
        <v>26566</v>
      </c>
      <c r="J5646" s="22" t="s">
        <v>3053</v>
      </c>
      <c r="K5646" s="22"/>
      <c r="L5646" s="168"/>
      <c r="M5646" s="168"/>
      <c r="N5646" s="168"/>
      <c r="O5646" s="168"/>
      <c r="P5646" s="169"/>
      <c r="Q5646" s="168"/>
      <c r="R5646" s="168"/>
      <c r="S5646" s="168"/>
      <c r="T5646" s="28" t="s">
        <v>26567</v>
      </c>
      <c r="U5646" s="38" t="str">
        <f>HYPERLINK("https://www.ncbi.nlm.nih.gov/pubmed/3253308","PubMed")</f>
        <v>PubMed</v>
      </c>
      <c r="V5646" s="50"/>
      <c r="W5646" s="49"/>
      <c r="X5646" s="49"/>
      <c r="Y5646" s="35"/>
      <c r="Z5646" s="35"/>
      <c r="AA5646" s="35"/>
      <c r="AB5646" s="35"/>
      <c r="AC5646" s="35"/>
      <c r="AD5646" s="35"/>
      <c r="AE5646" s="35"/>
      <c r="AF5646" s="35"/>
      <c r="AG5646" s="35"/>
      <c r="AH5646" s="35"/>
      <c r="AI5646" s="35"/>
      <c r="AJ5646" s="35"/>
      <c r="AK5646" s="35"/>
      <c r="AL5646" s="35"/>
    </row>
    <row r="5647">
      <c r="A5647" s="40"/>
      <c r="B5647" s="19" t="s">
        <v>19332</v>
      </c>
      <c r="C5647" s="20" t="s">
        <v>26568</v>
      </c>
      <c r="D5647" s="47"/>
      <c r="E5647" s="22" t="s">
        <v>26569</v>
      </c>
      <c r="F5647" s="22" t="s">
        <v>1124</v>
      </c>
      <c r="G5647" s="23">
        <v>2023.0</v>
      </c>
      <c r="H5647" s="22" t="s">
        <v>12502</v>
      </c>
      <c r="I5647" s="24" t="s">
        <v>26570</v>
      </c>
      <c r="J5647" s="22" t="s">
        <v>55</v>
      </c>
      <c r="K5647" s="22"/>
      <c r="L5647" s="94">
        <v>980.0</v>
      </c>
      <c r="M5647" s="94">
        <v>500.0</v>
      </c>
      <c r="N5647" s="94" t="s">
        <v>26571</v>
      </c>
      <c r="O5647" s="94">
        <v>30.0</v>
      </c>
      <c r="P5647" s="95" t="s">
        <v>26572</v>
      </c>
      <c r="Q5647" s="94" t="s">
        <v>26573</v>
      </c>
      <c r="R5647" s="94">
        <v>60.0</v>
      </c>
      <c r="S5647" s="94" t="s">
        <v>20078</v>
      </c>
      <c r="T5647" s="28" t="s">
        <v>26574</v>
      </c>
      <c r="U5647" s="38" t="s">
        <v>61</v>
      </c>
      <c r="V5647" s="50"/>
      <c r="W5647" s="49"/>
      <c r="X5647" s="49"/>
      <c r="Y5647" s="35"/>
      <c r="Z5647" s="35"/>
      <c r="AA5647" s="35"/>
      <c r="AB5647" s="35"/>
      <c r="AC5647" s="35"/>
      <c r="AD5647" s="35"/>
      <c r="AE5647" s="35"/>
      <c r="AF5647" s="35"/>
      <c r="AG5647" s="35"/>
      <c r="AH5647" s="35"/>
      <c r="AI5647" s="35"/>
      <c r="AJ5647" s="35"/>
      <c r="AK5647" s="35"/>
      <c r="AL5647" s="35"/>
    </row>
    <row r="5648">
      <c r="A5648" s="40"/>
      <c r="B5648" s="19" t="s">
        <v>19332</v>
      </c>
      <c r="C5648" s="20" t="s">
        <v>26575</v>
      </c>
      <c r="D5648" s="47"/>
      <c r="E5648" s="22" t="s">
        <v>3919</v>
      </c>
      <c r="F5648" s="22" t="s">
        <v>1943</v>
      </c>
      <c r="G5648" s="23">
        <v>2023.0</v>
      </c>
      <c r="H5648" s="22" t="s">
        <v>77</v>
      </c>
      <c r="I5648" s="24" t="s">
        <v>26576</v>
      </c>
      <c r="J5648" s="22" t="s">
        <v>55</v>
      </c>
      <c r="K5648" s="22" t="s">
        <v>26577</v>
      </c>
      <c r="L5648" s="94">
        <v>807.0</v>
      </c>
      <c r="M5648" s="94"/>
      <c r="N5648" s="94"/>
      <c r="O5648" s="94"/>
      <c r="P5648" s="95" t="s">
        <v>254</v>
      </c>
      <c r="Q5648" s="94"/>
      <c r="R5648" s="94"/>
      <c r="S5648" s="94" t="s">
        <v>1352</v>
      </c>
      <c r="T5648" s="28" t="s">
        <v>26578</v>
      </c>
      <c r="U5648" s="38" t="s">
        <v>61</v>
      </c>
      <c r="V5648" s="50"/>
      <c r="W5648" s="49"/>
      <c r="X5648" s="49"/>
      <c r="Y5648" s="35"/>
      <c r="Z5648" s="35"/>
      <c r="AA5648" s="35"/>
      <c r="AB5648" s="35"/>
      <c r="AC5648" s="35"/>
      <c r="AD5648" s="35"/>
      <c r="AE5648" s="35"/>
      <c r="AF5648" s="35"/>
      <c r="AG5648" s="35"/>
      <c r="AH5648" s="35"/>
      <c r="AI5648" s="35"/>
      <c r="AJ5648" s="35"/>
      <c r="AK5648" s="35"/>
      <c r="AL5648" s="35"/>
    </row>
    <row r="5649">
      <c r="A5649" s="40"/>
      <c r="B5649" s="19" t="s">
        <v>19332</v>
      </c>
      <c r="C5649" s="20" t="s">
        <v>26575</v>
      </c>
      <c r="D5649" s="47"/>
      <c r="E5649" s="22" t="s">
        <v>26579</v>
      </c>
      <c r="F5649" s="22" t="s">
        <v>26580</v>
      </c>
      <c r="G5649" s="23">
        <v>2020.0</v>
      </c>
      <c r="H5649" s="22" t="s">
        <v>26581</v>
      </c>
      <c r="I5649" s="24" t="s">
        <v>26582</v>
      </c>
      <c r="J5649" s="22" t="s">
        <v>253</v>
      </c>
      <c r="K5649" s="22" t="s">
        <v>26583</v>
      </c>
      <c r="L5649" s="94" t="s">
        <v>8531</v>
      </c>
      <c r="M5649" s="94"/>
      <c r="N5649" s="94"/>
      <c r="O5649" s="94"/>
      <c r="P5649" s="95" t="s">
        <v>5859</v>
      </c>
      <c r="Q5649" s="94"/>
      <c r="R5649" s="94"/>
      <c r="S5649" s="94" t="s">
        <v>21972</v>
      </c>
      <c r="T5649" s="28" t="s">
        <v>26584</v>
      </c>
      <c r="U5649" s="29" t="s">
        <v>61</v>
      </c>
      <c r="V5649" s="50"/>
      <c r="W5649" s="49"/>
      <c r="X5649" s="49"/>
      <c r="Y5649" s="35"/>
      <c r="Z5649" s="35"/>
      <c r="AA5649" s="35"/>
      <c r="AB5649" s="35"/>
      <c r="AC5649" s="35"/>
      <c r="AD5649" s="35"/>
      <c r="AE5649" s="35"/>
      <c r="AF5649" s="35"/>
      <c r="AG5649" s="35"/>
      <c r="AH5649" s="35"/>
      <c r="AI5649" s="35"/>
      <c r="AJ5649" s="35"/>
      <c r="AK5649" s="35"/>
      <c r="AL5649" s="35"/>
    </row>
    <row r="5650">
      <c r="A5650" s="40"/>
      <c r="B5650" s="19" t="s">
        <v>19332</v>
      </c>
      <c r="C5650" s="20" t="s">
        <v>26575</v>
      </c>
      <c r="D5650" s="47"/>
      <c r="E5650" s="22" t="s">
        <v>26585</v>
      </c>
      <c r="F5650" s="22" t="s">
        <v>22786</v>
      </c>
      <c r="G5650" s="23">
        <v>2019.0</v>
      </c>
      <c r="H5650" s="22" t="s">
        <v>91</v>
      </c>
      <c r="I5650" s="24" t="s">
        <v>26586</v>
      </c>
      <c r="J5650" s="22" t="s">
        <v>55</v>
      </c>
      <c r="K5650" s="22"/>
      <c r="L5650" s="94">
        <v>660.0</v>
      </c>
      <c r="M5650" s="94">
        <v>40.0</v>
      </c>
      <c r="N5650" s="94"/>
      <c r="O5650" s="94" t="s">
        <v>26587</v>
      </c>
      <c r="P5650" s="95" t="s">
        <v>254</v>
      </c>
      <c r="Q5650" s="94" t="s">
        <v>830</v>
      </c>
      <c r="R5650" s="94">
        <v>4.0</v>
      </c>
      <c r="S5650" s="94">
        <v>10.0</v>
      </c>
      <c r="T5650" s="28" t="s">
        <v>26588</v>
      </c>
      <c r="U5650" s="38" t="str">
        <f>HYPERLINK("https://www.ncbi.nlm.nih.gov/pubmed/30820776","PubMed")</f>
        <v>PubMed</v>
      </c>
      <c r="V5650" s="50"/>
      <c r="W5650" s="49"/>
      <c r="X5650" s="49"/>
      <c r="Y5650" s="35"/>
      <c r="Z5650" s="35"/>
      <c r="AA5650" s="35"/>
      <c r="AB5650" s="35"/>
      <c r="AC5650" s="35"/>
      <c r="AD5650" s="35"/>
      <c r="AE5650" s="35"/>
      <c r="AF5650" s="35"/>
      <c r="AG5650" s="35"/>
      <c r="AH5650" s="35"/>
      <c r="AI5650" s="35"/>
      <c r="AJ5650" s="35"/>
      <c r="AK5650" s="35"/>
      <c r="AL5650" s="35"/>
    </row>
    <row r="5651">
      <c r="A5651" s="40"/>
      <c r="B5651" s="19" t="s">
        <v>19332</v>
      </c>
      <c r="C5651" s="20" t="s">
        <v>26589</v>
      </c>
      <c r="D5651" s="47"/>
      <c r="E5651" s="22" t="s">
        <v>26590</v>
      </c>
      <c r="F5651" s="22" t="s">
        <v>22128</v>
      </c>
      <c r="G5651" s="23">
        <v>2024.0</v>
      </c>
      <c r="H5651" s="22" t="s">
        <v>4975</v>
      </c>
      <c r="I5651" s="24" t="s">
        <v>26591</v>
      </c>
      <c r="J5651" s="22" t="s">
        <v>55</v>
      </c>
      <c r="K5651" s="22" t="s">
        <v>26592</v>
      </c>
      <c r="L5651" s="94"/>
      <c r="M5651" s="94"/>
      <c r="N5651" s="94"/>
      <c r="O5651" s="94"/>
      <c r="P5651" s="95"/>
      <c r="Q5651" s="94"/>
      <c r="R5651" s="94"/>
      <c r="S5651" s="94"/>
      <c r="T5651" s="42" t="s">
        <v>26593</v>
      </c>
      <c r="U5651" s="38" t="s">
        <v>61</v>
      </c>
      <c r="V5651" s="30" t="s">
        <v>174</v>
      </c>
      <c r="W5651" s="49"/>
      <c r="X5651" s="49"/>
      <c r="Y5651" s="35"/>
      <c r="Z5651" s="35"/>
      <c r="AA5651" s="35"/>
      <c r="AB5651" s="35"/>
      <c r="AC5651" s="35"/>
      <c r="AD5651" s="35"/>
      <c r="AE5651" s="35"/>
      <c r="AF5651" s="35"/>
      <c r="AG5651" s="35"/>
      <c r="AH5651" s="35"/>
      <c r="AI5651" s="35"/>
      <c r="AJ5651" s="35"/>
      <c r="AK5651" s="35"/>
      <c r="AL5651" s="35"/>
    </row>
    <row r="5652">
      <c r="A5652" s="40"/>
      <c r="B5652" s="75" t="s">
        <v>19332</v>
      </c>
      <c r="C5652" s="77" t="s">
        <v>563</v>
      </c>
      <c r="D5652" s="47"/>
      <c r="E5652" s="22" t="s">
        <v>26594</v>
      </c>
      <c r="F5652" s="22" t="s">
        <v>2221</v>
      </c>
      <c r="G5652" s="23">
        <v>2024.0</v>
      </c>
      <c r="H5652" s="22" t="s">
        <v>21594</v>
      </c>
      <c r="I5652" s="24" t="s">
        <v>26595</v>
      </c>
      <c r="J5652" s="22" t="s">
        <v>2273</v>
      </c>
      <c r="K5652" s="22"/>
      <c r="L5652" s="36">
        <v>970.0</v>
      </c>
      <c r="M5652" s="36">
        <v>1000.0</v>
      </c>
      <c r="N5652" s="36"/>
      <c r="O5652" s="36"/>
      <c r="P5652" s="37"/>
      <c r="Q5652" s="36"/>
      <c r="R5652" s="36"/>
      <c r="S5652" s="36"/>
      <c r="T5652" s="28" t="s">
        <v>26596</v>
      </c>
      <c r="U5652" s="38" t="s">
        <v>61</v>
      </c>
      <c r="V5652" s="30"/>
      <c r="W5652" s="49"/>
      <c r="X5652" s="49"/>
      <c r="Y5652" s="35"/>
      <c r="Z5652" s="35"/>
      <c r="AA5652" s="35"/>
      <c r="AB5652" s="35"/>
      <c r="AC5652" s="35"/>
      <c r="AD5652" s="35"/>
      <c r="AE5652" s="35"/>
      <c r="AF5652" s="35"/>
      <c r="AG5652" s="35"/>
      <c r="AH5652" s="35"/>
      <c r="AI5652" s="35"/>
      <c r="AJ5652" s="35"/>
      <c r="AK5652" s="35"/>
      <c r="AL5652" s="35"/>
    </row>
    <row r="5653">
      <c r="A5653" s="40"/>
      <c r="B5653" s="75" t="s">
        <v>19332</v>
      </c>
      <c r="C5653" s="77" t="s">
        <v>563</v>
      </c>
      <c r="D5653" s="47"/>
      <c r="E5653" s="22" t="s">
        <v>26597</v>
      </c>
      <c r="F5653" s="22" t="s">
        <v>41</v>
      </c>
      <c r="G5653" s="23">
        <v>2024.0</v>
      </c>
      <c r="H5653" s="22" t="s">
        <v>627</v>
      </c>
      <c r="I5653" s="24" t="s">
        <v>26598</v>
      </c>
      <c r="J5653" s="22" t="s">
        <v>2141</v>
      </c>
      <c r="K5653" s="22"/>
      <c r="L5653" s="168"/>
      <c r="M5653" s="168"/>
      <c r="N5653" s="168"/>
      <c r="O5653" s="168"/>
      <c r="P5653" s="169"/>
      <c r="Q5653" s="168"/>
      <c r="R5653" s="168"/>
      <c r="S5653" s="168"/>
      <c r="T5653" s="185"/>
      <c r="U5653" s="38" t="s">
        <v>61</v>
      </c>
      <c r="V5653" s="30"/>
      <c r="W5653" s="49"/>
      <c r="X5653" s="49"/>
      <c r="Y5653" s="35"/>
      <c r="Z5653" s="35"/>
      <c r="AA5653" s="35"/>
      <c r="AB5653" s="35"/>
      <c r="AC5653" s="35"/>
      <c r="AD5653" s="35"/>
      <c r="AE5653" s="35"/>
      <c r="AF5653" s="35"/>
      <c r="AG5653" s="35"/>
      <c r="AH5653" s="35"/>
      <c r="AI5653" s="35"/>
      <c r="AJ5653" s="35"/>
      <c r="AK5653" s="35"/>
      <c r="AL5653" s="35"/>
    </row>
    <row r="5654">
      <c r="A5654" s="18"/>
      <c r="B5654" s="75" t="s">
        <v>19332</v>
      </c>
      <c r="C5654" s="77" t="s">
        <v>563</v>
      </c>
      <c r="D5654" s="47"/>
      <c r="E5654" s="22" t="s">
        <v>19890</v>
      </c>
      <c r="F5654" s="22" t="s">
        <v>4513</v>
      </c>
      <c r="G5654" s="23">
        <v>2024.0</v>
      </c>
      <c r="H5654" s="22" t="s">
        <v>20150</v>
      </c>
      <c r="I5654" s="24" t="s">
        <v>26599</v>
      </c>
      <c r="J5654" s="22" t="s">
        <v>1078</v>
      </c>
      <c r="K5654" s="22"/>
      <c r="L5654" s="105" t="s">
        <v>26600</v>
      </c>
      <c r="M5654" s="44"/>
      <c r="N5654" s="44"/>
      <c r="O5654" s="44"/>
      <c r="P5654" s="44"/>
      <c r="Q5654" s="44"/>
      <c r="R5654" s="44"/>
      <c r="S5654" s="44"/>
      <c r="T5654" s="45"/>
      <c r="U5654" s="38" t="s">
        <v>61</v>
      </c>
      <c r="V5654" s="30"/>
      <c r="W5654" s="49"/>
      <c r="X5654" s="49"/>
      <c r="Y5654" s="35"/>
      <c r="Z5654" s="35"/>
      <c r="AA5654" s="35"/>
      <c r="AB5654" s="35"/>
      <c r="AC5654" s="35"/>
      <c r="AD5654" s="35"/>
      <c r="AE5654" s="35"/>
      <c r="AF5654" s="35"/>
      <c r="AG5654" s="35"/>
      <c r="AH5654" s="35"/>
      <c r="AI5654" s="35"/>
      <c r="AJ5654" s="35"/>
      <c r="AK5654" s="35"/>
      <c r="AL5654" s="35"/>
    </row>
    <row r="5655">
      <c r="A5655" s="18" t="s">
        <v>38</v>
      </c>
      <c r="B5655" s="75" t="s">
        <v>19332</v>
      </c>
      <c r="C5655" s="77" t="s">
        <v>563</v>
      </c>
      <c r="D5655" s="47"/>
      <c r="E5655" s="22" t="s">
        <v>19368</v>
      </c>
      <c r="F5655" s="22" t="s">
        <v>1943</v>
      </c>
      <c r="G5655" s="23">
        <v>2024.0</v>
      </c>
      <c r="H5655" s="22" t="s">
        <v>2181</v>
      </c>
      <c r="I5655" s="24" t="s">
        <v>26601</v>
      </c>
      <c r="J5655" s="22" t="s">
        <v>26602</v>
      </c>
      <c r="K5655" s="22" t="s">
        <v>294</v>
      </c>
      <c r="L5655" s="94" t="s">
        <v>26603</v>
      </c>
      <c r="M5655" s="94">
        <v>100.0</v>
      </c>
      <c r="N5655" s="94" t="s">
        <v>2259</v>
      </c>
      <c r="O5655" s="94"/>
      <c r="P5655" s="95" t="s">
        <v>18550</v>
      </c>
      <c r="Q5655" s="94" t="s">
        <v>26604</v>
      </c>
      <c r="R5655" s="94" t="s">
        <v>4686</v>
      </c>
      <c r="S5655" s="94" t="s">
        <v>20306</v>
      </c>
      <c r="T5655" s="42" t="s">
        <v>26605</v>
      </c>
      <c r="U5655" s="38" t="s">
        <v>61</v>
      </c>
      <c r="V5655" s="30" t="s">
        <v>26606</v>
      </c>
      <c r="W5655" s="49"/>
      <c r="X5655" s="49"/>
      <c r="Y5655" s="35"/>
      <c r="Z5655" s="35"/>
      <c r="AA5655" s="35"/>
      <c r="AB5655" s="35"/>
      <c r="AC5655" s="35"/>
      <c r="AD5655" s="35"/>
      <c r="AE5655" s="35"/>
      <c r="AF5655" s="35"/>
      <c r="AG5655" s="35"/>
      <c r="AH5655" s="35"/>
      <c r="AI5655" s="35"/>
      <c r="AJ5655" s="35"/>
      <c r="AK5655" s="35"/>
      <c r="AL5655" s="35"/>
    </row>
    <row r="5656">
      <c r="A5656" s="40"/>
      <c r="B5656" s="75" t="s">
        <v>19332</v>
      </c>
      <c r="C5656" s="77" t="s">
        <v>563</v>
      </c>
      <c r="D5656" s="47"/>
      <c r="E5656" s="22" t="s">
        <v>26607</v>
      </c>
      <c r="F5656" s="22" t="s">
        <v>89</v>
      </c>
      <c r="G5656" s="23">
        <v>2024.0</v>
      </c>
      <c r="H5656" s="22" t="s">
        <v>477</v>
      </c>
      <c r="I5656" s="24" t="s">
        <v>26608</v>
      </c>
      <c r="J5656" s="22" t="s">
        <v>8451</v>
      </c>
      <c r="K5656" s="22"/>
      <c r="L5656" s="105" t="s">
        <v>26609</v>
      </c>
      <c r="M5656" s="44"/>
      <c r="N5656" s="44"/>
      <c r="O5656" s="44"/>
      <c r="P5656" s="44"/>
      <c r="Q5656" s="44"/>
      <c r="R5656" s="44"/>
      <c r="S5656" s="44"/>
      <c r="T5656" s="45"/>
      <c r="U5656" s="38" t="s">
        <v>61</v>
      </c>
      <c r="V5656" s="50"/>
      <c r="W5656" s="49"/>
      <c r="X5656" s="49"/>
      <c r="Y5656" s="35"/>
      <c r="Z5656" s="35"/>
      <c r="AA5656" s="35"/>
      <c r="AB5656" s="35"/>
      <c r="AC5656" s="35"/>
      <c r="AD5656" s="35"/>
      <c r="AE5656" s="35"/>
      <c r="AF5656" s="35"/>
      <c r="AG5656" s="35"/>
      <c r="AH5656" s="35"/>
      <c r="AI5656" s="35"/>
      <c r="AJ5656" s="35"/>
      <c r="AK5656" s="35"/>
      <c r="AL5656" s="35"/>
    </row>
    <row r="5657">
      <c r="A5657" s="278" t="s">
        <v>38</v>
      </c>
      <c r="B5657" s="75" t="s">
        <v>19332</v>
      </c>
      <c r="C5657" s="77" t="s">
        <v>563</v>
      </c>
      <c r="D5657" s="47"/>
      <c r="E5657" s="22" t="s">
        <v>1101</v>
      </c>
      <c r="F5657" s="22" t="s">
        <v>870</v>
      </c>
      <c r="G5657" s="23">
        <v>2024.0</v>
      </c>
      <c r="H5657" s="22" t="s">
        <v>1485</v>
      </c>
      <c r="I5657" s="24" t="s">
        <v>26610</v>
      </c>
      <c r="J5657" s="22" t="s">
        <v>26611</v>
      </c>
      <c r="K5657" s="22"/>
      <c r="L5657" s="94" t="s">
        <v>6257</v>
      </c>
      <c r="M5657" s="94"/>
      <c r="N5657" s="94"/>
      <c r="O5657" s="94"/>
      <c r="P5657" s="95"/>
      <c r="Q5657" s="94"/>
      <c r="R5657" s="94"/>
      <c r="S5657" s="94"/>
      <c r="T5657" s="28" t="s">
        <v>26612</v>
      </c>
      <c r="U5657" s="38" t="s">
        <v>61</v>
      </c>
      <c r="V5657" s="30"/>
      <c r="W5657" s="49"/>
      <c r="X5657" s="49"/>
      <c r="Y5657" s="35"/>
      <c r="Z5657" s="35"/>
      <c r="AA5657" s="35"/>
      <c r="AB5657" s="35"/>
      <c r="AC5657" s="35"/>
      <c r="AD5657" s="35"/>
      <c r="AE5657" s="35"/>
      <c r="AF5657" s="35"/>
      <c r="AG5657" s="35"/>
      <c r="AH5657" s="35"/>
      <c r="AI5657" s="35"/>
      <c r="AJ5657" s="35"/>
      <c r="AK5657" s="35"/>
      <c r="AL5657" s="35"/>
    </row>
    <row r="5658">
      <c r="A5658" s="40"/>
      <c r="B5658" s="75" t="s">
        <v>19332</v>
      </c>
      <c r="C5658" s="77" t="s">
        <v>563</v>
      </c>
      <c r="D5658" s="47"/>
      <c r="E5658" s="22" t="s">
        <v>26613</v>
      </c>
      <c r="F5658" s="22" t="s">
        <v>13162</v>
      </c>
      <c r="G5658" s="23">
        <v>2024.0</v>
      </c>
      <c r="H5658" s="22" t="s">
        <v>12502</v>
      </c>
      <c r="I5658" s="24" t="s">
        <v>26614</v>
      </c>
      <c r="J5658" s="22" t="s">
        <v>26615</v>
      </c>
      <c r="K5658" s="22"/>
      <c r="L5658" s="94">
        <v>980.0</v>
      </c>
      <c r="M5658" s="94">
        <v>500.0</v>
      </c>
      <c r="N5658" s="94"/>
      <c r="O5658" s="94">
        <v>300.0</v>
      </c>
      <c r="P5658" s="95"/>
      <c r="Q5658" s="94"/>
      <c r="R5658" s="94">
        <v>60.0</v>
      </c>
      <c r="S5658" s="94"/>
      <c r="T5658" s="42" t="s">
        <v>26616</v>
      </c>
      <c r="U5658" s="38" t="s">
        <v>61</v>
      </c>
      <c r="V5658" s="30"/>
      <c r="W5658" s="49"/>
      <c r="X5658" s="49"/>
      <c r="Y5658" s="35"/>
      <c r="Z5658" s="35"/>
      <c r="AA5658" s="35"/>
      <c r="AB5658" s="35"/>
      <c r="AC5658" s="35"/>
      <c r="AD5658" s="35"/>
      <c r="AE5658" s="35"/>
      <c r="AF5658" s="35"/>
      <c r="AG5658" s="35"/>
      <c r="AH5658" s="35"/>
      <c r="AI5658" s="35"/>
      <c r="AJ5658" s="35"/>
      <c r="AK5658" s="35"/>
      <c r="AL5658" s="35"/>
    </row>
    <row r="5659">
      <c r="A5659" s="40"/>
      <c r="B5659" s="75" t="s">
        <v>19332</v>
      </c>
      <c r="C5659" s="77" t="s">
        <v>563</v>
      </c>
      <c r="D5659" s="47"/>
      <c r="E5659" s="22" t="s">
        <v>19752</v>
      </c>
      <c r="F5659" s="22" t="s">
        <v>12732</v>
      </c>
      <c r="G5659" s="23">
        <v>2024.0</v>
      </c>
      <c r="H5659" s="22" t="s">
        <v>477</v>
      </c>
      <c r="I5659" s="24" t="s">
        <v>26617</v>
      </c>
      <c r="J5659" s="22" t="s">
        <v>26618</v>
      </c>
      <c r="K5659" s="22" t="s">
        <v>26619</v>
      </c>
      <c r="L5659" s="94" t="s">
        <v>26620</v>
      </c>
      <c r="M5659" s="94"/>
      <c r="N5659" s="94"/>
      <c r="O5659" s="94"/>
      <c r="P5659" s="95"/>
      <c r="Q5659" s="94"/>
      <c r="R5659" s="94"/>
      <c r="S5659" s="94"/>
      <c r="T5659" s="28" t="s">
        <v>26621</v>
      </c>
      <c r="U5659" s="38" t="s">
        <v>61</v>
      </c>
      <c r="V5659" s="30"/>
      <c r="W5659" s="49"/>
      <c r="X5659" s="49"/>
      <c r="Y5659" s="35"/>
      <c r="Z5659" s="35"/>
      <c r="AA5659" s="35"/>
      <c r="AB5659" s="35"/>
      <c r="AC5659" s="35"/>
      <c r="AD5659" s="35"/>
      <c r="AE5659" s="35"/>
      <c r="AF5659" s="35"/>
      <c r="AG5659" s="35"/>
      <c r="AH5659" s="35"/>
      <c r="AI5659" s="35"/>
      <c r="AJ5659" s="35"/>
      <c r="AK5659" s="35"/>
      <c r="AL5659" s="35"/>
    </row>
    <row r="5660">
      <c r="A5660" s="40"/>
      <c r="B5660" s="75" t="s">
        <v>19332</v>
      </c>
      <c r="C5660" s="77" t="s">
        <v>563</v>
      </c>
      <c r="D5660" s="47"/>
      <c r="E5660" s="22" t="s">
        <v>3617</v>
      </c>
      <c r="F5660" s="22" t="s">
        <v>26622</v>
      </c>
      <c r="G5660" s="23">
        <v>2023.0</v>
      </c>
      <c r="H5660" s="22" t="s">
        <v>77</v>
      </c>
      <c r="I5660" s="24" t="s">
        <v>26623</v>
      </c>
      <c r="J5660" s="22" t="s">
        <v>55</v>
      </c>
      <c r="K5660" s="22"/>
      <c r="L5660" s="94">
        <v>980.0</v>
      </c>
      <c r="M5660" s="94">
        <v>500.0</v>
      </c>
      <c r="N5660" s="94"/>
      <c r="O5660" s="94"/>
      <c r="P5660" s="95" t="s">
        <v>26624</v>
      </c>
      <c r="Q5660" s="94"/>
      <c r="R5660" s="94"/>
      <c r="S5660" s="94" t="s">
        <v>35</v>
      </c>
      <c r="T5660" s="28" t="s">
        <v>26625</v>
      </c>
      <c r="U5660" s="38" t="s">
        <v>61</v>
      </c>
      <c r="V5660" s="30"/>
      <c r="W5660" s="49"/>
      <c r="X5660" s="49"/>
      <c r="Y5660" s="35"/>
      <c r="Z5660" s="35"/>
      <c r="AA5660" s="35"/>
      <c r="AB5660" s="35"/>
      <c r="AC5660" s="35"/>
      <c r="AD5660" s="35"/>
      <c r="AE5660" s="35"/>
      <c r="AF5660" s="35"/>
      <c r="AG5660" s="35"/>
      <c r="AH5660" s="35"/>
      <c r="AI5660" s="35"/>
      <c r="AJ5660" s="35"/>
      <c r="AK5660" s="35"/>
      <c r="AL5660" s="35"/>
    </row>
    <row r="5661">
      <c r="A5661" s="40"/>
      <c r="B5661" s="75" t="s">
        <v>19332</v>
      </c>
      <c r="C5661" s="77" t="s">
        <v>563</v>
      </c>
      <c r="D5661" s="47"/>
      <c r="E5661" s="22" t="s">
        <v>7573</v>
      </c>
      <c r="F5661" s="22" t="s">
        <v>224</v>
      </c>
      <c r="G5661" s="23">
        <v>2023.0</v>
      </c>
      <c r="H5661" s="22" t="s">
        <v>91</v>
      </c>
      <c r="I5661" s="24" t="s">
        <v>26626</v>
      </c>
      <c r="J5661" s="22" t="s">
        <v>26627</v>
      </c>
      <c r="K5661" s="22" t="s">
        <v>26628</v>
      </c>
      <c r="L5661" s="94">
        <v>1064.0</v>
      </c>
      <c r="M5661" s="94">
        <v>4000.0</v>
      </c>
      <c r="N5661" s="94" t="s">
        <v>58</v>
      </c>
      <c r="O5661" s="94" t="s">
        <v>26629</v>
      </c>
      <c r="P5661" s="95" t="s">
        <v>58</v>
      </c>
      <c r="Q5661" s="94" t="s">
        <v>58</v>
      </c>
      <c r="R5661" s="94" t="s">
        <v>58</v>
      </c>
      <c r="S5661" s="94">
        <v>1.0</v>
      </c>
      <c r="T5661" s="28" t="s">
        <v>26630</v>
      </c>
      <c r="U5661" s="38" t="s">
        <v>61</v>
      </c>
      <c r="V5661" s="30" t="s">
        <v>26631</v>
      </c>
      <c r="W5661" s="49"/>
      <c r="X5661" s="49"/>
      <c r="Y5661" s="35"/>
      <c r="Z5661" s="35"/>
      <c r="AA5661" s="35"/>
      <c r="AB5661" s="35"/>
      <c r="AC5661" s="35"/>
      <c r="AD5661" s="35"/>
      <c r="AE5661" s="35"/>
      <c r="AF5661" s="35"/>
      <c r="AG5661" s="35"/>
      <c r="AH5661" s="35"/>
      <c r="AI5661" s="35"/>
      <c r="AJ5661" s="35"/>
      <c r="AK5661" s="35"/>
      <c r="AL5661" s="35"/>
    </row>
    <row r="5662">
      <c r="A5662" s="40"/>
      <c r="B5662" s="75" t="s">
        <v>19332</v>
      </c>
      <c r="C5662" s="77" t="s">
        <v>563</v>
      </c>
      <c r="D5662" s="47"/>
      <c r="E5662" s="22" t="s">
        <v>20196</v>
      </c>
      <c r="F5662" s="22" t="s">
        <v>4448</v>
      </c>
      <c r="G5662" s="23">
        <v>2023.0</v>
      </c>
      <c r="H5662" s="22" t="s">
        <v>19693</v>
      </c>
      <c r="I5662" s="24" t="s">
        <v>26632</v>
      </c>
      <c r="J5662" s="22" t="s">
        <v>3514</v>
      </c>
      <c r="K5662" s="22"/>
      <c r="L5662" s="105" t="s">
        <v>26633</v>
      </c>
      <c r="M5662" s="44"/>
      <c r="N5662" s="44"/>
      <c r="O5662" s="44"/>
      <c r="P5662" s="44"/>
      <c r="Q5662" s="44"/>
      <c r="R5662" s="44"/>
      <c r="S5662" s="44"/>
      <c r="T5662" s="45"/>
      <c r="U5662" s="38" t="s">
        <v>61</v>
      </c>
      <c r="V5662" s="50"/>
      <c r="W5662" s="49"/>
      <c r="X5662" s="49"/>
      <c r="Y5662" s="35"/>
      <c r="Z5662" s="35"/>
      <c r="AA5662" s="35"/>
      <c r="AB5662" s="35"/>
      <c r="AC5662" s="35"/>
      <c r="AD5662" s="35"/>
      <c r="AE5662" s="35"/>
      <c r="AF5662" s="35"/>
      <c r="AG5662" s="35"/>
      <c r="AH5662" s="35"/>
      <c r="AI5662" s="35"/>
      <c r="AJ5662" s="35"/>
      <c r="AK5662" s="35"/>
      <c r="AL5662" s="35"/>
    </row>
    <row r="5663">
      <c r="A5663" s="40"/>
      <c r="B5663" s="75" t="s">
        <v>19332</v>
      </c>
      <c r="C5663" s="77" t="s">
        <v>563</v>
      </c>
      <c r="D5663" s="47"/>
      <c r="E5663" s="22" t="s">
        <v>3831</v>
      </c>
      <c r="F5663" s="22" t="s">
        <v>308</v>
      </c>
      <c r="G5663" s="23">
        <v>2023.0</v>
      </c>
      <c r="H5663" s="22" t="s">
        <v>756</v>
      </c>
      <c r="I5663" s="24" t="s">
        <v>26634</v>
      </c>
      <c r="J5663" s="22" t="s">
        <v>55</v>
      </c>
      <c r="K5663" s="22"/>
      <c r="L5663" s="94" t="s">
        <v>5858</v>
      </c>
      <c r="M5663" s="94"/>
      <c r="N5663" s="94"/>
      <c r="O5663" s="94"/>
      <c r="P5663" s="95"/>
      <c r="Q5663" s="94"/>
      <c r="R5663" s="94"/>
      <c r="S5663" s="94"/>
      <c r="T5663" s="28" t="s">
        <v>26635</v>
      </c>
      <c r="U5663" s="38" t="s">
        <v>61</v>
      </c>
      <c r="V5663" s="50"/>
      <c r="W5663" s="49"/>
      <c r="X5663" s="49"/>
      <c r="Y5663" s="35"/>
      <c r="Z5663" s="35"/>
      <c r="AA5663" s="35"/>
      <c r="AB5663" s="35"/>
      <c r="AC5663" s="35"/>
      <c r="AD5663" s="35"/>
      <c r="AE5663" s="35"/>
      <c r="AF5663" s="35"/>
      <c r="AG5663" s="35"/>
      <c r="AH5663" s="35"/>
      <c r="AI5663" s="35"/>
      <c r="AJ5663" s="35"/>
      <c r="AK5663" s="35"/>
      <c r="AL5663" s="35"/>
    </row>
    <row r="5664">
      <c r="A5664" s="40"/>
      <c r="B5664" s="75" t="s">
        <v>19332</v>
      </c>
      <c r="C5664" s="77" t="s">
        <v>563</v>
      </c>
      <c r="D5664" s="47"/>
      <c r="E5664" s="22" t="s">
        <v>26636</v>
      </c>
      <c r="F5664" s="22" t="s">
        <v>6233</v>
      </c>
      <c r="G5664" s="23">
        <v>2023.0</v>
      </c>
      <c r="H5664" s="22" t="s">
        <v>702</v>
      </c>
      <c r="I5664" s="24" t="s">
        <v>26637</v>
      </c>
      <c r="J5664" s="22" t="s">
        <v>26638</v>
      </c>
      <c r="K5664" s="22"/>
      <c r="L5664" s="36"/>
      <c r="M5664" s="36"/>
      <c r="N5664" s="166"/>
      <c r="O5664" s="129"/>
      <c r="P5664" s="36"/>
      <c r="Q5664" s="166"/>
      <c r="R5664" s="36"/>
      <c r="S5664" s="36"/>
      <c r="T5664" s="54" t="s">
        <v>26639</v>
      </c>
      <c r="U5664" s="38" t="s">
        <v>61</v>
      </c>
      <c r="V5664" s="30"/>
      <c r="W5664" s="49"/>
      <c r="X5664" s="49"/>
      <c r="Y5664" s="35"/>
      <c r="Z5664" s="35"/>
      <c r="AA5664" s="35"/>
      <c r="AB5664" s="35"/>
      <c r="AC5664" s="35"/>
      <c r="AD5664" s="35"/>
      <c r="AE5664" s="35"/>
      <c r="AF5664" s="35"/>
      <c r="AG5664" s="35"/>
      <c r="AH5664" s="35"/>
      <c r="AI5664" s="35"/>
      <c r="AJ5664" s="35"/>
      <c r="AK5664" s="35"/>
      <c r="AL5664" s="35"/>
    </row>
    <row r="5665">
      <c r="A5665" s="40"/>
      <c r="B5665" s="75" t="s">
        <v>19332</v>
      </c>
      <c r="C5665" s="77" t="s">
        <v>563</v>
      </c>
      <c r="D5665" s="47"/>
      <c r="E5665" s="22" t="s">
        <v>26640</v>
      </c>
      <c r="F5665" s="22" t="s">
        <v>237</v>
      </c>
      <c r="G5665" s="23">
        <v>2023.0</v>
      </c>
      <c r="H5665" s="22" t="s">
        <v>77</v>
      </c>
      <c r="I5665" s="24" t="s">
        <v>26641</v>
      </c>
      <c r="J5665" s="22" t="s">
        <v>26642</v>
      </c>
      <c r="K5665" s="22"/>
      <c r="L5665" s="36"/>
      <c r="M5665" s="36"/>
      <c r="N5665" s="166"/>
      <c r="O5665" s="129"/>
      <c r="P5665" s="36"/>
      <c r="Q5665" s="166"/>
      <c r="R5665" s="36"/>
      <c r="S5665" s="36"/>
      <c r="T5665" s="54" t="s">
        <v>26643</v>
      </c>
      <c r="U5665" s="38" t="s">
        <v>61</v>
      </c>
      <c r="V5665" s="30" t="s">
        <v>174</v>
      </c>
      <c r="W5665" s="49"/>
      <c r="X5665" s="49"/>
      <c r="Y5665" s="35"/>
      <c r="Z5665" s="35"/>
      <c r="AA5665" s="35"/>
      <c r="AB5665" s="35"/>
      <c r="AC5665" s="35"/>
      <c r="AD5665" s="35"/>
      <c r="AE5665" s="35"/>
      <c r="AF5665" s="35"/>
      <c r="AG5665" s="35"/>
      <c r="AH5665" s="35"/>
      <c r="AI5665" s="35"/>
      <c r="AJ5665" s="35"/>
      <c r="AK5665" s="35"/>
      <c r="AL5665" s="35"/>
    </row>
    <row r="5666">
      <c r="A5666" s="40"/>
      <c r="B5666" s="75" t="s">
        <v>19332</v>
      </c>
      <c r="C5666" s="77" t="s">
        <v>563</v>
      </c>
      <c r="D5666" s="47"/>
      <c r="E5666" s="22" t="s">
        <v>26644</v>
      </c>
      <c r="F5666" s="22" t="s">
        <v>21942</v>
      </c>
      <c r="G5666" s="23">
        <v>2023.0</v>
      </c>
      <c r="H5666" s="22" t="s">
        <v>798</v>
      </c>
      <c r="I5666" s="24" t="s">
        <v>26645</v>
      </c>
      <c r="J5666" s="22" t="s">
        <v>1078</v>
      </c>
      <c r="K5666" s="22"/>
      <c r="L5666" s="195" t="s">
        <v>26646</v>
      </c>
      <c r="M5666" s="44"/>
      <c r="N5666" s="44"/>
      <c r="O5666" s="44"/>
      <c r="P5666" s="44"/>
      <c r="Q5666" s="44"/>
      <c r="R5666" s="44"/>
      <c r="S5666" s="44"/>
      <c r="T5666" s="45"/>
      <c r="U5666" s="38" t="s">
        <v>61</v>
      </c>
      <c r="V5666" s="30"/>
      <c r="W5666" s="49"/>
      <c r="X5666" s="49"/>
      <c r="Y5666" s="35"/>
      <c r="Z5666" s="35"/>
      <c r="AA5666" s="35"/>
      <c r="AB5666" s="35"/>
      <c r="AC5666" s="35"/>
      <c r="AD5666" s="35"/>
      <c r="AE5666" s="35"/>
      <c r="AF5666" s="35"/>
      <c r="AG5666" s="35"/>
      <c r="AH5666" s="35"/>
      <c r="AI5666" s="35"/>
      <c r="AJ5666" s="35"/>
      <c r="AK5666" s="35"/>
      <c r="AL5666" s="35"/>
    </row>
    <row r="5667">
      <c r="A5667" s="40"/>
      <c r="B5667" s="75" t="s">
        <v>19332</v>
      </c>
      <c r="C5667" s="77" t="s">
        <v>563</v>
      </c>
      <c r="D5667" s="47"/>
      <c r="E5667" s="22" t="s">
        <v>12184</v>
      </c>
      <c r="F5667" s="22" t="s">
        <v>26647</v>
      </c>
      <c r="G5667" s="23">
        <v>2023.0</v>
      </c>
      <c r="H5667" s="22" t="s">
        <v>798</v>
      </c>
      <c r="I5667" s="24" t="s">
        <v>26648</v>
      </c>
      <c r="J5667" s="22" t="s">
        <v>26649</v>
      </c>
      <c r="K5667" s="22" t="s">
        <v>26650</v>
      </c>
      <c r="L5667" s="36"/>
      <c r="M5667" s="36"/>
      <c r="N5667" s="166"/>
      <c r="O5667" s="129"/>
      <c r="P5667" s="36"/>
      <c r="Q5667" s="166"/>
      <c r="R5667" s="36"/>
      <c r="S5667" s="36"/>
      <c r="T5667" s="54" t="s">
        <v>26651</v>
      </c>
      <c r="U5667" s="38" t="s">
        <v>61</v>
      </c>
      <c r="V5667" s="30" t="s">
        <v>174</v>
      </c>
      <c r="W5667" s="49"/>
      <c r="X5667" s="49"/>
      <c r="Y5667" s="35"/>
      <c r="Z5667" s="35"/>
      <c r="AA5667" s="35"/>
      <c r="AB5667" s="35"/>
      <c r="AC5667" s="35"/>
      <c r="AD5667" s="35"/>
      <c r="AE5667" s="35"/>
      <c r="AF5667" s="35"/>
      <c r="AG5667" s="35"/>
      <c r="AH5667" s="35"/>
      <c r="AI5667" s="35"/>
      <c r="AJ5667" s="35"/>
      <c r="AK5667" s="35"/>
      <c r="AL5667" s="35"/>
    </row>
    <row r="5668">
      <c r="A5668" s="40"/>
      <c r="B5668" s="75" t="s">
        <v>19332</v>
      </c>
      <c r="C5668" s="77" t="s">
        <v>563</v>
      </c>
      <c r="D5668" s="47"/>
      <c r="E5668" s="22" t="s">
        <v>26652</v>
      </c>
      <c r="F5668" s="22" t="s">
        <v>2180</v>
      </c>
      <c r="G5668" s="23">
        <v>2023.0</v>
      </c>
      <c r="H5668" s="22" t="s">
        <v>20004</v>
      </c>
      <c r="I5668" s="24" t="s">
        <v>26653</v>
      </c>
      <c r="J5668" s="22" t="s">
        <v>26654</v>
      </c>
      <c r="K5668" s="22"/>
      <c r="L5668" s="36">
        <v>810.0</v>
      </c>
      <c r="M5668" s="36"/>
      <c r="N5668" s="166"/>
      <c r="O5668" s="129"/>
      <c r="P5668" s="36"/>
      <c r="Q5668" s="166"/>
      <c r="R5668" s="36"/>
      <c r="S5668" s="36"/>
      <c r="T5668" s="54" t="s">
        <v>26655</v>
      </c>
      <c r="U5668" s="38" t="s">
        <v>61</v>
      </c>
      <c r="V5668" s="30" t="s">
        <v>174</v>
      </c>
      <c r="W5668" s="49"/>
      <c r="X5668" s="49"/>
      <c r="Y5668" s="35"/>
      <c r="Z5668" s="35"/>
      <c r="AA5668" s="35"/>
      <c r="AB5668" s="35"/>
      <c r="AC5668" s="35"/>
      <c r="AD5668" s="35"/>
      <c r="AE5668" s="35"/>
      <c r="AF5668" s="35"/>
      <c r="AG5668" s="35"/>
      <c r="AH5668" s="35"/>
      <c r="AI5668" s="35"/>
      <c r="AJ5668" s="35"/>
      <c r="AK5668" s="35"/>
      <c r="AL5668" s="35"/>
    </row>
    <row r="5669">
      <c r="A5669" s="40"/>
      <c r="B5669" s="75" t="s">
        <v>19332</v>
      </c>
      <c r="C5669" s="77" t="s">
        <v>563</v>
      </c>
      <c r="D5669" s="47"/>
      <c r="E5669" s="22" t="s">
        <v>14129</v>
      </c>
      <c r="F5669" s="22" t="s">
        <v>10477</v>
      </c>
      <c r="G5669" s="23">
        <v>2023.0</v>
      </c>
      <c r="H5669" s="22" t="s">
        <v>20265</v>
      </c>
      <c r="I5669" s="24" t="s">
        <v>26656</v>
      </c>
      <c r="J5669" s="22" t="s">
        <v>26657</v>
      </c>
      <c r="K5669" s="22" t="s">
        <v>26658</v>
      </c>
      <c r="L5669" s="36"/>
      <c r="M5669" s="36"/>
      <c r="N5669" s="166"/>
      <c r="O5669" s="129"/>
      <c r="P5669" s="36"/>
      <c r="Q5669" s="166"/>
      <c r="R5669" s="36"/>
      <c r="S5669" s="36"/>
      <c r="T5669" s="54" t="s">
        <v>26659</v>
      </c>
      <c r="U5669" s="38" t="s">
        <v>61</v>
      </c>
      <c r="V5669" s="30"/>
      <c r="W5669" s="49"/>
      <c r="X5669" s="49"/>
      <c r="Y5669" s="35"/>
      <c r="Z5669" s="35"/>
      <c r="AA5669" s="35"/>
      <c r="AB5669" s="35"/>
      <c r="AC5669" s="35"/>
      <c r="AD5669" s="35"/>
      <c r="AE5669" s="35"/>
      <c r="AF5669" s="35"/>
      <c r="AG5669" s="35"/>
      <c r="AH5669" s="35"/>
      <c r="AI5669" s="35"/>
      <c r="AJ5669" s="35"/>
      <c r="AK5669" s="35"/>
      <c r="AL5669" s="35"/>
    </row>
    <row r="5670">
      <c r="A5670" s="40"/>
      <c r="B5670" s="75" t="s">
        <v>19332</v>
      </c>
      <c r="C5670" s="77" t="s">
        <v>563</v>
      </c>
      <c r="D5670" s="47"/>
      <c r="E5670" s="22" t="s">
        <v>26660</v>
      </c>
      <c r="F5670" s="22" t="s">
        <v>499</v>
      </c>
      <c r="G5670" s="23">
        <v>2023.0</v>
      </c>
      <c r="H5670" s="22" t="s">
        <v>19759</v>
      </c>
      <c r="I5670" s="24" t="s">
        <v>26661</v>
      </c>
      <c r="J5670" s="22" t="s">
        <v>26662</v>
      </c>
      <c r="K5670" s="22"/>
      <c r="L5670" s="36">
        <v>808.0</v>
      </c>
      <c r="M5670" s="36">
        <v>200.0</v>
      </c>
      <c r="N5670" s="166"/>
      <c r="O5670" s="129"/>
      <c r="P5670" s="36"/>
      <c r="Q5670" s="166"/>
      <c r="R5670" s="36"/>
      <c r="S5670" s="36" t="s">
        <v>26663</v>
      </c>
      <c r="T5670" s="54" t="s">
        <v>26664</v>
      </c>
      <c r="U5670" s="38" t="s">
        <v>61</v>
      </c>
      <c r="V5670" s="30"/>
      <c r="W5670" s="49"/>
      <c r="X5670" s="49"/>
      <c r="Y5670" s="35"/>
      <c r="Z5670" s="35"/>
      <c r="AA5670" s="35"/>
      <c r="AB5670" s="35"/>
      <c r="AC5670" s="35"/>
      <c r="AD5670" s="35"/>
      <c r="AE5670" s="35"/>
      <c r="AF5670" s="35"/>
      <c r="AG5670" s="35"/>
      <c r="AH5670" s="35"/>
      <c r="AI5670" s="35"/>
      <c r="AJ5670" s="35"/>
      <c r="AK5670" s="35"/>
      <c r="AL5670" s="35"/>
    </row>
    <row r="5671">
      <c r="A5671" s="40"/>
      <c r="B5671" s="75" t="s">
        <v>19332</v>
      </c>
      <c r="C5671" s="77" t="s">
        <v>563</v>
      </c>
      <c r="D5671" s="47"/>
      <c r="E5671" s="22" t="s">
        <v>26665</v>
      </c>
      <c r="F5671" s="22" t="s">
        <v>20224</v>
      </c>
      <c r="G5671" s="23">
        <v>2022.0</v>
      </c>
      <c r="H5671" s="22" t="s">
        <v>7541</v>
      </c>
      <c r="I5671" s="24" t="s">
        <v>26666</v>
      </c>
      <c r="J5671" s="22" t="s">
        <v>26667</v>
      </c>
      <c r="K5671" s="22"/>
      <c r="L5671" s="36">
        <v>980.0</v>
      </c>
      <c r="M5671" s="36" t="s">
        <v>26668</v>
      </c>
      <c r="N5671" s="166"/>
      <c r="O5671" s="129"/>
      <c r="P5671" s="36"/>
      <c r="Q5671" s="166"/>
      <c r="R5671" s="36" t="s">
        <v>26669</v>
      </c>
      <c r="S5671" s="36" t="s">
        <v>26670</v>
      </c>
      <c r="T5671" s="54" t="s">
        <v>26671</v>
      </c>
      <c r="U5671" s="38" t="s">
        <v>61</v>
      </c>
      <c r="V5671" s="30"/>
      <c r="W5671" s="49"/>
      <c r="X5671" s="49"/>
      <c r="Y5671" s="35"/>
      <c r="Z5671" s="35"/>
      <c r="AA5671" s="35"/>
      <c r="AB5671" s="35"/>
      <c r="AC5671" s="35"/>
      <c r="AD5671" s="35"/>
      <c r="AE5671" s="35"/>
      <c r="AF5671" s="35"/>
      <c r="AG5671" s="35"/>
      <c r="AH5671" s="35"/>
      <c r="AI5671" s="35"/>
      <c r="AJ5671" s="35"/>
      <c r="AK5671" s="35"/>
      <c r="AL5671" s="35"/>
    </row>
    <row r="5672">
      <c r="A5672" s="40"/>
      <c r="B5672" s="75" t="s">
        <v>19332</v>
      </c>
      <c r="C5672" s="77" t="s">
        <v>563</v>
      </c>
      <c r="D5672" s="47"/>
      <c r="E5672" s="22" t="s">
        <v>26672</v>
      </c>
      <c r="F5672" s="22" t="s">
        <v>16843</v>
      </c>
      <c r="G5672" s="23">
        <v>2022.0</v>
      </c>
      <c r="H5672" s="22" t="s">
        <v>19733</v>
      </c>
      <c r="I5672" s="24" t="s">
        <v>26673</v>
      </c>
      <c r="J5672" s="22" t="s">
        <v>26674</v>
      </c>
      <c r="K5672" s="22" t="s">
        <v>21162</v>
      </c>
      <c r="L5672" s="36">
        <v>660.0</v>
      </c>
      <c r="M5672" s="36">
        <v>100.0</v>
      </c>
      <c r="N5672" s="166"/>
      <c r="O5672" s="129">
        <v>44605.0</v>
      </c>
      <c r="P5672" s="36"/>
      <c r="Q5672" s="166"/>
      <c r="R5672" s="36">
        <v>135.0</v>
      </c>
      <c r="S5672" s="36">
        <v>1.0</v>
      </c>
      <c r="T5672" s="103" t="s">
        <v>26675</v>
      </c>
      <c r="U5672" s="38" t="s">
        <v>61</v>
      </c>
      <c r="V5672" s="30" t="s">
        <v>26676</v>
      </c>
      <c r="W5672" s="49"/>
      <c r="X5672" s="49"/>
      <c r="Y5672" s="35"/>
      <c r="Z5672" s="35"/>
      <c r="AA5672" s="35"/>
      <c r="AB5672" s="35"/>
      <c r="AC5672" s="35"/>
      <c r="AD5672" s="35"/>
      <c r="AE5672" s="35"/>
      <c r="AF5672" s="35"/>
      <c r="AG5672" s="35"/>
      <c r="AH5672" s="35"/>
      <c r="AI5672" s="35"/>
      <c r="AJ5672" s="35"/>
      <c r="AK5672" s="35"/>
      <c r="AL5672" s="35"/>
    </row>
    <row r="5673">
      <c r="A5673" s="40"/>
      <c r="B5673" s="75" t="s">
        <v>19332</v>
      </c>
      <c r="C5673" s="77" t="s">
        <v>563</v>
      </c>
      <c r="D5673" s="47"/>
      <c r="E5673" s="22" t="s">
        <v>26677</v>
      </c>
      <c r="F5673" s="22" t="s">
        <v>19408</v>
      </c>
      <c r="G5673" s="23">
        <v>2022.0</v>
      </c>
      <c r="H5673" s="22" t="s">
        <v>12502</v>
      </c>
      <c r="I5673" s="24" t="s">
        <v>26678</v>
      </c>
      <c r="J5673" s="22" t="s">
        <v>26679</v>
      </c>
      <c r="K5673" s="22"/>
      <c r="L5673" s="36">
        <v>940.0</v>
      </c>
      <c r="M5673" s="36">
        <v>500.0</v>
      </c>
      <c r="N5673" s="166"/>
      <c r="O5673" s="36"/>
      <c r="P5673" s="36">
        <v>10.0</v>
      </c>
      <c r="Q5673" s="166"/>
      <c r="R5673" s="36" t="s">
        <v>23787</v>
      </c>
      <c r="S5673" s="36">
        <v>1.0</v>
      </c>
      <c r="T5673" s="54" t="s">
        <v>26680</v>
      </c>
      <c r="U5673" s="38" t="s">
        <v>61</v>
      </c>
      <c r="V5673" s="30"/>
      <c r="W5673" s="49"/>
      <c r="X5673" s="49"/>
      <c r="Y5673" s="35"/>
      <c r="Z5673" s="35"/>
      <c r="AA5673" s="35"/>
      <c r="AB5673" s="35"/>
      <c r="AC5673" s="35"/>
      <c r="AD5673" s="35"/>
      <c r="AE5673" s="35"/>
      <c r="AF5673" s="35"/>
      <c r="AG5673" s="35"/>
      <c r="AH5673" s="35"/>
      <c r="AI5673" s="35"/>
      <c r="AJ5673" s="35"/>
      <c r="AK5673" s="35"/>
      <c r="AL5673" s="35"/>
    </row>
    <row r="5674">
      <c r="A5674" s="40"/>
      <c r="B5674" s="75" t="s">
        <v>19332</v>
      </c>
      <c r="C5674" s="77" t="s">
        <v>563</v>
      </c>
      <c r="D5674" s="47"/>
      <c r="E5674" s="22" t="s">
        <v>26681</v>
      </c>
      <c r="F5674" s="22" t="s">
        <v>26682</v>
      </c>
      <c r="G5674" s="23">
        <v>2022.0</v>
      </c>
      <c r="H5674" s="22" t="s">
        <v>21244</v>
      </c>
      <c r="I5674" s="24" t="s">
        <v>26683</v>
      </c>
      <c r="J5674" s="22" t="s">
        <v>26684</v>
      </c>
      <c r="K5674" s="22"/>
      <c r="L5674" s="36" t="s">
        <v>26685</v>
      </c>
      <c r="M5674" s="36"/>
      <c r="N5674" s="166"/>
      <c r="O5674" s="36"/>
      <c r="P5674" s="36"/>
      <c r="Q5674" s="166"/>
      <c r="R5674" s="166"/>
      <c r="S5674" s="36" t="s">
        <v>26686</v>
      </c>
      <c r="T5674" s="54" t="s">
        <v>26687</v>
      </c>
      <c r="U5674" s="38" t="s">
        <v>61</v>
      </c>
      <c r="V5674" s="30"/>
      <c r="W5674" s="49"/>
      <c r="X5674" s="49"/>
      <c r="Y5674" s="35"/>
      <c r="Z5674" s="35"/>
      <c r="AA5674" s="35"/>
      <c r="AB5674" s="35"/>
      <c r="AC5674" s="35"/>
      <c r="AD5674" s="35"/>
      <c r="AE5674" s="35"/>
      <c r="AF5674" s="35"/>
      <c r="AG5674" s="35"/>
      <c r="AH5674" s="35"/>
      <c r="AI5674" s="35"/>
      <c r="AJ5674" s="35"/>
      <c r="AK5674" s="35"/>
      <c r="AL5674" s="35"/>
    </row>
    <row r="5675">
      <c r="A5675" s="40"/>
      <c r="B5675" s="75" t="s">
        <v>19332</v>
      </c>
      <c r="C5675" s="77" t="s">
        <v>563</v>
      </c>
      <c r="D5675" s="47"/>
      <c r="E5675" s="22" t="s">
        <v>26688</v>
      </c>
      <c r="F5675" s="22" t="s">
        <v>8008</v>
      </c>
      <c r="G5675" s="23">
        <v>2022.0</v>
      </c>
      <c r="H5675" s="22" t="s">
        <v>21244</v>
      </c>
      <c r="I5675" s="24" t="s">
        <v>26689</v>
      </c>
      <c r="J5675" s="22" t="s">
        <v>26690</v>
      </c>
      <c r="K5675" s="22"/>
      <c r="L5675" s="36" t="s">
        <v>58</v>
      </c>
      <c r="M5675" s="36">
        <v>70.0</v>
      </c>
      <c r="N5675" s="166"/>
      <c r="O5675" s="36"/>
      <c r="P5675" s="36">
        <v>4.0</v>
      </c>
      <c r="Q5675" s="166"/>
      <c r="R5675" s="166"/>
      <c r="S5675" s="166" t="s">
        <v>1773</v>
      </c>
      <c r="T5675" s="102" t="s">
        <v>26691</v>
      </c>
      <c r="U5675" s="38" t="s">
        <v>61</v>
      </c>
      <c r="V5675" s="30"/>
      <c r="W5675" s="49"/>
      <c r="X5675" s="49"/>
      <c r="Y5675" s="35"/>
      <c r="Z5675" s="35"/>
      <c r="AA5675" s="35"/>
      <c r="AB5675" s="35"/>
      <c r="AC5675" s="35"/>
      <c r="AD5675" s="35"/>
      <c r="AE5675" s="35"/>
      <c r="AF5675" s="35"/>
      <c r="AG5675" s="35"/>
      <c r="AH5675" s="35"/>
      <c r="AI5675" s="35"/>
      <c r="AJ5675" s="35"/>
      <c r="AK5675" s="35"/>
      <c r="AL5675" s="35"/>
    </row>
    <row r="5676">
      <c r="A5676" s="40"/>
      <c r="B5676" s="75" t="s">
        <v>19332</v>
      </c>
      <c r="C5676" s="77" t="s">
        <v>563</v>
      </c>
      <c r="D5676" s="47"/>
      <c r="E5676" s="22" t="s">
        <v>26692</v>
      </c>
      <c r="F5676" s="22" t="s">
        <v>19727</v>
      </c>
      <c r="G5676" s="23">
        <v>2022.0</v>
      </c>
      <c r="H5676" s="22" t="s">
        <v>477</v>
      </c>
      <c r="I5676" s="24" t="s">
        <v>26693</v>
      </c>
      <c r="J5676" s="22" t="s">
        <v>26694</v>
      </c>
      <c r="K5676" s="22" t="s">
        <v>26695</v>
      </c>
      <c r="L5676" s="36" t="s">
        <v>26696</v>
      </c>
      <c r="M5676" s="36">
        <v>100.0</v>
      </c>
      <c r="N5676" s="36" t="s">
        <v>26697</v>
      </c>
      <c r="O5676" s="36" t="s">
        <v>26508</v>
      </c>
      <c r="P5676" s="36">
        <v>106.0</v>
      </c>
      <c r="Q5676" s="36" t="s">
        <v>26698</v>
      </c>
      <c r="R5676" s="36" t="s">
        <v>13421</v>
      </c>
      <c r="S5676" s="36" t="s">
        <v>26699</v>
      </c>
      <c r="T5676" s="102" t="s">
        <v>26700</v>
      </c>
      <c r="U5676" s="38" t="s">
        <v>61</v>
      </c>
      <c r="V5676" s="30" t="s">
        <v>26701</v>
      </c>
      <c r="W5676" s="49"/>
      <c r="X5676" s="49"/>
      <c r="Y5676" s="35"/>
      <c r="Z5676" s="35"/>
      <c r="AA5676" s="35"/>
      <c r="AB5676" s="35"/>
      <c r="AC5676" s="35"/>
      <c r="AD5676" s="35"/>
      <c r="AE5676" s="35"/>
      <c r="AF5676" s="35"/>
      <c r="AG5676" s="35"/>
      <c r="AH5676" s="35"/>
      <c r="AI5676" s="35"/>
      <c r="AJ5676" s="35"/>
      <c r="AK5676" s="35"/>
      <c r="AL5676" s="35"/>
    </row>
    <row r="5677">
      <c r="A5677" s="40"/>
      <c r="B5677" s="75" t="s">
        <v>19332</v>
      </c>
      <c r="C5677" s="77" t="s">
        <v>563</v>
      </c>
      <c r="D5677" s="47"/>
      <c r="E5677" s="22" t="s">
        <v>26702</v>
      </c>
      <c r="F5677" s="22" t="s">
        <v>8008</v>
      </c>
      <c r="G5677" s="23">
        <v>2022.0</v>
      </c>
      <c r="H5677" s="22" t="s">
        <v>20150</v>
      </c>
      <c r="I5677" s="24" t="s">
        <v>26703</v>
      </c>
      <c r="J5677" s="22" t="s">
        <v>649</v>
      </c>
      <c r="K5677" s="22"/>
      <c r="L5677" s="105" t="s">
        <v>26704</v>
      </c>
      <c r="M5677" s="44"/>
      <c r="N5677" s="44"/>
      <c r="O5677" s="44"/>
      <c r="P5677" s="44"/>
      <c r="Q5677" s="44"/>
      <c r="R5677" s="44"/>
      <c r="S5677" s="44"/>
      <c r="T5677" s="45"/>
      <c r="U5677" s="29" t="s">
        <v>61</v>
      </c>
      <c r="V5677" s="30"/>
      <c r="W5677" s="49"/>
      <c r="X5677" s="49"/>
      <c r="Y5677" s="35"/>
      <c r="Z5677" s="35"/>
      <c r="AA5677" s="35"/>
      <c r="AB5677" s="35"/>
      <c r="AC5677" s="35"/>
      <c r="AD5677" s="35"/>
      <c r="AE5677" s="35"/>
      <c r="AF5677" s="35"/>
      <c r="AG5677" s="35"/>
      <c r="AH5677" s="35"/>
      <c r="AI5677" s="35"/>
      <c r="AJ5677" s="35"/>
      <c r="AK5677" s="35"/>
      <c r="AL5677" s="35"/>
    </row>
    <row r="5678">
      <c r="A5678" s="18" t="s">
        <v>181</v>
      </c>
      <c r="B5678" s="19" t="s">
        <v>19332</v>
      </c>
      <c r="C5678" s="158" t="s">
        <v>563</v>
      </c>
      <c r="D5678" s="47"/>
      <c r="E5678" s="22" t="s">
        <v>5551</v>
      </c>
      <c r="F5678" s="22" t="s">
        <v>4645</v>
      </c>
      <c r="G5678" s="23">
        <v>2022.0</v>
      </c>
      <c r="H5678" s="22" t="s">
        <v>24503</v>
      </c>
      <c r="I5678" s="24" t="s">
        <v>26705</v>
      </c>
      <c r="J5678" s="22" t="s">
        <v>55</v>
      </c>
      <c r="K5678" s="22" t="s">
        <v>26706</v>
      </c>
      <c r="L5678" s="94" t="s">
        <v>26707</v>
      </c>
      <c r="M5678" s="94" t="s">
        <v>26708</v>
      </c>
      <c r="N5678" s="94"/>
      <c r="O5678" s="94"/>
      <c r="P5678" s="95"/>
      <c r="Q5678" s="94"/>
      <c r="R5678" s="94"/>
      <c r="S5678" s="94"/>
      <c r="T5678" s="28" t="s">
        <v>26709</v>
      </c>
      <c r="U5678" s="29" t="s">
        <v>61</v>
      </c>
      <c r="V5678" s="30"/>
      <c r="W5678" s="49"/>
      <c r="X5678" s="49"/>
      <c r="Y5678" s="35"/>
      <c r="Z5678" s="35"/>
      <c r="AA5678" s="35"/>
      <c r="AB5678" s="35"/>
      <c r="AC5678" s="35"/>
      <c r="AD5678" s="35"/>
      <c r="AE5678" s="35"/>
      <c r="AF5678" s="35"/>
      <c r="AG5678" s="35"/>
      <c r="AH5678" s="35"/>
      <c r="AI5678" s="35"/>
      <c r="AJ5678" s="35"/>
      <c r="AK5678" s="35"/>
      <c r="AL5678" s="35"/>
    </row>
    <row r="5679">
      <c r="A5679" s="18"/>
      <c r="B5679" s="19" t="s">
        <v>19332</v>
      </c>
      <c r="C5679" s="158" t="s">
        <v>563</v>
      </c>
      <c r="D5679" s="47"/>
      <c r="E5679" s="22" t="s">
        <v>26710</v>
      </c>
      <c r="F5679" s="22" t="s">
        <v>8008</v>
      </c>
      <c r="G5679" s="23">
        <v>2022.0</v>
      </c>
      <c r="H5679" s="22" t="s">
        <v>21099</v>
      </c>
      <c r="I5679" s="24" t="s">
        <v>26711</v>
      </c>
      <c r="J5679" s="22" t="s">
        <v>26712</v>
      </c>
      <c r="K5679" s="22" t="s">
        <v>26713</v>
      </c>
      <c r="L5679" s="94">
        <v>660.0</v>
      </c>
      <c r="M5679" s="94">
        <v>200.0</v>
      </c>
      <c r="N5679" s="94"/>
      <c r="O5679" s="94" t="s">
        <v>26714</v>
      </c>
      <c r="P5679" s="95" t="s">
        <v>26715</v>
      </c>
      <c r="Q5679" s="94" t="s">
        <v>26716</v>
      </c>
      <c r="R5679" s="94" t="s">
        <v>26717</v>
      </c>
      <c r="S5679" s="94"/>
      <c r="T5679" s="28" t="s">
        <v>26718</v>
      </c>
      <c r="U5679" s="29" t="s">
        <v>61</v>
      </c>
      <c r="V5679" s="30" t="s">
        <v>26719</v>
      </c>
      <c r="W5679" s="49"/>
      <c r="X5679" s="49"/>
      <c r="Y5679" s="35"/>
      <c r="Z5679" s="35"/>
      <c r="AA5679" s="35"/>
      <c r="AB5679" s="35"/>
      <c r="AC5679" s="35"/>
      <c r="AD5679" s="35"/>
      <c r="AE5679" s="35"/>
      <c r="AF5679" s="35"/>
      <c r="AG5679" s="35"/>
      <c r="AH5679" s="35"/>
      <c r="AI5679" s="35"/>
      <c r="AJ5679" s="35"/>
      <c r="AK5679" s="35"/>
      <c r="AL5679" s="35"/>
    </row>
    <row r="5680">
      <c r="A5680" s="18"/>
      <c r="B5680" s="19" t="s">
        <v>19332</v>
      </c>
      <c r="C5680" s="158" t="s">
        <v>563</v>
      </c>
      <c r="D5680" s="47"/>
      <c r="E5680" s="22" t="s">
        <v>7700</v>
      </c>
      <c r="F5680" s="22" t="s">
        <v>21765</v>
      </c>
      <c r="G5680" s="23">
        <v>2022.0</v>
      </c>
      <c r="H5680" s="22" t="s">
        <v>26720</v>
      </c>
      <c r="I5680" s="24" t="s">
        <v>26721</v>
      </c>
      <c r="J5680" s="22" t="s">
        <v>26722</v>
      </c>
      <c r="K5680" s="22"/>
      <c r="L5680" s="94">
        <v>660.0</v>
      </c>
      <c r="M5680" s="94">
        <v>20.0</v>
      </c>
      <c r="N5680" s="94"/>
      <c r="O5680" s="94"/>
      <c r="P5680" s="95" t="s">
        <v>432</v>
      </c>
      <c r="Q5680" s="94"/>
      <c r="R5680" s="94">
        <v>10.0</v>
      </c>
      <c r="S5680" s="94" t="s">
        <v>26723</v>
      </c>
      <c r="T5680" s="28" t="s">
        <v>26724</v>
      </c>
      <c r="U5680" s="29" t="s">
        <v>61</v>
      </c>
      <c r="V5680" s="50"/>
      <c r="W5680" s="49"/>
      <c r="X5680" s="49"/>
      <c r="Y5680" s="35"/>
      <c r="Z5680" s="35"/>
      <c r="AA5680" s="35"/>
      <c r="AB5680" s="35"/>
      <c r="AC5680" s="35"/>
      <c r="AD5680" s="35"/>
      <c r="AE5680" s="35"/>
      <c r="AF5680" s="35"/>
      <c r="AG5680" s="35"/>
      <c r="AH5680" s="35"/>
      <c r="AI5680" s="35"/>
      <c r="AJ5680" s="35"/>
      <c r="AK5680" s="35"/>
      <c r="AL5680" s="35"/>
    </row>
    <row r="5681">
      <c r="A5681" s="18"/>
      <c r="B5681" s="19" t="s">
        <v>19332</v>
      </c>
      <c r="C5681" s="158" t="s">
        <v>563</v>
      </c>
      <c r="D5681" s="47"/>
      <c r="E5681" s="22" t="s">
        <v>1689</v>
      </c>
      <c r="F5681" s="22" t="s">
        <v>2196</v>
      </c>
      <c r="G5681" s="23">
        <v>2022.0</v>
      </c>
      <c r="H5681" s="22" t="s">
        <v>26725</v>
      </c>
      <c r="I5681" s="24" t="s">
        <v>26726</v>
      </c>
      <c r="J5681" s="22" t="s">
        <v>26727</v>
      </c>
      <c r="K5681" s="22"/>
      <c r="L5681" s="94">
        <v>1064.0</v>
      </c>
      <c r="M5681" s="94" t="s">
        <v>7729</v>
      </c>
      <c r="N5681" s="94"/>
      <c r="O5681" s="94"/>
      <c r="P5681" s="95" t="s">
        <v>969</v>
      </c>
      <c r="Q5681" s="94"/>
      <c r="R5681" s="94">
        <v>300.0</v>
      </c>
      <c r="S5681" s="94"/>
      <c r="T5681" s="28" t="s">
        <v>26728</v>
      </c>
      <c r="U5681" s="29" t="s">
        <v>61</v>
      </c>
      <c r="V5681" s="50"/>
      <c r="W5681" s="49"/>
      <c r="X5681" s="49"/>
      <c r="Y5681" s="35"/>
      <c r="Z5681" s="35"/>
      <c r="AA5681" s="35"/>
      <c r="AB5681" s="35"/>
      <c r="AC5681" s="35"/>
      <c r="AD5681" s="35"/>
      <c r="AE5681" s="35"/>
      <c r="AF5681" s="35"/>
      <c r="AG5681" s="35"/>
      <c r="AH5681" s="35"/>
      <c r="AI5681" s="35"/>
      <c r="AJ5681" s="35"/>
      <c r="AK5681" s="35"/>
      <c r="AL5681" s="35"/>
    </row>
    <row r="5682">
      <c r="A5682" s="18"/>
      <c r="B5682" s="19" t="s">
        <v>19332</v>
      </c>
      <c r="C5682" s="158" t="s">
        <v>563</v>
      </c>
      <c r="D5682" s="47"/>
      <c r="E5682" s="22" t="s">
        <v>10326</v>
      </c>
      <c r="F5682" s="22" t="s">
        <v>26729</v>
      </c>
      <c r="G5682" s="23">
        <v>2022.0</v>
      </c>
      <c r="H5682" s="22" t="s">
        <v>77</v>
      </c>
      <c r="I5682" s="24" t="s">
        <v>26730</v>
      </c>
      <c r="J5682" s="22" t="s">
        <v>26731</v>
      </c>
      <c r="K5682" s="22"/>
      <c r="L5682" s="94">
        <v>810.0</v>
      </c>
      <c r="M5682" s="94" t="s">
        <v>26732</v>
      </c>
      <c r="N5682" s="94"/>
      <c r="O5682" s="94"/>
      <c r="P5682" s="95" t="s">
        <v>254</v>
      </c>
      <c r="Q5682" s="94"/>
      <c r="R5682" s="94"/>
      <c r="S5682" s="94" t="s">
        <v>6403</v>
      </c>
      <c r="T5682" s="28" t="s">
        <v>26733</v>
      </c>
      <c r="U5682" s="29" t="s">
        <v>61</v>
      </c>
      <c r="V5682" s="30" t="s">
        <v>174</v>
      </c>
      <c r="W5682" s="49"/>
      <c r="X5682" s="49"/>
      <c r="Y5682" s="35"/>
      <c r="Z5682" s="35"/>
      <c r="AA5682" s="35"/>
      <c r="AB5682" s="35"/>
      <c r="AC5682" s="35"/>
      <c r="AD5682" s="35"/>
      <c r="AE5682" s="35"/>
      <c r="AF5682" s="35"/>
      <c r="AG5682" s="35"/>
      <c r="AH5682" s="35"/>
      <c r="AI5682" s="35"/>
      <c r="AJ5682" s="35"/>
      <c r="AK5682" s="35"/>
      <c r="AL5682" s="35"/>
    </row>
    <row r="5683">
      <c r="A5683" s="18" t="s">
        <v>38</v>
      </c>
      <c r="B5683" s="19" t="s">
        <v>19332</v>
      </c>
      <c r="C5683" s="158" t="s">
        <v>563</v>
      </c>
      <c r="D5683" s="47"/>
      <c r="E5683" s="22" t="s">
        <v>1101</v>
      </c>
      <c r="F5683" s="22" t="s">
        <v>870</v>
      </c>
      <c r="G5683" s="23">
        <v>2022.0</v>
      </c>
      <c r="H5683" s="22" t="s">
        <v>91</v>
      </c>
      <c r="I5683" s="24" t="s">
        <v>26734</v>
      </c>
      <c r="J5683" s="22" t="s">
        <v>26735</v>
      </c>
      <c r="K5683" s="22"/>
      <c r="L5683" s="94" t="s">
        <v>6257</v>
      </c>
      <c r="M5683" s="94" t="s">
        <v>20855</v>
      </c>
      <c r="N5683" s="94" t="s">
        <v>58</v>
      </c>
      <c r="O5683" s="94">
        <v>8.0</v>
      </c>
      <c r="P5683" s="95" t="s">
        <v>26736</v>
      </c>
      <c r="Q5683" s="94" t="s">
        <v>22018</v>
      </c>
      <c r="R5683" s="94">
        <v>40.0</v>
      </c>
      <c r="S5683" s="94" t="s">
        <v>19601</v>
      </c>
      <c r="T5683" s="42" t="s">
        <v>26737</v>
      </c>
      <c r="U5683" s="29" t="s">
        <v>61</v>
      </c>
      <c r="V5683" s="30"/>
      <c r="W5683" s="49"/>
      <c r="X5683" s="49"/>
      <c r="Y5683" s="35"/>
      <c r="Z5683" s="35"/>
      <c r="AA5683" s="35"/>
      <c r="AB5683" s="35"/>
      <c r="AC5683" s="35"/>
      <c r="AD5683" s="35"/>
      <c r="AE5683" s="35"/>
      <c r="AF5683" s="35"/>
      <c r="AG5683" s="35"/>
      <c r="AH5683" s="35"/>
      <c r="AI5683" s="35"/>
      <c r="AJ5683" s="35"/>
      <c r="AK5683" s="35"/>
      <c r="AL5683" s="35"/>
    </row>
    <row r="5684">
      <c r="A5684" s="40"/>
      <c r="B5684" s="19" t="s">
        <v>19332</v>
      </c>
      <c r="C5684" s="158" t="s">
        <v>563</v>
      </c>
      <c r="D5684" s="47"/>
      <c r="E5684" s="22" t="s">
        <v>26738</v>
      </c>
      <c r="F5684" s="22" t="s">
        <v>7649</v>
      </c>
      <c r="G5684" s="23">
        <v>2022.0</v>
      </c>
      <c r="H5684" s="22" t="s">
        <v>91</v>
      </c>
      <c r="I5684" s="24" t="s">
        <v>26739</v>
      </c>
      <c r="J5684" s="22" t="s">
        <v>1078</v>
      </c>
      <c r="K5684" s="22"/>
      <c r="L5684" s="105" t="s">
        <v>26740</v>
      </c>
      <c r="M5684" s="44"/>
      <c r="N5684" s="44"/>
      <c r="O5684" s="44"/>
      <c r="P5684" s="44"/>
      <c r="Q5684" s="44"/>
      <c r="R5684" s="44"/>
      <c r="S5684" s="44"/>
      <c r="T5684" s="45"/>
      <c r="U5684" s="29" t="s">
        <v>61</v>
      </c>
      <c r="V5684" s="50"/>
      <c r="W5684" s="49"/>
      <c r="X5684" s="49"/>
      <c r="Y5684" s="35"/>
      <c r="Z5684" s="35"/>
      <c r="AA5684" s="35"/>
      <c r="AB5684" s="35"/>
      <c r="AC5684" s="35"/>
      <c r="AD5684" s="35"/>
      <c r="AE5684" s="35"/>
      <c r="AF5684" s="35"/>
      <c r="AG5684" s="35"/>
      <c r="AH5684" s="35"/>
      <c r="AI5684" s="35"/>
      <c r="AJ5684" s="35"/>
      <c r="AK5684" s="35"/>
      <c r="AL5684" s="35"/>
    </row>
    <row r="5685">
      <c r="A5685" s="40"/>
      <c r="B5685" s="19" t="s">
        <v>19332</v>
      </c>
      <c r="C5685" s="158" t="s">
        <v>563</v>
      </c>
      <c r="D5685" s="47"/>
      <c r="E5685" s="22" t="s">
        <v>26741</v>
      </c>
      <c r="F5685" s="22" t="s">
        <v>22416</v>
      </c>
      <c r="G5685" s="23">
        <v>2021.0</v>
      </c>
      <c r="H5685" s="22" t="s">
        <v>611</v>
      </c>
      <c r="I5685" s="24" t="s">
        <v>26742</v>
      </c>
      <c r="J5685" s="22" t="s">
        <v>26743</v>
      </c>
      <c r="K5685" s="22" t="s">
        <v>26744</v>
      </c>
      <c r="L5685" s="94" t="s">
        <v>25744</v>
      </c>
      <c r="M5685" s="94"/>
      <c r="N5685" s="94" t="s">
        <v>26745</v>
      </c>
      <c r="O5685" s="94" t="s">
        <v>26746</v>
      </c>
      <c r="P5685" s="95" t="s">
        <v>944</v>
      </c>
      <c r="Q5685" s="94" t="s">
        <v>26747</v>
      </c>
      <c r="R5685" s="94"/>
      <c r="S5685" s="94" t="s">
        <v>7520</v>
      </c>
      <c r="T5685" s="42" t="s">
        <v>26748</v>
      </c>
      <c r="U5685" s="29" t="s">
        <v>61</v>
      </c>
      <c r="V5685" s="50"/>
      <c r="W5685" s="49"/>
      <c r="X5685" s="49"/>
      <c r="Y5685" s="35"/>
      <c r="Z5685" s="35"/>
      <c r="AA5685" s="35"/>
      <c r="AB5685" s="35"/>
      <c r="AC5685" s="35"/>
      <c r="AD5685" s="35"/>
      <c r="AE5685" s="35"/>
      <c r="AF5685" s="35"/>
      <c r="AG5685" s="35"/>
      <c r="AH5685" s="35"/>
      <c r="AI5685" s="35"/>
      <c r="AJ5685" s="35"/>
      <c r="AK5685" s="35"/>
      <c r="AL5685" s="35"/>
    </row>
    <row r="5686">
      <c r="A5686" s="40"/>
      <c r="B5686" s="19" t="s">
        <v>19332</v>
      </c>
      <c r="C5686" s="158" t="s">
        <v>563</v>
      </c>
      <c r="D5686" s="47"/>
      <c r="E5686" s="22" t="s">
        <v>26749</v>
      </c>
      <c r="F5686" s="22" t="s">
        <v>41</v>
      </c>
      <c r="G5686" s="23">
        <v>2021.0</v>
      </c>
      <c r="H5686" s="22" t="s">
        <v>91</v>
      </c>
      <c r="I5686" s="24" t="s">
        <v>26750</v>
      </c>
      <c r="J5686" s="22" t="s">
        <v>55</v>
      </c>
      <c r="K5686" s="22"/>
      <c r="L5686" s="94">
        <v>850.0</v>
      </c>
      <c r="M5686" s="94"/>
      <c r="N5686" s="94"/>
      <c r="O5686" s="94"/>
      <c r="P5686" s="95"/>
      <c r="Q5686" s="94"/>
      <c r="R5686" s="94"/>
      <c r="S5686" s="94"/>
      <c r="T5686" s="42" t="s">
        <v>26751</v>
      </c>
      <c r="U5686" s="29" t="s">
        <v>61</v>
      </c>
      <c r="V5686" s="50"/>
      <c r="W5686" s="49"/>
      <c r="X5686" s="49"/>
      <c r="Y5686" s="35"/>
      <c r="Z5686" s="35"/>
      <c r="AA5686" s="35"/>
      <c r="AB5686" s="35"/>
      <c r="AC5686" s="35"/>
      <c r="AD5686" s="35"/>
      <c r="AE5686" s="35"/>
      <c r="AF5686" s="35"/>
      <c r="AG5686" s="35"/>
      <c r="AH5686" s="35"/>
      <c r="AI5686" s="35"/>
      <c r="AJ5686" s="35"/>
      <c r="AK5686" s="35"/>
      <c r="AL5686" s="35"/>
    </row>
    <row r="5687">
      <c r="A5687" s="40"/>
      <c r="B5687" s="19" t="s">
        <v>19332</v>
      </c>
      <c r="C5687" s="158" t="s">
        <v>563</v>
      </c>
      <c r="D5687" s="47"/>
      <c r="E5687" s="22" t="s">
        <v>14256</v>
      </c>
      <c r="F5687" s="22" t="s">
        <v>3958</v>
      </c>
      <c r="G5687" s="23">
        <v>2021.0</v>
      </c>
      <c r="H5687" s="22" t="s">
        <v>25388</v>
      </c>
      <c r="I5687" s="24" t="s">
        <v>26752</v>
      </c>
      <c r="J5687" s="22" t="s">
        <v>55</v>
      </c>
      <c r="K5687" s="22"/>
      <c r="L5687" s="94" t="s">
        <v>26753</v>
      </c>
      <c r="M5687" s="94"/>
      <c r="N5687" s="94"/>
      <c r="O5687" s="94"/>
      <c r="P5687" s="95"/>
      <c r="Q5687" s="94"/>
      <c r="R5687" s="94"/>
      <c r="S5687" s="94"/>
      <c r="T5687" s="28" t="s">
        <v>26754</v>
      </c>
      <c r="U5687" s="29" t="s">
        <v>61</v>
      </c>
      <c r="V5687" s="50"/>
      <c r="W5687" s="49"/>
      <c r="X5687" s="49"/>
      <c r="Y5687" s="35"/>
      <c r="Z5687" s="35"/>
      <c r="AA5687" s="35"/>
      <c r="AB5687" s="35"/>
      <c r="AC5687" s="35"/>
      <c r="AD5687" s="35"/>
      <c r="AE5687" s="35"/>
      <c r="AF5687" s="35"/>
      <c r="AG5687" s="35"/>
      <c r="AH5687" s="35"/>
      <c r="AI5687" s="35"/>
      <c r="AJ5687" s="35"/>
      <c r="AK5687" s="35"/>
      <c r="AL5687" s="35"/>
    </row>
    <row r="5688">
      <c r="A5688" s="40"/>
      <c r="B5688" s="19" t="s">
        <v>19332</v>
      </c>
      <c r="C5688" s="158" t="s">
        <v>563</v>
      </c>
      <c r="D5688" s="47"/>
      <c r="E5688" s="22" t="s">
        <v>26755</v>
      </c>
      <c r="F5688" s="22" t="s">
        <v>765</v>
      </c>
      <c r="G5688" s="23">
        <v>2021.0</v>
      </c>
      <c r="H5688" s="22" t="s">
        <v>798</v>
      </c>
      <c r="I5688" s="24" t="s">
        <v>26756</v>
      </c>
      <c r="J5688" s="22" t="s">
        <v>26757</v>
      </c>
      <c r="K5688" s="22"/>
      <c r="L5688" s="94">
        <v>810.0</v>
      </c>
      <c r="M5688" s="94">
        <v>100.0</v>
      </c>
      <c r="N5688" s="94"/>
      <c r="O5688" s="94" t="s">
        <v>354</v>
      </c>
      <c r="P5688" s="95"/>
      <c r="Q5688" s="94"/>
      <c r="R5688" s="94" t="s">
        <v>420</v>
      </c>
      <c r="S5688" s="94">
        <v>1.0</v>
      </c>
      <c r="T5688" s="28" t="s">
        <v>26758</v>
      </c>
      <c r="U5688" s="29" t="s">
        <v>61</v>
      </c>
      <c r="V5688" s="50"/>
      <c r="W5688" s="49"/>
      <c r="X5688" s="49"/>
      <c r="Y5688" s="35"/>
      <c r="Z5688" s="35"/>
      <c r="AA5688" s="35"/>
      <c r="AB5688" s="35"/>
      <c r="AC5688" s="35"/>
      <c r="AD5688" s="35"/>
      <c r="AE5688" s="35"/>
      <c r="AF5688" s="35"/>
      <c r="AG5688" s="35"/>
      <c r="AH5688" s="35"/>
      <c r="AI5688" s="35"/>
      <c r="AJ5688" s="35"/>
      <c r="AK5688" s="35"/>
      <c r="AL5688" s="35"/>
    </row>
    <row r="5689">
      <c r="A5689" s="40"/>
      <c r="B5689" s="19" t="s">
        <v>19332</v>
      </c>
      <c r="C5689" s="158" t="s">
        <v>563</v>
      </c>
      <c r="D5689" s="47"/>
      <c r="E5689" s="22" t="s">
        <v>388</v>
      </c>
      <c r="F5689" s="22" t="s">
        <v>720</v>
      </c>
      <c r="G5689" s="23">
        <v>2021.0</v>
      </c>
      <c r="H5689" s="22" t="s">
        <v>702</v>
      </c>
      <c r="I5689" s="24" t="s">
        <v>26759</v>
      </c>
      <c r="J5689" s="22" t="s">
        <v>1078</v>
      </c>
      <c r="K5689" s="22"/>
      <c r="L5689" s="195" t="s">
        <v>26760</v>
      </c>
      <c r="M5689" s="44"/>
      <c r="N5689" s="44"/>
      <c r="O5689" s="44"/>
      <c r="P5689" s="44"/>
      <c r="Q5689" s="44"/>
      <c r="R5689" s="44"/>
      <c r="S5689" s="44"/>
      <c r="T5689" s="45"/>
      <c r="U5689" s="29" t="s">
        <v>61</v>
      </c>
      <c r="V5689" s="50"/>
      <c r="W5689" s="49"/>
      <c r="X5689" s="49"/>
      <c r="Y5689" s="35"/>
      <c r="Z5689" s="35"/>
      <c r="AA5689" s="35"/>
      <c r="AB5689" s="35"/>
      <c r="AC5689" s="35"/>
      <c r="AD5689" s="35"/>
      <c r="AE5689" s="35"/>
      <c r="AF5689" s="35"/>
      <c r="AG5689" s="35"/>
      <c r="AH5689" s="35"/>
      <c r="AI5689" s="35"/>
      <c r="AJ5689" s="35"/>
      <c r="AK5689" s="35"/>
      <c r="AL5689" s="35"/>
    </row>
    <row r="5690">
      <c r="A5690" s="40"/>
      <c r="B5690" s="19" t="s">
        <v>19332</v>
      </c>
      <c r="C5690" s="381" t="s">
        <v>563</v>
      </c>
      <c r="D5690" s="47"/>
      <c r="E5690" s="22" t="s">
        <v>7705</v>
      </c>
      <c r="F5690" s="22" t="s">
        <v>400</v>
      </c>
      <c r="G5690" s="23">
        <v>2021.0</v>
      </c>
      <c r="H5690" s="22" t="s">
        <v>147</v>
      </c>
      <c r="I5690" s="24" t="s">
        <v>26761</v>
      </c>
      <c r="J5690" s="22" t="s">
        <v>2273</v>
      </c>
      <c r="K5690" s="22"/>
      <c r="L5690" s="94">
        <v>660.0</v>
      </c>
      <c r="M5690" s="94"/>
      <c r="N5690" s="94"/>
      <c r="O5690" s="94">
        <v>2.0</v>
      </c>
      <c r="P5690" s="95" t="s">
        <v>20927</v>
      </c>
      <c r="Q5690" s="94"/>
      <c r="R5690" s="94"/>
      <c r="S5690" s="94">
        <v>4.0</v>
      </c>
      <c r="T5690" s="28" t="s">
        <v>26762</v>
      </c>
      <c r="U5690" s="29" t="s">
        <v>61</v>
      </c>
      <c r="V5690" s="50"/>
      <c r="W5690" s="49"/>
      <c r="X5690" s="49"/>
      <c r="Y5690" s="35"/>
      <c r="Z5690" s="35"/>
      <c r="AA5690" s="35"/>
      <c r="AB5690" s="35"/>
      <c r="AC5690" s="35"/>
      <c r="AD5690" s="35"/>
      <c r="AE5690" s="35"/>
      <c r="AF5690" s="35"/>
      <c r="AG5690" s="35"/>
      <c r="AH5690" s="35"/>
      <c r="AI5690" s="35"/>
      <c r="AJ5690" s="35"/>
      <c r="AK5690" s="35"/>
      <c r="AL5690" s="35"/>
    </row>
    <row r="5691">
      <c r="A5691" s="40"/>
      <c r="B5691" s="19" t="s">
        <v>19332</v>
      </c>
      <c r="C5691" s="158" t="s">
        <v>563</v>
      </c>
      <c r="D5691" s="47"/>
      <c r="E5691" s="22" t="s">
        <v>26763</v>
      </c>
      <c r="F5691" s="22" t="s">
        <v>26764</v>
      </c>
      <c r="G5691" s="23">
        <v>2021.0</v>
      </c>
      <c r="H5691" s="22" t="s">
        <v>4975</v>
      </c>
      <c r="I5691" s="24" t="s">
        <v>26765</v>
      </c>
      <c r="J5691" s="22" t="s">
        <v>26766</v>
      </c>
      <c r="K5691" s="22" t="s">
        <v>26767</v>
      </c>
      <c r="L5691" s="94" t="s">
        <v>26768</v>
      </c>
      <c r="M5691" s="94" t="s">
        <v>26769</v>
      </c>
      <c r="N5691" s="94" t="s">
        <v>26770</v>
      </c>
      <c r="O5691" s="94" t="s">
        <v>26771</v>
      </c>
      <c r="P5691" s="95" t="s">
        <v>26772</v>
      </c>
      <c r="Q5691" s="94" t="s">
        <v>26773</v>
      </c>
      <c r="R5691" s="94" t="s">
        <v>26774</v>
      </c>
      <c r="S5691" s="94">
        <v>1.0</v>
      </c>
      <c r="T5691" s="28" t="s">
        <v>26775</v>
      </c>
      <c r="U5691" s="29" t="s">
        <v>61</v>
      </c>
      <c r="V5691" s="30" t="s">
        <v>26776</v>
      </c>
      <c r="W5691" s="49"/>
      <c r="X5691" s="49"/>
      <c r="Y5691" s="35"/>
      <c r="Z5691" s="35"/>
      <c r="AA5691" s="35"/>
      <c r="AB5691" s="35"/>
      <c r="AC5691" s="35"/>
      <c r="AD5691" s="35"/>
      <c r="AE5691" s="35"/>
      <c r="AF5691" s="35"/>
      <c r="AG5691" s="35"/>
      <c r="AH5691" s="35"/>
      <c r="AI5691" s="35"/>
      <c r="AJ5691" s="35"/>
      <c r="AK5691" s="35"/>
      <c r="AL5691" s="35"/>
    </row>
    <row r="5692">
      <c r="A5692" s="18" t="s">
        <v>38</v>
      </c>
      <c r="B5692" s="19" t="s">
        <v>19332</v>
      </c>
      <c r="C5692" s="158" t="s">
        <v>563</v>
      </c>
      <c r="D5692" s="47"/>
      <c r="E5692" s="22" t="s">
        <v>26777</v>
      </c>
      <c r="F5692" s="22" t="s">
        <v>26778</v>
      </c>
      <c r="G5692" s="23">
        <v>2021.0</v>
      </c>
      <c r="H5692" s="22" t="s">
        <v>20255</v>
      </c>
      <c r="I5692" s="24" t="s">
        <v>26779</v>
      </c>
      <c r="J5692" s="22" t="s">
        <v>26780</v>
      </c>
      <c r="K5692" s="22"/>
      <c r="L5692" s="94" t="s">
        <v>26781</v>
      </c>
      <c r="M5692" s="94"/>
      <c r="N5692" s="94"/>
      <c r="O5692" s="94"/>
      <c r="P5692" s="95"/>
      <c r="Q5692" s="94"/>
      <c r="R5692" s="94"/>
      <c r="S5692" s="94">
        <v>1.0</v>
      </c>
      <c r="T5692" s="28" t="s">
        <v>26782</v>
      </c>
      <c r="U5692" s="29" t="s">
        <v>61</v>
      </c>
      <c r="V5692" s="50"/>
      <c r="W5692" s="49"/>
      <c r="X5692" s="49"/>
      <c r="Y5692" s="35"/>
      <c r="Z5692" s="35"/>
      <c r="AA5692" s="35"/>
      <c r="AB5692" s="35"/>
      <c r="AC5692" s="35"/>
      <c r="AD5692" s="35"/>
      <c r="AE5692" s="35"/>
      <c r="AF5692" s="35"/>
      <c r="AG5692" s="35"/>
      <c r="AH5692" s="35"/>
      <c r="AI5692" s="35"/>
      <c r="AJ5692" s="35"/>
      <c r="AK5692" s="35"/>
      <c r="AL5692" s="35"/>
    </row>
    <row r="5693">
      <c r="A5693" s="40"/>
      <c r="B5693" s="19" t="s">
        <v>19332</v>
      </c>
      <c r="C5693" s="158" t="s">
        <v>563</v>
      </c>
      <c r="D5693" s="47"/>
      <c r="E5693" s="22" t="s">
        <v>26783</v>
      </c>
      <c r="F5693" s="22" t="s">
        <v>11529</v>
      </c>
      <c r="G5693" s="23">
        <v>2021.0</v>
      </c>
      <c r="H5693" s="22" t="s">
        <v>91</v>
      </c>
      <c r="I5693" s="24" t="s">
        <v>26784</v>
      </c>
      <c r="J5693" s="22" t="s">
        <v>55</v>
      </c>
      <c r="K5693" s="22" t="s">
        <v>294</v>
      </c>
      <c r="L5693" s="94" t="s">
        <v>5357</v>
      </c>
      <c r="M5693" s="94"/>
      <c r="N5693" s="94"/>
      <c r="O5693" s="94"/>
      <c r="P5693" s="95"/>
      <c r="Q5693" s="94"/>
      <c r="R5693" s="94"/>
      <c r="S5693" s="94"/>
      <c r="T5693" s="28" t="s">
        <v>26785</v>
      </c>
      <c r="U5693" s="29" t="s">
        <v>61</v>
      </c>
      <c r="V5693" s="50"/>
      <c r="W5693" s="49"/>
      <c r="X5693" s="49"/>
      <c r="Y5693" s="35"/>
      <c r="Z5693" s="35"/>
      <c r="AA5693" s="35"/>
      <c r="AB5693" s="35"/>
      <c r="AC5693" s="35"/>
      <c r="AD5693" s="35"/>
      <c r="AE5693" s="35"/>
      <c r="AF5693" s="35"/>
      <c r="AG5693" s="35"/>
      <c r="AH5693" s="35"/>
      <c r="AI5693" s="35"/>
      <c r="AJ5693" s="35"/>
      <c r="AK5693" s="35"/>
      <c r="AL5693" s="35"/>
    </row>
    <row r="5694">
      <c r="A5694" s="18" t="s">
        <v>38</v>
      </c>
      <c r="B5694" s="19" t="s">
        <v>19332</v>
      </c>
      <c r="C5694" s="158" t="s">
        <v>563</v>
      </c>
      <c r="D5694" s="47"/>
      <c r="E5694" s="22" t="s">
        <v>26677</v>
      </c>
      <c r="F5694" s="22" t="s">
        <v>19408</v>
      </c>
      <c r="G5694" s="23">
        <v>2021.0</v>
      </c>
      <c r="H5694" s="22" t="s">
        <v>12502</v>
      </c>
      <c r="I5694" s="24" t="s">
        <v>26786</v>
      </c>
      <c r="J5694" s="22" t="s">
        <v>26787</v>
      </c>
      <c r="K5694" s="22"/>
      <c r="L5694" s="94">
        <v>940.0</v>
      </c>
      <c r="M5694" s="94">
        <v>500.0</v>
      </c>
      <c r="N5694" s="94" t="s">
        <v>58</v>
      </c>
      <c r="O5694" s="94" t="s">
        <v>58</v>
      </c>
      <c r="P5694" s="95" t="s">
        <v>95</v>
      </c>
      <c r="Q5694" s="94" t="s">
        <v>58</v>
      </c>
      <c r="R5694" s="94" t="s">
        <v>26788</v>
      </c>
      <c r="S5694" s="94">
        <v>1.0</v>
      </c>
      <c r="T5694" s="42" t="s">
        <v>26789</v>
      </c>
      <c r="U5694" s="29" t="s">
        <v>61</v>
      </c>
      <c r="V5694" s="50"/>
      <c r="W5694" s="49"/>
      <c r="X5694" s="49"/>
      <c r="Y5694" s="35"/>
      <c r="Z5694" s="35"/>
      <c r="AA5694" s="35"/>
      <c r="AB5694" s="35"/>
      <c r="AC5694" s="35"/>
      <c r="AD5694" s="35"/>
      <c r="AE5694" s="35"/>
      <c r="AF5694" s="35"/>
      <c r="AG5694" s="35"/>
      <c r="AH5694" s="35"/>
      <c r="AI5694" s="35"/>
      <c r="AJ5694" s="35"/>
      <c r="AK5694" s="35"/>
      <c r="AL5694" s="35"/>
    </row>
    <row r="5695">
      <c r="A5695" s="40"/>
      <c r="B5695" s="19" t="s">
        <v>19332</v>
      </c>
      <c r="C5695" s="158" t="s">
        <v>563</v>
      </c>
      <c r="D5695" s="47"/>
      <c r="E5695" s="22" t="s">
        <v>5065</v>
      </c>
      <c r="F5695" s="22" t="s">
        <v>2346</v>
      </c>
      <c r="G5695" s="23">
        <v>2020.0</v>
      </c>
      <c r="H5695" s="22" t="s">
        <v>26790</v>
      </c>
      <c r="I5695" s="24" t="s">
        <v>26791</v>
      </c>
      <c r="J5695" s="22" t="s">
        <v>125</v>
      </c>
      <c r="K5695" s="22" t="s">
        <v>26706</v>
      </c>
      <c r="L5695" s="195" t="s">
        <v>26792</v>
      </c>
      <c r="M5695" s="44"/>
      <c r="N5695" s="44"/>
      <c r="O5695" s="44"/>
      <c r="P5695" s="44"/>
      <c r="Q5695" s="44"/>
      <c r="R5695" s="44"/>
      <c r="S5695" s="44"/>
      <c r="T5695" s="45"/>
      <c r="U5695" s="29" t="s">
        <v>61</v>
      </c>
      <c r="V5695" s="50"/>
      <c r="W5695" s="49"/>
      <c r="X5695" s="49"/>
      <c r="Y5695" s="35"/>
      <c r="Z5695" s="35"/>
      <c r="AA5695" s="35"/>
      <c r="AB5695" s="35"/>
      <c r="AC5695" s="35"/>
      <c r="AD5695" s="35"/>
      <c r="AE5695" s="35"/>
      <c r="AF5695" s="35"/>
      <c r="AG5695" s="35"/>
      <c r="AH5695" s="35"/>
      <c r="AI5695" s="35"/>
      <c r="AJ5695" s="35"/>
      <c r="AK5695" s="35"/>
      <c r="AL5695" s="35"/>
    </row>
    <row r="5696">
      <c r="A5696" s="40"/>
      <c r="B5696" s="19" t="s">
        <v>19332</v>
      </c>
      <c r="C5696" s="158" t="s">
        <v>563</v>
      </c>
      <c r="D5696" s="47"/>
      <c r="E5696" s="22" t="s">
        <v>26793</v>
      </c>
      <c r="F5696" s="22" t="s">
        <v>20244</v>
      </c>
      <c r="G5696" s="23">
        <v>2020.0</v>
      </c>
      <c r="H5696" s="22" t="s">
        <v>19897</v>
      </c>
      <c r="I5696" s="24" t="s">
        <v>26794</v>
      </c>
      <c r="J5696" s="22" t="s">
        <v>26795</v>
      </c>
      <c r="K5696" s="22"/>
      <c r="L5696" s="94">
        <v>808.0</v>
      </c>
      <c r="M5696" s="94">
        <v>50.0</v>
      </c>
      <c r="N5696" s="94" t="s">
        <v>58</v>
      </c>
      <c r="O5696" s="94" t="s">
        <v>26796</v>
      </c>
      <c r="P5696" s="95" t="s">
        <v>24918</v>
      </c>
      <c r="Q5696" s="94" t="s">
        <v>20091</v>
      </c>
      <c r="R5696" s="94" t="s">
        <v>26797</v>
      </c>
      <c r="S5696" s="94">
        <v>1.0</v>
      </c>
      <c r="T5696" s="28" t="s">
        <v>26798</v>
      </c>
      <c r="U5696" s="29" t="s">
        <v>61</v>
      </c>
      <c r="V5696" s="50"/>
      <c r="W5696" s="49"/>
      <c r="X5696" s="49"/>
      <c r="Y5696" s="35"/>
      <c r="Z5696" s="35"/>
      <c r="AA5696" s="35"/>
      <c r="AB5696" s="35"/>
      <c r="AC5696" s="35"/>
      <c r="AD5696" s="35"/>
      <c r="AE5696" s="35"/>
      <c r="AF5696" s="35"/>
      <c r="AG5696" s="35"/>
      <c r="AH5696" s="35"/>
      <c r="AI5696" s="35"/>
      <c r="AJ5696" s="35"/>
      <c r="AK5696" s="35"/>
      <c r="AL5696" s="35"/>
    </row>
    <row r="5697">
      <c r="A5697" s="40"/>
      <c r="B5697" s="19" t="s">
        <v>19332</v>
      </c>
      <c r="C5697" s="158" t="s">
        <v>563</v>
      </c>
      <c r="D5697" s="47"/>
      <c r="E5697" s="22" t="s">
        <v>23536</v>
      </c>
      <c r="F5697" s="22" t="s">
        <v>11529</v>
      </c>
      <c r="G5697" s="23">
        <v>2020.0</v>
      </c>
      <c r="H5697" s="22" t="s">
        <v>1485</v>
      </c>
      <c r="I5697" s="24" t="s">
        <v>26799</v>
      </c>
      <c r="J5697" s="22" t="s">
        <v>1078</v>
      </c>
      <c r="K5697" s="22" t="s">
        <v>26800</v>
      </c>
      <c r="L5697" s="43" t="s">
        <v>26801</v>
      </c>
      <c r="M5697" s="44"/>
      <c r="N5697" s="44"/>
      <c r="O5697" s="44"/>
      <c r="P5697" s="44"/>
      <c r="Q5697" s="44"/>
      <c r="R5697" s="44"/>
      <c r="S5697" s="44"/>
      <c r="T5697" s="45"/>
      <c r="U5697" s="29" t="s">
        <v>61</v>
      </c>
      <c r="V5697" s="50"/>
      <c r="W5697" s="49"/>
      <c r="X5697" s="49"/>
      <c r="Y5697" s="35"/>
      <c r="Z5697" s="35"/>
      <c r="AA5697" s="35"/>
      <c r="AB5697" s="35"/>
      <c r="AC5697" s="35"/>
      <c r="AD5697" s="35"/>
      <c r="AE5697" s="35"/>
      <c r="AF5697" s="35"/>
      <c r="AG5697" s="35"/>
      <c r="AH5697" s="35"/>
      <c r="AI5697" s="35"/>
      <c r="AJ5697" s="35"/>
      <c r="AK5697" s="35"/>
      <c r="AL5697" s="35"/>
    </row>
    <row r="5698">
      <c r="A5698" s="40"/>
      <c r="B5698" s="19" t="s">
        <v>19332</v>
      </c>
      <c r="C5698" s="158" t="s">
        <v>563</v>
      </c>
      <c r="D5698" s="47"/>
      <c r="E5698" s="22" t="s">
        <v>26802</v>
      </c>
      <c r="F5698" s="22" t="s">
        <v>2808</v>
      </c>
      <c r="G5698" s="23">
        <v>2020.0</v>
      </c>
      <c r="H5698" s="22" t="s">
        <v>798</v>
      </c>
      <c r="I5698" s="24" t="s">
        <v>26803</v>
      </c>
      <c r="J5698" s="22" t="s">
        <v>1078</v>
      </c>
      <c r="K5698" s="22"/>
      <c r="L5698" s="363" t="s">
        <v>26804</v>
      </c>
      <c r="M5698" s="44"/>
      <c r="N5698" s="44"/>
      <c r="O5698" s="44"/>
      <c r="P5698" s="44"/>
      <c r="Q5698" s="44"/>
      <c r="R5698" s="44"/>
      <c r="S5698" s="44"/>
      <c r="T5698" s="45"/>
      <c r="U5698" s="29" t="s">
        <v>61</v>
      </c>
      <c r="V5698" s="50"/>
      <c r="W5698" s="49"/>
      <c r="X5698" s="49"/>
      <c r="Y5698" s="35"/>
      <c r="Z5698" s="35"/>
      <c r="AA5698" s="35"/>
      <c r="AB5698" s="35"/>
      <c r="AC5698" s="35"/>
      <c r="AD5698" s="35"/>
      <c r="AE5698" s="35"/>
      <c r="AF5698" s="35"/>
      <c r="AG5698" s="35"/>
      <c r="AH5698" s="35"/>
      <c r="AI5698" s="35"/>
      <c r="AJ5698" s="35"/>
      <c r="AK5698" s="35"/>
      <c r="AL5698" s="35"/>
    </row>
    <row r="5699">
      <c r="A5699" s="40"/>
      <c r="B5699" s="19" t="s">
        <v>19332</v>
      </c>
      <c r="C5699" s="158" t="s">
        <v>563</v>
      </c>
      <c r="D5699" s="47"/>
      <c r="E5699" s="22" t="s">
        <v>26805</v>
      </c>
      <c r="F5699" s="22" t="s">
        <v>332</v>
      </c>
      <c r="G5699" s="23">
        <v>2020.0</v>
      </c>
      <c r="H5699" s="22" t="s">
        <v>4975</v>
      </c>
      <c r="I5699" s="24" t="s">
        <v>26806</v>
      </c>
      <c r="J5699" s="22" t="s">
        <v>2049</v>
      </c>
      <c r="K5699" s="22"/>
      <c r="L5699" s="94">
        <v>980.0</v>
      </c>
      <c r="M5699" s="94">
        <v>600.0</v>
      </c>
      <c r="N5699" s="94" t="s">
        <v>9556</v>
      </c>
      <c r="O5699" s="94">
        <v>36.0</v>
      </c>
      <c r="P5699" s="95" t="s">
        <v>26807</v>
      </c>
      <c r="Q5699" s="94"/>
      <c r="R5699" s="94">
        <v>60.0</v>
      </c>
      <c r="S5699" s="94"/>
      <c r="T5699" s="28" t="s">
        <v>26808</v>
      </c>
      <c r="U5699" s="29" t="s">
        <v>61</v>
      </c>
      <c r="V5699" s="50"/>
      <c r="W5699" s="49"/>
      <c r="X5699" s="49"/>
      <c r="Y5699" s="35"/>
      <c r="Z5699" s="35"/>
      <c r="AA5699" s="35"/>
      <c r="AB5699" s="35"/>
      <c r="AC5699" s="35"/>
      <c r="AD5699" s="35"/>
      <c r="AE5699" s="35"/>
      <c r="AF5699" s="35"/>
      <c r="AG5699" s="35"/>
      <c r="AH5699" s="35"/>
      <c r="AI5699" s="35"/>
      <c r="AJ5699" s="35"/>
      <c r="AK5699" s="35"/>
      <c r="AL5699" s="35"/>
    </row>
    <row r="5700">
      <c r="A5700" s="40"/>
      <c r="B5700" s="19" t="s">
        <v>19332</v>
      </c>
      <c r="C5700" s="158" t="s">
        <v>563</v>
      </c>
      <c r="D5700" s="47"/>
      <c r="E5700" s="22" t="s">
        <v>26809</v>
      </c>
      <c r="F5700" s="22" t="s">
        <v>26399</v>
      </c>
      <c r="G5700" s="23">
        <v>2020.0</v>
      </c>
      <c r="H5700" s="22" t="s">
        <v>1204</v>
      </c>
      <c r="I5700" s="24" t="s">
        <v>26810</v>
      </c>
      <c r="J5700" s="22" t="s">
        <v>55</v>
      </c>
      <c r="K5700" s="22"/>
      <c r="L5700" s="94">
        <v>980.0</v>
      </c>
      <c r="M5700" s="94">
        <v>100.0</v>
      </c>
      <c r="N5700" s="94"/>
      <c r="O5700" s="94"/>
      <c r="P5700" s="95"/>
      <c r="Q5700" s="94"/>
      <c r="R5700" s="94"/>
      <c r="S5700" s="94"/>
      <c r="T5700" s="41" t="s">
        <v>26811</v>
      </c>
      <c r="U5700" s="29" t="s">
        <v>61</v>
      </c>
      <c r="V5700" s="50"/>
      <c r="W5700" s="49"/>
      <c r="X5700" s="49"/>
      <c r="Y5700" s="35"/>
      <c r="Z5700" s="35"/>
      <c r="AA5700" s="35"/>
      <c r="AB5700" s="35"/>
      <c r="AC5700" s="35"/>
      <c r="AD5700" s="35"/>
      <c r="AE5700" s="35"/>
      <c r="AF5700" s="35"/>
      <c r="AG5700" s="35"/>
      <c r="AH5700" s="35"/>
      <c r="AI5700" s="35"/>
      <c r="AJ5700" s="35"/>
      <c r="AK5700" s="35"/>
      <c r="AL5700" s="35"/>
    </row>
    <row r="5701">
      <c r="A5701" s="40"/>
      <c r="B5701" s="19" t="s">
        <v>19332</v>
      </c>
      <c r="C5701" s="158" t="s">
        <v>563</v>
      </c>
      <c r="D5701" s="47"/>
      <c r="E5701" s="22" t="s">
        <v>26812</v>
      </c>
      <c r="F5701" s="22" t="s">
        <v>4812</v>
      </c>
      <c r="G5701" s="23">
        <v>2020.0</v>
      </c>
      <c r="H5701" s="22" t="s">
        <v>798</v>
      </c>
      <c r="I5701" s="24" t="s">
        <v>26813</v>
      </c>
      <c r="J5701" s="22" t="s">
        <v>26814</v>
      </c>
      <c r="K5701" s="22" t="s">
        <v>26815</v>
      </c>
      <c r="L5701" s="94">
        <v>808.0</v>
      </c>
      <c r="M5701" s="94">
        <v>100.0</v>
      </c>
      <c r="N5701" s="94" t="s">
        <v>13172</v>
      </c>
      <c r="O5701" s="94">
        <v>4.0</v>
      </c>
      <c r="P5701" s="95" t="s">
        <v>18175</v>
      </c>
      <c r="Q5701" s="94" t="s">
        <v>26816</v>
      </c>
      <c r="R5701" s="94">
        <v>40.0</v>
      </c>
      <c r="S5701" s="94">
        <v>1.0</v>
      </c>
      <c r="T5701" s="28" t="s">
        <v>26817</v>
      </c>
      <c r="U5701" s="29" t="s">
        <v>61</v>
      </c>
      <c r="V5701" s="50"/>
      <c r="W5701" s="49"/>
      <c r="X5701" s="49"/>
      <c r="Y5701" s="35"/>
      <c r="Z5701" s="35"/>
      <c r="AA5701" s="35"/>
      <c r="AB5701" s="35"/>
      <c r="AC5701" s="35"/>
      <c r="AD5701" s="35"/>
      <c r="AE5701" s="35"/>
      <c r="AF5701" s="35"/>
      <c r="AG5701" s="35"/>
      <c r="AH5701" s="35"/>
      <c r="AI5701" s="35"/>
      <c r="AJ5701" s="35"/>
      <c r="AK5701" s="35"/>
      <c r="AL5701" s="35"/>
    </row>
    <row r="5702">
      <c r="A5702" s="40"/>
      <c r="B5702" s="19" t="s">
        <v>19332</v>
      </c>
      <c r="C5702" s="158" t="s">
        <v>563</v>
      </c>
      <c r="D5702" s="47"/>
      <c r="E5702" s="22" t="s">
        <v>26818</v>
      </c>
      <c r="F5702" s="22" t="s">
        <v>19727</v>
      </c>
      <c r="G5702" s="23">
        <v>2020.0</v>
      </c>
      <c r="H5702" s="22" t="s">
        <v>77</v>
      </c>
      <c r="I5702" s="24" t="s">
        <v>26819</v>
      </c>
      <c r="J5702" s="22" t="s">
        <v>55</v>
      </c>
      <c r="K5702" s="22"/>
      <c r="L5702" s="94">
        <v>810.0</v>
      </c>
      <c r="M5702" s="94">
        <v>100.0</v>
      </c>
      <c r="N5702" s="94"/>
      <c r="O5702" s="94">
        <v>2.0</v>
      </c>
      <c r="P5702" s="95" t="s">
        <v>21170</v>
      </c>
      <c r="Q5702" s="94"/>
      <c r="R5702" s="94"/>
      <c r="S5702" s="94"/>
      <c r="T5702" s="28" t="s">
        <v>26820</v>
      </c>
      <c r="U5702" s="29" t="s">
        <v>61</v>
      </c>
      <c r="V5702" s="50"/>
      <c r="W5702" s="49"/>
      <c r="X5702" s="49"/>
      <c r="Y5702" s="35"/>
      <c r="Z5702" s="35"/>
      <c r="AA5702" s="35"/>
      <c r="AB5702" s="35"/>
      <c r="AC5702" s="35"/>
      <c r="AD5702" s="35"/>
      <c r="AE5702" s="35"/>
      <c r="AF5702" s="35"/>
      <c r="AG5702" s="35"/>
      <c r="AH5702" s="35"/>
      <c r="AI5702" s="35"/>
      <c r="AJ5702" s="35"/>
      <c r="AK5702" s="35"/>
      <c r="AL5702" s="35"/>
    </row>
    <row r="5703">
      <c r="A5703" s="40"/>
      <c r="B5703" s="19" t="s">
        <v>19332</v>
      </c>
      <c r="C5703" s="158" t="s">
        <v>563</v>
      </c>
      <c r="D5703" s="47"/>
      <c r="E5703" s="22" t="s">
        <v>26821</v>
      </c>
      <c r="F5703" s="22" t="s">
        <v>9400</v>
      </c>
      <c r="G5703" s="23">
        <v>2020.0</v>
      </c>
      <c r="H5703" s="22" t="s">
        <v>798</v>
      </c>
      <c r="I5703" s="24" t="s">
        <v>26822</v>
      </c>
      <c r="J5703" s="22" t="s">
        <v>26823</v>
      </c>
      <c r="K5703" s="22"/>
      <c r="L5703" s="94">
        <v>1064.0</v>
      </c>
      <c r="M5703" s="94">
        <v>1000.0</v>
      </c>
      <c r="N5703" s="94" t="s">
        <v>58</v>
      </c>
      <c r="O5703" s="94" t="s">
        <v>19680</v>
      </c>
      <c r="P5703" s="95" t="s">
        <v>58</v>
      </c>
      <c r="Q5703" s="94" t="s">
        <v>58</v>
      </c>
      <c r="R5703" s="94">
        <v>120.0</v>
      </c>
      <c r="S5703" s="94" t="s">
        <v>434</v>
      </c>
      <c r="T5703" s="28" t="s">
        <v>26824</v>
      </c>
      <c r="U5703" s="29" t="s">
        <v>61</v>
      </c>
      <c r="V5703" s="50"/>
      <c r="W5703" s="49"/>
      <c r="X5703" s="49"/>
      <c r="Y5703" s="35"/>
      <c r="Z5703" s="35"/>
      <c r="AA5703" s="35"/>
      <c r="AB5703" s="35"/>
      <c r="AC5703" s="35"/>
      <c r="AD5703" s="35"/>
      <c r="AE5703" s="35"/>
      <c r="AF5703" s="35"/>
      <c r="AG5703" s="35"/>
      <c r="AH5703" s="35"/>
      <c r="AI5703" s="35"/>
      <c r="AJ5703" s="35"/>
      <c r="AK5703" s="35"/>
      <c r="AL5703" s="35"/>
    </row>
    <row r="5704">
      <c r="A5704" s="40"/>
      <c r="B5704" s="19" t="s">
        <v>19332</v>
      </c>
      <c r="C5704" s="158" t="s">
        <v>563</v>
      </c>
      <c r="D5704" s="47"/>
      <c r="E5704" s="22" t="s">
        <v>20264</v>
      </c>
      <c r="F5704" s="22" t="s">
        <v>323</v>
      </c>
      <c r="G5704" s="23">
        <v>2020.0</v>
      </c>
      <c r="H5704" s="22" t="s">
        <v>798</v>
      </c>
      <c r="I5704" s="24" t="s">
        <v>26825</v>
      </c>
      <c r="J5704" s="22" t="s">
        <v>26826</v>
      </c>
      <c r="K5704" s="22" t="s">
        <v>26827</v>
      </c>
      <c r="L5704" s="94" t="s">
        <v>26828</v>
      </c>
      <c r="M5704" s="94" t="s">
        <v>26829</v>
      </c>
      <c r="N5704" s="94" t="s">
        <v>58</v>
      </c>
      <c r="O5704" s="94" t="s">
        <v>58</v>
      </c>
      <c r="P5704" s="95" t="s">
        <v>26830</v>
      </c>
      <c r="Q5704" s="94" t="s">
        <v>58</v>
      </c>
      <c r="R5704" s="94" t="s">
        <v>26831</v>
      </c>
      <c r="S5704" s="94" t="s">
        <v>26832</v>
      </c>
      <c r="T5704" s="28" t="s">
        <v>26833</v>
      </c>
      <c r="U5704" s="29" t="s">
        <v>61</v>
      </c>
      <c r="V5704" s="50"/>
      <c r="W5704" s="49"/>
      <c r="X5704" s="49"/>
      <c r="Y5704" s="35"/>
      <c r="Z5704" s="35"/>
      <c r="AA5704" s="35"/>
      <c r="AB5704" s="35"/>
      <c r="AC5704" s="35"/>
      <c r="AD5704" s="35"/>
      <c r="AE5704" s="35"/>
      <c r="AF5704" s="35"/>
      <c r="AG5704" s="35"/>
      <c r="AH5704" s="35"/>
      <c r="AI5704" s="35"/>
      <c r="AJ5704" s="35"/>
      <c r="AK5704" s="35"/>
      <c r="AL5704" s="35"/>
    </row>
    <row r="5705">
      <c r="A5705" s="18"/>
      <c r="B5705" s="19" t="s">
        <v>19332</v>
      </c>
      <c r="C5705" s="158" t="s">
        <v>563</v>
      </c>
      <c r="D5705" s="47"/>
      <c r="E5705" s="22" t="s">
        <v>23691</v>
      </c>
      <c r="F5705" s="22" t="s">
        <v>11529</v>
      </c>
      <c r="G5705" s="23">
        <v>2020.0</v>
      </c>
      <c r="H5705" s="22" t="s">
        <v>147</v>
      </c>
      <c r="I5705" s="24" t="s">
        <v>26834</v>
      </c>
      <c r="J5705" s="22" t="s">
        <v>26835</v>
      </c>
      <c r="K5705" s="22" t="s">
        <v>26836</v>
      </c>
      <c r="L5705" s="94" t="s">
        <v>22401</v>
      </c>
      <c r="M5705" s="94" t="s">
        <v>26837</v>
      </c>
      <c r="N5705" s="94" t="s">
        <v>58</v>
      </c>
      <c r="O5705" s="94" t="s">
        <v>26838</v>
      </c>
      <c r="P5705" s="95" t="s">
        <v>26839</v>
      </c>
      <c r="Q5705" s="94" t="s">
        <v>58</v>
      </c>
      <c r="R5705" s="94" t="s">
        <v>26840</v>
      </c>
      <c r="S5705" s="94" t="s">
        <v>26841</v>
      </c>
      <c r="T5705" s="41" t="s">
        <v>26842</v>
      </c>
      <c r="U5705" s="29" t="s">
        <v>61</v>
      </c>
      <c r="V5705" s="30" t="s">
        <v>26843</v>
      </c>
      <c r="W5705" s="49"/>
      <c r="X5705" s="49"/>
      <c r="Y5705" s="35"/>
      <c r="Z5705" s="35"/>
      <c r="AA5705" s="35"/>
      <c r="AB5705" s="35"/>
      <c r="AC5705" s="35"/>
      <c r="AD5705" s="35"/>
      <c r="AE5705" s="35"/>
      <c r="AF5705" s="35"/>
      <c r="AG5705" s="35"/>
      <c r="AH5705" s="35"/>
      <c r="AI5705" s="35"/>
      <c r="AJ5705" s="35"/>
      <c r="AK5705" s="35"/>
      <c r="AL5705" s="35"/>
    </row>
    <row r="5706">
      <c r="A5706" s="18"/>
      <c r="B5706" s="19" t="s">
        <v>19332</v>
      </c>
      <c r="C5706" s="158" t="s">
        <v>563</v>
      </c>
      <c r="D5706" s="47"/>
      <c r="E5706" s="22" t="s">
        <v>26844</v>
      </c>
      <c r="F5706" s="22" t="s">
        <v>26120</v>
      </c>
      <c r="G5706" s="23">
        <v>2020.0</v>
      </c>
      <c r="H5706" s="22" t="s">
        <v>21622</v>
      </c>
      <c r="I5706" s="24" t="s">
        <v>26845</v>
      </c>
      <c r="J5706" s="22" t="s">
        <v>26846</v>
      </c>
      <c r="K5706" s="22" t="s">
        <v>26847</v>
      </c>
      <c r="L5706" s="94">
        <v>2940.0</v>
      </c>
      <c r="M5706" s="94">
        <v>200.0</v>
      </c>
      <c r="N5706" s="94" t="s">
        <v>58</v>
      </c>
      <c r="O5706" s="94">
        <v>6.0</v>
      </c>
      <c r="P5706" s="95" t="s">
        <v>58</v>
      </c>
      <c r="Q5706" s="94" t="s">
        <v>58</v>
      </c>
      <c r="R5706" s="94" t="s">
        <v>26848</v>
      </c>
      <c r="S5706" s="94">
        <v>1.0</v>
      </c>
      <c r="T5706" s="28" t="s">
        <v>26849</v>
      </c>
      <c r="U5706" s="29" t="s">
        <v>61</v>
      </c>
      <c r="V5706" s="50"/>
      <c r="W5706" s="49"/>
      <c r="X5706" s="49"/>
      <c r="Y5706" s="35"/>
      <c r="Z5706" s="35"/>
      <c r="AA5706" s="35"/>
      <c r="AB5706" s="35"/>
      <c r="AC5706" s="35"/>
      <c r="AD5706" s="35"/>
      <c r="AE5706" s="35"/>
      <c r="AF5706" s="35"/>
      <c r="AG5706" s="35"/>
      <c r="AH5706" s="35"/>
      <c r="AI5706" s="35"/>
      <c r="AJ5706" s="35"/>
      <c r="AK5706" s="35"/>
      <c r="AL5706" s="35"/>
    </row>
    <row r="5707">
      <c r="A5707" s="18"/>
      <c r="B5707" s="19" t="s">
        <v>19332</v>
      </c>
      <c r="C5707" s="158" t="s">
        <v>563</v>
      </c>
      <c r="D5707" s="47"/>
      <c r="E5707" s="22" t="s">
        <v>3827</v>
      </c>
      <c r="F5707" s="22" t="s">
        <v>1154</v>
      </c>
      <c r="G5707" s="23">
        <v>2020.0</v>
      </c>
      <c r="H5707" s="22" t="s">
        <v>8177</v>
      </c>
      <c r="I5707" s="24" t="s">
        <v>26850</v>
      </c>
      <c r="J5707" s="22" t="s">
        <v>26851</v>
      </c>
      <c r="K5707" s="22"/>
      <c r="L5707" s="94">
        <v>808.0</v>
      </c>
      <c r="M5707" s="94">
        <v>40.0</v>
      </c>
      <c r="N5707" s="94" t="s">
        <v>58</v>
      </c>
      <c r="O5707" s="94" t="s">
        <v>26852</v>
      </c>
      <c r="P5707" s="95" t="s">
        <v>777</v>
      </c>
      <c r="Q5707" s="94" t="s">
        <v>280</v>
      </c>
      <c r="R5707" s="94">
        <v>70.0</v>
      </c>
      <c r="S5707" s="94" t="s">
        <v>8418</v>
      </c>
      <c r="T5707" s="28" t="s">
        <v>26853</v>
      </c>
      <c r="U5707" s="29" t="s">
        <v>61</v>
      </c>
      <c r="V5707" s="30" t="s">
        <v>26854</v>
      </c>
      <c r="W5707" s="49"/>
      <c r="X5707" s="49"/>
      <c r="Y5707" s="35"/>
      <c r="Z5707" s="35"/>
      <c r="AA5707" s="35"/>
      <c r="AB5707" s="35"/>
      <c r="AC5707" s="35"/>
      <c r="AD5707" s="35"/>
      <c r="AE5707" s="35"/>
      <c r="AF5707" s="35"/>
      <c r="AG5707" s="35"/>
      <c r="AH5707" s="35"/>
      <c r="AI5707" s="35"/>
      <c r="AJ5707" s="35"/>
      <c r="AK5707" s="35"/>
      <c r="AL5707" s="35"/>
    </row>
    <row r="5708">
      <c r="A5708" s="18"/>
      <c r="B5708" s="19" t="s">
        <v>19332</v>
      </c>
      <c r="C5708" s="158" t="s">
        <v>563</v>
      </c>
      <c r="D5708" s="47"/>
      <c r="E5708" s="22" t="s">
        <v>26844</v>
      </c>
      <c r="F5708" s="22" t="s">
        <v>26120</v>
      </c>
      <c r="G5708" s="23">
        <v>2020.0</v>
      </c>
      <c r="H5708" s="22" t="s">
        <v>477</v>
      </c>
      <c r="I5708" s="24" t="s">
        <v>26855</v>
      </c>
      <c r="J5708" s="22" t="s">
        <v>26856</v>
      </c>
      <c r="K5708" s="22"/>
      <c r="L5708" s="94">
        <v>2940.0</v>
      </c>
      <c r="M5708" s="94">
        <v>200.0</v>
      </c>
      <c r="N5708" s="94" t="s">
        <v>58</v>
      </c>
      <c r="O5708" s="94">
        <v>6.0</v>
      </c>
      <c r="P5708" s="95" t="s">
        <v>58</v>
      </c>
      <c r="Q5708" s="94" t="s">
        <v>58</v>
      </c>
      <c r="R5708" s="94" t="s">
        <v>26848</v>
      </c>
      <c r="S5708" s="94">
        <v>1.0</v>
      </c>
      <c r="T5708" s="28" t="s">
        <v>26857</v>
      </c>
      <c r="U5708" s="29" t="s">
        <v>61</v>
      </c>
      <c r="V5708" s="30" t="s">
        <v>26858</v>
      </c>
      <c r="W5708" s="49"/>
      <c r="X5708" s="49"/>
      <c r="Y5708" s="35"/>
      <c r="Z5708" s="35"/>
      <c r="AA5708" s="35"/>
      <c r="AB5708" s="35"/>
      <c r="AC5708" s="35"/>
      <c r="AD5708" s="35"/>
      <c r="AE5708" s="35"/>
      <c r="AF5708" s="35"/>
      <c r="AG5708" s="35"/>
      <c r="AH5708" s="35"/>
      <c r="AI5708" s="35"/>
      <c r="AJ5708" s="35"/>
      <c r="AK5708" s="35"/>
      <c r="AL5708" s="35"/>
    </row>
    <row r="5709">
      <c r="A5709" s="18"/>
      <c r="B5709" s="19" t="s">
        <v>19332</v>
      </c>
      <c r="C5709" s="158" t="s">
        <v>563</v>
      </c>
      <c r="D5709" s="47"/>
      <c r="E5709" s="22" t="s">
        <v>6865</v>
      </c>
      <c r="F5709" s="22" t="s">
        <v>510</v>
      </c>
      <c r="G5709" s="23">
        <v>2020.0</v>
      </c>
      <c r="H5709" s="22" t="s">
        <v>798</v>
      </c>
      <c r="I5709" s="24" t="s">
        <v>26859</v>
      </c>
      <c r="J5709" s="22" t="s">
        <v>26860</v>
      </c>
      <c r="K5709" s="22"/>
      <c r="L5709" s="94">
        <v>660.0</v>
      </c>
      <c r="M5709" s="94" t="s">
        <v>18205</v>
      </c>
      <c r="N5709" s="94" t="s">
        <v>6215</v>
      </c>
      <c r="O5709" s="94" t="s">
        <v>26861</v>
      </c>
      <c r="P5709" s="95" t="s">
        <v>26862</v>
      </c>
      <c r="Q5709" s="94" t="s">
        <v>26863</v>
      </c>
      <c r="R5709" s="94" t="s">
        <v>26862</v>
      </c>
      <c r="S5709" s="94" t="s">
        <v>19601</v>
      </c>
      <c r="T5709" s="28" t="s">
        <v>26864</v>
      </c>
      <c r="U5709" s="29" t="s">
        <v>61</v>
      </c>
      <c r="V5709" s="50"/>
      <c r="W5709" s="49"/>
      <c r="X5709" s="49"/>
      <c r="Y5709" s="35"/>
      <c r="Z5709" s="35"/>
      <c r="AA5709" s="35"/>
      <c r="AB5709" s="35"/>
      <c r="AC5709" s="35"/>
      <c r="AD5709" s="35"/>
      <c r="AE5709" s="35"/>
      <c r="AF5709" s="35"/>
      <c r="AG5709" s="35"/>
      <c r="AH5709" s="35"/>
      <c r="AI5709" s="35"/>
      <c r="AJ5709" s="35"/>
      <c r="AK5709" s="35"/>
      <c r="AL5709" s="35"/>
    </row>
    <row r="5710">
      <c r="A5710" s="18" t="s">
        <v>38</v>
      </c>
      <c r="B5710" s="19" t="s">
        <v>19332</v>
      </c>
      <c r="C5710" s="158" t="s">
        <v>563</v>
      </c>
      <c r="D5710" s="47"/>
      <c r="E5710" s="22" t="s">
        <v>26865</v>
      </c>
      <c r="F5710" s="22" t="s">
        <v>26866</v>
      </c>
      <c r="G5710" s="23">
        <v>2020.0</v>
      </c>
      <c r="H5710" s="22" t="s">
        <v>1204</v>
      </c>
      <c r="I5710" s="24" t="s">
        <v>26867</v>
      </c>
      <c r="J5710" s="22" t="s">
        <v>26868</v>
      </c>
      <c r="K5710" s="22"/>
      <c r="L5710" s="94">
        <v>660.0</v>
      </c>
      <c r="M5710" s="94">
        <v>25.0</v>
      </c>
      <c r="N5710" s="94" t="s">
        <v>58</v>
      </c>
      <c r="O5710" s="94" t="s">
        <v>26861</v>
      </c>
      <c r="P5710" s="95" t="s">
        <v>58</v>
      </c>
      <c r="Q5710" s="94" t="s">
        <v>58</v>
      </c>
      <c r="R5710" s="94">
        <v>60.0</v>
      </c>
      <c r="S5710" s="94">
        <v>1.0</v>
      </c>
      <c r="T5710" s="28" t="s">
        <v>26869</v>
      </c>
      <c r="U5710" s="38" t="str">
        <f>HYPERLINK("https://www.ncbi.nlm.nih.gov/pubmed/32381793","PubMed")</f>
        <v>PubMed</v>
      </c>
      <c r="V5710" s="30" t="s">
        <v>26870</v>
      </c>
      <c r="W5710" s="49"/>
      <c r="X5710" s="49"/>
      <c r="Y5710" s="35"/>
      <c r="Z5710" s="35"/>
      <c r="AA5710" s="35"/>
      <c r="AB5710" s="35"/>
      <c r="AC5710" s="35"/>
      <c r="AD5710" s="35"/>
      <c r="AE5710" s="35"/>
      <c r="AF5710" s="35"/>
      <c r="AG5710" s="35"/>
      <c r="AH5710" s="35"/>
      <c r="AI5710" s="35"/>
      <c r="AJ5710" s="35"/>
      <c r="AK5710" s="35"/>
      <c r="AL5710" s="35"/>
    </row>
    <row r="5711">
      <c r="A5711" s="18"/>
      <c r="B5711" s="19" t="s">
        <v>19332</v>
      </c>
      <c r="C5711" s="158" t="s">
        <v>563</v>
      </c>
      <c r="D5711" s="47"/>
      <c r="E5711" s="22" t="s">
        <v>999</v>
      </c>
      <c r="F5711" s="22" t="s">
        <v>358</v>
      </c>
      <c r="G5711" s="23">
        <v>2020.0</v>
      </c>
      <c r="H5711" s="22" t="s">
        <v>837</v>
      </c>
      <c r="I5711" s="24" t="s">
        <v>26871</v>
      </c>
      <c r="J5711" s="22" t="s">
        <v>55</v>
      </c>
      <c r="K5711" s="22"/>
      <c r="L5711" s="94">
        <v>830.0</v>
      </c>
      <c r="M5711" s="94">
        <v>30.0</v>
      </c>
      <c r="N5711" s="93"/>
      <c r="O5711" s="94"/>
      <c r="P5711" s="95" t="s">
        <v>24438</v>
      </c>
      <c r="Q5711" s="94" t="s">
        <v>25501</v>
      </c>
      <c r="R5711" s="94"/>
      <c r="S5711" s="94"/>
      <c r="T5711" s="28" t="s">
        <v>26872</v>
      </c>
      <c r="U5711" s="38" t="str">
        <f>HYPERLINK("https://www.ncbi.nlm.nih.gov/pubmed/32159707","PubMed")</f>
        <v>PubMed</v>
      </c>
      <c r="V5711" s="50"/>
      <c r="W5711" s="49"/>
      <c r="X5711" s="49"/>
      <c r="Y5711" s="35"/>
      <c r="Z5711" s="35"/>
      <c r="AA5711" s="35"/>
      <c r="AB5711" s="35"/>
      <c r="AC5711" s="35"/>
      <c r="AD5711" s="35"/>
      <c r="AE5711" s="35"/>
      <c r="AF5711" s="35"/>
      <c r="AG5711" s="35"/>
      <c r="AH5711" s="35"/>
      <c r="AI5711" s="35"/>
      <c r="AJ5711" s="35"/>
      <c r="AK5711" s="35"/>
      <c r="AL5711" s="35"/>
    </row>
    <row r="5712">
      <c r="A5712" s="18"/>
      <c r="B5712" s="19" t="s">
        <v>19332</v>
      </c>
      <c r="C5712" s="158" t="s">
        <v>563</v>
      </c>
      <c r="D5712" s="47"/>
      <c r="E5712" s="22" t="s">
        <v>26873</v>
      </c>
      <c r="F5712" s="22" t="s">
        <v>6233</v>
      </c>
      <c r="G5712" s="23">
        <v>2020.0</v>
      </c>
      <c r="H5712" s="22" t="s">
        <v>702</v>
      </c>
      <c r="I5712" s="24" t="s">
        <v>26874</v>
      </c>
      <c r="J5712" s="22" t="s">
        <v>26875</v>
      </c>
      <c r="K5712" s="22"/>
      <c r="L5712" s="94">
        <v>980.0</v>
      </c>
      <c r="M5712" s="94">
        <v>100.0</v>
      </c>
      <c r="N5712" s="94" t="s">
        <v>58</v>
      </c>
      <c r="O5712" s="94" t="s">
        <v>58</v>
      </c>
      <c r="P5712" s="95" t="s">
        <v>704</v>
      </c>
      <c r="Q5712" s="94" t="s">
        <v>58</v>
      </c>
      <c r="R5712" s="94" t="s">
        <v>26876</v>
      </c>
      <c r="S5712" s="94" t="s">
        <v>58</v>
      </c>
      <c r="T5712" s="28" t="s">
        <v>26877</v>
      </c>
      <c r="U5712" s="38" t="str">
        <f>HYPERLINK("https://www.ncbi.nlm.nih.gov/pubmed/32122727","PubMed")</f>
        <v>PubMed</v>
      </c>
      <c r="V5712" s="50"/>
      <c r="W5712" s="49"/>
      <c r="X5712" s="49"/>
      <c r="Y5712" s="35"/>
      <c r="Z5712" s="35"/>
      <c r="AA5712" s="35"/>
      <c r="AB5712" s="35"/>
      <c r="AC5712" s="35"/>
      <c r="AD5712" s="35"/>
      <c r="AE5712" s="35"/>
      <c r="AF5712" s="35"/>
      <c r="AG5712" s="35"/>
      <c r="AH5712" s="35"/>
      <c r="AI5712" s="35"/>
      <c r="AJ5712" s="35"/>
      <c r="AK5712" s="35"/>
      <c r="AL5712" s="35"/>
    </row>
    <row r="5713">
      <c r="A5713" s="18"/>
      <c r="B5713" s="19" t="s">
        <v>19332</v>
      </c>
      <c r="C5713" s="158" t="s">
        <v>563</v>
      </c>
      <c r="D5713" s="47"/>
      <c r="E5713" s="22" t="s">
        <v>26878</v>
      </c>
      <c r="F5713" s="22" t="s">
        <v>41</v>
      </c>
      <c r="G5713" s="23">
        <v>2020.0</v>
      </c>
      <c r="H5713" s="22" t="s">
        <v>91</v>
      </c>
      <c r="I5713" s="24" t="s">
        <v>26879</v>
      </c>
      <c r="J5713" s="22" t="s">
        <v>26880</v>
      </c>
      <c r="K5713" s="22"/>
      <c r="L5713" s="94">
        <v>808.0</v>
      </c>
      <c r="M5713" s="94">
        <v>100.0</v>
      </c>
      <c r="N5713" s="93">
        <v>43985.0</v>
      </c>
      <c r="O5713" s="94" t="s">
        <v>26881</v>
      </c>
      <c r="P5713" s="95" t="s">
        <v>26882</v>
      </c>
      <c r="Q5713" s="94" t="s">
        <v>26883</v>
      </c>
      <c r="R5713" s="94" t="s">
        <v>26884</v>
      </c>
      <c r="S5713" s="94" t="s">
        <v>26885</v>
      </c>
      <c r="T5713" s="28" t="s">
        <v>26886</v>
      </c>
      <c r="U5713" s="38" t="str">
        <f>HYPERLINK("https://www.ncbi.nlm.nih.gov/pubmed/31970564","PubMed")</f>
        <v>PubMed</v>
      </c>
      <c r="V5713" s="50"/>
      <c r="W5713" s="49"/>
      <c r="X5713" s="49"/>
      <c r="Y5713" s="35"/>
      <c r="Z5713" s="35"/>
      <c r="AA5713" s="35"/>
      <c r="AB5713" s="35"/>
      <c r="AC5713" s="35"/>
      <c r="AD5713" s="35"/>
      <c r="AE5713" s="35"/>
      <c r="AF5713" s="35"/>
      <c r="AG5713" s="35"/>
      <c r="AH5713" s="35"/>
      <c r="AI5713" s="35"/>
      <c r="AJ5713" s="35"/>
      <c r="AK5713" s="35"/>
      <c r="AL5713" s="35"/>
    </row>
    <row r="5714">
      <c r="A5714" s="18"/>
      <c r="B5714" s="19" t="s">
        <v>19332</v>
      </c>
      <c r="C5714" s="158" t="s">
        <v>563</v>
      </c>
      <c r="D5714" s="47"/>
      <c r="E5714" s="22" t="s">
        <v>21921</v>
      </c>
      <c r="F5714" s="22" t="s">
        <v>6785</v>
      </c>
      <c r="G5714" s="23">
        <v>2019.0</v>
      </c>
      <c r="H5714" s="22" t="s">
        <v>77</v>
      </c>
      <c r="I5714" s="24" t="s">
        <v>26887</v>
      </c>
      <c r="J5714" s="22" t="s">
        <v>55</v>
      </c>
      <c r="K5714" s="22" t="s">
        <v>26888</v>
      </c>
      <c r="L5714" s="94" t="s">
        <v>26889</v>
      </c>
      <c r="M5714" s="94"/>
      <c r="N5714" s="94"/>
      <c r="O5714" s="94"/>
      <c r="P5714" s="95"/>
      <c r="Q5714" s="94"/>
      <c r="R5714" s="94"/>
      <c r="S5714" s="94"/>
      <c r="T5714" s="28" t="s">
        <v>26890</v>
      </c>
      <c r="U5714" s="38" t="str">
        <f>HYPERLINK("https://www.ncbi.nlm.nih.gov/pubmed/31846389","PubMed")</f>
        <v>PubMed</v>
      </c>
      <c r="V5714" s="50"/>
      <c r="W5714" s="49"/>
      <c r="X5714" s="49"/>
      <c r="Y5714" s="35"/>
      <c r="Z5714" s="35"/>
      <c r="AA5714" s="35"/>
      <c r="AB5714" s="35"/>
      <c r="AC5714" s="35"/>
      <c r="AD5714" s="35"/>
      <c r="AE5714" s="35"/>
      <c r="AF5714" s="35"/>
      <c r="AG5714" s="35"/>
      <c r="AH5714" s="35"/>
      <c r="AI5714" s="35"/>
      <c r="AJ5714" s="35"/>
      <c r="AK5714" s="35"/>
      <c r="AL5714" s="35"/>
    </row>
    <row r="5715">
      <c r="A5715" s="1"/>
      <c r="B5715" s="19" t="s">
        <v>19332</v>
      </c>
      <c r="C5715" s="158" t="s">
        <v>563</v>
      </c>
      <c r="D5715" s="159"/>
      <c r="E5715" s="22" t="s">
        <v>26891</v>
      </c>
      <c r="F5715" s="22" t="s">
        <v>299</v>
      </c>
      <c r="G5715" s="23">
        <v>2019.0</v>
      </c>
      <c r="H5715" s="22" t="s">
        <v>26892</v>
      </c>
      <c r="I5715" s="24" t="s">
        <v>26893</v>
      </c>
      <c r="J5715" s="22" t="s">
        <v>26894</v>
      </c>
      <c r="K5715" s="22"/>
      <c r="L5715" s="36">
        <v>915.0</v>
      </c>
      <c r="M5715" s="36">
        <v>500.0</v>
      </c>
      <c r="N5715" s="36" t="s">
        <v>26895</v>
      </c>
      <c r="O5715" s="36" t="s">
        <v>58</v>
      </c>
      <c r="P5715" s="37" t="s">
        <v>26896</v>
      </c>
      <c r="Q5715" s="36" t="s">
        <v>26897</v>
      </c>
      <c r="R5715" s="36">
        <v>300.0</v>
      </c>
      <c r="S5715" s="36" t="s">
        <v>26898</v>
      </c>
      <c r="T5715" s="42" t="s">
        <v>26899</v>
      </c>
      <c r="U5715" s="38" t="str">
        <f>HYPERLINK("https://www.ncbi.nlm.nih.gov/pubmed/31344985","PubMed")</f>
        <v>PubMed</v>
      </c>
      <c r="V5715" s="30" t="s">
        <v>26900</v>
      </c>
      <c r="W5715" s="49"/>
      <c r="X5715" s="49"/>
      <c r="Y5715" s="35"/>
      <c r="Z5715" s="35"/>
      <c r="AA5715" s="35"/>
      <c r="AB5715" s="35"/>
      <c r="AC5715" s="35"/>
      <c r="AD5715" s="35"/>
      <c r="AE5715" s="35"/>
      <c r="AF5715" s="35"/>
      <c r="AG5715" s="35"/>
      <c r="AH5715" s="35"/>
      <c r="AI5715" s="35"/>
      <c r="AJ5715" s="35"/>
      <c r="AK5715" s="35"/>
      <c r="AL5715" s="35"/>
    </row>
    <row r="5716">
      <c r="A5716" s="18"/>
      <c r="B5716" s="19" t="s">
        <v>19332</v>
      </c>
      <c r="C5716" s="158" t="s">
        <v>563</v>
      </c>
      <c r="D5716" s="47"/>
      <c r="E5716" s="22" t="s">
        <v>26901</v>
      </c>
      <c r="F5716" s="22" t="s">
        <v>26902</v>
      </c>
      <c r="G5716" s="23">
        <v>2019.0</v>
      </c>
      <c r="H5716" s="22" t="s">
        <v>77</v>
      </c>
      <c r="I5716" s="24" t="s">
        <v>26903</v>
      </c>
      <c r="J5716" s="22" t="s">
        <v>26904</v>
      </c>
      <c r="K5716" s="22" t="s">
        <v>26905</v>
      </c>
      <c r="L5716" s="94">
        <v>810.0</v>
      </c>
      <c r="M5716" s="94">
        <v>300.0</v>
      </c>
      <c r="N5716" s="94" t="s">
        <v>58</v>
      </c>
      <c r="O5716" s="94" t="s">
        <v>58</v>
      </c>
      <c r="P5716" s="95" t="s">
        <v>82</v>
      </c>
      <c r="Q5716" s="95" t="s">
        <v>26906</v>
      </c>
      <c r="R5716" s="94">
        <v>60.0</v>
      </c>
      <c r="S5716" s="94" t="s">
        <v>6403</v>
      </c>
      <c r="T5716" s="28" t="s">
        <v>26907</v>
      </c>
      <c r="U5716" s="38" t="str">
        <f>HYPERLINK("https://www.ncbi.nlm.nih.gov/pubmed/31589558","PubMed")</f>
        <v>PubMed</v>
      </c>
      <c r="V5716" s="30" t="s">
        <v>26908</v>
      </c>
      <c r="W5716" s="49"/>
      <c r="X5716" s="49"/>
      <c r="Y5716" s="35"/>
      <c r="Z5716" s="35"/>
      <c r="AA5716" s="35"/>
      <c r="AB5716" s="35"/>
      <c r="AC5716" s="35"/>
      <c r="AD5716" s="35"/>
      <c r="AE5716" s="35"/>
      <c r="AF5716" s="35"/>
      <c r="AG5716" s="35"/>
      <c r="AH5716" s="35"/>
      <c r="AI5716" s="35"/>
      <c r="AJ5716" s="35"/>
      <c r="AK5716" s="35"/>
      <c r="AL5716" s="35"/>
    </row>
    <row r="5717">
      <c r="A5717" s="18"/>
      <c r="B5717" s="19" t="s">
        <v>19332</v>
      </c>
      <c r="C5717" s="158" t="s">
        <v>563</v>
      </c>
      <c r="D5717" s="47"/>
      <c r="E5717" s="22" t="s">
        <v>450</v>
      </c>
      <c r="F5717" s="22" t="s">
        <v>308</v>
      </c>
      <c r="G5717" s="23">
        <v>2019.0</v>
      </c>
      <c r="H5717" s="22" t="s">
        <v>798</v>
      </c>
      <c r="I5717" s="24" t="s">
        <v>26909</v>
      </c>
      <c r="J5717" s="22" t="s">
        <v>26910</v>
      </c>
      <c r="K5717" s="22"/>
      <c r="L5717" s="94">
        <v>780.0</v>
      </c>
      <c r="M5717" s="94">
        <v>70.0</v>
      </c>
      <c r="N5717" s="94" t="s">
        <v>58</v>
      </c>
      <c r="O5717" s="94" t="s">
        <v>58</v>
      </c>
      <c r="P5717" s="95" t="s">
        <v>26409</v>
      </c>
      <c r="Q5717" s="94" t="s">
        <v>26911</v>
      </c>
      <c r="R5717" s="94" t="s">
        <v>2134</v>
      </c>
      <c r="S5717" s="94">
        <v>1.0</v>
      </c>
      <c r="T5717" s="28" t="s">
        <v>26912</v>
      </c>
      <c r="U5717" s="38" t="str">
        <f>HYPERLINK("https://www.ncbi.nlm.nih.gov/pubmed/31604060","PubMed")</f>
        <v>PubMed</v>
      </c>
      <c r="V5717" s="30" t="s">
        <v>26913</v>
      </c>
      <c r="W5717" s="49"/>
      <c r="X5717" s="49"/>
      <c r="Y5717" s="35"/>
      <c r="Z5717" s="35"/>
      <c r="AA5717" s="35"/>
      <c r="AB5717" s="35"/>
      <c r="AC5717" s="35"/>
      <c r="AD5717" s="35"/>
      <c r="AE5717" s="35"/>
      <c r="AF5717" s="35"/>
      <c r="AG5717" s="35"/>
      <c r="AH5717" s="35"/>
      <c r="AI5717" s="35"/>
      <c r="AJ5717" s="35"/>
      <c r="AK5717" s="35"/>
      <c r="AL5717" s="35"/>
    </row>
    <row r="5718">
      <c r="A5718" s="18" t="s">
        <v>38</v>
      </c>
      <c r="B5718" s="19" t="s">
        <v>19332</v>
      </c>
      <c r="C5718" s="158" t="s">
        <v>563</v>
      </c>
      <c r="D5718" s="47"/>
      <c r="E5718" s="22" t="s">
        <v>23384</v>
      </c>
      <c r="F5718" s="22" t="s">
        <v>26914</v>
      </c>
      <c r="G5718" s="23">
        <v>2019.0</v>
      </c>
      <c r="H5718" s="22" t="s">
        <v>798</v>
      </c>
      <c r="I5718" s="24" t="s">
        <v>26915</v>
      </c>
      <c r="J5718" s="22" t="s">
        <v>26916</v>
      </c>
      <c r="K5718" s="22"/>
      <c r="L5718" s="94">
        <v>830.0</v>
      </c>
      <c r="M5718" s="94">
        <v>30.0</v>
      </c>
      <c r="N5718" s="94" t="s">
        <v>58</v>
      </c>
      <c r="O5718" s="94" t="s">
        <v>58</v>
      </c>
      <c r="P5718" s="95" t="s">
        <v>58</v>
      </c>
      <c r="Q5718" s="94" t="s">
        <v>6653</v>
      </c>
      <c r="R5718" s="94" t="s">
        <v>26917</v>
      </c>
      <c r="S5718" s="94" t="s">
        <v>20078</v>
      </c>
      <c r="T5718" s="28" t="s">
        <v>26918</v>
      </c>
      <c r="U5718" s="38" t="str">
        <f>HYPERLINK("https://www.ncbi.nlm.nih.gov/pubmed/31323184","PubMed")</f>
        <v>PubMed</v>
      </c>
      <c r="V5718" s="30" t="s">
        <v>26919</v>
      </c>
      <c r="W5718" s="49"/>
      <c r="X5718" s="49"/>
      <c r="Y5718" s="35"/>
      <c r="Z5718" s="35"/>
      <c r="AA5718" s="35"/>
      <c r="AB5718" s="35"/>
      <c r="AC5718" s="35"/>
      <c r="AD5718" s="35"/>
      <c r="AE5718" s="35"/>
      <c r="AF5718" s="35"/>
      <c r="AG5718" s="35"/>
      <c r="AH5718" s="35"/>
      <c r="AI5718" s="35"/>
      <c r="AJ5718" s="35"/>
      <c r="AK5718" s="35"/>
      <c r="AL5718" s="35"/>
    </row>
    <row r="5719">
      <c r="A5719" s="40"/>
      <c r="B5719" s="19" t="s">
        <v>19332</v>
      </c>
      <c r="C5719" s="158" t="s">
        <v>563</v>
      </c>
      <c r="D5719" s="47"/>
      <c r="E5719" s="22" t="s">
        <v>22226</v>
      </c>
      <c r="F5719" s="22" t="s">
        <v>2028</v>
      </c>
      <c r="G5719" s="23">
        <v>2019.0</v>
      </c>
      <c r="H5719" s="22" t="s">
        <v>798</v>
      </c>
      <c r="I5719" s="24" t="s">
        <v>26920</v>
      </c>
      <c r="J5719" s="22" t="s">
        <v>253</v>
      </c>
      <c r="K5719" s="22"/>
      <c r="L5719" s="94">
        <v>980.0</v>
      </c>
      <c r="M5719" s="94">
        <v>500.0</v>
      </c>
      <c r="N5719" s="94"/>
      <c r="O5719" s="94"/>
      <c r="P5719" s="95"/>
      <c r="Q5719" s="94"/>
      <c r="R5719" s="94"/>
      <c r="S5719" s="94" t="s">
        <v>26921</v>
      </c>
      <c r="T5719" s="28" t="s">
        <v>26922</v>
      </c>
      <c r="U5719" s="38" t="str">
        <f>HYPERLINK("https://www.ncbi.nlm.nih.gov/pubmed/31042458","PubMed")</f>
        <v>PubMed</v>
      </c>
      <c r="V5719" s="50"/>
      <c r="W5719" s="49"/>
      <c r="X5719" s="49"/>
      <c r="Y5719" s="35"/>
      <c r="Z5719" s="35"/>
      <c r="AA5719" s="35"/>
      <c r="AB5719" s="35"/>
      <c r="AC5719" s="35"/>
      <c r="AD5719" s="35"/>
      <c r="AE5719" s="35"/>
      <c r="AF5719" s="35"/>
      <c r="AG5719" s="35"/>
      <c r="AH5719" s="35"/>
      <c r="AI5719" s="35"/>
      <c r="AJ5719" s="35"/>
      <c r="AK5719" s="35"/>
      <c r="AL5719" s="35"/>
    </row>
    <row r="5720">
      <c r="A5720" s="1"/>
      <c r="B5720" s="19" t="s">
        <v>19332</v>
      </c>
      <c r="C5720" s="158" t="s">
        <v>563</v>
      </c>
      <c r="D5720" s="47"/>
      <c r="E5720" s="22" t="s">
        <v>19350</v>
      </c>
      <c r="F5720" s="22" t="s">
        <v>14321</v>
      </c>
      <c r="G5720" s="23">
        <v>2018.0</v>
      </c>
      <c r="H5720" s="22" t="s">
        <v>91</v>
      </c>
      <c r="I5720" s="24" t="s">
        <v>26923</v>
      </c>
      <c r="J5720" s="22" t="s">
        <v>649</v>
      </c>
      <c r="K5720" s="22"/>
      <c r="L5720" s="105" t="s">
        <v>26924</v>
      </c>
      <c r="M5720" s="44"/>
      <c r="N5720" s="44"/>
      <c r="O5720" s="44"/>
      <c r="P5720" s="44"/>
      <c r="Q5720" s="44"/>
      <c r="R5720" s="44"/>
      <c r="S5720" s="44"/>
      <c r="T5720" s="45"/>
      <c r="U5720" s="38" t="str">
        <f>HYPERLINK("https://www.ncbi.nlm.nih.gov/pubmed/30311084","PubMed")</f>
        <v>PubMed</v>
      </c>
      <c r="V5720" s="50"/>
      <c r="W5720" s="49"/>
      <c r="X5720" s="49"/>
      <c r="Y5720" s="35"/>
      <c r="Z5720" s="35"/>
      <c r="AA5720" s="35"/>
      <c r="AB5720" s="35"/>
      <c r="AC5720" s="35"/>
      <c r="AD5720" s="35"/>
      <c r="AE5720" s="35"/>
      <c r="AF5720" s="35"/>
      <c r="AG5720" s="35"/>
      <c r="AH5720" s="35"/>
      <c r="AI5720" s="35"/>
      <c r="AJ5720" s="35"/>
      <c r="AK5720" s="35"/>
      <c r="AL5720" s="35"/>
    </row>
    <row r="5721">
      <c r="A5721" s="1"/>
      <c r="B5721" s="19" t="s">
        <v>19332</v>
      </c>
      <c r="C5721" s="158" t="s">
        <v>563</v>
      </c>
      <c r="D5721" s="47"/>
      <c r="E5721" s="22" t="s">
        <v>26925</v>
      </c>
      <c r="F5721" s="22" t="s">
        <v>26926</v>
      </c>
      <c r="G5721" s="23">
        <v>2018.0</v>
      </c>
      <c r="H5721" s="22" t="s">
        <v>3828</v>
      </c>
      <c r="I5721" s="24" t="s">
        <v>26927</v>
      </c>
      <c r="J5721" s="22" t="s">
        <v>2141</v>
      </c>
      <c r="K5721" s="22" t="s">
        <v>26928</v>
      </c>
      <c r="L5721" s="168" t="s">
        <v>26929</v>
      </c>
      <c r="M5721" s="168"/>
      <c r="N5721" s="168"/>
      <c r="O5721" s="168" t="s">
        <v>26930</v>
      </c>
      <c r="P5721" s="169"/>
      <c r="Q5721" s="168"/>
      <c r="R5721" s="168"/>
      <c r="S5721" s="168"/>
      <c r="T5721" s="382" t="s">
        <v>26931</v>
      </c>
      <c r="U5721" s="38" t="str">
        <f>HYPERLINK("https://www.ncbi.nlm.nih.gov/pubmed/30212961","PubMed")</f>
        <v>PubMed</v>
      </c>
      <c r="V5721" s="50"/>
      <c r="W5721" s="49"/>
      <c r="X5721" s="49"/>
      <c r="Y5721" s="35"/>
      <c r="Z5721" s="35"/>
      <c r="AA5721" s="35"/>
      <c r="AB5721" s="35"/>
      <c r="AC5721" s="35"/>
      <c r="AD5721" s="35"/>
      <c r="AE5721" s="35"/>
      <c r="AF5721" s="35"/>
      <c r="AG5721" s="35"/>
      <c r="AH5721" s="35"/>
      <c r="AI5721" s="35"/>
      <c r="AJ5721" s="35"/>
      <c r="AK5721" s="35"/>
      <c r="AL5721" s="35"/>
    </row>
    <row r="5722">
      <c r="A5722" s="1"/>
      <c r="B5722" s="19" t="s">
        <v>19332</v>
      </c>
      <c r="C5722" s="158" t="s">
        <v>563</v>
      </c>
      <c r="D5722" s="47"/>
      <c r="E5722" s="22" t="s">
        <v>26932</v>
      </c>
      <c r="F5722" s="22" t="s">
        <v>13197</v>
      </c>
      <c r="G5722" s="23">
        <v>2018.0</v>
      </c>
      <c r="H5722" s="22" t="s">
        <v>26933</v>
      </c>
      <c r="I5722" s="24" t="s">
        <v>26934</v>
      </c>
      <c r="J5722" s="22" t="s">
        <v>23902</v>
      </c>
      <c r="K5722" s="22" t="s">
        <v>26935</v>
      </c>
      <c r="L5722" s="36">
        <v>905.0</v>
      </c>
      <c r="M5722" s="36" t="s">
        <v>58</v>
      </c>
      <c r="N5722" s="36" t="s">
        <v>58</v>
      </c>
      <c r="O5722" s="36">
        <v>54.0</v>
      </c>
      <c r="P5722" s="37" t="s">
        <v>2886</v>
      </c>
      <c r="Q5722" s="36" t="s">
        <v>675</v>
      </c>
      <c r="R5722" s="36" t="s">
        <v>58</v>
      </c>
      <c r="S5722" s="36">
        <v>1.0</v>
      </c>
      <c r="T5722" s="302" t="s">
        <v>26936</v>
      </c>
      <c r="U5722" s="38" t="str">
        <f>HYPERLINK("http://iopscience.iop.org/article/10.1088/1742-6596/1073/4/042026/meta","IOP")</f>
        <v>IOP</v>
      </c>
      <c r="V5722" s="30" t="s">
        <v>26937</v>
      </c>
      <c r="W5722" s="49"/>
      <c r="X5722" s="49"/>
      <c r="Y5722" s="35"/>
      <c r="Z5722" s="35"/>
      <c r="AA5722" s="35"/>
      <c r="AB5722" s="35"/>
      <c r="AC5722" s="35"/>
      <c r="AD5722" s="35"/>
      <c r="AE5722" s="35"/>
      <c r="AF5722" s="35"/>
      <c r="AG5722" s="35"/>
      <c r="AH5722" s="35"/>
      <c r="AI5722" s="35"/>
      <c r="AJ5722" s="35"/>
      <c r="AK5722" s="35"/>
      <c r="AL5722" s="35"/>
    </row>
    <row r="5723">
      <c r="A5723" s="1"/>
      <c r="B5723" s="19" t="s">
        <v>19332</v>
      </c>
      <c r="C5723" s="158" t="s">
        <v>563</v>
      </c>
      <c r="D5723" s="47"/>
      <c r="E5723" s="22" t="s">
        <v>26938</v>
      </c>
      <c r="F5723" s="22" t="s">
        <v>26939</v>
      </c>
      <c r="G5723" s="23">
        <v>2018.0</v>
      </c>
      <c r="H5723" s="22" t="s">
        <v>702</v>
      </c>
      <c r="I5723" s="24" t="s">
        <v>26940</v>
      </c>
      <c r="J5723" s="22" t="s">
        <v>55</v>
      </c>
      <c r="K5723" s="22" t="s">
        <v>26941</v>
      </c>
      <c r="L5723" s="36" t="s">
        <v>26942</v>
      </c>
      <c r="M5723" s="36" t="s">
        <v>26943</v>
      </c>
      <c r="N5723" s="36"/>
      <c r="O5723" s="36"/>
      <c r="P5723" s="37" t="s">
        <v>26944</v>
      </c>
      <c r="Q5723" s="36"/>
      <c r="R5723" s="36" t="s">
        <v>26945</v>
      </c>
      <c r="S5723" s="36" t="s">
        <v>7495</v>
      </c>
      <c r="T5723" s="302" t="s">
        <v>26946</v>
      </c>
      <c r="U5723" s="38" t="str">
        <f>HYPERLINK("https://www.ncbi.nlm.nih.gov/pubmed/29805068","PubMed")</f>
        <v>PubMed</v>
      </c>
      <c r="V5723" s="50"/>
      <c r="W5723" s="49"/>
      <c r="X5723" s="49"/>
      <c r="Y5723" s="35"/>
      <c r="Z5723" s="35"/>
      <c r="AA5723" s="35"/>
      <c r="AB5723" s="35"/>
      <c r="AC5723" s="35"/>
      <c r="AD5723" s="35"/>
      <c r="AE5723" s="35"/>
      <c r="AF5723" s="35"/>
      <c r="AG5723" s="35"/>
      <c r="AH5723" s="35"/>
      <c r="AI5723" s="35"/>
      <c r="AJ5723" s="35"/>
      <c r="AK5723" s="35"/>
      <c r="AL5723" s="35"/>
    </row>
    <row r="5724">
      <c r="A5724" s="1"/>
      <c r="B5724" s="19" t="s">
        <v>19332</v>
      </c>
      <c r="C5724" s="158" t="s">
        <v>563</v>
      </c>
      <c r="D5724" s="47"/>
      <c r="E5724" s="22" t="s">
        <v>26947</v>
      </c>
      <c r="F5724" s="22" t="s">
        <v>26939</v>
      </c>
      <c r="G5724" s="23">
        <v>2018.0</v>
      </c>
      <c r="H5724" s="22" t="s">
        <v>20333</v>
      </c>
      <c r="I5724" s="24" t="s">
        <v>26948</v>
      </c>
      <c r="J5724" s="22" t="s">
        <v>26949</v>
      </c>
      <c r="K5724" s="22" t="s">
        <v>26950</v>
      </c>
      <c r="L5724" s="36">
        <v>810.0</v>
      </c>
      <c r="M5724" s="36">
        <v>300.0</v>
      </c>
      <c r="N5724" s="36" t="s">
        <v>58</v>
      </c>
      <c r="O5724" s="36">
        <v>12.0</v>
      </c>
      <c r="P5724" s="37" t="s">
        <v>254</v>
      </c>
      <c r="Q5724" s="36" t="s">
        <v>26951</v>
      </c>
      <c r="R5724" s="36">
        <v>40.0</v>
      </c>
      <c r="S5724" s="36">
        <v>1.0</v>
      </c>
      <c r="T5724" s="383" t="s">
        <v>26952</v>
      </c>
      <c r="U5724" s="38" t="str">
        <f>HYPERLINK("https://www.ncbi.nlm.nih.gov/pubmed/30156193","PubMed")</f>
        <v>PubMed</v>
      </c>
      <c r="V5724" s="30" t="s">
        <v>26953</v>
      </c>
      <c r="W5724" s="49"/>
      <c r="X5724" s="49"/>
      <c r="Y5724" s="35"/>
      <c r="Z5724" s="35"/>
      <c r="AA5724" s="35"/>
      <c r="AB5724" s="35"/>
      <c r="AC5724" s="35"/>
      <c r="AD5724" s="35"/>
      <c r="AE5724" s="35"/>
      <c r="AF5724" s="35"/>
      <c r="AG5724" s="35"/>
      <c r="AH5724" s="35"/>
      <c r="AI5724" s="35"/>
      <c r="AJ5724" s="35"/>
      <c r="AK5724" s="35"/>
      <c r="AL5724" s="35"/>
    </row>
    <row r="5725">
      <c r="A5725" s="1"/>
      <c r="B5725" s="19" t="s">
        <v>19332</v>
      </c>
      <c r="C5725" s="158" t="s">
        <v>563</v>
      </c>
      <c r="D5725" s="47"/>
      <c r="E5725" s="22" t="s">
        <v>26954</v>
      </c>
      <c r="F5725" s="22" t="s">
        <v>41</v>
      </c>
      <c r="G5725" s="23">
        <v>2018.0</v>
      </c>
      <c r="H5725" s="22" t="s">
        <v>627</v>
      </c>
      <c r="I5725" s="24" t="s">
        <v>26955</v>
      </c>
      <c r="J5725" s="22" t="s">
        <v>26956</v>
      </c>
      <c r="K5725" s="22" t="s">
        <v>2686</v>
      </c>
      <c r="L5725" s="36">
        <v>660.0</v>
      </c>
      <c r="M5725" s="36">
        <v>100.0</v>
      </c>
      <c r="N5725" s="36" t="s">
        <v>26957</v>
      </c>
      <c r="O5725" s="36" t="s">
        <v>26958</v>
      </c>
      <c r="P5725" s="37" t="s">
        <v>58</v>
      </c>
      <c r="Q5725" s="36" t="s">
        <v>1160</v>
      </c>
      <c r="R5725" s="36" t="s">
        <v>26959</v>
      </c>
      <c r="S5725" s="36" t="s">
        <v>6403</v>
      </c>
      <c r="T5725" s="384" t="s">
        <v>26960</v>
      </c>
      <c r="U5725" s="38" t="str">
        <f>HYPERLINK("https://www.ncbi.nlm.nih.gov/pubmed/29920521","PubMed")</f>
        <v>PubMed</v>
      </c>
      <c r="V5725" s="30" t="s">
        <v>26961</v>
      </c>
      <c r="W5725" s="49"/>
      <c r="X5725" s="49"/>
      <c r="Y5725" s="35"/>
      <c r="Z5725" s="35"/>
      <c r="AA5725" s="35"/>
      <c r="AB5725" s="35"/>
      <c r="AC5725" s="35"/>
      <c r="AD5725" s="35"/>
      <c r="AE5725" s="35"/>
      <c r="AF5725" s="35"/>
      <c r="AG5725" s="35"/>
      <c r="AH5725" s="35"/>
      <c r="AI5725" s="35"/>
      <c r="AJ5725" s="35"/>
      <c r="AK5725" s="35"/>
      <c r="AL5725" s="35"/>
    </row>
    <row r="5726">
      <c r="A5726" s="1"/>
      <c r="B5726" s="19" t="s">
        <v>19332</v>
      </c>
      <c r="C5726" s="158" t="s">
        <v>563</v>
      </c>
      <c r="D5726" s="47"/>
      <c r="E5726" s="22" t="s">
        <v>26962</v>
      </c>
      <c r="F5726" s="22" t="s">
        <v>26963</v>
      </c>
      <c r="G5726" s="23">
        <v>2018.0</v>
      </c>
      <c r="H5726" s="22" t="s">
        <v>7367</v>
      </c>
      <c r="I5726" s="24" t="s">
        <v>26964</v>
      </c>
      <c r="J5726" s="22" t="s">
        <v>26965</v>
      </c>
      <c r="K5726" s="22" t="s">
        <v>26966</v>
      </c>
      <c r="L5726" s="36">
        <v>810.0</v>
      </c>
      <c r="M5726" s="36">
        <v>300.0</v>
      </c>
      <c r="N5726" s="36" t="s">
        <v>58</v>
      </c>
      <c r="O5726" s="36">
        <v>12.0</v>
      </c>
      <c r="P5726" s="37" t="s">
        <v>254</v>
      </c>
      <c r="Q5726" s="36" t="s">
        <v>26967</v>
      </c>
      <c r="R5726" s="36">
        <v>40.0</v>
      </c>
      <c r="S5726" s="36" t="s">
        <v>1819</v>
      </c>
      <c r="T5726" s="383" t="s">
        <v>26968</v>
      </c>
      <c r="U5726" s="38" t="str">
        <f>HYPERLINK("https://www.ncbi.nlm.nih.gov/pubmed/29581740","PubMed")</f>
        <v>PubMed</v>
      </c>
      <c r="V5726" s="30" t="s">
        <v>26969</v>
      </c>
      <c r="W5726" s="49"/>
      <c r="X5726" s="49"/>
      <c r="Y5726" s="35"/>
      <c r="Z5726" s="35"/>
      <c r="AA5726" s="35"/>
      <c r="AB5726" s="35"/>
      <c r="AC5726" s="35"/>
      <c r="AD5726" s="35"/>
      <c r="AE5726" s="35"/>
      <c r="AF5726" s="35"/>
      <c r="AG5726" s="35"/>
      <c r="AH5726" s="35"/>
      <c r="AI5726" s="35"/>
      <c r="AJ5726" s="35"/>
      <c r="AK5726" s="35"/>
      <c r="AL5726" s="35"/>
    </row>
    <row r="5727">
      <c r="A5727" s="1"/>
      <c r="B5727" s="19" t="s">
        <v>19332</v>
      </c>
      <c r="C5727" s="158" t="s">
        <v>563</v>
      </c>
      <c r="D5727" s="47"/>
      <c r="E5727" s="22" t="s">
        <v>26970</v>
      </c>
      <c r="F5727" s="22" t="s">
        <v>23845</v>
      </c>
      <c r="G5727" s="23">
        <v>2017.0</v>
      </c>
      <c r="H5727" s="22" t="s">
        <v>20074</v>
      </c>
      <c r="I5727" s="24" t="s">
        <v>26971</v>
      </c>
      <c r="J5727" s="22" t="s">
        <v>26972</v>
      </c>
      <c r="K5727" s="22"/>
      <c r="L5727" s="36">
        <v>808.0</v>
      </c>
      <c r="M5727" s="36">
        <v>100.0</v>
      </c>
      <c r="N5727" s="36" t="s">
        <v>5132</v>
      </c>
      <c r="O5727" s="36" t="s">
        <v>26973</v>
      </c>
      <c r="P5727" s="37" t="s">
        <v>58</v>
      </c>
      <c r="Q5727" s="36" t="s">
        <v>26974</v>
      </c>
      <c r="R5727" s="36" t="s">
        <v>26975</v>
      </c>
      <c r="S5727" s="36">
        <v>1.0</v>
      </c>
      <c r="T5727" s="302" t="s">
        <v>26976</v>
      </c>
      <c r="U5727" s="38" t="str">
        <f>HYPERLINK("https://www.ncbi.nlm.nih.gov/pubmed/29264287","PubMed")</f>
        <v>PubMed</v>
      </c>
      <c r="V5727" s="50"/>
      <c r="W5727" s="49"/>
      <c r="X5727" s="49"/>
      <c r="Y5727" s="35"/>
      <c r="Z5727" s="35"/>
      <c r="AA5727" s="35"/>
      <c r="AB5727" s="35"/>
      <c r="AC5727" s="35"/>
      <c r="AD5727" s="35"/>
      <c r="AE5727" s="35"/>
      <c r="AF5727" s="35"/>
      <c r="AG5727" s="35"/>
      <c r="AH5727" s="35"/>
      <c r="AI5727" s="35"/>
      <c r="AJ5727" s="35"/>
      <c r="AK5727" s="35"/>
      <c r="AL5727" s="35"/>
    </row>
    <row r="5728">
      <c r="A5728" s="1"/>
      <c r="B5728" s="19" t="s">
        <v>19332</v>
      </c>
      <c r="C5728" s="158" t="s">
        <v>563</v>
      </c>
      <c r="D5728" s="47"/>
      <c r="E5728" s="22" t="s">
        <v>26977</v>
      </c>
      <c r="F5728" s="22" t="s">
        <v>1046</v>
      </c>
      <c r="G5728" s="23">
        <v>2017.0</v>
      </c>
      <c r="H5728" s="22" t="s">
        <v>292</v>
      </c>
      <c r="I5728" s="24" t="s">
        <v>26978</v>
      </c>
      <c r="J5728" s="22" t="s">
        <v>26979</v>
      </c>
      <c r="K5728" s="22" t="s">
        <v>26980</v>
      </c>
      <c r="L5728" s="36">
        <v>550.0</v>
      </c>
      <c r="M5728" s="36">
        <v>100.0</v>
      </c>
      <c r="N5728" s="36" t="s">
        <v>58</v>
      </c>
      <c r="O5728" s="36" t="s">
        <v>26981</v>
      </c>
      <c r="P5728" s="37" t="s">
        <v>432</v>
      </c>
      <c r="Q5728" s="36" t="s">
        <v>433</v>
      </c>
      <c r="R5728" s="36" t="s">
        <v>26982</v>
      </c>
      <c r="S5728" s="36">
        <v>1.0</v>
      </c>
      <c r="T5728" s="42" t="s">
        <v>26983</v>
      </c>
      <c r="U5728" s="38" t="str">
        <f>HYPERLINK("https://www.ncbi.nlm.nih.gov/pubmed/29133965","PubMed")</f>
        <v>PubMed</v>
      </c>
      <c r="V5728" s="50"/>
      <c r="W5728" s="49"/>
      <c r="X5728" s="49"/>
      <c r="Y5728" s="35"/>
      <c r="Z5728" s="35"/>
      <c r="AA5728" s="35"/>
      <c r="AB5728" s="35"/>
      <c r="AC5728" s="35"/>
      <c r="AD5728" s="35"/>
      <c r="AE5728" s="35"/>
      <c r="AF5728" s="35"/>
      <c r="AG5728" s="35"/>
      <c r="AH5728" s="35"/>
      <c r="AI5728" s="35"/>
      <c r="AJ5728" s="35"/>
      <c r="AK5728" s="35"/>
      <c r="AL5728" s="35"/>
    </row>
    <row r="5729">
      <c r="A5729" s="40"/>
      <c r="B5729" s="19" t="s">
        <v>19332</v>
      </c>
      <c r="C5729" s="158" t="s">
        <v>563</v>
      </c>
      <c r="D5729" s="159"/>
      <c r="E5729" s="57" t="s">
        <v>26984</v>
      </c>
      <c r="F5729" s="22" t="s">
        <v>10550</v>
      </c>
      <c r="G5729" s="57">
        <v>2017.0</v>
      </c>
      <c r="H5729" s="22" t="s">
        <v>19693</v>
      </c>
      <c r="I5729" s="134" t="s">
        <v>26985</v>
      </c>
      <c r="J5729" s="23" t="s">
        <v>1078</v>
      </c>
      <c r="K5729" s="23"/>
      <c r="L5729" s="84" t="s">
        <v>26986</v>
      </c>
      <c r="U5729" s="250" t="str">
        <f>HYPERLINK("https://www.ncbi.nlm.nih.gov/pubmed/28987483","PubMed")</f>
        <v>PubMed</v>
      </c>
      <c r="V5729" s="50"/>
      <c r="W5729" s="49"/>
      <c r="X5729" s="49"/>
      <c r="Y5729" s="35"/>
      <c r="Z5729" s="35"/>
      <c r="AA5729" s="35"/>
      <c r="AB5729" s="35"/>
      <c r="AC5729" s="35"/>
      <c r="AD5729" s="35"/>
      <c r="AE5729" s="35"/>
      <c r="AF5729" s="35"/>
      <c r="AG5729" s="35"/>
      <c r="AH5729" s="35"/>
      <c r="AI5729" s="35"/>
      <c r="AJ5729" s="35"/>
      <c r="AK5729" s="35"/>
      <c r="AL5729" s="35"/>
    </row>
    <row r="5730">
      <c r="A5730" s="40"/>
      <c r="B5730" s="19" t="s">
        <v>19332</v>
      </c>
      <c r="C5730" s="158" t="s">
        <v>563</v>
      </c>
      <c r="D5730" s="159"/>
      <c r="E5730" s="57" t="s">
        <v>26987</v>
      </c>
      <c r="F5730" s="22" t="s">
        <v>24346</v>
      </c>
      <c r="G5730" s="57">
        <v>2017.0</v>
      </c>
      <c r="H5730" s="22" t="s">
        <v>147</v>
      </c>
      <c r="I5730" s="134" t="s">
        <v>26988</v>
      </c>
      <c r="J5730" s="22" t="s">
        <v>26989</v>
      </c>
      <c r="K5730" s="23"/>
      <c r="L5730" s="36">
        <v>980.0</v>
      </c>
      <c r="M5730" s="36">
        <v>300.0</v>
      </c>
      <c r="N5730" s="36" t="s">
        <v>58</v>
      </c>
      <c r="O5730" s="37" t="s">
        <v>26990</v>
      </c>
      <c r="P5730" s="37" t="s">
        <v>58</v>
      </c>
      <c r="Q5730" s="36" t="s">
        <v>58</v>
      </c>
      <c r="R5730" s="36" t="s">
        <v>26991</v>
      </c>
      <c r="S5730" s="36" t="s">
        <v>7526</v>
      </c>
      <c r="T5730" s="83" t="s">
        <v>26992</v>
      </c>
      <c r="U5730" s="250" t="str">
        <f>HYPERLINK("https://www.ncbi.nlm.nih.gov/pubmed/28912943","PubMed")</f>
        <v>PubMed</v>
      </c>
      <c r="V5730" s="30" t="s">
        <v>26993</v>
      </c>
      <c r="W5730" s="49"/>
      <c r="X5730" s="49"/>
      <c r="Y5730" s="35"/>
      <c r="Z5730" s="35"/>
      <c r="AA5730" s="35"/>
      <c r="AB5730" s="35"/>
      <c r="AC5730" s="35"/>
      <c r="AD5730" s="35"/>
      <c r="AE5730" s="35"/>
      <c r="AF5730" s="35"/>
      <c r="AG5730" s="35"/>
      <c r="AH5730" s="35"/>
      <c r="AI5730" s="35"/>
      <c r="AJ5730" s="35"/>
      <c r="AK5730" s="35"/>
      <c r="AL5730" s="35"/>
    </row>
    <row r="5731">
      <c r="A5731" s="40"/>
      <c r="B5731" s="19" t="s">
        <v>19332</v>
      </c>
      <c r="C5731" s="158" t="s">
        <v>563</v>
      </c>
      <c r="D5731" s="159"/>
      <c r="E5731" s="57" t="s">
        <v>26994</v>
      </c>
      <c r="F5731" s="22" t="s">
        <v>9400</v>
      </c>
      <c r="G5731" s="57" t="s">
        <v>90</v>
      </c>
      <c r="H5731" s="22" t="s">
        <v>19552</v>
      </c>
      <c r="I5731" s="134" t="s">
        <v>26995</v>
      </c>
      <c r="J5731" s="23" t="s">
        <v>26996</v>
      </c>
      <c r="K5731" s="23" t="s">
        <v>26997</v>
      </c>
      <c r="L5731" s="36">
        <v>980.0</v>
      </c>
      <c r="M5731" s="36">
        <v>300.0</v>
      </c>
      <c r="N5731" s="36" t="s">
        <v>58</v>
      </c>
      <c r="O5731" s="36">
        <v>54.0</v>
      </c>
      <c r="P5731" s="37" t="s">
        <v>58</v>
      </c>
      <c r="Q5731" s="36"/>
      <c r="R5731" s="36" t="s">
        <v>4686</v>
      </c>
      <c r="S5731" s="36" t="s">
        <v>1819</v>
      </c>
      <c r="T5731" s="84" t="s">
        <v>26998</v>
      </c>
      <c r="U5731" s="250" t="str">
        <f>HYPERLINK("https://www.ncbi.nlm.nih.gov/pubmed/28578368","PubMed")</f>
        <v>PubMed</v>
      </c>
      <c r="V5731" s="30" t="s">
        <v>26999</v>
      </c>
      <c r="W5731" s="49"/>
      <c r="X5731" s="49"/>
      <c r="Y5731" s="35"/>
      <c r="Z5731" s="35"/>
      <c r="AA5731" s="35"/>
      <c r="AB5731" s="35"/>
      <c r="AC5731" s="35"/>
      <c r="AD5731" s="35"/>
      <c r="AE5731" s="35"/>
      <c r="AF5731" s="35"/>
      <c r="AG5731" s="35"/>
      <c r="AH5731" s="35"/>
      <c r="AI5731" s="35"/>
      <c r="AJ5731" s="35"/>
      <c r="AK5731" s="35"/>
      <c r="AL5731" s="35"/>
    </row>
    <row r="5732">
      <c r="A5732" s="40" t="s">
        <v>181</v>
      </c>
      <c r="B5732" s="19" t="s">
        <v>19332</v>
      </c>
      <c r="C5732" s="158" t="s">
        <v>563</v>
      </c>
      <c r="D5732" s="159"/>
      <c r="E5732" s="57" t="s">
        <v>27000</v>
      </c>
      <c r="F5732" s="22" t="s">
        <v>11580</v>
      </c>
      <c r="G5732" s="57">
        <v>2017.0</v>
      </c>
      <c r="H5732" s="22" t="s">
        <v>658</v>
      </c>
      <c r="I5732" s="134" t="s">
        <v>27001</v>
      </c>
      <c r="J5732" s="22" t="s">
        <v>27002</v>
      </c>
      <c r="K5732" s="23"/>
      <c r="L5732" s="36">
        <v>830.0</v>
      </c>
      <c r="M5732" s="36">
        <v>270.0</v>
      </c>
      <c r="N5732" s="129">
        <v>44961.0</v>
      </c>
      <c r="O5732" s="36" t="s">
        <v>58</v>
      </c>
      <c r="P5732" s="37" t="s">
        <v>26807</v>
      </c>
      <c r="Q5732" s="36" t="s">
        <v>27003</v>
      </c>
      <c r="R5732" s="36">
        <v>11.0</v>
      </c>
      <c r="S5732" s="36" t="s">
        <v>7612</v>
      </c>
      <c r="T5732" s="84" t="s">
        <v>27004</v>
      </c>
      <c r="U5732" s="250" t="str">
        <f>HYPERLINK("https://www.ncbi.nlm.nih.gov/pubmed/28525303","PubMed")</f>
        <v>PubMed</v>
      </c>
      <c r="V5732" s="50"/>
      <c r="W5732" s="49"/>
      <c r="X5732" s="49"/>
      <c r="Y5732" s="35"/>
      <c r="Z5732" s="35"/>
      <c r="AA5732" s="35"/>
      <c r="AB5732" s="35"/>
      <c r="AC5732" s="35"/>
      <c r="AD5732" s="35"/>
      <c r="AE5732" s="35"/>
      <c r="AF5732" s="35"/>
      <c r="AG5732" s="35"/>
      <c r="AH5732" s="35"/>
      <c r="AI5732" s="35"/>
      <c r="AJ5732" s="35"/>
      <c r="AK5732" s="35"/>
      <c r="AL5732" s="35"/>
    </row>
    <row r="5733">
      <c r="A5733" s="40" t="s">
        <v>38</v>
      </c>
      <c r="B5733" s="19" t="s">
        <v>19332</v>
      </c>
      <c r="C5733" s="158" t="s">
        <v>563</v>
      </c>
      <c r="D5733" s="159"/>
      <c r="E5733" s="57" t="s">
        <v>27005</v>
      </c>
      <c r="F5733" s="22" t="s">
        <v>1576</v>
      </c>
      <c r="G5733" s="57">
        <v>2017.0</v>
      </c>
      <c r="H5733" s="22" t="s">
        <v>27006</v>
      </c>
      <c r="I5733" s="134" t="s">
        <v>27007</v>
      </c>
      <c r="J5733" s="23" t="s">
        <v>253</v>
      </c>
      <c r="K5733" s="23" t="s">
        <v>922</v>
      </c>
      <c r="L5733" s="36" t="s">
        <v>27008</v>
      </c>
      <c r="M5733" s="36" t="s">
        <v>27009</v>
      </c>
      <c r="N5733" s="36"/>
      <c r="O5733" s="36"/>
      <c r="P5733" s="37" t="s">
        <v>3842</v>
      </c>
      <c r="Q5733" s="36"/>
      <c r="R5733" s="36" t="s">
        <v>27010</v>
      </c>
      <c r="S5733" s="36" t="s">
        <v>27011</v>
      </c>
      <c r="T5733" s="84" t="s">
        <v>27012</v>
      </c>
      <c r="U5733" s="250" t="str">
        <f>HYPERLINK("https://www.ncbi.nlm.nih.gov/pubmed/28332068","PubMed")</f>
        <v>PubMed</v>
      </c>
      <c r="V5733" s="50"/>
      <c r="W5733" s="49"/>
      <c r="X5733" s="49"/>
      <c r="Y5733" s="35"/>
      <c r="Z5733" s="35"/>
      <c r="AA5733" s="35"/>
      <c r="AB5733" s="35"/>
      <c r="AC5733" s="35"/>
      <c r="AD5733" s="35"/>
      <c r="AE5733" s="35"/>
      <c r="AF5733" s="35"/>
      <c r="AG5733" s="35"/>
      <c r="AH5733" s="35"/>
      <c r="AI5733" s="35"/>
      <c r="AJ5733" s="35"/>
      <c r="AK5733" s="35"/>
      <c r="AL5733" s="35"/>
    </row>
    <row r="5734">
      <c r="A5734" s="133"/>
      <c r="B5734" s="19" t="s">
        <v>19332</v>
      </c>
      <c r="C5734" s="158" t="s">
        <v>563</v>
      </c>
      <c r="D5734" s="159"/>
      <c r="E5734" s="57" t="s">
        <v>27013</v>
      </c>
      <c r="F5734" s="22" t="s">
        <v>27014</v>
      </c>
      <c r="G5734" s="57" t="s">
        <v>90</v>
      </c>
      <c r="H5734" s="22" t="s">
        <v>658</v>
      </c>
      <c r="I5734" s="134" t="s">
        <v>27015</v>
      </c>
      <c r="J5734" s="22" t="s">
        <v>27016</v>
      </c>
      <c r="K5734" s="23" t="s">
        <v>27017</v>
      </c>
      <c r="L5734" s="36">
        <v>830.0</v>
      </c>
      <c r="M5734" s="36">
        <v>63.0</v>
      </c>
      <c r="N5734" s="36" t="s">
        <v>58</v>
      </c>
      <c r="O5734" s="36" t="s">
        <v>58</v>
      </c>
      <c r="P5734" s="37" t="s">
        <v>969</v>
      </c>
      <c r="Q5734" s="36" t="s">
        <v>58</v>
      </c>
      <c r="R5734" s="36">
        <v>15.0</v>
      </c>
      <c r="S5734" s="36" t="s">
        <v>27018</v>
      </c>
      <c r="T5734" s="83" t="s">
        <v>27019</v>
      </c>
      <c r="U5734" s="250" t="str">
        <f>HYPERLINK("https://www.ncbi.nlm.nih.gov/pubmed/28294694","PubMed")</f>
        <v>PubMed</v>
      </c>
      <c r="V5734" s="30" t="s">
        <v>27020</v>
      </c>
      <c r="W5734" s="49"/>
      <c r="X5734" s="49"/>
      <c r="Y5734" s="35"/>
      <c r="Z5734" s="35"/>
      <c r="AA5734" s="35"/>
      <c r="AB5734" s="35"/>
      <c r="AC5734" s="35"/>
      <c r="AD5734" s="35"/>
      <c r="AE5734" s="35"/>
      <c r="AF5734" s="35"/>
      <c r="AG5734" s="35"/>
      <c r="AH5734" s="35"/>
      <c r="AI5734" s="35"/>
      <c r="AJ5734" s="35"/>
      <c r="AK5734" s="35"/>
      <c r="AL5734" s="35"/>
    </row>
    <row r="5735">
      <c r="A5735" s="133"/>
      <c r="B5735" s="19" t="s">
        <v>19332</v>
      </c>
      <c r="C5735" s="158" t="s">
        <v>563</v>
      </c>
      <c r="D5735" s="159"/>
      <c r="E5735" s="57" t="s">
        <v>27021</v>
      </c>
      <c r="F5735" s="22" t="s">
        <v>468</v>
      </c>
      <c r="G5735" s="57">
        <v>2016.0</v>
      </c>
      <c r="H5735" s="22" t="s">
        <v>284</v>
      </c>
      <c r="I5735" s="134" t="s">
        <v>27022</v>
      </c>
      <c r="J5735" s="22" t="s">
        <v>27023</v>
      </c>
      <c r="K5735" s="23" t="s">
        <v>26997</v>
      </c>
      <c r="L5735" s="36">
        <v>780.0</v>
      </c>
      <c r="M5735" s="36">
        <v>10.0</v>
      </c>
      <c r="N5735" s="36" t="s">
        <v>58</v>
      </c>
      <c r="O5735" s="36" t="s">
        <v>27024</v>
      </c>
      <c r="P5735" s="37" t="s">
        <v>704</v>
      </c>
      <c r="Q5735" s="36" t="s">
        <v>58</v>
      </c>
      <c r="R5735" s="36"/>
      <c r="S5735" s="36">
        <v>1.0</v>
      </c>
      <c r="T5735" s="83" t="s">
        <v>27025</v>
      </c>
      <c r="U5735" s="250" t="str">
        <f>HYPERLINK("https://www.ncbi.nlm.nih.gov/pubmed/26691932","PubMed")</f>
        <v>PubMed</v>
      </c>
      <c r="V5735" s="30" t="s">
        <v>27026</v>
      </c>
      <c r="W5735" s="49"/>
      <c r="X5735" s="49"/>
      <c r="Y5735" s="35"/>
      <c r="Z5735" s="35"/>
      <c r="AA5735" s="35"/>
      <c r="AB5735" s="35"/>
      <c r="AC5735" s="35"/>
      <c r="AD5735" s="35"/>
      <c r="AE5735" s="35"/>
      <c r="AF5735" s="35"/>
      <c r="AG5735" s="35"/>
      <c r="AH5735" s="35"/>
      <c r="AI5735" s="35"/>
      <c r="AJ5735" s="35"/>
      <c r="AK5735" s="35"/>
      <c r="AL5735" s="35"/>
    </row>
    <row r="5736">
      <c r="A5736" s="133"/>
      <c r="B5736" s="19" t="s">
        <v>19332</v>
      </c>
      <c r="C5736" s="158" t="s">
        <v>563</v>
      </c>
      <c r="D5736" s="159"/>
      <c r="E5736" s="57" t="s">
        <v>27027</v>
      </c>
      <c r="F5736" s="22" t="s">
        <v>183</v>
      </c>
      <c r="G5736" s="57">
        <v>2016.0</v>
      </c>
      <c r="H5736" s="22" t="s">
        <v>1393</v>
      </c>
      <c r="I5736" s="134" t="s">
        <v>27028</v>
      </c>
      <c r="J5736" s="22" t="s">
        <v>27029</v>
      </c>
      <c r="K5736" s="23"/>
      <c r="L5736" s="36">
        <v>808.0</v>
      </c>
      <c r="M5736" s="36"/>
      <c r="N5736" s="36" t="s">
        <v>27030</v>
      </c>
      <c r="O5736" s="36" t="s">
        <v>27031</v>
      </c>
      <c r="P5736" s="37" t="s">
        <v>269</v>
      </c>
      <c r="Q5736" s="36"/>
      <c r="R5736" s="36">
        <v>180.0</v>
      </c>
      <c r="S5736" s="36" t="s">
        <v>20078</v>
      </c>
      <c r="T5736" s="84" t="s">
        <v>27032</v>
      </c>
      <c r="U5736" s="250" t="str">
        <f>HYPERLINK("https://www.ncbi.nlm.nih.gov/pubmed/27374361","PubMed")</f>
        <v>PubMed</v>
      </c>
      <c r="V5736" s="50"/>
      <c r="W5736" s="49"/>
      <c r="X5736" s="49"/>
      <c r="Y5736" s="35"/>
      <c r="Z5736" s="35"/>
      <c r="AA5736" s="35"/>
      <c r="AB5736" s="35"/>
      <c r="AC5736" s="35"/>
      <c r="AD5736" s="35"/>
      <c r="AE5736" s="35"/>
      <c r="AF5736" s="35"/>
      <c r="AG5736" s="35"/>
      <c r="AH5736" s="35"/>
      <c r="AI5736" s="35"/>
      <c r="AJ5736" s="35"/>
      <c r="AK5736" s="35"/>
      <c r="AL5736" s="35"/>
    </row>
    <row r="5737">
      <c r="A5737" s="133"/>
      <c r="B5737" s="19" t="s">
        <v>19332</v>
      </c>
      <c r="C5737" s="158" t="s">
        <v>563</v>
      </c>
      <c r="D5737" s="159"/>
      <c r="E5737" s="57" t="s">
        <v>27033</v>
      </c>
      <c r="F5737" s="22" t="s">
        <v>41</v>
      </c>
      <c r="G5737" s="57">
        <v>2016.0</v>
      </c>
      <c r="H5737" s="22" t="s">
        <v>53</v>
      </c>
      <c r="I5737" s="134" t="s">
        <v>27034</v>
      </c>
      <c r="J5737" s="22" t="s">
        <v>23830</v>
      </c>
      <c r="K5737" s="23" t="s">
        <v>27035</v>
      </c>
      <c r="L5737" s="36" t="s">
        <v>5357</v>
      </c>
      <c r="M5737" s="36">
        <v>100.0</v>
      </c>
      <c r="N5737" s="36" t="s">
        <v>26697</v>
      </c>
      <c r="O5737" s="36">
        <v>12.0</v>
      </c>
      <c r="P5737" s="37" t="s">
        <v>16893</v>
      </c>
      <c r="Q5737" s="36" t="s">
        <v>58</v>
      </c>
      <c r="R5737" s="36" t="s">
        <v>27036</v>
      </c>
      <c r="S5737" s="36">
        <v>1.0</v>
      </c>
      <c r="T5737" s="82" t="s">
        <v>27037</v>
      </c>
      <c r="U5737" s="250" t="str">
        <f>HYPERLINK("https://www.ncbi.nlm.nih.gov/pubmed/26868520","PubMed")</f>
        <v>PubMed</v>
      </c>
      <c r="V5737" s="50"/>
      <c r="W5737" s="49"/>
      <c r="X5737" s="49"/>
      <c r="Y5737" s="35"/>
      <c r="Z5737" s="35"/>
      <c r="AA5737" s="35"/>
      <c r="AB5737" s="35"/>
      <c r="AC5737" s="35"/>
      <c r="AD5737" s="35"/>
      <c r="AE5737" s="35"/>
      <c r="AF5737" s="35"/>
      <c r="AG5737" s="35"/>
      <c r="AH5737" s="35"/>
      <c r="AI5737" s="35"/>
      <c r="AJ5737" s="35"/>
      <c r="AK5737" s="35"/>
      <c r="AL5737" s="35"/>
    </row>
    <row r="5738">
      <c r="A5738" s="133"/>
      <c r="B5738" s="19" t="s">
        <v>19332</v>
      </c>
      <c r="C5738" s="158" t="s">
        <v>563</v>
      </c>
      <c r="D5738" s="159"/>
      <c r="E5738" s="57" t="s">
        <v>999</v>
      </c>
      <c r="F5738" s="22" t="s">
        <v>41</v>
      </c>
      <c r="G5738" s="57">
        <v>2016.0</v>
      </c>
      <c r="H5738" s="57" t="s">
        <v>27038</v>
      </c>
      <c r="I5738" s="134" t="s">
        <v>27039</v>
      </c>
      <c r="J5738" s="23" t="s">
        <v>649</v>
      </c>
      <c r="K5738" s="23"/>
      <c r="L5738" s="80" t="s">
        <v>27040</v>
      </c>
      <c r="M5738" s="44"/>
      <c r="N5738" s="44"/>
      <c r="O5738" s="44"/>
      <c r="P5738" s="44"/>
      <c r="Q5738" s="44"/>
      <c r="R5738" s="44"/>
      <c r="S5738" s="44"/>
      <c r="T5738" s="45"/>
      <c r="U5738" s="385" t="s">
        <v>27041</v>
      </c>
      <c r="V5738" s="50"/>
      <c r="W5738" s="49"/>
      <c r="X5738" s="49"/>
      <c r="Y5738" s="35"/>
      <c r="Z5738" s="35"/>
      <c r="AA5738" s="35"/>
      <c r="AB5738" s="35"/>
      <c r="AC5738" s="35"/>
      <c r="AD5738" s="35"/>
      <c r="AE5738" s="35"/>
      <c r="AF5738" s="35"/>
      <c r="AG5738" s="35"/>
      <c r="AH5738" s="35"/>
      <c r="AI5738" s="35"/>
      <c r="AJ5738" s="35"/>
      <c r="AK5738" s="35"/>
      <c r="AL5738" s="35"/>
    </row>
    <row r="5739">
      <c r="A5739" s="133"/>
      <c r="B5739" s="19" t="s">
        <v>19332</v>
      </c>
      <c r="C5739" s="158" t="s">
        <v>563</v>
      </c>
      <c r="D5739" s="159"/>
      <c r="E5739" s="57" t="s">
        <v>27042</v>
      </c>
      <c r="F5739" s="23" t="s">
        <v>5289</v>
      </c>
      <c r="G5739" s="57">
        <v>2016.0</v>
      </c>
      <c r="H5739" s="57" t="s">
        <v>561</v>
      </c>
      <c r="I5739" s="134" t="s">
        <v>27043</v>
      </c>
      <c r="J5739" s="22" t="s">
        <v>27044</v>
      </c>
      <c r="K5739" s="23"/>
      <c r="L5739" s="36" t="s">
        <v>27045</v>
      </c>
      <c r="M5739" s="36" t="s">
        <v>27046</v>
      </c>
      <c r="N5739" s="36" t="s">
        <v>58</v>
      </c>
      <c r="O5739" s="36">
        <v>180.0</v>
      </c>
      <c r="P5739" s="37" t="s">
        <v>58</v>
      </c>
      <c r="Q5739" s="36" t="s">
        <v>58</v>
      </c>
      <c r="R5739" s="36">
        <v>900.0</v>
      </c>
      <c r="S5739" s="36" t="s">
        <v>6403</v>
      </c>
      <c r="T5739" s="84" t="s">
        <v>27047</v>
      </c>
      <c r="U5739" s="250" t="str">
        <f>HYPERLINK("https://www.ncbi.nlm.nih.gov/pubmed/27159857","PubMed")</f>
        <v>PubMed</v>
      </c>
      <c r="V5739" s="30" t="s">
        <v>27048</v>
      </c>
      <c r="W5739" s="49"/>
      <c r="X5739" s="49"/>
      <c r="Y5739" s="35"/>
      <c r="Z5739" s="35"/>
      <c r="AA5739" s="35"/>
      <c r="AB5739" s="35"/>
      <c r="AC5739" s="35"/>
      <c r="AD5739" s="35"/>
      <c r="AE5739" s="35"/>
      <c r="AF5739" s="35"/>
      <c r="AG5739" s="35"/>
      <c r="AH5739" s="35"/>
      <c r="AI5739" s="35"/>
      <c r="AJ5739" s="35"/>
      <c r="AK5739" s="35"/>
      <c r="AL5739" s="35"/>
    </row>
    <row r="5740">
      <c r="A5740" s="133"/>
      <c r="B5740" s="19" t="s">
        <v>19332</v>
      </c>
      <c r="C5740" s="158" t="s">
        <v>563</v>
      </c>
      <c r="D5740" s="159"/>
      <c r="E5740" s="57" t="s">
        <v>27049</v>
      </c>
      <c r="F5740" s="23" t="s">
        <v>27050</v>
      </c>
      <c r="G5740" s="57">
        <v>2016.0</v>
      </c>
      <c r="H5740" s="57" t="s">
        <v>20265</v>
      </c>
      <c r="I5740" s="134" t="s">
        <v>27051</v>
      </c>
      <c r="J5740" s="23" t="s">
        <v>253</v>
      </c>
      <c r="K5740" s="23"/>
      <c r="L5740" s="36"/>
      <c r="M5740" s="36">
        <v>900.0</v>
      </c>
      <c r="N5740" s="36"/>
      <c r="O5740" s="36"/>
      <c r="P5740" s="37"/>
      <c r="Q5740" s="36"/>
      <c r="R5740" s="36">
        <v>300.0</v>
      </c>
      <c r="S5740" s="36"/>
      <c r="T5740" s="84" t="s">
        <v>27052</v>
      </c>
      <c r="U5740" s="250" t="str">
        <f>HYPERLINK("https://www.ncbi.nlm.nih.gov/pubmed/27752199","PubMed")</f>
        <v>PubMed</v>
      </c>
      <c r="V5740" s="50"/>
      <c r="W5740" s="49"/>
      <c r="X5740" s="49"/>
      <c r="Y5740" s="35"/>
      <c r="Z5740" s="35"/>
      <c r="AA5740" s="35"/>
      <c r="AB5740" s="35"/>
      <c r="AC5740" s="35"/>
      <c r="AD5740" s="35"/>
      <c r="AE5740" s="35"/>
      <c r="AF5740" s="35"/>
      <c r="AG5740" s="35"/>
      <c r="AH5740" s="35"/>
      <c r="AI5740" s="35"/>
      <c r="AJ5740" s="35"/>
      <c r="AK5740" s="35"/>
      <c r="AL5740" s="35"/>
    </row>
    <row r="5741">
      <c r="A5741" s="133"/>
      <c r="B5741" s="19" t="s">
        <v>19332</v>
      </c>
      <c r="C5741" s="158" t="s">
        <v>563</v>
      </c>
      <c r="D5741" s="159"/>
      <c r="E5741" s="57" t="s">
        <v>22003</v>
      </c>
      <c r="F5741" s="23" t="s">
        <v>11529</v>
      </c>
      <c r="G5741" s="57">
        <v>2016.0</v>
      </c>
      <c r="H5741" s="22" t="s">
        <v>798</v>
      </c>
      <c r="I5741" s="134" t="s">
        <v>27053</v>
      </c>
      <c r="J5741" s="22" t="s">
        <v>27054</v>
      </c>
      <c r="K5741" s="23" t="s">
        <v>27055</v>
      </c>
      <c r="L5741" s="36" t="s">
        <v>27056</v>
      </c>
      <c r="M5741" s="36" t="s">
        <v>27057</v>
      </c>
      <c r="N5741" s="36"/>
      <c r="O5741" s="36" t="s">
        <v>27058</v>
      </c>
      <c r="P5741" s="37" t="s">
        <v>27059</v>
      </c>
      <c r="Q5741" s="36" t="s">
        <v>27060</v>
      </c>
      <c r="R5741" s="36" t="s">
        <v>27061</v>
      </c>
      <c r="S5741" s="36" t="s">
        <v>27062</v>
      </c>
      <c r="T5741" s="83" t="s">
        <v>27063</v>
      </c>
      <c r="U5741" s="250" t="str">
        <f>HYPERLINK("https://www.ncbi.nlm.nih.gov/pubmed/27055228","PubMed")</f>
        <v>PubMed</v>
      </c>
      <c r="V5741" s="50"/>
      <c r="W5741" s="49"/>
      <c r="X5741" s="49"/>
      <c r="Y5741" s="35"/>
      <c r="Z5741" s="35"/>
      <c r="AA5741" s="35"/>
      <c r="AB5741" s="35"/>
      <c r="AC5741" s="35"/>
      <c r="AD5741" s="35"/>
      <c r="AE5741" s="35"/>
      <c r="AF5741" s="35"/>
      <c r="AG5741" s="35"/>
      <c r="AH5741" s="35"/>
      <c r="AI5741" s="35"/>
      <c r="AJ5741" s="35"/>
      <c r="AK5741" s="35"/>
      <c r="AL5741" s="35"/>
    </row>
    <row r="5742">
      <c r="A5742" s="133"/>
      <c r="B5742" s="19" t="s">
        <v>19332</v>
      </c>
      <c r="C5742" s="158" t="s">
        <v>563</v>
      </c>
      <c r="D5742" s="159"/>
      <c r="E5742" s="57" t="s">
        <v>27064</v>
      </c>
      <c r="F5742" s="23" t="s">
        <v>22416</v>
      </c>
      <c r="G5742" s="57">
        <v>2016.0</v>
      </c>
      <c r="H5742" s="22" t="s">
        <v>658</v>
      </c>
      <c r="I5742" s="134" t="s">
        <v>27065</v>
      </c>
      <c r="J5742" s="22" t="s">
        <v>27066</v>
      </c>
      <c r="K5742" s="23" t="s">
        <v>27067</v>
      </c>
      <c r="L5742" s="36">
        <v>940.0</v>
      </c>
      <c r="M5742" s="36" t="s">
        <v>58</v>
      </c>
      <c r="N5742" s="36" t="s">
        <v>4163</v>
      </c>
      <c r="O5742" s="36" t="s">
        <v>27068</v>
      </c>
      <c r="P5742" s="37" t="s">
        <v>254</v>
      </c>
      <c r="Q5742" s="36" t="s">
        <v>26198</v>
      </c>
      <c r="R5742" s="36" t="s">
        <v>58</v>
      </c>
      <c r="S5742" s="36">
        <v>1.0</v>
      </c>
      <c r="T5742" s="84" t="s">
        <v>27069</v>
      </c>
      <c r="U5742" s="250" t="str">
        <f>HYPERLINK("https://www.ncbi.nlm.nih.gov/pubmed/27420732","PubMed")</f>
        <v>PubMed</v>
      </c>
      <c r="V5742" s="30" t="s">
        <v>27070</v>
      </c>
      <c r="W5742" s="49"/>
      <c r="X5742" s="49"/>
      <c r="Y5742" s="35"/>
      <c r="Z5742" s="35"/>
      <c r="AA5742" s="35"/>
      <c r="AB5742" s="35"/>
      <c r="AC5742" s="35"/>
      <c r="AD5742" s="35"/>
      <c r="AE5742" s="35"/>
      <c r="AF5742" s="35"/>
      <c r="AG5742" s="35"/>
      <c r="AH5742" s="35"/>
      <c r="AI5742" s="35"/>
      <c r="AJ5742" s="35"/>
      <c r="AK5742" s="35"/>
      <c r="AL5742" s="35"/>
    </row>
    <row r="5743">
      <c r="A5743" s="133"/>
      <c r="B5743" s="19" t="s">
        <v>19332</v>
      </c>
      <c r="C5743" s="158" t="s">
        <v>563</v>
      </c>
      <c r="D5743" s="159"/>
      <c r="E5743" s="57" t="s">
        <v>19426</v>
      </c>
      <c r="F5743" s="23" t="s">
        <v>878</v>
      </c>
      <c r="G5743" s="57">
        <v>2016.0</v>
      </c>
      <c r="H5743" s="22" t="s">
        <v>658</v>
      </c>
      <c r="I5743" s="134" t="s">
        <v>27071</v>
      </c>
      <c r="J5743" s="22" t="s">
        <v>27072</v>
      </c>
      <c r="K5743" s="23" t="s">
        <v>27073</v>
      </c>
      <c r="L5743" s="36">
        <v>810.0</v>
      </c>
      <c r="M5743" s="36">
        <v>300.0</v>
      </c>
      <c r="N5743" s="36" t="s">
        <v>58</v>
      </c>
      <c r="O5743" s="36" t="s">
        <v>27074</v>
      </c>
      <c r="P5743" s="37" t="s">
        <v>254</v>
      </c>
      <c r="Q5743" s="36" t="s">
        <v>58</v>
      </c>
      <c r="R5743" s="36" t="s">
        <v>27075</v>
      </c>
      <c r="S5743" s="36">
        <v>1.0</v>
      </c>
      <c r="T5743" s="82" t="s">
        <v>27076</v>
      </c>
      <c r="U5743" s="250" t="str">
        <f>HYPERLINK("https://www.ncbi.nlm.nih.gov/pubmed/26977740","PubMed")</f>
        <v>PubMed</v>
      </c>
      <c r="V5743" s="30" t="s">
        <v>27077</v>
      </c>
      <c r="W5743" s="49"/>
      <c r="X5743" s="49"/>
      <c r="Y5743" s="35"/>
      <c r="Z5743" s="35"/>
      <c r="AA5743" s="35"/>
      <c r="AB5743" s="35"/>
      <c r="AC5743" s="35"/>
      <c r="AD5743" s="35"/>
      <c r="AE5743" s="35"/>
      <c r="AF5743" s="35"/>
      <c r="AG5743" s="35"/>
      <c r="AH5743" s="35"/>
      <c r="AI5743" s="35"/>
      <c r="AJ5743" s="35"/>
      <c r="AK5743" s="35"/>
      <c r="AL5743" s="35"/>
    </row>
    <row r="5744">
      <c r="A5744" s="133"/>
      <c r="B5744" s="19" t="s">
        <v>19332</v>
      </c>
      <c r="C5744" s="158" t="s">
        <v>563</v>
      </c>
      <c r="D5744" s="159"/>
      <c r="E5744" s="57" t="s">
        <v>27078</v>
      </c>
      <c r="F5744" s="23" t="s">
        <v>25526</v>
      </c>
      <c r="G5744" s="57">
        <v>2016.0</v>
      </c>
      <c r="H5744" s="22" t="s">
        <v>22053</v>
      </c>
      <c r="I5744" s="134" t="s">
        <v>27079</v>
      </c>
      <c r="J5744" s="22" t="s">
        <v>27080</v>
      </c>
      <c r="K5744" s="23" t="s">
        <v>27067</v>
      </c>
      <c r="L5744" s="36">
        <v>810.0</v>
      </c>
      <c r="M5744" s="36">
        <v>300.0</v>
      </c>
      <c r="N5744" s="36" t="s">
        <v>58</v>
      </c>
      <c r="O5744" s="36">
        <v>12.0</v>
      </c>
      <c r="P5744" s="37" t="s">
        <v>254</v>
      </c>
      <c r="Q5744" s="36" t="s">
        <v>26967</v>
      </c>
      <c r="R5744" s="36">
        <v>40.0</v>
      </c>
      <c r="S5744" s="36" t="s">
        <v>7526</v>
      </c>
      <c r="T5744" s="84" t="s">
        <v>27081</v>
      </c>
      <c r="U5744" s="250" t="str">
        <f>HYPERLINK("https://www.ncbi.nlm.nih.gov/pubmed/27457369","PubMed")</f>
        <v>PubMed</v>
      </c>
      <c r="V5744" s="50"/>
      <c r="W5744" s="49"/>
      <c r="X5744" s="49"/>
      <c r="Y5744" s="35"/>
      <c r="Z5744" s="35"/>
      <c r="AA5744" s="35"/>
      <c r="AB5744" s="35"/>
      <c r="AC5744" s="35"/>
      <c r="AD5744" s="35"/>
      <c r="AE5744" s="35"/>
      <c r="AF5744" s="35"/>
      <c r="AG5744" s="35"/>
      <c r="AH5744" s="35"/>
      <c r="AI5744" s="35"/>
      <c r="AJ5744" s="35"/>
      <c r="AK5744" s="35"/>
      <c r="AL5744" s="35"/>
    </row>
    <row r="5745">
      <c r="A5745" s="1"/>
      <c r="B5745" s="19" t="s">
        <v>19332</v>
      </c>
      <c r="C5745" s="158" t="s">
        <v>563</v>
      </c>
      <c r="D5745" s="159"/>
      <c r="E5745" s="22" t="s">
        <v>6140</v>
      </c>
      <c r="F5745" s="22" t="s">
        <v>299</v>
      </c>
      <c r="G5745" s="23">
        <v>2015.0</v>
      </c>
      <c r="H5745" s="22" t="s">
        <v>91</v>
      </c>
      <c r="I5745" s="24" t="s">
        <v>27082</v>
      </c>
      <c r="J5745" s="22" t="s">
        <v>55</v>
      </c>
      <c r="K5745" s="22" t="s">
        <v>27083</v>
      </c>
      <c r="L5745" s="36">
        <v>980.0</v>
      </c>
      <c r="M5745" s="36">
        <v>10.0</v>
      </c>
      <c r="N5745" s="36" t="s">
        <v>58</v>
      </c>
      <c r="O5745" s="36" t="s">
        <v>58</v>
      </c>
      <c r="P5745" s="37" t="s">
        <v>27084</v>
      </c>
      <c r="Q5745" s="36" t="s">
        <v>27085</v>
      </c>
      <c r="R5745" s="36" t="s">
        <v>27086</v>
      </c>
      <c r="S5745" s="128">
        <v>43284.0</v>
      </c>
      <c r="T5745" s="28" t="s">
        <v>27087</v>
      </c>
      <c r="U5745" s="38" t="str">
        <f>HYPERLINK("https://www.ncbi.nlm.nih.gov/pubmed/23929563","PubMed")</f>
        <v>PubMed</v>
      </c>
      <c r="V5745" s="30"/>
      <c r="W5745" s="49"/>
      <c r="X5745" s="49"/>
      <c r="Y5745" s="35"/>
      <c r="Z5745" s="35"/>
      <c r="AA5745" s="35"/>
      <c r="AB5745" s="35"/>
      <c r="AC5745" s="35"/>
      <c r="AD5745" s="35"/>
      <c r="AE5745" s="35"/>
      <c r="AF5745" s="35"/>
      <c r="AG5745" s="35"/>
      <c r="AH5745" s="35"/>
      <c r="AI5745" s="35"/>
      <c r="AJ5745" s="35"/>
      <c r="AK5745" s="35"/>
      <c r="AL5745" s="35"/>
    </row>
    <row r="5746">
      <c r="A5746" s="1"/>
      <c r="B5746" s="19" t="s">
        <v>19332</v>
      </c>
      <c r="C5746" s="158" t="s">
        <v>563</v>
      </c>
      <c r="D5746" s="159"/>
      <c r="E5746" s="22" t="s">
        <v>27088</v>
      </c>
      <c r="F5746" s="22" t="s">
        <v>400</v>
      </c>
      <c r="G5746" s="23">
        <v>2015.0</v>
      </c>
      <c r="H5746" s="22" t="s">
        <v>1958</v>
      </c>
      <c r="I5746" s="24" t="s">
        <v>27089</v>
      </c>
      <c r="J5746" s="22" t="s">
        <v>27090</v>
      </c>
      <c r="K5746" s="22"/>
      <c r="L5746" s="36">
        <v>660.0</v>
      </c>
      <c r="M5746" s="36">
        <v>35.0</v>
      </c>
      <c r="N5746" s="36" t="s">
        <v>58</v>
      </c>
      <c r="O5746" s="36" t="s">
        <v>58</v>
      </c>
      <c r="P5746" s="37" t="s">
        <v>432</v>
      </c>
      <c r="Q5746" s="36" t="s">
        <v>27091</v>
      </c>
      <c r="R5746" s="36" t="s">
        <v>27092</v>
      </c>
      <c r="S5746" s="36" t="s">
        <v>27093</v>
      </c>
      <c r="T5746" s="28" t="s">
        <v>27094</v>
      </c>
      <c r="U5746" s="29" t="s">
        <v>61</v>
      </c>
      <c r="V5746" s="30" t="s">
        <v>27095</v>
      </c>
      <c r="W5746" s="49"/>
      <c r="X5746" s="49"/>
      <c r="Y5746" s="35"/>
      <c r="Z5746" s="35"/>
      <c r="AA5746" s="35"/>
      <c r="AB5746" s="35"/>
      <c r="AC5746" s="35"/>
      <c r="AD5746" s="35"/>
      <c r="AE5746" s="35"/>
      <c r="AF5746" s="35"/>
      <c r="AG5746" s="35"/>
      <c r="AH5746" s="35"/>
      <c r="AI5746" s="35"/>
      <c r="AJ5746" s="35"/>
      <c r="AK5746" s="35"/>
      <c r="AL5746" s="35"/>
    </row>
    <row r="5747">
      <c r="A5747" s="1"/>
      <c r="B5747" s="19" t="s">
        <v>19332</v>
      </c>
      <c r="C5747" s="158" t="s">
        <v>563</v>
      </c>
      <c r="D5747" s="159"/>
      <c r="E5747" s="22" t="s">
        <v>27033</v>
      </c>
      <c r="F5747" s="22" t="s">
        <v>241</v>
      </c>
      <c r="G5747" s="23">
        <v>2015.0</v>
      </c>
      <c r="H5747" s="22" t="s">
        <v>13752</v>
      </c>
      <c r="I5747" s="24" t="s">
        <v>27096</v>
      </c>
      <c r="J5747" s="22" t="s">
        <v>23830</v>
      </c>
      <c r="K5747" s="22" t="s">
        <v>27097</v>
      </c>
      <c r="L5747" s="36" t="s">
        <v>27098</v>
      </c>
      <c r="M5747" s="36" t="s">
        <v>403</v>
      </c>
      <c r="N5747" s="36" t="s">
        <v>27099</v>
      </c>
      <c r="O5747" s="36" t="s">
        <v>7199</v>
      </c>
      <c r="P5747" s="37" t="s">
        <v>27100</v>
      </c>
      <c r="Q5747" s="36" t="s">
        <v>27101</v>
      </c>
      <c r="R5747" s="36" t="s">
        <v>27102</v>
      </c>
      <c r="S5747" s="36" t="s">
        <v>6215</v>
      </c>
      <c r="T5747" s="41" t="s">
        <v>27103</v>
      </c>
      <c r="U5747" s="38" t="str">
        <f>HYPERLINK("https://www.ncbi.nlm.nih.gov/pubmed/26421525","PubMed")</f>
        <v>PubMed</v>
      </c>
      <c r="V5747" s="30"/>
      <c r="W5747" s="49"/>
      <c r="X5747" s="49"/>
      <c r="Y5747" s="35"/>
      <c r="Z5747" s="35"/>
      <c r="AA5747" s="35"/>
      <c r="AB5747" s="35"/>
      <c r="AC5747" s="35"/>
      <c r="AD5747" s="35"/>
      <c r="AE5747" s="35"/>
      <c r="AF5747" s="35"/>
      <c r="AG5747" s="35"/>
      <c r="AH5747" s="35"/>
      <c r="AI5747" s="35"/>
      <c r="AJ5747" s="35"/>
      <c r="AK5747" s="35"/>
      <c r="AL5747" s="35"/>
    </row>
    <row r="5748">
      <c r="A5748" s="40" t="s">
        <v>181</v>
      </c>
      <c r="B5748" s="19" t="s">
        <v>19332</v>
      </c>
      <c r="C5748" s="158" t="s">
        <v>563</v>
      </c>
      <c r="D5748" s="159"/>
      <c r="E5748" s="22" t="s">
        <v>27104</v>
      </c>
      <c r="F5748" s="22" t="s">
        <v>27105</v>
      </c>
      <c r="G5748" s="23">
        <v>2015.0</v>
      </c>
      <c r="H5748" s="22" t="s">
        <v>12502</v>
      </c>
      <c r="I5748" s="24" t="s">
        <v>27106</v>
      </c>
      <c r="J5748" s="22" t="s">
        <v>27107</v>
      </c>
      <c r="K5748" s="22"/>
      <c r="L5748" s="36" t="s">
        <v>20233</v>
      </c>
      <c r="M5748" s="36" t="s">
        <v>58</v>
      </c>
      <c r="N5748" s="36" t="s">
        <v>821</v>
      </c>
      <c r="O5748" s="52" t="s">
        <v>58</v>
      </c>
      <c r="P5748" s="37" t="s">
        <v>58</v>
      </c>
      <c r="Q5748" s="36" t="s">
        <v>58</v>
      </c>
      <c r="R5748" s="36">
        <v>1200.0</v>
      </c>
      <c r="S5748" s="36" t="s">
        <v>3849</v>
      </c>
      <c r="T5748" s="41" t="s">
        <v>27108</v>
      </c>
      <c r="U5748" s="38" t="str">
        <f>HYPERLINK("https://www.ncbi.nlm.nih.gov/pubmed/26511218","PubMed")</f>
        <v>PubMed</v>
      </c>
      <c r="V5748" s="30" t="s">
        <v>27109</v>
      </c>
      <c r="W5748" s="49"/>
      <c r="X5748" s="49"/>
      <c r="Y5748" s="35"/>
      <c r="Z5748" s="35"/>
      <c r="AA5748" s="35"/>
      <c r="AB5748" s="35"/>
      <c r="AC5748" s="35"/>
      <c r="AD5748" s="35"/>
      <c r="AE5748" s="35"/>
      <c r="AF5748" s="35"/>
      <c r="AG5748" s="35"/>
      <c r="AH5748" s="35"/>
      <c r="AI5748" s="35"/>
      <c r="AJ5748" s="35"/>
      <c r="AK5748" s="35"/>
      <c r="AL5748" s="35"/>
    </row>
    <row r="5749">
      <c r="A5749" s="1"/>
      <c r="B5749" s="19" t="s">
        <v>19332</v>
      </c>
      <c r="C5749" s="158" t="s">
        <v>563</v>
      </c>
      <c r="D5749" s="159"/>
      <c r="E5749" s="22" t="s">
        <v>27110</v>
      </c>
      <c r="F5749" s="22" t="s">
        <v>5404</v>
      </c>
      <c r="G5749" s="23">
        <v>2015.0</v>
      </c>
      <c r="H5749" s="22" t="s">
        <v>91</v>
      </c>
      <c r="I5749" s="24" t="s">
        <v>27111</v>
      </c>
      <c r="J5749" s="22" t="s">
        <v>27112</v>
      </c>
      <c r="K5749" s="22" t="s">
        <v>27113</v>
      </c>
      <c r="L5749" s="36">
        <v>820.0</v>
      </c>
      <c r="M5749" s="36">
        <v>200.0</v>
      </c>
      <c r="N5749" s="36" t="s">
        <v>58</v>
      </c>
      <c r="O5749" s="36" t="s">
        <v>58</v>
      </c>
      <c r="P5749" s="36">
        <v>6.0</v>
      </c>
      <c r="Q5749" s="36" t="s">
        <v>27114</v>
      </c>
      <c r="R5749" s="36" t="s">
        <v>58</v>
      </c>
      <c r="S5749" s="36" t="s">
        <v>3125</v>
      </c>
      <c r="T5749" s="132" t="s">
        <v>27115</v>
      </c>
      <c r="U5749" s="38" t="str">
        <f>HYPERLINK("https://www.ncbi.nlm.nih.gov/pubmed/23917415","PubMed")</f>
        <v>PubMed</v>
      </c>
      <c r="V5749" s="30" t="s">
        <v>27116</v>
      </c>
      <c r="W5749" s="49"/>
      <c r="X5749" s="49"/>
      <c r="Y5749" s="35"/>
      <c r="Z5749" s="35"/>
      <c r="AA5749" s="35"/>
      <c r="AB5749" s="35"/>
      <c r="AC5749" s="35"/>
      <c r="AD5749" s="35"/>
      <c r="AE5749" s="35"/>
      <c r="AF5749" s="35"/>
      <c r="AG5749" s="35"/>
      <c r="AH5749" s="35"/>
      <c r="AI5749" s="35"/>
      <c r="AJ5749" s="35"/>
      <c r="AK5749" s="35"/>
      <c r="AL5749" s="35"/>
    </row>
    <row r="5750">
      <c r="A5750" s="1"/>
      <c r="B5750" s="19" t="s">
        <v>19332</v>
      </c>
      <c r="C5750" s="158" t="s">
        <v>563</v>
      </c>
      <c r="D5750" s="159"/>
      <c r="E5750" s="22" t="s">
        <v>27117</v>
      </c>
      <c r="F5750" s="22" t="s">
        <v>21019</v>
      </c>
      <c r="G5750" s="23">
        <v>2015.0</v>
      </c>
      <c r="H5750" s="22" t="s">
        <v>658</v>
      </c>
      <c r="I5750" s="24" t="s">
        <v>27118</v>
      </c>
      <c r="J5750" s="22" t="s">
        <v>27119</v>
      </c>
      <c r="K5750" s="22" t="s">
        <v>27120</v>
      </c>
      <c r="L5750" s="36">
        <v>830.0</v>
      </c>
      <c r="M5750" s="36">
        <v>4000.0</v>
      </c>
      <c r="N5750" s="36" t="s">
        <v>58</v>
      </c>
      <c r="O5750" s="36"/>
      <c r="P5750" s="36" t="s">
        <v>27121</v>
      </c>
      <c r="Q5750" s="36" t="s">
        <v>25453</v>
      </c>
      <c r="R5750" s="36">
        <v>120.0</v>
      </c>
      <c r="S5750" s="36" t="s">
        <v>27122</v>
      </c>
      <c r="T5750" s="132" t="s">
        <v>27123</v>
      </c>
      <c r="U5750" s="38" t="str">
        <f>HYPERLINK("https://www.ncbi.nlm.nih.gov/pubmed/26332915","PubMed")</f>
        <v>PubMed</v>
      </c>
      <c r="V5750" s="30"/>
      <c r="W5750" s="49"/>
      <c r="X5750" s="49"/>
      <c r="Y5750" s="35"/>
      <c r="Z5750" s="35"/>
      <c r="AA5750" s="35"/>
      <c r="AB5750" s="35"/>
      <c r="AC5750" s="35"/>
      <c r="AD5750" s="35"/>
      <c r="AE5750" s="35"/>
      <c r="AF5750" s="35"/>
      <c r="AG5750" s="35"/>
      <c r="AH5750" s="35"/>
      <c r="AI5750" s="35"/>
      <c r="AJ5750" s="35"/>
      <c r="AK5750" s="35"/>
      <c r="AL5750" s="35"/>
    </row>
    <row r="5751">
      <c r="A5751" s="1"/>
      <c r="B5751" s="19" t="s">
        <v>19332</v>
      </c>
      <c r="C5751" s="158" t="s">
        <v>563</v>
      </c>
      <c r="D5751" s="159"/>
      <c r="E5751" s="22" t="s">
        <v>20703</v>
      </c>
      <c r="F5751" s="22" t="s">
        <v>1392</v>
      </c>
      <c r="G5751" s="23">
        <v>2015.0</v>
      </c>
      <c r="H5751" s="22" t="s">
        <v>292</v>
      </c>
      <c r="I5751" s="24" t="s">
        <v>27124</v>
      </c>
      <c r="J5751" s="22" t="s">
        <v>27125</v>
      </c>
      <c r="K5751" s="22" t="s">
        <v>27067</v>
      </c>
      <c r="L5751" s="36" t="s">
        <v>24467</v>
      </c>
      <c r="M5751" s="36" t="s">
        <v>58</v>
      </c>
      <c r="N5751" s="36" t="s">
        <v>58</v>
      </c>
      <c r="O5751" s="36">
        <v>240.0</v>
      </c>
      <c r="P5751" s="37" t="s">
        <v>27126</v>
      </c>
      <c r="Q5751" s="36" t="s">
        <v>58</v>
      </c>
      <c r="R5751" s="36">
        <v>900.0</v>
      </c>
      <c r="S5751" s="36" t="s">
        <v>27127</v>
      </c>
      <c r="T5751" s="42" t="s">
        <v>27128</v>
      </c>
      <c r="U5751" s="38" t="str">
        <f>HYPERLINK("http://www.ncbi.nlm.nih.gov/pubmed/25941424","PubMed")</f>
        <v>PubMed</v>
      </c>
      <c r="V5751" s="30"/>
      <c r="W5751" s="49"/>
      <c r="X5751" s="49"/>
      <c r="Y5751" s="35"/>
      <c r="Z5751" s="35"/>
      <c r="AA5751" s="35"/>
      <c r="AB5751" s="35"/>
      <c r="AC5751" s="35"/>
      <c r="AD5751" s="35"/>
      <c r="AE5751" s="35"/>
      <c r="AF5751" s="35"/>
      <c r="AG5751" s="35"/>
      <c r="AH5751" s="35"/>
      <c r="AI5751" s="35"/>
      <c r="AJ5751" s="35"/>
      <c r="AK5751" s="35"/>
      <c r="AL5751" s="35"/>
    </row>
    <row r="5752">
      <c r="A5752" s="1"/>
      <c r="B5752" s="19" t="s">
        <v>19332</v>
      </c>
      <c r="C5752" s="158" t="s">
        <v>563</v>
      </c>
      <c r="D5752" s="159"/>
      <c r="E5752" s="22" t="s">
        <v>10106</v>
      </c>
      <c r="F5752" s="22" t="s">
        <v>65</v>
      </c>
      <c r="G5752" s="23">
        <v>2015.0</v>
      </c>
      <c r="H5752" s="22" t="s">
        <v>91</v>
      </c>
      <c r="I5752" s="24" t="s">
        <v>27129</v>
      </c>
      <c r="J5752" s="22" t="s">
        <v>1078</v>
      </c>
      <c r="K5752" s="22"/>
      <c r="L5752" s="105" t="s">
        <v>27130</v>
      </c>
      <c r="M5752" s="44"/>
      <c r="N5752" s="44"/>
      <c r="O5752" s="44"/>
      <c r="P5752" s="44"/>
      <c r="Q5752" s="44"/>
      <c r="R5752" s="44"/>
      <c r="S5752" s="44"/>
      <c r="T5752" s="45"/>
      <c r="U5752" s="38" t="str">
        <f>HYPERLINK("https://www.ncbi.nlm.nih.gov/pubmed/25098769","PubMed")</f>
        <v>PubMed</v>
      </c>
      <c r="V5752" s="30"/>
      <c r="W5752" s="49"/>
      <c r="X5752" s="49"/>
      <c r="Y5752" s="35"/>
      <c r="Z5752" s="35"/>
      <c r="AA5752" s="35"/>
      <c r="AB5752" s="35"/>
      <c r="AC5752" s="35"/>
      <c r="AD5752" s="35"/>
      <c r="AE5752" s="35"/>
      <c r="AF5752" s="35"/>
      <c r="AG5752" s="35"/>
      <c r="AH5752" s="35"/>
      <c r="AI5752" s="35"/>
      <c r="AJ5752" s="35"/>
      <c r="AK5752" s="35"/>
      <c r="AL5752" s="35"/>
    </row>
    <row r="5753">
      <c r="A5753" s="1"/>
      <c r="B5753" s="19" t="s">
        <v>19332</v>
      </c>
      <c r="C5753" s="158" t="s">
        <v>563</v>
      </c>
      <c r="D5753" s="159"/>
      <c r="E5753" s="22" t="s">
        <v>27131</v>
      </c>
      <c r="F5753" s="22" t="s">
        <v>605</v>
      </c>
      <c r="G5753" s="23">
        <v>2014.0</v>
      </c>
      <c r="H5753" s="22" t="s">
        <v>91</v>
      </c>
      <c r="I5753" s="24" t="s">
        <v>27132</v>
      </c>
      <c r="J5753" s="22" t="s">
        <v>27133</v>
      </c>
      <c r="K5753" s="22" t="s">
        <v>27134</v>
      </c>
      <c r="L5753" s="36">
        <v>808.0</v>
      </c>
      <c r="M5753" s="36">
        <v>100.0</v>
      </c>
      <c r="N5753" s="36" t="s">
        <v>58</v>
      </c>
      <c r="O5753" s="36">
        <v>12.0</v>
      </c>
      <c r="P5753" s="37" t="s">
        <v>254</v>
      </c>
      <c r="Q5753" s="36" t="s">
        <v>58</v>
      </c>
      <c r="R5753" s="36">
        <v>120.0</v>
      </c>
      <c r="S5753" s="36" t="s">
        <v>20078</v>
      </c>
      <c r="T5753" s="351" t="s">
        <v>27135</v>
      </c>
      <c r="U5753" s="38" t="str">
        <f>HYPERLINK("https://www.ncbi.nlm.nih.gov/pubmed/23494104","PubMed")</f>
        <v>PubMed</v>
      </c>
      <c r="V5753" s="30" t="s">
        <v>27136</v>
      </c>
      <c r="W5753" s="130" t="str">
        <f>HYPERLINK("https://www.ncbi.nlm.nih.gov/pubmed/24292198","Comment")</f>
        <v>Comment</v>
      </c>
      <c r="X5753" s="49"/>
      <c r="Y5753" s="35"/>
      <c r="Z5753" s="35"/>
      <c r="AA5753" s="35"/>
      <c r="AB5753" s="35"/>
      <c r="AC5753" s="35"/>
      <c r="AD5753" s="35"/>
      <c r="AE5753" s="35"/>
      <c r="AF5753" s="35"/>
      <c r="AG5753" s="35"/>
      <c r="AH5753" s="35"/>
      <c r="AI5753" s="35"/>
      <c r="AJ5753" s="35"/>
      <c r="AK5753" s="35"/>
      <c r="AL5753" s="35"/>
    </row>
    <row r="5754">
      <c r="A5754" s="1"/>
      <c r="B5754" s="19" t="s">
        <v>19332</v>
      </c>
      <c r="C5754" s="158" t="s">
        <v>563</v>
      </c>
      <c r="D5754" s="159"/>
      <c r="E5754" s="22" t="s">
        <v>27137</v>
      </c>
      <c r="F5754" s="22" t="s">
        <v>41</v>
      </c>
      <c r="G5754" s="23">
        <v>2013.0</v>
      </c>
      <c r="H5754" s="22" t="s">
        <v>2863</v>
      </c>
      <c r="I5754" s="24" t="s">
        <v>27138</v>
      </c>
      <c r="J5754" s="22" t="s">
        <v>2141</v>
      </c>
      <c r="K5754" s="22" t="s">
        <v>27067</v>
      </c>
      <c r="L5754" s="36"/>
      <c r="M5754" s="36"/>
      <c r="N5754" s="36"/>
      <c r="O5754" s="36"/>
      <c r="P5754" s="37"/>
      <c r="Q5754" s="36"/>
      <c r="R5754" s="36"/>
      <c r="S5754" s="36"/>
      <c r="T5754" s="386" t="s">
        <v>27139</v>
      </c>
      <c r="U5754" s="38" t="str">
        <f>HYPERLINK("https://www.ncbi.nlm.nih.gov/pubmed/24195796","PubMed")</f>
        <v>PubMed</v>
      </c>
      <c r="V5754" s="30"/>
      <c r="W5754" s="49"/>
      <c r="X5754" s="49"/>
      <c r="Y5754" s="35"/>
      <c r="Z5754" s="35"/>
      <c r="AA5754" s="35"/>
      <c r="AB5754" s="35"/>
      <c r="AC5754" s="35"/>
      <c r="AD5754" s="35"/>
      <c r="AE5754" s="35"/>
      <c r="AF5754" s="35"/>
      <c r="AG5754" s="35"/>
      <c r="AH5754" s="35"/>
      <c r="AI5754" s="35"/>
      <c r="AJ5754" s="35"/>
      <c r="AK5754" s="35"/>
      <c r="AL5754" s="35"/>
    </row>
    <row r="5755">
      <c r="A5755" s="1"/>
      <c r="B5755" s="19" t="s">
        <v>19332</v>
      </c>
      <c r="C5755" s="158" t="s">
        <v>563</v>
      </c>
      <c r="D5755" s="159"/>
      <c r="E5755" s="22" t="s">
        <v>27140</v>
      </c>
      <c r="F5755" s="22" t="s">
        <v>1392</v>
      </c>
      <c r="G5755" s="23">
        <v>2013.0</v>
      </c>
      <c r="H5755" s="22" t="s">
        <v>91</v>
      </c>
      <c r="I5755" s="24" t="s">
        <v>27141</v>
      </c>
      <c r="J5755" s="22" t="s">
        <v>26667</v>
      </c>
      <c r="K5755" s="22" t="s">
        <v>27142</v>
      </c>
      <c r="L5755" s="36">
        <v>980.0</v>
      </c>
      <c r="M5755" s="36">
        <v>300.0</v>
      </c>
      <c r="N5755" s="36" t="s">
        <v>58</v>
      </c>
      <c r="O5755" s="36">
        <v>54.0</v>
      </c>
      <c r="P5755" s="37" t="s">
        <v>58</v>
      </c>
      <c r="Q5755" s="36"/>
      <c r="R5755" s="36" t="s">
        <v>27143</v>
      </c>
      <c r="S5755" s="36" t="s">
        <v>7526</v>
      </c>
      <c r="T5755" s="28" t="s">
        <v>27144</v>
      </c>
      <c r="U5755" s="38" t="str">
        <f>HYPERLINK("http://www.ncbi.nlm.nih.gov/pubmed/22843310","PubMed")</f>
        <v>PubMed</v>
      </c>
      <c r="V5755" s="30" t="s">
        <v>27145</v>
      </c>
      <c r="W5755" s="49"/>
      <c r="X5755" s="49"/>
      <c r="Y5755" s="35"/>
      <c r="Z5755" s="35"/>
      <c r="AA5755" s="35"/>
      <c r="AB5755" s="35"/>
      <c r="AC5755" s="35"/>
      <c r="AD5755" s="35"/>
      <c r="AE5755" s="35"/>
      <c r="AF5755" s="35"/>
      <c r="AG5755" s="35"/>
      <c r="AH5755" s="35"/>
      <c r="AI5755" s="35"/>
      <c r="AJ5755" s="35"/>
      <c r="AK5755" s="35"/>
      <c r="AL5755" s="35"/>
    </row>
    <row r="5756">
      <c r="A5756" s="1"/>
      <c r="B5756" s="19" t="s">
        <v>19332</v>
      </c>
      <c r="C5756" s="158" t="s">
        <v>563</v>
      </c>
      <c r="D5756" s="159"/>
      <c r="E5756" s="22" t="s">
        <v>27146</v>
      </c>
      <c r="F5756" s="22" t="s">
        <v>19972</v>
      </c>
      <c r="G5756" s="23">
        <v>2013.0</v>
      </c>
      <c r="H5756" s="22" t="s">
        <v>147</v>
      </c>
      <c r="I5756" s="24" t="s">
        <v>27147</v>
      </c>
      <c r="J5756" s="22" t="s">
        <v>27148</v>
      </c>
      <c r="K5756" s="22" t="s">
        <v>27149</v>
      </c>
      <c r="L5756" s="36">
        <v>660.0</v>
      </c>
      <c r="M5756" s="36" t="s">
        <v>27150</v>
      </c>
      <c r="N5756" s="36" t="s">
        <v>58</v>
      </c>
      <c r="O5756" s="36" t="s">
        <v>58</v>
      </c>
      <c r="P5756" s="37" t="s">
        <v>58</v>
      </c>
      <c r="Q5756" s="36" t="s">
        <v>58</v>
      </c>
      <c r="R5756" s="36" t="s">
        <v>27151</v>
      </c>
      <c r="S5756" s="36"/>
      <c r="T5756" s="352" t="s">
        <v>27152</v>
      </c>
      <c r="U5756" s="38" t="str">
        <f>HYPERLINK("http://www.ncbi.nlm.nih.gov/pubmed/25606319","PubMed")</f>
        <v>PubMed</v>
      </c>
      <c r="V5756" s="30" t="s">
        <v>27153</v>
      </c>
      <c r="W5756" s="49"/>
      <c r="X5756" s="49"/>
      <c r="Y5756" s="35"/>
      <c r="Z5756" s="35"/>
      <c r="AA5756" s="35"/>
      <c r="AB5756" s="35"/>
      <c r="AC5756" s="35"/>
      <c r="AD5756" s="35"/>
      <c r="AE5756" s="35"/>
      <c r="AF5756" s="35"/>
      <c r="AG5756" s="35"/>
      <c r="AH5756" s="35"/>
      <c r="AI5756" s="35"/>
      <c r="AJ5756" s="35"/>
      <c r="AK5756" s="35"/>
      <c r="AL5756" s="35"/>
    </row>
    <row r="5757">
      <c r="A5757" s="1"/>
      <c r="B5757" s="19" t="s">
        <v>19332</v>
      </c>
      <c r="C5757" s="158" t="s">
        <v>563</v>
      </c>
      <c r="D5757" s="159"/>
      <c r="E5757" s="22" t="s">
        <v>27154</v>
      </c>
      <c r="F5757" s="22" t="s">
        <v>1943</v>
      </c>
      <c r="G5757" s="23">
        <v>2012.0</v>
      </c>
      <c r="H5757" s="22" t="s">
        <v>555</v>
      </c>
      <c r="I5757" s="24" t="s">
        <v>27155</v>
      </c>
      <c r="J5757" s="22" t="s">
        <v>55</v>
      </c>
      <c r="K5757" s="22" t="s">
        <v>27156</v>
      </c>
      <c r="L5757" s="36">
        <v>830.0</v>
      </c>
      <c r="M5757" s="36">
        <v>75.0</v>
      </c>
      <c r="N5757" s="36"/>
      <c r="O5757" s="129"/>
      <c r="P5757" s="37"/>
      <c r="Q5757" s="36"/>
      <c r="R5757" s="36"/>
      <c r="S5757" s="36"/>
      <c r="T5757" s="28" t="s">
        <v>27157</v>
      </c>
      <c r="U5757" s="38" t="s">
        <v>61</v>
      </c>
      <c r="V5757" s="30"/>
      <c r="W5757" s="49"/>
      <c r="X5757" s="49"/>
      <c r="Y5757" s="35"/>
      <c r="Z5757" s="35"/>
      <c r="AA5757" s="35"/>
      <c r="AB5757" s="35"/>
      <c r="AC5757" s="35"/>
      <c r="AD5757" s="35"/>
      <c r="AE5757" s="35"/>
      <c r="AF5757" s="35"/>
      <c r="AG5757" s="35"/>
      <c r="AH5757" s="35"/>
      <c r="AI5757" s="35"/>
      <c r="AJ5757" s="35"/>
      <c r="AK5757" s="35"/>
      <c r="AL5757" s="35"/>
    </row>
    <row r="5758">
      <c r="A5758" s="1"/>
      <c r="B5758" s="19" t="s">
        <v>19332</v>
      </c>
      <c r="C5758" s="158" t="s">
        <v>563</v>
      </c>
      <c r="D5758" s="159"/>
      <c r="E5758" s="22" t="s">
        <v>27158</v>
      </c>
      <c r="F5758" s="22" t="s">
        <v>3027</v>
      </c>
      <c r="G5758" s="23">
        <v>2012.0</v>
      </c>
      <c r="H5758" s="22" t="s">
        <v>91</v>
      </c>
      <c r="I5758" s="24" t="s">
        <v>27159</v>
      </c>
      <c r="J5758" s="22" t="s">
        <v>27160</v>
      </c>
      <c r="K5758" s="22" t="s">
        <v>27067</v>
      </c>
      <c r="L5758" s="36">
        <v>810.0</v>
      </c>
      <c r="M5758" s="36">
        <v>400.0</v>
      </c>
      <c r="N5758" s="36" t="s">
        <v>58</v>
      </c>
      <c r="O5758" s="129">
        <v>42594.0</v>
      </c>
      <c r="P5758" s="37" t="s">
        <v>254</v>
      </c>
      <c r="Q5758" s="36" t="s">
        <v>27161</v>
      </c>
      <c r="R5758" s="36">
        <v>32.0</v>
      </c>
      <c r="S5758" s="36">
        <v>1.0</v>
      </c>
      <c r="T5758" s="41" t="s">
        <v>27162</v>
      </c>
      <c r="U5758" s="38" t="str">
        <f>HYPERLINK("https://www.ncbi.nlm.nih.gov/pubmed/21617973","PubMed")</f>
        <v>PubMed</v>
      </c>
      <c r="V5758" s="30" t="s">
        <v>27163</v>
      </c>
      <c r="W5758" s="49"/>
      <c r="X5758" s="49"/>
      <c r="Y5758" s="35"/>
      <c r="Z5758" s="35"/>
      <c r="AA5758" s="35"/>
      <c r="AB5758" s="35"/>
      <c r="AC5758" s="35"/>
      <c r="AD5758" s="35"/>
      <c r="AE5758" s="35"/>
      <c r="AF5758" s="35"/>
      <c r="AG5758" s="35"/>
      <c r="AH5758" s="35"/>
      <c r="AI5758" s="35"/>
      <c r="AJ5758" s="35"/>
      <c r="AK5758" s="35"/>
      <c r="AL5758" s="35"/>
    </row>
    <row r="5759">
      <c r="A5759" s="1"/>
      <c r="B5759" s="19" t="s">
        <v>19332</v>
      </c>
      <c r="C5759" s="158" t="s">
        <v>563</v>
      </c>
      <c r="D5759" s="159"/>
      <c r="E5759" s="22" t="s">
        <v>27164</v>
      </c>
      <c r="F5759" s="22" t="s">
        <v>2445</v>
      </c>
      <c r="G5759" s="23">
        <v>2012.0</v>
      </c>
      <c r="H5759" s="22" t="s">
        <v>798</v>
      </c>
      <c r="I5759" s="24" t="s">
        <v>27165</v>
      </c>
      <c r="J5759" s="22" t="s">
        <v>1078</v>
      </c>
      <c r="K5759" s="22"/>
      <c r="L5759" s="105" t="s">
        <v>27166</v>
      </c>
      <c r="M5759" s="44"/>
      <c r="N5759" s="44"/>
      <c r="O5759" s="44"/>
      <c r="P5759" s="44"/>
      <c r="Q5759" s="44"/>
      <c r="R5759" s="44"/>
      <c r="S5759" s="44"/>
      <c r="T5759" s="45"/>
      <c r="U5759" s="38" t="str">
        <f>HYPERLINK("https://www.ncbi.nlm.nih.gov/pubmed/22398186","PubMed")</f>
        <v>PubMed</v>
      </c>
      <c r="V5759" s="30"/>
      <c r="W5759" s="49"/>
      <c r="X5759" s="49"/>
      <c r="Y5759" s="35"/>
      <c r="Z5759" s="35"/>
      <c r="AA5759" s="35"/>
      <c r="AB5759" s="35"/>
      <c r="AC5759" s="35"/>
      <c r="AD5759" s="35"/>
      <c r="AE5759" s="35"/>
      <c r="AF5759" s="35"/>
      <c r="AG5759" s="35"/>
      <c r="AH5759" s="35"/>
      <c r="AI5759" s="35"/>
      <c r="AJ5759" s="35"/>
      <c r="AK5759" s="35"/>
      <c r="AL5759" s="35"/>
    </row>
    <row r="5760">
      <c r="A5760" s="1"/>
      <c r="B5760" s="19" t="s">
        <v>19332</v>
      </c>
      <c r="C5760" s="158" t="s">
        <v>563</v>
      </c>
      <c r="D5760" s="159"/>
      <c r="E5760" s="22" t="s">
        <v>27167</v>
      </c>
      <c r="F5760" s="22" t="s">
        <v>400</v>
      </c>
      <c r="G5760" s="23">
        <v>2012.0</v>
      </c>
      <c r="H5760" s="22" t="s">
        <v>658</v>
      </c>
      <c r="I5760" s="24" t="s">
        <v>27168</v>
      </c>
      <c r="J5760" s="22" t="s">
        <v>27169</v>
      </c>
      <c r="K5760" s="22" t="s">
        <v>27170</v>
      </c>
      <c r="L5760" s="36">
        <v>830.0</v>
      </c>
      <c r="M5760" s="36">
        <v>100.0</v>
      </c>
      <c r="N5760" s="36" t="s">
        <v>58</v>
      </c>
      <c r="O5760" s="129">
        <v>44931.0</v>
      </c>
      <c r="P5760" s="37" t="s">
        <v>1028</v>
      </c>
      <c r="Q5760" s="36" t="s">
        <v>27171</v>
      </c>
      <c r="R5760" s="36" t="s">
        <v>27172</v>
      </c>
      <c r="S5760" s="36" t="s">
        <v>11849</v>
      </c>
      <c r="T5760" s="42" t="s">
        <v>27173</v>
      </c>
      <c r="U5760" s="38" t="str">
        <f>HYPERLINK("https://www.ncbi.nlm.nih.gov/pubmed/22870960","PubMed")</f>
        <v>PubMed</v>
      </c>
      <c r="V5760" s="30" t="s">
        <v>27174</v>
      </c>
      <c r="W5760" s="49"/>
      <c r="X5760" s="49"/>
      <c r="Y5760" s="35"/>
      <c r="Z5760" s="35"/>
      <c r="AA5760" s="35"/>
      <c r="AB5760" s="35"/>
      <c r="AC5760" s="35"/>
      <c r="AD5760" s="35"/>
      <c r="AE5760" s="35"/>
      <c r="AF5760" s="35"/>
      <c r="AG5760" s="35"/>
      <c r="AH5760" s="35"/>
      <c r="AI5760" s="35"/>
      <c r="AJ5760" s="35"/>
      <c r="AK5760" s="35"/>
      <c r="AL5760" s="35"/>
    </row>
    <row r="5761">
      <c r="A5761" s="1"/>
      <c r="B5761" s="19" t="s">
        <v>19332</v>
      </c>
      <c r="C5761" s="158" t="s">
        <v>563</v>
      </c>
      <c r="D5761" s="159"/>
      <c r="E5761" s="22" t="s">
        <v>27175</v>
      </c>
      <c r="F5761" s="22" t="s">
        <v>299</v>
      </c>
      <c r="G5761" s="23">
        <v>2012.0</v>
      </c>
      <c r="H5761" s="22" t="s">
        <v>91</v>
      </c>
      <c r="I5761" s="24" t="s">
        <v>27176</v>
      </c>
      <c r="J5761" s="22" t="s">
        <v>55</v>
      </c>
      <c r="K5761" s="22" t="s">
        <v>607</v>
      </c>
      <c r="L5761" s="36">
        <v>980.0</v>
      </c>
      <c r="M5761" s="36"/>
      <c r="N5761" s="36"/>
      <c r="O5761" s="36"/>
      <c r="P5761" s="37" t="s">
        <v>27177</v>
      </c>
      <c r="Q5761" s="36"/>
      <c r="R5761" s="36">
        <v>60.0</v>
      </c>
      <c r="S5761" s="36"/>
      <c r="T5761" s="28" t="s">
        <v>27178</v>
      </c>
      <c r="U5761" s="38" t="str">
        <f>HYPERLINK("https://www.ncbi.nlm.nih.gov/pubmed/21732114","PubMed")</f>
        <v>PubMed</v>
      </c>
      <c r="V5761" s="30"/>
      <c r="W5761" s="49"/>
      <c r="X5761" s="49"/>
      <c r="Y5761" s="35"/>
      <c r="Z5761" s="35"/>
      <c r="AA5761" s="35"/>
      <c r="AB5761" s="35"/>
      <c r="AC5761" s="35"/>
      <c r="AD5761" s="35"/>
      <c r="AE5761" s="35"/>
      <c r="AF5761" s="35"/>
      <c r="AG5761" s="35"/>
      <c r="AH5761" s="35"/>
      <c r="AI5761" s="35"/>
      <c r="AJ5761" s="35"/>
      <c r="AK5761" s="35"/>
      <c r="AL5761" s="35"/>
    </row>
    <row r="5762">
      <c r="A5762" s="40" t="s">
        <v>38</v>
      </c>
      <c r="B5762" s="19" t="s">
        <v>19332</v>
      </c>
      <c r="C5762" s="158" t="s">
        <v>563</v>
      </c>
      <c r="D5762" s="159"/>
      <c r="E5762" s="22" t="s">
        <v>27179</v>
      </c>
      <c r="F5762" s="22" t="s">
        <v>2635</v>
      </c>
      <c r="G5762" s="23">
        <v>2011.0</v>
      </c>
      <c r="H5762" s="22" t="s">
        <v>658</v>
      </c>
      <c r="I5762" s="24" t="s">
        <v>27180</v>
      </c>
      <c r="J5762" s="22" t="s">
        <v>27181</v>
      </c>
      <c r="K5762" s="22"/>
      <c r="L5762" s="36">
        <v>904.0</v>
      </c>
      <c r="M5762" s="36">
        <v>200.0</v>
      </c>
      <c r="N5762" s="36" t="s">
        <v>1175</v>
      </c>
      <c r="O5762" s="36">
        <v>180.0</v>
      </c>
      <c r="P5762" s="37" t="s">
        <v>17045</v>
      </c>
      <c r="Q5762" s="36" t="s">
        <v>675</v>
      </c>
      <c r="R5762" s="36">
        <v>900.0</v>
      </c>
      <c r="S5762" s="36">
        <v>1.0</v>
      </c>
      <c r="T5762" s="28" t="s">
        <v>27182</v>
      </c>
      <c r="U5762" s="38" t="str">
        <f>HYPERLINK("https://www.ncbi.nlm.nih.gov/pubmed/21631375","PubMed")</f>
        <v>PubMed</v>
      </c>
      <c r="V5762" s="30"/>
      <c r="W5762" s="49"/>
      <c r="X5762" s="49"/>
      <c r="Y5762" s="35"/>
      <c r="Z5762" s="35"/>
      <c r="AA5762" s="35"/>
      <c r="AB5762" s="35"/>
      <c r="AC5762" s="35"/>
      <c r="AD5762" s="35"/>
      <c r="AE5762" s="35"/>
      <c r="AF5762" s="35"/>
      <c r="AG5762" s="35"/>
      <c r="AH5762" s="35"/>
      <c r="AI5762" s="35"/>
      <c r="AJ5762" s="35"/>
      <c r="AK5762" s="35"/>
      <c r="AL5762" s="35"/>
    </row>
    <row r="5763">
      <c r="A5763" s="1"/>
      <c r="B5763" s="19" t="s">
        <v>19332</v>
      </c>
      <c r="C5763" s="158" t="s">
        <v>563</v>
      </c>
      <c r="D5763" s="159"/>
      <c r="E5763" s="22" t="s">
        <v>27183</v>
      </c>
      <c r="F5763" s="22" t="s">
        <v>52</v>
      </c>
      <c r="G5763" s="23">
        <v>2011.0</v>
      </c>
      <c r="H5763" s="22" t="s">
        <v>91</v>
      </c>
      <c r="I5763" s="24" t="s">
        <v>27184</v>
      </c>
      <c r="J5763" s="22" t="s">
        <v>26361</v>
      </c>
      <c r="K5763" s="22" t="s">
        <v>27185</v>
      </c>
      <c r="L5763" s="36" t="s">
        <v>27186</v>
      </c>
      <c r="M5763" s="36" t="s">
        <v>27187</v>
      </c>
      <c r="N5763" s="36"/>
      <c r="O5763" s="36"/>
      <c r="P5763" s="37"/>
      <c r="Q5763" s="36"/>
      <c r="R5763" s="36" t="s">
        <v>27188</v>
      </c>
      <c r="S5763" s="36" t="s">
        <v>27189</v>
      </c>
      <c r="T5763" s="28" t="s">
        <v>27190</v>
      </c>
      <c r="U5763" s="38" t="str">
        <f>HYPERLINK("https://www.ncbi.nlm.nih.gov/pubmed/20669038","PubMed")</f>
        <v>PubMed</v>
      </c>
      <c r="V5763" s="30"/>
      <c r="W5763" s="49"/>
      <c r="X5763" s="49"/>
      <c r="Y5763" s="35"/>
      <c r="Z5763" s="35"/>
      <c r="AA5763" s="35"/>
      <c r="AB5763" s="35"/>
      <c r="AC5763" s="35"/>
      <c r="AD5763" s="35"/>
      <c r="AE5763" s="35"/>
      <c r="AF5763" s="35"/>
      <c r="AG5763" s="35"/>
      <c r="AH5763" s="35"/>
      <c r="AI5763" s="35"/>
      <c r="AJ5763" s="35"/>
      <c r="AK5763" s="35"/>
      <c r="AL5763" s="35"/>
    </row>
    <row r="5764">
      <c r="A5764" s="1"/>
      <c r="B5764" s="19" t="s">
        <v>19332</v>
      </c>
      <c r="C5764" s="158" t="s">
        <v>563</v>
      </c>
      <c r="D5764" s="159"/>
      <c r="E5764" s="22" t="s">
        <v>27191</v>
      </c>
      <c r="F5764" s="22" t="s">
        <v>27192</v>
      </c>
      <c r="G5764" s="23">
        <v>2010.0</v>
      </c>
      <c r="H5764" s="22" t="s">
        <v>91</v>
      </c>
      <c r="I5764" s="24" t="s">
        <v>27193</v>
      </c>
      <c r="J5764" s="22" t="s">
        <v>27194</v>
      </c>
      <c r="K5764" s="22" t="s">
        <v>27195</v>
      </c>
      <c r="L5764" s="36">
        <v>808.0</v>
      </c>
      <c r="M5764" s="36">
        <v>100.0</v>
      </c>
      <c r="N5764" s="36" t="s">
        <v>58</v>
      </c>
      <c r="O5764" s="36">
        <v>12.0</v>
      </c>
      <c r="P5764" s="37" t="s">
        <v>254</v>
      </c>
      <c r="Q5764" s="36" t="s">
        <v>27196</v>
      </c>
      <c r="R5764" s="36">
        <v>120.0</v>
      </c>
      <c r="S5764" s="36">
        <v>1.0</v>
      </c>
      <c r="T5764" s="28" t="s">
        <v>27197</v>
      </c>
      <c r="U5764" s="38" t="str">
        <f>HYPERLINK("https://www.ncbi.nlm.nih.gov/pubmed/19484402","PubMed")</f>
        <v>PubMed</v>
      </c>
      <c r="V5764" s="30" t="s">
        <v>27198</v>
      </c>
      <c r="W5764" s="49"/>
      <c r="X5764" s="49"/>
      <c r="Y5764" s="35"/>
      <c r="Z5764" s="35"/>
      <c r="AA5764" s="35"/>
      <c r="AB5764" s="35"/>
      <c r="AC5764" s="35"/>
      <c r="AD5764" s="35"/>
      <c r="AE5764" s="35"/>
      <c r="AF5764" s="35"/>
      <c r="AG5764" s="35"/>
      <c r="AH5764" s="35"/>
      <c r="AI5764" s="35"/>
      <c r="AJ5764" s="35"/>
      <c r="AK5764" s="35"/>
      <c r="AL5764" s="35"/>
    </row>
    <row r="5765">
      <c r="A5765" s="40" t="s">
        <v>181</v>
      </c>
      <c r="B5765" s="19" t="s">
        <v>19332</v>
      </c>
      <c r="C5765" s="158" t="s">
        <v>563</v>
      </c>
      <c r="D5765" s="159"/>
      <c r="E5765" s="22" t="s">
        <v>27199</v>
      </c>
      <c r="F5765" s="22" t="s">
        <v>27200</v>
      </c>
      <c r="G5765" s="23">
        <v>2010.0</v>
      </c>
      <c r="H5765" s="22" t="s">
        <v>798</v>
      </c>
      <c r="I5765" s="24" t="s">
        <v>27201</v>
      </c>
      <c r="J5765" s="22" t="s">
        <v>27202</v>
      </c>
      <c r="K5765" s="22" t="s">
        <v>27203</v>
      </c>
      <c r="L5765" s="36">
        <v>810.0</v>
      </c>
      <c r="M5765" s="36">
        <v>100.0</v>
      </c>
      <c r="N5765" s="36" t="s">
        <v>58</v>
      </c>
      <c r="O5765" s="36" t="s">
        <v>58</v>
      </c>
      <c r="P5765" s="37" t="s">
        <v>254</v>
      </c>
      <c r="Q5765" s="36" t="s">
        <v>58</v>
      </c>
      <c r="R5765" s="36" t="s">
        <v>58</v>
      </c>
      <c r="S5765" s="36" t="s">
        <v>27204</v>
      </c>
      <c r="T5765" s="42" t="s">
        <v>27205</v>
      </c>
      <c r="U5765" s="38" t="str">
        <f>HYPERLINK("https://www.ncbi.nlm.nih.gov/pubmed/20116702","PubMed")</f>
        <v>PubMed</v>
      </c>
      <c r="V5765" s="30" t="s">
        <v>27206</v>
      </c>
      <c r="W5765" s="49"/>
      <c r="X5765" s="49"/>
      <c r="Y5765" s="35"/>
      <c r="Z5765" s="35"/>
      <c r="AA5765" s="35"/>
      <c r="AB5765" s="35"/>
      <c r="AC5765" s="35"/>
      <c r="AD5765" s="35"/>
      <c r="AE5765" s="35"/>
      <c r="AF5765" s="35"/>
      <c r="AG5765" s="35"/>
      <c r="AH5765" s="35"/>
      <c r="AI5765" s="35"/>
      <c r="AJ5765" s="35"/>
      <c r="AK5765" s="35"/>
      <c r="AL5765" s="35"/>
    </row>
    <row r="5766">
      <c r="A5766" s="40" t="s">
        <v>38</v>
      </c>
      <c r="B5766" s="19" t="s">
        <v>19332</v>
      </c>
      <c r="C5766" s="158" t="s">
        <v>563</v>
      </c>
      <c r="D5766" s="159"/>
      <c r="E5766" s="22" t="s">
        <v>27191</v>
      </c>
      <c r="F5766" s="22" t="s">
        <v>408</v>
      </c>
      <c r="G5766" s="23">
        <v>2009.0</v>
      </c>
      <c r="H5766" s="22" t="s">
        <v>658</v>
      </c>
      <c r="I5766" s="24" t="s">
        <v>27207</v>
      </c>
      <c r="J5766" s="22" t="s">
        <v>27208</v>
      </c>
      <c r="K5766" s="22" t="s">
        <v>27203</v>
      </c>
      <c r="L5766" s="36">
        <v>808.0</v>
      </c>
      <c r="M5766" s="36">
        <v>100.0</v>
      </c>
      <c r="N5766" s="36" t="s">
        <v>58</v>
      </c>
      <c r="O5766" s="36">
        <v>12.0</v>
      </c>
      <c r="P5766" s="37" t="s">
        <v>254</v>
      </c>
      <c r="Q5766" s="36" t="s">
        <v>27196</v>
      </c>
      <c r="R5766" s="36">
        <v>120.0</v>
      </c>
      <c r="S5766" s="36">
        <v>1.0</v>
      </c>
      <c r="T5766" s="28" t="s">
        <v>27209</v>
      </c>
      <c r="U5766" s="38" t="str">
        <f>HYPERLINK("https://www.ncbi.nlm.nih.gov/pubmed/19196113","PubMed")</f>
        <v>PubMed</v>
      </c>
      <c r="V5766" s="30" t="s">
        <v>27210</v>
      </c>
      <c r="W5766" s="49"/>
      <c r="X5766" s="49"/>
      <c r="Y5766" s="35"/>
      <c r="Z5766" s="35"/>
      <c r="AA5766" s="35"/>
      <c r="AB5766" s="35"/>
      <c r="AC5766" s="35"/>
      <c r="AD5766" s="35"/>
      <c r="AE5766" s="35"/>
      <c r="AF5766" s="35"/>
      <c r="AG5766" s="35"/>
      <c r="AH5766" s="35"/>
      <c r="AI5766" s="35"/>
      <c r="AJ5766" s="35"/>
      <c r="AK5766" s="35"/>
      <c r="AL5766" s="35"/>
    </row>
    <row r="5767">
      <c r="A5767" s="40"/>
      <c r="B5767" s="19" t="s">
        <v>19332</v>
      </c>
      <c r="C5767" s="158" t="s">
        <v>563</v>
      </c>
      <c r="D5767" s="159"/>
      <c r="E5767" s="22" t="s">
        <v>27211</v>
      </c>
      <c r="F5767" s="22" t="s">
        <v>27212</v>
      </c>
      <c r="G5767" s="23">
        <v>2007.0</v>
      </c>
      <c r="H5767" s="22" t="s">
        <v>25361</v>
      </c>
      <c r="I5767" s="24" t="s">
        <v>27213</v>
      </c>
      <c r="J5767" s="22" t="s">
        <v>27214</v>
      </c>
      <c r="K5767" s="22" t="s">
        <v>26935</v>
      </c>
      <c r="L5767" s="36" t="s">
        <v>27215</v>
      </c>
      <c r="M5767" s="36" t="s">
        <v>58</v>
      </c>
      <c r="N5767" s="36" t="s">
        <v>27216</v>
      </c>
      <c r="O5767" s="36" t="s">
        <v>58</v>
      </c>
      <c r="P5767" s="37" t="s">
        <v>58</v>
      </c>
      <c r="Q5767" s="36" t="s">
        <v>58</v>
      </c>
      <c r="R5767" s="36" t="s">
        <v>27217</v>
      </c>
      <c r="S5767" s="36" t="s">
        <v>27218</v>
      </c>
      <c r="T5767" s="41" t="s">
        <v>27219</v>
      </c>
      <c r="U5767" s="29" t="s">
        <v>61</v>
      </c>
      <c r="V5767" s="30" t="s">
        <v>27220</v>
      </c>
      <c r="W5767" s="49"/>
      <c r="X5767" s="49"/>
      <c r="Y5767" s="35"/>
      <c r="Z5767" s="35"/>
      <c r="AA5767" s="35"/>
      <c r="AB5767" s="35"/>
      <c r="AC5767" s="35"/>
      <c r="AD5767" s="35"/>
      <c r="AE5767" s="35"/>
      <c r="AF5767" s="35"/>
      <c r="AG5767" s="35"/>
      <c r="AH5767" s="35"/>
      <c r="AI5767" s="35"/>
      <c r="AJ5767" s="35"/>
      <c r="AK5767" s="35"/>
      <c r="AL5767" s="35"/>
    </row>
    <row r="5768">
      <c r="A5768" s="40" t="s">
        <v>38</v>
      </c>
      <c r="B5768" s="19" t="s">
        <v>19332</v>
      </c>
      <c r="C5768" s="158" t="s">
        <v>563</v>
      </c>
      <c r="D5768" s="159"/>
      <c r="E5768" s="22" t="s">
        <v>27221</v>
      </c>
      <c r="F5768" s="22" t="s">
        <v>27222</v>
      </c>
      <c r="G5768" s="23">
        <v>2007.0</v>
      </c>
      <c r="H5768" s="22" t="s">
        <v>27223</v>
      </c>
      <c r="I5768" s="24" t="s">
        <v>27224</v>
      </c>
      <c r="J5768" s="22" t="s">
        <v>27225</v>
      </c>
      <c r="K5768" s="22" t="s">
        <v>27226</v>
      </c>
      <c r="L5768" s="36">
        <v>637.0</v>
      </c>
      <c r="M5768" s="36">
        <v>50.0</v>
      </c>
      <c r="N5768" s="36" t="s">
        <v>58</v>
      </c>
      <c r="O5768" s="36" t="s">
        <v>58</v>
      </c>
      <c r="P5768" s="37" t="s">
        <v>254</v>
      </c>
      <c r="Q5768" s="36" t="s">
        <v>58</v>
      </c>
      <c r="R5768" s="36" t="s">
        <v>58</v>
      </c>
      <c r="S5768" s="36">
        <v>1.0</v>
      </c>
      <c r="T5768" s="28" t="s">
        <v>27227</v>
      </c>
      <c r="U5768" s="38" t="str">
        <f>HYPERLINK("https://www.ncbi.nlm.nih.gov/pubmed/17157479","PubMed")</f>
        <v>PubMed</v>
      </c>
      <c r="V5768" s="30" t="s">
        <v>27228</v>
      </c>
      <c r="W5768" s="49"/>
      <c r="X5768" s="49"/>
      <c r="Y5768" s="35"/>
      <c r="Z5768" s="35"/>
      <c r="AA5768" s="35"/>
      <c r="AB5768" s="35"/>
      <c r="AC5768" s="35"/>
      <c r="AD5768" s="35"/>
      <c r="AE5768" s="35"/>
      <c r="AF5768" s="35"/>
      <c r="AG5768" s="35"/>
      <c r="AH5768" s="35"/>
      <c r="AI5768" s="35"/>
      <c r="AJ5768" s="35"/>
      <c r="AK5768" s="35"/>
      <c r="AL5768" s="35"/>
    </row>
    <row r="5769">
      <c r="A5769" s="1"/>
      <c r="B5769" s="19" t="s">
        <v>19332</v>
      </c>
      <c r="C5769" s="158" t="s">
        <v>563</v>
      </c>
      <c r="D5769" s="159"/>
      <c r="E5769" s="22" t="s">
        <v>27221</v>
      </c>
      <c r="F5769" s="22" t="s">
        <v>27222</v>
      </c>
      <c r="G5769" s="23">
        <v>2006.0</v>
      </c>
      <c r="H5769" s="22" t="s">
        <v>1259</v>
      </c>
      <c r="I5769" s="24" t="s">
        <v>27229</v>
      </c>
      <c r="J5769" s="22" t="s">
        <v>27230</v>
      </c>
      <c r="K5769" s="22" t="s">
        <v>27231</v>
      </c>
      <c r="L5769" s="36">
        <v>637.0</v>
      </c>
      <c r="M5769" s="36">
        <v>50.0</v>
      </c>
      <c r="N5769" s="36" t="s">
        <v>58</v>
      </c>
      <c r="O5769" s="36" t="s">
        <v>58</v>
      </c>
      <c r="P5769" s="37" t="s">
        <v>254</v>
      </c>
      <c r="Q5769" s="36" t="s">
        <v>58</v>
      </c>
      <c r="R5769" s="36" t="s">
        <v>58</v>
      </c>
      <c r="S5769" s="36">
        <v>1.0</v>
      </c>
      <c r="T5769" s="28" t="s">
        <v>27232</v>
      </c>
      <c r="U5769" s="38" t="str">
        <f>HYPERLINK("https://www.ncbi.nlm.nih.gov/pubmed/17052624","PubMed")</f>
        <v>PubMed</v>
      </c>
      <c r="V5769" s="30" t="s">
        <v>27233</v>
      </c>
      <c r="W5769" s="49"/>
      <c r="X5769" s="49"/>
      <c r="Y5769" s="35"/>
      <c r="Z5769" s="35"/>
      <c r="AA5769" s="35"/>
      <c r="AB5769" s="35"/>
      <c r="AC5769" s="35"/>
      <c r="AD5769" s="35"/>
      <c r="AE5769" s="35"/>
      <c r="AF5769" s="35"/>
      <c r="AG5769" s="35"/>
      <c r="AH5769" s="35"/>
      <c r="AI5769" s="35"/>
      <c r="AJ5769" s="35"/>
      <c r="AK5769" s="35"/>
      <c r="AL5769" s="35"/>
    </row>
    <row r="5770">
      <c r="A5770" s="1"/>
      <c r="B5770" s="19" t="s">
        <v>19332</v>
      </c>
      <c r="C5770" s="158" t="s">
        <v>563</v>
      </c>
      <c r="D5770" s="159"/>
      <c r="E5770" s="22" t="s">
        <v>683</v>
      </c>
      <c r="F5770" s="22" t="s">
        <v>797</v>
      </c>
      <c r="G5770" s="23">
        <v>2001.0</v>
      </c>
      <c r="H5770" s="22" t="s">
        <v>837</v>
      </c>
      <c r="I5770" s="24" t="s">
        <v>27234</v>
      </c>
      <c r="J5770" s="22" t="s">
        <v>27235</v>
      </c>
      <c r="K5770" s="22"/>
      <c r="L5770" s="36">
        <v>830.0</v>
      </c>
      <c r="M5770" s="36">
        <v>40.0</v>
      </c>
      <c r="N5770" s="36" t="s">
        <v>58</v>
      </c>
      <c r="O5770" s="129">
        <v>42586.0</v>
      </c>
      <c r="P5770" s="37" t="s">
        <v>58</v>
      </c>
      <c r="Q5770" s="36" t="s">
        <v>58</v>
      </c>
      <c r="R5770" s="36" t="s">
        <v>58</v>
      </c>
      <c r="S5770" s="36" t="s">
        <v>27236</v>
      </c>
      <c r="T5770" s="42" t="s">
        <v>27237</v>
      </c>
      <c r="U5770" s="38" t="str">
        <f>HYPERLINK("https://www.ncbi.nlm.nih.gov/pubmed/11696916","PubMed")</f>
        <v>PubMed</v>
      </c>
      <c r="V5770" s="30" t="s">
        <v>27238</v>
      </c>
      <c r="W5770" s="49"/>
      <c r="X5770" s="49"/>
      <c r="Y5770" s="35"/>
      <c r="Z5770" s="35"/>
      <c r="AA5770" s="35"/>
      <c r="AB5770" s="35"/>
      <c r="AC5770" s="35"/>
      <c r="AD5770" s="35"/>
      <c r="AE5770" s="35"/>
      <c r="AF5770" s="35"/>
      <c r="AG5770" s="35"/>
      <c r="AH5770" s="35"/>
      <c r="AI5770" s="35"/>
      <c r="AJ5770" s="35"/>
      <c r="AK5770" s="35"/>
      <c r="AL5770" s="35"/>
    </row>
    <row r="5771">
      <c r="A5771" s="1"/>
      <c r="B5771" s="19" t="s">
        <v>19332</v>
      </c>
      <c r="C5771" s="158" t="s">
        <v>563</v>
      </c>
      <c r="D5771" s="159"/>
      <c r="E5771" s="22" t="s">
        <v>27239</v>
      </c>
      <c r="F5771" s="22" t="s">
        <v>11580</v>
      </c>
      <c r="G5771" s="23">
        <v>2000.0</v>
      </c>
      <c r="H5771" s="22" t="s">
        <v>1289</v>
      </c>
      <c r="I5771" s="24" t="s">
        <v>27240</v>
      </c>
      <c r="J5771" s="22" t="s">
        <v>27241</v>
      </c>
      <c r="K5771" s="22" t="s">
        <v>25625</v>
      </c>
      <c r="L5771" s="36" t="s">
        <v>27242</v>
      </c>
      <c r="M5771" s="36" t="s">
        <v>27243</v>
      </c>
      <c r="N5771" s="36" t="s">
        <v>58</v>
      </c>
      <c r="O5771" s="36" t="s">
        <v>6979</v>
      </c>
      <c r="P5771" s="37" t="s">
        <v>27244</v>
      </c>
      <c r="Q5771" s="36" t="s">
        <v>6979</v>
      </c>
      <c r="R5771" s="36" t="s">
        <v>6979</v>
      </c>
      <c r="S5771" s="36" t="s">
        <v>3125</v>
      </c>
      <c r="T5771" s="42" t="s">
        <v>27245</v>
      </c>
      <c r="U5771" s="38" t="str">
        <f>HYPERLINK("https://www.ncbi.nlm.nih.gov/pubmed/11572225","PubMed")</f>
        <v>PubMed</v>
      </c>
      <c r="V5771" s="30" t="s">
        <v>27246</v>
      </c>
      <c r="W5771" s="49"/>
      <c r="X5771" s="49"/>
      <c r="Y5771" s="35"/>
      <c r="Z5771" s="35"/>
      <c r="AA5771" s="35"/>
      <c r="AB5771" s="35"/>
      <c r="AC5771" s="35"/>
      <c r="AD5771" s="35"/>
      <c r="AE5771" s="35"/>
      <c r="AF5771" s="35"/>
      <c r="AG5771" s="35"/>
      <c r="AH5771" s="35"/>
      <c r="AI5771" s="35"/>
      <c r="AJ5771" s="35"/>
      <c r="AK5771" s="35"/>
      <c r="AL5771" s="35"/>
    </row>
    <row r="5772">
      <c r="A5772" s="1"/>
      <c r="B5772" s="19" t="s">
        <v>19332</v>
      </c>
      <c r="C5772" s="158" t="s">
        <v>563</v>
      </c>
      <c r="D5772" s="159"/>
      <c r="E5772" s="22" t="s">
        <v>27247</v>
      </c>
      <c r="F5772" s="22" t="s">
        <v>3473</v>
      </c>
      <c r="G5772" s="23">
        <v>1994.0</v>
      </c>
      <c r="H5772" s="22" t="s">
        <v>27248</v>
      </c>
      <c r="I5772" s="24" t="s">
        <v>27249</v>
      </c>
      <c r="J5772" s="22" t="s">
        <v>3053</v>
      </c>
      <c r="K5772" s="22"/>
      <c r="L5772" s="168"/>
      <c r="M5772" s="168"/>
      <c r="N5772" s="168"/>
      <c r="O5772" s="168"/>
      <c r="P5772" s="169"/>
      <c r="Q5772" s="168"/>
      <c r="R5772" s="168"/>
      <c r="S5772" s="168"/>
      <c r="T5772" s="41" t="s">
        <v>27250</v>
      </c>
      <c r="U5772" s="38" t="str">
        <f>HYPERLINK("https://www.ncbi.nlm.nih.gov/pubmed/11830951","PubMed")</f>
        <v>PubMed</v>
      </c>
      <c r="V5772" s="30"/>
      <c r="W5772" s="49"/>
      <c r="X5772" s="49"/>
      <c r="Y5772" s="35"/>
      <c r="Z5772" s="35"/>
      <c r="AA5772" s="35"/>
      <c r="AB5772" s="35"/>
      <c r="AC5772" s="35"/>
      <c r="AD5772" s="35"/>
      <c r="AE5772" s="35"/>
      <c r="AF5772" s="35"/>
      <c r="AG5772" s="35"/>
      <c r="AH5772" s="35"/>
      <c r="AI5772" s="35"/>
      <c r="AJ5772" s="35"/>
      <c r="AK5772" s="35"/>
      <c r="AL5772" s="35"/>
    </row>
    <row r="5773">
      <c r="A5773" s="1"/>
      <c r="B5773" s="19" t="s">
        <v>19332</v>
      </c>
      <c r="C5773" s="158" t="s">
        <v>563</v>
      </c>
      <c r="D5773" s="159"/>
      <c r="E5773" s="22" t="s">
        <v>27251</v>
      </c>
      <c r="F5773" s="22" t="s">
        <v>1258</v>
      </c>
      <c r="G5773" s="23">
        <v>1993.0</v>
      </c>
      <c r="H5773" s="22" t="s">
        <v>284</v>
      </c>
      <c r="I5773" s="24" t="s">
        <v>27252</v>
      </c>
      <c r="J5773" s="22" t="s">
        <v>27253</v>
      </c>
      <c r="K5773" s="22"/>
      <c r="L5773" s="36">
        <v>830.0</v>
      </c>
      <c r="M5773" s="36">
        <v>40.0</v>
      </c>
      <c r="N5773" s="36" t="s">
        <v>58</v>
      </c>
      <c r="O5773" s="36">
        <v>6.0</v>
      </c>
      <c r="P5773" s="37" t="s">
        <v>58</v>
      </c>
      <c r="Q5773" s="36" t="s">
        <v>58</v>
      </c>
      <c r="R5773" s="36" t="s">
        <v>58</v>
      </c>
      <c r="S5773" s="36" t="s">
        <v>27254</v>
      </c>
      <c r="T5773" s="41" t="s">
        <v>27255</v>
      </c>
      <c r="U5773" s="38" t="str">
        <f>HYPERLINK("https://www.ncbi.nlm.nih.gov/pubmed/8409569","PubMed")</f>
        <v>PubMed</v>
      </c>
      <c r="V5773" s="30" t="s">
        <v>27256</v>
      </c>
      <c r="W5773" s="49"/>
      <c r="X5773" s="49"/>
      <c r="Y5773" s="35"/>
      <c r="Z5773" s="35"/>
      <c r="AA5773" s="35"/>
      <c r="AB5773" s="35"/>
      <c r="AC5773" s="35"/>
      <c r="AD5773" s="35"/>
      <c r="AE5773" s="35"/>
      <c r="AF5773" s="35"/>
      <c r="AG5773" s="35"/>
      <c r="AH5773" s="35"/>
      <c r="AI5773" s="35"/>
      <c r="AJ5773" s="35"/>
      <c r="AK5773" s="35"/>
      <c r="AL5773" s="35"/>
    </row>
    <row r="5774">
      <c r="A5774" s="1"/>
      <c r="B5774" s="19" t="s">
        <v>19332</v>
      </c>
      <c r="C5774" s="158" t="s">
        <v>563</v>
      </c>
      <c r="D5774" s="159"/>
      <c r="E5774" s="22" t="s">
        <v>27257</v>
      </c>
      <c r="F5774" s="22" t="s">
        <v>7261</v>
      </c>
      <c r="G5774" s="23">
        <v>1993.0</v>
      </c>
      <c r="H5774" s="22" t="s">
        <v>13752</v>
      </c>
      <c r="I5774" s="24" t="s">
        <v>27258</v>
      </c>
      <c r="J5774" s="22" t="s">
        <v>27259</v>
      </c>
      <c r="K5774" s="22" t="s">
        <v>27260</v>
      </c>
      <c r="L5774" s="94">
        <v>830.0</v>
      </c>
      <c r="M5774" s="94">
        <v>30.0</v>
      </c>
      <c r="N5774" s="94" t="s">
        <v>58</v>
      </c>
      <c r="O5774" s="94">
        <v>4.0</v>
      </c>
      <c r="P5774" s="95" t="s">
        <v>58</v>
      </c>
      <c r="Q5774" s="94" t="s">
        <v>58</v>
      </c>
      <c r="R5774" s="94">
        <v>132.0</v>
      </c>
      <c r="S5774" s="94">
        <v>1.0</v>
      </c>
      <c r="T5774" s="41" t="s">
        <v>27261</v>
      </c>
      <c r="U5774" s="38" t="str">
        <f>HYPERLINK("https://www.ncbi.nlm.nih.gov/pubmed/8512911","PubMed")</f>
        <v>PubMed</v>
      </c>
      <c r="V5774" s="30" t="s">
        <v>27262</v>
      </c>
      <c r="W5774" s="49"/>
      <c r="X5774" s="49"/>
      <c r="Y5774" s="35"/>
      <c r="Z5774" s="35"/>
      <c r="AA5774" s="35"/>
      <c r="AB5774" s="35"/>
      <c r="AC5774" s="35"/>
      <c r="AD5774" s="35"/>
      <c r="AE5774" s="35"/>
      <c r="AF5774" s="35"/>
      <c r="AG5774" s="35"/>
      <c r="AH5774" s="35"/>
      <c r="AI5774" s="35"/>
      <c r="AJ5774" s="35"/>
      <c r="AK5774" s="35"/>
      <c r="AL5774" s="35"/>
    </row>
    <row r="5775">
      <c r="A5775" s="1"/>
      <c r="B5775" s="19" t="s">
        <v>19332</v>
      </c>
      <c r="C5775" s="158" t="s">
        <v>563</v>
      </c>
      <c r="D5775" s="159"/>
      <c r="E5775" s="22" t="s">
        <v>27263</v>
      </c>
      <c r="F5775" s="22" t="s">
        <v>5326</v>
      </c>
      <c r="G5775" s="23">
        <v>1991.0</v>
      </c>
      <c r="H5775" s="22" t="s">
        <v>20652</v>
      </c>
      <c r="I5775" s="24" t="s">
        <v>27264</v>
      </c>
      <c r="J5775" s="22" t="s">
        <v>27265</v>
      </c>
      <c r="K5775" s="22"/>
      <c r="L5775" s="36">
        <v>633.0</v>
      </c>
      <c r="M5775" s="36">
        <v>10.0</v>
      </c>
      <c r="N5775" s="36"/>
      <c r="O5775" s="36"/>
      <c r="P5775" s="37"/>
      <c r="Q5775" s="36"/>
      <c r="R5775" s="36">
        <v>180.0</v>
      </c>
      <c r="S5775" s="36"/>
      <c r="T5775" s="28" t="s">
        <v>27266</v>
      </c>
      <c r="U5775" s="38" t="str">
        <f>HYPERLINK("https://www.ncbi.nlm.nih.gov/pubmed/1873746","PubMed")</f>
        <v>PubMed</v>
      </c>
      <c r="V5775" s="30"/>
      <c r="W5775" s="49"/>
      <c r="X5775" s="49"/>
      <c r="Y5775" s="35"/>
      <c r="Z5775" s="35"/>
      <c r="AA5775" s="35"/>
      <c r="AB5775" s="35"/>
      <c r="AC5775" s="35"/>
      <c r="AD5775" s="35"/>
      <c r="AE5775" s="35"/>
      <c r="AF5775" s="35"/>
      <c r="AG5775" s="35"/>
      <c r="AH5775" s="35"/>
      <c r="AI5775" s="35"/>
      <c r="AJ5775" s="35"/>
      <c r="AK5775" s="35"/>
      <c r="AL5775" s="35"/>
    </row>
    <row r="5776">
      <c r="A5776" s="1"/>
      <c r="B5776" s="19" t="s">
        <v>19332</v>
      </c>
      <c r="C5776" s="158" t="s">
        <v>563</v>
      </c>
      <c r="D5776" s="159"/>
      <c r="E5776" s="22" t="s">
        <v>27267</v>
      </c>
      <c r="F5776" s="22" t="s">
        <v>3885</v>
      </c>
      <c r="G5776" s="23">
        <v>1990.0</v>
      </c>
      <c r="H5776" s="22" t="s">
        <v>21099</v>
      </c>
      <c r="I5776" s="24" t="s">
        <v>27268</v>
      </c>
      <c r="J5776" s="22" t="s">
        <v>27269</v>
      </c>
      <c r="K5776" s="22" t="s">
        <v>27270</v>
      </c>
      <c r="L5776" s="36">
        <v>633.0</v>
      </c>
      <c r="M5776" s="36"/>
      <c r="N5776" s="36"/>
      <c r="O5776" s="36"/>
      <c r="P5776" s="37"/>
      <c r="Q5776" s="36"/>
      <c r="R5776" s="36"/>
      <c r="S5776" s="36"/>
      <c r="T5776" s="42" t="s">
        <v>27271</v>
      </c>
      <c r="U5776" s="38" t="str">
        <f>HYPERLINK("https://www.ncbi.nlm.nih.gov/pubmed/2407660","PubMed")</f>
        <v>PubMed</v>
      </c>
      <c r="V5776" s="30"/>
      <c r="W5776" s="49"/>
      <c r="X5776" s="49"/>
      <c r="Y5776" s="35"/>
      <c r="Z5776" s="35"/>
      <c r="AA5776" s="35"/>
      <c r="AB5776" s="35"/>
      <c r="AC5776" s="35"/>
      <c r="AD5776" s="35"/>
      <c r="AE5776" s="35"/>
      <c r="AF5776" s="35"/>
      <c r="AG5776" s="35"/>
      <c r="AH5776" s="35"/>
      <c r="AI5776" s="35"/>
      <c r="AJ5776" s="35"/>
      <c r="AK5776" s="35"/>
      <c r="AL5776" s="35"/>
    </row>
    <row r="5777">
      <c r="A5777" s="1"/>
      <c r="B5777" s="75" t="s">
        <v>19332</v>
      </c>
      <c r="C5777" s="77" t="s">
        <v>563</v>
      </c>
      <c r="D5777" s="159"/>
      <c r="E5777" s="22" t="s">
        <v>27272</v>
      </c>
      <c r="F5777" s="22" t="s">
        <v>20874</v>
      </c>
      <c r="G5777" s="23">
        <v>1990.0</v>
      </c>
      <c r="H5777" s="22" t="s">
        <v>27273</v>
      </c>
      <c r="I5777" s="24" t="s">
        <v>27274</v>
      </c>
      <c r="J5777" s="22" t="s">
        <v>27275</v>
      </c>
      <c r="K5777" s="22"/>
      <c r="L5777" s="36">
        <v>633.0</v>
      </c>
      <c r="M5777" s="36">
        <v>8.0</v>
      </c>
      <c r="N5777" s="36"/>
      <c r="O5777" s="36"/>
      <c r="P5777" s="37"/>
      <c r="Q5777" s="36"/>
      <c r="R5777" s="36">
        <v>120.0</v>
      </c>
      <c r="S5777" s="36"/>
      <c r="T5777" s="41" t="s">
        <v>27276</v>
      </c>
      <c r="U5777" s="38" t="str">
        <f>HYPERLINK("https://www.ncbi.nlm.nih.gov/pubmed/2385579","PubMed")</f>
        <v>PubMed</v>
      </c>
      <c r="V5777" s="30"/>
      <c r="W5777" s="49"/>
      <c r="X5777" s="49"/>
      <c r="Y5777" s="35"/>
      <c r="Z5777" s="35"/>
      <c r="AA5777" s="35"/>
      <c r="AB5777" s="35"/>
      <c r="AC5777" s="35"/>
      <c r="AD5777" s="35"/>
      <c r="AE5777" s="35"/>
      <c r="AF5777" s="35"/>
      <c r="AG5777" s="35"/>
      <c r="AH5777" s="35"/>
      <c r="AI5777" s="35"/>
      <c r="AJ5777" s="35"/>
      <c r="AK5777" s="35"/>
      <c r="AL5777" s="35"/>
    </row>
    <row r="5778">
      <c r="A5778" s="1"/>
      <c r="B5778" s="19" t="s">
        <v>19332</v>
      </c>
      <c r="C5778" s="158" t="s">
        <v>563</v>
      </c>
      <c r="D5778" s="159"/>
      <c r="E5778" s="22" t="s">
        <v>27277</v>
      </c>
      <c r="F5778" s="22" t="s">
        <v>27278</v>
      </c>
      <c r="G5778" s="23">
        <v>1988.0</v>
      </c>
      <c r="H5778" s="22" t="s">
        <v>284</v>
      </c>
      <c r="I5778" s="24" t="s">
        <v>27279</v>
      </c>
      <c r="J5778" s="22" t="s">
        <v>55</v>
      </c>
      <c r="K5778" s="22" t="s">
        <v>24220</v>
      </c>
      <c r="L5778" s="36"/>
      <c r="M5778" s="36"/>
      <c r="N5778" s="36"/>
      <c r="O5778" s="36"/>
      <c r="P5778" s="37"/>
      <c r="Q5778" s="36"/>
      <c r="R5778" s="36"/>
      <c r="S5778" s="36"/>
      <c r="T5778" s="28" t="s">
        <v>27280</v>
      </c>
      <c r="U5778" s="38" t="str">
        <f>HYPERLINK("https://www.ncbi.nlm.nih.gov/pubmed/3145957","PubMed")</f>
        <v>PubMed</v>
      </c>
      <c r="V5778" s="30"/>
      <c r="W5778" s="49"/>
      <c r="X5778" s="49"/>
      <c r="Y5778" s="35"/>
      <c r="Z5778" s="35"/>
      <c r="AA5778" s="35"/>
      <c r="AB5778" s="35"/>
      <c r="AC5778" s="35"/>
      <c r="AD5778" s="35"/>
      <c r="AE5778" s="35"/>
      <c r="AF5778" s="35"/>
      <c r="AG5778" s="35"/>
      <c r="AH5778" s="35"/>
      <c r="AI5778" s="35"/>
      <c r="AJ5778" s="35"/>
      <c r="AK5778" s="35"/>
      <c r="AL5778" s="35"/>
    </row>
    <row r="5779">
      <c r="A5779" s="1"/>
      <c r="B5779" s="19" t="s">
        <v>19332</v>
      </c>
      <c r="C5779" s="20" t="s">
        <v>27281</v>
      </c>
      <c r="D5779" s="47"/>
      <c r="E5779" s="22" t="s">
        <v>8190</v>
      </c>
      <c r="F5779" s="22" t="s">
        <v>1576</v>
      </c>
      <c r="G5779" s="23">
        <v>2018.0</v>
      </c>
      <c r="H5779" s="22" t="s">
        <v>27282</v>
      </c>
      <c r="I5779" s="24" t="s">
        <v>27283</v>
      </c>
      <c r="J5779" s="22" t="s">
        <v>23152</v>
      </c>
      <c r="K5779" s="22" t="s">
        <v>27284</v>
      </c>
      <c r="L5779" s="36">
        <v>660.0</v>
      </c>
      <c r="M5779" s="36">
        <v>100.0</v>
      </c>
      <c r="N5779" s="36" t="s">
        <v>58</v>
      </c>
      <c r="O5779" s="183">
        <v>43192.0</v>
      </c>
      <c r="P5779" s="37" t="s">
        <v>27285</v>
      </c>
      <c r="Q5779" s="36" t="s">
        <v>27286</v>
      </c>
      <c r="R5779" s="36" t="s">
        <v>27287</v>
      </c>
      <c r="S5779" s="36">
        <v>14.0</v>
      </c>
      <c r="T5779" s="28" t="s">
        <v>27288</v>
      </c>
      <c r="U5779" s="38" t="str">
        <f>HYPERLINK("https://www.ncbi.nlm.nih.gov/pubmed/30474865","PubMed")</f>
        <v>PubMed</v>
      </c>
      <c r="V5779" s="224" t="s">
        <v>27289</v>
      </c>
      <c r="W5779" s="49"/>
      <c r="X5779" s="49"/>
      <c r="Y5779" s="35"/>
      <c r="Z5779" s="35"/>
      <c r="AA5779" s="35"/>
      <c r="AB5779" s="35"/>
      <c r="AC5779" s="35"/>
      <c r="AD5779" s="35"/>
      <c r="AE5779" s="35"/>
      <c r="AF5779" s="35"/>
      <c r="AG5779" s="35"/>
      <c r="AH5779" s="35"/>
      <c r="AI5779" s="35"/>
      <c r="AJ5779" s="35"/>
      <c r="AK5779" s="35"/>
      <c r="AL5779" s="35"/>
    </row>
    <row r="5780">
      <c r="A5780" s="1" t="s">
        <v>181</v>
      </c>
      <c r="B5780" s="19" t="s">
        <v>19332</v>
      </c>
      <c r="C5780" s="158" t="s">
        <v>27290</v>
      </c>
      <c r="D5780" s="47"/>
      <c r="E5780" s="22" t="s">
        <v>27291</v>
      </c>
      <c r="F5780" s="22" t="s">
        <v>5850</v>
      </c>
      <c r="G5780" s="23">
        <v>2022.0</v>
      </c>
      <c r="H5780" s="22" t="s">
        <v>147</v>
      </c>
      <c r="I5780" s="24" t="s">
        <v>27292</v>
      </c>
      <c r="J5780" s="22" t="s">
        <v>27293</v>
      </c>
      <c r="K5780" s="22"/>
      <c r="L5780" s="36">
        <v>808.0</v>
      </c>
      <c r="M5780" s="36">
        <v>100.0</v>
      </c>
      <c r="N5780" s="36"/>
      <c r="O5780" s="36"/>
      <c r="P5780" s="37" t="s">
        <v>777</v>
      </c>
      <c r="Q5780" s="36"/>
      <c r="R5780" s="36"/>
      <c r="S5780" s="36" t="s">
        <v>27294</v>
      </c>
      <c r="T5780" s="41" t="s">
        <v>27295</v>
      </c>
      <c r="U5780" s="38" t="s">
        <v>61</v>
      </c>
      <c r="V5780" s="30"/>
      <c r="W5780" s="49"/>
      <c r="X5780" s="49"/>
      <c r="Y5780" s="35"/>
      <c r="Z5780" s="35"/>
      <c r="AA5780" s="35"/>
      <c r="AB5780" s="35"/>
      <c r="AC5780" s="35"/>
      <c r="AD5780" s="35"/>
      <c r="AE5780" s="35"/>
      <c r="AF5780" s="35"/>
      <c r="AG5780" s="35"/>
      <c r="AH5780" s="35"/>
      <c r="AI5780" s="35"/>
      <c r="AJ5780" s="35"/>
      <c r="AK5780" s="35"/>
      <c r="AL5780" s="35"/>
    </row>
    <row r="5781">
      <c r="A5781" s="1"/>
      <c r="B5781" s="19" t="s">
        <v>19332</v>
      </c>
      <c r="C5781" s="158" t="s">
        <v>27290</v>
      </c>
      <c r="D5781" s="47"/>
      <c r="E5781" s="22" t="s">
        <v>27296</v>
      </c>
      <c r="F5781" s="22" t="s">
        <v>41</v>
      </c>
      <c r="G5781" s="23">
        <v>2022.0</v>
      </c>
      <c r="H5781" s="22" t="s">
        <v>27006</v>
      </c>
      <c r="I5781" s="24" t="s">
        <v>27297</v>
      </c>
      <c r="J5781" s="22" t="s">
        <v>26055</v>
      </c>
      <c r="K5781" s="22" t="s">
        <v>157</v>
      </c>
      <c r="L5781" s="36" t="s">
        <v>3031</v>
      </c>
      <c r="M5781" s="36"/>
      <c r="N5781" s="36"/>
      <c r="O5781" s="36" t="s">
        <v>27298</v>
      </c>
      <c r="P5781" s="37"/>
      <c r="Q5781" s="36"/>
      <c r="R5781" s="36"/>
      <c r="S5781" s="36"/>
      <c r="T5781" s="28" t="s">
        <v>27299</v>
      </c>
      <c r="U5781" s="38" t="s">
        <v>61</v>
      </c>
      <c r="V5781" s="30" t="s">
        <v>174</v>
      </c>
      <c r="W5781" s="49"/>
      <c r="X5781" s="49"/>
      <c r="Y5781" s="35"/>
      <c r="Z5781" s="35"/>
      <c r="AA5781" s="35"/>
      <c r="AB5781" s="35"/>
      <c r="AC5781" s="35"/>
      <c r="AD5781" s="35"/>
      <c r="AE5781" s="35"/>
      <c r="AF5781" s="35"/>
      <c r="AG5781" s="35"/>
      <c r="AH5781" s="35"/>
      <c r="AI5781" s="35"/>
      <c r="AJ5781" s="35"/>
      <c r="AK5781" s="35"/>
      <c r="AL5781" s="35"/>
    </row>
    <row r="5782">
      <c r="A5782" s="1"/>
      <c r="B5782" s="19" t="s">
        <v>19332</v>
      </c>
      <c r="C5782" s="158" t="s">
        <v>27290</v>
      </c>
      <c r="D5782" s="47"/>
      <c r="E5782" s="22" t="s">
        <v>27300</v>
      </c>
      <c r="F5782" s="22" t="s">
        <v>323</v>
      </c>
      <c r="G5782" s="23">
        <v>2022.0</v>
      </c>
      <c r="H5782" s="22" t="s">
        <v>207</v>
      </c>
      <c r="I5782" s="24" t="s">
        <v>27301</v>
      </c>
      <c r="J5782" s="22" t="s">
        <v>27302</v>
      </c>
      <c r="K5782" s="22"/>
      <c r="L5782" s="36">
        <v>810.0</v>
      </c>
      <c r="M5782" s="36">
        <v>200.0</v>
      </c>
      <c r="N5782" s="36"/>
      <c r="O5782" s="183"/>
      <c r="P5782" s="37" t="s">
        <v>27303</v>
      </c>
      <c r="Q5782" s="36"/>
      <c r="R5782" s="36"/>
      <c r="S5782" s="36" t="s">
        <v>2688</v>
      </c>
      <c r="T5782" s="28" t="s">
        <v>27304</v>
      </c>
      <c r="U5782" s="29" t="s">
        <v>61</v>
      </c>
      <c r="V5782" s="224"/>
      <c r="W5782" s="49"/>
      <c r="X5782" s="49"/>
      <c r="Y5782" s="35"/>
      <c r="Z5782" s="35"/>
      <c r="AA5782" s="35"/>
      <c r="AB5782" s="35"/>
      <c r="AC5782" s="35"/>
      <c r="AD5782" s="35"/>
      <c r="AE5782" s="35"/>
      <c r="AF5782" s="35"/>
      <c r="AG5782" s="35"/>
      <c r="AH5782" s="35"/>
      <c r="AI5782" s="35"/>
      <c r="AJ5782" s="35"/>
      <c r="AK5782" s="35"/>
      <c r="AL5782" s="35"/>
    </row>
    <row r="5783">
      <c r="A5783" s="1"/>
      <c r="B5783" s="19" t="s">
        <v>19332</v>
      </c>
      <c r="C5783" s="158" t="s">
        <v>27290</v>
      </c>
      <c r="D5783" s="47"/>
      <c r="E5783" s="22" t="s">
        <v>2850</v>
      </c>
      <c r="F5783" s="22" t="s">
        <v>797</v>
      </c>
      <c r="G5783" s="23">
        <v>2021.0</v>
      </c>
      <c r="H5783" s="22" t="s">
        <v>91</v>
      </c>
      <c r="I5783" s="24" t="s">
        <v>27305</v>
      </c>
      <c r="J5783" s="22" t="s">
        <v>27306</v>
      </c>
      <c r="K5783" s="22"/>
      <c r="L5783" s="36">
        <v>808.0</v>
      </c>
      <c r="M5783" s="36">
        <v>100.0</v>
      </c>
      <c r="N5783" s="36"/>
      <c r="O5783" s="183"/>
      <c r="P5783" s="37"/>
      <c r="Q5783" s="36" t="s">
        <v>675</v>
      </c>
      <c r="R5783" s="36"/>
      <c r="S5783" s="36" t="s">
        <v>27307</v>
      </c>
      <c r="T5783" s="41" t="s">
        <v>27308</v>
      </c>
      <c r="U5783" s="29" t="s">
        <v>61</v>
      </c>
      <c r="V5783" s="224"/>
      <c r="W5783" s="49"/>
      <c r="X5783" s="49"/>
      <c r="Y5783" s="35"/>
      <c r="Z5783" s="35"/>
      <c r="AA5783" s="35"/>
      <c r="AB5783" s="35"/>
      <c r="AC5783" s="35"/>
      <c r="AD5783" s="35"/>
      <c r="AE5783" s="35"/>
      <c r="AF5783" s="35"/>
      <c r="AG5783" s="35"/>
      <c r="AH5783" s="35"/>
      <c r="AI5783" s="35"/>
      <c r="AJ5783" s="35"/>
      <c r="AK5783" s="35"/>
      <c r="AL5783" s="35"/>
    </row>
    <row r="5784">
      <c r="A5784" s="1"/>
      <c r="B5784" s="19" t="s">
        <v>19332</v>
      </c>
      <c r="C5784" s="158" t="s">
        <v>27290</v>
      </c>
      <c r="D5784" s="159"/>
      <c r="E5784" s="22" t="s">
        <v>2850</v>
      </c>
      <c r="F5784" s="22" t="s">
        <v>797</v>
      </c>
      <c r="G5784" s="23">
        <v>2019.0</v>
      </c>
      <c r="H5784" s="22" t="s">
        <v>27006</v>
      </c>
      <c r="I5784" s="24" t="s">
        <v>27309</v>
      </c>
      <c r="J5784" s="22" t="s">
        <v>649</v>
      </c>
      <c r="K5784" s="22"/>
      <c r="L5784" s="167" t="s">
        <v>27310</v>
      </c>
      <c r="M5784" s="44"/>
      <c r="N5784" s="44"/>
      <c r="O5784" s="44"/>
      <c r="P5784" s="44"/>
      <c r="Q5784" s="44"/>
      <c r="R5784" s="44"/>
      <c r="S5784" s="44"/>
      <c r="T5784" s="45"/>
      <c r="U5784" s="38" t="str">
        <f>HYPERLINK("https://www.ncbi.nlm.nih.gov/pubmed/31802332","PubMed")</f>
        <v>PubMed</v>
      </c>
      <c r="V5784" s="30"/>
      <c r="W5784" s="49"/>
      <c r="X5784" s="49"/>
      <c r="Y5784" s="35"/>
      <c r="Z5784" s="35"/>
      <c r="AA5784" s="35"/>
      <c r="AB5784" s="35"/>
      <c r="AC5784" s="35"/>
      <c r="AD5784" s="35"/>
      <c r="AE5784" s="35"/>
      <c r="AF5784" s="35"/>
      <c r="AG5784" s="35"/>
      <c r="AH5784" s="35"/>
      <c r="AI5784" s="35"/>
      <c r="AJ5784" s="35"/>
      <c r="AK5784" s="35"/>
      <c r="AL5784" s="35"/>
    </row>
    <row r="5785">
      <c r="A5785" s="191" t="s">
        <v>181</v>
      </c>
      <c r="B5785" s="19" t="s">
        <v>19332</v>
      </c>
      <c r="C5785" s="158" t="s">
        <v>27290</v>
      </c>
      <c r="D5785" s="47"/>
      <c r="E5785" s="22" t="s">
        <v>27311</v>
      </c>
      <c r="F5785" s="22" t="s">
        <v>41</v>
      </c>
      <c r="G5785" s="23">
        <v>2017.0</v>
      </c>
      <c r="H5785" s="22" t="s">
        <v>658</v>
      </c>
      <c r="I5785" s="24" t="s">
        <v>27312</v>
      </c>
      <c r="J5785" s="22" t="s">
        <v>27313</v>
      </c>
      <c r="K5785" s="22" t="s">
        <v>27314</v>
      </c>
      <c r="L5785" s="36">
        <v>660.0</v>
      </c>
      <c r="M5785" s="36">
        <v>108.0</v>
      </c>
      <c r="N5785" s="36" t="s">
        <v>27315</v>
      </c>
      <c r="O5785" s="129">
        <v>42907.0</v>
      </c>
      <c r="P5785" s="37" t="s">
        <v>12278</v>
      </c>
      <c r="Q5785" s="36" t="s">
        <v>27316</v>
      </c>
      <c r="R5785" s="36">
        <v>200.0</v>
      </c>
      <c r="S5785" s="36" t="s">
        <v>27317</v>
      </c>
      <c r="T5785" s="28" t="s">
        <v>27318</v>
      </c>
      <c r="U5785" s="38" t="str">
        <f>HYPERLINK("https://www.ncbi.nlm.nih.gov/pubmed/29023221","PubMed")</f>
        <v>PubMed</v>
      </c>
      <c r="V5785" s="30"/>
      <c r="W5785" s="156"/>
      <c r="X5785" s="49"/>
      <c r="Y5785" s="35"/>
      <c r="Z5785" s="35"/>
      <c r="AA5785" s="35"/>
      <c r="AB5785" s="35"/>
      <c r="AC5785" s="35"/>
      <c r="AD5785" s="35"/>
      <c r="AE5785" s="35"/>
      <c r="AF5785" s="35"/>
      <c r="AG5785" s="35"/>
      <c r="AH5785" s="35"/>
      <c r="AI5785" s="35"/>
      <c r="AJ5785" s="35"/>
      <c r="AK5785" s="35"/>
      <c r="AL5785" s="35"/>
    </row>
    <row r="5786">
      <c r="A5786" s="1"/>
      <c r="B5786" s="19" t="s">
        <v>19332</v>
      </c>
      <c r="C5786" s="158" t="s">
        <v>27319</v>
      </c>
      <c r="D5786" s="159"/>
      <c r="E5786" s="22" t="s">
        <v>19837</v>
      </c>
      <c r="F5786" s="22" t="s">
        <v>41</v>
      </c>
      <c r="G5786" s="23">
        <v>2019.0</v>
      </c>
      <c r="H5786" s="22" t="s">
        <v>77</v>
      </c>
      <c r="I5786" s="24" t="s">
        <v>27320</v>
      </c>
      <c r="J5786" s="22" t="s">
        <v>27321</v>
      </c>
      <c r="K5786" s="22" t="s">
        <v>27322</v>
      </c>
      <c r="L5786" s="36">
        <v>808.0</v>
      </c>
      <c r="M5786" s="36">
        <v>100.0</v>
      </c>
      <c r="N5786" s="36"/>
      <c r="O5786" s="36" t="s">
        <v>27323</v>
      </c>
      <c r="P5786" s="37" t="s">
        <v>3556</v>
      </c>
      <c r="Q5786" s="36"/>
      <c r="R5786" s="36"/>
      <c r="S5786" s="36" t="s">
        <v>27324</v>
      </c>
      <c r="T5786" s="28" t="s">
        <v>27325</v>
      </c>
      <c r="U5786" s="38" t="str">
        <f>HYPERLINK("https://www.ncbi.nlm.nih.gov/pubmed/31050958","PubMed")</f>
        <v>PubMed</v>
      </c>
      <c r="V5786" s="30"/>
      <c r="W5786" s="49"/>
      <c r="X5786" s="49"/>
      <c r="Y5786" s="35"/>
      <c r="Z5786" s="35"/>
      <c r="AA5786" s="35"/>
      <c r="AB5786" s="35"/>
      <c r="AC5786" s="35"/>
      <c r="AD5786" s="35"/>
      <c r="AE5786" s="35"/>
      <c r="AF5786" s="35"/>
      <c r="AG5786" s="35"/>
      <c r="AH5786" s="35"/>
      <c r="AI5786" s="35"/>
      <c r="AJ5786" s="35"/>
      <c r="AK5786" s="35"/>
      <c r="AL5786" s="35"/>
    </row>
    <row r="5787">
      <c r="A5787" s="18"/>
      <c r="B5787" s="19" t="s">
        <v>19332</v>
      </c>
      <c r="C5787" s="158" t="s">
        <v>27326</v>
      </c>
      <c r="D5787" s="159"/>
      <c r="E5787" s="22" t="s">
        <v>10615</v>
      </c>
      <c r="F5787" s="22" t="s">
        <v>41</v>
      </c>
      <c r="G5787" s="23">
        <v>2022.0</v>
      </c>
      <c r="H5787" s="22" t="s">
        <v>147</v>
      </c>
      <c r="I5787" s="24" t="s">
        <v>27327</v>
      </c>
      <c r="J5787" s="22" t="s">
        <v>2273</v>
      </c>
      <c r="K5787" s="22" t="s">
        <v>27328</v>
      </c>
      <c r="L5787" s="36">
        <v>660.0</v>
      </c>
      <c r="M5787" s="36">
        <v>100.0</v>
      </c>
      <c r="N5787" s="36" t="s">
        <v>278</v>
      </c>
      <c r="O5787" s="36" t="s">
        <v>27329</v>
      </c>
      <c r="P5787" s="37"/>
      <c r="Q5787" s="36"/>
      <c r="R5787" s="36" t="s">
        <v>27330</v>
      </c>
      <c r="S5787" s="36" t="s">
        <v>7526</v>
      </c>
      <c r="T5787" s="28" t="s">
        <v>27331</v>
      </c>
      <c r="U5787" s="38" t="s">
        <v>61</v>
      </c>
      <c r="V5787" s="30"/>
      <c r="W5787" s="49"/>
      <c r="X5787" s="49"/>
      <c r="Y5787" s="35"/>
      <c r="Z5787" s="35"/>
      <c r="AA5787" s="35"/>
      <c r="AB5787" s="35"/>
      <c r="AC5787" s="35"/>
      <c r="AD5787" s="35"/>
      <c r="AE5787" s="35"/>
      <c r="AF5787" s="35"/>
      <c r="AG5787" s="35"/>
      <c r="AH5787" s="35"/>
      <c r="AI5787" s="35"/>
      <c r="AJ5787" s="35"/>
      <c r="AK5787" s="35"/>
      <c r="AL5787" s="35"/>
    </row>
    <row r="5788">
      <c r="A5788" s="18" t="s">
        <v>38</v>
      </c>
      <c r="B5788" s="19" t="s">
        <v>19332</v>
      </c>
      <c r="C5788" s="158" t="s">
        <v>27326</v>
      </c>
      <c r="D5788" s="159"/>
      <c r="E5788" s="22" t="s">
        <v>27332</v>
      </c>
      <c r="F5788" s="22" t="s">
        <v>400</v>
      </c>
      <c r="G5788" s="23">
        <v>2020.0</v>
      </c>
      <c r="H5788" s="22" t="s">
        <v>469</v>
      </c>
      <c r="I5788" s="24" t="s">
        <v>27333</v>
      </c>
      <c r="J5788" s="22" t="s">
        <v>2273</v>
      </c>
      <c r="K5788" s="22"/>
      <c r="L5788" s="36">
        <v>808.0</v>
      </c>
      <c r="M5788" s="36">
        <v>100.0</v>
      </c>
      <c r="N5788" s="36"/>
      <c r="O5788" s="36"/>
      <c r="P5788" s="37" t="s">
        <v>14065</v>
      </c>
      <c r="Q5788" s="36"/>
      <c r="R5788" s="36">
        <v>5.0</v>
      </c>
      <c r="S5788" s="36" t="s">
        <v>27334</v>
      </c>
      <c r="T5788" s="28" t="s">
        <v>27335</v>
      </c>
      <c r="U5788" s="38" t="str">
        <f>HYPERLINK("https://www.ncbi.nlm.nih.gov/pubmed/32071703","PubMed")</f>
        <v>PubMed</v>
      </c>
      <c r="V5788" s="30"/>
      <c r="W5788" s="49"/>
      <c r="X5788" s="49"/>
      <c r="Y5788" s="35"/>
      <c r="Z5788" s="35"/>
      <c r="AA5788" s="35"/>
      <c r="AB5788" s="35"/>
      <c r="AC5788" s="35"/>
      <c r="AD5788" s="35"/>
      <c r="AE5788" s="35"/>
      <c r="AF5788" s="35"/>
      <c r="AG5788" s="35"/>
      <c r="AH5788" s="35"/>
      <c r="AI5788" s="35"/>
      <c r="AJ5788" s="35"/>
      <c r="AK5788" s="35"/>
      <c r="AL5788" s="35"/>
    </row>
    <row r="5789">
      <c r="A5789" s="1"/>
      <c r="B5789" s="19" t="s">
        <v>19332</v>
      </c>
      <c r="C5789" s="158" t="s">
        <v>27326</v>
      </c>
      <c r="D5789" s="159"/>
      <c r="E5789" s="22" t="s">
        <v>27336</v>
      </c>
      <c r="F5789" s="22" t="s">
        <v>2635</v>
      </c>
      <c r="G5789" s="23">
        <v>2016.0</v>
      </c>
      <c r="H5789" s="22" t="s">
        <v>17630</v>
      </c>
      <c r="I5789" s="24" t="s">
        <v>27337</v>
      </c>
      <c r="J5789" s="22" t="s">
        <v>2273</v>
      </c>
      <c r="K5789" s="22"/>
      <c r="L5789" s="36">
        <v>810.0</v>
      </c>
      <c r="M5789" s="36">
        <v>50.0</v>
      </c>
      <c r="N5789" s="36"/>
      <c r="O5789" s="36"/>
      <c r="P5789" s="37" t="s">
        <v>82</v>
      </c>
      <c r="Q5789" s="36" t="s">
        <v>17491</v>
      </c>
      <c r="R5789" s="36">
        <v>160.0</v>
      </c>
      <c r="S5789" s="36" t="s">
        <v>27338</v>
      </c>
      <c r="T5789" s="28" t="s">
        <v>27339</v>
      </c>
      <c r="U5789" s="38" t="str">
        <f>HYPERLINK("https://www.ncbi.nlm.nih.gov/pubmed/27957350","PubMed")</f>
        <v>PubMed</v>
      </c>
      <c r="V5789" s="30"/>
      <c r="W5789" s="49"/>
      <c r="X5789" s="49"/>
      <c r="Y5789" s="35"/>
      <c r="Z5789" s="35"/>
      <c r="AA5789" s="35"/>
      <c r="AB5789" s="35"/>
      <c r="AC5789" s="35"/>
      <c r="AD5789" s="35"/>
      <c r="AE5789" s="35"/>
      <c r="AF5789" s="35"/>
      <c r="AG5789" s="35"/>
      <c r="AH5789" s="35"/>
      <c r="AI5789" s="35"/>
      <c r="AJ5789" s="35"/>
      <c r="AK5789" s="35"/>
      <c r="AL5789" s="35"/>
    </row>
    <row r="5790">
      <c r="A5790" s="1"/>
      <c r="B5790" s="19" t="s">
        <v>19332</v>
      </c>
      <c r="C5790" s="158" t="s">
        <v>27340</v>
      </c>
      <c r="D5790" s="159"/>
      <c r="E5790" s="22" t="s">
        <v>21082</v>
      </c>
      <c r="F5790" s="22" t="s">
        <v>41</v>
      </c>
      <c r="G5790" s="23">
        <v>2014.0</v>
      </c>
      <c r="H5790" s="22" t="s">
        <v>17630</v>
      </c>
      <c r="I5790" s="24" t="s">
        <v>27341</v>
      </c>
      <c r="J5790" s="22" t="s">
        <v>2273</v>
      </c>
      <c r="K5790" s="22"/>
      <c r="L5790" s="36">
        <v>660.0</v>
      </c>
      <c r="M5790" s="36">
        <v>50.0</v>
      </c>
      <c r="N5790" s="36" t="s">
        <v>58</v>
      </c>
      <c r="O5790" s="36" t="s">
        <v>27342</v>
      </c>
      <c r="P5790" s="37" t="s">
        <v>278</v>
      </c>
      <c r="Q5790" s="36" t="s">
        <v>24334</v>
      </c>
      <c r="R5790" s="36" t="s">
        <v>27343</v>
      </c>
      <c r="S5790" s="36">
        <v>6.0</v>
      </c>
      <c r="T5790" s="28" t="s">
        <v>27344</v>
      </c>
      <c r="U5790" s="38" t="str">
        <f>HYPERLINK("https://www.ncbi.nlm.nih.gov/pubmed/25147746","PubMed")</f>
        <v>PubMed</v>
      </c>
      <c r="V5790" s="30"/>
      <c r="W5790" s="49"/>
      <c r="X5790" s="49"/>
      <c r="Y5790" s="35"/>
      <c r="Z5790" s="35"/>
      <c r="AA5790" s="35"/>
      <c r="AB5790" s="35"/>
      <c r="AC5790" s="35"/>
      <c r="AD5790" s="35"/>
      <c r="AE5790" s="35"/>
      <c r="AF5790" s="35"/>
      <c r="AG5790" s="35"/>
      <c r="AH5790" s="35"/>
      <c r="AI5790" s="35"/>
      <c r="AJ5790" s="35"/>
      <c r="AK5790" s="35"/>
      <c r="AL5790" s="35"/>
    </row>
    <row r="5791">
      <c r="A5791" s="18" t="s">
        <v>181</v>
      </c>
      <c r="B5791" s="19" t="s">
        <v>19332</v>
      </c>
      <c r="C5791" s="158" t="s">
        <v>27345</v>
      </c>
      <c r="D5791" s="159"/>
      <c r="E5791" s="22" t="s">
        <v>27346</v>
      </c>
      <c r="F5791" s="22" t="s">
        <v>27347</v>
      </c>
      <c r="G5791" s="23">
        <v>2022.0</v>
      </c>
      <c r="H5791" s="22" t="s">
        <v>19588</v>
      </c>
      <c r="I5791" s="24" t="s">
        <v>27348</v>
      </c>
      <c r="J5791" s="22" t="s">
        <v>27349</v>
      </c>
      <c r="K5791" s="22" t="s">
        <v>27350</v>
      </c>
      <c r="L5791" s="36">
        <v>940.0</v>
      </c>
      <c r="M5791" s="36" t="s">
        <v>27351</v>
      </c>
      <c r="N5791" s="36"/>
      <c r="O5791" s="36"/>
      <c r="P5791" s="37"/>
      <c r="Q5791" s="36"/>
      <c r="R5791" s="36"/>
      <c r="S5791" s="36"/>
      <c r="T5791" s="28" t="s">
        <v>27352</v>
      </c>
      <c r="U5791" s="29" t="s">
        <v>61</v>
      </c>
      <c r="V5791" s="30"/>
      <c r="W5791" s="49"/>
      <c r="X5791" s="49"/>
      <c r="Y5791" s="35"/>
      <c r="Z5791" s="35"/>
      <c r="AA5791" s="35"/>
      <c r="AB5791" s="35"/>
      <c r="AC5791" s="35"/>
      <c r="AD5791" s="35"/>
      <c r="AE5791" s="35"/>
      <c r="AF5791" s="35"/>
      <c r="AG5791" s="35"/>
      <c r="AH5791" s="35"/>
      <c r="AI5791" s="35"/>
      <c r="AJ5791" s="35"/>
      <c r="AK5791" s="35"/>
      <c r="AL5791" s="35"/>
    </row>
    <row r="5792">
      <c r="A5792" s="18"/>
      <c r="B5792" s="19" t="s">
        <v>19332</v>
      </c>
      <c r="C5792" s="158" t="s">
        <v>27353</v>
      </c>
      <c r="D5792" s="159"/>
      <c r="E5792" s="22" t="s">
        <v>27354</v>
      </c>
      <c r="F5792" s="22" t="s">
        <v>814</v>
      </c>
      <c r="G5792" s="23">
        <v>2023.0</v>
      </c>
      <c r="H5792" s="22" t="s">
        <v>680</v>
      </c>
      <c r="I5792" s="24" t="s">
        <v>27355</v>
      </c>
      <c r="J5792" s="22" t="s">
        <v>27356</v>
      </c>
      <c r="K5792" s="22"/>
      <c r="L5792" s="36">
        <v>980.0</v>
      </c>
      <c r="M5792" s="36">
        <v>100.0</v>
      </c>
      <c r="N5792" s="36" t="s">
        <v>58</v>
      </c>
      <c r="O5792" s="36" t="s">
        <v>58</v>
      </c>
      <c r="P5792" s="37" t="s">
        <v>82</v>
      </c>
      <c r="Q5792" s="36" t="s">
        <v>27357</v>
      </c>
      <c r="R5792" s="36">
        <v>60.0</v>
      </c>
      <c r="S5792" s="36" t="s">
        <v>23884</v>
      </c>
      <c r="T5792" s="41" t="s">
        <v>27358</v>
      </c>
      <c r="U5792" s="38" t="s">
        <v>61</v>
      </c>
      <c r="V5792" s="30" t="s">
        <v>27359</v>
      </c>
      <c r="W5792" s="49"/>
      <c r="X5792" s="49"/>
      <c r="Y5792" s="35"/>
      <c r="Z5792" s="35"/>
      <c r="AA5792" s="35"/>
      <c r="AB5792" s="35"/>
      <c r="AC5792" s="35"/>
      <c r="AD5792" s="35"/>
      <c r="AE5792" s="35"/>
      <c r="AF5792" s="35"/>
      <c r="AG5792" s="35"/>
      <c r="AH5792" s="35"/>
      <c r="AI5792" s="35"/>
      <c r="AJ5792" s="35"/>
      <c r="AK5792" s="35"/>
      <c r="AL5792" s="35"/>
    </row>
    <row r="5793">
      <c r="A5793" s="18"/>
      <c r="B5793" s="19" t="s">
        <v>19332</v>
      </c>
      <c r="C5793" s="158" t="s">
        <v>27360</v>
      </c>
      <c r="D5793" s="159"/>
      <c r="E5793" s="22" t="s">
        <v>24833</v>
      </c>
      <c r="F5793" s="22" t="s">
        <v>4711</v>
      </c>
      <c r="G5793" s="23">
        <v>2022.0</v>
      </c>
      <c r="H5793" s="22" t="s">
        <v>680</v>
      </c>
      <c r="I5793" s="24" t="s">
        <v>27361</v>
      </c>
      <c r="J5793" s="22" t="s">
        <v>55</v>
      </c>
      <c r="K5793" s="22" t="s">
        <v>27362</v>
      </c>
      <c r="L5793" s="36">
        <v>940.0</v>
      </c>
      <c r="M5793" s="36"/>
      <c r="N5793" s="36"/>
      <c r="O5793" s="36"/>
      <c r="P5793" s="37"/>
      <c r="Q5793" s="36"/>
      <c r="R5793" s="36"/>
      <c r="S5793" s="36"/>
      <c r="T5793" s="28" t="s">
        <v>27363</v>
      </c>
      <c r="U5793" s="29" t="s">
        <v>61</v>
      </c>
      <c r="V5793" s="30"/>
      <c r="W5793" s="49"/>
      <c r="X5793" s="49"/>
      <c r="Y5793" s="35"/>
      <c r="Z5793" s="35"/>
      <c r="AA5793" s="35"/>
      <c r="AB5793" s="35"/>
      <c r="AC5793" s="35"/>
      <c r="AD5793" s="35"/>
      <c r="AE5793" s="35"/>
      <c r="AF5793" s="35"/>
      <c r="AG5793" s="35"/>
      <c r="AH5793" s="35"/>
      <c r="AI5793" s="35"/>
      <c r="AJ5793" s="35"/>
      <c r="AK5793" s="35"/>
      <c r="AL5793" s="35"/>
    </row>
    <row r="5794">
      <c r="A5794" s="18" t="s">
        <v>38</v>
      </c>
      <c r="B5794" s="19" t="s">
        <v>19332</v>
      </c>
      <c r="C5794" s="158" t="s">
        <v>27364</v>
      </c>
      <c r="D5794" s="159"/>
      <c r="E5794" s="22" t="s">
        <v>1011</v>
      </c>
      <c r="F5794" s="22" t="s">
        <v>323</v>
      </c>
      <c r="G5794" s="23">
        <v>2021.0</v>
      </c>
      <c r="H5794" s="22" t="s">
        <v>19588</v>
      </c>
      <c r="I5794" s="24" t="s">
        <v>27365</v>
      </c>
      <c r="J5794" s="22" t="s">
        <v>253</v>
      </c>
      <c r="K5794" s="22" t="s">
        <v>294</v>
      </c>
      <c r="L5794" s="36" t="s">
        <v>27366</v>
      </c>
      <c r="M5794" s="36"/>
      <c r="N5794" s="36"/>
      <c r="O5794" s="36"/>
      <c r="P5794" s="37" t="s">
        <v>7500</v>
      </c>
      <c r="Q5794" s="36" t="s">
        <v>2891</v>
      </c>
      <c r="R5794" s="36"/>
      <c r="S5794" s="36">
        <v>1.0</v>
      </c>
      <c r="T5794" s="28" t="s">
        <v>27367</v>
      </c>
      <c r="U5794" s="29" t="s">
        <v>61</v>
      </c>
      <c r="V5794" s="30"/>
      <c r="W5794" s="49"/>
      <c r="X5794" s="49"/>
      <c r="Y5794" s="35"/>
      <c r="Z5794" s="35"/>
      <c r="AA5794" s="35"/>
      <c r="AB5794" s="35"/>
      <c r="AC5794" s="35"/>
      <c r="AD5794" s="35"/>
      <c r="AE5794" s="35"/>
      <c r="AF5794" s="35"/>
      <c r="AG5794" s="35"/>
      <c r="AH5794" s="35"/>
      <c r="AI5794" s="35"/>
      <c r="AJ5794" s="35"/>
      <c r="AK5794" s="35"/>
      <c r="AL5794" s="35"/>
    </row>
    <row r="5795">
      <c r="A5795" s="1"/>
      <c r="B5795" s="19" t="s">
        <v>19332</v>
      </c>
      <c r="C5795" s="20" t="s">
        <v>27368</v>
      </c>
      <c r="D5795" s="47"/>
      <c r="E5795" s="22" t="s">
        <v>27369</v>
      </c>
      <c r="F5795" s="22" t="s">
        <v>1773</v>
      </c>
      <c r="G5795" s="23">
        <v>1999.0</v>
      </c>
      <c r="H5795" s="22" t="s">
        <v>27370</v>
      </c>
      <c r="I5795" s="24" t="s">
        <v>27371</v>
      </c>
      <c r="J5795" s="22" t="s">
        <v>27372</v>
      </c>
      <c r="K5795" s="22"/>
      <c r="L5795" s="36">
        <v>670.0</v>
      </c>
      <c r="M5795" s="129">
        <v>42461.0</v>
      </c>
      <c r="N5795" s="36"/>
      <c r="O5795" s="36"/>
      <c r="P5795" s="37" t="s">
        <v>9063</v>
      </c>
      <c r="Q5795" s="36"/>
      <c r="R5795" s="36">
        <v>30.0</v>
      </c>
      <c r="S5795" s="36"/>
      <c r="T5795" s="42" t="s">
        <v>27373</v>
      </c>
      <c r="U5795" s="38" t="str">
        <f>HYPERLINK("https://www.ncbi.nlm.nih.gov/pubmed/10740521","PubMed")</f>
        <v>PubMed</v>
      </c>
      <c r="V5795" s="30"/>
      <c r="W5795" s="49"/>
      <c r="X5795" s="49"/>
      <c r="Y5795" s="35"/>
      <c r="Z5795" s="35"/>
      <c r="AA5795" s="35"/>
      <c r="AB5795" s="35"/>
      <c r="AC5795" s="35"/>
      <c r="AD5795" s="35"/>
      <c r="AE5795" s="35"/>
      <c r="AF5795" s="35"/>
      <c r="AG5795" s="35"/>
      <c r="AH5795" s="35"/>
      <c r="AI5795" s="35"/>
      <c r="AJ5795" s="35"/>
      <c r="AK5795" s="35"/>
      <c r="AL5795" s="35"/>
    </row>
    <row r="5796">
      <c r="A5796" s="18"/>
      <c r="B5796" s="19" t="s">
        <v>19332</v>
      </c>
      <c r="C5796" s="158" t="s">
        <v>27374</v>
      </c>
      <c r="D5796" s="47"/>
      <c r="E5796" s="22" t="s">
        <v>1011</v>
      </c>
      <c r="F5796" s="22" t="s">
        <v>1046</v>
      </c>
      <c r="G5796" s="23">
        <v>2021.0</v>
      </c>
      <c r="H5796" s="22" t="s">
        <v>12502</v>
      </c>
      <c r="I5796" s="24" t="s">
        <v>27375</v>
      </c>
      <c r="J5796" s="22" t="s">
        <v>1078</v>
      </c>
      <c r="K5796" s="22"/>
      <c r="L5796" s="105" t="s">
        <v>27376</v>
      </c>
      <c r="M5796" s="44"/>
      <c r="N5796" s="44"/>
      <c r="O5796" s="44"/>
      <c r="P5796" s="44"/>
      <c r="Q5796" s="44"/>
      <c r="R5796" s="44"/>
      <c r="S5796" s="44"/>
      <c r="T5796" s="45"/>
      <c r="U5796" s="29" t="s">
        <v>61</v>
      </c>
      <c r="V5796" s="30"/>
      <c r="W5796" s="34"/>
      <c r="X5796" s="49"/>
      <c r="Y5796" s="35"/>
      <c r="Z5796" s="35"/>
      <c r="AA5796" s="35"/>
      <c r="AB5796" s="35"/>
      <c r="AC5796" s="35"/>
      <c r="AD5796" s="35"/>
      <c r="AE5796" s="35"/>
      <c r="AF5796" s="35"/>
      <c r="AG5796" s="35"/>
      <c r="AH5796" s="35"/>
      <c r="AI5796" s="35"/>
      <c r="AJ5796" s="35"/>
      <c r="AK5796" s="35"/>
      <c r="AL5796" s="35"/>
    </row>
    <row r="5797">
      <c r="A5797" s="1"/>
      <c r="B5797" s="19" t="s">
        <v>19332</v>
      </c>
      <c r="C5797" s="158" t="s">
        <v>27377</v>
      </c>
      <c r="D5797" s="159"/>
      <c r="E5797" s="22" t="s">
        <v>27378</v>
      </c>
      <c r="F5797" s="22" t="s">
        <v>26399</v>
      </c>
      <c r="G5797" s="23">
        <v>2016.0</v>
      </c>
      <c r="H5797" s="22" t="s">
        <v>27379</v>
      </c>
      <c r="I5797" s="24" t="s">
        <v>27380</v>
      </c>
      <c r="J5797" s="22" t="s">
        <v>55</v>
      </c>
      <c r="K5797" s="22"/>
      <c r="L5797" s="36">
        <v>633.0</v>
      </c>
      <c r="M5797" s="36"/>
      <c r="N5797" s="36"/>
      <c r="O5797" s="36"/>
      <c r="P5797" s="37"/>
      <c r="Q5797" s="36"/>
      <c r="R5797" s="36"/>
      <c r="S5797" s="36"/>
      <c r="T5797" s="41" t="s">
        <v>27381</v>
      </c>
      <c r="U5797" s="29" t="s">
        <v>61</v>
      </c>
      <c r="V5797" s="30"/>
      <c r="W5797" s="49"/>
      <c r="X5797" s="49"/>
      <c r="Y5797" s="35"/>
      <c r="Z5797" s="35"/>
      <c r="AA5797" s="35"/>
      <c r="AB5797" s="35"/>
      <c r="AC5797" s="35"/>
      <c r="AD5797" s="35"/>
      <c r="AE5797" s="35"/>
      <c r="AF5797" s="35"/>
      <c r="AG5797" s="35"/>
      <c r="AH5797" s="35"/>
      <c r="AI5797" s="35"/>
      <c r="AJ5797" s="35"/>
      <c r="AK5797" s="35"/>
      <c r="AL5797" s="35"/>
    </row>
    <row r="5798">
      <c r="A5798" s="1"/>
      <c r="B5798" s="19" t="s">
        <v>19332</v>
      </c>
      <c r="C5798" s="158" t="s">
        <v>27377</v>
      </c>
      <c r="D5798" s="159"/>
      <c r="E5798" s="22" t="s">
        <v>27382</v>
      </c>
      <c r="F5798" s="22" t="s">
        <v>18424</v>
      </c>
      <c r="G5798" s="23">
        <v>2006.0</v>
      </c>
      <c r="H5798" s="22" t="s">
        <v>21225</v>
      </c>
      <c r="I5798" s="24" t="s">
        <v>27383</v>
      </c>
      <c r="J5798" s="22" t="s">
        <v>9864</v>
      </c>
      <c r="K5798" s="22"/>
      <c r="L5798" s="36">
        <v>633.0</v>
      </c>
      <c r="M5798" s="36">
        <v>5.0</v>
      </c>
      <c r="N5798" s="36"/>
      <c r="O5798" s="36"/>
      <c r="P5798" s="37" t="s">
        <v>7500</v>
      </c>
      <c r="Q5798" s="36"/>
      <c r="R5798" s="36"/>
      <c r="S5798" s="36"/>
      <c r="T5798" s="42" t="s">
        <v>27384</v>
      </c>
      <c r="U5798" s="29" t="s">
        <v>61</v>
      </c>
      <c r="V5798" s="30"/>
      <c r="W5798" s="49"/>
      <c r="X5798" s="49"/>
      <c r="Y5798" s="35"/>
      <c r="Z5798" s="35"/>
      <c r="AA5798" s="35"/>
      <c r="AB5798" s="35"/>
      <c r="AC5798" s="35"/>
      <c r="AD5798" s="35"/>
      <c r="AE5798" s="35"/>
      <c r="AF5798" s="35"/>
      <c r="AG5798" s="35"/>
      <c r="AH5798" s="35"/>
      <c r="AI5798" s="35"/>
      <c r="AJ5798" s="35"/>
      <c r="AK5798" s="35"/>
      <c r="AL5798" s="35"/>
    </row>
    <row r="5799">
      <c r="A5799" s="1"/>
      <c r="B5799" s="19" t="s">
        <v>19332</v>
      </c>
      <c r="C5799" s="158" t="s">
        <v>27385</v>
      </c>
      <c r="D5799" s="159"/>
      <c r="E5799" s="22" t="s">
        <v>4410</v>
      </c>
      <c r="F5799" s="22" t="s">
        <v>224</v>
      </c>
      <c r="G5799" s="23">
        <v>2020.0</v>
      </c>
      <c r="H5799" s="22" t="s">
        <v>91</v>
      </c>
      <c r="I5799" s="24" t="s">
        <v>27386</v>
      </c>
      <c r="J5799" s="22" t="s">
        <v>209</v>
      </c>
      <c r="K5799" s="22"/>
      <c r="L5799" s="36">
        <v>808.0</v>
      </c>
      <c r="M5799" s="36"/>
      <c r="N5799" s="36"/>
      <c r="O5799" s="36"/>
      <c r="P5799" s="37"/>
      <c r="Q5799" s="36"/>
      <c r="R5799" s="36"/>
      <c r="S5799" s="36"/>
      <c r="T5799" s="28" t="s">
        <v>27387</v>
      </c>
      <c r="U5799" s="29" t="s">
        <v>61</v>
      </c>
      <c r="V5799" s="30"/>
      <c r="W5799" s="49"/>
      <c r="X5799" s="49"/>
      <c r="Y5799" s="35"/>
      <c r="Z5799" s="35"/>
      <c r="AA5799" s="35"/>
      <c r="AB5799" s="35"/>
      <c r="AC5799" s="35"/>
      <c r="AD5799" s="35"/>
      <c r="AE5799" s="35"/>
      <c r="AF5799" s="35"/>
      <c r="AG5799" s="35"/>
      <c r="AH5799" s="35"/>
      <c r="AI5799" s="35"/>
      <c r="AJ5799" s="35"/>
      <c r="AK5799" s="35"/>
      <c r="AL5799" s="35"/>
    </row>
    <row r="5800">
      <c r="A5800" s="1"/>
      <c r="B5800" s="19" t="s">
        <v>19332</v>
      </c>
      <c r="C5800" s="158" t="s">
        <v>27385</v>
      </c>
      <c r="D5800" s="159"/>
      <c r="E5800" s="22" t="s">
        <v>27388</v>
      </c>
      <c r="F5800" s="22" t="s">
        <v>510</v>
      </c>
      <c r="G5800" s="23">
        <v>2016.0</v>
      </c>
      <c r="H5800" s="22" t="s">
        <v>91</v>
      </c>
      <c r="I5800" s="24" t="s">
        <v>27389</v>
      </c>
      <c r="J5800" s="22" t="s">
        <v>27390</v>
      </c>
      <c r="K5800" s="22" t="s">
        <v>1112</v>
      </c>
      <c r="L5800" s="36">
        <v>660.0</v>
      </c>
      <c r="M5800" s="36">
        <v>30.0</v>
      </c>
      <c r="N5800" s="36" t="s">
        <v>58</v>
      </c>
      <c r="O5800" s="36" t="s">
        <v>58</v>
      </c>
      <c r="P5800" s="37" t="s">
        <v>27391</v>
      </c>
      <c r="Q5800" s="36" t="s">
        <v>27392</v>
      </c>
      <c r="R5800" s="36" t="s">
        <v>1838</v>
      </c>
      <c r="S5800" s="36" t="s">
        <v>434</v>
      </c>
      <c r="T5800" s="42" t="s">
        <v>27393</v>
      </c>
      <c r="U5800" s="38" t="str">
        <f>HYPERLINK("https://www.ncbi.nlm.nih.gov/pubmed/27344670","PubMed")</f>
        <v>PubMed</v>
      </c>
      <c r="V5800" s="30" t="s">
        <v>27394</v>
      </c>
      <c r="W5800" s="49"/>
      <c r="X5800" s="49"/>
      <c r="Y5800" s="35"/>
      <c r="Z5800" s="35"/>
      <c r="AA5800" s="35"/>
      <c r="AB5800" s="35"/>
      <c r="AC5800" s="35"/>
      <c r="AD5800" s="35"/>
      <c r="AE5800" s="35"/>
      <c r="AF5800" s="35"/>
      <c r="AG5800" s="35"/>
      <c r="AH5800" s="35"/>
      <c r="AI5800" s="35"/>
      <c r="AJ5800" s="35"/>
      <c r="AK5800" s="35"/>
      <c r="AL5800" s="35"/>
    </row>
    <row r="5801">
      <c r="A5801" s="1"/>
      <c r="B5801" s="19" t="s">
        <v>19332</v>
      </c>
      <c r="C5801" s="158" t="s">
        <v>27385</v>
      </c>
      <c r="D5801" s="159"/>
      <c r="E5801" s="22" t="s">
        <v>27395</v>
      </c>
      <c r="F5801" s="22" t="s">
        <v>560</v>
      </c>
      <c r="G5801" s="23">
        <v>2016.0</v>
      </c>
      <c r="H5801" s="22" t="s">
        <v>658</v>
      </c>
      <c r="I5801" s="24" t="s">
        <v>27396</v>
      </c>
      <c r="J5801" s="22" t="s">
        <v>27397</v>
      </c>
      <c r="K5801" s="22"/>
      <c r="L5801" s="36">
        <v>1064.0</v>
      </c>
      <c r="M5801" s="36">
        <v>250.0</v>
      </c>
      <c r="N5801" s="36" t="s">
        <v>58</v>
      </c>
      <c r="O5801" s="36" t="s">
        <v>58</v>
      </c>
      <c r="P5801" s="37" t="s">
        <v>5711</v>
      </c>
      <c r="Q5801" s="36" t="s">
        <v>27398</v>
      </c>
      <c r="R5801" s="36">
        <v>10.0</v>
      </c>
      <c r="S5801" s="36" t="s">
        <v>3125</v>
      </c>
      <c r="T5801" s="28" t="s">
        <v>27399</v>
      </c>
      <c r="U5801" s="38" t="str">
        <f>HYPERLINK("https://www.ncbi.nlm.nih.gov/pubmed/27088277","PubMed")</f>
        <v>PubMed</v>
      </c>
      <c r="V5801" s="30" t="s">
        <v>27400</v>
      </c>
      <c r="W5801" s="49"/>
      <c r="X5801" s="49"/>
      <c r="Y5801" s="35"/>
      <c r="Z5801" s="35"/>
      <c r="AA5801" s="35"/>
      <c r="AB5801" s="35"/>
      <c r="AC5801" s="35"/>
      <c r="AD5801" s="35"/>
      <c r="AE5801" s="35"/>
      <c r="AF5801" s="35"/>
      <c r="AG5801" s="35"/>
      <c r="AH5801" s="35"/>
      <c r="AI5801" s="35"/>
      <c r="AJ5801" s="35"/>
      <c r="AK5801" s="35"/>
      <c r="AL5801" s="35"/>
    </row>
    <row r="5802">
      <c r="A5802" s="1"/>
      <c r="B5802" s="75" t="s">
        <v>19332</v>
      </c>
      <c r="C5802" s="387" t="s">
        <v>27385</v>
      </c>
      <c r="D5802" s="388"/>
      <c r="E5802" s="113" t="s">
        <v>412</v>
      </c>
      <c r="F5802" s="113" t="s">
        <v>323</v>
      </c>
      <c r="G5802" s="23">
        <v>2015.0</v>
      </c>
      <c r="H5802" s="22" t="s">
        <v>207</v>
      </c>
      <c r="I5802" s="24" t="s">
        <v>27401</v>
      </c>
      <c r="J5802" s="22" t="s">
        <v>55</v>
      </c>
      <c r="K5802" s="22" t="s">
        <v>607</v>
      </c>
      <c r="L5802" s="36"/>
      <c r="M5802" s="36"/>
      <c r="N5802" s="36"/>
      <c r="O5802" s="36"/>
      <c r="P5802" s="37"/>
      <c r="Q5802" s="36"/>
      <c r="R5802" s="36"/>
      <c r="S5802" s="36"/>
      <c r="T5802" s="28" t="s">
        <v>27402</v>
      </c>
      <c r="U5802" s="38" t="s">
        <v>61</v>
      </c>
      <c r="V5802" s="30"/>
      <c r="W5802" s="49"/>
      <c r="X5802" s="49"/>
      <c r="Y5802" s="35"/>
      <c r="Z5802" s="35"/>
      <c r="AA5802" s="35"/>
      <c r="AB5802" s="35"/>
      <c r="AC5802" s="35"/>
      <c r="AD5802" s="35"/>
      <c r="AE5802" s="35"/>
      <c r="AF5802" s="35"/>
      <c r="AG5802" s="35"/>
      <c r="AH5802" s="35"/>
      <c r="AI5802" s="35"/>
      <c r="AJ5802" s="35"/>
      <c r="AK5802" s="35"/>
      <c r="AL5802" s="35"/>
    </row>
    <row r="5803">
      <c r="A5803" s="1"/>
      <c r="B5803" s="75" t="s">
        <v>19332</v>
      </c>
      <c r="C5803" s="387" t="s">
        <v>27385</v>
      </c>
      <c r="D5803" s="388"/>
      <c r="E5803" s="113" t="s">
        <v>18165</v>
      </c>
      <c r="F5803" s="113" t="s">
        <v>510</v>
      </c>
      <c r="G5803" s="23">
        <v>2015.0</v>
      </c>
      <c r="H5803" s="22" t="s">
        <v>91</v>
      </c>
      <c r="I5803" s="24" t="s">
        <v>27403</v>
      </c>
      <c r="J5803" s="22" t="s">
        <v>27404</v>
      </c>
      <c r="K5803" s="22"/>
      <c r="L5803" s="36">
        <v>660.0</v>
      </c>
      <c r="M5803" s="36">
        <v>30.0</v>
      </c>
      <c r="N5803" s="36" t="s">
        <v>58</v>
      </c>
      <c r="O5803" s="36" t="s">
        <v>58</v>
      </c>
      <c r="P5803" s="37" t="s">
        <v>969</v>
      </c>
      <c r="Q5803" s="36" t="s">
        <v>58</v>
      </c>
      <c r="R5803" s="36" t="s">
        <v>939</v>
      </c>
      <c r="S5803" s="36" t="s">
        <v>23274</v>
      </c>
      <c r="T5803" s="42" t="s">
        <v>27405</v>
      </c>
      <c r="U5803" s="38" t="str">
        <f>HYPERLINK("https://www.ncbi.nlm.nih.gov/pubmed/25373688","PubMed")</f>
        <v>PubMed</v>
      </c>
      <c r="V5803" s="30" t="s">
        <v>27406</v>
      </c>
      <c r="W5803" s="49"/>
      <c r="X5803" s="49"/>
      <c r="Y5803" s="35"/>
      <c r="Z5803" s="35"/>
      <c r="AA5803" s="35"/>
      <c r="AB5803" s="35"/>
      <c r="AC5803" s="35"/>
      <c r="AD5803" s="35"/>
      <c r="AE5803" s="35"/>
      <c r="AF5803" s="35"/>
      <c r="AG5803" s="35"/>
      <c r="AH5803" s="35"/>
      <c r="AI5803" s="35"/>
      <c r="AJ5803" s="35"/>
      <c r="AK5803" s="35"/>
      <c r="AL5803" s="35"/>
    </row>
    <row r="5804">
      <c r="A5804" s="1"/>
      <c r="B5804" s="75" t="s">
        <v>19332</v>
      </c>
      <c r="C5804" s="387" t="s">
        <v>27385</v>
      </c>
      <c r="D5804" s="388"/>
      <c r="E5804" s="113" t="s">
        <v>27407</v>
      </c>
      <c r="F5804" s="113" t="s">
        <v>24433</v>
      </c>
      <c r="G5804" s="23">
        <v>2014.0</v>
      </c>
      <c r="H5804" s="22" t="s">
        <v>21704</v>
      </c>
      <c r="I5804" s="24" t="s">
        <v>27408</v>
      </c>
      <c r="J5804" s="22" t="s">
        <v>55</v>
      </c>
      <c r="K5804" s="22"/>
      <c r="L5804" s="36">
        <v>940.0</v>
      </c>
      <c r="M5804" s="36"/>
      <c r="N5804" s="36"/>
      <c r="O5804" s="36"/>
      <c r="P5804" s="37" t="s">
        <v>95</v>
      </c>
      <c r="Q5804" s="36"/>
      <c r="R5804" s="36"/>
      <c r="S5804" s="36">
        <v>4.0</v>
      </c>
      <c r="T5804" s="28" t="s">
        <v>27409</v>
      </c>
      <c r="U5804" s="38" t="str">
        <f>HYPERLINK("https://www.ncbi.nlm.nih.gov/pubmed/23952682","PubMed")</f>
        <v>PubMed</v>
      </c>
      <c r="V5804" s="30"/>
      <c r="W5804" s="49"/>
      <c r="X5804" s="49"/>
      <c r="Y5804" s="35"/>
      <c r="Z5804" s="35"/>
      <c r="AA5804" s="35"/>
      <c r="AB5804" s="35"/>
      <c r="AC5804" s="35"/>
      <c r="AD5804" s="35"/>
      <c r="AE5804" s="35"/>
      <c r="AF5804" s="35"/>
      <c r="AG5804" s="35"/>
      <c r="AH5804" s="35"/>
      <c r="AI5804" s="35"/>
      <c r="AJ5804" s="35"/>
      <c r="AK5804" s="35"/>
      <c r="AL5804" s="35"/>
    </row>
    <row r="5805">
      <c r="A5805" s="1"/>
      <c r="B5805" s="75" t="s">
        <v>19332</v>
      </c>
      <c r="C5805" s="387" t="s">
        <v>27385</v>
      </c>
      <c r="D5805" s="388"/>
      <c r="E5805" s="113" t="s">
        <v>27407</v>
      </c>
      <c r="F5805" s="113" t="s">
        <v>24433</v>
      </c>
      <c r="G5805" s="23">
        <v>2013.0</v>
      </c>
      <c r="H5805" s="22" t="s">
        <v>658</v>
      </c>
      <c r="I5805" s="24" t="s">
        <v>27410</v>
      </c>
      <c r="J5805" s="22" t="s">
        <v>55</v>
      </c>
      <c r="K5805" s="22"/>
      <c r="L5805" s="36">
        <v>940.0</v>
      </c>
      <c r="M5805" s="36"/>
      <c r="N5805" s="36"/>
      <c r="O5805" s="36"/>
      <c r="P5805" s="37" t="s">
        <v>95</v>
      </c>
      <c r="Q5805" s="36"/>
      <c r="R5805" s="36"/>
      <c r="S5805" s="36">
        <v>4.0</v>
      </c>
      <c r="T5805" s="28" t="s">
        <v>27411</v>
      </c>
      <c r="U5805" s="38" t="str">
        <f>HYPERLINK("https://www.ncbi.nlm.nih.gov/pubmed/23789588","PubMed")</f>
        <v>PubMed</v>
      </c>
      <c r="V5805" s="30"/>
      <c r="W5805" s="49"/>
      <c r="X5805" s="49"/>
      <c r="Y5805" s="35"/>
      <c r="Z5805" s="35"/>
      <c r="AA5805" s="35"/>
      <c r="AB5805" s="35"/>
      <c r="AC5805" s="35"/>
      <c r="AD5805" s="35"/>
      <c r="AE5805" s="35"/>
      <c r="AF5805" s="35"/>
      <c r="AG5805" s="35"/>
      <c r="AH5805" s="35"/>
      <c r="AI5805" s="35"/>
      <c r="AJ5805" s="35"/>
      <c r="AK5805" s="35"/>
      <c r="AL5805" s="35"/>
    </row>
    <row r="5806">
      <c r="A5806" s="1"/>
      <c r="B5806" s="75" t="s">
        <v>19332</v>
      </c>
      <c r="C5806" s="387" t="s">
        <v>27385</v>
      </c>
      <c r="D5806" s="388"/>
      <c r="E5806" s="115" t="s">
        <v>27412</v>
      </c>
      <c r="F5806" s="115" t="s">
        <v>323</v>
      </c>
      <c r="G5806" s="23">
        <v>2013.0</v>
      </c>
      <c r="H5806" s="22" t="s">
        <v>91</v>
      </c>
      <c r="I5806" s="24" t="s">
        <v>27413</v>
      </c>
      <c r="J5806" s="22" t="s">
        <v>44</v>
      </c>
      <c r="K5806" s="22" t="s">
        <v>294</v>
      </c>
      <c r="L5806" s="36" t="s">
        <v>27414</v>
      </c>
      <c r="M5806" s="36"/>
      <c r="N5806" s="36"/>
      <c r="O5806" s="36"/>
      <c r="P5806" s="37"/>
      <c r="Q5806" s="36"/>
      <c r="R5806" s="36"/>
      <c r="S5806" s="36"/>
      <c r="T5806" s="28" t="s">
        <v>27415</v>
      </c>
      <c r="U5806" s="38" t="str">
        <f>HYPERLINK("https://www.ncbi.nlm.nih.gov/pubmed/22415572","PubMed")</f>
        <v>PubMed</v>
      </c>
      <c r="V5806" s="30"/>
      <c r="W5806" s="49"/>
      <c r="X5806" s="49"/>
      <c r="Y5806" s="35"/>
      <c r="Z5806" s="35"/>
      <c r="AA5806" s="35"/>
      <c r="AB5806" s="35"/>
      <c r="AC5806" s="35"/>
      <c r="AD5806" s="35"/>
      <c r="AE5806" s="35"/>
      <c r="AF5806" s="35"/>
      <c r="AG5806" s="35"/>
      <c r="AH5806" s="35"/>
      <c r="AI5806" s="35"/>
      <c r="AJ5806" s="35"/>
      <c r="AK5806" s="35"/>
      <c r="AL5806" s="35"/>
    </row>
    <row r="5807">
      <c r="A5807" s="1"/>
      <c r="B5807" s="19" t="s">
        <v>19332</v>
      </c>
      <c r="C5807" s="158" t="s">
        <v>27385</v>
      </c>
      <c r="D5807" s="159"/>
      <c r="E5807" s="22" t="s">
        <v>27412</v>
      </c>
      <c r="F5807" s="22" t="s">
        <v>323</v>
      </c>
      <c r="G5807" s="23">
        <v>2011.0</v>
      </c>
      <c r="H5807" s="22" t="s">
        <v>1359</v>
      </c>
      <c r="I5807" s="24" t="s">
        <v>27416</v>
      </c>
      <c r="J5807" s="22" t="s">
        <v>44</v>
      </c>
      <c r="K5807" s="22"/>
      <c r="L5807" s="36">
        <v>633.0</v>
      </c>
      <c r="M5807" s="36"/>
      <c r="N5807" s="36"/>
      <c r="O5807" s="36"/>
      <c r="P5807" s="37" t="s">
        <v>27417</v>
      </c>
      <c r="Q5807" s="36"/>
      <c r="R5807" s="36" t="s">
        <v>27418</v>
      </c>
      <c r="S5807" s="36"/>
      <c r="T5807" s="28" t="s">
        <v>27419</v>
      </c>
      <c r="U5807" s="38" t="str">
        <f>HYPERLINK("https://www.ncbi.nlm.nih.gov/pubmed/21615060","PubMed")</f>
        <v>PubMed</v>
      </c>
      <c r="V5807" s="30"/>
      <c r="W5807" s="49"/>
      <c r="X5807" s="49"/>
      <c r="Y5807" s="35"/>
      <c r="Z5807" s="35"/>
      <c r="AA5807" s="35"/>
      <c r="AB5807" s="35"/>
      <c r="AC5807" s="35"/>
      <c r="AD5807" s="35"/>
      <c r="AE5807" s="35"/>
      <c r="AF5807" s="35"/>
      <c r="AG5807" s="35"/>
      <c r="AH5807" s="35"/>
      <c r="AI5807" s="35"/>
      <c r="AJ5807" s="35"/>
      <c r="AK5807" s="35"/>
      <c r="AL5807" s="35"/>
    </row>
    <row r="5808">
      <c r="A5808" s="1"/>
      <c r="B5808" s="19" t="s">
        <v>19332</v>
      </c>
      <c r="C5808" s="158" t="s">
        <v>27420</v>
      </c>
      <c r="D5808" s="159"/>
      <c r="E5808" s="22" t="s">
        <v>835</v>
      </c>
      <c r="F5808" s="22" t="s">
        <v>183</v>
      </c>
      <c r="G5808" s="23">
        <v>2008.0</v>
      </c>
      <c r="H5808" s="22" t="s">
        <v>658</v>
      </c>
      <c r="I5808" s="24" t="s">
        <v>27421</v>
      </c>
      <c r="J5808" s="22" t="s">
        <v>55</v>
      </c>
      <c r="K5808" s="22"/>
      <c r="L5808" s="36">
        <v>685.0</v>
      </c>
      <c r="M5808" s="36">
        <v>35.0</v>
      </c>
      <c r="N5808" s="36"/>
      <c r="O5808" s="36"/>
      <c r="P5808" s="37" t="s">
        <v>254</v>
      </c>
      <c r="Q5808" s="36"/>
      <c r="R5808" s="36"/>
      <c r="S5808" s="36">
        <v>4.0</v>
      </c>
      <c r="T5808" s="28" t="s">
        <v>27422</v>
      </c>
      <c r="U5808" s="29" t="s">
        <v>61</v>
      </c>
      <c r="V5808" s="30"/>
      <c r="W5808" s="49"/>
      <c r="X5808" s="49"/>
      <c r="Y5808" s="35"/>
      <c r="Z5808" s="35"/>
      <c r="AA5808" s="35"/>
      <c r="AB5808" s="35"/>
      <c r="AC5808" s="35"/>
      <c r="AD5808" s="35"/>
      <c r="AE5808" s="35"/>
      <c r="AF5808" s="35"/>
      <c r="AG5808" s="35"/>
      <c r="AH5808" s="35"/>
      <c r="AI5808" s="35"/>
      <c r="AJ5808" s="35"/>
      <c r="AK5808" s="35"/>
      <c r="AL5808" s="35"/>
    </row>
    <row r="5809">
      <c r="A5809" s="1"/>
      <c r="B5809" s="19" t="s">
        <v>19332</v>
      </c>
      <c r="C5809" s="158" t="s">
        <v>6113</v>
      </c>
      <c r="D5809" s="47"/>
      <c r="E5809" s="22" t="s">
        <v>27423</v>
      </c>
      <c r="F5809" s="22" t="s">
        <v>323</v>
      </c>
      <c r="G5809" s="23">
        <v>2008.0</v>
      </c>
      <c r="H5809" s="22" t="s">
        <v>91</v>
      </c>
      <c r="I5809" s="24" t="s">
        <v>27424</v>
      </c>
      <c r="J5809" s="22" t="s">
        <v>55</v>
      </c>
      <c r="K5809" s="22"/>
      <c r="L5809" s="36">
        <v>633.0</v>
      </c>
      <c r="M5809" s="36"/>
      <c r="N5809" s="36"/>
      <c r="O5809" s="129">
        <v>42740.0</v>
      </c>
      <c r="P5809" s="37" t="s">
        <v>704</v>
      </c>
      <c r="Q5809" s="36" t="s">
        <v>27425</v>
      </c>
      <c r="R5809" s="36">
        <v>300.0</v>
      </c>
      <c r="S5809" s="36"/>
      <c r="T5809" s="28" t="s">
        <v>27426</v>
      </c>
      <c r="U5809" s="38" t="str">
        <f>HYPERLINK("https://www.ncbi.nlm.nih.gov/pubmed/17786499","PubMed")</f>
        <v>PubMed</v>
      </c>
      <c r="V5809" s="30"/>
      <c r="W5809" s="49"/>
      <c r="X5809" s="49"/>
      <c r="Y5809" s="35"/>
      <c r="Z5809" s="35"/>
      <c r="AA5809" s="35"/>
      <c r="AB5809" s="35"/>
      <c r="AC5809" s="35"/>
      <c r="AD5809" s="35"/>
      <c r="AE5809" s="35"/>
      <c r="AF5809" s="35"/>
      <c r="AG5809" s="35"/>
      <c r="AH5809" s="35"/>
      <c r="AI5809" s="35"/>
      <c r="AJ5809" s="35"/>
      <c r="AK5809" s="35"/>
      <c r="AL5809" s="35"/>
    </row>
    <row r="5810">
      <c r="A5810" s="1"/>
      <c r="B5810" s="19" t="s">
        <v>19332</v>
      </c>
      <c r="C5810" s="158" t="s">
        <v>6113</v>
      </c>
      <c r="D5810" s="159"/>
      <c r="E5810" s="22" t="s">
        <v>27427</v>
      </c>
      <c r="F5810" s="22" t="s">
        <v>27428</v>
      </c>
      <c r="G5810" s="23">
        <v>2017.0</v>
      </c>
      <c r="H5810" s="22" t="s">
        <v>25636</v>
      </c>
      <c r="I5810" s="24" t="s">
        <v>27429</v>
      </c>
      <c r="J5810" s="22" t="s">
        <v>55</v>
      </c>
      <c r="K5810" s="22" t="s">
        <v>27430</v>
      </c>
      <c r="L5810" s="36">
        <v>810.0</v>
      </c>
      <c r="M5810" s="36">
        <v>250.0</v>
      </c>
      <c r="N5810" s="36"/>
      <c r="O5810" s="36"/>
      <c r="P5810" s="37"/>
      <c r="Q5810" s="36"/>
      <c r="R5810" s="36">
        <v>9.0</v>
      </c>
      <c r="S5810" s="36"/>
      <c r="T5810" s="28" t="s">
        <v>27431</v>
      </c>
      <c r="U5810" s="38" t="str">
        <f>HYPERLINK("https://www.ncbi.nlm.nih.gov/pubmed/28279122","PubMed")</f>
        <v>PubMed</v>
      </c>
      <c r="V5810" s="30"/>
      <c r="W5810" s="49"/>
      <c r="X5810" s="49"/>
      <c r="Y5810" s="35"/>
      <c r="Z5810" s="35"/>
      <c r="AA5810" s="35"/>
      <c r="AB5810" s="35"/>
      <c r="AC5810" s="35"/>
      <c r="AD5810" s="35"/>
      <c r="AE5810" s="35"/>
      <c r="AF5810" s="35"/>
      <c r="AG5810" s="35"/>
      <c r="AH5810" s="35"/>
      <c r="AI5810" s="35"/>
      <c r="AJ5810" s="35"/>
      <c r="AK5810" s="35"/>
      <c r="AL5810" s="35"/>
    </row>
    <row r="5811">
      <c r="A5811" s="1"/>
      <c r="B5811" s="19" t="s">
        <v>19332</v>
      </c>
      <c r="C5811" s="158" t="s">
        <v>6113</v>
      </c>
      <c r="D5811" s="159"/>
      <c r="E5811" s="22" t="s">
        <v>27432</v>
      </c>
      <c r="F5811" s="22" t="s">
        <v>797</v>
      </c>
      <c r="G5811" s="23">
        <v>2016.0</v>
      </c>
      <c r="H5811" s="22" t="s">
        <v>91</v>
      </c>
      <c r="I5811" s="24" t="s">
        <v>27433</v>
      </c>
      <c r="J5811" s="22" t="s">
        <v>55</v>
      </c>
      <c r="K5811" s="22"/>
      <c r="L5811" s="36">
        <v>660.0</v>
      </c>
      <c r="M5811" s="36">
        <v>40.0</v>
      </c>
      <c r="N5811" s="36"/>
      <c r="O5811" s="36" t="s">
        <v>27434</v>
      </c>
      <c r="P5811" s="37" t="s">
        <v>5127</v>
      </c>
      <c r="Q5811" s="36" t="s">
        <v>830</v>
      </c>
      <c r="R5811" s="36"/>
      <c r="S5811" s="36">
        <v>14.0</v>
      </c>
      <c r="T5811" s="28" t="s">
        <v>27435</v>
      </c>
      <c r="U5811" s="38" t="str">
        <f>HYPERLINK("https://www.ncbi.nlm.nih.gov/pubmed/26868031","PubMed")</f>
        <v>PubMed</v>
      </c>
      <c r="V5811" s="30"/>
      <c r="W5811" s="49"/>
      <c r="X5811" s="49"/>
      <c r="Y5811" s="35"/>
      <c r="Z5811" s="35"/>
      <c r="AA5811" s="35"/>
      <c r="AB5811" s="35"/>
      <c r="AC5811" s="35"/>
      <c r="AD5811" s="35"/>
      <c r="AE5811" s="35"/>
      <c r="AF5811" s="35"/>
      <c r="AG5811" s="35"/>
      <c r="AH5811" s="35"/>
      <c r="AI5811" s="35"/>
      <c r="AJ5811" s="35"/>
      <c r="AK5811" s="35"/>
      <c r="AL5811" s="35"/>
    </row>
    <row r="5812">
      <c r="A5812" s="1"/>
      <c r="B5812" s="19" t="s">
        <v>19332</v>
      </c>
      <c r="C5812" s="158" t="s">
        <v>6113</v>
      </c>
      <c r="D5812" s="159"/>
      <c r="E5812" s="22" t="s">
        <v>27436</v>
      </c>
      <c r="F5812" s="22" t="s">
        <v>3441</v>
      </c>
      <c r="G5812" s="23">
        <v>2015.0</v>
      </c>
      <c r="H5812" s="22" t="s">
        <v>27437</v>
      </c>
      <c r="I5812" s="24" t="s">
        <v>27438</v>
      </c>
      <c r="J5812" s="22" t="s">
        <v>125</v>
      </c>
      <c r="K5812" s="22" t="s">
        <v>4071</v>
      </c>
      <c r="L5812" s="105" t="s">
        <v>27439</v>
      </c>
      <c r="M5812" s="44"/>
      <c r="N5812" s="44"/>
      <c r="O5812" s="44"/>
      <c r="P5812" s="44"/>
      <c r="Q5812" s="44"/>
      <c r="R5812" s="44"/>
      <c r="S5812" s="44"/>
      <c r="T5812" s="45"/>
      <c r="U5812" s="38" t="str">
        <f>HYPERLINK("https://www.ncbi.nlm.nih.gov/pubmed/26634185","PubMed")</f>
        <v>PubMed</v>
      </c>
      <c r="V5812" s="30"/>
      <c r="W5812" s="49"/>
      <c r="X5812" s="49"/>
      <c r="Y5812" s="35"/>
      <c r="Z5812" s="35"/>
      <c r="AA5812" s="35"/>
      <c r="AB5812" s="35"/>
      <c r="AC5812" s="35"/>
      <c r="AD5812" s="35"/>
      <c r="AE5812" s="35"/>
      <c r="AF5812" s="35"/>
      <c r="AG5812" s="35"/>
      <c r="AH5812" s="35"/>
      <c r="AI5812" s="35"/>
      <c r="AJ5812" s="35"/>
      <c r="AK5812" s="35"/>
      <c r="AL5812" s="35"/>
    </row>
    <row r="5813">
      <c r="A5813" s="18" t="s">
        <v>2</v>
      </c>
      <c r="B5813" s="19" t="s">
        <v>19332</v>
      </c>
      <c r="C5813" s="158" t="s">
        <v>6113</v>
      </c>
      <c r="D5813" s="159"/>
      <c r="E5813" s="22" t="s">
        <v>27432</v>
      </c>
      <c r="F5813" s="22" t="s">
        <v>797</v>
      </c>
      <c r="G5813" s="23">
        <v>2013.0</v>
      </c>
      <c r="H5813" s="22" t="s">
        <v>1025</v>
      </c>
      <c r="I5813" s="24" t="s">
        <v>27440</v>
      </c>
      <c r="J5813" s="22" t="s">
        <v>55</v>
      </c>
      <c r="K5813" s="22" t="s">
        <v>1240</v>
      </c>
      <c r="L5813" s="36">
        <v>660.0</v>
      </c>
      <c r="M5813" s="36">
        <v>40.0</v>
      </c>
      <c r="N5813" s="36" t="s">
        <v>58</v>
      </c>
      <c r="O5813" s="36" t="s">
        <v>27434</v>
      </c>
      <c r="P5813" s="37" t="s">
        <v>5127</v>
      </c>
      <c r="Q5813" s="36" t="s">
        <v>830</v>
      </c>
      <c r="R5813" s="36" t="s">
        <v>5127</v>
      </c>
      <c r="S5813" s="36">
        <v>14.0</v>
      </c>
      <c r="T5813" s="28" t="s">
        <v>27441</v>
      </c>
      <c r="U5813" s="38" t="str">
        <f>HYPERLINK("https://www.ncbi.nlm.nih.gov/pubmed/24337496","PubMed")</f>
        <v>PubMed</v>
      </c>
      <c r="V5813" s="30"/>
      <c r="W5813" s="49"/>
      <c r="X5813" s="49"/>
      <c r="Y5813" s="35"/>
      <c r="Z5813" s="35"/>
      <c r="AA5813" s="35"/>
      <c r="AB5813" s="35"/>
      <c r="AC5813" s="35"/>
      <c r="AD5813" s="35"/>
      <c r="AE5813" s="35"/>
      <c r="AF5813" s="35"/>
      <c r="AG5813" s="35"/>
      <c r="AH5813" s="35"/>
      <c r="AI5813" s="35"/>
      <c r="AJ5813" s="35"/>
      <c r="AK5813" s="35"/>
      <c r="AL5813" s="35"/>
    </row>
    <row r="5814">
      <c r="A5814" s="1"/>
      <c r="B5814" s="19" t="s">
        <v>27442</v>
      </c>
      <c r="C5814" s="158" t="s">
        <v>2036</v>
      </c>
      <c r="D5814" s="159"/>
      <c r="E5814" s="22" t="s">
        <v>13482</v>
      </c>
      <c r="F5814" s="22" t="s">
        <v>5270</v>
      </c>
      <c r="G5814" s="23">
        <v>2017.0</v>
      </c>
      <c r="H5814" s="22" t="s">
        <v>27443</v>
      </c>
      <c r="I5814" s="24" t="s">
        <v>27444</v>
      </c>
      <c r="J5814" s="22" t="s">
        <v>125</v>
      </c>
      <c r="K5814" s="22"/>
      <c r="L5814" s="105" t="s">
        <v>27445</v>
      </c>
      <c r="M5814" s="44"/>
      <c r="N5814" s="44"/>
      <c r="O5814" s="44"/>
      <c r="P5814" s="44"/>
      <c r="Q5814" s="44"/>
      <c r="R5814" s="44"/>
      <c r="S5814" s="44"/>
      <c r="T5814" s="45"/>
      <c r="U5814" s="38" t="str">
        <f>HYPERLINK("https://www.ncbi.nlm.nih.gov/pubmed/28466181","PubMed")</f>
        <v>PubMed</v>
      </c>
      <c r="V5814" s="30"/>
      <c r="W5814" s="49"/>
      <c r="X5814" s="49"/>
      <c r="Y5814" s="35"/>
      <c r="Z5814" s="35"/>
      <c r="AA5814" s="35"/>
      <c r="AB5814" s="35"/>
      <c r="AC5814" s="35"/>
      <c r="AD5814" s="35"/>
      <c r="AE5814" s="35"/>
      <c r="AF5814" s="35"/>
      <c r="AG5814" s="35"/>
      <c r="AH5814" s="35"/>
      <c r="AI5814" s="35"/>
      <c r="AJ5814" s="35"/>
      <c r="AK5814" s="35"/>
      <c r="AL5814" s="35"/>
    </row>
    <row r="5815">
      <c r="A5815" s="18" t="s">
        <v>2</v>
      </c>
      <c r="B5815" s="19" t="s">
        <v>3930</v>
      </c>
      <c r="C5815" s="20" t="s">
        <v>27446</v>
      </c>
      <c r="D5815" s="47"/>
      <c r="E5815" s="22" t="s">
        <v>27447</v>
      </c>
      <c r="F5815" s="22" t="s">
        <v>5223</v>
      </c>
      <c r="G5815" s="23">
        <v>2024.0</v>
      </c>
      <c r="H5815" s="22" t="s">
        <v>452</v>
      </c>
      <c r="I5815" s="24" t="s">
        <v>27448</v>
      </c>
      <c r="J5815" s="22" t="s">
        <v>125</v>
      </c>
      <c r="K5815" s="22"/>
      <c r="L5815" s="105" t="s">
        <v>27449</v>
      </c>
      <c r="M5815" s="44"/>
      <c r="N5815" s="44"/>
      <c r="O5815" s="44"/>
      <c r="P5815" s="44"/>
      <c r="Q5815" s="44"/>
      <c r="R5815" s="44"/>
      <c r="S5815" s="44"/>
      <c r="T5815" s="45"/>
      <c r="U5815" s="38" t="s">
        <v>61</v>
      </c>
      <c r="V5815" s="30"/>
      <c r="W5815" s="31"/>
      <c r="X5815" s="31"/>
      <c r="Y5815" s="31"/>
      <c r="Z5815" s="32"/>
      <c r="AA5815" s="31"/>
      <c r="AB5815" s="31"/>
      <c r="AC5815" s="9"/>
      <c r="AD5815" s="31"/>
      <c r="AE5815" s="31"/>
      <c r="AF5815" s="33"/>
      <c r="AG5815" s="34"/>
      <c r="AH5815" s="31"/>
      <c r="AI5815" s="35"/>
      <c r="AJ5815" s="35"/>
      <c r="AK5815" s="35"/>
      <c r="AL5815" s="35"/>
    </row>
    <row r="5816">
      <c r="A5816" s="18" t="s">
        <v>2</v>
      </c>
      <c r="B5816" s="19" t="s">
        <v>3930</v>
      </c>
      <c r="C5816" s="20" t="s">
        <v>27446</v>
      </c>
      <c r="D5816" s="159"/>
      <c r="E5816" s="22" t="s">
        <v>27447</v>
      </c>
      <c r="F5816" s="22" t="s">
        <v>5223</v>
      </c>
      <c r="G5816" s="23">
        <v>2023.0</v>
      </c>
      <c r="H5816" s="22" t="s">
        <v>452</v>
      </c>
      <c r="I5816" s="24" t="s">
        <v>27450</v>
      </c>
      <c r="J5816" s="22" t="s">
        <v>31</v>
      </c>
      <c r="K5816" s="22" t="s">
        <v>27451</v>
      </c>
      <c r="L5816" s="36"/>
      <c r="M5816" s="36"/>
      <c r="N5816" s="36"/>
      <c r="O5816" s="36"/>
      <c r="P5816" s="37"/>
      <c r="Q5816" s="36"/>
      <c r="R5816" s="36"/>
      <c r="S5816" s="36"/>
      <c r="T5816" s="28" t="s">
        <v>27452</v>
      </c>
      <c r="U5816" s="38" t="s">
        <v>61</v>
      </c>
      <c r="V5816" s="30"/>
      <c r="W5816" s="49"/>
      <c r="X5816" s="49"/>
      <c r="Y5816" s="35"/>
      <c r="Z5816" s="35"/>
      <c r="AA5816" s="35"/>
      <c r="AB5816" s="35"/>
      <c r="AC5816" s="35"/>
      <c r="AD5816" s="35"/>
      <c r="AE5816" s="35"/>
      <c r="AF5816" s="35"/>
      <c r="AG5816" s="35"/>
      <c r="AH5816" s="35"/>
      <c r="AI5816" s="35"/>
      <c r="AJ5816" s="35"/>
      <c r="AK5816" s="35"/>
      <c r="AL5816" s="35"/>
    </row>
    <row r="5817">
      <c r="A5817" s="39"/>
      <c r="B5817" s="19" t="s">
        <v>3930</v>
      </c>
      <c r="C5817" s="20" t="s">
        <v>27446</v>
      </c>
      <c r="D5817" s="47"/>
      <c r="E5817" s="22" t="s">
        <v>3980</v>
      </c>
      <c r="F5817" s="22" t="s">
        <v>1862</v>
      </c>
      <c r="G5817" s="23">
        <v>2023.0</v>
      </c>
      <c r="H5817" s="22" t="s">
        <v>191</v>
      </c>
      <c r="I5817" s="24" t="s">
        <v>15263</v>
      </c>
      <c r="J5817" s="22" t="s">
        <v>125</v>
      </c>
      <c r="K5817" s="22" t="s">
        <v>27453</v>
      </c>
      <c r="L5817" s="105" t="s">
        <v>27454</v>
      </c>
      <c r="M5817" s="44"/>
      <c r="N5817" s="44"/>
      <c r="O5817" s="44"/>
      <c r="P5817" s="44"/>
      <c r="Q5817" s="44"/>
      <c r="R5817" s="44"/>
      <c r="S5817" s="44"/>
      <c r="T5817" s="45"/>
      <c r="U5817" s="38" t="s">
        <v>2453</v>
      </c>
      <c r="V5817" s="30"/>
      <c r="W5817" s="31"/>
      <c r="X5817" s="31"/>
      <c r="Y5817" s="31"/>
      <c r="Z5817" s="32"/>
      <c r="AA5817" s="31"/>
      <c r="AB5817" s="31"/>
      <c r="AC5817" s="9"/>
      <c r="AD5817" s="31"/>
      <c r="AE5817" s="31"/>
      <c r="AF5817" s="33"/>
      <c r="AG5817" s="34"/>
      <c r="AH5817" s="31"/>
      <c r="AI5817" s="35"/>
      <c r="AJ5817" s="35"/>
      <c r="AK5817" s="35"/>
      <c r="AL5817" s="35"/>
    </row>
    <row r="5818">
      <c r="A5818" s="39"/>
      <c r="B5818" s="19" t="s">
        <v>3930</v>
      </c>
      <c r="C5818" s="20" t="s">
        <v>27446</v>
      </c>
      <c r="D5818" s="47"/>
      <c r="E5818" s="22" t="s">
        <v>2482</v>
      </c>
      <c r="F5818" s="22" t="s">
        <v>2702</v>
      </c>
      <c r="G5818" s="23">
        <v>2022.0</v>
      </c>
      <c r="H5818" s="22" t="s">
        <v>77</v>
      </c>
      <c r="I5818" s="24" t="s">
        <v>27455</v>
      </c>
      <c r="J5818" s="22" t="s">
        <v>202</v>
      </c>
      <c r="K5818" s="22"/>
      <c r="L5818" s="105"/>
      <c r="M5818" s="44"/>
      <c r="N5818" s="44"/>
      <c r="O5818" s="44"/>
      <c r="P5818" s="44"/>
      <c r="Q5818" s="44"/>
      <c r="R5818" s="44"/>
      <c r="S5818" s="44"/>
      <c r="T5818" s="45"/>
      <c r="U5818" s="38" t="s">
        <v>61</v>
      </c>
      <c r="V5818" s="30"/>
      <c r="W5818" s="31"/>
      <c r="X5818" s="31"/>
      <c r="Y5818" s="31"/>
      <c r="Z5818" s="32"/>
      <c r="AA5818" s="31"/>
      <c r="AB5818" s="31"/>
      <c r="AC5818" s="9"/>
      <c r="AD5818" s="31"/>
      <c r="AE5818" s="31"/>
      <c r="AF5818" s="33"/>
      <c r="AG5818" s="34"/>
      <c r="AH5818" s="31"/>
      <c r="AI5818" s="35"/>
      <c r="AJ5818" s="35"/>
      <c r="AK5818" s="35"/>
      <c r="AL5818" s="35"/>
    </row>
    <row r="5819">
      <c r="A5819" s="39"/>
      <c r="B5819" s="19" t="s">
        <v>3930</v>
      </c>
      <c r="C5819" s="20" t="s">
        <v>27446</v>
      </c>
      <c r="D5819" s="47"/>
      <c r="E5819" s="22" t="s">
        <v>4095</v>
      </c>
      <c r="F5819" s="22" t="s">
        <v>27456</v>
      </c>
      <c r="G5819" s="23">
        <v>2022.0</v>
      </c>
      <c r="H5819" s="22" t="s">
        <v>2225</v>
      </c>
      <c r="I5819" s="24" t="s">
        <v>27457</v>
      </c>
      <c r="J5819" s="22" t="s">
        <v>125</v>
      </c>
      <c r="K5819" s="22"/>
      <c r="L5819" s="105" t="s">
        <v>27458</v>
      </c>
      <c r="M5819" s="44"/>
      <c r="N5819" s="44"/>
      <c r="O5819" s="44"/>
      <c r="P5819" s="44"/>
      <c r="Q5819" s="44"/>
      <c r="R5819" s="44"/>
      <c r="S5819" s="44"/>
      <c r="T5819" s="45"/>
      <c r="U5819" s="29" t="s">
        <v>61</v>
      </c>
      <c r="V5819" s="30"/>
      <c r="W5819" s="31"/>
      <c r="X5819" s="31"/>
      <c r="Y5819" s="31"/>
      <c r="Z5819" s="32"/>
      <c r="AA5819" s="31"/>
      <c r="AB5819" s="31"/>
      <c r="AC5819" s="9"/>
      <c r="AD5819" s="31"/>
      <c r="AE5819" s="31"/>
      <c r="AF5819" s="33"/>
      <c r="AG5819" s="34"/>
      <c r="AH5819" s="31"/>
      <c r="AI5819" s="35"/>
      <c r="AJ5819" s="35"/>
      <c r="AK5819" s="35"/>
      <c r="AL5819" s="35"/>
    </row>
    <row r="5820">
      <c r="A5820" s="39"/>
      <c r="B5820" s="19" t="s">
        <v>3930</v>
      </c>
      <c r="C5820" s="20" t="s">
        <v>27446</v>
      </c>
      <c r="D5820" s="47"/>
      <c r="E5820" s="22" t="s">
        <v>27459</v>
      </c>
      <c r="F5820" s="22" t="s">
        <v>5429</v>
      </c>
      <c r="G5820" s="23">
        <v>2021.0</v>
      </c>
      <c r="H5820" s="22" t="s">
        <v>2181</v>
      </c>
      <c r="I5820" s="24" t="s">
        <v>27460</v>
      </c>
      <c r="J5820" s="22" t="s">
        <v>31</v>
      </c>
      <c r="K5820" s="22"/>
      <c r="L5820" s="389" t="s">
        <v>27461</v>
      </c>
      <c r="M5820" s="44"/>
      <c r="N5820" s="44"/>
      <c r="O5820" s="44"/>
      <c r="P5820" s="44"/>
      <c r="Q5820" s="44"/>
      <c r="R5820" s="44"/>
      <c r="S5820" s="44"/>
      <c r="T5820" s="45"/>
      <c r="U5820" s="29" t="s">
        <v>61</v>
      </c>
      <c r="V5820" s="30"/>
      <c r="W5820" s="31"/>
      <c r="X5820" s="31"/>
      <c r="Y5820" s="31"/>
      <c r="Z5820" s="32"/>
      <c r="AA5820" s="31"/>
      <c r="AB5820" s="31"/>
      <c r="AC5820" s="9"/>
      <c r="AD5820" s="31"/>
      <c r="AE5820" s="31"/>
      <c r="AF5820" s="33"/>
      <c r="AG5820" s="34"/>
      <c r="AH5820" s="31"/>
      <c r="AI5820" s="35"/>
      <c r="AJ5820" s="35"/>
      <c r="AK5820" s="35"/>
      <c r="AL5820" s="35"/>
    </row>
    <row r="5821">
      <c r="A5821" s="39"/>
      <c r="B5821" s="19" t="s">
        <v>3930</v>
      </c>
      <c r="C5821" s="20" t="s">
        <v>27446</v>
      </c>
      <c r="D5821" s="47"/>
      <c r="E5821" s="22" t="s">
        <v>27462</v>
      </c>
      <c r="F5821" s="22" t="s">
        <v>27463</v>
      </c>
      <c r="G5821" s="23">
        <v>2020.0</v>
      </c>
      <c r="H5821" s="22" t="s">
        <v>452</v>
      </c>
      <c r="I5821" s="24" t="s">
        <v>27464</v>
      </c>
      <c r="J5821" s="22" t="s">
        <v>125</v>
      </c>
      <c r="K5821" s="22"/>
      <c r="L5821" s="389" t="s">
        <v>27465</v>
      </c>
      <c r="M5821" s="44"/>
      <c r="N5821" s="44"/>
      <c r="O5821" s="44"/>
      <c r="P5821" s="44"/>
      <c r="Q5821" s="44"/>
      <c r="R5821" s="44"/>
      <c r="S5821" s="44"/>
      <c r="T5821" s="45"/>
      <c r="U5821" s="29" t="s">
        <v>61</v>
      </c>
      <c r="V5821" s="30"/>
      <c r="W5821" s="31"/>
      <c r="X5821" s="31"/>
      <c r="Y5821" s="31"/>
      <c r="Z5821" s="32"/>
      <c r="AA5821" s="31"/>
      <c r="AB5821" s="31"/>
      <c r="AC5821" s="9"/>
      <c r="AD5821" s="31"/>
      <c r="AE5821" s="31"/>
      <c r="AF5821" s="33"/>
      <c r="AG5821" s="34"/>
      <c r="AH5821" s="31"/>
      <c r="AI5821" s="35"/>
      <c r="AJ5821" s="35"/>
      <c r="AK5821" s="35"/>
      <c r="AL5821" s="35"/>
    </row>
    <row r="5822">
      <c r="A5822" s="39"/>
      <c r="B5822" s="19" t="s">
        <v>3930</v>
      </c>
      <c r="C5822" s="20" t="s">
        <v>27446</v>
      </c>
      <c r="D5822" s="47"/>
      <c r="E5822" s="22" t="s">
        <v>27466</v>
      </c>
      <c r="F5822" s="22" t="s">
        <v>10550</v>
      </c>
      <c r="G5822" s="23">
        <v>2019.0</v>
      </c>
      <c r="H5822" s="22" t="s">
        <v>27467</v>
      </c>
      <c r="I5822" s="24" t="s">
        <v>27468</v>
      </c>
      <c r="J5822" s="22"/>
      <c r="K5822" s="22"/>
      <c r="L5822" s="389" t="s">
        <v>27469</v>
      </c>
      <c r="M5822" s="44"/>
      <c r="N5822" s="44"/>
      <c r="O5822" s="44"/>
      <c r="P5822" s="44"/>
      <c r="Q5822" s="44"/>
      <c r="R5822" s="44"/>
      <c r="S5822" s="44"/>
      <c r="T5822" s="45"/>
      <c r="U5822" s="29" t="s">
        <v>61</v>
      </c>
      <c r="V5822" s="30"/>
      <c r="W5822" s="31"/>
      <c r="X5822" s="31"/>
      <c r="Y5822" s="31"/>
      <c r="Z5822" s="32"/>
      <c r="AA5822" s="31"/>
      <c r="AB5822" s="31"/>
      <c r="AC5822" s="9"/>
      <c r="AD5822" s="31"/>
      <c r="AE5822" s="31"/>
      <c r="AF5822" s="33"/>
      <c r="AG5822" s="34"/>
      <c r="AH5822" s="31"/>
      <c r="AI5822" s="35"/>
      <c r="AJ5822" s="35"/>
      <c r="AK5822" s="35"/>
      <c r="AL5822" s="35"/>
    </row>
    <row r="5823">
      <c r="A5823" s="39"/>
      <c r="B5823" s="19" t="s">
        <v>3930</v>
      </c>
      <c r="C5823" s="20" t="s">
        <v>27446</v>
      </c>
      <c r="D5823" s="47"/>
      <c r="E5823" s="22" t="s">
        <v>10326</v>
      </c>
      <c r="F5823" s="22" t="s">
        <v>10550</v>
      </c>
      <c r="G5823" s="23">
        <v>2018.0</v>
      </c>
      <c r="H5823" s="22" t="s">
        <v>27470</v>
      </c>
      <c r="I5823" s="24" t="s">
        <v>27471</v>
      </c>
      <c r="J5823" s="22" t="s">
        <v>31</v>
      </c>
      <c r="K5823" s="22" t="s">
        <v>27472</v>
      </c>
      <c r="L5823" s="389" t="s">
        <v>27473</v>
      </c>
      <c r="M5823" s="44"/>
      <c r="N5823" s="44"/>
      <c r="O5823" s="44"/>
      <c r="P5823" s="44"/>
      <c r="Q5823" s="44"/>
      <c r="R5823" s="44"/>
      <c r="S5823" s="44"/>
      <c r="T5823" s="45"/>
      <c r="U5823" s="38" t="str">
        <f>HYPERLINK("https://www.ncbi.nlm.nih.gov/pubmed/29427954","PubMed")</f>
        <v>PubMed</v>
      </c>
      <c r="V5823" s="30"/>
      <c r="W5823" s="31"/>
      <c r="X5823" s="31"/>
      <c r="Y5823" s="31"/>
      <c r="Z5823" s="32"/>
      <c r="AA5823" s="31"/>
      <c r="AB5823" s="31"/>
      <c r="AC5823" s="9"/>
      <c r="AD5823" s="31"/>
      <c r="AE5823" s="31"/>
      <c r="AF5823" s="33"/>
      <c r="AG5823" s="34"/>
      <c r="AH5823" s="31"/>
      <c r="AI5823" s="35"/>
      <c r="AJ5823" s="35"/>
      <c r="AK5823" s="35"/>
      <c r="AL5823" s="35"/>
    </row>
    <row r="5824">
      <c r="A5824" s="39"/>
      <c r="B5824" s="19" t="s">
        <v>3930</v>
      </c>
      <c r="C5824" s="20" t="s">
        <v>27446</v>
      </c>
      <c r="D5824" s="47"/>
      <c r="E5824" s="22" t="s">
        <v>27300</v>
      </c>
      <c r="F5824" s="22" t="s">
        <v>1891</v>
      </c>
      <c r="G5824" s="23">
        <v>2015.0</v>
      </c>
      <c r="H5824" s="22" t="s">
        <v>2153</v>
      </c>
      <c r="I5824" s="24" t="s">
        <v>27474</v>
      </c>
      <c r="J5824" s="22" t="s">
        <v>125</v>
      </c>
      <c r="K5824" s="22"/>
      <c r="L5824" s="389" t="s">
        <v>27475</v>
      </c>
      <c r="M5824" s="44"/>
      <c r="N5824" s="44"/>
      <c r="O5824" s="44"/>
      <c r="P5824" s="44"/>
      <c r="Q5824" s="44"/>
      <c r="R5824" s="44"/>
      <c r="S5824" s="44"/>
      <c r="T5824" s="45"/>
      <c r="U5824" s="29" t="s">
        <v>61</v>
      </c>
      <c r="V5824" s="30"/>
      <c r="W5824" s="31"/>
      <c r="X5824" s="31"/>
      <c r="Y5824" s="31"/>
      <c r="Z5824" s="32"/>
      <c r="AA5824" s="31"/>
      <c r="AB5824" s="31"/>
      <c r="AC5824" s="9"/>
      <c r="AD5824" s="31"/>
      <c r="AE5824" s="31"/>
      <c r="AF5824" s="33"/>
      <c r="AG5824" s="34"/>
      <c r="AH5824" s="31"/>
      <c r="AI5824" s="35"/>
      <c r="AJ5824" s="35"/>
      <c r="AK5824" s="35"/>
      <c r="AL5824" s="35"/>
    </row>
    <row r="5825">
      <c r="A5825" s="39"/>
      <c r="B5825" s="19" t="s">
        <v>3930</v>
      </c>
      <c r="C5825" s="20" t="s">
        <v>27446</v>
      </c>
      <c r="D5825" s="47"/>
      <c r="E5825" s="22" t="s">
        <v>27476</v>
      </c>
      <c r="F5825" s="22" t="s">
        <v>313</v>
      </c>
      <c r="G5825" s="23">
        <v>2014.0</v>
      </c>
      <c r="H5825" s="22" t="s">
        <v>207</v>
      </c>
      <c r="I5825" s="24" t="s">
        <v>27477</v>
      </c>
      <c r="J5825" s="22" t="s">
        <v>125</v>
      </c>
      <c r="K5825" s="22"/>
      <c r="L5825" s="389" t="s">
        <v>27478</v>
      </c>
      <c r="M5825" s="44"/>
      <c r="N5825" s="44"/>
      <c r="O5825" s="44"/>
      <c r="P5825" s="44"/>
      <c r="Q5825" s="44"/>
      <c r="R5825" s="44"/>
      <c r="S5825" s="44"/>
      <c r="T5825" s="45"/>
      <c r="U5825" s="29" t="s">
        <v>61</v>
      </c>
      <c r="V5825" s="30"/>
      <c r="W5825" s="31"/>
      <c r="X5825" s="31"/>
      <c r="Y5825" s="31"/>
      <c r="Z5825" s="32"/>
      <c r="AA5825" s="31"/>
      <c r="AB5825" s="31"/>
      <c r="AC5825" s="9"/>
      <c r="AD5825" s="31"/>
      <c r="AE5825" s="31"/>
      <c r="AF5825" s="33"/>
      <c r="AG5825" s="34"/>
      <c r="AH5825" s="31"/>
      <c r="AI5825" s="35"/>
      <c r="AJ5825" s="35"/>
      <c r="AK5825" s="35"/>
      <c r="AL5825" s="35"/>
    </row>
    <row r="5826">
      <c r="A5826" s="39"/>
      <c r="B5826" s="19" t="s">
        <v>3930</v>
      </c>
      <c r="C5826" s="20" t="s">
        <v>27446</v>
      </c>
      <c r="D5826" s="47"/>
      <c r="E5826" s="22" t="s">
        <v>27476</v>
      </c>
      <c r="F5826" s="22" t="s">
        <v>313</v>
      </c>
      <c r="G5826" s="23">
        <v>2014.0</v>
      </c>
      <c r="H5826" s="22" t="s">
        <v>627</v>
      </c>
      <c r="I5826" s="24" t="s">
        <v>27479</v>
      </c>
      <c r="J5826" s="22" t="s">
        <v>31</v>
      </c>
      <c r="K5826" s="22"/>
      <c r="L5826" s="389" t="s">
        <v>27480</v>
      </c>
      <c r="M5826" s="44"/>
      <c r="N5826" s="44"/>
      <c r="O5826" s="44"/>
      <c r="P5826" s="44"/>
      <c r="Q5826" s="44"/>
      <c r="R5826" s="44"/>
      <c r="S5826" s="44"/>
      <c r="T5826" s="45"/>
      <c r="U5826" s="29" t="s">
        <v>61</v>
      </c>
      <c r="V5826" s="30"/>
      <c r="W5826" s="31"/>
      <c r="X5826" s="31"/>
      <c r="Y5826" s="31"/>
      <c r="Z5826" s="32"/>
      <c r="AA5826" s="31"/>
      <c r="AB5826" s="31"/>
      <c r="AC5826" s="9"/>
      <c r="AD5826" s="31"/>
      <c r="AE5826" s="31"/>
      <c r="AF5826" s="33"/>
      <c r="AG5826" s="34"/>
      <c r="AH5826" s="31"/>
      <c r="AI5826" s="35"/>
      <c r="AJ5826" s="35"/>
      <c r="AK5826" s="35"/>
      <c r="AL5826" s="35"/>
    </row>
    <row r="5827">
      <c r="A5827" s="39"/>
      <c r="B5827" s="19" t="s">
        <v>3930</v>
      </c>
      <c r="C5827" s="20" t="s">
        <v>27446</v>
      </c>
      <c r="D5827" s="47"/>
      <c r="E5827" s="22" t="s">
        <v>27481</v>
      </c>
      <c r="F5827" s="22" t="s">
        <v>27482</v>
      </c>
      <c r="G5827" s="23">
        <v>2013.0</v>
      </c>
      <c r="H5827" s="22" t="s">
        <v>2181</v>
      </c>
      <c r="I5827" s="24" t="s">
        <v>27483</v>
      </c>
      <c r="J5827" s="22"/>
      <c r="K5827" s="22"/>
      <c r="L5827" s="389" t="s">
        <v>27484</v>
      </c>
      <c r="M5827" s="44"/>
      <c r="N5827" s="44"/>
      <c r="O5827" s="44"/>
      <c r="P5827" s="44"/>
      <c r="Q5827" s="44"/>
      <c r="R5827" s="44"/>
      <c r="S5827" s="44"/>
      <c r="T5827" s="45"/>
      <c r="U5827" s="29" t="s">
        <v>61</v>
      </c>
      <c r="V5827" s="30"/>
      <c r="W5827" s="31"/>
      <c r="X5827" s="31"/>
      <c r="Y5827" s="31"/>
      <c r="Z5827" s="32"/>
      <c r="AA5827" s="31"/>
      <c r="AB5827" s="31"/>
      <c r="AC5827" s="9"/>
      <c r="AD5827" s="31"/>
      <c r="AE5827" s="31"/>
      <c r="AF5827" s="33"/>
      <c r="AG5827" s="34"/>
      <c r="AH5827" s="31"/>
      <c r="AI5827" s="35"/>
      <c r="AJ5827" s="35"/>
      <c r="AK5827" s="35"/>
      <c r="AL5827" s="35"/>
    </row>
    <row r="5828">
      <c r="A5828" s="39"/>
      <c r="B5828" s="19" t="s">
        <v>3930</v>
      </c>
      <c r="C5828" s="20" t="s">
        <v>27446</v>
      </c>
      <c r="D5828" s="47"/>
      <c r="E5828" s="22" t="s">
        <v>27485</v>
      </c>
      <c r="F5828" s="22" t="s">
        <v>27482</v>
      </c>
      <c r="G5828" s="23">
        <v>2011.0</v>
      </c>
      <c r="H5828" s="22" t="s">
        <v>1025</v>
      </c>
      <c r="I5828" s="24" t="s">
        <v>27486</v>
      </c>
      <c r="J5828" s="22" t="s">
        <v>27487</v>
      </c>
      <c r="K5828" s="22"/>
      <c r="L5828" s="389" t="s">
        <v>27488</v>
      </c>
      <c r="M5828" s="44"/>
      <c r="N5828" s="44"/>
      <c r="O5828" s="44"/>
      <c r="P5828" s="44"/>
      <c r="Q5828" s="44"/>
      <c r="R5828" s="44"/>
      <c r="S5828" s="44"/>
      <c r="T5828" s="45"/>
      <c r="U5828" s="29" t="s">
        <v>61</v>
      </c>
      <c r="V5828" s="30"/>
      <c r="W5828" s="31"/>
      <c r="X5828" s="31"/>
      <c r="Y5828" s="31"/>
      <c r="Z5828" s="32"/>
      <c r="AA5828" s="31"/>
      <c r="AB5828" s="31"/>
      <c r="AC5828" s="9"/>
      <c r="AD5828" s="31"/>
      <c r="AE5828" s="31"/>
      <c r="AF5828" s="33"/>
      <c r="AG5828" s="34"/>
      <c r="AH5828" s="31"/>
      <c r="AI5828" s="35"/>
      <c r="AJ5828" s="35"/>
      <c r="AK5828" s="35"/>
      <c r="AL5828" s="35"/>
    </row>
    <row r="5829">
      <c r="A5829" s="39"/>
      <c r="B5829" s="19" t="s">
        <v>3930</v>
      </c>
      <c r="C5829" s="20" t="s">
        <v>27446</v>
      </c>
      <c r="D5829" s="47"/>
      <c r="E5829" s="22" t="s">
        <v>27489</v>
      </c>
      <c r="F5829" s="22" t="s">
        <v>27490</v>
      </c>
      <c r="G5829" s="23">
        <v>2011.0</v>
      </c>
      <c r="H5829" s="22" t="s">
        <v>15061</v>
      </c>
      <c r="I5829" s="24" t="s">
        <v>27491</v>
      </c>
      <c r="J5829" s="22" t="s">
        <v>31</v>
      </c>
      <c r="K5829" s="22"/>
      <c r="L5829" s="389" t="s">
        <v>27492</v>
      </c>
      <c r="M5829" s="44"/>
      <c r="N5829" s="44"/>
      <c r="O5829" s="44"/>
      <c r="P5829" s="44"/>
      <c r="Q5829" s="44"/>
      <c r="R5829" s="44"/>
      <c r="S5829" s="44"/>
      <c r="T5829" s="45"/>
      <c r="U5829" s="29" t="s">
        <v>61</v>
      </c>
      <c r="V5829" s="30"/>
      <c r="W5829" s="31"/>
      <c r="X5829" s="31"/>
      <c r="Y5829" s="31"/>
      <c r="Z5829" s="32"/>
      <c r="AA5829" s="31"/>
      <c r="AB5829" s="31"/>
      <c r="AC5829" s="9"/>
      <c r="AD5829" s="31"/>
      <c r="AE5829" s="31"/>
      <c r="AF5829" s="33"/>
      <c r="AG5829" s="34"/>
      <c r="AH5829" s="31"/>
      <c r="AI5829" s="35"/>
      <c r="AJ5829" s="35"/>
      <c r="AK5829" s="35"/>
      <c r="AL5829" s="35"/>
    </row>
    <row r="5830">
      <c r="A5830" s="39"/>
      <c r="B5830" s="19" t="s">
        <v>3930</v>
      </c>
      <c r="C5830" s="20" t="s">
        <v>27446</v>
      </c>
      <c r="D5830" s="47"/>
      <c r="E5830" s="22" t="s">
        <v>6053</v>
      </c>
      <c r="F5830" s="22" t="s">
        <v>313</v>
      </c>
      <c r="G5830" s="23">
        <v>2010.0</v>
      </c>
      <c r="H5830" s="22" t="s">
        <v>3950</v>
      </c>
      <c r="I5830" s="24" t="s">
        <v>27493</v>
      </c>
      <c r="J5830" s="22" t="s">
        <v>31</v>
      </c>
      <c r="K5830" s="22"/>
      <c r="L5830" s="389" t="s">
        <v>27494</v>
      </c>
      <c r="M5830" s="44"/>
      <c r="N5830" s="44"/>
      <c r="O5830" s="44"/>
      <c r="P5830" s="44"/>
      <c r="Q5830" s="44"/>
      <c r="R5830" s="44"/>
      <c r="S5830" s="44"/>
      <c r="T5830" s="45"/>
      <c r="U5830" s="29" t="s">
        <v>61</v>
      </c>
      <c r="V5830" s="30"/>
      <c r="W5830" s="31"/>
      <c r="X5830" s="31"/>
      <c r="Y5830" s="31"/>
      <c r="Z5830" s="32"/>
      <c r="AA5830" s="31"/>
      <c r="AB5830" s="31"/>
      <c r="AC5830" s="9"/>
      <c r="AD5830" s="31"/>
      <c r="AE5830" s="31"/>
      <c r="AF5830" s="33"/>
      <c r="AG5830" s="34"/>
      <c r="AH5830" s="31"/>
      <c r="AI5830" s="35"/>
      <c r="AJ5830" s="35"/>
      <c r="AK5830" s="35"/>
      <c r="AL5830" s="35"/>
    </row>
    <row r="5831">
      <c r="A5831" s="39"/>
      <c r="B5831" s="19" t="s">
        <v>3930</v>
      </c>
      <c r="C5831" s="20" t="s">
        <v>27446</v>
      </c>
      <c r="D5831" s="47"/>
      <c r="E5831" s="22" t="s">
        <v>27495</v>
      </c>
      <c r="F5831" s="22" t="s">
        <v>14112</v>
      </c>
      <c r="G5831" s="23">
        <v>2004.0</v>
      </c>
      <c r="H5831" s="22" t="s">
        <v>15357</v>
      </c>
      <c r="I5831" s="24" t="s">
        <v>27496</v>
      </c>
      <c r="J5831" s="22" t="s">
        <v>27497</v>
      </c>
      <c r="K5831" s="22"/>
      <c r="L5831" s="389" t="s">
        <v>27498</v>
      </c>
      <c r="M5831" s="44"/>
      <c r="N5831" s="44"/>
      <c r="O5831" s="44"/>
      <c r="P5831" s="44"/>
      <c r="Q5831" s="44"/>
      <c r="R5831" s="44"/>
      <c r="S5831" s="44"/>
      <c r="T5831" s="45"/>
      <c r="U5831" s="29" t="s">
        <v>61</v>
      </c>
      <c r="V5831" s="30"/>
      <c r="W5831" s="31"/>
      <c r="X5831" s="31"/>
      <c r="Y5831" s="31"/>
      <c r="Z5831" s="32"/>
      <c r="AA5831" s="31"/>
      <c r="AB5831" s="31"/>
      <c r="AC5831" s="9"/>
      <c r="AD5831" s="31"/>
      <c r="AE5831" s="31"/>
      <c r="AF5831" s="33"/>
      <c r="AG5831" s="34"/>
      <c r="AH5831" s="31"/>
      <c r="AI5831" s="35"/>
      <c r="AJ5831" s="35"/>
      <c r="AK5831" s="35"/>
      <c r="AL5831" s="35"/>
    </row>
    <row r="5832">
      <c r="A5832" s="39"/>
      <c r="B5832" s="19" t="s">
        <v>3930</v>
      </c>
      <c r="C5832" s="20" t="s">
        <v>27446</v>
      </c>
      <c r="D5832" s="47"/>
      <c r="E5832" s="22" t="s">
        <v>6784</v>
      </c>
      <c r="F5832" s="22" t="s">
        <v>1416</v>
      </c>
      <c r="G5832" s="23">
        <v>1999.0</v>
      </c>
      <c r="H5832" s="22" t="s">
        <v>4074</v>
      </c>
      <c r="I5832" s="24" t="s">
        <v>27499</v>
      </c>
      <c r="J5832" s="22" t="s">
        <v>378</v>
      </c>
      <c r="K5832" s="22"/>
      <c r="L5832" s="389" t="s">
        <v>27500</v>
      </c>
      <c r="M5832" s="44"/>
      <c r="N5832" s="44"/>
      <c r="O5832" s="44"/>
      <c r="P5832" s="44"/>
      <c r="Q5832" s="44"/>
      <c r="R5832" s="44"/>
      <c r="S5832" s="44"/>
      <c r="T5832" s="45"/>
      <c r="U5832" s="29" t="s">
        <v>61</v>
      </c>
      <c r="V5832" s="30"/>
      <c r="W5832" s="31"/>
      <c r="X5832" s="31"/>
      <c r="Y5832" s="31"/>
      <c r="Z5832" s="32"/>
      <c r="AA5832" s="31"/>
      <c r="AB5832" s="31"/>
      <c r="AC5832" s="9"/>
      <c r="AD5832" s="31"/>
      <c r="AE5832" s="31"/>
      <c r="AF5832" s="33"/>
      <c r="AG5832" s="34"/>
      <c r="AH5832" s="31"/>
      <c r="AI5832" s="35"/>
      <c r="AJ5832" s="35"/>
      <c r="AK5832" s="35"/>
      <c r="AL5832" s="35"/>
    </row>
    <row r="5833">
      <c r="A5833" s="39"/>
      <c r="B5833" s="19" t="s">
        <v>3930</v>
      </c>
      <c r="C5833" s="20" t="s">
        <v>27501</v>
      </c>
      <c r="D5833" s="47"/>
      <c r="E5833" s="22" t="s">
        <v>27502</v>
      </c>
      <c r="F5833" s="22" t="s">
        <v>5740</v>
      </c>
      <c r="G5833" s="23">
        <v>2024.0</v>
      </c>
      <c r="H5833" s="22" t="s">
        <v>2181</v>
      </c>
      <c r="I5833" s="24" t="s">
        <v>27503</v>
      </c>
      <c r="J5833" s="22" t="s">
        <v>31</v>
      </c>
      <c r="L5833" s="166"/>
      <c r="M5833" s="166"/>
      <c r="N5833" s="166"/>
      <c r="O5833" s="166"/>
      <c r="P5833" s="166"/>
      <c r="Q5833" s="166"/>
      <c r="R5833" s="166"/>
      <c r="S5833" s="166"/>
      <c r="T5833" s="137" t="s">
        <v>27504</v>
      </c>
      <c r="U5833" s="38" t="s">
        <v>61</v>
      </c>
      <c r="V5833" s="30"/>
      <c r="W5833" s="31"/>
      <c r="X5833" s="31"/>
      <c r="Y5833" s="31"/>
      <c r="Z5833" s="32"/>
      <c r="AA5833" s="31"/>
      <c r="AB5833" s="31"/>
      <c r="AC5833" s="9"/>
      <c r="AD5833" s="31"/>
      <c r="AE5833" s="31"/>
      <c r="AF5833" s="33"/>
      <c r="AG5833" s="34"/>
      <c r="AH5833" s="31"/>
      <c r="AI5833" s="35"/>
      <c r="AJ5833" s="35"/>
      <c r="AK5833" s="35"/>
      <c r="AL5833" s="35"/>
    </row>
    <row r="5834">
      <c r="A5834" s="39"/>
      <c r="B5834" s="19" t="s">
        <v>3930</v>
      </c>
      <c r="C5834" s="20" t="s">
        <v>6367</v>
      </c>
      <c r="D5834" s="47"/>
      <c r="E5834" s="22" t="s">
        <v>27505</v>
      </c>
      <c r="F5834" s="22"/>
      <c r="G5834" s="23">
        <v>2024.0</v>
      </c>
      <c r="H5834" s="22" t="s">
        <v>14079</v>
      </c>
      <c r="I5834" s="24" t="s">
        <v>27506</v>
      </c>
      <c r="J5834" s="22" t="s">
        <v>202</v>
      </c>
      <c r="L5834" s="105"/>
      <c r="M5834" s="44"/>
      <c r="N5834" s="44"/>
      <c r="O5834" s="44"/>
      <c r="P5834" s="44"/>
      <c r="Q5834" s="44"/>
      <c r="R5834" s="44"/>
      <c r="S5834" s="44"/>
      <c r="T5834" s="45"/>
      <c r="U5834" s="38" t="s">
        <v>61</v>
      </c>
      <c r="V5834" s="30"/>
      <c r="W5834" s="31"/>
      <c r="X5834" s="31"/>
      <c r="Y5834" s="31"/>
      <c r="Z5834" s="32"/>
      <c r="AA5834" s="31"/>
      <c r="AB5834" s="31"/>
      <c r="AC5834" s="9"/>
      <c r="AD5834" s="31"/>
      <c r="AE5834" s="31"/>
      <c r="AF5834" s="33"/>
      <c r="AG5834" s="34"/>
      <c r="AH5834" s="31"/>
      <c r="AI5834" s="35"/>
      <c r="AJ5834" s="35"/>
      <c r="AK5834" s="35"/>
      <c r="AL5834" s="35"/>
    </row>
    <row r="5835">
      <c r="A5835" s="39"/>
      <c r="B5835" s="19" t="s">
        <v>3930</v>
      </c>
      <c r="C5835" s="20" t="s">
        <v>6367</v>
      </c>
      <c r="D5835" s="47"/>
      <c r="E5835" s="22" t="s">
        <v>14776</v>
      </c>
      <c r="F5835" s="22" t="s">
        <v>1386</v>
      </c>
      <c r="G5835" s="23">
        <v>2023.0</v>
      </c>
      <c r="H5835" s="22" t="s">
        <v>77</v>
      </c>
      <c r="I5835" s="24" t="s">
        <v>27507</v>
      </c>
      <c r="J5835" s="22" t="s">
        <v>202</v>
      </c>
      <c r="L5835" s="105"/>
      <c r="M5835" s="44"/>
      <c r="N5835" s="44"/>
      <c r="O5835" s="44"/>
      <c r="P5835" s="44"/>
      <c r="Q5835" s="44"/>
      <c r="R5835" s="44"/>
      <c r="S5835" s="44"/>
      <c r="T5835" s="45"/>
      <c r="U5835" s="38" t="s">
        <v>61</v>
      </c>
      <c r="V5835" s="30"/>
      <c r="W5835" s="31"/>
      <c r="X5835" s="31"/>
      <c r="Y5835" s="31"/>
      <c r="Z5835" s="32"/>
      <c r="AA5835" s="31"/>
      <c r="AB5835" s="31"/>
      <c r="AC5835" s="9"/>
      <c r="AD5835" s="31"/>
      <c r="AE5835" s="31"/>
      <c r="AF5835" s="33"/>
      <c r="AG5835" s="34"/>
      <c r="AH5835" s="31"/>
      <c r="AI5835" s="35"/>
      <c r="AJ5835" s="35"/>
      <c r="AK5835" s="35"/>
      <c r="AL5835" s="35"/>
    </row>
    <row r="5836">
      <c r="A5836" s="39"/>
      <c r="B5836" s="19" t="s">
        <v>3930</v>
      </c>
      <c r="C5836" s="20" t="s">
        <v>6367</v>
      </c>
      <c r="D5836" s="47"/>
      <c r="E5836" s="22" t="s">
        <v>2482</v>
      </c>
      <c r="F5836" s="22" t="s">
        <v>2702</v>
      </c>
      <c r="G5836" s="23">
        <v>2023.0</v>
      </c>
      <c r="H5836" s="22" t="s">
        <v>77</v>
      </c>
      <c r="I5836" s="24" t="s">
        <v>27508</v>
      </c>
      <c r="J5836" s="22" t="s">
        <v>202</v>
      </c>
      <c r="L5836" s="105"/>
      <c r="M5836" s="44"/>
      <c r="N5836" s="44"/>
      <c r="O5836" s="44"/>
      <c r="P5836" s="44"/>
      <c r="Q5836" s="44"/>
      <c r="R5836" s="44"/>
      <c r="S5836" s="44"/>
      <c r="T5836" s="45"/>
      <c r="U5836" s="38" t="s">
        <v>61</v>
      </c>
      <c r="V5836" s="30"/>
      <c r="W5836" s="31"/>
      <c r="X5836" s="31"/>
      <c r="Y5836" s="31"/>
      <c r="Z5836" s="32"/>
      <c r="AA5836" s="31"/>
      <c r="AB5836" s="31"/>
      <c r="AC5836" s="9"/>
      <c r="AD5836" s="31"/>
      <c r="AE5836" s="31"/>
      <c r="AF5836" s="33"/>
      <c r="AG5836" s="34"/>
      <c r="AH5836" s="31"/>
      <c r="AI5836" s="35"/>
      <c r="AJ5836" s="35"/>
      <c r="AK5836" s="35"/>
      <c r="AL5836" s="35"/>
    </row>
    <row r="5837">
      <c r="A5837" s="39"/>
      <c r="B5837" s="19" t="s">
        <v>3930</v>
      </c>
      <c r="C5837" s="20" t="s">
        <v>6367</v>
      </c>
      <c r="D5837" s="47"/>
      <c r="E5837" s="22" t="s">
        <v>12673</v>
      </c>
      <c r="F5837" s="22" t="s">
        <v>323</v>
      </c>
      <c r="G5837" s="23">
        <v>2022.0</v>
      </c>
      <c r="H5837" s="22" t="s">
        <v>147</v>
      </c>
      <c r="I5837" s="24" t="s">
        <v>27509</v>
      </c>
      <c r="J5837" s="22" t="s">
        <v>202</v>
      </c>
      <c r="L5837" s="105"/>
      <c r="M5837" s="44"/>
      <c r="N5837" s="44"/>
      <c r="O5837" s="44"/>
      <c r="P5837" s="44"/>
      <c r="Q5837" s="44"/>
      <c r="R5837" s="44"/>
      <c r="S5837" s="44"/>
      <c r="T5837" s="45"/>
      <c r="U5837" s="38" t="s">
        <v>61</v>
      </c>
      <c r="V5837" s="30"/>
      <c r="W5837" s="31"/>
      <c r="X5837" s="31"/>
      <c r="Y5837" s="31"/>
      <c r="Z5837" s="32"/>
      <c r="AA5837" s="31"/>
      <c r="AB5837" s="31"/>
      <c r="AC5837" s="9"/>
      <c r="AD5837" s="31"/>
      <c r="AE5837" s="31"/>
      <c r="AF5837" s="33"/>
      <c r="AG5837" s="34"/>
      <c r="AH5837" s="31"/>
      <c r="AI5837" s="35"/>
      <c r="AJ5837" s="35"/>
      <c r="AK5837" s="35"/>
      <c r="AL5837" s="35"/>
    </row>
    <row r="5838">
      <c r="A5838" s="39"/>
      <c r="B5838" s="19" t="s">
        <v>3930</v>
      </c>
      <c r="C5838" s="20" t="s">
        <v>6367</v>
      </c>
      <c r="D5838" s="47"/>
      <c r="E5838" s="22" t="s">
        <v>27510</v>
      </c>
      <c r="F5838" s="22" t="s">
        <v>65</v>
      </c>
      <c r="G5838" s="23">
        <v>2022.0</v>
      </c>
      <c r="H5838" s="22" t="s">
        <v>77</v>
      </c>
      <c r="I5838" s="24" t="s">
        <v>27511</v>
      </c>
      <c r="J5838" s="22" t="s">
        <v>202</v>
      </c>
      <c r="L5838" s="105"/>
      <c r="M5838" s="44"/>
      <c r="N5838" s="44"/>
      <c r="O5838" s="44"/>
      <c r="P5838" s="44"/>
      <c r="Q5838" s="44"/>
      <c r="R5838" s="44"/>
      <c r="S5838" s="44"/>
      <c r="T5838" s="45"/>
      <c r="U5838" s="38" t="s">
        <v>61</v>
      </c>
      <c r="V5838" s="30"/>
      <c r="W5838" s="31"/>
      <c r="X5838" s="31"/>
      <c r="Y5838" s="31"/>
      <c r="Z5838" s="32"/>
      <c r="AA5838" s="31"/>
      <c r="AB5838" s="31"/>
      <c r="AC5838" s="9"/>
      <c r="AD5838" s="31"/>
      <c r="AE5838" s="31"/>
      <c r="AF5838" s="33"/>
      <c r="AG5838" s="34"/>
      <c r="AH5838" s="31"/>
      <c r="AI5838" s="35"/>
      <c r="AJ5838" s="35"/>
      <c r="AK5838" s="35"/>
      <c r="AL5838" s="35"/>
    </row>
    <row r="5839">
      <c r="A5839" s="39"/>
      <c r="B5839" s="19" t="s">
        <v>3930</v>
      </c>
      <c r="C5839" s="20" t="s">
        <v>6367</v>
      </c>
      <c r="D5839" s="47"/>
      <c r="E5839" s="22" t="s">
        <v>2482</v>
      </c>
      <c r="F5839" s="22" t="s">
        <v>2702</v>
      </c>
      <c r="G5839" s="23">
        <v>2022.0</v>
      </c>
      <c r="H5839" s="22" t="s">
        <v>77</v>
      </c>
      <c r="I5839" s="24" t="s">
        <v>27512</v>
      </c>
      <c r="J5839" s="22" t="s">
        <v>202</v>
      </c>
      <c r="L5839" s="105"/>
      <c r="M5839" s="44"/>
      <c r="N5839" s="44"/>
      <c r="O5839" s="44"/>
      <c r="P5839" s="44"/>
      <c r="Q5839" s="44"/>
      <c r="R5839" s="44"/>
      <c r="S5839" s="44"/>
      <c r="T5839" s="45"/>
      <c r="U5839" s="38" t="s">
        <v>61</v>
      </c>
      <c r="V5839" s="30"/>
      <c r="W5839" s="31"/>
      <c r="X5839" s="31"/>
      <c r="Y5839" s="31"/>
      <c r="Z5839" s="32"/>
      <c r="AA5839" s="31"/>
      <c r="AB5839" s="31"/>
      <c r="AC5839" s="9"/>
      <c r="AD5839" s="31"/>
      <c r="AE5839" s="31"/>
      <c r="AF5839" s="33"/>
      <c r="AG5839" s="34"/>
      <c r="AH5839" s="31"/>
      <c r="AI5839" s="35"/>
      <c r="AJ5839" s="35"/>
      <c r="AK5839" s="35"/>
      <c r="AL5839" s="35"/>
    </row>
    <row r="5840">
      <c r="A5840" s="39"/>
      <c r="B5840" s="19" t="s">
        <v>3930</v>
      </c>
      <c r="C5840" s="20" t="s">
        <v>6367</v>
      </c>
      <c r="D5840" s="47"/>
      <c r="E5840" s="22" t="s">
        <v>12585</v>
      </c>
      <c r="F5840" s="22" t="s">
        <v>1465</v>
      </c>
      <c r="G5840" s="23">
        <v>2022.0</v>
      </c>
      <c r="H5840" s="22" t="s">
        <v>77</v>
      </c>
      <c r="I5840" s="24" t="s">
        <v>27513</v>
      </c>
      <c r="J5840" s="22" t="s">
        <v>202</v>
      </c>
      <c r="L5840" s="105"/>
      <c r="M5840" s="44"/>
      <c r="N5840" s="44"/>
      <c r="O5840" s="44"/>
      <c r="P5840" s="44"/>
      <c r="Q5840" s="44"/>
      <c r="R5840" s="44"/>
      <c r="S5840" s="44"/>
      <c r="T5840" s="45"/>
      <c r="U5840" s="29" t="s">
        <v>61</v>
      </c>
      <c r="V5840" s="30"/>
      <c r="W5840" s="31"/>
      <c r="X5840" s="31"/>
      <c r="Y5840" s="31"/>
      <c r="Z5840" s="32"/>
      <c r="AA5840" s="31"/>
      <c r="AB5840" s="31"/>
      <c r="AC5840" s="9"/>
      <c r="AD5840" s="31"/>
      <c r="AE5840" s="31"/>
      <c r="AF5840" s="33"/>
      <c r="AG5840" s="34"/>
      <c r="AH5840" s="31"/>
      <c r="AI5840" s="35"/>
      <c r="AJ5840" s="35"/>
      <c r="AK5840" s="35"/>
      <c r="AL5840" s="35"/>
    </row>
    <row r="5841">
      <c r="A5841" s="39"/>
      <c r="B5841" s="19" t="s">
        <v>3930</v>
      </c>
      <c r="C5841" s="20" t="s">
        <v>6367</v>
      </c>
      <c r="D5841" s="47"/>
      <c r="E5841" s="22" t="s">
        <v>27514</v>
      </c>
      <c r="F5841" s="22" t="s">
        <v>27515</v>
      </c>
      <c r="G5841" s="23">
        <v>2021.0</v>
      </c>
      <c r="H5841" s="22" t="s">
        <v>77</v>
      </c>
      <c r="I5841" s="24" t="s">
        <v>27516</v>
      </c>
      <c r="J5841" s="22" t="s">
        <v>3289</v>
      </c>
      <c r="L5841" s="105"/>
      <c r="M5841" s="44"/>
      <c r="N5841" s="44"/>
      <c r="O5841" s="44"/>
      <c r="P5841" s="44"/>
      <c r="Q5841" s="44"/>
      <c r="R5841" s="44"/>
      <c r="S5841" s="44"/>
      <c r="T5841" s="45"/>
      <c r="U5841" s="29" t="s">
        <v>61</v>
      </c>
      <c r="V5841" s="30"/>
      <c r="W5841" s="31"/>
      <c r="X5841" s="31"/>
      <c r="Y5841" s="31"/>
      <c r="Z5841" s="32"/>
      <c r="AA5841" s="31"/>
      <c r="AB5841" s="31"/>
      <c r="AC5841" s="9"/>
      <c r="AD5841" s="31"/>
      <c r="AE5841" s="31"/>
      <c r="AF5841" s="33"/>
      <c r="AG5841" s="34"/>
      <c r="AH5841" s="31"/>
      <c r="AI5841" s="35"/>
      <c r="AJ5841" s="35"/>
      <c r="AK5841" s="35"/>
      <c r="AL5841" s="35"/>
    </row>
    <row r="5842">
      <c r="A5842" s="39"/>
      <c r="B5842" s="19" t="s">
        <v>3930</v>
      </c>
      <c r="C5842" s="20" t="s">
        <v>6367</v>
      </c>
      <c r="D5842" s="47"/>
      <c r="E5842" s="22" t="s">
        <v>27517</v>
      </c>
      <c r="F5842" s="22" t="s">
        <v>2407</v>
      </c>
      <c r="G5842" s="23">
        <v>2019.0</v>
      </c>
      <c r="H5842" s="22" t="s">
        <v>77</v>
      </c>
      <c r="I5842" s="24" t="s">
        <v>27518</v>
      </c>
      <c r="J5842" s="22" t="s">
        <v>3289</v>
      </c>
      <c r="L5842" s="105" t="s">
        <v>27519</v>
      </c>
      <c r="M5842" s="44"/>
      <c r="N5842" s="44"/>
      <c r="O5842" s="44"/>
      <c r="P5842" s="44"/>
      <c r="Q5842" s="44"/>
      <c r="R5842" s="44"/>
      <c r="S5842" s="44"/>
      <c r="T5842" s="45"/>
      <c r="U5842" s="38" t="str">
        <f>HYPERLINK("https://www.ncbi.nlm.nih.gov/pubmed/31549918","PubMed")</f>
        <v>PubMed</v>
      </c>
      <c r="V5842" s="30"/>
      <c r="W5842" s="31"/>
      <c r="X5842" s="31"/>
      <c r="Y5842" s="31"/>
      <c r="Z5842" s="32"/>
      <c r="AA5842" s="31"/>
      <c r="AB5842" s="31"/>
      <c r="AC5842" s="9"/>
      <c r="AD5842" s="31"/>
      <c r="AE5842" s="31"/>
      <c r="AF5842" s="33"/>
      <c r="AG5842" s="34"/>
      <c r="AH5842" s="31"/>
      <c r="AI5842" s="35"/>
      <c r="AJ5842" s="35"/>
      <c r="AK5842" s="35"/>
      <c r="AL5842" s="35"/>
    </row>
    <row r="5843">
      <c r="A5843" s="39"/>
      <c r="B5843" s="19" t="s">
        <v>3930</v>
      </c>
      <c r="C5843" s="20" t="s">
        <v>6367</v>
      </c>
      <c r="D5843" s="47"/>
      <c r="E5843" s="22" t="s">
        <v>2482</v>
      </c>
      <c r="F5843" s="22" t="s">
        <v>2407</v>
      </c>
      <c r="G5843" s="23">
        <v>2018.0</v>
      </c>
      <c r="H5843" s="22" t="s">
        <v>658</v>
      </c>
      <c r="I5843" s="24" t="s">
        <v>27520</v>
      </c>
      <c r="J5843" s="22" t="s">
        <v>202</v>
      </c>
      <c r="L5843" s="105" t="s">
        <v>27521</v>
      </c>
      <c r="M5843" s="44"/>
      <c r="N5843" s="44"/>
      <c r="O5843" s="44"/>
      <c r="P5843" s="44"/>
      <c r="Q5843" s="44"/>
      <c r="R5843" s="44"/>
      <c r="S5843" s="44"/>
      <c r="T5843" s="45"/>
      <c r="U5843" s="38" t="str">
        <f>HYPERLINK("https://www.ncbi.nlm.nih.gov/pubmed/30089079","PubMed")</f>
        <v>PubMed</v>
      </c>
      <c r="V5843" s="30"/>
      <c r="W5843" s="31"/>
      <c r="X5843" s="31"/>
      <c r="Y5843" s="31"/>
      <c r="Z5843" s="32"/>
      <c r="AA5843" s="31"/>
      <c r="AB5843" s="31"/>
      <c r="AC5843" s="9"/>
      <c r="AD5843" s="31"/>
      <c r="AE5843" s="31"/>
      <c r="AF5843" s="33"/>
      <c r="AG5843" s="34"/>
      <c r="AH5843" s="31"/>
      <c r="AI5843" s="35"/>
      <c r="AJ5843" s="35"/>
      <c r="AK5843" s="35"/>
      <c r="AL5843" s="35"/>
    </row>
    <row r="5844">
      <c r="A5844" s="39" t="s">
        <v>2</v>
      </c>
      <c r="B5844" s="19" t="s">
        <v>3930</v>
      </c>
      <c r="C5844" s="20" t="s">
        <v>6367</v>
      </c>
      <c r="D5844" s="47"/>
      <c r="E5844" s="22" t="s">
        <v>9245</v>
      </c>
      <c r="F5844" s="22" t="s">
        <v>14321</v>
      </c>
      <c r="G5844" s="23">
        <v>2017.0</v>
      </c>
      <c r="H5844" s="22" t="s">
        <v>658</v>
      </c>
      <c r="I5844" s="24" t="s">
        <v>27522</v>
      </c>
      <c r="J5844" s="22" t="s">
        <v>202</v>
      </c>
      <c r="L5844" s="105" t="s">
        <v>27523</v>
      </c>
      <c r="M5844" s="44"/>
      <c r="N5844" s="44"/>
      <c r="O5844" s="44"/>
      <c r="P5844" s="44"/>
      <c r="Q5844" s="44"/>
      <c r="R5844" s="44"/>
      <c r="S5844" s="44"/>
      <c r="T5844" s="45"/>
      <c r="U5844" s="38" t="str">
        <f>HYPERLINK("https://www.ncbi.nlm.nih.gov/pubmed/28055687","PubMed")</f>
        <v>PubMed</v>
      </c>
      <c r="V5844" s="30"/>
      <c r="W5844" s="31"/>
      <c r="X5844" s="31"/>
      <c r="Y5844" s="31"/>
      <c r="Z5844" s="32"/>
      <c r="AA5844" s="31"/>
      <c r="AB5844" s="31"/>
      <c r="AC5844" s="9"/>
      <c r="AD5844" s="31"/>
      <c r="AE5844" s="31"/>
      <c r="AF5844" s="33"/>
      <c r="AG5844" s="34"/>
      <c r="AH5844" s="31"/>
      <c r="AI5844" s="35"/>
      <c r="AJ5844" s="35"/>
      <c r="AK5844" s="35"/>
      <c r="AL5844" s="35"/>
    </row>
    <row r="5845">
      <c r="A5845" s="1"/>
      <c r="B5845" s="19" t="s">
        <v>3930</v>
      </c>
      <c r="C5845" s="20" t="s">
        <v>6367</v>
      </c>
      <c r="D5845" s="47"/>
      <c r="E5845" s="22" t="s">
        <v>14776</v>
      </c>
      <c r="F5845" s="22" t="s">
        <v>1386</v>
      </c>
      <c r="G5845" s="23">
        <v>2016.0</v>
      </c>
      <c r="H5845" s="22" t="s">
        <v>658</v>
      </c>
      <c r="I5845" s="24" t="s">
        <v>27524</v>
      </c>
      <c r="J5845" s="22" t="s">
        <v>202</v>
      </c>
      <c r="L5845" s="105"/>
      <c r="M5845" s="44"/>
      <c r="N5845" s="44"/>
      <c r="O5845" s="44"/>
      <c r="P5845" s="44"/>
      <c r="Q5845" s="44"/>
      <c r="R5845" s="44"/>
      <c r="S5845" s="44"/>
      <c r="T5845" s="45"/>
      <c r="U5845" s="38" t="str">
        <f>HYPERLINK("https://www.ncbi.nlm.nih.gov/pubmed/27403607","PubMed")</f>
        <v>PubMed</v>
      </c>
      <c r="V5845" s="30"/>
      <c r="W5845" s="31"/>
      <c r="X5845" s="31"/>
      <c r="Y5845" s="31"/>
      <c r="Z5845" s="32"/>
      <c r="AA5845" s="31"/>
      <c r="AB5845" s="31"/>
      <c r="AC5845" s="9"/>
      <c r="AD5845" s="31"/>
      <c r="AE5845" s="31"/>
      <c r="AF5845" s="33"/>
      <c r="AG5845" s="34"/>
      <c r="AH5845" s="31"/>
      <c r="AI5845" s="35"/>
      <c r="AJ5845" s="35"/>
      <c r="AK5845" s="35"/>
      <c r="AL5845" s="35"/>
    </row>
    <row r="5846">
      <c r="A5846" s="1"/>
      <c r="B5846" s="19" t="s">
        <v>3930</v>
      </c>
      <c r="C5846" s="20" t="s">
        <v>6367</v>
      </c>
      <c r="D5846" s="47"/>
      <c r="E5846" s="22" t="s">
        <v>19330</v>
      </c>
      <c r="F5846" s="22" t="s">
        <v>5227</v>
      </c>
      <c r="G5846" s="23">
        <v>2015.0</v>
      </c>
      <c r="H5846" s="22" t="s">
        <v>658</v>
      </c>
      <c r="I5846" s="24" t="s">
        <v>27525</v>
      </c>
      <c r="J5846" s="22" t="s">
        <v>202</v>
      </c>
      <c r="L5846" s="105" t="s">
        <v>27526</v>
      </c>
      <c r="M5846" s="44"/>
      <c r="N5846" s="44"/>
      <c r="O5846" s="44"/>
      <c r="P5846" s="44"/>
      <c r="Q5846" s="44"/>
      <c r="R5846" s="44"/>
      <c r="S5846" s="44"/>
      <c r="T5846" s="45"/>
      <c r="U5846" s="38" t="str">
        <f>HYPERLINK("https://www.ncbi.nlm.nih.gov/pubmed/25514377","PubMed")</f>
        <v>PubMed</v>
      </c>
      <c r="V5846" s="30"/>
      <c r="W5846" s="31"/>
      <c r="X5846" s="31"/>
      <c r="Y5846" s="31"/>
      <c r="Z5846" s="32"/>
      <c r="AA5846" s="31"/>
      <c r="AB5846" s="31"/>
      <c r="AC5846" s="9"/>
      <c r="AD5846" s="31"/>
      <c r="AE5846" s="31"/>
      <c r="AF5846" s="33"/>
      <c r="AG5846" s="34"/>
      <c r="AH5846" s="31"/>
      <c r="AI5846" s="35"/>
      <c r="AJ5846" s="35"/>
      <c r="AK5846" s="35"/>
      <c r="AL5846" s="35"/>
    </row>
    <row r="5847">
      <c r="A5847" s="1"/>
      <c r="B5847" s="19" t="s">
        <v>3930</v>
      </c>
      <c r="C5847" s="20" t="s">
        <v>6367</v>
      </c>
      <c r="D5847" s="47"/>
      <c r="E5847" s="22" t="s">
        <v>27527</v>
      </c>
      <c r="F5847" s="22" t="s">
        <v>41</v>
      </c>
      <c r="G5847" s="23">
        <v>2015.0</v>
      </c>
      <c r="H5847" s="22" t="s">
        <v>658</v>
      </c>
      <c r="I5847" s="24" t="s">
        <v>27528</v>
      </c>
      <c r="J5847" s="22" t="s">
        <v>3289</v>
      </c>
      <c r="L5847" s="105" t="s">
        <v>27529</v>
      </c>
      <c r="M5847" s="44"/>
      <c r="N5847" s="44"/>
      <c r="O5847" s="44"/>
      <c r="P5847" s="44"/>
      <c r="Q5847" s="44"/>
      <c r="R5847" s="44"/>
      <c r="S5847" s="44"/>
      <c r="T5847" s="45"/>
      <c r="U5847" s="38" t="str">
        <f>HYPERLINK("https://www.ncbi.nlm.nih.gov/pubmed/26540109","PubMed")</f>
        <v>PubMed</v>
      </c>
      <c r="V5847" s="30"/>
      <c r="W5847" s="31"/>
      <c r="X5847" s="31"/>
      <c r="Y5847" s="31"/>
      <c r="Z5847" s="32"/>
      <c r="AA5847" s="31"/>
      <c r="AB5847" s="31"/>
      <c r="AC5847" s="9"/>
      <c r="AD5847" s="31"/>
      <c r="AE5847" s="31"/>
      <c r="AF5847" s="33"/>
      <c r="AG5847" s="34"/>
      <c r="AH5847" s="31"/>
      <c r="AI5847" s="35"/>
      <c r="AJ5847" s="35"/>
      <c r="AK5847" s="35"/>
      <c r="AL5847" s="35"/>
    </row>
    <row r="5848">
      <c r="A5848" s="1"/>
      <c r="B5848" s="19" t="s">
        <v>3930</v>
      </c>
      <c r="C5848" s="20" t="s">
        <v>6367</v>
      </c>
      <c r="D5848" s="47"/>
      <c r="E5848" s="22" t="s">
        <v>27530</v>
      </c>
      <c r="F5848" s="22" t="s">
        <v>23054</v>
      </c>
      <c r="G5848" s="23">
        <v>2015.0</v>
      </c>
      <c r="H5848" s="22" t="s">
        <v>658</v>
      </c>
      <c r="I5848" s="24" t="s">
        <v>27531</v>
      </c>
      <c r="J5848" s="22" t="s">
        <v>3289</v>
      </c>
      <c r="L5848" s="105" t="s">
        <v>27532</v>
      </c>
      <c r="M5848" s="44"/>
      <c r="N5848" s="44"/>
      <c r="O5848" s="44"/>
      <c r="P5848" s="44"/>
      <c r="Q5848" s="44"/>
      <c r="R5848" s="44"/>
      <c r="S5848" s="44"/>
      <c r="T5848" s="45"/>
      <c r="U5848" s="38" t="str">
        <f>HYPERLINK("https://www.ncbi.nlm.nih.gov/pubmed/26226168","PubMed")</f>
        <v>PubMed</v>
      </c>
      <c r="V5848" s="30"/>
      <c r="W5848" s="31"/>
      <c r="X5848" s="31"/>
      <c r="Y5848" s="31"/>
      <c r="Z5848" s="32"/>
      <c r="AA5848" s="31"/>
      <c r="AB5848" s="31"/>
      <c r="AC5848" s="9"/>
      <c r="AD5848" s="31"/>
      <c r="AE5848" s="31"/>
      <c r="AF5848" s="33"/>
      <c r="AG5848" s="34"/>
      <c r="AH5848" s="31"/>
      <c r="AI5848" s="35"/>
      <c r="AJ5848" s="35"/>
      <c r="AK5848" s="35"/>
      <c r="AL5848" s="35"/>
    </row>
    <row r="5849">
      <c r="A5849" s="1"/>
      <c r="B5849" s="19" t="s">
        <v>3930</v>
      </c>
      <c r="C5849" s="20" t="s">
        <v>6367</v>
      </c>
      <c r="D5849" s="47"/>
      <c r="E5849" s="22" t="s">
        <v>27533</v>
      </c>
      <c r="F5849" s="22" t="s">
        <v>3441</v>
      </c>
      <c r="G5849" s="23">
        <v>2015.0</v>
      </c>
      <c r="H5849" s="22" t="s">
        <v>658</v>
      </c>
      <c r="I5849" s="24" t="s">
        <v>27534</v>
      </c>
      <c r="J5849" s="22" t="s">
        <v>3289</v>
      </c>
      <c r="L5849" s="105" t="s">
        <v>27535</v>
      </c>
      <c r="M5849" s="44"/>
      <c r="N5849" s="44"/>
      <c r="O5849" s="44"/>
      <c r="P5849" s="44"/>
      <c r="Q5849" s="44"/>
      <c r="R5849" s="44"/>
      <c r="S5849" s="44"/>
      <c r="T5849" s="45"/>
      <c r="U5849" s="38" t="str">
        <f>HYPERLINK("https://www.ncbi.nlm.nih.gov/pubmed/26067938","PubMed")</f>
        <v>PubMed</v>
      </c>
      <c r="V5849" s="30"/>
      <c r="W5849" s="31"/>
      <c r="X5849" s="31"/>
      <c r="Y5849" s="31"/>
      <c r="Z5849" s="32"/>
      <c r="AA5849" s="31"/>
      <c r="AB5849" s="31"/>
      <c r="AC5849" s="9"/>
      <c r="AD5849" s="31"/>
      <c r="AE5849" s="31"/>
      <c r="AF5849" s="33"/>
      <c r="AG5849" s="34"/>
      <c r="AH5849" s="31"/>
      <c r="AI5849" s="35"/>
      <c r="AJ5849" s="35"/>
      <c r="AK5849" s="35"/>
      <c r="AL5849" s="35"/>
    </row>
    <row r="5850">
      <c r="A5850" s="1"/>
      <c r="B5850" s="19" t="s">
        <v>3930</v>
      </c>
      <c r="C5850" s="20" t="s">
        <v>6367</v>
      </c>
      <c r="D5850" s="47"/>
      <c r="E5850" s="22" t="s">
        <v>8834</v>
      </c>
      <c r="F5850" s="22" t="s">
        <v>5119</v>
      </c>
      <c r="G5850" s="23">
        <v>2014.0</v>
      </c>
      <c r="H5850" s="22" t="s">
        <v>658</v>
      </c>
      <c r="I5850" s="24" t="s">
        <v>27536</v>
      </c>
      <c r="J5850" s="22" t="s">
        <v>3289</v>
      </c>
      <c r="K5850" s="22"/>
      <c r="L5850" s="105" t="s">
        <v>27537</v>
      </c>
      <c r="M5850" s="44"/>
      <c r="N5850" s="44"/>
      <c r="O5850" s="44"/>
      <c r="P5850" s="44"/>
      <c r="Q5850" s="44"/>
      <c r="R5850" s="44"/>
      <c r="S5850" s="44"/>
      <c r="T5850" s="45"/>
      <c r="U5850" s="38" t="str">
        <f>HYPERLINK("https://www.ncbi.nlm.nih.gov/pubmed/24661051","PubMed")</f>
        <v>PubMed</v>
      </c>
      <c r="V5850" s="30"/>
      <c r="W5850" s="31"/>
      <c r="X5850" s="31"/>
      <c r="Y5850" s="31"/>
      <c r="Z5850" s="32"/>
      <c r="AA5850" s="31"/>
      <c r="AB5850" s="31"/>
      <c r="AC5850" s="9"/>
      <c r="AD5850" s="31"/>
      <c r="AE5850" s="31"/>
      <c r="AF5850" s="33"/>
      <c r="AG5850" s="34"/>
      <c r="AH5850" s="31"/>
      <c r="AI5850" s="35"/>
      <c r="AJ5850" s="35"/>
      <c r="AK5850" s="35"/>
      <c r="AL5850" s="35"/>
    </row>
    <row r="5851">
      <c r="A5851" s="1"/>
      <c r="B5851" s="19" t="s">
        <v>3930</v>
      </c>
      <c r="C5851" s="20" t="s">
        <v>6367</v>
      </c>
      <c r="D5851" s="47"/>
      <c r="E5851" s="22" t="s">
        <v>27538</v>
      </c>
      <c r="F5851" s="22" t="s">
        <v>18524</v>
      </c>
      <c r="G5851" s="23">
        <v>2014.0</v>
      </c>
      <c r="H5851" s="22" t="s">
        <v>658</v>
      </c>
      <c r="I5851" s="24" t="s">
        <v>27539</v>
      </c>
      <c r="J5851" s="22" t="s">
        <v>3289</v>
      </c>
      <c r="L5851" s="105" t="s">
        <v>27540</v>
      </c>
      <c r="M5851" s="44"/>
      <c r="N5851" s="44"/>
      <c r="O5851" s="44"/>
      <c r="P5851" s="44"/>
      <c r="Q5851" s="44"/>
      <c r="R5851" s="44"/>
      <c r="S5851" s="44"/>
      <c r="T5851" s="45"/>
      <c r="U5851" s="38" t="str">
        <f>HYPERLINK("https://www.ncbi.nlm.nih.gov/pubmed/25411903","PubMed")</f>
        <v>PubMed</v>
      </c>
      <c r="V5851" s="30"/>
      <c r="W5851" s="31"/>
      <c r="X5851" s="31"/>
      <c r="Y5851" s="31"/>
      <c r="Z5851" s="32"/>
      <c r="AA5851" s="31"/>
      <c r="AB5851" s="31"/>
      <c r="AC5851" s="9"/>
      <c r="AD5851" s="31"/>
      <c r="AE5851" s="31"/>
      <c r="AF5851" s="33"/>
      <c r="AG5851" s="34"/>
      <c r="AH5851" s="31"/>
      <c r="AI5851" s="35"/>
      <c r="AJ5851" s="35"/>
      <c r="AK5851" s="35"/>
      <c r="AL5851" s="35"/>
    </row>
    <row r="5852">
      <c r="A5852" s="1"/>
      <c r="B5852" s="19" t="s">
        <v>3930</v>
      </c>
      <c r="C5852" s="20" t="s">
        <v>6367</v>
      </c>
      <c r="D5852" s="47"/>
      <c r="E5852" s="22" t="s">
        <v>27541</v>
      </c>
      <c r="F5852" s="22" t="s">
        <v>65</v>
      </c>
      <c r="G5852" s="23">
        <v>2014.0</v>
      </c>
      <c r="H5852" s="22" t="s">
        <v>658</v>
      </c>
      <c r="I5852" s="24" t="s">
        <v>27542</v>
      </c>
      <c r="J5852" s="22" t="s">
        <v>3289</v>
      </c>
      <c r="L5852" s="105"/>
      <c r="M5852" s="44"/>
      <c r="N5852" s="44"/>
      <c r="O5852" s="44"/>
      <c r="P5852" s="44"/>
      <c r="Q5852" s="44"/>
      <c r="R5852" s="44"/>
      <c r="S5852" s="44"/>
      <c r="T5852" s="45"/>
      <c r="U5852" s="38" t="str">
        <f>HYPERLINK("https://www.ncbi.nlm.nih.gov/pubmed/25046641","PubMed")</f>
        <v>PubMed</v>
      </c>
      <c r="V5852" s="30"/>
      <c r="W5852" s="31"/>
      <c r="X5852" s="31"/>
      <c r="Y5852" s="31"/>
      <c r="Z5852" s="32"/>
      <c r="AA5852" s="31"/>
      <c r="AB5852" s="31"/>
      <c r="AC5852" s="9"/>
      <c r="AD5852" s="31"/>
      <c r="AE5852" s="31"/>
      <c r="AF5852" s="33"/>
      <c r="AG5852" s="34"/>
      <c r="AH5852" s="31"/>
      <c r="AI5852" s="35"/>
      <c r="AJ5852" s="35"/>
      <c r="AK5852" s="35"/>
      <c r="AL5852" s="35"/>
    </row>
    <row r="5853">
      <c r="A5853" s="1"/>
      <c r="B5853" s="19" t="s">
        <v>3930</v>
      </c>
      <c r="C5853" s="20" t="s">
        <v>6367</v>
      </c>
      <c r="D5853" s="47"/>
      <c r="E5853" s="22" t="s">
        <v>19330</v>
      </c>
      <c r="F5853" s="22" t="s">
        <v>5227</v>
      </c>
      <c r="G5853" s="23">
        <v>2014.0</v>
      </c>
      <c r="H5853" s="22" t="s">
        <v>658</v>
      </c>
      <c r="I5853" s="24" t="s">
        <v>27543</v>
      </c>
      <c r="J5853" s="22" t="s">
        <v>202</v>
      </c>
      <c r="L5853" s="43"/>
      <c r="M5853" s="44"/>
      <c r="N5853" s="44"/>
      <c r="O5853" s="44"/>
      <c r="P5853" s="44"/>
      <c r="Q5853" s="44"/>
      <c r="R5853" s="44"/>
      <c r="S5853" s="44"/>
      <c r="T5853" s="45"/>
      <c r="U5853" s="38" t="str">
        <f>HYPERLINK("arlightswindle.com","PubMed")</f>
        <v>PubMed</v>
      </c>
      <c r="V5853" s="30"/>
      <c r="W5853" s="31"/>
      <c r="X5853" s="31"/>
      <c r="Y5853" s="31"/>
      <c r="Z5853" s="32"/>
      <c r="AA5853" s="31"/>
      <c r="AB5853" s="31"/>
      <c r="AC5853" s="9"/>
      <c r="AD5853" s="31"/>
      <c r="AE5853" s="31"/>
      <c r="AF5853" s="33"/>
      <c r="AG5853" s="34"/>
      <c r="AH5853" s="31"/>
      <c r="AI5853" s="35"/>
      <c r="AJ5853" s="35"/>
      <c r="AK5853" s="35"/>
      <c r="AL5853" s="35"/>
    </row>
    <row r="5854">
      <c r="A5854" s="1"/>
      <c r="B5854" s="19" t="s">
        <v>3930</v>
      </c>
      <c r="C5854" s="20" t="s">
        <v>6367</v>
      </c>
      <c r="D5854" s="47"/>
      <c r="E5854" s="22" t="s">
        <v>27544</v>
      </c>
      <c r="F5854" s="22" t="s">
        <v>2052</v>
      </c>
      <c r="G5854" s="23">
        <v>2014.0</v>
      </c>
      <c r="H5854" s="22" t="s">
        <v>658</v>
      </c>
      <c r="I5854" s="24" t="s">
        <v>27545</v>
      </c>
      <c r="J5854" s="22" t="s">
        <v>202</v>
      </c>
      <c r="L5854" s="105" t="s">
        <v>27546</v>
      </c>
      <c r="M5854" s="44"/>
      <c r="N5854" s="44"/>
      <c r="O5854" s="44"/>
      <c r="P5854" s="44"/>
      <c r="Q5854" s="44"/>
      <c r="R5854" s="44"/>
      <c r="S5854" s="44"/>
      <c r="T5854" s="45"/>
      <c r="U5854" s="38" t="str">
        <f>HYPERLINK("https://www.ncbi.nlm.nih.gov/pubmed/24621395","PubMed")</f>
        <v>PubMed</v>
      </c>
      <c r="V5854" s="30"/>
      <c r="W5854" s="31"/>
      <c r="X5854" s="31"/>
      <c r="Y5854" s="31"/>
      <c r="Z5854" s="32"/>
      <c r="AA5854" s="31"/>
      <c r="AB5854" s="31"/>
      <c r="AC5854" s="9"/>
      <c r="AD5854" s="31"/>
      <c r="AE5854" s="31"/>
      <c r="AF5854" s="33"/>
      <c r="AG5854" s="34"/>
      <c r="AH5854" s="31"/>
      <c r="AI5854" s="35"/>
      <c r="AJ5854" s="35"/>
      <c r="AK5854" s="35"/>
      <c r="AL5854" s="35"/>
    </row>
    <row r="5855">
      <c r="A5855" s="1"/>
      <c r="B5855" s="19" t="s">
        <v>3930</v>
      </c>
      <c r="C5855" s="20" t="s">
        <v>6367</v>
      </c>
      <c r="D5855" s="47"/>
      <c r="E5855" s="22" t="s">
        <v>15081</v>
      </c>
      <c r="F5855" s="22" t="s">
        <v>5110</v>
      </c>
      <c r="G5855" s="23">
        <v>2013.0</v>
      </c>
      <c r="H5855" s="22" t="s">
        <v>658</v>
      </c>
      <c r="I5855" s="24" t="s">
        <v>27547</v>
      </c>
      <c r="J5855" s="22" t="s">
        <v>3289</v>
      </c>
      <c r="L5855" s="105" t="s">
        <v>27548</v>
      </c>
      <c r="M5855" s="44"/>
      <c r="N5855" s="44"/>
      <c r="O5855" s="44"/>
      <c r="P5855" s="44"/>
      <c r="Q5855" s="44"/>
      <c r="R5855" s="44"/>
      <c r="S5855" s="44"/>
      <c r="T5855" s="45"/>
      <c r="U5855" s="38" t="str">
        <f>HYPERLINK("https://www.ncbi.nlm.nih.gov/pubmed/23600376","PubMed")</f>
        <v>PubMed</v>
      </c>
      <c r="V5855" s="30"/>
      <c r="W5855" s="31"/>
      <c r="X5855" s="31"/>
      <c r="Y5855" s="31"/>
      <c r="Z5855" s="32"/>
      <c r="AA5855" s="31"/>
      <c r="AB5855" s="31"/>
      <c r="AC5855" s="9"/>
      <c r="AD5855" s="31"/>
      <c r="AE5855" s="31"/>
      <c r="AF5855" s="33"/>
      <c r="AG5855" s="34"/>
      <c r="AH5855" s="31"/>
      <c r="AI5855" s="35"/>
      <c r="AJ5855" s="35"/>
      <c r="AK5855" s="35"/>
      <c r="AL5855" s="35"/>
    </row>
    <row r="5856">
      <c r="A5856" s="1"/>
      <c r="B5856" s="19" t="s">
        <v>3930</v>
      </c>
      <c r="C5856" s="20" t="s">
        <v>6367</v>
      </c>
      <c r="D5856" s="47"/>
      <c r="E5856" s="22" t="s">
        <v>14329</v>
      </c>
      <c r="F5856" s="22" t="s">
        <v>13592</v>
      </c>
      <c r="G5856" s="23">
        <v>2013.0</v>
      </c>
      <c r="H5856" s="22" t="s">
        <v>658</v>
      </c>
      <c r="I5856" s="24" t="s">
        <v>27549</v>
      </c>
      <c r="J5856" s="22" t="s">
        <v>3289</v>
      </c>
      <c r="K5856" s="22"/>
      <c r="L5856" s="105"/>
      <c r="M5856" s="44"/>
      <c r="N5856" s="44"/>
      <c r="O5856" s="44"/>
      <c r="P5856" s="44"/>
      <c r="Q5856" s="44"/>
      <c r="R5856" s="44"/>
      <c r="S5856" s="44"/>
      <c r="T5856" s="45"/>
      <c r="U5856" s="38" t="str">
        <f>HYPERLINK("https://www.ncbi.nlm.nih.gov/pubmed/23741992","PubMed")</f>
        <v>PubMed</v>
      </c>
      <c r="V5856" s="30"/>
      <c r="W5856" s="31"/>
      <c r="X5856" s="31"/>
      <c r="Y5856" s="31"/>
      <c r="Z5856" s="32"/>
      <c r="AA5856" s="31"/>
      <c r="AB5856" s="31"/>
      <c r="AC5856" s="9"/>
      <c r="AD5856" s="31"/>
      <c r="AE5856" s="31"/>
      <c r="AF5856" s="33"/>
      <c r="AG5856" s="34"/>
      <c r="AH5856" s="31"/>
      <c r="AI5856" s="35"/>
      <c r="AJ5856" s="35"/>
      <c r="AK5856" s="35"/>
      <c r="AL5856" s="35"/>
    </row>
    <row r="5857">
      <c r="A5857" s="1"/>
      <c r="B5857" s="19" t="s">
        <v>3930</v>
      </c>
      <c r="C5857" s="20" t="s">
        <v>6367</v>
      </c>
      <c r="D5857" s="47"/>
      <c r="E5857" s="22" t="s">
        <v>19330</v>
      </c>
      <c r="F5857" s="22" t="s">
        <v>19295</v>
      </c>
      <c r="G5857" s="23">
        <v>2013.0</v>
      </c>
      <c r="H5857" s="22" t="s">
        <v>658</v>
      </c>
      <c r="I5857" s="24" t="s">
        <v>27550</v>
      </c>
      <c r="J5857" s="22" t="s">
        <v>202</v>
      </c>
      <c r="K5857" s="22"/>
      <c r="L5857" s="105" t="s">
        <v>27551</v>
      </c>
      <c r="M5857" s="44"/>
      <c r="N5857" s="44"/>
      <c r="O5857" s="44"/>
      <c r="P5857" s="44"/>
      <c r="Q5857" s="44"/>
      <c r="R5857" s="44"/>
      <c r="S5857" s="44"/>
      <c r="T5857" s="45"/>
      <c r="U5857" s="38" t="str">
        <f>HYPERLINK("https://www.ncbi.nlm.nih.gov/pubmed/23705907","PubMed")</f>
        <v>PubMed</v>
      </c>
      <c r="V5857" s="30"/>
      <c r="W5857" s="31"/>
      <c r="X5857" s="31"/>
      <c r="Y5857" s="31"/>
      <c r="Z5857" s="32"/>
      <c r="AA5857" s="31"/>
      <c r="AB5857" s="31"/>
      <c r="AC5857" s="9"/>
      <c r="AD5857" s="31"/>
      <c r="AE5857" s="31"/>
      <c r="AF5857" s="33"/>
      <c r="AG5857" s="34"/>
      <c r="AH5857" s="31"/>
      <c r="AI5857" s="35"/>
      <c r="AJ5857" s="35"/>
      <c r="AK5857" s="35"/>
      <c r="AL5857" s="35"/>
    </row>
    <row r="5858">
      <c r="A5858" s="1"/>
      <c r="B5858" s="19" t="s">
        <v>3930</v>
      </c>
      <c r="C5858" s="20" t="s">
        <v>6367</v>
      </c>
      <c r="D5858" s="47"/>
      <c r="E5858" s="22" t="s">
        <v>216</v>
      </c>
      <c r="F5858" s="22" t="s">
        <v>65</v>
      </c>
      <c r="G5858" s="23">
        <v>2012.0</v>
      </c>
      <c r="H5858" s="22" t="s">
        <v>1000</v>
      </c>
      <c r="I5858" s="24" t="s">
        <v>27552</v>
      </c>
      <c r="J5858" s="22" t="s">
        <v>202</v>
      </c>
      <c r="K5858" s="22"/>
      <c r="L5858" s="105" t="s">
        <v>27553</v>
      </c>
      <c r="M5858" s="44"/>
      <c r="N5858" s="44"/>
      <c r="O5858" s="44"/>
      <c r="P5858" s="44"/>
      <c r="Q5858" s="44"/>
      <c r="R5858" s="44"/>
      <c r="S5858" s="44"/>
      <c r="T5858" s="45"/>
      <c r="U5858" s="38" t="str">
        <f>HYPERLINK("https://www.hindawi.com/journals/ijp/2012/352582/","Hindawi")</f>
        <v>Hindawi</v>
      </c>
      <c r="V5858" s="30"/>
      <c r="W5858" s="31"/>
      <c r="X5858" s="31"/>
      <c r="Y5858" s="31"/>
      <c r="Z5858" s="32"/>
      <c r="AA5858" s="31"/>
      <c r="AB5858" s="31"/>
      <c r="AC5858" s="9"/>
      <c r="AD5858" s="31"/>
      <c r="AE5858" s="31"/>
      <c r="AF5858" s="33"/>
      <c r="AG5858" s="34"/>
      <c r="AH5858" s="31"/>
      <c r="AI5858" s="35"/>
      <c r="AJ5858" s="35"/>
      <c r="AK5858" s="35"/>
      <c r="AL5858" s="35"/>
    </row>
    <row r="5859">
      <c r="A5859" s="1"/>
      <c r="B5859" s="19" t="s">
        <v>3930</v>
      </c>
      <c r="C5859" s="20" t="s">
        <v>6367</v>
      </c>
      <c r="D5859" s="47"/>
      <c r="E5859" s="22" t="s">
        <v>19330</v>
      </c>
      <c r="F5859" s="22" t="s">
        <v>19295</v>
      </c>
      <c r="G5859" s="23">
        <v>2012.0</v>
      </c>
      <c r="H5859" s="22" t="s">
        <v>658</v>
      </c>
      <c r="I5859" s="24" t="s">
        <v>27554</v>
      </c>
      <c r="J5859" s="22" t="s">
        <v>202</v>
      </c>
      <c r="K5859" s="22" t="s">
        <v>27555</v>
      </c>
      <c r="L5859" s="105" t="s">
        <v>27556</v>
      </c>
      <c r="M5859" s="44"/>
      <c r="N5859" s="44"/>
      <c r="O5859" s="44"/>
      <c r="P5859" s="44"/>
      <c r="Q5859" s="44"/>
      <c r="R5859" s="44"/>
      <c r="S5859" s="44"/>
      <c r="T5859" s="45"/>
      <c r="U5859" s="38" t="str">
        <f>HYPERLINK("https://www.ncbi.nlm.nih.gov/pubmed/22401129","PubMed")</f>
        <v>PubMed</v>
      </c>
      <c r="V5859" s="30"/>
      <c r="W5859" s="31"/>
      <c r="X5859" s="31"/>
      <c r="Y5859" s="31"/>
      <c r="Z5859" s="32"/>
      <c r="AA5859" s="31"/>
      <c r="AB5859" s="31"/>
      <c r="AC5859" s="9"/>
      <c r="AD5859" s="31"/>
      <c r="AE5859" s="31"/>
      <c r="AF5859" s="33"/>
      <c r="AG5859" s="34"/>
      <c r="AH5859" s="31"/>
      <c r="AI5859" s="35"/>
      <c r="AJ5859" s="35"/>
      <c r="AK5859" s="35"/>
      <c r="AL5859" s="35"/>
    </row>
    <row r="5860">
      <c r="A5860" s="1"/>
      <c r="B5860" s="19" t="s">
        <v>3930</v>
      </c>
      <c r="C5860" s="20" t="s">
        <v>6367</v>
      </c>
      <c r="D5860" s="47"/>
      <c r="E5860" s="22" t="s">
        <v>19330</v>
      </c>
      <c r="F5860" s="22" t="s">
        <v>41</v>
      </c>
      <c r="G5860" s="23">
        <v>2011.0</v>
      </c>
      <c r="H5860" s="22" t="s">
        <v>658</v>
      </c>
      <c r="I5860" s="24" t="s">
        <v>27557</v>
      </c>
      <c r="J5860" s="22" t="s">
        <v>202</v>
      </c>
      <c r="L5860" s="390"/>
      <c r="M5860" s="44"/>
      <c r="N5860" s="44"/>
      <c r="O5860" s="44"/>
      <c r="P5860" s="44"/>
      <c r="Q5860" s="44"/>
      <c r="R5860" s="44"/>
      <c r="S5860" s="44"/>
      <c r="T5860" s="45"/>
      <c r="U5860" s="38" t="str">
        <f>HYPERLINK("https://www.ncbi.nlm.nih.gov/pubmed/21767155","PubMed")</f>
        <v>PubMed</v>
      </c>
      <c r="V5860" s="30"/>
      <c r="W5860" s="31"/>
      <c r="X5860" s="31"/>
      <c r="Y5860" s="31"/>
      <c r="Z5860" s="32"/>
      <c r="AA5860" s="31"/>
      <c r="AB5860" s="31"/>
      <c r="AC5860" s="9"/>
      <c r="AD5860" s="31"/>
      <c r="AE5860" s="31"/>
      <c r="AF5860" s="33"/>
      <c r="AG5860" s="34"/>
      <c r="AH5860" s="31"/>
      <c r="AI5860" s="35"/>
      <c r="AJ5860" s="35"/>
      <c r="AK5860" s="35"/>
      <c r="AL5860" s="35"/>
    </row>
    <row r="5861">
      <c r="A5861" s="1"/>
      <c r="B5861" s="19" t="s">
        <v>3930</v>
      </c>
      <c r="C5861" s="20" t="s">
        <v>6367</v>
      </c>
      <c r="D5861" s="47"/>
      <c r="E5861" s="22" t="s">
        <v>2482</v>
      </c>
      <c r="F5861" s="22"/>
      <c r="G5861" s="23">
        <v>2010.0</v>
      </c>
      <c r="H5861" s="22" t="s">
        <v>53</v>
      </c>
      <c r="I5861" s="24" t="s">
        <v>27558</v>
      </c>
      <c r="J5861" s="22" t="s">
        <v>202</v>
      </c>
      <c r="L5861" s="105" t="s">
        <v>27559</v>
      </c>
      <c r="M5861" s="44"/>
      <c r="N5861" s="44"/>
      <c r="O5861" s="44"/>
      <c r="P5861" s="44"/>
      <c r="Q5861" s="44"/>
      <c r="R5861" s="44"/>
      <c r="S5861" s="44"/>
      <c r="T5861" s="45"/>
      <c r="U5861" s="38" t="str">
        <f>HYPERLINK("https://www.ncbi.nlm.nih.gov/pubmed/20662020","PubMed")</f>
        <v>PubMed</v>
      </c>
      <c r="V5861" s="30"/>
      <c r="W5861" s="31"/>
      <c r="X5861" s="31"/>
      <c r="Y5861" s="31"/>
      <c r="Z5861" s="32"/>
      <c r="AA5861" s="31"/>
      <c r="AB5861" s="31"/>
      <c r="AC5861" s="9"/>
      <c r="AD5861" s="31"/>
      <c r="AE5861" s="31"/>
      <c r="AF5861" s="33"/>
      <c r="AG5861" s="34"/>
      <c r="AH5861" s="31"/>
      <c r="AI5861" s="35"/>
      <c r="AJ5861" s="35"/>
      <c r="AK5861" s="35"/>
      <c r="AL5861" s="35"/>
    </row>
    <row r="5862">
      <c r="A5862" s="1"/>
      <c r="B5862" s="19" t="s">
        <v>3930</v>
      </c>
      <c r="C5862" s="20" t="s">
        <v>6367</v>
      </c>
      <c r="D5862" s="47"/>
      <c r="E5862" s="22" t="s">
        <v>14375</v>
      </c>
      <c r="F5862" s="22"/>
      <c r="G5862" s="23">
        <v>2005.0</v>
      </c>
      <c r="H5862" s="22" t="s">
        <v>658</v>
      </c>
      <c r="I5862" s="24" t="s">
        <v>27560</v>
      </c>
      <c r="J5862" s="22" t="s">
        <v>202</v>
      </c>
      <c r="L5862" s="173" t="s">
        <v>27561</v>
      </c>
      <c r="U5862" s="38" t="str">
        <f>HYPERLINK("https://www.ncbi.nlm.nih.gov/pubmed/16356141","PubMed")</f>
        <v>PubMed</v>
      </c>
      <c r="V5862" s="30"/>
      <c r="W5862" s="130" t="str">
        <f>HYPERLINK("https://www.ncbi.nlm.nih.gov/pubmed/16942437","Comment")</f>
        <v>Comment</v>
      </c>
      <c r="X5862" s="31"/>
      <c r="Y5862" s="31"/>
      <c r="Z5862" s="32"/>
      <c r="AA5862" s="31"/>
      <c r="AB5862" s="31"/>
      <c r="AC5862" s="9"/>
      <c r="AD5862" s="31"/>
      <c r="AE5862" s="31"/>
      <c r="AF5862" s="33"/>
      <c r="AG5862" s="34"/>
      <c r="AH5862" s="31"/>
      <c r="AI5862" s="35"/>
      <c r="AJ5862" s="35"/>
      <c r="AK5862" s="35"/>
      <c r="AL5862" s="35"/>
    </row>
    <row r="5863">
      <c r="A5863" s="1"/>
      <c r="B5863" s="19" t="s">
        <v>3930</v>
      </c>
      <c r="C5863" s="20" t="s">
        <v>27562</v>
      </c>
      <c r="D5863" s="47"/>
      <c r="E5863" s="22" t="s">
        <v>444</v>
      </c>
      <c r="F5863" s="22" t="s">
        <v>445</v>
      </c>
      <c r="G5863" s="23">
        <v>2022.0</v>
      </c>
      <c r="H5863" s="22" t="s">
        <v>337</v>
      </c>
      <c r="I5863" s="24" t="s">
        <v>27563</v>
      </c>
      <c r="J5863" s="22" t="s">
        <v>649</v>
      </c>
      <c r="K5863" s="22"/>
      <c r="L5863" s="173" t="s">
        <v>27564</v>
      </c>
      <c r="U5863" s="38" t="s">
        <v>61</v>
      </c>
      <c r="V5863" s="30"/>
      <c r="W5863" s="31"/>
      <c r="X5863" s="31"/>
      <c r="Y5863" s="31"/>
      <c r="Z5863" s="32"/>
      <c r="AA5863" s="31"/>
      <c r="AB5863" s="31"/>
      <c r="AC5863" s="9"/>
      <c r="AD5863" s="31"/>
      <c r="AE5863" s="31"/>
      <c r="AF5863" s="33"/>
      <c r="AG5863" s="34"/>
      <c r="AH5863" s="31"/>
      <c r="AI5863" s="35"/>
      <c r="AJ5863" s="35"/>
      <c r="AK5863" s="35"/>
      <c r="AL5863" s="35"/>
    </row>
    <row r="5864">
      <c r="A5864" s="1"/>
      <c r="B5864" s="19" t="s">
        <v>3930</v>
      </c>
      <c r="C5864" s="20" t="s">
        <v>27565</v>
      </c>
      <c r="D5864" s="47"/>
      <c r="E5864" s="22" t="s">
        <v>27566</v>
      </c>
      <c r="F5864" s="22" t="s">
        <v>647</v>
      </c>
      <c r="G5864" s="23">
        <v>2015.0</v>
      </c>
      <c r="H5864" s="22" t="s">
        <v>15357</v>
      </c>
      <c r="I5864" s="24" t="s">
        <v>27567</v>
      </c>
      <c r="J5864" s="22" t="s">
        <v>27565</v>
      </c>
      <c r="K5864" s="22"/>
      <c r="L5864" s="173" t="s">
        <v>27568</v>
      </c>
      <c r="U5864" s="38" t="str">
        <f>HYPERLINK("https://www.ncbi.nlm.nih.gov/pubmed/25703782","PubMed")</f>
        <v>PubMed</v>
      </c>
      <c r="V5864" s="30"/>
      <c r="W5864" s="31"/>
      <c r="X5864" s="31"/>
      <c r="Y5864" s="31"/>
      <c r="Z5864" s="32"/>
      <c r="AA5864" s="31"/>
      <c r="AB5864" s="31"/>
      <c r="AC5864" s="9"/>
      <c r="AD5864" s="31"/>
      <c r="AE5864" s="31"/>
      <c r="AF5864" s="33"/>
      <c r="AG5864" s="34"/>
      <c r="AH5864" s="31"/>
      <c r="AI5864" s="35"/>
      <c r="AJ5864" s="35"/>
      <c r="AK5864" s="35"/>
      <c r="AL5864" s="35"/>
    </row>
    <row r="5865">
      <c r="A5865" s="39"/>
      <c r="B5865" s="75" t="s">
        <v>3930</v>
      </c>
      <c r="C5865" s="76" t="s">
        <v>7918</v>
      </c>
      <c r="D5865" s="47"/>
      <c r="E5865" s="22" t="s">
        <v>14341</v>
      </c>
      <c r="F5865" s="22" t="s">
        <v>8199</v>
      </c>
      <c r="G5865" s="23">
        <v>2020.0</v>
      </c>
      <c r="H5865" s="22" t="s">
        <v>77</v>
      </c>
      <c r="I5865" s="24" t="s">
        <v>27569</v>
      </c>
      <c r="J5865" s="22" t="s">
        <v>8962</v>
      </c>
      <c r="L5865" s="105"/>
      <c r="M5865" s="44"/>
      <c r="N5865" s="44"/>
      <c r="O5865" s="44"/>
      <c r="P5865" s="44"/>
      <c r="Q5865" s="44"/>
      <c r="R5865" s="44"/>
      <c r="S5865" s="44"/>
      <c r="T5865" s="45"/>
      <c r="U5865" s="29" t="s">
        <v>61</v>
      </c>
      <c r="V5865" s="30"/>
      <c r="W5865" s="31"/>
      <c r="X5865" s="31"/>
      <c r="Y5865" s="31"/>
      <c r="Z5865" s="32"/>
      <c r="AA5865" s="31"/>
      <c r="AB5865" s="31"/>
      <c r="AC5865" s="9"/>
      <c r="AD5865" s="31"/>
      <c r="AE5865" s="31"/>
      <c r="AF5865" s="33"/>
      <c r="AG5865" s="34"/>
      <c r="AH5865" s="31"/>
      <c r="AI5865" s="35"/>
      <c r="AJ5865" s="35"/>
      <c r="AK5865" s="35"/>
      <c r="AL5865" s="35"/>
    </row>
    <row r="5866">
      <c r="A5866" s="39"/>
      <c r="B5866" s="391" t="s">
        <v>3930</v>
      </c>
      <c r="C5866" s="76" t="s">
        <v>27570</v>
      </c>
      <c r="D5866" s="47"/>
      <c r="E5866" s="22" t="s">
        <v>9465</v>
      </c>
      <c r="F5866" s="22" t="s">
        <v>27571</v>
      </c>
      <c r="G5866" s="23">
        <v>2024.0</v>
      </c>
      <c r="H5866" s="22" t="s">
        <v>2047</v>
      </c>
      <c r="I5866" s="24" t="s">
        <v>27572</v>
      </c>
      <c r="J5866" s="22" t="s">
        <v>27573</v>
      </c>
      <c r="L5866" s="136"/>
      <c r="M5866" s="136"/>
      <c r="N5866" s="136"/>
      <c r="O5866" s="136"/>
      <c r="P5866" s="136"/>
      <c r="Q5866" s="136"/>
      <c r="R5866" s="136"/>
      <c r="S5866" s="136"/>
      <c r="T5866" s="54" t="s">
        <v>27574</v>
      </c>
      <c r="U5866" s="38" t="s">
        <v>61</v>
      </c>
      <c r="V5866" s="30"/>
      <c r="W5866" s="31"/>
      <c r="X5866" s="31"/>
      <c r="Y5866" s="31"/>
      <c r="Z5866" s="32"/>
      <c r="AA5866" s="31"/>
      <c r="AB5866" s="31"/>
      <c r="AC5866" s="9"/>
      <c r="AD5866" s="31"/>
      <c r="AE5866" s="31"/>
      <c r="AF5866" s="33"/>
      <c r="AG5866" s="34"/>
      <c r="AH5866" s="31"/>
      <c r="AI5866" s="35"/>
      <c r="AJ5866" s="35"/>
      <c r="AK5866" s="35"/>
      <c r="AL5866" s="35"/>
    </row>
    <row r="5867">
      <c r="A5867" s="39"/>
      <c r="B5867" s="391" t="s">
        <v>3930</v>
      </c>
      <c r="C5867" s="76" t="s">
        <v>27575</v>
      </c>
      <c r="D5867" s="47"/>
      <c r="E5867" s="22" t="s">
        <v>27576</v>
      </c>
      <c r="F5867" s="22" t="s">
        <v>27577</v>
      </c>
      <c r="G5867" s="23">
        <v>2023.0</v>
      </c>
      <c r="H5867" s="22" t="s">
        <v>27578</v>
      </c>
      <c r="I5867" s="24" t="s">
        <v>27579</v>
      </c>
      <c r="J5867" s="22" t="s">
        <v>125</v>
      </c>
      <c r="L5867" s="173" t="s">
        <v>27580</v>
      </c>
      <c r="U5867" s="38" t="s">
        <v>61</v>
      </c>
      <c r="V5867" s="30"/>
      <c r="W5867" s="31"/>
      <c r="X5867" s="31"/>
      <c r="Y5867" s="31"/>
      <c r="Z5867" s="32"/>
      <c r="AA5867" s="31"/>
      <c r="AB5867" s="31"/>
      <c r="AC5867" s="9"/>
      <c r="AD5867" s="31"/>
      <c r="AE5867" s="31"/>
      <c r="AF5867" s="33"/>
      <c r="AG5867" s="34"/>
      <c r="AH5867" s="31"/>
      <c r="AI5867" s="35"/>
      <c r="AJ5867" s="35"/>
      <c r="AK5867" s="35"/>
      <c r="AL5867" s="35"/>
    </row>
    <row r="5868">
      <c r="A5868" s="39"/>
      <c r="B5868" s="391" t="s">
        <v>3930</v>
      </c>
      <c r="C5868" s="76" t="s">
        <v>27581</v>
      </c>
      <c r="D5868" s="47"/>
      <c r="E5868" s="22" t="s">
        <v>27582</v>
      </c>
      <c r="F5868" s="22" t="s">
        <v>14831</v>
      </c>
      <c r="G5868" s="23">
        <v>2024.0</v>
      </c>
      <c r="H5868" s="22" t="s">
        <v>2204</v>
      </c>
      <c r="I5868" s="24" t="s">
        <v>27583</v>
      </c>
      <c r="J5868" s="22" t="s">
        <v>27584</v>
      </c>
      <c r="L5868" s="36" t="s">
        <v>58</v>
      </c>
      <c r="M5868" s="36" t="s">
        <v>58</v>
      </c>
      <c r="N5868" s="36" t="s">
        <v>58</v>
      </c>
      <c r="O5868" s="36" t="s">
        <v>58</v>
      </c>
      <c r="P5868" s="37" t="s">
        <v>58</v>
      </c>
      <c r="Q5868" s="36" t="s">
        <v>58</v>
      </c>
      <c r="R5868" s="36">
        <v>660.0</v>
      </c>
      <c r="S5868" s="36" t="s">
        <v>58</v>
      </c>
      <c r="T5868" s="54" t="s">
        <v>27585</v>
      </c>
      <c r="U5868" s="38" t="s">
        <v>61</v>
      </c>
      <c r="V5868" s="30" t="s">
        <v>27586</v>
      </c>
      <c r="W5868" s="31"/>
      <c r="X5868" s="31"/>
      <c r="Y5868" s="31"/>
      <c r="Z5868" s="32"/>
      <c r="AA5868" s="31"/>
      <c r="AB5868" s="31"/>
      <c r="AC5868" s="9"/>
      <c r="AD5868" s="31"/>
      <c r="AE5868" s="31"/>
      <c r="AF5868" s="33"/>
      <c r="AG5868" s="34"/>
      <c r="AH5868" s="31"/>
      <c r="AI5868" s="35"/>
      <c r="AJ5868" s="35"/>
      <c r="AK5868" s="35"/>
      <c r="AL5868" s="35"/>
    </row>
    <row r="5869">
      <c r="A5869" s="39"/>
      <c r="B5869" s="391" t="s">
        <v>3930</v>
      </c>
      <c r="C5869" s="76" t="s">
        <v>2157</v>
      </c>
      <c r="D5869" s="47"/>
      <c r="E5869" s="22" t="s">
        <v>12775</v>
      </c>
      <c r="F5869" s="22" t="s">
        <v>748</v>
      </c>
      <c r="G5869" s="23">
        <v>2021.0</v>
      </c>
      <c r="H5869" s="22" t="s">
        <v>147</v>
      </c>
      <c r="I5869" s="24" t="s">
        <v>27587</v>
      </c>
      <c r="J5869" s="22" t="s">
        <v>125</v>
      </c>
      <c r="L5869" s="173" t="s">
        <v>27588</v>
      </c>
      <c r="U5869" s="29" t="s">
        <v>61</v>
      </c>
      <c r="V5869" s="30"/>
      <c r="W5869" s="31"/>
      <c r="X5869" s="31"/>
      <c r="Y5869" s="31"/>
      <c r="Z5869" s="32"/>
      <c r="AA5869" s="31"/>
      <c r="AB5869" s="31"/>
      <c r="AC5869" s="9"/>
      <c r="AD5869" s="31"/>
      <c r="AE5869" s="31"/>
      <c r="AF5869" s="33"/>
      <c r="AG5869" s="34"/>
      <c r="AH5869" s="31"/>
      <c r="AI5869" s="35"/>
      <c r="AJ5869" s="35"/>
      <c r="AK5869" s="35"/>
      <c r="AL5869" s="35"/>
    </row>
    <row r="5870">
      <c r="A5870" s="39"/>
      <c r="B5870" s="391" t="s">
        <v>3930</v>
      </c>
      <c r="C5870" s="76" t="s">
        <v>27589</v>
      </c>
      <c r="D5870" s="47"/>
      <c r="E5870" s="22" t="s">
        <v>3980</v>
      </c>
      <c r="F5870" s="22" t="s">
        <v>1862</v>
      </c>
      <c r="G5870" s="23">
        <v>2021.0</v>
      </c>
      <c r="H5870" s="22" t="s">
        <v>77</v>
      </c>
      <c r="I5870" s="24" t="s">
        <v>27590</v>
      </c>
      <c r="J5870" s="22" t="s">
        <v>125</v>
      </c>
      <c r="L5870" s="173" t="s">
        <v>27591</v>
      </c>
      <c r="U5870" s="29" t="s">
        <v>61</v>
      </c>
      <c r="V5870" s="30"/>
      <c r="W5870" s="31"/>
      <c r="X5870" s="31"/>
      <c r="Y5870" s="31"/>
      <c r="Z5870" s="32"/>
      <c r="AA5870" s="31"/>
      <c r="AB5870" s="31"/>
      <c r="AC5870" s="9"/>
      <c r="AD5870" s="31"/>
      <c r="AE5870" s="31"/>
      <c r="AF5870" s="33"/>
      <c r="AG5870" s="34"/>
      <c r="AH5870" s="31"/>
      <c r="AI5870" s="35"/>
      <c r="AJ5870" s="35"/>
      <c r="AK5870" s="35"/>
      <c r="AL5870" s="35"/>
    </row>
    <row r="5871">
      <c r="A5871" s="1"/>
      <c r="B5871" s="19" t="s">
        <v>3930</v>
      </c>
      <c r="C5871" s="20" t="s">
        <v>2036</v>
      </c>
      <c r="D5871" s="47"/>
      <c r="E5871" s="22" t="s">
        <v>27592</v>
      </c>
      <c r="F5871" s="22" t="s">
        <v>3864</v>
      </c>
      <c r="G5871" s="23">
        <v>2000.0</v>
      </c>
      <c r="H5871" s="22" t="s">
        <v>292</v>
      </c>
      <c r="I5871" s="24" t="s">
        <v>27590</v>
      </c>
      <c r="J5871" s="22" t="s">
        <v>125</v>
      </c>
      <c r="K5871" s="22"/>
      <c r="L5871" s="173" t="s">
        <v>27593</v>
      </c>
      <c r="U5871" s="38" t="str">
        <f>HYPERLINK("https://www.jstage.jst.go.jp/article/islsm/12/1/12_1_39/_article/-char/en","J-STAGE")</f>
        <v>J-STAGE</v>
      </c>
      <c r="V5871" s="30"/>
      <c r="W5871" s="31"/>
      <c r="X5871" s="31"/>
      <c r="Y5871" s="31"/>
      <c r="Z5871" s="32"/>
      <c r="AA5871" s="31"/>
      <c r="AB5871" s="31"/>
      <c r="AC5871" s="9"/>
      <c r="AD5871" s="31"/>
      <c r="AE5871" s="31"/>
      <c r="AF5871" s="33"/>
      <c r="AG5871" s="34"/>
      <c r="AH5871" s="31"/>
      <c r="AI5871" s="35"/>
      <c r="AJ5871" s="35"/>
      <c r="AK5871" s="35"/>
      <c r="AL5871" s="35"/>
    </row>
    <row r="5872">
      <c r="A5872" s="1"/>
      <c r="B5872" s="19" t="s">
        <v>3930</v>
      </c>
      <c r="C5872" s="20" t="s">
        <v>2036</v>
      </c>
      <c r="D5872" s="47"/>
      <c r="E5872" s="22" t="s">
        <v>27594</v>
      </c>
      <c r="F5872" s="22" t="s">
        <v>230</v>
      </c>
      <c r="G5872" s="23">
        <v>1997.0</v>
      </c>
      <c r="H5872" s="22" t="s">
        <v>292</v>
      </c>
      <c r="I5872" s="24" t="s">
        <v>27595</v>
      </c>
      <c r="J5872" s="22"/>
      <c r="K5872" s="22"/>
      <c r="L5872" s="173" t="s">
        <v>27596</v>
      </c>
      <c r="U5872" s="38" t="str">
        <f>HYPERLINK("https://www.jstage.jst.go.jp/article/islsm/9/3/9_3_131/_article/-char/en","J-STAGE")</f>
        <v>J-STAGE</v>
      </c>
      <c r="V5872" s="30"/>
      <c r="W5872" s="31"/>
      <c r="X5872" s="31"/>
      <c r="Y5872" s="31"/>
      <c r="Z5872" s="32"/>
      <c r="AA5872" s="31"/>
      <c r="AB5872" s="31"/>
      <c r="AC5872" s="9"/>
      <c r="AD5872" s="31"/>
      <c r="AE5872" s="31"/>
      <c r="AF5872" s="33"/>
      <c r="AG5872" s="34"/>
      <c r="AH5872" s="31"/>
      <c r="AI5872" s="35"/>
      <c r="AJ5872" s="35"/>
      <c r="AK5872" s="35"/>
      <c r="AL5872" s="35"/>
    </row>
    <row r="5873">
      <c r="A5873" s="1"/>
      <c r="B5873" s="19" t="s">
        <v>3930</v>
      </c>
      <c r="C5873" s="20"/>
      <c r="D5873" s="47"/>
      <c r="E5873" s="22" t="s">
        <v>5364</v>
      </c>
      <c r="F5873" s="22" t="s">
        <v>1426</v>
      </c>
      <c r="G5873" s="23">
        <v>2010.0</v>
      </c>
      <c r="H5873" s="22" t="s">
        <v>53</v>
      </c>
      <c r="I5873" s="24" t="s">
        <v>27597</v>
      </c>
      <c r="J5873" s="22" t="s">
        <v>1773</v>
      </c>
      <c r="K5873" s="22"/>
      <c r="L5873" s="214" t="s">
        <v>27598</v>
      </c>
      <c r="U5873" s="38" t="str">
        <f>HYPERLINK("https://www.ncbi.nlm.nih.gov/pubmed/20886508","PubMed")</f>
        <v>PubMed</v>
      </c>
      <c r="V5873" s="30"/>
      <c r="W5873" s="31"/>
      <c r="X5873" s="31"/>
      <c r="Y5873" s="31"/>
      <c r="Z5873" s="32"/>
      <c r="AA5873" s="31"/>
      <c r="AB5873" s="31"/>
      <c r="AC5873" s="9"/>
      <c r="AD5873" s="31"/>
      <c r="AE5873" s="31"/>
      <c r="AF5873" s="33"/>
      <c r="AG5873" s="34"/>
      <c r="AH5873" s="31"/>
      <c r="AI5873" s="35"/>
      <c r="AJ5873" s="35"/>
      <c r="AK5873" s="35"/>
      <c r="AL5873" s="35"/>
    </row>
    <row r="5874">
      <c r="A5874" s="1"/>
      <c r="B5874" s="19" t="s">
        <v>3930</v>
      </c>
      <c r="C5874" s="20"/>
      <c r="D5874" s="47"/>
      <c r="E5874" s="22" t="s">
        <v>27599</v>
      </c>
      <c r="F5874" s="22" t="s">
        <v>2208</v>
      </c>
      <c r="G5874" s="23">
        <v>2015.0</v>
      </c>
      <c r="H5874" s="22" t="s">
        <v>27600</v>
      </c>
      <c r="I5874" s="24" t="s">
        <v>27601</v>
      </c>
      <c r="J5874" s="22" t="s">
        <v>27602</v>
      </c>
      <c r="K5874" s="22"/>
      <c r="L5874" s="173" t="s">
        <v>27603</v>
      </c>
      <c r="U5874" s="38" t="str">
        <f>HYPERLINK("https://www.ncbi.nlm.nih.gov/pubmed/25541589","PubMed")</f>
        <v>PubMed</v>
      </c>
      <c r="V5874" s="30"/>
      <c r="W5874" s="31"/>
      <c r="X5874" s="31"/>
      <c r="Y5874" s="31"/>
      <c r="Z5874" s="32"/>
      <c r="AA5874" s="31"/>
      <c r="AB5874" s="31"/>
      <c r="AC5874" s="9"/>
      <c r="AD5874" s="31"/>
      <c r="AE5874" s="31"/>
      <c r="AF5874" s="33"/>
      <c r="AG5874" s="34"/>
      <c r="AH5874" s="31"/>
      <c r="AI5874" s="35"/>
      <c r="AJ5874" s="35"/>
      <c r="AK5874" s="35"/>
      <c r="AL5874" s="35"/>
    </row>
    <row r="5875">
      <c r="A5875" s="1"/>
      <c r="B5875" s="19" t="s">
        <v>27604</v>
      </c>
      <c r="C5875" s="20" t="s">
        <v>27605</v>
      </c>
      <c r="D5875" s="47"/>
      <c r="E5875" s="22" t="s">
        <v>27606</v>
      </c>
      <c r="F5875" s="22" t="s">
        <v>41</v>
      </c>
      <c r="G5875" s="23">
        <v>2023.0</v>
      </c>
      <c r="H5875" s="22" t="s">
        <v>42</v>
      </c>
      <c r="I5875" s="24" t="s">
        <v>27607</v>
      </c>
      <c r="J5875" s="22" t="s">
        <v>55</v>
      </c>
      <c r="K5875" s="22"/>
      <c r="L5875" s="52">
        <v>808.0</v>
      </c>
      <c r="M5875" s="52"/>
      <c r="N5875" s="52"/>
      <c r="O5875" s="52"/>
      <c r="P5875" s="189" t="s">
        <v>480</v>
      </c>
      <c r="Q5875" s="52"/>
      <c r="R5875" s="52"/>
      <c r="S5875" s="52"/>
      <c r="T5875" s="54" t="s">
        <v>27608</v>
      </c>
      <c r="U5875" s="38" t="s">
        <v>61</v>
      </c>
      <c r="V5875" s="30"/>
      <c r="W5875" s="49"/>
      <c r="X5875" s="49"/>
      <c r="Y5875" s="35"/>
      <c r="Z5875" s="35"/>
      <c r="AA5875" s="35"/>
      <c r="AB5875" s="35"/>
      <c r="AC5875" s="35"/>
      <c r="AD5875" s="35"/>
      <c r="AE5875" s="35"/>
      <c r="AF5875" s="35"/>
      <c r="AG5875" s="35"/>
      <c r="AH5875" s="35"/>
      <c r="AI5875" s="35"/>
      <c r="AJ5875" s="35"/>
      <c r="AK5875" s="35"/>
      <c r="AL5875" s="35"/>
    </row>
    <row r="5876">
      <c r="A5876" s="1"/>
      <c r="B5876" s="19" t="s">
        <v>27604</v>
      </c>
      <c r="C5876" s="20" t="s">
        <v>27609</v>
      </c>
      <c r="D5876" s="47"/>
      <c r="E5876" s="22" t="s">
        <v>9312</v>
      </c>
      <c r="F5876" s="22" t="s">
        <v>2665</v>
      </c>
      <c r="G5876" s="23">
        <v>2023.0</v>
      </c>
      <c r="H5876" s="22" t="s">
        <v>27610</v>
      </c>
      <c r="I5876" s="24" t="s">
        <v>27611</v>
      </c>
      <c r="J5876" s="22" t="s">
        <v>27612</v>
      </c>
      <c r="K5876" s="22"/>
      <c r="L5876" s="52"/>
      <c r="M5876" s="52"/>
      <c r="N5876" s="52"/>
      <c r="O5876" s="52"/>
      <c r="P5876" s="189"/>
      <c r="Q5876" s="52"/>
      <c r="R5876" s="52"/>
      <c r="S5876" s="52"/>
      <c r="T5876" s="54"/>
      <c r="U5876" s="38" t="s">
        <v>61</v>
      </c>
      <c r="V5876" s="30" t="s">
        <v>174</v>
      </c>
      <c r="W5876" s="49"/>
      <c r="X5876" s="49"/>
      <c r="Y5876" s="35"/>
      <c r="Z5876" s="35"/>
      <c r="AA5876" s="35"/>
      <c r="AB5876" s="35"/>
      <c r="AC5876" s="35"/>
      <c r="AD5876" s="35"/>
      <c r="AE5876" s="35"/>
      <c r="AF5876" s="35"/>
      <c r="AG5876" s="35"/>
      <c r="AH5876" s="35"/>
      <c r="AI5876" s="35"/>
      <c r="AJ5876" s="35"/>
      <c r="AK5876" s="35"/>
      <c r="AL5876" s="35"/>
    </row>
    <row r="5877">
      <c r="A5877" s="1"/>
      <c r="B5877" s="19" t="s">
        <v>27604</v>
      </c>
      <c r="C5877" s="20" t="s">
        <v>27609</v>
      </c>
      <c r="D5877" s="47"/>
      <c r="E5877" s="22" t="s">
        <v>223</v>
      </c>
      <c r="F5877" s="22" t="s">
        <v>27613</v>
      </c>
      <c r="G5877" s="23">
        <v>2022.0</v>
      </c>
      <c r="H5877" s="22" t="s">
        <v>77</v>
      </c>
      <c r="I5877" s="24" t="s">
        <v>27614</v>
      </c>
      <c r="J5877" s="22" t="s">
        <v>31</v>
      </c>
      <c r="K5877" s="22"/>
      <c r="L5877" s="52">
        <v>633.0</v>
      </c>
      <c r="M5877" s="52"/>
      <c r="N5877" s="52"/>
      <c r="O5877" s="52"/>
      <c r="P5877" s="189" t="s">
        <v>27615</v>
      </c>
      <c r="Q5877" s="52"/>
      <c r="R5877" s="52"/>
      <c r="S5877" s="52"/>
      <c r="T5877" s="102" t="s">
        <v>27616</v>
      </c>
      <c r="U5877" s="29" t="s">
        <v>61</v>
      </c>
      <c r="V5877" s="30"/>
      <c r="W5877" s="49"/>
      <c r="X5877" s="49"/>
      <c r="Y5877" s="35"/>
      <c r="Z5877" s="35"/>
      <c r="AA5877" s="35"/>
      <c r="AB5877" s="35"/>
      <c r="AC5877" s="35"/>
      <c r="AD5877" s="35"/>
      <c r="AE5877" s="35"/>
      <c r="AF5877" s="35"/>
      <c r="AG5877" s="35"/>
      <c r="AH5877" s="35"/>
      <c r="AI5877" s="35"/>
      <c r="AJ5877" s="35"/>
      <c r="AK5877" s="35"/>
      <c r="AL5877" s="35"/>
    </row>
    <row r="5878">
      <c r="A5878" s="1"/>
      <c r="B5878" s="19" t="s">
        <v>27604</v>
      </c>
      <c r="C5878" s="20" t="s">
        <v>27609</v>
      </c>
      <c r="D5878" s="47"/>
      <c r="E5878" s="22" t="s">
        <v>27617</v>
      </c>
      <c r="F5878" s="22" t="s">
        <v>28</v>
      </c>
      <c r="G5878" s="23">
        <v>2021.0</v>
      </c>
      <c r="H5878" s="22" t="s">
        <v>42</v>
      </c>
      <c r="I5878" s="24" t="s">
        <v>27618</v>
      </c>
      <c r="J5878" s="22" t="s">
        <v>31</v>
      </c>
      <c r="K5878" s="22"/>
      <c r="L5878" s="36">
        <v>810.0</v>
      </c>
      <c r="M5878" s="36"/>
      <c r="N5878" s="36"/>
      <c r="O5878" s="36"/>
      <c r="P5878" s="37" t="s">
        <v>2395</v>
      </c>
      <c r="Q5878" s="36"/>
      <c r="R5878" s="36"/>
      <c r="S5878" s="36"/>
      <c r="T5878" s="54" t="s">
        <v>27619</v>
      </c>
      <c r="U5878" s="29" t="s">
        <v>61</v>
      </c>
      <c r="V5878" s="30"/>
      <c r="W5878" s="49"/>
      <c r="X5878" s="49"/>
      <c r="Y5878" s="35"/>
      <c r="Z5878" s="35"/>
      <c r="AA5878" s="35"/>
      <c r="AB5878" s="35"/>
      <c r="AC5878" s="35"/>
      <c r="AD5878" s="35"/>
      <c r="AE5878" s="35"/>
      <c r="AF5878" s="35"/>
      <c r="AG5878" s="35"/>
      <c r="AH5878" s="35"/>
      <c r="AI5878" s="35"/>
      <c r="AJ5878" s="35"/>
      <c r="AK5878" s="35"/>
      <c r="AL5878" s="35"/>
    </row>
    <row r="5879">
      <c r="A5879" s="1"/>
      <c r="B5879" s="19" t="s">
        <v>27604</v>
      </c>
      <c r="C5879" s="20" t="s">
        <v>27609</v>
      </c>
      <c r="D5879" s="47"/>
      <c r="E5879" s="22" t="s">
        <v>27620</v>
      </c>
      <c r="F5879" s="22" t="s">
        <v>323</v>
      </c>
      <c r="G5879" s="23">
        <v>2009.0</v>
      </c>
      <c r="H5879" s="22" t="s">
        <v>12015</v>
      </c>
      <c r="I5879" s="24" t="s">
        <v>27621</v>
      </c>
      <c r="J5879" s="22" t="s">
        <v>31</v>
      </c>
      <c r="K5879" s="22" t="s">
        <v>294</v>
      </c>
      <c r="L5879" s="36" t="s">
        <v>1685</v>
      </c>
      <c r="M5879" s="36" t="s">
        <v>27622</v>
      </c>
      <c r="N5879" s="36"/>
      <c r="O5879" s="36"/>
      <c r="P5879" s="37" t="s">
        <v>2218</v>
      </c>
      <c r="Q5879" s="36"/>
      <c r="R5879" s="36"/>
      <c r="S5879" s="36"/>
      <c r="T5879" s="54" t="s">
        <v>27623</v>
      </c>
      <c r="U5879" s="38" t="str">
        <f>HYPERLINK("https://www.ncbi.nlm.nih.gov/pubmed/20005390","PubMed")</f>
        <v>PubMed</v>
      </c>
      <c r="V5879" s="30"/>
      <c r="W5879" s="49"/>
      <c r="X5879" s="49"/>
      <c r="Y5879" s="35"/>
      <c r="Z5879" s="35"/>
      <c r="AA5879" s="35"/>
      <c r="AB5879" s="35"/>
      <c r="AC5879" s="35"/>
      <c r="AD5879" s="35"/>
      <c r="AE5879" s="35"/>
      <c r="AF5879" s="35"/>
      <c r="AG5879" s="35"/>
      <c r="AH5879" s="35"/>
      <c r="AI5879" s="35"/>
      <c r="AJ5879" s="35"/>
      <c r="AK5879" s="35"/>
      <c r="AL5879" s="35"/>
    </row>
    <row r="5880">
      <c r="A5880" s="1"/>
      <c r="B5880" s="19" t="s">
        <v>27604</v>
      </c>
      <c r="C5880" s="20" t="s">
        <v>27624</v>
      </c>
      <c r="D5880" s="47"/>
      <c r="E5880" s="22" t="s">
        <v>27625</v>
      </c>
      <c r="F5880" s="22" t="s">
        <v>27626</v>
      </c>
      <c r="G5880" s="23">
        <v>2010.0</v>
      </c>
      <c r="H5880" s="22" t="s">
        <v>3065</v>
      </c>
      <c r="I5880" s="24" t="s">
        <v>27627</v>
      </c>
      <c r="J5880" s="22" t="s">
        <v>27628</v>
      </c>
      <c r="K5880" s="22" t="s">
        <v>2815</v>
      </c>
      <c r="L5880" s="36">
        <v>630.0</v>
      </c>
      <c r="M5880" s="36" t="s">
        <v>27629</v>
      </c>
      <c r="N5880" s="36" t="s">
        <v>58</v>
      </c>
      <c r="O5880" s="36" t="s">
        <v>58</v>
      </c>
      <c r="P5880" s="37" t="s">
        <v>58</v>
      </c>
      <c r="Q5880" s="36" t="s">
        <v>58</v>
      </c>
      <c r="R5880" s="36">
        <v>1200.0</v>
      </c>
      <c r="S5880" s="36" t="s">
        <v>35</v>
      </c>
      <c r="T5880" s="102" t="s">
        <v>27630</v>
      </c>
      <c r="U5880" s="38" t="s">
        <v>61</v>
      </c>
      <c r="V5880" s="30" t="s">
        <v>27631</v>
      </c>
      <c r="W5880" s="49"/>
      <c r="X5880" s="49"/>
      <c r="Y5880" s="35"/>
      <c r="Z5880" s="35"/>
      <c r="AA5880" s="35"/>
      <c r="AB5880" s="35"/>
      <c r="AC5880" s="35"/>
      <c r="AD5880" s="35"/>
      <c r="AE5880" s="35"/>
      <c r="AF5880" s="35"/>
      <c r="AG5880" s="35"/>
      <c r="AH5880" s="35"/>
      <c r="AI5880" s="35"/>
      <c r="AJ5880" s="35"/>
      <c r="AK5880" s="35"/>
      <c r="AL5880" s="35"/>
    </row>
    <row r="5881">
      <c r="A5881" s="1"/>
      <c r="B5881" s="19" t="s">
        <v>27604</v>
      </c>
      <c r="C5881" s="20" t="s">
        <v>27624</v>
      </c>
      <c r="D5881" s="47"/>
      <c r="E5881" s="22" t="s">
        <v>27625</v>
      </c>
      <c r="F5881" s="22" t="s">
        <v>748</v>
      </c>
      <c r="G5881" s="23">
        <v>2009.0</v>
      </c>
      <c r="H5881" s="22" t="s">
        <v>4326</v>
      </c>
      <c r="I5881" s="24" t="s">
        <v>27632</v>
      </c>
      <c r="J5881" s="22" t="s">
        <v>27633</v>
      </c>
      <c r="K5881" s="22"/>
      <c r="L5881" s="36" t="s">
        <v>58</v>
      </c>
      <c r="M5881" s="36" t="s">
        <v>58</v>
      </c>
      <c r="N5881" s="36" t="s">
        <v>58</v>
      </c>
      <c r="O5881" s="36" t="s">
        <v>58</v>
      </c>
      <c r="P5881" s="37" t="s">
        <v>58</v>
      </c>
      <c r="Q5881" s="36" t="s">
        <v>58</v>
      </c>
      <c r="R5881" s="36" t="s">
        <v>58</v>
      </c>
      <c r="S5881" s="36" t="s">
        <v>58</v>
      </c>
      <c r="T5881" s="102" t="s">
        <v>27634</v>
      </c>
      <c r="U5881" s="38" t="str">
        <f>HYPERLINK("https://www.ncbi.nlm.nih.gov/pubmed/19284112","PubMed")</f>
        <v>PubMed</v>
      </c>
      <c r="V5881" s="30"/>
      <c r="W5881" s="49"/>
      <c r="X5881" s="49"/>
      <c r="Y5881" s="35"/>
      <c r="Z5881" s="35"/>
      <c r="AA5881" s="35"/>
      <c r="AB5881" s="35"/>
      <c r="AC5881" s="35"/>
      <c r="AD5881" s="35"/>
      <c r="AE5881" s="35"/>
      <c r="AF5881" s="35"/>
      <c r="AG5881" s="35"/>
      <c r="AH5881" s="35"/>
      <c r="AI5881" s="35"/>
      <c r="AJ5881" s="35"/>
      <c r="AK5881" s="35"/>
      <c r="AL5881" s="35"/>
    </row>
    <row r="5882">
      <c r="A5882" s="1"/>
      <c r="B5882" s="19" t="s">
        <v>27604</v>
      </c>
      <c r="C5882" s="20" t="s">
        <v>27635</v>
      </c>
      <c r="D5882" s="47"/>
      <c r="E5882" s="22" t="s">
        <v>223</v>
      </c>
      <c r="F5882" s="22" t="s">
        <v>65</v>
      </c>
      <c r="G5882" s="23">
        <v>2015.0</v>
      </c>
      <c r="H5882" s="22" t="s">
        <v>9113</v>
      </c>
      <c r="I5882" s="24" t="s">
        <v>27636</v>
      </c>
      <c r="J5882" s="22" t="s">
        <v>31</v>
      </c>
      <c r="K5882" s="22" t="s">
        <v>1112</v>
      </c>
      <c r="L5882" s="36">
        <v>633.0</v>
      </c>
      <c r="M5882" s="36"/>
      <c r="N5882" s="36" t="s">
        <v>2554</v>
      </c>
      <c r="O5882" s="36"/>
      <c r="P5882" s="37" t="s">
        <v>27637</v>
      </c>
      <c r="Q5882" s="36"/>
      <c r="R5882" s="36"/>
      <c r="S5882" s="36"/>
      <c r="T5882" s="54" t="s">
        <v>27638</v>
      </c>
      <c r="U5882" s="38" t="str">
        <f>HYPERLINK("https://www.ncbi.nlm.nih.gov/pubmed/25736682","PubMed")</f>
        <v>PubMed</v>
      </c>
      <c r="V5882" s="30"/>
      <c r="W5882" s="49"/>
      <c r="X5882" s="49"/>
      <c r="Y5882" s="35"/>
      <c r="Z5882" s="35"/>
      <c r="AA5882" s="35"/>
      <c r="AB5882" s="35"/>
      <c r="AC5882" s="35"/>
      <c r="AD5882" s="35"/>
      <c r="AE5882" s="35"/>
      <c r="AF5882" s="35"/>
      <c r="AG5882" s="35"/>
      <c r="AH5882" s="35"/>
      <c r="AI5882" s="35"/>
      <c r="AJ5882" s="35"/>
      <c r="AK5882" s="35"/>
      <c r="AL5882" s="35"/>
    </row>
    <row r="5883">
      <c r="A5883" s="1" t="s">
        <v>2</v>
      </c>
      <c r="B5883" s="19" t="s">
        <v>27604</v>
      </c>
      <c r="C5883" s="20" t="s">
        <v>27639</v>
      </c>
      <c r="D5883" s="47"/>
      <c r="E5883" s="22" t="s">
        <v>27640</v>
      </c>
      <c r="F5883" s="22" t="s">
        <v>274</v>
      </c>
      <c r="G5883" s="23" t="s">
        <v>90</v>
      </c>
      <c r="H5883" s="22" t="s">
        <v>91</v>
      </c>
      <c r="I5883" s="24" t="s">
        <v>27641</v>
      </c>
      <c r="J5883" s="22" t="s">
        <v>44</v>
      </c>
      <c r="K5883" s="22" t="s">
        <v>157</v>
      </c>
      <c r="L5883" s="36">
        <v>805.0</v>
      </c>
      <c r="M5883" s="36">
        <v>40.0</v>
      </c>
      <c r="N5883" s="36"/>
      <c r="O5883" s="36" t="s">
        <v>14027</v>
      </c>
      <c r="P5883" s="37" t="s">
        <v>27642</v>
      </c>
      <c r="Q5883" s="36" t="s">
        <v>4458</v>
      </c>
      <c r="R5883" s="36">
        <v>22.0</v>
      </c>
      <c r="S5883" s="36">
        <v>5.0</v>
      </c>
      <c r="T5883" s="54" t="s">
        <v>27643</v>
      </c>
      <c r="U5883" s="38" t="str">
        <f>HYPERLINK("https://www.ncbi.nlm.nih.gov/pubmed/28577185","PubMed")</f>
        <v>PubMed</v>
      </c>
      <c r="V5883" s="30"/>
      <c r="W5883" s="49"/>
      <c r="X5883" s="49"/>
      <c r="Y5883" s="35"/>
      <c r="Z5883" s="35"/>
      <c r="AA5883" s="35"/>
      <c r="AB5883" s="35"/>
      <c r="AC5883" s="35"/>
      <c r="AD5883" s="35"/>
      <c r="AE5883" s="35"/>
      <c r="AF5883" s="35"/>
      <c r="AG5883" s="35"/>
      <c r="AH5883" s="35"/>
      <c r="AI5883" s="35"/>
      <c r="AJ5883" s="35"/>
      <c r="AK5883" s="35"/>
      <c r="AL5883" s="35"/>
    </row>
    <row r="5884">
      <c r="A5884" s="1"/>
      <c r="B5884" s="19" t="s">
        <v>7020</v>
      </c>
      <c r="C5884" s="20" t="s">
        <v>27644</v>
      </c>
      <c r="D5884" s="47"/>
      <c r="E5884" s="22" t="s">
        <v>27645</v>
      </c>
      <c r="F5884" s="22" t="s">
        <v>15236</v>
      </c>
      <c r="G5884" s="23">
        <v>2023.0</v>
      </c>
      <c r="H5884" s="22" t="s">
        <v>27646</v>
      </c>
      <c r="I5884" s="24" t="s">
        <v>27647</v>
      </c>
      <c r="J5884" s="22" t="s">
        <v>125</v>
      </c>
      <c r="K5884" s="22"/>
      <c r="L5884" s="173" t="s">
        <v>27648</v>
      </c>
      <c r="U5884" s="38" t="s">
        <v>61</v>
      </c>
      <c r="V5884" s="30"/>
      <c r="W5884" s="49"/>
      <c r="X5884" s="49"/>
      <c r="Y5884" s="35"/>
      <c r="Z5884" s="35"/>
      <c r="AA5884" s="35"/>
      <c r="AB5884" s="35"/>
      <c r="AC5884" s="35"/>
      <c r="AD5884" s="35"/>
      <c r="AE5884" s="35"/>
      <c r="AF5884" s="35"/>
      <c r="AG5884" s="35"/>
      <c r="AH5884" s="35"/>
      <c r="AI5884" s="35"/>
      <c r="AJ5884" s="35"/>
      <c r="AK5884" s="35"/>
      <c r="AL5884" s="35"/>
    </row>
    <row r="5885">
      <c r="A5885" s="1"/>
      <c r="B5885" s="19" t="s">
        <v>7020</v>
      </c>
      <c r="C5885" s="20" t="s">
        <v>27644</v>
      </c>
      <c r="D5885" s="47"/>
      <c r="E5885" s="22" t="s">
        <v>27649</v>
      </c>
      <c r="F5885" s="22" t="s">
        <v>27650</v>
      </c>
      <c r="G5885" s="23">
        <v>2021.0</v>
      </c>
      <c r="H5885" s="22" t="s">
        <v>27651</v>
      </c>
      <c r="I5885" s="24" t="s">
        <v>27652</v>
      </c>
      <c r="J5885" s="22" t="s">
        <v>27653</v>
      </c>
      <c r="K5885" s="22" t="s">
        <v>27654</v>
      </c>
      <c r="L5885" s="36" t="s">
        <v>27655</v>
      </c>
      <c r="M5885" s="36" t="s">
        <v>11820</v>
      </c>
      <c r="N5885" s="36" t="s">
        <v>58</v>
      </c>
      <c r="O5885" s="36" t="s">
        <v>58</v>
      </c>
      <c r="P5885" s="37" t="s">
        <v>58</v>
      </c>
      <c r="Q5885" s="36" t="s">
        <v>58</v>
      </c>
      <c r="R5885" s="36">
        <v>3600.0</v>
      </c>
      <c r="S5885" s="36" t="s">
        <v>3647</v>
      </c>
      <c r="T5885" s="54" t="s">
        <v>27656</v>
      </c>
      <c r="U5885" s="29" t="s">
        <v>61</v>
      </c>
      <c r="V5885" s="30"/>
      <c r="W5885" s="49"/>
      <c r="X5885" s="49"/>
      <c r="Y5885" s="35"/>
      <c r="Z5885" s="35"/>
      <c r="AA5885" s="35"/>
      <c r="AB5885" s="35"/>
      <c r="AC5885" s="35"/>
      <c r="AD5885" s="35"/>
      <c r="AE5885" s="35"/>
      <c r="AF5885" s="35"/>
      <c r="AG5885" s="35"/>
      <c r="AH5885" s="35"/>
      <c r="AI5885" s="35"/>
      <c r="AJ5885" s="35"/>
      <c r="AK5885" s="35"/>
      <c r="AL5885" s="35"/>
    </row>
    <row r="5886">
      <c r="A5886" s="1" t="s">
        <v>2</v>
      </c>
      <c r="B5886" s="19" t="s">
        <v>7020</v>
      </c>
      <c r="C5886" s="20" t="s">
        <v>27644</v>
      </c>
      <c r="D5886" s="47"/>
      <c r="E5886" s="22" t="s">
        <v>5532</v>
      </c>
      <c r="F5886" s="22" t="s">
        <v>400</v>
      </c>
      <c r="G5886" s="23">
        <v>2018.0</v>
      </c>
      <c r="H5886" s="22" t="s">
        <v>42</v>
      </c>
      <c r="I5886" s="24" t="s">
        <v>27657</v>
      </c>
      <c r="J5886" s="22" t="s">
        <v>44</v>
      </c>
      <c r="K5886" s="22" t="s">
        <v>1112</v>
      </c>
      <c r="L5886" s="36">
        <v>810.0</v>
      </c>
      <c r="M5886" s="36"/>
      <c r="N5886" s="36"/>
      <c r="O5886" s="36"/>
      <c r="P5886" s="37" t="s">
        <v>27658</v>
      </c>
      <c r="Q5886" s="36" t="s">
        <v>27659</v>
      </c>
      <c r="R5886" s="36"/>
      <c r="S5886" s="36"/>
      <c r="T5886" s="54" t="s">
        <v>27660</v>
      </c>
      <c r="U5886" s="38" t="str">
        <f>HYPERLINK("https://www.ncbi.nlm.nih.gov/pubmed/29484823","PubMed")</f>
        <v>PubMed</v>
      </c>
      <c r="V5886" s="30"/>
      <c r="W5886" s="49"/>
      <c r="X5886" s="49"/>
      <c r="Y5886" s="35"/>
      <c r="Z5886" s="35"/>
      <c r="AA5886" s="35"/>
      <c r="AB5886" s="35"/>
      <c r="AC5886" s="35"/>
      <c r="AD5886" s="35"/>
      <c r="AE5886" s="35"/>
      <c r="AF5886" s="35"/>
      <c r="AG5886" s="35"/>
      <c r="AH5886" s="35"/>
      <c r="AI5886" s="35"/>
      <c r="AJ5886" s="35"/>
      <c r="AK5886" s="35"/>
      <c r="AL5886" s="35"/>
    </row>
    <row r="5887">
      <c r="A5887" s="1" t="s">
        <v>2</v>
      </c>
      <c r="B5887" s="19" t="s">
        <v>7020</v>
      </c>
      <c r="C5887" s="20" t="s">
        <v>27644</v>
      </c>
      <c r="D5887" s="47"/>
      <c r="E5887" s="22" t="s">
        <v>27661</v>
      </c>
      <c r="F5887" s="22" t="s">
        <v>1203</v>
      </c>
      <c r="G5887" s="23">
        <v>2017.0</v>
      </c>
      <c r="H5887" s="22" t="s">
        <v>2505</v>
      </c>
      <c r="I5887" s="24" t="s">
        <v>27662</v>
      </c>
      <c r="J5887" s="22" t="s">
        <v>44</v>
      </c>
      <c r="K5887" s="22" t="s">
        <v>2216</v>
      </c>
      <c r="L5887" s="36">
        <v>890.0</v>
      </c>
      <c r="M5887" s="36" t="s">
        <v>27663</v>
      </c>
      <c r="N5887" s="36" t="s">
        <v>27664</v>
      </c>
      <c r="O5887" s="36"/>
      <c r="P5887" s="37"/>
      <c r="Q5887" s="36"/>
      <c r="R5887" s="36"/>
      <c r="S5887" s="36"/>
      <c r="T5887" s="137" t="s">
        <v>27665</v>
      </c>
      <c r="U5887" s="38" t="str">
        <f>HYPERLINK("https://www.ncbi.nlm.nih.gov/pubmed/27056078","PubMed")</f>
        <v>PubMed</v>
      </c>
      <c r="V5887" s="30"/>
      <c r="W5887" s="49"/>
      <c r="X5887" s="49"/>
      <c r="Y5887" s="35"/>
      <c r="Z5887" s="35"/>
      <c r="AA5887" s="35"/>
      <c r="AB5887" s="35"/>
      <c r="AC5887" s="35"/>
      <c r="AD5887" s="35"/>
      <c r="AE5887" s="35"/>
      <c r="AF5887" s="35"/>
      <c r="AG5887" s="35"/>
      <c r="AH5887" s="35"/>
      <c r="AI5887" s="35"/>
      <c r="AJ5887" s="35"/>
      <c r="AK5887" s="35"/>
      <c r="AL5887" s="35"/>
    </row>
    <row r="5888">
      <c r="A5888" s="1"/>
      <c r="B5888" s="19" t="s">
        <v>7020</v>
      </c>
      <c r="C5888" s="20" t="s">
        <v>27644</v>
      </c>
      <c r="D5888" s="47"/>
      <c r="E5888" s="22" t="s">
        <v>27666</v>
      </c>
      <c r="F5888" s="22" t="s">
        <v>400</v>
      </c>
      <c r="G5888" s="23">
        <v>2016.0</v>
      </c>
      <c r="H5888" s="22" t="s">
        <v>3166</v>
      </c>
      <c r="I5888" s="24" t="s">
        <v>27667</v>
      </c>
      <c r="J5888" s="22" t="s">
        <v>44</v>
      </c>
      <c r="K5888" s="22" t="s">
        <v>27668</v>
      </c>
      <c r="L5888" s="36">
        <v>810.0</v>
      </c>
      <c r="M5888" s="36"/>
      <c r="N5888" s="36" t="s">
        <v>2165</v>
      </c>
      <c r="O5888" s="36"/>
      <c r="P5888" s="37" t="s">
        <v>27669</v>
      </c>
      <c r="Q5888" s="36"/>
      <c r="R5888" s="36"/>
      <c r="S5888" s="36"/>
      <c r="T5888" s="137" t="s">
        <v>27670</v>
      </c>
      <c r="U5888" s="38" t="str">
        <f>HYPERLINK("https://www.ncbi.nlm.nih.gov/pubmed/26835486","PubMed")</f>
        <v>PubMed</v>
      </c>
      <c r="V5888" s="30"/>
      <c r="W5888" s="49"/>
      <c r="X5888" s="49"/>
      <c r="Y5888" s="35"/>
      <c r="Z5888" s="35"/>
      <c r="AA5888" s="35"/>
      <c r="AB5888" s="35"/>
      <c r="AC5888" s="35"/>
      <c r="AD5888" s="35"/>
      <c r="AE5888" s="35"/>
      <c r="AF5888" s="35"/>
      <c r="AG5888" s="35"/>
      <c r="AH5888" s="35"/>
      <c r="AI5888" s="35"/>
      <c r="AJ5888" s="35"/>
      <c r="AK5888" s="35"/>
      <c r="AL5888" s="35"/>
    </row>
    <row r="5889">
      <c r="A5889" s="1"/>
      <c r="B5889" s="19" t="s">
        <v>7020</v>
      </c>
      <c r="C5889" s="20" t="s">
        <v>27644</v>
      </c>
      <c r="D5889" s="47"/>
      <c r="E5889" s="22" t="s">
        <v>13667</v>
      </c>
      <c r="F5889" s="22" t="s">
        <v>1465</v>
      </c>
      <c r="G5889" s="23">
        <v>2006.0</v>
      </c>
      <c r="H5889" s="22" t="s">
        <v>658</v>
      </c>
      <c r="I5889" s="24" t="s">
        <v>27671</v>
      </c>
      <c r="J5889" s="22" t="s">
        <v>649</v>
      </c>
      <c r="K5889" s="22"/>
      <c r="L5889" s="105" t="s">
        <v>27672</v>
      </c>
      <c r="M5889" s="44"/>
      <c r="N5889" s="44"/>
      <c r="O5889" s="44"/>
      <c r="P5889" s="44"/>
      <c r="Q5889" s="44"/>
      <c r="R5889" s="44"/>
      <c r="S5889" s="44"/>
      <c r="T5889" s="45"/>
      <c r="U5889" s="38" t="str">
        <f>HYPERLINK("https://www.ncbi.nlm.nih.gov/pubmed/16706694","PubMed")</f>
        <v>PubMed</v>
      </c>
      <c r="V5889" s="30"/>
      <c r="W5889" s="49"/>
      <c r="X5889" s="49"/>
      <c r="Y5889" s="35"/>
      <c r="Z5889" s="35"/>
      <c r="AA5889" s="35"/>
      <c r="AB5889" s="35"/>
      <c r="AC5889" s="35"/>
      <c r="AD5889" s="35"/>
      <c r="AE5889" s="35"/>
      <c r="AF5889" s="35"/>
      <c r="AG5889" s="35"/>
      <c r="AH5889" s="35"/>
      <c r="AI5889" s="35"/>
      <c r="AJ5889" s="35"/>
      <c r="AK5889" s="35"/>
      <c r="AL5889" s="35"/>
    </row>
    <row r="5890">
      <c r="A5890" s="1"/>
      <c r="B5890" s="19" t="s">
        <v>7020</v>
      </c>
      <c r="C5890" s="20" t="s">
        <v>27673</v>
      </c>
      <c r="D5890" s="47"/>
      <c r="E5890" s="22" t="s">
        <v>8190</v>
      </c>
      <c r="F5890" s="22" t="s">
        <v>41</v>
      </c>
      <c r="G5890" s="23">
        <v>2017.0</v>
      </c>
      <c r="H5890" s="22" t="s">
        <v>91</v>
      </c>
      <c r="I5890" s="24" t="s">
        <v>27674</v>
      </c>
      <c r="J5890" s="22" t="s">
        <v>55</v>
      </c>
      <c r="K5890" s="22" t="s">
        <v>27675</v>
      </c>
      <c r="L5890" s="36">
        <v>904.0</v>
      </c>
      <c r="M5890" s="36">
        <v>45.0</v>
      </c>
      <c r="N5890" s="36"/>
      <c r="O5890" s="36" t="s">
        <v>27676</v>
      </c>
      <c r="P5890" s="37" t="s">
        <v>17791</v>
      </c>
      <c r="Q5890" s="36" t="s">
        <v>27677</v>
      </c>
      <c r="R5890" s="36"/>
      <c r="S5890" s="36">
        <v>5.0</v>
      </c>
      <c r="T5890" s="137" t="s">
        <v>27678</v>
      </c>
      <c r="U5890" s="38" t="str">
        <f>HYPERLINK("https://www.ncbi.nlm.nih.gov/pubmed/28138810","PubMed")</f>
        <v>PubMed</v>
      </c>
      <c r="V5890" s="30"/>
      <c r="W5890" s="49"/>
      <c r="X5890" s="49"/>
      <c r="Y5890" s="35"/>
      <c r="Z5890" s="35"/>
      <c r="AA5890" s="35"/>
      <c r="AB5890" s="35"/>
      <c r="AC5890" s="35"/>
      <c r="AD5890" s="35"/>
      <c r="AE5890" s="35"/>
      <c r="AF5890" s="35"/>
      <c r="AG5890" s="35"/>
      <c r="AH5890" s="35"/>
      <c r="AI5890" s="35"/>
      <c r="AJ5890" s="35"/>
      <c r="AK5890" s="35"/>
      <c r="AL5890" s="35"/>
    </row>
    <row r="5891">
      <c r="A5891" s="1"/>
      <c r="B5891" s="19" t="s">
        <v>7020</v>
      </c>
      <c r="C5891" s="20" t="s">
        <v>27673</v>
      </c>
      <c r="D5891" s="47"/>
      <c r="E5891" s="22" t="s">
        <v>12932</v>
      </c>
      <c r="F5891" s="22" t="s">
        <v>1508</v>
      </c>
      <c r="G5891" s="23">
        <v>2016.0</v>
      </c>
      <c r="H5891" s="22" t="s">
        <v>8177</v>
      </c>
      <c r="I5891" s="24" t="s">
        <v>27679</v>
      </c>
      <c r="J5891" s="22" t="s">
        <v>55</v>
      </c>
      <c r="K5891" s="22"/>
      <c r="L5891" s="36">
        <v>780.0</v>
      </c>
      <c r="M5891" s="36">
        <v>50.0</v>
      </c>
      <c r="N5891" s="36" t="s">
        <v>27680</v>
      </c>
      <c r="O5891" s="36">
        <v>6.0</v>
      </c>
      <c r="P5891" s="37" t="s">
        <v>704</v>
      </c>
      <c r="Q5891" s="36" t="s">
        <v>27681</v>
      </c>
      <c r="R5891" s="36" t="s">
        <v>16277</v>
      </c>
      <c r="S5891" s="36"/>
      <c r="T5891" s="137" t="s">
        <v>27682</v>
      </c>
      <c r="U5891" s="38" t="str">
        <f>HYPERLINK("https://www.ncbi.nlm.nih.gov/pubmed/26006084","PubMed")</f>
        <v>PubMed</v>
      </c>
      <c r="V5891" s="30"/>
      <c r="W5891" s="49"/>
      <c r="X5891" s="49"/>
      <c r="Y5891" s="35"/>
      <c r="Z5891" s="35"/>
      <c r="AA5891" s="35"/>
      <c r="AB5891" s="35"/>
      <c r="AC5891" s="35"/>
      <c r="AD5891" s="35"/>
      <c r="AE5891" s="35"/>
      <c r="AF5891" s="35"/>
      <c r="AG5891" s="35"/>
      <c r="AH5891" s="35"/>
      <c r="AI5891" s="35"/>
      <c r="AJ5891" s="35"/>
      <c r="AK5891" s="35"/>
      <c r="AL5891" s="35"/>
    </row>
    <row r="5892">
      <c r="A5892" s="18" t="s">
        <v>2</v>
      </c>
      <c r="B5892" s="19" t="s">
        <v>7020</v>
      </c>
      <c r="C5892" s="20" t="s">
        <v>19339</v>
      </c>
      <c r="D5892" s="47"/>
      <c r="E5892" s="22" t="s">
        <v>388</v>
      </c>
      <c r="F5892" s="22" t="s">
        <v>16249</v>
      </c>
      <c r="G5892" s="23">
        <v>2021.0</v>
      </c>
      <c r="H5892" s="22" t="s">
        <v>207</v>
      </c>
      <c r="I5892" s="24" t="s">
        <v>27683</v>
      </c>
      <c r="J5892" s="22" t="s">
        <v>44</v>
      </c>
      <c r="K5892" s="22"/>
      <c r="L5892" s="36">
        <v>630.0</v>
      </c>
      <c r="M5892" s="36"/>
      <c r="N5892" s="36" t="s">
        <v>27684</v>
      </c>
      <c r="O5892" s="36"/>
      <c r="P5892" s="37" t="s">
        <v>269</v>
      </c>
      <c r="Q5892" s="36"/>
      <c r="R5892" s="36"/>
      <c r="S5892" s="36"/>
      <c r="T5892" s="28" t="s">
        <v>27685</v>
      </c>
      <c r="U5892" s="29" t="s">
        <v>61</v>
      </c>
      <c r="V5892" s="30"/>
      <c r="W5892" s="49"/>
      <c r="X5892" s="49"/>
      <c r="Y5892" s="35"/>
      <c r="Z5892" s="35"/>
      <c r="AA5892" s="35"/>
      <c r="AB5892" s="35"/>
      <c r="AC5892" s="35"/>
      <c r="AD5892" s="35"/>
      <c r="AE5892" s="35"/>
      <c r="AF5892" s="35"/>
      <c r="AG5892" s="35"/>
      <c r="AH5892" s="35"/>
      <c r="AI5892" s="35"/>
      <c r="AJ5892" s="35"/>
      <c r="AK5892" s="35"/>
      <c r="AL5892" s="35"/>
    </row>
    <row r="5893">
      <c r="A5893" s="1"/>
      <c r="B5893" s="19" t="s">
        <v>7020</v>
      </c>
      <c r="C5893" s="20" t="s">
        <v>19339</v>
      </c>
      <c r="D5893" s="47"/>
      <c r="E5893" s="22" t="s">
        <v>5053</v>
      </c>
      <c r="F5893" s="22" t="s">
        <v>7853</v>
      </c>
      <c r="G5893" s="23">
        <v>2019.0</v>
      </c>
      <c r="H5893" s="22" t="s">
        <v>42</v>
      </c>
      <c r="I5893" s="24" t="s">
        <v>27686</v>
      </c>
      <c r="J5893" s="22" t="s">
        <v>44</v>
      </c>
      <c r="K5893" s="22" t="s">
        <v>4071</v>
      </c>
      <c r="L5893" s="36" t="s">
        <v>27687</v>
      </c>
      <c r="M5893" s="36"/>
      <c r="N5893" s="36"/>
      <c r="O5893" s="36"/>
      <c r="P5893" s="37" t="s">
        <v>27688</v>
      </c>
      <c r="Q5893" s="36"/>
      <c r="R5893" s="36"/>
      <c r="S5893" s="36"/>
      <c r="T5893" s="28" t="s">
        <v>27689</v>
      </c>
      <c r="U5893" s="38" t="str">
        <f>HYPERLINK("https://www.ncbi.nlm.nih.gov/pubmed/31219220","PubMed")</f>
        <v>PubMed</v>
      </c>
      <c r="V5893" s="30"/>
      <c r="W5893" s="49"/>
      <c r="X5893" s="49"/>
      <c r="Y5893" s="35"/>
      <c r="Z5893" s="35"/>
      <c r="AA5893" s="35"/>
      <c r="AB5893" s="35"/>
      <c r="AC5893" s="35"/>
      <c r="AD5893" s="35"/>
      <c r="AE5893" s="35"/>
      <c r="AF5893" s="35"/>
      <c r="AG5893" s="35"/>
      <c r="AH5893" s="35"/>
      <c r="AI5893" s="35"/>
      <c r="AJ5893" s="35"/>
      <c r="AK5893" s="35"/>
      <c r="AL5893" s="35"/>
    </row>
    <row r="5894">
      <c r="A5894" s="1"/>
      <c r="B5894" s="19" t="s">
        <v>7020</v>
      </c>
      <c r="C5894" s="20" t="s">
        <v>19339</v>
      </c>
      <c r="D5894" s="47"/>
      <c r="E5894" s="22" t="s">
        <v>2760</v>
      </c>
      <c r="F5894" s="22" t="s">
        <v>1508</v>
      </c>
      <c r="G5894" s="23">
        <v>2017.0</v>
      </c>
      <c r="H5894" s="22" t="s">
        <v>91</v>
      </c>
      <c r="I5894" s="24" t="s">
        <v>27690</v>
      </c>
      <c r="J5894" s="22" t="s">
        <v>55</v>
      </c>
      <c r="K5894" s="22" t="s">
        <v>27691</v>
      </c>
      <c r="L5894" s="36"/>
      <c r="M5894" s="36"/>
      <c r="N5894" s="36"/>
      <c r="O5894" s="36"/>
      <c r="P5894" s="37"/>
      <c r="Q5894" s="36"/>
      <c r="R5894" s="36"/>
      <c r="S5894" s="36"/>
      <c r="T5894" s="28" t="s">
        <v>27692</v>
      </c>
      <c r="U5894" s="38" t="str">
        <f>HYPERLINK("https://www.ncbi.nlm.nih.gov/pubmed/29103083","PubMed")</f>
        <v>PubMed</v>
      </c>
      <c r="V5894" s="30"/>
      <c r="W5894" s="49"/>
      <c r="X5894" s="49"/>
      <c r="Y5894" s="35"/>
      <c r="Z5894" s="35"/>
      <c r="AA5894" s="35"/>
      <c r="AB5894" s="35"/>
      <c r="AC5894" s="35"/>
      <c r="AD5894" s="35"/>
      <c r="AE5894" s="35"/>
      <c r="AF5894" s="35"/>
      <c r="AG5894" s="35"/>
      <c r="AH5894" s="35"/>
      <c r="AI5894" s="35"/>
      <c r="AJ5894" s="35"/>
      <c r="AK5894" s="35"/>
      <c r="AL5894" s="35"/>
    </row>
    <row r="5895">
      <c r="A5895" s="1"/>
      <c r="B5895" s="19" t="s">
        <v>7020</v>
      </c>
      <c r="C5895" s="20" t="s">
        <v>19339</v>
      </c>
      <c r="D5895" s="47"/>
      <c r="E5895" s="22" t="s">
        <v>13840</v>
      </c>
      <c r="F5895" s="22" t="s">
        <v>12890</v>
      </c>
      <c r="G5895" s="23">
        <v>2012.0</v>
      </c>
      <c r="H5895" s="22" t="s">
        <v>27693</v>
      </c>
      <c r="I5895" s="24" t="s">
        <v>27694</v>
      </c>
      <c r="J5895" s="22" t="s">
        <v>55</v>
      </c>
      <c r="K5895" s="22"/>
      <c r="L5895" s="36">
        <v>820.0</v>
      </c>
      <c r="M5895" s="36">
        <v>30.0</v>
      </c>
      <c r="N5895" s="36"/>
      <c r="O5895" s="36"/>
      <c r="P5895" s="37" t="s">
        <v>70</v>
      </c>
      <c r="Q5895" s="36" t="s">
        <v>27695</v>
      </c>
      <c r="R5895" s="36"/>
      <c r="S5895" s="36"/>
      <c r="T5895" s="28" t="s">
        <v>27696</v>
      </c>
      <c r="U5895" s="38" t="str">
        <f>HYPERLINK("http://www.scielo.br/scielo.php?pid=S1806-00132012000200011&amp;script=sci_arttext&amp;tlng=en","SciELO")</f>
        <v>SciELO</v>
      </c>
      <c r="V5895" s="30"/>
      <c r="W5895" s="49"/>
      <c r="X5895" s="49"/>
      <c r="Y5895" s="35"/>
      <c r="Z5895" s="35"/>
      <c r="AA5895" s="35"/>
      <c r="AB5895" s="35"/>
      <c r="AC5895" s="35"/>
      <c r="AD5895" s="35"/>
      <c r="AE5895" s="35"/>
      <c r="AF5895" s="35"/>
      <c r="AG5895" s="35"/>
      <c r="AH5895" s="35"/>
      <c r="AI5895" s="35"/>
      <c r="AJ5895" s="35"/>
      <c r="AK5895" s="35"/>
      <c r="AL5895" s="35"/>
    </row>
    <row r="5896">
      <c r="A5896" s="1"/>
      <c r="B5896" s="19" t="s">
        <v>7020</v>
      </c>
      <c r="C5896" s="20" t="s">
        <v>19339</v>
      </c>
      <c r="D5896" s="47"/>
      <c r="E5896" s="22" t="s">
        <v>27697</v>
      </c>
      <c r="F5896" s="22" t="s">
        <v>41</v>
      </c>
      <c r="G5896" s="23">
        <v>2010.0</v>
      </c>
      <c r="H5896" s="22" t="s">
        <v>27698</v>
      </c>
      <c r="I5896" s="24" t="s">
        <v>27699</v>
      </c>
      <c r="J5896" s="22" t="s">
        <v>55</v>
      </c>
      <c r="K5896" s="22"/>
      <c r="L5896" s="36">
        <v>660.0</v>
      </c>
      <c r="M5896" s="36">
        <v>15.0</v>
      </c>
      <c r="N5896" s="36"/>
      <c r="O5896" s="36"/>
      <c r="P5896" s="37" t="s">
        <v>7500</v>
      </c>
      <c r="Q5896" s="36" t="s">
        <v>280</v>
      </c>
      <c r="R5896" s="36">
        <v>5.0</v>
      </c>
      <c r="S5896" s="36"/>
      <c r="T5896" s="28" t="s">
        <v>27700</v>
      </c>
      <c r="U5896" s="38" t="str">
        <f>HYPERLINK("https://www.ncbi.nlm.nih.gov/pubmed/20682161","PubMed")</f>
        <v>PubMed</v>
      </c>
      <c r="V5896" s="30"/>
      <c r="W5896" s="49"/>
      <c r="X5896" s="49"/>
      <c r="Y5896" s="35"/>
      <c r="Z5896" s="35"/>
      <c r="AA5896" s="35"/>
      <c r="AB5896" s="35"/>
      <c r="AC5896" s="35"/>
      <c r="AD5896" s="35"/>
      <c r="AE5896" s="35"/>
      <c r="AF5896" s="35"/>
      <c r="AG5896" s="35"/>
      <c r="AH5896" s="35"/>
      <c r="AI5896" s="35"/>
      <c r="AJ5896" s="35"/>
      <c r="AK5896" s="35"/>
      <c r="AL5896" s="35"/>
    </row>
    <row r="5897">
      <c r="A5897" s="1"/>
      <c r="B5897" s="19" t="s">
        <v>7020</v>
      </c>
      <c r="C5897" s="20" t="s">
        <v>19339</v>
      </c>
      <c r="D5897" s="47"/>
      <c r="E5897" s="22" t="s">
        <v>27701</v>
      </c>
      <c r="F5897" s="22" t="s">
        <v>115</v>
      </c>
      <c r="G5897" s="23">
        <v>2008.0</v>
      </c>
      <c r="H5897" s="22" t="s">
        <v>19552</v>
      </c>
      <c r="I5897" s="24" t="s">
        <v>27702</v>
      </c>
      <c r="J5897" s="22" t="s">
        <v>44</v>
      </c>
      <c r="K5897" s="22" t="s">
        <v>27703</v>
      </c>
      <c r="L5897" s="36" t="s">
        <v>943</v>
      </c>
      <c r="M5897" s="36" t="s">
        <v>18205</v>
      </c>
      <c r="N5897" s="36"/>
      <c r="O5897" s="36"/>
      <c r="P5897" s="37" t="s">
        <v>1208</v>
      </c>
      <c r="Q5897" s="36" t="s">
        <v>9545</v>
      </c>
      <c r="R5897" s="36" t="s">
        <v>27704</v>
      </c>
      <c r="S5897" s="36"/>
      <c r="T5897" s="28" t="s">
        <v>27705</v>
      </c>
      <c r="U5897" s="38" t="str">
        <f>HYPERLINK("https://www.ncbi.nlm.nih.gov/pubmed/18830174","PubMed")</f>
        <v>PubMed</v>
      </c>
      <c r="V5897" s="30"/>
      <c r="W5897" s="49"/>
      <c r="X5897" s="49"/>
      <c r="Y5897" s="35"/>
      <c r="Z5897" s="35"/>
      <c r="AA5897" s="35"/>
      <c r="AB5897" s="35"/>
      <c r="AC5897" s="35"/>
      <c r="AD5897" s="35"/>
      <c r="AE5897" s="35"/>
      <c r="AF5897" s="35"/>
      <c r="AG5897" s="35"/>
      <c r="AH5897" s="35"/>
      <c r="AI5897" s="35"/>
      <c r="AJ5897" s="35"/>
      <c r="AK5897" s="35"/>
      <c r="AL5897" s="35"/>
    </row>
    <row r="5898">
      <c r="A5898" s="1"/>
      <c r="B5898" s="19" t="s">
        <v>7020</v>
      </c>
      <c r="C5898" s="20" t="s">
        <v>19339</v>
      </c>
      <c r="D5898" s="47"/>
      <c r="E5898" s="22" t="s">
        <v>27706</v>
      </c>
      <c r="F5898" s="22" t="s">
        <v>27707</v>
      </c>
      <c r="G5898" s="23">
        <v>2008.0</v>
      </c>
      <c r="H5898" s="22" t="s">
        <v>27708</v>
      </c>
      <c r="I5898" s="24" t="s">
        <v>27709</v>
      </c>
      <c r="J5898" s="22" t="s">
        <v>55</v>
      </c>
      <c r="K5898" s="22" t="s">
        <v>27710</v>
      </c>
      <c r="L5898" s="36">
        <v>830.0</v>
      </c>
      <c r="M5898" s="36"/>
      <c r="N5898" s="36"/>
      <c r="O5898" s="36"/>
      <c r="P5898" s="37"/>
      <c r="Q5898" s="36"/>
      <c r="R5898" s="36"/>
      <c r="S5898" s="36"/>
      <c r="T5898" s="28" t="s">
        <v>27711</v>
      </c>
      <c r="U5898" s="38" t="str">
        <f>HYPERLINK("http://www.ncbi.nlm.nih.gov/pubmed/18713929","PubMed")</f>
        <v>PubMed</v>
      </c>
      <c r="V5898" s="30"/>
      <c r="W5898" s="49"/>
      <c r="X5898" s="49"/>
      <c r="Y5898" s="35"/>
      <c r="Z5898" s="35"/>
      <c r="AA5898" s="35"/>
      <c r="AB5898" s="35"/>
      <c r="AC5898" s="35"/>
      <c r="AD5898" s="35"/>
      <c r="AE5898" s="35"/>
      <c r="AF5898" s="35"/>
      <c r="AG5898" s="35"/>
      <c r="AH5898" s="35"/>
      <c r="AI5898" s="35"/>
      <c r="AJ5898" s="35"/>
      <c r="AK5898" s="35"/>
      <c r="AL5898" s="35"/>
    </row>
    <row r="5899">
      <c r="A5899" s="1"/>
      <c r="B5899" s="19" t="s">
        <v>7020</v>
      </c>
      <c r="C5899" s="20" t="s">
        <v>19339</v>
      </c>
      <c r="D5899" s="47"/>
      <c r="E5899" s="22" t="s">
        <v>27706</v>
      </c>
      <c r="F5899" s="22" t="s">
        <v>27707</v>
      </c>
      <c r="G5899" s="23">
        <v>2007.0</v>
      </c>
      <c r="H5899" s="57" t="s">
        <v>53</v>
      </c>
      <c r="I5899" s="24" t="s">
        <v>27712</v>
      </c>
      <c r="J5899" s="22" t="s">
        <v>55</v>
      </c>
      <c r="K5899" s="22" t="s">
        <v>27710</v>
      </c>
      <c r="L5899" s="36">
        <v>830.0</v>
      </c>
      <c r="M5899" s="36"/>
      <c r="N5899" s="36"/>
      <c r="O5899" s="36"/>
      <c r="P5899" s="37" t="s">
        <v>27713</v>
      </c>
      <c r="Q5899" s="36"/>
      <c r="R5899" s="36"/>
      <c r="S5899" s="36">
        <v>3.0</v>
      </c>
      <c r="T5899" s="28" t="s">
        <v>27714</v>
      </c>
      <c r="U5899" s="38" t="str">
        <f>HYPERLINK("https://www.ncbi.nlm.nih.gov/pubmed/18081143","PubMed")</f>
        <v>PubMed</v>
      </c>
      <c r="V5899" s="30"/>
      <c r="W5899" s="49"/>
      <c r="X5899" s="49"/>
      <c r="Y5899" s="35"/>
      <c r="Z5899" s="35"/>
      <c r="AA5899" s="35"/>
      <c r="AB5899" s="35"/>
      <c r="AC5899" s="35"/>
      <c r="AD5899" s="35"/>
      <c r="AE5899" s="35"/>
      <c r="AF5899" s="35"/>
      <c r="AG5899" s="35"/>
      <c r="AH5899" s="35"/>
      <c r="AI5899" s="35"/>
      <c r="AJ5899" s="35"/>
      <c r="AK5899" s="35"/>
      <c r="AL5899" s="35"/>
    </row>
    <row r="5900">
      <c r="A5900" s="1"/>
      <c r="B5900" s="19" t="s">
        <v>7020</v>
      </c>
      <c r="C5900" s="20" t="s">
        <v>19339</v>
      </c>
      <c r="D5900" s="47"/>
      <c r="E5900" s="22" t="s">
        <v>27715</v>
      </c>
      <c r="F5900" s="22" t="s">
        <v>16732</v>
      </c>
      <c r="G5900" s="23">
        <v>1996.0</v>
      </c>
      <c r="H5900" s="57" t="s">
        <v>27716</v>
      </c>
      <c r="I5900" s="24" t="s">
        <v>27717</v>
      </c>
      <c r="J5900" s="22" t="s">
        <v>55</v>
      </c>
      <c r="K5900" s="22" t="s">
        <v>1112</v>
      </c>
      <c r="L5900" s="36">
        <v>820.0</v>
      </c>
      <c r="M5900" s="36">
        <v>100.0</v>
      </c>
      <c r="N5900" s="36">
        <v>1.0</v>
      </c>
      <c r="O5900" s="36"/>
      <c r="P5900" s="37" t="s">
        <v>27718</v>
      </c>
      <c r="Q5900" s="36"/>
      <c r="R5900" s="36"/>
      <c r="S5900" s="36"/>
      <c r="T5900" s="28" t="s">
        <v>27719</v>
      </c>
      <c r="U5900" s="38" t="str">
        <f>HYPERLINK("https://www.ncbi.nlm.nih.gov/pubmed/8711027","PubMed")</f>
        <v>PubMed</v>
      </c>
      <c r="V5900" s="30"/>
      <c r="W5900" s="49"/>
      <c r="X5900" s="49"/>
      <c r="Y5900" s="35"/>
      <c r="Z5900" s="35"/>
      <c r="AA5900" s="35"/>
      <c r="AB5900" s="35"/>
      <c r="AC5900" s="35"/>
      <c r="AD5900" s="35"/>
      <c r="AE5900" s="35"/>
      <c r="AF5900" s="35"/>
      <c r="AG5900" s="35"/>
      <c r="AH5900" s="35"/>
      <c r="AI5900" s="35"/>
      <c r="AJ5900" s="35"/>
      <c r="AK5900" s="35"/>
      <c r="AL5900" s="35"/>
    </row>
    <row r="5901">
      <c r="A5901" s="1"/>
      <c r="B5901" s="19" t="s">
        <v>7020</v>
      </c>
      <c r="C5901" s="20" t="s">
        <v>19339</v>
      </c>
      <c r="D5901" s="47"/>
      <c r="E5901" s="22" t="s">
        <v>27720</v>
      </c>
      <c r="F5901" s="22" t="s">
        <v>16732</v>
      </c>
      <c r="G5901" s="23">
        <v>1996.0</v>
      </c>
      <c r="H5901" s="57" t="s">
        <v>3189</v>
      </c>
      <c r="I5901" s="24" t="s">
        <v>27721</v>
      </c>
      <c r="J5901" s="22" t="s">
        <v>55</v>
      </c>
      <c r="K5901" s="22"/>
      <c r="L5901" s="36">
        <v>820.0</v>
      </c>
      <c r="M5901" s="36">
        <v>100.0</v>
      </c>
      <c r="N5901" s="36"/>
      <c r="O5901" s="36"/>
      <c r="P5901" s="37" t="s">
        <v>27722</v>
      </c>
      <c r="Q5901" s="36"/>
      <c r="R5901" s="36"/>
      <c r="S5901" s="36"/>
      <c r="T5901" s="28" t="s">
        <v>27723</v>
      </c>
      <c r="U5901" s="215"/>
      <c r="V5901" s="30"/>
      <c r="W5901" s="49"/>
      <c r="X5901" s="49"/>
      <c r="Y5901" s="35"/>
      <c r="Z5901" s="35"/>
      <c r="AA5901" s="35"/>
      <c r="AB5901" s="35"/>
      <c r="AC5901" s="35"/>
      <c r="AD5901" s="35"/>
      <c r="AE5901" s="35"/>
      <c r="AF5901" s="35"/>
      <c r="AG5901" s="35"/>
      <c r="AH5901" s="35"/>
      <c r="AI5901" s="35"/>
      <c r="AJ5901" s="35"/>
      <c r="AK5901" s="35"/>
      <c r="AL5901" s="35"/>
    </row>
    <row r="5902">
      <c r="A5902" s="1"/>
      <c r="B5902" s="19" t="s">
        <v>7020</v>
      </c>
      <c r="C5902" s="20" t="s">
        <v>19339</v>
      </c>
      <c r="D5902" s="47"/>
      <c r="E5902" s="22" t="s">
        <v>9245</v>
      </c>
      <c r="F5902" s="22" t="s">
        <v>647</v>
      </c>
      <c r="G5902" s="23">
        <v>1994.0</v>
      </c>
      <c r="H5902" s="57" t="s">
        <v>292</v>
      </c>
      <c r="I5902" s="24" t="s">
        <v>27724</v>
      </c>
      <c r="J5902" s="22" t="s">
        <v>27725</v>
      </c>
      <c r="K5902" s="22" t="s">
        <v>653</v>
      </c>
      <c r="L5902" s="36" t="s">
        <v>27726</v>
      </c>
      <c r="M5902" s="36" t="s">
        <v>58</v>
      </c>
      <c r="N5902" s="36" t="s">
        <v>58</v>
      </c>
      <c r="O5902" s="36" t="s">
        <v>58</v>
      </c>
      <c r="P5902" s="37" t="s">
        <v>27727</v>
      </c>
      <c r="Q5902" s="36"/>
      <c r="R5902" s="36"/>
      <c r="S5902" s="36" t="s">
        <v>4746</v>
      </c>
      <c r="T5902" s="42" t="s">
        <v>27728</v>
      </c>
      <c r="U5902" s="38" t="str">
        <f>HYPERLINK("https://www.jstage.jst.go.jp/article/islsm/6/3/6_94-OR-07/_article","J-STAGE")</f>
        <v>J-STAGE</v>
      </c>
      <c r="V5902" s="30" t="s">
        <v>27729</v>
      </c>
      <c r="W5902" s="49"/>
      <c r="X5902" s="49"/>
      <c r="Y5902" s="35"/>
      <c r="Z5902" s="35"/>
      <c r="AA5902" s="35"/>
      <c r="AB5902" s="35"/>
      <c r="AC5902" s="35"/>
      <c r="AD5902" s="35"/>
      <c r="AE5902" s="35"/>
      <c r="AF5902" s="35"/>
      <c r="AG5902" s="35"/>
      <c r="AH5902" s="35"/>
      <c r="AI5902" s="35"/>
      <c r="AJ5902" s="35"/>
      <c r="AK5902" s="35"/>
      <c r="AL5902" s="35"/>
    </row>
    <row r="5903">
      <c r="A5903" s="1"/>
      <c r="B5903" s="19" t="s">
        <v>7020</v>
      </c>
      <c r="C5903" s="20" t="s">
        <v>19339</v>
      </c>
      <c r="D5903" s="47"/>
      <c r="E5903" s="22" t="s">
        <v>27730</v>
      </c>
      <c r="F5903" s="22" t="s">
        <v>27731</v>
      </c>
      <c r="G5903" s="23">
        <v>1988.0</v>
      </c>
      <c r="H5903" s="57" t="s">
        <v>27732</v>
      </c>
      <c r="I5903" s="24" t="s">
        <v>27733</v>
      </c>
      <c r="J5903" s="22" t="s">
        <v>55</v>
      </c>
      <c r="K5903" s="22"/>
      <c r="L5903" s="36"/>
      <c r="M5903" s="36"/>
      <c r="N5903" s="36"/>
      <c r="O5903" s="36"/>
      <c r="P5903" s="37"/>
      <c r="Q5903" s="36"/>
      <c r="R5903" s="36"/>
      <c r="S5903" s="36"/>
      <c r="T5903" s="28" t="s">
        <v>27734</v>
      </c>
      <c r="U5903" s="38" t="str">
        <f>HYPERLINK("https://www.ncbi.nlm.nih.gov/pubmed/2904208","PubMed")</f>
        <v>PubMed</v>
      </c>
      <c r="V5903" s="30"/>
      <c r="W5903" s="49"/>
      <c r="X5903" s="49"/>
      <c r="Y5903" s="35"/>
      <c r="Z5903" s="35"/>
      <c r="AA5903" s="35"/>
      <c r="AB5903" s="35"/>
      <c r="AC5903" s="35"/>
      <c r="AD5903" s="35"/>
      <c r="AE5903" s="35"/>
      <c r="AF5903" s="35"/>
      <c r="AG5903" s="35"/>
      <c r="AH5903" s="35"/>
      <c r="AI5903" s="35"/>
      <c r="AJ5903" s="35"/>
      <c r="AK5903" s="35"/>
      <c r="AL5903" s="35"/>
    </row>
    <row r="5904">
      <c r="A5904" s="1"/>
      <c r="B5904" s="19" t="s">
        <v>7020</v>
      </c>
      <c r="C5904" s="20" t="s">
        <v>19339</v>
      </c>
      <c r="D5904" s="47"/>
      <c r="E5904" s="22" t="s">
        <v>27730</v>
      </c>
      <c r="F5904" s="22" t="s">
        <v>27731</v>
      </c>
      <c r="G5904" s="23">
        <v>1987.0</v>
      </c>
      <c r="H5904" s="57" t="s">
        <v>27732</v>
      </c>
      <c r="I5904" s="24" t="s">
        <v>27735</v>
      </c>
      <c r="J5904" s="22" t="s">
        <v>55</v>
      </c>
      <c r="K5904" s="22" t="s">
        <v>1413</v>
      </c>
      <c r="L5904" s="36">
        <v>633.0</v>
      </c>
      <c r="M5904" s="36">
        <v>1.0</v>
      </c>
      <c r="N5904" s="36"/>
      <c r="O5904" s="36"/>
      <c r="P5904" s="37"/>
      <c r="Q5904" s="36"/>
      <c r="R5904" s="36"/>
      <c r="S5904" s="36"/>
      <c r="T5904" s="42" t="s">
        <v>27736</v>
      </c>
      <c r="U5904" s="38" t="str">
        <f>HYPERLINK("https://www.ncbi.nlm.nih.gov/pubmed/2890276","PubMed")</f>
        <v>PubMed</v>
      </c>
      <c r="V5904" s="30"/>
      <c r="W5904" s="49"/>
      <c r="X5904" s="49"/>
      <c r="Y5904" s="35"/>
      <c r="Z5904" s="35"/>
      <c r="AA5904" s="35"/>
      <c r="AB5904" s="35"/>
      <c r="AC5904" s="35"/>
      <c r="AD5904" s="35"/>
      <c r="AE5904" s="35"/>
      <c r="AF5904" s="35"/>
      <c r="AG5904" s="35"/>
      <c r="AH5904" s="35"/>
      <c r="AI5904" s="35"/>
      <c r="AJ5904" s="35"/>
      <c r="AK5904" s="35"/>
      <c r="AL5904" s="35"/>
    </row>
    <row r="5905">
      <c r="A5905" s="1"/>
      <c r="B5905" s="19" t="s">
        <v>7020</v>
      </c>
      <c r="C5905" s="20" t="s">
        <v>27737</v>
      </c>
      <c r="D5905" s="47"/>
      <c r="E5905" s="22" t="s">
        <v>27738</v>
      </c>
      <c r="F5905" s="22" t="s">
        <v>24346</v>
      </c>
      <c r="G5905" s="23">
        <v>2014.0</v>
      </c>
      <c r="H5905" s="57" t="s">
        <v>13222</v>
      </c>
      <c r="I5905" s="24" t="s">
        <v>27739</v>
      </c>
      <c r="J5905" s="22" t="s">
        <v>27740</v>
      </c>
      <c r="K5905" s="22"/>
      <c r="L5905" s="36">
        <v>808.0</v>
      </c>
      <c r="M5905" s="36">
        <v>200.0</v>
      </c>
      <c r="N5905" s="36" t="s">
        <v>102</v>
      </c>
      <c r="O5905" s="36" t="s">
        <v>4694</v>
      </c>
      <c r="P5905" s="36" t="s">
        <v>4694</v>
      </c>
      <c r="Q5905" s="36" t="s">
        <v>27741</v>
      </c>
      <c r="R5905" s="36" t="s">
        <v>27742</v>
      </c>
      <c r="S5905" s="36">
        <v>1.0</v>
      </c>
      <c r="T5905" s="28" t="s">
        <v>27743</v>
      </c>
      <c r="U5905" s="38" t="str">
        <f>HYPERLINK("https://www.ncbi.nlm.nih.gov/pubmed/24945286","PubMed")</f>
        <v>PubMed</v>
      </c>
      <c r="V5905" s="30" t="s">
        <v>27744</v>
      </c>
      <c r="W5905" s="49"/>
      <c r="X5905" s="49"/>
      <c r="Y5905" s="35"/>
      <c r="Z5905" s="35"/>
      <c r="AA5905" s="35"/>
      <c r="AB5905" s="35"/>
      <c r="AC5905" s="35"/>
      <c r="AD5905" s="35"/>
      <c r="AE5905" s="35"/>
      <c r="AF5905" s="35"/>
      <c r="AG5905" s="35"/>
      <c r="AH5905" s="35"/>
      <c r="AI5905" s="35"/>
      <c r="AJ5905" s="35"/>
      <c r="AK5905" s="35"/>
      <c r="AL5905" s="35"/>
    </row>
    <row r="5906">
      <c r="A5906" s="1"/>
      <c r="B5906" s="19" t="s">
        <v>7020</v>
      </c>
      <c r="C5906" s="20" t="s">
        <v>27745</v>
      </c>
      <c r="D5906" s="47"/>
      <c r="E5906" s="22" t="s">
        <v>27746</v>
      </c>
      <c r="F5906" s="22" t="s">
        <v>11512</v>
      </c>
      <c r="G5906" s="23">
        <v>2010.0</v>
      </c>
      <c r="H5906" s="57" t="s">
        <v>658</v>
      </c>
      <c r="I5906" s="24" t="s">
        <v>27747</v>
      </c>
      <c r="J5906" s="22" t="s">
        <v>125</v>
      </c>
      <c r="K5906" s="22"/>
      <c r="L5906" s="167" t="s">
        <v>27748</v>
      </c>
      <c r="M5906" s="44"/>
      <c r="N5906" s="44"/>
      <c r="O5906" s="44"/>
      <c r="P5906" s="44"/>
      <c r="Q5906" s="44"/>
      <c r="R5906" s="44"/>
      <c r="S5906" s="44"/>
      <c r="T5906" s="45"/>
      <c r="U5906" s="38" t="str">
        <f>HYPERLINK("https://www.ncbi.nlm.nih.gov/pubmed/20973738","PubMed")</f>
        <v>PubMed</v>
      </c>
      <c r="V5906" s="30"/>
      <c r="W5906" s="49"/>
      <c r="X5906" s="49"/>
      <c r="Y5906" s="35"/>
      <c r="Z5906" s="35"/>
      <c r="AA5906" s="35"/>
      <c r="AB5906" s="35"/>
      <c r="AC5906" s="35"/>
      <c r="AD5906" s="35"/>
      <c r="AE5906" s="35"/>
      <c r="AF5906" s="35"/>
      <c r="AG5906" s="35"/>
      <c r="AH5906" s="35"/>
      <c r="AI5906" s="35"/>
      <c r="AJ5906" s="35"/>
      <c r="AK5906" s="35"/>
      <c r="AL5906" s="35"/>
    </row>
    <row r="5907">
      <c r="A5907" s="1"/>
      <c r="B5907" s="19" t="s">
        <v>7020</v>
      </c>
      <c r="C5907" s="20" t="s">
        <v>27749</v>
      </c>
      <c r="D5907" s="47"/>
      <c r="E5907" s="22" t="s">
        <v>27750</v>
      </c>
      <c r="F5907" s="22" t="s">
        <v>323</v>
      </c>
      <c r="G5907" s="23">
        <v>2024.0</v>
      </c>
      <c r="H5907" s="57" t="s">
        <v>4751</v>
      </c>
      <c r="I5907" s="24" t="s">
        <v>27751</v>
      </c>
      <c r="J5907" s="22" t="s">
        <v>27752</v>
      </c>
      <c r="K5907" s="22"/>
      <c r="L5907" s="52">
        <v>808.0</v>
      </c>
      <c r="M5907" s="52">
        <v>500.0</v>
      </c>
      <c r="N5907" s="52"/>
      <c r="O5907" s="52"/>
      <c r="P5907" s="189"/>
      <c r="Q5907" s="52"/>
      <c r="R5907" s="52"/>
      <c r="S5907" s="52"/>
      <c r="T5907" s="28" t="s">
        <v>27753</v>
      </c>
      <c r="U5907" s="38" t="s">
        <v>61</v>
      </c>
      <c r="V5907" s="30"/>
      <c r="W5907" s="49"/>
      <c r="X5907" s="49"/>
      <c r="Y5907" s="35"/>
      <c r="Z5907" s="35"/>
      <c r="AA5907" s="35"/>
      <c r="AB5907" s="35"/>
      <c r="AC5907" s="35"/>
      <c r="AD5907" s="35"/>
      <c r="AE5907" s="35"/>
      <c r="AF5907" s="35"/>
      <c r="AG5907" s="35"/>
      <c r="AH5907" s="35"/>
      <c r="AI5907" s="35"/>
      <c r="AJ5907" s="35"/>
      <c r="AK5907" s="35"/>
      <c r="AL5907" s="35"/>
    </row>
    <row r="5908">
      <c r="A5908" s="1"/>
      <c r="B5908" s="19" t="s">
        <v>7020</v>
      </c>
      <c r="C5908" s="20" t="s">
        <v>27749</v>
      </c>
      <c r="D5908" s="47"/>
      <c r="E5908" s="22" t="s">
        <v>27754</v>
      </c>
      <c r="F5908" s="22" t="s">
        <v>27755</v>
      </c>
      <c r="G5908" s="23">
        <v>2023.0</v>
      </c>
      <c r="H5908" s="57" t="s">
        <v>91</v>
      </c>
      <c r="I5908" s="24" t="s">
        <v>27756</v>
      </c>
      <c r="J5908" s="22" t="s">
        <v>1078</v>
      </c>
      <c r="K5908" s="22"/>
      <c r="L5908" s="173" t="s">
        <v>27757</v>
      </c>
      <c r="U5908" s="38" t="s">
        <v>61</v>
      </c>
      <c r="V5908" s="30"/>
      <c r="W5908" s="49"/>
      <c r="X5908" s="49"/>
      <c r="Y5908" s="35"/>
      <c r="Z5908" s="35"/>
      <c r="AA5908" s="35"/>
      <c r="AB5908" s="35"/>
      <c r="AC5908" s="35"/>
      <c r="AD5908" s="35"/>
      <c r="AE5908" s="35"/>
      <c r="AF5908" s="35"/>
      <c r="AG5908" s="35"/>
      <c r="AH5908" s="35"/>
      <c r="AI5908" s="35"/>
      <c r="AJ5908" s="35"/>
      <c r="AK5908" s="35"/>
      <c r="AL5908" s="35"/>
    </row>
    <row r="5909">
      <c r="A5909" s="1"/>
      <c r="B5909" s="19" t="s">
        <v>7020</v>
      </c>
      <c r="C5909" s="20" t="s">
        <v>27749</v>
      </c>
      <c r="D5909" s="47"/>
      <c r="E5909" s="22" t="s">
        <v>27758</v>
      </c>
      <c r="F5909" s="22" t="s">
        <v>5207</v>
      </c>
      <c r="G5909" s="23">
        <v>2023.0</v>
      </c>
      <c r="H5909" s="57" t="s">
        <v>27759</v>
      </c>
      <c r="I5909" s="24" t="s">
        <v>27760</v>
      </c>
      <c r="J5909" s="22" t="s">
        <v>27761</v>
      </c>
      <c r="K5909" s="22"/>
      <c r="L5909" s="52">
        <v>660.0</v>
      </c>
      <c r="M5909" s="52">
        <v>100.0</v>
      </c>
      <c r="N5909" s="52"/>
      <c r="O5909" s="52"/>
      <c r="P5909" s="189" t="s">
        <v>3463</v>
      </c>
      <c r="Q5909" s="52"/>
      <c r="R5909" s="52">
        <v>1800.0</v>
      </c>
      <c r="S5909" s="52"/>
      <c r="T5909" s="28" t="s">
        <v>27762</v>
      </c>
      <c r="U5909" s="38" t="s">
        <v>61</v>
      </c>
      <c r="V5909" s="30"/>
      <c r="W5909" s="49"/>
      <c r="X5909" s="49"/>
      <c r="Y5909" s="35"/>
      <c r="Z5909" s="35"/>
      <c r="AA5909" s="35"/>
      <c r="AB5909" s="35"/>
      <c r="AC5909" s="35"/>
      <c r="AD5909" s="35"/>
      <c r="AE5909" s="35"/>
      <c r="AF5909" s="35"/>
      <c r="AG5909" s="35"/>
      <c r="AH5909" s="35"/>
      <c r="AI5909" s="35"/>
      <c r="AJ5909" s="35"/>
      <c r="AK5909" s="35"/>
      <c r="AL5909" s="35"/>
    </row>
    <row r="5910">
      <c r="A5910" s="1"/>
      <c r="B5910" s="19" t="s">
        <v>7020</v>
      </c>
      <c r="C5910" s="20" t="s">
        <v>27749</v>
      </c>
      <c r="D5910" s="47"/>
      <c r="E5910" s="22" t="s">
        <v>2338</v>
      </c>
      <c r="F5910" s="22" t="s">
        <v>206</v>
      </c>
      <c r="G5910" s="23">
        <v>2023.0</v>
      </c>
      <c r="H5910" s="57" t="s">
        <v>27763</v>
      </c>
      <c r="I5910" s="24" t="s">
        <v>27764</v>
      </c>
      <c r="J5910" s="22" t="s">
        <v>27765</v>
      </c>
      <c r="K5910" s="22" t="s">
        <v>2686</v>
      </c>
      <c r="L5910" s="52"/>
      <c r="M5910" s="52"/>
      <c r="N5910" s="52"/>
      <c r="O5910" s="52"/>
      <c r="P5910" s="189"/>
      <c r="Q5910" s="52"/>
      <c r="R5910" s="52"/>
      <c r="S5910" s="52"/>
      <c r="T5910" s="28" t="s">
        <v>27766</v>
      </c>
      <c r="U5910" s="38" t="s">
        <v>61</v>
      </c>
      <c r="V5910" s="30"/>
      <c r="W5910" s="49"/>
      <c r="X5910" s="49"/>
      <c r="Y5910" s="35"/>
      <c r="Z5910" s="35"/>
      <c r="AA5910" s="35"/>
      <c r="AB5910" s="35"/>
      <c r="AC5910" s="35"/>
      <c r="AD5910" s="35"/>
      <c r="AE5910" s="35"/>
      <c r="AF5910" s="35"/>
      <c r="AG5910" s="35"/>
      <c r="AH5910" s="35"/>
      <c r="AI5910" s="35"/>
      <c r="AJ5910" s="35"/>
      <c r="AK5910" s="35"/>
      <c r="AL5910" s="35"/>
    </row>
    <row r="5911">
      <c r="A5911" s="1"/>
      <c r="B5911" s="19" t="s">
        <v>7020</v>
      </c>
      <c r="C5911" s="20" t="s">
        <v>27749</v>
      </c>
      <c r="D5911" s="47"/>
      <c r="E5911" s="22" t="s">
        <v>7435</v>
      </c>
      <c r="F5911" s="22" t="s">
        <v>12293</v>
      </c>
      <c r="G5911" s="23">
        <v>2022.0</v>
      </c>
      <c r="H5911" s="57" t="s">
        <v>20791</v>
      </c>
      <c r="I5911" s="24" t="s">
        <v>27767</v>
      </c>
      <c r="J5911" s="22" t="s">
        <v>27768</v>
      </c>
      <c r="K5911" s="22" t="s">
        <v>27769</v>
      </c>
      <c r="L5911" s="52"/>
      <c r="M5911" s="52"/>
      <c r="N5911" s="52"/>
      <c r="O5911" s="52"/>
      <c r="P5911" s="189"/>
      <c r="Q5911" s="52"/>
      <c r="R5911" s="52"/>
      <c r="S5911" s="52"/>
      <c r="T5911" s="28" t="s">
        <v>27770</v>
      </c>
      <c r="U5911" s="38" t="s">
        <v>61</v>
      </c>
      <c r="V5911" s="30" t="s">
        <v>174</v>
      </c>
      <c r="W5911" s="49"/>
      <c r="X5911" s="49"/>
      <c r="Y5911" s="35"/>
      <c r="Z5911" s="35"/>
      <c r="AA5911" s="35"/>
      <c r="AB5911" s="35"/>
      <c r="AC5911" s="35"/>
      <c r="AD5911" s="35"/>
      <c r="AE5911" s="35"/>
      <c r="AF5911" s="35"/>
      <c r="AG5911" s="35"/>
      <c r="AH5911" s="35"/>
      <c r="AI5911" s="35"/>
      <c r="AJ5911" s="35"/>
      <c r="AK5911" s="35"/>
      <c r="AL5911" s="35"/>
    </row>
    <row r="5912">
      <c r="A5912" s="1"/>
      <c r="B5912" s="19" t="s">
        <v>7020</v>
      </c>
      <c r="C5912" s="20" t="s">
        <v>27749</v>
      </c>
      <c r="D5912" s="47"/>
      <c r="E5912" s="22" t="s">
        <v>1080</v>
      </c>
      <c r="F5912" s="22" t="s">
        <v>27771</v>
      </c>
      <c r="G5912" s="23">
        <v>2022.0</v>
      </c>
      <c r="H5912" s="57" t="s">
        <v>627</v>
      </c>
      <c r="I5912" s="24" t="s">
        <v>27772</v>
      </c>
      <c r="J5912" s="22" t="s">
        <v>27773</v>
      </c>
      <c r="K5912" s="22" t="s">
        <v>27774</v>
      </c>
      <c r="L5912" s="52" t="s">
        <v>7151</v>
      </c>
      <c r="M5912" s="52">
        <v>20.0</v>
      </c>
      <c r="N5912" s="52" t="s">
        <v>27775</v>
      </c>
      <c r="O5912" s="52" t="s">
        <v>27776</v>
      </c>
      <c r="P5912" s="189" t="s">
        <v>27777</v>
      </c>
      <c r="Q5912" s="52"/>
      <c r="R5912" s="52"/>
      <c r="S5912" s="52" t="s">
        <v>2099</v>
      </c>
      <c r="T5912" s="28" t="s">
        <v>27778</v>
      </c>
      <c r="U5912" s="29" t="s">
        <v>61</v>
      </c>
      <c r="V5912" s="30" t="s">
        <v>27779</v>
      </c>
      <c r="W5912" s="49"/>
      <c r="X5912" s="49"/>
      <c r="Y5912" s="35"/>
      <c r="Z5912" s="35"/>
      <c r="AA5912" s="35"/>
      <c r="AB5912" s="35"/>
      <c r="AC5912" s="35"/>
      <c r="AD5912" s="35"/>
      <c r="AE5912" s="35"/>
      <c r="AF5912" s="35"/>
      <c r="AG5912" s="35"/>
      <c r="AH5912" s="35"/>
      <c r="AI5912" s="35"/>
      <c r="AJ5912" s="35"/>
      <c r="AK5912" s="35"/>
      <c r="AL5912" s="35"/>
    </row>
    <row r="5913">
      <c r="A5913" s="1"/>
      <c r="B5913" s="19" t="s">
        <v>7020</v>
      </c>
      <c r="C5913" s="20" t="s">
        <v>27749</v>
      </c>
      <c r="D5913" s="47"/>
      <c r="E5913" s="22" t="s">
        <v>27780</v>
      </c>
      <c r="F5913" s="22" t="s">
        <v>5207</v>
      </c>
      <c r="G5913" s="23">
        <v>2022.0</v>
      </c>
      <c r="H5913" s="57" t="s">
        <v>91</v>
      </c>
      <c r="I5913" s="24" t="s">
        <v>27781</v>
      </c>
      <c r="J5913" s="22" t="s">
        <v>27782</v>
      </c>
      <c r="K5913" s="22" t="s">
        <v>27783</v>
      </c>
      <c r="L5913" s="52" t="s">
        <v>3031</v>
      </c>
      <c r="M5913" s="52"/>
      <c r="N5913" s="52"/>
      <c r="O5913" s="52">
        <v>240.0</v>
      </c>
      <c r="P5913" s="189"/>
      <c r="Q5913" s="52"/>
      <c r="R5913" s="52"/>
      <c r="S5913" s="52" t="s">
        <v>27784</v>
      </c>
      <c r="T5913" s="42" t="s">
        <v>27785</v>
      </c>
      <c r="U5913" s="29" t="s">
        <v>61</v>
      </c>
      <c r="V5913" s="30" t="s">
        <v>27786</v>
      </c>
      <c r="W5913" s="49"/>
      <c r="X5913" s="49"/>
      <c r="Y5913" s="35"/>
      <c r="Z5913" s="35"/>
      <c r="AA5913" s="35"/>
      <c r="AB5913" s="35"/>
      <c r="AC5913" s="35"/>
      <c r="AD5913" s="35"/>
      <c r="AE5913" s="35"/>
      <c r="AF5913" s="35"/>
      <c r="AG5913" s="35"/>
      <c r="AH5913" s="35"/>
      <c r="AI5913" s="35"/>
      <c r="AJ5913" s="35"/>
      <c r="AK5913" s="35"/>
      <c r="AL5913" s="35"/>
    </row>
    <row r="5914">
      <c r="A5914" s="1"/>
      <c r="B5914" s="19" t="s">
        <v>7020</v>
      </c>
      <c r="C5914" s="20" t="s">
        <v>27749</v>
      </c>
      <c r="D5914" s="47"/>
      <c r="E5914" s="22" t="s">
        <v>27787</v>
      </c>
      <c r="F5914" s="22" t="s">
        <v>11479</v>
      </c>
      <c r="G5914" s="23">
        <v>2022.0</v>
      </c>
      <c r="H5914" s="57" t="s">
        <v>27788</v>
      </c>
      <c r="I5914" s="24" t="s">
        <v>27789</v>
      </c>
      <c r="J5914" s="22" t="s">
        <v>649</v>
      </c>
      <c r="K5914" s="22"/>
      <c r="L5914" s="196" t="s">
        <v>27790</v>
      </c>
      <c r="U5914" s="29" t="s">
        <v>61</v>
      </c>
      <c r="V5914" s="30"/>
      <c r="W5914" s="49"/>
      <c r="X5914" s="49"/>
      <c r="Y5914" s="35"/>
      <c r="Z5914" s="35"/>
      <c r="AA5914" s="35"/>
      <c r="AB5914" s="35"/>
      <c r="AC5914" s="35"/>
      <c r="AD5914" s="35"/>
      <c r="AE5914" s="35"/>
      <c r="AF5914" s="35"/>
      <c r="AG5914" s="35"/>
      <c r="AH5914" s="35"/>
      <c r="AI5914" s="35"/>
      <c r="AJ5914" s="35"/>
      <c r="AK5914" s="35"/>
      <c r="AL5914" s="35"/>
    </row>
    <row r="5915">
      <c r="A5915" s="1"/>
      <c r="B5915" s="19" t="s">
        <v>7020</v>
      </c>
      <c r="C5915" s="20" t="s">
        <v>27749</v>
      </c>
      <c r="D5915" s="47"/>
      <c r="E5915" s="22" t="s">
        <v>27791</v>
      </c>
      <c r="F5915" s="22" t="s">
        <v>27792</v>
      </c>
      <c r="G5915" s="23">
        <v>2021.0</v>
      </c>
      <c r="H5915" s="57" t="s">
        <v>4804</v>
      </c>
      <c r="I5915" s="24" t="s">
        <v>27793</v>
      </c>
      <c r="J5915" s="22" t="s">
        <v>27794</v>
      </c>
      <c r="K5915" s="22"/>
      <c r="L5915" s="36">
        <v>810.0</v>
      </c>
      <c r="M5915" s="36" t="s">
        <v>27795</v>
      </c>
      <c r="N5915" s="36" t="s">
        <v>58</v>
      </c>
      <c r="O5915" s="36" t="s">
        <v>58</v>
      </c>
      <c r="P5915" s="37" t="s">
        <v>4852</v>
      </c>
      <c r="Q5915" s="36" t="s">
        <v>27796</v>
      </c>
      <c r="R5915" s="36" t="s">
        <v>58</v>
      </c>
      <c r="S5915" s="36" t="s">
        <v>4905</v>
      </c>
      <c r="T5915" s="28" t="s">
        <v>27797</v>
      </c>
      <c r="U5915" s="29" t="s">
        <v>61</v>
      </c>
      <c r="V5915" s="30" t="s">
        <v>27798</v>
      </c>
      <c r="W5915" s="49"/>
      <c r="X5915" s="49"/>
      <c r="Y5915" s="35"/>
      <c r="Z5915" s="35"/>
      <c r="AA5915" s="35"/>
      <c r="AB5915" s="35"/>
      <c r="AC5915" s="35"/>
      <c r="AD5915" s="35"/>
      <c r="AE5915" s="35"/>
      <c r="AF5915" s="35"/>
      <c r="AG5915" s="35"/>
      <c r="AH5915" s="35"/>
      <c r="AI5915" s="35"/>
      <c r="AJ5915" s="35"/>
      <c r="AK5915" s="35"/>
      <c r="AL5915" s="35"/>
    </row>
    <row r="5916">
      <c r="A5916" s="1"/>
      <c r="B5916" s="19" t="s">
        <v>7020</v>
      </c>
      <c r="C5916" s="20" t="s">
        <v>27749</v>
      </c>
      <c r="D5916" s="47"/>
      <c r="E5916" s="22" t="s">
        <v>450</v>
      </c>
      <c r="F5916" s="57" t="s">
        <v>89</v>
      </c>
      <c r="G5916" s="23">
        <v>2021.0</v>
      </c>
      <c r="H5916" s="22" t="s">
        <v>13143</v>
      </c>
      <c r="I5916" s="24" t="s">
        <v>27799</v>
      </c>
      <c r="J5916" s="22" t="s">
        <v>2141</v>
      </c>
      <c r="K5916" s="22"/>
      <c r="L5916" s="168"/>
      <c r="M5916" s="392"/>
      <c r="N5916" s="392"/>
      <c r="O5916" s="392"/>
      <c r="P5916" s="168"/>
      <c r="Q5916" s="392"/>
      <c r="R5916" s="392"/>
      <c r="S5916" s="392"/>
      <c r="T5916" s="389" t="s">
        <v>27800</v>
      </c>
      <c r="U5916" s="29" t="s">
        <v>61</v>
      </c>
      <c r="V5916" s="30"/>
      <c r="W5916" s="49"/>
      <c r="X5916" s="49"/>
      <c r="Y5916" s="35"/>
      <c r="Z5916" s="35"/>
      <c r="AA5916" s="35"/>
      <c r="AB5916" s="35"/>
      <c r="AC5916" s="35"/>
      <c r="AD5916" s="35"/>
      <c r="AE5916" s="35"/>
      <c r="AF5916" s="35"/>
      <c r="AG5916" s="35"/>
      <c r="AH5916" s="35"/>
      <c r="AI5916" s="35"/>
      <c r="AJ5916" s="35"/>
      <c r="AK5916" s="35"/>
      <c r="AL5916" s="35"/>
    </row>
    <row r="5917">
      <c r="A5917" s="1"/>
      <c r="B5917" s="19" t="s">
        <v>7020</v>
      </c>
      <c r="C5917" s="20" t="s">
        <v>27749</v>
      </c>
      <c r="D5917" s="47"/>
      <c r="E5917" s="22" t="s">
        <v>27801</v>
      </c>
      <c r="F5917" s="57" t="s">
        <v>1862</v>
      </c>
      <c r="G5917" s="23">
        <v>2021.0</v>
      </c>
      <c r="H5917" s="22" t="s">
        <v>7020</v>
      </c>
      <c r="I5917" s="24" t="s">
        <v>27802</v>
      </c>
      <c r="J5917" s="22" t="s">
        <v>3887</v>
      </c>
      <c r="K5917" s="22"/>
      <c r="L5917" s="241" t="s">
        <v>27803</v>
      </c>
      <c r="M5917" s="44"/>
      <c r="N5917" s="44"/>
      <c r="O5917" s="44"/>
      <c r="P5917" s="44"/>
      <c r="Q5917" s="44"/>
      <c r="R5917" s="44"/>
      <c r="S5917" s="44"/>
      <c r="T5917" s="45"/>
      <c r="U5917" s="29" t="s">
        <v>61</v>
      </c>
      <c r="V5917" s="30"/>
      <c r="W5917" s="49"/>
      <c r="X5917" s="49"/>
      <c r="Y5917" s="35"/>
      <c r="Z5917" s="35"/>
      <c r="AA5917" s="35"/>
      <c r="AB5917" s="35"/>
      <c r="AC5917" s="35"/>
      <c r="AD5917" s="35"/>
      <c r="AE5917" s="35"/>
      <c r="AF5917" s="35"/>
      <c r="AG5917" s="35"/>
      <c r="AH5917" s="35"/>
      <c r="AI5917" s="35"/>
      <c r="AJ5917" s="35"/>
      <c r="AK5917" s="35"/>
      <c r="AL5917" s="35"/>
    </row>
    <row r="5918">
      <c r="A5918" s="1" t="s">
        <v>2</v>
      </c>
      <c r="B5918" s="19" t="s">
        <v>7020</v>
      </c>
      <c r="C5918" s="20" t="s">
        <v>27749</v>
      </c>
      <c r="D5918" s="47"/>
      <c r="E5918" s="22" t="s">
        <v>21125</v>
      </c>
      <c r="F5918" s="57" t="s">
        <v>41</v>
      </c>
      <c r="G5918" s="23">
        <v>2021.0</v>
      </c>
      <c r="H5918" s="22" t="s">
        <v>7020</v>
      </c>
      <c r="I5918" s="24" t="s">
        <v>27804</v>
      </c>
      <c r="J5918" s="22" t="s">
        <v>27805</v>
      </c>
      <c r="K5918" s="22"/>
      <c r="L5918" s="36" t="s">
        <v>194</v>
      </c>
      <c r="M5918" s="36" t="s">
        <v>4694</v>
      </c>
      <c r="N5918" s="36" t="s">
        <v>4694</v>
      </c>
      <c r="O5918" s="36">
        <v>220.0</v>
      </c>
      <c r="P5918" s="36" t="s">
        <v>4694</v>
      </c>
      <c r="Q5918" s="36" t="s">
        <v>4694</v>
      </c>
      <c r="R5918" s="36" t="s">
        <v>4694</v>
      </c>
      <c r="S5918" s="36" t="s">
        <v>4905</v>
      </c>
      <c r="T5918" s="241" t="s">
        <v>27806</v>
      </c>
      <c r="U5918" s="29" t="s">
        <v>61</v>
      </c>
      <c r="V5918" s="30" t="s">
        <v>27807</v>
      </c>
      <c r="W5918" s="49"/>
      <c r="X5918" s="49"/>
      <c r="Y5918" s="35"/>
      <c r="Z5918" s="35"/>
      <c r="AA5918" s="35"/>
      <c r="AB5918" s="35"/>
      <c r="AC5918" s="35"/>
      <c r="AD5918" s="35"/>
      <c r="AE5918" s="35"/>
      <c r="AF5918" s="35"/>
      <c r="AG5918" s="35"/>
      <c r="AH5918" s="35"/>
      <c r="AI5918" s="35"/>
      <c r="AJ5918" s="35"/>
      <c r="AK5918" s="35"/>
      <c r="AL5918" s="35"/>
    </row>
    <row r="5919">
      <c r="A5919" s="1"/>
      <c r="B5919" s="19" t="s">
        <v>7020</v>
      </c>
      <c r="C5919" s="20" t="s">
        <v>27749</v>
      </c>
      <c r="D5919" s="47"/>
      <c r="E5919" s="22" t="s">
        <v>27808</v>
      </c>
      <c r="F5919" s="57" t="s">
        <v>13308</v>
      </c>
      <c r="G5919" s="23">
        <v>2020.0</v>
      </c>
      <c r="H5919" s="22" t="s">
        <v>300</v>
      </c>
      <c r="I5919" s="24" t="s">
        <v>27809</v>
      </c>
      <c r="J5919" s="22" t="s">
        <v>14202</v>
      </c>
      <c r="K5919" s="22" t="s">
        <v>27810</v>
      </c>
      <c r="L5919" s="36" t="s">
        <v>27811</v>
      </c>
      <c r="M5919" s="36">
        <v>800.0</v>
      </c>
      <c r="N5919" s="94" t="s">
        <v>58</v>
      </c>
      <c r="O5919" s="36" t="s">
        <v>27812</v>
      </c>
      <c r="P5919" s="94" t="s">
        <v>27813</v>
      </c>
      <c r="Q5919" s="94" t="s">
        <v>27814</v>
      </c>
      <c r="R5919" s="36" t="s">
        <v>27815</v>
      </c>
      <c r="S5919" s="36" t="s">
        <v>8494</v>
      </c>
      <c r="T5919" s="137" t="s">
        <v>27816</v>
      </c>
      <c r="U5919" s="29" t="s">
        <v>61</v>
      </c>
      <c r="V5919" s="30" t="s">
        <v>27817</v>
      </c>
      <c r="W5919" s="49"/>
      <c r="X5919" s="49"/>
      <c r="Y5919" s="35"/>
      <c r="Z5919" s="35"/>
      <c r="AA5919" s="35"/>
      <c r="AB5919" s="35"/>
      <c r="AC5919" s="35"/>
      <c r="AD5919" s="35"/>
      <c r="AE5919" s="35"/>
      <c r="AF5919" s="35"/>
      <c r="AG5919" s="35"/>
      <c r="AH5919" s="35"/>
      <c r="AI5919" s="35"/>
      <c r="AJ5919" s="35"/>
      <c r="AK5919" s="35"/>
      <c r="AL5919" s="35"/>
    </row>
    <row r="5920">
      <c r="A5920" s="1"/>
      <c r="B5920" s="19" t="s">
        <v>7020</v>
      </c>
      <c r="C5920" s="20" t="s">
        <v>27749</v>
      </c>
      <c r="D5920" s="47"/>
      <c r="E5920" s="22" t="s">
        <v>27808</v>
      </c>
      <c r="F5920" s="57" t="s">
        <v>8008</v>
      </c>
      <c r="G5920" s="23">
        <v>2020.0</v>
      </c>
      <c r="H5920" s="22" t="s">
        <v>3828</v>
      </c>
      <c r="I5920" s="24" t="s">
        <v>27818</v>
      </c>
      <c r="J5920" s="22" t="s">
        <v>27819</v>
      </c>
      <c r="K5920" s="22"/>
      <c r="L5920" s="36">
        <v>1064.0</v>
      </c>
      <c r="M5920" s="36" t="s">
        <v>58</v>
      </c>
      <c r="N5920" s="36" t="s">
        <v>58</v>
      </c>
      <c r="O5920" s="36" t="s">
        <v>4694</v>
      </c>
      <c r="P5920" s="36" t="s">
        <v>4694</v>
      </c>
      <c r="Q5920" s="36" t="s">
        <v>27820</v>
      </c>
      <c r="R5920" s="36" t="s">
        <v>27821</v>
      </c>
      <c r="S5920" s="36" t="s">
        <v>3280</v>
      </c>
      <c r="T5920" s="331" t="s">
        <v>27822</v>
      </c>
      <c r="U5920" s="29" t="s">
        <v>61</v>
      </c>
      <c r="V5920" s="30" t="s">
        <v>27823</v>
      </c>
      <c r="W5920" s="49"/>
      <c r="X5920" s="49"/>
      <c r="Y5920" s="35"/>
      <c r="Z5920" s="35"/>
      <c r="AA5920" s="35"/>
      <c r="AB5920" s="35"/>
      <c r="AC5920" s="35"/>
      <c r="AD5920" s="35"/>
      <c r="AE5920" s="35"/>
      <c r="AF5920" s="35"/>
      <c r="AG5920" s="35"/>
      <c r="AH5920" s="35"/>
      <c r="AI5920" s="35"/>
      <c r="AJ5920" s="35"/>
      <c r="AK5920" s="35"/>
      <c r="AL5920" s="35"/>
    </row>
    <row r="5921">
      <c r="A5921" s="40" t="s">
        <v>181</v>
      </c>
      <c r="B5921" s="19" t="s">
        <v>7020</v>
      </c>
      <c r="C5921" s="20" t="s">
        <v>27749</v>
      </c>
      <c r="D5921" s="47"/>
      <c r="E5921" s="22" t="s">
        <v>8977</v>
      </c>
      <c r="F5921" s="57" t="s">
        <v>299</v>
      </c>
      <c r="G5921" s="23">
        <v>2020.0</v>
      </c>
      <c r="H5921" s="22" t="s">
        <v>2204</v>
      </c>
      <c r="I5921" s="24" t="s">
        <v>27824</v>
      </c>
      <c r="J5921" s="22" t="s">
        <v>27825</v>
      </c>
      <c r="K5921" s="22"/>
      <c r="L5921" s="36" t="s">
        <v>58</v>
      </c>
      <c r="M5921" s="36" t="s">
        <v>58</v>
      </c>
      <c r="N5921" s="36" t="s">
        <v>58</v>
      </c>
      <c r="O5921" s="36" t="s">
        <v>58</v>
      </c>
      <c r="P5921" s="37" t="s">
        <v>8519</v>
      </c>
      <c r="Q5921" s="36" t="s">
        <v>58</v>
      </c>
      <c r="R5921" s="36" t="s">
        <v>27826</v>
      </c>
      <c r="S5921" s="36" t="s">
        <v>4905</v>
      </c>
      <c r="T5921" s="331" t="s">
        <v>27827</v>
      </c>
      <c r="U5921" s="29" t="s">
        <v>61</v>
      </c>
      <c r="V5921" s="30" t="s">
        <v>27828</v>
      </c>
      <c r="W5921" s="49"/>
      <c r="X5921" s="49"/>
      <c r="Y5921" s="35"/>
      <c r="Z5921" s="35"/>
      <c r="AA5921" s="35"/>
      <c r="AB5921" s="35"/>
      <c r="AC5921" s="35"/>
      <c r="AD5921" s="35"/>
      <c r="AE5921" s="35"/>
      <c r="AF5921" s="35"/>
      <c r="AG5921" s="35"/>
      <c r="AH5921" s="35"/>
      <c r="AI5921" s="35"/>
      <c r="AJ5921" s="35"/>
      <c r="AK5921" s="35"/>
      <c r="AL5921" s="35"/>
    </row>
    <row r="5922">
      <c r="A5922" s="1"/>
      <c r="B5922" s="19" t="s">
        <v>7020</v>
      </c>
      <c r="C5922" s="20" t="s">
        <v>27749</v>
      </c>
      <c r="D5922" s="47"/>
      <c r="E5922" s="22" t="s">
        <v>2783</v>
      </c>
      <c r="F5922" s="22" t="s">
        <v>5219</v>
      </c>
      <c r="G5922" s="23">
        <v>2020.0</v>
      </c>
      <c r="H5922" s="57" t="s">
        <v>11480</v>
      </c>
      <c r="I5922" s="24" t="s">
        <v>27829</v>
      </c>
      <c r="J5922" s="22" t="s">
        <v>2141</v>
      </c>
      <c r="K5922" s="22"/>
      <c r="L5922" s="393"/>
      <c r="M5922" s="394"/>
      <c r="N5922" s="394"/>
      <c r="O5922" s="394"/>
      <c r="P5922" s="394"/>
      <c r="Q5922" s="394"/>
      <c r="R5922" s="394"/>
      <c r="S5922" s="394"/>
      <c r="T5922" s="216" t="s">
        <v>27830</v>
      </c>
      <c r="U5922" s="29" t="s">
        <v>61</v>
      </c>
      <c r="V5922" s="30"/>
      <c r="W5922" s="49"/>
      <c r="X5922" s="49"/>
      <c r="Y5922" s="35"/>
      <c r="Z5922" s="35"/>
      <c r="AA5922" s="35"/>
      <c r="AB5922" s="35"/>
      <c r="AC5922" s="35"/>
      <c r="AD5922" s="35"/>
      <c r="AE5922" s="35"/>
      <c r="AF5922" s="35"/>
      <c r="AG5922" s="35"/>
      <c r="AH5922" s="35"/>
      <c r="AI5922" s="35"/>
      <c r="AJ5922" s="35"/>
      <c r="AK5922" s="35"/>
      <c r="AL5922" s="35"/>
    </row>
    <row r="5923">
      <c r="A5923" s="1"/>
      <c r="B5923" s="19" t="s">
        <v>7020</v>
      </c>
      <c r="C5923" s="20" t="s">
        <v>27749</v>
      </c>
      <c r="D5923" s="47"/>
      <c r="E5923" s="22" t="s">
        <v>12585</v>
      </c>
      <c r="F5923" s="22" t="s">
        <v>14779</v>
      </c>
      <c r="G5923" s="23">
        <v>2020.0</v>
      </c>
      <c r="H5923" s="57" t="s">
        <v>27831</v>
      </c>
      <c r="I5923" s="24" t="s">
        <v>27832</v>
      </c>
      <c r="J5923" s="22" t="s">
        <v>649</v>
      </c>
      <c r="K5923" s="22"/>
      <c r="L5923" s="241" t="s">
        <v>27833</v>
      </c>
      <c r="M5923" s="44"/>
      <c r="N5923" s="44"/>
      <c r="O5923" s="44"/>
      <c r="P5923" s="44"/>
      <c r="Q5923" s="44"/>
      <c r="R5923" s="44"/>
      <c r="S5923" s="44"/>
      <c r="T5923" s="45"/>
      <c r="U5923" s="29" t="s">
        <v>61</v>
      </c>
      <c r="V5923" s="30"/>
      <c r="W5923" s="49"/>
      <c r="X5923" s="49"/>
      <c r="Y5923" s="35"/>
      <c r="Z5923" s="35"/>
      <c r="AA5923" s="35"/>
      <c r="AB5923" s="35"/>
      <c r="AC5923" s="35"/>
      <c r="AD5923" s="35"/>
      <c r="AE5923" s="35"/>
      <c r="AF5923" s="35"/>
      <c r="AG5923" s="35"/>
      <c r="AH5923" s="35"/>
      <c r="AI5923" s="35"/>
      <c r="AJ5923" s="35"/>
      <c r="AK5923" s="35"/>
      <c r="AL5923" s="35"/>
    </row>
    <row r="5924">
      <c r="A5924" s="1"/>
      <c r="B5924" s="19" t="s">
        <v>7020</v>
      </c>
      <c r="C5924" s="20" t="s">
        <v>27749</v>
      </c>
      <c r="D5924" s="47"/>
      <c r="E5924" s="22" t="s">
        <v>12585</v>
      </c>
      <c r="F5924" s="22" t="s">
        <v>41</v>
      </c>
      <c r="G5924" s="23">
        <v>2020.0</v>
      </c>
      <c r="H5924" s="57" t="s">
        <v>53</v>
      </c>
      <c r="I5924" s="24" t="s">
        <v>27834</v>
      </c>
      <c r="J5924" s="22" t="s">
        <v>27835</v>
      </c>
      <c r="K5924" s="22"/>
      <c r="L5924" s="36" t="s">
        <v>194</v>
      </c>
      <c r="M5924" s="36" t="s">
        <v>4694</v>
      </c>
      <c r="N5924" s="36" t="s">
        <v>4694</v>
      </c>
      <c r="O5924" s="36" t="s">
        <v>4694</v>
      </c>
      <c r="P5924" s="37" t="s">
        <v>27836</v>
      </c>
      <c r="Q5924" s="36" t="s">
        <v>4694</v>
      </c>
      <c r="R5924" s="36" t="s">
        <v>27837</v>
      </c>
      <c r="S5924" s="36">
        <v>1.0</v>
      </c>
      <c r="T5924" s="42" t="s">
        <v>27838</v>
      </c>
      <c r="U5924" s="38" t="str">
        <f>HYPERLINK("https://www.ncbi.nlm.nih.gov/pubmed/32330315","PubMed")</f>
        <v>PubMed</v>
      </c>
      <c r="V5924" s="30" t="s">
        <v>27839</v>
      </c>
      <c r="W5924" s="49"/>
      <c r="X5924" s="49"/>
      <c r="Y5924" s="35"/>
      <c r="Z5924" s="35"/>
      <c r="AA5924" s="35"/>
      <c r="AB5924" s="35"/>
      <c r="AC5924" s="35"/>
      <c r="AD5924" s="35"/>
      <c r="AE5924" s="35"/>
      <c r="AF5924" s="35"/>
      <c r="AG5924" s="35"/>
      <c r="AH5924" s="35"/>
      <c r="AI5924" s="35"/>
      <c r="AJ5924" s="35"/>
      <c r="AK5924" s="35"/>
      <c r="AL5924" s="35"/>
    </row>
    <row r="5925">
      <c r="A5925" s="1"/>
      <c r="B5925" s="19" t="s">
        <v>7020</v>
      </c>
      <c r="C5925" s="20" t="s">
        <v>27749</v>
      </c>
      <c r="D5925" s="47"/>
      <c r="E5925" s="22" t="s">
        <v>27840</v>
      </c>
      <c r="F5925" s="22" t="s">
        <v>323</v>
      </c>
      <c r="G5925" s="23">
        <v>2020.0</v>
      </c>
      <c r="H5925" s="57" t="s">
        <v>147</v>
      </c>
      <c r="I5925" s="24" t="s">
        <v>27841</v>
      </c>
      <c r="J5925" s="22" t="s">
        <v>27842</v>
      </c>
      <c r="K5925" s="22"/>
      <c r="L5925" s="36">
        <v>808.0</v>
      </c>
      <c r="M5925" s="36">
        <v>160.0</v>
      </c>
      <c r="N5925" s="36" t="s">
        <v>27843</v>
      </c>
      <c r="O5925" s="36" t="s">
        <v>58</v>
      </c>
      <c r="P5925" s="37" t="s">
        <v>27844</v>
      </c>
      <c r="Q5925" s="36" t="s">
        <v>6449</v>
      </c>
      <c r="R5925" s="36" t="s">
        <v>27845</v>
      </c>
      <c r="S5925" s="36" t="s">
        <v>4905</v>
      </c>
      <c r="T5925" s="28" t="s">
        <v>27846</v>
      </c>
      <c r="U5925" s="38" t="str">
        <f>HYPERLINK("https://www.ncbi.nlm.nih.gov/pubmed/32273951","PubMed")</f>
        <v>PubMed</v>
      </c>
      <c r="V5925" s="30"/>
      <c r="W5925" s="49"/>
      <c r="X5925" s="49"/>
      <c r="Y5925" s="35"/>
      <c r="Z5925" s="35"/>
      <c r="AA5925" s="35"/>
      <c r="AB5925" s="35"/>
      <c r="AC5925" s="35"/>
      <c r="AD5925" s="35"/>
      <c r="AE5925" s="35"/>
      <c r="AF5925" s="35"/>
      <c r="AG5925" s="35"/>
      <c r="AH5925" s="35"/>
      <c r="AI5925" s="35"/>
      <c r="AJ5925" s="35"/>
      <c r="AK5925" s="35"/>
      <c r="AL5925" s="35"/>
    </row>
    <row r="5926">
      <c r="A5926" s="1"/>
      <c r="B5926" s="19" t="s">
        <v>7020</v>
      </c>
      <c r="C5926" s="20" t="s">
        <v>27749</v>
      </c>
      <c r="D5926" s="47"/>
      <c r="E5926" s="22" t="s">
        <v>27847</v>
      </c>
      <c r="F5926" s="22" t="s">
        <v>41</v>
      </c>
      <c r="G5926" s="23">
        <v>2019.0</v>
      </c>
      <c r="H5926" s="57" t="s">
        <v>13242</v>
      </c>
      <c r="I5926" s="24" t="s">
        <v>27848</v>
      </c>
      <c r="J5926" s="22" t="s">
        <v>27849</v>
      </c>
      <c r="K5926" s="22" t="s">
        <v>27850</v>
      </c>
      <c r="L5926" s="36">
        <v>904.0</v>
      </c>
      <c r="M5926" s="36">
        <v>40.0</v>
      </c>
      <c r="N5926" s="36" t="s">
        <v>58</v>
      </c>
      <c r="O5926" s="36" t="s">
        <v>27851</v>
      </c>
      <c r="P5926" s="37"/>
      <c r="Q5926" s="36" t="s">
        <v>27852</v>
      </c>
      <c r="R5926" s="36">
        <v>450.0</v>
      </c>
      <c r="S5926" s="36" t="s">
        <v>4730</v>
      </c>
      <c r="T5926" s="28" t="s">
        <v>27853</v>
      </c>
      <c r="U5926" s="38" t="str">
        <f>HYPERLINK("https://www.ncbi.nlm.nih.gov/pubmed/31847915","PubMed")</f>
        <v>PubMed</v>
      </c>
      <c r="V5926" s="30" t="s">
        <v>27854</v>
      </c>
      <c r="W5926" s="49"/>
      <c r="X5926" s="49"/>
      <c r="Y5926" s="35"/>
      <c r="Z5926" s="35"/>
      <c r="AA5926" s="35"/>
      <c r="AB5926" s="35"/>
      <c r="AC5926" s="35"/>
      <c r="AD5926" s="35"/>
      <c r="AE5926" s="35"/>
      <c r="AF5926" s="35"/>
      <c r="AG5926" s="35"/>
      <c r="AH5926" s="35"/>
      <c r="AI5926" s="35"/>
      <c r="AJ5926" s="35"/>
      <c r="AK5926" s="35"/>
      <c r="AL5926" s="35"/>
    </row>
    <row r="5927">
      <c r="A5927" s="205" t="s">
        <v>38</v>
      </c>
      <c r="B5927" s="19" t="s">
        <v>7020</v>
      </c>
      <c r="C5927" s="20" t="s">
        <v>27749</v>
      </c>
      <c r="D5927" s="47"/>
      <c r="E5927" s="22" t="s">
        <v>27855</v>
      </c>
      <c r="F5927" s="22" t="s">
        <v>10072</v>
      </c>
      <c r="G5927" s="23">
        <v>2019.0</v>
      </c>
      <c r="H5927" s="57" t="s">
        <v>12447</v>
      </c>
      <c r="I5927" s="24" t="s">
        <v>27856</v>
      </c>
      <c r="J5927" s="22" t="s">
        <v>27857</v>
      </c>
      <c r="K5927" s="22" t="s">
        <v>27858</v>
      </c>
      <c r="L5927" s="36" t="s">
        <v>27859</v>
      </c>
      <c r="M5927" s="36" t="s">
        <v>58</v>
      </c>
      <c r="N5927" s="36" t="s">
        <v>58</v>
      </c>
      <c r="O5927" s="36" t="s">
        <v>58</v>
      </c>
      <c r="P5927" s="37" t="s">
        <v>27860</v>
      </c>
      <c r="Q5927" s="36" t="s">
        <v>27861</v>
      </c>
      <c r="R5927" s="36" t="s">
        <v>27862</v>
      </c>
      <c r="S5927" s="36" t="s">
        <v>4708</v>
      </c>
      <c r="T5927" s="41" t="s">
        <v>27863</v>
      </c>
      <c r="U5927" s="38" t="str">
        <f>HYPERLINK("https://www.ncbi.nlm.nih.gov/pubmed/31778436","PubMed")</f>
        <v>PubMed</v>
      </c>
      <c r="V5927" s="30" t="s">
        <v>27864</v>
      </c>
      <c r="W5927" s="49"/>
      <c r="X5927" s="49"/>
      <c r="Y5927" s="35"/>
      <c r="Z5927" s="35"/>
      <c r="AA5927" s="35"/>
      <c r="AB5927" s="35"/>
      <c r="AC5927" s="35"/>
      <c r="AD5927" s="35"/>
      <c r="AE5927" s="35"/>
      <c r="AF5927" s="35"/>
      <c r="AG5927" s="35"/>
      <c r="AH5927" s="35"/>
      <c r="AI5927" s="35"/>
      <c r="AJ5927" s="35"/>
      <c r="AK5927" s="35"/>
      <c r="AL5927" s="35"/>
    </row>
    <row r="5928">
      <c r="A5928" s="1"/>
      <c r="B5928" s="19" t="s">
        <v>7020</v>
      </c>
      <c r="C5928" s="20" t="s">
        <v>27749</v>
      </c>
      <c r="D5928" s="47"/>
      <c r="E5928" s="22" t="s">
        <v>12585</v>
      </c>
      <c r="F5928" s="22" t="s">
        <v>41</v>
      </c>
      <c r="G5928" s="23">
        <v>2019.0</v>
      </c>
      <c r="H5928" s="57" t="s">
        <v>3828</v>
      </c>
      <c r="I5928" s="24" t="s">
        <v>27865</v>
      </c>
      <c r="J5928" s="22" t="s">
        <v>2141</v>
      </c>
      <c r="K5928" s="22"/>
      <c r="L5928" s="168"/>
      <c r="M5928" s="168"/>
      <c r="N5928" s="168"/>
      <c r="O5928" s="168"/>
      <c r="P5928" s="169"/>
      <c r="Q5928" s="168"/>
      <c r="R5928" s="168"/>
      <c r="S5928" s="168"/>
      <c r="T5928" s="185"/>
      <c r="U5928" s="38" t="str">
        <f>HYPERLINK("https://www.ncbi.nlm.nih.gov/pubmed/30985704","PubMed")</f>
        <v>PubMed</v>
      </c>
      <c r="V5928" s="30"/>
      <c r="W5928" s="49"/>
      <c r="X5928" s="49"/>
      <c r="Y5928" s="35"/>
      <c r="Z5928" s="35"/>
      <c r="AA5928" s="35"/>
      <c r="AB5928" s="35"/>
      <c r="AC5928" s="35"/>
      <c r="AD5928" s="35"/>
      <c r="AE5928" s="35"/>
      <c r="AF5928" s="35"/>
      <c r="AG5928" s="35"/>
      <c r="AH5928" s="35"/>
      <c r="AI5928" s="35"/>
      <c r="AJ5928" s="35"/>
      <c r="AK5928" s="35"/>
      <c r="AL5928" s="35"/>
    </row>
    <row r="5929">
      <c r="A5929" s="1"/>
      <c r="B5929" s="19" t="s">
        <v>7020</v>
      </c>
      <c r="C5929" s="20" t="s">
        <v>27749</v>
      </c>
      <c r="D5929" s="47"/>
      <c r="E5929" s="22" t="s">
        <v>27866</v>
      </c>
      <c r="F5929" s="22" t="s">
        <v>27867</v>
      </c>
      <c r="G5929" s="23" t="s">
        <v>2499</v>
      </c>
      <c r="H5929" s="57" t="s">
        <v>91</v>
      </c>
      <c r="I5929" s="24" t="s">
        <v>27868</v>
      </c>
      <c r="J5929" s="22" t="s">
        <v>7103</v>
      </c>
      <c r="K5929" s="22" t="s">
        <v>27869</v>
      </c>
      <c r="L5929" s="36">
        <v>808.0</v>
      </c>
      <c r="M5929" s="36">
        <v>25.0</v>
      </c>
      <c r="N5929" s="36" t="s">
        <v>27870</v>
      </c>
      <c r="O5929" s="36" t="s">
        <v>27871</v>
      </c>
      <c r="P5929" s="37" t="s">
        <v>27872</v>
      </c>
      <c r="Q5929" s="36" t="s">
        <v>27873</v>
      </c>
      <c r="R5929" s="36" t="s">
        <v>27874</v>
      </c>
      <c r="S5929" s="36" t="s">
        <v>2680</v>
      </c>
      <c r="T5929" s="28" t="s">
        <v>27875</v>
      </c>
      <c r="U5929" s="38" t="str">
        <f>HYPERLINK("https://www.ncbi.nlm.nih.gov/pubmed/30334124","PubMed")</f>
        <v>PubMed</v>
      </c>
      <c r="V5929" s="30" t="s">
        <v>27876</v>
      </c>
      <c r="W5929" s="49"/>
      <c r="X5929" s="49"/>
      <c r="Y5929" s="35"/>
      <c r="Z5929" s="35"/>
      <c r="AA5929" s="35"/>
      <c r="AB5929" s="35"/>
      <c r="AC5929" s="35"/>
      <c r="AD5929" s="35"/>
      <c r="AE5929" s="35"/>
      <c r="AF5929" s="35"/>
      <c r="AG5929" s="35"/>
      <c r="AH5929" s="35"/>
      <c r="AI5929" s="35"/>
      <c r="AJ5929" s="35"/>
      <c r="AK5929" s="35"/>
      <c r="AL5929" s="35"/>
    </row>
    <row r="5930">
      <c r="A5930" s="1"/>
      <c r="B5930" s="19" t="s">
        <v>7020</v>
      </c>
      <c r="C5930" s="20" t="s">
        <v>27749</v>
      </c>
      <c r="D5930" s="47"/>
      <c r="E5930" s="22" t="s">
        <v>27877</v>
      </c>
      <c r="F5930" s="22" t="s">
        <v>25526</v>
      </c>
      <c r="G5930" s="23">
        <v>2018.0</v>
      </c>
      <c r="H5930" s="57" t="s">
        <v>27878</v>
      </c>
      <c r="I5930" s="24" t="s">
        <v>27879</v>
      </c>
      <c r="J5930" s="22" t="s">
        <v>27880</v>
      </c>
      <c r="K5930" s="22" t="s">
        <v>27881</v>
      </c>
      <c r="L5930" s="36">
        <v>1064.0</v>
      </c>
      <c r="M5930" s="36" t="s">
        <v>8028</v>
      </c>
      <c r="N5930" s="36"/>
      <c r="O5930" s="129"/>
      <c r="P5930" s="37" t="s">
        <v>27882</v>
      </c>
      <c r="Q5930" s="36" t="s">
        <v>27883</v>
      </c>
      <c r="R5930" s="36" t="s">
        <v>27884</v>
      </c>
      <c r="S5930" s="36" t="s">
        <v>1514</v>
      </c>
      <c r="T5930" s="42" t="s">
        <v>27885</v>
      </c>
      <c r="U5930" s="38" t="str">
        <f>HYPERLINK("https://www.ncbi.nlm.nih.gov/pubmed/30034410","PubMed")</f>
        <v>PubMed</v>
      </c>
      <c r="V5930" s="30" t="s">
        <v>27886</v>
      </c>
      <c r="W5930" s="49"/>
      <c r="X5930" s="49"/>
      <c r="Y5930" s="35"/>
      <c r="Z5930" s="35"/>
      <c r="AA5930" s="35"/>
      <c r="AB5930" s="35"/>
      <c r="AC5930" s="35"/>
      <c r="AD5930" s="35"/>
      <c r="AE5930" s="35"/>
      <c r="AF5930" s="35"/>
      <c r="AG5930" s="35"/>
      <c r="AH5930" s="35"/>
      <c r="AI5930" s="35"/>
      <c r="AJ5930" s="35"/>
      <c r="AK5930" s="35"/>
      <c r="AL5930" s="35"/>
    </row>
    <row r="5931">
      <c r="A5931" s="1"/>
      <c r="B5931" s="19" t="s">
        <v>7020</v>
      </c>
      <c r="C5931" s="20" t="s">
        <v>27749</v>
      </c>
      <c r="D5931" s="47"/>
      <c r="E5931" s="22" t="s">
        <v>12585</v>
      </c>
      <c r="F5931" s="22" t="s">
        <v>41</v>
      </c>
      <c r="G5931" s="23">
        <v>2017.0</v>
      </c>
      <c r="H5931" s="57" t="s">
        <v>6911</v>
      </c>
      <c r="I5931" s="24" t="s">
        <v>27887</v>
      </c>
      <c r="J5931" s="22" t="s">
        <v>2141</v>
      </c>
      <c r="K5931" s="22"/>
      <c r="L5931" s="168"/>
      <c r="M5931" s="168"/>
      <c r="N5931" s="168"/>
      <c r="O5931" s="168"/>
      <c r="P5931" s="339"/>
      <c r="Q5931" s="340"/>
      <c r="R5931" s="168"/>
      <c r="S5931" s="168"/>
      <c r="T5931" s="185"/>
      <c r="U5931" s="38" t="str">
        <f>HYPERLINK("https://www.ncbi.nlm.nih.gov/pubmed/29070637","PubMed")</f>
        <v>PubMed</v>
      </c>
      <c r="V5931" s="30"/>
      <c r="W5931" s="49"/>
      <c r="X5931" s="49"/>
      <c r="Y5931" s="35"/>
      <c r="Z5931" s="35"/>
      <c r="AA5931" s="35"/>
      <c r="AB5931" s="35"/>
      <c r="AC5931" s="35"/>
      <c r="AD5931" s="35"/>
      <c r="AE5931" s="35"/>
      <c r="AF5931" s="35"/>
      <c r="AG5931" s="35"/>
      <c r="AH5931" s="35"/>
      <c r="AI5931" s="35"/>
      <c r="AJ5931" s="35"/>
      <c r="AK5931" s="35"/>
      <c r="AL5931" s="35"/>
    </row>
    <row r="5932">
      <c r="A5932" s="1"/>
      <c r="B5932" s="19" t="s">
        <v>7020</v>
      </c>
      <c r="C5932" s="20" t="s">
        <v>27749</v>
      </c>
      <c r="D5932" s="47"/>
      <c r="E5932" s="22" t="s">
        <v>27888</v>
      </c>
      <c r="F5932" s="22" t="s">
        <v>4711</v>
      </c>
      <c r="G5932" s="23">
        <v>2017.0</v>
      </c>
      <c r="H5932" s="57" t="s">
        <v>4718</v>
      </c>
      <c r="I5932" s="24" t="s">
        <v>27889</v>
      </c>
      <c r="J5932" s="22" t="s">
        <v>27890</v>
      </c>
      <c r="K5932" s="22" t="s">
        <v>27891</v>
      </c>
      <c r="L5932" s="36" t="s">
        <v>27892</v>
      </c>
      <c r="M5932" s="36" t="s">
        <v>27893</v>
      </c>
      <c r="N5932" s="36"/>
      <c r="O5932" s="129"/>
      <c r="P5932" s="37" t="s">
        <v>3839</v>
      </c>
      <c r="Q5932" s="36" t="s">
        <v>27894</v>
      </c>
      <c r="R5932" s="36" t="s">
        <v>27895</v>
      </c>
      <c r="S5932" s="36" t="s">
        <v>4708</v>
      </c>
      <c r="T5932" s="28" t="s">
        <v>27896</v>
      </c>
      <c r="U5932" s="38" t="str">
        <f>HYPERLINK("https://www.ncbi.nlm.nih.gov/pubmed/27472858","PubMed")</f>
        <v>PubMed</v>
      </c>
      <c r="V5932" s="30"/>
      <c r="W5932" s="49"/>
      <c r="X5932" s="49"/>
      <c r="Y5932" s="35"/>
      <c r="Z5932" s="35"/>
      <c r="AA5932" s="35"/>
      <c r="AB5932" s="35"/>
      <c r="AC5932" s="35"/>
      <c r="AD5932" s="35"/>
      <c r="AE5932" s="35"/>
      <c r="AF5932" s="35"/>
      <c r="AG5932" s="35"/>
      <c r="AH5932" s="35"/>
      <c r="AI5932" s="35"/>
      <c r="AJ5932" s="35"/>
      <c r="AK5932" s="35"/>
      <c r="AL5932" s="35"/>
    </row>
    <row r="5933">
      <c r="A5933" s="1"/>
      <c r="B5933" s="19" t="s">
        <v>7020</v>
      </c>
      <c r="C5933" s="20" t="s">
        <v>27749</v>
      </c>
      <c r="D5933" s="47"/>
      <c r="E5933" s="22" t="s">
        <v>27897</v>
      </c>
      <c r="F5933" s="22" t="s">
        <v>27898</v>
      </c>
      <c r="G5933" s="23">
        <v>2017.0</v>
      </c>
      <c r="H5933" s="57" t="s">
        <v>27899</v>
      </c>
      <c r="I5933" s="24" t="s">
        <v>27900</v>
      </c>
      <c r="J5933" s="22" t="s">
        <v>27901</v>
      </c>
      <c r="K5933" s="22" t="s">
        <v>56</v>
      </c>
      <c r="L5933" s="36" t="s">
        <v>4772</v>
      </c>
      <c r="M5933" s="36"/>
      <c r="N5933" s="36" t="s">
        <v>3587</v>
      </c>
      <c r="O5933" s="129"/>
      <c r="P5933" s="37"/>
      <c r="Q5933" s="36"/>
      <c r="R5933" s="36">
        <v>1200.0</v>
      </c>
      <c r="S5933" s="36" t="s">
        <v>3478</v>
      </c>
      <c r="T5933" s="28" t="s">
        <v>27902</v>
      </c>
      <c r="U5933" s="38" t="str">
        <f>HYPERLINK("http://journals.mu-varna.bg/index.php/sssp/article/view/2165","Varna Med University")</f>
        <v>Varna Med University</v>
      </c>
      <c r="V5933" s="30"/>
      <c r="W5933" s="49"/>
      <c r="X5933" s="49"/>
      <c r="Y5933" s="35"/>
      <c r="Z5933" s="35"/>
      <c r="AA5933" s="35"/>
      <c r="AB5933" s="35"/>
      <c r="AC5933" s="35"/>
      <c r="AD5933" s="35"/>
      <c r="AE5933" s="35"/>
      <c r="AF5933" s="35"/>
      <c r="AG5933" s="35"/>
      <c r="AH5933" s="35"/>
      <c r="AI5933" s="35"/>
      <c r="AJ5933" s="35"/>
      <c r="AK5933" s="35"/>
      <c r="AL5933" s="35"/>
    </row>
    <row r="5934">
      <c r="A5934" s="1"/>
      <c r="B5934" s="19" t="s">
        <v>7020</v>
      </c>
      <c r="C5934" s="20" t="s">
        <v>27749</v>
      </c>
      <c r="D5934" s="47"/>
      <c r="E5934" s="22" t="s">
        <v>27903</v>
      </c>
      <c r="F5934" s="22" t="s">
        <v>14486</v>
      </c>
      <c r="G5934" s="23">
        <v>2016.0</v>
      </c>
      <c r="H5934" s="57" t="s">
        <v>7511</v>
      </c>
      <c r="I5934" s="24" t="s">
        <v>27904</v>
      </c>
      <c r="J5934" s="22" t="s">
        <v>27905</v>
      </c>
      <c r="K5934" s="22" t="s">
        <v>27906</v>
      </c>
      <c r="L5934" s="36" t="s">
        <v>27907</v>
      </c>
      <c r="M5934" s="36"/>
      <c r="N5934" s="36"/>
      <c r="O5934" s="129"/>
      <c r="P5934" s="37"/>
      <c r="Q5934" s="36"/>
      <c r="R5934" s="36"/>
      <c r="S5934" s="36"/>
      <c r="T5934" s="28" t="s">
        <v>27908</v>
      </c>
      <c r="U5934" s="38" t="str">
        <f>HYPERLINK("https://www.ncbi.nlm.nih.gov/pubmed/28078869","PubMed")</f>
        <v>PubMed</v>
      </c>
      <c r="V5934" s="30"/>
      <c r="W5934" s="49"/>
      <c r="X5934" s="49"/>
      <c r="Y5934" s="35"/>
      <c r="Z5934" s="35"/>
      <c r="AA5934" s="35"/>
      <c r="AB5934" s="35"/>
      <c r="AC5934" s="35"/>
      <c r="AD5934" s="35"/>
      <c r="AE5934" s="35"/>
      <c r="AF5934" s="35"/>
      <c r="AG5934" s="35"/>
      <c r="AH5934" s="35"/>
      <c r="AI5934" s="35"/>
      <c r="AJ5934" s="35"/>
      <c r="AK5934" s="35"/>
      <c r="AL5934" s="35"/>
    </row>
    <row r="5935">
      <c r="A5935" s="1" t="s">
        <v>2</v>
      </c>
      <c r="B5935" s="19" t="s">
        <v>7020</v>
      </c>
      <c r="C5935" s="20" t="s">
        <v>27749</v>
      </c>
      <c r="D5935" s="47"/>
      <c r="E5935" s="22" t="s">
        <v>27909</v>
      </c>
      <c r="F5935" s="22" t="s">
        <v>41</v>
      </c>
      <c r="G5935" s="23">
        <v>2016.0</v>
      </c>
      <c r="H5935" s="57" t="s">
        <v>53</v>
      </c>
      <c r="I5935" s="24" t="s">
        <v>27910</v>
      </c>
      <c r="J5935" s="22" t="s">
        <v>27911</v>
      </c>
      <c r="K5935" s="22" t="s">
        <v>27912</v>
      </c>
      <c r="L5935" s="36">
        <v>808.0</v>
      </c>
      <c r="M5935" s="36">
        <v>100.0</v>
      </c>
      <c r="N5935" s="36">
        <v>35.0</v>
      </c>
      <c r="O5935" s="129">
        <v>42833.0</v>
      </c>
      <c r="P5935" s="37" t="s">
        <v>27913</v>
      </c>
      <c r="Q5935" s="36" t="s">
        <v>27914</v>
      </c>
      <c r="R5935" s="36" t="s">
        <v>27915</v>
      </c>
      <c r="S5935" s="36">
        <v>1.0</v>
      </c>
      <c r="T5935" s="28" t="s">
        <v>27916</v>
      </c>
      <c r="U5935" s="38" t="str">
        <f>HYPERLINK("https://www.ncbi.nlm.nih.gov/pubmed/27135465","PubMed")</f>
        <v>PubMed</v>
      </c>
      <c r="V5935" s="30" t="s">
        <v>27917</v>
      </c>
      <c r="W5935" s="49"/>
      <c r="X5935" s="49"/>
      <c r="Y5935" s="35"/>
      <c r="Z5935" s="35"/>
      <c r="AA5935" s="35"/>
      <c r="AB5935" s="35"/>
      <c r="AC5935" s="35"/>
      <c r="AD5935" s="35"/>
      <c r="AE5935" s="35"/>
      <c r="AF5935" s="35"/>
      <c r="AG5935" s="35"/>
      <c r="AH5935" s="35"/>
      <c r="AI5935" s="35"/>
      <c r="AJ5935" s="35"/>
      <c r="AK5935" s="35"/>
      <c r="AL5935" s="35"/>
    </row>
    <row r="5936">
      <c r="A5936" s="1"/>
      <c r="B5936" s="19" t="s">
        <v>7020</v>
      </c>
      <c r="C5936" s="20" t="s">
        <v>27749</v>
      </c>
      <c r="D5936" s="47"/>
      <c r="E5936" s="22" t="s">
        <v>27918</v>
      </c>
      <c r="F5936" s="22" t="s">
        <v>2698</v>
      </c>
      <c r="G5936" s="23">
        <v>2016.0</v>
      </c>
      <c r="H5936" s="22" t="s">
        <v>3467</v>
      </c>
      <c r="I5936" s="24" t="s">
        <v>27919</v>
      </c>
      <c r="J5936" s="22" t="s">
        <v>1078</v>
      </c>
      <c r="K5936" s="22"/>
      <c r="L5936" s="105" t="s">
        <v>27920</v>
      </c>
      <c r="M5936" s="44"/>
      <c r="N5936" s="44"/>
      <c r="O5936" s="44"/>
      <c r="P5936" s="44"/>
      <c r="Q5936" s="44"/>
      <c r="R5936" s="44"/>
      <c r="S5936" s="44"/>
      <c r="T5936" s="45"/>
      <c r="U5936" s="38" t="str">
        <f>HYPERLINK("https://www.ncbi.nlm.nih.gov/pubmed/27207675","PubMed")</f>
        <v>PubMed</v>
      </c>
      <c r="V5936" s="30"/>
      <c r="W5936" s="49"/>
      <c r="X5936" s="49"/>
      <c r="Y5936" s="35"/>
      <c r="Z5936" s="35"/>
      <c r="AA5936" s="35"/>
      <c r="AB5936" s="35"/>
      <c r="AC5936" s="35"/>
      <c r="AD5936" s="35"/>
      <c r="AE5936" s="35"/>
      <c r="AF5936" s="35"/>
      <c r="AG5936" s="35"/>
      <c r="AH5936" s="35"/>
      <c r="AI5936" s="35"/>
      <c r="AJ5936" s="35"/>
      <c r="AK5936" s="35"/>
      <c r="AL5936" s="35"/>
    </row>
    <row r="5937">
      <c r="A5937" s="1"/>
      <c r="B5937" s="19" t="s">
        <v>7020</v>
      </c>
      <c r="C5937" s="20" t="s">
        <v>27749</v>
      </c>
      <c r="D5937" s="47"/>
      <c r="E5937" s="22" t="s">
        <v>223</v>
      </c>
      <c r="F5937" s="22" t="s">
        <v>2801</v>
      </c>
      <c r="G5937" s="23">
        <v>2015.0</v>
      </c>
      <c r="H5937" s="22" t="s">
        <v>13615</v>
      </c>
      <c r="I5937" s="24" t="s">
        <v>27921</v>
      </c>
      <c r="J5937" s="22" t="s">
        <v>1078</v>
      </c>
      <c r="K5937" s="22"/>
      <c r="L5937" s="105" t="s">
        <v>27922</v>
      </c>
      <c r="M5937" s="44"/>
      <c r="N5937" s="44"/>
      <c r="O5937" s="44"/>
      <c r="P5937" s="44"/>
      <c r="Q5937" s="44"/>
      <c r="R5937" s="44"/>
      <c r="S5937" s="44"/>
      <c r="T5937" s="45"/>
      <c r="U5937" s="38" t="str">
        <f>HYPERLINK("https://www.ncbi.nlm.nih.gov/pubmed/26667480","PubMed")</f>
        <v>PubMed</v>
      </c>
      <c r="V5937" s="30"/>
      <c r="W5937" s="49"/>
      <c r="X5937" s="49"/>
      <c r="Y5937" s="35"/>
      <c r="Z5937" s="35"/>
      <c r="AA5937" s="35"/>
      <c r="AB5937" s="35"/>
      <c r="AC5937" s="35"/>
      <c r="AD5937" s="35"/>
      <c r="AE5937" s="35"/>
      <c r="AF5937" s="35"/>
      <c r="AG5937" s="35"/>
      <c r="AH5937" s="35"/>
      <c r="AI5937" s="35"/>
      <c r="AJ5937" s="35"/>
      <c r="AK5937" s="35"/>
      <c r="AL5937" s="35"/>
    </row>
    <row r="5938">
      <c r="A5938" s="1" t="s">
        <v>181</v>
      </c>
      <c r="B5938" s="19" t="s">
        <v>7020</v>
      </c>
      <c r="C5938" s="20" t="s">
        <v>27749</v>
      </c>
      <c r="D5938" s="47"/>
      <c r="E5938" s="22" t="s">
        <v>27923</v>
      </c>
      <c r="F5938" s="22" t="s">
        <v>9758</v>
      </c>
      <c r="G5938" s="23">
        <v>2015.0</v>
      </c>
      <c r="H5938" s="22" t="s">
        <v>91</v>
      </c>
      <c r="I5938" s="24" t="s">
        <v>27924</v>
      </c>
      <c r="J5938" s="22" t="s">
        <v>27925</v>
      </c>
      <c r="K5938" s="22" t="s">
        <v>27926</v>
      </c>
      <c r="L5938" s="36" t="s">
        <v>27927</v>
      </c>
      <c r="M5938" s="36" t="s">
        <v>58</v>
      </c>
      <c r="N5938" s="36" t="s">
        <v>58</v>
      </c>
      <c r="O5938" s="36">
        <v>500.0</v>
      </c>
      <c r="P5938" s="37" t="s">
        <v>58</v>
      </c>
      <c r="Q5938" s="36" t="s">
        <v>58</v>
      </c>
      <c r="R5938" s="36" t="s">
        <v>58</v>
      </c>
      <c r="S5938" s="36" t="s">
        <v>17419</v>
      </c>
      <c r="T5938" s="54" t="s">
        <v>27928</v>
      </c>
      <c r="U5938" s="38" t="str">
        <f>HYPERLINK("https://www.ncbi.nlm.nih.gov/pubmed/25376670","PubMed")</f>
        <v>PubMed</v>
      </c>
      <c r="V5938" s="30" t="s">
        <v>27929</v>
      </c>
      <c r="W5938" s="49"/>
      <c r="X5938" s="49"/>
      <c r="Y5938" s="35"/>
      <c r="Z5938" s="35"/>
      <c r="AA5938" s="35"/>
      <c r="AB5938" s="35"/>
      <c r="AC5938" s="35"/>
      <c r="AD5938" s="35"/>
      <c r="AE5938" s="35"/>
      <c r="AF5938" s="35"/>
      <c r="AG5938" s="35"/>
      <c r="AH5938" s="35"/>
      <c r="AI5938" s="35"/>
      <c r="AJ5938" s="35"/>
      <c r="AK5938" s="35"/>
      <c r="AL5938" s="35"/>
    </row>
    <row r="5939">
      <c r="A5939" s="1"/>
      <c r="B5939" s="19" t="s">
        <v>7020</v>
      </c>
      <c r="C5939" s="20" t="s">
        <v>27749</v>
      </c>
      <c r="D5939" s="47"/>
      <c r="E5939" s="22" t="s">
        <v>27930</v>
      </c>
      <c r="F5939" s="22" t="s">
        <v>1370</v>
      </c>
      <c r="G5939" s="23">
        <v>2015.0</v>
      </c>
      <c r="H5939" s="22" t="s">
        <v>16453</v>
      </c>
      <c r="I5939" s="24" t="s">
        <v>27931</v>
      </c>
      <c r="J5939" s="22" t="s">
        <v>27932</v>
      </c>
      <c r="K5939" s="22"/>
      <c r="L5939" s="36">
        <v>810.0</v>
      </c>
      <c r="M5939" s="36" t="s">
        <v>58</v>
      </c>
      <c r="N5939" s="36" t="s">
        <v>821</v>
      </c>
      <c r="O5939" s="36" t="s">
        <v>27933</v>
      </c>
      <c r="P5939" s="37" t="s">
        <v>58</v>
      </c>
      <c r="Q5939" s="36" t="s">
        <v>58</v>
      </c>
      <c r="R5939" s="36">
        <v>180.0</v>
      </c>
      <c r="S5939" s="36" t="s">
        <v>1961</v>
      </c>
      <c r="T5939" s="54" t="s">
        <v>27934</v>
      </c>
      <c r="U5939" s="38" t="str">
        <f>HYPERLINK("https://www.ncbi.nlm.nih.gov/pubmed/26064065","PubMed")</f>
        <v>PubMed</v>
      </c>
      <c r="V5939" s="30" t="s">
        <v>27935</v>
      </c>
      <c r="W5939" s="49"/>
      <c r="X5939" s="49"/>
      <c r="Y5939" s="35"/>
      <c r="Z5939" s="35"/>
      <c r="AA5939" s="35"/>
      <c r="AB5939" s="35"/>
      <c r="AC5939" s="35"/>
      <c r="AD5939" s="35"/>
      <c r="AE5939" s="35"/>
      <c r="AF5939" s="35"/>
      <c r="AG5939" s="35"/>
      <c r="AH5939" s="35"/>
      <c r="AI5939" s="35"/>
      <c r="AJ5939" s="35"/>
      <c r="AK5939" s="35"/>
      <c r="AL5939" s="35"/>
    </row>
    <row r="5940">
      <c r="A5940" s="39" t="s">
        <v>2</v>
      </c>
      <c r="B5940" s="19" t="s">
        <v>7020</v>
      </c>
      <c r="C5940" s="20" t="s">
        <v>27749</v>
      </c>
      <c r="D5940" s="47"/>
      <c r="E5940" s="22" t="s">
        <v>27936</v>
      </c>
      <c r="F5940" s="22" t="s">
        <v>540</v>
      </c>
      <c r="G5940" s="23">
        <v>2014.0</v>
      </c>
      <c r="H5940" s="22" t="s">
        <v>658</v>
      </c>
      <c r="I5940" s="24" t="s">
        <v>27937</v>
      </c>
      <c r="J5940" s="22" t="s">
        <v>27938</v>
      </c>
      <c r="K5940" s="22"/>
      <c r="L5940" s="36">
        <v>980.0</v>
      </c>
      <c r="M5940" s="36">
        <v>20000.0</v>
      </c>
      <c r="N5940" s="36" t="s">
        <v>58</v>
      </c>
      <c r="O5940" s="36" t="s">
        <v>27939</v>
      </c>
      <c r="P5940" s="37" t="s">
        <v>16552</v>
      </c>
      <c r="Q5940" s="36" t="s">
        <v>27940</v>
      </c>
      <c r="R5940" s="36" t="s">
        <v>27941</v>
      </c>
      <c r="S5940" s="36" t="s">
        <v>8476</v>
      </c>
      <c r="T5940" s="54" t="s">
        <v>27942</v>
      </c>
      <c r="U5940" s="38" t="str">
        <f>HYPERLINK("https://www.ncbi.nlm.nih.gov/pubmed/25141218","PubMed")</f>
        <v>PubMed</v>
      </c>
      <c r="V5940" s="30" t="s">
        <v>27943</v>
      </c>
      <c r="W5940" s="49"/>
      <c r="X5940" s="49"/>
      <c r="Y5940" s="35"/>
      <c r="Z5940" s="35"/>
      <c r="AA5940" s="35"/>
      <c r="AB5940" s="35"/>
      <c r="AC5940" s="35"/>
      <c r="AD5940" s="35"/>
      <c r="AE5940" s="35"/>
      <c r="AF5940" s="35"/>
      <c r="AG5940" s="35"/>
      <c r="AH5940" s="35"/>
      <c r="AI5940" s="35"/>
      <c r="AJ5940" s="35"/>
      <c r="AK5940" s="35"/>
      <c r="AL5940" s="35"/>
    </row>
    <row r="5941">
      <c r="A5941" s="1"/>
      <c r="B5941" s="19" t="s">
        <v>7020</v>
      </c>
      <c r="C5941" s="20" t="s">
        <v>27749</v>
      </c>
      <c r="D5941" s="47"/>
      <c r="E5941" s="22" t="s">
        <v>27918</v>
      </c>
      <c r="F5941" s="22" t="s">
        <v>10263</v>
      </c>
      <c r="G5941" s="23">
        <v>2014.0</v>
      </c>
      <c r="H5941" s="22" t="s">
        <v>3467</v>
      </c>
      <c r="I5941" s="24" t="s">
        <v>27944</v>
      </c>
      <c r="J5941" s="22" t="s">
        <v>27945</v>
      </c>
      <c r="K5941" s="22" t="s">
        <v>2686</v>
      </c>
      <c r="L5941" s="36">
        <v>840.0</v>
      </c>
      <c r="M5941" s="36">
        <v>20.0</v>
      </c>
      <c r="N5941" s="36" t="s">
        <v>892</v>
      </c>
      <c r="O5941" s="37" t="s">
        <v>27946</v>
      </c>
      <c r="P5941" s="37" t="s">
        <v>58</v>
      </c>
      <c r="Q5941" s="37" t="s">
        <v>58</v>
      </c>
      <c r="R5941" s="37" t="s">
        <v>27947</v>
      </c>
      <c r="S5941" s="36" t="s">
        <v>2799</v>
      </c>
      <c r="T5941" s="103" t="s">
        <v>27948</v>
      </c>
      <c r="U5941" s="38" t="str">
        <f>HYPERLINK("https://www.ncbi.nlm.nih.gov/pubmed/24280948","PubMed")</f>
        <v>PubMed</v>
      </c>
      <c r="V5941" s="30"/>
      <c r="W5941" s="49"/>
      <c r="X5941" s="49"/>
      <c r="Y5941" s="35"/>
      <c r="Z5941" s="35"/>
      <c r="AA5941" s="35"/>
      <c r="AB5941" s="35"/>
      <c r="AC5941" s="35"/>
      <c r="AD5941" s="35"/>
      <c r="AE5941" s="35"/>
      <c r="AF5941" s="35"/>
      <c r="AG5941" s="35"/>
      <c r="AH5941" s="35"/>
      <c r="AI5941" s="35"/>
      <c r="AJ5941" s="35"/>
      <c r="AK5941" s="35"/>
      <c r="AL5941" s="35"/>
    </row>
    <row r="5942">
      <c r="A5942" s="1"/>
      <c r="B5942" s="19" t="s">
        <v>7020</v>
      </c>
      <c r="C5942" s="20" t="s">
        <v>27749</v>
      </c>
      <c r="D5942" s="47"/>
      <c r="E5942" s="22" t="s">
        <v>1948</v>
      </c>
      <c r="F5942" s="22" t="s">
        <v>1943</v>
      </c>
      <c r="G5942" s="23">
        <v>2014.0</v>
      </c>
      <c r="H5942" s="22" t="s">
        <v>91</v>
      </c>
      <c r="I5942" s="24" t="s">
        <v>27949</v>
      </c>
      <c r="J5942" s="22" t="s">
        <v>27950</v>
      </c>
      <c r="K5942" s="22"/>
      <c r="L5942" s="36">
        <v>1064.0</v>
      </c>
      <c r="M5942" s="36" t="s">
        <v>58</v>
      </c>
      <c r="N5942" s="36" t="s">
        <v>58</v>
      </c>
      <c r="O5942" s="37" t="s">
        <v>27951</v>
      </c>
      <c r="P5942" s="37" t="s">
        <v>58</v>
      </c>
      <c r="Q5942" s="36" t="s">
        <v>27952</v>
      </c>
      <c r="R5942" s="36" t="s">
        <v>27953</v>
      </c>
      <c r="S5942" s="36" t="s">
        <v>4905</v>
      </c>
      <c r="T5942" s="54" t="s">
        <v>27954</v>
      </c>
      <c r="U5942" s="38" t="str">
        <f>HYPERLINK("https://www.ncbi.nlm.nih.gov/pubmed/24178907","PubMed")</f>
        <v>PubMed</v>
      </c>
      <c r="V5942" s="30"/>
      <c r="W5942" s="49"/>
      <c r="X5942" s="49"/>
      <c r="Y5942" s="35"/>
      <c r="Z5942" s="35"/>
      <c r="AA5942" s="35"/>
      <c r="AB5942" s="35"/>
      <c r="AC5942" s="35"/>
      <c r="AD5942" s="35"/>
      <c r="AE5942" s="35"/>
      <c r="AF5942" s="35"/>
      <c r="AG5942" s="35"/>
      <c r="AH5942" s="35"/>
      <c r="AI5942" s="35"/>
      <c r="AJ5942" s="35"/>
      <c r="AK5942" s="35"/>
      <c r="AL5942" s="35"/>
    </row>
    <row r="5943">
      <c r="A5943" s="40" t="s">
        <v>181</v>
      </c>
      <c r="B5943" s="19" t="s">
        <v>7020</v>
      </c>
      <c r="C5943" s="20" t="s">
        <v>27749</v>
      </c>
      <c r="D5943" s="47"/>
      <c r="E5943" s="22" t="s">
        <v>2783</v>
      </c>
      <c r="F5943" s="22" t="s">
        <v>206</v>
      </c>
      <c r="G5943" s="23">
        <v>2012.0</v>
      </c>
      <c r="H5943" s="22" t="s">
        <v>300</v>
      </c>
      <c r="I5943" s="24" t="s">
        <v>27955</v>
      </c>
      <c r="J5943" s="22" t="s">
        <v>27956</v>
      </c>
      <c r="K5943" s="22" t="s">
        <v>27957</v>
      </c>
      <c r="L5943" s="36">
        <v>808.0</v>
      </c>
      <c r="M5943" s="36">
        <v>40.0</v>
      </c>
      <c r="N5943" s="36" t="s">
        <v>58</v>
      </c>
      <c r="O5943" s="36" t="s">
        <v>58</v>
      </c>
      <c r="P5943" s="37" t="s">
        <v>6359</v>
      </c>
      <c r="Q5943" s="36" t="s">
        <v>27958</v>
      </c>
      <c r="R5943" s="36">
        <v>600.0</v>
      </c>
      <c r="S5943" s="36" t="s">
        <v>16737</v>
      </c>
      <c r="T5943" s="103" t="s">
        <v>27959</v>
      </c>
      <c r="U5943" s="38" t="str">
        <f>HYPERLINK("https://www.ncbi.nlm.nih.gov/pubmed/23118792","PubMed")</f>
        <v>PubMed</v>
      </c>
      <c r="V5943" s="30"/>
      <c r="W5943" s="49"/>
      <c r="X5943" s="49"/>
      <c r="Y5943" s="35"/>
      <c r="Z5943" s="35"/>
      <c r="AA5943" s="35"/>
      <c r="AB5943" s="35"/>
      <c r="AC5943" s="35"/>
      <c r="AD5943" s="35"/>
      <c r="AE5943" s="35"/>
      <c r="AF5943" s="35"/>
      <c r="AG5943" s="35"/>
      <c r="AH5943" s="35"/>
      <c r="AI5943" s="35"/>
      <c r="AJ5943" s="35"/>
      <c r="AK5943" s="35"/>
      <c r="AL5943" s="35"/>
    </row>
    <row r="5944">
      <c r="A5944" s="40"/>
      <c r="B5944" s="19" t="s">
        <v>7020</v>
      </c>
      <c r="C5944" s="20" t="s">
        <v>27749</v>
      </c>
      <c r="D5944" s="47"/>
      <c r="E5944" s="22" t="s">
        <v>27960</v>
      </c>
      <c r="F5944" s="22" t="s">
        <v>3767</v>
      </c>
      <c r="G5944" s="23">
        <v>2012.0</v>
      </c>
      <c r="H5944" s="22" t="s">
        <v>3766</v>
      </c>
      <c r="I5944" s="24" t="s">
        <v>27961</v>
      </c>
      <c r="J5944" s="22" t="s">
        <v>27962</v>
      </c>
      <c r="K5944" s="22" t="s">
        <v>27963</v>
      </c>
      <c r="L5944" s="36">
        <v>904.0</v>
      </c>
      <c r="M5944" s="36">
        <v>25.0</v>
      </c>
      <c r="N5944" s="36" t="s">
        <v>58</v>
      </c>
      <c r="O5944" s="36" t="s">
        <v>27964</v>
      </c>
      <c r="P5944" s="37" t="s">
        <v>58</v>
      </c>
      <c r="Q5944" s="36" t="s">
        <v>27965</v>
      </c>
      <c r="R5944" s="36" t="s">
        <v>27966</v>
      </c>
      <c r="S5944" s="36" t="s">
        <v>1514</v>
      </c>
      <c r="T5944" s="102" t="s">
        <v>27967</v>
      </c>
      <c r="U5944" s="38" t="str">
        <f>HYPERLINK("https://www.ncbi.nlm.nih.gov/pubmed/22924260","PubMed")</f>
        <v>PubMed</v>
      </c>
      <c r="V5944" s="30"/>
      <c r="W5944" s="49"/>
      <c r="X5944" s="49"/>
      <c r="Y5944" s="35"/>
      <c r="Z5944" s="35"/>
      <c r="AA5944" s="35"/>
      <c r="AB5944" s="35"/>
      <c r="AC5944" s="35"/>
      <c r="AD5944" s="35"/>
      <c r="AE5944" s="35"/>
      <c r="AF5944" s="35"/>
      <c r="AG5944" s="35"/>
      <c r="AH5944" s="35"/>
      <c r="AI5944" s="35"/>
      <c r="AJ5944" s="35"/>
      <c r="AK5944" s="35"/>
      <c r="AL5944" s="35"/>
    </row>
    <row r="5945">
      <c r="A5945" s="1"/>
      <c r="B5945" s="19" t="s">
        <v>7020</v>
      </c>
      <c r="C5945" s="20" t="s">
        <v>27749</v>
      </c>
      <c r="D5945" s="47"/>
      <c r="E5945" s="22" t="s">
        <v>27968</v>
      </c>
      <c r="F5945" s="22" t="s">
        <v>27969</v>
      </c>
      <c r="G5945" s="23">
        <v>2011.0</v>
      </c>
      <c r="H5945" s="57" t="s">
        <v>4740</v>
      </c>
      <c r="I5945" s="24" t="s">
        <v>27970</v>
      </c>
      <c r="J5945" s="22" t="s">
        <v>27971</v>
      </c>
      <c r="K5945" s="22" t="s">
        <v>4778</v>
      </c>
      <c r="L5945" s="36">
        <v>1064.0</v>
      </c>
      <c r="M5945" s="36">
        <v>6000.0</v>
      </c>
      <c r="N5945" s="36" t="s">
        <v>58</v>
      </c>
      <c r="O5945" s="36" t="s">
        <v>27972</v>
      </c>
      <c r="P5945" s="37" t="s">
        <v>27973</v>
      </c>
      <c r="Q5945" s="36" t="s">
        <v>27974</v>
      </c>
      <c r="R5945" s="36" t="s">
        <v>19643</v>
      </c>
      <c r="S5945" s="36" t="s">
        <v>4708</v>
      </c>
      <c r="T5945" s="28" t="s">
        <v>27975</v>
      </c>
      <c r="U5945" s="38" t="str">
        <f>HYPERLINK("https://www.ncbi.nlm.nih.gov/pubmed/21654616","PubMed")</f>
        <v>PubMed</v>
      </c>
      <c r="V5945" s="30" t="s">
        <v>27976</v>
      </c>
      <c r="W5945" s="49"/>
      <c r="X5945" s="49"/>
      <c r="Y5945" s="35"/>
      <c r="Z5945" s="35"/>
      <c r="AA5945" s="35"/>
      <c r="AB5945" s="35"/>
      <c r="AC5945" s="35"/>
      <c r="AD5945" s="35"/>
      <c r="AE5945" s="35"/>
      <c r="AF5945" s="35"/>
      <c r="AG5945" s="35"/>
      <c r="AH5945" s="35"/>
      <c r="AI5945" s="35"/>
      <c r="AJ5945" s="35"/>
      <c r="AK5945" s="35"/>
      <c r="AL5945" s="35"/>
    </row>
    <row r="5946">
      <c r="A5946" s="40"/>
      <c r="B5946" s="19" t="s">
        <v>7020</v>
      </c>
      <c r="C5946" s="20" t="s">
        <v>27749</v>
      </c>
      <c r="D5946" s="47"/>
      <c r="E5946" s="22" t="s">
        <v>27977</v>
      </c>
      <c r="F5946" s="22" t="s">
        <v>1386</v>
      </c>
      <c r="G5946" s="23">
        <v>2011.0</v>
      </c>
      <c r="H5946" s="22" t="s">
        <v>13786</v>
      </c>
      <c r="I5946" s="24" t="s">
        <v>27978</v>
      </c>
      <c r="J5946" s="22" t="s">
        <v>27979</v>
      </c>
      <c r="K5946" s="22" t="s">
        <v>27980</v>
      </c>
      <c r="L5946" s="36">
        <v>830.0</v>
      </c>
      <c r="M5946" s="36" t="s">
        <v>27981</v>
      </c>
      <c r="N5946" s="36" t="s">
        <v>27982</v>
      </c>
      <c r="O5946" s="36"/>
      <c r="P5946" s="37" t="s">
        <v>27983</v>
      </c>
      <c r="Q5946" s="36" t="s">
        <v>4567</v>
      </c>
      <c r="R5946" s="36" t="s">
        <v>27984</v>
      </c>
      <c r="S5946" s="36" t="s">
        <v>4387</v>
      </c>
      <c r="T5946" s="54" t="s">
        <v>27985</v>
      </c>
      <c r="U5946" s="38" t="str">
        <f>HYPERLINK("https://www.ncbi.nlm.nih.gov/pubmed/21492750","PubMed")</f>
        <v>PubMed</v>
      </c>
      <c r="V5946" s="30"/>
      <c r="W5946" s="49"/>
      <c r="X5946" s="49"/>
      <c r="Y5946" s="35"/>
      <c r="Z5946" s="35"/>
      <c r="AA5946" s="35"/>
      <c r="AB5946" s="35"/>
      <c r="AC5946" s="35"/>
      <c r="AD5946" s="35"/>
      <c r="AE5946" s="35"/>
      <c r="AF5946" s="35"/>
      <c r="AG5946" s="35"/>
      <c r="AH5946" s="35"/>
      <c r="AI5946" s="35"/>
      <c r="AJ5946" s="35"/>
      <c r="AK5946" s="35"/>
      <c r="AL5946" s="35"/>
    </row>
    <row r="5947">
      <c r="A5947" s="40"/>
      <c r="B5947" s="19" t="s">
        <v>7020</v>
      </c>
      <c r="C5947" s="20" t="s">
        <v>27749</v>
      </c>
      <c r="D5947" s="47"/>
      <c r="E5947" s="22" t="s">
        <v>27986</v>
      </c>
      <c r="F5947" s="22" t="s">
        <v>1398</v>
      </c>
      <c r="G5947" s="23">
        <v>2011.0</v>
      </c>
      <c r="H5947" s="22" t="s">
        <v>292</v>
      </c>
      <c r="I5947" s="24" t="s">
        <v>27987</v>
      </c>
      <c r="J5947" s="22" t="s">
        <v>27988</v>
      </c>
      <c r="K5947" s="22"/>
      <c r="L5947" s="36">
        <v>830.0</v>
      </c>
      <c r="M5947" s="36">
        <v>1000.0</v>
      </c>
      <c r="N5947" s="36" t="s">
        <v>58</v>
      </c>
      <c r="O5947" s="36" t="s">
        <v>58</v>
      </c>
      <c r="P5947" s="37" t="s">
        <v>287</v>
      </c>
      <c r="Q5947" s="36" t="s">
        <v>58</v>
      </c>
      <c r="R5947" s="36">
        <v>30.0</v>
      </c>
      <c r="S5947" s="36" t="s">
        <v>7333</v>
      </c>
      <c r="T5947" s="54" t="s">
        <v>27989</v>
      </c>
      <c r="U5947" s="38" t="str">
        <f>HYPERLINK("https://www.ncbi.nlm.nih.gov/pubmed/24155520","PubMed")</f>
        <v>PubMed</v>
      </c>
      <c r="V5947" s="30" t="s">
        <v>27990</v>
      </c>
      <c r="W5947" s="49"/>
      <c r="X5947" s="49"/>
      <c r="Y5947" s="35"/>
      <c r="Z5947" s="35"/>
      <c r="AA5947" s="35"/>
      <c r="AB5947" s="35"/>
      <c r="AC5947" s="35"/>
      <c r="AD5947" s="35"/>
      <c r="AE5947" s="35"/>
      <c r="AF5947" s="35"/>
      <c r="AG5947" s="35"/>
      <c r="AH5947" s="35"/>
      <c r="AI5947" s="35"/>
      <c r="AJ5947" s="35"/>
      <c r="AK5947" s="35"/>
      <c r="AL5947" s="35"/>
    </row>
    <row r="5948">
      <c r="A5948" s="1" t="s">
        <v>2</v>
      </c>
      <c r="B5948" s="19" t="s">
        <v>7020</v>
      </c>
      <c r="C5948" s="20" t="s">
        <v>27749</v>
      </c>
      <c r="D5948" s="47"/>
      <c r="E5948" s="22" t="s">
        <v>27991</v>
      </c>
      <c r="F5948" s="22" t="s">
        <v>3767</v>
      </c>
      <c r="G5948" s="23">
        <v>2010.0</v>
      </c>
      <c r="H5948" s="22" t="s">
        <v>658</v>
      </c>
      <c r="I5948" s="24" t="s">
        <v>27992</v>
      </c>
      <c r="J5948" s="22" t="s">
        <v>27993</v>
      </c>
      <c r="K5948" s="22" t="s">
        <v>27994</v>
      </c>
      <c r="L5948" s="36">
        <v>904.0</v>
      </c>
      <c r="M5948" s="36">
        <v>100.0</v>
      </c>
      <c r="N5948" s="36" t="s">
        <v>821</v>
      </c>
      <c r="O5948" s="36">
        <v>12.0</v>
      </c>
      <c r="P5948" s="37" t="s">
        <v>969</v>
      </c>
      <c r="Q5948" s="36" t="s">
        <v>2923</v>
      </c>
      <c r="R5948" s="36">
        <v>600.0</v>
      </c>
      <c r="S5948" s="36" t="s">
        <v>4708</v>
      </c>
      <c r="T5948" s="54" t="s">
        <v>27995</v>
      </c>
      <c r="U5948" s="38" t="str">
        <f>HYPERLINK("https://www.ncbi.nlm.nih.gov/pubmed/20001318","PubMed")</f>
        <v>PubMed</v>
      </c>
      <c r="V5948" s="30"/>
      <c r="W5948" s="49"/>
      <c r="X5948" s="49"/>
      <c r="Y5948" s="35"/>
      <c r="Z5948" s="35"/>
      <c r="AA5948" s="35"/>
      <c r="AB5948" s="35"/>
      <c r="AC5948" s="35"/>
      <c r="AD5948" s="35"/>
      <c r="AE5948" s="35"/>
      <c r="AF5948" s="35"/>
      <c r="AG5948" s="35"/>
      <c r="AH5948" s="35"/>
      <c r="AI5948" s="35"/>
      <c r="AJ5948" s="35"/>
      <c r="AK5948" s="35"/>
      <c r="AL5948" s="35"/>
    </row>
    <row r="5949">
      <c r="A5949" s="40"/>
      <c r="B5949" s="19" t="s">
        <v>7020</v>
      </c>
      <c r="C5949" s="20" t="s">
        <v>27749</v>
      </c>
      <c r="D5949" s="47"/>
      <c r="E5949" s="22" t="s">
        <v>27996</v>
      </c>
      <c r="F5949" s="22" t="s">
        <v>2076</v>
      </c>
      <c r="G5949" s="23">
        <v>2010.0</v>
      </c>
      <c r="H5949" s="22" t="s">
        <v>13626</v>
      </c>
      <c r="I5949" s="24" t="s">
        <v>27997</v>
      </c>
      <c r="J5949" s="22" t="s">
        <v>27998</v>
      </c>
      <c r="K5949" s="22" t="s">
        <v>27999</v>
      </c>
      <c r="L5949" s="36">
        <v>808.0</v>
      </c>
      <c r="M5949" s="36"/>
      <c r="N5949" s="36" t="s">
        <v>28000</v>
      </c>
      <c r="O5949" s="36"/>
      <c r="P5949" s="37" t="s">
        <v>2848</v>
      </c>
      <c r="Q5949" s="36" t="s">
        <v>2071</v>
      </c>
      <c r="R5949" s="36"/>
      <c r="S5949" s="36">
        <v>10.0</v>
      </c>
      <c r="T5949" s="54" t="s">
        <v>28001</v>
      </c>
      <c r="U5949" s="38" t="str">
        <f>HYPERLINK("https://www.ncbi.nlm.nih.gov/pubmed/20675864","PubMed")</f>
        <v>PubMed</v>
      </c>
      <c r="V5949" s="30"/>
      <c r="W5949" s="49"/>
      <c r="X5949" s="49"/>
      <c r="Y5949" s="35"/>
      <c r="Z5949" s="35"/>
      <c r="AA5949" s="35"/>
      <c r="AB5949" s="35"/>
      <c r="AC5949" s="35"/>
      <c r="AD5949" s="35"/>
      <c r="AE5949" s="35"/>
      <c r="AF5949" s="35"/>
      <c r="AG5949" s="35"/>
      <c r="AH5949" s="35"/>
      <c r="AI5949" s="35"/>
      <c r="AJ5949" s="35"/>
      <c r="AK5949" s="35"/>
      <c r="AL5949" s="35"/>
    </row>
    <row r="5950">
      <c r="A5950" s="40"/>
      <c r="B5950" s="19" t="s">
        <v>7020</v>
      </c>
      <c r="C5950" s="20" t="s">
        <v>27749</v>
      </c>
      <c r="D5950" s="47"/>
      <c r="E5950" s="22" t="s">
        <v>28002</v>
      </c>
      <c r="F5950" s="22" t="s">
        <v>52</v>
      </c>
      <c r="G5950" s="23">
        <v>2010.0</v>
      </c>
      <c r="H5950" s="22" t="s">
        <v>4862</v>
      </c>
      <c r="I5950" s="24" t="s">
        <v>28003</v>
      </c>
      <c r="J5950" s="22" t="s">
        <v>28004</v>
      </c>
      <c r="K5950" s="22"/>
      <c r="L5950" s="36">
        <v>850.0</v>
      </c>
      <c r="M5950" s="36">
        <v>100.0</v>
      </c>
      <c r="N5950" s="36" t="s">
        <v>58</v>
      </c>
      <c r="O5950" s="36" t="s">
        <v>58</v>
      </c>
      <c r="P5950" s="37" t="s">
        <v>2746</v>
      </c>
      <c r="Q5950" s="36" t="s">
        <v>28005</v>
      </c>
      <c r="R5950" s="36" t="s">
        <v>28006</v>
      </c>
      <c r="S5950" s="36" t="s">
        <v>4708</v>
      </c>
      <c r="T5950" s="103" t="s">
        <v>28007</v>
      </c>
      <c r="U5950" s="38" t="str">
        <f>HYPERLINK("https://www.ncbi.nlm.nih.gov/pubmed/20414695","PubMed")</f>
        <v>PubMed</v>
      </c>
      <c r="V5950" s="30"/>
      <c r="W5950" s="49"/>
      <c r="X5950" s="49"/>
      <c r="Y5950" s="35"/>
      <c r="Z5950" s="35"/>
      <c r="AA5950" s="35"/>
      <c r="AB5950" s="35"/>
      <c r="AC5950" s="35"/>
      <c r="AD5950" s="35"/>
      <c r="AE5950" s="35"/>
      <c r="AF5950" s="35"/>
      <c r="AG5950" s="35"/>
      <c r="AH5950" s="35"/>
      <c r="AI5950" s="35"/>
      <c r="AJ5950" s="35"/>
      <c r="AK5950" s="35"/>
      <c r="AL5950" s="35"/>
    </row>
    <row r="5951">
      <c r="A5951" s="40"/>
      <c r="B5951" s="19" t="s">
        <v>7020</v>
      </c>
      <c r="C5951" s="20" t="s">
        <v>27749</v>
      </c>
      <c r="D5951" s="47"/>
      <c r="E5951" s="22" t="s">
        <v>27918</v>
      </c>
      <c r="F5951" s="22" t="s">
        <v>15724</v>
      </c>
      <c r="G5951" s="23">
        <v>2009.0</v>
      </c>
      <c r="H5951" s="22" t="s">
        <v>3467</v>
      </c>
      <c r="I5951" s="24" t="s">
        <v>28008</v>
      </c>
      <c r="J5951" s="22" t="s">
        <v>28009</v>
      </c>
      <c r="K5951" s="22" t="s">
        <v>2686</v>
      </c>
      <c r="L5951" s="36">
        <v>830.0</v>
      </c>
      <c r="M5951" s="36">
        <v>10.0</v>
      </c>
      <c r="N5951" s="36" t="s">
        <v>3911</v>
      </c>
      <c r="O5951" s="36" t="s">
        <v>28010</v>
      </c>
      <c r="P5951" s="37" t="s">
        <v>58</v>
      </c>
      <c r="Q5951" s="36" t="s">
        <v>58</v>
      </c>
      <c r="R5951" s="36" t="s">
        <v>13402</v>
      </c>
      <c r="S5951" s="36" t="s">
        <v>28011</v>
      </c>
      <c r="T5951" s="103" t="s">
        <v>28012</v>
      </c>
      <c r="U5951" s="38" t="str">
        <f>HYPERLINK("https://www.ncbi.nlm.nih.gov/pubmed/19734378","PubMed")</f>
        <v>PubMed</v>
      </c>
      <c r="V5951" s="30" t="s">
        <v>28013</v>
      </c>
      <c r="W5951" s="49"/>
      <c r="X5951" s="49"/>
      <c r="Y5951" s="35"/>
      <c r="Z5951" s="35"/>
      <c r="AA5951" s="35"/>
      <c r="AB5951" s="35"/>
      <c r="AC5951" s="35"/>
      <c r="AD5951" s="35"/>
      <c r="AE5951" s="35"/>
      <c r="AF5951" s="35"/>
      <c r="AG5951" s="35"/>
      <c r="AH5951" s="35"/>
      <c r="AI5951" s="35"/>
      <c r="AJ5951" s="35"/>
      <c r="AK5951" s="35"/>
      <c r="AL5951" s="35"/>
    </row>
    <row r="5952">
      <c r="A5952" s="1"/>
      <c r="B5952" s="19" t="s">
        <v>7020</v>
      </c>
      <c r="C5952" s="20" t="s">
        <v>27749</v>
      </c>
      <c r="D5952" s="47"/>
      <c r="E5952" s="22" t="s">
        <v>28014</v>
      </c>
      <c r="F5952" s="22" t="s">
        <v>323</v>
      </c>
      <c r="G5952" s="23">
        <v>2008.0</v>
      </c>
      <c r="H5952" s="22" t="s">
        <v>9459</v>
      </c>
      <c r="I5952" s="24" t="s">
        <v>28015</v>
      </c>
      <c r="J5952" s="22" t="s">
        <v>1078</v>
      </c>
      <c r="K5952" s="22"/>
      <c r="L5952" s="195" t="s">
        <v>28016</v>
      </c>
      <c r="M5952" s="44"/>
      <c r="N5952" s="44"/>
      <c r="O5952" s="44"/>
      <c r="P5952" s="44"/>
      <c r="Q5952" s="44"/>
      <c r="R5952" s="44"/>
      <c r="S5952" s="44"/>
      <c r="T5952" s="45"/>
      <c r="U5952" s="38" t="str">
        <f>HYPERLINK("https://www.ncbi.nlm.nih.gov/pubmed/18425909","PubMed")</f>
        <v>PubMed</v>
      </c>
      <c r="V5952" s="30"/>
      <c r="W5952" s="49"/>
      <c r="X5952" s="49"/>
      <c r="Y5952" s="35"/>
      <c r="Z5952" s="35"/>
      <c r="AA5952" s="35"/>
      <c r="AB5952" s="35"/>
      <c r="AC5952" s="35"/>
      <c r="AD5952" s="35"/>
      <c r="AE5952" s="35"/>
      <c r="AF5952" s="35"/>
      <c r="AG5952" s="35"/>
      <c r="AH5952" s="35"/>
      <c r="AI5952" s="35"/>
      <c r="AJ5952" s="35"/>
      <c r="AK5952" s="35"/>
      <c r="AL5952" s="35"/>
    </row>
    <row r="5953">
      <c r="A5953" s="1"/>
      <c r="B5953" s="19" t="s">
        <v>7020</v>
      </c>
      <c r="C5953" s="20" t="s">
        <v>27749</v>
      </c>
      <c r="D5953" s="47"/>
      <c r="E5953" s="22" t="s">
        <v>18828</v>
      </c>
      <c r="F5953" s="22" t="s">
        <v>4724</v>
      </c>
      <c r="G5953" s="23">
        <v>2007.0</v>
      </c>
      <c r="H5953" s="22" t="s">
        <v>4916</v>
      </c>
      <c r="I5953" s="24" t="s">
        <v>28017</v>
      </c>
      <c r="J5953" s="22" t="s">
        <v>28018</v>
      </c>
      <c r="K5953" s="22"/>
      <c r="L5953" s="36">
        <v>810.0</v>
      </c>
      <c r="M5953" s="36">
        <v>50.0</v>
      </c>
      <c r="N5953" s="36" t="s">
        <v>58</v>
      </c>
      <c r="O5953" s="36" t="s">
        <v>58</v>
      </c>
      <c r="P5953" s="37" t="s">
        <v>8519</v>
      </c>
      <c r="Q5953" s="36" t="s">
        <v>28019</v>
      </c>
      <c r="R5953" s="36" t="s">
        <v>28020</v>
      </c>
      <c r="S5953" s="36" t="s">
        <v>2688</v>
      </c>
      <c r="T5953" s="54" t="s">
        <v>28021</v>
      </c>
      <c r="U5953" s="38" t="str">
        <f>HYPERLINK("https://www.ncbi.nlm.nih.gov/pubmed/17725472","PubMed")</f>
        <v>PubMed</v>
      </c>
      <c r="V5953" s="30"/>
      <c r="W5953" s="49"/>
      <c r="X5953" s="49"/>
      <c r="Y5953" s="35"/>
      <c r="Z5953" s="35"/>
      <c r="AA5953" s="35"/>
      <c r="AB5953" s="35"/>
      <c r="AC5953" s="35"/>
      <c r="AD5953" s="35"/>
      <c r="AE5953" s="35"/>
      <c r="AF5953" s="35"/>
      <c r="AG5953" s="35"/>
      <c r="AH5953" s="35"/>
      <c r="AI5953" s="35"/>
      <c r="AJ5953" s="35"/>
      <c r="AK5953" s="35"/>
      <c r="AL5953" s="35"/>
    </row>
    <row r="5954">
      <c r="A5954" s="1"/>
      <c r="B5954" s="19" t="s">
        <v>7020</v>
      </c>
      <c r="C5954" s="20" t="s">
        <v>27749</v>
      </c>
      <c r="D5954" s="47"/>
      <c r="E5954" s="22" t="s">
        <v>28022</v>
      </c>
      <c r="F5954" s="22" t="s">
        <v>2445</v>
      </c>
      <c r="G5954" s="23">
        <v>2006.0</v>
      </c>
      <c r="H5954" s="22" t="s">
        <v>13222</v>
      </c>
      <c r="I5954" s="24" t="s">
        <v>28023</v>
      </c>
      <c r="J5954" s="22" t="s">
        <v>28024</v>
      </c>
      <c r="K5954" s="22" t="s">
        <v>28025</v>
      </c>
      <c r="L5954" s="36" t="s">
        <v>28026</v>
      </c>
      <c r="M5954" s="36" t="s">
        <v>58</v>
      </c>
      <c r="N5954" s="36" t="s">
        <v>58</v>
      </c>
      <c r="O5954" s="36" t="s">
        <v>58</v>
      </c>
      <c r="P5954" s="37" t="s">
        <v>58</v>
      </c>
      <c r="Q5954" s="36" t="s">
        <v>58</v>
      </c>
      <c r="R5954" s="36" t="s">
        <v>58</v>
      </c>
      <c r="S5954" s="36" t="s">
        <v>28027</v>
      </c>
      <c r="T5954" s="54" t="s">
        <v>28028</v>
      </c>
      <c r="U5954" s="38" t="str">
        <f>HYPERLINK("https://www.ncbi.nlm.nih.gov/pubmed/16960636","PubMed")</f>
        <v>PubMed</v>
      </c>
      <c r="V5954" s="30" t="s">
        <v>28029</v>
      </c>
      <c r="W5954" s="49"/>
      <c r="X5954" s="49"/>
      <c r="Y5954" s="35"/>
      <c r="Z5954" s="35"/>
      <c r="AA5954" s="35"/>
      <c r="AB5954" s="35"/>
      <c r="AC5954" s="35"/>
      <c r="AD5954" s="35"/>
      <c r="AE5954" s="35"/>
      <c r="AF5954" s="35"/>
      <c r="AG5954" s="35"/>
      <c r="AH5954" s="35"/>
      <c r="AI5954" s="35"/>
      <c r="AJ5954" s="35"/>
      <c r="AK5954" s="35"/>
      <c r="AL5954" s="35"/>
    </row>
    <row r="5955">
      <c r="A5955" s="1"/>
      <c r="B5955" s="19" t="s">
        <v>7020</v>
      </c>
      <c r="C5955" s="20" t="s">
        <v>27749</v>
      </c>
      <c r="D5955" s="47"/>
      <c r="E5955" s="22" t="s">
        <v>13693</v>
      </c>
      <c r="F5955" s="22" t="s">
        <v>13694</v>
      </c>
      <c r="G5955" s="23">
        <v>2003.0</v>
      </c>
      <c r="H5955" s="22" t="s">
        <v>53</v>
      </c>
      <c r="I5955" s="24" t="s">
        <v>28030</v>
      </c>
      <c r="J5955" s="22" t="s">
        <v>28031</v>
      </c>
      <c r="K5955" s="22"/>
      <c r="L5955" s="36" t="s">
        <v>28032</v>
      </c>
      <c r="M5955" s="129">
        <v>42404.0</v>
      </c>
      <c r="N5955" s="36" t="s">
        <v>58</v>
      </c>
      <c r="O5955" s="36" t="s">
        <v>58</v>
      </c>
      <c r="P5955" s="37" t="s">
        <v>2555</v>
      </c>
      <c r="Q5955" s="36" t="s">
        <v>28033</v>
      </c>
      <c r="R5955" s="36">
        <v>1800.0</v>
      </c>
      <c r="S5955" s="36" t="s">
        <v>85</v>
      </c>
      <c r="T5955" s="54" t="s">
        <v>28034</v>
      </c>
      <c r="U5955" s="38" t="str">
        <f>HYPERLINK("https://www.ncbi.nlm.nih.gov/pubmed/12605431","PubMed")</f>
        <v>PubMed</v>
      </c>
      <c r="V5955" s="30" t="s">
        <v>28035</v>
      </c>
      <c r="W5955" s="49"/>
      <c r="X5955" s="49"/>
      <c r="Y5955" s="35"/>
      <c r="Z5955" s="35"/>
      <c r="AA5955" s="35"/>
      <c r="AB5955" s="35"/>
      <c r="AC5955" s="35"/>
      <c r="AD5955" s="35"/>
      <c r="AE5955" s="35"/>
      <c r="AF5955" s="35"/>
      <c r="AG5955" s="35"/>
      <c r="AH5955" s="35"/>
      <c r="AI5955" s="35"/>
      <c r="AJ5955" s="35"/>
      <c r="AK5955" s="35"/>
      <c r="AL5955" s="35"/>
    </row>
    <row r="5956">
      <c r="A5956" s="1"/>
      <c r="B5956" s="19" t="s">
        <v>7020</v>
      </c>
      <c r="C5956" s="20" t="s">
        <v>27749</v>
      </c>
      <c r="D5956" s="47"/>
      <c r="E5956" s="22" t="s">
        <v>13745</v>
      </c>
      <c r="F5956" s="22" t="s">
        <v>5649</v>
      </c>
      <c r="G5956" s="23">
        <v>1999.0</v>
      </c>
      <c r="H5956" s="22" t="s">
        <v>4783</v>
      </c>
      <c r="I5956" s="24" t="s">
        <v>28036</v>
      </c>
      <c r="J5956" s="22" t="s">
        <v>28037</v>
      </c>
      <c r="K5956" s="22"/>
      <c r="L5956" s="36">
        <v>1064.0</v>
      </c>
      <c r="M5956" s="36"/>
      <c r="N5956" s="36" t="s">
        <v>28038</v>
      </c>
      <c r="O5956" s="36"/>
      <c r="P5956" s="37"/>
      <c r="Q5956" s="36"/>
      <c r="R5956" s="36" t="s">
        <v>28039</v>
      </c>
      <c r="S5956" s="36" t="s">
        <v>4905</v>
      </c>
      <c r="T5956" s="102" t="s">
        <v>28040</v>
      </c>
      <c r="U5956" s="38" t="str">
        <f>HYPERLINK("https://www.ncbi.nlm.nih.gov/pubmed/10378490","PubMed")</f>
        <v>PubMed</v>
      </c>
      <c r="V5956" s="30"/>
      <c r="W5956" s="49"/>
      <c r="X5956" s="49"/>
      <c r="Y5956" s="35"/>
      <c r="Z5956" s="35"/>
      <c r="AA5956" s="35"/>
      <c r="AB5956" s="35"/>
      <c r="AC5956" s="35"/>
      <c r="AD5956" s="35"/>
      <c r="AE5956" s="35"/>
      <c r="AF5956" s="35"/>
      <c r="AG5956" s="35"/>
      <c r="AH5956" s="35"/>
      <c r="AI5956" s="35"/>
      <c r="AJ5956" s="35"/>
      <c r="AK5956" s="35"/>
      <c r="AL5956" s="35"/>
    </row>
    <row r="5957">
      <c r="A5957" s="1"/>
      <c r="B5957" s="19" t="s">
        <v>7020</v>
      </c>
      <c r="C5957" s="20" t="s">
        <v>27749</v>
      </c>
      <c r="D5957" s="47"/>
      <c r="E5957" s="22" t="s">
        <v>28041</v>
      </c>
      <c r="F5957" s="22" t="s">
        <v>1398</v>
      </c>
      <c r="G5957" s="23">
        <v>1992.0</v>
      </c>
      <c r="H5957" s="22" t="s">
        <v>292</v>
      </c>
      <c r="I5957" s="24" t="s">
        <v>28042</v>
      </c>
      <c r="J5957" s="22" t="s">
        <v>28043</v>
      </c>
      <c r="K5957" s="22"/>
      <c r="L5957" s="36">
        <v>830.0</v>
      </c>
      <c r="M5957" s="36">
        <v>60.0</v>
      </c>
      <c r="N5957" s="36">
        <v>4.0</v>
      </c>
      <c r="O5957" s="36"/>
      <c r="P5957" s="37" t="s">
        <v>28044</v>
      </c>
      <c r="Q5957" s="36" t="s">
        <v>28045</v>
      </c>
      <c r="R5957" s="36" t="s">
        <v>23780</v>
      </c>
      <c r="S5957" s="36" t="s">
        <v>28046</v>
      </c>
      <c r="T5957" s="54" t="s">
        <v>28047</v>
      </c>
      <c r="U5957" s="38" t="str">
        <f>HYPERLINK("https://www.jstage.jst.go.jp/article/islsm/4/3/4_92-OR-14/_article/-char/en","J-STAGE")</f>
        <v>J-STAGE</v>
      </c>
      <c r="V5957" s="30"/>
      <c r="W5957" s="49"/>
      <c r="X5957" s="49"/>
      <c r="Y5957" s="35"/>
      <c r="Z5957" s="35"/>
      <c r="AA5957" s="35"/>
      <c r="AB5957" s="35"/>
      <c r="AC5957" s="35"/>
      <c r="AD5957" s="35"/>
      <c r="AE5957" s="35"/>
      <c r="AF5957" s="35"/>
      <c r="AG5957" s="35"/>
      <c r="AH5957" s="35"/>
      <c r="AI5957" s="35"/>
      <c r="AJ5957" s="35"/>
      <c r="AK5957" s="35"/>
      <c r="AL5957" s="35"/>
    </row>
    <row r="5958">
      <c r="A5958" s="1"/>
      <c r="B5958" s="19" t="s">
        <v>7020</v>
      </c>
      <c r="C5958" s="20" t="s">
        <v>27749</v>
      </c>
      <c r="D5958" s="47"/>
      <c r="E5958" s="22" t="s">
        <v>28048</v>
      </c>
      <c r="F5958" s="22" t="s">
        <v>28049</v>
      </c>
      <c r="G5958" s="23">
        <v>1990.0</v>
      </c>
      <c r="H5958" s="22" t="s">
        <v>4783</v>
      </c>
      <c r="I5958" s="24" t="s">
        <v>28050</v>
      </c>
      <c r="J5958" s="22" t="s">
        <v>28051</v>
      </c>
      <c r="K5958" s="22"/>
      <c r="L5958" s="36"/>
      <c r="M5958" s="36"/>
      <c r="N5958" s="36"/>
      <c r="O5958" s="36"/>
      <c r="P5958" s="37" t="s">
        <v>892</v>
      </c>
      <c r="Q5958" s="36"/>
      <c r="R5958" s="36"/>
      <c r="S5958" s="36"/>
      <c r="T5958" s="103" t="s">
        <v>28052</v>
      </c>
      <c r="U5958" s="38" t="str">
        <f>HYPERLINK("https://www.ncbi.nlm.nih.gov/pubmed/2136991","PubMed")</f>
        <v>PubMed</v>
      </c>
      <c r="V5958" s="30" t="s">
        <v>174</v>
      </c>
      <c r="W5958" s="49"/>
      <c r="X5958" s="49"/>
      <c r="Y5958" s="35"/>
      <c r="Z5958" s="35"/>
      <c r="AA5958" s="35"/>
      <c r="AB5958" s="35"/>
      <c r="AC5958" s="35"/>
      <c r="AD5958" s="35"/>
      <c r="AE5958" s="35"/>
      <c r="AF5958" s="35"/>
      <c r="AG5958" s="35"/>
      <c r="AH5958" s="35"/>
      <c r="AI5958" s="35"/>
      <c r="AJ5958" s="35"/>
      <c r="AK5958" s="35"/>
      <c r="AL5958" s="35"/>
    </row>
    <row r="5959">
      <c r="A5959" s="1"/>
      <c r="B5959" s="19" t="s">
        <v>7020</v>
      </c>
      <c r="C5959" s="20" t="s">
        <v>28053</v>
      </c>
      <c r="D5959" s="47"/>
      <c r="E5959" s="22" t="s">
        <v>28054</v>
      </c>
      <c r="F5959" s="22" t="s">
        <v>41</v>
      </c>
      <c r="G5959" s="23">
        <v>2021.0</v>
      </c>
      <c r="H5959" s="22" t="s">
        <v>3950</v>
      </c>
      <c r="I5959" s="24" t="s">
        <v>28055</v>
      </c>
      <c r="J5959" s="22" t="s">
        <v>55</v>
      </c>
      <c r="K5959" s="22" t="s">
        <v>607</v>
      </c>
      <c r="L5959" s="52">
        <v>904.0</v>
      </c>
      <c r="M5959" s="52"/>
      <c r="N5959" s="52"/>
      <c r="O5959" s="52"/>
      <c r="P5959" s="189" t="s">
        <v>17791</v>
      </c>
      <c r="Q5959" s="52"/>
      <c r="R5959" s="52"/>
      <c r="S5959" s="52"/>
      <c r="T5959" s="54" t="s">
        <v>28056</v>
      </c>
      <c r="U5959" s="29" t="s">
        <v>61</v>
      </c>
      <c r="V5959" s="30"/>
      <c r="W5959" s="49"/>
      <c r="X5959" s="49"/>
      <c r="Y5959" s="35"/>
      <c r="Z5959" s="35"/>
      <c r="AA5959" s="35"/>
      <c r="AB5959" s="35"/>
      <c r="AC5959" s="35"/>
      <c r="AD5959" s="35"/>
      <c r="AE5959" s="35"/>
      <c r="AF5959" s="35"/>
      <c r="AG5959" s="35"/>
      <c r="AH5959" s="35"/>
      <c r="AI5959" s="35"/>
      <c r="AJ5959" s="35"/>
      <c r="AK5959" s="35"/>
      <c r="AL5959" s="35"/>
    </row>
    <row r="5960">
      <c r="A5960" s="1"/>
      <c r="B5960" s="19" t="s">
        <v>7020</v>
      </c>
      <c r="C5960" s="20" t="s">
        <v>28057</v>
      </c>
      <c r="D5960" s="47"/>
      <c r="E5960" s="22" t="s">
        <v>6795</v>
      </c>
      <c r="F5960" s="22" t="s">
        <v>1943</v>
      </c>
      <c r="G5960" s="23">
        <v>2007.0</v>
      </c>
      <c r="H5960" s="22" t="s">
        <v>28058</v>
      </c>
      <c r="I5960" s="24" t="s">
        <v>28059</v>
      </c>
      <c r="J5960" s="22" t="s">
        <v>28060</v>
      </c>
      <c r="K5960" s="22" t="s">
        <v>28061</v>
      </c>
      <c r="L5960" s="52" t="s">
        <v>28062</v>
      </c>
      <c r="M5960" s="52">
        <v>15.0</v>
      </c>
      <c r="N5960" s="52" t="s">
        <v>58</v>
      </c>
      <c r="O5960" s="52" t="s">
        <v>58</v>
      </c>
      <c r="P5960" s="189" t="s">
        <v>58</v>
      </c>
      <c r="Q5960" s="52" t="s">
        <v>28063</v>
      </c>
      <c r="R5960" s="52">
        <v>600.0</v>
      </c>
      <c r="S5960" s="52" t="s">
        <v>11572</v>
      </c>
      <c r="T5960" s="395" t="s">
        <v>28064</v>
      </c>
      <c r="U5960" s="38" t="str">
        <f>HYPERLINK("https://www.ncbi.nlm.nih.gov/pubmed/18087899","PubMed")</f>
        <v>PubMed</v>
      </c>
      <c r="V5960" s="30"/>
      <c r="W5960" s="49"/>
      <c r="X5960" s="49"/>
      <c r="Y5960" s="35"/>
      <c r="Z5960" s="35"/>
      <c r="AA5960" s="35"/>
      <c r="AB5960" s="35"/>
      <c r="AC5960" s="35"/>
      <c r="AD5960" s="35"/>
      <c r="AE5960" s="35"/>
      <c r="AF5960" s="35"/>
      <c r="AG5960" s="35"/>
      <c r="AH5960" s="35"/>
      <c r="AI5960" s="35"/>
      <c r="AJ5960" s="35"/>
      <c r="AK5960" s="35"/>
      <c r="AL5960" s="35"/>
    </row>
    <row r="5961">
      <c r="A5961" s="1"/>
      <c r="B5961" s="19" t="s">
        <v>7020</v>
      </c>
      <c r="C5961" s="20" t="s">
        <v>28065</v>
      </c>
      <c r="D5961" s="47"/>
      <c r="E5961" s="22" t="s">
        <v>19262</v>
      </c>
      <c r="F5961" s="22" t="s">
        <v>41</v>
      </c>
      <c r="G5961" s="23">
        <v>2020.0</v>
      </c>
      <c r="H5961" s="22" t="s">
        <v>207</v>
      </c>
      <c r="I5961" s="24" t="s">
        <v>28066</v>
      </c>
      <c r="J5961" s="22" t="s">
        <v>55</v>
      </c>
      <c r="K5961" s="22" t="s">
        <v>1240</v>
      </c>
      <c r="L5961" s="52">
        <v>660.0</v>
      </c>
      <c r="M5961" s="52"/>
      <c r="N5961" s="52" t="s">
        <v>278</v>
      </c>
      <c r="O5961" s="52"/>
      <c r="P5961" s="189"/>
      <c r="Q5961" s="52"/>
      <c r="R5961" s="52"/>
      <c r="S5961" s="52"/>
      <c r="T5961" s="28" t="s">
        <v>28067</v>
      </c>
      <c r="U5961" s="29" t="s">
        <v>61</v>
      </c>
      <c r="V5961" s="50"/>
      <c r="W5961" s="49"/>
      <c r="X5961" s="49"/>
      <c r="Y5961" s="35"/>
      <c r="Z5961" s="35"/>
      <c r="AA5961" s="35"/>
      <c r="AB5961" s="35"/>
      <c r="AC5961" s="35"/>
      <c r="AD5961" s="35"/>
      <c r="AE5961" s="35"/>
      <c r="AF5961" s="35"/>
      <c r="AG5961" s="35"/>
      <c r="AH5961" s="35"/>
      <c r="AI5961" s="35"/>
      <c r="AJ5961" s="35"/>
      <c r="AK5961" s="35"/>
      <c r="AL5961" s="35"/>
    </row>
    <row r="5962">
      <c r="A5962" s="1"/>
      <c r="B5962" s="19" t="s">
        <v>7020</v>
      </c>
      <c r="C5962" s="20" t="s">
        <v>28068</v>
      </c>
      <c r="D5962" s="47"/>
      <c r="E5962" s="22" t="s">
        <v>28069</v>
      </c>
      <c r="F5962" s="22" t="s">
        <v>20666</v>
      </c>
      <c r="G5962" s="23">
        <v>2006.0</v>
      </c>
      <c r="H5962" s="22" t="s">
        <v>28070</v>
      </c>
      <c r="I5962" s="24" t="s">
        <v>28071</v>
      </c>
      <c r="J5962" s="22" t="s">
        <v>28072</v>
      </c>
      <c r="K5962" s="22" t="s">
        <v>28073</v>
      </c>
      <c r="L5962" s="52" t="s">
        <v>28074</v>
      </c>
      <c r="M5962" s="52"/>
      <c r="N5962" s="52"/>
      <c r="O5962" s="52"/>
      <c r="P5962" s="189" t="s">
        <v>2070</v>
      </c>
      <c r="Q5962" s="52" t="s">
        <v>26418</v>
      </c>
      <c r="R5962" s="52"/>
      <c r="S5962" s="52">
        <v>1.0</v>
      </c>
      <c r="T5962" s="28" t="s">
        <v>28075</v>
      </c>
      <c r="U5962" s="38" t="str">
        <f>HYPERLINK("https://www.ncbi.nlm.nih.gov/pubmed/16609107","PubMed")</f>
        <v>PubMed</v>
      </c>
      <c r="V5962" s="50"/>
      <c r="W5962" s="49"/>
      <c r="X5962" s="49"/>
      <c r="Y5962" s="35"/>
      <c r="Z5962" s="35"/>
      <c r="AA5962" s="35"/>
      <c r="AB5962" s="35"/>
      <c r="AC5962" s="35"/>
      <c r="AD5962" s="35"/>
      <c r="AE5962" s="35"/>
      <c r="AF5962" s="35"/>
      <c r="AG5962" s="35"/>
      <c r="AH5962" s="35"/>
      <c r="AI5962" s="35"/>
      <c r="AJ5962" s="35"/>
      <c r="AK5962" s="35"/>
      <c r="AL5962" s="35"/>
    </row>
    <row r="5963">
      <c r="A5963" s="1"/>
      <c r="B5963" s="19" t="s">
        <v>7020</v>
      </c>
      <c r="C5963" s="20" t="s">
        <v>28068</v>
      </c>
      <c r="D5963" s="47"/>
      <c r="E5963" s="22" t="s">
        <v>28069</v>
      </c>
      <c r="F5963" s="22" t="s">
        <v>20666</v>
      </c>
      <c r="G5963" s="23">
        <v>2005.0</v>
      </c>
      <c r="H5963" s="22" t="s">
        <v>28070</v>
      </c>
      <c r="I5963" s="24" t="s">
        <v>28076</v>
      </c>
      <c r="J5963" s="22" t="s">
        <v>28077</v>
      </c>
      <c r="K5963" s="22" t="s">
        <v>28073</v>
      </c>
      <c r="L5963" s="52" t="s">
        <v>28074</v>
      </c>
      <c r="M5963" s="52"/>
      <c r="N5963" s="52"/>
      <c r="O5963" s="52"/>
      <c r="P5963" s="189" t="s">
        <v>2070</v>
      </c>
      <c r="Q5963" s="52" t="s">
        <v>26418</v>
      </c>
      <c r="R5963" s="52"/>
      <c r="S5963" s="52">
        <v>1.0</v>
      </c>
      <c r="T5963" s="28" t="s">
        <v>28078</v>
      </c>
      <c r="U5963" s="38" t="str">
        <f>HYPERLINK("https://www.ncbi.nlm.nih.gov/pubmed/16141012","PubMed")</f>
        <v>PubMed</v>
      </c>
      <c r="V5963" s="50"/>
      <c r="W5963" s="49"/>
      <c r="X5963" s="49"/>
      <c r="Y5963" s="35"/>
      <c r="Z5963" s="35"/>
      <c r="AA5963" s="35"/>
      <c r="AB5963" s="35"/>
      <c r="AC5963" s="35"/>
      <c r="AD5963" s="35"/>
      <c r="AE5963" s="35"/>
      <c r="AF5963" s="35"/>
      <c r="AG5963" s="35"/>
      <c r="AH5963" s="35"/>
      <c r="AI5963" s="35"/>
      <c r="AJ5963" s="35"/>
      <c r="AK5963" s="35"/>
      <c r="AL5963" s="35"/>
    </row>
    <row r="5964">
      <c r="A5964" s="1"/>
      <c r="B5964" s="19" t="s">
        <v>7020</v>
      </c>
      <c r="C5964" s="20" t="s">
        <v>28079</v>
      </c>
      <c r="D5964" s="47"/>
      <c r="E5964" s="22" t="s">
        <v>19476</v>
      </c>
      <c r="F5964" s="22" t="s">
        <v>19477</v>
      </c>
      <c r="G5964" s="23">
        <v>2021.0</v>
      </c>
      <c r="H5964" s="22" t="s">
        <v>77</v>
      </c>
      <c r="I5964" s="24" t="s">
        <v>28080</v>
      </c>
      <c r="J5964" s="22" t="s">
        <v>28081</v>
      </c>
      <c r="K5964" s="22"/>
      <c r="L5964" s="52">
        <v>850.0</v>
      </c>
      <c r="M5964" s="52"/>
      <c r="N5964" s="52">
        <v>1.0</v>
      </c>
      <c r="O5964" s="52"/>
      <c r="P5964" s="189" t="s">
        <v>480</v>
      </c>
      <c r="Q5964" s="52" t="s">
        <v>28082</v>
      </c>
      <c r="R5964" s="52">
        <v>30.0</v>
      </c>
      <c r="S5964" s="52" t="s">
        <v>28083</v>
      </c>
      <c r="T5964" s="41" t="s">
        <v>28084</v>
      </c>
      <c r="U5964" s="29" t="s">
        <v>61</v>
      </c>
      <c r="V5964" s="30" t="s">
        <v>28085</v>
      </c>
      <c r="W5964" s="49"/>
      <c r="X5964" s="49"/>
      <c r="Y5964" s="35"/>
      <c r="Z5964" s="35"/>
      <c r="AA5964" s="35"/>
      <c r="AB5964" s="35"/>
      <c r="AC5964" s="35"/>
      <c r="AD5964" s="35"/>
      <c r="AE5964" s="35"/>
      <c r="AF5964" s="35"/>
      <c r="AG5964" s="35"/>
      <c r="AH5964" s="35"/>
      <c r="AI5964" s="35"/>
      <c r="AJ5964" s="35"/>
      <c r="AK5964" s="35"/>
      <c r="AL5964" s="35"/>
    </row>
    <row r="5965">
      <c r="A5965" s="1"/>
      <c r="B5965" s="19" t="s">
        <v>7020</v>
      </c>
      <c r="C5965" s="20" t="s">
        <v>28086</v>
      </c>
      <c r="D5965" s="47"/>
      <c r="E5965" s="22" t="s">
        <v>493</v>
      </c>
      <c r="F5965" s="22" t="s">
        <v>2492</v>
      </c>
      <c r="G5965" s="23">
        <v>1996.0</v>
      </c>
      <c r="H5965" s="22" t="s">
        <v>28087</v>
      </c>
      <c r="I5965" s="24" t="s">
        <v>28088</v>
      </c>
      <c r="J5965" s="22" t="s">
        <v>28089</v>
      </c>
      <c r="K5965" s="22"/>
      <c r="L5965" s="173" t="s">
        <v>28090</v>
      </c>
      <c r="U5965" s="38" t="str">
        <f>HYPERLINK("https://www.ncbi.nlm.nih.gov/pubmed/8969610","PubMed")</f>
        <v>PubMed</v>
      </c>
      <c r="V5965" s="50"/>
      <c r="W5965" s="49"/>
      <c r="X5965" s="49"/>
      <c r="Y5965" s="35"/>
      <c r="Z5965" s="35"/>
      <c r="AA5965" s="35"/>
      <c r="AB5965" s="35"/>
      <c r="AC5965" s="35"/>
      <c r="AD5965" s="35"/>
      <c r="AE5965" s="35"/>
      <c r="AF5965" s="35"/>
      <c r="AG5965" s="35"/>
      <c r="AH5965" s="35"/>
      <c r="AI5965" s="35"/>
      <c r="AJ5965" s="35"/>
      <c r="AK5965" s="35"/>
      <c r="AL5965" s="35"/>
    </row>
    <row r="5966">
      <c r="A5966" s="1"/>
      <c r="B5966" s="19" t="s">
        <v>7020</v>
      </c>
      <c r="C5966" s="20" t="s">
        <v>28091</v>
      </c>
      <c r="D5966" s="47"/>
      <c r="E5966" s="22" t="s">
        <v>28092</v>
      </c>
      <c r="F5966" s="22" t="s">
        <v>9449</v>
      </c>
      <c r="G5966" s="23">
        <v>2024.0</v>
      </c>
      <c r="H5966" s="22" t="s">
        <v>53</v>
      </c>
      <c r="I5966" s="24" t="s">
        <v>28093</v>
      </c>
      <c r="J5966" s="22" t="s">
        <v>55</v>
      </c>
      <c r="K5966" s="22"/>
      <c r="L5966" s="52">
        <v>808.0</v>
      </c>
      <c r="M5966" s="136"/>
      <c r="N5966" s="136"/>
      <c r="O5966" s="136"/>
      <c r="P5966" s="136"/>
      <c r="Q5966" s="52" t="s">
        <v>28094</v>
      </c>
      <c r="R5966" s="136"/>
      <c r="S5966" s="136"/>
      <c r="T5966" s="54" t="s">
        <v>28095</v>
      </c>
      <c r="U5966" s="38" t="s">
        <v>61</v>
      </c>
      <c r="V5966" s="30"/>
      <c r="W5966" s="49"/>
      <c r="X5966" s="49"/>
      <c r="Y5966" s="35"/>
      <c r="Z5966" s="35"/>
      <c r="AA5966" s="35"/>
      <c r="AB5966" s="35"/>
      <c r="AC5966" s="35"/>
      <c r="AD5966" s="35"/>
      <c r="AE5966" s="35"/>
      <c r="AF5966" s="35"/>
      <c r="AG5966" s="35"/>
      <c r="AH5966" s="35"/>
      <c r="AI5966" s="35"/>
      <c r="AJ5966" s="35"/>
      <c r="AK5966" s="35"/>
      <c r="AL5966" s="35"/>
    </row>
    <row r="5967">
      <c r="A5967" s="1"/>
      <c r="B5967" s="19" t="s">
        <v>7020</v>
      </c>
      <c r="C5967" s="20" t="s">
        <v>28091</v>
      </c>
      <c r="D5967" s="47"/>
      <c r="E5967" s="22" t="s">
        <v>28096</v>
      </c>
      <c r="F5967" s="22" t="s">
        <v>2808</v>
      </c>
      <c r="G5967" s="23">
        <v>2022.0</v>
      </c>
      <c r="H5967" s="22" t="s">
        <v>6911</v>
      </c>
      <c r="I5967" s="24" t="s">
        <v>28097</v>
      </c>
      <c r="J5967" s="22" t="s">
        <v>2141</v>
      </c>
      <c r="K5967" s="22"/>
      <c r="L5967" s="197" t="s">
        <v>3031</v>
      </c>
      <c r="M5967" s="214"/>
      <c r="N5967" s="214"/>
      <c r="O5967" s="214"/>
      <c r="P5967" s="214"/>
      <c r="Q5967" s="214"/>
      <c r="R5967" s="214"/>
      <c r="S5967" s="214"/>
      <c r="T5967" s="214" t="s">
        <v>28098</v>
      </c>
      <c r="U5967" s="29" t="s">
        <v>61</v>
      </c>
      <c r="V5967" s="30" t="s">
        <v>28099</v>
      </c>
      <c r="W5967" s="49"/>
      <c r="X5967" s="49"/>
      <c r="Y5967" s="35"/>
      <c r="Z5967" s="35"/>
      <c r="AA5967" s="35"/>
      <c r="AB5967" s="35"/>
      <c r="AC5967" s="35"/>
      <c r="AD5967" s="35"/>
      <c r="AE5967" s="35"/>
      <c r="AF5967" s="35"/>
      <c r="AG5967" s="35"/>
      <c r="AH5967" s="35"/>
      <c r="AI5967" s="35"/>
      <c r="AJ5967" s="35"/>
      <c r="AK5967" s="35"/>
      <c r="AL5967" s="35"/>
    </row>
    <row r="5968">
      <c r="A5968" s="1"/>
      <c r="B5968" s="19" t="s">
        <v>7020</v>
      </c>
      <c r="C5968" s="20" t="s">
        <v>28100</v>
      </c>
      <c r="D5968" s="47"/>
      <c r="E5968" s="22" t="s">
        <v>28101</v>
      </c>
      <c r="F5968" s="22" t="s">
        <v>366</v>
      </c>
      <c r="G5968" s="23">
        <v>2022.0</v>
      </c>
      <c r="H5968" s="22" t="s">
        <v>91</v>
      </c>
      <c r="I5968" s="24" t="s">
        <v>28102</v>
      </c>
      <c r="J5968" s="22" t="s">
        <v>28103</v>
      </c>
      <c r="K5968" s="22" t="s">
        <v>56</v>
      </c>
      <c r="L5968" s="52" t="s">
        <v>3447</v>
      </c>
      <c r="M5968" s="52" t="s">
        <v>58</v>
      </c>
      <c r="N5968" s="200">
        <v>45017.0</v>
      </c>
      <c r="O5968" s="52" t="s">
        <v>58</v>
      </c>
      <c r="P5968" s="189" t="s">
        <v>58</v>
      </c>
      <c r="Q5968" s="52" t="s">
        <v>28104</v>
      </c>
      <c r="R5968" s="52" t="s">
        <v>28105</v>
      </c>
      <c r="S5968" s="52">
        <v>1.0</v>
      </c>
      <c r="T5968" s="54" t="s">
        <v>28106</v>
      </c>
      <c r="U5968" s="38" t="s">
        <v>61</v>
      </c>
      <c r="V5968" s="30" t="s">
        <v>28107</v>
      </c>
      <c r="W5968" s="49"/>
      <c r="X5968" s="49"/>
      <c r="Y5968" s="35"/>
      <c r="Z5968" s="35"/>
      <c r="AA5968" s="35"/>
      <c r="AB5968" s="35"/>
      <c r="AC5968" s="35"/>
      <c r="AD5968" s="35"/>
      <c r="AE5968" s="35"/>
      <c r="AF5968" s="35"/>
      <c r="AG5968" s="35"/>
      <c r="AH5968" s="35"/>
      <c r="AI5968" s="35"/>
      <c r="AJ5968" s="35"/>
      <c r="AK5968" s="35"/>
      <c r="AL5968" s="35"/>
    </row>
    <row r="5969">
      <c r="A5969" s="1"/>
      <c r="B5969" s="19" t="s">
        <v>7020</v>
      </c>
      <c r="C5969" s="20" t="s">
        <v>28108</v>
      </c>
      <c r="D5969" s="47"/>
      <c r="E5969" s="22" t="s">
        <v>28109</v>
      </c>
      <c r="F5969" s="22" t="s">
        <v>14931</v>
      </c>
      <c r="G5969" s="23">
        <v>2021.0</v>
      </c>
      <c r="H5969" s="22" t="s">
        <v>28110</v>
      </c>
      <c r="I5969" s="24" t="s">
        <v>28111</v>
      </c>
      <c r="J5969" s="22" t="s">
        <v>44</v>
      </c>
      <c r="K5969" s="22"/>
      <c r="L5969" s="52">
        <v>830.0</v>
      </c>
      <c r="M5969" s="136"/>
      <c r="N5969" s="136"/>
      <c r="O5969" s="136"/>
      <c r="P5969" s="136"/>
      <c r="Q5969" s="136"/>
      <c r="R5969" s="136"/>
      <c r="S5969" s="136"/>
      <c r="T5969" s="54" t="s">
        <v>28112</v>
      </c>
      <c r="U5969" s="29" t="s">
        <v>61</v>
      </c>
      <c r="V5969" s="50"/>
      <c r="W5969" s="49"/>
      <c r="X5969" s="49"/>
      <c r="Y5969" s="35"/>
      <c r="Z5969" s="35"/>
      <c r="AA5969" s="35"/>
      <c r="AB5969" s="35"/>
      <c r="AC5969" s="35"/>
      <c r="AD5969" s="35"/>
      <c r="AE5969" s="35"/>
      <c r="AF5969" s="35"/>
      <c r="AG5969" s="35"/>
      <c r="AH5969" s="35"/>
      <c r="AI5969" s="35"/>
      <c r="AJ5969" s="35"/>
      <c r="AK5969" s="35"/>
      <c r="AL5969" s="35"/>
    </row>
    <row r="5970">
      <c r="A5970" s="1"/>
      <c r="B5970" s="19" t="s">
        <v>7020</v>
      </c>
      <c r="C5970" s="20" t="s">
        <v>28113</v>
      </c>
      <c r="D5970" s="47"/>
      <c r="E5970" s="22" t="s">
        <v>28092</v>
      </c>
      <c r="F5970" s="22" t="s">
        <v>9449</v>
      </c>
      <c r="G5970" s="23">
        <v>2024.0</v>
      </c>
      <c r="H5970" s="22" t="s">
        <v>207</v>
      </c>
      <c r="I5970" s="24" t="s">
        <v>28114</v>
      </c>
      <c r="J5970" s="22" t="s">
        <v>28115</v>
      </c>
      <c r="K5970" s="22"/>
      <c r="L5970" s="214" t="s">
        <v>28116</v>
      </c>
      <c r="U5970" s="38" t="s">
        <v>61</v>
      </c>
      <c r="V5970" s="50"/>
      <c r="W5970" s="49"/>
      <c r="X5970" s="49"/>
      <c r="Y5970" s="35"/>
      <c r="Z5970" s="35"/>
      <c r="AA5970" s="35"/>
      <c r="AB5970" s="35"/>
      <c r="AC5970" s="35"/>
      <c r="AD5970" s="35"/>
      <c r="AE5970" s="35"/>
      <c r="AF5970" s="35"/>
      <c r="AG5970" s="35"/>
      <c r="AH5970" s="35"/>
      <c r="AI5970" s="35"/>
      <c r="AJ5970" s="35"/>
      <c r="AK5970" s="35"/>
      <c r="AL5970" s="35"/>
    </row>
    <row r="5971">
      <c r="A5971" s="1"/>
      <c r="B5971" s="19" t="s">
        <v>7020</v>
      </c>
      <c r="C5971" s="20" t="s">
        <v>197</v>
      </c>
      <c r="D5971" s="47"/>
      <c r="E5971" s="22" t="s">
        <v>20729</v>
      </c>
      <c r="F5971" s="22" t="s">
        <v>12965</v>
      </c>
      <c r="G5971" s="23">
        <v>2019.0</v>
      </c>
      <c r="H5971" s="22" t="s">
        <v>77</v>
      </c>
      <c r="I5971" s="24" t="s">
        <v>28117</v>
      </c>
      <c r="J5971" s="22" t="s">
        <v>3289</v>
      </c>
      <c r="K5971" s="22"/>
      <c r="L5971" s="173" t="s">
        <v>28118</v>
      </c>
      <c r="U5971" s="38" t="str">
        <f>HYPERLINK("https://www.ncbi.nlm.nih.gov/pubmed/31502922","PubMed")</f>
        <v>PubMed</v>
      </c>
      <c r="V5971" s="50"/>
      <c r="W5971" s="49"/>
      <c r="X5971" s="49"/>
      <c r="Y5971" s="35"/>
      <c r="Z5971" s="35"/>
      <c r="AA5971" s="35"/>
      <c r="AB5971" s="35"/>
      <c r="AC5971" s="35"/>
      <c r="AD5971" s="35"/>
      <c r="AE5971" s="35"/>
      <c r="AF5971" s="35"/>
      <c r="AG5971" s="35"/>
      <c r="AH5971" s="35"/>
      <c r="AI5971" s="35"/>
      <c r="AJ5971" s="35"/>
      <c r="AK5971" s="35"/>
      <c r="AL5971" s="35"/>
    </row>
    <row r="5972">
      <c r="A5972" s="1"/>
      <c r="B5972" s="75" t="s">
        <v>7020</v>
      </c>
      <c r="C5972" s="77" t="s">
        <v>28119</v>
      </c>
      <c r="D5972" s="47"/>
      <c r="E5972" s="22" t="s">
        <v>13241</v>
      </c>
      <c r="F5972" s="22" t="s">
        <v>530</v>
      </c>
      <c r="G5972" s="23">
        <v>2024.0</v>
      </c>
      <c r="H5972" s="22" t="s">
        <v>91</v>
      </c>
      <c r="I5972" s="24" t="s">
        <v>28120</v>
      </c>
      <c r="J5972" s="22" t="s">
        <v>28121</v>
      </c>
      <c r="K5972" s="22"/>
      <c r="L5972" s="52">
        <v>808.0</v>
      </c>
      <c r="M5972" s="52"/>
      <c r="N5972" s="189"/>
      <c r="O5972" s="52"/>
      <c r="P5972" s="189"/>
      <c r="Q5972" s="52"/>
      <c r="R5972" s="52"/>
      <c r="S5972" s="52" t="s">
        <v>8494</v>
      </c>
      <c r="T5972" s="28" t="s">
        <v>28122</v>
      </c>
      <c r="U5972" s="38" t="s">
        <v>61</v>
      </c>
      <c r="V5972" s="30"/>
      <c r="W5972" s="49"/>
      <c r="X5972" s="49"/>
      <c r="Y5972" s="35"/>
      <c r="Z5972" s="35"/>
      <c r="AA5972" s="35"/>
      <c r="AB5972" s="35"/>
      <c r="AC5972" s="35"/>
      <c r="AD5972" s="35"/>
      <c r="AE5972" s="35"/>
      <c r="AF5972" s="35"/>
      <c r="AG5972" s="35"/>
      <c r="AH5972" s="35"/>
      <c r="AI5972" s="35"/>
      <c r="AJ5972" s="35"/>
      <c r="AK5972" s="35"/>
      <c r="AL5972" s="35"/>
    </row>
    <row r="5973">
      <c r="A5973" s="1"/>
      <c r="B5973" s="75" t="s">
        <v>7020</v>
      </c>
      <c r="C5973" s="77" t="s">
        <v>28119</v>
      </c>
      <c r="D5973" s="47"/>
      <c r="E5973" s="22" t="s">
        <v>28096</v>
      </c>
      <c r="F5973" s="22" t="s">
        <v>2808</v>
      </c>
      <c r="G5973" s="23">
        <v>2024.0</v>
      </c>
      <c r="H5973" s="22" t="s">
        <v>191</v>
      </c>
      <c r="I5973" s="24" t="s">
        <v>28123</v>
      </c>
      <c r="J5973" s="22" t="s">
        <v>28124</v>
      </c>
      <c r="K5973" s="22"/>
      <c r="L5973" s="52"/>
      <c r="M5973" s="52"/>
      <c r="N5973" s="189"/>
      <c r="O5973" s="52"/>
      <c r="P5973" s="189"/>
      <c r="Q5973" s="52"/>
      <c r="R5973" s="52"/>
      <c r="S5973" s="52"/>
      <c r="T5973" s="28" t="s">
        <v>28125</v>
      </c>
      <c r="U5973" s="38" t="s">
        <v>61</v>
      </c>
      <c r="V5973" s="30"/>
      <c r="W5973" s="49"/>
      <c r="X5973" s="49"/>
      <c r="Y5973" s="35"/>
      <c r="Z5973" s="35"/>
      <c r="AA5973" s="35"/>
      <c r="AB5973" s="35"/>
      <c r="AC5973" s="35"/>
      <c r="AD5973" s="35"/>
      <c r="AE5973" s="35"/>
      <c r="AF5973" s="35"/>
      <c r="AG5973" s="35"/>
      <c r="AH5973" s="35"/>
      <c r="AI5973" s="35"/>
      <c r="AJ5973" s="35"/>
      <c r="AK5973" s="35"/>
      <c r="AL5973" s="35"/>
    </row>
    <row r="5974">
      <c r="A5974" s="1"/>
      <c r="B5974" s="75" t="s">
        <v>7020</v>
      </c>
      <c r="C5974" s="77" t="s">
        <v>28119</v>
      </c>
      <c r="D5974" s="47"/>
      <c r="E5974" s="22" t="s">
        <v>999</v>
      </c>
      <c r="F5974" s="22" t="s">
        <v>41</v>
      </c>
      <c r="G5974" s="23">
        <v>2023.0</v>
      </c>
      <c r="H5974" s="22" t="s">
        <v>4740</v>
      </c>
      <c r="I5974" s="24" t="s">
        <v>28126</v>
      </c>
      <c r="J5974" s="22" t="s">
        <v>28127</v>
      </c>
      <c r="K5974" s="22" t="s">
        <v>2512</v>
      </c>
      <c r="L5974" s="52" t="s">
        <v>28128</v>
      </c>
      <c r="M5974" s="52" t="s">
        <v>28129</v>
      </c>
      <c r="N5974" s="189" t="s">
        <v>4694</v>
      </c>
      <c r="O5974" s="52" t="s">
        <v>28130</v>
      </c>
      <c r="P5974" s="189" t="s">
        <v>4694</v>
      </c>
      <c r="Q5974" s="52" t="s">
        <v>28131</v>
      </c>
      <c r="R5974" s="52" t="s">
        <v>28132</v>
      </c>
      <c r="S5974" s="52" t="s">
        <v>8476</v>
      </c>
      <c r="T5974" s="28" t="s">
        <v>28133</v>
      </c>
      <c r="U5974" s="38" t="s">
        <v>61</v>
      </c>
      <c r="V5974" s="30" t="s">
        <v>28134</v>
      </c>
      <c r="W5974" s="49"/>
      <c r="X5974" s="49"/>
      <c r="Y5974" s="35"/>
      <c r="Z5974" s="35"/>
      <c r="AA5974" s="35"/>
      <c r="AB5974" s="35"/>
      <c r="AC5974" s="35"/>
      <c r="AD5974" s="35"/>
      <c r="AE5974" s="35"/>
      <c r="AF5974" s="35"/>
      <c r="AG5974" s="35"/>
      <c r="AH5974" s="35"/>
      <c r="AI5974" s="35"/>
      <c r="AJ5974" s="35"/>
      <c r="AK5974" s="35"/>
      <c r="AL5974" s="35"/>
    </row>
    <row r="5975">
      <c r="A5975" s="1"/>
      <c r="B5975" s="75" t="s">
        <v>7020</v>
      </c>
      <c r="C5975" s="77" t="s">
        <v>28119</v>
      </c>
      <c r="D5975" s="47"/>
      <c r="E5975" s="22" t="s">
        <v>28096</v>
      </c>
      <c r="F5975" s="22" t="s">
        <v>2808</v>
      </c>
      <c r="G5975" s="23">
        <v>2023.0</v>
      </c>
      <c r="H5975" s="22" t="s">
        <v>28135</v>
      </c>
      <c r="I5975" s="24" t="s">
        <v>28136</v>
      </c>
      <c r="J5975" s="22" t="s">
        <v>28137</v>
      </c>
      <c r="K5975" s="22" t="s">
        <v>28138</v>
      </c>
      <c r="L5975" s="52" t="s">
        <v>3031</v>
      </c>
      <c r="M5975" s="52">
        <v>694000.0</v>
      </c>
      <c r="N5975" s="52" t="s">
        <v>3855</v>
      </c>
      <c r="O5975" s="52" t="s">
        <v>58</v>
      </c>
      <c r="P5975" s="189" t="s">
        <v>6503</v>
      </c>
      <c r="Q5975" s="52" t="s">
        <v>28139</v>
      </c>
      <c r="R5975" s="52">
        <v>1200.0</v>
      </c>
      <c r="S5975" s="52" t="s">
        <v>3280</v>
      </c>
      <c r="T5975" s="28" t="s">
        <v>28140</v>
      </c>
      <c r="U5975" s="38" t="s">
        <v>61</v>
      </c>
      <c r="V5975" s="30" t="s">
        <v>28141</v>
      </c>
      <c r="W5975" s="49"/>
      <c r="X5975" s="49"/>
      <c r="Y5975" s="35"/>
      <c r="Z5975" s="35"/>
      <c r="AA5975" s="35"/>
      <c r="AB5975" s="35"/>
      <c r="AC5975" s="35"/>
      <c r="AD5975" s="35"/>
      <c r="AE5975" s="35"/>
      <c r="AF5975" s="35"/>
      <c r="AG5975" s="35"/>
      <c r="AH5975" s="35"/>
      <c r="AI5975" s="35"/>
      <c r="AJ5975" s="35"/>
      <c r="AK5975" s="35"/>
      <c r="AL5975" s="35"/>
    </row>
    <row r="5976">
      <c r="A5976" s="1"/>
      <c r="B5976" s="75" t="s">
        <v>7020</v>
      </c>
      <c r="C5976" s="77" t="s">
        <v>28119</v>
      </c>
      <c r="D5976" s="47"/>
      <c r="E5976" s="22" t="s">
        <v>28142</v>
      </c>
      <c r="F5976" s="22" t="s">
        <v>28143</v>
      </c>
      <c r="G5976" s="23">
        <v>2023.0</v>
      </c>
      <c r="H5976" s="22" t="s">
        <v>3963</v>
      </c>
      <c r="I5976" s="24" t="s">
        <v>28144</v>
      </c>
      <c r="J5976" s="22" t="s">
        <v>28145</v>
      </c>
      <c r="K5976" s="22" t="s">
        <v>28146</v>
      </c>
      <c r="L5976" s="52" t="s">
        <v>58</v>
      </c>
      <c r="M5976" s="52" t="s">
        <v>58</v>
      </c>
      <c r="N5976" s="52" t="s">
        <v>28147</v>
      </c>
      <c r="O5976" s="52"/>
      <c r="P5976" s="189"/>
      <c r="Q5976" s="200"/>
      <c r="R5976" s="52">
        <v>3600.0</v>
      </c>
      <c r="S5976" s="52" t="s">
        <v>4387</v>
      </c>
      <c r="T5976" s="28" t="s">
        <v>28148</v>
      </c>
      <c r="U5976" s="38" t="s">
        <v>61</v>
      </c>
      <c r="V5976" s="30" t="s">
        <v>28149</v>
      </c>
      <c r="W5976" s="49"/>
      <c r="X5976" s="49"/>
      <c r="Y5976" s="35"/>
      <c r="Z5976" s="35"/>
      <c r="AA5976" s="35"/>
      <c r="AB5976" s="35"/>
      <c r="AC5976" s="35"/>
      <c r="AD5976" s="35"/>
      <c r="AE5976" s="35"/>
      <c r="AF5976" s="35"/>
      <c r="AG5976" s="35"/>
      <c r="AH5976" s="35"/>
      <c r="AI5976" s="35"/>
      <c r="AJ5976" s="35"/>
      <c r="AK5976" s="35"/>
      <c r="AL5976" s="35"/>
    </row>
    <row r="5977">
      <c r="A5977" s="1"/>
      <c r="B5977" s="19" t="s">
        <v>7020</v>
      </c>
      <c r="C5977" s="20" t="s">
        <v>28119</v>
      </c>
      <c r="D5977" s="47"/>
      <c r="E5977" s="22" t="s">
        <v>28150</v>
      </c>
      <c r="F5977" s="22" t="s">
        <v>16323</v>
      </c>
      <c r="G5977" s="23">
        <v>2022.0</v>
      </c>
      <c r="H5977" s="22" t="s">
        <v>28151</v>
      </c>
      <c r="I5977" s="24" t="s">
        <v>28152</v>
      </c>
      <c r="J5977" s="22" t="s">
        <v>28153</v>
      </c>
      <c r="K5977" s="22" t="s">
        <v>28154</v>
      </c>
      <c r="L5977" s="52" t="s">
        <v>3031</v>
      </c>
      <c r="M5977" s="52" t="s">
        <v>28155</v>
      </c>
      <c r="N5977" s="52" t="s">
        <v>3855</v>
      </c>
      <c r="O5977" s="52"/>
      <c r="P5977" s="189"/>
      <c r="Q5977" s="200">
        <v>44617.0</v>
      </c>
      <c r="R5977" s="52"/>
      <c r="S5977" s="52" t="s">
        <v>4905</v>
      </c>
      <c r="T5977" s="28" t="s">
        <v>28156</v>
      </c>
      <c r="U5977" s="38" t="s">
        <v>61</v>
      </c>
      <c r="V5977" s="30" t="s">
        <v>28099</v>
      </c>
      <c r="W5977" s="49"/>
      <c r="X5977" s="49"/>
      <c r="Y5977" s="35"/>
      <c r="Z5977" s="35"/>
      <c r="AA5977" s="35"/>
      <c r="AB5977" s="35"/>
      <c r="AC5977" s="35"/>
      <c r="AD5977" s="35"/>
      <c r="AE5977" s="35"/>
      <c r="AF5977" s="35"/>
      <c r="AG5977" s="35"/>
      <c r="AH5977" s="35"/>
      <c r="AI5977" s="35"/>
      <c r="AJ5977" s="35"/>
      <c r="AK5977" s="35"/>
      <c r="AL5977" s="35"/>
    </row>
    <row r="5978">
      <c r="A5978" s="1"/>
      <c r="B5978" s="19" t="s">
        <v>7020</v>
      </c>
      <c r="C5978" s="20" t="s">
        <v>28119</v>
      </c>
      <c r="D5978" s="47"/>
      <c r="E5978" s="22" t="s">
        <v>28150</v>
      </c>
      <c r="F5978" s="22" t="s">
        <v>16323</v>
      </c>
      <c r="G5978" s="23">
        <v>2022.0</v>
      </c>
      <c r="H5978" s="22" t="s">
        <v>191</v>
      </c>
      <c r="I5978" s="24" t="s">
        <v>28157</v>
      </c>
      <c r="J5978" s="22" t="s">
        <v>28158</v>
      </c>
      <c r="K5978" s="22" t="s">
        <v>28154</v>
      </c>
      <c r="L5978" s="52" t="s">
        <v>3031</v>
      </c>
      <c r="M5978" s="52" t="s">
        <v>28155</v>
      </c>
      <c r="N5978" s="52" t="s">
        <v>3855</v>
      </c>
      <c r="O5978" s="52"/>
      <c r="P5978" s="189"/>
      <c r="Q5978" s="200">
        <v>44617.0</v>
      </c>
      <c r="R5978" s="52"/>
      <c r="S5978" s="52" t="s">
        <v>4905</v>
      </c>
      <c r="T5978" s="42" t="s">
        <v>28159</v>
      </c>
      <c r="U5978" s="38" t="s">
        <v>61</v>
      </c>
      <c r="V5978" s="30" t="s">
        <v>28099</v>
      </c>
      <c r="W5978" s="49"/>
      <c r="X5978" s="49"/>
      <c r="Y5978" s="35"/>
      <c r="Z5978" s="35"/>
      <c r="AA5978" s="35"/>
      <c r="AB5978" s="35"/>
      <c r="AC5978" s="35"/>
      <c r="AD5978" s="35"/>
      <c r="AE5978" s="35"/>
      <c r="AF5978" s="35"/>
      <c r="AG5978" s="35"/>
      <c r="AH5978" s="35"/>
      <c r="AI5978" s="35"/>
      <c r="AJ5978" s="35"/>
      <c r="AK5978" s="35"/>
      <c r="AL5978" s="35"/>
    </row>
    <row r="5979">
      <c r="A5979" s="1"/>
      <c r="B5979" s="19" t="s">
        <v>7020</v>
      </c>
      <c r="C5979" s="20" t="s">
        <v>28119</v>
      </c>
      <c r="D5979" s="47"/>
      <c r="E5979" s="22" t="s">
        <v>28150</v>
      </c>
      <c r="F5979" s="22" t="s">
        <v>16323</v>
      </c>
      <c r="G5979" s="23">
        <v>2022.0</v>
      </c>
      <c r="H5979" s="22" t="s">
        <v>28160</v>
      </c>
      <c r="I5979" s="24" t="s">
        <v>28161</v>
      </c>
      <c r="J5979" s="22" t="s">
        <v>2141</v>
      </c>
      <c r="K5979" s="22"/>
      <c r="L5979" s="396"/>
      <c r="M5979" s="396"/>
      <c r="N5979" s="396"/>
      <c r="O5979" s="396"/>
      <c r="P5979" s="396"/>
      <c r="Q5979" s="396"/>
      <c r="R5979" s="396"/>
      <c r="S5979" s="396"/>
      <c r="T5979" s="397" t="s">
        <v>28162</v>
      </c>
      <c r="U5979" s="29" t="s">
        <v>61</v>
      </c>
      <c r="V5979" s="30" t="s">
        <v>28099</v>
      </c>
      <c r="W5979" s="49"/>
      <c r="X5979" s="49"/>
      <c r="Y5979" s="35"/>
      <c r="Z5979" s="35"/>
      <c r="AA5979" s="35"/>
      <c r="AB5979" s="35"/>
      <c r="AC5979" s="35"/>
      <c r="AD5979" s="35"/>
      <c r="AE5979" s="35"/>
      <c r="AF5979" s="35"/>
      <c r="AG5979" s="35"/>
      <c r="AH5979" s="35"/>
      <c r="AI5979" s="35"/>
      <c r="AJ5979" s="35"/>
      <c r="AK5979" s="35"/>
      <c r="AL5979" s="35"/>
    </row>
    <row r="5980">
      <c r="A5980" s="1"/>
      <c r="B5980" s="19" t="s">
        <v>7020</v>
      </c>
      <c r="C5980" s="20" t="s">
        <v>28119</v>
      </c>
      <c r="D5980" s="47"/>
      <c r="E5980" s="22" t="s">
        <v>28163</v>
      </c>
      <c r="F5980" s="22" t="s">
        <v>28164</v>
      </c>
      <c r="G5980" s="23">
        <v>2019.0</v>
      </c>
      <c r="H5980" s="22" t="s">
        <v>147</v>
      </c>
      <c r="I5980" s="24" t="s">
        <v>28165</v>
      </c>
      <c r="J5980" s="22" t="s">
        <v>125</v>
      </c>
      <c r="K5980" s="22"/>
      <c r="L5980" s="202" t="s">
        <v>28166</v>
      </c>
      <c r="U5980" s="38" t="str">
        <f>HYPERLINK("https://www.ncbi.nlm.nih.gov/pubmed/31360363","PubMed")</f>
        <v>PubMed</v>
      </c>
      <c r="V5980" s="50"/>
      <c r="W5980" s="49"/>
      <c r="X5980" s="49"/>
      <c r="Y5980" s="35"/>
      <c r="Z5980" s="35"/>
      <c r="AA5980" s="35"/>
      <c r="AB5980" s="35"/>
      <c r="AC5980" s="35"/>
      <c r="AD5980" s="35"/>
      <c r="AE5980" s="35"/>
      <c r="AF5980" s="35"/>
      <c r="AG5980" s="35"/>
      <c r="AH5980" s="35"/>
      <c r="AI5980" s="35"/>
      <c r="AJ5980" s="35"/>
      <c r="AK5980" s="35"/>
      <c r="AL5980" s="35"/>
    </row>
    <row r="5981">
      <c r="A5981" s="1"/>
      <c r="B5981" s="19" t="s">
        <v>7020</v>
      </c>
      <c r="C5981" s="20" t="s">
        <v>28119</v>
      </c>
      <c r="D5981" s="47"/>
      <c r="E5981" s="22" t="s">
        <v>2850</v>
      </c>
      <c r="F5981" s="22" t="s">
        <v>19727</v>
      </c>
      <c r="G5981" s="23">
        <v>2019.0</v>
      </c>
      <c r="H5981" s="22" t="s">
        <v>91</v>
      </c>
      <c r="I5981" s="24" t="s">
        <v>28167</v>
      </c>
      <c r="J5981" s="22" t="s">
        <v>28168</v>
      </c>
      <c r="K5981" s="22" t="s">
        <v>28169</v>
      </c>
      <c r="L5981" s="52">
        <v>840.0</v>
      </c>
      <c r="M5981" s="52">
        <v>30.0</v>
      </c>
      <c r="N5981" s="52" t="s">
        <v>58</v>
      </c>
      <c r="O5981" s="52" t="s">
        <v>1990</v>
      </c>
      <c r="P5981" s="189" t="s">
        <v>58</v>
      </c>
      <c r="Q5981" s="52" t="s">
        <v>58</v>
      </c>
      <c r="R5981" s="52" t="s">
        <v>28170</v>
      </c>
      <c r="S5981" s="52">
        <v>1.0</v>
      </c>
      <c r="T5981" s="41" t="s">
        <v>28171</v>
      </c>
      <c r="U5981" s="38" t="str">
        <f>HYPERLINK("https://www.ncbi.nlm.nih.gov/pubmed/31165945","PubMed")</f>
        <v>PubMed</v>
      </c>
      <c r="V5981" s="30" t="s">
        <v>28172</v>
      </c>
      <c r="W5981" s="49"/>
      <c r="X5981" s="49"/>
      <c r="Y5981" s="35"/>
      <c r="Z5981" s="35"/>
      <c r="AA5981" s="35"/>
      <c r="AB5981" s="35"/>
      <c r="AC5981" s="35"/>
      <c r="AD5981" s="35"/>
      <c r="AE5981" s="35"/>
      <c r="AF5981" s="35"/>
      <c r="AG5981" s="35"/>
      <c r="AH5981" s="35"/>
      <c r="AI5981" s="35"/>
      <c r="AJ5981" s="35"/>
      <c r="AK5981" s="35"/>
      <c r="AL5981" s="35"/>
    </row>
    <row r="5982">
      <c r="A5982" s="1"/>
      <c r="B5982" s="19" t="s">
        <v>7020</v>
      </c>
      <c r="C5982" s="20" t="s">
        <v>28119</v>
      </c>
      <c r="D5982" s="47"/>
      <c r="E5982" s="22" t="s">
        <v>5255</v>
      </c>
      <c r="F5982" s="22" t="s">
        <v>206</v>
      </c>
      <c r="G5982" s="23">
        <v>2019.0</v>
      </c>
      <c r="H5982" s="22" t="s">
        <v>18625</v>
      </c>
      <c r="I5982" s="24" t="s">
        <v>28173</v>
      </c>
      <c r="J5982" s="22" t="s">
        <v>125</v>
      </c>
      <c r="K5982" s="22"/>
      <c r="L5982" s="102" t="s">
        <v>28174</v>
      </c>
      <c r="U5982" s="38" t="str">
        <f>HYPERLINK("https://www.ncbi.nlm.nih.gov/pubmed/31151332","PubMed")</f>
        <v>PubMed</v>
      </c>
      <c r="V5982" s="30"/>
      <c r="W5982" s="49"/>
      <c r="X5982" s="49"/>
      <c r="Y5982" s="35"/>
      <c r="Z5982" s="35"/>
      <c r="AA5982" s="35"/>
      <c r="AB5982" s="35"/>
      <c r="AC5982" s="35"/>
      <c r="AD5982" s="35"/>
      <c r="AE5982" s="35"/>
      <c r="AF5982" s="35"/>
      <c r="AG5982" s="35"/>
      <c r="AH5982" s="35"/>
      <c r="AI5982" s="35"/>
      <c r="AJ5982" s="35"/>
      <c r="AK5982" s="35"/>
      <c r="AL5982" s="35"/>
    </row>
    <row r="5983">
      <c r="A5983" s="1"/>
      <c r="B5983" s="19" t="s">
        <v>7020</v>
      </c>
      <c r="C5983" s="20" t="s">
        <v>28119</v>
      </c>
      <c r="D5983" s="47"/>
      <c r="E5983" s="22" t="s">
        <v>28175</v>
      </c>
      <c r="F5983" s="22" t="s">
        <v>28176</v>
      </c>
      <c r="G5983" s="23">
        <v>2018.0</v>
      </c>
      <c r="H5983" s="22" t="s">
        <v>13222</v>
      </c>
      <c r="I5983" s="24" t="s">
        <v>28177</v>
      </c>
      <c r="J5983" s="22" t="s">
        <v>1078</v>
      </c>
      <c r="K5983" s="22"/>
      <c r="L5983" s="173" t="s">
        <v>28178</v>
      </c>
      <c r="U5983" s="38" t="str">
        <f>HYPERLINK("https://www.ncbi.nlm.nih.gov/pmc/articles/PMC6191958/","PubMed")</f>
        <v>PubMed</v>
      </c>
      <c r="V5983" s="30"/>
      <c r="W5983" s="49"/>
      <c r="X5983" s="49"/>
      <c r="Y5983" s="35"/>
      <c r="Z5983" s="35"/>
      <c r="AA5983" s="35"/>
      <c r="AB5983" s="35"/>
      <c r="AC5983" s="35"/>
      <c r="AD5983" s="35"/>
      <c r="AE5983" s="35"/>
      <c r="AF5983" s="35"/>
      <c r="AG5983" s="35"/>
      <c r="AH5983" s="35"/>
      <c r="AI5983" s="35"/>
      <c r="AJ5983" s="35"/>
      <c r="AK5983" s="35"/>
      <c r="AL5983" s="35"/>
    </row>
    <row r="5984">
      <c r="A5984" s="1"/>
      <c r="B5984" s="19" t="s">
        <v>7020</v>
      </c>
      <c r="C5984" s="20" t="s">
        <v>28119</v>
      </c>
      <c r="D5984" s="47"/>
      <c r="E5984" s="22" t="s">
        <v>28179</v>
      </c>
      <c r="F5984" s="22" t="s">
        <v>720</v>
      </c>
      <c r="G5984" s="23">
        <v>2018.0</v>
      </c>
      <c r="H5984" s="22" t="s">
        <v>91</v>
      </c>
      <c r="I5984" s="24" t="s">
        <v>28180</v>
      </c>
      <c r="J5984" s="22" t="s">
        <v>28181</v>
      </c>
      <c r="K5984" s="22"/>
      <c r="L5984" s="36">
        <v>808.0</v>
      </c>
      <c r="M5984" s="36">
        <v>100.0</v>
      </c>
      <c r="N5984" s="36" t="s">
        <v>278</v>
      </c>
      <c r="O5984" s="36" t="s">
        <v>28182</v>
      </c>
      <c r="P5984" s="37" t="s">
        <v>28183</v>
      </c>
      <c r="Q5984" s="36" t="s">
        <v>13520</v>
      </c>
      <c r="R5984" s="36" t="s">
        <v>28184</v>
      </c>
      <c r="S5984" s="36" t="s">
        <v>6552</v>
      </c>
      <c r="T5984" s="42" t="s">
        <v>28185</v>
      </c>
      <c r="U5984" s="38" t="str">
        <f>HYPERLINK("https://www.ncbi.nlm.nih.gov/pubmed/29931588","PubMed")</f>
        <v>PubMed</v>
      </c>
      <c r="V5984" s="30"/>
      <c r="W5984" s="49"/>
      <c r="X5984" s="49"/>
      <c r="Y5984" s="35"/>
      <c r="Z5984" s="35"/>
      <c r="AA5984" s="35"/>
      <c r="AB5984" s="35"/>
      <c r="AC5984" s="35"/>
      <c r="AD5984" s="35"/>
      <c r="AE5984" s="35"/>
      <c r="AF5984" s="35"/>
      <c r="AG5984" s="35"/>
      <c r="AH5984" s="35"/>
      <c r="AI5984" s="35"/>
      <c r="AJ5984" s="35"/>
      <c r="AK5984" s="35"/>
      <c r="AL5984" s="35"/>
    </row>
    <row r="5985">
      <c r="A5985" s="40"/>
      <c r="B5985" s="19" t="s">
        <v>7020</v>
      </c>
      <c r="C5985" s="20" t="s">
        <v>28119</v>
      </c>
      <c r="D5985" s="47"/>
      <c r="E5985" s="22" t="s">
        <v>28186</v>
      </c>
      <c r="F5985" s="22" t="s">
        <v>2795</v>
      </c>
      <c r="G5985" s="23">
        <v>2017.0</v>
      </c>
      <c r="H5985" s="22" t="s">
        <v>4764</v>
      </c>
      <c r="I5985" s="24" t="s">
        <v>28187</v>
      </c>
      <c r="J5985" s="22" t="s">
        <v>28188</v>
      </c>
      <c r="K5985" s="22"/>
      <c r="L5985" s="105" t="s">
        <v>28189</v>
      </c>
      <c r="M5985" s="44"/>
      <c r="N5985" s="44"/>
      <c r="O5985" s="44"/>
      <c r="P5985" s="44"/>
      <c r="Q5985" s="44"/>
      <c r="R5985" s="44"/>
      <c r="S5985" s="44"/>
      <c r="T5985" s="45"/>
      <c r="U5985" s="38" t="str">
        <f>HYPERLINK("https://www.ncbi.nlm.nih.gov/pubmed/29080932","PubMed")</f>
        <v>PubMed</v>
      </c>
      <c r="V5985" s="30"/>
      <c r="W5985" s="49"/>
      <c r="X5985" s="49"/>
      <c r="Y5985" s="35"/>
      <c r="Z5985" s="35"/>
      <c r="AA5985" s="35"/>
      <c r="AB5985" s="35"/>
      <c r="AC5985" s="35"/>
      <c r="AD5985" s="35"/>
      <c r="AE5985" s="35"/>
      <c r="AF5985" s="35"/>
      <c r="AG5985" s="35"/>
      <c r="AH5985" s="35"/>
      <c r="AI5985" s="35"/>
      <c r="AJ5985" s="35"/>
      <c r="AK5985" s="35"/>
      <c r="AL5985" s="35"/>
    </row>
    <row r="5986">
      <c r="A5986" s="40" t="s">
        <v>2</v>
      </c>
      <c r="B5986" s="19" t="s">
        <v>7020</v>
      </c>
      <c r="C5986" s="20" t="s">
        <v>28119</v>
      </c>
      <c r="D5986" s="47"/>
      <c r="E5986" s="22" t="s">
        <v>3827</v>
      </c>
      <c r="F5986" s="22" t="s">
        <v>41</v>
      </c>
      <c r="G5986" s="23" t="s">
        <v>90</v>
      </c>
      <c r="H5986" s="22" t="s">
        <v>91</v>
      </c>
      <c r="I5986" s="24" t="s">
        <v>28190</v>
      </c>
      <c r="J5986" s="22" t="s">
        <v>28191</v>
      </c>
      <c r="K5986" s="22" t="s">
        <v>28192</v>
      </c>
      <c r="L5986" s="36" t="s">
        <v>16449</v>
      </c>
      <c r="M5986" s="37" t="s">
        <v>4694</v>
      </c>
      <c r="N5986" s="37" t="s">
        <v>4694</v>
      </c>
      <c r="O5986" s="36" t="s">
        <v>28193</v>
      </c>
      <c r="P5986" s="37" t="s">
        <v>4694</v>
      </c>
      <c r="Q5986" s="36" t="s">
        <v>28194</v>
      </c>
      <c r="R5986" s="36" t="s">
        <v>28195</v>
      </c>
      <c r="S5986" s="36" t="s">
        <v>28196</v>
      </c>
      <c r="T5986" s="28" t="s">
        <v>28197</v>
      </c>
      <c r="U5986" s="38" t="str">
        <f>HYPERLINK("https://www.ncbi.nlm.nih.gov/pubmed/29170901","PubMed")</f>
        <v>PubMed</v>
      </c>
      <c r="V5986" s="30" t="s">
        <v>28198</v>
      </c>
      <c r="W5986" s="49"/>
      <c r="X5986" s="49"/>
      <c r="Y5986" s="35"/>
      <c r="Z5986" s="35"/>
      <c r="AA5986" s="35"/>
      <c r="AB5986" s="35"/>
      <c r="AC5986" s="35"/>
      <c r="AD5986" s="35"/>
      <c r="AE5986" s="35"/>
      <c r="AF5986" s="35"/>
      <c r="AG5986" s="35"/>
      <c r="AH5986" s="35"/>
      <c r="AI5986" s="35"/>
      <c r="AJ5986" s="35"/>
      <c r="AK5986" s="35"/>
      <c r="AL5986" s="35"/>
    </row>
    <row r="5987">
      <c r="A5987" s="1"/>
      <c r="B5987" s="19" t="s">
        <v>7020</v>
      </c>
      <c r="C5987" s="20" t="s">
        <v>28119</v>
      </c>
      <c r="D5987" s="47"/>
      <c r="E5987" s="22" t="s">
        <v>3827</v>
      </c>
      <c r="F5987" s="22" t="s">
        <v>41</v>
      </c>
      <c r="G5987" s="23">
        <v>2015.0</v>
      </c>
      <c r="H5987" s="22" t="s">
        <v>2863</v>
      </c>
      <c r="I5987" s="24" t="s">
        <v>28199</v>
      </c>
      <c r="J5987" s="22" t="s">
        <v>2141</v>
      </c>
      <c r="K5987" s="22"/>
      <c r="L5987" s="168"/>
      <c r="M5987" s="168"/>
      <c r="N5987" s="168"/>
      <c r="O5987" s="168"/>
      <c r="P5987" s="169"/>
      <c r="Q5987" s="168"/>
      <c r="R5987" s="168"/>
      <c r="S5987" s="168"/>
      <c r="T5987" s="185"/>
      <c r="U5987" s="38" t="str">
        <f>HYPERLINK("https://www.ncbi.nlm.nih.gov/pubmed/26040789","PubMed")</f>
        <v>PubMed</v>
      </c>
      <c r="V5987" s="30"/>
      <c r="W5987" s="49"/>
      <c r="X5987" s="49"/>
      <c r="Y5987" s="35"/>
      <c r="Z5987" s="35"/>
      <c r="AA5987" s="35"/>
      <c r="AB5987" s="35"/>
      <c r="AC5987" s="35"/>
      <c r="AD5987" s="35"/>
      <c r="AE5987" s="35"/>
      <c r="AF5987" s="35"/>
      <c r="AG5987" s="35"/>
      <c r="AH5987" s="35"/>
      <c r="AI5987" s="35"/>
      <c r="AJ5987" s="35"/>
      <c r="AK5987" s="35"/>
      <c r="AL5987" s="35"/>
    </row>
    <row r="5988">
      <c r="A5988" s="1"/>
      <c r="B5988" s="19" t="s">
        <v>7020</v>
      </c>
      <c r="C5988" s="20" t="s">
        <v>28119</v>
      </c>
      <c r="D5988" s="47"/>
      <c r="E5988" s="22" t="s">
        <v>28200</v>
      </c>
      <c r="F5988" s="22" t="s">
        <v>2529</v>
      </c>
      <c r="G5988" s="23">
        <v>2014.0</v>
      </c>
      <c r="H5988" s="22" t="s">
        <v>91</v>
      </c>
      <c r="I5988" s="24" t="s">
        <v>28201</v>
      </c>
      <c r="J5988" s="22" t="s">
        <v>13500</v>
      </c>
      <c r="K5988" s="22"/>
      <c r="L5988" s="36">
        <v>670.0</v>
      </c>
      <c r="M5988" s="36">
        <v>20.0</v>
      </c>
      <c r="N5988" s="36" t="s">
        <v>20083</v>
      </c>
      <c r="O5988" s="36" t="s">
        <v>58</v>
      </c>
      <c r="P5988" s="37" t="s">
        <v>254</v>
      </c>
      <c r="Q5988" s="36" t="s">
        <v>28202</v>
      </c>
      <c r="R5988" s="36" t="s">
        <v>28203</v>
      </c>
      <c r="S5988" s="36" t="s">
        <v>4905</v>
      </c>
      <c r="T5988" s="28" t="s">
        <v>28204</v>
      </c>
      <c r="U5988" s="38" t="str">
        <f>HYPERLINK("https://www.ncbi.nlm.nih.gov/pubmed/24801056","PubMed")</f>
        <v>PubMed</v>
      </c>
      <c r="V5988" s="30" t="s">
        <v>28205</v>
      </c>
      <c r="W5988" s="49"/>
      <c r="X5988" s="49"/>
      <c r="Y5988" s="35"/>
      <c r="Z5988" s="35"/>
      <c r="AA5988" s="35"/>
      <c r="AB5988" s="35"/>
      <c r="AC5988" s="35"/>
      <c r="AD5988" s="35"/>
      <c r="AE5988" s="35"/>
      <c r="AF5988" s="35"/>
      <c r="AG5988" s="35"/>
      <c r="AH5988" s="35"/>
      <c r="AI5988" s="35"/>
      <c r="AJ5988" s="35"/>
      <c r="AK5988" s="35"/>
      <c r="AL5988" s="35"/>
    </row>
    <row r="5989">
      <c r="A5989" s="1"/>
      <c r="B5989" s="19" t="s">
        <v>7020</v>
      </c>
      <c r="C5989" s="20" t="s">
        <v>28119</v>
      </c>
      <c r="D5989" s="47"/>
      <c r="E5989" s="22" t="s">
        <v>28206</v>
      </c>
      <c r="F5989" s="22" t="s">
        <v>1603</v>
      </c>
      <c r="G5989" s="23">
        <v>2014.0</v>
      </c>
      <c r="H5989" s="22" t="s">
        <v>28207</v>
      </c>
      <c r="I5989" s="24" t="s">
        <v>28208</v>
      </c>
      <c r="J5989" s="22" t="s">
        <v>28209</v>
      </c>
      <c r="K5989" s="22" t="s">
        <v>28210</v>
      </c>
      <c r="L5989" s="36" t="s">
        <v>28211</v>
      </c>
      <c r="M5989" s="36"/>
      <c r="N5989" s="36"/>
      <c r="O5989" s="36"/>
      <c r="P5989" s="37"/>
      <c r="Q5989" s="36"/>
      <c r="R5989" s="36">
        <v>3000.0</v>
      </c>
      <c r="S5989" s="36"/>
      <c r="T5989" s="28" t="s">
        <v>28212</v>
      </c>
      <c r="U5989" s="38" t="str">
        <f>HYPERLINK("https://www.tandfonline.com/doi/abs/10.3109/10582452.2014.949336","Taylor&amp;Francis")</f>
        <v>Taylor&amp;Francis</v>
      </c>
      <c r="V5989" s="30"/>
      <c r="W5989" s="49"/>
      <c r="X5989" s="49"/>
      <c r="Y5989" s="35"/>
      <c r="Z5989" s="35"/>
      <c r="AA5989" s="35"/>
      <c r="AB5989" s="35"/>
      <c r="AC5989" s="35"/>
      <c r="AD5989" s="35"/>
      <c r="AE5989" s="35"/>
      <c r="AF5989" s="35"/>
      <c r="AG5989" s="35"/>
      <c r="AH5989" s="35"/>
      <c r="AI5989" s="35"/>
      <c r="AJ5989" s="35"/>
      <c r="AK5989" s="35"/>
      <c r="AL5989" s="35"/>
    </row>
    <row r="5990">
      <c r="A5990" s="1"/>
      <c r="B5990" s="19" t="s">
        <v>7020</v>
      </c>
      <c r="C5990" s="20" t="s">
        <v>28119</v>
      </c>
      <c r="D5990" s="47"/>
      <c r="E5990" s="22" t="s">
        <v>28213</v>
      </c>
      <c r="F5990" s="22" t="s">
        <v>28214</v>
      </c>
      <c r="G5990" s="23">
        <v>2013.0</v>
      </c>
      <c r="H5990" s="22" t="s">
        <v>4928</v>
      </c>
      <c r="I5990" s="24" t="s">
        <v>28215</v>
      </c>
      <c r="J5990" s="22" t="s">
        <v>28216</v>
      </c>
      <c r="K5990" s="22"/>
      <c r="L5990" s="36" t="s">
        <v>14643</v>
      </c>
      <c r="M5990" s="36">
        <v>10000.0</v>
      </c>
      <c r="N5990" s="36" t="s">
        <v>58</v>
      </c>
      <c r="O5990" s="36" t="s">
        <v>28217</v>
      </c>
      <c r="P5990" s="37" t="s">
        <v>28218</v>
      </c>
      <c r="Q5990" s="36" t="s">
        <v>28219</v>
      </c>
      <c r="R5990" s="36" t="s">
        <v>28220</v>
      </c>
      <c r="S5990" s="36" t="s">
        <v>2099</v>
      </c>
      <c r="T5990" s="42" t="s">
        <v>28221</v>
      </c>
      <c r="U5990" s="29" t="s">
        <v>61</v>
      </c>
      <c r="V5990" s="30" t="s">
        <v>28222</v>
      </c>
      <c r="W5990" s="49"/>
      <c r="X5990" s="49"/>
      <c r="Y5990" s="35"/>
      <c r="Z5990" s="35"/>
      <c r="AA5990" s="35"/>
      <c r="AB5990" s="35"/>
      <c r="AC5990" s="35"/>
      <c r="AD5990" s="35"/>
      <c r="AE5990" s="35"/>
      <c r="AF5990" s="35"/>
      <c r="AG5990" s="35"/>
      <c r="AH5990" s="35"/>
      <c r="AI5990" s="35"/>
      <c r="AJ5990" s="35"/>
      <c r="AK5990" s="35"/>
      <c r="AL5990" s="35"/>
    </row>
    <row r="5991">
      <c r="A5991" s="1"/>
      <c r="B5991" s="19" t="s">
        <v>7020</v>
      </c>
      <c r="C5991" s="20" t="s">
        <v>28119</v>
      </c>
      <c r="D5991" s="47"/>
      <c r="E5991" s="22" t="s">
        <v>28223</v>
      </c>
      <c r="F5991" s="22" t="s">
        <v>28224</v>
      </c>
      <c r="G5991" s="23">
        <v>2013.0</v>
      </c>
      <c r="H5991" s="22" t="s">
        <v>28225</v>
      </c>
      <c r="I5991" s="24" t="s">
        <v>28226</v>
      </c>
      <c r="J5991" s="22" t="s">
        <v>28227</v>
      </c>
      <c r="K5991" s="22" t="s">
        <v>28228</v>
      </c>
      <c r="L5991" s="36" t="s">
        <v>28211</v>
      </c>
      <c r="M5991" s="36"/>
      <c r="N5991" s="36"/>
      <c r="O5991" s="36"/>
      <c r="P5991" s="37"/>
      <c r="Q5991" s="36"/>
      <c r="R5991" s="36"/>
      <c r="S5991" s="36" t="s">
        <v>28229</v>
      </c>
      <c r="T5991" s="28" t="s">
        <v>28230</v>
      </c>
      <c r="U5991" s="38" t="str">
        <f>HYPERLINK("https://www.ncbi.nlm.nih.gov/pubmed/23354314","PubMed")</f>
        <v>PubMed</v>
      </c>
      <c r="V5991" s="30"/>
      <c r="W5991" s="49"/>
      <c r="X5991" s="49"/>
      <c r="Y5991" s="35"/>
      <c r="Z5991" s="35"/>
      <c r="AA5991" s="35"/>
      <c r="AB5991" s="35"/>
      <c r="AC5991" s="35"/>
      <c r="AD5991" s="35"/>
      <c r="AE5991" s="35"/>
      <c r="AF5991" s="35"/>
      <c r="AG5991" s="35"/>
      <c r="AH5991" s="35"/>
      <c r="AI5991" s="35"/>
      <c r="AJ5991" s="35"/>
      <c r="AK5991" s="35"/>
      <c r="AL5991" s="35"/>
    </row>
    <row r="5992">
      <c r="A5992" s="40" t="s">
        <v>181</v>
      </c>
      <c r="B5992" s="19" t="s">
        <v>7020</v>
      </c>
      <c r="C5992" s="20" t="s">
        <v>28119</v>
      </c>
      <c r="D5992" s="47"/>
      <c r="E5992" s="22" t="s">
        <v>28231</v>
      </c>
      <c r="F5992" s="22" t="s">
        <v>3968</v>
      </c>
      <c r="G5992" s="23">
        <v>2011.0</v>
      </c>
      <c r="H5992" s="22" t="s">
        <v>28232</v>
      </c>
      <c r="I5992" s="24" t="s">
        <v>28233</v>
      </c>
      <c r="J5992" s="22" t="s">
        <v>28234</v>
      </c>
      <c r="K5992" s="22"/>
      <c r="L5992" s="36">
        <v>905.0</v>
      </c>
      <c r="M5992" s="36"/>
      <c r="N5992" s="36"/>
      <c r="O5992" s="36"/>
      <c r="P5992" s="37"/>
      <c r="Q5992" s="36"/>
      <c r="R5992" s="36"/>
      <c r="S5992" s="36"/>
      <c r="T5992" s="42" t="s">
        <v>28235</v>
      </c>
      <c r="U5992" s="38" t="str">
        <f>HYPERLINK("https://www.ncbi.nlm.nih.gov/pubmed/21794791","PubMed")</f>
        <v>PubMed</v>
      </c>
      <c r="V5992" s="30"/>
      <c r="W5992" s="49"/>
      <c r="X5992" s="49"/>
      <c r="Y5992" s="35"/>
      <c r="Z5992" s="35"/>
      <c r="AA5992" s="35"/>
      <c r="AB5992" s="35"/>
      <c r="AC5992" s="35"/>
      <c r="AD5992" s="35"/>
      <c r="AE5992" s="35"/>
      <c r="AF5992" s="35"/>
      <c r="AG5992" s="35"/>
      <c r="AH5992" s="35"/>
      <c r="AI5992" s="35"/>
      <c r="AJ5992" s="35"/>
      <c r="AK5992" s="35"/>
      <c r="AL5992" s="35"/>
    </row>
    <row r="5993">
      <c r="A5993" s="1"/>
      <c r="B5993" s="19" t="s">
        <v>7020</v>
      </c>
      <c r="C5993" s="20" t="s">
        <v>28119</v>
      </c>
      <c r="D5993" s="47"/>
      <c r="E5993" s="22" t="s">
        <v>28236</v>
      </c>
      <c r="F5993" s="22" t="s">
        <v>28237</v>
      </c>
      <c r="G5993" s="23">
        <v>2007.0</v>
      </c>
      <c r="H5993" s="22" t="s">
        <v>12164</v>
      </c>
      <c r="I5993" s="24" t="s">
        <v>28238</v>
      </c>
      <c r="J5993" s="22" t="s">
        <v>28239</v>
      </c>
      <c r="K5993" s="22"/>
      <c r="L5993" s="36">
        <v>830.0</v>
      </c>
      <c r="M5993" s="36">
        <v>30.0</v>
      </c>
      <c r="N5993" s="36" t="s">
        <v>58</v>
      </c>
      <c r="O5993" s="36" t="s">
        <v>58</v>
      </c>
      <c r="P5993" s="37" t="s">
        <v>969</v>
      </c>
      <c r="Q5993" s="36" t="s">
        <v>58</v>
      </c>
      <c r="R5993" s="36" t="s">
        <v>58</v>
      </c>
      <c r="S5993" s="36" t="s">
        <v>7333</v>
      </c>
      <c r="T5993" s="41" t="s">
        <v>28240</v>
      </c>
      <c r="U5993" s="38" t="str">
        <f>HYPERLINK("https://www.ncbi.nlm.nih.gov/pubmed/17631737","PubMed")</f>
        <v>PubMed</v>
      </c>
      <c r="V5993" s="30" t="s">
        <v>28241</v>
      </c>
      <c r="W5993" s="49"/>
      <c r="X5993" s="49"/>
      <c r="Y5993" s="35"/>
      <c r="Z5993" s="35"/>
      <c r="AA5993" s="35"/>
      <c r="AB5993" s="35"/>
      <c r="AC5993" s="35"/>
      <c r="AD5993" s="35"/>
      <c r="AE5993" s="35"/>
      <c r="AF5993" s="35"/>
      <c r="AG5993" s="35"/>
      <c r="AH5993" s="35"/>
      <c r="AI5993" s="35"/>
      <c r="AJ5993" s="35"/>
      <c r="AK5993" s="35"/>
      <c r="AL5993" s="35"/>
    </row>
    <row r="5994">
      <c r="A5994" s="1"/>
      <c r="B5994" s="19" t="s">
        <v>7020</v>
      </c>
      <c r="C5994" s="20" t="s">
        <v>28119</v>
      </c>
      <c r="D5994" s="47"/>
      <c r="E5994" s="22" t="s">
        <v>28242</v>
      </c>
      <c r="F5994" s="22" t="s">
        <v>2604</v>
      </c>
      <c r="G5994" s="23">
        <v>2007.0</v>
      </c>
      <c r="H5994" s="22" t="s">
        <v>7777</v>
      </c>
      <c r="I5994" s="24" t="s">
        <v>28243</v>
      </c>
      <c r="J5994" s="22" t="s">
        <v>28244</v>
      </c>
      <c r="K5994" s="22" t="s">
        <v>28245</v>
      </c>
      <c r="L5994" s="36" t="s">
        <v>28211</v>
      </c>
      <c r="M5994" s="36" t="s">
        <v>58</v>
      </c>
      <c r="N5994" s="36" t="s">
        <v>28246</v>
      </c>
      <c r="O5994" s="36" t="s">
        <v>58</v>
      </c>
      <c r="P5994" s="37" t="s">
        <v>58</v>
      </c>
      <c r="Q5994" s="36" t="s">
        <v>58</v>
      </c>
      <c r="R5994" s="36"/>
      <c r="S5994" s="36" t="s">
        <v>4387</v>
      </c>
      <c r="T5994" s="28" t="s">
        <v>28247</v>
      </c>
      <c r="U5994" s="38" t="str">
        <f>HYPERLINK("http://www.ncbi.nlm.nih.gov/pubmed/17277647","PubMed")</f>
        <v>PubMed</v>
      </c>
      <c r="V5994" s="30" t="s">
        <v>28248</v>
      </c>
      <c r="W5994" s="49"/>
      <c r="X5994" s="49"/>
      <c r="Y5994" s="35"/>
      <c r="Z5994" s="35"/>
      <c r="AA5994" s="35"/>
      <c r="AB5994" s="35"/>
      <c r="AC5994" s="35"/>
      <c r="AD5994" s="35"/>
      <c r="AE5994" s="35"/>
      <c r="AF5994" s="35"/>
      <c r="AG5994" s="35"/>
      <c r="AH5994" s="35"/>
      <c r="AI5994" s="35"/>
      <c r="AJ5994" s="35"/>
      <c r="AK5994" s="35"/>
      <c r="AL5994" s="35"/>
    </row>
    <row r="5995">
      <c r="A5995" s="1"/>
      <c r="B5995" s="19" t="s">
        <v>7020</v>
      </c>
      <c r="C5995" s="20" t="s">
        <v>28119</v>
      </c>
      <c r="D5995" s="47"/>
      <c r="E5995" s="22" t="s">
        <v>28249</v>
      </c>
      <c r="F5995" s="22" t="s">
        <v>4849</v>
      </c>
      <c r="G5995" s="23">
        <v>2006.0</v>
      </c>
      <c r="H5995" s="22" t="s">
        <v>4718</v>
      </c>
      <c r="I5995" s="24" t="s">
        <v>28250</v>
      </c>
      <c r="J5995" s="22" t="s">
        <v>28251</v>
      </c>
      <c r="K5995" s="22"/>
      <c r="L5995" s="36">
        <v>830.0</v>
      </c>
      <c r="M5995" s="36">
        <v>50.0</v>
      </c>
      <c r="N5995" s="36" t="s">
        <v>58</v>
      </c>
      <c r="O5995" s="36" t="s">
        <v>28252</v>
      </c>
      <c r="P5995" s="37" t="s">
        <v>58</v>
      </c>
      <c r="Q5995" s="36" t="s">
        <v>58</v>
      </c>
      <c r="R5995" s="36" t="s">
        <v>28253</v>
      </c>
      <c r="S5995" s="36" t="s">
        <v>1514</v>
      </c>
      <c r="T5995" s="28" t="s">
        <v>28254</v>
      </c>
      <c r="U5995" s="38" t="str">
        <f>HYPERLINK("http://content.iospress.com/articles/journal-of-back-and-musculoskeletal-rehabilitation/bmr00137","IOS Press")</f>
        <v>IOS Press</v>
      </c>
      <c r="V5995" s="30" t="s">
        <v>28255</v>
      </c>
      <c r="W5995" s="49"/>
      <c r="X5995" s="49"/>
      <c r="Y5995" s="35"/>
      <c r="Z5995" s="35"/>
      <c r="AA5995" s="35"/>
      <c r="AB5995" s="35"/>
      <c r="AC5995" s="35"/>
      <c r="AD5995" s="35"/>
      <c r="AE5995" s="35"/>
      <c r="AF5995" s="35"/>
      <c r="AG5995" s="35"/>
      <c r="AH5995" s="35"/>
      <c r="AI5995" s="35"/>
      <c r="AJ5995" s="35"/>
      <c r="AK5995" s="35"/>
      <c r="AL5995" s="35"/>
    </row>
    <row r="5996">
      <c r="A5996" s="1"/>
      <c r="B5996" s="19" t="s">
        <v>7020</v>
      </c>
      <c r="C5996" s="20" t="s">
        <v>28119</v>
      </c>
      <c r="D5996" s="47"/>
      <c r="E5996" s="22" t="s">
        <v>28256</v>
      </c>
      <c r="F5996" s="22" t="s">
        <v>13694</v>
      </c>
      <c r="G5996" s="23">
        <v>2002.0</v>
      </c>
      <c r="H5996" s="22" t="s">
        <v>4764</v>
      </c>
      <c r="I5996" s="24" t="s">
        <v>28257</v>
      </c>
      <c r="J5996" s="22" t="s">
        <v>28258</v>
      </c>
      <c r="K5996" s="22" t="s">
        <v>28259</v>
      </c>
      <c r="L5996" s="36">
        <v>904.0</v>
      </c>
      <c r="M5996" s="129">
        <v>42411.0</v>
      </c>
      <c r="N5996" s="36"/>
      <c r="O5996" s="36"/>
      <c r="P5996" s="37" t="s">
        <v>269</v>
      </c>
      <c r="Q5996" s="36" t="s">
        <v>675</v>
      </c>
      <c r="R5996" s="36" t="s">
        <v>28260</v>
      </c>
      <c r="S5996" s="36" t="s">
        <v>1514</v>
      </c>
      <c r="T5996" s="28" t="s">
        <v>28261</v>
      </c>
      <c r="U5996" s="38" t="str">
        <f>HYPERLINK("https://www.ncbi.nlm.nih.gov/pubmed/12215864","PubMed")</f>
        <v>PubMed</v>
      </c>
      <c r="V5996" s="30" t="s">
        <v>28262</v>
      </c>
      <c r="W5996" s="49"/>
      <c r="X5996" s="49"/>
      <c r="Y5996" s="35"/>
      <c r="Z5996" s="35"/>
      <c r="AA5996" s="35"/>
      <c r="AB5996" s="35"/>
      <c r="AC5996" s="35"/>
      <c r="AD5996" s="35"/>
      <c r="AE5996" s="35"/>
      <c r="AF5996" s="35"/>
      <c r="AG5996" s="35"/>
      <c r="AH5996" s="35"/>
      <c r="AI5996" s="35"/>
      <c r="AJ5996" s="35"/>
      <c r="AK5996" s="35"/>
      <c r="AL5996" s="35"/>
    </row>
    <row r="5997">
      <c r="A5997" s="1"/>
      <c r="B5997" s="19" t="s">
        <v>7020</v>
      </c>
      <c r="C5997" s="20" t="s">
        <v>28119</v>
      </c>
      <c r="D5997" s="47"/>
      <c r="E5997" s="22" t="s">
        <v>28256</v>
      </c>
      <c r="F5997" s="22" t="s">
        <v>13694</v>
      </c>
      <c r="G5997" s="23">
        <v>2002.0</v>
      </c>
      <c r="H5997" s="22" t="s">
        <v>91</v>
      </c>
      <c r="I5997" s="24" t="s">
        <v>28263</v>
      </c>
      <c r="J5997" s="22" t="s">
        <v>28264</v>
      </c>
      <c r="K5997" s="22"/>
      <c r="L5997" s="36">
        <v>904.0</v>
      </c>
      <c r="M5997" s="129">
        <v>42411.0</v>
      </c>
      <c r="N5997" s="36" t="s">
        <v>58</v>
      </c>
      <c r="O5997" s="36" t="s">
        <v>58</v>
      </c>
      <c r="P5997" s="37" t="s">
        <v>269</v>
      </c>
      <c r="Q5997" s="36" t="s">
        <v>675</v>
      </c>
      <c r="R5997" s="36" t="s">
        <v>28260</v>
      </c>
      <c r="S5997" s="36" t="s">
        <v>28265</v>
      </c>
      <c r="T5997" s="28" t="s">
        <v>28266</v>
      </c>
      <c r="U5997" s="38" t="str">
        <f>HYPERLINK("https://www.ncbi.nlm.nih.gov/pubmed/11845369","PubMed")</f>
        <v>PubMed</v>
      </c>
      <c r="V5997" s="30" t="s">
        <v>28262</v>
      </c>
      <c r="W5997" s="49"/>
      <c r="X5997" s="49"/>
      <c r="Y5997" s="35"/>
      <c r="Z5997" s="35"/>
      <c r="AA5997" s="35"/>
      <c r="AB5997" s="35"/>
      <c r="AC5997" s="35"/>
      <c r="AD5997" s="35"/>
      <c r="AE5997" s="35"/>
      <c r="AF5997" s="35"/>
      <c r="AG5997" s="35"/>
      <c r="AH5997" s="35"/>
      <c r="AI5997" s="35"/>
      <c r="AJ5997" s="35"/>
      <c r="AK5997" s="35"/>
      <c r="AL5997" s="35"/>
    </row>
    <row r="5998">
      <c r="A5998" s="1"/>
      <c r="B5998" s="19" t="s">
        <v>7020</v>
      </c>
      <c r="C5998" s="20" t="s">
        <v>28119</v>
      </c>
      <c r="D5998" s="47"/>
      <c r="E5998" s="22" t="s">
        <v>28267</v>
      </c>
      <c r="F5998" s="22" t="s">
        <v>28268</v>
      </c>
      <c r="G5998" s="23">
        <v>1991.0</v>
      </c>
      <c r="H5998" s="23" t="s">
        <v>28269</v>
      </c>
      <c r="I5998" s="24" t="s">
        <v>28270</v>
      </c>
      <c r="J5998" s="22" t="s">
        <v>28271</v>
      </c>
      <c r="K5998" s="22"/>
      <c r="L5998" s="52">
        <v>830.0</v>
      </c>
      <c r="M5998" s="200"/>
      <c r="N5998" s="52"/>
      <c r="O5998" s="52" t="s">
        <v>28272</v>
      </c>
      <c r="P5998" s="189"/>
      <c r="Q5998" s="52"/>
      <c r="R5998" s="52"/>
      <c r="S5998" s="52" t="s">
        <v>28273</v>
      </c>
      <c r="T5998" s="41" t="s">
        <v>28274</v>
      </c>
      <c r="U5998" s="29" t="s">
        <v>61</v>
      </c>
      <c r="V5998" s="30"/>
      <c r="W5998" s="49"/>
      <c r="X5998" s="49"/>
      <c r="Y5998" s="35"/>
      <c r="Z5998" s="35"/>
      <c r="AA5998" s="35"/>
      <c r="AB5998" s="35"/>
      <c r="AC5998" s="35"/>
      <c r="AD5998" s="35"/>
      <c r="AE5998" s="35"/>
      <c r="AF5998" s="35"/>
      <c r="AG5998" s="35"/>
      <c r="AH5998" s="35"/>
      <c r="AI5998" s="35"/>
      <c r="AJ5998" s="35"/>
      <c r="AK5998" s="35"/>
      <c r="AL5998" s="35"/>
    </row>
    <row r="5999">
      <c r="A5999" s="1"/>
      <c r="B5999" s="19" t="s">
        <v>7020</v>
      </c>
      <c r="C5999" s="20" t="s">
        <v>28275</v>
      </c>
      <c r="D5999" s="47"/>
      <c r="E5999" s="22" t="s">
        <v>28276</v>
      </c>
      <c r="F5999" s="22" t="s">
        <v>1398</v>
      </c>
      <c r="G5999" s="23">
        <v>2017.0</v>
      </c>
      <c r="H5999" s="22" t="s">
        <v>292</v>
      </c>
      <c r="I5999" s="24" t="s">
        <v>28277</v>
      </c>
      <c r="J5999" s="22" t="s">
        <v>28278</v>
      </c>
      <c r="K5999" s="22"/>
      <c r="L5999" s="52">
        <v>830.0</v>
      </c>
      <c r="M5999" s="52">
        <v>1000.0</v>
      </c>
      <c r="N5999" s="52" t="s">
        <v>28279</v>
      </c>
      <c r="O5999" s="52"/>
      <c r="P5999" s="189" t="s">
        <v>28280</v>
      </c>
      <c r="Q5999" s="52" t="s">
        <v>28281</v>
      </c>
      <c r="R5999" s="52"/>
      <c r="S5999" s="52" t="s">
        <v>2099</v>
      </c>
      <c r="T5999" s="28" t="s">
        <v>28282</v>
      </c>
      <c r="U5999" s="38" t="str">
        <f>HYPERLINK("https://www.ncbi.nlm.nih.gov/pubmed/28740325","PubMed")</f>
        <v>PubMed</v>
      </c>
      <c r="V5999" s="30" t="s">
        <v>28283</v>
      </c>
      <c r="W5999" s="49"/>
      <c r="X5999" s="49"/>
      <c r="Y5999" s="35"/>
      <c r="Z5999" s="35"/>
      <c r="AA5999" s="35"/>
      <c r="AB5999" s="35"/>
      <c r="AC5999" s="35"/>
      <c r="AD5999" s="35"/>
      <c r="AE5999" s="35"/>
      <c r="AF5999" s="35"/>
      <c r="AG5999" s="35"/>
      <c r="AH5999" s="35"/>
      <c r="AI5999" s="35"/>
      <c r="AJ5999" s="35"/>
      <c r="AK5999" s="35"/>
      <c r="AL5999" s="35"/>
    </row>
    <row r="6000">
      <c r="A6000" s="1"/>
      <c r="B6000" s="19" t="s">
        <v>7020</v>
      </c>
      <c r="C6000" s="20" t="s">
        <v>28275</v>
      </c>
      <c r="D6000" s="47"/>
      <c r="E6000" s="22" t="s">
        <v>28284</v>
      </c>
      <c r="F6000" s="22" t="s">
        <v>7156</v>
      </c>
      <c r="G6000" s="23">
        <v>1992.0</v>
      </c>
      <c r="H6000" s="22" t="s">
        <v>292</v>
      </c>
      <c r="I6000" s="24" t="s">
        <v>28285</v>
      </c>
      <c r="J6000" s="22" t="s">
        <v>2273</v>
      </c>
      <c r="K6000" s="22"/>
      <c r="L6000" s="52">
        <v>850.0</v>
      </c>
      <c r="M6000" s="52">
        <v>70.0</v>
      </c>
      <c r="N6000" s="52"/>
      <c r="O6000" s="52"/>
      <c r="P6000" s="189"/>
      <c r="Q6000" s="52"/>
      <c r="R6000" s="52"/>
      <c r="S6000" s="52"/>
      <c r="T6000" s="28" t="s">
        <v>28286</v>
      </c>
      <c r="U6000" s="38" t="str">
        <f>HYPERLINK("https://www.jstage.jst.go.jp/article/islsm/4/2/4_92-OR-10/_article/-char/en","J-STAGE")</f>
        <v>J-STAGE</v>
      </c>
      <c r="V6000" s="50"/>
      <c r="W6000" s="49"/>
      <c r="X6000" s="49"/>
      <c r="Y6000" s="35"/>
      <c r="Z6000" s="35"/>
      <c r="AA6000" s="35"/>
      <c r="AB6000" s="35"/>
      <c r="AC6000" s="35"/>
      <c r="AD6000" s="35"/>
      <c r="AE6000" s="35"/>
      <c r="AF6000" s="35"/>
      <c r="AG6000" s="35"/>
      <c r="AH6000" s="35"/>
      <c r="AI6000" s="35"/>
      <c r="AJ6000" s="35"/>
      <c r="AK6000" s="35"/>
      <c r="AL6000" s="35"/>
    </row>
    <row r="6001">
      <c r="A6001" s="1"/>
      <c r="B6001" s="19" t="s">
        <v>7020</v>
      </c>
      <c r="C6001" s="20" t="s">
        <v>28287</v>
      </c>
      <c r="D6001" s="47"/>
      <c r="E6001" s="22" t="s">
        <v>2195</v>
      </c>
      <c r="F6001" s="22" t="s">
        <v>494</v>
      </c>
      <c r="G6001" s="23">
        <v>2023.0</v>
      </c>
      <c r="H6001" s="22" t="s">
        <v>28288</v>
      </c>
      <c r="I6001" s="24" t="s">
        <v>28289</v>
      </c>
      <c r="J6001" s="22" t="s">
        <v>28290</v>
      </c>
      <c r="K6001" s="22" t="s">
        <v>28291</v>
      </c>
      <c r="L6001" s="52">
        <v>633.0</v>
      </c>
      <c r="M6001" s="52" t="s">
        <v>58</v>
      </c>
      <c r="N6001" s="52" t="s">
        <v>11820</v>
      </c>
      <c r="O6001" s="52" t="s">
        <v>28292</v>
      </c>
      <c r="P6001" s="189" t="s">
        <v>58</v>
      </c>
      <c r="Q6001" s="52" t="s">
        <v>58</v>
      </c>
      <c r="R6001" s="52">
        <v>3600.0</v>
      </c>
      <c r="S6001" s="52" t="s">
        <v>10290</v>
      </c>
      <c r="T6001" s="28" t="s">
        <v>28293</v>
      </c>
      <c r="U6001" s="38" t="s">
        <v>61</v>
      </c>
      <c r="V6001" s="30" t="s">
        <v>28294</v>
      </c>
      <c r="W6001" s="49"/>
      <c r="X6001" s="49"/>
      <c r="Y6001" s="35"/>
      <c r="Z6001" s="35"/>
      <c r="AA6001" s="35"/>
      <c r="AB6001" s="35"/>
      <c r="AC6001" s="35"/>
      <c r="AD6001" s="35"/>
      <c r="AE6001" s="35"/>
      <c r="AF6001" s="35"/>
      <c r="AG6001" s="35"/>
      <c r="AH6001" s="35"/>
      <c r="AI6001" s="35"/>
      <c r="AJ6001" s="35"/>
      <c r="AK6001" s="35"/>
      <c r="AL6001" s="35"/>
    </row>
    <row r="6002">
      <c r="A6002" s="1"/>
      <c r="B6002" s="19" t="s">
        <v>7020</v>
      </c>
      <c r="C6002" s="20" t="s">
        <v>28287</v>
      </c>
      <c r="D6002" s="47"/>
      <c r="E6002" s="22" t="s">
        <v>16618</v>
      </c>
      <c r="F6002" s="22" t="s">
        <v>41</v>
      </c>
      <c r="G6002" s="23">
        <v>2022.0</v>
      </c>
      <c r="H6002" s="22" t="s">
        <v>3523</v>
      </c>
      <c r="I6002" s="24" t="s">
        <v>28295</v>
      </c>
      <c r="J6002" s="22" t="s">
        <v>649</v>
      </c>
      <c r="K6002" s="22"/>
      <c r="L6002" s="173" t="s">
        <v>28296</v>
      </c>
      <c r="U6002" s="29" t="s">
        <v>61</v>
      </c>
      <c r="V6002" s="50"/>
      <c r="W6002" s="49"/>
      <c r="X6002" s="49"/>
      <c r="Y6002" s="35"/>
      <c r="Z6002" s="35"/>
      <c r="AA6002" s="35"/>
      <c r="AB6002" s="35"/>
      <c r="AC6002" s="35"/>
      <c r="AD6002" s="35"/>
      <c r="AE6002" s="35"/>
      <c r="AF6002" s="35"/>
      <c r="AG6002" s="35"/>
      <c r="AH6002" s="35"/>
      <c r="AI6002" s="35"/>
      <c r="AJ6002" s="35"/>
      <c r="AK6002" s="35"/>
      <c r="AL6002" s="35"/>
    </row>
    <row r="6003">
      <c r="A6003" s="1"/>
      <c r="B6003" s="19" t="s">
        <v>7020</v>
      </c>
      <c r="C6003" s="20" t="s">
        <v>28287</v>
      </c>
      <c r="D6003" s="47"/>
      <c r="E6003" s="22" t="s">
        <v>28297</v>
      </c>
      <c r="F6003" s="22" t="s">
        <v>41</v>
      </c>
      <c r="G6003" s="23">
        <v>2018.0</v>
      </c>
      <c r="H6003" s="22" t="s">
        <v>28298</v>
      </c>
      <c r="I6003" s="24" t="s">
        <v>28299</v>
      </c>
      <c r="J6003" s="22" t="s">
        <v>28300</v>
      </c>
      <c r="K6003" s="22"/>
      <c r="L6003" s="52">
        <v>808.0</v>
      </c>
      <c r="M6003" s="52">
        <v>100.0</v>
      </c>
      <c r="N6003" s="52" t="s">
        <v>58</v>
      </c>
      <c r="O6003" s="52" t="s">
        <v>58</v>
      </c>
      <c r="P6003" s="189" t="s">
        <v>279</v>
      </c>
      <c r="Q6003" s="52" t="s">
        <v>58</v>
      </c>
      <c r="R6003" s="52" t="s">
        <v>28301</v>
      </c>
      <c r="S6003" s="52" t="s">
        <v>28302</v>
      </c>
      <c r="T6003" s="28" t="s">
        <v>28303</v>
      </c>
      <c r="U6003" s="38" t="str">
        <f>HYPERLINK("https://www.ncbi.nlm.nih.gov/pubmed/30427505","PubMed")</f>
        <v>PubMed</v>
      </c>
      <c r="V6003" s="30" t="s">
        <v>28304</v>
      </c>
      <c r="W6003" s="49"/>
      <c r="X6003" s="49"/>
      <c r="Y6003" s="35"/>
      <c r="Z6003" s="35"/>
      <c r="AA6003" s="35"/>
      <c r="AB6003" s="35"/>
      <c r="AC6003" s="35"/>
      <c r="AD6003" s="35"/>
      <c r="AE6003" s="35"/>
      <c r="AF6003" s="35"/>
      <c r="AG6003" s="35"/>
      <c r="AH6003" s="35"/>
      <c r="AI6003" s="35"/>
      <c r="AJ6003" s="35"/>
      <c r="AK6003" s="35"/>
      <c r="AL6003" s="35"/>
    </row>
    <row r="6004">
      <c r="A6004" s="1"/>
      <c r="B6004" s="19" t="s">
        <v>7020</v>
      </c>
      <c r="C6004" s="20" t="s">
        <v>28287</v>
      </c>
      <c r="D6004" s="47"/>
      <c r="E6004" s="22" t="s">
        <v>28305</v>
      </c>
      <c r="F6004" s="22" t="s">
        <v>41</v>
      </c>
      <c r="G6004" s="23">
        <v>2010.0</v>
      </c>
      <c r="H6004" s="22" t="s">
        <v>28306</v>
      </c>
      <c r="I6004" s="24" t="s">
        <v>28307</v>
      </c>
      <c r="J6004" s="22" t="s">
        <v>7918</v>
      </c>
      <c r="K6004" s="22"/>
      <c r="L6004" s="132" t="s">
        <v>28308</v>
      </c>
      <c r="U6004" s="38" t="str">
        <f>HYPERLINK("https://www.ncbi.nlm.nih.gov/pubmed/20959437","PubMed")</f>
        <v>PubMed</v>
      </c>
      <c r="V6004" s="50"/>
      <c r="W6004" s="49"/>
      <c r="X6004" s="49"/>
      <c r="Y6004" s="35"/>
      <c r="Z6004" s="35"/>
      <c r="AA6004" s="35"/>
      <c r="AB6004" s="35"/>
      <c r="AC6004" s="35"/>
      <c r="AD6004" s="35"/>
      <c r="AE6004" s="35"/>
      <c r="AF6004" s="35"/>
      <c r="AG6004" s="35"/>
      <c r="AH6004" s="35"/>
      <c r="AI6004" s="35"/>
      <c r="AJ6004" s="35"/>
      <c r="AK6004" s="35"/>
      <c r="AL6004" s="35"/>
    </row>
    <row r="6005">
      <c r="A6005" s="1"/>
      <c r="B6005" s="19" t="s">
        <v>7020</v>
      </c>
      <c r="C6005" s="20" t="s">
        <v>28287</v>
      </c>
      <c r="D6005" s="47"/>
      <c r="E6005" s="22" t="s">
        <v>28309</v>
      </c>
      <c r="F6005" s="22" t="s">
        <v>14659</v>
      </c>
      <c r="G6005" s="23">
        <v>2008.0</v>
      </c>
      <c r="H6005" s="22" t="s">
        <v>7020</v>
      </c>
      <c r="I6005" s="24" t="s">
        <v>28310</v>
      </c>
      <c r="J6005" s="22" t="s">
        <v>28311</v>
      </c>
      <c r="K6005" s="22" t="s">
        <v>2686</v>
      </c>
      <c r="L6005" s="52">
        <v>830.0</v>
      </c>
      <c r="M6005" s="52">
        <v>30.0</v>
      </c>
      <c r="N6005" s="200">
        <v>44776.0</v>
      </c>
      <c r="O6005" s="52" t="s">
        <v>28312</v>
      </c>
      <c r="P6005" s="189" t="s">
        <v>58</v>
      </c>
      <c r="Q6005" s="52" t="s">
        <v>28313</v>
      </c>
      <c r="R6005" s="52" t="s">
        <v>16277</v>
      </c>
      <c r="S6005" s="52" t="s">
        <v>8418</v>
      </c>
      <c r="T6005" s="28" t="s">
        <v>28314</v>
      </c>
      <c r="U6005" s="29" t="s">
        <v>61</v>
      </c>
      <c r="V6005" s="30" t="s">
        <v>28315</v>
      </c>
      <c r="W6005" s="49"/>
      <c r="X6005" s="49"/>
      <c r="Y6005" s="35"/>
      <c r="Z6005" s="35"/>
      <c r="AA6005" s="35"/>
      <c r="AB6005" s="35"/>
      <c r="AC6005" s="35"/>
      <c r="AD6005" s="35"/>
      <c r="AE6005" s="35"/>
      <c r="AF6005" s="35"/>
      <c r="AG6005" s="35"/>
      <c r="AH6005" s="35"/>
      <c r="AI6005" s="35"/>
      <c r="AJ6005" s="35"/>
      <c r="AK6005" s="35"/>
      <c r="AL6005" s="35"/>
    </row>
    <row r="6006">
      <c r="A6006" s="1"/>
      <c r="B6006" s="19" t="s">
        <v>7020</v>
      </c>
      <c r="C6006" s="20" t="s">
        <v>28287</v>
      </c>
      <c r="D6006" s="47"/>
      <c r="E6006" s="22" t="s">
        <v>28316</v>
      </c>
      <c r="F6006" s="22" t="s">
        <v>1891</v>
      </c>
      <c r="G6006" s="23">
        <v>2005.0</v>
      </c>
      <c r="H6006" s="22" t="s">
        <v>3467</v>
      </c>
      <c r="I6006" s="24" t="s">
        <v>28317</v>
      </c>
      <c r="J6006" s="22" t="s">
        <v>28318</v>
      </c>
      <c r="K6006" s="22" t="s">
        <v>2686</v>
      </c>
      <c r="L6006" s="36">
        <v>830.0</v>
      </c>
      <c r="M6006" s="36" t="s">
        <v>58</v>
      </c>
      <c r="N6006" s="36" t="s">
        <v>16586</v>
      </c>
      <c r="O6006" s="36" t="s">
        <v>28319</v>
      </c>
      <c r="P6006" s="37" t="s">
        <v>2934</v>
      </c>
      <c r="Q6006" s="36" t="s">
        <v>58</v>
      </c>
      <c r="R6006" s="36" t="s">
        <v>28320</v>
      </c>
      <c r="S6006" s="36" t="s">
        <v>17419</v>
      </c>
      <c r="T6006" s="28" t="s">
        <v>28321</v>
      </c>
      <c r="U6006" s="38" t="str">
        <f>HYPERLINK("https://www.ncbi.nlm.nih.gov/pubmed/15844435","PubMed")</f>
        <v>PubMed</v>
      </c>
      <c r="V6006" s="30" t="s">
        <v>28322</v>
      </c>
      <c r="W6006" s="49"/>
      <c r="X6006" s="49"/>
      <c r="Y6006" s="35"/>
      <c r="Z6006" s="35"/>
      <c r="AA6006" s="35"/>
      <c r="AB6006" s="35"/>
      <c r="AC6006" s="35"/>
      <c r="AD6006" s="35"/>
      <c r="AE6006" s="35"/>
      <c r="AF6006" s="35"/>
      <c r="AG6006" s="35"/>
      <c r="AH6006" s="35"/>
      <c r="AI6006" s="35"/>
      <c r="AJ6006" s="35"/>
      <c r="AK6006" s="35"/>
      <c r="AL6006" s="35"/>
    </row>
    <row r="6007">
      <c r="A6007" s="1"/>
      <c r="B6007" s="19" t="s">
        <v>7020</v>
      </c>
      <c r="C6007" s="20" t="s">
        <v>28287</v>
      </c>
      <c r="D6007" s="47"/>
      <c r="E6007" s="22" t="s">
        <v>28323</v>
      </c>
      <c r="F6007" s="22" t="s">
        <v>2635</v>
      </c>
      <c r="G6007" s="23">
        <v>2003.0</v>
      </c>
      <c r="H6007" s="22" t="s">
        <v>18372</v>
      </c>
      <c r="I6007" s="24" t="s">
        <v>28324</v>
      </c>
      <c r="J6007" s="22" t="s">
        <v>28325</v>
      </c>
      <c r="K6007" s="22" t="s">
        <v>28326</v>
      </c>
      <c r="L6007" s="36">
        <v>904.0</v>
      </c>
      <c r="M6007" s="36">
        <v>27.0</v>
      </c>
      <c r="N6007" s="36" t="s">
        <v>58</v>
      </c>
      <c r="O6007" s="36" t="s">
        <v>58</v>
      </c>
      <c r="P6007" s="37" t="s">
        <v>58</v>
      </c>
      <c r="Q6007" s="36" t="s">
        <v>58</v>
      </c>
      <c r="R6007" s="36" t="s">
        <v>28327</v>
      </c>
      <c r="S6007" s="36" t="s">
        <v>28328</v>
      </c>
      <c r="T6007" s="42" t="s">
        <v>28329</v>
      </c>
      <c r="U6007" s="29" t="s">
        <v>61</v>
      </c>
      <c r="V6007" s="50"/>
      <c r="W6007" s="49"/>
      <c r="X6007" s="49"/>
      <c r="Y6007" s="35"/>
      <c r="Z6007" s="35"/>
      <c r="AA6007" s="35"/>
      <c r="AB6007" s="35"/>
      <c r="AC6007" s="35"/>
      <c r="AD6007" s="35"/>
      <c r="AE6007" s="35"/>
      <c r="AF6007" s="35"/>
      <c r="AG6007" s="35"/>
      <c r="AH6007" s="35"/>
      <c r="AI6007" s="35"/>
      <c r="AJ6007" s="35"/>
      <c r="AK6007" s="35"/>
      <c r="AL6007" s="35"/>
    </row>
    <row r="6008">
      <c r="A6008" s="40" t="s">
        <v>181</v>
      </c>
      <c r="B6008" s="19" t="s">
        <v>7020</v>
      </c>
      <c r="C6008" s="20" t="s">
        <v>28287</v>
      </c>
      <c r="D6008" s="47"/>
      <c r="E6008" s="22" t="s">
        <v>28330</v>
      </c>
      <c r="F6008" s="22" t="s">
        <v>1773</v>
      </c>
      <c r="G6008" s="23">
        <v>1998.0</v>
      </c>
      <c r="H6008" s="22" t="s">
        <v>3467</v>
      </c>
      <c r="I6008" s="24" t="s">
        <v>28331</v>
      </c>
      <c r="J6008" s="22" t="s">
        <v>28332</v>
      </c>
      <c r="K6008" s="22"/>
      <c r="L6008" s="36">
        <v>904.0</v>
      </c>
      <c r="M6008" s="183">
        <v>44835.0</v>
      </c>
      <c r="N6008" s="36" t="s">
        <v>58</v>
      </c>
      <c r="O6008" s="36" t="s">
        <v>58</v>
      </c>
      <c r="P6008" s="37" t="s">
        <v>58</v>
      </c>
      <c r="Q6008" s="36" t="s">
        <v>58</v>
      </c>
      <c r="R6008" s="36">
        <v>320.0</v>
      </c>
      <c r="S6008" s="36" t="s">
        <v>6951</v>
      </c>
      <c r="T6008" s="41" t="s">
        <v>28333</v>
      </c>
      <c r="U6008" s="29" t="s">
        <v>6010</v>
      </c>
      <c r="V6008" s="30" t="s">
        <v>28334</v>
      </c>
      <c r="W6008" s="49"/>
      <c r="X6008" s="49"/>
      <c r="Y6008" s="35"/>
      <c r="Z6008" s="35"/>
      <c r="AA6008" s="35"/>
      <c r="AB6008" s="35"/>
      <c r="AC6008" s="35"/>
      <c r="AD6008" s="35"/>
      <c r="AE6008" s="35"/>
      <c r="AF6008" s="35"/>
      <c r="AG6008" s="35"/>
      <c r="AH6008" s="35"/>
      <c r="AI6008" s="35"/>
      <c r="AJ6008" s="35"/>
      <c r="AK6008" s="35"/>
      <c r="AL6008" s="35"/>
    </row>
    <row r="6009">
      <c r="A6009" s="1"/>
      <c r="B6009" s="19" t="s">
        <v>7020</v>
      </c>
      <c r="C6009" s="20" t="s">
        <v>28287</v>
      </c>
      <c r="D6009" s="47"/>
      <c r="E6009" s="22" t="s">
        <v>7831</v>
      </c>
      <c r="F6009" s="22" t="s">
        <v>7832</v>
      </c>
      <c r="G6009" s="23">
        <v>1993.0</v>
      </c>
      <c r="H6009" s="22" t="s">
        <v>292</v>
      </c>
      <c r="I6009" s="24" t="s">
        <v>28335</v>
      </c>
      <c r="J6009" s="22" t="s">
        <v>28336</v>
      </c>
      <c r="K6009" s="22" t="s">
        <v>2686</v>
      </c>
      <c r="L6009" s="36">
        <v>633.0</v>
      </c>
      <c r="M6009" s="36" t="s">
        <v>28337</v>
      </c>
      <c r="N6009" s="36"/>
      <c r="O6009" s="36"/>
      <c r="P6009" s="37"/>
      <c r="Q6009" s="36"/>
      <c r="R6009" s="36">
        <v>2700.0</v>
      </c>
      <c r="S6009" s="183">
        <v>43223.0</v>
      </c>
      <c r="T6009" s="28" t="s">
        <v>28338</v>
      </c>
      <c r="U6009" s="38" t="str">
        <f>HYPERLINK("https://www.jstage.jst.go.jp/article/islsm/5/1/5_93-OR-01/_article","J-STAGE")</f>
        <v>J-STAGE</v>
      </c>
      <c r="V6009" s="50"/>
      <c r="W6009" s="49"/>
      <c r="X6009" s="49"/>
      <c r="Y6009" s="35"/>
      <c r="Z6009" s="35"/>
      <c r="AA6009" s="35"/>
      <c r="AB6009" s="35"/>
      <c r="AC6009" s="35"/>
      <c r="AD6009" s="35"/>
      <c r="AE6009" s="35"/>
      <c r="AF6009" s="35"/>
      <c r="AG6009" s="35"/>
      <c r="AH6009" s="35"/>
      <c r="AI6009" s="35"/>
      <c r="AJ6009" s="35"/>
      <c r="AK6009" s="35"/>
      <c r="AL6009" s="35"/>
    </row>
    <row r="6010">
      <c r="A6010" s="1"/>
      <c r="B6010" s="19" t="s">
        <v>7020</v>
      </c>
      <c r="C6010" s="20" t="s">
        <v>28287</v>
      </c>
      <c r="D6010" s="47"/>
      <c r="E6010" s="22" t="s">
        <v>28339</v>
      </c>
      <c r="F6010" s="22" t="s">
        <v>28340</v>
      </c>
      <c r="G6010" s="23">
        <v>1991.0</v>
      </c>
      <c r="H6010" s="22" t="s">
        <v>292</v>
      </c>
      <c r="I6010" s="24" t="s">
        <v>28341</v>
      </c>
      <c r="J6010" s="22" t="s">
        <v>28342</v>
      </c>
      <c r="K6010" s="22"/>
      <c r="L6010" s="36">
        <v>670.0</v>
      </c>
      <c r="M6010" s="36"/>
      <c r="N6010" s="36" t="s">
        <v>23550</v>
      </c>
      <c r="O6010" s="36"/>
      <c r="P6010" s="37"/>
      <c r="Q6010" s="36" t="s">
        <v>27171</v>
      </c>
      <c r="R6010" s="36"/>
      <c r="S6010" s="36">
        <v>1.0</v>
      </c>
      <c r="T6010" s="28" t="s">
        <v>28343</v>
      </c>
      <c r="U6010" s="38" t="str">
        <f>HYPERLINK("https://www.jstage.jst.go.jp/article/islsm/3/4/3_91-OR-21/_article/-char/en","J-STAGE")</f>
        <v>J-STAGE</v>
      </c>
      <c r="V6010" s="50"/>
      <c r="W6010" s="49"/>
      <c r="X6010" s="49"/>
      <c r="Y6010" s="35"/>
      <c r="Z6010" s="35"/>
      <c r="AA6010" s="35"/>
      <c r="AB6010" s="35"/>
      <c r="AC6010" s="35"/>
      <c r="AD6010" s="35"/>
      <c r="AE6010" s="35"/>
      <c r="AF6010" s="35"/>
      <c r="AG6010" s="35"/>
      <c r="AH6010" s="35"/>
      <c r="AI6010" s="35"/>
      <c r="AJ6010" s="35"/>
      <c r="AK6010" s="35"/>
      <c r="AL6010" s="35"/>
    </row>
    <row r="6011">
      <c r="A6011" s="1"/>
      <c r="B6011" s="75" t="s">
        <v>7020</v>
      </c>
      <c r="C6011" s="77" t="s">
        <v>28344</v>
      </c>
      <c r="D6011" s="47"/>
      <c r="E6011" s="22" t="s">
        <v>28345</v>
      </c>
      <c r="F6011" s="22" t="s">
        <v>11536</v>
      </c>
      <c r="G6011" s="23">
        <v>2024.0</v>
      </c>
      <c r="H6011" s="22" t="s">
        <v>28346</v>
      </c>
      <c r="I6011" s="24" t="s">
        <v>28347</v>
      </c>
      <c r="J6011" s="22" t="s">
        <v>28348</v>
      </c>
      <c r="K6011" s="22" t="s">
        <v>28349</v>
      </c>
      <c r="L6011" s="52">
        <v>980.0</v>
      </c>
      <c r="M6011" s="52"/>
      <c r="N6011" s="52"/>
      <c r="O6011" s="52"/>
      <c r="P6011" s="189" t="s">
        <v>70</v>
      </c>
      <c r="Q6011" s="52" t="s">
        <v>28350</v>
      </c>
      <c r="R6011" s="52"/>
      <c r="S6011" s="52" t="s">
        <v>8476</v>
      </c>
      <c r="T6011" s="28" t="s">
        <v>28351</v>
      </c>
      <c r="U6011" s="38" t="s">
        <v>61</v>
      </c>
      <c r="V6011" s="30"/>
      <c r="W6011" s="49"/>
      <c r="X6011" s="49"/>
      <c r="Y6011" s="35"/>
      <c r="Z6011" s="35"/>
      <c r="AA6011" s="35"/>
      <c r="AB6011" s="35"/>
      <c r="AC6011" s="35"/>
      <c r="AD6011" s="35"/>
      <c r="AE6011" s="35"/>
      <c r="AF6011" s="35"/>
      <c r="AG6011" s="35"/>
      <c r="AH6011" s="35"/>
      <c r="AI6011" s="35"/>
      <c r="AJ6011" s="35"/>
      <c r="AK6011" s="35"/>
      <c r="AL6011" s="35"/>
    </row>
    <row r="6012">
      <c r="A6012" s="1"/>
      <c r="B6012" s="75" t="s">
        <v>7020</v>
      </c>
      <c r="C6012" s="77" t="s">
        <v>28344</v>
      </c>
      <c r="D6012" s="47"/>
      <c r="E6012" s="22" t="s">
        <v>28352</v>
      </c>
      <c r="F6012" s="22" t="s">
        <v>28353</v>
      </c>
      <c r="G6012" s="23">
        <v>2024.0</v>
      </c>
      <c r="H6012" s="22" t="s">
        <v>15964</v>
      </c>
      <c r="I6012" s="24" t="s">
        <v>28354</v>
      </c>
      <c r="J6012" s="22" t="s">
        <v>28355</v>
      </c>
      <c r="K6012" s="22"/>
      <c r="L6012" s="52" t="s">
        <v>14643</v>
      </c>
      <c r="M6012" s="52"/>
      <c r="N6012" s="52"/>
      <c r="O6012" s="52"/>
      <c r="P6012" s="189"/>
      <c r="Q6012" s="52"/>
      <c r="R6012" s="52"/>
      <c r="S6012" s="52" t="s">
        <v>8476</v>
      </c>
      <c r="T6012" s="28" t="s">
        <v>28356</v>
      </c>
      <c r="U6012" s="38" t="s">
        <v>61</v>
      </c>
      <c r="V6012" s="30"/>
      <c r="W6012" s="49"/>
      <c r="X6012" s="49"/>
      <c r="Y6012" s="35"/>
      <c r="Z6012" s="35"/>
      <c r="AA6012" s="35"/>
      <c r="AB6012" s="35"/>
      <c r="AC6012" s="35"/>
      <c r="AD6012" s="35"/>
      <c r="AE6012" s="35"/>
      <c r="AF6012" s="35"/>
      <c r="AG6012" s="35"/>
      <c r="AH6012" s="35"/>
      <c r="AI6012" s="35"/>
      <c r="AJ6012" s="35"/>
      <c r="AK6012" s="35"/>
      <c r="AL6012" s="35"/>
    </row>
    <row r="6013">
      <c r="A6013" s="1"/>
      <c r="B6013" s="19" t="s">
        <v>7020</v>
      </c>
      <c r="C6013" s="20" t="s">
        <v>28344</v>
      </c>
      <c r="D6013" s="47"/>
      <c r="E6013" s="22" t="s">
        <v>28357</v>
      </c>
      <c r="F6013" s="22" t="s">
        <v>2214</v>
      </c>
      <c r="G6013" s="23">
        <v>2023.0</v>
      </c>
      <c r="H6013" s="22" t="s">
        <v>91</v>
      </c>
      <c r="I6013" s="24" t="s">
        <v>28358</v>
      </c>
      <c r="J6013" s="22" t="s">
        <v>28359</v>
      </c>
      <c r="K6013" s="22" t="s">
        <v>28360</v>
      </c>
      <c r="L6013" s="52">
        <v>1064.0</v>
      </c>
      <c r="M6013" s="52"/>
      <c r="N6013" s="52"/>
      <c r="O6013" s="52">
        <v>150.0</v>
      </c>
      <c r="P6013" s="189"/>
      <c r="Q6013" s="52"/>
      <c r="R6013" s="52" t="s">
        <v>28361</v>
      </c>
      <c r="S6013" s="52" t="s">
        <v>4387</v>
      </c>
      <c r="T6013" s="28" t="s">
        <v>28362</v>
      </c>
      <c r="U6013" s="38" t="s">
        <v>61</v>
      </c>
      <c r="V6013" s="30" t="s">
        <v>28363</v>
      </c>
      <c r="W6013" s="49"/>
      <c r="X6013" s="49"/>
      <c r="Y6013" s="35"/>
      <c r="Z6013" s="35"/>
      <c r="AA6013" s="35"/>
      <c r="AB6013" s="35"/>
      <c r="AC6013" s="35"/>
      <c r="AD6013" s="35"/>
      <c r="AE6013" s="35"/>
      <c r="AF6013" s="35"/>
      <c r="AG6013" s="35"/>
      <c r="AH6013" s="35"/>
      <c r="AI6013" s="35"/>
      <c r="AJ6013" s="35"/>
      <c r="AK6013" s="35"/>
      <c r="AL6013" s="35"/>
    </row>
    <row r="6014">
      <c r="A6014" s="1"/>
      <c r="B6014" s="19" t="s">
        <v>7020</v>
      </c>
      <c r="C6014" s="20" t="s">
        <v>28344</v>
      </c>
      <c r="D6014" s="47"/>
      <c r="E6014" s="22" t="s">
        <v>16339</v>
      </c>
      <c r="F6014" s="22" t="s">
        <v>400</v>
      </c>
      <c r="G6014" s="23">
        <v>2023.0</v>
      </c>
      <c r="H6014" s="22" t="s">
        <v>91</v>
      </c>
      <c r="I6014" s="24" t="s">
        <v>28364</v>
      </c>
      <c r="J6014" s="22" t="s">
        <v>1078</v>
      </c>
      <c r="K6014" s="22"/>
      <c r="L6014" s="398" t="s">
        <v>172</v>
      </c>
      <c r="U6014" s="38" t="s">
        <v>61</v>
      </c>
      <c r="V6014" s="50"/>
      <c r="W6014" s="49"/>
      <c r="X6014" s="49"/>
      <c r="Y6014" s="35"/>
      <c r="Z6014" s="35"/>
      <c r="AA6014" s="35"/>
      <c r="AB6014" s="35"/>
      <c r="AC6014" s="35"/>
      <c r="AD6014" s="35"/>
      <c r="AE6014" s="35"/>
      <c r="AF6014" s="35"/>
      <c r="AG6014" s="35"/>
      <c r="AH6014" s="35"/>
      <c r="AI6014" s="35"/>
      <c r="AJ6014" s="35"/>
      <c r="AK6014" s="35"/>
      <c r="AL6014" s="35"/>
    </row>
    <row r="6015">
      <c r="A6015" s="40"/>
      <c r="B6015" s="19" t="s">
        <v>7020</v>
      </c>
      <c r="C6015" s="20" t="s">
        <v>28344</v>
      </c>
      <c r="D6015" s="47"/>
      <c r="E6015" s="22" t="s">
        <v>28365</v>
      </c>
      <c r="F6015" s="22" t="s">
        <v>28366</v>
      </c>
      <c r="G6015" s="23">
        <v>2023.0</v>
      </c>
      <c r="H6015" s="22" t="s">
        <v>28367</v>
      </c>
      <c r="I6015" s="24" t="s">
        <v>28368</v>
      </c>
      <c r="J6015" s="22" t="s">
        <v>28369</v>
      </c>
      <c r="K6015" s="22" t="s">
        <v>28370</v>
      </c>
      <c r="L6015" s="52"/>
      <c r="M6015" s="52"/>
      <c r="N6015" s="52"/>
      <c r="O6015" s="52"/>
      <c r="P6015" s="189"/>
      <c r="Q6015" s="52"/>
      <c r="R6015" s="52"/>
      <c r="S6015" s="52"/>
      <c r="T6015" s="28" t="s">
        <v>28371</v>
      </c>
      <c r="U6015" s="38" t="s">
        <v>61</v>
      </c>
      <c r="V6015" s="30" t="s">
        <v>174</v>
      </c>
      <c r="W6015" s="49"/>
      <c r="X6015" s="49"/>
      <c r="Y6015" s="35"/>
      <c r="Z6015" s="35"/>
      <c r="AA6015" s="35"/>
      <c r="AB6015" s="35"/>
      <c r="AC6015" s="35"/>
      <c r="AD6015" s="35"/>
      <c r="AE6015" s="35"/>
      <c r="AF6015" s="35"/>
      <c r="AG6015" s="35"/>
      <c r="AH6015" s="35"/>
      <c r="AI6015" s="35"/>
      <c r="AJ6015" s="35"/>
      <c r="AK6015" s="35"/>
      <c r="AL6015" s="35"/>
    </row>
    <row r="6016">
      <c r="A6016" s="1"/>
      <c r="B6016" s="19" t="s">
        <v>7020</v>
      </c>
      <c r="C6016" s="20" t="s">
        <v>28344</v>
      </c>
      <c r="D6016" s="47"/>
      <c r="E6016" s="22" t="s">
        <v>28372</v>
      </c>
      <c r="F6016" s="22" t="s">
        <v>13151</v>
      </c>
      <c r="G6016" s="23">
        <v>2022.0</v>
      </c>
      <c r="H6016" s="22" t="s">
        <v>14619</v>
      </c>
      <c r="I6016" s="24" t="s">
        <v>28373</v>
      </c>
      <c r="J6016" s="22" t="s">
        <v>28374</v>
      </c>
      <c r="K6016" s="22" t="s">
        <v>28375</v>
      </c>
      <c r="L6016" s="52">
        <v>904.0</v>
      </c>
      <c r="M6016" s="52"/>
      <c r="N6016" s="52"/>
      <c r="O6016" s="52"/>
      <c r="P6016" s="189"/>
      <c r="Q6016" s="52"/>
      <c r="R6016" s="52"/>
      <c r="S6016" s="52">
        <v>10.0</v>
      </c>
      <c r="T6016" s="54" t="s">
        <v>28376</v>
      </c>
      <c r="U6016" s="38" t="s">
        <v>61</v>
      </c>
      <c r="V6016" s="50"/>
      <c r="W6016" s="49"/>
      <c r="X6016" s="49"/>
      <c r="Y6016" s="35"/>
      <c r="Z6016" s="35"/>
      <c r="AA6016" s="35"/>
      <c r="AB6016" s="35"/>
      <c r="AC6016" s="35"/>
      <c r="AD6016" s="35"/>
      <c r="AE6016" s="35"/>
      <c r="AF6016" s="35"/>
      <c r="AG6016" s="35"/>
      <c r="AH6016" s="35"/>
      <c r="AI6016" s="35"/>
      <c r="AJ6016" s="35"/>
      <c r="AK6016" s="35"/>
      <c r="AL6016" s="35"/>
    </row>
    <row r="6017">
      <c r="A6017" s="40" t="s">
        <v>181</v>
      </c>
      <c r="B6017" s="19" t="s">
        <v>7020</v>
      </c>
      <c r="C6017" s="20" t="s">
        <v>28344</v>
      </c>
      <c r="D6017" s="47"/>
      <c r="E6017" s="22" t="s">
        <v>28377</v>
      </c>
      <c r="F6017" s="22" t="s">
        <v>605</v>
      </c>
      <c r="G6017" s="23">
        <v>2022.0</v>
      </c>
      <c r="H6017" s="22" t="s">
        <v>17938</v>
      </c>
      <c r="I6017" s="24" t="s">
        <v>28378</v>
      </c>
      <c r="J6017" s="22" t="s">
        <v>28379</v>
      </c>
      <c r="K6017" s="22" t="s">
        <v>28370</v>
      </c>
      <c r="L6017" s="52">
        <v>850.0</v>
      </c>
      <c r="M6017" s="52">
        <v>100.0</v>
      </c>
      <c r="N6017" s="52" t="s">
        <v>58</v>
      </c>
      <c r="O6017" s="52" t="s">
        <v>58</v>
      </c>
      <c r="P6017" s="189" t="s">
        <v>28380</v>
      </c>
      <c r="Q6017" s="52" t="s">
        <v>58</v>
      </c>
      <c r="R6017" s="52" t="s">
        <v>58</v>
      </c>
      <c r="S6017" s="52" t="s">
        <v>8476</v>
      </c>
      <c r="T6017" s="28" t="s">
        <v>28381</v>
      </c>
      <c r="U6017" s="38" t="s">
        <v>61</v>
      </c>
      <c r="V6017" s="30" t="s">
        <v>28382</v>
      </c>
      <c r="W6017" s="49"/>
      <c r="X6017" s="49"/>
      <c r="Y6017" s="35"/>
      <c r="Z6017" s="35"/>
      <c r="AA6017" s="35"/>
      <c r="AB6017" s="35"/>
      <c r="AC6017" s="35"/>
      <c r="AD6017" s="35"/>
      <c r="AE6017" s="35"/>
      <c r="AF6017" s="35"/>
      <c r="AG6017" s="35"/>
      <c r="AH6017" s="35"/>
      <c r="AI6017" s="35"/>
      <c r="AJ6017" s="35"/>
      <c r="AK6017" s="35"/>
      <c r="AL6017" s="35"/>
    </row>
    <row r="6018">
      <c r="A6018" s="1"/>
      <c r="B6018" s="19" t="s">
        <v>7020</v>
      </c>
      <c r="C6018" s="20" t="s">
        <v>28344</v>
      </c>
      <c r="D6018" s="47"/>
      <c r="E6018" s="22" t="s">
        <v>28383</v>
      </c>
      <c r="F6018" s="22" t="s">
        <v>1465</v>
      </c>
      <c r="G6018" s="23">
        <v>2022.0</v>
      </c>
      <c r="H6018" s="22" t="s">
        <v>6911</v>
      </c>
      <c r="I6018" s="24" t="s">
        <v>28384</v>
      </c>
      <c r="J6018" s="22" t="s">
        <v>1078</v>
      </c>
      <c r="K6018" s="22"/>
      <c r="L6018" s="173" t="s">
        <v>28385</v>
      </c>
      <c r="U6018" s="38" t="s">
        <v>61</v>
      </c>
      <c r="V6018" s="50"/>
      <c r="W6018" s="49"/>
      <c r="X6018" s="49"/>
      <c r="Y6018" s="35"/>
      <c r="Z6018" s="35"/>
      <c r="AA6018" s="35"/>
      <c r="AB6018" s="35"/>
      <c r="AC6018" s="35"/>
      <c r="AD6018" s="35"/>
      <c r="AE6018" s="35"/>
      <c r="AF6018" s="35"/>
      <c r="AG6018" s="35"/>
      <c r="AH6018" s="35"/>
      <c r="AI6018" s="35"/>
      <c r="AJ6018" s="35"/>
      <c r="AK6018" s="35"/>
      <c r="AL6018" s="35"/>
    </row>
    <row r="6019">
      <c r="A6019" s="1"/>
      <c r="B6019" s="19" t="s">
        <v>7020</v>
      </c>
      <c r="C6019" s="20" t="s">
        <v>28344</v>
      </c>
      <c r="D6019" s="47"/>
      <c r="E6019" s="22" t="s">
        <v>21125</v>
      </c>
      <c r="F6019" s="22" t="s">
        <v>22128</v>
      </c>
      <c r="G6019" s="23">
        <v>2021.0</v>
      </c>
      <c r="H6019" s="22" t="s">
        <v>28386</v>
      </c>
      <c r="I6019" s="24" t="s">
        <v>28387</v>
      </c>
      <c r="J6019" s="22" t="s">
        <v>1078</v>
      </c>
      <c r="K6019" s="22"/>
      <c r="L6019" s="173" t="s">
        <v>28388</v>
      </c>
      <c r="U6019" s="29" t="s">
        <v>61</v>
      </c>
      <c r="V6019" s="50"/>
      <c r="W6019" s="49"/>
      <c r="X6019" s="49"/>
      <c r="Y6019" s="35"/>
      <c r="Z6019" s="35"/>
      <c r="AA6019" s="35"/>
      <c r="AB6019" s="35"/>
      <c r="AC6019" s="35"/>
      <c r="AD6019" s="35"/>
      <c r="AE6019" s="35"/>
      <c r="AF6019" s="35"/>
      <c r="AG6019" s="35"/>
      <c r="AH6019" s="35"/>
      <c r="AI6019" s="35"/>
      <c r="AJ6019" s="35"/>
      <c r="AK6019" s="35"/>
      <c r="AL6019" s="35"/>
    </row>
    <row r="6020">
      <c r="A6020" s="1"/>
      <c r="B6020" s="19" t="s">
        <v>7020</v>
      </c>
      <c r="C6020" s="20" t="s">
        <v>28344</v>
      </c>
      <c r="D6020" s="47"/>
      <c r="E6020" s="22" t="s">
        <v>28389</v>
      </c>
      <c r="F6020" s="22" t="s">
        <v>28390</v>
      </c>
      <c r="G6020" s="23">
        <v>2021.0</v>
      </c>
      <c r="H6020" s="22" t="s">
        <v>14619</v>
      </c>
      <c r="I6020" s="24" t="s">
        <v>28391</v>
      </c>
      <c r="J6020" s="22" t="s">
        <v>28392</v>
      </c>
      <c r="K6020" s="22" t="s">
        <v>28393</v>
      </c>
      <c r="L6020" s="52">
        <v>904.0</v>
      </c>
      <c r="M6020" s="52" t="s">
        <v>58</v>
      </c>
      <c r="N6020" s="52" t="s">
        <v>58</v>
      </c>
      <c r="O6020" s="52" t="s">
        <v>58</v>
      </c>
      <c r="P6020" s="189" t="s">
        <v>70</v>
      </c>
      <c r="Q6020" s="52" t="s">
        <v>58</v>
      </c>
      <c r="R6020" s="52">
        <v>300.0</v>
      </c>
      <c r="S6020" s="52">
        <v>15.0</v>
      </c>
      <c r="T6020" s="28" t="s">
        <v>28394</v>
      </c>
      <c r="U6020" s="29" t="s">
        <v>61</v>
      </c>
      <c r="V6020" s="50"/>
      <c r="W6020" s="49"/>
      <c r="X6020" s="49"/>
      <c r="Y6020" s="35"/>
      <c r="Z6020" s="35"/>
      <c r="AA6020" s="35"/>
      <c r="AB6020" s="35"/>
      <c r="AC6020" s="35"/>
      <c r="AD6020" s="35"/>
      <c r="AE6020" s="35"/>
      <c r="AF6020" s="35"/>
      <c r="AG6020" s="35"/>
      <c r="AH6020" s="35"/>
      <c r="AI6020" s="35"/>
      <c r="AJ6020" s="35"/>
      <c r="AK6020" s="35"/>
      <c r="AL6020" s="35"/>
    </row>
    <row r="6021">
      <c r="A6021" s="1"/>
      <c r="B6021" s="19" t="s">
        <v>7020</v>
      </c>
      <c r="C6021" s="20" t="s">
        <v>28344</v>
      </c>
      <c r="D6021" s="47"/>
      <c r="E6021" s="22" t="s">
        <v>28395</v>
      </c>
      <c r="F6021" s="22" t="s">
        <v>21753</v>
      </c>
      <c r="G6021" s="23">
        <v>2020.0</v>
      </c>
      <c r="H6021" s="22" t="s">
        <v>28396</v>
      </c>
      <c r="I6021" s="24" t="s">
        <v>28397</v>
      </c>
      <c r="J6021" s="22" t="s">
        <v>28398</v>
      </c>
      <c r="K6021" s="22" t="s">
        <v>28393</v>
      </c>
      <c r="L6021" s="52">
        <v>830.0</v>
      </c>
      <c r="M6021" s="52">
        <v>50.0</v>
      </c>
      <c r="N6021" s="52"/>
      <c r="O6021" s="52"/>
      <c r="P6021" s="189" t="s">
        <v>70</v>
      </c>
      <c r="Q6021" s="52"/>
      <c r="R6021" s="52"/>
      <c r="S6021" s="52">
        <v>14.0</v>
      </c>
      <c r="T6021" s="28" t="s">
        <v>28399</v>
      </c>
      <c r="U6021" s="29" t="s">
        <v>61</v>
      </c>
      <c r="V6021" s="50"/>
      <c r="W6021" s="49"/>
      <c r="X6021" s="49"/>
      <c r="Y6021" s="35"/>
      <c r="Z6021" s="35"/>
      <c r="AA6021" s="35"/>
      <c r="AB6021" s="35"/>
      <c r="AC6021" s="35"/>
      <c r="AD6021" s="35"/>
      <c r="AE6021" s="35"/>
      <c r="AF6021" s="35"/>
      <c r="AG6021" s="35"/>
      <c r="AH6021" s="35"/>
      <c r="AI6021" s="35"/>
      <c r="AJ6021" s="35"/>
      <c r="AK6021" s="35"/>
      <c r="AL6021" s="35"/>
    </row>
    <row r="6022">
      <c r="A6022" s="1"/>
      <c r="B6022" s="19" t="s">
        <v>7020</v>
      </c>
      <c r="C6022" s="20" t="s">
        <v>28344</v>
      </c>
      <c r="D6022" s="47"/>
      <c r="E6022" s="22" t="s">
        <v>28400</v>
      </c>
      <c r="F6022" s="22" t="s">
        <v>28401</v>
      </c>
      <c r="G6022" s="23">
        <v>2020.0</v>
      </c>
      <c r="H6022" s="22" t="s">
        <v>13257</v>
      </c>
      <c r="I6022" s="24" t="s">
        <v>28402</v>
      </c>
      <c r="J6022" s="22" t="s">
        <v>28403</v>
      </c>
      <c r="K6022" s="22" t="s">
        <v>28404</v>
      </c>
      <c r="L6022" s="52" t="s">
        <v>28405</v>
      </c>
      <c r="M6022" s="52" t="s">
        <v>28406</v>
      </c>
      <c r="N6022" s="52" t="s">
        <v>58</v>
      </c>
      <c r="O6022" s="52" t="s">
        <v>28407</v>
      </c>
      <c r="P6022" s="189" t="s">
        <v>28408</v>
      </c>
      <c r="Q6022" s="52" t="s">
        <v>28409</v>
      </c>
      <c r="R6022" s="52" t="s">
        <v>28410</v>
      </c>
      <c r="S6022" s="52" t="s">
        <v>28411</v>
      </c>
      <c r="T6022" s="42" t="s">
        <v>28412</v>
      </c>
      <c r="U6022" s="29" t="s">
        <v>61</v>
      </c>
      <c r="V6022" s="50"/>
      <c r="W6022" s="49"/>
      <c r="X6022" s="49"/>
      <c r="Y6022" s="35"/>
      <c r="Z6022" s="35"/>
      <c r="AA6022" s="35"/>
      <c r="AB6022" s="35"/>
      <c r="AC6022" s="35"/>
      <c r="AD6022" s="35"/>
      <c r="AE6022" s="35"/>
      <c r="AF6022" s="35"/>
      <c r="AG6022" s="35"/>
      <c r="AH6022" s="35"/>
      <c r="AI6022" s="35"/>
      <c r="AJ6022" s="35"/>
      <c r="AK6022" s="35"/>
      <c r="AL6022" s="35"/>
    </row>
    <row r="6023">
      <c r="A6023" s="1"/>
      <c r="B6023" s="19" t="s">
        <v>7020</v>
      </c>
      <c r="C6023" s="20" t="s">
        <v>28344</v>
      </c>
      <c r="D6023" s="47"/>
      <c r="E6023" s="22" t="s">
        <v>28413</v>
      </c>
      <c r="F6023" s="22" t="s">
        <v>26939</v>
      </c>
      <c r="G6023" s="23" t="s">
        <v>76</v>
      </c>
      <c r="H6023" s="22" t="s">
        <v>91</v>
      </c>
      <c r="I6023" s="24" t="s">
        <v>28414</v>
      </c>
      <c r="J6023" s="22" t="s">
        <v>28415</v>
      </c>
      <c r="K6023" s="22" t="s">
        <v>28416</v>
      </c>
      <c r="L6023" s="52">
        <v>1064.0</v>
      </c>
      <c r="M6023" s="52" t="s">
        <v>58</v>
      </c>
      <c r="N6023" s="52" t="s">
        <v>58</v>
      </c>
      <c r="O6023" s="399" t="s">
        <v>28417</v>
      </c>
      <c r="P6023" s="189" t="s">
        <v>28418</v>
      </c>
      <c r="Q6023" s="52" t="s">
        <v>27952</v>
      </c>
      <c r="R6023" s="52" t="s">
        <v>19643</v>
      </c>
      <c r="S6023" s="52" t="s">
        <v>4708</v>
      </c>
      <c r="T6023" s="41" t="s">
        <v>28419</v>
      </c>
      <c r="U6023" s="38" t="str">
        <f>HYPERLINK("https://www.ncbi.nlm.nih.gov/pubmed/31478095","PubMed")</f>
        <v>PubMed</v>
      </c>
      <c r="V6023" s="30" t="s">
        <v>28420</v>
      </c>
      <c r="W6023" s="49"/>
      <c r="X6023" s="49"/>
      <c r="Y6023" s="35"/>
      <c r="Z6023" s="35"/>
      <c r="AA6023" s="35"/>
      <c r="AB6023" s="35"/>
      <c r="AC6023" s="35"/>
      <c r="AD6023" s="35"/>
      <c r="AE6023" s="35"/>
      <c r="AF6023" s="35"/>
      <c r="AG6023" s="35"/>
      <c r="AH6023" s="35"/>
      <c r="AI6023" s="35"/>
      <c r="AJ6023" s="35"/>
      <c r="AK6023" s="35"/>
      <c r="AL6023" s="35"/>
    </row>
    <row r="6024">
      <c r="A6024" s="1"/>
      <c r="B6024" s="19" t="s">
        <v>7020</v>
      </c>
      <c r="C6024" s="20" t="s">
        <v>28344</v>
      </c>
      <c r="D6024" s="47"/>
      <c r="E6024" s="22" t="s">
        <v>2850</v>
      </c>
      <c r="F6024" s="22" t="s">
        <v>41</v>
      </c>
      <c r="G6024" s="23">
        <v>2019.0</v>
      </c>
      <c r="H6024" s="22" t="s">
        <v>77</v>
      </c>
      <c r="I6024" s="24" t="s">
        <v>28421</v>
      </c>
      <c r="J6024" s="22" t="s">
        <v>1078</v>
      </c>
      <c r="K6024" s="22"/>
      <c r="L6024" s="202" t="s">
        <v>28422</v>
      </c>
      <c r="U6024" s="38" t="str">
        <f>HYPERLINK("https://www.ncbi.nlm.nih.gov/pubmed/31107161","PubMed")</f>
        <v>PubMed</v>
      </c>
      <c r="V6024" s="50"/>
      <c r="W6024" s="49"/>
      <c r="X6024" s="49"/>
      <c r="Y6024" s="35"/>
      <c r="Z6024" s="35"/>
      <c r="AA6024" s="35"/>
      <c r="AB6024" s="35"/>
      <c r="AC6024" s="35"/>
      <c r="AD6024" s="35"/>
      <c r="AE6024" s="35"/>
      <c r="AF6024" s="35"/>
      <c r="AG6024" s="35"/>
      <c r="AH6024" s="35"/>
      <c r="AI6024" s="35"/>
      <c r="AJ6024" s="35"/>
      <c r="AK6024" s="35"/>
      <c r="AL6024" s="35"/>
    </row>
    <row r="6025">
      <c r="A6025" s="1"/>
      <c r="B6025" s="19" t="s">
        <v>7020</v>
      </c>
      <c r="C6025" s="20" t="s">
        <v>28344</v>
      </c>
      <c r="D6025" s="47"/>
      <c r="E6025" s="22" t="s">
        <v>626</v>
      </c>
      <c r="F6025" s="22" t="s">
        <v>2833</v>
      </c>
      <c r="G6025" s="23">
        <v>2019.0</v>
      </c>
      <c r="H6025" s="22" t="s">
        <v>3828</v>
      </c>
      <c r="I6025" s="24" t="s">
        <v>28423</v>
      </c>
      <c r="J6025" s="22" t="s">
        <v>1078</v>
      </c>
      <c r="K6025" s="22"/>
      <c r="L6025" s="202" t="s">
        <v>28424</v>
      </c>
      <c r="U6025" s="38" t="str">
        <f>HYPERLINK("https://www.ncbi.nlm.nih.gov/pubmed/30653125","PubMed")</f>
        <v>PubMed</v>
      </c>
      <c r="V6025" s="50"/>
      <c r="W6025" s="49"/>
      <c r="X6025" s="49"/>
      <c r="Y6025" s="35"/>
      <c r="Z6025" s="35"/>
      <c r="AA6025" s="35"/>
      <c r="AB6025" s="35"/>
      <c r="AC6025" s="35"/>
      <c r="AD6025" s="35"/>
      <c r="AE6025" s="35"/>
      <c r="AF6025" s="35"/>
      <c r="AG6025" s="35"/>
      <c r="AH6025" s="35"/>
      <c r="AI6025" s="35"/>
      <c r="AJ6025" s="35"/>
      <c r="AK6025" s="35"/>
      <c r="AL6025" s="35"/>
    </row>
    <row r="6026">
      <c r="A6026" s="40"/>
      <c r="B6026" s="19" t="s">
        <v>7020</v>
      </c>
      <c r="C6026" s="20" t="s">
        <v>28344</v>
      </c>
      <c r="D6026" s="47"/>
      <c r="E6026" s="22" t="s">
        <v>1689</v>
      </c>
      <c r="F6026" s="22" t="s">
        <v>224</v>
      </c>
      <c r="G6026" s="23">
        <v>2018.0</v>
      </c>
      <c r="H6026" s="22" t="s">
        <v>3828</v>
      </c>
      <c r="I6026" s="24" t="s">
        <v>28425</v>
      </c>
      <c r="J6026" s="22" t="s">
        <v>1078</v>
      </c>
      <c r="K6026" s="22"/>
      <c r="L6026" s="196" t="s">
        <v>28426</v>
      </c>
      <c r="U6026" s="38" t="str">
        <f>HYPERLINK("https://www.ncbi.nlm.nih.gov/pubmed/30412072","PubMed")</f>
        <v>PubMed</v>
      </c>
      <c r="V6026" s="50"/>
      <c r="W6026" s="49"/>
      <c r="X6026" s="49"/>
      <c r="Y6026" s="35"/>
      <c r="Z6026" s="35"/>
      <c r="AA6026" s="35"/>
      <c r="AB6026" s="35"/>
      <c r="AC6026" s="35"/>
      <c r="AD6026" s="35"/>
      <c r="AE6026" s="35"/>
      <c r="AF6026" s="35"/>
      <c r="AG6026" s="35"/>
      <c r="AH6026" s="35"/>
      <c r="AI6026" s="35"/>
      <c r="AJ6026" s="35"/>
      <c r="AK6026" s="35"/>
      <c r="AL6026" s="35"/>
    </row>
    <row r="6027">
      <c r="A6027" s="40"/>
      <c r="B6027" s="19" t="s">
        <v>7020</v>
      </c>
      <c r="C6027" s="20" t="s">
        <v>28344</v>
      </c>
      <c r="D6027" s="47"/>
      <c r="E6027" s="22" t="s">
        <v>28427</v>
      </c>
      <c r="F6027" s="22" t="s">
        <v>28428</v>
      </c>
      <c r="G6027" s="23">
        <v>2018.0</v>
      </c>
      <c r="H6027" s="22" t="s">
        <v>14619</v>
      </c>
      <c r="I6027" s="24" t="s">
        <v>28429</v>
      </c>
      <c r="J6027" s="22" t="s">
        <v>28430</v>
      </c>
      <c r="K6027" s="22" t="s">
        <v>28431</v>
      </c>
      <c r="L6027" s="52">
        <v>685.0</v>
      </c>
      <c r="M6027" s="52">
        <v>30.0</v>
      </c>
      <c r="N6027" s="52" t="s">
        <v>58</v>
      </c>
      <c r="O6027" s="52" t="s">
        <v>58</v>
      </c>
      <c r="P6027" s="189" t="s">
        <v>269</v>
      </c>
      <c r="Q6027" s="52" t="s">
        <v>58</v>
      </c>
      <c r="R6027" s="52" t="s">
        <v>58</v>
      </c>
      <c r="S6027" s="52" t="s">
        <v>4905</v>
      </c>
      <c r="T6027" s="28" t="s">
        <v>28432</v>
      </c>
      <c r="U6027" s="38" t="s">
        <v>61</v>
      </c>
      <c r="V6027" s="30" t="s">
        <v>28433</v>
      </c>
      <c r="W6027" s="49"/>
      <c r="X6027" s="49"/>
      <c r="Y6027" s="35"/>
      <c r="Z6027" s="35"/>
      <c r="AA6027" s="35"/>
      <c r="AB6027" s="35"/>
      <c r="AC6027" s="35"/>
      <c r="AD6027" s="35"/>
      <c r="AE6027" s="35"/>
      <c r="AF6027" s="35"/>
      <c r="AG6027" s="35"/>
      <c r="AH6027" s="35"/>
      <c r="AI6027" s="35"/>
      <c r="AJ6027" s="35"/>
      <c r="AK6027" s="35"/>
      <c r="AL6027" s="35"/>
    </row>
    <row r="6028">
      <c r="A6028" s="40"/>
      <c r="B6028" s="19" t="s">
        <v>7020</v>
      </c>
      <c r="C6028" s="20" t="s">
        <v>28344</v>
      </c>
      <c r="D6028" s="47"/>
      <c r="E6028" s="22" t="s">
        <v>28434</v>
      </c>
      <c r="F6028" s="22" t="s">
        <v>13162</v>
      </c>
      <c r="G6028" s="23">
        <v>2018.0</v>
      </c>
      <c r="H6028" s="22" t="s">
        <v>91</v>
      </c>
      <c r="I6028" s="24" t="s">
        <v>28435</v>
      </c>
      <c r="J6028" s="22" t="s">
        <v>28436</v>
      </c>
      <c r="K6028" s="22" t="s">
        <v>4743</v>
      </c>
      <c r="L6028" s="36" t="s">
        <v>28437</v>
      </c>
      <c r="M6028" s="36" t="s">
        <v>28438</v>
      </c>
      <c r="N6028" s="36"/>
      <c r="O6028" s="36" t="s">
        <v>4694</v>
      </c>
      <c r="P6028" s="37"/>
      <c r="Q6028" s="36"/>
      <c r="R6028" s="36" t="s">
        <v>4694</v>
      </c>
      <c r="S6028" s="36" t="s">
        <v>8476</v>
      </c>
      <c r="T6028" s="28" t="s">
        <v>28439</v>
      </c>
      <c r="U6028" s="38" t="str">
        <f>HYPERLINK("https://www.ncbi.nlm.nih.gov/pubmed/29627888","PubMed")</f>
        <v>PubMed</v>
      </c>
      <c r="V6028" s="50"/>
      <c r="W6028" s="49"/>
      <c r="X6028" s="49"/>
      <c r="Y6028" s="35"/>
      <c r="Z6028" s="35"/>
      <c r="AA6028" s="35"/>
      <c r="AB6028" s="35"/>
      <c r="AC6028" s="35"/>
      <c r="AD6028" s="35"/>
      <c r="AE6028" s="35"/>
      <c r="AF6028" s="35"/>
      <c r="AG6028" s="35"/>
      <c r="AH6028" s="35"/>
      <c r="AI6028" s="35"/>
      <c r="AJ6028" s="35"/>
      <c r="AK6028" s="35"/>
      <c r="AL6028" s="35"/>
    </row>
    <row r="6029">
      <c r="A6029" s="40" t="s">
        <v>181</v>
      </c>
      <c r="B6029" s="19" t="s">
        <v>7020</v>
      </c>
      <c r="C6029" s="20" t="s">
        <v>28344</v>
      </c>
      <c r="D6029" s="47"/>
      <c r="E6029" s="22" t="s">
        <v>28440</v>
      </c>
      <c r="F6029" s="22" t="s">
        <v>28441</v>
      </c>
      <c r="G6029" s="23">
        <v>2018.0</v>
      </c>
      <c r="H6029" s="22" t="s">
        <v>28442</v>
      </c>
      <c r="I6029" s="24" t="s">
        <v>28443</v>
      </c>
      <c r="J6029" s="22" t="s">
        <v>28444</v>
      </c>
      <c r="K6029" s="22" t="s">
        <v>28445</v>
      </c>
      <c r="L6029" s="36" t="s">
        <v>28446</v>
      </c>
      <c r="M6029" s="36">
        <v>70.0</v>
      </c>
      <c r="N6029" s="36"/>
      <c r="O6029" s="129"/>
      <c r="P6029" s="37" t="s">
        <v>28447</v>
      </c>
      <c r="Q6029" s="36"/>
      <c r="R6029" s="36" t="s">
        <v>28448</v>
      </c>
      <c r="S6029" s="36" t="s">
        <v>17419</v>
      </c>
      <c r="T6029" s="28" t="s">
        <v>28449</v>
      </c>
      <c r="U6029" s="38" t="str">
        <f>HYPERLINK("https://www.ncbi.nlm.nih.gov/pubmed/29327602","PubMed")</f>
        <v>PubMed</v>
      </c>
      <c r="V6029" s="50"/>
      <c r="W6029" s="49"/>
      <c r="X6029" s="49"/>
      <c r="Y6029" s="35"/>
      <c r="Z6029" s="35"/>
      <c r="AA6029" s="35"/>
      <c r="AB6029" s="35"/>
      <c r="AC6029" s="35"/>
      <c r="AD6029" s="35"/>
      <c r="AE6029" s="35"/>
      <c r="AF6029" s="35"/>
      <c r="AG6029" s="35"/>
      <c r="AH6029" s="35"/>
      <c r="AI6029" s="35"/>
      <c r="AJ6029" s="35"/>
      <c r="AK6029" s="35"/>
      <c r="AL6029" s="35"/>
    </row>
    <row r="6030">
      <c r="A6030" s="40"/>
      <c r="B6030" s="19" t="s">
        <v>7020</v>
      </c>
      <c r="C6030" s="20" t="s">
        <v>28344</v>
      </c>
      <c r="D6030" s="47"/>
      <c r="E6030" s="22" t="s">
        <v>28450</v>
      </c>
      <c r="F6030" s="22" t="s">
        <v>21753</v>
      </c>
      <c r="G6030" s="23">
        <v>2017.0</v>
      </c>
      <c r="H6030" s="22" t="s">
        <v>28451</v>
      </c>
      <c r="I6030" s="24" t="s">
        <v>28452</v>
      </c>
      <c r="J6030" s="22" t="s">
        <v>28453</v>
      </c>
      <c r="K6030" s="22" t="s">
        <v>28454</v>
      </c>
      <c r="L6030" s="36">
        <v>830.0</v>
      </c>
      <c r="M6030" s="36">
        <v>50.0</v>
      </c>
      <c r="N6030" s="36" t="s">
        <v>58</v>
      </c>
      <c r="O6030" s="36" t="s">
        <v>58</v>
      </c>
      <c r="P6030" s="37" t="s">
        <v>70</v>
      </c>
      <c r="Q6030" s="36" t="s">
        <v>58</v>
      </c>
      <c r="R6030" s="36">
        <v>200.0</v>
      </c>
      <c r="S6030" s="36" t="s">
        <v>4708</v>
      </c>
      <c r="T6030" s="28" t="s">
        <v>28455</v>
      </c>
      <c r="U6030" s="38" t="str">
        <f>HYPERLINK("https://www.ncbi.nlm.nih.gov/pubmed/28633773","PubMed")</f>
        <v>PubMed</v>
      </c>
      <c r="V6030" s="30" t="s">
        <v>28456</v>
      </c>
      <c r="W6030" s="49"/>
      <c r="X6030" s="49"/>
      <c r="Y6030" s="35"/>
      <c r="Z6030" s="35"/>
      <c r="AA6030" s="35"/>
      <c r="AB6030" s="35"/>
      <c r="AC6030" s="35"/>
      <c r="AD6030" s="35"/>
      <c r="AE6030" s="35"/>
      <c r="AF6030" s="35"/>
      <c r="AG6030" s="35"/>
      <c r="AH6030" s="35"/>
      <c r="AI6030" s="35"/>
      <c r="AJ6030" s="35"/>
      <c r="AK6030" s="35"/>
      <c r="AL6030" s="35"/>
    </row>
    <row r="6031">
      <c r="A6031" s="1"/>
      <c r="B6031" s="19" t="s">
        <v>7020</v>
      </c>
      <c r="C6031" s="20" t="s">
        <v>28344</v>
      </c>
      <c r="D6031" s="47"/>
      <c r="E6031" s="22" t="s">
        <v>28440</v>
      </c>
      <c r="F6031" s="22" t="s">
        <v>28457</v>
      </c>
      <c r="G6031" s="23" t="s">
        <v>90</v>
      </c>
      <c r="H6031" s="22" t="s">
        <v>91</v>
      </c>
      <c r="I6031" s="24" t="s">
        <v>28458</v>
      </c>
      <c r="J6031" s="22" t="s">
        <v>28459</v>
      </c>
      <c r="K6031" s="22"/>
      <c r="L6031" s="36">
        <v>850.0</v>
      </c>
      <c r="M6031" s="36">
        <v>100.0</v>
      </c>
      <c r="N6031" s="36" t="s">
        <v>58</v>
      </c>
      <c r="O6031" s="36" t="s">
        <v>28460</v>
      </c>
      <c r="P6031" s="37" t="s">
        <v>58</v>
      </c>
      <c r="Q6031" s="36" t="s">
        <v>58</v>
      </c>
      <c r="R6031" s="36" t="s">
        <v>28461</v>
      </c>
      <c r="S6031" s="36" t="s">
        <v>17419</v>
      </c>
      <c r="T6031" s="42" t="s">
        <v>28462</v>
      </c>
      <c r="U6031" s="38" t="str">
        <f>HYPERLINK("https://www.ncbi.nlm.nih.gov/pubmed/29273892","PubMed")</f>
        <v>PubMed</v>
      </c>
      <c r="V6031" s="50"/>
      <c r="W6031" s="49"/>
      <c r="X6031" s="49"/>
      <c r="Y6031" s="35"/>
      <c r="Z6031" s="35"/>
      <c r="AA6031" s="35"/>
      <c r="AB6031" s="35"/>
      <c r="AC6031" s="35"/>
      <c r="AD6031" s="35"/>
      <c r="AE6031" s="35"/>
      <c r="AF6031" s="35"/>
      <c r="AG6031" s="35"/>
      <c r="AH6031" s="35"/>
      <c r="AI6031" s="35"/>
      <c r="AJ6031" s="35"/>
      <c r="AK6031" s="35"/>
      <c r="AL6031" s="35"/>
    </row>
    <row r="6032">
      <c r="A6032" s="1"/>
      <c r="B6032" s="19" t="s">
        <v>7020</v>
      </c>
      <c r="C6032" s="20" t="s">
        <v>28344</v>
      </c>
      <c r="D6032" s="47"/>
      <c r="E6032" s="22" t="s">
        <v>28463</v>
      </c>
      <c r="F6032" s="22" t="s">
        <v>28464</v>
      </c>
      <c r="G6032" s="23">
        <v>2015.0</v>
      </c>
      <c r="H6032" s="22" t="s">
        <v>28451</v>
      </c>
      <c r="I6032" s="24" t="s">
        <v>28465</v>
      </c>
      <c r="J6032" s="22" t="s">
        <v>28466</v>
      </c>
      <c r="K6032" s="22"/>
      <c r="L6032" s="36">
        <v>635.0</v>
      </c>
      <c r="M6032" s="36">
        <v>17.0</v>
      </c>
      <c r="N6032" s="36" t="s">
        <v>58</v>
      </c>
      <c r="O6032" s="36" t="s">
        <v>58</v>
      </c>
      <c r="P6032" s="37" t="s">
        <v>58</v>
      </c>
      <c r="Q6032" s="36" t="s">
        <v>58</v>
      </c>
      <c r="R6032" s="36">
        <v>600.0</v>
      </c>
      <c r="S6032" s="36" t="s">
        <v>4387</v>
      </c>
      <c r="T6032" s="28" t="s">
        <v>28467</v>
      </c>
      <c r="U6032" s="38" t="str">
        <f>HYPERLINK("https://www.ncbi.nlm.nih.gov/pubmed/25769363","PubMed")</f>
        <v>PubMed</v>
      </c>
      <c r="V6032" s="30" t="s">
        <v>28468</v>
      </c>
      <c r="W6032" s="49"/>
      <c r="X6032" s="49"/>
      <c r="Y6032" s="35"/>
      <c r="Z6032" s="35"/>
      <c r="AA6032" s="35"/>
      <c r="AB6032" s="35"/>
      <c r="AC6032" s="35"/>
      <c r="AD6032" s="35"/>
      <c r="AE6032" s="35"/>
      <c r="AF6032" s="35"/>
      <c r="AG6032" s="35"/>
      <c r="AH6032" s="35"/>
      <c r="AI6032" s="35"/>
      <c r="AJ6032" s="35"/>
      <c r="AK6032" s="35"/>
      <c r="AL6032" s="35"/>
    </row>
    <row r="6033">
      <c r="A6033" s="1"/>
      <c r="B6033" s="19" t="s">
        <v>7020</v>
      </c>
      <c r="C6033" s="20" t="s">
        <v>28344</v>
      </c>
      <c r="D6033" s="47"/>
      <c r="E6033" s="22" t="s">
        <v>28469</v>
      </c>
      <c r="F6033" s="22" t="s">
        <v>2161</v>
      </c>
      <c r="G6033" s="23">
        <v>2014.0</v>
      </c>
      <c r="H6033" s="22" t="s">
        <v>28442</v>
      </c>
      <c r="I6033" s="24" t="s">
        <v>28470</v>
      </c>
      <c r="J6033" s="22" t="s">
        <v>28471</v>
      </c>
      <c r="K6033" s="22"/>
      <c r="L6033" s="36">
        <v>635.0</v>
      </c>
      <c r="M6033" s="36" t="s">
        <v>28472</v>
      </c>
      <c r="N6033" s="36" t="s">
        <v>58</v>
      </c>
      <c r="O6033" s="36" t="s">
        <v>58</v>
      </c>
      <c r="P6033" s="37" t="s">
        <v>28473</v>
      </c>
      <c r="Q6033" s="36" t="s">
        <v>58</v>
      </c>
      <c r="R6033" s="36">
        <v>600.0</v>
      </c>
      <c r="S6033" s="36" t="s">
        <v>4387</v>
      </c>
      <c r="T6033" s="28" t="s">
        <v>28474</v>
      </c>
      <c r="U6033" s="38" t="str">
        <f>HYPERLINK("https://www.ncbi.nlm.nih.gov/pubmed/24510123","PubMed")</f>
        <v>PubMed</v>
      </c>
      <c r="V6033" s="50"/>
      <c r="W6033" s="49"/>
      <c r="X6033" s="49"/>
      <c r="Y6033" s="35"/>
      <c r="Z6033" s="35"/>
      <c r="AA6033" s="35"/>
      <c r="AB6033" s="35"/>
      <c r="AC6033" s="35"/>
      <c r="AD6033" s="35"/>
      <c r="AE6033" s="35"/>
      <c r="AF6033" s="35"/>
      <c r="AG6033" s="35"/>
      <c r="AH6033" s="35"/>
      <c r="AI6033" s="35"/>
      <c r="AJ6033" s="35"/>
      <c r="AK6033" s="35"/>
      <c r="AL6033" s="35"/>
    </row>
    <row r="6034">
      <c r="A6034" s="1"/>
      <c r="B6034" s="19" t="s">
        <v>7020</v>
      </c>
      <c r="C6034" s="20" t="s">
        <v>28344</v>
      </c>
      <c r="D6034" s="47"/>
      <c r="E6034" s="22" t="s">
        <v>28475</v>
      </c>
      <c r="F6034" s="22" t="s">
        <v>13127</v>
      </c>
      <c r="G6034" s="23">
        <v>2010.0</v>
      </c>
      <c r="H6034" s="22" t="s">
        <v>91</v>
      </c>
      <c r="I6034" s="24" t="s">
        <v>28476</v>
      </c>
      <c r="J6034" s="22" t="s">
        <v>28477</v>
      </c>
      <c r="K6034" s="22"/>
      <c r="L6034" s="36">
        <v>904.0</v>
      </c>
      <c r="M6034" s="36" t="s">
        <v>28478</v>
      </c>
      <c r="N6034" s="36" t="s">
        <v>28479</v>
      </c>
      <c r="O6034" s="36" t="s">
        <v>28480</v>
      </c>
      <c r="P6034" s="37" t="s">
        <v>58</v>
      </c>
      <c r="Q6034" s="36" t="s">
        <v>28481</v>
      </c>
      <c r="R6034" s="36" t="s">
        <v>58</v>
      </c>
      <c r="S6034" s="36" t="s">
        <v>3280</v>
      </c>
      <c r="T6034" s="28" t="s">
        <v>28482</v>
      </c>
      <c r="U6034" s="38" t="str">
        <f>HYPERLINK("https://www.ncbi.nlm.nih.gov/pubmed/19841862","PubMed")</f>
        <v>PubMed</v>
      </c>
      <c r="V6034" s="30" t="s">
        <v>28483</v>
      </c>
      <c r="W6034" s="49"/>
      <c r="X6034" s="49"/>
      <c r="Y6034" s="35"/>
      <c r="Z6034" s="35"/>
      <c r="AA6034" s="35"/>
      <c r="AB6034" s="35"/>
      <c r="AC6034" s="35"/>
      <c r="AD6034" s="35"/>
      <c r="AE6034" s="35"/>
      <c r="AF6034" s="35"/>
      <c r="AG6034" s="35"/>
      <c r="AH6034" s="35"/>
      <c r="AI6034" s="35"/>
      <c r="AJ6034" s="35"/>
      <c r="AK6034" s="35"/>
      <c r="AL6034" s="35"/>
    </row>
    <row r="6035">
      <c r="A6035" s="1"/>
      <c r="B6035" s="19" t="s">
        <v>7020</v>
      </c>
      <c r="C6035" s="20" t="s">
        <v>28344</v>
      </c>
      <c r="D6035" s="47"/>
      <c r="E6035" s="22" t="s">
        <v>13745</v>
      </c>
      <c r="F6035" s="22" t="s">
        <v>5649</v>
      </c>
      <c r="G6035" s="23">
        <v>1998.0</v>
      </c>
      <c r="H6035" s="22" t="s">
        <v>4783</v>
      </c>
      <c r="I6035" s="24" t="s">
        <v>28484</v>
      </c>
      <c r="J6035" s="22" t="s">
        <v>28485</v>
      </c>
      <c r="K6035" s="22"/>
      <c r="L6035" s="36">
        <v>830.0</v>
      </c>
      <c r="M6035" s="36" t="s">
        <v>28486</v>
      </c>
      <c r="N6035" s="36" t="s">
        <v>28487</v>
      </c>
      <c r="O6035" s="36" t="s">
        <v>28488</v>
      </c>
      <c r="P6035" s="37" t="s">
        <v>58</v>
      </c>
      <c r="Q6035" s="36" t="s">
        <v>28489</v>
      </c>
      <c r="R6035" s="36" t="s">
        <v>58</v>
      </c>
      <c r="S6035" s="36" t="s">
        <v>4905</v>
      </c>
      <c r="T6035" s="41" t="s">
        <v>28490</v>
      </c>
      <c r="U6035" s="38" t="str">
        <f>HYPERLINK("https://www.ncbi.nlm.nih.gov/pubmed/9523774","PubMed")</f>
        <v>PubMed</v>
      </c>
      <c r="V6035" s="50"/>
      <c r="W6035" s="49"/>
      <c r="X6035" s="49"/>
      <c r="Y6035" s="35"/>
      <c r="Z6035" s="35"/>
      <c r="AA6035" s="35"/>
      <c r="AB6035" s="35"/>
      <c r="AC6035" s="35"/>
      <c r="AD6035" s="35"/>
      <c r="AE6035" s="35"/>
      <c r="AF6035" s="35"/>
      <c r="AG6035" s="35"/>
      <c r="AH6035" s="35"/>
      <c r="AI6035" s="35"/>
      <c r="AJ6035" s="35"/>
      <c r="AK6035" s="35"/>
      <c r="AL6035" s="35"/>
    </row>
    <row r="6036">
      <c r="A6036" s="1"/>
      <c r="B6036" s="19" t="s">
        <v>7020</v>
      </c>
      <c r="C6036" s="20" t="s">
        <v>28491</v>
      </c>
      <c r="D6036" s="47"/>
      <c r="E6036" s="22" t="s">
        <v>17990</v>
      </c>
      <c r="F6036" s="22" t="s">
        <v>1398</v>
      </c>
      <c r="G6036" s="23">
        <v>2024.0</v>
      </c>
      <c r="H6036" s="22" t="s">
        <v>91</v>
      </c>
      <c r="I6036" s="24" t="s">
        <v>28492</v>
      </c>
      <c r="J6036" s="22" t="s">
        <v>55</v>
      </c>
      <c r="K6036" s="22" t="s">
        <v>1112</v>
      </c>
      <c r="L6036" s="36">
        <v>808.0</v>
      </c>
      <c r="M6036" s="36"/>
      <c r="N6036" s="36"/>
      <c r="O6036" s="36"/>
      <c r="P6036" s="37"/>
      <c r="Q6036" s="36"/>
      <c r="R6036" s="36"/>
      <c r="S6036" s="36"/>
      <c r="T6036" s="28" t="s">
        <v>28493</v>
      </c>
      <c r="U6036" s="38" t="s">
        <v>61</v>
      </c>
      <c r="V6036" s="50"/>
      <c r="W6036" s="49"/>
      <c r="X6036" s="49"/>
      <c r="Y6036" s="35"/>
      <c r="Z6036" s="35"/>
      <c r="AA6036" s="35"/>
      <c r="AB6036" s="35"/>
      <c r="AC6036" s="35"/>
      <c r="AD6036" s="35"/>
      <c r="AE6036" s="35"/>
      <c r="AF6036" s="35"/>
      <c r="AG6036" s="35"/>
      <c r="AH6036" s="35"/>
      <c r="AI6036" s="35"/>
      <c r="AJ6036" s="35"/>
      <c r="AK6036" s="35"/>
      <c r="AL6036" s="35"/>
    </row>
    <row r="6037">
      <c r="A6037" s="1"/>
      <c r="B6037" s="19" t="s">
        <v>7020</v>
      </c>
      <c r="C6037" s="20" t="s">
        <v>28491</v>
      </c>
      <c r="D6037" s="47"/>
      <c r="E6037" s="22" t="s">
        <v>856</v>
      </c>
      <c r="F6037" s="22" t="s">
        <v>400</v>
      </c>
      <c r="G6037" s="23">
        <v>2020.0</v>
      </c>
      <c r="H6037" s="22" t="s">
        <v>3950</v>
      </c>
      <c r="I6037" s="24" t="s">
        <v>28494</v>
      </c>
      <c r="J6037" s="22" t="s">
        <v>55</v>
      </c>
      <c r="K6037" s="22" t="s">
        <v>28495</v>
      </c>
      <c r="L6037" s="36">
        <v>660.0</v>
      </c>
      <c r="M6037" s="36">
        <v>30.0</v>
      </c>
      <c r="N6037" s="36"/>
      <c r="O6037" s="36" t="s">
        <v>28496</v>
      </c>
      <c r="P6037" s="37"/>
      <c r="Q6037" s="36"/>
      <c r="R6037" s="36"/>
      <c r="S6037" s="36"/>
      <c r="T6037" s="28" t="s">
        <v>28497</v>
      </c>
      <c r="U6037" s="29" t="s">
        <v>61</v>
      </c>
      <c r="V6037" s="50"/>
      <c r="W6037" s="49"/>
      <c r="X6037" s="49"/>
      <c r="Y6037" s="35"/>
      <c r="Z6037" s="35"/>
      <c r="AA6037" s="35"/>
      <c r="AB6037" s="35"/>
      <c r="AC6037" s="35"/>
      <c r="AD6037" s="35"/>
      <c r="AE6037" s="35"/>
      <c r="AF6037" s="35"/>
      <c r="AG6037" s="35"/>
      <c r="AH6037" s="35"/>
      <c r="AI6037" s="35"/>
      <c r="AJ6037" s="35"/>
      <c r="AK6037" s="35"/>
      <c r="AL6037" s="35"/>
    </row>
    <row r="6038">
      <c r="A6038" s="1"/>
      <c r="B6038" s="19" t="s">
        <v>7020</v>
      </c>
      <c r="C6038" s="20" t="s">
        <v>28491</v>
      </c>
      <c r="D6038" s="47"/>
      <c r="E6038" s="22" t="s">
        <v>10513</v>
      </c>
      <c r="F6038" s="22" t="s">
        <v>16249</v>
      </c>
      <c r="G6038" s="23">
        <v>2020.0</v>
      </c>
      <c r="H6038" s="22" t="s">
        <v>53</v>
      </c>
      <c r="I6038" s="24" t="s">
        <v>28498</v>
      </c>
      <c r="J6038" s="22" t="s">
        <v>44</v>
      </c>
      <c r="K6038" s="22" t="s">
        <v>294</v>
      </c>
      <c r="L6038" s="36" t="s">
        <v>5858</v>
      </c>
      <c r="M6038" s="36"/>
      <c r="N6038" s="36"/>
      <c r="O6038" s="36" t="s">
        <v>28499</v>
      </c>
      <c r="P6038" s="37"/>
      <c r="Q6038" s="36"/>
      <c r="R6038" s="36"/>
      <c r="S6038" s="36"/>
      <c r="T6038" s="28" t="s">
        <v>28500</v>
      </c>
      <c r="U6038" s="38" t="str">
        <f>HYPERLINK("https://www.ncbi.nlm.nih.gov/pubmed/32201964","PubMed")</f>
        <v>PubMed</v>
      </c>
      <c r="V6038" s="50"/>
      <c r="W6038" s="49"/>
      <c r="X6038" s="49"/>
      <c r="Y6038" s="35"/>
      <c r="Z6038" s="35"/>
      <c r="AA6038" s="35"/>
      <c r="AB6038" s="35"/>
      <c r="AC6038" s="35"/>
      <c r="AD6038" s="35"/>
      <c r="AE6038" s="35"/>
      <c r="AF6038" s="35"/>
      <c r="AG6038" s="35"/>
      <c r="AH6038" s="35"/>
      <c r="AI6038" s="35"/>
      <c r="AJ6038" s="35"/>
      <c r="AK6038" s="35"/>
      <c r="AL6038" s="35"/>
    </row>
    <row r="6039">
      <c r="A6039" s="1"/>
      <c r="B6039" s="19" t="s">
        <v>7020</v>
      </c>
      <c r="C6039" s="20" t="s">
        <v>28491</v>
      </c>
      <c r="D6039" s="47"/>
      <c r="E6039" s="22" t="s">
        <v>11758</v>
      </c>
      <c r="F6039" s="22" t="s">
        <v>3427</v>
      </c>
      <c r="G6039" s="23" t="s">
        <v>76</v>
      </c>
      <c r="H6039" s="22" t="s">
        <v>28501</v>
      </c>
      <c r="I6039" s="24" t="s">
        <v>28502</v>
      </c>
      <c r="J6039" s="22" t="s">
        <v>55</v>
      </c>
      <c r="K6039" s="22" t="s">
        <v>28503</v>
      </c>
      <c r="L6039" s="36">
        <v>660.0</v>
      </c>
      <c r="M6039" s="36"/>
      <c r="N6039" s="36"/>
      <c r="O6039" s="36"/>
      <c r="P6039" s="37"/>
      <c r="Q6039" s="36"/>
      <c r="R6039" s="36" t="s">
        <v>28504</v>
      </c>
      <c r="S6039" s="36" t="s">
        <v>28505</v>
      </c>
      <c r="T6039" s="336" t="s">
        <v>28506</v>
      </c>
      <c r="U6039" s="38" t="str">
        <f>HYPERLINK("https://www.ncbi.nlm.nih.gov/pubmed/31054915","PubMed")</f>
        <v>PubMed</v>
      </c>
      <c r="V6039" s="50"/>
      <c r="W6039" s="49"/>
      <c r="X6039" s="49"/>
      <c r="Y6039" s="35"/>
      <c r="Z6039" s="35"/>
      <c r="AA6039" s="35"/>
      <c r="AB6039" s="35"/>
      <c r="AC6039" s="35"/>
      <c r="AD6039" s="35"/>
      <c r="AE6039" s="35"/>
      <c r="AF6039" s="35"/>
      <c r="AG6039" s="35"/>
      <c r="AH6039" s="35"/>
      <c r="AI6039" s="35"/>
      <c r="AJ6039" s="35"/>
      <c r="AK6039" s="35"/>
      <c r="AL6039" s="35"/>
    </row>
    <row r="6040">
      <c r="A6040" s="1"/>
      <c r="B6040" s="19" t="s">
        <v>7020</v>
      </c>
      <c r="C6040" s="20" t="s">
        <v>28491</v>
      </c>
      <c r="D6040" s="47"/>
      <c r="E6040" s="22" t="s">
        <v>12824</v>
      </c>
      <c r="F6040" s="22" t="s">
        <v>14062</v>
      </c>
      <c r="G6040" s="23" t="s">
        <v>2499</v>
      </c>
      <c r="H6040" s="22" t="s">
        <v>91</v>
      </c>
      <c r="I6040" s="24" t="s">
        <v>28507</v>
      </c>
      <c r="J6040" s="22" t="s">
        <v>55</v>
      </c>
      <c r="K6040" s="22" t="s">
        <v>2216</v>
      </c>
      <c r="L6040" s="36">
        <v>630.0</v>
      </c>
      <c r="M6040" s="36"/>
      <c r="N6040" s="36"/>
      <c r="O6040" s="36" t="s">
        <v>28508</v>
      </c>
      <c r="P6040" s="37" t="s">
        <v>28509</v>
      </c>
      <c r="Q6040" s="36"/>
      <c r="R6040" s="36"/>
      <c r="S6040" s="36"/>
      <c r="T6040" s="28" t="s">
        <v>28510</v>
      </c>
      <c r="U6040" s="38" t="str">
        <f>HYPERLINK("https://www.ncbi.nlm.nih.gov/pubmed/30328526","PubMed")</f>
        <v>PubMed</v>
      </c>
      <c r="V6040" s="50"/>
      <c r="W6040" s="49"/>
      <c r="X6040" s="49"/>
      <c r="Y6040" s="35"/>
      <c r="Z6040" s="35"/>
      <c r="AA6040" s="35"/>
      <c r="AB6040" s="35"/>
      <c r="AC6040" s="35"/>
      <c r="AD6040" s="35"/>
      <c r="AE6040" s="35"/>
      <c r="AF6040" s="35"/>
      <c r="AG6040" s="35"/>
      <c r="AH6040" s="35"/>
      <c r="AI6040" s="35"/>
      <c r="AJ6040" s="35"/>
      <c r="AK6040" s="35"/>
      <c r="AL6040" s="35"/>
    </row>
    <row r="6041">
      <c r="A6041" s="1"/>
      <c r="B6041" s="19" t="s">
        <v>7020</v>
      </c>
      <c r="C6041" s="20" t="s">
        <v>28491</v>
      </c>
      <c r="D6041" s="47"/>
      <c r="E6041" s="22" t="s">
        <v>28511</v>
      </c>
      <c r="F6041" s="22" t="s">
        <v>2705</v>
      </c>
      <c r="G6041" s="23">
        <v>2017.0</v>
      </c>
      <c r="H6041" s="22" t="s">
        <v>91</v>
      </c>
      <c r="I6041" s="24" t="s">
        <v>28512</v>
      </c>
      <c r="J6041" s="22" t="s">
        <v>55</v>
      </c>
      <c r="K6041" s="22"/>
      <c r="L6041" s="36">
        <v>905.0</v>
      </c>
      <c r="M6041" s="36"/>
      <c r="N6041" s="36"/>
      <c r="O6041" s="36"/>
      <c r="P6041" s="37"/>
      <c r="Q6041" s="36"/>
      <c r="R6041" s="36"/>
      <c r="S6041" s="36"/>
      <c r="T6041" s="28" t="s">
        <v>28513</v>
      </c>
      <c r="U6041" s="38" t="str">
        <f>HYPERLINK("https://www.ncbi.nlm.nih.gov/pubmed/28752263","PubMed")</f>
        <v>PubMed</v>
      </c>
      <c r="V6041" s="50"/>
      <c r="W6041" s="49"/>
      <c r="X6041" s="49"/>
      <c r="Y6041" s="35"/>
      <c r="Z6041" s="35"/>
      <c r="AA6041" s="35"/>
      <c r="AB6041" s="35"/>
      <c r="AC6041" s="35"/>
      <c r="AD6041" s="35"/>
      <c r="AE6041" s="35"/>
      <c r="AF6041" s="35"/>
      <c r="AG6041" s="35"/>
      <c r="AH6041" s="35"/>
      <c r="AI6041" s="35"/>
      <c r="AJ6041" s="35"/>
      <c r="AK6041" s="35"/>
      <c r="AL6041" s="35"/>
    </row>
    <row r="6042">
      <c r="A6042" s="1"/>
      <c r="B6042" s="19" t="s">
        <v>7020</v>
      </c>
      <c r="C6042" s="20" t="s">
        <v>28491</v>
      </c>
      <c r="D6042" s="47"/>
      <c r="E6042" s="22" t="s">
        <v>109</v>
      </c>
      <c r="F6042" s="22" t="s">
        <v>28514</v>
      </c>
      <c r="G6042" s="23">
        <v>2016.0</v>
      </c>
      <c r="H6042" s="22" t="s">
        <v>2612</v>
      </c>
      <c r="I6042" s="24" t="s">
        <v>28515</v>
      </c>
      <c r="J6042" s="22" t="s">
        <v>44</v>
      </c>
      <c r="K6042" s="22" t="s">
        <v>28516</v>
      </c>
      <c r="L6042" s="36">
        <v>950.0</v>
      </c>
      <c r="M6042" s="36"/>
      <c r="N6042" s="36" t="s">
        <v>6622</v>
      </c>
      <c r="O6042" s="36"/>
      <c r="P6042" s="37" t="s">
        <v>4059</v>
      </c>
      <c r="Q6042" s="36" t="s">
        <v>28517</v>
      </c>
      <c r="R6042" s="36" t="s">
        <v>28518</v>
      </c>
      <c r="S6042" s="36"/>
      <c r="T6042" s="28" t="s">
        <v>28519</v>
      </c>
      <c r="U6042" s="38" t="str">
        <f>HYPERLINK("https://www.ncbi.nlm.nih.gov/pubmed/27001179","PubMed")</f>
        <v>PubMed</v>
      </c>
      <c r="V6042" s="50"/>
      <c r="W6042" s="49"/>
      <c r="X6042" s="49"/>
      <c r="Y6042" s="35"/>
      <c r="Z6042" s="35"/>
      <c r="AA6042" s="35"/>
      <c r="AB6042" s="35"/>
      <c r="AC6042" s="35"/>
      <c r="AD6042" s="35"/>
      <c r="AE6042" s="35"/>
      <c r="AF6042" s="35"/>
      <c r="AG6042" s="35"/>
      <c r="AH6042" s="35"/>
      <c r="AI6042" s="35"/>
      <c r="AJ6042" s="35"/>
      <c r="AK6042" s="35"/>
      <c r="AL6042" s="35"/>
    </row>
    <row r="6043">
      <c r="A6043" s="1"/>
      <c r="B6043" s="19" t="s">
        <v>7020</v>
      </c>
      <c r="C6043" s="20" t="s">
        <v>28491</v>
      </c>
      <c r="D6043" s="47"/>
      <c r="E6043" s="22" t="s">
        <v>28520</v>
      </c>
      <c r="F6043" s="22" t="s">
        <v>41</v>
      </c>
      <c r="G6043" s="23">
        <v>2016.0</v>
      </c>
      <c r="H6043" s="22" t="s">
        <v>28521</v>
      </c>
      <c r="I6043" s="24" t="s">
        <v>28522</v>
      </c>
      <c r="J6043" s="22" t="s">
        <v>44</v>
      </c>
      <c r="K6043" s="22" t="s">
        <v>28523</v>
      </c>
      <c r="L6043" s="36">
        <v>685.0</v>
      </c>
      <c r="M6043" s="36">
        <v>30.0</v>
      </c>
      <c r="N6043" s="36"/>
      <c r="O6043" s="36"/>
      <c r="P6043" s="37" t="s">
        <v>6095</v>
      </c>
      <c r="Q6043" s="36" t="s">
        <v>9358</v>
      </c>
      <c r="R6043" s="36">
        <v>15.0</v>
      </c>
      <c r="S6043" s="36" t="s">
        <v>28524</v>
      </c>
      <c r="T6043" s="28" t="s">
        <v>28525</v>
      </c>
      <c r="U6043" s="38" t="str">
        <f>HYPERLINK("https://www.ncbi.nlm.nih.gov/pubmed/27749899","PubMed")</f>
        <v>PubMed</v>
      </c>
      <c r="V6043" s="50"/>
      <c r="W6043" s="49"/>
      <c r="X6043" s="49"/>
      <c r="Y6043" s="35"/>
      <c r="Z6043" s="35"/>
      <c r="AA6043" s="35"/>
      <c r="AB6043" s="35"/>
      <c r="AC6043" s="35"/>
      <c r="AD6043" s="35"/>
      <c r="AE6043" s="35"/>
      <c r="AF6043" s="35"/>
      <c r="AG6043" s="35"/>
      <c r="AH6043" s="35"/>
      <c r="AI6043" s="35"/>
      <c r="AJ6043" s="35"/>
      <c r="AK6043" s="35"/>
      <c r="AL6043" s="35"/>
    </row>
    <row r="6044">
      <c r="A6044" s="1"/>
      <c r="B6044" s="19" t="s">
        <v>7020</v>
      </c>
      <c r="C6044" s="20" t="s">
        <v>28491</v>
      </c>
      <c r="D6044" s="47"/>
      <c r="E6044" s="22" t="s">
        <v>28520</v>
      </c>
      <c r="F6044" s="22" t="s">
        <v>41</v>
      </c>
      <c r="G6044" s="23">
        <v>2014.0</v>
      </c>
      <c r="H6044" s="22" t="s">
        <v>4975</v>
      </c>
      <c r="I6044" s="24" t="s">
        <v>28526</v>
      </c>
      <c r="J6044" s="22" t="s">
        <v>44</v>
      </c>
      <c r="K6044" s="22" t="s">
        <v>28527</v>
      </c>
      <c r="L6044" s="36" t="s">
        <v>28528</v>
      </c>
      <c r="M6044" s="36" t="s">
        <v>28529</v>
      </c>
      <c r="N6044" s="36"/>
      <c r="O6044" s="36"/>
      <c r="P6044" s="37" t="s">
        <v>28530</v>
      </c>
      <c r="Q6044" s="36"/>
      <c r="R6044" s="36" t="s">
        <v>28531</v>
      </c>
      <c r="S6044" s="36"/>
      <c r="T6044" s="28" t="s">
        <v>28532</v>
      </c>
      <c r="U6044" s="38" t="str">
        <f>HYPERLINK("https://www.ncbi.nlm.nih.gov/pubmed/24131406","PubMed")</f>
        <v>PubMed</v>
      </c>
      <c r="V6044" s="50"/>
      <c r="W6044" s="49"/>
      <c r="X6044" s="49"/>
      <c r="Y6044" s="35"/>
      <c r="Z6044" s="35"/>
      <c r="AA6044" s="35"/>
      <c r="AB6044" s="35"/>
      <c r="AC6044" s="35"/>
      <c r="AD6044" s="35"/>
      <c r="AE6044" s="35"/>
      <c r="AF6044" s="35"/>
      <c r="AG6044" s="35"/>
      <c r="AH6044" s="35"/>
      <c r="AI6044" s="35"/>
      <c r="AJ6044" s="35"/>
      <c r="AK6044" s="35"/>
      <c r="AL6044" s="35"/>
    </row>
    <row r="6045">
      <c r="A6045" s="1"/>
      <c r="B6045" s="19" t="s">
        <v>7020</v>
      </c>
      <c r="C6045" s="20" t="s">
        <v>28491</v>
      </c>
      <c r="D6045" s="47"/>
      <c r="E6045" s="22" t="s">
        <v>3350</v>
      </c>
      <c r="F6045" s="22" t="s">
        <v>2529</v>
      </c>
      <c r="G6045" s="23">
        <v>2014.0</v>
      </c>
      <c r="H6045" s="22" t="s">
        <v>28533</v>
      </c>
      <c r="I6045" s="24" t="s">
        <v>28534</v>
      </c>
      <c r="J6045" s="22" t="s">
        <v>55</v>
      </c>
      <c r="K6045" s="22" t="s">
        <v>157</v>
      </c>
      <c r="L6045" s="36">
        <v>627.0</v>
      </c>
      <c r="M6045" s="36">
        <v>70.0</v>
      </c>
      <c r="N6045" s="36"/>
      <c r="O6045" s="36"/>
      <c r="P6045" s="37" t="s">
        <v>2532</v>
      </c>
      <c r="Q6045" s="36"/>
      <c r="R6045" s="36"/>
      <c r="S6045" s="36"/>
      <c r="T6045" s="28" t="s">
        <v>28535</v>
      </c>
      <c r="U6045" s="38" t="str">
        <f>HYPERLINK("http://www.scielo.br/scielo.php?pid=S2358-04292014000500268&amp;script=sci_arttext","SciELO")</f>
        <v>SciELO</v>
      </c>
      <c r="V6045" s="50"/>
      <c r="W6045" s="49"/>
      <c r="X6045" s="49"/>
      <c r="Y6045" s="35"/>
      <c r="Z6045" s="35"/>
      <c r="AA6045" s="35"/>
      <c r="AB6045" s="35"/>
      <c r="AC6045" s="35"/>
      <c r="AD6045" s="35"/>
      <c r="AE6045" s="35"/>
      <c r="AF6045" s="35"/>
      <c r="AG6045" s="35"/>
      <c r="AH6045" s="35"/>
      <c r="AI6045" s="35"/>
      <c r="AJ6045" s="35"/>
      <c r="AK6045" s="35"/>
      <c r="AL6045" s="35"/>
    </row>
    <row r="6046">
      <c r="A6046" s="1"/>
      <c r="B6046" s="19" t="s">
        <v>7020</v>
      </c>
      <c r="C6046" s="20" t="s">
        <v>28491</v>
      </c>
      <c r="D6046" s="47"/>
      <c r="E6046" s="22" t="s">
        <v>7700</v>
      </c>
      <c r="F6046" s="22" t="s">
        <v>41</v>
      </c>
      <c r="G6046" s="23">
        <v>2005.0</v>
      </c>
      <c r="H6046" s="22" t="s">
        <v>658</v>
      </c>
      <c r="I6046" s="24" t="s">
        <v>28536</v>
      </c>
      <c r="J6046" s="22" t="s">
        <v>55</v>
      </c>
      <c r="K6046" s="22" t="s">
        <v>28537</v>
      </c>
      <c r="L6046" s="36">
        <v>633.0</v>
      </c>
      <c r="M6046" s="36">
        <v>12.0</v>
      </c>
      <c r="N6046" s="36"/>
      <c r="O6046" s="36"/>
      <c r="P6046" s="37" t="s">
        <v>7500</v>
      </c>
      <c r="Q6046" s="36" t="s">
        <v>17244</v>
      </c>
      <c r="R6046" s="36">
        <v>80.0</v>
      </c>
      <c r="S6046" s="36">
        <v>3.0</v>
      </c>
      <c r="T6046" s="28" t="s">
        <v>28538</v>
      </c>
      <c r="U6046" s="38" t="str">
        <f>HYPERLINK("https://www.ncbi.nlm.nih.gov/pubmed/15910182","PubMed")</f>
        <v>PubMed</v>
      </c>
      <c r="V6046" s="50"/>
      <c r="W6046" s="49"/>
      <c r="X6046" s="49"/>
      <c r="Y6046" s="35"/>
      <c r="Z6046" s="35"/>
      <c r="AA6046" s="35"/>
      <c r="AB6046" s="35"/>
      <c r="AC6046" s="35"/>
      <c r="AD6046" s="35"/>
      <c r="AE6046" s="35"/>
      <c r="AF6046" s="35"/>
      <c r="AG6046" s="35"/>
      <c r="AH6046" s="35"/>
      <c r="AI6046" s="35"/>
      <c r="AJ6046" s="35"/>
      <c r="AK6046" s="35"/>
      <c r="AL6046" s="35"/>
    </row>
    <row r="6047">
      <c r="A6047" s="1"/>
      <c r="B6047" s="19" t="s">
        <v>7020</v>
      </c>
      <c r="C6047" s="20" t="s">
        <v>28491</v>
      </c>
      <c r="D6047" s="47"/>
      <c r="E6047" s="22" t="s">
        <v>12792</v>
      </c>
      <c r="F6047" s="22" t="s">
        <v>12793</v>
      </c>
      <c r="G6047" s="23">
        <v>1993.0</v>
      </c>
      <c r="H6047" s="22" t="s">
        <v>53</v>
      </c>
      <c r="I6047" s="24" t="s">
        <v>28539</v>
      </c>
      <c r="J6047" s="22" t="s">
        <v>55</v>
      </c>
      <c r="K6047" s="22"/>
      <c r="L6047" s="36">
        <v>780.0</v>
      </c>
      <c r="M6047" s="36"/>
      <c r="N6047" s="36"/>
      <c r="O6047" s="36"/>
      <c r="P6047" s="37"/>
      <c r="Q6047" s="36"/>
      <c r="R6047" s="36" t="s">
        <v>28540</v>
      </c>
      <c r="S6047" s="36"/>
      <c r="T6047" s="28" t="s">
        <v>28541</v>
      </c>
      <c r="U6047" s="38" t="str">
        <f>HYPERLINK("https://www.ncbi.nlm.nih.gov/pubmed/8366747","PubMed")</f>
        <v>PubMed</v>
      </c>
      <c r="V6047" s="50"/>
      <c r="W6047" s="49"/>
      <c r="X6047" s="49"/>
      <c r="Y6047" s="35"/>
      <c r="Z6047" s="35"/>
      <c r="AA6047" s="35"/>
      <c r="AB6047" s="35"/>
      <c r="AC6047" s="35"/>
      <c r="AD6047" s="35"/>
      <c r="AE6047" s="35"/>
      <c r="AF6047" s="35"/>
      <c r="AG6047" s="35"/>
      <c r="AH6047" s="35"/>
      <c r="AI6047" s="35"/>
      <c r="AJ6047" s="35"/>
      <c r="AK6047" s="35"/>
      <c r="AL6047" s="35"/>
    </row>
    <row r="6048">
      <c r="A6048" s="40" t="s">
        <v>181</v>
      </c>
      <c r="B6048" s="19" t="s">
        <v>7020</v>
      </c>
      <c r="C6048" s="20" t="s">
        <v>28542</v>
      </c>
      <c r="D6048" s="47"/>
      <c r="E6048" s="22" t="s">
        <v>28543</v>
      </c>
      <c r="F6048" s="22" t="s">
        <v>52</v>
      </c>
      <c r="G6048" s="23">
        <v>2015.0</v>
      </c>
      <c r="H6048" s="22" t="s">
        <v>3467</v>
      </c>
      <c r="I6048" s="24" t="s">
        <v>28544</v>
      </c>
      <c r="J6048" s="22" t="s">
        <v>28545</v>
      </c>
      <c r="K6048" s="22" t="s">
        <v>2686</v>
      </c>
      <c r="L6048" s="36">
        <v>905.0</v>
      </c>
      <c r="M6048" s="36" t="s">
        <v>58</v>
      </c>
      <c r="N6048" s="36" t="s">
        <v>58</v>
      </c>
      <c r="O6048" s="36" t="s">
        <v>8665</v>
      </c>
      <c r="P6048" s="37" t="s">
        <v>58</v>
      </c>
      <c r="Q6048" s="36" t="s">
        <v>58</v>
      </c>
      <c r="R6048" s="36">
        <v>30.0</v>
      </c>
      <c r="S6048" s="36">
        <v>1.0</v>
      </c>
      <c r="T6048" s="41" t="s">
        <v>28546</v>
      </c>
      <c r="U6048" s="29" t="s">
        <v>61</v>
      </c>
      <c r="V6048" s="30" t="s">
        <v>28547</v>
      </c>
      <c r="W6048" s="49"/>
      <c r="X6048" s="49"/>
      <c r="Y6048" s="35"/>
      <c r="Z6048" s="35"/>
      <c r="AA6048" s="35"/>
      <c r="AB6048" s="35"/>
      <c r="AC6048" s="35"/>
      <c r="AD6048" s="35"/>
      <c r="AE6048" s="35"/>
      <c r="AF6048" s="35"/>
      <c r="AG6048" s="35"/>
      <c r="AH6048" s="35"/>
      <c r="AI6048" s="35"/>
      <c r="AJ6048" s="35"/>
      <c r="AK6048" s="35"/>
      <c r="AL6048" s="35"/>
    </row>
    <row r="6049">
      <c r="A6049" s="1"/>
      <c r="B6049" s="19" t="s">
        <v>7020</v>
      </c>
      <c r="C6049" s="20" t="s">
        <v>28548</v>
      </c>
      <c r="D6049" s="47"/>
      <c r="E6049" s="22" t="s">
        <v>18035</v>
      </c>
      <c r="F6049" s="22" t="s">
        <v>16732</v>
      </c>
      <c r="G6049" s="23">
        <v>1997.0</v>
      </c>
      <c r="H6049" s="22" t="s">
        <v>53</v>
      </c>
      <c r="I6049" s="24" t="s">
        <v>28549</v>
      </c>
      <c r="J6049" s="22" t="s">
        <v>28550</v>
      </c>
      <c r="K6049" s="22"/>
      <c r="L6049" s="36">
        <v>830.0</v>
      </c>
      <c r="M6049" s="36">
        <v>30.0</v>
      </c>
      <c r="N6049" s="36" t="s">
        <v>2165</v>
      </c>
      <c r="O6049" s="36" t="s">
        <v>58</v>
      </c>
      <c r="P6049" s="37" t="s">
        <v>19206</v>
      </c>
      <c r="Q6049" s="36" t="s">
        <v>28551</v>
      </c>
      <c r="R6049" s="36" t="s">
        <v>28552</v>
      </c>
      <c r="S6049" s="36">
        <v>1.0</v>
      </c>
      <c r="T6049" s="41" t="s">
        <v>28553</v>
      </c>
      <c r="U6049" s="38" t="str">
        <f>HYPERLINK("https://www.ncbi.nlm.nih.gov/pubmed/9041511","PubMed")</f>
        <v>PubMed</v>
      </c>
      <c r="V6049" s="50"/>
      <c r="W6049" s="49"/>
      <c r="X6049" s="49"/>
      <c r="Y6049" s="35"/>
      <c r="Z6049" s="35"/>
      <c r="AA6049" s="35"/>
      <c r="AB6049" s="35"/>
      <c r="AC6049" s="35"/>
      <c r="AD6049" s="35"/>
      <c r="AE6049" s="35"/>
      <c r="AF6049" s="35"/>
      <c r="AG6049" s="35"/>
      <c r="AH6049" s="35"/>
      <c r="AI6049" s="35"/>
      <c r="AJ6049" s="35"/>
      <c r="AK6049" s="35"/>
      <c r="AL6049" s="35"/>
    </row>
    <row r="6050">
      <c r="A6050" s="1"/>
      <c r="B6050" s="19" t="s">
        <v>7020</v>
      </c>
      <c r="C6050" s="20" t="s">
        <v>28548</v>
      </c>
      <c r="D6050" s="47"/>
      <c r="E6050" s="22" t="s">
        <v>28554</v>
      </c>
      <c r="F6050" s="22" t="s">
        <v>16732</v>
      </c>
      <c r="G6050" s="23">
        <v>1995.0</v>
      </c>
      <c r="H6050" s="22" t="s">
        <v>53</v>
      </c>
      <c r="I6050" s="24" t="s">
        <v>28555</v>
      </c>
      <c r="J6050" s="22" t="s">
        <v>28556</v>
      </c>
      <c r="K6050" s="22" t="s">
        <v>28557</v>
      </c>
      <c r="L6050" s="36" t="s">
        <v>28558</v>
      </c>
      <c r="M6050" s="36">
        <v>532.0</v>
      </c>
      <c r="N6050" s="36" t="s">
        <v>6824</v>
      </c>
      <c r="O6050" s="36">
        <v>383.0</v>
      </c>
      <c r="P6050" s="37" t="s">
        <v>28559</v>
      </c>
      <c r="Q6050" s="36" t="s">
        <v>28560</v>
      </c>
      <c r="R6050" s="36">
        <v>720.0</v>
      </c>
      <c r="S6050" s="36"/>
      <c r="T6050" s="41" t="s">
        <v>28561</v>
      </c>
      <c r="U6050" s="29" t="s">
        <v>61</v>
      </c>
      <c r="V6050" s="50"/>
      <c r="W6050" s="49"/>
      <c r="X6050" s="49"/>
      <c r="Y6050" s="35"/>
      <c r="Z6050" s="35"/>
      <c r="AA6050" s="35"/>
      <c r="AB6050" s="35"/>
      <c r="AC6050" s="35"/>
      <c r="AD6050" s="35"/>
      <c r="AE6050" s="35"/>
      <c r="AF6050" s="35"/>
      <c r="AG6050" s="35"/>
      <c r="AH6050" s="35"/>
      <c r="AI6050" s="35"/>
      <c r="AJ6050" s="35"/>
      <c r="AK6050" s="35"/>
      <c r="AL6050" s="35"/>
    </row>
    <row r="6051">
      <c r="A6051" s="1"/>
      <c r="B6051" s="19" t="s">
        <v>7020</v>
      </c>
      <c r="C6051" s="20" t="s">
        <v>28562</v>
      </c>
      <c r="D6051" s="47"/>
      <c r="E6051" s="22" t="s">
        <v>28563</v>
      </c>
      <c r="F6051" s="22" t="s">
        <v>400</v>
      </c>
      <c r="G6051" s="23">
        <v>2014.0</v>
      </c>
      <c r="H6051" s="22" t="s">
        <v>28564</v>
      </c>
      <c r="I6051" s="24" t="s">
        <v>28565</v>
      </c>
      <c r="J6051" s="22" t="s">
        <v>55</v>
      </c>
      <c r="K6051" s="22"/>
      <c r="L6051" s="36">
        <v>830.0</v>
      </c>
      <c r="M6051" s="36"/>
      <c r="N6051" s="37"/>
      <c r="O6051" s="36"/>
      <c r="P6051" s="37" t="s">
        <v>70</v>
      </c>
      <c r="Q6051" s="36"/>
      <c r="R6051" s="36"/>
      <c r="S6051" s="36"/>
      <c r="T6051" s="28" t="s">
        <v>28566</v>
      </c>
      <c r="U6051" s="38" t="str">
        <f>HYPERLINK("https://www.ncbi.nlm.nih.gov/pubmed/24878785","PubMed")</f>
        <v>PubMed</v>
      </c>
      <c r="V6051" s="50"/>
      <c r="W6051" s="49"/>
      <c r="X6051" s="49"/>
      <c r="Y6051" s="35"/>
      <c r="Z6051" s="35"/>
      <c r="AA6051" s="35"/>
      <c r="AB6051" s="35"/>
      <c r="AC6051" s="35"/>
      <c r="AD6051" s="35"/>
      <c r="AE6051" s="35"/>
      <c r="AF6051" s="35"/>
      <c r="AG6051" s="35"/>
      <c r="AH6051" s="35"/>
      <c r="AI6051" s="35"/>
      <c r="AJ6051" s="35"/>
      <c r="AK6051" s="35"/>
      <c r="AL6051" s="35"/>
    </row>
    <row r="6052">
      <c r="A6052" s="1"/>
      <c r="B6052" s="19" t="s">
        <v>7020</v>
      </c>
      <c r="C6052" s="20" t="s">
        <v>28567</v>
      </c>
      <c r="D6052" s="47"/>
      <c r="E6052" s="22" t="s">
        <v>23360</v>
      </c>
      <c r="F6052" s="22" t="s">
        <v>41</v>
      </c>
      <c r="G6052" s="23">
        <v>2024.0</v>
      </c>
      <c r="H6052" s="22" t="s">
        <v>6911</v>
      </c>
      <c r="I6052" s="24" t="s">
        <v>28568</v>
      </c>
      <c r="J6052" s="22" t="s">
        <v>2141</v>
      </c>
      <c r="K6052" s="22"/>
      <c r="L6052" s="168"/>
      <c r="M6052" s="168"/>
      <c r="N6052" s="169"/>
      <c r="O6052" s="168"/>
      <c r="P6052" s="169"/>
      <c r="Q6052" s="168"/>
      <c r="R6052" s="168"/>
      <c r="S6052" s="168"/>
      <c r="T6052" s="185"/>
      <c r="U6052" s="38" t="s">
        <v>61</v>
      </c>
      <c r="V6052" s="30"/>
      <c r="W6052" s="49"/>
      <c r="X6052" s="49"/>
      <c r="Y6052" s="35"/>
      <c r="Z6052" s="35"/>
      <c r="AA6052" s="35"/>
      <c r="AB6052" s="35"/>
      <c r="AC6052" s="35"/>
      <c r="AD6052" s="35"/>
      <c r="AE6052" s="35"/>
      <c r="AF6052" s="35"/>
      <c r="AG6052" s="35"/>
      <c r="AH6052" s="35"/>
      <c r="AI6052" s="35"/>
      <c r="AJ6052" s="35"/>
      <c r="AK6052" s="35"/>
      <c r="AL6052" s="35"/>
    </row>
    <row r="6053">
      <c r="A6053" s="1"/>
      <c r="B6053" s="19" t="s">
        <v>7020</v>
      </c>
      <c r="C6053" s="20" t="s">
        <v>28567</v>
      </c>
      <c r="D6053" s="47"/>
      <c r="E6053" s="22" t="s">
        <v>28569</v>
      </c>
      <c r="F6053" s="22" t="s">
        <v>605</v>
      </c>
      <c r="G6053" s="23">
        <v>2024.0</v>
      </c>
      <c r="H6053" s="22" t="s">
        <v>91</v>
      </c>
      <c r="I6053" s="24" t="s">
        <v>28570</v>
      </c>
      <c r="J6053" s="22" t="s">
        <v>28571</v>
      </c>
      <c r="K6053" s="22"/>
      <c r="L6053" s="36">
        <v>1064.0</v>
      </c>
      <c r="M6053" s="36"/>
      <c r="N6053" s="37"/>
      <c r="O6053" s="36"/>
      <c r="P6053" s="37" t="s">
        <v>28572</v>
      </c>
      <c r="Q6053" s="36" t="s">
        <v>28573</v>
      </c>
      <c r="R6053" s="36"/>
      <c r="S6053" s="36" t="s">
        <v>1514</v>
      </c>
      <c r="T6053" s="28" t="s">
        <v>28574</v>
      </c>
      <c r="U6053" s="38" t="s">
        <v>61</v>
      </c>
      <c r="V6053" s="30" t="s">
        <v>28575</v>
      </c>
      <c r="W6053" s="49"/>
      <c r="X6053" s="49"/>
      <c r="Y6053" s="35"/>
      <c r="Z6053" s="35"/>
      <c r="AA6053" s="35"/>
      <c r="AB6053" s="35"/>
      <c r="AC6053" s="35"/>
      <c r="AD6053" s="35"/>
      <c r="AE6053" s="35"/>
      <c r="AF6053" s="35"/>
      <c r="AG6053" s="35"/>
      <c r="AH6053" s="35"/>
      <c r="AI6053" s="35"/>
      <c r="AJ6053" s="35"/>
      <c r="AK6053" s="35"/>
      <c r="AL6053" s="35"/>
    </row>
    <row r="6054">
      <c r="A6054" s="1"/>
      <c r="B6054" s="19" t="s">
        <v>7020</v>
      </c>
      <c r="C6054" s="20" t="s">
        <v>28567</v>
      </c>
      <c r="D6054" s="47"/>
      <c r="E6054" s="22" t="s">
        <v>5311</v>
      </c>
      <c r="F6054" s="22" t="s">
        <v>5312</v>
      </c>
      <c r="G6054" s="23">
        <v>2021.0</v>
      </c>
      <c r="H6054" s="22" t="s">
        <v>53</v>
      </c>
      <c r="I6054" s="24" t="s">
        <v>28576</v>
      </c>
      <c r="J6054" s="22" t="s">
        <v>28577</v>
      </c>
      <c r="K6054" s="22" t="s">
        <v>28578</v>
      </c>
      <c r="L6054" s="36" t="s">
        <v>28579</v>
      </c>
      <c r="M6054" s="36" t="s">
        <v>28580</v>
      </c>
      <c r="N6054" s="37" t="s">
        <v>28581</v>
      </c>
      <c r="O6054" s="36"/>
      <c r="P6054" s="37" t="s">
        <v>28582</v>
      </c>
      <c r="Q6054" s="36"/>
      <c r="R6054" s="36" t="s">
        <v>28583</v>
      </c>
      <c r="S6054" s="36" t="s">
        <v>2099</v>
      </c>
      <c r="T6054" s="28" t="s">
        <v>28584</v>
      </c>
      <c r="U6054" s="29" t="s">
        <v>61</v>
      </c>
      <c r="V6054" s="30" t="s">
        <v>28585</v>
      </c>
      <c r="W6054" s="49"/>
      <c r="X6054" s="49"/>
      <c r="Y6054" s="35"/>
      <c r="Z6054" s="35"/>
      <c r="AA6054" s="35"/>
      <c r="AB6054" s="35"/>
      <c r="AC6054" s="35"/>
      <c r="AD6054" s="35"/>
      <c r="AE6054" s="35"/>
      <c r="AF6054" s="35"/>
      <c r="AG6054" s="35"/>
      <c r="AH6054" s="35"/>
      <c r="AI6054" s="35"/>
      <c r="AJ6054" s="35"/>
      <c r="AK6054" s="35"/>
      <c r="AL6054" s="35"/>
    </row>
    <row r="6055">
      <c r="A6055" s="1"/>
      <c r="B6055" s="19" t="s">
        <v>7020</v>
      </c>
      <c r="C6055" s="20" t="s">
        <v>28567</v>
      </c>
      <c r="D6055" s="47"/>
      <c r="E6055" s="22" t="s">
        <v>28586</v>
      </c>
      <c r="F6055" s="22" t="s">
        <v>400</v>
      </c>
      <c r="G6055" s="23">
        <v>2021.0</v>
      </c>
      <c r="H6055" s="22" t="s">
        <v>4804</v>
      </c>
      <c r="I6055" s="24" t="s">
        <v>28587</v>
      </c>
      <c r="J6055" s="22" t="s">
        <v>28588</v>
      </c>
      <c r="K6055" s="22"/>
      <c r="L6055" s="36" t="s">
        <v>1495</v>
      </c>
      <c r="M6055" s="36" t="s">
        <v>28589</v>
      </c>
      <c r="N6055" s="37"/>
      <c r="O6055" s="36"/>
      <c r="P6055" s="37"/>
      <c r="Q6055" s="36"/>
      <c r="R6055" s="36">
        <v>60.0</v>
      </c>
      <c r="S6055" s="36" t="s">
        <v>4905</v>
      </c>
      <c r="T6055" s="42" t="s">
        <v>28590</v>
      </c>
      <c r="U6055" s="29" t="s">
        <v>61</v>
      </c>
      <c r="V6055" s="50"/>
      <c r="W6055" s="49"/>
      <c r="X6055" s="49"/>
      <c r="Y6055" s="35"/>
      <c r="Z6055" s="35"/>
      <c r="AA6055" s="35"/>
      <c r="AB6055" s="35"/>
      <c r="AC6055" s="35"/>
      <c r="AD6055" s="35"/>
      <c r="AE6055" s="35"/>
      <c r="AF6055" s="35"/>
      <c r="AG6055" s="35"/>
      <c r="AH6055" s="35"/>
      <c r="AI6055" s="35"/>
      <c r="AJ6055" s="35"/>
      <c r="AK6055" s="35"/>
      <c r="AL6055" s="35"/>
    </row>
    <row r="6056">
      <c r="A6056" s="1"/>
      <c r="B6056" s="19" t="s">
        <v>7020</v>
      </c>
      <c r="C6056" s="20" t="s">
        <v>28567</v>
      </c>
      <c r="D6056" s="47"/>
      <c r="E6056" s="22" t="s">
        <v>16093</v>
      </c>
      <c r="F6056" s="22" t="s">
        <v>41</v>
      </c>
      <c r="G6056" s="23">
        <v>2014.0</v>
      </c>
      <c r="H6056" s="22" t="s">
        <v>91</v>
      </c>
      <c r="I6056" s="24" t="s">
        <v>28591</v>
      </c>
      <c r="J6056" s="22" t="s">
        <v>28592</v>
      </c>
      <c r="K6056" s="22"/>
      <c r="L6056" s="36" t="s">
        <v>28593</v>
      </c>
      <c r="M6056" s="36"/>
      <c r="N6056" s="37"/>
      <c r="O6056" s="36" t="s">
        <v>4694</v>
      </c>
      <c r="P6056" s="36" t="s">
        <v>4694</v>
      </c>
      <c r="Q6056" s="36"/>
      <c r="R6056" s="36"/>
      <c r="S6056" s="36" t="s">
        <v>4905</v>
      </c>
      <c r="T6056" s="28" t="s">
        <v>28594</v>
      </c>
      <c r="U6056" s="38" t="str">
        <f>HYPERLINK("https://www.ncbi.nlm.nih.gov/pubmed/24844921","PubMed")</f>
        <v>PubMed</v>
      </c>
      <c r="V6056" s="30" t="s">
        <v>28595</v>
      </c>
      <c r="W6056" s="49"/>
      <c r="X6056" s="49"/>
      <c r="Y6056" s="35"/>
      <c r="Z6056" s="35"/>
      <c r="AA6056" s="35"/>
      <c r="AB6056" s="35"/>
      <c r="AC6056" s="35"/>
      <c r="AD6056" s="35"/>
      <c r="AE6056" s="35"/>
      <c r="AF6056" s="35"/>
      <c r="AG6056" s="35"/>
      <c r="AH6056" s="35"/>
      <c r="AI6056" s="35"/>
      <c r="AJ6056" s="35"/>
      <c r="AK6056" s="35"/>
      <c r="AL6056" s="35"/>
    </row>
    <row r="6057">
      <c r="A6057" s="1"/>
      <c r="B6057" s="19" t="s">
        <v>7020</v>
      </c>
      <c r="C6057" s="20" t="s">
        <v>28567</v>
      </c>
      <c r="D6057" s="47"/>
      <c r="E6057" s="22" t="s">
        <v>28596</v>
      </c>
      <c r="F6057" s="22" t="s">
        <v>3885</v>
      </c>
      <c r="G6057" s="23">
        <v>2009.0</v>
      </c>
      <c r="H6057" s="22" t="s">
        <v>658</v>
      </c>
      <c r="I6057" s="24" t="s">
        <v>28597</v>
      </c>
      <c r="J6057" s="22" t="s">
        <v>28598</v>
      </c>
      <c r="K6057" s="22" t="s">
        <v>28599</v>
      </c>
      <c r="L6057" s="36">
        <v>810.0</v>
      </c>
      <c r="M6057" s="36">
        <v>100.0</v>
      </c>
      <c r="N6057" s="37" t="s">
        <v>28600</v>
      </c>
      <c r="O6057" s="36" t="s">
        <v>28601</v>
      </c>
      <c r="P6057" s="37"/>
      <c r="Q6057" s="36" t="s">
        <v>28602</v>
      </c>
      <c r="R6057" s="36"/>
      <c r="S6057" s="36" t="s">
        <v>4708</v>
      </c>
      <c r="T6057" s="28" t="s">
        <v>28603</v>
      </c>
      <c r="U6057" s="38" t="str">
        <f>HYPERLINK("https://www.ncbi.nlm.nih.gov/pubmed/19405858","PubMed")</f>
        <v>PubMed</v>
      </c>
      <c r="V6057" s="50"/>
      <c r="W6057" s="49"/>
      <c r="X6057" s="49"/>
      <c r="Y6057" s="35"/>
      <c r="Z6057" s="35"/>
      <c r="AA6057" s="35"/>
      <c r="AB6057" s="35"/>
      <c r="AC6057" s="35"/>
      <c r="AD6057" s="35"/>
      <c r="AE6057" s="35"/>
      <c r="AF6057" s="35"/>
      <c r="AG6057" s="35"/>
      <c r="AH6057" s="35"/>
      <c r="AI6057" s="35"/>
      <c r="AJ6057" s="35"/>
      <c r="AK6057" s="35"/>
      <c r="AL6057" s="35"/>
    </row>
    <row r="6058">
      <c r="A6058" s="1"/>
      <c r="B6058" s="19" t="s">
        <v>7020</v>
      </c>
      <c r="C6058" s="20" t="s">
        <v>4071</v>
      </c>
      <c r="D6058" s="47"/>
      <c r="E6058" s="22" t="s">
        <v>626</v>
      </c>
      <c r="F6058" s="22" t="s">
        <v>1690</v>
      </c>
      <c r="G6058" s="23">
        <v>2023.0</v>
      </c>
      <c r="H6058" s="22" t="s">
        <v>2139</v>
      </c>
      <c r="I6058" s="24" t="s">
        <v>28604</v>
      </c>
      <c r="J6058" s="22" t="s">
        <v>378</v>
      </c>
      <c r="K6058" s="22" t="s">
        <v>28605</v>
      </c>
      <c r="L6058" s="36">
        <v>10600.0</v>
      </c>
      <c r="M6058" s="36"/>
      <c r="N6058" s="37"/>
      <c r="O6058" s="36"/>
      <c r="P6058" s="37"/>
      <c r="Q6058" s="36"/>
      <c r="R6058" s="36"/>
      <c r="S6058" s="36"/>
      <c r="T6058" s="28" t="s">
        <v>28606</v>
      </c>
      <c r="U6058" s="38" t="s">
        <v>61</v>
      </c>
      <c r="V6058" s="50"/>
      <c r="W6058" s="49"/>
      <c r="X6058" s="49"/>
      <c r="Y6058" s="35"/>
      <c r="Z6058" s="35"/>
      <c r="AA6058" s="35"/>
      <c r="AB6058" s="35"/>
      <c r="AC6058" s="35"/>
      <c r="AD6058" s="35"/>
      <c r="AE6058" s="35"/>
      <c r="AF6058" s="35"/>
      <c r="AG6058" s="35"/>
      <c r="AH6058" s="35"/>
      <c r="AI6058" s="35"/>
      <c r="AJ6058" s="35"/>
      <c r="AK6058" s="35"/>
      <c r="AL6058" s="35"/>
    </row>
    <row r="6059">
      <c r="A6059" s="1"/>
      <c r="B6059" s="19" t="s">
        <v>7020</v>
      </c>
      <c r="C6059" s="20" t="s">
        <v>4071</v>
      </c>
      <c r="D6059" s="47"/>
      <c r="E6059" s="22" t="s">
        <v>1481</v>
      </c>
      <c r="F6059" s="22" t="s">
        <v>3427</v>
      </c>
      <c r="G6059" s="23">
        <v>2021.0</v>
      </c>
      <c r="H6059" s="22" t="s">
        <v>28501</v>
      </c>
      <c r="I6059" s="24" t="s">
        <v>28607</v>
      </c>
      <c r="J6059" s="22" t="s">
        <v>125</v>
      </c>
      <c r="K6059" s="22"/>
      <c r="L6059" s="43" t="s">
        <v>28608</v>
      </c>
      <c r="M6059" s="44"/>
      <c r="N6059" s="44"/>
      <c r="O6059" s="44"/>
      <c r="P6059" s="44"/>
      <c r="Q6059" s="44"/>
      <c r="R6059" s="44"/>
      <c r="S6059" s="44"/>
      <c r="T6059" s="45"/>
      <c r="U6059" s="29" t="s">
        <v>61</v>
      </c>
      <c r="V6059" s="50"/>
      <c r="W6059" s="49"/>
      <c r="X6059" s="49"/>
      <c r="Y6059" s="35"/>
      <c r="Z6059" s="35"/>
      <c r="AA6059" s="35"/>
      <c r="AB6059" s="35"/>
      <c r="AC6059" s="35"/>
      <c r="AD6059" s="35"/>
      <c r="AE6059" s="35"/>
      <c r="AF6059" s="35"/>
      <c r="AG6059" s="35"/>
      <c r="AH6059" s="35"/>
      <c r="AI6059" s="35"/>
      <c r="AJ6059" s="35"/>
      <c r="AK6059" s="35"/>
      <c r="AL6059" s="35"/>
    </row>
    <row r="6060">
      <c r="A6060" s="1"/>
      <c r="B6060" s="19" t="s">
        <v>7020</v>
      </c>
      <c r="C6060" s="20" t="s">
        <v>4071</v>
      </c>
      <c r="D6060" s="47"/>
      <c r="E6060" s="22" t="s">
        <v>7573</v>
      </c>
      <c r="F6060" s="22" t="s">
        <v>206</v>
      </c>
      <c r="G6060" s="23" t="s">
        <v>76</v>
      </c>
      <c r="H6060" s="22" t="s">
        <v>28609</v>
      </c>
      <c r="I6060" s="24" t="s">
        <v>28610</v>
      </c>
      <c r="J6060" s="22" t="s">
        <v>44</v>
      </c>
      <c r="K6060" s="22" t="s">
        <v>28491</v>
      </c>
      <c r="L6060" s="36">
        <v>685.0</v>
      </c>
      <c r="M6060" s="36"/>
      <c r="N6060" s="36"/>
      <c r="O6060" s="36"/>
      <c r="P6060" s="37" t="s">
        <v>70</v>
      </c>
      <c r="Q6060" s="36"/>
      <c r="R6060" s="36"/>
      <c r="S6060" s="36"/>
      <c r="T6060" s="28" t="s">
        <v>28611</v>
      </c>
      <c r="U6060" s="38" t="str">
        <f>HYPERLINK("https://www.ncbi.nlm.nih.gov/pubmed/30908578","PubMed")</f>
        <v>PubMed</v>
      </c>
      <c r="V6060" s="50"/>
      <c r="W6060" s="49"/>
      <c r="X6060" s="49"/>
      <c r="Y6060" s="35"/>
      <c r="Z6060" s="35"/>
      <c r="AA6060" s="35"/>
      <c r="AB6060" s="35"/>
      <c r="AC6060" s="35"/>
      <c r="AD6060" s="35"/>
      <c r="AE6060" s="35"/>
      <c r="AF6060" s="35"/>
      <c r="AG6060" s="35"/>
      <c r="AH6060" s="35"/>
      <c r="AI6060" s="35"/>
      <c r="AJ6060" s="35"/>
      <c r="AK6060" s="35"/>
      <c r="AL6060" s="35"/>
    </row>
    <row r="6061">
      <c r="A6061" s="1"/>
      <c r="B6061" s="19" t="s">
        <v>7020</v>
      </c>
      <c r="C6061" s="20" t="s">
        <v>4071</v>
      </c>
      <c r="D6061" s="47"/>
      <c r="E6061" s="22" t="s">
        <v>28612</v>
      </c>
      <c r="F6061" s="22" t="s">
        <v>41</v>
      </c>
      <c r="G6061" s="23">
        <v>2019.0</v>
      </c>
      <c r="H6061" s="22" t="s">
        <v>91</v>
      </c>
      <c r="I6061" s="24" t="s">
        <v>28613</v>
      </c>
      <c r="J6061" s="22" t="s">
        <v>55</v>
      </c>
      <c r="K6061" s="22" t="s">
        <v>28614</v>
      </c>
      <c r="L6061" s="36">
        <v>660.0</v>
      </c>
      <c r="M6061" s="36">
        <v>30.0</v>
      </c>
      <c r="N6061" s="37"/>
      <c r="O6061" s="36"/>
      <c r="P6061" s="37" t="s">
        <v>709</v>
      </c>
      <c r="Q6061" s="36" t="s">
        <v>9358</v>
      </c>
      <c r="R6061" s="36">
        <v>15.0</v>
      </c>
      <c r="S6061" s="36"/>
      <c r="T6061" s="28" t="s">
        <v>28615</v>
      </c>
      <c r="U6061" s="38" t="str">
        <f>HYPERLINK("https://www.ncbi.nlm.nih.gov/pubmed/30969378","PubMed")</f>
        <v>PubMed</v>
      </c>
      <c r="V6061" s="50"/>
      <c r="W6061" s="49"/>
      <c r="X6061" s="49"/>
      <c r="Y6061" s="35"/>
      <c r="Z6061" s="35"/>
      <c r="AA6061" s="35"/>
      <c r="AB6061" s="35"/>
      <c r="AC6061" s="35"/>
      <c r="AD6061" s="35"/>
      <c r="AE6061" s="35"/>
      <c r="AF6061" s="35"/>
      <c r="AG6061" s="35"/>
      <c r="AH6061" s="35"/>
      <c r="AI6061" s="35"/>
      <c r="AJ6061" s="35"/>
      <c r="AK6061" s="35"/>
      <c r="AL6061" s="35"/>
    </row>
    <row r="6062">
      <c r="A6062" s="1"/>
      <c r="B6062" s="19" t="s">
        <v>7020</v>
      </c>
      <c r="C6062" s="20" t="s">
        <v>4071</v>
      </c>
      <c r="D6062" s="47"/>
      <c r="E6062" s="22" t="s">
        <v>28616</v>
      </c>
      <c r="F6062" s="22" t="s">
        <v>4134</v>
      </c>
      <c r="G6062" s="23">
        <v>2016.0</v>
      </c>
      <c r="H6062" s="22" t="s">
        <v>658</v>
      </c>
      <c r="I6062" s="24" t="s">
        <v>28617</v>
      </c>
      <c r="J6062" s="22" t="s">
        <v>125</v>
      </c>
      <c r="K6062" s="22"/>
      <c r="L6062" s="43" t="s">
        <v>28618</v>
      </c>
      <c r="M6062" s="44"/>
      <c r="N6062" s="44"/>
      <c r="O6062" s="44"/>
      <c r="P6062" s="44"/>
      <c r="Q6062" s="44"/>
      <c r="R6062" s="44"/>
      <c r="S6062" s="44"/>
      <c r="T6062" s="45"/>
      <c r="U6062" s="38" t="str">
        <f>HYPERLINK("https://www.ncbi.nlm.nih.gov/pubmed/27419354","PubMed")</f>
        <v>PubMed</v>
      </c>
      <c r="V6062" s="30"/>
      <c r="W6062" s="49"/>
      <c r="X6062" s="49"/>
      <c r="Y6062" s="35"/>
      <c r="Z6062" s="35"/>
      <c r="AA6062" s="35"/>
      <c r="AB6062" s="35"/>
      <c r="AC6062" s="35"/>
      <c r="AD6062" s="35"/>
      <c r="AE6062" s="35"/>
      <c r="AF6062" s="35"/>
      <c r="AG6062" s="35"/>
      <c r="AH6062" s="35"/>
      <c r="AI6062" s="35"/>
      <c r="AJ6062" s="35"/>
      <c r="AK6062" s="35"/>
      <c r="AL6062" s="35"/>
    </row>
    <row r="6063">
      <c r="A6063" s="1"/>
      <c r="B6063" s="19" t="s">
        <v>7020</v>
      </c>
      <c r="C6063" s="20" t="s">
        <v>4071</v>
      </c>
      <c r="D6063" s="47"/>
      <c r="E6063" s="22" t="s">
        <v>13311</v>
      </c>
      <c r="F6063" s="22" t="s">
        <v>4134</v>
      </c>
      <c r="G6063" s="23">
        <v>2007.0</v>
      </c>
      <c r="H6063" s="22" t="s">
        <v>18287</v>
      </c>
      <c r="I6063" s="24" t="s">
        <v>28619</v>
      </c>
      <c r="J6063" s="22" t="s">
        <v>31</v>
      </c>
      <c r="K6063" s="22" t="s">
        <v>19339</v>
      </c>
      <c r="L6063" s="36">
        <v>830.0</v>
      </c>
      <c r="M6063" s="36"/>
      <c r="N6063" s="36"/>
      <c r="O6063" s="36"/>
      <c r="P6063" s="37"/>
      <c r="Q6063" s="36"/>
      <c r="R6063" s="36"/>
      <c r="S6063" s="36"/>
      <c r="T6063" s="28" t="s">
        <v>28620</v>
      </c>
      <c r="U6063" s="38" t="str">
        <f>HYPERLINK("https://www.ncbi.nlm.nih.gov/pubmed/17374099","PubMed")</f>
        <v>PubMed</v>
      </c>
      <c r="V6063" s="30" t="s">
        <v>28621</v>
      </c>
      <c r="W6063" s="49"/>
      <c r="X6063" s="49"/>
      <c r="Y6063" s="35"/>
      <c r="Z6063" s="35"/>
      <c r="AA6063" s="35"/>
      <c r="AB6063" s="35"/>
      <c r="AC6063" s="35"/>
      <c r="AD6063" s="35"/>
      <c r="AE6063" s="35"/>
      <c r="AF6063" s="35"/>
      <c r="AG6063" s="35"/>
      <c r="AH6063" s="35"/>
      <c r="AI6063" s="35"/>
      <c r="AJ6063" s="35"/>
      <c r="AK6063" s="35"/>
      <c r="AL6063" s="35"/>
    </row>
    <row r="6064">
      <c r="A6064" s="1"/>
      <c r="B6064" s="19" t="s">
        <v>7020</v>
      </c>
      <c r="C6064" s="20" t="s">
        <v>4071</v>
      </c>
      <c r="D6064" s="47"/>
      <c r="E6064" s="22" t="s">
        <v>13667</v>
      </c>
      <c r="F6064" s="22" t="s">
        <v>1465</v>
      </c>
      <c r="G6064" s="23">
        <v>2006.0</v>
      </c>
      <c r="H6064" s="22" t="s">
        <v>658</v>
      </c>
      <c r="I6064" s="24" t="s">
        <v>27671</v>
      </c>
      <c r="J6064" s="22" t="s">
        <v>649</v>
      </c>
      <c r="K6064" s="22"/>
      <c r="L6064" s="105" t="s">
        <v>28622</v>
      </c>
      <c r="M6064" s="44"/>
      <c r="N6064" s="44"/>
      <c r="O6064" s="44"/>
      <c r="P6064" s="44"/>
      <c r="Q6064" s="44"/>
      <c r="R6064" s="44"/>
      <c r="S6064" s="44"/>
      <c r="T6064" s="45"/>
      <c r="U6064" s="38" t="str">
        <f>HYPERLINK("https://www.ncbi.nlm.nih.gov/pubmed/16706694","PubMed")</f>
        <v>PubMed</v>
      </c>
      <c r="V6064" s="30"/>
      <c r="W6064" s="49"/>
      <c r="X6064" s="49"/>
      <c r="Y6064" s="35"/>
      <c r="Z6064" s="35"/>
      <c r="AA6064" s="35"/>
      <c r="AB6064" s="35"/>
      <c r="AC6064" s="35"/>
      <c r="AD6064" s="35"/>
      <c r="AE6064" s="35"/>
      <c r="AF6064" s="35"/>
      <c r="AG6064" s="35"/>
      <c r="AH6064" s="35"/>
      <c r="AI6064" s="35"/>
      <c r="AJ6064" s="35"/>
      <c r="AK6064" s="35"/>
      <c r="AL6064" s="35"/>
    </row>
    <row r="6065">
      <c r="A6065" s="1"/>
      <c r="B6065" s="19" t="s">
        <v>7020</v>
      </c>
      <c r="C6065" s="20" t="s">
        <v>4071</v>
      </c>
      <c r="D6065" s="47"/>
      <c r="E6065" s="22" t="s">
        <v>28623</v>
      </c>
      <c r="F6065" s="22" t="s">
        <v>1398</v>
      </c>
      <c r="G6065" s="23">
        <v>2004.0</v>
      </c>
      <c r="H6065" s="22" t="s">
        <v>658</v>
      </c>
      <c r="I6065" s="24" t="s">
        <v>28624</v>
      </c>
      <c r="J6065" s="22" t="s">
        <v>28625</v>
      </c>
      <c r="K6065" s="22"/>
      <c r="L6065" s="36">
        <v>830.0</v>
      </c>
      <c r="M6065" s="36">
        <v>1000.0</v>
      </c>
      <c r="N6065" s="36" t="s">
        <v>58</v>
      </c>
      <c r="O6065" s="36" t="s">
        <v>58</v>
      </c>
      <c r="P6065" s="37" t="s">
        <v>58</v>
      </c>
      <c r="Q6065" s="36" t="s">
        <v>58</v>
      </c>
      <c r="R6065" s="36" t="s">
        <v>28626</v>
      </c>
      <c r="S6065" s="36" t="s">
        <v>28627</v>
      </c>
      <c r="T6065" s="42" t="s">
        <v>28628</v>
      </c>
      <c r="U6065" s="38" t="str">
        <f>HYPERLINK("https://www.ncbi.nlm.nih.gov/pubmed/15684758","PubMed")</f>
        <v>PubMed</v>
      </c>
      <c r="V6065" s="30" t="s">
        <v>28629</v>
      </c>
      <c r="W6065" s="49"/>
      <c r="X6065" s="49"/>
      <c r="Y6065" s="35"/>
      <c r="Z6065" s="35"/>
      <c r="AA6065" s="35"/>
      <c r="AB6065" s="35"/>
      <c r="AC6065" s="35"/>
      <c r="AD6065" s="35"/>
      <c r="AE6065" s="35"/>
      <c r="AF6065" s="35"/>
      <c r="AG6065" s="35"/>
      <c r="AH6065" s="35"/>
      <c r="AI6065" s="35"/>
      <c r="AJ6065" s="35"/>
      <c r="AK6065" s="35"/>
      <c r="AL6065" s="35"/>
    </row>
    <row r="6066">
      <c r="A6066" s="1"/>
      <c r="B6066" s="19" t="s">
        <v>7020</v>
      </c>
      <c r="C6066" s="20" t="s">
        <v>4071</v>
      </c>
      <c r="D6066" s="47"/>
      <c r="E6066" s="22" t="s">
        <v>28630</v>
      </c>
      <c r="F6066" s="22" t="s">
        <v>11580</v>
      </c>
      <c r="G6066" s="23">
        <v>1997.0</v>
      </c>
      <c r="H6066" s="22" t="s">
        <v>292</v>
      </c>
      <c r="I6066" s="24" t="s">
        <v>28631</v>
      </c>
      <c r="J6066" s="22" t="s">
        <v>125</v>
      </c>
      <c r="K6066" s="22"/>
      <c r="L6066" s="43" t="s">
        <v>28632</v>
      </c>
      <c r="M6066" s="44"/>
      <c r="N6066" s="44"/>
      <c r="O6066" s="44"/>
      <c r="P6066" s="44"/>
      <c r="Q6066" s="44"/>
      <c r="R6066" s="44"/>
      <c r="S6066" s="44"/>
      <c r="T6066" s="45"/>
      <c r="U6066" s="38" t="str">
        <f>HYPERLINK("https://www.jstage.jst.go.jp/article/islsm/9/1/9_1_33/_article/-char/en","J-STAGE")</f>
        <v>J-STAGE</v>
      </c>
      <c r="V6066" s="30"/>
      <c r="W6066" s="49"/>
      <c r="X6066" s="49"/>
      <c r="Y6066" s="35"/>
      <c r="Z6066" s="35"/>
      <c r="AA6066" s="35"/>
      <c r="AB6066" s="35"/>
      <c r="AC6066" s="35"/>
      <c r="AD6066" s="35"/>
      <c r="AE6066" s="35"/>
      <c r="AF6066" s="35"/>
      <c r="AG6066" s="35"/>
      <c r="AH6066" s="35"/>
      <c r="AI6066" s="35"/>
      <c r="AJ6066" s="35"/>
      <c r="AK6066" s="35"/>
      <c r="AL6066" s="35"/>
    </row>
    <row r="6067">
      <c r="A6067" s="1"/>
      <c r="B6067" s="19" t="s">
        <v>7020</v>
      </c>
      <c r="C6067" s="20" t="s">
        <v>4071</v>
      </c>
      <c r="D6067" s="47"/>
      <c r="E6067" s="22" t="s">
        <v>17469</v>
      </c>
      <c r="F6067" s="22" t="s">
        <v>366</v>
      </c>
      <c r="G6067" s="23">
        <v>1994.0</v>
      </c>
      <c r="H6067" s="22" t="s">
        <v>53</v>
      </c>
      <c r="I6067" s="24" t="s">
        <v>28633</v>
      </c>
      <c r="J6067" s="22" t="s">
        <v>31</v>
      </c>
      <c r="K6067" s="22" t="s">
        <v>6802</v>
      </c>
      <c r="L6067" s="36" t="s">
        <v>28634</v>
      </c>
      <c r="M6067" s="36"/>
      <c r="N6067" s="36"/>
      <c r="O6067" s="36"/>
      <c r="P6067" s="37"/>
      <c r="Q6067" s="36"/>
      <c r="R6067" s="36"/>
      <c r="S6067" s="36"/>
      <c r="T6067" s="28" t="s">
        <v>28635</v>
      </c>
      <c r="U6067" s="38" t="str">
        <f>HYPERLINK("https://www.ncbi.nlm.nih.gov/pubmed/7528316","PubMed")</f>
        <v>PubMed</v>
      </c>
      <c r="V6067" s="30"/>
      <c r="W6067" s="49"/>
      <c r="X6067" s="49"/>
      <c r="Y6067" s="35"/>
      <c r="Z6067" s="35"/>
      <c r="AA6067" s="35"/>
      <c r="AB6067" s="35"/>
      <c r="AC6067" s="35"/>
      <c r="AD6067" s="35"/>
      <c r="AE6067" s="35"/>
      <c r="AF6067" s="35"/>
      <c r="AG6067" s="35"/>
      <c r="AH6067" s="35"/>
      <c r="AI6067" s="35"/>
      <c r="AJ6067" s="35"/>
      <c r="AK6067" s="35"/>
      <c r="AL6067" s="35"/>
    </row>
    <row r="6068">
      <c r="A6068" s="1"/>
      <c r="B6068" s="19" t="s">
        <v>7020</v>
      </c>
      <c r="C6068" s="20" t="s">
        <v>4071</v>
      </c>
      <c r="D6068" s="47"/>
      <c r="E6068" s="22" t="s">
        <v>28636</v>
      </c>
      <c r="F6068" s="22" t="s">
        <v>1398</v>
      </c>
      <c r="G6068" s="23">
        <v>1993.0</v>
      </c>
      <c r="H6068" s="22" t="s">
        <v>292</v>
      </c>
      <c r="I6068" s="24" t="s">
        <v>28637</v>
      </c>
      <c r="J6068" s="22" t="s">
        <v>28638</v>
      </c>
      <c r="K6068" s="22" t="s">
        <v>28639</v>
      </c>
      <c r="L6068" s="36" t="s">
        <v>28640</v>
      </c>
      <c r="M6068" s="36" t="s">
        <v>28641</v>
      </c>
      <c r="N6068" s="36"/>
      <c r="O6068" s="36"/>
      <c r="P6068" s="37" t="s">
        <v>28642</v>
      </c>
      <c r="Q6068" s="36"/>
      <c r="R6068" s="36" t="s">
        <v>28643</v>
      </c>
      <c r="S6068" s="36"/>
      <c r="T6068" s="42" t="s">
        <v>28644</v>
      </c>
      <c r="U6068" s="38" t="str">
        <f>HYPERLINK("https://www.jstage.jst.go.jp/article/islsm/5/4/5_93-OR-19/_article/-char/en","J-STAGE")</f>
        <v>J-STAGE</v>
      </c>
      <c r="V6068" s="30" t="s">
        <v>28645</v>
      </c>
      <c r="W6068" s="49"/>
      <c r="X6068" s="49"/>
      <c r="Y6068" s="35"/>
      <c r="Z6068" s="35"/>
      <c r="AA6068" s="35"/>
      <c r="AB6068" s="35"/>
      <c r="AC6068" s="35"/>
      <c r="AD6068" s="35"/>
      <c r="AE6068" s="35"/>
      <c r="AF6068" s="35"/>
      <c r="AG6068" s="35"/>
      <c r="AH6068" s="35"/>
      <c r="AI6068" s="35"/>
      <c r="AJ6068" s="35"/>
      <c r="AK6068" s="35"/>
      <c r="AL6068" s="35"/>
    </row>
    <row r="6069">
      <c r="A6069" s="1"/>
      <c r="B6069" s="19" t="s">
        <v>7020</v>
      </c>
      <c r="C6069" s="20" t="s">
        <v>4071</v>
      </c>
      <c r="D6069" s="47"/>
      <c r="E6069" s="22" t="s">
        <v>28646</v>
      </c>
      <c r="F6069" s="22" t="s">
        <v>1398</v>
      </c>
      <c r="G6069" s="23">
        <v>1988.0</v>
      </c>
      <c r="H6069" s="22" t="s">
        <v>292</v>
      </c>
      <c r="I6069" s="24" t="s">
        <v>28647</v>
      </c>
      <c r="J6069" s="22" t="s">
        <v>55</v>
      </c>
      <c r="K6069" s="22" t="s">
        <v>1240</v>
      </c>
      <c r="L6069" s="36">
        <v>830.0</v>
      </c>
      <c r="M6069" s="36">
        <v>60.0</v>
      </c>
      <c r="N6069" s="36"/>
      <c r="O6069" s="36"/>
      <c r="P6069" s="37"/>
      <c r="Q6069" s="36"/>
      <c r="R6069" s="36"/>
      <c r="S6069" s="36"/>
      <c r="T6069" s="42" t="s">
        <v>28648</v>
      </c>
      <c r="U6069" s="38" t="str">
        <f>HYPERLINK("https://www.jstage.jst.go.jp/article/islsm/1/0_Pilot_Issue_1/1_1_88-OR-01/_article/-char/en","J-STAGE")</f>
        <v>J-STAGE</v>
      </c>
      <c r="V6069" s="30"/>
      <c r="W6069" s="49"/>
      <c r="X6069" s="49"/>
      <c r="Y6069" s="35"/>
      <c r="Z6069" s="35"/>
      <c r="AA6069" s="35"/>
      <c r="AB6069" s="35"/>
      <c r="AC6069" s="35"/>
      <c r="AD6069" s="35"/>
      <c r="AE6069" s="35"/>
      <c r="AF6069" s="35"/>
      <c r="AG6069" s="35"/>
      <c r="AH6069" s="35"/>
      <c r="AI6069" s="35"/>
      <c r="AJ6069" s="35"/>
      <c r="AK6069" s="35"/>
      <c r="AL6069" s="35"/>
    </row>
    <row r="6070">
      <c r="A6070" s="1"/>
      <c r="B6070" s="19" t="s">
        <v>7020</v>
      </c>
      <c r="C6070" s="20" t="s">
        <v>4071</v>
      </c>
      <c r="D6070" s="47"/>
      <c r="E6070" s="22" t="s">
        <v>28649</v>
      </c>
      <c r="F6070" s="22" t="s">
        <v>12046</v>
      </c>
      <c r="G6070" s="23">
        <v>1990.0</v>
      </c>
      <c r="H6070" s="22" t="s">
        <v>7020</v>
      </c>
      <c r="I6070" s="24" t="s">
        <v>28650</v>
      </c>
      <c r="J6070" s="22" t="s">
        <v>28651</v>
      </c>
      <c r="K6070" s="22"/>
      <c r="L6070" s="36">
        <v>633.0</v>
      </c>
      <c r="M6070" s="36" t="s">
        <v>28652</v>
      </c>
      <c r="N6070" s="36"/>
      <c r="O6070" s="36"/>
      <c r="P6070" s="37"/>
      <c r="Q6070" s="36"/>
      <c r="R6070" s="36"/>
      <c r="S6070" s="36"/>
      <c r="T6070" s="41" t="s">
        <v>28653</v>
      </c>
      <c r="U6070" s="38" t="str">
        <f>HYPERLINK("https://www.ncbi.nlm.nih.gov/pubmed/2087334","PubMed")</f>
        <v>PubMed</v>
      </c>
      <c r="V6070" s="30"/>
      <c r="W6070" s="49"/>
      <c r="X6070" s="49"/>
      <c r="Y6070" s="35"/>
      <c r="Z6070" s="35"/>
      <c r="AA6070" s="35"/>
      <c r="AB6070" s="35"/>
      <c r="AC6070" s="35"/>
      <c r="AD6070" s="35"/>
      <c r="AE6070" s="35"/>
      <c r="AF6070" s="35"/>
      <c r="AG6070" s="35"/>
      <c r="AH6070" s="35"/>
      <c r="AI6070" s="35"/>
      <c r="AJ6070" s="35"/>
      <c r="AK6070" s="35"/>
      <c r="AL6070" s="35"/>
    </row>
    <row r="6071">
      <c r="A6071" s="1"/>
      <c r="B6071" s="19" t="s">
        <v>7020</v>
      </c>
      <c r="C6071" s="20" t="s">
        <v>4071</v>
      </c>
      <c r="D6071" s="47"/>
      <c r="E6071" s="22" t="s">
        <v>28654</v>
      </c>
      <c r="F6071" s="22" t="s">
        <v>1398</v>
      </c>
      <c r="G6071" s="23">
        <v>1989.0</v>
      </c>
      <c r="H6071" s="22" t="s">
        <v>292</v>
      </c>
      <c r="I6071" s="24" t="s">
        <v>28655</v>
      </c>
      <c r="J6071" s="22" t="s">
        <v>55</v>
      </c>
      <c r="K6071" s="22"/>
      <c r="L6071" s="36">
        <v>830.0</v>
      </c>
      <c r="M6071" s="36">
        <v>60.0</v>
      </c>
      <c r="N6071" s="36"/>
      <c r="O6071" s="36"/>
      <c r="P6071" s="37"/>
      <c r="Q6071" s="36"/>
      <c r="R6071" s="36"/>
      <c r="S6071" s="36"/>
      <c r="T6071" s="28" t="s">
        <v>28656</v>
      </c>
      <c r="U6071" s="38" t="str">
        <f>HYPERLINK("https://www.jstage.jst.go.jp/article/islsm/1/1/1_89-OR-02/_article/-char/en","J-STAGE")</f>
        <v>J-STAGE</v>
      </c>
      <c r="V6071" s="30"/>
      <c r="W6071" s="49"/>
      <c r="X6071" s="49"/>
      <c r="Y6071" s="35"/>
      <c r="Z6071" s="35"/>
      <c r="AA6071" s="35"/>
      <c r="AB6071" s="35"/>
      <c r="AC6071" s="35"/>
      <c r="AD6071" s="35"/>
      <c r="AE6071" s="35"/>
      <c r="AF6071" s="35"/>
      <c r="AG6071" s="35"/>
      <c r="AH6071" s="35"/>
      <c r="AI6071" s="35"/>
      <c r="AJ6071" s="35"/>
      <c r="AK6071" s="35"/>
      <c r="AL6071" s="35"/>
    </row>
    <row r="6072">
      <c r="A6072" s="1"/>
      <c r="B6072" s="19" t="s">
        <v>7020</v>
      </c>
      <c r="C6072" s="20" t="s">
        <v>28657</v>
      </c>
      <c r="D6072" s="47"/>
      <c r="E6072" s="22" t="s">
        <v>28658</v>
      </c>
      <c r="F6072" s="22" t="s">
        <v>28659</v>
      </c>
      <c r="G6072" s="23">
        <v>2019.0</v>
      </c>
      <c r="H6072" s="22" t="s">
        <v>2851</v>
      </c>
      <c r="I6072" s="24" t="s">
        <v>28660</v>
      </c>
      <c r="J6072" s="22" t="s">
        <v>28661</v>
      </c>
      <c r="K6072" s="22" t="s">
        <v>28662</v>
      </c>
      <c r="L6072" s="36" t="s">
        <v>28663</v>
      </c>
      <c r="M6072" s="36"/>
      <c r="N6072" s="36"/>
      <c r="O6072" s="36" t="s">
        <v>28664</v>
      </c>
      <c r="P6072" s="37"/>
      <c r="Q6072" s="36"/>
      <c r="R6072" s="36">
        <v>780.0</v>
      </c>
      <c r="S6072" s="36">
        <v>1.0</v>
      </c>
      <c r="T6072" s="28" t="s">
        <v>28665</v>
      </c>
      <c r="U6072" s="38" t="str">
        <f>HYPERLINK("https://www.ncbi.nlm.nih.gov/pubmed/31564998","PubMed")</f>
        <v>PubMed</v>
      </c>
      <c r="V6072" s="30"/>
      <c r="W6072" s="49"/>
      <c r="X6072" s="49"/>
      <c r="Y6072" s="35"/>
      <c r="Z6072" s="35"/>
      <c r="AA6072" s="35"/>
      <c r="AB6072" s="35"/>
      <c r="AC6072" s="35"/>
      <c r="AD6072" s="35"/>
      <c r="AE6072" s="35"/>
      <c r="AF6072" s="35"/>
      <c r="AG6072" s="35"/>
      <c r="AH6072" s="35"/>
      <c r="AI6072" s="35"/>
      <c r="AJ6072" s="35"/>
      <c r="AK6072" s="35"/>
      <c r="AL6072" s="35"/>
    </row>
    <row r="6073">
      <c r="A6073" s="1"/>
      <c r="B6073" s="19" t="s">
        <v>7020</v>
      </c>
      <c r="C6073" s="20" t="s">
        <v>28657</v>
      </c>
      <c r="D6073" s="47"/>
      <c r="E6073" s="22" t="s">
        <v>28666</v>
      </c>
      <c r="F6073" s="22" t="s">
        <v>28667</v>
      </c>
      <c r="G6073" s="23">
        <v>1999.0</v>
      </c>
      <c r="H6073" s="22" t="s">
        <v>1289</v>
      </c>
      <c r="I6073" s="24" t="s">
        <v>28668</v>
      </c>
      <c r="J6073" s="22" t="s">
        <v>28669</v>
      </c>
      <c r="K6073" s="22"/>
      <c r="L6073" s="36">
        <v>904.0</v>
      </c>
      <c r="M6073" s="36" t="s">
        <v>28670</v>
      </c>
      <c r="N6073" s="36"/>
      <c r="O6073" s="36"/>
      <c r="P6073" s="37" t="s">
        <v>28671</v>
      </c>
      <c r="Q6073" s="36" t="s">
        <v>28672</v>
      </c>
      <c r="R6073" s="36"/>
      <c r="S6073" s="36" t="s">
        <v>28673</v>
      </c>
      <c r="T6073" s="28" t="s">
        <v>28674</v>
      </c>
      <c r="U6073" s="38" t="str">
        <f>HYPERLINK("https://www.ncbi.nlm.nih.gov/pubmed/10204446","PubMed")</f>
        <v>PubMed</v>
      </c>
      <c r="V6073" s="30"/>
      <c r="W6073" s="49"/>
      <c r="X6073" s="49"/>
      <c r="Y6073" s="35"/>
      <c r="Z6073" s="35"/>
      <c r="AA6073" s="35"/>
      <c r="AB6073" s="35"/>
      <c r="AC6073" s="35"/>
      <c r="AD6073" s="35"/>
      <c r="AE6073" s="35"/>
      <c r="AF6073" s="35"/>
      <c r="AG6073" s="35"/>
      <c r="AH6073" s="35"/>
      <c r="AI6073" s="35"/>
      <c r="AJ6073" s="35"/>
      <c r="AK6073" s="35"/>
      <c r="AL6073" s="35"/>
    </row>
    <row r="6074">
      <c r="A6074" s="1"/>
      <c r="B6074" s="19" t="s">
        <v>7020</v>
      </c>
      <c r="C6074" s="20" t="s">
        <v>28657</v>
      </c>
      <c r="D6074" s="47"/>
      <c r="E6074" s="22" t="s">
        <v>28675</v>
      </c>
      <c r="F6074" s="22" t="s">
        <v>1398</v>
      </c>
      <c r="G6074" s="23">
        <v>1998.0</v>
      </c>
      <c r="H6074" s="22" t="s">
        <v>292</v>
      </c>
      <c r="I6074" s="24" t="s">
        <v>28676</v>
      </c>
      <c r="J6074" s="22" t="s">
        <v>28677</v>
      </c>
      <c r="K6074" s="22"/>
      <c r="L6074" s="36">
        <v>830.0</v>
      </c>
      <c r="M6074" s="36">
        <v>60.0</v>
      </c>
      <c r="N6074" s="36"/>
      <c r="O6074" s="36"/>
      <c r="P6074" s="37"/>
      <c r="Q6074" s="36"/>
      <c r="R6074" s="36"/>
      <c r="S6074" s="36"/>
      <c r="T6074" s="28" t="s">
        <v>28678</v>
      </c>
      <c r="U6074" s="38" t="str">
        <f>HYPERLINK("https://www.jstage.jst.go.jp/article/islsm/10/1/10_1_33/_article/-char/en","J-STAGE")</f>
        <v>J-STAGE</v>
      </c>
      <c r="V6074" s="30"/>
      <c r="W6074" s="49"/>
      <c r="X6074" s="49"/>
      <c r="Y6074" s="35"/>
      <c r="Z6074" s="35"/>
      <c r="AA6074" s="35"/>
      <c r="AB6074" s="35"/>
      <c r="AC6074" s="35"/>
      <c r="AD6074" s="35"/>
      <c r="AE6074" s="35"/>
      <c r="AF6074" s="35"/>
      <c r="AG6074" s="35"/>
      <c r="AH6074" s="35"/>
      <c r="AI6074" s="35"/>
      <c r="AJ6074" s="35"/>
      <c r="AK6074" s="35"/>
      <c r="AL6074" s="35"/>
    </row>
    <row r="6075">
      <c r="A6075" s="1"/>
      <c r="B6075" s="19" t="s">
        <v>7020</v>
      </c>
      <c r="C6075" s="20" t="s">
        <v>28657</v>
      </c>
      <c r="D6075" s="47"/>
      <c r="E6075" s="22" t="s">
        <v>28679</v>
      </c>
      <c r="F6075" s="22" t="s">
        <v>1398</v>
      </c>
      <c r="G6075" s="23">
        <v>1994.0</v>
      </c>
      <c r="H6075" s="22" t="s">
        <v>292</v>
      </c>
      <c r="I6075" s="24" t="s">
        <v>28680</v>
      </c>
      <c r="J6075" s="22" t="s">
        <v>28681</v>
      </c>
      <c r="K6075" s="22"/>
      <c r="L6075" s="36">
        <v>830.0</v>
      </c>
      <c r="M6075" s="36">
        <v>60.0</v>
      </c>
      <c r="N6075" s="36">
        <v>3.0</v>
      </c>
      <c r="O6075" s="36"/>
      <c r="P6075" s="37" t="s">
        <v>23208</v>
      </c>
      <c r="Q6075" s="36"/>
      <c r="R6075" s="36" t="s">
        <v>8222</v>
      </c>
      <c r="S6075" s="36"/>
      <c r="T6075" s="28" t="s">
        <v>28682</v>
      </c>
      <c r="U6075" s="38" t="str">
        <f>HYPERLINK("https://www.jstage.jst.go.jp/article/islsm/6/3/6_94-OR-08/_article/-char/ja/","J-STAGE")</f>
        <v>J-STAGE</v>
      </c>
      <c r="V6075" s="30" t="s">
        <v>28683</v>
      </c>
      <c r="W6075" s="49"/>
      <c r="X6075" s="49"/>
      <c r="Y6075" s="35"/>
      <c r="Z6075" s="35"/>
      <c r="AA6075" s="35"/>
      <c r="AB6075" s="35"/>
      <c r="AC6075" s="35"/>
      <c r="AD6075" s="35"/>
      <c r="AE6075" s="35"/>
      <c r="AF6075" s="35"/>
      <c r="AG6075" s="35"/>
      <c r="AH6075" s="35"/>
      <c r="AI6075" s="35"/>
      <c r="AJ6075" s="35"/>
      <c r="AK6075" s="35"/>
      <c r="AL6075" s="35"/>
    </row>
    <row r="6076">
      <c r="A6076" s="18"/>
      <c r="B6076" s="19" t="s">
        <v>7020</v>
      </c>
      <c r="C6076" s="20" t="s">
        <v>28657</v>
      </c>
      <c r="D6076" s="47"/>
      <c r="E6076" s="22" t="s">
        <v>28684</v>
      </c>
      <c r="F6076" s="22" t="s">
        <v>5042</v>
      </c>
      <c r="G6076" s="23">
        <v>1990.0</v>
      </c>
      <c r="H6076" s="22" t="s">
        <v>292</v>
      </c>
      <c r="I6076" s="24" t="s">
        <v>28685</v>
      </c>
      <c r="J6076" s="22" t="s">
        <v>28686</v>
      </c>
      <c r="K6076" s="22"/>
      <c r="L6076" s="36">
        <v>830.0</v>
      </c>
      <c r="M6076" s="36">
        <v>60.0</v>
      </c>
      <c r="N6076" s="36"/>
      <c r="O6076" s="36"/>
      <c r="P6076" s="37"/>
      <c r="Q6076" s="36"/>
      <c r="R6076" s="36"/>
      <c r="S6076" s="36" t="s">
        <v>28687</v>
      </c>
      <c r="T6076" s="28" t="s">
        <v>28688</v>
      </c>
      <c r="U6076" s="38" t="str">
        <f>HYPERLINK("https://www.jstage.jst.go.jp/article/islsm/2/4/2_90-OR-15/_article/-char/en","J-STAGE")</f>
        <v>J-STAGE</v>
      </c>
      <c r="V6076" s="30" t="s">
        <v>28689</v>
      </c>
      <c r="W6076" s="49"/>
      <c r="X6076" s="49"/>
      <c r="Y6076" s="35"/>
      <c r="Z6076" s="35"/>
      <c r="AA6076" s="35"/>
      <c r="AB6076" s="35"/>
      <c r="AC6076" s="35"/>
      <c r="AD6076" s="35"/>
      <c r="AE6076" s="35"/>
      <c r="AF6076" s="35"/>
      <c r="AG6076" s="35"/>
      <c r="AH6076" s="35"/>
      <c r="AI6076" s="35"/>
      <c r="AJ6076" s="35"/>
      <c r="AK6076" s="35"/>
      <c r="AL6076" s="35"/>
    </row>
    <row r="6077">
      <c r="A6077" s="18" t="s">
        <v>2</v>
      </c>
      <c r="B6077" s="19" t="s">
        <v>7020</v>
      </c>
      <c r="C6077" s="20" t="s">
        <v>28657</v>
      </c>
      <c r="D6077" s="47"/>
      <c r="E6077" s="22" t="s">
        <v>28675</v>
      </c>
      <c r="F6077" s="22" t="s">
        <v>1398</v>
      </c>
      <c r="G6077" s="23">
        <v>1989.0</v>
      </c>
      <c r="H6077" s="22" t="s">
        <v>292</v>
      </c>
      <c r="I6077" s="24" t="s">
        <v>28690</v>
      </c>
      <c r="J6077" s="22" t="s">
        <v>28691</v>
      </c>
      <c r="K6077" s="22"/>
      <c r="L6077" s="36">
        <v>830.0</v>
      </c>
      <c r="M6077" s="36">
        <v>60.0</v>
      </c>
      <c r="N6077" s="36"/>
      <c r="O6077" s="36"/>
      <c r="P6077" s="37"/>
      <c r="Q6077" s="36"/>
      <c r="R6077" s="36"/>
      <c r="S6077" s="36" t="s">
        <v>28692</v>
      </c>
      <c r="T6077" s="28" t="s">
        <v>28693</v>
      </c>
      <c r="U6077" s="38" t="str">
        <f>HYPERLINK("https://www.jstage.jst.go.jp/article/islsm/1/1/1_89-OR-06/_article","J-STAGE")</f>
        <v>J-STAGE</v>
      </c>
      <c r="V6077" s="30"/>
      <c r="W6077" s="49"/>
      <c r="X6077" s="49"/>
      <c r="Y6077" s="35"/>
      <c r="Z6077" s="35"/>
      <c r="AA6077" s="35"/>
      <c r="AB6077" s="35"/>
      <c r="AC6077" s="35"/>
      <c r="AD6077" s="35"/>
      <c r="AE6077" s="35"/>
      <c r="AF6077" s="35"/>
      <c r="AG6077" s="35"/>
      <c r="AH6077" s="35"/>
      <c r="AI6077" s="35"/>
      <c r="AJ6077" s="35"/>
      <c r="AK6077" s="35"/>
      <c r="AL6077" s="35"/>
    </row>
    <row r="6078">
      <c r="A6078" s="18"/>
      <c r="B6078" s="19" t="s">
        <v>7020</v>
      </c>
      <c r="C6078" s="20" t="s">
        <v>28694</v>
      </c>
      <c r="D6078" s="47"/>
      <c r="E6078" s="22" t="s">
        <v>20924</v>
      </c>
      <c r="F6078" s="22" t="s">
        <v>28695</v>
      </c>
      <c r="G6078" s="23">
        <v>2024.0</v>
      </c>
      <c r="H6078" s="22" t="s">
        <v>91</v>
      </c>
      <c r="I6078" s="24" t="s">
        <v>28696</v>
      </c>
      <c r="J6078" s="22" t="s">
        <v>649</v>
      </c>
      <c r="K6078" s="22"/>
      <c r="L6078" s="53" t="s">
        <v>28697</v>
      </c>
      <c r="U6078" s="38" t="s">
        <v>61</v>
      </c>
      <c r="V6078" s="30"/>
      <c r="W6078" s="49"/>
      <c r="X6078" s="49"/>
      <c r="Y6078" s="35"/>
      <c r="Z6078" s="35"/>
      <c r="AA6078" s="35"/>
      <c r="AB6078" s="35"/>
      <c r="AC6078" s="35"/>
      <c r="AD6078" s="35"/>
      <c r="AE6078" s="35"/>
      <c r="AF6078" s="35"/>
      <c r="AG6078" s="35"/>
      <c r="AH6078" s="35"/>
      <c r="AI6078" s="35"/>
      <c r="AJ6078" s="35"/>
      <c r="AK6078" s="35"/>
      <c r="AL6078" s="35"/>
    </row>
    <row r="6079">
      <c r="A6079" s="18"/>
      <c r="B6079" s="19" t="s">
        <v>7020</v>
      </c>
      <c r="C6079" s="20" t="s">
        <v>28694</v>
      </c>
      <c r="D6079" s="47"/>
      <c r="E6079" s="22" t="s">
        <v>1621</v>
      </c>
      <c r="F6079" s="22" t="s">
        <v>1508</v>
      </c>
      <c r="G6079" s="23">
        <v>2022.0</v>
      </c>
      <c r="H6079" s="22" t="s">
        <v>3940</v>
      </c>
      <c r="I6079" s="24" t="s">
        <v>28698</v>
      </c>
      <c r="J6079" s="22" t="s">
        <v>28699</v>
      </c>
      <c r="K6079" s="22" t="s">
        <v>14219</v>
      </c>
      <c r="L6079" s="52">
        <v>633.0</v>
      </c>
      <c r="M6079" s="52"/>
      <c r="N6079" s="52"/>
      <c r="O6079" s="52"/>
      <c r="P6079" s="189"/>
      <c r="Q6079" s="52"/>
      <c r="R6079" s="52">
        <v>3600.0</v>
      </c>
      <c r="S6079" s="52" t="s">
        <v>28700</v>
      </c>
      <c r="T6079" s="28" t="s">
        <v>28701</v>
      </c>
      <c r="U6079" s="38" t="s">
        <v>61</v>
      </c>
      <c r="V6079" s="30"/>
      <c r="W6079" s="49"/>
      <c r="X6079" s="49"/>
      <c r="Y6079" s="35"/>
      <c r="Z6079" s="35"/>
      <c r="AA6079" s="35"/>
      <c r="AB6079" s="35"/>
      <c r="AC6079" s="35"/>
      <c r="AD6079" s="35"/>
      <c r="AE6079" s="35"/>
      <c r="AF6079" s="35"/>
      <c r="AG6079" s="35"/>
      <c r="AH6079" s="35"/>
      <c r="AI6079" s="35"/>
      <c r="AJ6079" s="35"/>
      <c r="AK6079" s="35"/>
      <c r="AL6079" s="35"/>
    </row>
    <row r="6080">
      <c r="A6080" s="18"/>
      <c r="B6080" s="19" t="s">
        <v>7020</v>
      </c>
      <c r="C6080" s="20" t="s">
        <v>28694</v>
      </c>
      <c r="D6080" s="47"/>
      <c r="E6080" s="22" t="s">
        <v>856</v>
      </c>
      <c r="F6080" s="22" t="s">
        <v>41</v>
      </c>
      <c r="G6080" s="23">
        <v>2021.0</v>
      </c>
      <c r="H6080" s="22" t="s">
        <v>4740</v>
      </c>
      <c r="I6080" s="24" t="s">
        <v>28702</v>
      </c>
      <c r="J6080" s="22" t="s">
        <v>125</v>
      </c>
      <c r="K6080" s="22"/>
      <c r="L6080" s="173" t="s">
        <v>28703</v>
      </c>
      <c r="U6080" s="29" t="s">
        <v>61</v>
      </c>
      <c r="V6080" s="30"/>
      <c r="W6080" s="49"/>
      <c r="X6080" s="49"/>
      <c r="Y6080" s="35"/>
      <c r="Z6080" s="35"/>
      <c r="AA6080" s="35"/>
      <c r="AB6080" s="35"/>
      <c r="AC6080" s="35"/>
      <c r="AD6080" s="35"/>
      <c r="AE6080" s="35"/>
      <c r="AF6080" s="35"/>
      <c r="AG6080" s="35"/>
      <c r="AH6080" s="35"/>
      <c r="AI6080" s="35"/>
      <c r="AJ6080" s="35"/>
      <c r="AK6080" s="35"/>
      <c r="AL6080" s="35"/>
    </row>
    <row r="6081">
      <c r="A6081" s="1"/>
      <c r="B6081" s="19" t="s">
        <v>7020</v>
      </c>
      <c r="C6081" s="20" t="s">
        <v>28694</v>
      </c>
      <c r="D6081" s="47"/>
      <c r="E6081" s="22" t="s">
        <v>3275</v>
      </c>
      <c r="F6081" s="22" t="s">
        <v>28704</v>
      </c>
      <c r="G6081" s="23">
        <v>2020.0</v>
      </c>
      <c r="H6081" s="22" t="s">
        <v>14084</v>
      </c>
      <c r="I6081" s="24" t="s">
        <v>28705</v>
      </c>
      <c r="J6081" s="22" t="s">
        <v>125</v>
      </c>
      <c r="K6081" s="22" t="s">
        <v>28706</v>
      </c>
      <c r="L6081" s="53" t="s">
        <v>28707</v>
      </c>
      <c r="U6081" s="29" t="s">
        <v>61</v>
      </c>
      <c r="V6081" s="30"/>
      <c r="W6081" s="49"/>
      <c r="X6081" s="49"/>
      <c r="Y6081" s="35"/>
      <c r="Z6081" s="35"/>
      <c r="AA6081" s="35"/>
      <c r="AB6081" s="35"/>
      <c r="AC6081" s="35"/>
      <c r="AD6081" s="35"/>
      <c r="AE6081" s="35"/>
      <c r="AF6081" s="35"/>
      <c r="AG6081" s="35"/>
      <c r="AH6081" s="35"/>
      <c r="AI6081" s="35"/>
      <c r="AJ6081" s="35"/>
      <c r="AK6081" s="35"/>
      <c r="AL6081" s="35"/>
    </row>
    <row r="6082">
      <c r="A6082" s="1"/>
      <c r="B6082" s="19" t="s">
        <v>7020</v>
      </c>
      <c r="C6082" s="20" t="s">
        <v>28694</v>
      </c>
      <c r="D6082" s="47"/>
      <c r="E6082" s="22" t="s">
        <v>4739</v>
      </c>
      <c r="F6082" s="22" t="s">
        <v>499</v>
      </c>
      <c r="G6082" s="23">
        <v>2020.0</v>
      </c>
      <c r="H6082" s="22" t="s">
        <v>147</v>
      </c>
      <c r="I6082" s="24" t="s">
        <v>28708</v>
      </c>
      <c r="J6082" s="22" t="s">
        <v>649</v>
      </c>
      <c r="K6082" s="22"/>
      <c r="L6082" s="188" t="s">
        <v>28709</v>
      </c>
      <c r="U6082" s="38" t="str">
        <f>HYPERLINK("https://www.ncbi.nlm.nih.gov/pubmed/32099632","PubMed")</f>
        <v>PubMed</v>
      </c>
      <c r="V6082" s="30"/>
      <c r="W6082" s="49"/>
      <c r="X6082" s="49"/>
      <c r="Y6082" s="35"/>
      <c r="Z6082" s="35"/>
      <c r="AA6082" s="35"/>
      <c r="AB6082" s="35"/>
      <c r="AC6082" s="35"/>
      <c r="AD6082" s="35"/>
      <c r="AE6082" s="35"/>
      <c r="AF6082" s="35"/>
      <c r="AG6082" s="35"/>
      <c r="AH6082" s="35"/>
      <c r="AI6082" s="35"/>
      <c r="AJ6082" s="35"/>
      <c r="AK6082" s="35"/>
      <c r="AL6082" s="35"/>
    </row>
    <row r="6083">
      <c r="A6083" s="1"/>
      <c r="B6083" s="19" t="s">
        <v>7020</v>
      </c>
      <c r="C6083" s="20" t="s">
        <v>28694</v>
      </c>
      <c r="D6083" s="47"/>
      <c r="E6083" s="22" t="s">
        <v>28710</v>
      </c>
      <c r="F6083" s="22" t="s">
        <v>4125</v>
      </c>
      <c r="G6083" s="23">
        <v>2017.0</v>
      </c>
      <c r="H6083" s="22" t="s">
        <v>4740</v>
      </c>
      <c r="I6083" s="24" t="s">
        <v>28711</v>
      </c>
      <c r="J6083" s="22" t="s">
        <v>1078</v>
      </c>
      <c r="K6083" s="22"/>
      <c r="L6083" s="43" t="s">
        <v>28712</v>
      </c>
      <c r="M6083" s="44"/>
      <c r="N6083" s="44"/>
      <c r="O6083" s="44"/>
      <c r="P6083" s="44"/>
      <c r="Q6083" s="44"/>
      <c r="R6083" s="44"/>
      <c r="S6083" s="44"/>
      <c r="T6083" s="45"/>
      <c r="U6083" s="38" t="str">
        <f>HYPERLINK("https://www.ncbi.nlm.nih.gov/pubmed/28145397","PubMed")</f>
        <v>PubMed</v>
      </c>
      <c r="V6083" s="30"/>
      <c r="W6083" s="49"/>
      <c r="X6083" s="49"/>
      <c r="Y6083" s="35"/>
      <c r="Z6083" s="35"/>
      <c r="AA6083" s="35"/>
      <c r="AB6083" s="35"/>
      <c r="AC6083" s="35"/>
      <c r="AD6083" s="35"/>
      <c r="AE6083" s="35"/>
      <c r="AF6083" s="35"/>
      <c r="AG6083" s="35"/>
      <c r="AH6083" s="35"/>
      <c r="AI6083" s="35"/>
      <c r="AJ6083" s="35"/>
      <c r="AK6083" s="35"/>
      <c r="AL6083" s="35"/>
    </row>
    <row r="6084">
      <c r="A6084" s="1"/>
      <c r="B6084" s="19" t="s">
        <v>7020</v>
      </c>
      <c r="C6084" s="20" t="s">
        <v>28694</v>
      </c>
      <c r="D6084" s="47"/>
      <c r="E6084" s="22" t="s">
        <v>28713</v>
      </c>
      <c r="F6084" s="22" t="s">
        <v>28714</v>
      </c>
      <c r="G6084" s="23">
        <v>2010.0</v>
      </c>
      <c r="H6084" s="22" t="s">
        <v>28715</v>
      </c>
      <c r="I6084" s="24" t="s">
        <v>28716</v>
      </c>
      <c r="J6084" s="22" t="s">
        <v>28717</v>
      </c>
      <c r="K6084" s="22" t="s">
        <v>56</v>
      </c>
      <c r="L6084" s="36"/>
      <c r="M6084" s="36"/>
      <c r="N6084" s="36"/>
      <c r="O6084" s="36"/>
      <c r="P6084" s="37"/>
      <c r="Q6084" s="36"/>
      <c r="R6084" s="36"/>
      <c r="S6084" s="36"/>
      <c r="T6084" s="28" t="s">
        <v>28718</v>
      </c>
      <c r="U6084" s="38" t="str">
        <f>HYPERLINK("https://www.ncbi.nlm.nih.gov/pubmed/20827448","PubMed")</f>
        <v>PubMed</v>
      </c>
      <c r="V6084" s="30" t="s">
        <v>28719</v>
      </c>
      <c r="W6084" s="49"/>
      <c r="X6084" s="49"/>
      <c r="Y6084" s="35"/>
      <c r="Z6084" s="35"/>
      <c r="AA6084" s="35"/>
      <c r="AB6084" s="35"/>
      <c r="AC6084" s="35"/>
      <c r="AD6084" s="35"/>
      <c r="AE6084" s="35"/>
      <c r="AF6084" s="35"/>
      <c r="AG6084" s="35"/>
      <c r="AH6084" s="35"/>
      <c r="AI6084" s="35"/>
      <c r="AJ6084" s="35"/>
      <c r="AK6084" s="35"/>
      <c r="AL6084" s="35"/>
    </row>
    <row r="6085">
      <c r="A6085" s="1"/>
      <c r="B6085" s="19" t="s">
        <v>7020</v>
      </c>
      <c r="C6085" s="20" t="s">
        <v>28694</v>
      </c>
      <c r="D6085" s="47"/>
      <c r="E6085" s="22" t="s">
        <v>28720</v>
      </c>
      <c r="F6085" s="22" t="s">
        <v>28721</v>
      </c>
      <c r="G6085" s="23">
        <v>2006.0</v>
      </c>
      <c r="H6085" s="22" t="s">
        <v>292</v>
      </c>
      <c r="I6085" s="24" t="s">
        <v>28722</v>
      </c>
      <c r="J6085" s="22" t="s">
        <v>125</v>
      </c>
      <c r="K6085" s="22" t="s">
        <v>28723</v>
      </c>
      <c r="L6085" s="43" t="s">
        <v>28724</v>
      </c>
      <c r="M6085" s="44"/>
      <c r="N6085" s="44"/>
      <c r="O6085" s="44"/>
      <c r="P6085" s="44"/>
      <c r="Q6085" s="44"/>
      <c r="R6085" s="44"/>
      <c r="S6085" s="44"/>
      <c r="T6085" s="45"/>
      <c r="U6085" s="38" t="str">
        <f>HYPERLINK("https://www.jstage.jst.go.jp/article/islsm/15/3/15_3_119/_article/-char/en","J-STAGE")</f>
        <v>J-STAGE</v>
      </c>
      <c r="V6085" s="30"/>
      <c r="W6085" s="49"/>
      <c r="X6085" s="49"/>
      <c r="Y6085" s="35"/>
      <c r="Z6085" s="35"/>
      <c r="AA6085" s="35"/>
      <c r="AB6085" s="35"/>
      <c r="AC6085" s="35"/>
      <c r="AD6085" s="35"/>
      <c r="AE6085" s="35"/>
      <c r="AF6085" s="35"/>
      <c r="AG6085" s="35"/>
      <c r="AH6085" s="35"/>
      <c r="AI6085" s="35"/>
      <c r="AJ6085" s="35"/>
      <c r="AK6085" s="35"/>
      <c r="AL6085" s="35"/>
    </row>
    <row r="6086">
      <c r="A6086" s="205"/>
      <c r="B6086" s="75" t="s">
        <v>7020</v>
      </c>
      <c r="C6086" s="77" t="s">
        <v>28725</v>
      </c>
      <c r="D6086" s="47"/>
      <c r="E6086" s="22" t="s">
        <v>28726</v>
      </c>
      <c r="F6086" s="22" t="s">
        <v>323</v>
      </c>
      <c r="G6086" s="23">
        <v>2023.0</v>
      </c>
      <c r="H6086" s="22" t="s">
        <v>91</v>
      </c>
      <c r="I6086" s="24" t="s">
        <v>28727</v>
      </c>
      <c r="J6086" s="22" t="s">
        <v>28728</v>
      </c>
      <c r="K6086" s="22" t="s">
        <v>28729</v>
      </c>
      <c r="L6086" s="36">
        <v>940.0</v>
      </c>
      <c r="M6086" s="36"/>
      <c r="N6086" s="36"/>
      <c r="O6086" s="36"/>
      <c r="P6086" s="37"/>
      <c r="Q6086" s="36"/>
      <c r="R6086" s="36"/>
      <c r="S6086" s="36"/>
      <c r="T6086" s="42" t="s">
        <v>28730</v>
      </c>
      <c r="U6086" s="38" t="s">
        <v>61</v>
      </c>
      <c r="V6086" s="30"/>
      <c r="W6086" s="49"/>
      <c r="X6086" s="49"/>
      <c r="Y6086" s="35"/>
      <c r="Z6086" s="35"/>
      <c r="AA6086" s="35"/>
      <c r="AB6086" s="35"/>
      <c r="AC6086" s="35"/>
      <c r="AD6086" s="35"/>
      <c r="AE6086" s="35"/>
      <c r="AF6086" s="35"/>
      <c r="AG6086" s="35"/>
      <c r="AH6086" s="35"/>
      <c r="AI6086" s="35"/>
      <c r="AJ6086" s="35"/>
      <c r="AK6086" s="35"/>
      <c r="AL6086" s="35"/>
    </row>
    <row r="6087">
      <c r="A6087" s="205"/>
      <c r="B6087" s="75" t="s">
        <v>7020</v>
      </c>
      <c r="C6087" s="77" t="s">
        <v>28725</v>
      </c>
      <c r="D6087" s="47"/>
      <c r="E6087" s="22" t="s">
        <v>1948</v>
      </c>
      <c r="F6087" s="22" t="s">
        <v>1949</v>
      </c>
      <c r="G6087" s="23">
        <v>2022.0</v>
      </c>
      <c r="H6087" s="22" t="s">
        <v>77</v>
      </c>
      <c r="I6087" s="24" t="s">
        <v>28731</v>
      </c>
      <c r="J6087" s="22" t="s">
        <v>649</v>
      </c>
      <c r="K6087" s="22"/>
      <c r="L6087" s="105" t="s">
        <v>28732</v>
      </c>
      <c r="M6087" s="44"/>
      <c r="N6087" s="44"/>
      <c r="O6087" s="44"/>
      <c r="P6087" s="44"/>
      <c r="Q6087" s="44"/>
      <c r="R6087" s="44"/>
      <c r="S6087" s="44"/>
      <c r="T6087" s="45"/>
      <c r="U6087" s="38" t="s">
        <v>61</v>
      </c>
      <c r="V6087" s="30"/>
      <c r="W6087" s="49"/>
      <c r="X6087" s="49"/>
      <c r="Y6087" s="35"/>
      <c r="Z6087" s="35"/>
      <c r="AA6087" s="35"/>
      <c r="AB6087" s="35"/>
      <c r="AC6087" s="35"/>
      <c r="AD6087" s="35"/>
      <c r="AE6087" s="35"/>
      <c r="AF6087" s="35"/>
      <c r="AG6087" s="35"/>
      <c r="AH6087" s="35"/>
      <c r="AI6087" s="35"/>
      <c r="AJ6087" s="35"/>
      <c r="AK6087" s="35"/>
      <c r="AL6087" s="35"/>
    </row>
    <row r="6088">
      <c r="A6088" s="205"/>
      <c r="B6088" s="75" t="s">
        <v>7020</v>
      </c>
      <c r="C6088" s="77" t="s">
        <v>28725</v>
      </c>
      <c r="D6088" s="47"/>
      <c r="E6088" s="22" t="s">
        <v>21224</v>
      </c>
      <c r="F6088" s="22" t="s">
        <v>1891</v>
      </c>
      <c r="G6088" s="23">
        <v>2022.0</v>
      </c>
      <c r="H6088" s="22" t="s">
        <v>14084</v>
      </c>
      <c r="I6088" s="24" t="s">
        <v>28733</v>
      </c>
      <c r="J6088" s="22" t="s">
        <v>28728</v>
      </c>
      <c r="K6088" s="22" t="s">
        <v>28734</v>
      </c>
      <c r="L6088" s="36"/>
      <c r="M6088" s="36"/>
      <c r="N6088" s="36"/>
      <c r="O6088" s="36"/>
      <c r="P6088" s="37" t="s">
        <v>82</v>
      </c>
      <c r="Q6088" s="36"/>
      <c r="R6088" s="36"/>
      <c r="S6088" s="36" t="s">
        <v>28735</v>
      </c>
      <c r="T6088" s="28" t="s">
        <v>28736</v>
      </c>
      <c r="U6088" s="38" t="s">
        <v>61</v>
      </c>
      <c r="V6088" s="30" t="s">
        <v>28737</v>
      </c>
      <c r="W6088" s="49"/>
      <c r="X6088" s="49"/>
      <c r="Y6088" s="35"/>
      <c r="Z6088" s="35"/>
      <c r="AA6088" s="35"/>
      <c r="AB6088" s="35"/>
      <c r="AC6088" s="35"/>
      <c r="AD6088" s="35"/>
      <c r="AE6088" s="35"/>
      <c r="AF6088" s="35"/>
      <c r="AG6088" s="35"/>
      <c r="AH6088" s="35"/>
      <c r="AI6088" s="35"/>
      <c r="AJ6088" s="35"/>
      <c r="AK6088" s="35"/>
      <c r="AL6088" s="35"/>
    </row>
    <row r="6089">
      <c r="A6089" s="205"/>
      <c r="B6089" s="75" t="s">
        <v>7020</v>
      </c>
      <c r="C6089" s="77" t="s">
        <v>28725</v>
      </c>
      <c r="D6089" s="47"/>
      <c r="E6089" s="22" t="s">
        <v>28738</v>
      </c>
      <c r="F6089" s="22" t="s">
        <v>14931</v>
      </c>
      <c r="G6089" s="23">
        <v>2021.0</v>
      </c>
      <c r="H6089" s="22" t="s">
        <v>13786</v>
      </c>
      <c r="I6089" s="24" t="s">
        <v>28739</v>
      </c>
      <c r="J6089" s="22" t="s">
        <v>28740</v>
      </c>
      <c r="K6089" s="22" t="s">
        <v>28741</v>
      </c>
      <c r="L6089" s="36" t="s">
        <v>16449</v>
      </c>
      <c r="M6089" s="36"/>
      <c r="N6089" s="36"/>
      <c r="O6089" s="36"/>
      <c r="P6089" s="37"/>
      <c r="Q6089" s="36"/>
      <c r="R6089" s="36"/>
      <c r="S6089" s="36"/>
      <c r="T6089" s="41" t="s">
        <v>28742</v>
      </c>
      <c r="U6089" s="29" t="s">
        <v>61</v>
      </c>
      <c r="V6089" s="30"/>
      <c r="W6089" s="49"/>
      <c r="X6089" s="49"/>
      <c r="Y6089" s="35"/>
      <c r="Z6089" s="35"/>
      <c r="AA6089" s="35"/>
      <c r="AB6089" s="35"/>
      <c r="AC6089" s="35"/>
      <c r="AD6089" s="35"/>
      <c r="AE6089" s="35"/>
      <c r="AF6089" s="35"/>
      <c r="AG6089" s="35"/>
      <c r="AH6089" s="35"/>
      <c r="AI6089" s="35"/>
      <c r="AJ6089" s="35"/>
      <c r="AK6089" s="35"/>
      <c r="AL6089" s="35"/>
    </row>
    <row r="6090">
      <c r="A6090" s="205"/>
      <c r="B6090" s="75" t="s">
        <v>7020</v>
      </c>
      <c r="C6090" s="77" t="s">
        <v>28725</v>
      </c>
      <c r="D6090" s="47"/>
      <c r="E6090" s="22" t="s">
        <v>1507</v>
      </c>
      <c r="F6090" s="22" t="s">
        <v>3522</v>
      </c>
      <c r="G6090" s="23">
        <v>2021.0</v>
      </c>
      <c r="H6090" s="22" t="s">
        <v>12780</v>
      </c>
      <c r="I6090" s="24" t="s">
        <v>28743</v>
      </c>
      <c r="J6090" s="22" t="s">
        <v>28744</v>
      </c>
      <c r="K6090" s="22" t="s">
        <v>2686</v>
      </c>
      <c r="L6090" s="36">
        <v>810.0</v>
      </c>
      <c r="M6090" s="36"/>
      <c r="N6090" s="36"/>
      <c r="O6090" s="36"/>
      <c r="P6090" s="37"/>
      <c r="Q6090" s="36"/>
      <c r="R6090" s="36"/>
      <c r="S6090" s="36"/>
      <c r="T6090" s="42" t="s">
        <v>28745</v>
      </c>
      <c r="U6090" s="29" t="s">
        <v>61</v>
      </c>
      <c r="V6090" s="30"/>
      <c r="W6090" s="49"/>
      <c r="X6090" s="49"/>
      <c r="Y6090" s="35"/>
      <c r="Z6090" s="35"/>
      <c r="AA6090" s="35"/>
      <c r="AB6090" s="35"/>
      <c r="AC6090" s="35"/>
      <c r="AD6090" s="35"/>
      <c r="AE6090" s="35"/>
      <c r="AF6090" s="35"/>
      <c r="AG6090" s="35"/>
      <c r="AH6090" s="35"/>
      <c r="AI6090" s="35"/>
      <c r="AJ6090" s="35"/>
      <c r="AK6090" s="35"/>
      <c r="AL6090" s="35"/>
    </row>
    <row r="6091">
      <c r="A6091" s="205"/>
      <c r="B6091" s="75" t="s">
        <v>7020</v>
      </c>
      <c r="C6091" s="77" t="s">
        <v>28725</v>
      </c>
      <c r="D6091" s="47"/>
      <c r="E6091" s="22" t="s">
        <v>28746</v>
      </c>
      <c r="F6091" s="22" t="s">
        <v>26399</v>
      </c>
      <c r="G6091" s="23">
        <v>2020.0</v>
      </c>
      <c r="H6091" s="22" t="s">
        <v>147</v>
      </c>
      <c r="I6091" s="24" t="s">
        <v>28747</v>
      </c>
      <c r="J6091" s="22" t="s">
        <v>28748</v>
      </c>
      <c r="K6091" s="22" t="s">
        <v>12235</v>
      </c>
      <c r="L6091" s="36">
        <v>755.0</v>
      </c>
      <c r="M6091" s="36">
        <v>160.0</v>
      </c>
      <c r="N6091" s="36" t="s">
        <v>58</v>
      </c>
      <c r="O6091" s="36" t="s">
        <v>58</v>
      </c>
      <c r="P6091" s="37" t="s">
        <v>82</v>
      </c>
      <c r="Q6091" s="36" t="s">
        <v>58</v>
      </c>
      <c r="R6091" s="36" t="s">
        <v>58</v>
      </c>
      <c r="S6091" s="36" t="s">
        <v>1514</v>
      </c>
      <c r="T6091" s="28" t="s">
        <v>28749</v>
      </c>
      <c r="U6091" s="38" t="str">
        <f>HYPERLINK("https://www.ncbi.nlm.nih.gov/pubmed/32099622","PubMed")</f>
        <v>PubMed</v>
      </c>
      <c r="V6091" s="30" t="s">
        <v>28750</v>
      </c>
      <c r="W6091" s="49"/>
      <c r="X6091" s="49"/>
      <c r="Y6091" s="35"/>
      <c r="Z6091" s="35"/>
      <c r="AA6091" s="35"/>
      <c r="AB6091" s="35"/>
      <c r="AC6091" s="35"/>
      <c r="AD6091" s="35"/>
      <c r="AE6091" s="35"/>
      <c r="AF6091" s="35"/>
      <c r="AG6091" s="35"/>
      <c r="AH6091" s="35"/>
      <c r="AI6091" s="35"/>
      <c r="AJ6091" s="35"/>
      <c r="AK6091" s="35"/>
      <c r="AL6091" s="35"/>
    </row>
    <row r="6092">
      <c r="A6092" s="205"/>
      <c r="B6092" s="75" t="s">
        <v>7020</v>
      </c>
      <c r="C6092" s="77" t="s">
        <v>28725</v>
      </c>
      <c r="D6092" s="47"/>
      <c r="E6092" s="22" t="s">
        <v>18895</v>
      </c>
      <c r="F6092" s="22" t="s">
        <v>323</v>
      </c>
      <c r="G6092" s="23">
        <v>2019.0</v>
      </c>
      <c r="H6092" s="22" t="s">
        <v>28751</v>
      </c>
      <c r="I6092" s="24" t="s">
        <v>28752</v>
      </c>
      <c r="J6092" s="22" t="s">
        <v>28753</v>
      </c>
      <c r="K6092" s="22" t="s">
        <v>28754</v>
      </c>
      <c r="L6092" s="36">
        <v>810.0</v>
      </c>
      <c r="M6092" s="36">
        <v>200.0</v>
      </c>
      <c r="N6092" s="36" t="s">
        <v>58</v>
      </c>
      <c r="O6092" s="36" t="s">
        <v>58</v>
      </c>
      <c r="P6092" s="37" t="s">
        <v>269</v>
      </c>
      <c r="Q6092" s="36" t="s">
        <v>58</v>
      </c>
      <c r="R6092" s="36" t="s">
        <v>132</v>
      </c>
      <c r="S6092" s="36" t="s">
        <v>7333</v>
      </c>
      <c r="T6092" s="28" t="s">
        <v>28755</v>
      </c>
      <c r="U6092" s="38" t="str">
        <f>HYPERLINK("https://www.ncbi.nlm.nih.gov/pubmed/32342054","PubMed")</f>
        <v>PubMed</v>
      </c>
      <c r="V6092" s="30" t="s">
        <v>28756</v>
      </c>
      <c r="W6092" s="49"/>
      <c r="X6092" s="49"/>
      <c r="Y6092" s="35"/>
      <c r="Z6092" s="35"/>
      <c r="AA6092" s="35"/>
      <c r="AB6092" s="35"/>
      <c r="AC6092" s="35"/>
      <c r="AD6092" s="35"/>
      <c r="AE6092" s="35"/>
      <c r="AF6092" s="35"/>
      <c r="AG6092" s="35"/>
      <c r="AH6092" s="35"/>
      <c r="AI6092" s="35"/>
      <c r="AJ6092" s="35"/>
      <c r="AK6092" s="35"/>
      <c r="AL6092" s="35"/>
    </row>
    <row r="6093">
      <c r="A6093" s="205"/>
      <c r="B6093" s="75" t="s">
        <v>7020</v>
      </c>
      <c r="C6093" s="77" t="s">
        <v>28725</v>
      </c>
      <c r="D6093" s="47"/>
      <c r="E6093" s="22" t="s">
        <v>28757</v>
      </c>
      <c r="F6093" s="22" t="s">
        <v>28758</v>
      </c>
      <c r="G6093" s="23">
        <v>2018.0</v>
      </c>
      <c r="H6093" s="22" t="s">
        <v>4764</v>
      </c>
      <c r="I6093" s="24" t="s">
        <v>28759</v>
      </c>
      <c r="J6093" s="22" t="s">
        <v>28760</v>
      </c>
      <c r="K6093" s="22"/>
      <c r="L6093" s="36" t="s">
        <v>28761</v>
      </c>
      <c r="M6093" s="36" t="s">
        <v>28762</v>
      </c>
      <c r="N6093" s="36" t="s">
        <v>58</v>
      </c>
      <c r="O6093" s="36" t="s">
        <v>58</v>
      </c>
      <c r="P6093" s="37" t="s">
        <v>28763</v>
      </c>
      <c r="Q6093" s="36" t="s">
        <v>58</v>
      </c>
      <c r="R6093" s="36">
        <v>120.0</v>
      </c>
      <c r="S6093" s="36" t="s">
        <v>4708</v>
      </c>
      <c r="T6093" s="28" t="s">
        <v>28764</v>
      </c>
      <c r="U6093" s="38" t="str">
        <f>HYPERLINK("https://www.ncbi.nlm.nih.gov/pubmed/30171341","PubMed")</f>
        <v>PubMed</v>
      </c>
      <c r="V6093" s="30" t="s">
        <v>28765</v>
      </c>
      <c r="W6093" s="49"/>
      <c r="X6093" s="49"/>
      <c r="Y6093" s="35"/>
      <c r="Z6093" s="35"/>
      <c r="AA6093" s="35"/>
      <c r="AB6093" s="35"/>
      <c r="AC6093" s="35"/>
      <c r="AD6093" s="35"/>
      <c r="AE6093" s="35"/>
      <c r="AF6093" s="35"/>
      <c r="AG6093" s="35"/>
      <c r="AH6093" s="35"/>
      <c r="AI6093" s="35"/>
      <c r="AJ6093" s="35"/>
      <c r="AK6093" s="35"/>
      <c r="AL6093" s="35"/>
    </row>
    <row r="6094">
      <c r="A6094" s="205"/>
      <c r="B6094" s="75" t="s">
        <v>7020</v>
      </c>
      <c r="C6094" s="77" t="s">
        <v>28725</v>
      </c>
      <c r="D6094" s="47"/>
      <c r="E6094" s="22" t="s">
        <v>28766</v>
      </c>
      <c r="F6094" s="22" t="s">
        <v>11512</v>
      </c>
      <c r="G6094" s="23">
        <v>2019.0</v>
      </c>
      <c r="H6094" s="22" t="s">
        <v>14630</v>
      </c>
      <c r="I6094" s="24" t="s">
        <v>28767</v>
      </c>
      <c r="J6094" s="22" t="s">
        <v>28768</v>
      </c>
      <c r="K6094" s="22" t="s">
        <v>28769</v>
      </c>
      <c r="L6094" s="36">
        <v>970.0</v>
      </c>
      <c r="M6094" s="36">
        <v>500.0</v>
      </c>
      <c r="N6094" s="36" t="s">
        <v>58</v>
      </c>
      <c r="O6094" s="36" t="s">
        <v>28770</v>
      </c>
      <c r="P6094" s="37" t="s">
        <v>58</v>
      </c>
      <c r="Q6094" s="36" t="s">
        <v>58</v>
      </c>
      <c r="R6094" s="36" t="s">
        <v>28771</v>
      </c>
      <c r="S6094" s="36" t="s">
        <v>17419</v>
      </c>
      <c r="T6094" s="28" t="s">
        <v>28772</v>
      </c>
      <c r="U6094" s="38" t="str">
        <f>HYPERLINK("https://www.ncbi.nlm.nih.gov/pubmed/31126567","PubMed")</f>
        <v>PubMed</v>
      </c>
      <c r="V6094" s="30" t="s">
        <v>28773</v>
      </c>
      <c r="W6094" s="49"/>
      <c r="X6094" s="49"/>
      <c r="Y6094" s="35"/>
      <c r="Z6094" s="35"/>
      <c r="AA6094" s="35"/>
      <c r="AB6094" s="35"/>
      <c r="AC6094" s="35"/>
      <c r="AD6094" s="35"/>
      <c r="AE6094" s="35"/>
      <c r="AF6094" s="35"/>
      <c r="AG6094" s="35"/>
      <c r="AH6094" s="35"/>
      <c r="AI6094" s="35"/>
      <c r="AJ6094" s="35"/>
      <c r="AK6094" s="35"/>
      <c r="AL6094" s="35"/>
    </row>
    <row r="6095">
      <c r="A6095" s="40" t="s">
        <v>181</v>
      </c>
      <c r="B6095" s="19" t="s">
        <v>7020</v>
      </c>
      <c r="C6095" s="20" t="s">
        <v>28725</v>
      </c>
      <c r="D6095" s="47"/>
      <c r="E6095" s="22" t="s">
        <v>28774</v>
      </c>
      <c r="F6095" s="22" t="s">
        <v>13197</v>
      </c>
      <c r="G6095" s="23">
        <v>2018.0</v>
      </c>
      <c r="H6095" s="22" t="s">
        <v>26933</v>
      </c>
      <c r="I6095" s="24" t="s">
        <v>28775</v>
      </c>
      <c r="J6095" s="22" t="s">
        <v>28776</v>
      </c>
      <c r="K6095" s="22" t="s">
        <v>28777</v>
      </c>
      <c r="L6095" s="36" t="s">
        <v>58</v>
      </c>
      <c r="M6095" s="36" t="s">
        <v>58</v>
      </c>
      <c r="N6095" s="36" t="s">
        <v>58</v>
      </c>
      <c r="O6095" s="36" t="s">
        <v>58</v>
      </c>
      <c r="P6095" s="37" t="s">
        <v>432</v>
      </c>
      <c r="Q6095" s="36" t="s">
        <v>58</v>
      </c>
      <c r="R6095" s="36">
        <v>360.0</v>
      </c>
      <c r="S6095" s="36" t="s">
        <v>4905</v>
      </c>
      <c r="T6095" s="28" t="s">
        <v>28778</v>
      </c>
      <c r="U6095" s="38" t="str">
        <f>HYPERLINK("http://iopscience.iop.org/article/10.1088/1742-6596/1073/6/062045","IOP")</f>
        <v>IOP</v>
      </c>
      <c r="V6095" s="30" t="s">
        <v>28779</v>
      </c>
      <c r="W6095" s="49"/>
      <c r="X6095" s="49"/>
      <c r="Y6095" s="35"/>
      <c r="Z6095" s="35"/>
      <c r="AA6095" s="35"/>
      <c r="AB6095" s="35"/>
      <c r="AC6095" s="35"/>
      <c r="AD6095" s="35"/>
      <c r="AE6095" s="35"/>
      <c r="AF6095" s="35"/>
      <c r="AG6095" s="35"/>
      <c r="AH6095" s="35"/>
      <c r="AI6095" s="35"/>
      <c r="AJ6095" s="35"/>
      <c r="AK6095" s="35"/>
      <c r="AL6095" s="35"/>
    </row>
    <row r="6096">
      <c r="A6096" s="1"/>
      <c r="B6096" s="19" t="s">
        <v>7020</v>
      </c>
      <c r="C6096" s="20" t="s">
        <v>28725</v>
      </c>
      <c r="D6096" s="47"/>
      <c r="E6096" s="22" t="s">
        <v>529</v>
      </c>
      <c r="F6096" s="22" t="s">
        <v>358</v>
      </c>
      <c r="G6096" s="23">
        <v>2017.0</v>
      </c>
      <c r="H6096" s="22" t="s">
        <v>91</v>
      </c>
      <c r="I6096" s="24" t="s">
        <v>28780</v>
      </c>
      <c r="J6096" s="22" t="s">
        <v>28781</v>
      </c>
      <c r="K6096" s="22" t="s">
        <v>28782</v>
      </c>
      <c r="L6096" s="36">
        <v>780.0</v>
      </c>
      <c r="M6096" s="36" t="s">
        <v>28783</v>
      </c>
      <c r="N6096" s="36" t="s">
        <v>58</v>
      </c>
      <c r="O6096" s="36" t="s">
        <v>58</v>
      </c>
      <c r="P6096" s="37" t="s">
        <v>28784</v>
      </c>
      <c r="Q6096" s="36" t="s">
        <v>28785</v>
      </c>
      <c r="R6096" s="36" t="s">
        <v>24452</v>
      </c>
      <c r="S6096" s="36" t="s">
        <v>2099</v>
      </c>
      <c r="T6096" s="41" t="s">
        <v>28786</v>
      </c>
      <c r="U6096" s="38" t="str">
        <f>HYPERLINK("https://www.ncbi.nlm.nih.gov/pubmed/28054261","PubMed")</f>
        <v>PubMed</v>
      </c>
      <c r="V6096" s="30" t="s">
        <v>28787</v>
      </c>
      <c r="W6096" s="49"/>
      <c r="X6096" s="49"/>
      <c r="Y6096" s="35"/>
      <c r="Z6096" s="35"/>
      <c r="AA6096" s="35"/>
      <c r="AB6096" s="35"/>
      <c r="AC6096" s="35"/>
      <c r="AD6096" s="35"/>
      <c r="AE6096" s="35"/>
      <c r="AF6096" s="35"/>
      <c r="AG6096" s="35"/>
      <c r="AH6096" s="35"/>
      <c r="AI6096" s="35"/>
      <c r="AJ6096" s="35"/>
      <c r="AK6096" s="35"/>
      <c r="AL6096" s="35"/>
    </row>
    <row r="6097">
      <c r="A6097" s="40" t="s">
        <v>181</v>
      </c>
      <c r="B6097" s="19" t="s">
        <v>7020</v>
      </c>
      <c r="C6097" s="20" t="s">
        <v>28725</v>
      </c>
      <c r="D6097" s="47"/>
      <c r="E6097" s="22" t="s">
        <v>28788</v>
      </c>
      <c r="F6097" s="22" t="s">
        <v>1891</v>
      </c>
      <c r="G6097" s="23">
        <v>2016.0</v>
      </c>
      <c r="H6097" s="22" t="s">
        <v>28789</v>
      </c>
      <c r="I6097" s="24" t="s">
        <v>28790</v>
      </c>
      <c r="J6097" s="22" t="s">
        <v>28791</v>
      </c>
      <c r="K6097" s="22"/>
      <c r="L6097" s="36" t="s">
        <v>1773</v>
      </c>
      <c r="M6097" s="36">
        <v>100.0</v>
      </c>
      <c r="N6097" s="36"/>
      <c r="O6097" s="36"/>
      <c r="P6097" s="37" t="s">
        <v>82</v>
      </c>
      <c r="Q6097" s="36"/>
      <c r="R6097" s="36" t="s">
        <v>25326</v>
      </c>
      <c r="S6097" s="36">
        <v>10.0</v>
      </c>
      <c r="T6097" s="28" t="s">
        <v>28792</v>
      </c>
      <c r="U6097" s="29" t="s">
        <v>61</v>
      </c>
      <c r="V6097" s="30"/>
      <c r="W6097" s="49"/>
      <c r="X6097" s="49"/>
      <c r="Y6097" s="35"/>
      <c r="Z6097" s="35"/>
      <c r="AA6097" s="35"/>
      <c r="AB6097" s="35"/>
      <c r="AC6097" s="35"/>
      <c r="AD6097" s="35"/>
      <c r="AE6097" s="35"/>
      <c r="AF6097" s="35"/>
      <c r="AG6097" s="35"/>
      <c r="AH6097" s="35"/>
      <c r="AI6097" s="35"/>
      <c r="AJ6097" s="35"/>
      <c r="AK6097" s="35"/>
      <c r="AL6097" s="35"/>
    </row>
    <row r="6098">
      <c r="A6098" s="1"/>
      <c r="B6098" s="19" t="s">
        <v>7020</v>
      </c>
      <c r="C6098" s="20" t="s">
        <v>28725</v>
      </c>
      <c r="D6098" s="47"/>
      <c r="E6098" s="22" t="s">
        <v>12932</v>
      </c>
      <c r="F6098" s="22" t="s">
        <v>1508</v>
      </c>
      <c r="G6098" s="23">
        <v>2015.0</v>
      </c>
      <c r="H6098" s="22" t="s">
        <v>91</v>
      </c>
      <c r="I6098" s="24" t="s">
        <v>28793</v>
      </c>
      <c r="J6098" s="22" t="s">
        <v>253</v>
      </c>
      <c r="K6098" s="22"/>
      <c r="L6098" s="36"/>
      <c r="M6098" s="36"/>
      <c r="N6098" s="36"/>
      <c r="O6098" s="36"/>
      <c r="P6098" s="37"/>
      <c r="Q6098" s="36"/>
      <c r="R6098" s="36"/>
      <c r="S6098" s="36"/>
      <c r="T6098" s="42" t="s">
        <v>28794</v>
      </c>
      <c r="U6098" s="38" t="str">
        <f>HYPERLINK("https://www.ncbi.nlm.nih.gov/pubmed/25190639","PubMed")</f>
        <v>PubMed</v>
      </c>
      <c r="V6098" s="30"/>
      <c r="W6098" s="49"/>
      <c r="X6098" s="49"/>
      <c r="Y6098" s="35"/>
      <c r="Z6098" s="35"/>
      <c r="AA6098" s="35"/>
      <c r="AB6098" s="35"/>
      <c r="AC6098" s="35"/>
      <c r="AD6098" s="35"/>
      <c r="AE6098" s="35"/>
      <c r="AF6098" s="35"/>
      <c r="AG6098" s="35"/>
      <c r="AH6098" s="35"/>
      <c r="AI6098" s="35"/>
      <c r="AJ6098" s="35"/>
      <c r="AK6098" s="35"/>
      <c r="AL6098" s="35"/>
    </row>
    <row r="6099">
      <c r="A6099" s="205"/>
      <c r="B6099" s="19" t="s">
        <v>7020</v>
      </c>
      <c r="C6099" s="20" t="s">
        <v>28725</v>
      </c>
      <c r="D6099" s="47"/>
      <c r="E6099" s="22" t="s">
        <v>28795</v>
      </c>
      <c r="F6099" s="22" t="s">
        <v>28796</v>
      </c>
      <c r="G6099" s="23">
        <v>2015.0</v>
      </c>
      <c r="H6099" s="22" t="s">
        <v>4718</v>
      </c>
      <c r="I6099" s="24" t="s">
        <v>28797</v>
      </c>
      <c r="J6099" s="22" t="s">
        <v>28798</v>
      </c>
      <c r="K6099" s="22" t="s">
        <v>28799</v>
      </c>
      <c r="L6099" s="36">
        <v>670.0</v>
      </c>
      <c r="M6099" s="36" t="s">
        <v>28800</v>
      </c>
      <c r="N6099" s="36" t="s">
        <v>58</v>
      </c>
      <c r="O6099" s="36" t="s">
        <v>58</v>
      </c>
      <c r="P6099" s="37" t="s">
        <v>254</v>
      </c>
      <c r="Q6099" s="36" t="s">
        <v>58</v>
      </c>
      <c r="R6099" s="36" t="s">
        <v>58</v>
      </c>
      <c r="S6099" s="36" t="s">
        <v>1514</v>
      </c>
      <c r="T6099" s="28" t="s">
        <v>28801</v>
      </c>
      <c r="U6099" s="38" t="str">
        <f>HYPERLINK("https://www.ncbi.nlm.nih.gov/pubmed/25061034","PubMed")</f>
        <v>PubMed</v>
      </c>
      <c r="V6099" s="30" t="s">
        <v>28802</v>
      </c>
      <c r="W6099" s="49"/>
      <c r="X6099" s="49"/>
      <c r="Y6099" s="35"/>
      <c r="Z6099" s="35"/>
      <c r="AA6099" s="35"/>
      <c r="AB6099" s="35"/>
      <c r="AC6099" s="35"/>
      <c r="AD6099" s="35"/>
      <c r="AE6099" s="35"/>
      <c r="AF6099" s="35"/>
      <c r="AG6099" s="35"/>
      <c r="AH6099" s="35"/>
      <c r="AI6099" s="35"/>
      <c r="AJ6099" s="35"/>
      <c r="AK6099" s="35"/>
      <c r="AL6099" s="35"/>
    </row>
    <row r="6100">
      <c r="A6100" s="205" t="s">
        <v>38</v>
      </c>
      <c r="B6100" s="19" t="s">
        <v>7020</v>
      </c>
      <c r="C6100" s="20" t="s">
        <v>28725</v>
      </c>
      <c r="D6100" s="47"/>
      <c r="E6100" s="22" t="s">
        <v>11511</v>
      </c>
      <c r="F6100" s="22" t="s">
        <v>11512</v>
      </c>
      <c r="G6100" s="23">
        <v>2015.0</v>
      </c>
      <c r="H6100" s="22" t="s">
        <v>91</v>
      </c>
      <c r="I6100" s="24" t="s">
        <v>28803</v>
      </c>
      <c r="J6100" s="22" t="s">
        <v>28804</v>
      </c>
      <c r="K6100" s="22" t="s">
        <v>28805</v>
      </c>
      <c r="L6100" s="36">
        <v>1064.0</v>
      </c>
      <c r="M6100" s="36">
        <v>250.0</v>
      </c>
      <c r="N6100" s="36" t="s">
        <v>58</v>
      </c>
      <c r="O6100" s="36" t="s">
        <v>58</v>
      </c>
      <c r="P6100" s="37" t="s">
        <v>70</v>
      </c>
      <c r="Q6100" s="36" t="s">
        <v>58</v>
      </c>
      <c r="R6100" s="36" t="s">
        <v>28806</v>
      </c>
      <c r="S6100" s="36" t="s">
        <v>10290</v>
      </c>
      <c r="T6100" s="28" t="s">
        <v>28807</v>
      </c>
      <c r="U6100" s="38" t="str">
        <f>HYPERLINK("https://www.ncbi.nlm.nih.gov/pubmed/24504660","PubMed")</f>
        <v>PubMed</v>
      </c>
      <c r="V6100" s="30" t="s">
        <v>28808</v>
      </c>
      <c r="W6100" s="49"/>
      <c r="X6100" s="49"/>
      <c r="Y6100" s="35"/>
      <c r="Z6100" s="35"/>
      <c r="AA6100" s="35"/>
      <c r="AB6100" s="35"/>
      <c r="AC6100" s="35"/>
      <c r="AD6100" s="35"/>
      <c r="AE6100" s="35"/>
      <c r="AF6100" s="35"/>
      <c r="AG6100" s="35"/>
      <c r="AH6100" s="35"/>
      <c r="AI6100" s="35"/>
      <c r="AJ6100" s="35"/>
      <c r="AK6100" s="35"/>
      <c r="AL6100" s="35"/>
    </row>
    <row r="6101">
      <c r="A6101" s="205"/>
      <c r="B6101" s="19" t="s">
        <v>7020</v>
      </c>
      <c r="C6101" s="20" t="s">
        <v>28725</v>
      </c>
      <c r="D6101" s="47"/>
      <c r="E6101" s="22" t="s">
        <v>28809</v>
      </c>
      <c r="F6101" s="22" t="s">
        <v>4887</v>
      </c>
      <c r="G6101" s="23">
        <v>2015.0</v>
      </c>
      <c r="H6101" s="22" t="s">
        <v>91</v>
      </c>
      <c r="I6101" s="24" t="s">
        <v>28810</v>
      </c>
      <c r="J6101" s="22" t="s">
        <v>28811</v>
      </c>
      <c r="K6101" s="22" t="s">
        <v>28812</v>
      </c>
      <c r="L6101" s="36">
        <v>1064.0</v>
      </c>
      <c r="M6101" s="36" t="s">
        <v>58</v>
      </c>
      <c r="N6101" s="36" t="s">
        <v>58</v>
      </c>
      <c r="O6101" s="37" t="s">
        <v>28813</v>
      </c>
      <c r="P6101" s="37" t="s">
        <v>4694</v>
      </c>
      <c r="Q6101" s="36" t="s">
        <v>28814</v>
      </c>
      <c r="R6101" s="37" t="s">
        <v>4694</v>
      </c>
      <c r="S6101" s="36" t="s">
        <v>4708</v>
      </c>
      <c r="T6101" s="28" t="s">
        <v>28815</v>
      </c>
      <c r="U6101" s="38" t="str">
        <f>HYPERLINK("https://www.ncbi.nlm.nih.gov/pubmed/25274197","PubMed")</f>
        <v>PubMed</v>
      </c>
      <c r="V6101" s="30" t="s">
        <v>28816</v>
      </c>
      <c r="W6101" s="49"/>
      <c r="X6101" s="49"/>
      <c r="Y6101" s="35"/>
      <c r="Z6101" s="35"/>
      <c r="AA6101" s="35"/>
      <c r="AB6101" s="35"/>
      <c r="AC6101" s="35"/>
      <c r="AD6101" s="35"/>
      <c r="AE6101" s="35"/>
      <c r="AF6101" s="35"/>
      <c r="AG6101" s="35"/>
      <c r="AH6101" s="35"/>
      <c r="AI6101" s="35"/>
      <c r="AJ6101" s="35"/>
      <c r="AK6101" s="35"/>
      <c r="AL6101" s="35"/>
    </row>
    <row r="6102">
      <c r="A6102" s="1"/>
      <c r="B6102" s="19" t="s">
        <v>7020</v>
      </c>
      <c r="C6102" s="20" t="s">
        <v>28725</v>
      </c>
      <c r="D6102" s="47"/>
      <c r="E6102" s="22" t="s">
        <v>28817</v>
      </c>
      <c r="F6102" s="22" t="s">
        <v>1392</v>
      </c>
      <c r="G6102" s="23">
        <v>2014.0</v>
      </c>
      <c r="H6102" s="22" t="s">
        <v>13426</v>
      </c>
      <c r="I6102" s="24" t="s">
        <v>28818</v>
      </c>
      <c r="J6102" s="22" t="s">
        <v>28819</v>
      </c>
      <c r="K6102" s="22" t="s">
        <v>28820</v>
      </c>
      <c r="L6102" s="36">
        <v>904.0</v>
      </c>
      <c r="M6102" s="36">
        <v>30.0</v>
      </c>
      <c r="N6102" s="36" t="s">
        <v>28821</v>
      </c>
      <c r="O6102" s="36">
        <v>18.0</v>
      </c>
      <c r="P6102" s="37" t="s">
        <v>58</v>
      </c>
      <c r="Q6102" s="36" t="s">
        <v>22632</v>
      </c>
      <c r="R6102" s="36">
        <v>600.0</v>
      </c>
      <c r="S6102" s="36" t="s">
        <v>1514</v>
      </c>
      <c r="T6102" s="42" t="s">
        <v>28822</v>
      </c>
      <c r="U6102" s="38" t="str">
        <f>HYPERLINK("http://www.ncbi.nlm.nih.gov/pubmed/24382836","PubMed")</f>
        <v>PubMed</v>
      </c>
      <c r="V6102" s="30"/>
      <c r="W6102" s="49"/>
      <c r="X6102" s="49"/>
      <c r="Y6102" s="35"/>
      <c r="Z6102" s="35"/>
      <c r="AA6102" s="35"/>
      <c r="AB6102" s="35"/>
      <c r="AC6102" s="35"/>
      <c r="AD6102" s="35"/>
      <c r="AE6102" s="35"/>
      <c r="AF6102" s="35"/>
      <c r="AG6102" s="35"/>
      <c r="AH6102" s="35"/>
      <c r="AI6102" s="35"/>
      <c r="AJ6102" s="35"/>
      <c r="AK6102" s="35"/>
      <c r="AL6102" s="35"/>
    </row>
    <row r="6103">
      <c r="A6103" s="1"/>
      <c r="B6103" s="19" t="s">
        <v>7020</v>
      </c>
      <c r="C6103" s="20" t="s">
        <v>28725</v>
      </c>
      <c r="D6103" s="47"/>
      <c r="E6103" s="22" t="s">
        <v>28823</v>
      </c>
      <c r="F6103" s="22" t="s">
        <v>605</v>
      </c>
      <c r="G6103" s="23">
        <v>2010.0</v>
      </c>
      <c r="H6103" s="22" t="s">
        <v>561</v>
      </c>
      <c r="I6103" s="24" t="s">
        <v>28824</v>
      </c>
      <c r="J6103" s="22" t="s">
        <v>28825</v>
      </c>
      <c r="K6103" s="22" t="s">
        <v>28826</v>
      </c>
      <c r="L6103" s="36">
        <v>820.0</v>
      </c>
      <c r="M6103" s="36">
        <v>300.0</v>
      </c>
      <c r="N6103" s="36"/>
      <c r="O6103" s="36"/>
      <c r="P6103" s="37" t="s">
        <v>969</v>
      </c>
      <c r="Q6103" s="36"/>
      <c r="R6103" s="36"/>
      <c r="S6103" s="36" t="s">
        <v>7333</v>
      </c>
      <c r="T6103" s="42" t="s">
        <v>28827</v>
      </c>
      <c r="U6103" s="38" t="str">
        <f>HYPERLINK("https://www.ncbi.nlm.nih.gov/pubmed/21119408","PubMed")</f>
        <v>PubMed</v>
      </c>
      <c r="V6103" s="30" t="s">
        <v>28828</v>
      </c>
      <c r="W6103" s="49"/>
      <c r="X6103" s="49"/>
      <c r="Y6103" s="35"/>
      <c r="Z6103" s="35"/>
      <c r="AA6103" s="35"/>
      <c r="AB6103" s="35"/>
      <c r="AC6103" s="35"/>
      <c r="AD6103" s="35"/>
      <c r="AE6103" s="35"/>
      <c r="AF6103" s="35"/>
      <c r="AG6103" s="35"/>
      <c r="AH6103" s="35"/>
      <c r="AI6103" s="35"/>
      <c r="AJ6103" s="35"/>
      <c r="AK6103" s="35"/>
      <c r="AL6103" s="35"/>
    </row>
    <row r="6104">
      <c r="A6104" s="1"/>
      <c r="B6104" s="19" t="s">
        <v>7020</v>
      </c>
      <c r="C6104" s="20" t="s">
        <v>28725</v>
      </c>
      <c r="D6104" s="47"/>
      <c r="E6104" s="22" t="s">
        <v>26468</v>
      </c>
      <c r="F6104" s="22" t="s">
        <v>358</v>
      </c>
      <c r="G6104" s="23">
        <v>2009.0</v>
      </c>
      <c r="H6104" s="22" t="s">
        <v>2649</v>
      </c>
      <c r="I6104" s="24" t="s">
        <v>28829</v>
      </c>
      <c r="J6104" s="22" t="s">
        <v>28830</v>
      </c>
      <c r="K6104" s="22"/>
      <c r="L6104" s="36">
        <v>780.0</v>
      </c>
      <c r="M6104" s="36" t="s">
        <v>28831</v>
      </c>
      <c r="N6104" s="36"/>
      <c r="O6104" s="36"/>
      <c r="P6104" s="37" t="s">
        <v>28832</v>
      </c>
      <c r="Q6104" s="36"/>
      <c r="R6104" s="36"/>
      <c r="S6104" s="36" t="s">
        <v>2099</v>
      </c>
      <c r="T6104" s="41" t="s">
        <v>28833</v>
      </c>
      <c r="U6104" s="38" t="str">
        <f>HYPERLINK("https://www.ncbi.nlm.nih.gov/pubmed/19891258","PubMed")</f>
        <v>PubMed</v>
      </c>
      <c r="V6104" s="30" t="s">
        <v>28834</v>
      </c>
      <c r="W6104" s="49"/>
      <c r="X6104" s="49"/>
      <c r="Y6104" s="35"/>
      <c r="Z6104" s="35"/>
      <c r="AA6104" s="35"/>
      <c r="AB6104" s="35"/>
      <c r="AC6104" s="35"/>
      <c r="AD6104" s="35"/>
      <c r="AE6104" s="35"/>
      <c r="AF6104" s="35"/>
      <c r="AG6104" s="35"/>
      <c r="AH6104" s="35"/>
      <c r="AI6104" s="35"/>
      <c r="AJ6104" s="35"/>
      <c r="AK6104" s="35"/>
      <c r="AL6104" s="35"/>
    </row>
    <row r="6105">
      <c r="A6105" s="1"/>
      <c r="B6105" s="19" t="s">
        <v>7020</v>
      </c>
      <c r="C6105" s="20" t="s">
        <v>28725</v>
      </c>
      <c r="D6105" s="47"/>
      <c r="E6105" s="22" t="s">
        <v>28809</v>
      </c>
      <c r="F6105" s="22" t="s">
        <v>4887</v>
      </c>
      <c r="G6105" s="23">
        <v>2007.0</v>
      </c>
      <c r="H6105" s="22" t="s">
        <v>4862</v>
      </c>
      <c r="I6105" s="24" t="s">
        <v>28835</v>
      </c>
      <c r="J6105" s="22" t="s">
        <v>28836</v>
      </c>
      <c r="K6105" s="22"/>
      <c r="L6105" s="36">
        <v>830.0</v>
      </c>
      <c r="M6105" s="36" t="s">
        <v>28837</v>
      </c>
      <c r="N6105" s="36" t="s">
        <v>6267</v>
      </c>
      <c r="O6105" s="36" t="s">
        <v>28838</v>
      </c>
      <c r="P6105" s="37" t="s">
        <v>58</v>
      </c>
      <c r="Q6105" s="36" t="s">
        <v>2891</v>
      </c>
      <c r="R6105" s="36" t="s">
        <v>3420</v>
      </c>
      <c r="S6105" s="36" t="s">
        <v>4708</v>
      </c>
      <c r="T6105" s="41" t="s">
        <v>28839</v>
      </c>
      <c r="U6105" s="38" t="str">
        <f>HYPERLINK("https://www.ncbi.nlm.nih.gov/pubmed/17021664","PubMed")</f>
        <v>PubMed</v>
      </c>
      <c r="V6105" s="30"/>
      <c r="W6105" s="49"/>
      <c r="X6105" s="49"/>
      <c r="Y6105" s="35"/>
      <c r="Z6105" s="35"/>
      <c r="AA6105" s="35"/>
      <c r="AB6105" s="35"/>
      <c r="AC6105" s="35"/>
      <c r="AD6105" s="35"/>
      <c r="AE6105" s="35"/>
      <c r="AF6105" s="35"/>
      <c r="AG6105" s="35"/>
      <c r="AH6105" s="35"/>
      <c r="AI6105" s="35"/>
      <c r="AJ6105" s="35"/>
      <c r="AK6105" s="35"/>
      <c r="AL6105" s="35"/>
    </row>
    <row r="6106">
      <c r="A6106" s="1"/>
      <c r="B6106" s="19" t="s">
        <v>7020</v>
      </c>
      <c r="C6106" s="20" t="s">
        <v>28725</v>
      </c>
      <c r="D6106" s="47"/>
      <c r="E6106" s="22" t="s">
        <v>877</v>
      </c>
      <c r="F6106" s="22" t="s">
        <v>4763</v>
      </c>
      <c r="G6106" s="23">
        <v>2005.0</v>
      </c>
      <c r="H6106" s="22" t="s">
        <v>4764</v>
      </c>
      <c r="I6106" s="24" t="s">
        <v>28840</v>
      </c>
      <c r="J6106" s="22" t="s">
        <v>28841</v>
      </c>
      <c r="K6106" s="22" t="s">
        <v>26525</v>
      </c>
      <c r="L6106" s="36">
        <v>904.0</v>
      </c>
      <c r="M6106" s="36" t="s">
        <v>58</v>
      </c>
      <c r="N6106" s="36" t="s">
        <v>58</v>
      </c>
      <c r="O6106" s="36" t="s">
        <v>58</v>
      </c>
      <c r="P6106" s="37" t="s">
        <v>58</v>
      </c>
      <c r="Q6106" s="36" t="s">
        <v>58</v>
      </c>
      <c r="R6106" s="36" t="s">
        <v>22295</v>
      </c>
      <c r="S6106" s="36" t="s">
        <v>1514</v>
      </c>
      <c r="T6106" s="41" t="s">
        <v>28842</v>
      </c>
      <c r="U6106" s="38" t="str">
        <f>HYPERLINK("https://www.ncbi.nlm.nih.gov/pubmed/14673617","PubMed")</f>
        <v>PubMed</v>
      </c>
      <c r="V6106" s="30" t="s">
        <v>28843</v>
      </c>
      <c r="W6106" s="49"/>
      <c r="X6106" s="49"/>
      <c r="Y6106" s="35"/>
      <c r="Z6106" s="35"/>
      <c r="AA6106" s="35"/>
      <c r="AB6106" s="35"/>
      <c r="AC6106" s="35"/>
      <c r="AD6106" s="35"/>
      <c r="AE6106" s="35"/>
      <c r="AF6106" s="35"/>
      <c r="AG6106" s="35"/>
      <c r="AH6106" s="35"/>
      <c r="AI6106" s="35"/>
      <c r="AJ6106" s="35"/>
      <c r="AK6106" s="35"/>
      <c r="AL6106" s="35"/>
    </row>
    <row r="6107">
      <c r="A6107" s="1"/>
      <c r="B6107" s="19" t="s">
        <v>7020</v>
      </c>
      <c r="C6107" s="20" t="s">
        <v>28725</v>
      </c>
      <c r="D6107" s="47"/>
      <c r="E6107" s="22" t="s">
        <v>13693</v>
      </c>
      <c r="F6107" s="22" t="s">
        <v>13694</v>
      </c>
      <c r="G6107" s="23">
        <v>2004.0</v>
      </c>
      <c r="H6107" s="22" t="s">
        <v>53</v>
      </c>
      <c r="I6107" s="24" t="s">
        <v>28844</v>
      </c>
      <c r="J6107" s="22" t="s">
        <v>28845</v>
      </c>
      <c r="K6107" s="22"/>
      <c r="L6107" s="36">
        <v>904.0</v>
      </c>
      <c r="M6107" s="129">
        <v>44968.0</v>
      </c>
      <c r="N6107" s="36" t="s">
        <v>58</v>
      </c>
      <c r="O6107" s="36" t="s">
        <v>58</v>
      </c>
      <c r="P6107" s="37" t="s">
        <v>28846</v>
      </c>
      <c r="Q6107" s="36" t="s">
        <v>28847</v>
      </c>
      <c r="R6107" s="36" t="s">
        <v>28848</v>
      </c>
      <c r="S6107" s="36" t="s">
        <v>1514</v>
      </c>
      <c r="T6107" s="28" t="s">
        <v>28849</v>
      </c>
      <c r="U6107" s="38" t="str">
        <f>HYPERLINK("https://www.ncbi.nlm.nih.gov/pubmed/15389743","PubMed")</f>
        <v>PubMed</v>
      </c>
      <c r="V6107" s="30" t="s">
        <v>28850</v>
      </c>
      <c r="W6107" s="49"/>
      <c r="X6107" s="49"/>
      <c r="Y6107" s="35"/>
      <c r="Z6107" s="35"/>
      <c r="AA6107" s="35"/>
      <c r="AB6107" s="35"/>
      <c r="AC6107" s="35"/>
      <c r="AD6107" s="35"/>
      <c r="AE6107" s="35"/>
      <c r="AF6107" s="35"/>
      <c r="AG6107" s="35"/>
      <c r="AH6107" s="35"/>
      <c r="AI6107" s="35"/>
      <c r="AJ6107" s="35"/>
      <c r="AK6107" s="35"/>
      <c r="AL6107" s="35"/>
    </row>
    <row r="6108">
      <c r="A6108" s="1"/>
      <c r="B6108" s="19" t="s">
        <v>7020</v>
      </c>
      <c r="C6108" s="20" t="s">
        <v>28725</v>
      </c>
      <c r="D6108" s="47"/>
      <c r="E6108" s="22" t="s">
        <v>28851</v>
      </c>
      <c r="F6108" s="22" t="s">
        <v>1325</v>
      </c>
      <c r="G6108" s="23">
        <v>2004.0</v>
      </c>
      <c r="H6108" s="22" t="s">
        <v>4764</v>
      </c>
      <c r="I6108" s="24" t="s">
        <v>28852</v>
      </c>
      <c r="J6108" s="22" t="s">
        <v>28853</v>
      </c>
      <c r="K6108" s="22"/>
      <c r="L6108" s="36">
        <v>904.0</v>
      </c>
      <c r="M6108" s="36" t="s">
        <v>58</v>
      </c>
      <c r="N6108" s="36" t="s">
        <v>58</v>
      </c>
      <c r="O6108" s="36" t="s">
        <v>28854</v>
      </c>
      <c r="P6108" s="37" t="s">
        <v>15762</v>
      </c>
      <c r="Q6108" s="36" t="s">
        <v>58</v>
      </c>
      <c r="R6108" s="36" t="s">
        <v>28848</v>
      </c>
      <c r="S6108" s="36" t="s">
        <v>10290</v>
      </c>
      <c r="T6108" s="41" t="s">
        <v>28855</v>
      </c>
      <c r="U6108" s="38" t="str">
        <f>HYPERLINK("https://www.ncbi.nlm.nih.gov/pubmed/14628149","PubMed")</f>
        <v>PubMed</v>
      </c>
      <c r="V6108" s="30" t="s">
        <v>28856</v>
      </c>
      <c r="W6108" s="49"/>
      <c r="X6108" s="49"/>
      <c r="Y6108" s="35"/>
      <c r="Z6108" s="35"/>
      <c r="AA6108" s="35"/>
      <c r="AB6108" s="35"/>
      <c r="AC6108" s="35"/>
      <c r="AD6108" s="35"/>
      <c r="AE6108" s="35"/>
      <c r="AF6108" s="35"/>
      <c r="AG6108" s="35"/>
      <c r="AH6108" s="35"/>
      <c r="AI6108" s="35"/>
      <c r="AJ6108" s="35"/>
      <c r="AK6108" s="35"/>
      <c r="AL6108" s="35"/>
    </row>
    <row r="6109">
      <c r="A6109" s="1"/>
      <c r="B6109" s="19" t="s">
        <v>7020</v>
      </c>
      <c r="C6109" s="20" t="s">
        <v>28725</v>
      </c>
      <c r="D6109" s="47"/>
      <c r="E6109" s="22" t="s">
        <v>28857</v>
      </c>
      <c r="F6109" s="22" t="s">
        <v>4125</v>
      </c>
      <c r="G6109" s="23">
        <v>1996.0</v>
      </c>
      <c r="H6109" s="22" t="s">
        <v>1289</v>
      </c>
      <c r="I6109" s="24" t="s">
        <v>28858</v>
      </c>
      <c r="J6109" s="22" t="s">
        <v>28859</v>
      </c>
      <c r="K6109" s="22" t="s">
        <v>1240</v>
      </c>
      <c r="L6109" s="36" t="s">
        <v>28860</v>
      </c>
      <c r="M6109" s="36"/>
      <c r="N6109" s="36"/>
      <c r="O6109" s="36"/>
      <c r="P6109" s="37"/>
      <c r="Q6109" s="36"/>
      <c r="R6109" s="36"/>
      <c r="S6109" s="36"/>
      <c r="T6109" s="28" t="s">
        <v>28861</v>
      </c>
      <c r="U6109" s="38" t="str">
        <f>HYPERLINK("https://www.ncbi.nlm.nih.gov/pubmed/9456632","PubMed")</f>
        <v>PubMed</v>
      </c>
      <c r="V6109" s="50"/>
      <c r="W6109" s="49"/>
      <c r="X6109" s="49"/>
      <c r="Y6109" s="35"/>
      <c r="Z6109" s="35"/>
      <c r="AA6109" s="35"/>
      <c r="AB6109" s="35"/>
      <c r="AC6109" s="35"/>
      <c r="AD6109" s="35"/>
      <c r="AE6109" s="35"/>
      <c r="AF6109" s="35"/>
      <c r="AG6109" s="35"/>
      <c r="AH6109" s="35"/>
      <c r="AI6109" s="35"/>
      <c r="AJ6109" s="35"/>
      <c r="AK6109" s="35"/>
      <c r="AL6109" s="35"/>
    </row>
    <row r="6110">
      <c r="A6110" s="1"/>
      <c r="B6110" s="19" t="s">
        <v>7020</v>
      </c>
      <c r="C6110" s="20" t="s">
        <v>28725</v>
      </c>
      <c r="D6110" s="47"/>
      <c r="E6110" s="22" t="s">
        <v>28862</v>
      </c>
      <c r="F6110" s="22" t="s">
        <v>2407</v>
      </c>
      <c r="G6110" s="23">
        <v>1989.0</v>
      </c>
      <c r="H6110" s="22" t="s">
        <v>13143</v>
      </c>
      <c r="I6110" s="24" t="s">
        <v>28863</v>
      </c>
      <c r="J6110" s="22" t="s">
        <v>28864</v>
      </c>
      <c r="K6110" s="22"/>
      <c r="L6110" s="36">
        <v>633.0</v>
      </c>
      <c r="M6110" s="36" t="s">
        <v>28865</v>
      </c>
      <c r="N6110" s="36" t="s">
        <v>58</v>
      </c>
      <c r="O6110" s="36" t="s">
        <v>58</v>
      </c>
      <c r="P6110" s="37" t="s">
        <v>58</v>
      </c>
      <c r="Q6110" s="36" t="s">
        <v>28866</v>
      </c>
      <c r="R6110" s="36">
        <v>20.0</v>
      </c>
      <c r="S6110" s="36" t="s">
        <v>28867</v>
      </c>
      <c r="T6110" s="28" t="s">
        <v>28868</v>
      </c>
      <c r="U6110" s="38" t="str">
        <f>HYPERLINK("https://www.ncbi.nlm.nih.gov/pubmed/2710815","PubMed")</f>
        <v>PubMed</v>
      </c>
      <c r="V6110" s="30" t="s">
        <v>28869</v>
      </c>
      <c r="W6110" s="49"/>
      <c r="X6110" s="49"/>
      <c r="Y6110" s="35"/>
      <c r="Z6110" s="35"/>
      <c r="AA6110" s="35"/>
      <c r="AB6110" s="35"/>
      <c r="AC6110" s="35"/>
      <c r="AD6110" s="35"/>
      <c r="AE6110" s="35"/>
      <c r="AF6110" s="35"/>
      <c r="AG6110" s="35"/>
      <c r="AH6110" s="35"/>
      <c r="AI6110" s="35"/>
      <c r="AJ6110" s="35"/>
      <c r="AK6110" s="35"/>
      <c r="AL6110" s="35"/>
    </row>
    <row r="6111">
      <c r="A6111" s="1"/>
      <c r="B6111" s="19" t="s">
        <v>7020</v>
      </c>
      <c r="C6111" s="20" t="s">
        <v>28725</v>
      </c>
      <c r="D6111" s="47"/>
      <c r="E6111" s="22" t="s">
        <v>28870</v>
      </c>
      <c r="F6111" s="22" t="s">
        <v>22315</v>
      </c>
      <c r="G6111" s="23">
        <v>1989.0</v>
      </c>
      <c r="H6111" s="22" t="s">
        <v>7777</v>
      </c>
      <c r="I6111" s="24" t="s">
        <v>28871</v>
      </c>
      <c r="J6111" s="22" t="s">
        <v>28872</v>
      </c>
      <c r="K6111" s="22"/>
      <c r="L6111" s="36">
        <v>904.0</v>
      </c>
      <c r="M6111" s="36"/>
      <c r="N6111" s="36"/>
      <c r="O6111" s="36">
        <v>5.0</v>
      </c>
      <c r="P6111" s="37"/>
      <c r="Q6111" s="36"/>
      <c r="R6111" s="36"/>
      <c r="S6111" s="36">
        <v>12.0</v>
      </c>
      <c r="T6111" s="28" t="s">
        <v>28873</v>
      </c>
      <c r="U6111" s="38" t="str">
        <f>HYPERLINK("https://www.ncbi.nlm.nih.gov/pubmed/2520419","PubMed")</f>
        <v>PubMed</v>
      </c>
      <c r="V6111" s="50"/>
      <c r="W6111" s="49"/>
      <c r="X6111" s="49"/>
      <c r="Y6111" s="35"/>
      <c r="Z6111" s="35"/>
      <c r="AA6111" s="35"/>
      <c r="AB6111" s="35"/>
      <c r="AC6111" s="35"/>
      <c r="AD6111" s="35"/>
      <c r="AE6111" s="35"/>
      <c r="AF6111" s="35"/>
      <c r="AG6111" s="35"/>
      <c r="AH6111" s="35"/>
      <c r="AI6111" s="35"/>
      <c r="AJ6111" s="35"/>
      <c r="AK6111" s="35"/>
      <c r="AL6111" s="35"/>
    </row>
    <row r="6112">
      <c r="A6112" s="1"/>
      <c r="B6112" s="19" t="s">
        <v>7020</v>
      </c>
      <c r="C6112" s="20" t="s">
        <v>28725</v>
      </c>
      <c r="D6112" s="47"/>
      <c r="E6112" s="22" t="s">
        <v>28874</v>
      </c>
      <c r="F6112" s="22" t="s">
        <v>28875</v>
      </c>
      <c r="G6112" s="23">
        <v>1989.0</v>
      </c>
      <c r="H6112" s="22" t="s">
        <v>27732</v>
      </c>
      <c r="I6112" s="24" t="s">
        <v>28876</v>
      </c>
      <c r="J6112" s="22" t="s">
        <v>28877</v>
      </c>
      <c r="K6112" s="22" t="s">
        <v>28878</v>
      </c>
      <c r="L6112" s="36"/>
      <c r="M6112" s="36"/>
      <c r="N6112" s="36"/>
      <c r="O6112" s="36"/>
      <c r="P6112" s="37"/>
      <c r="Q6112" s="36"/>
      <c r="R6112" s="36"/>
      <c r="S6112" s="36"/>
      <c r="T6112" s="28" t="s">
        <v>28879</v>
      </c>
      <c r="U6112" s="38" t="str">
        <f>HYPERLINK("http://www.ingentaconnect.com/content/cog/aetr/1989/00000014/00000001/art00003","IngentaConnect")</f>
        <v>IngentaConnect</v>
      </c>
      <c r="V6112" s="50"/>
      <c r="W6112" s="49"/>
      <c r="X6112" s="49"/>
      <c r="Y6112" s="35"/>
      <c r="Z6112" s="35"/>
      <c r="AA6112" s="35"/>
      <c r="AB6112" s="35"/>
      <c r="AC6112" s="35"/>
      <c r="AD6112" s="35"/>
      <c r="AE6112" s="35"/>
      <c r="AF6112" s="35"/>
      <c r="AG6112" s="35"/>
      <c r="AH6112" s="35"/>
      <c r="AI6112" s="35"/>
      <c r="AJ6112" s="35"/>
      <c r="AK6112" s="35"/>
      <c r="AL6112" s="35"/>
    </row>
    <row r="6113">
      <c r="A6113" s="1"/>
      <c r="B6113" s="19" t="s">
        <v>7020</v>
      </c>
      <c r="C6113" s="20" t="s">
        <v>28725</v>
      </c>
      <c r="D6113" s="47"/>
      <c r="E6113" s="22" t="s">
        <v>28880</v>
      </c>
      <c r="F6113" s="22" t="s">
        <v>9852</v>
      </c>
      <c r="G6113" s="23">
        <v>1988.0</v>
      </c>
      <c r="H6113" s="22" t="s">
        <v>4783</v>
      </c>
      <c r="I6113" s="24" t="s">
        <v>28881</v>
      </c>
      <c r="J6113" s="22" t="s">
        <v>28882</v>
      </c>
      <c r="K6113" s="22"/>
      <c r="L6113" s="36" t="s">
        <v>23247</v>
      </c>
      <c r="M6113" s="36"/>
      <c r="N6113" s="36"/>
      <c r="O6113" s="36"/>
      <c r="P6113" s="37"/>
      <c r="Q6113" s="36"/>
      <c r="R6113" s="36"/>
      <c r="S6113" s="36"/>
      <c r="T6113" s="41" t="s">
        <v>28883</v>
      </c>
      <c r="U6113" s="38" t="str">
        <f>HYPERLINK("https://www.ncbi.nlm.nih.gov/pubmed/3063230","PubMed")</f>
        <v>PubMed</v>
      </c>
      <c r="V6113" s="50"/>
      <c r="W6113" s="49"/>
      <c r="X6113" s="49"/>
      <c r="Y6113" s="35"/>
      <c r="Z6113" s="35"/>
      <c r="AA6113" s="35"/>
      <c r="AB6113" s="35"/>
      <c r="AC6113" s="35"/>
      <c r="AD6113" s="35"/>
      <c r="AE6113" s="35"/>
      <c r="AF6113" s="35"/>
      <c r="AG6113" s="35"/>
      <c r="AH6113" s="35"/>
      <c r="AI6113" s="35"/>
      <c r="AJ6113" s="35"/>
      <c r="AK6113" s="35"/>
      <c r="AL6113" s="35"/>
    </row>
    <row r="6114">
      <c r="A6114" s="1"/>
      <c r="B6114" s="19" t="s">
        <v>7020</v>
      </c>
      <c r="C6114" s="20" t="s">
        <v>28725</v>
      </c>
      <c r="D6114" s="47"/>
      <c r="E6114" s="22" t="s">
        <v>28862</v>
      </c>
      <c r="F6114" s="22" t="s">
        <v>2407</v>
      </c>
      <c r="G6114" s="23">
        <v>1986.0</v>
      </c>
      <c r="H6114" s="22" t="s">
        <v>13143</v>
      </c>
      <c r="I6114" s="24" t="s">
        <v>28884</v>
      </c>
      <c r="J6114" s="22" t="s">
        <v>28885</v>
      </c>
      <c r="K6114" s="22"/>
      <c r="L6114" s="36">
        <v>633.0</v>
      </c>
      <c r="M6114" s="36" t="s">
        <v>28865</v>
      </c>
      <c r="N6114" s="36" t="s">
        <v>58</v>
      </c>
      <c r="O6114" s="36" t="s">
        <v>28886</v>
      </c>
      <c r="P6114" s="37" t="s">
        <v>58</v>
      </c>
      <c r="Q6114" s="36" t="s">
        <v>28887</v>
      </c>
      <c r="R6114" s="36">
        <v>15.0</v>
      </c>
      <c r="S6114" s="36" t="s">
        <v>28867</v>
      </c>
      <c r="T6114" s="28" t="s">
        <v>28888</v>
      </c>
      <c r="U6114" s="38" t="str">
        <f>HYPERLINK("https://www.ncbi.nlm.nih.gov/pubmed/3523551","PubMed")</f>
        <v>PubMed</v>
      </c>
      <c r="V6114" s="50"/>
      <c r="W6114" s="49"/>
      <c r="X6114" s="49"/>
      <c r="Y6114" s="35"/>
      <c r="Z6114" s="35"/>
      <c r="AA6114" s="35"/>
      <c r="AB6114" s="35"/>
      <c r="AC6114" s="35"/>
      <c r="AD6114" s="35"/>
      <c r="AE6114" s="35"/>
      <c r="AF6114" s="35"/>
      <c r="AG6114" s="35"/>
      <c r="AH6114" s="35"/>
      <c r="AI6114" s="35"/>
      <c r="AJ6114" s="35"/>
      <c r="AK6114" s="35"/>
      <c r="AL6114" s="35"/>
    </row>
    <row r="6115">
      <c r="A6115" s="1"/>
      <c r="B6115" s="19" t="s">
        <v>7020</v>
      </c>
      <c r="C6115" s="20" t="s">
        <v>28725</v>
      </c>
      <c r="D6115" s="47"/>
      <c r="E6115" s="22" t="s">
        <v>28889</v>
      </c>
      <c r="F6115" s="22" t="s">
        <v>1773</v>
      </c>
      <c r="G6115" s="23">
        <v>1981.0</v>
      </c>
      <c r="H6115" s="22" t="s">
        <v>27732</v>
      </c>
      <c r="I6115" s="24" t="s">
        <v>28890</v>
      </c>
      <c r="J6115" s="22" t="s">
        <v>28891</v>
      </c>
      <c r="K6115" s="22" t="s">
        <v>56</v>
      </c>
      <c r="L6115" s="36" t="s">
        <v>28892</v>
      </c>
      <c r="M6115" s="36">
        <v>1750.0</v>
      </c>
      <c r="N6115" s="36" t="s">
        <v>58</v>
      </c>
      <c r="O6115" s="36" t="s">
        <v>58</v>
      </c>
      <c r="P6115" s="37" t="s">
        <v>58</v>
      </c>
      <c r="Q6115" s="36" t="s">
        <v>58</v>
      </c>
      <c r="R6115" s="36"/>
      <c r="S6115" s="36" t="s">
        <v>28893</v>
      </c>
      <c r="T6115" s="42" t="s">
        <v>28894</v>
      </c>
      <c r="U6115" s="38" t="str">
        <f>HYPERLINK("https://www.ncbi.nlm.nih.gov/pubmed/6124087","PubMed")</f>
        <v>PubMed</v>
      </c>
      <c r="V6115" s="30" t="s">
        <v>28895</v>
      </c>
      <c r="W6115" s="49"/>
      <c r="X6115" s="49"/>
      <c r="Y6115" s="35"/>
      <c r="Z6115" s="35"/>
      <c r="AA6115" s="35"/>
      <c r="AB6115" s="35"/>
      <c r="AC6115" s="35"/>
      <c r="AD6115" s="35"/>
      <c r="AE6115" s="35"/>
      <c r="AF6115" s="35"/>
      <c r="AG6115" s="35"/>
      <c r="AH6115" s="35"/>
      <c r="AI6115" s="35"/>
      <c r="AJ6115" s="35"/>
      <c r="AK6115" s="35"/>
      <c r="AL6115" s="35"/>
    </row>
    <row r="6116">
      <c r="A6116" s="1"/>
      <c r="B6116" s="19" t="s">
        <v>7020</v>
      </c>
      <c r="C6116" s="20" t="s">
        <v>28896</v>
      </c>
      <c r="D6116" s="47"/>
      <c r="E6116" s="22" t="s">
        <v>3827</v>
      </c>
      <c r="F6116" s="22" t="s">
        <v>41</v>
      </c>
      <c r="G6116" s="23">
        <v>2024.0</v>
      </c>
      <c r="H6116" s="22" t="s">
        <v>2863</v>
      </c>
      <c r="I6116" s="24" t="s">
        <v>28897</v>
      </c>
      <c r="J6116" s="22" t="s">
        <v>2141</v>
      </c>
      <c r="K6116" s="22"/>
      <c r="L6116" s="168"/>
      <c r="M6116" s="168"/>
      <c r="N6116" s="168"/>
      <c r="O6116" s="168"/>
      <c r="P6116" s="169"/>
      <c r="Q6116" s="168"/>
      <c r="R6116" s="168"/>
      <c r="S6116" s="168"/>
      <c r="T6116" s="185"/>
      <c r="U6116" s="38" t="s">
        <v>61</v>
      </c>
      <c r="V6116" s="30"/>
      <c r="W6116" s="49"/>
      <c r="X6116" s="49"/>
      <c r="Y6116" s="35"/>
      <c r="Z6116" s="35"/>
      <c r="AA6116" s="35"/>
      <c r="AB6116" s="35"/>
      <c r="AC6116" s="35"/>
      <c r="AD6116" s="35"/>
      <c r="AE6116" s="35"/>
      <c r="AF6116" s="35"/>
      <c r="AG6116" s="35"/>
      <c r="AH6116" s="35"/>
      <c r="AI6116" s="35"/>
      <c r="AJ6116" s="35"/>
      <c r="AK6116" s="35"/>
      <c r="AL6116" s="35"/>
    </row>
    <row r="6117">
      <c r="A6117" s="1"/>
      <c r="B6117" s="19" t="s">
        <v>7020</v>
      </c>
      <c r="C6117" s="20" t="s">
        <v>28896</v>
      </c>
      <c r="D6117" s="47"/>
      <c r="E6117" s="22" t="s">
        <v>3890</v>
      </c>
      <c r="F6117" s="22" t="s">
        <v>28898</v>
      </c>
      <c r="G6117" s="23">
        <v>2023.0</v>
      </c>
      <c r="H6117" s="22" t="s">
        <v>4733</v>
      </c>
      <c r="I6117" s="24" t="s">
        <v>28899</v>
      </c>
      <c r="J6117" s="22" t="s">
        <v>1078</v>
      </c>
      <c r="K6117" s="22"/>
      <c r="L6117" s="400" t="s">
        <v>28900</v>
      </c>
      <c r="M6117" s="44"/>
      <c r="N6117" s="44"/>
      <c r="O6117" s="44"/>
      <c r="P6117" s="44"/>
      <c r="Q6117" s="44"/>
      <c r="R6117" s="44"/>
      <c r="S6117" s="44"/>
      <c r="T6117" s="45"/>
      <c r="U6117" s="38" t="s">
        <v>61</v>
      </c>
      <c r="V6117" s="30"/>
      <c r="W6117" s="49"/>
      <c r="X6117" s="49"/>
      <c r="Y6117" s="35"/>
      <c r="Z6117" s="35"/>
      <c r="AA6117" s="35"/>
      <c r="AB6117" s="35"/>
      <c r="AC6117" s="35"/>
      <c r="AD6117" s="35"/>
      <c r="AE6117" s="35"/>
      <c r="AF6117" s="35"/>
      <c r="AG6117" s="35"/>
      <c r="AH6117" s="35"/>
      <c r="AI6117" s="35"/>
      <c r="AJ6117" s="35"/>
      <c r="AK6117" s="35"/>
      <c r="AL6117" s="35"/>
    </row>
    <row r="6118">
      <c r="A6118" s="1"/>
      <c r="B6118" s="19" t="s">
        <v>7020</v>
      </c>
      <c r="C6118" s="20" t="s">
        <v>28901</v>
      </c>
      <c r="D6118" s="47"/>
      <c r="E6118" s="22" t="s">
        <v>28902</v>
      </c>
      <c r="F6118" s="22" t="s">
        <v>5567</v>
      </c>
      <c r="G6118" s="23">
        <v>2023.0</v>
      </c>
      <c r="H6118" s="22" t="s">
        <v>300</v>
      </c>
      <c r="I6118" s="24" t="s">
        <v>28903</v>
      </c>
      <c r="J6118" s="22" t="s">
        <v>28904</v>
      </c>
      <c r="K6118" s="22" t="s">
        <v>28905</v>
      </c>
      <c r="L6118" s="36" t="s">
        <v>28906</v>
      </c>
      <c r="M6118" s="36" t="s">
        <v>28907</v>
      </c>
      <c r="N6118" s="36" t="s">
        <v>58</v>
      </c>
      <c r="O6118" s="36" t="s">
        <v>28908</v>
      </c>
      <c r="P6118" s="37"/>
      <c r="Q6118" s="36"/>
      <c r="R6118" s="36">
        <v>780.0</v>
      </c>
      <c r="S6118" s="36">
        <v>1.0</v>
      </c>
      <c r="T6118" s="28" t="s">
        <v>28909</v>
      </c>
      <c r="U6118" s="38" t="s">
        <v>61</v>
      </c>
      <c r="V6118" s="30" t="s">
        <v>28910</v>
      </c>
      <c r="W6118" s="49"/>
      <c r="X6118" s="49"/>
      <c r="Y6118" s="35"/>
      <c r="Z6118" s="35"/>
      <c r="AA6118" s="35"/>
      <c r="AB6118" s="35"/>
      <c r="AC6118" s="35"/>
      <c r="AD6118" s="35"/>
      <c r="AE6118" s="35"/>
      <c r="AF6118" s="35"/>
      <c r="AG6118" s="35"/>
      <c r="AH6118" s="35"/>
      <c r="AI6118" s="35"/>
      <c r="AJ6118" s="35"/>
      <c r="AK6118" s="35"/>
      <c r="AL6118" s="35"/>
    </row>
    <row r="6119">
      <c r="A6119" s="1"/>
      <c r="B6119" s="19" t="s">
        <v>7020</v>
      </c>
      <c r="C6119" s="20" t="s">
        <v>28896</v>
      </c>
      <c r="D6119" s="47"/>
      <c r="E6119" s="22" t="s">
        <v>28911</v>
      </c>
      <c r="F6119" s="22" t="s">
        <v>22013</v>
      </c>
      <c r="G6119" s="23">
        <v>2023.0</v>
      </c>
      <c r="H6119" s="22" t="s">
        <v>2863</v>
      </c>
      <c r="I6119" s="24" t="s">
        <v>28912</v>
      </c>
      <c r="J6119" s="22" t="s">
        <v>2141</v>
      </c>
      <c r="K6119" s="22"/>
      <c r="L6119" s="168"/>
      <c r="M6119" s="168"/>
      <c r="N6119" s="184"/>
      <c r="O6119" s="168"/>
      <c r="P6119" s="169"/>
      <c r="Q6119" s="168"/>
      <c r="R6119" s="168"/>
      <c r="S6119" s="168"/>
      <c r="T6119" s="185"/>
      <c r="U6119" s="38" t="s">
        <v>61</v>
      </c>
      <c r="V6119" s="50"/>
      <c r="W6119" s="49"/>
      <c r="X6119" s="49"/>
      <c r="Y6119" s="35"/>
      <c r="Z6119" s="35"/>
      <c r="AA6119" s="35"/>
      <c r="AB6119" s="35"/>
      <c r="AC6119" s="35"/>
      <c r="AD6119" s="35"/>
      <c r="AE6119" s="35"/>
      <c r="AF6119" s="35"/>
      <c r="AG6119" s="35"/>
      <c r="AH6119" s="35"/>
      <c r="AI6119" s="35"/>
      <c r="AJ6119" s="35"/>
      <c r="AK6119" s="35"/>
      <c r="AL6119" s="35"/>
    </row>
    <row r="6120">
      <c r="A6120" s="1"/>
      <c r="B6120" s="19" t="s">
        <v>7020</v>
      </c>
      <c r="C6120" s="20" t="s">
        <v>28896</v>
      </c>
      <c r="D6120" s="47"/>
      <c r="E6120" s="22" t="s">
        <v>12839</v>
      </c>
      <c r="F6120" s="22" t="s">
        <v>323</v>
      </c>
      <c r="G6120" s="23">
        <v>2022.0</v>
      </c>
      <c r="H6120" s="22" t="s">
        <v>147</v>
      </c>
      <c r="I6120" s="24" t="s">
        <v>28913</v>
      </c>
      <c r="J6120" s="22" t="s">
        <v>28914</v>
      </c>
      <c r="K6120" s="22"/>
      <c r="L6120" s="36">
        <v>980.0</v>
      </c>
      <c r="M6120" s="36" t="s">
        <v>58</v>
      </c>
      <c r="N6120" s="36" t="s">
        <v>58</v>
      </c>
      <c r="O6120" s="36" t="s">
        <v>58</v>
      </c>
      <c r="P6120" s="37" t="s">
        <v>709</v>
      </c>
      <c r="Q6120" s="36" t="s">
        <v>58</v>
      </c>
      <c r="R6120" s="36">
        <v>900.0</v>
      </c>
      <c r="S6120" s="36" t="s">
        <v>4905</v>
      </c>
      <c r="T6120" s="28" t="s">
        <v>28915</v>
      </c>
      <c r="U6120" s="38" t="s">
        <v>61</v>
      </c>
      <c r="V6120" s="50"/>
      <c r="W6120" s="49"/>
      <c r="X6120" s="49"/>
      <c r="Y6120" s="35"/>
      <c r="Z6120" s="35"/>
      <c r="AA6120" s="35"/>
      <c r="AB6120" s="35"/>
      <c r="AC6120" s="35"/>
      <c r="AD6120" s="35"/>
      <c r="AE6120" s="35"/>
      <c r="AF6120" s="35"/>
      <c r="AG6120" s="35"/>
      <c r="AH6120" s="35"/>
      <c r="AI6120" s="35"/>
      <c r="AJ6120" s="35"/>
      <c r="AK6120" s="35"/>
      <c r="AL6120" s="35"/>
    </row>
    <row r="6121">
      <c r="A6121" s="1"/>
      <c r="B6121" s="19" t="s">
        <v>7020</v>
      </c>
      <c r="C6121" s="20" t="s">
        <v>28896</v>
      </c>
      <c r="D6121" s="47"/>
      <c r="E6121" s="22" t="s">
        <v>28916</v>
      </c>
      <c r="F6121" s="22" t="s">
        <v>28917</v>
      </c>
      <c r="G6121" s="23">
        <v>2022.0</v>
      </c>
      <c r="H6121" s="22" t="s">
        <v>627</v>
      </c>
      <c r="I6121" s="24" t="s">
        <v>28918</v>
      </c>
      <c r="J6121" s="22" t="s">
        <v>28919</v>
      </c>
      <c r="K6121" s="22"/>
      <c r="L6121" s="36">
        <v>780.0</v>
      </c>
      <c r="M6121" s="36">
        <v>750.0</v>
      </c>
      <c r="N6121" s="129">
        <v>44776.0</v>
      </c>
      <c r="O6121" s="36"/>
      <c r="P6121" s="37" t="s">
        <v>28920</v>
      </c>
      <c r="Q6121" s="36"/>
      <c r="R6121" s="36">
        <v>180.0</v>
      </c>
      <c r="S6121" s="36">
        <v>1.0</v>
      </c>
      <c r="T6121" s="28" t="s">
        <v>28921</v>
      </c>
      <c r="U6121" s="38" t="s">
        <v>61</v>
      </c>
      <c r="V6121" s="50"/>
      <c r="W6121" s="49"/>
      <c r="X6121" s="49"/>
      <c r="Y6121" s="35"/>
      <c r="Z6121" s="35"/>
      <c r="AA6121" s="35"/>
      <c r="AB6121" s="35"/>
      <c r="AC6121" s="35"/>
      <c r="AD6121" s="35"/>
      <c r="AE6121" s="35"/>
      <c r="AF6121" s="35"/>
      <c r="AG6121" s="35"/>
      <c r="AH6121" s="35"/>
      <c r="AI6121" s="35"/>
      <c r="AJ6121" s="35"/>
      <c r="AK6121" s="35"/>
      <c r="AL6121" s="35"/>
    </row>
    <row r="6122">
      <c r="A6122" s="1"/>
      <c r="B6122" s="19" t="s">
        <v>7020</v>
      </c>
      <c r="C6122" s="20" t="s">
        <v>28896</v>
      </c>
      <c r="D6122" s="47"/>
      <c r="E6122" s="22" t="s">
        <v>28922</v>
      </c>
      <c r="F6122" s="22" t="s">
        <v>11529</v>
      </c>
      <c r="G6122" s="23">
        <v>2022.0</v>
      </c>
      <c r="H6122" s="22" t="s">
        <v>91</v>
      </c>
      <c r="I6122" s="24" t="s">
        <v>28923</v>
      </c>
      <c r="J6122" s="22" t="s">
        <v>1078</v>
      </c>
      <c r="K6122" s="22"/>
      <c r="L6122" s="105" t="s">
        <v>28924</v>
      </c>
      <c r="M6122" s="44"/>
      <c r="N6122" s="44"/>
      <c r="O6122" s="44"/>
      <c r="P6122" s="44"/>
      <c r="Q6122" s="44"/>
      <c r="R6122" s="44"/>
      <c r="S6122" s="44"/>
      <c r="T6122" s="45"/>
      <c r="U6122" s="38" t="s">
        <v>61</v>
      </c>
      <c r="V6122" s="50"/>
      <c r="W6122" s="49"/>
      <c r="X6122" s="49"/>
      <c r="Y6122" s="35"/>
      <c r="Z6122" s="35"/>
      <c r="AA6122" s="35"/>
      <c r="AB6122" s="35"/>
      <c r="AC6122" s="35"/>
      <c r="AD6122" s="35"/>
      <c r="AE6122" s="35"/>
      <c r="AF6122" s="35"/>
      <c r="AG6122" s="35"/>
      <c r="AH6122" s="35"/>
      <c r="AI6122" s="35"/>
      <c r="AJ6122" s="35"/>
      <c r="AK6122" s="35"/>
      <c r="AL6122" s="35"/>
    </row>
    <row r="6123">
      <c r="A6123" s="1"/>
      <c r="B6123" s="19" t="s">
        <v>7020</v>
      </c>
      <c r="C6123" s="20" t="s">
        <v>28896</v>
      </c>
      <c r="D6123" s="47"/>
      <c r="E6123" s="22" t="s">
        <v>28925</v>
      </c>
      <c r="F6123" s="22" t="s">
        <v>14931</v>
      </c>
      <c r="G6123" s="23">
        <v>2022.0</v>
      </c>
      <c r="H6123" s="22" t="s">
        <v>4804</v>
      </c>
      <c r="I6123" s="24" t="s">
        <v>28926</v>
      </c>
      <c r="J6123" s="22" t="s">
        <v>28927</v>
      </c>
      <c r="K6123" s="22" t="s">
        <v>19911</v>
      </c>
      <c r="L6123" s="36">
        <v>830.0</v>
      </c>
      <c r="M6123" s="36">
        <v>30.0</v>
      </c>
      <c r="N6123" s="36"/>
      <c r="O6123" s="36" t="s">
        <v>28928</v>
      </c>
      <c r="P6123" s="37" t="s">
        <v>287</v>
      </c>
      <c r="Q6123" s="36" t="s">
        <v>28929</v>
      </c>
      <c r="R6123" s="36" t="s">
        <v>28930</v>
      </c>
      <c r="S6123" s="36"/>
      <c r="T6123" s="41" t="s">
        <v>28931</v>
      </c>
      <c r="U6123" s="29" t="s">
        <v>61</v>
      </c>
      <c r="V6123" s="50"/>
      <c r="W6123" s="49"/>
      <c r="X6123" s="49"/>
      <c r="Y6123" s="35"/>
      <c r="Z6123" s="35"/>
      <c r="AA6123" s="35"/>
      <c r="AB6123" s="35"/>
      <c r="AC6123" s="35"/>
      <c r="AD6123" s="35"/>
      <c r="AE6123" s="35"/>
      <c r="AF6123" s="35"/>
      <c r="AG6123" s="35"/>
      <c r="AH6123" s="35"/>
      <c r="AI6123" s="35"/>
      <c r="AJ6123" s="35"/>
      <c r="AK6123" s="35"/>
      <c r="AL6123" s="35"/>
    </row>
    <row r="6124">
      <c r="A6124" s="1"/>
      <c r="B6124" s="19" t="s">
        <v>7020</v>
      </c>
      <c r="C6124" s="20" t="s">
        <v>28932</v>
      </c>
      <c r="D6124" s="47"/>
      <c r="E6124" s="22" t="s">
        <v>15555</v>
      </c>
      <c r="F6124" s="22" t="s">
        <v>41</v>
      </c>
      <c r="G6124" s="23">
        <v>2022.0</v>
      </c>
      <c r="H6124" s="22" t="s">
        <v>3523</v>
      </c>
      <c r="I6124" s="24" t="s">
        <v>28933</v>
      </c>
      <c r="J6124" s="22" t="s">
        <v>28934</v>
      </c>
      <c r="K6124" s="22" t="s">
        <v>28935</v>
      </c>
      <c r="L6124" s="36">
        <v>905.0</v>
      </c>
      <c r="M6124" s="36"/>
      <c r="N6124" s="36"/>
      <c r="O6124" s="36" t="s">
        <v>28936</v>
      </c>
      <c r="P6124" s="37"/>
      <c r="Q6124" s="36"/>
      <c r="R6124" s="36">
        <v>540.0</v>
      </c>
      <c r="S6124" s="36" t="s">
        <v>4387</v>
      </c>
      <c r="T6124" s="28" t="s">
        <v>28937</v>
      </c>
      <c r="U6124" s="29" t="s">
        <v>61</v>
      </c>
      <c r="V6124" s="50"/>
      <c r="W6124" s="49"/>
      <c r="X6124" s="49"/>
      <c r="Y6124" s="35"/>
      <c r="Z6124" s="35"/>
      <c r="AA6124" s="35"/>
      <c r="AB6124" s="35"/>
      <c r="AC6124" s="35"/>
      <c r="AD6124" s="35"/>
      <c r="AE6124" s="35"/>
      <c r="AF6124" s="35"/>
      <c r="AG6124" s="35"/>
      <c r="AH6124" s="35"/>
      <c r="AI6124" s="35"/>
      <c r="AJ6124" s="35"/>
      <c r="AK6124" s="35"/>
      <c r="AL6124" s="35"/>
    </row>
    <row r="6125">
      <c r="A6125" s="1"/>
      <c r="B6125" s="19" t="s">
        <v>7020</v>
      </c>
      <c r="C6125" s="20" t="s">
        <v>28896</v>
      </c>
      <c r="D6125" s="47"/>
      <c r="E6125" s="22" t="s">
        <v>25118</v>
      </c>
      <c r="F6125" s="22" t="s">
        <v>41</v>
      </c>
      <c r="G6125" s="23">
        <v>2021.0</v>
      </c>
      <c r="H6125" s="22" t="s">
        <v>91</v>
      </c>
      <c r="I6125" s="24" t="s">
        <v>28938</v>
      </c>
      <c r="J6125" s="22" t="s">
        <v>649</v>
      </c>
      <c r="K6125" s="22"/>
      <c r="L6125" s="167" t="s">
        <v>28939</v>
      </c>
      <c r="M6125" s="44"/>
      <c r="N6125" s="44"/>
      <c r="O6125" s="44"/>
      <c r="P6125" s="44"/>
      <c r="Q6125" s="44"/>
      <c r="R6125" s="44"/>
      <c r="S6125" s="44"/>
      <c r="T6125" s="45"/>
      <c r="U6125" s="29" t="s">
        <v>61</v>
      </c>
      <c r="V6125" s="50"/>
      <c r="W6125" s="49"/>
      <c r="X6125" s="49"/>
      <c r="Y6125" s="35"/>
      <c r="Z6125" s="35"/>
      <c r="AA6125" s="35"/>
      <c r="AB6125" s="35"/>
      <c r="AC6125" s="35"/>
      <c r="AD6125" s="35"/>
      <c r="AE6125" s="35"/>
      <c r="AF6125" s="35"/>
      <c r="AG6125" s="35"/>
      <c r="AH6125" s="35"/>
      <c r="AI6125" s="35"/>
      <c r="AJ6125" s="35"/>
      <c r="AK6125" s="35"/>
      <c r="AL6125" s="35"/>
    </row>
    <row r="6126">
      <c r="A6126" s="1"/>
      <c r="B6126" s="19" t="s">
        <v>7020</v>
      </c>
      <c r="C6126" s="20" t="s">
        <v>28896</v>
      </c>
      <c r="D6126" s="47"/>
      <c r="E6126" s="22" t="s">
        <v>28940</v>
      </c>
      <c r="F6126" s="22" t="s">
        <v>28941</v>
      </c>
      <c r="G6126" s="23">
        <v>2021.0</v>
      </c>
      <c r="H6126" s="22" t="s">
        <v>147</v>
      </c>
      <c r="I6126" s="24" t="s">
        <v>28942</v>
      </c>
      <c r="J6126" s="22" t="s">
        <v>28943</v>
      </c>
      <c r="K6126" s="22"/>
      <c r="L6126" s="94" t="s">
        <v>58</v>
      </c>
      <c r="M6126" s="94" t="s">
        <v>58</v>
      </c>
      <c r="N6126" s="94" t="s">
        <v>58</v>
      </c>
      <c r="O6126" s="94" t="s">
        <v>58</v>
      </c>
      <c r="P6126" s="95" t="s">
        <v>28944</v>
      </c>
      <c r="Q6126" s="94" t="s">
        <v>58</v>
      </c>
      <c r="R6126" s="94" t="s">
        <v>28945</v>
      </c>
      <c r="S6126" s="94" t="s">
        <v>1514</v>
      </c>
      <c r="T6126" s="28" t="s">
        <v>28946</v>
      </c>
      <c r="U6126" s="29" t="s">
        <v>61</v>
      </c>
      <c r="V6126" s="30" t="s">
        <v>28947</v>
      </c>
      <c r="W6126" s="49"/>
      <c r="X6126" s="49"/>
      <c r="Y6126" s="35"/>
      <c r="Z6126" s="35"/>
      <c r="AA6126" s="35"/>
      <c r="AB6126" s="35"/>
      <c r="AC6126" s="35"/>
      <c r="AD6126" s="35"/>
      <c r="AE6126" s="35"/>
      <c r="AF6126" s="35"/>
      <c r="AG6126" s="35"/>
      <c r="AH6126" s="35"/>
      <c r="AI6126" s="35"/>
      <c r="AJ6126" s="35"/>
      <c r="AK6126" s="35"/>
      <c r="AL6126" s="35"/>
    </row>
    <row r="6127">
      <c r="A6127" s="1"/>
      <c r="B6127" s="19" t="s">
        <v>7020</v>
      </c>
      <c r="C6127" s="20" t="s">
        <v>28896</v>
      </c>
      <c r="D6127" s="47"/>
      <c r="E6127" s="22" t="s">
        <v>28948</v>
      </c>
      <c r="F6127" s="22" t="s">
        <v>274</v>
      </c>
      <c r="G6127" s="23">
        <v>2020.0</v>
      </c>
      <c r="H6127" s="22" t="s">
        <v>3828</v>
      </c>
      <c r="I6127" s="24" t="s">
        <v>28949</v>
      </c>
      <c r="J6127" s="22" t="s">
        <v>2141</v>
      </c>
      <c r="K6127" s="22"/>
      <c r="L6127" s="168"/>
      <c r="M6127" s="168"/>
      <c r="N6127" s="168"/>
      <c r="O6127" s="168"/>
      <c r="P6127" s="169"/>
      <c r="Q6127" s="168"/>
      <c r="R6127" s="168"/>
      <c r="S6127" s="168"/>
      <c r="T6127" s="185" t="s">
        <v>28950</v>
      </c>
      <c r="U6127" s="38" t="str">
        <f>HYPERLINK("https://www.ncbi.nlm.nih.gov/pubmed/32080103","PubMed")</f>
        <v>PubMed</v>
      </c>
      <c r="V6127" s="50"/>
      <c r="W6127" s="49"/>
      <c r="X6127" s="49"/>
      <c r="Y6127" s="35"/>
      <c r="Z6127" s="35"/>
      <c r="AA6127" s="35"/>
      <c r="AB6127" s="35"/>
      <c r="AC6127" s="35"/>
      <c r="AD6127" s="35"/>
      <c r="AE6127" s="35"/>
      <c r="AF6127" s="35"/>
      <c r="AG6127" s="35"/>
      <c r="AH6127" s="35"/>
      <c r="AI6127" s="35"/>
      <c r="AJ6127" s="35"/>
      <c r="AK6127" s="35"/>
      <c r="AL6127" s="35"/>
    </row>
    <row r="6128">
      <c r="A6128" s="1"/>
      <c r="B6128" s="19" t="s">
        <v>7020</v>
      </c>
      <c r="C6128" s="20" t="s">
        <v>28896</v>
      </c>
      <c r="D6128" s="47"/>
      <c r="E6128" s="22" t="s">
        <v>1948</v>
      </c>
      <c r="F6128" s="22" t="s">
        <v>3414</v>
      </c>
      <c r="G6128" s="23">
        <v>2017.0</v>
      </c>
      <c r="H6128" s="22" t="s">
        <v>658</v>
      </c>
      <c r="I6128" s="24" t="s">
        <v>28951</v>
      </c>
      <c r="J6128" s="22" t="s">
        <v>28952</v>
      </c>
      <c r="K6128" s="22" t="s">
        <v>28953</v>
      </c>
      <c r="L6128" s="36" t="s">
        <v>28954</v>
      </c>
      <c r="M6128" s="36" t="s">
        <v>28955</v>
      </c>
      <c r="N6128" s="36"/>
      <c r="O6128" s="36">
        <v>300.0</v>
      </c>
      <c r="P6128" s="37" t="s">
        <v>254</v>
      </c>
      <c r="Q6128" s="36" t="s">
        <v>28956</v>
      </c>
      <c r="R6128" s="36">
        <v>256.0</v>
      </c>
      <c r="S6128" s="36"/>
      <c r="T6128" s="28" t="s">
        <v>28957</v>
      </c>
      <c r="U6128" s="38" t="str">
        <f>HYPERLINK("https://www.ncbi.nlm.nih.gov/pubmed/28783464","PubMed")</f>
        <v>PubMed</v>
      </c>
      <c r="V6128" s="50"/>
      <c r="W6128" s="49"/>
      <c r="X6128" s="49"/>
      <c r="Y6128" s="35"/>
      <c r="Z6128" s="35"/>
      <c r="AA6128" s="35"/>
      <c r="AB6128" s="35"/>
      <c r="AC6128" s="35"/>
      <c r="AD6128" s="35"/>
      <c r="AE6128" s="35"/>
      <c r="AF6128" s="35"/>
      <c r="AG6128" s="35"/>
      <c r="AH6128" s="35"/>
      <c r="AI6128" s="35"/>
      <c r="AJ6128" s="35"/>
      <c r="AK6128" s="35"/>
      <c r="AL6128" s="35"/>
    </row>
    <row r="6129">
      <c r="A6129" s="1"/>
      <c r="B6129" s="19" t="s">
        <v>7020</v>
      </c>
      <c r="C6129" s="20" t="s">
        <v>28896</v>
      </c>
      <c r="D6129" s="47"/>
      <c r="E6129" s="22" t="s">
        <v>1948</v>
      </c>
      <c r="F6129" s="22" t="s">
        <v>1949</v>
      </c>
      <c r="G6129" s="23">
        <v>2016.0</v>
      </c>
      <c r="H6129" s="22" t="s">
        <v>91</v>
      </c>
      <c r="I6129" s="24" t="s">
        <v>28958</v>
      </c>
      <c r="J6129" s="22" t="s">
        <v>17582</v>
      </c>
      <c r="K6129" s="22"/>
      <c r="L6129" s="36">
        <v>1064.0</v>
      </c>
      <c r="M6129" s="36"/>
      <c r="N6129" s="36"/>
      <c r="O6129" s="36" t="s">
        <v>28959</v>
      </c>
      <c r="P6129" s="37"/>
      <c r="Q6129" s="36"/>
      <c r="R6129" s="36" t="s">
        <v>27953</v>
      </c>
      <c r="S6129" s="36" t="s">
        <v>2688</v>
      </c>
      <c r="T6129" s="28" t="s">
        <v>28960</v>
      </c>
      <c r="U6129" s="38" t="str">
        <f>HYPERLINK("https://www.ncbi.nlm.nih.gov/pubmed/26914684","PubMed")</f>
        <v>PubMed</v>
      </c>
      <c r="V6129" s="30" t="s">
        <v>28961</v>
      </c>
      <c r="W6129" s="49"/>
      <c r="X6129" s="49"/>
      <c r="Y6129" s="35"/>
      <c r="Z6129" s="35"/>
      <c r="AA6129" s="35"/>
      <c r="AB6129" s="35"/>
      <c r="AC6129" s="35"/>
      <c r="AD6129" s="35"/>
      <c r="AE6129" s="35"/>
      <c r="AF6129" s="35"/>
      <c r="AG6129" s="35"/>
      <c r="AH6129" s="35"/>
      <c r="AI6129" s="35"/>
      <c r="AJ6129" s="35"/>
      <c r="AK6129" s="35"/>
      <c r="AL6129" s="35"/>
    </row>
    <row r="6130">
      <c r="A6130" s="1"/>
      <c r="B6130" s="19" t="s">
        <v>7020</v>
      </c>
      <c r="C6130" s="20" t="s">
        <v>28896</v>
      </c>
      <c r="D6130" s="47"/>
      <c r="E6130" s="22" t="s">
        <v>4937</v>
      </c>
      <c r="F6130" s="22" t="s">
        <v>7954</v>
      </c>
      <c r="G6130" s="23">
        <v>2016.0</v>
      </c>
      <c r="H6130" s="22" t="s">
        <v>28962</v>
      </c>
      <c r="I6130" s="24" t="s">
        <v>28963</v>
      </c>
      <c r="J6130" s="22" t="s">
        <v>649</v>
      </c>
      <c r="K6130" s="22"/>
      <c r="L6130" s="270" t="s">
        <v>28964</v>
      </c>
      <c r="M6130" s="44"/>
      <c r="N6130" s="44"/>
      <c r="O6130" s="44"/>
      <c r="P6130" s="44"/>
      <c r="Q6130" s="44"/>
      <c r="R6130" s="44"/>
      <c r="S6130" s="44"/>
      <c r="T6130" s="45"/>
      <c r="U6130" s="38" t="str">
        <f>HYPERLINK("https://www.ncbi.nlm.nih.gov/pubmed/26707074","PubMed")</f>
        <v>PubMed</v>
      </c>
      <c r="V6130" s="50"/>
      <c r="W6130" s="130" t="str">
        <f>HYPERLINK("https://www.ncbi.nlm.nih.gov/pubmed/27916333","Comment")</f>
        <v>Comment</v>
      </c>
      <c r="X6130" s="130" t="str">
        <f>HYPERLINK("https://www.ncbi.nlm.nih.gov/pubmed/27916334","Reply")</f>
        <v>Reply</v>
      </c>
      <c r="Y6130" s="35"/>
      <c r="Z6130" s="35"/>
      <c r="AA6130" s="35"/>
      <c r="AB6130" s="35"/>
      <c r="AC6130" s="35"/>
      <c r="AD6130" s="35"/>
      <c r="AE6130" s="35"/>
      <c r="AF6130" s="35"/>
      <c r="AG6130" s="35"/>
      <c r="AH6130" s="35"/>
      <c r="AI6130" s="35"/>
      <c r="AJ6130" s="35"/>
      <c r="AK6130" s="35"/>
      <c r="AL6130" s="35"/>
    </row>
    <row r="6131">
      <c r="A6131" s="1"/>
      <c r="B6131" s="19" t="s">
        <v>7020</v>
      </c>
      <c r="C6131" s="20" t="s">
        <v>28896</v>
      </c>
      <c r="D6131" s="47"/>
      <c r="E6131" s="22" t="s">
        <v>28965</v>
      </c>
      <c r="F6131" s="22" t="s">
        <v>14371</v>
      </c>
      <c r="G6131" s="23">
        <v>2014.0</v>
      </c>
      <c r="H6131" s="22" t="s">
        <v>28965</v>
      </c>
      <c r="I6131" s="24" t="s">
        <v>28966</v>
      </c>
      <c r="J6131" s="22" t="s">
        <v>649</v>
      </c>
      <c r="K6131" s="22"/>
      <c r="L6131" s="105" t="s">
        <v>28967</v>
      </c>
      <c r="M6131" s="44"/>
      <c r="N6131" s="44"/>
      <c r="O6131" s="44"/>
      <c r="P6131" s="44"/>
      <c r="Q6131" s="44"/>
      <c r="R6131" s="44"/>
      <c r="S6131" s="44"/>
      <c r="T6131" s="45"/>
      <c r="U6131" s="38" t="str">
        <f>HYPERLINK("https://www.ncbi.nlm.nih.gov/pubmed/26803863","PubMed")</f>
        <v>PubMed</v>
      </c>
      <c r="V6131" s="30"/>
      <c r="W6131" s="49"/>
      <c r="X6131" s="49"/>
      <c r="Y6131" s="35"/>
      <c r="Z6131" s="35"/>
      <c r="AA6131" s="35"/>
      <c r="AB6131" s="35"/>
      <c r="AC6131" s="35"/>
      <c r="AD6131" s="35"/>
      <c r="AE6131" s="35"/>
      <c r="AF6131" s="35"/>
      <c r="AG6131" s="35"/>
      <c r="AH6131" s="35"/>
      <c r="AI6131" s="35"/>
      <c r="AJ6131" s="35"/>
      <c r="AK6131" s="35"/>
      <c r="AL6131" s="35"/>
    </row>
    <row r="6132">
      <c r="A6132" s="1"/>
      <c r="B6132" s="19" t="s">
        <v>7020</v>
      </c>
      <c r="C6132" s="20" t="s">
        <v>28896</v>
      </c>
      <c r="D6132" s="47"/>
      <c r="E6132" s="22" t="s">
        <v>28968</v>
      </c>
      <c r="F6132" s="22" t="s">
        <v>13677</v>
      </c>
      <c r="G6132" s="23">
        <v>2013.0</v>
      </c>
      <c r="H6132" s="22" t="s">
        <v>4764</v>
      </c>
      <c r="I6132" s="24" t="s">
        <v>28969</v>
      </c>
      <c r="J6132" s="22" t="s">
        <v>1078</v>
      </c>
      <c r="K6132" s="22"/>
      <c r="L6132" s="195" t="s">
        <v>28970</v>
      </c>
      <c r="M6132" s="44"/>
      <c r="N6132" s="44"/>
      <c r="O6132" s="44"/>
      <c r="P6132" s="44"/>
      <c r="Q6132" s="44"/>
      <c r="R6132" s="44"/>
      <c r="S6132" s="44"/>
      <c r="T6132" s="45"/>
      <c r="U6132" s="38" t="str">
        <f>HYPERLINK("https://www.ncbi.nlm.nih.gov/pubmed/23579335","PubMed")</f>
        <v>PubMed</v>
      </c>
      <c r="V6132" s="50"/>
      <c r="W6132" s="130" t="str">
        <f>HYPERLINK("https://www.ncbi.nlm.nih.gov/pubmed/24402005","Comment")</f>
        <v>Comment</v>
      </c>
      <c r="X6132" s="49"/>
      <c r="Y6132" s="35"/>
      <c r="Z6132" s="35"/>
      <c r="AA6132" s="35"/>
      <c r="AB6132" s="35"/>
      <c r="AC6132" s="35"/>
      <c r="AD6132" s="35"/>
      <c r="AE6132" s="35"/>
      <c r="AF6132" s="35"/>
      <c r="AG6132" s="35"/>
      <c r="AH6132" s="35"/>
      <c r="AI6132" s="35"/>
      <c r="AJ6132" s="35"/>
      <c r="AK6132" s="35"/>
      <c r="AL6132" s="35"/>
    </row>
    <row r="6133">
      <c r="A6133" s="1"/>
      <c r="B6133" s="19" t="s">
        <v>7020</v>
      </c>
      <c r="C6133" s="20" t="s">
        <v>28896</v>
      </c>
      <c r="D6133" s="47"/>
      <c r="E6133" s="22" t="s">
        <v>28971</v>
      </c>
      <c r="F6133" s="22" t="s">
        <v>10550</v>
      </c>
      <c r="G6133" s="23">
        <v>2013.0</v>
      </c>
      <c r="H6133" s="22" t="s">
        <v>28972</v>
      </c>
      <c r="I6133" s="24" t="s">
        <v>28973</v>
      </c>
      <c r="J6133" s="22" t="s">
        <v>649</v>
      </c>
      <c r="K6133" s="22"/>
      <c r="L6133" s="195" t="s">
        <v>28974</v>
      </c>
      <c r="M6133" s="44"/>
      <c r="N6133" s="44"/>
      <c r="O6133" s="44"/>
      <c r="P6133" s="44"/>
      <c r="Q6133" s="44"/>
      <c r="R6133" s="44"/>
      <c r="S6133" s="44"/>
      <c r="T6133" s="45"/>
      <c r="U6133" s="38" t="str">
        <f>HYPERLINK("https://www.ncbi.nlm.nih.gov/pubmed/24155802","PubMed")</f>
        <v>PubMed</v>
      </c>
      <c r="V6133" s="50"/>
      <c r="W6133" s="49"/>
      <c r="X6133" s="49"/>
      <c r="Y6133" s="35"/>
      <c r="Z6133" s="35"/>
      <c r="AA6133" s="35"/>
      <c r="AB6133" s="35"/>
      <c r="AC6133" s="35"/>
      <c r="AD6133" s="35"/>
      <c r="AE6133" s="35"/>
      <c r="AF6133" s="35"/>
      <c r="AG6133" s="35"/>
      <c r="AH6133" s="35"/>
      <c r="AI6133" s="35"/>
      <c r="AJ6133" s="35"/>
      <c r="AK6133" s="35"/>
      <c r="AL6133" s="35"/>
    </row>
    <row r="6134">
      <c r="A6134" s="1"/>
      <c r="B6134" s="19" t="s">
        <v>7020</v>
      </c>
      <c r="C6134" s="20" t="s">
        <v>28896</v>
      </c>
      <c r="D6134" s="47"/>
      <c r="E6134" s="22" t="s">
        <v>28975</v>
      </c>
      <c r="F6134" s="22" t="s">
        <v>1862</v>
      </c>
      <c r="G6134" s="23">
        <v>2010.0</v>
      </c>
      <c r="H6134" s="22" t="s">
        <v>27831</v>
      </c>
      <c r="I6134" s="24" t="s">
        <v>28976</v>
      </c>
      <c r="J6134" s="22" t="s">
        <v>649</v>
      </c>
      <c r="K6134" s="22"/>
      <c r="L6134" s="105" t="s">
        <v>28977</v>
      </c>
      <c r="M6134" s="44"/>
      <c r="N6134" s="44"/>
      <c r="O6134" s="44"/>
      <c r="P6134" s="44"/>
      <c r="Q6134" s="44"/>
      <c r="R6134" s="44"/>
      <c r="S6134" s="44"/>
      <c r="T6134" s="45"/>
      <c r="U6134" s="38" t="str">
        <f>HYPERLINK("https://www.ncbi.nlm.nih.gov/pubmed/20482474","PubMed")</f>
        <v>PubMed</v>
      </c>
      <c r="V6134" s="50"/>
      <c r="W6134" s="130" t="str">
        <f>HYPERLINK("https://www.ncbi.nlm.nih.gov/pubmed/21091418","Comment")</f>
        <v>Comment</v>
      </c>
      <c r="X6134" s="49"/>
      <c r="Y6134" s="35"/>
      <c r="Z6134" s="35"/>
      <c r="AA6134" s="35"/>
      <c r="AB6134" s="35"/>
      <c r="AC6134" s="35"/>
      <c r="AD6134" s="35"/>
      <c r="AE6134" s="35"/>
      <c r="AF6134" s="35"/>
      <c r="AG6134" s="35"/>
      <c r="AH6134" s="35"/>
      <c r="AI6134" s="35"/>
      <c r="AJ6134" s="35"/>
      <c r="AK6134" s="35"/>
      <c r="AL6134" s="35"/>
    </row>
    <row r="6135">
      <c r="A6135" s="1"/>
      <c r="B6135" s="19" t="s">
        <v>7020</v>
      </c>
      <c r="C6135" s="20" t="s">
        <v>28896</v>
      </c>
      <c r="D6135" s="47"/>
      <c r="E6135" s="22" t="s">
        <v>27991</v>
      </c>
      <c r="F6135" s="22" t="s">
        <v>3767</v>
      </c>
      <c r="G6135" s="23">
        <v>2010.0</v>
      </c>
      <c r="H6135" s="22" t="s">
        <v>28609</v>
      </c>
      <c r="I6135" s="24" t="s">
        <v>28978</v>
      </c>
      <c r="J6135" s="22" t="s">
        <v>28979</v>
      </c>
      <c r="K6135" s="22"/>
      <c r="L6135" s="36">
        <v>905.0</v>
      </c>
      <c r="M6135" s="36"/>
      <c r="N6135" s="36" t="s">
        <v>2309</v>
      </c>
      <c r="O6135" s="36"/>
      <c r="P6135" s="37" t="s">
        <v>269</v>
      </c>
      <c r="Q6135" s="36"/>
      <c r="R6135" s="36">
        <v>120.0</v>
      </c>
      <c r="S6135" s="36" t="s">
        <v>4708</v>
      </c>
      <c r="T6135" s="28" t="s">
        <v>28980</v>
      </c>
      <c r="U6135" s="38" t="str">
        <f>HYPERLINK("https://www.ncbi.nlm.nih.gov/pubmed/20704667","PubMed")</f>
        <v>PubMed</v>
      </c>
      <c r="V6135" s="50"/>
      <c r="W6135" s="49"/>
      <c r="X6135" s="49"/>
      <c r="Y6135" s="35"/>
      <c r="Z6135" s="35"/>
      <c r="AA6135" s="35"/>
      <c r="AB6135" s="35"/>
      <c r="AC6135" s="35"/>
      <c r="AD6135" s="35"/>
      <c r="AE6135" s="35"/>
      <c r="AF6135" s="35"/>
      <c r="AG6135" s="35"/>
      <c r="AH6135" s="35"/>
      <c r="AI6135" s="35"/>
      <c r="AJ6135" s="35"/>
      <c r="AK6135" s="35"/>
      <c r="AL6135" s="35"/>
    </row>
    <row r="6136">
      <c r="A6136" s="205" t="s">
        <v>38</v>
      </c>
      <c r="B6136" s="19" t="s">
        <v>7020</v>
      </c>
      <c r="C6136" s="20" t="s">
        <v>28896</v>
      </c>
      <c r="D6136" s="47"/>
      <c r="E6136" s="22" t="s">
        <v>28981</v>
      </c>
      <c r="F6136" s="22" t="s">
        <v>28982</v>
      </c>
      <c r="G6136" s="23">
        <v>2009.0</v>
      </c>
      <c r="H6136" s="22" t="s">
        <v>28983</v>
      </c>
      <c r="I6136" s="24" t="s">
        <v>28984</v>
      </c>
      <c r="J6136" s="22" t="s">
        <v>22</v>
      </c>
      <c r="K6136" s="22"/>
      <c r="L6136" s="171" t="s">
        <v>28985</v>
      </c>
      <c r="M6136" s="44"/>
      <c r="N6136" s="44"/>
      <c r="O6136" s="44"/>
      <c r="P6136" s="44"/>
      <c r="Q6136" s="44"/>
      <c r="R6136" s="44"/>
      <c r="S6136" s="44"/>
      <c r="T6136" s="45"/>
      <c r="U6136" s="38" t="str">
        <f>HYPERLINK("https://www.ncbi.nlm.nih.gov/pubmed/19913901","PubMed")</f>
        <v>PubMed</v>
      </c>
      <c r="V6136" s="50"/>
      <c r="W6136" s="49"/>
      <c r="X6136" s="49"/>
      <c r="Y6136" s="35"/>
      <c r="Z6136" s="35"/>
      <c r="AA6136" s="35"/>
      <c r="AB6136" s="35"/>
      <c r="AC6136" s="35"/>
      <c r="AD6136" s="35"/>
      <c r="AE6136" s="35"/>
      <c r="AF6136" s="35"/>
      <c r="AG6136" s="35"/>
      <c r="AH6136" s="35"/>
      <c r="AI6136" s="35"/>
      <c r="AJ6136" s="35"/>
      <c r="AK6136" s="35"/>
      <c r="AL6136" s="35"/>
    </row>
    <row r="6137">
      <c r="A6137" s="1"/>
      <c r="B6137" s="19" t="s">
        <v>7020</v>
      </c>
      <c r="C6137" s="20" t="s">
        <v>28896</v>
      </c>
      <c r="D6137" s="47"/>
      <c r="E6137" s="22" t="s">
        <v>13311</v>
      </c>
      <c r="F6137" s="22" t="s">
        <v>2698</v>
      </c>
      <c r="G6137" s="23">
        <v>2009.0</v>
      </c>
      <c r="H6137" s="22" t="s">
        <v>28983</v>
      </c>
      <c r="I6137" s="24" t="s">
        <v>28986</v>
      </c>
      <c r="J6137" s="22" t="s">
        <v>1078</v>
      </c>
      <c r="K6137" s="22" t="s">
        <v>28987</v>
      </c>
      <c r="L6137" s="171" t="s">
        <v>28988</v>
      </c>
      <c r="M6137" s="44"/>
      <c r="N6137" s="44"/>
      <c r="O6137" s="44"/>
      <c r="P6137" s="44"/>
      <c r="Q6137" s="44"/>
      <c r="R6137" s="44"/>
      <c r="S6137" s="44"/>
      <c r="T6137" s="45"/>
      <c r="U6137" s="38" t="str">
        <f>HYPERLINK("https://www.ncbi.nlm.nih.gov/pubmed/19913903","PubMed")</f>
        <v>PubMed</v>
      </c>
      <c r="V6137" s="50"/>
      <c r="W6137" s="49"/>
      <c r="X6137" s="49"/>
      <c r="Y6137" s="35"/>
      <c r="Z6137" s="35"/>
      <c r="AA6137" s="35"/>
      <c r="AB6137" s="35"/>
      <c r="AC6137" s="35"/>
      <c r="AD6137" s="35"/>
      <c r="AE6137" s="35"/>
      <c r="AF6137" s="35"/>
      <c r="AG6137" s="35"/>
      <c r="AH6137" s="35"/>
      <c r="AI6137" s="35"/>
      <c r="AJ6137" s="35"/>
      <c r="AK6137" s="35"/>
      <c r="AL6137" s="35"/>
    </row>
    <row r="6138">
      <c r="A6138" s="1"/>
      <c r="B6138" s="19" t="s">
        <v>7020</v>
      </c>
      <c r="C6138" s="20" t="s">
        <v>28896</v>
      </c>
      <c r="D6138" s="47"/>
      <c r="E6138" s="22" t="s">
        <v>13311</v>
      </c>
      <c r="F6138" s="22" t="s">
        <v>1862</v>
      </c>
      <c r="G6138" s="23">
        <v>2006.0</v>
      </c>
      <c r="H6138" s="22" t="s">
        <v>7020</v>
      </c>
      <c r="I6138" s="24" t="s">
        <v>28989</v>
      </c>
      <c r="J6138" s="22" t="s">
        <v>28990</v>
      </c>
      <c r="K6138" s="22"/>
      <c r="L6138" s="36">
        <v>830.0</v>
      </c>
      <c r="M6138" s="36">
        <v>300.0</v>
      </c>
      <c r="N6138" s="36" t="s">
        <v>9006</v>
      </c>
      <c r="O6138" s="36" t="s">
        <v>58</v>
      </c>
      <c r="P6138" s="37" t="s">
        <v>58</v>
      </c>
      <c r="Q6138" s="36" t="s">
        <v>58</v>
      </c>
      <c r="R6138" s="36"/>
      <c r="S6138" s="36" t="s">
        <v>8223</v>
      </c>
      <c r="T6138" s="28" t="s">
        <v>28991</v>
      </c>
      <c r="U6138" s="38" t="str">
        <f>HYPERLINK("https://www.ncbi.nlm.nih.gov/pubmed/16806710","PubMed")</f>
        <v>PubMed</v>
      </c>
      <c r="V6138" s="30" t="s">
        <v>28992</v>
      </c>
      <c r="W6138" s="130" t="str">
        <f>HYPERLINK("https://www.ncbi.nlm.nih.gov/pubmed/16697111","Editorial")</f>
        <v>Editorial</v>
      </c>
      <c r="X6138" s="130" t="str">
        <f>HYPERLINK("https://www.ncbi.nlm.nih.gov/pubmed/17132127","Commentary")</f>
        <v>Commentary</v>
      </c>
      <c r="Y6138" s="35"/>
      <c r="Z6138" s="35"/>
      <c r="AA6138" s="35"/>
      <c r="AB6138" s="35"/>
      <c r="AC6138" s="35"/>
      <c r="AD6138" s="35"/>
      <c r="AE6138" s="35"/>
      <c r="AF6138" s="35"/>
      <c r="AG6138" s="35"/>
      <c r="AH6138" s="35"/>
      <c r="AI6138" s="35"/>
      <c r="AJ6138" s="35"/>
      <c r="AK6138" s="35"/>
      <c r="AL6138" s="35"/>
    </row>
    <row r="6139">
      <c r="A6139" s="1"/>
      <c r="B6139" s="19" t="s">
        <v>7020</v>
      </c>
      <c r="C6139" s="20" t="s">
        <v>28896</v>
      </c>
      <c r="D6139" s="47"/>
      <c r="E6139" s="22" t="s">
        <v>28993</v>
      </c>
      <c r="F6139" s="22" t="s">
        <v>1603</v>
      </c>
      <c r="G6139" s="23">
        <v>2006.0</v>
      </c>
      <c r="H6139" s="22" t="s">
        <v>1846</v>
      </c>
      <c r="I6139" s="24" t="s">
        <v>28994</v>
      </c>
      <c r="J6139" s="22" t="s">
        <v>28995</v>
      </c>
      <c r="K6139" s="22" t="s">
        <v>2686</v>
      </c>
      <c r="L6139" s="36">
        <v>633.0</v>
      </c>
      <c r="M6139" s="36">
        <v>5.0</v>
      </c>
      <c r="N6139" s="36"/>
      <c r="O6139" s="36"/>
      <c r="P6139" s="37"/>
      <c r="Q6139" s="36"/>
      <c r="R6139" s="36">
        <v>15.0</v>
      </c>
      <c r="S6139" s="36" t="s">
        <v>28996</v>
      </c>
      <c r="T6139" s="41" t="s">
        <v>28997</v>
      </c>
      <c r="U6139" s="38" t="str">
        <f>HYPERLINK("https://www.ncbi.nlm.nih.gov/pubmed/16703253","PubMed")</f>
        <v>PubMed</v>
      </c>
      <c r="V6139" s="50"/>
      <c r="W6139" s="34"/>
      <c r="X6139" s="34"/>
      <c r="Y6139" s="35"/>
      <c r="Z6139" s="35"/>
      <c r="AA6139" s="35"/>
      <c r="AB6139" s="35"/>
      <c r="AC6139" s="35"/>
      <c r="AD6139" s="35"/>
      <c r="AE6139" s="35"/>
      <c r="AF6139" s="35"/>
      <c r="AG6139" s="35"/>
      <c r="AH6139" s="35"/>
      <c r="AI6139" s="35"/>
      <c r="AJ6139" s="35"/>
      <c r="AK6139" s="35"/>
      <c r="AL6139" s="35"/>
    </row>
    <row r="6140">
      <c r="A6140" s="1"/>
      <c r="B6140" s="19" t="s">
        <v>7020</v>
      </c>
      <c r="C6140" s="20" t="s">
        <v>28896</v>
      </c>
      <c r="D6140" s="47"/>
      <c r="E6140" s="22" t="s">
        <v>28998</v>
      </c>
      <c r="F6140" s="22" t="s">
        <v>1862</v>
      </c>
      <c r="G6140" s="23">
        <v>2005.0</v>
      </c>
      <c r="H6140" s="22" t="s">
        <v>53</v>
      </c>
      <c r="I6140" s="24" t="s">
        <v>28999</v>
      </c>
      <c r="J6140" s="22" t="s">
        <v>649</v>
      </c>
      <c r="K6140" s="22"/>
      <c r="L6140" s="195" t="s">
        <v>29000</v>
      </c>
      <c r="M6140" s="44"/>
      <c r="N6140" s="44"/>
      <c r="O6140" s="44"/>
      <c r="P6140" s="44"/>
      <c r="Q6140" s="44"/>
      <c r="R6140" s="44"/>
      <c r="S6140" s="44"/>
      <c r="T6140" s="45"/>
      <c r="U6140" s="38" t="str">
        <f>HYPERLINK("https://www.ncbi.nlm.nih.gov/pubmed/15954117","PubMed")</f>
        <v>PubMed</v>
      </c>
      <c r="V6140" s="50"/>
      <c r="W6140" s="34"/>
      <c r="X6140" s="34"/>
      <c r="Y6140" s="35"/>
      <c r="Z6140" s="35"/>
      <c r="AA6140" s="35"/>
      <c r="AB6140" s="35"/>
      <c r="AC6140" s="35"/>
      <c r="AD6140" s="35"/>
      <c r="AE6140" s="35"/>
      <c r="AF6140" s="35"/>
      <c r="AG6140" s="35"/>
      <c r="AH6140" s="35"/>
      <c r="AI6140" s="35"/>
      <c r="AJ6140" s="35"/>
      <c r="AK6140" s="35"/>
      <c r="AL6140" s="35"/>
    </row>
    <row r="6141">
      <c r="A6141" s="1"/>
      <c r="B6141" s="19" t="s">
        <v>7020</v>
      </c>
      <c r="C6141" s="20" t="s">
        <v>28896</v>
      </c>
      <c r="D6141" s="47"/>
      <c r="E6141" s="22" t="s">
        <v>13090</v>
      </c>
      <c r="F6141" s="22" t="s">
        <v>13091</v>
      </c>
      <c r="G6141" s="23">
        <v>1996.0</v>
      </c>
      <c r="H6141" s="22" t="s">
        <v>292</v>
      </c>
      <c r="I6141" s="24" t="s">
        <v>29001</v>
      </c>
      <c r="J6141" s="22" t="s">
        <v>29002</v>
      </c>
      <c r="K6141" s="22"/>
      <c r="L6141" s="36">
        <v>904.0</v>
      </c>
      <c r="M6141" s="36">
        <v>40.0</v>
      </c>
      <c r="N6141" s="36"/>
      <c r="O6141" s="36"/>
      <c r="P6141" s="37" t="s">
        <v>254</v>
      </c>
      <c r="Q6141" s="36" t="s">
        <v>29003</v>
      </c>
      <c r="R6141" s="36"/>
      <c r="S6141" s="36" t="s">
        <v>1514</v>
      </c>
      <c r="T6141" s="28" t="s">
        <v>29004</v>
      </c>
      <c r="U6141" s="38" t="str">
        <f>HYPERLINK("https://www.jstage.jst.go.jp/article/islsm/8/2/8_2_149/_article/-char/en","J-STAGE")</f>
        <v>J-STAGE</v>
      </c>
      <c r="V6141" s="50"/>
      <c r="W6141" s="49"/>
      <c r="X6141" s="49"/>
      <c r="Y6141" s="35"/>
      <c r="Z6141" s="35"/>
      <c r="AA6141" s="35"/>
      <c r="AB6141" s="35"/>
      <c r="AC6141" s="35"/>
      <c r="AD6141" s="35"/>
      <c r="AE6141" s="35"/>
      <c r="AF6141" s="35"/>
      <c r="AG6141" s="35"/>
      <c r="AH6141" s="35"/>
      <c r="AI6141" s="35"/>
      <c r="AJ6141" s="35"/>
      <c r="AK6141" s="35"/>
      <c r="AL6141" s="35"/>
    </row>
    <row r="6142">
      <c r="A6142" s="1"/>
      <c r="B6142" s="19" t="s">
        <v>7020</v>
      </c>
      <c r="C6142" s="20" t="s">
        <v>29005</v>
      </c>
      <c r="D6142" s="47"/>
      <c r="E6142" s="22" t="s">
        <v>29006</v>
      </c>
      <c r="F6142" s="22" t="s">
        <v>217</v>
      </c>
      <c r="G6142" s="23">
        <v>1991.0</v>
      </c>
      <c r="H6142" s="22" t="s">
        <v>292</v>
      </c>
      <c r="I6142" s="24" t="s">
        <v>29007</v>
      </c>
      <c r="J6142" s="22" t="s">
        <v>3053</v>
      </c>
      <c r="K6142" s="22"/>
      <c r="L6142" s="36" t="s">
        <v>29008</v>
      </c>
      <c r="M6142" s="36" t="s">
        <v>29009</v>
      </c>
      <c r="N6142" s="36"/>
      <c r="O6142" s="36"/>
      <c r="P6142" s="37"/>
      <c r="Q6142" s="36"/>
      <c r="R6142" s="36"/>
      <c r="S6142" s="36"/>
      <c r="T6142" s="28" t="s">
        <v>29010</v>
      </c>
      <c r="U6142" s="38" t="str">
        <f>HYPERLINK("https://www.jstage.jst.go.jp/article/islsm/3/1/3_91-SC-01/_article/-char/en","J-STAGE")</f>
        <v>J-STAGE</v>
      </c>
      <c r="V6142" s="50"/>
      <c r="W6142" s="49"/>
      <c r="X6142" s="49"/>
      <c r="Y6142" s="35"/>
      <c r="Z6142" s="35"/>
      <c r="AA6142" s="35"/>
      <c r="AB6142" s="35"/>
      <c r="AC6142" s="35"/>
      <c r="AD6142" s="35"/>
      <c r="AE6142" s="35"/>
      <c r="AF6142" s="35"/>
      <c r="AG6142" s="35"/>
      <c r="AH6142" s="35"/>
      <c r="AI6142" s="35"/>
      <c r="AJ6142" s="35"/>
      <c r="AK6142" s="35"/>
      <c r="AL6142" s="35"/>
    </row>
    <row r="6143">
      <c r="A6143" s="1"/>
      <c r="B6143" s="19" t="s">
        <v>7020</v>
      </c>
      <c r="C6143" s="20" t="s">
        <v>29011</v>
      </c>
      <c r="D6143" s="47"/>
      <c r="E6143" s="22" t="s">
        <v>3827</v>
      </c>
      <c r="F6143" s="22" t="s">
        <v>41</v>
      </c>
      <c r="G6143" s="23">
        <v>2023.0</v>
      </c>
      <c r="H6143" s="22" t="s">
        <v>91</v>
      </c>
      <c r="I6143" s="24" t="s">
        <v>29012</v>
      </c>
      <c r="J6143" s="22" t="s">
        <v>125</v>
      </c>
      <c r="K6143" s="22"/>
      <c r="L6143" s="105" t="s">
        <v>29013</v>
      </c>
      <c r="M6143" s="44"/>
      <c r="N6143" s="44"/>
      <c r="O6143" s="44"/>
      <c r="P6143" s="44"/>
      <c r="Q6143" s="44"/>
      <c r="R6143" s="44"/>
      <c r="S6143" s="44"/>
      <c r="T6143" s="45"/>
      <c r="U6143" s="38" t="s">
        <v>61</v>
      </c>
      <c r="V6143" s="30"/>
      <c r="W6143" s="49"/>
      <c r="X6143" s="49"/>
      <c r="Y6143" s="35"/>
      <c r="Z6143" s="35"/>
      <c r="AA6143" s="35"/>
      <c r="AB6143" s="35"/>
      <c r="AC6143" s="35"/>
      <c r="AD6143" s="35"/>
      <c r="AE6143" s="35"/>
      <c r="AF6143" s="35"/>
      <c r="AG6143" s="35"/>
      <c r="AH6143" s="35"/>
      <c r="AI6143" s="35"/>
      <c r="AJ6143" s="35"/>
      <c r="AK6143" s="35"/>
      <c r="AL6143" s="35"/>
    </row>
    <row r="6144">
      <c r="A6144" s="1"/>
      <c r="B6144" s="19" t="s">
        <v>7020</v>
      </c>
      <c r="C6144" s="20" t="s">
        <v>29011</v>
      </c>
      <c r="D6144" s="47"/>
      <c r="E6144" s="22" t="s">
        <v>18526</v>
      </c>
      <c r="F6144" s="22" t="s">
        <v>323</v>
      </c>
      <c r="G6144" s="23">
        <v>2023.0</v>
      </c>
      <c r="H6144" s="22" t="s">
        <v>91</v>
      </c>
      <c r="I6144" s="24" t="s">
        <v>29014</v>
      </c>
      <c r="J6144" s="22" t="s">
        <v>55</v>
      </c>
      <c r="K6144" s="22"/>
      <c r="L6144" s="36">
        <v>660.0</v>
      </c>
      <c r="M6144" s="36"/>
      <c r="N6144" s="36"/>
      <c r="O6144" s="36"/>
      <c r="P6144" s="37"/>
      <c r="Q6144" s="36"/>
      <c r="R6144" s="36"/>
      <c r="S6144" s="36" t="s">
        <v>3478</v>
      </c>
      <c r="T6144" s="28" t="s">
        <v>29015</v>
      </c>
      <c r="U6144" s="38" t="s">
        <v>61</v>
      </c>
      <c r="V6144" s="30"/>
      <c r="W6144" s="49"/>
      <c r="X6144" s="49"/>
      <c r="Y6144" s="35"/>
      <c r="Z6144" s="35"/>
      <c r="AA6144" s="35"/>
      <c r="AB6144" s="35"/>
      <c r="AC6144" s="35"/>
      <c r="AD6144" s="35"/>
      <c r="AE6144" s="35"/>
      <c r="AF6144" s="35"/>
      <c r="AG6144" s="35"/>
      <c r="AH6144" s="35"/>
      <c r="AI6144" s="35"/>
      <c r="AJ6144" s="35"/>
      <c r="AK6144" s="35"/>
      <c r="AL6144" s="35"/>
    </row>
    <row r="6145">
      <c r="A6145" s="1"/>
      <c r="B6145" s="19" t="s">
        <v>7020</v>
      </c>
      <c r="C6145" s="20" t="s">
        <v>29011</v>
      </c>
      <c r="D6145" s="47"/>
      <c r="E6145" s="22" t="s">
        <v>18423</v>
      </c>
      <c r="F6145" s="22" t="s">
        <v>323</v>
      </c>
      <c r="G6145" s="23">
        <v>2023.0</v>
      </c>
      <c r="H6145" s="22" t="s">
        <v>4975</v>
      </c>
      <c r="I6145" s="24" t="s">
        <v>29016</v>
      </c>
      <c r="J6145" s="22" t="s">
        <v>11820</v>
      </c>
      <c r="K6145" s="22"/>
      <c r="L6145" s="36"/>
      <c r="M6145" s="36"/>
      <c r="N6145" s="36"/>
      <c r="O6145" s="36"/>
      <c r="P6145" s="37"/>
      <c r="Q6145" s="36"/>
      <c r="R6145" s="36"/>
      <c r="S6145" s="36"/>
      <c r="T6145" s="28" t="s">
        <v>29017</v>
      </c>
      <c r="U6145" s="38" t="s">
        <v>61</v>
      </c>
      <c r="V6145" s="30" t="s">
        <v>174</v>
      </c>
      <c r="W6145" s="49"/>
      <c r="X6145" s="49"/>
      <c r="Y6145" s="35"/>
      <c r="Z6145" s="35"/>
      <c r="AA6145" s="35"/>
      <c r="AB6145" s="35"/>
      <c r="AC6145" s="35"/>
      <c r="AD6145" s="35"/>
      <c r="AE6145" s="35"/>
      <c r="AF6145" s="35"/>
      <c r="AG6145" s="35"/>
      <c r="AH6145" s="35"/>
      <c r="AI6145" s="35"/>
      <c r="AJ6145" s="35"/>
      <c r="AK6145" s="35"/>
      <c r="AL6145" s="35"/>
    </row>
    <row r="6146">
      <c r="A6146" s="1"/>
      <c r="B6146" s="19" t="s">
        <v>7020</v>
      </c>
      <c r="C6146" s="20" t="s">
        <v>29011</v>
      </c>
      <c r="D6146" s="47"/>
      <c r="E6146" s="22" t="s">
        <v>2316</v>
      </c>
      <c r="F6146" s="22" t="s">
        <v>7062</v>
      </c>
      <c r="G6146" s="23">
        <v>2023.0</v>
      </c>
      <c r="H6146" s="22" t="s">
        <v>4479</v>
      </c>
      <c r="I6146" s="24" t="s">
        <v>29018</v>
      </c>
      <c r="J6146" s="22" t="s">
        <v>378</v>
      </c>
      <c r="K6146" s="22"/>
      <c r="L6146" s="36">
        <v>810.0</v>
      </c>
      <c r="M6146" s="36">
        <v>150.0</v>
      </c>
      <c r="N6146" s="36"/>
      <c r="O6146" s="36">
        <v>540.0</v>
      </c>
      <c r="P6146" s="37"/>
      <c r="Q6146" s="36"/>
      <c r="R6146" s="36">
        <v>3600.0</v>
      </c>
      <c r="S6146" s="36" t="s">
        <v>29019</v>
      </c>
      <c r="T6146" s="28" t="s">
        <v>29020</v>
      </c>
      <c r="U6146" s="38" t="s">
        <v>61</v>
      </c>
      <c r="V6146" s="50"/>
      <c r="W6146" s="49"/>
      <c r="X6146" s="49"/>
      <c r="Y6146" s="35"/>
      <c r="Z6146" s="35"/>
      <c r="AA6146" s="35"/>
      <c r="AB6146" s="35"/>
      <c r="AC6146" s="35"/>
      <c r="AD6146" s="35"/>
      <c r="AE6146" s="35"/>
      <c r="AF6146" s="35"/>
      <c r="AG6146" s="35"/>
      <c r="AH6146" s="35"/>
      <c r="AI6146" s="35"/>
      <c r="AJ6146" s="35"/>
      <c r="AK6146" s="35"/>
      <c r="AL6146" s="35"/>
    </row>
    <row r="6147">
      <c r="A6147" s="1"/>
      <c r="B6147" s="19" t="s">
        <v>7020</v>
      </c>
      <c r="C6147" s="20" t="s">
        <v>29011</v>
      </c>
      <c r="D6147" s="47"/>
      <c r="E6147" s="22" t="s">
        <v>450</v>
      </c>
      <c r="F6147" s="22" t="s">
        <v>12293</v>
      </c>
      <c r="G6147" s="23">
        <v>2021.0</v>
      </c>
      <c r="H6147" s="22" t="s">
        <v>91</v>
      </c>
      <c r="I6147" s="24" t="s">
        <v>29021</v>
      </c>
      <c r="J6147" s="22" t="s">
        <v>44</v>
      </c>
      <c r="K6147" s="22" t="s">
        <v>4071</v>
      </c>
      <c r="L6147" s="36">
        <v>808.0</v>
      </c>
      <c r="M6147" s="36">
        <v>100.0</v>
      </c>
      <c r="N6147" s="36"/>
      <c r="O6147" s="36"/>
      <c r="P6147" s="37" t="s">
        <v>1529</v>
      </c>
      <c r="Q6147" s="36"/>
      <c r="R6147" s="36"/>
      <c r="S6147" s="36"/>
      <c r="T6147" s="28" t="s">
        <v>29022</v>
      </c>
      <c r="U6147" s="29" t="s">
        <v>61</v>
      </c>
      <c r="V6147" s="50"/>
      <c r="W6147" s="49"/>
      <c r="X6147" s="49"/>
      <c r="Y6147" s="35"/>
      <c r="Z6147" s="35"/>
      <c r="AA6147" s="35"/>
      <c r="AB6147" s="35"/>
      <c r="AC6147" s="35"/>
      <c r="AD6147" s="35"/>
      <c r="AE6147" s="35"/>
      <c r="AF6147" s="35"/>
      <c r="AG6147" s="35"/>
      <c r="AH6147" s="35"/>
      <c r="AI6147" s="35"/>
      <c r="AJ6147" s="35"/>
      <c r="AK6147" s="35"/>
      <c r="AL6147" s="35"/>
    </row>
    <row r="6148">
      <c r="A6148" s="1"/>
      <c r="B6148" s="19" t="s">
        <v>7020</v>
      </c>
      <c r="C6148" s="20" t="s">
        <v>29011</v>
      </c>
      <c r="D6148" s="47"/>
      <c r="E6148" s="22" t="s">
        <v>29023</v>
      </c>
      <c r="F6148" s="22" t="s">
        <v>1398</v>
      </c>
      <c r="G6148" s="23">
        <v>2022.0</v>
      </c>
      <c r="H6148" s="22" t="s">
        <v>91</v>
      </c>
      <c r="I6148" s="24" t="s">
        <v>29024</v>
      </c>
      <c r="J6148" s="22" t="s">
        <v>29025</v>
      </c>
      <c r="K6148" s="22" t="s">
        <v>56</v>
      </c>
      <c r="L6148" s="36" t="s">
        <v>3447</v>
      </c>
      <c r="M6148" s="36"/>
      <c r="N6148" s="36"/>
      <c r="O6148" s="36"/>
      <c r="P6148" s="37"/>
      <c r="Q6148" s="36"/>
      <c r="R6148" s="36"/>
      <c r="S6148" s="36"/>
      <c r="T6148" s="28" t="s">
        <v>29026</v>
      </c>
      <c r="U6148" s="29" t="s">
        <v>61</v>
      </c>
      <c r="V6148" s="30" t="s">
        <v>29027</v>
      </c>
      <c r="W6148" s="49"/>
      <c r="X6148" s="49"/>
      <c r="Y6148" s="35"/>
      <c r="Z6148" s="35"/>
      <c r="AA6148" s="35"/>
      <c r="AB6148" s="35"/>
      <c r="AC6148" s="35"/>
      <c r="AD6148" s="35"/>
      <c r="AE6148" s="35"/>
      <c r="AF6148" s="35"/>
      <c r="AG6148" s="35"/>
      <c r="AH6148" s="35"/>
      <c r="AI6148" s="35"/>
      <c r="AJ6148" s="35"/>
      <c r="AK6148" s="35"/>
      <c r="AL6148" s="35"/>
    </row>
    <row r="6149">
      <c r="A6149" s="1"/>
      <c r="B6149" s="19" t="s">
        <v>7020</v>
      </c>
      <c r="C6149" s="20" t="s">
        <v>29011</v>
      </c>
      <c r="D6149" s="47"/>
      <c r="E6149" s="22" t="s">
        <v>856</v>
      </c>
      <c r="F6149" s="22" t="s">
        <v>41</v>
      </c>
      <c r="G6149" s="23">
        <v>2020.0</v>
      </c>
      <c r="H6149" s="22" t="s">
        <v>91</v>
      </c>
      <c r="I6149" s="24" t="s">
        <v>29028</v>
      </c>
      <c r="J6149" s="22" t="s">
        <v>55</v>
      </c>
      <c r="K6149" s="22"/>
      <c r="L6149" s="36">
        <v>904.0</v>
      </c>
      <c r="M6149" s="36"/>
      <c r="N6149" s="36"/>
      <c r="O6149" s="36"/>
      <c r="P6149" s="37"/>
      <c r="Q6149" s="36"/>
      <c r="R6149" s="36"/>
      <c r="S6149" s="36"/>
      <c r="T6149" s="28" t="s">
        <v>29029</v>
      </c>
      <c r="U6149" s="29" t="s">
        <v>61</v>
      </c>
      <c r="V6149" s="50"/>
      <c r="W6149" s="49"/>
      <c r="X6149" s="49"/>
      <c r="Y6149" s="35"/>
      <c r="Z6149" s="35"/>
      <c r="AA6149" s="35"/>
      <c r="AB6149" s="35"/>
      <c r="AC6149" s="35"/>
      <c r="AD6149" s="35"/>
      <c r="AE6149" s="35"/>
      <c r="AF6149" s="35"/>
      <c r="AG6149" s="35"/>
      <c r="AH6149" s="35"/>
      <c r="AI6149" s="35"/>
      <c r="AJ6149" s="35"/>
      <c r="AK6149" s="35"/>
      <c r="AL6149" s="35"/>
    </row>
    <row r="6150">
      <c r="A6150" s="1"/>
      <c r="B6150" s="19" t="s">
        <v>7020</v>
      </c>
      <c r="C6150" s="20" t="s">
        <v>29011</v>
      </c>
      <c r="D6150" s="47"/>
      <c r="E6150" s="22" t="s">
        <v>18526</v>
      </c>
      <c r="F6150" s="22" t="s">
        <v>323</v>
      </c>
      <c r="G6150" s="23">
        <v>2020.0</v>
      </c>
      <c r="H6150" s="22" t="s">
        <v>3189</v>
      </c>
      <c r="I6150" s="24" t="s">
        <v>29030</v>
      </c>
      <c r="J6150" s="22" t="s">
        <v>55</v>
      </c>
      <c r="K6150" s="22" t="s">
        <v>18529</v>
      </c>
      <c r="L6150" s="36">
        <v>660.0</v>
      </c>
      <c r="M6150" s="36"/>
      <c r="N6150" s="36"/>
      <c r="O6150" s="36"/>
      <c r="P6150" s="37"/>
      <c r="Q6150" s="36"/>
      <c r="R6150" s="36"/>
      <c r="S6150" s="36"/>
      <c r="T6150" s="28" t="s">
        <v>29031</v>
      </c>
      <c r="U6150" s="29" t="s">
        <v>61</v>
      </c>
      <c r="V6150" s="50"/>
      <c r="W6150" s="49"/>
      <c r="X6150" s="49"/>
      <c r="Y6150" s="35"/>
      <c r="Z6150" s="35"/>
      <c r="AA6150" s="35"/>
      <c r="AB6150" s="35"/>
      <c r="AC6150" s="35"/>
      <c r="AD6150" s="35"/>
      <c r="AE6150" s="35"/>
      <c r="AF6150" s="35"/>
      <c r="AG6150" s="35"/>
      <c r="AH6150" s="35"/>
      <c r="AI6150" s="35"/>
      <c r="AJ6150" s="35"/>
      <c r="AK6150" s="35"/>
      <c r="AL6150" s="35"/>
    </row>
    <row r="6151">
      <c r="A6151" s="1"/>
      <c r="B6151" s="19" t="s">
        <v>7020</v>
      </c>
      <c r="C6151" s="20" t="s">
        <v>29011</v>
      </c>
      <c r="D6151" s="47"/>
      <c r="E6151" s="22" t="s">
        <v>29032</v>
      </c>
      <c r="F6151" s="22" t="s">
        <v>1398</v>
      </c>
      <c r="G6151" s="23">
        <v>2019.0</v>
      </c>
      <c r="H6151" s="22" t="s">
        <v>3106</v>
      </c>
      <c r="I6151" s="24" t="s">
        <v>29033</v>
      </c>
      <c r="J6151" s="22" t="s">
        <v>55</v>
      </c>
      <c r="K6151" s="22" t="s">
        <v>29034</v>
      </c>
      <c r="L6151" s="36">
        <v>810.0</v>
      </c>
      <c r="M6151" s="36">
        <v>100.0</v>
      </c>
      <c r="N6151" s="36"/>
      <c r="O6151" s="36"/>
      <c r="P6151" s="37"/>
      <c r="Q6151" s="36"/>
      <c r="R6151" s="36">
        <v>500.0</v>
      </c>
      <c r="S6151" s="36"/>
      <c r="T6151" s="28" t="s">
        <v>29035</v>
      </c>
      <c r="U6151" s="38" t="str">
        <f>HYPERLINK("https://www.ncbi.nlm.nih.gov/pubmed/31811836","PubMed")</f>
        <v>PubMed</v>
      </c>
      <c r="V6151" s="50"/>
      <c r="W6151" s="49"/>
      <c r="X6151" s="49"/>
      <c r="Y6151" s="35"/>
      <c r="Z6151" s="35"/>
      <c r="AA6151" s="35"/>
      <c r="AB6151" s="35"/>
      <c r="AC6151" s="35"/>
      <c r="AD6151" s="35"/>
      <c r="AE6151" s="35"/>
      <c r="AF6151" s="35"/>
      <c r="AG6151" s="35"/>
      <c r="AH6151" s="35"/>
      <c r="AI6151" s="35"/>
      <c r="AJ6151" s="35"/>
      <c r="AK6151" s="35"/>
      <c r="AL6151" s="35"/>
    </row>
    <row r="6152">
      <c r="A6152" s="1"/>
      <c r="B6152" s="19" t="s">
        <v>7020</v>
      </c>
      <c r="C6152" s="20" t="s">
        <v>29011</v>
      </c>
      <c r="D6152" s="47"/>
      <c r="E6152" s="22" t="s">
        <v>27661</v>
      </c>
      <c r="F6152" s="22" t="s">
        <v>308</v>
      </c>
      <c r="G6152" s="23">
        <v>2019.0</v>
      </c>
      <c r="H6152" s="22" t="s">
        <v>29036</v>
      </c>
      <c r="I6152" s="24" t="s">
        <v>29037</v>
      </c>
      <c r="J6152" s="22" t="s">
        <v>44</v>
      </c>
      <c r="K6152" s="22" t="s">
        <v>157</v>
      </c>
      <c r="L6152" s="36">
        <v>890.0</v>
      </c>
      <c r="M6152" s="36">
        <v>390.0</v>
      </c>
      <c r="N6152" s="36" t="s">
        <v>29038</v>
      </c>
      <c r="O6152" s="36"/>
      <c r="P6152" s="37" t="s">
        <v>29039</v>
      </c>
      <c r="Q6152" s="36"/>
      <c r="R6152" s="36">
        <v>1200.0</v>
      </c>
      <c r="S6152" s="36"/>
      <c r="T6152" s="28" t="s">
        <v>29040</v>
      </c>
      <c r="U6152" s="38" t="str">
        <f>HYPERLINK("https://www.ncbi.nlm.nih.gov/pubmed/31782603","PubMed")</f>
        <v>PubMed</v>
      </c>
      <c r="V6152" s="50"/>
      <c r="W6152" s="49"/>
      <c r="X6152" s="49"/>
      <c r="Y6152" s="35"/>
      <c r="Z6152" s="35"/>
      <c r="AA6152" s="35"/>
      <c r="AB6152" s="35"/>
      <c r="AC6152" s="35"/>
      <c r="AD6152" s="35"/>
      <c r="AE6152" s="35"/>
      <c r="AF6152" s="35"/>
      <c r="AG6152" s="35"/>
      <c r="AH6152" s="35"/>
      <c r="AI6152" s="35"/>
      <c r="AJ6152" s="35"/>
      <c r="AK6152" s="35"/>
      <c r="AL6152" s="35"/>
    </row>
    <row r="6153">
      <c r="A6153" s="1"/>
      <c r="B6153" s="19" t="s">
        <v>7020</v>
      </c>
      <c r="C6153" s="20" t="s">
        <v>29011</v>
      </c>
      <c r="D6153" s="47"/>
      <c r="E6153" s="22" t="s">
        <v>28511</v>
      </c>
      <c r="F6153" s="22" t="s">
        <v>2705</v>
      </c>
      <c r="G6153" s="23">
        <v>2019.0</v>
      </c>
      <c r="H6153" s="22" t="s">
        <v>2181</v>
      </c>
      <c r="I6153" s="24" t="s">
        <v>29041</v>
      </c>
      <c r="J6153" s="22" t="s">
        <v>55</v>
      </c>
      <c r="K6153" s="22"/>
      <c r="L6153" s="36" t="s">
        <v>4503</v>
      </c>
      <c r="M6153" s="36"/>
      <c r="N6153" s="36"/>
      <c r="O6153" s="36"/>
      <c r="P6153" s="37"/>
      <c r="Q6153" s="36"/>
      <c r="R6153" s="36"/>
      <c r="S6153" s="36" t="s">
        <v>29042</v>
      </c>
      <c r="T6153" s="28" t="s">
        <v>29043</v>
      </c>
      <c r="U6153" s="38" t="str">
        <f>HYPERLINK("https://www.ncbi.nlm.nih.gov/pubmed/31243320","PubMed")</f>
        <v>PubMed</v>
      </c>
      <c r="V6153" s="50"/>
      <c r="W6153" s="49"/>
      <c r="X6153" s="49"/>
      <c r="Y6153" s="35"/>
      <c r="Z6153" s="35"/>
      <c r="AA6153" s="35"/>
      <c r="AB6153" s="35"/>
      <c r="AC6153" s="35"/>
      <c r="AD6153" s="35"/>
      <c r="AE6153" s="35"/>
      <c r="AF6153" s="35"/>
      <c r="AG6153" s="35"/>
      <c r="AH6153" s="35"/>
      <c r="AI6153" s="35"/>
      <c r="AJ6153" s="35"/>
      <c r="AK6153" s="35"/>
      <c r="AL6153" s="35"/>
    </row>
    <row r="6154">
      <c r="A6154" s="1"/>
      <c r="B6154" s="19" t="s">
        <v>7020</v>
      </c>
      <c r="C6154" s="20" t="s">
        <v>29011</v>
      </c>
      <c r="D6154" s="47"/>
      <c r="E6154" s="22" t="s">
        <v>29044</v>
      </c>
      <c r="F6154" s="22" t="s">
        <v>274</v>
      </c>
      <c r="G6154" s="23" t="s">
        <v>90</v>
      </c>
      <c r="H6154" s="22" t="s">
        <v>91</v>
      </c>
      <c r="I6154" s="24" t="s">
        <v>29045</v>
      </c>
      <c r="J6154" s="22" t="s">
        <v>44</v>
      </c>
      <c r="K6154" s="22" t="s">
        <v>1112</v>
      </c>
      <c r="L6154" s="36">
        <v>808.0</v>
      </c>
      <c r="M6154" s="36">
        <v>30.0</v>
      </c>
      <c r="N6154" s="36">
        <v>1.0</v>
      </c>
      <c r="O6154" s="36" t="s">
        <v>29046</v>
      </c>
      <c r="P6154" s="37" t="s">
        <v>1731</v>
      </c>
      <c r="Q6154" s="36" t="s">
        <v>280</v>
      </c>
      <c r="R6154" s="36" t="s">
        <v>29047</v>
      </c>
      <c r="S6154" s="36" t="s">
        <v>29048</v>
      </c>
      <c r="T6154" s="28" t="s">
        <v>29049</v>
      </c>
      <c r="U6154" s="38" t="str">
        <f>HYPERLINK("https://www.ncbi.nlm.nih.gov/pubmed/28283814","PubMed")</f>
        <v>PubMed</v>
      </c>
      <c r="V6154" s="50"/>
      <c r="W6154" s="49"/>
      <c r="X6154" s="49"/>
      <c r="Y6154" s="35"/>
      <c r="Z6154" s="35"/>
      <c r="AA6154" s="35"/>
      <c r="AB6154" s="35"/>
      <c r="AC6154" s="35"/>
      <c r="AD6154" s="35"/>
      <c r="AE6154" s="35"/>
      <c r="AF6154" s="35"/>
      <c r="AG6154" s="35"/>
      <c r="AH6154" s="35"/>
      <c r="AI6154" s="35"/>
      <c r="AJ6154" s="35"/>
      <c r="AK6154" s="35"/>
      <c r="AL6154" s="35"/>
    </row>
    <row r="6155">
      <c r="A6155" s="1"/>
      <c r="B6155" s="19" t="s">
        <v>7020</v>
      </c>
      <c r="C6155" s="20" t="s">
        <v>29011</v>
      </c>
      <c r="D6155" s="47"/>
      <c r="E6155" s="22" t="s">
        <v>27909</v>
      </c>
      <c r="F6155" s="22" t="s">
        <v>41</v>
      </c>
      <c r="G6155" s="23" t="s">
        <v>90</v>
      </c>
      <c r="H6155" s="22" t="s">
        <v>53</v>
      </c>
      <c r="I6155" s="24" t="s">
        <v>29050</v>
      </c>
      <c r="J6155" s="22" t="s">
        <v>378</v>
      </c>
      <c r="K6155" s="22"/>
      <c r="L6155" s="36">
        <v>808.0</v>
      </c>
      <c r="M6155" s="36">
        <v>10000.0</v>
      </c>
      <c r="N6155" s="36" t="s">
        <v>29051</v>
      </c>
      <c r="O6155" s="36"/>
      <c r="P6155" s="37"/>
      <c r="Q6155" s="36"/>
      <c r="R6155" s="36">
        <v>120.0</v>
      </c>
      <c r="S6155" s="36">
        <v>1.0</v>
      </c>
      <c r="T6155" s="28" t="s">
        <v>29052</v>
      </c>
      <c r="U6155" s="38" t="str">
        <f>HYPERLINK("https://www.ncbi.nlm.nih.gov/pubmed/28075022","PubMed")</f>
        <v>PubMed</v>
      </c>
      <c r="V6155" s="50"/>
      <c r="W6155" s="49"/>
      <c r="X6155" s="49"/>
      <c r="Y6155" s="35"/>
      <c r="Z6155" s="35"/>
      <c r="AA6155" s="35"/>
      <c r="AB6155" s="35"/>
      <c r="AC6155" s="35"/>
      <c r="AD6155" s="35"/>
      <c r="AE6155" s="35"/>
      <c r="AF6155" s="35"/>
      <c r="AG6155" s="35"/>
      <c r="AH6155" s="35"/>
      <c r="AI6155" s="35"/>
      <c r="AJ6155" s="35"/>
      <c r="AK6155" s="35"/>
      <c r="AL6155" s="35"/>
    </row>
    <row r="6156">
      <c r="A6156" s="18"/>
      <c r="B6156" s="19" t="s">
        <v>7020</v>
      </c>
      <c r="C6156" s="20" t="s">
        <v>29011</v>
      </c>
      <c r="D6156" s="47"/>
      <c r="E6156" s="22" t="s">
        <v>29053</v>
      </c>
      <c r="F6156" s="22" t="s">
        <v>323</v>
      </c>
      <c r="G6156" s="23">
        <v>2016.0</v>
      </c>
      <c r="H6156" s="22" t="s">
        <v>29054</v>
      </c>
      <c r="I6156" s="24" t="s">
        <v>29055</v>
      </c>
      <c r="J6156" s="22" t="s">
        <v>55</v>
      </c>
      <c r="K6156" s="22"/>
      <c r="L6156" s="36">
        <v>660.0</v>
      </c>
      <c r="M6156" s="36">
        <v>100.0</v>
      </c>
      <c r="N6156" s="36" t="s">
        <v>29056</v>
      </c>
      <c r="O6156" s="36"/>
      <c r="P6156" s="37" t="s">
        <v>254</v>
      </c>
      <c r="Q6156" s="36" t="s">
        <v>29057</v>
      </c>
      <c r="R6156" s="36" t="s">
        <v>782</v>
      </c>
      <c r="S6156" s="36">
        <v>14.0</v>
      </c>
      <c r="T6156" s="28" t="s">
        <v>29058</v>
      </c>
      <c r="U6156" s="38" t="str">
        <f>HYPERLINK("http://journals.sbmu.ac.ir/Neuroscience/article/view/16119","ICNSJ")</f>
        <v>ICNSJ</v>
      </c>
      <c r="V6156" s="50"/>
      <c r="W6156" s="49"/>
      <c r="X6156" s="49"/>
      <c r="Y6156" s="35"/>
      <c r="Z6156" s="35"/>
      <c r="AA6156" s="35"/>
      <c r="AB6156" s="35"/>
      <c r="AC6156" s="35"/>
      <c r="AD6156" s="35"/>
      <c r="AE6156" s="35"/>
      <c r="AF6156" s="35"/>
      <c r="AG6156" s="35"/>
      <c r="AH6156" s="35"/>
      <c r="AI6156" s="35"/>
      <c r="AJ6156" s="35"/>
      <c r="AK6156" s="35"/>
      <c r="AL6156" s="35"/>
    </row>
    <row r="6157">
      <c r="A6157" s="18" t="s">
        <v>2</v>
      </c>
      <c r="B6157" s="19" t="s">
        <v>7020</v>
      </c>
      <c r="C6157" s="20" t="s">
        <v>29011</v>
      </c>
      <c r="D6157" s="47"/>
      <c r="E6157" s="22" t="s">
        <v>29059</v>
      </c>
      <c r="F6157" s="22" t="s">
        <v>29060</v>
      </c>
      <c r="G6157" s="23" t="s">
        <v>11799</v>
      </c>
      <c r="H6157" s="22" t="s">
        <v>28609</v>
      </c>
      <c r="I6157" s="24" t="s">
        <v>29061</v>
      </c>
      <c r="J6157" s="22" t="s">
        <v>55</v>
      </c>
      <c r="K6157" s="22" t="s">
        <v>29062</v>
      </c>
      <c r="L6157" s="36">
        <v>980.0</v>
      </c>
      <c r="M6157" s="36" t="s">
        <v>29063</v>
      </c>
      <c r="N6157" s="36" t="s">
        <v>29064</v>
      </c>
      <c r="O6157" s="36" t="s">
        <v>29065</v>
      </c>
      <c r="P6157" s="37"/>
      <c r="Q6157" s="36"/>
      <c r="R6157" s="36" t="s">
        <v>29066</v>
      </c>
      <c r="S6157" s="36" t="s">
        <v>782</v>
      </c>
      <c r="T6157" s="28" t="s">
        <v>29067</v>
      </c>
      <c r="U6157" s="38" t="str">
        <f>HYPERLINK("https://www.ncbi.nlm.nih.gov/pubmed/27497321","PubMed")</f>
        <v>PubMed</v>
      </c>
      <c r="V6157" s="50"/>
      <c r="W6157" s="49"/>
      <c r="X6157" s="49"/>
      <c r="Y6157" s="35"/>
      <c r="Z6157" s="35"/>
      <c r="AA6157" s="35"/>
      <c r="AB6157" s="35"/>
      <c r="AC6157" s="35"/>
      <c r="AD6157" s="35"/>
      <c r="AE6157" s="35"/>
      <c r="AF6157" s="35"/>
      <c r="AG6157" s="35"/>
      <c r="AH6157" s="35"/>
      <c r="AI6157" s="35"/>
      <c r="AJ6157" s="35"/>
      <c r="AK6157" s="35"/>
      <c r="AL6157" s="35"/>
    </row>
    <row r="6158">
      <c r="A6158" s="1" t="s">
        <v>2</v>
      </c>
      <c r="B6158" s="19" t="s">
        <v>7020</v>
      </c>
      <c r="C6158" s="20" t="s">
        <v>29011</v>
      </c>
      <c r="D6158" s="47"/>
      <c r="E6158" s="22" t="s">
        <v>856</v>
      </c>
      <c r="F6158" s="22" t="s">
        <v>41</v>
      </c>
      <c r="G6158" s="23">
        <v>2017.0</v>
      </c>
      <c r="H6158" s="22" t="s">
        <v>3950</v>
      </c>
      <c r="I6158" s="24" t="s">
        <v>29068</v>
      </c>
      <c r="J6158" s="22" t="s">
        <v>55</v>
      </c>
      <c r="K6158" s="22" t="s">
        <v>29069</v>
      </c>
      <c r="L6158" s="36">
        <v>904.0</v>
      </c>
      <c r="M6158" s="36"/>
      <c r="N6158" s="36"/>
      <c r="O6158" s="36" t="s">
        <v>29070</v>
      </c>
      <c r="P6158" s="37" t="s">
        <v>82</v>
      </c>
      <c r="Q6158" s="36" t="s">
        <v>29071</v>
      </c>
      <c r="R6158" s="36" t="s">
        <v>29072</v>
      </c>
      <c r="S6158" s="36">
        <v>10.0</v>
      </c>
      <c r="T6158" s="28" t="s">
        <v>29073</v>
      </c>
      <c r="U6158" s="153" t="str">
        <f>HYPERLINK("https://www.ncbi.nlm.nih.gov/pubmed/28125108","PubMed")</f>
        <v>PubMed</v>
      </c>
      <c r="V6158" s="50"/>
      <c r="W6158" s="49"/>
      <c r="X6158" s="49"/>
      <c r="Y6158" s="35"/>
      <c r="Z6158" s="35"/>
      <c r="AA6158" s="35"/>
      <c r="AB6158" s="35"/>
      <c r="AC6158" s="35"/>
      <c r="AD6158" s="35"/>
      <c r="AE6158" s="35"/>
      <c r="AF6158" s="35"/>
      <c r="AG6158" s="35"/>
      <c r="AH6158" s="35"/>
      <c r="AI6158" s="35"/>
      <c r="AJ6158" s="35"/>
      <c r="AK6158" s="35"/>
      <c r="AL6158" s="35"/>
    </row>
    <row r="6159">
      <c r="A6159" s="1"/>
      <c r="B6159" s="19" t="s">
        <v>7020</v>
      </c>
      <c r="C6159" s="20" t="s">
        <v>29011</v>
      </c>
      <c r="D6159" s="47"/>
      <c r="E6159" s="22" t="s">
        <v>18526</v>
      </c>
      <c r="F6159" s="22" t="s">
        <v>323</v>
      </c>
      <c r="G6159" s="23">
        <v>2016.0</v>
      </c>
      <c r="H6159" s="22" t="s">
        <v>91</v>
      </c>
      <c r="I6159" s="24" t="s">
        <v>29074</v>
      </c>
      <c r="J6159" s="22" t="s">
        <v>55</v>
      </c>
      <c r="K6159" s="22" t="s">
        <v>29069</v>
      </c>
      <c r="L6159" s="36">
        <v>660.0</v>
      </c>
      <c r="M6159" s="36">
        <v>100.0</v>
      </c>
      <c r="N6159" s="36" t="s">
        <v>29056</v>
      </c>
      <c r="O6159" s="36"/>
      <c r="P6159" s="37" t="s">
        <v>254</v>
      </c>
      <c r="Q6159" s="36" t="s">
        <v>29057</v>
      </c>
      <c r="R6159" s="36">
        <v>11.0</v>
      </c>
      <c r="S6159" s="36">
        <v>14.0</v>
      </c>
      <c r="T6159" s="28" t="s">
        <v>29075</v>
      </c>
      <c r="U6159" s="38" t="str">
        <f>HYPERLINK("https://www.ncbi.nlm.nih.gov/pubmed/27640000","PubMed")</f>
        <v>PubMed</v>
      </c>
      <c r="V6159" s="50"/>
      <c r="W6159" s="49"/>
      <c r="X6159" s="49"/>
      <c r="Y6159" s="35"/>
      <c r="Z6159" s="35"/>
      <c r="AA6159" s="35"/>
      <c r="AB6159" s="35"/>
      <c r="AC6159" s="35"/>
      <c r="AD6159" s="35"/>
      <c r="AE6159" s="35"/>
      <c r="AF6159" s="35"/>
      <c r="AG6159" s="35"/>
      <c r="AH6159" s="35"/>
      <c r="AI6159" s="35"/>
      <c r="AJ6159" s="35"/>
      <c r="AK6159" s="35"/>
      <c r="AL6159" s="35"/>
    </row>
    <row r="6160">
      <c r="A6160" s="1"/>
      <c r="B6160" s="19" t="s">
        <v>7020</v>
      </c>
      <c r="C6160" s="20" t="s">
        <v>29011</v>
      </c>
      <c r="D6160" s="47"/>
      <c r="E6160" s="22" t="s">
        <v>29076</v>
      </c>
      <c r="F6160" s="22" t="s">
        <v>323</v>
      </c>
      <c r="G6160" s="23">
        <v>2014.0</v>
      </c>
      <c r="H6160" s="22" t="s">
        <v>91</v>
      </c>
      <c r="I6160" s="24" t="s">
        <v>29077</v>
      </c>
      <c r="J6160" s="22" t="s">
        <v>55</v>
      </c>
      <c r="K6160" s="22" t="s">
        <v>29069</v>
      </c>
      <c r="L6160" s="36" t="s">
        <v>14846</v>
      </c>
      <c r="M6160" s="36" t="s">
        <v>29078</v>
      </c>
      <c r="N6160" s="36" t="s">
        <v>29079</v>
      </c>
      <c r="O6160" s="36"/>
      <c r="P6160" s="37" t="s">
        <v>944</v>
      </c>
      <c r="Q6160" s="36" t="s">
        <v>29057</v>
      </c>
      <c r="R6160" s="36" t="s">
        <v>29080</v>
      </c>
      <c r="S6160" s="36">
        <v>14.0</v>
      </c>
      <c r="T6160" s="28" t="s">
        <v>29081</v>
      </c>
      <c r="U6160" s="38" t="str">
        <f>HYPERLINK("https://www.ncbi.nlm.nih.gov/pubmed/24634001","PubMed")</f>
        <v>PubMed</v>
      </c>
      <c r="V6160" s="50"/>
      <c r="W6160" s="49"/>
      <c r="X6160" s="49"/>
      <c r="Y6160" s="35"/>
      <c r="Z6160" s="35"/>
      <c r="AA6160" s="35"/>
      <c r="AB6160" s="35"/>
      <c r="AC6160" s="35"/>
      <c r="AD6160" s="35"/>
      <c r="AE6160" s="35"/>
      <c r="AF6160" s="35"/>
      <c r="AG6160" s="35"/>
      <c r="AH6160" s="35"/>
      <c r="AI6160" s="35"/>
      <c r="AJ6160" s="35"/>
      <c r="AK6160" s="35"/>
      <c r="AL6160" s="35"/>
    </row>
    <row r="6161">
      <c r="A6161" s="1"/>
      <c r="B6161" s="19" t="s">
        <v>7020</v>
      </c>
      <c r="C6161" s="20" t="s">
        <v>29011</v>
      </c>
      <c r="D6161" s="47"/>
      <c r="E6161" s="22" t="s">
        <v>29082</v>
      </c>
      <c r="F6161" s="22" t="s">
        <v>323</v>
      </c>
      <c r="G6161" s="23">
        <v>2014.0</v>
      </c>
      <c r="H6161" s="22" t="s">
        <v>29083</v>
      </c>
      <c r="I6161" s="24" t="s">
        <v>29084</v>
      </c>
      <c r="J6161" s="22" t="s">
        <v>55</v>
      </c>
      <c r="K6161" s="22" t="s">
        <v>29085</v>
      </c>
      <c r="L6161" s="36">
        <v>980.0</v>
      </c>
      <c r="M6161" s="36"/>
      <c r="N6161" s="36"/>
      <c r="O6161" s="36"/>
      <c r="P6161" s="37"/>
      <c r="Q6161" s="36"/>
      <c r="R6161" s="36"/>
      <c r="S6161" s="36"/>
      <c r="T6161" s="28" t="s">
        <v>29086</v>
      </c>
      <c r="U6161" s="38" t="str">
        <f>HYPERLINK("https://www.ncbi.nlm.nih.gov/pubmed/25405124","PubMed")</f>
        <v>PubMed</v>
      </c>
      <c r="V6161" s="50"/>
      <c r="W6161" s="49"/>
      <c r="X6161" s="49"/>
      <c r="Y6161" s="35"/>
      <c r="Z6161" s="35"/>
      <c r="AA6161" s="35"/>
      <c r="AB6161" s="35"/>
      <c r="AC6161" s="35"/>
      <c r="AD6161" s="35"/>
      <c r="AE6161" s="35"/>
      <c r="AF6161" s="35"/>
      <c r="AG6161" s="35"/>
      <c r="AH6161" s="35"/>
      <c r="AI6161" s="35"/>
      <c r="AJ6161" s="35"/>
      <c r="AK6161" s="35"/>
      <c r="AL6161" s="35"/>
    </row>
    <row r="6162">
      <c r="A6162" s="1"/>
      <c r="B6162" s="19" t="s">
        <v>7020</v>
      </c>
      <c r="C6162" s="20" t="s">
        <v>29011</v>
      </c>
      <c r="D6162" s="47"/>
      <c r="E6162" s="22" t="s">
        <v>29087</v>
      </c>
      <c r="F6162" s="22" t="s">
        <v>41</v>
      </c>
      <c r="G6162" s="23">
        <v>2012.0</v>
      </c>
      <c r="H6162" s="22" t="s">
        <v>29088</v>
      </c>
      <c r="I6162" s="24" t="s">
        <v>29089</v>
      </c>
      <c r="J6162" s="22" t="s">
        <v>29090</v>
      </c>
      <c r="K6162" s="22" t="s">
        <v>29091</v>
      </c>
      <c r="L6162" s="36">
        <v>830.0</v>
      </c>
      <c r="M6162" s="36">
        <v>70.0</v>
      </c>
      <c r="N6162" s="36"/>
      <c r="O6162" s="36"/>
      <c r="P6162" s="37" t="s">
        <v>29092</v>
      </c>
      <c r="Q6162" s="36"/>
      <c r="R6162" s="36"/>
      <c r="S6162" s="36" t="s">
        <v>8476</v>
      </c>
      <c r="T6162" s="28" t="s">
        <v>29093</v>
      </c>
      <c r="U6162" s="38" t="str">
        <f>HYPERLINK("https://www.ncbi.nlm.nih.gov/pubmed/23049266","PubMed")</f>
        <v>PubMed</v>
      </c>
      <c r="V6162" s="50"/>
      <c r="W6162" s="49"/>
      <c r="X6162" s="49"/>
      <c r="Y6162" s="35"/>
      <c r="Z6162" s="35"/>
      <c r="AA6162" s="35"/>
      <c r="AB6162" s="35"/>
      <c r="AC6162" s="35"/>
      <c r="AD6162" s="35"/>
      <c r="AE6162" s="35"/>
      <c r="AF6162" s="35"/>
      <c r="AG6162" s="35"/>
      <c r="AH6162" s="35"/>
      <c r="AI6162" s="35"/>
      <c r="AJ6162" s="35"/>
      <c r="AK6162" s="35"/>
      <c r="AL6162" s="35"/>
    </row>
    <row r="6163">
      <c r="A6163" s="1"/>
      <c r="B6163" s="19" t="s">
        <v>7020</v>
      </c>
      <c r="C6163" s="20" t="s">
        <v>29011</v>
      </c>
      <c r="D6163" s="47"/>
      <c r="E6163" s="22" t="s">
        <v>29094</v>
      </c>
      <c r="F6163" s="22" t="s">
        <v>6995</v>
      </c>
      <c r="G6163" s="23">
        <v>1994.0</v>
      </c>
      <c r="H6163" s="22" t="s">
        <v>29095</v>
      </c>
      <c r="I6163" s="24" t="s">
        <v>29096</v>
      </c>
      <c r="J6163" s="22" t="s">
        <v>55</v>
      </c>
      <c r="K6163" s="22"/>
      <c r="L6163" s="36" t="s">
        <v>29097</v>
      </c>
      <c r="M6163" s="36" t="s">
        <v>29098</v>
      </c>
      <c r="N6163" s="36"/>
      <c r="O6163" s="36"/>
      <c r="P6163" s="37"/>
      <c r="Q6163" s="36"/>
      <c r="R6163" s="36" t="s">
        <v>29099</v>
      </c>
      <c r="S6163" s="36">
        <v>5.0</v>
      </c>
      <c r="T6163" s="41" t="s">
        <v>29100</v>
      </c>
      <c r="U6163" s="38" t="str">
        <f>HYPERLINK("https://www.ncbi.nlm.nih.gov/pubmed/8934959","PubMed")</f>
        <v>PubMed</v>
      </c>
      <c r="V6163" s="50"/>
      <c r="W6163" s="49"/>
      <c r="X6163" s="49"/>
      <c r="Y6163" s="35"/>
      <c r="Z6163" s="35"/>
      <c r="AA6163" s="35"/>
      <c r="AB6163" s="35"/>
      <c r="AC6163" s="35"/>
      <c r="AD6163" s="35"/>
      <c r="AE6163" s="35"/>
      <c r="AF6163" s="35"/>
      <c r="AG6163" s="35"/>
      <c r="AH6163" s="35"/>
      <c r="AI6163" s="35"/>
      <c r="AJ6163" s="35"/>
      <c r="AK6163" s="35"/>
      <c r="AL6163" s="35"/>
    </row>
    <row r="6164">
      <c r="A6164" s="1"/>
      <c r="B6164" s="19" t="s">
        <v>7020</v>
      </c>
      <c r="C6164" s="20" t="s">
        <v>29101</v>
      </c>
      <c r="D6164" s="47"/>
      <c r="E6164" s="22" t="s">
        <v>28092</v>
      </c>
      <c r="F6164" s="22" t="s">
        <v>9449</v>
      </c>
      <c r="G6164" s="23">
        <v>2024.0</v>
      </c>
      <c r="H6164" s="22" t="s">
        <v>29102</v>
      </c>
      <c r="I6164" s="24" t="s">
        <v>29103</v>
      </c>
      <c r="J6164" s="22" t="s">
        <v>55</v>
      </c>
      <c r="K6164" s="22"/>
      <c r="L6164" s="36">
        <v>808.0</v>
      </c>
      <c r="M6164" s="36">
        <v>60.0</v>
      </c>
      <c r="N6164" s="36"/>
      <c r="O6164" s="36"/>
      <c r="P6164" s="37"/>
      <c r="Q6164" s="36"/>
      <c r="R6164" s="36">
        <v>240.0</v>
      </c>
      <c r="S6164" s="36"/>
      <c r="T6164" s="28" t="s">
        <v>29104</v>
      </c>
      <c r="U6164" s="38" t="s">
        <v>61</v>
      </c>
      <c r="V6164" s="50"/>
      <c r="W6164" s="49"/>
      <c r="X6164" s="49"/>
      <c r="Y6164" s="35"/>
      <c r="Z6164" s="35"/>
      <c r="AA6164" s="35"/>
      <c r="AB6164" s="35"/>
      <c r="AC6164" s="35"/>
      <c r="AD6164" s="35"/>
      <c r="AE6164" s="35"/>
      <c r="AF6164" s="35"/>
      <c r="AG6164" s="35"/>
      <c r="AH6164" s="35"/>
      <c r="AI6164" s="35"/>
      <c r="AJ6164" s="35"/>
      <c r="AK6164" s="35"/>
      <c r="AL6164" s="35"/>
    </row>
    <row r="6165">
      <c r="A6165" s="1"/>
      <c r="B6165" s="19" t="s">
        <v>7020</v>
      </c>
      <c r="C6165" s="20" t="s">
        <v>29101</v>
      </c>
      <c r="D6165" s="47"/>
      <c r="E6165" s="22" t="s">
        <v>16289</v>
      </c>
      <c r="F6165" s="22" t="s">
        <v>12293</v>
      </c>
      <c r="G6165" s="23">
        <v>2021.0</v>
      </c>
      <c r="H6165" s="22" t="s">
        <v>91</v>
      </c>
      <c r="I6165" s="24" t="s">
        <v>29105</v>
      </c>
      <c r="J6165" s="22" t="s">
        <v>44</v>
      </c>
      <c r="K6165" s="22" t="s">
        <v>29106</v>
      </c>
      <c r="L6165" s="36">
        <v>830.0</v>
      </c>
      <c r="M6165" s="36"/>
      <c r="N6165" s="36"/>
      <c r="O6165" s="36"/>
      <c r="P6165" s="37"/>
      <c r="Q6165" s="36"/>
      <c r="R6165" s="36"/>
      <c r="S6165" s="36"/>
      <c r="T6165" s="42" t="s">
        <v>29107</v>
      </c>
      <c r="U6165" s="29" t="s">
        <v>61</v>
      </c>
      <c r="V6165" s="50"/>
      <c r="W6165" s="49"/>
      <c r="X6165" s="49"/>
      <c r="Y6165" s="35"/>
      <c r="Z6165" s="35"/>
      <c r="AA6165" s="35"/>
      <c r="AB6165" s="35"/>
      <c r="AC6165" s="35"/>
      <c r="AD6165" s="35"/>
      <c r="AE6165" s="35"/>
      <c r="AF6165" s="35"/>
      <c r="AG6165" s="35"/>
      <c r="AH6165" s="35"/>
      <c r="AI6165" s="35"/>
      <c r="AJ6165" s="35"/>
      <c r="AK6165" s="35"/>
      <c r="AL6165" s="35"/>
    </row>
    <row r="6166">
      <c r="A6166" s="1"/>
      <c r="B6166" s="19" t="s">
        <v>7020</v>
      </c>
      <c r="C6166" s="20" t="s">
        <v>29101</v>
      </c>
      <c r="D6166" s="47"/>
      <c r="E6166" s="22" t="s">
        <v>3919</v>
      </c>
      <c r="F6166" s="22" t="s">
        <v>7531</v>
      </c>
      <c r="G6166" s="23">
        <v>2021.0</v>
      </c>
      <c r="H6166" s="22" t="s">
        <v>29108</v>
      </c>
      <c r="I6166" s="24" t="s">
        <v>29109</v>
      </c>
      <c r="J6166" s="22" t="s">
        <v>29110</v>
      </c>
      <c r="K6166" s="22"/>
      <c r="L6166" s="36">
        <v>905.0</v>
      </c>
      <c r="M6166" s="36"/>
      <c r="N6166" s="36"/>
      <c r="O6166" s="36"/>
      <c r="P6166" s="37"/>
      <c r="Q6166" s="36"/>
      <c r="R6166" s="36"/>
      <c r="S6166" s="36"/>
      <c r="T6166" s="42" t="s">
        <v>29111</v>
      </c>
      <c r="U6166" s="29" t="s">
        <v>61</v>
      </c>
      <c r="V6166" s="50"/>
      <c r="W6166" s="49"/>
      <c r="X6166" s="49"/>
      <c r="Y6166" s="35"/>
      <c r="Z6166" s="35"/>
      <c r="AA6166" s="35"/>
      <c r="AB6166" s="35"/>
      <c r="AC6166" s="35"/>
      <c r="AD6166" s="35"/>
      <c r="AE6166" s="35"/>
      <c r="AF6166" s="35"/>
      <c r="AG6166" s="35"/>
      <c r="AH6166" s="35"/>
      <c r="AI6166" s="35"/>
      <c r="AJ6166" s="35"/>
      <c r="AK6166" s="35"/>
      <c r="AL6166" s="35"/>
    </row>
    <row r="6167">
      <c r="A6167" s="1"/>
      <c r="B6167" s="19" t="s">
        <v>7020</v>
      </c>
      <c r="C6167" s="20" t="s">
        <v>29101</v>
      </c>
      <c r="D6167" s="47"/>
      <c r="E6167" s="22" t="s">
        <v>5053</v>
      </c>
      <c r="F6167" s="22" t="s">
        <v>7853</v>
      </c>
      <c r="G6167" s="23">
        <v>2020.0</v>
      </c>
      <c r="H6167" s="22" t="s">
        <v>42</v>
      </c>
      <c r="I6167" s="24" t="s">
        <v>29112</v>
      </c>
      <c r="J6167" s="22" t="s">
        <v>31</v>
      </c>
      <c r="K6167" s="22"/>
      <c r="L6167" s="36" t="s">
        <v>29113</v>
      </c>
      <c r="M6167" s="36"/>
      <c r="N6167" s="36"/>
      <c r="O6167" s="36"/>
      <c r="P6167" s="37"/>
      <c r="Q6167" s="36"/>
      <c r="R6167" s="36"/>
      <c r="S6167" s="36"/>
      <c r="T6167" s="28" t="s">
        <v>29114</v>
      </c>
      <c r="U6167" s="29" t="s">
        <v>61</v>
      </c>
      <c r="V6167" s="50"/>
      <c r="W6167" s="49"/>
      <c r="X6167" s="49"/>
      <c r="Y6167" s="35"/>
      <c r="Z6167" s="35"/>
      <c r="AA6167" s="35"/>
      <c r="AB6167" s="35"/>
      <c r="AC6167" s="35"/>
      <c r="AD6167" s="35"/>
      <c r="AE6167" s="35"/>
      <c r="AF6167" s="35"/>
      <c r="AG6167" s="35"/>
      <c r="AH6167" s="35"/>
      <c r="AI6167" s="35"/>
      <c r="AJ6167" s="35"/>
      <c r="AK6167" s="35"/>
      <c r="AL6167" s="35"/>
    </row>
    <row r="6168">
      <c r="A6168" s="1"/>
      <c r="B6168" s="19" t="s">
        <v>7020</v>
      </c>
      <c r="C6168" s="20" t="s">
        <v>29101</v>
      </c>
      <c r="D6168" s="47"/>
      <c r="E6168" s="22" t="s">
        <v>27661</v>
      </c>
      <c r="F6168" s="22" t="s">
        <v>308</v>
      </c>
      <c r="G6168" s="23" t="s">
        <v>76</v>
      </c>
      <c r="H6168" s="22" t="s">
        <v>207</v>
      </c>
      <c r="I6168" s="24" t="s">
        <v>29115</v>
      </c>
      <c r="J6168" s="22" t="s">
        <v>44</v>
      </c>
      <c r="K6168" s="22" t="s">
        <v>2216</v>
      </c>
      <c r="L6168" s="36">
        <v>660.0</v>
      </c>
      <c r="M6168" s="36">
        <v>215.0</v>
      </c>
      <c r="N6168" s="36" t="s">
        <v>29116</v>
      </c>
      <c r="O6168" s="36"/>
      <c r="P6168" s="37" t="s">
        <v>29117</v>
      </c>
      <c r="Q6168" s="36"/>
      <c r="R6168" s="36"/>
      <c r="S6168" s="36"/>
      <c r="T6168" s="28" t="s">
        <v>29118</v>
      </c>
      <c r="U6168" s="38" t="str">
        <f>HYPERLINK("https://www.ncbi.nlm.nih.gov/pubmed/31136885","PubMed")</f>
        <v>PubMed</v>
      </c>
      <c r="V6168" s="50"/>
      <c r="W6168" s="49"/>
      <c r="X6168" s="49"/>
      <c r="Y6168" s="35"/>
      <c r="Z6168" s="35"/>
      <c r="AA6168" s="35"/>
      <c r="AB6168" s="35"/>
      <c r="AC6168" s="35"/>
      <c r="AD6168" s="35"/>
      <c r="AE6168" s="35"/>
      <c r="AF6168" s="35"/>
      <c r="AG6168" s="35"/>
      <c r="AH6168" s="35"/>
      <c r="AI6168" s="35"/>
      <c r="AJ6168" s="35"/>
      <c r="AK6168" s="35"/>
      <c r="AL6168" s="35"/>
    </row>
    <row r="6169">
      <c r="A6169" s="1"/>
      <c r="B6169" s="19" t="s">
        <v>7020</v>
      </c>
      <c r="C6169" s="20" t="s">
        <v>29101</v>
      </c>
      <c r="D6169" s="47"/>
      <c r="E6169" s="22" t="s">
        <v>29119</v>
      </c>
      <c r="F6169" s="22" t="s">
        <v>494</v>
      </c>
      <c r="G6169" s="23">
        <v>2017.0</v>
      </c>
      <c r="H6169" s="22" t="s">
        <v>13222</v>
      </c>
      <c r="I6169" s="24" t="s">
        <v>29120</v>
      </c>
      <c r="J6169" s="22" t="s">
        <v>55</v>
      </c>
      <c r="K6169" s="22" t="s">
        <v>29121</v>
      </c>
      <c r="L6169" s="36">
        <v>940.0</v>
      </c>
      <c r="M6169" s="36">
        <v>160.0</v>
      </c>
      <c r="N6169" s="36"/>
      <c r="O6169" s="36"/>
      <c r="P6169" s="37" t="s">
        <v>254</v>
      </c>
      <c r="Q6169" s="36"/>
      <c r="R6169" s="36">
        <v>1800.0</v>
      </c>
      <c r="S6169" s="36"/>
      <c r="T6169" s="28" t="s">
        <v>29122</v>
      </c>
      <c r="U6169" s="38" t="str">
        <f>HYPERLINK("https://www.ncbi.nlm.nih.gov/pubmed/28469528","PubMed")</f>
        <v>PubMed</v>
      </c>
      <c r="V6169" s="50"/>
      <c r="W6169" s="49"/>
      <c r="X6169" s="49"/>
      <c r="Y6169" s="35"/>
      <c r="Z6169" s="35"/>
      <c r="AA6169" s="35"/>
      <c r="AB6169" s="35"/>
      <c r="AC6169" s="35"/>
      <c r="AD6169" s="35"/>
      <c r="AE6169" s="35"/>
      <c r="AF6169" s="35"/>
      <c r="AG6169" s="35"/>
      <c r="AH6169" s="35"/>
      <c r="AI6169" s="35"/>
      <c r="AJ6169" s="35"/>
      <c r="AK6169" s="35"/>
      <c r="AL6169" s="35"/>
    </row>
    <row r="6170">
      <c r="A6170" s="1"/>
      <c r="B6170" s="19" t="s">
        <v>7020</v>
      </c>
      <c r="C6170" s="20" t="s">
        <v>29101</v>
      </c>
      <c r="D6170" s="47"/>
      <c r="E6170" s="22" t="s">
        <v>13311</v>
      </c>
      <c r="F6170" s="22" t="s">
        <v>1862</v>
      </c>
      <c r="G6170" s="23">
        <v>2011.0</v>
      </c>
      <c r="H6170" s="22" t="s">
        <v>658</v>
      </c>
      <c r="I6170" s="24" t="s">
        <v>29123</v>
      </c>
      <c r="J6170" s="22" t="s">
        <v>649</v>
      </c>
      <c r="K6170" s="22"/>
      <c r="L6170" s="105" t="s">
        <v>29124</v>
      </c>
      <c r="M6170" s="44"/>
      <c r="N6170" s="44"/>
      <c r="O6170" s="44"/>
      <c r="P6170" s="44"/>
      <c r="Q6170" s="44"/>
      <c r="R6170" s="44"/>
      <c r="S6170" s="44"/>
      <c r="T6170" s="45"/>
      <c r="U6170" s="38" t="str">
        <f>HYPERLINK("https://www.ncbi.nlm.nih.gov/pubmed/21456946","PubMed")</f>
        <v>PubMed</v>
      </c>
      <c r="V6170" s="50"/>
      <c r="W6170" s="49"/>
      <c r="X6170" s="49"/>
      <c r="Y6170" s="35"/>
      <c r="Z6170" s="35"/>
      <c r="AA6170" s="35"/>
      <c r="AB6170" s="35"/>
      <c r="AC6170" s="35"/>
      <c r="AD6170" s="35"/>
      <c r="AE6170" s="35"/>
      <c r="AF6170" s="35"/>
      <c r="AG6170" s="35"/>
      <c r="AH6170" s="35"/>
      <c r="AI6170" s="35"/>
      <c r="AJ6170" s="35"/>
      <c r="AK6170" s="35"/>
      <c r="AL6170" s="35"/>
    </row>
    <row r="6171">
      <c r="A6171" s="1"/>
      <c r="B6171" s="19" t="s">
        <v>7020</v>
      </c>
      <c r="C6171" s="20" t="s">
        <v>29101</v>
      </c>
      <c r="D6171" s="47"/>
      <c r="E6171" s="22" t="s">
        <v>29125</v>
      </c>
      <c r="F6171" s="22" t="s">
        <v>19315</v>
      </c>
      <c r="G6171" s="23">
        <v>2009.0</v>
      </c>
      <c r="H6171" s="22" t="s">
        <v>29126</v>
      </c>
      <c r="I6171" s="24" t="s">
        <v>29127</v>
      </c>
      <c r="J6171" s="22" t="s">
        <v>44</v>
      </c>
      <c r="K6171" s="22" t="s">
        <v>29128</v>
      </c>
      <c r="L6171" s="36"/>
      <c r="M6171" s="36"/>
      <c r="N6171" s="36"/>
      <c r="O6171" s="36"/>
      <c r="P6171" s="37"/>
      <c r="Q6171" s="36"/>
      <c r="R6171" s="36"/>
      <c r="S6171" s="36"/>
      <c r="T6171" s="28" t="s">
        <v>29129</v>
      </c>
      <c r="U6171" s="38" t="s">
        <v>61</v>
      </c>
      <c r="V6171" s="401" t="s">
        <v>29130</v>
      </c>
      <c r="W6171" s="49"/>
      <c r="X6171" s="49"/>
      <c r="Y6171" s="35"/>
      <c r="Z6171" s="35"/>
      <c r="AA6171" s="35"/>
      <c r="AB6171" s="35"/>
      <c r="AC6171" s="35"/>
      <c r="AD6171" s="35"/>
      <c r="AE6171" s="35"/>
      <c r="AF6171" s="35"/>
      <c r="AG6171" s="35"/>
      <c r="AH6171" s="35"/>
      <c r="AI6171" s="35"/>
      <c r="AJ6171" s="35"/>
      <c r="AK6171" s="35"/>
      <c r="AL6171" s="35"/>
    </row>
    <row r="6172">
      <c r="A6172" s="1"/>
      <c r="B6172" s="19" t="s">
        <v>7020</v>
      </c>
      <c r="C6172" s="20" t="s">
        <v>29101</v>
      </c>
      <c r="D6172" s="47"/>
      <c r="E6172" s="22" t="s">
        <v>29131</v>
      </c>
      <c r="F6172" s="22" t="s">
        <v>14321</v>
      </c>
      <c r="G6172" s="23">
        <v>2005.0</v>
      </c>
      <c r="H6172" s="22" t="s">
        <v>658</v>
      </c>
      <c r="I6172" s="24" t="s">
        <v>29132</v>
      </c>
      <c r="J6172" s="22" t="s">
        <v>55</v>
      </c>
      <c r="K6172" s="22" t="s">
        <v>26430</v>
      </c>
      <c r="L6172" s="36">
        <v>780.0</v>
      </c>
      <c r="M6172" s="36"/>
      <c r="N6172" s="36"/>
      <c r="O6172" s="36"/>
      <c r="P6172" s="37" t="s">
        <v>29133</v>
      </c>
      <c r="Q6172" s="36"/>
      <c r="R6172" s="36"/>
      <c r="S6172" s="36"/>
      <c r="T6172" s="42" t="s">
        <v>29134</v>
      </c>
      <c r="U6172" s="38" t="str">
        <f>HYPERLINK("https://www.ncbi.nlm.nih.gov/pubmed/15782029","PubMed")</f>
        <v>PubMed</v>
      </c>
      <c r="V6172" s="50"/>
      <c r="W6172" s="49"/>
      <c r="X6172" s="49"/>
      <c r="Y6172" s="35"/>
      <c r="Z6172" s="35"/>
      <c r="AA6172" s="35"/>
      <c r="AB6172" s="35"/>
      <c r="AC6172" s="35"/>
      <c r="AD6172" s="35"/>
      <c r="AE6172" s="35"/>
      <c r="AF6172" s="35"/>
      <c r="AG6172" s="35"/>
      <c r="AH6172" s="35"/>
      <c r="AI6172" s="35"/>
      <c r="AJ6172" s="35"/>
      <c r="AK6172" s="35"/>
      <c r="AL6172" s="35"/>
    </row>
    <row r="6173">
      <c r="A6173" s="1"/>
      <c r="B6173" s="19" t="s">
        <v>7020</v>
      </c>
      <c r="C6173" s="20" t="s">
        <v>29101</v>
      </c>
      <c r="D6173" s="47"/>
      <c r="E6173" s="22" t="s">
        <v>23848</v>
      </c>
      <c r="F6173" s="22" t="s">
        <v>1398</v>
      </c>
      <c r="G6173" s="23">
        <v>1994.0</v>
      </c>
      <c r="H6173" s="22" t="s">
        <v>2641</v>
      </c>
      <c r="I6173" s="24" t="s">
        <v>29135</v>
      </c>
      <c r="J6173" s="22" t="s">
        <v>55</v>
      </c>
      <c r="K6173" s="22"/>
      <c r="L6173" s="36">
        <v>830.0</v>
      </c>
      <c r="M6173" s="36">
        <v>40.0</v>
      </c>
      <c r="N6173" s="36"/>
      <c r="O6173" s="36"/>
      <c r="P6173" s="37"/>
      <c r="Q6173" s="36"/>
      <c r="R6173" s="36">
        <v>180.0</v>
      </c>
      <c r="S6173" s="36"/>
      <c r="T6173" s="28" t="s">
        <v>29136</v>
      </c>
      <c r="U6173" s="38" t="str">
        <f>HYPERLINK("https://www.ncbi.nlm.nih.gov/pubmed/8082027","PubMed")</f>
        <v>PubMed</v>
      </c>
      <c r="V6173" s="50"/>
      <c r="W6173" s="49"/>
      <c r="X6173" s="49"/>
      <c r="Y6173" s="35"/>
      <c r="Z6173" s="35"/>
      <c r="AA6173" s="35"/>
      <c r="AB6173" s="35"/>
      <c r="AC6173" s="35"/>
      <c r="AD6173" s="35"/>
      <c r="AE6173" s="35"/>
      <c r="AF6173" s="35"/>
      <c r="AG6173" s="35"/>
      <c r="AH6173" s="35"/>
      <c r="AI6173" s="35"/>
      <c r="AJ6173" s="35"/>
      <c r="AK6173" s="35"/>
      <c r="AL6173" s="35"/>
    </row>
    <row r="6174">
      <c r="A6174" s="1"/>
      <c r="B6174" s="19" t="s">
        <v>7020</v>
      </c>
      <c r="C6174" s="20" t="s">
        <v>29101</v>
      </c>
      <c r="D6174" s="47"/>
      <c r="E6174" s="22" t="s">
        <v>14466</v>
      </c>
      <c r="F6174" s="22" t="s">
        <v>366</v>
      </c>
      <c r="G6174" s="23">
        <v>1994.0</v>
      </c>
      <c r="H6174" s="22" t="s">
        <v>27732</v>
      </c>
      <c r="I6174" s="24" t="s">
        <v>29137</v>
      </c>
      <c r="J6174" s="22" t="s">
        <v>55</v>
      </c>
      <c r="K6174" s="22" t="s">
        <v>29138</v>
      </c>
      <c r="L6174" s="36">
        <v>830.0</v>
      </c>
      <c r="M6174" s="36">
        <v>40.0</v>
      </c>
      <c r="N6174" s="36"/>
      <c r="O6174" s="36"/>
      <c r="P6174" s="37"/>
      <c r="Q6174" s="36"/>
      <c r="R6174" s="36"/>
      <c r="S6174" s="36"/>
      <c r="T6174" s="28" t="s">
        <v>29139</v>
      </c>
      <c r="U6174" s="38" t="str">
        <f>HYPERLINK("https://www.ncbi.nlm.nih.gov/pubmed/7863838","PubMed")</f>
        <v>PubMed</v>
      </c>
      <c r="V6174" s="50"/>
      <c r="W6174" s="49"/>
      <c r="X6174" s="49"/>
      <c r="Y6174" s="35"/>
      <c r="Z6174" s="35"/>
      <c r="AA6174" s="35"/>
      <c r="AB6174" s="35"/>
      <c r="AC6174" s="35"/>
      <c r="AD6174" s="35"/>
      <c r="AE6174" s="35"/>
      <c r="AF6174" s="35"/>
      <c r="AG6174" s="35"/>
      <c r="AH6174" s="35"/>
      <c r="AI6174" s="35"/>
      <c r="AJ6174" s="35"/>
      <c r="AK6174" s="35"/>
      <c r="AL6174" s="35"/>
    </row>
    <row r="6175">
      <c r="A6175" s="1"/>
      <c r="B6175" s="19" t="s">
        <v>7020</v>
      </c>
      <c r="C6175" s="20" t="s">
        <v>29101</v>
      </c>
      <c r="D6175" s="47"/>
      <c r="E6175" s="22" t="s">
        <v>23848</v>
      </c>
      <c r="F6175" s="22" t="s">
        <v>1398</v>
      </c>
      <c r="G6175" s="23">
        <v>1993.0</v>
      </c>
      <c r="H6175" s="22" t="s">
        <v>2558</v>
      </c>
      <c r="I6175" s="24" t="s">
        <v>29140</v>
      </c>
      <c r="J6175" s="22" t="s">
        <v>55</v>
      </c>
      <c r="K6175" s="22"/>
      <c r="L6175" s="36">
        <v>830.0</v>
      </c>
      <c r="M6175" s="36"/>
      <c r="N6175" s="36"/>
      <c r="O6175" s="36"/>
      <c r="P6175" s="37"/>
      <c r="Q6175" s="36"/>
      <c r="R6175" s="36">
        <v>180.0</v>
      </c>
      <c r="S6175" s="36"/>
      <c r="T6175" s="28" t="s">
        <v>29141</v>
      </c>
      <c r="U6175" s="38" t="str">
        <f>HYPERLINK("https://www.ncbi.nlm.nih.gov/pubmed/8255549","PubMed")</f>
        <v>PubMed</v>
      </c>
      <c r="V6175" s="50"/>
      <c r="W6175" s="49"/>
      <c r="X6175" s="49"/>
      <c r="Y6175" s="35"/>
      <c r="Z6175" s="35"/>
      <c r="AA6175" s="35"/>
      <c r="AB6175" s="35"/>
      <c r="AC6175" s="35"/>
      <c r="AD6175" s="35"/>
      <c r="AE6175" s="35"/>
      <c r="AF6175" s="35"/>
      <c r="AG6175" s="35"/>
      <c r="AH6175" s="35"/>
      <c r="AI6175" s="35"/>
      <c r="AJ6175" s="35"/>
      <c r="AK6175" s="35"/>
      <c r="AL6175" s="35"/>
    </row>
    <row r="6176">
      <c r="A6176" s="191" t="s">
        <v>181</v>
      </c>
      <c r="B6176" s="19" t="s">
        <v>7020</v>
      </c>
      <c r="C6176" s="20" t="s">
        <v>29101</v>
      </c>
      <c r="D6176" s="21"/>
      <c r="E6176" s="22" t="s">
        <v>29142</v>
      </c>
      <c r="F6176" s="22" t="s">
        <v>14371</v>
      </c>
      <c r="G6176" s="23">
        <v>1988.0</v>
      </c>
      <c r="H6176" s="22" t="s">
        <v>27732</v>
      </c>
      <c r="I6176" s="24" t="s">
        <v>29143</v>
      </c>
      <c r="J6176" s="22" t="s">
        <v>29144</v>
      </c>
      <c r="K6176" s="22" t="s">
        <v>29101</v>
      </c>
      <c r="L6176" s="36" t="s">
        <v>5640</v>
      </c>
      <c r="M6176" s="36" t="s">
        <v>29145</v>
      </c>
      <c r="N6176" s="36"/>
      <c r="O6176" s="36"/>
      <c r="P6176" s="37"/>
      <c r="Q6176" s="36"/>
      <c r="R6176" s="36" t="s">
        <v>4642</v>
      </c>
      <c r="S6176" s="36"/>
      <c r="T6176" s="41" t="s">
        <v>29146</v>
      </c>
      <c r="U6176" s="38" t="str">
        <f>HYPERLINK("https://www.ncbi.nlm.nih.gov/pubmed/2904214","PubMed")</f>
        <v>PubMed</v>
      </c>
      <c r="V6176" s="30"/>
      <c r="W6176" s="49"/>
      <c r="X6176" s="49"/>
      <c r="Y6176" s="35"/>
      <c r="Z6176" s="35"/>
      <c r="AA6176" s="35"/>
      <c r="AB6176" s="35"/>
      <c r="AC6176" s="35"/>
      <c r="AD6176" s="35"/>
      <c r="AE6176" s="35"/>
      <c r="AF6176" s="35"/>
      <c r="AG6176" s="35"/>
      <c r="AH6176" s="35"/>
      <c r="AI6176" s="35"/>
      <c r="AJ6176" s="35"/>
      <c r="AK6176" s="35"/>
      <c r="AL6176" s="35"/>
    </row>
    <row r="6177">
      <c r="A6177" s="18" t="s">
        <v>38</v>
      </c>
      <c r="B6177" s="19" t="s">
        <v>7020</v>
      </c>
      <c r="C6177" s="20" t="s">
        <v>29147</v>
      </c>
      <c r="D6177" s="47"/>
      <c r="E6177" s="22" t="s">
        <v>9317</v>
      </c>
      <c r="F6177" s="22" t="s">
        <v>3047</v>
      </c>
      <c r="G6177" s="23">
        <v>2020.0</v>
      </c>
      <c r="H6177" s="22" t="s">
        <v>28151</v>
      </c>
      <c r="I6177" s="24" t="s">
        <v>29148</v>
      </c>
      <c r="J6177" s="22" t="s">
        <v>29149</v>
      </c>
      <c r="K6177" s="22"/>
      <c r="L6177" s="36">
        <v>640.0</v>
      </c>
      <c r="M6177" s="36">
        <v>4100.0</v>
      </c>
      <c r="N6177" s="36" t="s">
        <v>9320</v>
      </c>
      <c r="O6177" s="36" t="s">
        <v>58</v>
      </c>
      <c r="P6177" s="37" t="s">
        <v>58</v>
      </c>
      <c r="Q6177" s="36" t="s">
        <v>58</v>
      </c>
      <c r="R6177" s="36">
        <v>720.0</v>
      </c>
      <c r="S6177" s="36">
        <v>1.0</v>
      </c>
      <c r="T6177" s="28" t="s">
        <v>29150</v>
      </c>
      <c r="U6177" s="29" t="s">
        <v>61</v>
      </c>
      <c r="V6177" s="30" t="s">
        <v>29151</v>
      </c>
      <c r="W6177" s="49"/>
      <c r="X6177" s="49"/>
      <c r="Y6177" s="35"/>
      <c r="Z6177" s="35"/>
      <c r="AA6177" s="35"/>
      <c r="AB6177" s="35"/>
      <c r="AC6177" s="35"/>
      <c r="AD6177" s="35"/>
      <c r="AE6177" s="35"/>
      <c r="AF6177" s="35"/>
      <c r="AG6177" s="35"/>
      <c r="AH6177" s="35"/>
      <c r="AI6177" s="35"/>
      <c r="AJ6177" s="35"/>
      <c r="AK6177" s="35"/>
      <c r="AL6177" s="35"/>
    </row>
    <row r="6178">
      <c r="A6178" s="1"/>
      <c r="B6178" s="19" t="s">
        <v>7020</v>
      </c>
      <c r="C6178" s="20" t="s">
        <v>4202</v>
      </c>
      <c r="D6178" s="47"/>
      <c r="E6178" s="22" t="s">
        <v>29152</v>
      </c>
      <c r="F6178" s="22" t="s">
        <v>29153</v>
      </c>
      <c r="G6178" s="23" t="s">
        <v>2499</v>
      </c>
      <c r="H6178" s="22" t="s">
        <v>658</v>
      </c>
      <c r="I6178" s="24" t="s">
        <v>29154</v>
      </c>
      <c r="J6178" s="22" t="s">
        <v>1078</v>
      </c>
      <c r="K6178" s="22"/>
      <c r="L6178" s="43" t="s">
        <v>29155</v>
      </c>
      <c r="M6178" s="44"/>
      <c r="N6178" s="44"/>
      <c r="O6178" s="44"/>
      <c r="P6178" s="44"/>
      <c r="Q6178" s="44"/>
      <c r="R6178" s="44"/>
      <c r="S6178" s="44"/>
      <c r="T6178" s="45"/>
      <c r="U6178" s="38" t="str">
        <f>HYPERLINK("https://www.ncbi.nlm.nih.gov/pubmed/29583080","PubMed")</f>
        <v>PubMed</v>
      </c>
      <c r="V6178" s="50"/>
      <c r="W6178" s="49"/>
      <c r="X6178" s="49"/>
      <c r="Y6178" s="35"/>
      <c r="Z6178" s="35"/>
      <c r="AA6178" s="35"/>
      <c r="AB6178" s="35"/>
      <c r="AC6178" s="35"/>
      <c r="AD6178" s="35"/>
      <c r="AE6178" s="35"/>
      <c r="AF6178" s="35"/>
      <c r="AG6178" s="35"/>
      <c r="AH6178" s="35"/>
      <c r="AI6178" s="35"/>
      <c r="AJ6178" s="35"/>
      <c r="AK6178" s="35"/>
      <c r="AL6178" s="35"/>
    </row>
    <row r="6179">
      <c r="A6179" s="1"/>
      <c r="B6179" s="75" t="s">
        <v>7020</v>
      </c>
      <c r="C6179" s="76" t="s">
        <v>29156</v>
      </c>
      <c r="D6179" s="47"/>
      <c r="E6179" s="22" t="s">
        <v>29157</v>
      </c>
      <c r="F6179" s="22" t="s">
        <v>9138</v>
      </c>
      <c r="G6179" s="23">
        <v>2022.0</v>
      </c>
      <c r="H6179" s="22" t="s">
        <v>29158</v>
      </c>
      <c r="I6179" s="24" t="s">
        <v>29159</v>
      </c>
      <c r="J6179" s="22" t="s">
        <v>29160</v>
      </c>
      <c r="K6179" s="22"/>
      <c r="L6179" s="36" t="s">
        <v>2914</v>
      </c>
      <c r="M6179" s="36"/>
      <c r="N6179" s="36"/>
      <c r="O6179" s="36"/>
      <c r="P6179" s="37"/>
      <c r="Q6179" s="36"/>
      <c r="R6179" s="36"/>
      <c r="S6179" s="36"/>
      <c r="T6179" s="28" t="s">
        <v>29161</v>
      </c>
      <c r="U6179" s="38" t="s">
        <v>61</v>
      </c>
      <c r="V6179" s="50"/>
      <c r="W6179" s="49"/>
      <c r="X6179" s="49"/>
      <c r="Y6179" s="35"/>
      <c r="Z6179" s="35"/>
      <c r="AA6179" s="35"/>
      <c r="AB6179" s="35"/>
      <c r="AC6179" s="35"/>
      <c r="AD6179" s="35"/>
      <c r="AE6179" s="35"/>
      <c r="AF6179" s="35"/>
      <c r="AG6179" s="35"/>
      <c r="AH6179" s="35"/>
      <c r="AI6179" s="35"/>
      <c r="AJ6179" s="35"/>
      <c r="AK6179" s="35"/>
      <c r="AL6179" s="35"/>
    </row>
    <row r="6180">
      <c r="A6180" s="1"/>
      <c r="B6180" s="75" t="s">
        <v>7020</v>
      </c>
      <c r="C6180" s="76" t="s">
        <v>29156</v>
      </c>
      <c r="D6180" s="47"/>
      <c r="E6180" s="22" t="s">
        <v>29162</v>
      </c>
      <c r="F6180" s="22" t="s">
        <v>5567</v>
      </c>
      <c r="G6180" s="23">
        <v>2021.0</v>
      </c>
      <c r="H6180" s="22" t="s">
        <v>29163</v>
      </c>
      <c r="I6180" s="24" t="s">
        <v>29164</v>
      </c>
      <c r="J6180" s="22" t="s">
        <v>29165</v>
      </c>
      <c r="K6180" s="22"/>
      <c r="L6180" s="36"/>
      <c r="M6180" s="36" t="s">
        <v>29166</v>
      </c>
      <c r="N6180" s="36"/>
      <c r="O6180" s="36" t="s">
        <v>29167</v>
      </c>
      <c r="P6180" s="37"/>
      <c r="Q6180" s="36"/>
      <c r="R6180" s="36"/>
      <c r="S6180" s="36"/>
      <c r="T6180" s="41" t="s">
        <v>29168</v>
      </c>
      <c r="U6180" s="29" t="s">
        <v>61</v>
      </c>
      <c r="V6180" s="50"/>
      <c r="W6180" s="49"/>
      <c r="X6180" s="49"/>
      <c r="Y6180" s="35"/>
      <c r="Z6180" s="35"/>
      <c r="AA6180" s="35"/>
      <c r="AB6180" s="35"/>
      <c r="AC6180" s="35"/>
      <c r="AD6180" s="35"/>
      <c r="AE6180" s="35"/>
      <c r="AF6180" s="35"/>
      <c r="AG6180" s="35"/>
      <c r="AH6180" s="35"/>
      <c r="AI6180" s="35"/>
      <c r="AJ6180" s="35"/>
      <c r="AK6180" s="35"/>
      <c r="AL6180" s="35"/>
    </row>
    <row r="6181">
      <c r="A6181" s="1"/>
      <c r="B6181" s="75" t="s">
        <v>7020</v>
      </c>
      <c r="C6181" s="76" t="s">
        <v>29156</v>
      </c>
      <c r="D6181" s="47"/>
      <c r="E6181" s="22" t="s">
        <v>29169</v>
      </c>
      <c r="F6181" s="22" t="s">
        <v>237</v>
      </c>
      <c r="G6181" s="23">
        <v>2022.0</v>
      </c>
      <c r="H6181" s="22" t="s">
        <v>91</v>
      </c>
      <c r="I6181" s="24" t="s">
        <v>29170</v>
      </c>
      <c r="J6181" s="22" t="s">
        <v>29171</v>
      </c>
      <c r="K6181" s="22" t="s">
        <v>29172</v>
      </c>
      <c r="L6181" s="36">
        <v>808.0</v>
      </c>
      <c r="M6181" s="36">
        <v>100.0</v>
      </c>
      <c r="N6181" s="36" t="s">
        <v>58</v>
      </c>
      <c r="O6181" s="36">
        <v>4.0</v>
      </c>
      <c r="P6181" s="37" t="s">
        <v>58</v>
      </c>
      <c r="Q6181" s="36" t="s">
        <v>29173</v>
      </c>
      <c r="R6181" s="36">
        <v>40.0</v>
      </c>
      <c r="S6181" s="36" t="s">
        <v>29174</v>
      </c>
      <c r="T6181" s="41" t="s">
        <v>29175</v>
      </c>
      <c r="U6181" s="29" t="s">
        <v>61</v>
      </c>
      <c r="V6181" s="50"/>
      <c r="W6181" s="49"/>
      <c r="X6181" s="49"/>
      <c r="Y6181" s="35"/>
      <c r="Z6181" s="35"/>
      <c r="AA6181" s="35"/>
      <c r="AB6181" s="35"/>
      <c r="AC6181" s="35"/>
      <c r="AD6181" s="35"/>
      <c r="AE6181" s="35"/>
      <c r="AF6181" s="35"/>
      <c r="AG6181" s="35"/>
      <c r="AH6181" s="35"/>
      <c r="AI6181" s="35"/>
      <c r="AJ6181" s="35"/>
      <c r="AK6181" s="35"/>
      <c r="AL6181" s="35"/>
    </row>
    <row r="6182">
      <c r="A6182" s="1"/>
      <c r="B6182" s="75" t="s">
        <v>7020</v>
      </c>
      <c r="C6182" s="76" t="s">
        <v>29156</v>
      </c>
      <c r="D6182" s="47"/>
      <c r="E6182" s="22" t="s">
        <v>29169</v>
      </c>
      <c r="F6182" s="22" t="s">
        <v>237</v>
      </c>
      <c r="G6182" s="23">
        <v>2022.0</v>
      </c>
      <c r="H6182" s="22" t="s">
        <v>29176</v>
      </c>
      <c r="I6182" s="24" t="s">
        <v>29177</v>
      </c>
      <c r="J6182" s="22" t="s">
        <v>29178</v>
      </c>
      <c r="K6182" s="22"/>
      <c r="L6182" s="36">
        <v>808.0</v>
      </c>
      <c r="M6182" s="36"/>
      <c r="N6182" s="36"/>
      <c r="O6182" s="36">
        <v>4.0</v>
      </c>
      <c r="P6182" s="37"/>
      <c r="Q6182" s="36"/>
      <c r="R6182" s="36"/>
      <c r="S6182" s="36" t="s">
        <v>7333</v>
      </c>
      <c r="T6182" s="41" t="s">
        <v>29179</v>
      </c>
      <c r="U6182" s="29" t="s">
        <v>61</v>
      </c>
      <c r="V6182" s="50"/>
      <c r="W6182" s="49"/>
      <c r="X6182" s="49"/>
      <c r="Y6182" s="35"/>
      <c r="Z6182" s="35"/>
      <c r="AA6182" s="35"/>
      <c r="AB6182" s="35"/>
      <c r="AC6182" s="35"/>
      <c r="AD6182" s="35"/>
      <c r="AE6182" s="35"/>
      <c r="AF6182" s="35"/>
      <c r="AG6182" s="35"/>
      <c r="AH6182" s="35"/>
      <c r="AI6182" s="35"/>
      <c r="AJ6182" s="35"/>
      <c r="AK6182" s="35"/>
      <c r="AL6182" s="35"/>
    </row>
    <row r="6183">
      <c r="A6183" s="1"/>
      <c r="B6183" s="75" t="s">
        <v>7020</v>
      </c>
      <c r="C6183" s="76" t="s">
        <v>29156</v>
      </c>
      <c r="D6183" s="47"/>
      <c r="E6183" s="22" t="s">
        <v>14129</v>
      </c>
      <c r="F6183" s="22" t="s">
        <v>2407</v>
      </c>
      <c r="G6183" s="23">
        <v>2021.0</v>
      </c>
      <c r="H6183" s="22" t="s">
        <v>29180</v>
      </c>
      <c r="I6183" s="24" t="s">
        <v>29181</v>
      </c>
      <c r="J6183" s="22" t="s">
        <v>29182</v>
      </c>
      <c r="K6183" s="22"/>
      <c r="L6183" s="36" t="s">
        <v>2914</v>
      </c>
      <c r="M6183" s="36"/>
      <c r="N6183" s="36"/>
      <c r="O6183" s="36"/>
      <c r="P6183" s="37"/>
      <c r="Q6183" s="36"/>
      <c r="R6183" s="36"/>
      <c r="S6183" s="36"/>
      <c r="T6183" s="42" t="s">
        <v>29183</v>
      </c>
      <c r="U6183" s="29" t="s">
        <v>61</v>
      </c>
      <c r="V6183" s="50"/>
      <c r="W6183" s="49"/>
      <c r="X6183" s="49"/>
      <c r="Y6183" s="35"/>
      <c r="Z6183" s="35"/>
      <c r="AA6183" s="35"/>
      <c r="AB6183" s="35"/>
      <c r="AC6183" s="35"/>
      <c r="AD6183" s="35"/>
      <c r="AE6183" s="35"/>
      <c r="AF6183" s="35"/>
      <c r="AG6183" s="35"/>
      <c r="AH6183" s="35"/>
      <c r="AI6183" s="35"/>
      <c r="AJ6183" s="35"/>
      <c r="AK6183" s="35"/>
      <c r="AL6183" s="35"/>
    </row>
    <row r="6184">
      <c r="A6184" s="1"/>
      <c r="B6184" s="75" t="s">
        <v>7020</v>
      </c>
      <c r="C6184" s="76" t="s">
        <v>29184</v>
      </c>
      <c r="D6184" s="47"/>
      <c r="E6184" s="22" t="s">
        <v>29185</v>
      </c>
      <c r="F6184" s="22" t="s">
        <v>5157</v>
      </c>
      <c r="G6184" s="23">
        <v>1993.0</v>
      </c>
      <c r="H6184" s="22" t="s">
        <v>27831</v>
      </c>
      <c r="I6184" s="24" t="s">
        <v>29186</v>
      </c>
      <c r="J6184" s="22" t="s">
        <v>8446</v>
      </c>
      <c r="K6184" s="22"/>
      <c r="L6184" s="43" t="s">
        <v>29187</v>
      </c>
      <c r="M6184" s="44"/>
      <c r="N6184" s="44"/>
      <c r="O6184" s="44"/>
      <c r="P6184" s="44"/>
      <c r="Q6184" s="44"/>
      <c r="R6184" s="44"/>
      <c r="S6184" s="44"/>
      <c r="T6184" s="45"/>
      <c r="U6184" s="38" t="str">
        <f>HYPERLINK("https://www.sciencedirect.com/science/article/pii/S0004951414604748","ScienceDirect")</f>
        <v>ScienceDirect</v>
      </c>
      <c r="V6184" s="50"/>
      <c r="W6184" s="49"/>
      <c r="X6184" s="49"/>
      <c r="Y6184" s="35"/>
      <c r="Z6184" s="35"/>
      <c r="AA6184" s="35"/>
      <c r="AB6184" s="35"/>
      <c r="AC6184" s="35"/>
      <c r="AD6184" s="35"/>
      <c r="AE6184" s="35"/>
      <c r="AF6184" s="35"/>
      <c r="AG6184" s="35"/>
      <c r="AH6184" s="35"/>
      <c r="AI6184" s="35"/>
      <c r="AJ6184" s="35"/>
      <c r="AK6184" s="35"/>
      <c r="AL6184" s="35"/>
    </row>
    <row r="6185">
      <c r="A6185" s="1"/>
      <c r="B6185" s="75" t="s">
        <v>7020</v>
      </c>
      <c r="C6185" s="76" t="s">
        <v>29184</v>
      </c>
      <c r="D6185" s="47"/>
      <c r="E6185" s="22" t="s">
        <v>14640</v>
      </c>
      <c r="F6185" s="22" t="s">
        <v>16732</v>
      </c>
      <c r="G6185" s="23">
        <v>1991.0</v>
      </c>
      <c r="H6185" s="22" t="s">
        <v>4733</v>
      </c>
      <c r="I6185" s="24" t="s">
        <v>29188</v>
      </c>
      <c r="J6185" s="22" t="s">
        <v>29189</v>
      </c>
      <c r="K6185" s="22" t="s">
        <v>4202</v>
      </c>
      <c r="L6185" s="43" t="s">
        <v>29190</v>
      </c>
      <c r="M6185" s="44"/>
      <c r="N6185" s="44"/>
      <c r="O6185" s="44"/>
      <c r="P6185" s="44"/>
      <c r="Q6185" s="44"/>
      <c r="R6185" s="44"/>
      <c r="S6185" s="44"/>
      <c r="T6185" s="45"/>
      <c r="U6185" s="38" t="str">
        <f>HYPERLINK("https://www.sciencedirect.com/science/article/pii/S0031940610616963","ScienceDirect")</f>
        <v>ScienceDirect</v>
      </c>
      <c r="V6185" s="50"/>
      <c r="W6185" s="49"/>
      <c r="X6185" s="49"/>
      <c r="Y6185" s="35"/>
      <c r="Z6185" s="35"/>
      <c r="AA6185" s="35"/>
      <c r="AB6185" s="35"/>
      <c r="AC6185" s="35"/>
      <c r="AD6185" s="35"/>
      <c r="AE6185" s="35"/>
      <c r="AF6185" s="35"/>
      <c r="AG6185" s="35"/>
      <c r="AH6185" s="35"/>
      <c r="AI6185" s="35"/>
      <c r="AJ6185" s="35"/>
      <c r="AK6185" s="35"/>
      <c r="AL6185" s="35"/>
    </row>
    <row r="6186">
      <c r="A6186" s="1"/>
      <c r="B6186" s="75" t="s">
        <v>7020</v>
      </c>
      <c r="C6186" s="77" t="s">
        <v>29191</v>
      </c>
      <c r="D6186" s="47"/>
      <c r="E6186" s="22" t="s">
        <v>4739</v>
      </c>
      <c r="F6186" s="22" t="s">
        <v>499</v>
      </c>
      <c r="G6186" s="23">
        <v>2019.0</v>
      </c>
      <c r="H6186" s="22" t="s">
        <v>147</v>
      </c>
      <c r="I6186" s="24" t="s">
        <v>29192</v>
      </c>
      <c r="J6186" s="22" t="s">
        <v>125</v>
      </c>
      <c r="K6186" s="22"/>
      <c r="L6186" s="43" t="s">
        <v>29193</v>
      </c>
      <c r="M6186" s="44"/>
      <c r="N6186" s="44"/>
      <c r="O6186" s="44"/>
      <c r="P6186" s="44"/>
      <c r="Q6186" s="44"/>
      <c r="R6186" s="44"/>
      <c r="S6186" s="44"/>
      <c r="T6186" s="45"/>
      <c r="U6186" s="38" t="str">
        <f>HYPERLINK("https://www.ncbi.nlm.nih.gov/pubmed/31360374","PubMed")</f>
        <v>PubMed</v>
      </c>
      <c r="V6186" s="50"/>
      <c r="W6186" s="49"/>
      <c r="X6186" s="49"/>
      <c r="Y6186" s="35"/>
      <c r="Z6186" s="35"/>
      <c r="AA6186" s="35"/>
      <c r="AB6186" s="35"/>
      <c r="AC6186" s="35"/>
      <c r="AD6186" s="35"/>
      <c r="AE6186" s="35"/>
      <c r="AF6186" s="35"/>
      <c r="AG6186" s="35"/>
      <c r="AH6186" s="35"/>
      <c r="AI6186" s="35"/>
      <c r="AJ6186" s="35"/>
      <c r="AK6186" s="35"/>
      <c r="AL6186" s="35"/>
    </row>
    <row r="6187">
      <c r="A6187" s="1"/>
      <c r="B6187" s="75" t="s">
        <v>7020</v>
      </c>
      <c r="C6187" s="77" t="s">
        <v>29191</v>
      </c>
      <c r="D6187" s="47"/>
      <c r="E6187" s="22" t="s">
        <v>1101</v>
      </c>
      <c r="F6187" s="22" t="s">
        <v>12293</v>
      </c>
      <c r="G6187" s="23" t="s">
        <v>90</v>
      </c>
      <c r="H6187" s="22" t="s">
        <v>53</v>
      </c>
      <c r="I6187" s="24" t="s">
        <v>29194</v>
      </c>
      <c r="J6187" s="22" t="s">
        <v>55</v>
      </c>
      <c r="K6187" s="22" t="s">
        <v>29101</v>
      </c>
      <c r="L6187" s="36">
        <v>830.0</v>
      </c>
      <c r="M6187" s="36">
        <v>30.0</v>
      </c>
      <c r="N6187" s="36"/>
      <c r="O6187" s="36"/>
      <c r="P6187" s="37" t="s">
        <v>29195</v>
      </c>
      <c r="Q6187" s="36"/>
      <c r="R6187" s="36"/>
      <c r="S6187" s="36"/>
      <c r="T6187" s="41" t="s">
        <v>29196</v>
      </c>
      <c r="U6187" s="38" t="str">
        <f>HYPERLINK("https://www.ncbi.nlm.nih.gov/pubmed/28671718","PubMed")</f>
        <v>PubMed</v>
      </c>
      <c r="V6187" s="50"/>
      <c r="W6187" s="49"/>
      <c r="X6187" s="49"/>
      <c r="Y6187" s="35"/>
      <c r="Z6187" s="35"/>
      <c r="AA6187" s="35"/>
      <c r="AB6187" s="35"/>
      <c r="AC6187" s="35"/>
      <c r="AD6187" s="35"/>
      <c r="AE6187" s="35"/>
      <c r="AF6187" s="35"/>
      <c r="AG6187" s="35"/>
      <c r="AH6187" s="35"/>
      <c r="AI6187" s="35"/>
      <c r="AJ6187" s="35"/>
      <c r="AK6187" s="35"/>
      <c r="AL6187" s="35"/>
    </row>
    <row r="6188">
      <c r="A6188" s="1" t="s">
        <v>2</v>
      </c>
      <c r="B6188" s="19" t="s">
        <v>7020</v>
      </c>
      <c r="C6188" s="20" t="s">
        <v>29191</v>
      </c>
      <c r="D6188" s="47"/>
      <c r="E6188" s="22" t="s">
        <v>18260</v>
      </c>
      <c r="F6188" s="22" t="s">
        <v>16031</v>
      </c>
      <c r="G6188" s="23">
        <v>2014.0</v>
      </c>
      <c r="H6188" s="22" t="s">
        <v>91</v>
      </c>
      <c r="I6188" s="24" t="s">
        <v>29197</v>
      </c>
      <c r="J6188" s="22" t="s">
        <v>44</v>
      </c>
      <c r="K6188" s="22" t="s">
        <v>29198</v>
      </c>
      <c r="L6188" s="36">
        <v>950.0</v>
      </c>
      <c r="M6188" s="36"/>
      <c r="N6188" s="36" t="s">
        <v>6622</v>
      </c>
      <c r="O6188" s="36"/>
      <c r="P6188" s="37" t="s">
        <v>29199</v>
      </c>
      <c r="Q6188" s="36"/>
      <c r="R6188" s="36"/>
      <c r="S6188" s="36"/>
      <c r="T6188" s="28" t="s">
        <v>29200</v>
      </c>
      <c r="U6188" s="38" t="str">
        <f>HYPERLINK("https://www.ncbi.nlm.nih.gov/pubmed/23832179","PubMed")</f>
        <v>PubMed</v>
      </c>
      <c r="V6188" s="50"/>
      <c r="W6188" s="49"/>
      <c r="X6188" s="49"/>
      <c r="Y6188" s="35"/>
      <c r="Z6188" s="35"/>
      <c r="AA6188" s="35"/>
      <c r="AB6188" s="35"/>
      <c r="AC6188" s="35"/>
      <c r="AD6188" s="35"/>
      <c r="AE6188" s="35"/>
      <c r="AF6188" s="35"/>
      <c r="AG6188" s="35"/>
      <c r="AH6188" s="35"/>
      <c r="AI6188" s="35"/>
      <c r="AJ6188" s="35"/>
      <c r="AK6188" s="35"/>
      <c r="AL6188" s="35"/>
    </row>
    <row r="6189">
      <c r="A6189" s="1"/>
      <c r="B6189" s="19" t="s">
        <v>7020</v>
      </c>
      <c r="C6189" s="20" t="s">
        <v>29201</v>
      </c>
      <c r="D6189" s="47"/>
      <c r="E6189" s="22" t="s">
        <v>29202</v>
      </c>
      <c r="F6189" s="22" t="s">
        <v>1773</v>
      </c>
      <c r="G6189" s="23">
        <v>1986.0</v>
      </c>
      <c r="H6189" s="22" t="s">
        <v>27732</v>
      </c>
      <c r="I6189" s="24" t="s">
        <v>29203</v>
      </c>
      <c r="J6189" s="22" t="s">
        <v>29204</v>
      </c>
      <c r="K6189" s="22"/>
      <c r="L6189" s="52"/>
      <c r="M6189" s="52"/>
      <c r="N6189" s="52"/>
      <c r="O6189" s="52"/>
      <c r="P6189" s="189"/>
      <c r="Q6189" s="52"/>
      <c r="R6189" s="52"/>
      <c r="S6189" s="52"/>
      <c r="T6189" s="28" t="s">
        <v>29205</v>
      </c>
      <c r="U6189" s="38" t="str">
        <f>HYPERLINK("https://www.ncbi.nlm.nih.gov/pubmed/2880467","PubMed")</f>
        <v>PubMed</v>
      </c>
      <c r="V6189" s="50"/>
      <c r="W6189" s="49"/>
      <c r="X6189" s="49"/>
      <c r="Y6189" s="35"/>
      <c r="Z6189" s="35"/>
      <c r="AA6189" s="35"/>
      <c r="AB6189" s="35"/>
      <c r="AC6189" s="35"/>
      <c r="AD6189" s="35"/>
      <c r="AE6189" s="35"/>
      <c r="AF6189" s="35"/>
      <c r="AG6189" s="35"/>
      <c r="AH6189" s="35"/>
      <c r="AI6189" s="35"/>
      <c r="AJ6189" s="35"/>
      <c r="AK6189" s="35"/>
      <c r="AL6189" s="35"/>
    </row>
    <row r="6190">
      <c r="A6190" s="1"/>
      <c r="B6190" s="19" t="s">
        <v>7020</v>
      </c>
      <c r="C6190" s="20" t="s">
        <v>2036</v>
      </c>
      <c r="D6190" s="47"/>
      <c r="E6190" s="22" t="s">
        <v>16322</v>
      </c>
      <c r="F6190" s="22" t="s">
        <v>16323</v>
      </c>
      <c r="G6190" s="23">
        <v>2023.0</v>
      </c>
      <c r="H6190" s="22" t="s">
        <v>2204</v>
      </c>
      <c r="I6190" s="24" t="s">
        <v>29206</v>
      </c>
      <c r="J6190" s="22" t="s">
        <v>125</v>
      </c>
      <c r="K6190" s="22"/>
      <c r="L6190" s="173" t="s">
        <v>29207</v>
      </c>
      <c r="U6190" s="38" t="s">
        <v>61</v>
      </c>
      <c r="V6190" s="50"/>
      <c r="W6190" s="49"/>
      <c r="X6190" s="49"/>
      <c r="Y6190" s="35"/>
      <c r="Z6190" s="35"/>
      <c r="AA6190" s="35"/>
      <c r="AB6190" s="35"/>
      <c r="AC6190" s="35"/>
      <c r="AD6190" s="35"/>
      <c r="AE6190" s="35"/>
      <c r="AF6190" s="35"/>
      <c r="AG6190" s="35"/>
      <c r="AH6190" s="35"/>
      <c r="AI6190" s="35"/>
      <c r="AJ6190" s="35"/>
      <c r="AK6190" s="35"/>
      <c r="AL6190" s="35"/>
    </row>
    <row r="6191">
      <c r="A6191" s="1"/>
      <c r="B6191" s="19" t="s">
        <v>7020</v>
      </c>
      <c r="C6191" s="20" t="s">
        <v>2036</v>
      </c>
      <c r="D6191" s="47"/>
      <c r="E6191" s="22" t="s">
        <v>2316</v>
      </c>
      <c r="F6191" s="22" t="s">
        <v>2196</v>
      </c>
      <c r="G6191" s="23">
        <v>2022.0</v>
      </c>
      <c r="H6191" s="22" t="s">
        <v>91</v>
      </c>
      <c r="I6191" s="24" t="s">
        <v>29208</v>
      </c>
      <c r="J6191" s="22" t="s">
        <v>125</v>
      </c>
      <c r="K6191" s="22" t="s">
        <v>157</v>
      </c>
      <c r="L6191" s="173" t="s">
        <v>29209</v>
      </c>
      <c r="U6191" s="29" t="s">
        <v>61</v>
      </c>
      <c r="V6191" s="50"/>
      <c r="W6191" s="49"/>
      <c r="X6191" s="49"/>
      <c r="Y6191" s="35"/>
      <c r="Z6191" s="35"/>
      <c r="AA6191" s="35"/>
      <c r="AB6191" s="35"/>
      <c r="AC6191" s="35"/>
      <c r="AD6191" s="35"/>
      <c r="AE6191" s="35"/>
      <c r="AF6191" s="35"/>
      <c r="AG6191" s="35"/>
      <c r="AH6191" s="35"/>
      <c r="AI6191" s="35"/>
      <c r="AJ6191" s="35"/>
      <c r="AK6191" s="35"/>
      <c r="AL6191" s="35"/>
    </row>
    <row r="6192">
      <c r="A6192" s="1"/>
      <c r="B6192" s="19" t="s">
        <v>7020</v>
      </c>
      <c r="C6192" s="20" t="s">
        <v>2036</v>
      </c>
      <c r="D6192" s="47"/>
      <c r="E6192" s="22" t="s">
        <v>29210</v>
      </c>
      <c r="F6192" s="22" t="s">
        <v>29211</v>
      </c>
      <c r="G6192" s="23">
        <v>2020.0</v>
      </c>
      <c r="H6192" s="22" t="s">
        <v>29212</v>
      </c>
      <c r="I6192" s="24" t="s">
        <v>29213</v>
      </c>
      <c r="J6192" s="22" t="s">
        <v>125</v>
      </c>
      <c r="K6192" s="22"/>
      <c r="L6192" s="53" t="s">
        <v>29214</v>
      </c>
      <c r="U6192" s="29" t="s">
        <v>6709</v>
      </c>
      <c r="V6192" s="50"/>
      <c r="W6192" s="49"/>
      <c r="X6192" s="49"/>
      <c r="Y6192" s="35"/>
      <c r="Z6192" s="35"/>
      <c r="AA6192" s="35"/>
      <c r="AB6192" s="35"/>
      <c r="AC6192" s="35"/>
      <c r="AD6192" s="35"/>
      <c r="AE6192" s="35"/>
      <c r="AF6192" s="35"/>
      <c r="AG6192" s="35"/>
      <c r="AH6192" s="35"/>
      <c r="AI6192" s="35"/>
      <c r="AJ6192" s="35"/>
      <c r="AK6192" s="35"/>
      <c r="AL6192" s="35"/>
    </row>
    <row r="6193">
      <c r="A6193" s="1"/>
      <c r="B6193" s="19" t="s">
        <v>7020</v>
      </c>
      <c r="C6193" s="20" t="s">
        <v>2036</v>
      </c>
      <c r="D6193" s="47"/>
      <c r="E6193" s="22" t="s">
        <v>29215</v>
      </c>
      <c r="F6193" s="22" t="s">
        <v>1773</v>
      </c>
      <c r="G6193" s="23" t="s">
        <v>90</v>
      </c>
      <c r="H6193" s="22" t="s">
        <v>22167</v>
      </c>
      <c r="I6193" s="24" t="s">
        <v>29216</v>
      </c>
      <c r="J6193" s="22" t="s">
        <v>125</v>
      </c>
      <c r="K6193" s="22"/>
      <c r="L6193" s="173" t="s">
        <v>29217</v>
      </c>
      <c r="U6193" s="38" t="str">
        <f>HYPERLINK("https://www.ncbi.nlm.nih.gov/pubmed/28987080","PubMed")</f>
        <v>PubMed</v>
      </c>
      <c r="V6193" s="50"/>
      <c r="W6193" s="49"/>
      <c r="X6193" s="49"/>
      <c r="Y6193" s="35"/>
      <c r="Z6193" s="35"/>
      <c r="AA6193" s="35"/>
      <c r="AB6193" s="35"/>
      <c r="AC6193" s="35"/>
      <c r="AD6193" s="35"/>
      <c r="AE6193" s="35"/>
      <c r="AF6193" s="35"/>
      <c r="AG6193" s="35"/>
      <c r="AH6193" s="35"/>
      <c r="AI6193" s="35"/>
      <c r="AJ6193" s="35"/>
      <c r="AK6193" s="35"/>
      <c r="AL6193" s="35"/>
    </row>
    <row r="6194">
      <c r="A6194" s="1" t="s">
        <v>2</v>
      </c>
      <c r="B6194" s="19" t="s">
        <v>7020</v>
      </c>
      <c r="C6194" s="20" t="s">
        <v>2036</v>
      </c>
      <c r="D6194" s="47"/>
      <c r="E6194" s="22" t="s">
        <v>29218</v>
      </c>
      <c r="F6194" s="22" t="s">
        <v>2208</v>
      </c>
      <c r="G6194" s="23">
        <v>2015.0</v>
      </c>
      <c r="H6194" s="22" t="s">
        <v>29219</v>
      </c>
      <c r="I6194" s="24" t="s">
        <v>29220</v>
      </c>
      <c r="J6194" s="22" t="s">
        <v>125</v>
      </c>
      <c r="K6194" s="22"/>
      <c r="L6194" s="105" t="s">
        <v>29221</v>
      </c>
      <c r="M6194" s="44"/>
      <c r="N6194" s="44"/>
      <c r="O6194" s="44"/>
      <c r="P6194" s="44"/>
      <c r="Q6194" s="44"/>
      <c r="R6194" s="44"/>
      <c r="S6194" s="44"/>
      <c r="T6194" s="45"/>
      <c r="U6194" s="38" t="str">
        <f>HYPERLINK("https://www.ncbi.nlm.nih.gov/pubmed/26858986","PubMed")</f>
        <v>PubMed</v>
      </c>
      <c r="V6194" s="50"/>
      <c r="W6194" s="49"/>
      <c r="X6194" s="49"/>
      <c r="Y6194" s="35"/>
      <c r="Z6194" s="35"/>
      <c r="AA6194" s="35"/>
      <c r="AB6194" s="35"/>
      <c r="AC6194" s="35"/>
      <c r="AD6194" s="35"/>
      <c r="AE6194" s="35"/>
      <c r="AF6194" s="35"/>
      <c r="AG6194" s="35"/>
      <c r="AH6194" s="35"/>
      <c r="AI6194" s="35"/>
      <c r="AJ6194" s="35"/>
      <c r="AK6194" s="35"/>
      <c r="AL6194" s="35"/>
    </row>
    <row r="6195">
      <c r="A6195" s="1"/>
      <c r="B6195" s="19" t="s">
        <v>7020</v>
      </c>
      <c r="C6195" s="20" t="s">
        <v>2036</v>
      </c>
      <c r="D6195" s="47"/>
      <c r="E6195" s="22" t="s">
        <v>29222</v>
      </c>
      <c r="F6195" s="22" t="s">
        <v>29223</v>
      </c>
      <c r="G6195" s="23">
        <v>2014.0</v>
      </c>
      <c r="H6195" s="22" t="s">
        <v>452</v>
      </c>
      <c r="I6195" s="24" t="s">
        <v>29224</v>
      </c>
      <c r="J6195" s="22" t="s">
        <v>125</v>
      </c>
      <c r="K6195" s="22"/>
      <c r="L6195" s="105" t="s">
        <v>29225</v>
      </c>
      <c r="M6195" s="44"/>
      <c r="N6195" s="44"/>
      <c r="O6195" s="44"/>
      <c r="P6195" s="44"/>
      <c r="Q6195" s="44"/>
      <c r="R6195" s="44"/>
      <c r="S6195" s="44"/>
      <c r="T6195" s="45"/>
      <c r="U6195" s="38" t="str">
        <f>HYPERLINK("https://www.ncbi.nlm.nih.gov/pubmed/25191273","PubMed")</f>
        <v>PubMed</v>
      </c>
      <c r="V6195" s="50"/>
      <c r="W6195" s="49"/>
      <c r="X6195" s="49"/>
      <c r="Y6195" s="35"/>
      <c r="Z6195" s="35"/>
      <c r="AA6195" s="35"/>
      <c r="AB6195" s="35"/>
      <c r="AC6195" s="35"/>
      <c r="AD6195" s="35"/>
      <c r="AE6195" s="35"/>
      <c r="AF6195" s="35"/>
      <c r="AG6195" s="35"/>
      <c r="AH6195" s="35"/>
      <c r="AI6195" s="35"/>
      <c r="AJ6195" s="35"/>
      <c r="AK6195" s="35"/>
      <c r="AL6195" s="35"/>
    </row>
    <row r="6196">
      <c r="A6196" s="1"/>
      <c r="B6196" s="19" t="s">
        <v>7020</v>
      </c>
      <c r="C6196" s="20" t="s">
        <v>29226</v>
      </c>
      <c r="D6196" s="47"/>
      <c r="E6196" s="22" t="s">
        <v>29227</v>
      </c>
      <c r="F6196" s="22" t="s">
        <v>12890</v>
      </c>
      <c r="G6196" s="23">
        <v>2011.0</v>
      </c>
      <c r="H6196" s="22" t="s">
        <v>28298</v>
      </c>
      <c r="I6196" s="24" t="s">
        <v>29228</v>
      </c>
      <c r="J6196" s="22" t="s">
        <v>55</v>
      </c>
      <c r="K6196" s="22" t="s">
        <v>1848</v>
      </c>
      <c r="L6196" s="36">
        <v>830.0</v>
      </c>
      <c r="M6196" s="129"/>
      <c r="N6196" s="36"/>
      <c r="O6196" s="36"/>
      <c r="P6196" s="37" t="s">
        <v>4190</v>
      </c>
      <c r="Q6196" s="275"/>
      <c r="R6196" s="36"/>
      <c r="S6196" s="36">
        <v>5.0</v>
      </c>
      <c r="T6196" s="28" t="s">
        <v>29229</v>
      </c>
      <c r="U6196" s="153" t="str">
        <f>HYPERLINK("https://www.ncbi.nlm.nih.gov/pubmed/21625765","PubMed")</f>
        <v>PubMed</v>
      </c>
      <c r="V6196" s="30"/>
      <c r="W6196" s="49"/>
      <c r="X6196" s="49"/>
      <c r="Y6196" s="35"/>
      <c r="Z6196" s="35"/>
      <c r="AA6196" s="35"/>
      <c r="AB6196" s="35"/>
      <c r="AC6196" s="35"/>
      <c r="AD6196" s="35"/>
      <c r="AE6196" s="35"/>
      <c r="AF6196" s="35"/>
      <c r="AG6196" s="35"/>
      <c r="AH6196" s="35"/>
      <c r="AI6196" s="35"/>
      <c r="AJ6196" s="35"/>
      <c r="AK6196" s="35"/>
      <c r="AL6196" s="35"/>
    </row>
    <row r="6197">
      <c r="A6197" s="1"/>
      <c r="B6197" s="19" t="s">
        <v>7020</v>
      </c>
      <c r="C6197" s="20" t="s">
        <v>29230</v>
      </c>
      <c r="D6197" s="47"/>
      <c r="E6197" s="22" t="s">
        <v>29231</v>
      </c>
      <c r="F6197" s="22" t="s">
        <v>13162</v>
      </c>
      <c r="G6197" s="23">
        <v>2024.0</v>
      </c>
      <c r="H6197" s="22" t="s">
        <v>29232</v>
      </c>
      <c r="I6197" s="24" t="s">
        <v>29233</v>
      </c>
      <c r="J6197" s="22" t="s">
        <v>29234</v>
      </c>
      <c r="K6197" s="22" t="s">
        <v>29235</v>
      </c>
      <c r="L6197" s="36" t="s">
        <v>1773</v>
      </c>
      <c r="M6197" s="129"/>
      <c r="N6197" s="36"/>
      <c r="O6197" s="36"/>
      <c r="P6197" s="37"/>
      <c r="Q6197" s="275"/>
      <c r="R6197" s="36"/>
      <c r="S6197" s="36"/>
      <c r="T6197" s="28" t="s">
        <v>29236</v>
      </c>
      <c r="U6197" s="38" t="s">
        <v>61</v>
      </c>
      <c r="V6197" s="30" t="s">
        <v>174</v>
      </c>
      <c r="W6197" s="49"/>
      <c r="X6197" s="49"/>
      <c r="Y6197" s="35"/>
      <c r="Z6197" s="35"/>
      <c r="AA6197" s="35"/>
      <c r="AB6197" s="35"/>
      <c r="AC6197" s="35"/>
      <c r="AD6197" s="35"/>
      <c r="AE6197" s="35"/>
      <c r="AF6197" s="35"/>
      <c r="AG6197" s="35"/>
      <c r="AH6197" s="35"/>
      <c r="AI6197" s="35"/>
      <c r="AJ6197" s="35"/>
      <c r="AK6197" s="35"/>
      <c r="AL6197" s="35"/>
    </row>
    <row r="6198">
      <c r="A6198" s="1"/>
      <c r="B6198" s="19" t="s">
        <v>7020</v>
      </c>
      <c r="C6198" s="20" t="s">
        <v>29230</v>
      </c>
      <c r="D6198" s="47"/>
      <c r="E6198" s="22" t="s">
        <v>18475</v>
      </c>
      <c r="F6198" s="22" t="s">
        <v>29237</v>
      </c>
      <c r="G6198" s="23">
        <v>2024.0</v>
      </c>
      <c r="H6198" s="22" t="s">
        <v>1076</v>
      </c>
      <c r="I6198" s="24" t="s">
        <v>29238</v>
      </c>
      <c r="J6198" s="22" t="s">
        <v>2141</v>
      </c>
      <c r="K6198" s="22"/>
      <c r="L6198" s="168"/>
      <c r="M6198" s="184"/>
      <c r="N6198" s="168"/>
      <c r="O6198" s="168"/>
      <c r="P6198" s="169"/>
      <c r="Q6198" s="274"/>
      <c r="R6198" s="168"/>
      <c r="S6198" s="168"/>
      <c r="T6198" s="185" t="s">
        <v>29239</v>
      </c>
      <c r="U6198" s="38" t="s">
        <v>61</v>
      </c>
      <c r="V6198" s="30"/>
      <c r="W6198" s="49"/>
      <c r="X6198" s="49"/>
      <c r="Y6198" s="35"/>
      <c r="Z6198" s="35"/>
      <c r="AA6198" s="35"/>
      <c r="AB6198" s="35"/>
      <c r="AC6198" s="35"/>
      <c r="AD6198" s="35"/>
      <c r="AE6198" s="35"/>
      <c r="AF6198" s="35"/>
      <c r="AG6198" s="35"/>
      <c r="AH6198" s="35"/>
      <c r="AI6198" s="35"/>
      <c r="AJ6198" s="35"/>
      <c r="AK6198" s="35"/>
      <c r="AL6198" s="35"/>
    </row>
    <row r="6199">
      <c r="A6199" s="1"/>
      <c r="B6199" s="19" t="s">
        <v>7020</v>
      </c>
      <c r="C6199" s="20" t="s">
        <v>29230</v>
      </c>
      <c r="D6199" s="47"/>
      <c r="E6199" s="22" t="s">
        <v>29240</v>
      </c>
      <c r="F6199" s="22" t="s">
        <v>605</v>
      </c>
      <c r="G6199" s="23">
        <v>2023.0</v>
      </c>
      <c r="H6199" s="22" t="s">
        <v>14619</v>
      </c>
      <c r="I6199" s="24" t="s">
        <v>29241</v>
      </c>
      <c r="J6199" s="22" t="s">
        <v>29242</v>
      </c>
      <c r="K6199" s="22" t="s">
        <v>29243</v>
      </c>
      <c r="L6199" s="36">
        <v>850.0</v>
      </c>
      <c r="M6199" s="36">
        <v>100.0</v>
      </c>
      <c r="N6199" s="36"/>
      <c r="O6199" s="36"/>
      <c r="P6199" s="37" t="s">
        <v>969</v>
      </c>
      <c r="Q6199" s="275"/>
      <c r="R6199" s="36"/>
      <c r="S6199" s="36" t="s">
        <v>4708</v>
      </c>
      <c r="T6199" s="42" t="s">
        <v>29244</v>
      </c>
      <c r="U6199" s="38" t="s">
        <v>61</v>
      </c>
      <c r="V6199" s="30"/>
      <c r="W6199" s="49"/>
      <c r="X6199" s="49"/>
      <c r="Y6199" s="35"/>
      <c r="Z6199" s="35"/>
      <c r="AA6199" s="35"/>
      <c r="AB6199" s="35"/>
      <c r="AC6199" s="35"/>
      <c r="AD6199" s="35"/>
      <c r="AE6199" s="35"/>
      <c r="AF6199" s="35"/>
      <c r="AG6199" s="35"/>
      <c r="AH6199" s="35"/>
      <c r="AI6199" s="35"/>
      <c r="AJ6199" s="35"/>
      <c r="AK6199" s="35"/>
      <c r="AL6199" s="35"/>
    </row>
    <row r="6200">
      <c r="A6200" s="18"/>
      <c r="B6200" s="19" t="s">
        <v>7020</v>
      </c>
      <c r="C6200" s="20" t="s">
        <v>29230</v>
      </c>
      <c r="D6200" s="47"/>
      <c r="E6200" s="22" t="s">
        <v>28911</v>
      </c>
      <c r="F6200" s="22" t="s">
        <v>22013</v>
      </c>
      <c r="G6200" s="23">
        <v>2023.0</v>
      </c>
      <c r="H6200" s="22" t="s">
        <v>91</v>
      </c>
      <c r="I6200" s="24" t="s">
        <v>29245</v>
      </c>
      <c r="J6200" s="22" t="s">
        <v>649</v>
      </c>
      <c r="K6200" s="22" t="s">
        <v>29246</v>
      </c>
      <c r="L6200" s="43" t="s">
        <v>29247</v>
      </c>
      <c r="M6200" s="44"/>
      <c r="N6200" s="44"/>
      <c r="O6200" s="44"/>
      <c r="P6200" s="44"/>
      <c r="Q6200" s="44"/>
      <c r="R6200" s="44"/>
      <c r="S6200" s="44"/>
      <c r="T6200" s="45"/>
      <c r="U6200" s="38" t="s">
        <v>61</v>
      </c>
      <c r="V6200" s="30"/>
      <c r="W6200" s="34"/>
      <c r="X6200" s="49"/>
      <c r="Y6200" s="35"/>
      <c r="Z6200" s="35"/>
      <c r="AA6200" s="35"/>
      <c r="AB6200" s="35"/>
      <c r="AC6200" s="35"/>
      <c r="AD6200" s="35"/>
      <c r="AE6200" s="35"/>
      <c r="AF6200" s="35"/>
      <c r="AG6200" s="35"/>
      <c r="AH6200" s="35"/>
      <c r="AI6200" s="35"/>
      <c r="AJ6200" s="35"/>
      <c r="AK6200" s="35"/>
      <c r="AL6200" s="35"/>
    </row>
    <row r="6201">
      <c r="A6201" s="18"/>
      <c r="B6201" s="19" t="s">
        <v>7020</v>
      </c>
      <c r="C6201" s="20" t="s">
        <v>29230</v>
      </c>
      <c r="D6201" s="47"/>
      <c r="E6201" s="22" t="s">
        <v>29248</v>
      </c>
      <c r="F6201" s="22" t="s">
        <v>29249</v>
      </c>
      <c r="G6201" s="23">
        <v>2023.0</v>
      </c>
      <c r="H6201" s="22" t="s">
        <v>6911</v>
      </c>
      <c r="I6201" s="24" t="s">
        <v>29250</v>
      </c>
      <c r="J6201" s="22" t="s">
        <v>2141</v>
      </c>
      <c r="K6201" s="22"/>
      <c r="L6201" s="168"/>
      <c r="M6201" s="168"/>
      <c r="N6201" s="168"/>
      <c r="O6201" s="168"/>
      <c r="P6201" s="168"/>
      <c r="Q6201" s="168"/>
      <c r="R6201" s="168"/>
      <c r="S6201" s="168"/>
      <c r="T6201" s="185" t="s">
        <v>29251</v>
      </c>
      <c r="U6201" s="38" t="s">
        <v>61</v>
      </c>
      <c r="V6201" s="30"/>
      <c r="W6201" s="34"/>
      <c r="X6201" s="49"/>
      <c r="Y6201" s="35"/>
      <c r="Z6201" s="35"/>
      <c r="AA6201" s="35"/>
      <c r="AB6201" s="35"/>
      <c r="AC6201" s="35"/>
      <c r="AD6201" s="35"/>
      <c r="AE6201" s="35"/>
      <c r="AF6201" s="35"/>
      <c r="AG6201" s="35"/>
      <c r="AH6201" s="35"/>
      <c r="AI6201" s="35"/>
      <c r="AJ6201" s="35"/>
      <c r="AK6201" s="35"/>
      <c r="AL6201" s="35"/>
    </row>
    <row r="6202">
      <c r="A6202" s="18"/>
      <c r="B6202" s="19" t="s">
        <v>7020</v>
      </c>
      <c r="C6202" s="20" t="s">
        <v>29230</v>
      </c>
      <c r="D6202" s="47"/>
      <c r="E6202" s="22" t="s">
        <v>28434</v>
      </c>
      <c r="F6202" s="22" t="s">
        <v>13162</v>
      </c>
      <c r="G6202" s="23">
        <v>2023.0</v>
      </c>
      <c r="H6202" s="22" t="s">
        <v>20205</v>
      </c>
      <c r="I6202" s="24" t="s">
        <v>29252</v>
      </c>
      <c r="J6202" s="22" t="s">
        <v>29253</v>
      </c>
      <c r="K6202" s="22" t="s">
        <v>29254</v>
      </c>
      <c r="L6202" s="36" t="s">
        <v>29255</v>
      </c>
      <c r="M6202" s="36" t="s">
        <v>29256</v>
      </c>
      <c r="N6202" s="36" t="s">
        <v>58</v>
      </c>
      <c r="O6202" s="36" t="s">
        <v>4694</v>
      </c>
      <c r="P6202" s="36" t="s">
        <v>4694</v>
      </c>
      <c r="Q6202" s="36" t="s">
        <v>29257</v>
      </c>
      <c r="R6202" s="36" t="s">
        <v>4694</v>
      </c>
      <c r="S6202" s="36" t="s">
        <v>8476</v>
      </c>
      <c r="T6202" s="28" t="s">
        <v>29258</v>
      </c>
      <c r="U6202" s="38" t="s">
        <v>61</v>
      </c>
      <c r="V6202" s="30"/>
      <c r="W6202" s="34"/>
      <c r="X6202" s="49"/>
      <c r="Y6202" s="35"/>
      <c r="Z6202" s="35"/>
      <c r="AA6202" s="35"/>
      <c r="AB6202" s="35"/>
      <c r="AC6202" s="35"/>
      <c r="AD6202" s="35"/>
      <c r="AE6202" s="35"/>
      <c r="AF6202" s="35"/>
      <c r="AG6202" s="35"/>
      <c r="AH6202" s="35"/>
      <c r="AI6202" s="35"/>
      <c r="AJ6202" s="35"/>
      <c r="AK6202" s="35"/>
      <c r="AL6202" s="35"/>
    </row>
    <row r="6203">
      <c r="A6203" s="18"/>
      <c r="B6203" s="19" t="s">
        <v>7020</v>
      </c>
      <c r="C6203" s="20" t="s">
        <v>29259</v>
      </c>
      <c r="D6203" s="47"/>
      <c r="E6203" s="22" t="s">
        <v>29260</v>
      </c>
      <c r="F6203" s="22" t="s">
        <v>29261</v>
      </c>
      <c r="G6203" s="23">
        <v>2023.0</v>
      </c>
      <c r="H6203" s="22" t="s">
        <v>53</v>
      </c>
      <c r="I6203" s="24" t="s">
        <v>29262</v>
      </c>
      <c r="J6203" s="22" t="s">
        <v>29263</v>
      </c>
      <c r="K6203" s="22"/>
      <c r="L6203" s="36">
        <v>808.0</v>
      </c>
      <c r="M6203" s="36"/>
      <c r="N6203" s="36"/>
      <c r="O6203" s="36"/>
      <c r="P6203" s="37" t="s">
        <v>29264</v>
      </c>
      <c r="Q6203" s="36"/>
      <c r="R6203" s="36">
        <v>900.0</v>
      </c>
      <c r="S6203" s="36" t="s">
        <v>29265</v>
      </c>
      <c r="T6203" s="28" t="s">
        <v>29266</v>
      </c>
      <c r="U6203" s="38" t="s">
        <v>61</v>
      </c>
      <c r="V6203" s="30" t="s">
        <v>29267</v>
      </c>
      <c r="W6203" s="34"/>
      <c r="X6203" s="49"/>
      <c r="Y6203" s="35"/>
      <c r="Z6203" s="35"/>
      <c r="AA6203" s="35"/>
      <c r="AB6203" s="35"/>
      <c r="AC6203" s="35"/>
      <c r="AD6203" s="35"/>
      <c r="AE6203" s="35"/>
      <c r="AF6203" s="35"/>
      <c r="AG6203" s="35"/>
      <c r="AH6203" s="35"/>
      <c r="AI6203" s="35"/>
      <c r="AJ6203" s="35"/>
      <c r="AK6203" s="35"/>
      <c r="AL6203" s="35"/>
    </row>
    <row r="6204">
      <c r="A6204" s="1" t="s">
        <v>181</v>
      </c>
      <c r="B6204" s="19" t="s">
        <v>7020</v>
      </c>
      <c r="C6204" s="20" t="s">
        <v>29230</v>
      </c>
      <c r="D6204" s="47"/>
      <c r="E6204" s="22" t="s">
        <v>29268</v>
      </c>
      <c r="F6204" s="22" t="s">
        <v>3427</v>
      </c>
      <c r="G6204" s="23">
        <v>2022.0</v>
      </c>
      <c r="H6204" s="22" t="s">
        <v>14079</v>
      </c>
      <c r="I6204" s="24" t="s">
        <v>29269</v>
      </c>
      <c r="J6204" s="22" t="s">
        <v>29270</v>
      </c>
      <c r="K6204" s="22"/>
      <c r="L6204" s="105"/>
      <c r="M6204" s="44"/>
      <c r="N6204" s="44"/>
      <c r="O6204" s="44"/>
      <c r="P6204" s="44"/>
      <c r="Q6204" s="44"/>
      <c r="R6204" s="44"/>
      <c r="S6204" s="44"/>
      <c r="T6204" s="45"/>
      <c r="U6204" s="38" t="s">
        <v>61</v>
      </c>
      <c r="V6204" s="50"/>
      <c r="W6204" s="49"/>
      <c r="X6204" s="49"/>
      <c r="Y6204" s="35"/>
      <c r="Z6204" s="35"/>
      <c r="AA6204" s="35"/>
      <c r="AB6204" s="35"/>
      <c r="AC6204" s="35"/>
      <c r="AD6204" s="35"/>
      <c r="AE6204" s="35"/>
      <c r="AF6204" s="35"/>
      <c r="AG6204" s="35"/>
      <c r="AH6204" s="35"/>
      <c r="AI6204" s="35"/>
      <c r="AJ6204" s="35"/>
      <c r="AK6204" s="35"/>
      <c r="AL6204" s="35"/>
    </row>
    <row r="6205">
      <c r="A6205" s="1"/>
      <c r="B6205" s="19" t="s">
        <v>7020</v>
      </c>
      <c r="C6205" s="20" t="s">
        <v>29230</v>
      </c>
      <c r="D6205" s="47"/>
      <c r="E6205" s="22" t="s">
        <v>109</v>
      </c>
      <c r="F6205" s="22" t="s">
        <v>510</v>
      </c>
      <c r="G6205" s="23">
        <v>2022.0</v>
      </c>
      <c r="H6205" s="22" t="s">
        <v>91</v>
      </c>
      <c r="I6205" s="24" t="s">
        <v>29271</v>
      </c>
      <c r="J6205" s="22" t="s">
        <v>29272</v>
      </c>
      <c r="K6205" s="22" t="s">
        <v>29273</v>
      </c>
      <c r="L6205" s="36" t="s">
        <v>29274</v>
      </c>
      <c r="M6205" s="36" t="s">
        <v>29275</v>
      </c>
      <c r="N6205" s="36"/>
      <c r="O6205" s="36" t="s">
        <v>29276</v>
      </c>
      <c r="P6205" s="37"/>
      <c r="Q6205" s="36"/>
      <c r="R6205" s="36" t="s">
        <v>29277</v>
      </c>
      <c r="S6205" s="36" t="s">
        <v>4905</v>
      </c>
      <c r="T6205" s="28" t="s">
        <v>29278</v>
      </c>
      <c r="U6205" s="29" t="s">
        <v>61</v>
      </c>
      <c r="V6205" s="30" t="s">
        <v>29279</v>
      </c>
      <c r="W6205" s="49"/>
      <c r="X6205" s="49"/>
      <c r="Y6205" s="35"/>
      <c r="Z6205" s="35"/>
      <c r="AA6205" s="35"/>
      <c r="AB6205" s="35"/>
      <c r="AC6205" s="35"/>
      <c r="AD6205" s="35"/>
      <c r="AE6205" s="35"/>
      <c r="AF6205" s="35"/>
      <c r="AG6205" s="35"/>
      <c r="AH6205" s="35"/>
      <c r="AI6205" s="35"/>
      <c r="AJ6205" s="35"/>
      <c r="AK6205" s="35"/>
      <c r="AL6205" s="35"/>
    </row>
    <row r="6206">
      <c r="A6206" s="1"/>
      <c r="B6206" s="19" t="s">
        <v>7020</v>
      </c>
      <c r="C6206" s="20" t="s">
        <v>29230</v>
      </c>
      <c r="D6206" s="47"/>
      <c r="E6206" s="22" t="s">
        <v>29280</v>
      </c>
      <c r="F6206" s="22" t="s">
        <v>323</v>
      </c>
      <c r="G6206" s="23">
        <v>2021.0</v>
      </c>
      <c r="H6206" s="22" t="s">
        <v>4791</v>
      </c>
      <c r="I6206" s="24" t="s">
        <v>29281</v>
      </c>
      <c r="J6206" s="22" t="s">
        <v>29282</v>
      </c>
      <c r="K6206" s="22" t="s">
        <v>29283</v>
      </c>
      <c r="L6206" s="36" t="s">
        <v>2914</v>
      </c>
      <c r="M6206" s="36" t="s">
        <v>29284</v>
      </c>
      <c r="N6206" s="36"/>
      <c r="O6206" s="36"/>
      <c r="P6206" s="37"/>
      <c r="Q6206" s="36"/>
      <c r="R6206" s="36"/>
      <c r="S6206" s="36"/>
      <c r="T6206" s="41" t="s">
        <v>29285</v>
      </c>
      <c r="U6206" s="29" t="s">
        <v>61</v>
      </c>
      <c r="V6206" s="30"/>
      <c r="W6206" s="49"/>
      <c r="X6206" s="49"/>
      <c r="Y6206" s="35"/>
      <c r="Z6206" s="35"/>
      <c r="AA6206" s="35"/>
      <c r="AB6206" s="35"/>
      <c r="AC6206" s="35"/>
      <c r="AD6206" s="35"/>
      <c r="AE6206" s="35"/>
      <c r="AF6206" s="35"/>
      <c r="AG6206" s="35"/>
      <c r="AH6206" s="35"/>
      <c r="AI6206" s="35"/>
      <c r="AJ6206" s="35"/>
      <c r="AK6206" s="35"/>
      <c r="AL6206" s="35"/>
    </row>
    <row r="6207">
      <c r="A6207" s="1"/>
      <c r="B6207" s="19" t="s">
        <v>7020</v>
      </c>
      <c r="C6207" s="20" t="s">
        <v>29230</v>
      </c>
      <c r="D6207" s="47"/>
      <c r="E6207" s="22" t="s">
        <v>13458</v>
      </c>
      <c r="F6207" s="22" t="s">
        <v>41</v>
      </c>
      <c r="G6207" s="23">
        <v>2020.0</v>
      </c>
      <c r="H6207" s="22" t="s">
        <v>13257</v>
      </c>
      <c r="I6207" s="24" t="s">
        <v>29286</v>
      </c>
      <c r="J6207" s="22" t="s">
        <v>29287</v>
      </c>
      <c r="K6207" s="22" t="s">
        <v>29288</v>
      </c>
      <c r="L6207" s="36">
        <v>904.0</v>
      </c>
      <c r="M6207" s="36">
        <v>60.0</v>
      </c>
      <c r="N6207" s="36" t="s">
        <v>58</v>
      </c>
      <c r="O6207" s="36" t="s">
        <v>29289</v>
      </c>
      <c r="P6207" s="37" t="s">
        <v>58</v>
      </c>
      <c r="Q6207" s="36" t="s">
        <v>29290</v>
      </c>
      <c r="R6207" s="36" t="s">
        <v>13463</v>
      </c>
      <c r="S6207" s="36" t="s">
        <v>29291</v>
      </c>
      <c r="T6207" s="28" t="s">
        <v>29292</v>
      </c>
      <c r="U6207" s="29" t="s">
        <v>61</v>
      </c>
      <c r="V6207" s="30"/>
      <c r="W6207" s="49"/>
      <c r="X6207" s="49"/>
      <c r="Y6207" s="35"/>
      <c r="Z6207" s="35"/>
      <c r="AA6207" s="35"/>
      <c r="AB6207" s="35"/>
      <c r="AC6207" s="35"/>
      <c r="AD6207" s="35"/>
      <c r="AE6207" s="35"/>
      <c r="AF6207" s="35"/>
      <c r="AG6207" s="35"/>
      <c r="AH6207" s="35"/>
      <c r="AI6207" s="35"/>
      <c r="AJ6207" s="35"/>
      <c r="AK6207" s="35"/>
      <c r="AL6207" s="35"/>
    </row>
    <row r="6208">
      <c r="A6208" s="1"/>
      <c r="B6208" s="19" t="s">
        <v>7020</v>
      </c>
      <c r="C6208" s="20" t="s">
        <v>29230</v>
      </c>
      <c r="D6208" s="47"/>
      <c r="E6208" s="22" t="s">
        <v>29293</v>
      </c>
      <c r="F6208" s="22" t="s">
        <v>52</v>
      </c>
      <c r="G6208" s="23">
        <v>2020.0</v>
      </c>
      <c r="H6208" s="22" t="s">
        <v>91</v>
      </c>
      <c r="I6208" s="24" t="s">
        <v>29294</v>
      </c>
      <c r="J6208" s="22" t="s">
        <v>29295</v>
      </c>
      <c r="K6208" s="22"/>
      <c r="L6208" s="36">
        <v>1064.0</v>
      </c>
      <c r="M6208" s="37" t="s">
        <v>4694</v>
      </c>
      <c r="N6208" s="36"/>
      <c r="O6208" s="37"/>
      <c r="P6208" s="37" t="s">
        <v>4694</v>
      </c>
      <c r="Q6208" s="275"/>
      <c r="R6208" s="36"/>
      <c r="S6208" s="36" t="s">
        <v>4708</v>
      </c>
      <c r="T6208" s="28" t="s">
        <v>29296</v>
      </c>
      <c r="U6208" s="29" t="s">
        <v>61</v>
      </c>
      <c r="V6208" s="30"/>
      <c r="W6208" s="49"/>
      <c r="X6208" s="49"/>
      <c r="Y6208" s="35"/>
      <c r="Z6208" s="35"/>
      <c r="AA6208" s="35"/>
      <c r="AB6208" s="35"/>
      <c r="AC6208" s="35"/>
      <c r="AD6208" s="35"/>
      <c r="AE6208" s="35"/>
      <c r="AF6208" s="35"/>
      <c r="AG6208" s="35"/>
      <c r="AH6208" s="35"/>
      <c r="AI6208" s="35"/>
      <c r="AJ6208" s="35"/>
      <c r="AK6208" s="35"/>
      <c r="AL6208" s="35"/>
    </row>
    <row r="6209">
      <c r="A6209" s="1"/>
      <c r="B6209" s="19" t="s">
        <v>7020</v>
      </c>
      <c r="C6209" s="20" t="s">
        <v>29230</v>
      </c>
      <c r="D6209" s="47"/>
      <c r="E6209" s="22" t="s">
        <v>4710</v>
      </c>
      <c r="F6209" s="22" t="s">
        <v>28390</v>
      </c>
      <c r="G6209" s="23">
        <v>2020.0</v>
      </c>
      <c r="H6209" s="22" t="s">
        <v>91</v>
      </c>
      <c r="I6209" s="24" t="s">
        <v>29297</v>
      </c>
      <c r="J6209" s="22" t="s">
        <v>29298</v>
      </c>
      <c r="K6209" s="22" t="s">
        <v>28393</v>
      </c>
      <c r="L6209" s="36">
        <v>1064.0</v>
      </c>
      <c r="M6209" s="36" t="s">
        <v>58</v>
      </c>
      <c r="N6209" s="36" t="s">
        <v>6979</v>
      </c>
      <c r="O6209" s="36">
        <v>35.0</v>
      </c>
      <c r="P6209" s="37" t="s">
        <v>58</v>
      </c>
      <c r="Q6209" s="275" t="s">
        <v>58</v>
      </c>
      <c r="R6209" s="36" t="s">
        <v>29299</v>
      </c>
      <c r="S6209" s="36" t="s">
        <v>4708</v>
      </c>
      <c r="T6209" s="42" t="s">
        <v>29300</v>
      </c>
      <c r="U6209" s="29" t="s">
        <v>61</v>
      </c>
      <c r="V6209" s="30" t="s">
        <v>29301</v>
      </c>
      <c r="W6209" s="49"/>
      <c r="X6209" s="49"/>
      <c r="Y6209" s="35"/>
      <c r="Z6209" s="35"/>
      <c r="AA6209" s="35"/>
      <c r="AB6209" s="35"/>
      <c r="AC6209" s="35"/>
      <c r="AD6209" s="35"/>
      <c r="AE6209" s="35"/>
      <c r="AF6209" s="35"/>
      <c r="AG6209" s="35"/>
      <c r="AH6209" s="35"/>
      <c r="AI6209" s="35"/>
      <c r="AJ6209" s="35"/>
      <c r="AK6209" s="35"/>
      <c r="AL6209" s="35"/>
    </row>
    <row r="6210">
      <c r="A6210" s="1"/>
      <c r="B6210" s="19" t="s">
        <v>7020</v>
      </c>
      <c r="C6210" s="20" t="s">
        <v>29230</v>
      </c>
      <c r="D6210" s="47"/>
      <c r="E6210" s="22" t="s">
        <v>29302</v>
      </c>
      <c r="F6210" s="22" t="s">
        <v>29237</v>
      </c>
      <c r="G6210" s="23">
        <v>2019.0</v>
      </c>
      <c r="H6210" s="22" t="s">
        <v>13626</v>
      </c>
      <c r="I6210" s="24" t="s">
        <v>29303</v>
      </c>
      <c r="J6210" s="22" t="s">
        <v>1078</v>
      </c>
      <c r="K6210" s="22"/>
      <c r="L6210" s="195" t="s">
        <v>29304</v>
      </c>
      <c r="M6210" s="44"/>
      <c r="N6210" s="44"/>
      <c r="O6210" s="44"/>
      <c r="P6210" s="44"/>
      <c r="Q6210" s="44"/>
      <c r="R6210" s="44"/>
      <c r="S6210" s="44"/>
      <c r="T6210" s="45"/>
      <c r="U6210" s="153" t="str">
        <f>HYPERLINK("https://www.ncbi.nlm.nih.gov/pubmed/32100715","PubMed")</f>
        <v>PubMed</v>
      </c>
      <c r="V6210" s="30"/>
      <c r="W6210" s="49"/>
      <c r="X6210" s="49"/>
      <c r="Y6210" s="35"/>
      <c r="Z6210" s="35"/>
      <c r="AA6210" s="35"/>
      <c r="AB6210" s="35"/>
      <c r="AC6210" s="35"/>
      <c r="AD6210" s="35"/>
      <c r="AE6210" s="35"/>
      <c r="AF6210" s="35"/>
      <c r="AG6210" s="35"/>
      <c r="AH6210" s="35"/>
      <c r="AI6210" s="35"/>
      <c r="AJ6210" s="35"/>
      <c r="AK6210" s="35"/>
      <c r="AL6210" s="35"/>
    </row>
    <row r="6211">
      <c r="A6211" s="205"/>
      <c r="B6211" s="19" t="s">
        <v>7020</v>
      </c>
      <c r="C6211" s="20" t="s">
        <v>29230</v>
      </c>
      <c r="D6211" s="47"/>
      <c r="E6211" s="22" t="s">
        <v>29305</v>
      </c>
      <c r="F6211" s="22" t="s">
        <v>29306</v>
      </c>
      <c r="G6211" s="23">
        <v>2019.0</v>
      </c>
      <c r="H6211" s="22" t="s">
        <v>13257</v>
      </c>
      <c r="I6211" s="24" t="s">
        <v>29307</v>
      </c>
      <c r="J6211" s="22" t="s">
        <v>29308</v>
      </c>
      <c r="K6211" s="22"/>
      <c r="L6211" s="36">
        <v>1064.0</v>
      </c>
      <c r="M6211" s="36"/>
      <c r="N6211" s="36"/>
      <c r="O6211" s="36"/>
      <c r="P6211" s="37" t="s">
        <v>7729</v>
      </c>
      <c r="Q6211" s="36"/>
      <c r="R6211" s="36"/>
      <c r="S6211" s="36">
        <v>15.0</v>
      </c>
      <c r="T6211" s="41" t="s">
        <v>29309</v>
      </c>
      <c r="U6211" s="38" t="str">
        <f>HYPERLINK("https://www.ncbi.nlm.nih.gov/pubmed/30672303","PubMed")</f>
        <v>PubMed</v>
      </c>
      <c r="V6211" s="50"/>
      <c r="W6211" s="49"/>
      <c r="X6211" s="49"/>
      <c r="Y6211" s="35"/>
      <c r="Z6211" s="35"/>
      <c r="AA6211" s="35"/>
      <c r="AB6211" s="35"/>
      <c r="AC6211" s="35"/>
      <c r="AD6211" s="35"/>
      <c r="AE6211" s="35"/>
      <c r="AF6211" s="35"/>
      <c r="AG6211" s="35"/>
      <c r="AH6211" s="35"/>
      <c r="AI6211" s="35"/>
      <c r="AJ6211" s="35"/>
      <c r="AK6211" s="35"/>
      <c r="AL6211" s="35"/>
    </row>
    <row r="6212">
      <c r="A6212" s="205"/>
      <c r="B6212" s="19" t="s">
        <v>7020</v>
      </c>
      <c r="C6212" s="20" t="s">
        <v>29230</v>
      </c>
      <c r="D6212" s="47"/>
      <c r="E6212" s="22" t="s">
        <v>29310</v>
      </c>
      <c r="F6212" s="22" t="s">
        <v>4763</v>
      </c>
      <c r="G6212" s="23" t="s">
        <v>90</v>
      </c>
      <c r="H6212" s="22" t="s">
        <v>91</v>
      </c>
      <c r="I6212" s="24" t="s">
        <v>29311</v>
      </c>
      <c r="J6212" s="22" t="s">
        <v>29312</v>
      </c>
      <c r="K6212" s="22"/>
      <c r="L6212" s="36">
        <v>1064.0</v>
      </c>
      <c r="M6212" s="36">
        <v>8000.0</v>
      </c>
      <c r="N6212" s="36"/>
      <c r="O6212" s="37" t="s">
        <v>4694</v>
      </c>
      <c r="P6212" s="37"/>
      <c r="Q6212" s="36" t="s">
        <v>29313</v>
      </c>
      <c r="R6212" s="36"/>
      <c r="S6212" s="36" t="s">
        <v>26384</v>
      </c>
      <c r="T6212" s="28" t="s">
        <v>29314</v>
      </c>
      <c r="U6212" s="38" t="str">
        <f>HYPERLINK("https://www.ncbi.nlm.nih.gov/pubmed/28547075","PubMed")</f>
        <v>PubMed</v>
      </c>
      <c r="V6212" s="30" t="s">
        <v>29315</v>
      </c>
      <c r="W6212" s="49"/>
      <c r="X6212" s="49"/>
      <c r="Y6212" s="35"/>
      <c r="Z6212" s="35"/>
      <c r="AA6212" s="35"/>
      <c r="AB6212" s="35"/>
      <c r="AC6212" s="35"/>
      <c r="AD6212" s="35"/>
      <c r="AE6212" s="35"/>
      <c r="AF6212" s="35"/>
      <c r="AG6212" s="35"/>
      <c r="AH6212" s="35"/>
      <c r="AI6212" s="35"/>
      <c r="AJ6212" s="35"/>
      <c r="AK6212" s="35"/>
      <c r="AL6212" s="35"/>
    </row>
    <row r="6213">
      <c r="A6213" s="205" t="s">
        <v>38</v>
      </c>
      <c r="B6213" s="19" t="s">
        <v>7020</v>
      </c>
      <c r="C6213" s="20" t="s">
        <v>29230</v>
      </c>
      <c r="D6213" s="47"/>
      <c r="E6213" s="22" t="s">
        <v>29316</v>
      </c>
      <c r="F6213" s="22" t="s">
        <v>52</v>
      </c>
      <c r="G6213" s="23">
        <v>2016.0</v>
      </c>
      <c r="H6213" s="22" t="s">
        <v>91</v>
      </c>
      <c r="I6213" s="24" t="s">
        <v>29317</v>
      </c>
      <c r="J6213" s="22" t="s">
        <v>29318</v>
      </c>
      <c r="K6213" s="22" t="s">
        <v>29319</v>
      </c>
      <c r="L6213" s="36">
        <v>1064.0</v>
      </c>
      <c r="M6213" s="36"/>
      <c r="N6213" s="36"/>
      <c r="O6213" s="36">
        <v>2050.0</v>
      </c>
      <c r="P6213" s="37"/>
      <c r="Q6213" s="36"/>
      <c r="R6213" s="36">
        <v>1800.0</v>
      </c>
      <c r="S6213" s="36" t="s">
        <v>29320</v>
      </c>
      <c r="T6213" s="28" t="s">
        <v>29321</v>
      </c>
      <c r="U6213" s="38" t="s">
        <v>61</v>
      </c>
      <c r="V6213" s="30" t="s">
        <v>29322</v>
      </c>
      <c r="W6213" s="49"/>
      <c r="X6213" s="49"/>
      <c r="Y6213" s="35"/>
      <c r="Z6213" s="35"/>
      <c r="AA6213" s="35"/>
      <c r="AB6213" s="35"/>
      <c r="AC6213" s="35"/>
      <c r="AD6213" s="35"/>
      <c r="AE6213" s="35"/>
      <c r="AF6213" s="35"/>
      <c r="AG6213" s="35"/>
      <c r="AH6213" s="35"/>
      <c r="AI6213" s="35"/>
      <c r="AJ6213" s="35"/>
      <c r="AK6213" s="35"/>
      <c r="AL6213" s="35"/>
    </row>
    <row r="6214">
      <c r="A6214" s="1"/>
      <c r="B6214" s="19" t="s">
        <v>7020</v>
      </c>
      <c r="C6214" s="20" t="s">
        <v>29230</v>
      </c>
      <c r="D6214" s="47"/>
      <c r="E6214" s="22" t="s">
        <v>29323</v>
      </c>
      <c r="F6214" s="22" t="s">
        <v>29324</v>
      </c>
      <c r="G6214" s="23">
        <v>2016.0</v>
      </c>
      <c r="H6214" s="22" t="s">
        <v>658</v>
      </c>
      <c r="I6214" s="24" t="s">
        <v>29325</v>
      </c>
      <c r="J6214" s="22" t="s">
        <v>29326</v>
      </c>
      <c r="K6214" s="22"/>
      <c r="L6214" s="36">
        <v>1064.0</v>
      </c>
      <c r="M6214" s="36"/>
      <c r="N6214" s="36"/>
      <c r="O6214" s="36" t="s">
        <v>4694</v>
      </c>
      <c r="P6214" s="37"/>
      <c r="Q6214" s="36"/>
      <c r="R6214" s="36"/>
      <c r="S6214" s="36" t="s">
        <v>8476</v>
      </c>
      <c r="T6214" s="28" t="s">
        <v>29327</v>
      </c>
      <c r="U6214" s="38" t="str">
        <f>HYPERLINK("https://www.ncbi.nlm.nih.gov/pubmed/26890913","PubMed")</f>
        <v>PubMed</v>
      </c>
      <c r="V6214" s="30" t="s">
        <v>29328</v>
      </c>
      <c r="W6214" s="49"/>
      <c r="X6214" s="49"/>
      <c r="Y6214" s="35"/>
      <c r="Z6214" s="35"/>
      <c r="AA6214" s="35"/>
      <c r="AB6214" s="35"/>
      <c r="AC6214" s="35"/>
      <c r="AD6214" s="35"/>
      <c r="AE6214" s="35"/>
      <c r="AF6214" s="35"/>
      <c r="AG6214" s="35"/>
      <c r="AH6214" s="35"/>
      <c r="AI6214" s="35"/>
      <c r="AJ6214" s="35"/>
      <c r="AK6214" s="35"/>
      <c r="AL6214" s="35"/>
    </row>
    <row r="6215">
      <c r="A6215" s="1"/>
      <c r="B6215" s="19" t="s">
        <v>7020</v>
      </c>
      <c r="C6215" s="20" t="s">
        <v>29230</v>
      </c>
      <c r="D6215" s="47"/>
      <c r="E6215" s="22" t="s">
        <v>29329</v>
      </c>
      <c r="F6215" s="22" t="s">
        <v>52</v>
      </c>
      <c r="G6215" s="23">
        <v>2016.0</v>
      </c>
      <c r="H6215" s="22" t="s">
        <v>28609</v>
      </c>
      <c r="I6215" s="24" t="s">
        <v>29330</v>
      </c>
      <c r="J6215" s="22" t="s">
        <v>29331</v>
      </c>
      <c r="K6215" s="22" t="s">
        <v>2686</v>
      </c>
      <c r="L6215" s="36">
        <v>850.0</v>
      </c>
      <c r="M6215" s="36">
        <v>100.0</v>
      </c>
      <c r="N6215" s="36"/>
      <c r="O6215" s="36" t="s">
        <v>29332</v>
      </c>
      <c r="P6215" s="37" t="s">
        <v>254</v>
      </c>
      <c r="Q6215" s="36" t="s">
        <v>29333</v>
      </c>
      <c r="R6215" s="36" t="s">
        <v>29334</v>
      </c>
      <c r="S6215" s="36" t="s">
        <v>4708</v>
      </c>
      <c r="T6215" s="28" t="s">
        <v>29335</v>
      </c>
      <c r="U6215" s="38" t="str">
        <f>HYPERLINK("https://www.ncbi.nlm.nih.gov/pubmed/27816913","PubMed")</f>
        <v>PubMed</v>
      </c>
      <c r="V6215" s="30" t="s">
        <v>29336</v>
      </c>
      <c r="W6215" s="49"/>
      <c r="X6215" s="49"/>
      <c r="Y6215" s="35"/>
      <c r="Z6215" s="35"/>
      <c r="AA6215" s="35"/>
      <c r="AB6215" s="35"/>
      <c r="AC6215" s="35"/>
      <c r="AD6215" s="35"/>
      <c r="AE6215" s="35"/>
      <c r="AF6215" s="35"/>
      <c r="AG6215" s="35"/>
      <c r="AH6215" s="35"/>
      <c r="AI6215" s="35"/>
      <c r="AJ6215" s="35"/>
      <c r="AK6215" s="35"/>
      <c r="AL6215" s="35"/>
    </row>
    <row r="6216">
      <c r="A6216" s="1"/>
      <c r="B6216" s="19" t="s">
        <v>7020</v>
      </c>
      <c r="C6216" s="20" t="s">
        <v>29230</v>
      </c>
      <c r="D6216" s="47"/>
      <c r="E6216" s="22" t="s">
        <v>1080</v>
      </c>
      <c r="F6216" s="22" t="s">
        <v>299</v>
      </c>
      <c r="G6216" s="23">
        <v>2015.0</v>
      </c>
      <c r="H6216" s="22" t="s">
        <v>29337</v>
      </c>
      <c r="I6216" s="24" t="s">
        <v>29338</v>
      </c>
      <c r="J6216" s="22" t="s">
        <v>29339</v>
      </c>
      <c r="K6216" s="22"/>
      <c r="L6216" s="36">
        <v>1064.0</v>
      </c>
      <c r="M6216" s="36"/>
      <c r="N6216" s="36"/>
      <c r="O6216" s="36" t="s">
        <v>26668</v>
      </c>
      <c r="P6216" s="37"/>
      <c r="Q6216" s="36"/>
      <c r="R6216" s="36"/>
      <c r="S6216" s="36" t="s">
        <v>8476</v>
      </c>
      <c r="T6216" s="42" t="s">
        <v>29340</v>
      </c>
      <c r="U6216" s="38" t="str">
        <f>HYPERLINK("https://www.ncbi.nlm.nih.gov/pubmed/25770420","PubMed")</f>
        <v>PubMed</v>
      </c>
      <c r="V6216" s="30" t="s">
        <v>29341</v>
      </c>
      <c r="W6216" s="49"/>
      <c r="X6216" s="49"/>
      <c r="Y6216" s="35"/>
      <c r="Z6216" s="35"/>
      <c r="AA6216" s="35"/>
      <c r="AB6216" s="35"/>
      <c r="AC6216" s="35"/>
      <c r="AD6216" s="35"/>
      <c r="AE6216" s="35"/>
      <c r="AF6216" s="35"/>
      <c r="AG6216" s="35"/>
      <c r="AH6216" s="35"/>
      <c r="AI6216" s="35"/>
      <c r="AJ6216" s="35"/>
      <c r="AK6216" s="35"/>
      <c r="AL6216" s="35"/>
    </row>
    <row r="6217">
      <c r="A6217" s="1"/>
      <c r="B6217" s="19" t="s">
        <v>7020</v>
      </c>
      <c r="C6217" s="20" t="s">
        <v>29230</v>
      </c>
      <c r="D6217" s="47"/>
      <c r="E6217" s="22" t="s">
        <v>29342</v>
      </c>
      <c r="F6217" s="22" t="s">
        <v>9138</v>
      </c>
      <c r="G6217" s="23">
        <v>2014.0</v>
      </c>
      <c r="H6217" s="22" t="s">
        <v>4718</v>
      </c>
      <c r="I6217" s="24" t="s">
        <v>29343</v>
      </c>
      <c r="J6217" s="22" t="s">
        <v>649</v>
      </c>
      <c r="K6217" s="22" t="s">
        <v>29344</v>
      </c>
      <c r="L6217" s="43" t="s">
        <v>29345</v>
      </c>
      <c r="M6217" s="44"/>
      <c r="N6217" s="44"/>
      <c r="O6217" s="44"/>
      <c r="P6217" s="44"/>
      <c r="Q6217" s="44"/>
      <c r="R6217" s="44"/>
      <c r="S6217" s="44"/>
      <c r="T6217" s="45"/>
      <c r="U6217" s="38" t="str">
        <f>HYPERLINK("https://www.ncbi.nlm.nih.gov/pubmed/24284277","PubMed")</f>
        <v>PubMed</v>
      </c>
      <c r="V6217" s="50"/>
      <c r="W6217" s="49"/>
      <c r="X6217" s="49"/>
      <c r="Y6217" s="35"/>
      <c r="Z6217" s="35"/>
      <c r="AA6217" s="35"/>
      <c r="AB6217" s="35"/>
      <c r="AC6217" s="35"/>
      <c r="AD6217" s="35"/>
      <c r="AE6217" s="35"/>
      <c r="AF6217" s="35"/>
      <c r="AG6217" s="35"/>
      <c r="AH6217" s="35"/>
      <c r="AI6217" s="35"/>
      <c r="AJ6217" s="35"/>
      <c r="AK6217" s="35"/>
      <c r="AL6217" s="35"/>
    </row>
    <row r="6218">
      <c r="A6218" s="18" t="s">
        <v>181</v>
      </c>
      <c r="B6218" s="19" t="s">
        <v>7020</v>
      </c>
      <c r="C6218" s="20" t="s">
        <v>29230</v>
      </c>
      <c r="D6218" s="47"/>
      <c r="E6218" s="22" t="s">
        <v>29346</v>
      </c>
      <c r="F6218" s="22" t="s">
        <v>13151</v>
      </c>
      <c r="G6218" s="23">
        <v>2014.0</v>
      </c>
      <c r="H6218" s="22" t="s">
        <v>13257</v>
      </c>
      <c r="I6218" s="24" t="s">
        <v>29347</v>
      </c>
      <c r="J6218" s="22" t="s">
        <v>29348</v>
      </c>
      <c r="K6218" s="22"/>
      <c r="L6218" s="36">
        <v>904.0</v>
      </c>
      <c r="M6218" s="36" t="s">
        <v>58</v>
      </c>
      <c r="N6218" s="36" t="s">
        <v>58</v>
      </c>
      <c r="O6218" s="36" t="s">
        <v>58</v>
      </c>
      <c r="P6218" s="37" t="s">
        <v>269</v>
      </c>
      <c r="Q6218" s="36" t="s">
        <v>58</v>
      </c>
      <c r="R6218" s="36">
        <v>150.0</v>
      </c>
      <c r="S6218" s="36" t="s">
        <v>29349</v>
      </c>
      <c r="T6218" s="28" t="s">
        <v>29350</v>
      </c>
      <c r="U6218" s="38" t="str">
        <f>HYPERLINK("https://www.ncbi.nlm.nih.gov/pubmed/24519921","PubMed")</f>
        <v>PubMed</v>
      </c>
      <c r="V6218" s="50"/>
      <c r="W6218" s="49"/>
      <c r="X6218" s="49"/>
      <c r="Y6218" s="35"/>
      <c r="Z6218" s="35"/>
      <c r="AA6218" s="35"/>
      <c r="AB6218" s="35"/>
      <c r="AC6218" s="35"/>
      <c r="AD6218" s="35"/>
      <c r="AE6218" s="35"/>
      <c r="AF6218" s="35"/>
      <c r="AG6218" s="35"/>
      <c r="AH6218" s="35"/>
      <c r="AI6218" s="35"/>
      <c r="AJ6218" s="35"/>
      <c r="AK6218" s="35"/>
      <c r="AL6218" s="35"/>
    </row>
    <row r="6219">
      <c r="A6219" s="1"/>
      <c r="B6219" s="19" t="s">
        <v>7020</v>
      </c>
      <c r="C6219" s="20" t="s">
        <v>29230</v>
      </c>
      <c r="D6219" s="47"/>
      <c r="E6219" s="22" t="s">
        <v>29351</v>
      </c>
      <c r="F6219" s="22" t="s">
        <v>52</v>
      </c>
      <c r="G6219" s="23">
        <v>2014.0</v>
      </c>
      <c r="H6219" s="22" t="s">
        <v>4718</v>
      </c>
      <c r="I6219" s="24" t="s">
        <v>29352</v>
      </c>
      <c r="J6219" s="22" t="s">
        <v>29353</v>
      </c>
      <c r="K6219" s="22" t="s">
        <v>29354</v>
      </c>
      <c r="L6219" s="36"/>
      <c r="M6219" s="36"/>
      <c r="N6219" s="36"/>
      <c r="O6219" s="36"/>
      <c r="P6219" s="37"/>
      <c r="Q6219" s="36"/>
      <c r="R6219" s="36"/>
      <c r="S6219" s="36" t="s">
        <v>1514</v>
      </c>
      <c r="T6219" s="42" t="s">
        <v>29355</v>
      </c>
      <c r="U6219" s="38" t="str">
        <f>HYPERLINK("https://www.ncbi.nlm.nih.gov/pubmed/24346151","PubMed")</f>
        <v>PubMed</v>
      </c>
      <c r="V6219" s="50"/>
      <c r="W6219" s="49"/>
      <c r="X6219" s="49"/>
      <c r="Y6219" s="35"/>
      <c r="Z6219" s="35"/>
      <c r="AA6219" s="35"/>
      <c r="AB6219" s="35"/>
      <c r="AC6219" s="35"/>
      <c r="AD6219" s="35"/>
      <c r="AE6219" s="35"/>
      <c r="AF6219" s="35"/>
      <c r="AG6219" s="35"/>
      <c r="AH6219" s="35"/>
      <c r="AI6219" s="35"/>
      <c r="AJ6219" s="35"/>
      <c r="AK6219" s="35"/>
      <c r="AL6219" s="35"/>
    </row>
    <row r="6220">
      <c r="A6220" s="1"/>
      <c r="B6220" s="19" t="s">
        <v>7020</v>
      </c>
      <c r="C6220" s="20" t="s">
        <v>29230</v>
      </c>
      <c r="D6220" s="47"/>
      <c r="E6220" s="22" t="s">
        <v>28596</v>
      </c>
      <c r="F6220" s="22" t="s">
        <v>1337</v>
      </c>
      <c r="G6220" s="23">
        <v>2012.0</v>
      </c>
      <c r="H6220" s="22" t="s">
        <v>4733</v>
      </c>
      <c r="I6220" s="24" t="s">
        <v>29356</v>
      </c>
      <c r="J6220" s="22" t="s">
        <v>29357</v>
      </c>
      <c r="K6220" s="22" t="s">
        <v>29358</v>
      </c>
      <c r="L6220" s="36">
        <v>810.0</v>
      </c>
      <c r="M6220" s="36">
        <v>100.0</v>
      </c>
      <c r="N6220" s="36"/>
      <c r="O6220" s="36" t="s">
        <v>29359</v>
      </c>
      <c r="P6220" s="37"/>
      <c r="Q6220" s="36"/>
      <c r="R6220" s="36"/>
      <c r="S6220" s="36" t="s">
        <v>17419</v>
      </c>
      <c r="T6220" s="42" t="s">
        <v>29360</v>
      </c>
      <c r="U6220" s="38" t="str">
        <f>HYPERLINK("http://www.ncbi.nlm.nih.gov/pubmed/22507365","PubMed")</f>
        <v>PubMed</v>
      </c>
      <c r="V6220" s="30" t="s">
        <v>29361</v>
      </c>
      <c r="W6220" s="49"/>
      <c r="X6220" s="49"/>
      <c r="Y6220" s="35"/>
      <c r="Z6220" s="35"/>
      <c r="AA6220" s="35"/>
      <c r="AB6220" s="35"/>
      <c r="AC6220" s="35"/>
      <c r="AD6220" s="35"/>
      <c r="AE6220" s="35"/>
      <c r="AF6220" s="35"/>
      <c r="AG6220" s="35"/>
      <c r="AH6220" s="35"/>
      <c r="AI6220" s="35"/>
      <c r="AJ6220" s="35"/>
      <c r="AK6220" s="35"/>
      <c r="AL6220" s="35"/>
    </row>
    <row r="6221">
      <c r="A6221" s="1"/>
      <c r="B6221" s="19" t="s">
        <v>7020</v>
      </c>
      <c r="C6221" s="20" t="s">
        <v>29230</v>
      </c>
      <c r="D6221" s="47"/>
      <c r="E6221" s="22" t="s">
        <v>23934</v>
      </c>
      <c r="F6221" s="22" t="s">
        <v>1046</v>
      </c>
      <c r="G6221" s="23">
        <v>2012.0</v>
      </c>
      <c r="H6221" s="22" t="s">
        <v>91</v>
      </c>
      <c r="I6221" s="24" t="s">
        <v>29362</v>
      </c>
      <c r="J6221" s="22" t="s">
        <v>29363</v>
      </c>
      <c r="K6221" s="22" t="s">
        <v>29364</v>
      </c>
      <c r="L6221" s="36">
        <v>830.0</v>
      </c>
      <c r="M6221" s="36">
        <v>100.0</v>
      </c>
      <c r="N6221" s="36" t="s">
        <v>58</v>
      </c>
      <c r="O6221" s="36" t="s">
        <v>58</v>
      </c>
      <c r="P6221" s="37" t="s">
        <v>254</v>
      </c>
      <c r="Q6221" s="36" t="s">
        <v>29365</v>
      </c>
      <c r="R6221" s="36" t="s">
        <v>29366</v>
      </c>
      <c r="S6221" s="36" t="s">
        <v>17419</v>
      </c>
      <c r="T6221" s="28" t="s">
        <v>29367</v>
      </c>
      <c r="U6221" s="38" t="str">
        <f>HYPERLINK("https://www.ncbi.nlm.nih.gov/pubmed/22052627","PubMed")</f>
        <v>PubMed</v>
      </c>
      <c r="V6221" s="30" t="s">
        <v>29368</v>
      </c>
      <c r="W6221" s="49"/>
      <c r="X6221" s="49"/>
      <c r="Y6221" s="35"/>
      <c r="Z6221" s="35"/>
      <c r="AA6221" s="35"/>
      <c r="AB6221" s="35"/>
      <c r="AC6221" s="35"/>
      <c r="AD6221" s="35"/>
      <c r="AE6221" s="35"/>
      <c r="AF6221" s="35"/>
      <c r="AG6221" s="35"/>
      <c r="AH6221" s="35"/>
      <c r="AI6221" s="35"/>
      <c r="AJ6221" s="35"/>
      <c r="AK6221" s="35"/>
      <c r="AL6221" s="35"/>
    </row>
    <row r="6222">
      <c r="A6222" s="1"/>
      <c r="B6222" s="19" t="s">
        <v>7020</v>
      </c>
      <c r="C6222" s="20" t="s">
        <v>29230</v>
      </c>
      <c r="D6222" s="47"/>
      <c r="E6222" s="22" t="s">
        <v>29369</v>
      </c>
      <c r="F6222" s="22" t="s">
        <v>28941</v>
      </c>
      <c r="G6222" s="23">
        <v>2011.0</v>
      </c>
      <c r="H6222" s="22" t="s">
        <v>4862</v>
      </c>
      <c r="I6222" s="24" t="s">
        <v>29370</v>
      </c>
      <c r="J6222" s="22" t="s">
        <v>29371</v>
      </c>
      <c r="K6222" s="22"/>
      <c r="L6222" s="36">
        <v>890.0</v>
      </c>
      <c r="M6222" s="36"/>
      <c r="N6222" s="36"/>
      <c r="O6222" s="36"/>
      <c r="P6222" s="37" t="s">
        <v>13857</v>
      </c>
      <c r="Q6222" s="36"/>
      <c r="R6222" s="36">
        <v>300.0</v>
      </c>
      <c r="S6222" s="36" t="s">
        <v>1514</v>
      </c>
      <c r="T6222" s="28" t="s">
        <v>29372</v>
      </c>
      <c r="U6222" s="38" t="str">
        <f>HYPERLINK("https://www.ncbi.nlm.nih.gov/pubmed/21538218","PubMed")</f>
        <v>PubMed</v>
      </c>
      <c r="V6222" s="30" t="s">
        <v>29373</v>
      </c>
      <c r="W6222" s="49"/>
      <c r="X6222" s="49"/>
      <c r="Y6222" s="35"/>
      <c r="Z6222" s="35"/>
      <c r="AA6222" s="35"/>
      <c r="AB6222" s="35"/>
      <c r="AC6222" s="35"/>
      <c r="AD6222" s="35"/>
      <c r="AE6222" s="35"/>
      <c r="AF6222" s="35"/>
      <c r="AG6222" s="35"/>
      <c r="AH6222" s="35"/>
      <c r="AI6222" s="35"/>
      <c r="AJ6222" s="35"/>
      <c r="AK6222" s="35"/>
      <c r="AL6222" s="35"/>
    </row>
    <row r="6223">
      <c r="A6223" s="1"/>
      <c r="B6223" s="19" t="s">
        <v>7020</v>
      </c>
      <c r="C6223" s="20" t="s">
        <v>29230</v>
      </c>
      <c r="D6223" s="47"/>
      <c r="E6223" s="22" t="s">
        <v>29374</v>
      </c>
      <c r="F6223" s="22" t="s">
        <v>52</v>
      </c>
      <c r="G6223" s="23">
        <v>2010.0</v>
      </c>
      <c r="H6223" s="22" t="s">
        <v>10015</v>
      </c>
      <c r="I6223" s="24" t="s">
        <v>29375</v>
      </c>
      <c r="J6223" s="22" t="s">
        <v>29376</v>
      </c>
      <c r="K6223" s="22" t="s">
        <v>29354</v>
      </c>
      <c r="L6223" s="36">
        <v>850.0</v>
      </c>
      <c r="M6223" s="36"/>
      <c r="N6223" s="36"/>
      <c r="O6223" s="36"/>
      <c r="P6223" s="37"/>
      <c r="Q6223" s="36"/>
      <c r="R6223" s="36"/>
      <c r="S6223" s="36" t="s">
        <v>29377</v>
      </c>
      <c r="T6223" s="41" t="s">
        <v>29378</v>
      </c>
      <c r="U6223" s="38" t="str">
        <f>HYPERLINK("https://www.ncbi.nlm.nih.gov/pubmed/21120304","PubMed")</f>
        <v>PubMed</v>
      </c>
      <c r="V6223" s="50"/>
      <c r="W6223" s="49"/>
      <c r="X6223" s="49"/>
      <c r="Y6223" s="35"/>
      <c r="Z6223" s="35"/>
      <c r="AA6223" s="35"/>
      <c r="AB6223" s="35"/>
      <c r="AC6223" s="35"/>
      <c r="AD6223" s="35"/>
      <c r="AE6223" s="35"/>
      <c r="AF6223" s="35"/>
      <c r="AG6223" s="35"/>
      <c r="AH6223" s="35"/>
      <c r="AI6223" s="35"/>
      <c r="AJ6223" s="35"/>
      <c r="AK6223" s="35"/>
      <c r="AL6223" s="35"/>
    </row>
    <row r="6224">
      <c r="A6224" s="1"/>
      <c r="B6224" s="19" t="s">
        <v>7020</v>
      </c>
      <c r="C6224" s="20" t="s">
        <v>29230</v>
      </c>
      <c r="D6224" s="47"/>
      <c r="E6224" s="22" t="s">
        <v>29379</v>
      </c>
      <c r="F6224" s="22" t="s">
        <v>52</v>
      </c>
      <c r="G6224" s="23">
        <v>2009.0</v>
      </c>
      <c r="H6224" s="22" t="s">
        <v>658</v>
      </c>
      <c r="I6224" s="24" t="s">
        <v>29380</v>
      </c>
      <c r="J6224" s="22" t="s">
        <v>29381</v>
      </c>
      <c r="K6224" s="22" t="s">
        <v>29382</v>
      </c>
      <c r="L6224" s="36">
        <v>904.0</v>
      </c>
      <c r="M6224" s="129">
        <v>42779.0</v>
      </c>
      <c r="N6224" s="36"/>
      <c r="O6224" s="36" t="s">
        <v>21529</v>
      </c>
      <c r="P6224" s="37" t="s">
        <v>29383</v>
      </c>
      <c r="Q6224" s="36" t="s">
        <v>729</v>
      </c>
      <c r="R6224" s="36" t="s">
        <v>4627</v>
      </c>
      <c r="S6224" s="36" t="s">
        <v>1514</v>
      </c>
      <c r="T6224" s="41" t="s">
        <v>29384</v>
      </c>
      <c r="U6224" s="38" t="str">
        <f>HYPERLINK("https://www.ncbi.nlm.nih.gov/pubmed/19250050","PubMed")</f>
        <v>PubMed</v>
      </c>
      <c r="V6224" s="50"/>
      <c r="W6224" s="49"/>
      <c r="X6224" s="49"/>
      <c r="Y6224" s="35"/>
      <c r="Z6224" s="35"/>
      <c r="AA6224" s="35"/>
      <c r="AB6224" s="35"/>
      <c r="AC6224" s="35"/>
      <c r="AD6224" s="35"/>
      <c r="AE6224" s="35"/>
      <c r="AF6224" s="35"/>
      <c r="AG6224" s="35"/>
      <c r="AH6224" s="35"/>
      <c r="AI6224" s="35"/>
      <c r="AJ6224" s="35"/>
      <c r="AK6224" s="35"/>
      <c r="AL6224" s="35"/>
    </row>
    <row r="6225">
      <c r="A6225" s="1"/>
      <c r="B6225" s="19" t="s">
        <v>7020</v>
      </c>
      <c r="C6225" s="20" t="s">
        <v>29230</v>
      </c>
      <c r="D6225" s="47"/>
      <c r="E6225" s="22" t="s">
        <v>29385</v>
      </c>
      <c r="F6225" s="22" t="s">
        <v>27969</v>
      </c>
      <c r="G6225" s="23">
        <v>2009.0</v>
      </c>
      <c r="H6225" s="22" t="s">
        <v>13143</v>
      </c>
      <c r="I6225" s="24" t="s">
        <v>29386</v>
      </c>
      <c r="J6225" s="22" t="s">
        <v>29387</v>
      </c>
      <c r="K6225" s="22" t="s">
        <v>29388</v>
      </c>
      <c r="L6225" s="36">
        <v>1064.0</v>
      </c>
      <c r="M6225" s="36"/>
      <c r="N6225" s="36"/>
      <c r="O6225" s="36"/>
      <c r="P6225" s="37" t="s">
        <v>29389</v>
      </c>
      <c r="Q6225" s="36"/>
      <c r="R6225" s="36">
        <v>600.0</v>
      </c>
      <c r="S6225" s="36" t="s">
        <v>1514</v>
      </c>
      <c r="T6225" s="28" t="s">
        <v>29390</v>
      </c>
      <c r="U6225" s="38" t="str">
        <f>HYPERLINK("https://www.ncbi.nlm.nih.gov/pubmed/19482902","PubMed")</f>
        <v>PubMed</v>
      </c>
      <c r="V6225" s="50"/>
      <c r="W6225" s="49"/>
      <c r="X6225" s="49"/>
      <c r="Y6225" s="35"/>
      <c r="Z6225" s="35"/>
      <c r="AA6225" s="35"/>
      <c r="AB6225" s="35"/>
      <c r="AC6225" s="35"/>
      <c r="AD6225" s="35"/>
      <c r="AE6225" s="35"/>
      <c r="AF6225" s="35"/>
      <c r="AG6225" s="35"/>
      <c r="AH6225" s="35"/>
      <c r="AI6225" s="35"/>
      <c r="AJ6225" s="35"/>
      <c r="AK6225" s="35"/>
      <c r="AL6225" s="35"/>
    </row>
    <row r="6226">
      <c r="A6226" s="1" t="s">
        <v>29391</v>
      </c>
      <c r="B6226" s="19" t="s">
        <v>7020</v>
      </c>
      <c r="C6226" s="20" t="s">
        <v>29230</v>
      </c>
      <c r="D6226" s="47"/>
      <c r="E6226" s="22" t="s">
        <v>29392</v>
      </c>
      <c r="F6226" s="22" t="s">
        <v>605</v>
      </c>
      <c r="G6226" s="23">
        <v>2009.0</v>
      </c>
      <c r="H6226" s="22" t="s">
        <v>13115</v>
      </c>
      <c r="I6226" s="24" t="s">
        <v>29393</v>
      </c>
      <c r="J6226" s="22" t="s">
        <v>29394</v>
      </c>
      <c r="K6226" s="22" t="s">
        <v>29395</v>
      </c>
      <c r="L6226" s="36">
        <v>904.0</v>
      </c>
      <c r="M6226" s="36"/>
      <c r="N6226" s="36"/>
      <c r="O6226" s="36" t="s">
        <v>29396</v>
      </c>
      <c r="P6226" s="37"/>
      <c r="Q6226" s="36" t="s">
        <v>29397</v>
      </c>
      <c r="R6226" s="36" t="s">
        <v>29398</v>
      </c>
      <c r="S6226" s="36" t="s">
        <v>4708</v>
      </c>
      <c r="T6226" s="41" t="s">
        <v>29399</v>
      </c>
      <c r="U6226" s="38" t="str">
        <f>HYPERLINK("https://www.ncbi.nlm.nih.gov/pubmed/19031167","PubMed")</f>
        <v>PubMed</v>
      </c>
      <c r="V6226" s="30" t="s">
        <v>29400</v>
      </c>
      <c r="W6226" s="49"/>
      <c r="X6226" s="49"/>
      <c r="Y6226" s="35"/>
      <c r="Z6226" s="35"/>
      <c r="AA6226" s="35"/>
      <c r="AB6226" s="35"/>
      <c r="AC6226" s="35"/>
      <c r="AD6226" s="35"/>
      <c r="AE6226" s="35"/>
      <c r="AF6226" s="35"/>
      <c r="AG6226" s="35"/>
      <c r="AH6226" s="35"/>
      <c r="AI6226" s="35"/>
      <c r="AJ6226" s="35"/>
      <c r="AK6226" s="35"/>
      <c r="AL6226" s="35"/>
    </row>
    <row r="6227">
      <c r="A6227" s="18" t="s">
        <v>29401</v>
      </c>
      <c r="B6227" s="19" t="s">
        <v>7020</v>
      </c>
      <c r="C6227" s="20" t="s">
        <v>29230</v>
      </c>
      <c r="D6227" s="47"/>
      <c r="E6227" s="22" t="s">
        <v>17508</v>
      </c>
      <c r="F6227" s="22" t="s">
        <v>29402</v>
      </c>
      <c r="G6227" s="23">
        <v>2008.0</v>
      </c>
      <c r="H6227" s="22" t="s">
        <v>658</v>
      </c>
      <c r="I6227" s="24" t="s">
        <v>29403</v>
      </c>
      <c r="J6227" s="22" t="s">
        <v>29404</v>
      </c>
      <c r="K6227" s="22"/>
      <c r="L6227" s="36">
        <v>810.0</v>
      </c>
      <c r="M6227" s="36">
        <v>60.0</v>
      </c>
      <c r="N6227" s="36"/>
      <c r="O6227" s="36" t="s">
        <v>29405</v>
      </c>
      <c r="P6227" s="37" t="s">
        <v>7754</v>
      </c>
      <c r="Q6227" s="36" t="s">
        <v>840</v>
      </c>
      <c r="R6227" s="36">
        <v>240.0</v>
      </c>
      <c r="S6227" s="36" t="s">
        <v>12874</v>
      </c>
      <c r="T6227" s="28" t="s">
        <v>29406</v>
      </c>
      <c r="U6227" s="38" t="str">
        <f>HYPERLINK("https://www.ncbi.nlm.nih.gov/pubmed/18341417","PubMed")</f>
        <v>PubMed</v>
      </c>
      <c r="V6227" s="30" t="s">
        <v>29407</v>
      </c>
      <c r="W6227" s="49"/>
      <c r="X6227" s="49"/>
      <c r="Y6227" s="35"/>
      <c r="Z6227" s="35"/>
      <c r="AA6227" s="35"/>
      <c r="AB6227" s="35"/>
      <c r="AC6227" s="35"/>
      <c r="AD6227" s="35"/>
      <c r="AE6227" s="35"/>
      <c r="AF6227" s="35"/>
      <c r="AG6227" s="35"/>
      <c r="AH6227" s="35"/>
      <c r="AI6227" s="35"/>
      <c r="AJ6227" s="35"/>
      <c r="AK6227" s="35"/>
      <c r="AL6227" s="35"/>
    </row>
    <row r="6228">
      <c r="A6228" s="18"/>
      <c r="B6228" s="19" t="s">
        <v>7020</v>
      </c>
      <c r="C6228" s="20" t="s">
        <v>29230</v>
      </c>
      <c r="D6228" s="47"/>
      <c r="E6228" s="22" t="s">
        <v>29408</v>
      </c>
      <c r="F6228" s="22" t="s">
        <v>4763</v>
      </c>
      <c r="G6228" s="23">
        <v>2005.0</v>
      </c>
      <c r="H6228" s="22" t="s">
        <v>658</v>
      </c>
      <c r="I6228" s="24" t="s">
        <v>29409</v>
      </c>
      <c r="J6228" s="22" t="s">
        <v>29410</v>
      </c>
      <c r="K6228" s="22" t="s">
        <v>26525</v>
      </c>
      <c r="L6228" s="36">
        <v>904.0</v>
      </c>
      <c r="M6228" s="36"/>
      <c r="N6228" s="36"/>
      <c r="O6228" s="36"/>
      <c r="P6228" s="37" t="s">
        <v>29411</v>
      </c>
      <c r="Q6228" s="36" t="s">
        <v>729</v>
      </c>
      <c r="R6228" s="36">
        <v>60.0</v>
      </c>
      <c r="S6228" s="36" t="s">
        <v>1514</v>
      </c>
      <c r="T6228" s="42" t="s">
        <v>29412</v>
      </c>
      <c r="U6228" s="38" t="str">
        <f>HYPERLINK("https://www.ncbi.nlm.nih.gov/pubmed/16262574","PubMed")</f>
        <v>PubMed</v>
      </c>
      <c r="V6228" s="50"/>
      <c r="W6228" s="130" t="str">
        <f>HYPERLINK("http://online.liebertpub.com/doi/abs/10.1089/pho.2006.24.532","Comment")</f>
        <v>Comment</v>
      </c>
      <c r="X6228" s="49"/>
      <c r="Y6228" s="35"/>
      <c r="Z6228" s="35"/>
      <c r="AA6228" s="35"/>
      <c r="AB6228" s="35"/>
      <c r="AC6228" s="35"/>
      <c r="AD6228" s="35"/>
      <c r="AE6228" s="35"/>
      <c r="AF6228" s="35"/>
      <c r="AG6228" s="35"/>
      <c r="AH6228" s="35"/>
      <c r="AI6228" s="35"/>
      <c r="AJ6228" s="35"/>
      <c r="AK6228" s="35"/>
      <c r="AL6228" s="35"/>
    </row>
    <row r="6229">
      <c r="A6229" s="18"/>
      <c r="B6229" s="19" t="s">
        <v>7020</v>
      </c>
      <c r="C6229" s="20" t="s">
        <v>29230</v>
      </c>
      <c r="D6229" s="47"/>
      <c r="E6229" s="22" t="s">
        <v>29413</v>
      </c>
      <c r="F6229" s="22" t="s">
        <v>29414</v>
      </c>
      <c r="G6229" s="23">
        <v>1995.0</v>
      </c>
      <c r="H6229" s="22" t="s">
        <v>13257</v>
      </c>
      <c r="I6229" s="24" t="s">
        <v>29415</v>
      </c>
      <c r="J6229" s="22" t="s">
        <v>29416</v>
      </c>
      <c r="K6229" s="22"/>
      <c r="L6229" s="36">
        <v>820.0</v>
      </c>
      <c r="M6229" s="36">
        <v>40.0</v>
      </c>
      <c r="N6229" s="36"/>
      <c r="O6229" s="36"/>
      <c r="P6229" s="37" t="s">
        <v>480</v>
      </c>
      <c r="Q6229" s="36"/>
      <c r="R6229" s="36"/>
      <c r="S6229" s="36"/>
      <c r="T6229" s="28" t="s">
        <v>29417</v>
      </c>
      <c r="U6229" s="38" t="str">
        <f>HYPERLINK("http://journals.sagepub.com/doi/abs/10.1177/026921559500900207","SAGE")</f>
        <v>SAGE</v>
      </c>
      <c r="V6229" s="30" t="s">
        <v>174</v>
      </c>
      <c r="W6229" s="34"/>
      <c r="X6229" s="49"/>
      <c r="Y6229" s="35"/>
      <c r="Z6229" s="35"/>
      <c r="AA6229" s="35"/>
      <c r="AB6229" s="35"/>
      <c r="AC6229" s="35"/>
      <c r="AD6229" s="35"/>
      <c r="AE6229" s="35"/>
      <c r="AF6229" s="35"/>
      <c r="AG6229" s="35"/>
      <c r="AH6229" s="35"/>
      <c r="AI6229" s="35"/>
      <c r="AJ6229" s="35"/>
      <c r="AK6229" s="35"/>
      <c r="AL6229" s="35"/>
    </row>
    <row r="6230">
      <c r="A6230" s="18"/>
      <c r="B6230" s="19" t="s">
        <v>7020</v>
      </c>
      <c r="C6230" s="20" t="s">
        <v>29230</v>
      </c>
      <c r="D6230" s="47"/>
      <c r="E6230" s="22" t="s">
        <v>29418</v>
      </c>
      <c r="F6230" s="22" t="s">
        <v>15120</v>
      </c>
      <c r="G6230" s="23">
        <v>1993.0</v>
      </c>
      <c r="H6230" s="22" t="s">
        <v>13875</v>
      </c>
      <c r="I6230" s="24" t="s">
        <v>29419</v>
      </c>
      <c r="J6230" s="22" t="s">
        <v>29420</v>
      </c>
      <c r="K6230" s="22"/>
      <c r="L6230" s="36">
        <v>830.0</v>
      </c>
      <c r="M6230" s="36">
        <v>30.0</v>
      </c>
      <c r="N6230" s="36"/>
      <c r="O6230" s="36" t="s">
        <v>29421</v>
      </c>
      <c r="P6230" s="37"/>
      <c r="Q6230" s="36" t="s">
        <v>1126</v>
      </c>
      <c r="R6230" s="36"/>
      <c r="S6230" s="36" t="s">
        <v>2680</v>
      </c>
      <c r="T6230" s="41" t="s">
        <v>29422</v>
      </c>
      <c r="U6230" s="38" t="str">
        <f>HYPERLINK("https://www.ncbi.nlm.nih.gov/pubmed/8348278","PubMed")</f>
        <v>PubMed</v>
      </c>
      <c r="V6230" s="30" t="s">
        <v>29423</v>
      </c>
      <c r="W6230" s="34"/>
      <c r="X6230" s="49"/>
      <c r="Y6230" s="35"/>
      <c r="Z6230" s="35"/>
      <c r="AA6230" s="35"/>
      <c r="AB6230" s="35"/>
      <c r="AC6230" s="35"/>
      <c r="AD6230" s="35"/>
      <c r="AE6230" s="35"/>
      <c r="AF6230" s="35"/>
      <c r="AG6230" s="35"/>
      <c r="AH6230" s="35"/>
      <c r="AI6230" s="35"/>
      <c r="AJ6230" s="35"/>
      <c r="AK6230" s="35"/>
      <c r="AL6230" s="35"/>
    </row>
    <row r="6231">
      <c r="A6231" s="18"/>
      <c r="B6231" s="19" t="s">
        <v>7020</v>
      </c>
      <c r="C6231" s="20" t="s">
        <v>29230</v>
      </c>
      <c r="D6231" s="47"/>
      <c r="E6231" s="22" t="s">
        <v>29424</v>
      </c>
      <c r="F6231" s="22" t="s">
        <v>29425</v>
      </c>
      <c r="G6231" s="23">
        <v>1989.0</v>
      </c>
      <c r="H6231" s="22" t="s">
        <v>13862</v>
      </c>
      <c r="I6231" s="24" t="s">
        <v>29426</v>
      </c>
      <c r="J6231" s="22" t="s">
        <v>29427</v>
      </c>
      <c r="K6231" s="22"/>
      <c r="L6231" s="36">
        <v>904.0</v>
      </c>
      <c r="M6231" s="36"/>
      <c r="N6231" s="36"/>
      <c r="O6231" s="36"/>
      <c r="P6231" s="37"/>
      <c r="Q6231" s="36"/>
      <c r="R6231" s="36"/>
      <c r="S6231" s="36" t="s">
        <v>2302</v>
      </c>
      <c r="T6231" s="28" t="s">
        <v>29428</v>
      </c>
      <c r="U6231" s="38" t="str">
        <f>HYPERLINK("https://www.ncbi.nlm.nih.gov/pubmed/2694356","PubMed")</f>
        <v>PubMed</v>
      </c>
      <c r="V6231" s="50"/>
      <c r="W6231" s="34"/>
      <c r="X6231" s="49"/>
      <c r="Y6231" s="35"/>
      <c r="Z6231" s="35"/>
      <c r="AA6231" s="35"/>
      <c r="AB6231" s="35"/>
      <c r="AC6231" s="35"/>
      <c r="AD6231" s="35"/>
      <c r="AE6231" s="35"/>
      <c r="AF6231" s="35"/>
      <c r="AG6231" s="35"/>
      <c r="AH6231" s="35"/>
      <c r="AI6231" s="35"/>
      <c r="AJ6231" s="35"/>
      <c r="AK6231" s="35"/>
      <c r="AL6231" s="35"/>
    </row>
    <row r="6232">
      <c r="A6232" s="18"/>
      <c r="B6232" s="19" t="s">
        <v>7020</v>
      </c>
      <c r="C6232" s="20" t="s">
        <v>29429</v>
      </c>
      <c r="D6232" s="47"/>
      <c r="E6232" s="22" t="s">
        <v>29430</v>
      </c>
      <c r="F6232" s="22" t="s">
        <v>1416</v>
      </c>
      <c r="G6232" s="23">
        <v>1991.0</v>
      </c>
      <c r="H6232" s="22" t="s">
        <v>1289</v>
      </c>
      <c r="I6232" s="24" t="s">
        <v>29431</v>
      </c>
      <c r="J6232" s="22" t="s">
        <v>29432</v>
      </c>
      <c r="K6232" s="22"/>
      <c r="L6232" s="36">
        <v>780.0</v>
      </c>
      <c r="M6232" s="36"/>
      <c r="N6232" s="36"/>
      <c r="O6232" s="36"/>
      <c r="P6232" s="37"/>
      <c r="Q6232" s="36"/>
      <c r="R6232" s="36" t="s">
        <v>29433</v>
      </c>
      <c r="S6232" s="36" t="s">
        <v>29434</v>
      </c>
      <c r="T6232" s="42" t="s">
        <v>29435</v>
      </c>
      <c r="U6232" s="38" t="str">
        <f>HYPERLINK("https://www.liebertpub.com/doi/abs/10.1089/clm.1991.9.143","LiebertPub")</f>
        <v>LiebertPub</v>
      </c>
      <c r="V6232" s="30" t="s">
        <v>29436</v>
      </c>
      <c r="W6232" s="34"/>
      <c r="X6232" s="49"/>
      <c r="Y6232" s="35"/>
      <c r="Z6232" s="35"/>
      <c r="AA6232" s="35"/>
      <c r="AB6232" s="35"/>
      <c r="AC6232" s="35"/>
      <c r="AD6232" s="35"/>
      <c r="AE6232" s="35"/>
      <c r="AF6232" s="35"/>
      <c r="AG6232" s="35"/>
      <c r="AH6232" s="35"/>
      <c r="AI6232" s="35"/>
      <c r="AJ6232" s="35"/>
      <c r="AK6232" s="35"/>
      <c r="AL6232" s="35"/>
    </row>
    <row r="6233">
      <c r="A6233" s="18"/>
      <c r="B6233" s="19" t="s">
        <v>7020</v>
      </c>
      <c r="C6233" s="20" t="s">
        <v>29437</v>
      </c>
      <c r="D6233" s="47"/>
      <c r="E6233" s="22" t="s">
        <v>13745</v>
      </c>
      <c r="F6233" s="22" t="s">
        <v>5649</v>
      </c>
      <c r="G6233" s="23">
        <v>2003.0</v>
      </c>
      <c r="H6233" s="22" t="s">
        <v>53</v>
      </c>
      <c r="I6233" s="24" t="s">
        <v>29438</v>
      </c>
      <c r="J6233" s="22" t="s">
        <v>29439</v>
      </c>
      <c r="K6233" s="22" t="s">
        <v>5886</v>
      </c>
      <c r="L6233" s="36" t="s">
        <v>3447</v>
      </c>
      <c r="M6233" s="36">
        <v>920.0</v>
      </c>
      <c r="N6233" s="36"/>
      <c r="O6233" s="36" t="s">
        <v>29440</v>
      </c>
      <c r="P6233" s="37"/>
      <c r="Q6233" s="36"/>
      <c r="R6233" s="36"/>
      <c r="S6233" s="36"/>
      <c r="T6233" s="42" t="s">
        <v>29441</v>
      </c>
      <c r="U6233" s="38" t="str">
        <f>HYPERLINK("https://www.ncbi.nlm.nih.gov/pubmed/12766967","PubMed")</f>
        <v>PubMed</v>
      </c>
      <c r="V6233" s="50"/>
      <c r="W6233" s="34"/>
      <c r="X6233" s="49"/>
      <c r="Y6233" s="35"/>
      <c r="Z6233" s="35"/>
      <c r="AA6233" s="35"/>
      <c r="AB6233" s="35"/>
      <c r="AC6233" s="35"/>
      <c r="AD6233" s="35"/>
      <c r="AE6233" s="35"/>
      <c r="AF6233" s="35"/>
      <c r="AG6233" s="35"/>
      <c r="AH6233" s="35"/>
      <c r="AI6233" s="35"/>
      <c r="AJ6233" s="35"/>
      <c r="AK6233" s="35"/>
      <c r="AL6233" s="35"/>
    </row>
    <row r="6234">
      <c r="A6234" s="18"/>
      <c r="B6234" s="19" t="s">
        <v>7020</v>
      </c>
      <c r="C6234" s="20" t="s">
        <v>29437</v>
      </c>
      <c r="D6234" s="47"/>
      <c r="E6234" s="22" t="s">
        <v>29442</v>
      </c>
      <c r="F6234" s="22" t="s">
        <v>29443</v>
      </c>
      <c r="G6234" s="23">
        <v>1992.0</v>
      </c>
      <c r="H6234" s="22" t="s">
        <v>292</v>
      </c>
      <c r="I6234" s="24" t="s">
        <v>29444</v>
      </c>
      <c r="J6234" s="22" t="s">
        <v>1773</v>
      </c>
      <c r="K6234" s="22"/>
      <c r="L6234" s="36"/>
      <c r="M6234" s="36"/>
      <c r="N6234" s="36"/>
      <c r="O6234" s="36"/>
      <c r="P6234" s="37"/>
      <c r="Q6234" s="36"/>
      <c r="R6234" s="36"/>
      <c r="S6234" s="36"/>
      <c r="T6234" s="42" t="s">
        <v>29445</v>
      </c>
      <c r="U6234" s="38" t="str">
        <f>HYPERLINK("https://www.jstage.jst.go.jp/article/islsm/4/4/4_92-OR-19/_article/-char/en","J-STAGE")</f>
        <v>J-STAGE</v>
      </c>
      <c r="V6234" s="50"/>
      <c r="W6234" s="34"/>
      <c r="X6234" s="49"/>
      <c r="Y6234" s="35"/>
      <c r="Z6234" s="35"/>
      <c r="AA6234" s="35"/>
      <c r="AB6234" s="35"/>
      <c r="AC6234" s="35"/>
      <c r="AD6234" s="35"/>
      <c r="AE6234" s="35"/>
      <c r="AF6234" s="35"/>
      <c r="AG6234" s="35"/>
      <c r="AH6234" s="35"/>
      <c r="AI6234" s="35"/>
      <c r="AJ6234" s="35"/>
      <c r="AK6234" s="35"/>
      <c r="AL6234" s="35"/>
    </row>
    <row r="6235">
      <c r="A6235" s="18"/>
      <c r="B6235" s="19" t="s">
        <v>7020</v>
      </c>
      <c r="C6235" s="20" t="s">
        <v>29446</v>
      </c>
      <c r="D6235" s="47"/>
      <c r="E6235" s="22" t="s">
        <v>29447</v>
      </c>
      <c r="F6235" s="22" t="s">
        <v>5567</v>
      </c>
      <c r="G6235" s="23">
        <v>2022.0</v>
      </c>
      <c r="H6235" s="22" t="s">
        <v>29448</v>
      </c>
      <c r="I6235" s="24" t="s">
        <v>29449</v>
      </c>
      <c r="J6235" s="22" t="s">
        <v>125</v>
      </c>
      <c r="K6235" s="22"/>
      <c r="L6235" s="173" t="s">
        <v>29450</v>
      </c>
      <c r="U6235" s="38" t="s">
        <v>61</v>
      </c>
      <c r="V6235" s="50"/>
      <c r="W6235" s="49"/>
      <c r="X6235" s="49"/>
      <c r="Y6235" s="35"/>
      <c r="Z6235" s="35"/>
      <c r="AA6235" s="35"/>
      <c r="AB6235" s="35"/>
      <c r="AC6235" s="35"/>
      <c r="AD6235" s="35"/>
      <c r="AE6235" s="35"/>
      <c r="AF6235" s="35"/>
      <c r="AG6235" s="35"/>
      <c r="AH6235" s="35"/>
      <c r="AI6235" s="35"/>
      <c r="AJ6235" s="35"/>
      <c r="AK6235" s="35"/>
      <c r="AL6235" s="35"/>
    </row>
    <row r="6236">
      <c r="A6236" s="18"/>
      <c r="B6236" s="19" t="s">
        <v>7020</v>
      </c>
      <c r="C6236" s="20" t="s">
        <v>29451</v>
      </c>
      <c r="D6236" s="47"/>
      <c r="E6236" s="22" t="s">
        <v>29452</v>
      </c>
      <c r="F6236" s="22" t="s">
        <v>1576</v>
      </c>
      <c r="G6236" s="23">
        <v>2022.0</v>
      </c>
      <c r="H6236" s="22" t="s">
        <v>147</v>
      </c>
      <c r="I6236" s="24" t="s">
        <v>29453</v>
      </c>
      <c r="J6236" s="22" t="s">
        <v>1078</v>
      </c>
      <c r="K6236" s="22"/>
      <c r="L6236" s="195" t="s">
        <v>29454</v>
      </c>
      <c r="M6236" s="44"/>
      <c r="N6236" s="44"/>
      <c r="O6236" s="44"/>
      <c r="P6236" s="44"/>
      <c r="Q6236" s="44"/>
      <c r="R6236" s="44"/>
      <c r="S6236" s="44"/>
      <c r="T6236" s="45"/>
      <c r="U6236" s="29" t="s">
        <v>61</v>
      </c>
      <c r="V6236" s="50"/>
      <c r="W6236" s="49"/>
      <c r="X6236" s="49"/>
      <c r="Y6236" s="35"/>
      <c r="Z6236" s="35"/>
      <c r="AA6236" s="35"/>
      <c r="AB6236" s="35"/>
      <c r="AC6236" s="35"/>
      <c r="AD6236" s="35"/>
      <c r="AE6236" s="35"/>
      <c r="AF6236" s="35"/>
      <c r="AG6236" s="35"/>
      <c r="AH6236" s="35"/>
      <c r="AI6236" s="35"/>
      <c r="AJ6236" s="35"/>
      <c r="AK6236" s="35"/>
      <c r="AL6236" s="35"/>
    </row>
    <row r="6237">
      <c r="A6237" s="18"/>
      <c r="B6237" s="19" t="s">
        <v>7020</v>
      </c>
      <c r="C6237" s="20" t="s">
        <v>29451</v>
      </c>
      <c r="D6237" s="47"/>
      <c r="E6237" s="22" t="s">
        <v>29455</v>
      </c>
      <c r="F6237" s="22" t="s">
        <v>7853</v>
      </c>
      <c r="G6237" s="23">
        <v>2022.0</v>
      </c>
      <c r="H6237" s="22" t="s">
        <v>3523</v>
      </c>
      <c r="I6237" s="24" t="s">
        <v>29456</v>
      </c>
      <c r="J6237" s="22" t="s">
        <v>29457</v>
      </c>
      <c r="K6237" s="22" t="s">
        <v>29458</v>
      </c>
      <c r="L6237" s="36" t="s">
        <v>29459</v>
      </c>
      <c r="M6237" s="36"/>
      <c r="N6237" s="36"/>
      <c r="O6237" s="129"/>
      <c r="P6237" s="37" t="s">
        <v>29460</v>
      </c>
      <c r="Q6237" s="36"/>
      <c r="R6237" s="36" t="s">
        <v>29461</v>
      </c>
      <c r="S6237" s="36"/>
      <c r="T6237" s="41" t="s">
        <v>29462</v>
      </c>
      <c r="U6237" s="29" t="s">
        <v>61</v>
      </c>
      <c r="V6237" s="50"/>
      <c r="W6237" s="49"/>
      <c r="X6237" s="49"/>
      <c r="Y6237" s="35"/>
      <c r="Z6237" s="35"/>
      <c r="AA6237" s="35"/>
      <c r="AB6237" s="35"/>
      <c r="AC6237" s="35"/>
      <c r="AD6237" s="35"/>
      <c r="AE6237" s="35"/>
      <c r="AF6237" s="35"/>
      <c r="AG6237" s="35"/>
      <c r="AH6237" s="35"/>
      <c r="AI6237" s="35"/>
      <c r="AJ6237" s="35"/>
      <c r="AK6237" s="35"/>
      <c r="AL6237" s="35"/>
    </row>
    <row r="6238">
      <c r="A6238" s="18"/>
      <c r="B6238" s="19" t="s">
        <v>7020</v>
      </c>
      <c r="C6238" s="20" t="s">
        <v>29451</v>
      </c>
      <c r="D6238" s="47"/>
      <c r="E6238" s="22" t="s">
        <v>29463</v>
      </c>
      <c r="F6238" s="22" t="s">
        <v>1046</v>
      </c>
      <c r="G6238" s="23">
        <v>2013.0</v>
      </c>
      <c r="H6238" s="22" t="s">
        <v>147</v>
      </c>
      <c r="I6238" s="24" t="s">
        <v>29464</v>
      </c>
      <c r="J6238" s="22" t="s">
        <v>29465</v>
      </c>
      <c r="K6238" s="22"/>
      <c r="L6238" s="36">
        <v>980.0</v>
      </c>
      <c r="M6238" s="36"/>
      <c r="N6238" s="36"/>
      <c r="O6238" s="129"/>
      <c r="P6238" s="37" t="s">
        <v>254</v>
      </c>
      <c r="Q6238" s="36"/>
      <c r="R6238" s="36"/>
      <c r="S6238" s="36">
        <v>1.0</v>
      </c>
      <c r="T6238" s="28" t="s">
        <v>29466</v>
      </c>
      <c r="U6238" s="38" t="str">
        <f>HYPERLINK("https://www.ncbi.nlm.nih.gov/pubmed/25606312/","PubMed")</f>
        <v>PubMed</v>
      </c>
      <c r="V6238" s="50"/>
      <c r="W6238" s="49"/>
      <c r="X6238" s="49"/>
      <c r="Y6238" s="35"/>
      <c r="Z6238" s="35"/>
      <c r="AA6238" s="35"/>
      <c r="AB6238" s="35"/>
      <c r="AC6238" s="35"/>
      <c r="AD6238" s="35"/>
      <c r="AE6238" s="35"/>
      <c r="AF6238" s="35"/>
      <c r="AG6238" s="35"/>
      <c r="AH6238" s="35"/>
      <c r="AI6238" s="35"/>
      <c r="AJ6238" s="35"/>
      <c r="AK6238" s="35"/>
      <c r="AL6238" s="35"/>
    </row>
    <row r="6239">
      <c r="A6239" s="18"/>
      <c r="B6239" s="19" t="s">
        <v>7020</v>
      </c>
      <c r="C6239" s="20" t="s">
        <v>29446</v>
      </c>
      <c r="D6239" s="47"/>
      <c r="E6239" s="22" t="s">
        <v>29467</v>
      </c>
      <c r="F6239" s="22" t="s">
        <v>19764</v>
      </c>
      <c r="G6239" s="23">
        <v>2020.0</v>
      </c>
      <c r="H6239" s="22" t="s">
        <v>798</v>
      </c>
      <c r="I6239" s="24" t="s">
        <v>29468</v>
      </c>
      <c r="J6239" s="22" t="s">
        <v>29469</v>
      </c>
      <c r="K6239" s="22" t="s">
        <v>29470</v>
      </c>
      <c r="L6239" s="36" t="s">
        <v>29471</v>
      </c>
      <c r="M6239" s="36">
        <v>100.0</v>
      </c>
      <c r="N6239" s="36"/>
      <c r="O6239" s="36"/>
      <c r="P6239" s="37" t="s">
        <v>29472</v>
      </c>
      <c r="Q6239" s="36"/>
      <c r="R6239" s="36"/>
      <c r="S6239" s="36" t="s">
        <v>363</v>
      </c>
      <c r="T6239" s="28" t="s">
        <v>29473</v>
      </c>
      <c r="U6239" s="29" t="s">
        <v>61</v>
      </c>
      <c r="V6239" s="30" t="s">
        <v>29474</v>
      </c>
      <c r="W6239" s="34"/>
      <c r="X6239" s="49"/>
      <c r="Y6239" s="35"/>
      <c r="Z6239" s="35"/>
      <c r="AA6239" s="35"/>
      <c r="AB6239" s="35"/>
      <c r="AC6239" s="35"/>
      <c r="AD6239" s="35"/>
      <c r="AE6239" s="35"/>
      <c r="AF6239" s="35"/>
      <c r="AG6239" s="35"/>
      <c r="AH6239" s="35"/>
      <c r="AI6239" s="35"/>
      <c r="AJ6239" s="35"/>
      <c r="AK6239" s="35"/>
      <c r="AL6239" s="35"/>
    </row>
    <row r="6240">
      <c r="A6240" s="18"/>
      <c r="B6240" s="19" t="s">
        <v>7020</v>
      </c>
      <c r="C6240" s="20" t="s">
        <v>29446</v>
      </c>
      <c r="D6240" s="47"/>
      <c r="E6240" s="22" t="s">
        <v>26293</v>
      </c>
      <c r="F6240" s="22" t="s">
        <v>41</v>
      </c>
      <c r="G6240" s="23">
        <v>2018.0</v>
      </c>
      <c r="H6240" s="22" t="s">
        <v>91</v>
      </c>
      <c r="I6240" s="24" t="s">
        <v>29475</v>
      </c>
      <c r="J6240" s="22" t="s">
        <v>29476</v>
      </c>
      <c r="K6240" s="22" t="s">
        <v>29477</v>
      </c>
      <c r="L6240" s="36" t="s">
        <v>16449</v>
      </c>
      <c r="M6240" s="36"/>
      <c r="N6240" s="36"/>
      <c r="O6240" s="36" t="s">
        <v>29478</v>
      </c>
      <c r="P6240" s="37"/>
      <c r="Q6240" s="36"/>
      <c r="R6240" s="36"/>
      <c r="S6240" s="36">
        <v>1.0</v>
      </c>
      <c r="T6240" s="28" t="s">
        <v>29479</v>
      </c>
      <c r="U6240" s="38" t="str">
        <f>HYPERLINK("https://www.ncbi.nlm.nih.gov/pubmed/29909435","PubMed")</f>
        <v>PubMed</v>
      </c>
      <c r="V6240" s="50"/>
      <c r="W6240" s="34"/>
      <c r="X6240" s="49"/>
      <c r="Y6240" s="35"/>
      <c r="Z6240" s="35"/>
      <c r="AA6240" s="35"/>
      <c r="AB6240" s="35"/>
      <c r="AC6240" s="35"/>
      <c r="AD6240" s="35"/>
      <c r="AE6240" s="35"/>
      <c r="AF6240" s="35"/>
      <c r="AG6240" s="35"/>
      <c r="AH6240" s="35"/>
      <c r="AI6240" s="35"/>
      <c r="AJ6240" s="35"/>
      <c r="AK6240" s="35"/>
      <c r="AL6240" s="35"/>
    </row>
    <row r="6241">
      <c r="A6241" s="18"/>
      <c r="B6241" s="19" t="s">
        <v>7020</v>
      </c>
      <c r="C6241" s="20" t="s">
        <v>29446</v>
      </c>
      <c r="D6241" s="47"/>
      <c r="E6241" s="22" t="s">
        <v>29480</v>
      </c>
      <c r="F6241" s="22" t="s">
        <v>41</v>
      </c>
      <c r="G6241" s="23" t="s">
        <v>11799</v>
      </c>
      <c r="H6241" s="22" t="s">
        <v>53</v>
      </c>
      <c r="I6241" s="24" t="s">
        <v>29481</v>
      </c>
      <c r="J6241" s="22" t="s">
        <v>29482</v>
      </c>
      <c r="K6241" s="22"/>
      <c r="L6241" s="36">
        <v>780.0</v>
      </c>
      <c r="M6241" s="36">
        <v>20.0</v>
      </c>
      <c r="N6241" s="36"/>
      <c r="O6241" s="129">
        <v>42583.0</v>
      </c>
      <c r="P6241" s="37" t="s">
        <v>432</v>
      </c>
      <c r="Q6241" s="36" t="s">
        <v>29483</v>
      </c>
      <c r="R6241" s="36">
        <v>90.0</v>
      </c>
      <c r="S6241" s="36" t="s">
        <v>6403</v>
      </c>
      <c r="T6241" s="41" t="s">
        <v>29484</v>
      </c>
      <c r="U6241" s="38" t="str">
        <f>HYPERLINK("https://www.ncbi.nlm.nih.gov/pubmed/27426042","PubMed")</f>
        <v>PubMed</v>
      </c>
      <c r="V6241" s="50"/>
      <c r="W6241" s="49"/>
      <c r="X6241" s="49"/>
      <c r="Y6241" s="35"/>
      <c r="Z6241" s="35"/>
      <c r="AA6241" s="35"/>
      <c r="AB6241" s="35"/>
      <c r="AC6241" s="35"/>
      <c r="AD6241" s="35"/>
      <c r="AE6241" s="35"/>
      <c r="AF6241" s="35"/>
      <c r="AG6241" s="35"/>
      <c r="AH6241" s="35"/>
      <c r="AI6241" s="35"/>
      <c r="AJ6241" s="35"/>
      <c r="AK6241" s="35"/>
      <c r="AL6241" s="35"/>
    </row>
    <row r="6242">
      <c r="A6242" s="18"/>
      <c r="B6242" s="19" t="s">
        <v>7020</v>
      </c>
      <c r="C6242" s="20" t="s">
        <v>29446</v>
      </c>
      <c r="D6242" s="47"/>
      <c r="E6242" s="22" t="s">
        <v>29485</v>
      </c>
      <c r="F6242" s="22" t="s">
        <v>332</v>
      </c>
      <c r="G6242" s="23">
        <v>2015.0</v>
      </c>
      <c r="H6242" s="22" t="s">
        <v>91</v>
      </c>
      <c r="I6242" s="24" t="s">
        <v>29486</v>
      </c>
      <c r="J6242" s="22" t="s">
        <v>29487</v>
      </c>
      <c r="K6242" s="22"/>
      <c r="L6242" s="36">
        <v>1064.0</v>
      </c>
      <c r="M6242" s="36"/>
      <c r="N6242" s="36"/>
      <c r="O6242" s="36" t="s">
        <v>29488</v>
      </c>
      <c r="P6242" s="37"/>
      <c r="Q6242" s="36"/>
      <c r="R6242" s="36"/>
      <c r="S6242" s="36" t="s">
        <v>4905</v>
      </c>
      <c r="T6242" s="28" t="s">
        <v>29489</v>
      </c>
      <c r="U6242" s="38" t="str">
        <f>HYPERLINK("https://www.ncbi.nlm.nih.gov/pubmed/26115690","PubMed")</f>
        <v>PubMed</v>
      </c>
      <c r="V6242" s="30" t="s">
        <v>29490</v>
      </c>
      <c r="W6242" s="49"/>
      <c r="X6242" s="49"/>
      <c r="Y6242" s="35"/>
      <c r="Z6242" s="35"/>
      <c r="AA6242" s="35"/>
      <c r="AB6242" s="35"/>
      <c r="AC6242" s="35"/>
      <c r="AD6242" s="35"/>
      <c r="AE6242" s="35"/>
      <c r="AF6242" s="35"/>
      <c r="AG6242" s="35"/>
      <c r="AH6242" s="35"/>
      <c r="AI6242" s="35"/>
      <c r="AJ6242" s="35"/>
      <c r="AK6242" s="35"/>
      <c r="AL6242" s="35"/>
    </row>
    <row r="6243">
      <c r="A6243" s="18"/>
      <c r="B6243" s="19" t="s">
        <v>7020</v>
      </c>
      <c r="C6243" s="20" t="s">
        <v>29446</v>
      </c>
      <c r="D6243" s="47"/>
      <c r="E6243" s="22" t="s">
        <v>27738</v>
      </c>
      <c r="F6243" s="22" t="s">
        <v>24346</v>
      </c>
      <c r="G6243" s="23">
        <v>2014.0</v>
      </c>
      <c r="H6243" s="22" t="s">
        <v>13450</v>
      </c>
      <c r="I6243" s="24" t="s">
        <v>29491</v>
      </c>
      <c r="J6243" s="22" t="s">
        <v>29492</v>
      </c>
      <c r="K6243" s="22"/>
      <c r="L6243" s="36" t="s">
        <v>29493</v>
      </c>
      <c r="M6243" s="36" t="s">
        <v>29494</v>
      </c>
      <c r="N6243" s="36"/>
      <c r="O6243" s="129"/>
      <c r="P6243" s="37" t="s">
        <v>4852</v>
      </c>
      <c r="Q6243" s="36" t="s">
        <v>29495</v>
      </c>
      <c r="R6243" s="36" t="s">
        <v>29496</v>
      </c>
      <c r="S6243" s="36" t="s">
        <v>1231</v>
      </c>
      <c r="T6243" s="28" t="s">
        <v>29497</v>
      </c>
      <c r="U6243" s="38" t="str">
        <f>HYPERLINK("https://www.ncbi.nlm.nih.gov/pubmed/25237637","PubMed")</f>
        <v>PubMed</v>
      </c>
      <c r="V6243" s="30"/>
      <c r="W6243" s="49"/>
      <c r="X6243" s="49"/>
      <c r="Y6243" s="35"/>
      <c r="Z6243" s="35"/>
      <c r="AA6243" s="35"/>
      <c r="AB6243" s="35"/>
      <c r="AC6243" s="35"/>
      <c r="AD6243" s="35"/>
      <c r="AE6243" s="35"/>
      <c r="AF6243" s="35"/>
      <c r="AG6243" s="35"/>
      <c r="AH6243" s="35"/>
      <c r="AI6243" s="35"/>
      <c r="AJ6243" s="35"/>
      <c r="AK6243" s="35"/>
      <c r="AL6243" s="35"/>
    </row>
    <row r="6244">
      <c r="A6244" s="18"/>
      <c r="B6244" s="19" t="s">
        <v>7020</v>
      </c>
      <c r="C6244" s="20" t="s">
        <v>29446</v>
      </c>
      <c r="D6244" s="47"/>
      <c r="E6244" s="22" t="s">
        <v>29498</v>
      </c>
      <c r="F6244" s="22" t="s">
        <v>41</v>
      </c>
      <c r="G6244" s="23">
        <v>2012.0</v>
      </c>
      <c r="H6244" s="22" t="s">
        <v>29499</v>
      </c>
      <c r="I6244" s="24" t="s">
        <v>29500</v>
      </c>
      <c r="J6244" s="22" t="s">
        <v>29501</v>
      </c>
      <c r="K6244" s="22"/>
      <c r="L6244" s="36" t="s">
        <v>17671</v>
      </c>
      <c r="M6244" s="36"/>
      <c r="N6244" s="36"/>
      <c r="O6244" s="36"/>
      <c r="P6244" s="37"/>
      <c r="Q6244" s="36"/>
      <c r="R6244" s="36"/>
      <c r="S6244" s="36">
        <v>1.0</v>
      </c>
      <c r="T6244" s="41" t="s">
        <v>29502</v>
      </c>
      <c r="U6244" s="38" t="str">
        <f>HYPERLINK("https://www.ncbi.nlm.nih.gov/pubmed/22642607","PubMed")</f>
        <v>PubMed</v>
      </c>
      <c r="V6244" s="50"/>
      <c r="W6244" s="49"/>
      <c r="X6244" s="49"/>
      <c r="Y6244" s="35"/>
      <c r="Z6244" s="35"/>
      <c r="AA6244" s="35"/>
      <c r="AB6244" s="35"/>
      <c r="AC6244" s="35"/>
      <c r="AD6244" s="35"/>
      <c r="AE6244" s="35"/>
      <c r="AF6244" s="35"/>
      <c r="AG6244" s="35"/>
      <c r="AH6244" s="35"/>
      <c r="AI6244" s="35"/>
      <c r="AJ6244" s="35"/>
      <c r="AK6244" s="35"/>
      <c r="AL6244" s="35"/>
    </row>
    <row r="6245">
      <c r="A6245" s="18"/>
      <c r="B6245" s="19" t="s">
        <v>7020</v>
      </c>
      <c r="C6245" s="20" t="s">
        <v>29446</v>
      </c>
      <c r="D6245" s="47"/>
      <c r="E6245" s="22" t="s">
        <v>29498</v>
      </c>
      <c r="F6245" s="22" t="s">
        <v>41</v>
      </c>
      <c r="G6245" s="23">
        <v>2012.0</v>
      </c>
      <c r="H6245" s="22" t="s">
        <v>29503</v>
      </c>
      <c r="I6245" s="24" t="s">
        <v>29504</v>
      </c>
      <c r="J6245" s="22" t="s">
        <v>12578</v>
      </c>
      <c r="K6245" s="22"/>
      <c r="L6245" s="36">
        <v>660.0</v>
      </c>
      <c r="M6245" s="36">
        <v>15.0</v>
      </c>
      <c r="N6245" s="36"/>
      <c r="O6245" s="36" t="s">
        <v>22956</v>
      </c>
      <c r="P6245" s="37" t="s">
        <v>6531</v>
      </c>
      <c r="Q6245" s="36" t="s">
        <v>830</v>
      </c>
      <c r="R6245" s="36"/>
      <c r="S6245" s="36" t="s">
        <v>6403</v>
      </c>
      <c r="T6245" s="41" t="s">
        <v>29505</v>
      </c>
      <c r="U6245" s="38" t="str">
        <f>HYPERLINK("https://www.ncbi.nlm.nih.gov/pubmed/21982202","PubMed")</f>
        <v>PubMed</v>
      </c>
      <c r="V6245" s="50"/>
      <c r="W6245" s="49"/>
      <c r="X6245" s="49"/>
      <c r="Y6245" s="35"/>
      <c r="Z6245" s="35"/>
      <c r="AA6245" s="35"/>
      <c r="AB6245" s="35"/>
      <c r="AC6245" s="35"/>
      <c r="AD6245" s="35"/>
      <c r="AE6245" s="35"/>
      <c r="AF6245" s="35"/>
      <c r="AG6245" s="35"/>
      <c r="AH6245" s="35"/>
      <c r="AI6245" s="35"/>
      <c r="AJ6245" s="35"/>
      <c r="AK6245" s="35"/>
      <c r="AL6245" s="35"/>
    </row>
    <row r="6246">
      <c r="A6246" s="18"/>
      <c r="B6246" s="19" t="s">
        <v>7020</v>
      </c>
      <c r="C6246" s="20" t="s">
        <v>29446</v>
      </c>
      <c r="D6246" s="47"/>
      <c r="E6246" s="22" t="s">
        <v>5578</v>
      </c>
      <c r="F6246" s="22" t="s">
        <v>7844</v>
      </c>
      <c r="G6246" s="23">
        <v>1992.0</v>
      </c>
      <c r="H6246" s="22" t="s">
        <v>292</v>
      </c>
      <c r="I6246" s="24" t="s">
        <v>29506</v>
      </c>
      <c r="J6246" s="22" t="s">
        <v>29507</v>
      </c>
      <c r="K6246" s="22"/>
      <c r="L6246" s="52">
        <v>830.0</v>
      </c>
      <c r="M6246" s="52">
        <v>60.0</v>
      </c>
      <c r="N6246" s="52"/>
      <c r="O6246" s="52"/>
      <c r="P6246" s="189"/>
      <c r="Q6246" s="52"/>
      <c r="R6246" s="52" t="s">
        <v>2091</v>
      </c>
      <c r="S6246" s="52">
        <v>1.0</v>
      </c>
      <c r="T6246" s="28" t="s">
        <v>29508</v>
      </c>
      <c r="U6246" s="38" t="str">
        <f>HYPERLINK("https://www.jstage.jst.go.jp/article/islsm/4/4/4_4_92-OR-16/_article/-char/en","J-STAGE")</f>
        <v>J-STAGE</v>
      </c>
      <c r="V6246" s="50"/>
      <c r="W6246" s="49"/>
      <c r="X6246" s="49"/>
      <c r="Y6246" s="35"/>
      <c r="Z6246" s="35"/>
      <c r="AA6246" s="35"/>
      <c r="AB6246" s="35"/>
      <c r="AC6246" s="35"/>
      <c r="AD6246" s="35"/>
      <c r="AE6246" s="35"/>
      <c r="AF6246" s="35"/>
      <c r="AG6246" s="35"/>
      <c r="AH6246" s="35"/>
      <c r="AI6246" s="35"/>
      <c r="AJ6246" s="35"/>
      <c r="AK6246" s="35"/>
      <c r="AL6246" s="35"/>
    </row>
    <row r="6247">
      <c r="A6247" s="18"/>
      <c r="B6247" s="19" t="s">
        <v>7020</v>
      </c>
      <c r="C6247" s="20" t="s">
        <v>29509</v>
      </c>
      <c r="D6247" s="47"/>
      <c r="E6247" s="22" t="s">
        <v>19849</v>
      </c>
      <c r="F6247" s="22"/>
      <c r="G6247" s="23">
        <v>2023.0</v>
      </c>
      <c r="H6247" s="22" t="s">
        <v>13412</v>
      </c>
      <c r="I6247" s="24" t="s">
        <v>29510</v>
      </c>
      <c r="J6247" s="22" t="s">
        <v>2273</v>
      </c>
      <c r="K6247" s="22"/>
      <c r="L6247" s="52"/>
      <c r="M6247" s="52"/>
      <c r="N6247" s="52"/>
      <c r="O6247" s="52"/>
      <c r="P6247" s="189"/>
      <c r="Q6247" s="52"/>
      <c r="R6247" s="52"/>
      <c r="S6247" s="52"/>
      <c r="T6247" s="28" t="s">
        <v>29511</v>
      </c>
      <c r="U6247" s="38" t="s">
        <v>61</v>
      </c>
      <c r="V6247" s="50"/>
      <c r="W6247" s="49"/>
      <c r="X6247" s="49"/>
      <c r="Y6247" s="35"/>
      <c r="Z6247" s="35"/>
      <c r="AA6247" s="35"/>
      <c r="AB6247" s="35"/>
      <c r="AC6247" s="35"/>
      <c r="AD6247" s="35"/>
      <c r="AE6247" s="35"/>
      <c r="AF6247" s="35"/>
      <c r="AG6247" s="35"/>
      <c r="AH6247" s="35"/>
      <c r="AI6247" s="35"/>
      <c r="AJ6247" s="35"/>
      <c r="AK6247" s="35"/>
      <c r="AL6247" s="35"/>
    </row>
    <row r="6248">
      <c r="A6248" s="18"/>
      <c r="B6248" s="19" t="s">
        <v>7020</v>
      </c>
      <c r="C6248" s="20" t="s">
        <v>29509</v>
      </c>
      <c r="D6248" s="47"/>
      <c r="E6248" s="22" t="s">
        <v>29512</v>
      </c>
      <c r="F6248" s="22" t="s">
        <v>1943</v>
      </c>
      <c r="G6248" s="23">
        <v>2023.0</v>
      </c>
      <c r="H6248" s="22" t="s">
        <v>4740</v>
      </c>
      <c r="I6248" s="24" t="s">
        <v>29513</v>
      </c>
      <c r="J6248" s="22" t="s">
        <v>29514</v>
      </c>
      <c r="K6248" s="22" t="s">
        <v>29515</v>
      </c>
      <c r="L6248" s="52"/>
      <c r="M6248" s="52"/>
      <c r="N6248" s="52"/>
      <c r="O6248" s="52"/>
      <c r="P6248" s="189"/>
      <c r="Q6248" s="52"/>
      <c r="R6248" s="52"/>
      <c r="S6248" s="52" t="s">
        <v>29516</v>
      </c>
      <c r="T6248" s="28" t="s">
        <v>29517</v>
      </c>
      <c r="U6248" s="38" t="s">
        <v>61</v>
      </c>
      <c r="V6248" s="50"/>
      <c r="W6248" s="49"/>
      <c r="X6248" s="49"/>
      <c r="Y6248" s="35"/>
      <c r="Z6248" s="35"/>
      <c r="AA6248" s="35"/>
      <c r="AB6248" s="35"/>
      <c r="AC6248" s="35"/>
      <c r="AD6248" s="35"/>
      <c r="AE6248" s="35"/>
      <c r="AF6248" s="35"/>
      <c r="AG6248" s="35"/>
      <c r="AH6248" s="35"/>
      <c r="AI6248" s="35"/>
      <c r="AJ6248" s="35"/>
      <c r="AK6248" s="35"/>
      <c r="AL6248" s="35"/>
    </row>
    <row r="6249">
      <c r="A6249" s="18"/>
      <c r="B6249" s="19" t="s">
        <v>7020</v>
      </c>
      <c r="C6249" s="20" t="s">
        <v>29509</v>
      </c>
      <c r="D6249" s="47"/>
      <c r="E6249" s="22" t="s">
        <v>18943</v>
      </c>
      <c r="F6249" s="22" t="s">
        <v>41</v>
      </c>
      <c r="G6249" s="23">
        <v>2020.0</v>
      </c>
      <c r="H6249" s="22" t="s">
        <v>91</v>
      </c>
      <c r="I6249" s="24" t="s">
        <v>29518</v>
      </c>
      <c r="J6249" s="22" t="s">
        <v>649</v>
      </c>
      <c r="K6249" s="22"/>
      <c r="L6249" s="53" t="s">
        <v>29519</v>
      </c>
      <c r="U6249" s="29" t="s">
        <v>61</v>
      </c>
      <c r="V6249" s="50"/>
      <c r="W6249" s="49"/>
      <c r="X6249" s="49"/>
      <c r="Y6249" s="35"/>
      <c r="Z6249" s="35"/>
      <c r="AA6249" s="35"/>
      <c r="AB6249" s="35"/>
      <c r="AC6249" s="35"/>
      <c r="AD6249" s="35"/>
      <c r="AE6249" s="35"/>
      <c r="AF6249" s="35"/>
      <c r="AG6249" s="35"/>
      <c r="AH6249" s="35"/>
      <c r="AI6249" s="35"/>
      <c r="AJ6249" s="35"/>
      <c r="AK6249" s="35"/>
      <c r="AL6249" s="35"/>
    </row>
    <row r="6250">
      <c r="A6250" s="40" t="s">
        <v>181</v>
      </c>
      <c r="B6250" s="19" t="s">
        <v>7020</v>
      </c>
      <c r="C6250" s="20" t="s">
        <v>29509</v>
      </c>
      <c r="D6250" s="47"/>
      <c r="E6250" s="22" t="s">
        <v>1011</v>
      </c>
      <c r="F6250" s="22" t="s">
        <v>323</v>
      </c>
      <c r="G6250" s="23">
        <v>2018.0</v>
      </c>
      <c r="H6250" s="22" t="s">
        <v>147</v>
      </c>
      <c r="I6250" s="24" t="s">
        <v>29520</v>
      </c>
      <c r="J6250" s="22" t="s">
        <v>29521</v>
      </c>
      <c r="K6250" s="22"/>
      <c r="L6250" s="52">
        <v>810.0</v>
      </c>
      <c r="M6250" s="52"/>
      <c r="N6250" s="52"/>
      <c r="O6250" s="52">
        <v>5.0</v>
      </c>
      <c r="P6250" s="189"/>
      <c r="Q6250" s="52"/>
      <c r="R6250" s="52"/>
      <c r="S6250" s="52" t="s">
        <v>8476</v>
      </c>
      <c r="T6250" s="42" t="s">
        <v>29522</v>
      </c>
      <c r="U6250" s="38" t="str">
        <f>HYPERLINK("https://www.ncbi.nlm.nih.gov/pubmed/29399314","PubMed")</f>
        <v>PubMed</v>
      </c>
      <c r="V6250" s="50"/>
      <c r="W6250" s="49"/>
      <c r="X6250" s="49"/>
      <c r="Y6250" s="35"/>
      <c r="Z6250" s="35"/>
      <c r="AA6250" s="35"/>
      <c r="AB6250" s="35"/>
      <c r="AC6250" s="35"/>
      <c r="AD6250" s="35"/>
      <c r="AE6250" s="35"/>
      <c r="AF6250" s="35"/>
      <c r="AG6250" s="35"/>
      <c r="AH6250" s="35"/>
      <c r="AI6250" s="35"/>
      <c r="AJ6250" s="35"/>
      <c r="AK6250" s="35"/>
      <c r="AL6250" s="35"/>
    </row>
    <row r="6251">
      <c r="A6251" s="40"/>
      <c r="B6251" s="19" t="s">
        <v>7020</v>
      </c>
      <c r="C6251" s="20" t="s">
        <v>29509</v>
      </c>
      <c r="D6251" s="47"/>
      <c r="E6251" s="22" t="s">
        <v>29523</v>
      </c>
      <c r="F6251" s="22" t="s">
        <v>11529</v>
      </c>
      <c r="G6251" s="23">
        <v>2014.0</v>
      </c>
      <c r="H6251" s="22" t="s">
        <v>19534</v>
      </c>
      <c r="I6251" s="24" t="s">
        <v>29524</v>
      </c>
      <c r="J6251" s="22" t="s">
        <v>125</v>
      </c>
      <c r="K6251" s="22"/>
      <c r="L6251" s="132" t="s">
        <v>29525</v>
      </c>
      <c r="U6251" s="38" t="str">
        <f>HYPERLINK("https://www.ncbi.nlm.nih.gov/pubmed/25024832","PubMed")</f>
        <v>PubMed</v>
      </c>
      <c r="V6251" s="50"/>
      <c r="W6251" s="49"/>
      <c r="X6251" s="49"/>
      <c r="Y6251" s="35"/>
      <c r="Z6251" s="35"/>
      <c r="AA6251" s="35"/>
      <c r="AB6251" s="35"/>
      <c r="AC6251" s="35"/>
      <c r="AD6251" s="35"/>
      <c r="AE6251" s="35"/>
      <c r="AF6251" s="35"/>
      <c r="AG6251" s="35"/>
      <c r="AH6251" s="35"/>
      <c r="AI6251" s="35"/>
      <c r="AJ6251" s="35"/>
      <c r="AK6251" s="35"/>
      <c r="AL6251" s="35"/>
    </row>
    <row r="6252">
      <c r="A6252" s="40"/>
      <c r="B6252" s="19" t="s">
        <v>7020</v>
      </c>
      <c r="C6252" s="20" t="s">
        <v>29509</v>
      </c>
      <c r="D6252" s="47"/>
      <c r="E6252" s="22" t="s">
        <v>29526</v>
      </c>
      <c r="F6252" s="22" t="s">
        <v>1943</v>
      </c>
      <c r="G6252" s="23">
        <v>2013.0</v>
      </c>
      <c r="H6252" s="22" t="s">
        <v>1958</v>
      </c>
      <c r="I6252" s="24" t="s">
        <v>29527</v>
      </c>
      <c r="J6252" s="22" t="s">
        <v>29528</v>
      </c>
      <c r="K6252" s="22" t="s">
        <v>29529</v>
      </c>
      <c r="L6252" s="52">
        <v>830.0</v>
      </c>
      <c r="M6252" s="52">
        <v>15.0</v>
      </c>
      <c r="N6252" s="52" t="s">
        <v>29530</v>
      </c>
      <c r="O6252" s="52"/>
      <c r="P6252" s="189"/>
      <c r="Q6252" s="52"/>
      <c r="R6252" s="52" t="s">
        <v>29531</v>
      </c>
      <c r="S6252" s="52"/>
      <c r="T6252" s="42" t="s">
        <v>29532</v>
      </c>
      <c r="U6252" s="29" t="s">
        <v>61</v>
      </c>
      <c r="V6252" s="50"/>
      <c r="W6252" s="49"/>
      <c r="X6252" s="49"/>
      <c r="Y6252" s="35"/>
      <c r="Z6252" s="35"/>
      <c r="AA6252" s="35"/>
      <c r="AB6252" s="35"/>
      <c r="AC6252" s="35"/>
      <c r="AD6252" s="35"/>
      <c r="AE6252" s="35"/>
      <c r="AF6252" s="35"/>
      <c r="AG6252" s="35"/>
      <c r="AH6252" s="35"/>
      <c r="AI6252" s="35"/>
      <c r="AJ6252" s="35"/>
      <c r="AK6252" s="35"/>
      <c r="AL6252" s="35"/>
    </row>
    <row r="6253">
      <c r="A6253" s="40" t="s">
        <v>14912</v>
      </c>
      <c r="B6253" s="19" t="s">
        <v>7020</v>
      </c>
      <c r="C6253" s="20" t="s">
        <v>29509</v>
      </c>
      <c r="D6253" s="47"/>
      <c r="E6253" s="22" t="s">
        <v>29463</v>
      </c>
      <c r="F6253" s="22" t="s">
        <v>1046</v>
      </c>
      <c r="G6253" s="23">
        <v>2012.0</v>
      </c>
      <c r="H6253" s="22" t="s">
        <v>29533</v>
      </c>
      <c r="I6253" s="24" t="s">
        <v>29534</v>
      </c>
      <c r="J6253" s="22" t="s">
        <v>29535</v>
      </c>
      <c r="K6253" s="22"/>
      <c r="L6253" s="36">
        <v>890.0</v>
      </c>
      <c r="M6253" s="36"/>
      <c r="N6253" s="36"/>
      <c r="O6253" s="36" t="s">
        <v>29536</v>
      </c>
      <c r="P6253" s="37"/>
      <c r="Q6253" s="36"/>
      <c r="R6253" s="36"/>
      <c r="S6253" s="36">
        <v>12.0</v>
      </c>
      <c r="T6253" s="28" t="s">
        <v>29537</v>
      </c>
      <c r="U6253" s="38" t="str">
        <f>HYPERLINK("http://journals.lww.com/neurosurgery-quarterly/Abstract/2012/11000/Gasserian_Ganglion_Block_With_or_Without.4.aspx","LWW")</f>
        <v>LWW</v>
      </c>
      <c r="V6253" s="30" t="s">
        <v>29538</v>
      </c>
      <c r="W6253" s="49"/>
      <c r="X6253" s="49"/>
      <c r="Y6253" s="35"/>
      <c r="Z6253" s="35"/>
      <c r="AA6253" s="35"/>
      <c r="AB6253" s="35"/>
      <c r="AC6253" s="35"/>
      <c r="AD6253" s="35"/>
      <c r="AE6253" s="35"/>
      <c r="AF6253" s="35"/>
      <c r="AG6253" s="35"/>
      <c r="AH6253" s="35"/>
      <c r="AI6253" s="35"/>
      <c r="AJ6253" s="35"/>
      <c r="AK6253" s="35"/>
      <c r="AL6253" s="35"/>
    </row>
    <row r="6254">
      <c r="A6254" s="40"/>
      <c r="B6254" s="19" t="s">
        <v>7020</v>
      </c>
      <c r="C6254" s="20" t="s">
        <v>29509</v>
      </c>
      <c r="D6254" s="47"/>
      <c r="E6254" s="22" t="s">
        <v>29539</v>
      </c>
      <c r="F6254" s="22" t="s">
        <v>29540</v>
      </c>
      <c r="G6254" s="23">
        <v>1996.0</v>
      </c>
      <c r="H6254" s="22" t="s">
        <v>292</v>
      </c>
      <c r="I6254" s="24" t="s">
        <v>29541</v>
      </c>
      <c r="J6254" s="22" t="s">
        <v>29542</v>
      </c>
      <c r="K6254" s="22"/>
      <c r="L6254" s="36">
        <v>832.0</v>
      </c>
      <c r="M6254" s="36">
        <v>31.0</v>
      </c>
      <c r="N6254" s="36"/>
      <c r="O6254" s="36"/>
      <c r="P6254" s="37"/>
      <c r="Q6254" s="36"/>
      <c r="R6254" s="36"/>
      <c r="S6254" s="36"/>
      <c r="T6254" s="28" t="s">
        <v>29543</v>
      </c>
      <c r="U6254" s="38" t="str">
        <f>HYPERLINK("https://www.jstage.jst.go.jp/article/islsm/8/4/8_4_247/_article/-char/en","J-STAGE")</f>
        <v>J-STAGE</v>
      </c>
      <c r="V6254" s="50"/>
      <c r="W6254" s="49"/>
      <c r="X6254" s="49"/>
      <c r="Y6254" s="35"/>
      <c r="Z6254" s="35"/>
      <c r="AA6254" s="35"/>
      <c r="AB6254" s="35"/>
      <c r="AC6254" s="35"/>
      <c r="AD6254" s="35"/>
      <c r="AE6254" s="35"/>
      <c r="AF6254" s="35"/>
      <c r="AG6254" s="35"/>
      <c r="AH6254" s="35"/>
      <c r="AI6254" s="35"/>
      <c r="AJ6254" s="35"/>
      <c r="AK6254" s="35"/>
      <c r="AL6254" s="35"/>
    </row>
    <row r="6255">
      <c r="A6255" s="1"/>
      <c r="B6255" s="19" t="s">
        <v>7020</v>
      </c>
      <c r="C6255" s="20"/>
      <c r="D6255" s="47"/>
      <c r="E6255" s="22" t="s">
        <v>27538</v>
      </c>
      <c r="F6255" s="22" t="s">
        <v>18524</v>
      </c>
      <c r="G6255" s="23">
        <v>2016.0</v>
      </c>
      <c r="H6255" s="22" t="s">
        <v>658</v>
      </c>
      <c r="I6255" s="24" t="s">
        <v>29544</v>
      </c>
      <c r="J6255" s="22" t="s">
        <v>3289</v>
      </c>
      <c r="K6255" s="22"/>
      <c r="L6255" s="105" t="s">
        <v>29545</v>
      </c>
      <c r="M6255" s="44"/>
      <c r="N6255" s="44"/>
      <c r="O6255" s="44"/>
      <c r="P6255" s="44"/>
      <c r="Q6255" s="44"/>
      <c r="R6255" s="44"/>
      <c r="S6255" s="44"/>
      <c r="T6255" s="45"/>
      <c r="U6255" s="38" t="str">
        <f>HYPERLINK("https://www.ncbi.nlm.nih.gov/pubmed/27697005","PubMed")</f>
        <v>PubMed</v>
      </c>
      <c r="V6255" s="50"/>
      <c r="W6255" s="49"/>
      <c r="X6255" s="49"/>
      <c r="Y6255" s="35"/>
      <c r="Z6255" s="35"/>
      <c r="AA6255" s="35"/>
      <c r="AB6255" s="35"/>
      <c r="AC6255" s="35"/>
      <c r="AD6255" s="35"/>
      <c r="AE6255" s="35"/>
      <c r="AF6255" s="35"/>
      <c r="AG6255" s="35"/>
      <c r="AH6255" s="35"/>
      <c r="AI6255" s="35"/>
      <c r="AJ6255" s="35"/>
      <c r="AK6255" s="35"/>
      <c r="AL6255" s="35"/>
    </row>
    <row r="6256">
      <c r="A6256" s="1"/>
      <c r="B6256" s="19" t="s">
        <v>7020</v>
      </c>
      <c r="C6256" s="20"/>
      <c r="D6256" s="47"/>
      <c r="E6256" s="22" t="s">
        <v>29546</v>
      </c>
      <c r="F6256" s="22" t="s">
        <v>1173</v>
      </c>
      <c r="G6256" s="23">
        <v>2010.0</v>
      </c>
      <c r="H6256" s="22" t="s">
        <v>7777</v>
      </c>
      <c r="I6256" s="24" t="s">
        <v>29547</v>
      </c>
      <c r="J6256" s="22" t="s">
        <v>1078</v>
      </c>
      <c r="K6256" s="22"/>
      <c r="L6256" s="105" t="s">
        <v>29548</v>
      </c>
      <c r="M6256" s="44"/>
      <c r="N6256" s="44"/>
      <c r="O6256" s="44"/>
      <c r="P6256" s="44"/>
      <c r="Q6256" s="44"/>
      <c r="R6256" s="44"/>
      <c r="S6256" s="44"/>
      <c r="T6256" s="45"/>
      <c r="U6256" s="38" t="str">
        <f>HYPERLINK("https://www.ncbi.nlm.nih.gov/pubmed/20842007","PubMed")</f>
        <v>PubMed</v>
      </c>
      <c r="V6256" s="50"/>
      <c r="W6256" s="49"/>
      <c r="X6256" s="49"/>
      <c r="Y6256" s="35"/>
      <c r="Z6256" s="35"/>
      <c r="AA6256" s="35"/>
      <c r="AB6256" s="35"/>
      <c r="AC6256" s="35"/>
      <c r="AD6256" s="35"/>
      <c r="AE6256" s="35"/>
      <c r="AF6256" s="35"/>
      <c r="AG6256" s="35"/>
      <c r="AH6256" s="35"/>
      <c r="AI6256" s="35"/>
      <c r="AJ6256" s="35"/>
      <c r="AK6256" s="35"/>
      <c r="AL6256" s="35"/>
    </row>
    <row r="6257">
      <c r="A6257" s="1"/>
      <c r="B6257" s="19" t="s">
        <v>7020</v>
      </c>
      <c r="C6257" s="20"/>
      <c r="D6257" s="47"/>
      <c r="E6257" s="22" t="s">
        <v>29549</v>
      </c>
      <c r="F6257" s="22" t="s">
        <v>29550</v>
      </c>
      <c r="G6257" s="23">
        <v>2005.0</v>
      </c>
      <c r="H6257" s="22" t="s">
        <v>658</v>
      </c>
      <c r="I6257" s="24" t="s">
        <v>29551</v>
      </c>
      <c r="J6257" s="22" t="s">
        <v>29552</v>
      </c>
      <c r="K6257" s="22"/>
      <c r="L6257" s="36">
        <v>830.0</v>
      </c>
      <c r="M6257" s="36">
        <v>30.0</v>
      </c>
      <c r="N6257" s="36"/>
      <c r="O6257" s="36"/>
      <c r="P6257" s="37"/>
      <c r="Q6257" s="36"/>
      <c r="R6257" s="36"/>
      <c r="S6257" s="36"/>
      <c r="T6257" s="28" t="s">
        <v>29553</v>
      </c>
      <c r="U6257" s="38" t="str">
        <f>HYPERLINK("https://www.ncbi.nlm.nih.gov/pubmed/15782035","PubMed")</f>
        <v>PubMed</v>
      </c>
      <c r="V6257" s="30"/>
      <c r="W6257" s="49"/>
      <c r="X6257" s="49"/>
      <c r="Y6257" s="35"/>
      <c r="Z6257" s="35"/>
      <c r="AA6257" s="35"/>
      <c r="AB6257" s="35"/>
      <c r="AC6257" s="35"/>
      <c r="AD6257" s="35"/>
      <c r="AE6257" s="35"/>
      <c r="AF6257" s="35"/>
      <c r="AG6257" s="35"/>
      <c r="AH6257" s="35"/>
      <c r="AI6257" s="35"/>
      <c r="AJ6257" s="35"/>
      <c r="AK6257" s="35"/>
      <c r="AL6257" s="35"/>
    </row>
    <row r="6258">
      <c r="A6258" s="1"/>
      <c r="B6258" s="19" t="s">
        <v>7020</v>
      </c>
      <c r="C6258" s="20"/>
      <c r="D6258" s="47"/>
      <c r="E6258" s="22" t="s">
        <v>29554</v>
      </c>
      <c r="F6258" s="22" t="s">
        <v>29555</v>
      </c>
      <c r="G6258" s="23">
        <v>1989.0</v>
      </c>
      <c r="H6258" s="22" t="s">
        <v>53</v>
      </c>
      <c r="I6258" s="24" t="s">
        <v>29556</v>
      </c>
      <c r="J6258" s="22" t="s">
        <v>44</v>
      </c>
      <c r="K6258" s="22"/>
      <c r="L6258" s="36">
        <v>905.0</v>
      </c>
      <c r="M6258" s="36"/>
      <c r="N6258" s="36"/>
      <c r="O6258" s="36"/>
      <c r="P6258" s="37" t="s">
        <v>29557</v>
      </c>
      <c r="Q6258" s="36"/>
      <c r="R6258" s="36">
        <v>50.0</v>
      </c>
      <c r="S6258" s="36"/>
      <c r="T6258" s="41" t="s">
        <v>29558</v>
      </c>
      <c r="U6258" s="38" t="str">
        <f>HYPERLINK("https://www.ncbi.nlm.nih.gov/pubmed/2467156","PubMed")</f>
        <v>PubMed</v>
      </c>
      <c r="V6258" s="30"/>
      <c r="W6258" s="49"/>
      <c r="X6258" s="49"/>
      <c r="Y6258" s="35"/>
      <c r="Z6258" s="35"/>
      <c r="AA6258" s="35"/>
      <c r="AB6258" s="35"/>
      <c r="AC6258" s="35"/>
      <c r="AD6258" s="35"/>
      <c r="AE6258" s="35"/>
      <c r="AF6258" s="35"/>
      <c r="AG6258" s="35"/>
      <c r="AH6258" s="35"/>
      <c r="AI6258" s="35"/>
      <c r="AJ6258" s="35"/>
      <c r="AK6258" s="35"/>
      <c r="AL6258" s="35"/>
    </row>
    <row r="6259">
      <c r="A6259" s="191" t="s">
        <v>181</v>
      </c>
      <c r="B6259" s="19" t="s">
        <v>7020</v>
      </c>
      <c r="C6259" s="20"/>
      <c r="D6259" s="21"/>
      <c r="E6259" s="22" t="s">
        <v>29142</v>
      </c>
      <c r="F6259" s="22" t="s">
        <v>14371</v>
      </c>
      <c r="G6259" s="23">
        <v>1987.0</v>
      </c>
      <c r="H6259" s="22" t="s">
        <v>29559</v>
      </c>
      <c r="I6259" s="24" t="s">
        <v>29560</v>
      </c>
      <c r="J6259" s="22" t="s">
        <v>55</v>
      </c>
      <c r="K6259" s="22" t="s">
        <v>29561</v>
      </c>
      <c r="L6259" s="36" t="s">
        <v>5640</v>
      </c>
      <c r="M6259" s="36" t="s">
        <v>29145</v>
      </c>
      <c r="N6259" s="36"/>
      <c r="O6259" s="36"/>
      <c r="P6259" s="37"/>
      <c r="Q6259" s="36"/>
      <c r="R6259" s="36"/>
      <c r="S6259" s="36"/>
      <c r="T6259" s="41" t="s">
        <v>29562</v>
      </c>
      <c r="U6259" s="38" t="str">
        <f>HYPERLINK("https://www.ncbi.nlm.nih.gov/pubmed/3673608","PubMed")</f>
        <v>PubMed</v>
      </c>
      <c r="V6259" s="30" t="s">
        <v>29563</v>
      </c>
      <c r="W6259" s="49"/>
      <c r="X6259" s="49"/>
      <c r="Y6259" s="35"/>
      <c r="Z6259" s="35"/>
      <c r="AA6259" s="35"/>
      <c r="AB6259" s="35"/>
      <c r="AC6259" s="35"/>
      <c r="AD6259" s="35"/>
      <c r="AE6259" s="35"/>
      <c r="AF6259" s="35"/>
      <c r="AG6259" s="35"/>
      <c r="AH6259" s="35"/>
      <c r="AI6259" s="35"/>
      <c r="AJ6259" s="35"/>
      <c r="AK6259" s="35"/>
      <c r="AL6259" s="35"/>
    </row>
    <row r="6260">
      <c r="A6260" s="1"/>
      <c r="B6260" s="19" t="s">
        <v>7020</v>
      </c>
      <c r="C6260" s="20"/>
      <c r="D6260" s="47"/>
      <c r="E6260" s="22" t="s">
        <v>29564</v>
      </c>
      <c r="F6260" s="22" t="s">
        <v>2795</v>
      </c>
      <c r="G6260" s="23">
        <v>1983.0</v>
      </c>
      <c r="H6260" s="22" t="s">
        <v>2558</v>
      </c>
      <c r="I6260" s="24" t="s">
        <v>29565</v>
      </c>
      <c r="J6260" s="22" t="s">
        <v>29542</v>
      </c>
      <c r="K6260" s="22" t="s">
        <v>29566</v>
      </c>
      <c r="L6260" s="36">
        <v>633.0</v>
      </c>
      <c r="M6260" s="36">
        <v>1.0</v>
      </c>
      <c r="N6260" s="36"/>
      <c r="O6260" s="36"/>
      <c r="P6260" s="37"/>
      <c r="Q6260" s="36" t="s">
        <v>1199</v>
      </c>
      <c r="R6260" s="36" t="s">
        <v>29567</v>
      </c>
      <c r="S6260" s="36">
        <v>30.0</v>
      </c>
      <c r="T6260" s="28" t="s">
        <v>29568</v>
      </c>
      <c r="U6260" s="38" t="str">
        <f>HYPERLINK("https://www.ncbi.nlm.nih.gov/pubmed/6200808","PubMed")</f>
        <v>PubMed</v>
      </c>
      <c r="V6260" s="30"/>
      <c r="W6260" s="49"/>
      <c r="X6260" s="49"/>
      <c r="Y6260" s="35"/>
      <c r="Z6260" s="35"/>
      <c r="AA6260" s="35"/>
      <c r="AB6260" s="35"/>
      <c r="AC6260" s="35"/>
      <c r="AD6260" s="35"/>
      <c r="AE6260" s="35"/>
      <c r="AF6260" s="35"/>
      <c r="AG6260" s="35"/>
      <c r="AH6260" s="35"/>
      <c r="AI6260" s="35"/>
      <c r="AJ6260" s="35"/>
      <c r="AK6260" s="35"/>
      <c r="AL6260" s="35"/>
    </row>
    <row r="6261">
      <c r="A6261" s="1" t="s">
        <v>2</v>
      </c>
      <c r="B6261" s="157" t="s">
        <v>4202</v>
      </c>
      <c r="C6261" s="158" t="s">
        <v>29569</v>
      </c>
      <c r="D6261" s="159"/>
      <c r="E6261" s="22" t="s">
        <v>29570</v>
      </c>
      <c r="F6261" s="22" t="s">
        <v>5232</v>
      </c>
      <c r="G6261" s="23">
        <v>2018.0</v>
      </c>
      <c r="H6261" s="22" t="s">
        <v>29571</v>
      </c>
      <c r="I6261" s="24" t="s">
        <v>29572</v>
      </c>
      <c r="J6261" s="22" t="s">
        <v>125</v>
      </c>
      <c r="K6261" s="23" t="s">
        <v>56</v>
      </c>
      <c r="L6261" s="171" t="s">
        <v>29573</v>
      </c>
      <c r="M6261" s="44"/>
      <c r="N6261" s="44"/>
      <c r="O6261" s="44"/>
      <c r="P6261" s="44"/>
      <c r="Q6261" s="44"/>
      <c r="R6261" s="44"/>
      <c r="S6261" s="44"/>
      <c r="T6261" s="45"/>
      <c r="U6261" s="38" t="str">
        <f>HYPERLINK("https://www.ncbi.nlm.nih.gov/pubmed/29745269","PubMed")</f>
        <v>PubMed</v>
      </c>
      <c r="V6261" s="136"/>
      <c r="W6261" s="49"/>
      <c r="X6261" s="49"/>
      <c r="Y6261" s="35"/>
      <c r="Z6261" s="35"/>
      <c r="AA6261" s="35"/>
      <c r="AB6261" s="35"/>
      <c r="AC6261" s="35"/>
      <c r="AD6261" s="35"/>
      <c r="AE6261" s="35"/>
      <c r="AF6261" s="35"/>
      <c r="AG6261" s="35"/>
      <c r="AH6261" s="35"/>
      <c r="AI6261" s="35"/>
      <c r="AJ6261" s="35"/>
      <c r="AK6261" s="35"/>
      <c r="AL6261" s="35"/>
    </row>
    <row r="6262">
      <c r="A6262" s="1"/>
      <c r="B6262" s="157" t="s">
        <v>4202</v>
      </c>
      <c r="C6262" s="158" t="s">
        <v>14464</v>
      </c>
      <c r="D6262" s="159"/>
      <c r="E6262" s="22" t="s">
        <v>14335</v>
      </c>
      <c r="F6262" s="22" t="s">
        <v>3441</v>
      </c>
      <c r="G6262" s="23">
        <v>2019.0</v>
      </c>
      <c r="H6262" s="22" t="s">
        <v>77</v>
      </c>
      <c r="I6262" s="24" t="s">
        <v>29574</v>
      </c>
      <c r="J6262" s="23" t="s">
        <v>202</v>
      </c>
      <c r="K6262" s="23"/>
      <c r="L6262" s="171" t="s">
        <v>29575</v>
      </c>
      <c r="M6262" s="44"/>
      <c r="N6262" s="44"/>
      <c r="O6262" s="44"/>
      <c r="P6262" s="44"/>
      <c r="Q6262" s="44"/>
      <c r="R6262" s="44"/>
      <c r="S6262" s="44"/>
      <c r="T6262" s="45"/>
      <c r="U6262" s="38" t="str">
        <f>HYPERLINK("https://www.ncbi.nlm.nih.gov/pubmed/31050924","PubMed")</f>
        <v>PubMed</v>
      </c>
      <c r="V6262" s="136"/>
      <c r="W6262" s="49"/>
      <c r="X6262" s="49"/>
      <c r="Y6262" s="35"/>
      <c r="Z6262" s="35"/>
      <c r="AA6262" s="35"/>
      <c r="AB6262" s="35"/>
      <c r="AC6262" s="35"/>
      <c r="AD6262" s="35"/>
      <c r="AE6262" s="35"/>
      <c r="AF6262" s="35"/>
      <c r="AG6262" s="35"/>
      <c r="AH6262" s="35"/>
      <c r="AI6262" s="35"/>
      <c r="AJ6262" s="35"/>
      <c r="AK6262" s="35"/>
      <c r="AL6262" s="35"/>
    </row>
    <row r="6263">
      <c r="A6263" s="1" t="s">
        <v>2</v>
      </c>
      <c r="B6263" s="157" t="s">
        <v>4202</v>
      </c>
      <c r="C6263" s="158" t="s">
        <v>14464</v>
      </c>
      <c r="D6263" s="159"/>
      <c r="E6263" s="22" t="s">
        <v>29576</v>
      </c>
      <c r="F6263" s="22" t="s">
        <v>20874</v>
      </c>
      <c r="G6263" s="23">
        <v>2018.0</v>
      </c>
      <c r="H6263" s="22" t="s">
        <v>3950</v>
      </c>
      <c r="I6263" s="24" t="s">
        <v>29577</v>
      </c>
      <c r="J6263" s="23" t="s">
        <v>29578</v>
      </c>
      <c r="K6263" s="23" t="s">
        <v>56</v>
      </c>
      <c r="L6263" s="171" t="s">
        <v>29579</v>
      </c>
      <c r="M6263" s="44"/>
      <c r="N6263" s="44"/>
      <c r="O6263" s="44"/>
      <c r="P6263" s="44"/>
      <c r="Q6263" s="44"/>
      <c r="R6263" s="44"/>
      <c r="S6263" s="44"/>
      <c r="T6263" s="45"/>
      <c r="U6263" s="38" t="str">
        <f>HYPERLINK("https://www.ncbi.nlm.nih.gov/pubmed/30044464","PubMed")</f>
        <v>PubMed</v>
      </c>
      <c r="V6263" s="136" t="s">
        <v>29580</v>
      </c>
      <c r="W6263" s="49"/>
      <c r="X6263" s="49"/>
      <c r="Y6263" s="35"/>
      <c r="Z6263" s="35"/>
      <c r="AA6263" s="35"/>
      <c r="AB6263" s="35"/>
      <c r="AC6263" s="35"/>
      <c r="AD6263" s="35"/>
      <c r="AE6263" s="35"/>
      <c r="AF6263" s="35"/>
      <c r="AG6263" s="35"/>
      <c r="AH6263" s="35"/>
      <c r="AI6263" s="35"/>
      <c r="AJ6263" s="35"/>
      <c r="AK6263" s="35"/>
      <c r="AL6263" s="35"/>
    </row>
    <row r="6264">
      <c r="A6264" s="18" t="s">
        <v>181</v>
      </c>
      <c r="B6264" s="157" t="s">
        <v>4202</v>
      </c>
      <c r="C6264" s="158" t="s">
        <v>14464</v>
      </c>
      <c r="D6264" s="159"/>
      <c r="E6264" s="22" t="s">
        <v>12775</v>
      </c>
      <c r="F6264" s="22" t="s">
        <v>29581</v>
      </c>
      <c r="G6264" s="23">
        <v>2017.0</v>
      </c>
      <c r="H6264" s="22" t="s">
        <v>17543</v>
      </c>
      <c r="I6264" s="24" t="s">
        <v>29582</v>
      </c>
      <c r="J6264" s="23" t="s">
        <v>14378</v>
      </c>
      <c r="K6264" s="23"/>
      <c r="L6264" s="171" t="s">
        <v>29583</v>
      </c>
      <c r="M6264" s="44"/>
      <c r="N6264" s="44"/>
      <c r="O6264" s="44"/>
      <c r="P6264" s="44"/>
      <c r="Q6264" s="44"/>
      <c r="R6264" s="44"/>
      <c r="S6264" s="44"/>
      <c r="T6264" s="45"/>
      <c r="U6264" s="38" t="str">
        <f>HYPERLINK("https://www.ncbi.nlm.nih.gov/pubmed/29130447","PubMed")</f>
        <v>PubMed</v>
      </c>
      <c r="V6264" s="139"/>
      <c r="W6264" s="49"/>
      <c r="X6264" s="49"/>
      <c r="Y6264" s="35"/>
      <c r="Z6264" s="35"/>
      <c r="AA6264" s="35"/>
      <c r="AB6264" s="35"/>
      <c r="AC6264" s="35"/>
      <c r="AD6264" s="35"/>
      <c r="AE6264" s="35"/>
      <c r="AF6264" s="35"/>
      <c r="AG6264" s="35"/>
      <c r="AH6264" s="35"/>
      <c r="AI6264" s="35"/>
      <c r="AJ6264" s="35"/>
      <c r="AK6264" s="35"/>
      <c r="AL6264" s="35"/>
    </row>
    <row r="6265">
      <c r="A6265" s="207"/>
      <c r="B6265" s="157" t="s">
        <v>4202</v>
      </c>
      <c r="C6265" s="158" t="s">
        <v>14464</v>
      </c>
      <c r="D6265" s="159"/>
      <c r="E6265" s="22" t="s">
        <v>29584</v>
      </c>
      <c r="F6265" s="22" t="s">
        <v>299</v>
      </c>
      <c r="G6265" s="23">
        <v>2011.0</v>
      </c>
      <c r="H6265" s="22" t="s">
        <v>292</v>
      </c>
      <c r="I6265" s="24" t="s">
        <v>29585</v>
      </c>
      <c r="J6265" s="22" t="s">
        <v>125</v>
      </c>
      <c r="K6265" s="23"/>
      <c r="L6265" s="171" t="s">
        <v>29586</v>
      </c>
      <c r="M6265" s="44"/>
      <c r="N6265" s="44"/>
      <c r="O6265" s="44"/>
      <c r="P6265" s="44"/>
      <c r="Q6265" s="44"/>
      <c r="R6265" s="44"/>
      <c r="S6265" s="44"/>
      <c r="T6265" s="45"/>
      <c r="U6265" s="38" t="str">
        <f>HYPERLINK("https://www.ncbi.nlm.nih.gov/pubmed/24155530","PubMed")</f>
        <v>PubMed</v>
      </c>
      <c r="V6265" s="139"/>
      <c r="W6265" s="49"/>
      <c r="X6265" s="49"/>
      <c r="Y6265" s="35"/>
      <c r="Z6265" s="35"/>
      <c r="AA6265" s="35"/>
      <c r="AB6265" s="35"/>
      <c r="AC6265" s="35"/>
      <c r="AD6265" s="35"/>
      <c r="AE6265" s="35"/>
      <c r="AF6265" s="35"/>
      <c r="AG6265" s="35"/>
      <c r="AH6265" s="35"/>
      <c r="AI6265" s="35"/>
      <c r="AJ6265" s="35"/>
      <c r="AK6265" s="35"/>
      <c r="AL6265" s="35"/>
    </row>
    <row r="6266">
      <c r="A6266" s="207"/>
      <c r="B6266" s="157" t="s">
        <v>4202</v>
      </c>
      <c r="C6266" s="158" t="s">
        <v>14464</v>
      </c>
      <c r="D6266" s="159"/>
      <c r="E6266" s="22" t="s">
        <v>18641</v>
      </c>
      <c r="F6266" s="22" t="s">
        <v>26204</v>
      </c>
      <c r="G6266" s="23">
        <v>2005.0</v>
      </c>
      <c r="H6266" s="22" t="s">
        <v>658</v>
      </c>
      <c r="I6266" s="24" t="s">
        <v>29587</v>
      </c>
      <c r="J6266" s="23" t="s">
        <v>8962</v>
      </c>
      <c r="K6266" s="23"/>
      <c r="L6266" s="171" t="s">
        <v>29588</v>
      </c>
      <c r="M6266" s="44"/>
      <c r="N6266" s="44"/>
      <c r="O6266" s="44"/>
      <c r="P6266" s="44"/>
      <c r="Q6266" s="44"/>
      <c r="R6266" s="44"/>
      <c r="S6266" s="44"/>
      <c r="T6266" s="45"/>
      <c r="U6266" s="38" t="str">
        <f>HYPERLINK("https://www.ncbi.nlm.nih.gov/pubmed/16144489","PubMed")</f>
        <v>PubMed</v>
      </c>
      <c r="V6266" s="139"/>
      <c r="W6266" s="49"/>
      <c r="X6266" s="49"/>
      <c r="Y6266" s="35"/>
      <c r="Z6266" s="35"/>
      <c r="AA6266" s="35"/>
      <c r="AB6266" s="35"/>
      <c r="AC6266" s="35"/>
      <c r="AD6266" s="35"/>
      <c r="AE6266" s="35"/>
      <c r="AF6266" s="35"/>
      <c r="AG6266" s="35"/>
      <c r="AH6266" s="35"/>
      <c r="AI6266" s="35"/>
      <c r="AJ6266" s="35"/>
      <c r="AK6266" s="35"/>
      <c r="AL6266" s="35"/>
    </row>
    <row r="6267">
      <c r="A6267" s="207"/>
      <c r="B6267" s="157" t="s">
        <v>4202</v>
      </c>
      <c r="C6267" s="158" t="s">
        <v>14464</v>
      </c>
      <c r="D6267" s="159"/>
      <c r="E6267" s="22" t="s">
        <v>14348</v>
      </c>
      <c r="F6267" s="22" t="s">
        <v>12046</v>
      </c>
      <c r="G6267" s="23">
        <v>2005.0</v>
      </c>
      <c r="H6267" s="22" t="s">
        <v>658</v>
      </c>
      <c r="I6267" s="24" t="s">
        <v>29589</v>
      </c>
      <c r="J6267" s="23" t="s">
        <v>8962</v>
      </c>
      <c r="K6267" s="23"/>
      <c r="L6267" s="171" t="s">
        <v>29590</v>
      </c>
      <c r="M6267" s="44"/>
      <c r="N6267" s="44"/>
      <c r="O6267" s="44"/>
      <c r="P6267" s="44"/>
      <c r="Q6267" s="44"/>
      <c r="R6267" s="44"/>
      <c r="S6267" s="44"/>
      <c r="T6267" s="45"/>
      <c r="U6267" s="38" t="str">
        <f>HYPERLINK("https://www.ncbi.nlm.nih.gov/pubmed/15782040","PubMed")</f>
        <v>PubMed</v>
      </c>
      <c r="V6267" s="139"/>
      <c r="W6267" s="49"/>
      <c r="X6267" s="49"/>
      <c r="Y6267" s="35"/>
      <c r="Z6267" s="35"/>
      <c r="AA6267" s="35"/>
      <c r="AB6267" s="35"/>
      <c r="AC6267" s="35"/>
      <c r="AD6267" s="35"/>
      <c r="AE6267" s="35"/>
      <c r="AF6267" s="35"/>
      <c r="AG6267" s="35"/>
      <c r="AH6267" s="35"/>
      <c r="AI6267" s="35"/>
      <c r="AJ6267" s="35"/>
      <c r="AK6267" s="35"/>
      <c r="AL6267" s="35"/>
    </row>
    <row r="6268">
      <c r="A6268" s="40" t="s">
        <v>2</v>
      </c>
      <c r="B6268" s="157" t="s">
        <v>4202</v>
      </c>
      <c r="C6268" s="158" t="s">
        <v>14464</v>
      </c>
      <c r="D6268" s="159"/>
      <c r="E6268" s="22" t="s">
        <v>9245</v>
      </c>
      <c r="F6268" s="22" t="s">
        <v>2698</v>
      </c>
      <c r="G6268" s="23">
        <v>1993.0</v>
      </c>
      <c r="H6268" s="22" t="s">
        <v>4916</v>
      </c>
      <c r="I6268" s="24" t="s">
        <v>29591</v>
      </c>
      <c r="J6268" s="22" t="s">
        <v>125</v>
      </c>
      <c r="K6268" s="23"/>
      <c r="L6268" s="171" t="s">
        <v>29592</v>
      </c>
      <c r="M6268" s="44"/>
      <c r="N6268" s="44"/>
      <c r="O6268" s="44"/>
      <c r="P6268" s="44"/>
      <c r="Q6268" s="44"/>
      <c r="R6268" s="44"/>
      <c r="S6268" s="44"/>
      <c r="T6268" s="45"/>
      <c r="U6268" s="38" t="str">
        <f>HYPERLINK("https://www.ncbi.nlm.nih.gov/pubmed/25026133","PubMed")</f>
        <v>PubMed</v>
      </c>
      <c r="V6268" s="139"/>
      <c r="W6268" s="49"/>
      <c r="X6268" s="49"/>
      <c r="Y6268" s="35"/>
      <c r="Z6268" s="35"/>
      <c r="AA6268" s="35"/>
      <c r="AB6268" s="35"/>
      <c r="AC6268" s="35"/>
      <c r="AD6268" s="35"/>
      <c r="AE6268" s="35"/>
      <c r="AF6268" s="35"/>
      <c r="AG6268" s="35"/>
      <c r="AH6268" s="35"/>
      <c r="AI6268" s="35"/>
      <c r="AJ6268" s="35"/>
      <c r="AK6268" s="35"/>
      <c r="AL6268" s="35"/>
    </row>
    <row r="6269">
      <c r="A6269" s="40"/>
      <c r="B6269" s="157" t="s">
        <v>4202</v>
      </c>
      <c r="C6269" s="158" t="s">
        <v>14464</v>
      </c>
      <c r="D6269" s="159"/>
      <c r="E6269" s="22" t="s">
        <v>29593</v>
      </c>
      <c r="F6269" s="22" t="s">
        <v>13592</v>
      </c>
      <c r="G6269" s="23">
        <v>1900.0</v>
      </c>
      <c r="H6269" s="22" t="s">
        <v>29594</v>
      </c>
      <c r="I6269" s="24" t="s">
        <v>29595</v>
      </c>
      <c r="J6269" s="22" t="s">
        <v>125</v>
      </c>
      <c r="K6269" s="23"/>
      <c r="L6269" s="171" t="s">
        <v>29596</v>
      </c>
      <c r="M6269" s="44"/>
      <c r="N6269" s="44"/>
      <c r="O6269" s="44"/>
      <c r="P6269" s="44"/>
      <c r="Q6269" s="44"/>
      <c r="R6269" s="44"/>
      <c r="S6269" s="44"/>
      <c r="T6269" s="45"/>
      <c r="U6269" s="38" t="str">
        <f>HYPERLINK("https://www.spiedigitallibrary.org/conference-proceedings-of-spie/1353/0000/Biostimulation-of-tissue-by-laser-radiation/10.1117/12.34940.short?SSO=1","SPIE")</f>
        <v>SPIE</v>
      </c>
      <c r="V6269" s="139"/>
      <c r="W6269" s="49"/>
      <c r="X6269" s="49"/>
      <c r="Y6269" s="35"/>
      <c r="Z6269" s="35"/>
      <c r="AA6269" s="35"/>
      <c r="AB6269" s="35"/>
      <c r="AC6269" s="35"/>
      <c r="AD6269" s="35"/>
      <c r="AE6269" s="35"/>
      <c r="AF6269" s="35"/>
      <c r="AG6269" s="35"/>
      <c r="AH6269" s="35"/>
      <c r="AI6269" s="35"/>
      <c r="AJ6269" s="35"/>
      <c r="AK6269" s="35"/>
      <c r="AL6269" s="35"/>
    </row>
    <row r="6270">
      <c r="A6270" s="18" t="s">
        <v>2</v>
      </c>
      <c r="B6270" s="157" t="s">
        <v>4202</v>
      </c>
      <c r="C6270" s="158" t="s">
        <v>29597</v>
      </c>
      <c r="D6270" s="159"/>
      <c r="E6270" s="22" t="s">
        <v>7155</v>
      </c>
      <c r="F6270" s="22" t="s">
        <v>5913</v>
      </c>
      <c r="G6270" s="23">
        <v>2012.0</v>
      </c>
      <c r="H6270" s="22" t="s">
        <v>4975</v>
      </c>
      <c r="I6270" s="24" t="s">
        <v>29598</v>
      </c>
      <c r="J6270" s="22" t="s">
        <v>125</v>
      </c>
      <c r="K6270" s="23" t="s">
        <v>56</v>
      </c>
      <c r="L6270" s="171" t="s">
        <v>29599</v>
      </c>
      <c r="M6270" s="44"/>
      <c r="N6270" s="44"/>
      <c r="O6270" s="44"/>
      <c r="P6270" s="44"/>
      <c r="Q6270" s="44"/>
      <c r="R6270" s="44"/>
      <c r="S6270" s="44"/>
      <c r="T6270" s="45"/>
      <c r="U6270" s="38" t="str">
        <f>HYPERLINK("https://www.ncbi.nlm.nih.gov/pubmed/22211706","PubMed")</f>
        <v>PubMed</v>
      </c>
      <c r="V6270" s="139"/>
      <c r="W6270" s="49"/>
      <c r="X6270" s="49"/>
      <c r="Y6270" s="35"/>
      <c r="Z6270" s="35"/>
      <c r="AA6270" s="35"/>
      <c r="AB6270" s="35"/>
      <c r="AC6270" s="35"/>
      <c r="AD6270" s="35"/>
      <c r="AE6270" s="35"/>
      <c r="AF6270" s="35"/>
      <c r="AG6270" s="35"/>
      <c r="AH6270" s="35"/>
      <c r="AI6270" s="35"/>
      <c r="AJ6270" s="35"/>
      <c r="AK6270" s="35"/>
      <c r="AL6270" s="35"/>
    </row>
    <row r="6271">
      <c r="A6271" s="18"/>
      <c r="B6271" s="157" t="s">
        <v>4202</v>
      </c>
      <c r="C6271" s="158" t="s">
        <v>29600</v>
      </c>
      <c r="D6271" s="159"/>
      <c r="E6271" s="22" t="s">
        <v>9144</v>
      </c>
      <c r="F6271" s="22" t="s">
        <v>1081</v>
      </c>
      <c r="G6271" s="23">
        <v>2023.0</v>
      </c>
      <c r="H6271" s="22" t="s">
        <v>3036</v>
      </c>
      <c r="I6271" s="24" t="s">
        <v>29601</v>
      </c>
      <c r="J6271" s="23" t="s">
        <v>29602</v>
      </c>
      <c r="K6271" s="23" t="s">
        <v>29603</v>
      </c>
      <c r="L6271" s="171" t="s">
        <v>29604</v>
      </c>
      <c r="M6271" s="44"/>
      <c r="N6271" s="44"/>
      <c r="O6271" s="44"/>
      <c r="P6271" s="44"/>
      <c r="Q6271" s="44"/>
      <c r="R6271" s="44"/>
      <c r="S6271" s="44"/>
      <c r="T6271" s="45"/>
      <c r="U6271" s="38" t="s">
        <v>29605</v>
      </c>
      <c r="V6271" s="139"/>
      <c r="W6271" s="49"/>
      <c r="X6271" s="49"/>
      <c r="Y6271" s="35"/>
      <c r="Z6271" s="35"/>
      <c r="AA6271" s="35"/>
      <c r="AB6271" s="35"/>
      <c r="AC6271" s="35"/>
      <c r="AD6271" s="35"/>
      <c r="AE6271" s="35"/>
      <c r="AF6271" s="35"/>
      <c r="AG6271" s="35"/>
      <c r="AH6271" s="35"/>
      <c r="AI6271" s="35"/>
      <c r="AJ6271" s="35"/>
      <c r="AK6271" s="35"/>
      <c r="AL6271" s="35"/>
    </row>
    <row r="6272">
      <c r="A6272" s="18"/>
      <c r="B6272" s="157" t="s">
        <v>4202</v>
      </c>
      <c r="C6272" s="158" t="s">
        <v>29600</v>
      </c>
      <c r="D6272" s="159"/>
      <c r="E6272" s="22" t="s">
        <v>9144</v>
      </c>
      <c r="F6272" s="22" t="s">
        <v>1081</v>
      </c>
      <c r="G6272" s="23">
        <v>2021.0</v>
      </c>
      <c r="H6272" s="22" t="s">
        <v>29606</v>
      </c>
      <c r="I6272" s="24" t="s">
        <v>29607</v>
      </c>
      <c r="J6272" s="23" t="s">
        <v>29602</v>
      </c>
      <c r="K6272" s="23" t="s">
        <v>29603</v>
      </c>
      <c r="L6272" s="171" t="s">
        <v>29608</v>
      </c>
      <c r="M6272" s="44"/>
      <c r="N6272" s="44"/>
      <c r="O6272" s="44"/>
      <c r="P6272" s="44"/>
      <c r="Q6272" s="44"/>
      <c r="R6272" s="44"/>
      <c r="S6272" s="44"/>
      <c r="T6272" s="45"/>
      <c r="U6272" s="38" t="s">
        <v>61</v>
      </c>
      <c r="V6272" s="139"/>
      <c r="W6272" s="49"/>
      <c r="X6272" s="49"/>
      <c r="Y6272" s="35"/>
      <c r="Z6272" s="35"/>
      <c r="AA6272" s="35"/>
      <c r="AB6272" s="35"/>
      <c r="AC6272" s="35"/>
      <c r="AD6272" s="35"/>
      <c r="AE6272" s="35"/>
      <c r="AF6272" s="35"/>
      <c r="AG6272" s="35"/>
      <c r="AH6272" s="35"/>
      <c r="AI6272" s="35"/>
      <c r="AJ6272" s="35"/>
      <c r="AK6272" s="35"/>
      <c r="AL6272" s="35"/>
    </row>
    <row r="6273">
      <c r="A6273" s="18"/>
      <c r="B6273" s="157" t="s">
        <v>4202</v>
      </c>
      <c r="C6273" s="158" t="s">
        <v>29602</v>
      </c>
      <c r="D6273" s="159"/>
      <c r="E6273" s="22" t="s">
        <v>2498</v>
      </c>
      <c r="F6273" s="22" t="s">
        <v>7156</v>
      </c>
      <c r="G6273" s="23">
        <v>2023.0</v>
      </c>
      <c r="H6273" s="22" t="s">
        <v>29609</v>
      </c>
      <c r="I6273" s="24" t="s">
        <v>29610</v>
      </c>
      <c r="J6273" s="23" t="s">
        <v>29611</v>
      </c>
      <c r="K6273" s="23"/>
      <c r="L6273" s="171" t="s">
        <v>29612</v>
      </c>
      <c r="M6273" s="44"/>
      <c r="N6273" s="44"/>
      <c r="O6273" s="44"/>
      <c r="P6273" s="44"/>
      <c r="Q6273" s="44"/>
      <c r="R6273" s="44"/>
      <c r="S6273" s="44"/>
      <c r="T6273" s="45"/>
      <c r="U6273" s="38" t="s">
        <v>61</v>
      </c>
      <c r="V6273" s="139"/>
      <c r="W6273" s="49"/>
      <c r="X6273" s="49"/>
      <c r="Y6273" s="35"/>
      <c r="Z6273" s="35"/>
      <c r="AA6273" s="35"/>
      <c r="AB6273" s="35"/>
      <c r="AC6273" s="35"/>
      <c r="AD6273" s="35"/>
      <c r="AE6273" s="35"/>
      <c r="AF6273" s="35"/>
      <c r="AG6273" s="35"/>
      <c r="AH6273" s="35"/>
      <c r="AI6273" s="35"/>
      <c r="AJ6273" s="35"/>
      <c r="AK6273" s="35"/>
      <c r="AL6273" s="35"/>
    </row>
    <row r="6274">
      <c r="A6274" s="18"/>
      <c r="B6274" s="157" t="s">
        <v>4202</v>
      </c>
      <c r="C6274" s="158" t="s">
        <v>29602</v>
      </c>
      <c r="D6274" s="159"/>
      <c r="E6274" s="22" t="s">
        <v>4486</v>
      </c>
      <c r="F6274" s="22" t="s">
        <v>2821</v>
      </c>
      <c r="G6274" s="23">
        <v>2023.0</v>
      </c>
      <c r="H6274" s="22" t="s">
        <v>6123</v>
      </c>
      <c r="I6274" s="24" t="s">
        <v>29613</v>
      </c>
      <c r="J6274" s="23" t="s">
        <v>29602</v>
      </c>
      <c r="K6274" s="23"/>
      <c r="L6274" s="171" t="s">
        <v>29614</v>
      </c>
      <c r="M6274" s="44"/>
      <c r="N6274" s="44"/>
      <c r="O6274" s="44"/>
      <c r="P6274" s="44"/>
      <c r="Q6274" s="44"/>
      <c r="R6274" s="44"/>
      <c r="S6274" s="44"/>
      <c r="T6274" s="45"/>
      <c r="U6274" s="38" t="s">
        <v>61</v>
      </c>
      <c r="V6274" s="139"/>
      <c r="W6274" s="49"/>
      <c r="X6274" s="49"/>
      <c r="Y6274" s="35"/>
      <c r="Z6274" s="35"/>
      <c r="AA6274" s="35"/>
      <c r="AB6274" s="35"/>
      <c r="AC6274" s="35"/>
      <c r="AD6274" s="35"/>
      <c r="AE6274" s="35"/>
      <c r="AF6274" s="35"/>
      <c r="AG6274" s="35"/>
      <c r="AH6274" s="35"/>
      <c r="AI6274" s="35"/>
      <c r="AJ6274" s="35"/>
      <c r="AK6274" s="35"/>
      <c r="AL6274" s="35"/>
    </row>
    <row r="6275">
      <c r="A6275" s="18"/>
      <c r="B6275" s="157" t="s">
        <v>4202</v>
      </c>
      <c r="C6275" s="158" t="s">
        <v>29602</v>
      </c>
      <c r="D6275" s="159"/>
      <c r="E6275" s="22" t="s">
        <v>5065</v>
      </c>
      <c r="F6275" s="22" t="s">
        <v>2346</v>
      </c>
      <c r="G6275" s="23">
        <v>2021.0</v>
      </c>
      <c r="H6275" s="22" t="s">
        <v>348</v>
      </c>
      <c r="I6275" s="24" t="s">
        <v>29615</v>
      </c>
      <c r="J6275" s="23" t="s">
        <v>31</v>
      </c>
      <c r="K6275" s="23"/>
      <c r="L6275" s="171" t="s">
        <v>29616</v>
      </c>
      <c r="M6275" s="44"/>
      <c r="N6275" s="44"/>
      <c r="O6275" s="44"/>
      <c r="P6275" s="44"/>
      <c r="Q6275" s="44"/>
      <c r="R6275" s="44"/>
      <c r="S6275" s="44"/>
      <c r="T6275" s="45"/>
      <c r="U6275" s="29" t="s">
        <v>61</v>
      </c>
      <c r="V6275" s="139"/>
      <c r="W6275" s="49"/>
      <c r="X6275" s="49"/>
      <c r="Y6275" s="35"/>
      <c r="Z6275" s="35"/>
      <c r="AA6275" s="35"/>
      <c r="AB6275" s="35"/>
      <c r="AC6275" s="35"/>
      <c r="AD6275" s="35"/>
      <c r="AE6275" s="35"/>
      <c r="AF6275" s="35"/>
      <c r="AG6275" s="35"/>
      <c r="AH6275" s="35"/>
      <c r="AI6275" s="35"/>
      <c r="AJ6275" s="35"/>
      <c r="AK6275" s="35"/>
      <c r="AL6275" s="35"/>
    </row>
    <row r="6276">
      <c r="A6276" s="207"/>
      <c r="B6276" s="157" t="s">
        <v>4202</v>
      </c>
      <c r="C6276" s="158" t="s">
        <v>29617</v>
      </c>
      <c r="D6276" s="159"/>
      <c r="E6276" s="22" t="s">
        <v>29618</v>
      </c>
      <c r="F6276" s="22" t="s">
        <v>358</v>
      </c>
      <c r="G6276" s="23">
        <v>2022.0</v>
      </c>
      <c r="H6276" s="22" t="s">
        <v>627</v>
      </c>
      <c r="I6276" s="24" t="s">
        <v>29619</v>
      </c>
      <c r="J6276" s="23" t="s">
        <v>29620</v>
      </c>
      <c r="K6276" s="23"/>
      <c r="L6276" s="270" t="s">
        <v>29621</v>
      </c>
      <c r="M6276" s="44"/>
      <c r="N6276" s="44"/>
      <c r="O6276" s="44"/>
      <c r="P6276" s="44"/>
      <c r="Q6276" s="44"/>
      <c r="R6276" s="44"/>
      <c r="S6276" s="44"/>
      <c r="T6276" s="45"/>
      <c r="U6276" s="29" t="s">
        <v>61</v>
      </c>
      <c r="V6276" s="139"/>
      <c r="W6276" s="49"/>
      <c r="X6276" s="49"/>
      <c r="Y6276" s="35"/>
      <c r="Z6276" s="35"/>
      <c r="AA6276" s="35"/>
      <c r="AB6276" s="35"/>
      <c r="AC6276" s="35"/>
      <c r="AD6276" s="35"/>
      <c r="AE6276" s="35"/>
      <c r="AF6276" s="35"/>
      <c r="AG6276" s="35"/>
      <c r="AH6276" s="35"/>
      <c r="AI6276" s="35"/>
      <c r="AJ6276" s="35"/>
      <c r="AK6276" s="35"/>
      <c r="AL6276" s="35"/>
    </row>
    <row r="6277">
      <c r="A6277" s="207"/>
      <c r="B6277" s="157" t="s">
        <v>4202</v>
      </c>
      <c r="C6277" s="158" t="s">
        <v>29617</v>
      </c>
      <c r="D6277" s="159"/>
      <c r="E6277" s="22" t="s">
        <v>20689</v>
      </c>
      <c r="F6277" s="22" t="s">
        <v>11994</v>
      </c>
      <c r="G6277" s="23">
        <v>2022.0</v>
      </c>
      <c r="H6277" s="22" t="s">
        <v>91</v>
      </c>
      <c r="I6277" s="24" t="s">
        <v>29622</v>
      </c>
      <c r="J6277" s="23" t="s">
        <v>29620</v>
      </c>
      <c r="K6277" s="23"/>
      <c r="L6277" s="270" t="s">
        <v>29623</v>
      </c>
      <c r="M6277" s="44"/>
      <c r="N6277" s="44"/>
      <c r="O6277" s="44"/>
      <c r="P6277" s="44"/>
      <c r="Q6277" s="44"/>
      <c r="R6277" s="44"/>
      <c r="S6277" s="44"/>
      <c r="T6277" s="45"/>
      <c r="U6277" s="29" t="s">
        <v>61</v>
      </c>
      <c r="V6277" s="139"/>
      <c r="W6277" s="49"/>
      <c r="X6277" s="49"/>
      <c r="Y6277" s="35"/>
      <c r="Z6277" s="35"/>
      <c r="AA6277" s="35"/>
      <c r="AB6277" s="35"/>
      <c r="AC6277" s="35"/>
      <c r="AD6277" s="35"/>
      <c r="AE6277" s="35"/>
      <c r="AF6277" s="35"/>
      <c r="AG6277" s="35"/>
      <c r="AH6277" s="35"/>
      <c r="AI6277" s="35"/>
      <c r="AJ6277" s="35"/>
      <c r="AK6277" s="35"/>
      <c r="AL6277" s="35"/>
    </row>
    <row r="6278">
      <c r="A6278" s="207"/>
      <c r="B6278" s="157" t="s">
        <v>4202</v>
      </c>
      <c r="C6278" s="158" t="s">
        <v>29617</v>
      </c>
      <c r="D6278" s="159"/>
      <c r="E6278" s="22" t="s">
        <v>12287</v>
      </c>
      <c r="F6278" s="22" t="s">
        <v>41</v>
      </c>
      <c r="G6278" s="23">
        <v>2010.0</v>
      </c>
      <c r="H6278" s="22" t="s">
        <v>9355</v>
      </c>
      <c r="I6278" s="24" t="s">
        <v>29624</v>
      </c>
      <c r="J6278" s="23" t="s">
        <v>29620</v>
      </c>
      <c r="K6278" s="23"/>
      <c r="L6278" s="270" t="s">
        <v>29625</v>
      </c>
      <c r="M6278" s="44"/>
      <c r="N6278" s="44"/>
      <c r="O6278" s="44"/>
      <c r="P6278" s="44"/>
      <c r="Q6278" s="44"/>
      <c r="R6278" s="44"/>
      <c r="S6278" s="44"/>
      <c r="T6278" s="45"/>
      <c r="U6278" s="38" t="str">
        <f>HYPERLINK("https://www.ncbi.nlm.nih.gov/pubmed/20949231","PubMed")</f>
        <v>PubMed</v>
      </c>
      <c r="V6278" s="139"/>
      <c r="W6278" s="49"/>
      <c r="X6278" s="49"/>
      <c r="Y6278" s="35"/>
      <c r="Z6278" s="35"/>
      <c r="AA6278" s="35"/>
      <c r="AB6278" s="35"/>
      <c r="AC6278" s="35"/>
      <c r="AD6278" s="35"/>
      <c r="AE6278" s="35"/>
      <c r="AF6278" s="35"/>
      <c r="AG6278" s="35"/>
      <c r="AH6278" s="35"/>
      <c r="AI6278" s="35"/>
      <c r="AJ6278" s="35"/>
      <c r="AK6278" s="35"/>
      <c r="AL6278" s="35"/>
    </row>
    <row r="6279">
      <c r="A6279" s="207"/>
      <c r="B6279" s="157" t="s">
        <v>4202</v>
      </c>
      <c r="C6279" s="158" t="s">
        <v>29617</v>
      </c>
      <c r="D6279" s="159"/>
      <c r="E6279" s="22" t="s">
        <v>29626</v>
      </c>
      <c r="F6279" s="22" t="s">
        <v>358</v>
      </c>
      <c r="G6279" s="23">
        <v>2009.0</v>
      </c>
      <c r="H6279" s="22" t="s">
        <v>658</v>
      </c>
      <c r="I6279" s="24" t="s">
        <v>29627</v>
      </c>
      <c r="J6279" s="23" t="s">
        <v>29620</v>
      </c>
      <c r="K6279" s="23"/>
      <c r="L6279" s="270" t="s">
        <v>29628</v>
      </c>
      <c r="M6279" s="44"/>
      <c r="N6279" s="44"/>
      <c r="O6279" s="44"/>
      <c r="P6279" s="44"/>
      <c r="Q6279" s="44"/>
      <c r="R6279" s="44"/>
      <c r="S6279" s="44"/>
      <c r="T6279" s="45"/>
      <c r="U6279" s="38" t="str">
        <f>HYPERLINK("https://www.ncbi.nlm.nih.gov/pubmed/19563243","PubMed")</f>
        <v>PubMed</v>
      </c>
      <c r="V6279" s="139"/>
      <c r="W6279" s="49"/>
      <c r="X6279" s="49"/>
      <c r="Y6279" s="35"/>
      <c r="Z6279" s="35"/>
      <c r="AA6279" s="35"/>
      <c r="AB6279" s="35"/>
      <c r="AC6279" s="35"/>
      <c r="AD6279" s="35"/>
      <c r="AE6279" s="35"/>
      <c r="AF6279" s="35"/>
      <c r="AG6279" s="35"/>
      <c r="AH6279" s="35"/>
      <c r="AI6279" s="35"/>
      <c r="AJ6279" s="35"/>
      <c r="AK6279" s="35"/>
      <c r="AL6279" s="35"/>
    </row>
    <row r="6280">
      <c r="A6280" s="18"/>
      <c r="B6280" s="157" t="s">
        <v>4202</v>
      </c>
      <c r="C6280" s="158" t="s">
        <v>1112</v>
      </c>
      <c r="D6280" s="159"/>
      <c r="E6280" s="22" t="s">
        <v>9904</v>
      </c>
      <c r="F6280" s="22" t="s">
        <v>224</v>
      </c>
      <c r="G6280" s="23">
        <v>2023.0</v>
      </c>
      <c r="H6280" s="22" t="s">
        <v>91</v>
      </c>
      <c r="I6280" s="24" t="s">
        <v>29629</v>
      </c>
      <c r="J6280" s="22" t="s">
        <v>125</v>
      </c>
      <c r="K6280" s="23"/>
      <c r="L6280" s="171" t="s">
        <v>29630</v>
      </c>
      <c r="M6280" s="44"/>
      <c r="N6280" s="44"/>
      <c r="O6280" s="44"/>
      <c r="P6280" s="44"/>
      <c r="Q6280" s="44"/>
      <c r="R6280" s="44"/>
      <c r="S6280" s="44"/>
      <c r="T6280" s="45"/>
      <c r="U6280" s="38" t="s">
        <v>61</v>
      </c>
      <c r="V6280" s="139"/>
      <c r="W6280" s="49"/>
      <c r="X6280" s="49"/>
      <c r="Y6280" s="35"/>
      <c r="Z6280" s="35"/>
      <c r="AA6280" s="35"/>
      <c r="AB6280" s="35"/>
      <c r="AC6280" s="35"/>
      <c r="AD6280" s="35"/>
      <c r="AE6280" s="35"/>
      <c r="AF6280" s="35"/>
      <c r="AG6280" s="35"/>
      <c r="AH6280" s="35"/>
      <c r="AI6280" s="35"/>
      <c r="AJ6280" s="35"/>
      <c r="AK6280" s="35"/>
      <c r="AL6280" s="35"/>
    </row>
    <row r="6281">
      <c r="A6281" s="18"/>
      <c r="B6281" s="157" t="s">
        <v>4202</v>
      </c>
      <c r="C6281" s="158" t="s">
        <v>1112</v>
      </c>
      <c r="D6281" s="159"/>
      <c r="E6281" s="22" t="s">
        <v>8046</v>
      </c>
      <c r="F6281" s="22" t="s">
        <v>8047</v>
      </c>
      <c r="G6281" s="23">
        <v>2021.0</v>
      </c>
      <c r="H6281" s="22" t="s">
        <v>7990</v>
      </c>
      <c r="I6281" s="24" t="s">
        <v>29631</v>
      </c>
      <c r="J6281" s="22" t="s">
        <v>125</v>
      </c>
      <c r="K6281" s="23" t="s">
        <v>29632</v>
      </c>
      <c r="L6281" s="171" t="s">
        <v>29633</v>
      </c>
      <c r="M6281" s="44"/>
      <c r="N6281" s="44"/>
      <c r="O6281" s="44"/>
      <c r="P6281" s="44"/>
      <c r="Q6281" s="44"/>
      <c r="R6281" s="44"/>
      <c r="S6281" s="44"/>
      <c r="T6281" s="45"/>
      <c r="U6281" s="29" t="s">
        <v>61</v>
      </c>
      <c r="V6281" s="139"/>
      <c r="W6281" s="49"/>
      <c r="X6281" s="49"/>
      <c r="Y6281" s="35"/>
      <c r="Z6281" s="35"/>
      <c r="AA6281" s="35"/>
      <c r="AB6281" s="35"/>
      <c r="AC6281" s="35"/>
      <c r="AD6281" s="35"/>
      <c r="AE6281" s="35"/>
      <c r="AF6281" s="35"/>
      <c r="AG6281" s="35"/>
      <c r="AH6281" s="35"/>
      <c r="AI6281" s="35"/>
      <c r="AJ6281" s="35"/>
      <c r="AK6281" s="35"/>
      <c r="AL6281" s="35"/>
    </row>
    <row r="6282">
      <c r="A6282" s="18" t="s">
        <v>2</v>
      </c>
      <c r="B6282" s="157" t="s">
        <v>4202</v>
      </c>
      <c r="C6282" s="158" t="s">
        <v>1112</v>
      </c>
      <c r="D6282" s="159"/>
      <c r="E6282" s="22" t="s">
        <v>711</v>
      </c>
      <c r="F6282" s="22" t="s">
        <v>23813</v>
      </c>
      <c r="G6282" s="23">
        <v>2018.0</v>
      </c>
      <c r="H6282" s="22" t="s">
        <v>1025</v>
      </c>
      <c r="I6282" s="24" t="s">
        <v>29634</v>
      </c>
      <c r="J6282" s="22" t="s">
        <v>125</v>
      </c>
      <c r="K6282" s="23"/>
      <c r="L6282" s="171" t="s">
        <v>29635</v>
      </c>
      <c r="M6282" s="44"/>
      <c r="N6282" s="44"/>
      <c r="O6282" s="44"/>
      <c r="P6282" s="44"/>
      <c r="Q6282" s="44"/>
      <c r="R6282" s="44"/>
      <c r="S6282" s="44"/>
      <c r="T6282" s="45"/>
      <c r="U6282" s="38" t="str">
        <f>HYPERLINK("https://www.ncbi.nlm.nih.gov/pubmed/30550048","PubMed")</f>
        <v>PubMed</v>
      </c>
      <c r="V6282" s="139"/>
      <c r="W6282" s="49"/>
      <c r="X6282" s="49"/>
      <c r="Y6282" s="35"/>
      <c r="Z6282" s="35"/>
      <c r="AA6282" s="35"/>
      <c r="AB6282" s="35"/>
      <c r="AC6282" s="35"/>
      <c r="AD6282" s="35"/>
      <c r="AE6282" s="35"/>
      <c r="AF6282" s="35"/>
      <c r="AG6282" s="35"/>
      <c r="AH6282" s="35"/>
      <c r="AI6282" s="35"/>
      <c r="AJ6282" s="35"/>
      <c r="AK6282" s="35"/>
      <c r="AL6282" s="35"/>
    </row>
    <row r="6283">
      <c r="A6283" s="18" t="s">
        <v>2</v>
      </c>
      <c r="B6283" s="157" t="s">
        <v>4202</v>
      </c>
      <c r="C6283" s="158" t="s">
        <v>1112</v>
      </c>
      <c r="D6283" s="159"/>
      <c r="E6283" s="22" t="s">
        <v>29636</v>
      </c>
      <c r="F6283" s="22" t="s">
        <v>1862</v>
      </c>
      <c r="G6283" s="23">
        <v>2000.0</v>
      </c>
      <c r="H6283" s="22" t="s">
        <v>292</v>
      </c>
      <c r="I6283" s="24" t="s">
        <v>29637</v>
      </c>
      <c r="J6283" s="22" t="s">
        <v>125</v>
      </c>
      <c r="K6283" s="23"/>
      <c r="L6283" s="171" t="s">
        <v>29638</v>
      </c>
      <c r="M6283" s="44"/>
      <c r="N6283" s="44"/>
      <c r="O6283" s="44"/>
      <c r="P6283" s="44"/>
      <c r="Q6283" s="44"/>
      <c r="R6283" s="44"/>
      <c r="S6283" s="44"/>
      <c r="T6283" s="45"/>
      <c r="U6283" s="38" t="str">
        <f>HYPERLINK("https://www.jstage.jst.go.jp/article/islsm/13/1/13_1_102/_article","J-STAGE")</f>
        <v>J-STAGE</v>
      </c>
      <c r="V6283" s="139"/>
      <c r="W6283" s="49"/>
      <c r="X6283" s="49"/>
      <c r="Y6283" s="35"/>
      <c r="Z6283" s="35"/>
      <c r="AA6283" s="35"/>
      <c r="AB6283" s="35"/>
      <c r="AC6283" s="35"/>
      <c r="AD6283" s="35"/>
      <c r="AE6283" s="35"/>
      <c r="AF6283" s="35"/>
      <c r="AG6283" s="35"/>
      <c r="AH6283" s="35"/>
      <c r="AI6283" s="35"/>
      <c r="AJ6283" s="35"/>
      <c r="AK6283" s="35"/>
      <c r="AL6283" s="35"/>
    </row>
    <row r="6284">
      <c r="A6284" s="207"/>
      <c r="B6284" s="157" t="s">
        <v>4202</v>
      </c>
      <c r="C6284" s="158" t="s">
        <v>6367</v>
      </c>
      <c r="D6284" s="159"/>
      <c r="E6284" s="22" t="s">
        <v>12775</v>
      </c>
      <c r="F6284" s="22" t="s">
        <v>29581</v>
      </c>
      <c r="G6284" s="23">
        <v>2019.0</v>
      </c>
      <c r="H6284" s="22" t="s">
        <v>77</v>
      </c>
      <c r="I6284" s="24" t="s">
        <v>29639</v>
      </c>
      <c r="J6284" s="23" t="s">
        <v>3289</v>
      </c>
      <c r="K6284" s="23"/>
      <c r="L6284" s="171"/>
      <c r="M6284" s="44"/>
      <c r="N6284" s="44"/>
      <c r="O6284" s="44"/>
      <c r="P6284" s="44"/>
      <c r="Q6284" s="44"/>
      <c r="R6284" s="44"/>
      <c r="S6284" s="44"/>
      <c r="T6284" s="45"/>
      <c r="U6284" s="215"/>
      <c r="V6284" s="139"/>
      <c r="W6284" s="49"/>
      <c r="X6284" s="49"/>
      <c r="Y6284" s="35"/>
      <c r="Z6284" s="35"/>
      <c r="AA6284" s="35"/>
      <c r="AB6284" s="35"/>
      <c r="AC6284" s="35"/>
      <c r="AD6284" s="35"/>
      <c r="AE6284" s="35"/>
      <c r="AF6284" s="35"/>
      <c r="AG6284" s="35"/>
      <c r="AH6284" s="35"/>
      <c r="AI6284" s="35"/>
      <c r="AJ6284" s="35"/>
      <c r="AK6284" s="35"/>
      <c r="AL6284" s="35"/>
    </row>
    <row r="6285">
      <c r="A6285" s="207"/>
      <c r="B6285" s="157" t="s">
        <v>4202</v>
      </c>
      <c r="C6285" s="158" t="s">
        <v>6367</v>
      </c>
      <c r="D6285" s="159"/>
      <c r="E6285" s="22" t="s">
        <v>29640</v>
      </c>
      <c r="F6285" s="22" t="s">
        <v>29641</v>
      </c>
      <c r="G6285" s="23">
        <v>2016.0</v>
      </c>
      <c r="H6285" s="22" t="s">
        <v>658</v>
      </c>
      <c r="I6285" s="24" t="s">
        <v>29642</v>
      </c>
      <c r="J6285" s="23" t="s">
        <v>3289</v>
      </c>
      <c r="K6285" s="23"/>
      <c r="L6285" s="171" t="s">
        <v>29643</v>
      </c>
      <c r="M6285" s="44"/>
      <c r="N6285" s="44"/>
      <c r="O6285" s="44"/>
      <c r="P6285" s="44"/>
      <c r="Q6285" s="44"/>
      <c r="R6285" s="44"/>
      <c r="S6285" s="44"/>
      <c r="T6285" s="45"/>
      <c r="U6285" s="38" t="str">
        <f>HYPERLINK("https://www.ncbi.nlm.nih.gov/pubmed/26953553","PubMed")</f>
        <v>PubMed</v>
      </c>
      <c r="V6285" s="139"/>
      <c r="W6285" s="49"/>
      <c r="X6285" s="49"/>
      <c r="Y6285" s="35"/>
      <c r="Z6285" s="35"/>
      <c r="AA6285" s="35"/>
      <c r="AB6285" s="35"/>
      <c r="AC6285" s="35"/>
      <c r="AD6285" s="35"/>
      <c r="AE6285" s="35"/>
      <c r="AF6285" s="35"/>
      <c r="AG6285" s="35"/>
      <c r="AH6285" s="35"/>
      <c r="AI6285" s="35"/>
      <c r="AJ6285" s="35"/>
      <c r="AK6285" s="35"/>
      <c r="AL6285" s="35"/>
    </row>
    <row r="6286">
      <c r="A6286" s="207"/>
      <c r="B6286" s="157" t="s">
        <v>4202</v>
      </c>
      <c r="C6286" s="158" t="s">
        <v>6367</v>
      </c>
      <c r="D6286" s="159"/>
      <c r="E6286" s="22" t="s">
        <v>29644</v>
      </c>
      <c r="F6286" s="22" t="s">
        <v>323</v>
      </c>
      <c r="G6286" s="23">
        <v>2014.0</v>
      </c>
      <c r="H6286" s="22" t="s">
        <v>658</v>
      </c>
      <c r="I6286" s="24" t="s">
        <v>29645</v>
      </c>
      <c r="J6286" s="23" t="s">
        <v>3289</v>
      </c>
      <c r="K6286" s="23"/>
      <c r="L6286" s="171" t="s">
        <v>29646</v>
      </c>
      <c r="M6286" s="44"/>
      <c r="N6286" s="44"/>
      <c r="O6286" s="44"/>
      <c r="P6286" s="44"/>
      <c r="Q6286" s="44"/>
      <c r="R6286" s="44"/>
      <c r="S6286" s="44"/>
      <c r="T6286" s="45"/>
      <c r="U6286" s="38" t="str">
        <f>HYPERLINK("https://www.ncbi.nlm.nih.gov/pubmed/25014468","PubMed")</f>
        <v>PubMed</v>
      </c>
      <c r="V6286" s="139"/>
      <c r="W6286" s="49"/>
      <c r="X6286" s="49"/>
      <c r="Y6286" s="35"/>
      <c r="Z6286" s="35"/>
      <c r="AA6286" s="35"/>
      <c r="AB6286" s="35"/>
      <c r="AC6286" s="35"/>
      <c r="AD6286" s="35"/>
      <c r="AE6286" s="35"/>
      <c r="AF6286" s="35"/>
      <c r="AG6286" s="35"/>
      <c r="AH6286" s="35"/>
      <c r="AI6286" s="35"/>
      <c r="AJ6286" s="35"/>
      <c r="AK6286" s="35"/>
      <c r="AL6286" s="35"/>
    </row>
    <row r="6287">
      <c r="A6287" s="207"/>
      <c r="B6287" s="157" t="s">
        <v>4202</v>
      </c>
      <c r="C6287" s="158" t="s">
        <v>6367</v>
      </c>
      <c r="D6287" s="159"/>
      <c r="E6287" s="22" t="s">
        <v>27530</v>
      </c>
      <c r="F6287" s="22" t="s">
        <v>1465</v>
      </c>
      <c r="G6287" s="23">
        <v>2012.0</v>
      </c>
      <c r="H6287" s="22" t="s">
        <v>658</v>
      </c>
      <c r="I6287" s="24" t="s">
        <v>29647</v>
      </c>
      <c r="J6287" s="23" t="s">
        <v>3289</v>
      </c>
      <c r="K6287" s="23"/>
      <c r="L6287" s="171" t="s">
        <v>29648</v>
      </c>
      <c r="M6287" s="44"/>
      <c r="N6287" s="44"/>
      <c r="O6287" s="44"/>
      <c r="P6287" s="44"/>
      <c r="Q6287" s="44"/>
      <c r="R6287" s="44"/>
      <c r="S6287" s="44"/>
      <c r="T6287" s="45"/>
      <c r="U6287" s="38" t="str">
        <f>HYPERLINK("https://www.ncbi.nlm.nih.gov/pubmed/22233559","PubMed")</f>
        <v>PubMed</v>
      </c>
      <c r="V6287" s="139"/>
      <c r="W6287" s="49"/>
      <c r="X6287" s="49"/>
      <c r="Y6287" s="35"/>
      <c r="Z6287" s="35"/>
      <c r="AA6287" s="35"/>
      <c r="AB6287" s="35"/>
      <c r="AC6287" s="35"/>
      <c r="AD6287" s="35"/>
      <c r="AE6287" s="35"/>
      <c r="AF6287" s="35"/>
      <c r="AG6287" s="35"/>
      <c r="AH6287" s="35"/>
      <c r="AI6287" s="35"/>
      <c r="AJ6287" s="35"/>
      <c r="AK6287" s="35"/>
      <c r="AL6287" s="35"/>
    </row>
    <row r="6288">
      <c r="A6288" s="207"/>
      <c r="B6288" s="157" t="s">
        <v>4202</v>
      </c>
      <c r="C6288" s="158" t="s">
        <v>6367</v>
      </c>
      <c r="D6288" s="159"/>
      <c r="E6288" s="22" t="s">
        <v>14375</v>
      </c>
      <c r="F6288" s="22" t="s">
        <v>1173</v>
      </c>
      <c r="G6288" s="23">
        <v>2011.0</v>
      </c>
      <c r="H6288" s="22" t="s">
        <v>658</v>
      </c>
      <c r="I6288" s="24" t="s">
        <v>29649</v>
      </c>
      <c r="J6288" s="23" t="s">
        <v>202</v>
      </c>
      <c r="K6288" s="23"/>
      <c r="L6288" s="171" t="s">
        <v>29650</v>
      </c>
      <c r="M6288" s="44"/>
      <c r="N6288" s="44"/>
      <c r="O6288" s="44"/>
      <c r="P6288" s="44"/>
      <c r="Q6288" s="44"/>
      <c r="R6288" s="44"/>
      <c r="S6288" s="44"/>
      <c r="T6288" s="45"/>
      <c r="U6288" s="38" t="str">
        <f>HYPERLINK("https://www.ncbi.nlm.nih.gov/pubmed/22070214","PubMed")</f>
        <v>PubMed</v>
      </c>
      <c r="V6288" s="139"/>
      <c r="W6288" s="49"/>
      <c r="X6288" s="49"/>
      <c r="Y6288" s="35"/>
      <c r="Z6288" s="35"/>
      <c r="AA6288" s="35"/>
      <c r="AB6288" s="35"/>
      <c r="AC6288" s="35"/>
      <c r="AD6288" s="35"/>
      <c r="AE6288" s="35"/>
      <c r="AF6288" s="35"/>
      <c r="AG6288" s="35"/>
      <c r="AH6288" s="35"/>
      <c r="AI6288" s="35"/>
      <c r="AJ6288" s="35"/>
      <c r="AK6288" s="35"/>
      <c r="AL6288" s="35"/>
    </row>
    <row r="6289">
      <c r="A6289" s="18" t="s">
        <v>2</v>
      </c>
      <c r="B6289" s="157" t="s">
        <v>4202</v>
      </c>
      <c r="C6289" s="158" t="s">
        <v>6367</v>
      </c>
      <c r="D6289" s="159"/>
      <c r="E6289" s="22" t="s">
        <v>14375</v>
      </c>
      <c r="F6289" s="22" t="s">
        <v>2161</v>
      </c>
      <c r="G6289" s="23">
        <v>2008.0</v>
      </c>
      <c r="H6289" s="22" t="s">
        <v>658</v>
      </c>
      <c r="I6289" s="24" t="s">
        <v>29651</v>
      </c>
      <c r="J6289" s="23" t="s">
        <v>202</v>
      </c>
      <c r="K6289" s="23"/>
      <c r="L6289" s="171" t="s">
        <v>29652</v>
      </c>
      <c r="M6289" s="44"/>
      <c r="N6289" s="44"/>
      <c r="O6289" s="44"/>
      <c r="P6289" s="44"/>
      <c r="Q6289" s="44"/>
      <c r="R6289" s="44"/>
      <c r="S6289" s="44"/>
      <c r="T6289" s="45"/>
      <c r="U6289" s="38" t="str">
        <f>HYPERLINK("https://www.ncbi.nlm.nih.gov/pubmed/18922083","PubMed")</f>
        <v>PubMed</v>
      </c>
      <c r="V6289" s="139"/>
      <c r="W6289" s="49"/>
      <c r="X6289" s="49"/>
      <c r="Y6289" s="35"/>
      <c r="Z6289" s="35"/>
      <c r="AA6289" s="35"/>
      <c r="AB6289" s="35"/>
      <c r="AC6289" s="35"/>
      <c r="AD6289" s="35"/>
      <c r="AE6289" s="35"/>
      <c r="AF6289" s="35"/>
      <c r="AG6289" s="35"/>
      <c r="AH6289" s="35"/>
      <c r="AI6289" s="35"/>
      <c r="AJ6289" s="35"/>
      <c r="AK6289" s="35"/>
      <c r="AL6289" s="35"/>
    </row>
    <row r="6290">
      <c r="A6290" s="18"/>
      <c r="B6290" s="157" t="s">
        <v>4202</v>
      </c>
      <c r="C6290" s="158" t="s">
        <v>6367</v>
      </c>
      <c r="D6290" s="159"/>
      <c r="E6290" s="22" t="s">
        <v>10739</v>
      </c>
      <c r="F6290" s="22" t="s">
        <v>1416</v>
      </c>
      <c r="G6290" s="23">
        <v>1990.0</v>
      </c>
      <c r="H6290" s="22" t="s">
        <v>292</v>
      </c>
      <c r="I6290" s="24" t="s">
        <v>29653</v>
      </c>
      <c r="J6290" s="23" t="s">
        <v>202</v>
      </c>
      <c r="K6290" s="23" t="s">
        <v>14464</v>
      </c>
      <c r="L6290" s="171" t="s">
        <v>29654</v>
      </c>
      <c r="M6290" s="44"/>
      <c r="N6290" s="44"/>
      <c r="O6290" s="44"/>
      <c r="P6290" s="44"/>
      <c r="Q6290" s="44"/>
      <c r="R6290" s="44"/>
      <c r="S6290" s="44"/>
      <c r="T6290" s="45"/>
      <c r="U6290" s="38" t="str">
        <f>HYPERLINK("https://www.jstage.jst.go.jp/article/islsm/2/3/2_90-ED-03/_article/-char/en","J-STAGE")</f>
        <v>J-STAGE</v>
      </c>
      <c r="V6290" s="139"/>
      <c r="W6290" s="49"/>
      <c r="X6290" s="49"/>
      <c r="Y6290" s="35"/>
      <c r="Z6290" s="35"/>
      <c r="AA6290" s="35"/>
      <c r="AB6290" s="35"/>
      <c r="AC6290" s="35"/>
      <c r="AD6290" s="35"/>
      <c r="AE6290" s="35"/>
      <c r="AF6290" s="35"/>
      <c r="AG6290" s="35"/>
      <c r="AH6290" s="35"/>
      <c r="AI6290" s="35"/>
      <c r="AJ6290" s="35"/>
      <c r="AK6290" s="35"/>
      <c r="AL6290" s="35"/>
    </row>
    <row r="6291">
      <c r="A6291" s="207"/>
      <c r="B6291" s="157" t="s">
        <v>4202</v>
      </c>
      <c r="C6291" s="158" t="s">
        <v>29655</v>
      </c>
      <c r="D6291" s="159"/>
      <c r="E6291" s="178" t="s">
        <v>5065</v>
      </c>
      <c r="F6291" s="178" t="s">
        <v>540</v>
      </c>
      <c r="G6291" s="177">
        <v>2021.0</v>
      </c>
      <c r="H6291" s="178" t="s">
        <v>29656</v>
      </c>
      <c r="I6291" s="179" t="s">
        <v>29657</v>
      </c>
      <c r="J6291" s="23" t="s">
        <v>29658</v>
      </c>
      <c r="K6291" s="23"/>
      <c r="L6291" s="389" t="s">
        <v>29659</v>
      </c>
      <c r="M6291" s="44"/>
      <c r="N6291" s="44"/>
      <c r="O6291" s="44"/>
      <c r="P6291" s="44"/>
      <c r="Q6291" s="44"/>
      <c r="R6291" s="44"/>
      <c r="S6291" s="44"/>
      <c r="T6291" s="45"/>
      <c r="U6291" s="29" t="s">
        <v>61</v>
      </c>
      <c r="V6291" s="139"/>
      <c r="W6291" s="49"/>
      <c r="X6291" s="49"/>
      <c r="Y6291" s="35"/>
      <c r="Z6291" s="35"/>
      <c r="AA6291" s="35"/>
      <c r="AB6291" s="35"/>
      <c r="AC6291" s="35"/>
      <c r="AD6291" s="35"/>
      <c r="AE6291" s="35"/>
      <c r="AF6291" s="35"/>
      <c r="AG6291" s="35"/>
      <c r="AH6291" s="35"/>
      <c r="AI6291" s="35"/>
      <c r="AJ6291" s="35"/>
      <c r="AK6291" s="35"/>
      <c r="AL6291" s="35"/>
    </row>
    <row r="6292">
      <c r="A6292" s="207"/>
      <c r="B6292" s="157" t="s">
        <v>4202</v>
      </c>
      <c r="C6292" s="158" t="s">
        <v>29660</v>
      </c>
      <c r="D6292" s="159"/>
      <c r="E6292" s="22" t="s">
        <v>29661</v>
      </c>
      <c r="F6292" s="22" t="s">
        <v>2214</v>
      </c>
      <c r="G6292" s="23">
        <v>2020.0</v>
      </c>
      <c r="H6292" s="22" t="s">
        <v>29662</v>
      </c>
      <c r="I6292" s="24" t="s">
        <v>29663</v>
      </c>
      <c r="J6292" s="23" t="s">
        <v>14801</v>
      </c>
      <c r="K6292" s="23"/>
      <c r="L6292" s="36"/>
      <c r="M6292" s="36"/>
      <c r="N6292" s="36"/>
      <c r="O6292" s="36"/>
      <c r="P6292" s="37"/>
      <c r="Q6292" s="36"/>
      <c r="R6292" s="36"/>
      <c r="S6292" s="36"/>
      <c r="T6292" s="42" t="s">
        <v>29664</v>
      </c>
      <c r="U6292" s="38" t="s">
        <v>29665</v>
      </c>
      <c r="V6292" s="139"/>
      <c r="W6292" s="49"/>
      <c r="X6292" s="49"/>
      <c r="Y6292" s="35"/>
      <c r="Z6292" s="35"/>
      <c r="AA6292" s="35"/>
      <c r="AB6292" s="35"/>
      <c r="AC6292" s="35"/>
      <c r="AD6292" s="35"/>
      <c r="AE6292" s="35"/>
      <c r="AF6292" s="35"/>
      <c r="AG6292" s="35"/>
      <c r="AH6292" s="35"/>
      <c r="AI6292" s="35"/>
      <c r="AJ6292" s="35"/>
      <c r="AK6292" s="35"/>
      <c r="AL6292" s="35"/>
    </row>
    <row r="6293">
      <c r="A6293" s="207"/>
      <c r="B6293" s="157" t="s">
        <v>4202</v>
      </c>
      <c r="C6293" s="158" t="s">
        <v>14801</v>
      </c>
      <c r="D6293" s="159"/>
      <c r="E6293" s="22" t="s">
        <v>2937</v>
      </c>
      <c r="F6293" s="22" t="s">
        <v>2698</v>
      </c>
      <c r="G6293" s="23">
        <v>2015.0</v>
      </c>
      <c r="H6293" s="22" t="s">
        <v>3211</v>
      </c>
      <c r="I6293" s="24" t="s">
        <v>29666</v>
      </c>
      <c r="J6293" s="23" t="s">
        <v>31</v>
      </c>
      <c r="K6293" s="23" t="s">
        <v>294</v>
      </c>
      <c r="L6293" s="36" t="s">
        <v>29667</v>
      </c>
      <c r="M6293" s="36"/>
      <c r="N6293" s="36"/>
      <c r="O6293" s="36"/>
      <c r="P6293" s="37"/>
      <c r="Q6293" s="36"/>
      <c r="R6293" s="36"/>
      <c r="S6293" s="36"/>
      <c r="T6293" s="42" t="s">
        <v>29668</v>
      </c>
      <c r="U6293" s="38" t="str">
        <f>HYPERLINK("https://www.ncbi.nlm.nih.gov/pubmed/25867757","PubMed")</f>
        <v>PubMed</v>
      </c>
      <c r="V6293" s="139"/>
      <c r="W6293" s="49"/>
      <c r="X6293" s="49"/>
      <c r="Y6293" s="35"/>
      <c r="Z6293" s="35"/>
      <c r="AA6293" s="35"/>
      <c r="AB6293" s="35"/>
      <c r="AC6293" s="35"/>
      <c r="AD6293" s="35"/>
      <c r="AE6293" s="35"/>
      <c r="AF6293" s="35"/>
      <c r="AG6293" s="35"/>
      <c r="AH6293" s="35"/>
      <c r="AI6293" s="35"/>
      <c r="AJ6293" s="35"/>
      <c r="AK6293" s="35"/>
      <c r="AL6293" s="35"/>
    </row>
    <row r="6294">
      <c r="A6294" s="207"/>
      <c r="B6294" s="157" t="s">
        <v>4202</v>
      </c>
      <c r="C6294" s="158" t="s">
        <v>12235</v>
      </c>
      <c r="D6294" s="159"/>
      <c r="E6294" s="22" t="s">
        <v>2482</v>
      </c>
      <c r="F6294" s="22" t="s">
        <v>2702</v>
      </c>
      <c r="G6294" s="23">
        <v>2022.0</v>
      </c>
      <c r="H6294" s="22" t="s">
        <v>77</v>
      </c>
      <c r="I6294" s="24" t="s">
        <v>29669</v>
      </c>
      <c r="J6294" s="23" t="s">
        <v>202</v>
      </c>
      <c r="K6294" s="23"/>
      <c r="L6294" s="105"/>
      <c r="M6294" s="44"/>
      <c r="N6294" s="44"/>
      <c r="O6294" s="44"/>
      <c r="P6294" s="44"/>
      <c r="Q6294" s="44"/>
      <c r="R6294" s="44"/>
      <c r="S6294" s="44"/>
      <c r="T6294" s="45"/>
      <c r="U6294" s="38" t="s">
        <v>61</v>
      </c>
      <c r="V6294" s="139"/>
      <c r="W6294" s="49"/>
      <c r="X6294" s="49"/>
      <c r="Y6294" s="35"/>
      <c r="Z6294" s="35"/>
      <c r="AA6294" s="35"/>
      <c r="AB6294" s="35"/>
      <c r="AC6294" s="35"/>
      <c r="AD6294" s="35"/>
      <c r="AE6294" s="35"/>
      <c r="AF6294" s="35"/>
      <c r="AG6294" s="35"/>
      <c r="AH6294" s="35"/>
      <c r="AI6294" s="35"/>
      <c r="AJ6294" s="35"/>
      <c r="AK6294" s="35"/>
      <c r="AL6294" s="35"/>
    </row>
    <row r="6295">
      <c r="A6295" s="207"/>
      <c r="B6295" s="157" t="s">
        <v>4202</v>
      </c>
      <c r="C6295" s="158" t="s">
        <v>12235</v>
      </c>
      <c r="D6295" s="159"/>
      <c r="E6295" s="22" t="s">
        <v>5156</v>
      </c>
      <c r="F6295" s="22" t="s">
        <v>5157</v>
      </c>
      <c r="G6295" s="23">
        <v>2020.0</v>
      </c>
      <c r="H6295" s="22" t="s">
        <v>42</v>
      </c>
      <c r="I6295" s="24" t="s">
        <v>29670</v>
      </c>
      <c r="J6295" s="22" t="s">
        <v>125</v>
      </c>
      <c r="K6295" s="23"/>
      <c r="L6295" s="105" t="s">
        <v>29671</v>
      </c>
      <c r="M6295" s="44"/>
      <c r="N6295" s="44"/>
      <c r="O6295" s="44"/>
      <c r="P6295" s="44"/>
      <c r="Q6295" s="44"/>
      <c r="R6295" s="44"/>
      <c r="S6295" s="44"/>
      <c r="T6295" s="45"/>
      <c r="U6295" s="38" t="str">
        <f>HYPERLINK("https://www.ncbi.nlm.nih.gov/pubmed/32077232","PubMed")</f>
        <v>PubMed</v>
      </c>
      <c r="V6295" s="139"/>
      <c r="W6295" s="49"/>
      <c r="X6295" s="49"/>
      <c r="Y6295" s="35"/>
      <c r="Z6295" s="35"/>
      <c r="AA6295" s="35"/>
      <c r="AB6295" s="35"/>
      <c r="AC6295" s="35"/>
      <c r="AD6295" s="35"/>
      <c r="AE6295" s="35"/>
      <c r="AF6295" s="35"/>
      <c r="AG6295" s="35"/>
      <c r="AH6295" s="35"/>
      <c r="AI6295" s="35"/>
      <c r="AJ6295" s="35"/>
      <c r="AK6295" s="35"/>
      <c r="AL6295" s="35"/>
    </row>
    <row r="6296">
      <c r="A6296" s="207"/>
      <c r="B6296" s="157" t="s">
        <v>4202</v>
      </c>
      <c r="C6296" s="158" t="s">
        <v>12235</v>
      </c>
      <c r="D6296" s="159"/>
      <c r="E6296" s="22" t="s">
        <v>12298</v>
      </c>
      <c r="F6296" s="22" t="s">
        <v>5157</v>
      </c>
      <c r="G6296" s="23">
        <v>2018.0</v>
      </c>
      <c r="H6296" s="22" t="s">
        <v>29672</v>
      </c>
      <c r="I6296" s="24" t="s">
        <v>29673</v>
      </c>
      <c r="J6296" s="22" t="s">
        <v>125</v>
      </c>
      <c r="K6296" s="23"/>
      <c r="L6296" s="105" t="s">
        <v>29674</v>
      </c>
      <c r="M6296" s="44"/>
      <c r="N6296" s="44"/>
      <c r="O6296" s="44"/>
      <c r="P6296" s="44"/>
      <c r="Q6296" s="44"/>
      <c r="R6296" s="44"/>
      <c r="S6296" s="44"/>
      <c r="T6296" s="45"/>
      <c r="U6296" s="38" t="str">
        <f>HYPERLINK("https://www.ncbi.nlm.nih.gov/pubmed/30244771","PubMed")</f>
        <v>PubMed</v>
      </c>
      <c r="V6296" s="139"/>
      <c r="W6296" s="49"/>
      <c r="X6296" s="49"/>
      <c r="Y6296" s="35"/>
      <c r="Z6296" s="35"/>
      <c r="AA6296" s="35"/>
      <c r="AB6296" s="35"/>
      <c r="AC6296" s="35"/>
      <c r="AD6296" s="35"/>
      <c r="AE6296" s="35"/>
      <c r="AF6296" s="35"/>
      <c r="AG6296" s="35"/>
      <c r="AH6296" s="35"/>
      <c r="AI6296" s="35"/>
      <c r="AJ6296" s="35"/>
      <c r="AK6296" s="35"/>
      <c r="AL6296" s="35"/>
    </row>
    <row r="6297">
      <c r="A6297" s="207"/>
      <c r="B6297" s="157" t="s">
        <v>4202</v>
      </c>
      <c r="C6297" s="158" t="s">
        <v>12235</v>
      </c>
      <c r="D6297" s="159"/>
      <c r="E6297" s="22" t="s">
        <v>29675</v>
      </c>
      <c r="F6297" s="22" t="s">
        <v>12109</v>
      </c>
      <c r="G6297" s="23">
        <v>2012.0</v>
      </c>
      <c r="H6297" s="22" t="s">
        <v>29676</v>
      </c>
      <c r="I6297" s="24" t="s">
        <v>29677</v>
      </c>
      <c r="J6297" s="23" t="s">
        <v>29678</v>
      </c>
      <c r="K6297" s="23"/>
      <c r="L6297" s="43" t="s">
        <v>29679</v>
      </c>
      <c r="M6297" s="44"/>
      <c r="N6297" s="44"/>
      <c r="O6297" s="44"/>
      <c r="P6297" s="44"/>
      <c r="Q6297" s="44"/>
      <c r="R6297" s="44"/>
      <c r="S6297" s="44"/>
      <c r="T6297" s="45"/>
      <c r="U6297" s="38" t="str">
        <f>HYPERLINK("https://www.sciencedirect.com/science/article/pii/S0143816612000127","ScienceDirect")</f>
        <v>ScienceDirect</v>
      </c>
      <c r="V6297" s="139"/>
      <c r="W6297" s="49"/>
      <c r="X6297" s="49"/>
      <c r="Y6297" s="35"/>
      <c r="Z6297" s="35"/>
      <c r="AA6297" s="35"/>
      <c r="AB6297" s="35"/>
      <c r="AC6297" s="35"/>
      <c r="AD6297" s="35"/>
      <c r="AE6297" s="35"/>
      <c r="AF6297" s="35"/>
      <c r="AG6297" s="35"/>
      <c r="AH6297" s="35"/>
      <c r="AI6297" s="35"/>
      <c r="AJ6297" s="35"/>
      <c r="AK6297" s="35"/>
      <c r="AL6297" s="35"/>
    </row>
    <row r="6298">
      <c r="A6298" s="207"/>
      <c r="B6298" s="157" t="s">
        <v>4202</v>
      </c>
      <c r="C6298" s="158" t="s">
        <v>12235</v>
      </c>
      <c r="D6298" s="159"/>
      <c r="E6298" s="22" t="s">
        <v>5109</v>
      </c>
      <c r="F6298" s="22" t="s">
        <v>5110</v>
      </c>
      <c r="G6298" s="23">
        <v>2008.0</v>
      </c>
      <c r="H6298" s="22" t="s">
        <v>658</v>
      </c>
      <c r="I6298" s="24" t="s">
        <v>29680</v>
      </c>
      <c r="J6298" s="23" t="s">
        <v>31</v>
      </c>
      <c r="K6298" s="23"/>
      <c r="L6298" s="36">
        <v>637.0</v>
      </c>
      <c r="M6298" s="36"/>
      <c r="N6298" s="36" t="s">
        <v>29681</v>
      </c>
      <c r="O6298" s="36"/>
      <c r="P6298" s="37" t="s">
        <v>29682</v>
      </c>
      <c r="Q6298" s="36"/>
      <c r="R6298" s="36">
        <v>10.0</v>
      </c>
      <c r="S6298" s="36"/>
      <c r="T6298" s="42" t="s">
        <v>29683</v>
      </c>
      <c r="U6298" s="38" t="str">
        <f>HYPERLINK("https://www.ncbi.nlm.nih.gov/pubmed/18307393","PubMed")</f>
        <v>PubMed</v>
      </c>
      <c r="V6298" s="139"/>
      <c r="W6298" s="49"/>
      <c r="X6298" s="49"/>
      <c r="Y6298" s="35"/>
      <c r="Z6298" s="35"/>
      <c r="AA6298" s="35"/>
      <c r="AB6298" s="35"/>
      <c r="AC6298" s="35"/>
      <c r="AD6298" s="35"/>
      <c r="AE6298" s="35"/>
      <c r="AF6298" s="35"/>
      <c r="AG6298" s="35"/>
      <c r="AH6298" s="35"/>
      <c r="AI6298" s="35"/>
      <c r="AJ6298" s="35"/>
      <c r="AK6298" s="35"/>
      <c r="AL6298" s="35"/>
    </row>
    <row r="6299">
      <c r="A6299" s="207"/>
      <c r="B6299" s="157" t="s">
        <v>4202</v>
      </c>
      <c r="C6299" s="158" t="s">
        <v>1413</v>
      </c>
      <c r="D6299" s="159"/>
      <c r="E6299" s="22" t="s">
        <v>5325</v>
      </c>
      <c r="F6299" s="22" t="s">
        <v>5326</v>
      </c>
      <c r="G6299" s="23">
        <v>2010.0</v>
      </c>
      <c r="H6299" s="22" t="s">
        <v>1025</v>
      </c>
      <c r="I6299" s="24" t="s">
        <v>29684</v>
      </c>
      <c r="J6299" s="23" t="s">
        <v>31</v>
      </c>
      <c r="K6299" s="23"/>
      <c r="L6299" s="36">
        <v>630.0</v>
      </c>
      <c r="M6299" s="107"/>
      <c r="N6299" s="107"/>
      <c r="O6299" s="107"/>
      <c r="P6299" s="37" t="s">
        <v>70</v>
      </c>
      <c r="Q6299" s="107"/>
      <c r="R6299" s="107"/>
      <c r="S6299" s="107"/>
      <c r="T6299" s="28" t="s">
        <v>29685</v>
      </c>
      <c r="U6299" s="38" t="str">
        <f>HYPERLINK("https://www.ncbi.nlm.nih.gov/pubmed/20799848","PubMed")</f>
        <v>PubMed</v>
      </c>
      <c r="V6299" s="139"/>
      <c r="W6299" s="49"/>
      <c r="X6299" s="49"/>
      <c r="Y6299" s="35"/>
      <c r="Z6299" s="35"/>
      <c r="AA6299" s="35"/>
      <c r="AB6299" s="35"/>
      <c r="AC6299" s="35"/>
      <c r="AD6299" s="35"/>
      <c r="AE6299" s="35"/>
      <c r="AF6299" s="35"/>
      <c r="AG6299" s="35"/>
      <c r="AH6299" s="35"/>
      <c r="AI6299" s="35"/>
      <c r="AJ6299" s="35"/>
      <c r="AK6299" s="35"/>
      <c r="AL6299" s="35"/>
    </row>
    <row r="6300">
      <c r="A6300" s="207"/>
      <c r="B6300" s="157" t="s">
        <v>4202</v>
      </c>
      <c r="C6300" s="158" t="s">
        <v>1413</v>
      </c>
      <c r="D6300" s="159"/>
      <c r="E6300" s="22" t="s">
        <v>15395</v>
      </c>
      <c r="F6300" s="22" t="s">
        <v>2407</v>
      </c>
      <c r="G6300" s="23">
        <v>2010.0</v>
      </c>
      <c r="H6300" s="22" t="s">
        <v>53</v>
      </c>
      <c r="I6300" s="24" t="s">
        <v>29686</v>
      </c>
      <c r="J6300" s="22" t="s">
        <v>125</v>
      </c>
      <c r="K6300" s="23" t="s">
        <v>1413</v>
      </c>
      <c r="L6300" s="171" t="s">
        <v>29687</v>
      </c>
      <c r="M6300" s="44"/>
      <c r="N6300" s="44"/>
      <c r="O6300" s="44"/>
      <c r="P6300" s="44"/>
      <c r="Q6300" s="44"/>
      <c r="R6300" s="44"/>
      <c r="S6300" s="44"/>
      <c r="T6300" s="45"/>
      <c r="U6300" s="38" t="str">
        <f>HYPERLINK("https://www.ncbi.nlm.nih.gov/pubmed/20662021","PubMed")</f>
        <v>PubMed</v>
      </c>
      <c r="V6300" s="139"/>
      <c r="W6300" s="49"/>
      <c r="X6300" s="49"/>
      <c r="Y6300" s="35"/>
      <c r="Z6300" s="35"/>
      <c r="AA6300" s="35"/>
      <c r="AB6300" s="35"/>
      <c r="AC6300" s="35"/>
      <c r="AD6300" s="35"/>
      <c r="AE6300" s="35"/>
      <c r="AF6300" s="35"/>
      <c r="AG6300" s="35"/>
      <c r="AH6300" s="35"/>
      <c r="AI6300" s="35"/>
      <c r="AJ6300" s="35"/>
      <c r="AK6300" s="35"/>
      <c r="AL6300" s="35"/>
    </row>
    <row r="6301">
      <c r="A6301" s="207"/>
      <c r="B6301" s="157" t="s">
        <v>4202</v>
      </c>
      <c r="C6301" s="158" t="s">
        <v>14354</v>
      </c>
      <c r="D6301" s="159"/>
      <c r="E6301" s="22" t="s">
        <v>2482</v>
      </c>
      <c r="F6301" s="22" t="s">
        <v>2407</v>
      </c>
      <c r="G6301" s="23">
        <v>2019.0</v>
      </c>
      <c r="H6301" s="22" t="s">
        <v>77</v>
      </c>
      <c r="I6301" s="24" t="s">
        <v>29688</v>
      </c>
      <c r="J6301" s="23" t="s">
        <v>202</v>
      </c>
      <c r="K6301" s="23"/>
      <c r="L6301" s="171"/>
      <c r="M6301" s="44"/>
      <c r="N6301" s="44"/>
      <c r="O6301" s="44"/>
      <c r="P6301" s="44"/>
      <c r="Q6301" s="44"/>
      <c r="R6301" s="44"/>
      <c r="S6301" s="44"/>
      <c r="T6301" s="45"/>
      <c r="U6301" s="38" t="str">
        <f>HYPERLINK("https://www.ncbi.nlm.nih.gov/pubmed/31099699","PubMed")</f>
        <v>PubMed</v>
      </c>
      <c r="V6301" s="139"/>
      <c r="W6301" s="49"/>
      <c r="X6301" s="49"/>
      <c r="Y6301" s="35"/>
      <c r="Z6301" s="35"/>
      <c r="AA6301" s="35"/>
      <c r="AB6301" s="35"/>
      <c r="AC6301" s="35"/>
      <c r="AD6301" s="35"/>
      <c r="AE6301" s="35"/>
      <c r="AF6301" s="35"/>
      <c r="AG6301" s="35"/>
      <c r="AH6301" s="35"/>
      <c r="AI6301" s="35"/>
      <c r="AJ6301" s="35"/>
      <c r="AK6301" s="35"/>
      <c r="AL6301" s="35"/>
    </row>
    <row r="6302">
      <c r="A6302" s="207" t="s">
        <v>2</v>
      </c>
      <c r="B6302" s="157" t="s">
        <v>4202</v>
      </c>
      <c r="C6302" s="158" t="s">
        <v>14354</v>
      </c>
      <c r="D6302" s="159"/>
      <c r="E6302" s="22" t="s">
        <v>1542</v>
      </c>
      <c r="F6302" s="22" t="s">
        <v>993</v>
      </c>
      <c r="G6302" s="23">
        <v>2019.0</v>
      </c>
      <c r="H6302" s="22" t="s">
        <v>91</v>
      </c>
      <c r="I6302" s="24" t="s">
        <v>29689</v>
      </c>
      <c r="J6302" s="22" t="s">
        <v>125</v>
      </c>
      <c r="K6302" s="23"/>
      <c r="L6302" s="171" t="s">
        <v>29690</v>
      </c>
      <c r="M6302" s="44"/>
      <c r="N6302" s="44"/>
      <c r="O6302" s="44"/>
      <c r="P6302" s="44"/>
      <c r="Q6302" s="44"/>
      <c r="R6302" s="44"/>
      <c r="S6302" s="44"/>
      <c r="T6302" s="45"/>
      <c r="U6302" s="38" t="str">
        <f>HYPERLINK("https://www.ncbi.nlm.nih.gov/pubmed/30402798","PubMed")</f>
        <v>PubMed</v>
      </c>
      <c r="V6302" s="139"/>
      <c r="W6302" s="49"/>
      <c r="X6302" s="49"/>
      <c r="Y6302" s="35"/>
      <c r="Z6302" s="35"/>
      <c r="AA6302" s="35"/>
      <c r="AB6302" s="35"/>
      <c r="AC6302" s="35"/>
      <c r="AD6302" s="35"/>
      <c r="AE6302" s="35"/>
      <c r="AF6302" s="35"/>
      <c r="AG6302" s="35"/>
      <c r="AH6302" s="35"/>
      <c r="AI6302" s="35"/>
      <c r="AJ6302" s="35"/>
      <c r="AK6302" s="35"/>
      <c r="AL6302" s="35"/>
    </row>
    <row r="6303">
      <c r="A6303" s="207" t="s">
        <v>2</v>
      </c>
      <c r="B6303" s="157" t="s">
        <v>4202</v>
      </c>
      <c r="C6303" s="158" t="s">
        <v>14354</v>
      </c>
      <c r="D6303" s="159"/>
      <c r="E6303" s="22" t="s">
        <v>29691</v>
      </c>
      <c r="F6303" s="22" t="s">
        <v>29692</v>
      </c>
      <c r="G6303" s="23">
        <v>2011.0</v>
      </c>
      <c r="H6303" s="22" t="s">
        <v>658</v>
      </c>
      <c r="I6303" s="24" t="s">
        <v>29693</v>
      </c>
      <c r="J6303" s="23" t="s">
        <v>14354</v>
      </c>
      <c r="K6303" s="23"/>
      <c r="L6303" s="171" t="s">
        <v>29694</v>
      </c>
      <c r="M6303" s="44"/>
      <c r="N6303" s="44"/>
      <c r="O6303" s="44"/>
      <c r="P6303" s="44"/>
      <c r="Q6303" s="44"/>
      <c r="R6303" s="44"/>
      <c r="S6303" s="44"/>
      <c r="T6303" s="45"/>
      <c r="U6303" s="38" t="str">
        <f>HYPERLINK("https://www.ncbi.nlm.nih.gov/pubmed/22107486","PubMed")</f>
        <v>PubMed</v>
      </c>
      <c r="V6303" s="139"/>
      <c r="W6303" s="49"/>
      <c r="X6303" s="49"/>
      <c r="Y6303" s="35"/>
      <c r="Z6303" s="35"/>
      <c r="AA6303" s="35"/>
      <c r="AB6303" s="35"/>
      <c r="AC6303" s="35"/>
      <c r="AD6303" s="35"/>
      <c r="AE6303" s="35"/>
      <c r="AF6303" s="35"/>
      <c r="AG6303" s="35"/>
      <c r="AH6303" s="35"/>
      <c r="AI6303" s="35"/>
      <c r="AJ6303" s="35"/>
      <c r="AK6303" s="35"/>
      <c r="AL6303" s="35"/>
    </row>
    <row r="6304">
      <c r="A6304" s="207" t="s">
        <v>2</v>
      </c>
      <c r="B6304" s="157" t="s">
        <v>4202</v>
      </c>
      <c r="C6304" s="158" t="s">
        <v>14354</v>
      </c>
      <c r="D6304" s="159"/>
      <c r="E6304" s="22" t="s">
        <v>29695</v>
      </c>
      <c r="F6304" s="22" t="s">
        <v>1603</v>
      </c>
      <c r="G6304" s="23">
        <v>2007.0</v>
      </c>
      <c r="H6304" s="22" t="s">
        <v>4975</v>
      </c>
      <c r="I6304" s="24" t="s">
        <v>29696</v>
      </c>
      <c r="J6304" s="23" t="s">
        <v>14354</v>
      </c>
      <c r="K6304" s="23"/>
      <c r="L6304" s="171" t="s">
        <v>29697</v>
      </c>
      <c r="M6304" s="44"/>
      <c r="N6304" s="44"/>
      <c r="O6304" s="44"/>
      <c r="P6304" s="44"/>
      <c r="Q6304" s="44"/>
      <c r="R6304" s="44"/>
      <c r="S6304" s="44"/>
      <c r="T6304" s="45"/>
      <c r="U6304" s="38" t="str">
        <f>HYPERLINK("https://www.ncbi.nlm.nih.gov/pubmed/17115802","PubMed")</f>
        <v>PubMed</v>
      </c>
      <c r="V6304" s="139"/>
      <c r="W6304" s="49"/>
      <c r="X6304" s="49"/>
      <c r="Y6304" s="35"/>
      <c r="Z6304" s="35"/>
      <c r="AA6304" s="35"/>
      <c r="AB6304" s="35"/>
      <c r="AC6304" s="35"/>
      <c r="AD6304" s="35"/>
      <c r="AE6304" s="35"/>
      <c r="AF6304" s="35"/>
      <c r="AG6304" s="35"/>
      <c r="AH6304" s="35"/>
      <c r="AI6304" s="35"/>
      <c r="AJ6304" s="35"/>
      <c r="AK6304" s="35"/>
      <c r="AL6304" s="35"/>
    </row>
    <row r="6305">
      <c r="A6305" s="402" t="s">
        <v>2</v>
      </c>
      <c r="B6305" s="157" t="s">
        <v>4202</v>
      </c>
      <c r="C6305" s="158" t="s">
        <v>14354</v>
      </c>
      <c r="D6305" s="159"/>
      <c r="E6305" s="22" t="s">
        <v>29698</v>
      </c>
      <c r="F6305" s="22" t="s">
        <v>29699</v>
      </c>
      <c r="G6305" s="23">
        <v>1991.0</v>
      </c>
      <c r="H6305" s="22" t="s">
        <v>292</v>
      </c>
      <c r="I6305" s="24" t="s">
        <v>29700</v>
      </c>
      <c r="J6305" s="23" t="s">
        <v>14354</v>
      </c>
      <c r="K6305" s="23"/>
      <c r="L6305" s="171" t="s">
        <v>29701</v>
      </c>
      <c r="M6305" s="44"/>
      <c r="N6305" s="44"/>
      <c r="O6305" s="44"/>
      <c r="P6305" s="44"/>
      <c r="Q6305" s="44"/>
      <c r="R6305" s="44"/>
      <c r="S6305" s="44"/>
      <c r="T6305" s="45"/>
      <c r="U6305" s="38" t="str">
        <f>HYPERLINK("https://www.jstage.jst.go.jp/article/islsm/3/4/3_91-OR-24/_article","J-STAGE")</f>
        <v>J-STAGE</v>
      </c>
      <c r="V6305" s="139"/>
      <c r="W6305" s="49"/>
      <c r="X6305" s="49"/>
      <c r="Y6305" s="35"/>
      <c r="Z6305" s="35"/>
      <c r="AA6305" s="35"/>
      <c r="AB6305" s="35"/>
      <c r="AC6305" s="35"/>
      <c r="AD6305" s="35"/>
      <c r="AE6305" s="35"/>
      <c r="AF6305" s="35"/>
      <c r="AG6305" s="35"/>
      <c r="AH6305" s="35"/>
      <c r="AI6305" s="35"/>
      <c r="AJ6305" s="35"/>
      <c r="AK6305" s="35"/>
      <c r="AL6305" s="35"/>
    </row>
    <row r="6306">
      <c r="A6306" s="402" t="s">
        <v>2</v>
      </c>
      <c r="B6306" s="157" t="s">
        <v>4202</v>
      </c>
      <c r="C6306" s="158" t="s">
        <v>29702</v>
      </c>
      <c r="D6306" s="159"/>
      <c r="E6306" s="22" t="s">
        <v>29703</v>
      </c>
      <c r="F6306" s="22" t="s">
        <v>29704</v>
      </c>
      <c r="G6306" s="23">
        <v>2020.0</v>
      </c>
      <c r="H6306" s="22" t="s">
        <v>29705</v>
      </c>
      <c r="I6306" s="24" t="s">
        <v>29706</v>
      </c>
      <c r="J6306" s="22" t="s">
        <v>125</v>
      </c>
      <c r="K6306" s="23" t="s">
        <v>29707</v>
      </c>
      <c r="L6306" s="171" t="s">
        <v>29708</v>
      </c>
      <c r="M6306" s="44"/>
      <c r="N6306" s="44"/>
      <c r="O6306" s="44"/>
      <c r="P6306" s="44"/>
      <c r="Q6306" s="44"/>
      <c r="R6306" s="44"/>
      <c r="S6306" s="44"/>
      <c r="T6306" s="45"/>
      <c r="U6306" s="38" t="str">
        <f>HYPERLINK("https://www.ncbi.nlm.nih.gov/pubmed/32314224","PubMed")</f>
        <v>PubMed</v>
      </c>
      <c r="V6306" s="139"/>
      <c r="W6306" s="49"/>
      <c r="X6306" s="49"/>
      <c r="Y6306" s="35"/>
      <c r="Z6306" s="35"/>
      <c r="AA6306" s="35"/>
      <c r="AB6306" s="35"/>
      <c r="AC6306" s="35"/>
      <c r="AD6306" s="35"/>
      <c r="AE6306" s="35"/>
      <c r="AF6306" s="35"/>
      <c r="AG6306" s="35"/>
      <c r="AH6306" s="35"/>
      <c r="AI6306" s="35"/>
      <c r="AJ6306" s="35"/>
      <c r="AK6306" s="35"/>
      <c r="AL6306" s="35"/>
    </row>
    <row r="6307">
      <c r="A6307" s="205" t="s">
        <v>2983</v>
      </c>
      <c r="B6307" s="157" t="s">
        <v>4202</v>
      </c>
      <c r="C6307" s="158" t="s">
        <v>2036</v>
      </c>
      <c r="D6307" s="159"/>
      <c r="E6307" s="22" t="s">
        <v>29709</v>
      </c>
      <c r="F6307" s="22" t="s">
        <v>540</v>
      </c>
      <c r="G6307" s="23">
        <v>2017.0</v>
      </c>
      <c r="H6307" s="22" t="s">
        <v>24033</v>
      </c>
      <c r="I6307" s="24" t="s">
        <v>29710</v>
      </c>
      <c r="J6307" s="22" t="s">
        <v>125</v>
      </c>
      <c r="K6307" s="23"/>
      <c r="L6307" s="171" t="s">
        <v>29711</v>
      </c>
      <c r="M6307" s="44"/>
      <c r="N6307" s="44"/>
      <c r="O6307" s="44"/>
      <c r="P6307" s="44"/>
      <c r="Q6307" s="44"/>
      <c r="R6307" s="44"/>
      <c r="S6307" s="44"/>
      <c r="T6307" s="45"/>
      <c r="U6307" s="38" t="str">
        <f>HYPERLINK("https://link.springer.com/chapter/10.1007/978-3-319-51944-9_4","Springer")</f>
        <v>Springer</v>
      </c>
      <c r="V6307" s="139"/>
      <c r="W6307" s="49"/>
      <c r="X6307" s="49"/>
      <c r="Y6307" s="35"/>
      <c r="Z6307" s="35"/>
      <c r="AA6307" s="35"/>
      <c r="AB6307" s="35"/>
      <c r="AC6307" s="35"/>
      <c r="AD6307" s="35"/>
      <c r="AE6307" s="35"/>
      <c r="AF6307" s="35"/>
      <c r="AG6307" s="35"/>
      <c r="AH6307" s="35"/>
      <c r="AI6307" s="35"/>
      <c r="AJ6307" s="35"/>
      <c r="AK6307" s="35"/>
      <c r="AL6307" s="35"/>
    </row>
    <row r="6308">
      <c r="A6308" s="207" t="s">
        <v>2</v>
      </c>
      <c r="B6308" s="157" t="s">
        <v>4202</v>
      </c>
      <c r="C6308" s="158" t="s">
        <v>2036</v>
      </c>
      <c r="D6308" s="159"/>
      <c r="E6308" s="22" t="s">
        <v>14132</v>
      </c>
      <c r="F6308" s="22" t="s">
        <v>29712</v>
      </c>
      <c r="G6308" s="23">
        <v>2016.0</v>
      </c>
      <c r="H6308" s="22" t="s">
        <v>91</v>
      </c>
      <c r="I6308" s="24" t="s">
        <v>29713</v>
      </c>
      <c r="J6308" s="22" t="s">
        <v>125</v>
      </c>
      <c r="K6308" s="23"/>
      <c r="L6308" s="171" t="s">
        <v>29714</v>
      </c>
      <c r="M6308" s="44"/>
      <c r="N6308" s="44"/>
      <c r="O6308" s="44"/>
      <c r="P6308" s="44"/>
      <c r="Q6308" s="44"/>
      <c r="R6308" s="44"/>
      <c r="S6308" s="44"/>
      <c r="T6308" s="45"/>
      <c r="U6308" s="38" t="str">
        <f>HYPERLINK("https://www.ncbi.nlm.nih.gov/pubmed/26964800","PubMed")</f>
        <v>PubMed</v>
      </c>
      <c r="V6308" s="139"/>
      <c r="W6308" s="49"/>
      <c r="X6308" s="49"/>
      <c r="Y6308" s="35"/>
      <c r="Z6308" s="35"/>
      <c r="AA6308" s="35"/>
      <c r="AB6308" s="35"/>
      <c r="AC6308" s="35"/>
      <c r="AD6308" s="35"/>
      <c r="AE6308" s="35"/>
      <c r="AF6308" s="35"/>
      <c r="AG6308" s="35"/>
      <c r="AH6308" s="35"/>
      <c r="AI6308" s="35"/>
      <c r="AJ6308" s="35"/>
      <c r="AK6308" s="35"/>
      <c r="AL6308" s="35"/>
    </row>
    <row r="6309">
      <c r="A6309" s="207" t="s">
        <v>2</v>
      </c>
      <c r="B6309" s="157" t="s">
        <v>4202</v>
      </c>
      <c r="C6309" s="158" t="s">
        <v>2036</v>
      </c>
      <c r="D6309" s="159"/>
      <c r="E6309" s="22" t="s">
        <v>14375</v>
      </c>
      <c r="F6309" s="22" t="s">
        <v>16725</v>
      </c>
      <c r="G6309" s="23">
        <v>2009.0</v>
      </c>
      <c r="H6309" s="22" t="s">
        <v>658</v>
      </c>
      <c r="I6309" s="24" t="s">
        <v>29715</v>
      </c>
      <c r="J6309" s="22" t="s">
        <v>125</v>
      </c>
      <c r="K6309" s="23" t="s">
        <v>29716</v>
      </c>
      <c r="L6309" s="171" t="s">
        <v>29717</v>
      </c>
      <c r="M6309" s="44"/>
      <c r="N6309" s="44"/>
      <c r="O6309" s="44"/>
      <c r="P6309" s="44"/>
      <c r="Q6309" s="44"/>
      <c r="R6309" s="44"/>
      <c r="S6309" s="44"/>
      <c r="T6309" s="45"/>
      <c r="U6309" s="38" t="str">
        <f>HYPERLINK("https://www.ncbi.nlm.nih.gov/pubmed/19473073","PubMed")</f>
        <v>PubMed</v>
      </c>
      <c r="V6309" s="139"/>
      <c r="W6309" s="49"/>
      <c r="X6309" s="49"/>
      <c r="Y6309" s="35"/>
      <c r="Z6309" s="35"/>
      <c r="AA6309" s="35"/>
      <c r="AB6309" s="35"/>
      <c r="AC6309" s="35"/>
      <c r="AD6309" s="35"/>
      <c r="AE6309" s="35"/>
      <c r="AF6309" s="35"/>
      <c r="AG6309" s="35"/>
      <c r="AH6309" s="35"/>
      <c r="AI6309" s="35"/>
      <c r="AJ6309" s="35"/>
      <c r="AK6309" s="35"/>
      <c r="AL6309" s="35"/>
    </row>
    <row r="6310">
      <c r="A6310" s="207" t="s">
        <v>2</v>
      </c>
      <c r="B6310" s="157" t="s">
        <v>4202</v>
      </c>
      <c r="C6310" s="158" t="s">
        <v>2036</v>
      </c>
      <c r="D6310" s="159"/>
      <c r="E6310" s="22" t="s">
        <v>11428</v>
      </c>
      <c r="F6310" s="22" t="s">
        <v>26204</v>
      </c>
      <c r="G6310" s="23">
        <v>1998.0</v>
      </c>
      <c r="H6310" s="22" t="s">
        <v>1289</v>
      </c>
      <c r="I6310" s="24" t="s">
        <v>29718</v>
      </c>
      <c r="J6310" s="22" t="s">
        <v>125</v>
      </c>
      <c r="K6310" s="23" t="s">
        <v>29719</v>
      </c>
      <c r="L6310" s="171" t="s">
        <v>29720</v>
      </c>
      <c r="M6310" s="44"/>
      <c r="N6310" s="44"/>
      <c r="O6310" s="44"/>
      <c r="P6310" s="44"/>
      <c r="Q6310" s="44"/>
      <c r="R6310" s="44"/>
      <c r="S6310" s="44"/>
      <c r="T6310" s="45"/>
      <c r="U6310" s="38" t="str">
        <f>HYPERLINK("https://www.ncbi.nlm.nih.gov/pubmed/9893504","PubMed")</f>
        <v>PubMed</v>
      </c>
      <c r="V6310" s="139"/>
      <c r="W6310" s="49"/>
      <c r="X6310" s="49"/>
      <c r="Y6310" s="35"/>
      <c r="Z6310" s="35"/>
      <c r="AA6310" s="35"/>
      <c r="AB6310" s="35"/>
      <c r="AC6310" s="35"/>
      <c r="AD6310" s="35"/>
      <c r="AE6310" s="35"/>
      <c r="AF6310" s="35"/>
      <c r="AG6310" s="35"/>
      <c r="AH6310" s="35"/>
      <c r="AI6310" s="35"/>
      <c r="AJ6310" s="35"/>
      <c r="AK6310" s="35"/>
      <c r="AL6310" s="35"/>
    </row>
    <row r="6311">
      <c r="A6311" s="207"/>
      <c r="B6311" s="157" t="s">
        <v>4202</v>
      </c>
      <c r="C6311" s="158" t="s">
        <v>2036</v>
      </c>
      <c r="D6311" s="159"/>
      <c r="E6311" s="22" t="s">
        <v>11428</v>
      </c>
      <c r="F6311" s="22" t="s">
        <v>14371</v>
      </c>
      <c r="G6311" s="23">
        <v>1998.0</v>
      </c>
      <c r="H6311" s="22" t="s">
        <v>292</v>
      </c>
      <c r="I6311" s="24" t="s">
        <v>29721</v>
      </c>
      <c r="J6311" s="22" t="s">
        <v>125</v>
      </c>
      <c r="K6311" s="23" t="s">
        <v>29719</v>
      </c>
      <c r="L6311" s="171" t="s">
        <v>29722</v>
      </c>
      <c r="M6311" s="44"/>
      <c r="N6311" s="44"/>
      <c r="O6311" s="44"/>
      <c r="P6311" s="44"/>
      <c r="Q6311" s="44"/>
      <c r="R6311" s="44"/>
      <c r="S6311" s="44"/>
      <c r="T6311" s="45"/>
      <c r="U6311" s="38" t="str">
        <f>HYPERLINK("https://www.jstage.jst.go.jp/article/islsm/10/4/10_4_165/_article/-char/en","J-STAGE")</f>
        <v>J-STAGE</v>
      </c>
      <c r="V6311" s="139"/>
      <c r="W6311" s="49"/>
      <c r="X6311" s="49"/>
      <c r="Y6311" s="35"/>
      <c r="Z6311" s="35"/>
      <c r="AA6311" s="35"/>
      <c r="AB6311" s="35"/>
      <c r="AC6311" s="35"/>
      <c r="AD6311" s="35"/>
      <c r="AE6311" s="35"/>
      <c r="AF6311" s="35"/>
      <c r="AG6311" s="35"/>
      <c r="AH6311" s="35"/>
      <c r="AI6311" s="35"/>
      <c r="AJ6311" s="35"/>
      <c r="AK6311" s="35"/>
      <c r="AL6311" s="35"/>
    </row>
    <row r="6312">
      <c r="A6312" s="207"/>
      <c r="B6312" s="157" t="s">
        <v>4202</v>
      </c>
      <c r="C6312" s="158" t="s">
        <v>29723</v>
      </c>
      <c r="D6312" s="159"/>
      <c r="E6312" s="22" t="s">
        <v>29724</v>
      </c>
      <c r="F6312" s="22" t="s">
        <v>1398</v>
      </c>
      <c r="G6312" s="23">
        <v>1991.0</v>
      </c>
      <c r="H6312" s="22" t="s">
        <v>292</v>
      </c>
      <c r="I6312" s="24" t="s">
        <v>29725</v>
      </c>
      <c r="J6312" s="23" t="s">
        <v>14354</v>
      </c>
      <c r="K6312" s="23" t="s">
        <v>4400</v>
      </c>
      <c r="L6312" s="171" t="s">
        <v>29726</v>
      </c>
      <c r="M6312" s="44"/>
      <c r="N6312" s="44"/>
      <c r="O6312" s="44"/>
      <c r="P6312" s="44"/>
      <c r="Q6312" s="44"/>
      <c r="R6312" s="44"/>
      <c r="S6312" s="44"/>
      <c r="T6312" s="45"/>
      <c r="U6312" s="38" t="str">
        <f>HYPERLINK("https://www.jstage.jst.go.jp/article/islsm/3/2/3_91-OR-13/_article/-char/en","J-STAGE")</f>
        <v>J-STAGE</v>
      </c>
      <c r="V6312" s="139"/>
      <c r="W6312" s="49"/>
      <c r="X6312" s="49"/>
      <c r="Y6312" s="35"/>
      <c r="Z6312" s="35"/>
      <c r="AA6312" s="35"/>
      <c r="AB6312" s="35"/>
      <c r="AC6312" s="35"/>
      <c r="AD6312" s="35"/>
      <c r="AE6312" s="35"/>
      <c r="AF6312" s="35"/>
      <c r="AG6312" s="35"/>
      <c r="AH6312" s="35"/>
      <c r="AI6312" s="35"/>
      <c r="AJ6312" s="35"/>
      <c r="AK6312" s="35"/>
      <c r="AL6312" s="35"/>
    </row>
    <row r="6313">
      <c r="A6313" s="207"/>
      <c r="B6313" s="157" t="s">
        <v>4202</v>
      </c>
      <c r="C6313" s="158" t="s">
        <v>29727</v>
      </c>
      <c r="D6313" s="159"/>
      <c r="E6313" s="22" t="s">
        <v>14885</v>
      </c>
      <c r="F6313" s="22" t="s">
        <v>993</v>
      </c>
      <c r="G6313" s="23">
        <v>2019.0</v>
      </c>
      <c r="H6313" s="22" t="s">
        <v>91</v>
      </c>
      <c r="I6313" s="24" t="s">
        <v>29728</v>
      </c>
      <c r="J6313" s="22" t="s">
        <v>125</v>
      </c>
      <c r="K6313" s="23"/>
      <c r="L6313" s="171" t="s">
        <v>29729</v>
      </c>
      <c r="M6313" s="44"/>
      <c r="N6313" s="44"/>
      <c r="O6313" s="44"/>
      <c r="P6313" s="44"/>
      <c r="Q6313" s="44"/>
      <c r="R6313" s="44"/>
      <c r="S6313" s="44"/>
      <c r="T6313" s="45"/>
      <c r="U6313" s="38" t="str">
        <f>HYPERLINK("https://www.ncbi.nlm.nih.gov/pubmed/31523781","PubMed")</f>
        <v>PubMed</v>
      </c>
      <c r="V6313" s="139"/>
      <c r="W6313" s="49"/>
      <c r="X6313" s="49"/>
      <c r="Y6313" s="35"/>
      <c r="Z6313" s="35"/>
      <c r="AA6313" s="35"/>
      <c r="AB6313" s="35"/>
      <c r="AC6313" s="35"/>
      <c r="AD6313" s="35"/>
      <c r="AE6313" s="35"/>
      <c r="AF6313" s="35"/>
      <c r="AG6313" s="35"/>
      <c r="AH6313" s="35"/>
      <c r="AI6313" s="35"/>
      <c r="AJ6313" s="35"/>
      <c r="AK6313" s="35"/>
      <c r="AL6313" s="35"/>
    </row>
    <row r="6314">
      <c r="A6314" s="133"/>
      <c r="B6314" s="157" t="s">
        <v>29730</v>
      </c>
      <c r="C6314" s="158" t="s">
        <v>14730</v>
      </c>
      <c r="D6314" s="159"/>
      <c r="E6314" s="403" t="s">
        <v>29731</v>
      </c>
      <c r="F6314" s="22" t="s">
        <v>2702</v>
      </c>
      <c r="G6314" s="23">
        <v>2023.0</v>
      </c>
      <c r="H6314" s="57" t="s">
        <v>191</v>
      </c>
      <c r="I6314" s="134" t="s">
        <v>29732</v>
      </c>
      <c r="J6314" s="22" t="s">
        <v>31</v>
      </c>
      <c r="K6314" s="23"/>
      <c r="L6314" s="36">
        <v>681.0</v>
      </c>
      <c r="M6314" s="36"/>
      <c r="N6314" s="36"/>
      <c r="O6314" s="107"/>
      <c r="P6314" s="109"/>
      <c r="Q6314" s="107"/>
      <c r="R6314" s="36"/>
      <c r="S6314" s="107"/>
      <c r="T6314" s="28" t="s">
        <v>29733</v>
      </c>
      <c r="U6314" s="38" t="s">
        <v>61</v>
      </c>
      <c r="V6314" s="139"/>
      <c r="W6314" s="49"/>
      <c r="X6314" s="49"/>
      <c r="Y6314" s="35"/>
      <c r="Z6314" s="35"/>
      <c r="AA6314" s="35"/>
      <c r="AB6314" s="35"/>
      <c r="AC6314" s="35"/>
      <c r="AD6314" s="35"/>
      <c r="AE6314" s="35"/>
      <c r="AF6314" s="35"/>
      <c r="AG6314" s="35"/>
      <c r="AH6314" s="35"/>
      <c r="AI6314" s="35"/>
      <c r="AJ6314" s="35"/>
      <c r="AK6314" s="35"/>
      <c r="AL6314" s="35"/>
    </row>
    <row r="6315">
      <c r="A6315" s="133"/>
      <c r="B6315" s="157" t="s">
        <v>29730</v>
      </c>
      <c r="C6315" s="158" t="s">
        <v>14730</v>
      </c>
      <c r="D6315" s="159"/>
      <c r="E6315" s="403" t="s">
        <v>4978</v>
      </c>
      <c r="F6315" s="22" t="s">
        <v>4091</v>
      </c>
      <c r="G6315" s="23">
        <v>2021.0</v>
      </c>
      <c r="H6315" s="57" t="s">
        <v>191</v>
      </c>
      <c r="I6315" s="134" t="s">
        <v>29734</v>
      </c>
      <c r="J6315" s="22" t="s">
        <v>31</v>
      </c>
      <c r="K6315" s="23"/>
      <c r="L6315" s="36">
        <v>808.0</v>
      </c>
      <c r="M6315" s="36"/>
      <c r="N6315" s="36" t="s">
        <v>5658</v>
      </c>
      <c r="O6315" s="107"/>
      <c r="P6315" s="109"/>
      <c r="Q6315" s="107"/>
      <c r="R6315" s="36">
        <v>120.0</v>
      </c>
      <c r="S6315" s="107"/>
      <c r="T6315" s="42" t="s">
        <v>29735</v>
      </c>
      <c r="U6315" s="29" t="s">
        <v>61</v>
      </c>
      <c r="V6315" s="139"/>
      <c r="W6315" s="49"/>
      <c r="X6315" s="49"/>
      <c r="Y6315" s="35"/>
      <c r="Z6315" s="35"/>
      <c r="AA6315" s="35"/>
      <c r="AB6315" s="35"/>
      <c r="AC6315" s="35"/>
      <c r="AD6315" s="35"/>
      <c r="AE6315" s="35"/>
      <c r="AF6315" s="35"/>
      <c r="AG6315" s="35"/>
      <c r="AH6315" s="35"/>
      <c r="AI6315" s="35"/>
      <c r="AJ6315" s="35"/>
      <c r="AK6315" s="35"/>
      <c r="AL6315" s="35"/>
    </row>
    <row r="6316">
      <c r="A6316" s="133"/>
      <c r="B6316" s="157" t="s">
        <v>29730</v>
      </c>
      <c r="C6316" s="158" t="s">
        <v>14730</v>
      </c>
      <c r="D6316" s="159"/>
      <c r="E6316" s="403" t="s">
        <v>18818</v>
      </c>
      <c r="F6316" s="22" t="s">
        <v>274</v>
      </c>
      <c r="G6316" s="23">
        <v>2021.0</v>
      </c>
      <c r="H6316" s="57" t="s">
        <v>207</v>
      </c>
      <c r="I6316" s="134" t="s">
        <v>29736</v>
      </c>
      <c r="J6316" s="22" t="s">
        <v>31</v>
      </c>
      <c r="K6316" s="23" t="s">
        <v>29737</v>
      </c>
      <c r="L6316" s="36"/>
      <c r="M6316" s="36"/>
      <c r="N6316" s="107"/>
      <c r="O6316" s="107"/>
      <c r="P6316" s="109"/>
      <c r="Q6316" s="107"/>
      <c r="R6316" s="107"/>
      <c r="S6316" s="107"/>
      <c r="T6316" s="42" t="s">
        <v>29738</v>
      </c>
      <c r="U6316" s="29" t="s">
        <v>61</v>
      </c>
      <c r="V6316" s="139"/>
      <c r="W6316" s="49"/>
      <c r="X6316" s="49"/>
      <c r="Y6316" s="35"/>
      <c r="Z6316" s="35"/>
      <c r="AA6316" s="35"/>
      <c r="AB6316" s="35"/>
      <c r="AC6316" s="35"/>
      <c r="AD6316" s="35"/>
      <c r="AE6316" s="35"/>
      <c r="AF6316" s="35"/>
      <c r="AG6316" s="35"/>
      <c r="AH6316" s="35"/>
      <c r="AI6316" s="35"/>
      <c r="AJ6316" s="35"/>
      <c r="AK6316" s="35"/>
      <c r="AL6316" s="35"/>
    </row>
    <row r="6317">
      <c r="A6317" s="133"/>
      <c r="B6317" s="157" t="s">
        <v>29730</v>
      </c>
      <c r="C6317" s="158" t="s">
        <v>14730</v>
      </c>
      <c r="D6317" s="159"/>
      <c r="E6317" s="403" t="s">
        <v>29739</v>
      </c>
      <c r="F6317" s="22" t="s">
        <v>358</v>
      </c>
      <c r="G6317" s="23">
        <v>2019.0</v>
      </c>
      <c r="H6317" s="57" t="s">
        <v>207</v>
      </c>
      <c r="I6317" s="134" t="s">
        <v>29740</v>
      </c>
      <c r="J6317" s="22" t="s">
        <v>31</v>
      </c>
      <c r="K6317" s="23" t="s">
        <v>19336</v>
      </c>
      <c r="L6317" s="36" t="s">
        <v>29741</v>
      </c>
      <c r="M6317" s="36"/>
      <c r="N6317" s="107"/>
      <c r="O6317" s="107"/>
      <c r="P6317" s="109"/>
      <c r="Q6317" s="107"/>
      <c r="R6317" s="107"/>
      <c r="S6317" s="107"/>
      <c r="T6317" s="28" t="s">
        <v>29742</v>
      </c>
      <c r="U6317" s="38" t="str">
        <f>HYPERLINK("https://www.ncbi.nlm.nih.gov/pubmed/31382090","PubMed")</f>
        <v>PubMed</v>
      </c>
      <c r="V6317" s="139"/>
      <c r="W6317" s="49"/>
      <c r="X6317" s="49"/>
      <c r="Y6317" s="35"/>
      <c r="Z6317" s="35"/>
      <c r="AA6317" s="35"/>
      <c r="AB6317" s="35"/>
      <c r="AC6317" s="35"/>
      <c r="AD6317" s="35"/>
      <c r="AE6317" s="35"/>
      <c r="AF6317" s="35"/>
      <c r="AG6317" s="35"/>
      <c r="AH6317" s="35"/>
      <c r="AI6317" s="35"/>
      <c r="AJ6317" s="35"/>
      <c r="AK6317" s="35"/>
      <c r="AL6317" s="35"/>
    </row>
    <row r="6318">
      <c r="A6318" s="133"/>
      <c r="B6318" s="157" t="s">
        <v>29730</v>
      </c>
      <c r="C6318" s="158" t="s">
        <v>29743</v>
      </c>
      <c r="D6318" s="159"/>
      <c r="E6318" s="403" t="s">
        <v>12184</v>
      </c>
      <c r="F6318" s="22" t="s">
        <v>358</v>
      </c>
      <c r="G6318" s="23">
        <v>2021.0</v>
      </c>
      <c r="H6318" s="57" t="s">
        <v>207</v>
      </c>
      <c r="I6318" s="134" t="s">
        <v>29744</v>
      </c>
      <c r="J6318" s="22" t="s">
        <v>31</v>
      </c>
      <c r="K6318" s="23" t="s">
        <v>10648</v>
      </c>
      <c r="L6318" s="36">
        <v>660.0</v>
      </c>
      <c r="M6318" s="36"/>
      <c r="N6318" s="107"/>
      <c r="O6318" s="107"/>
      <c r="P6318" s="37" t="s">
        <v>29745</v>
      </c>
      <c r="Q6318" s="107"/>
      <c r="R6318" s="107"/>
      <c r="S6318" s="107"/>
      <c r="T6318" s="42" t="s">
        <v>29746</v>
      </c>
      <c r="U6318" s="29" t="s">
        <v>61</v>
      </c>
      <c r="V6318" s="139"/>
      <c r="W6318" s="49"/>
      <c r="X6318" s="49"/>
      <c r="Y6318" s="35"/>
      <c r="Z6318" s="35"/>
      <c r="AA6318" s="35"/>
      <c r="AB6318" s="35"/>
      <c r="AC6318" s="35"/>
      <c r="AD6318" s="35"/>
      <c r="AE6318" s="35"/>
      <c r="AF6318" s="35"/>
      <c r="AG6318" s="35"/>
      <c r="AH6318" s="35"/>
      <c r="AI6318" s="35"/>
      <c r="AJ6318" s="35"/>
      <c r="AK6318" s="35"/>
      <c r="AL6318" s="35"/>
    </row>
    <row r="6319">
      <c r="A6319" s="133"/>
      <c r="B6319" s="157" t="s">
        <v>29730</v>
      </c>
      <c r="C6319" s="158" t="s">
        <v>29747</v>
      </c>
      <c r="D6319" s="159"/>
      <c r="E6319" s="403" t="s">
        <v>29748</v>
      </c>
      <c r="F6319" s="22" t="s">
        <v>41</v>
      </c>
      <c r="G6319" s="23">
        <v>2019.0</v>
      </c>
      <c r="H6319" s="57" t="s">
        <v>1485</v>
      </c>
      <c r="I6319" s="134" t="s">
        <v>29749</v>
      </c>
      <c r="J6319" s="22" t="s">
        <v>31</v>
      </c>
      <c r="K6319" s="23"/>
      <c r="L6319" s="36">
        <v>670.0</v>
      </c>
      <c r="M6319" s="36"/>
      <c r="N6319" s="107"/>
      <c r="O6319" s="107"/>
      <c r="P6319" s="109"/>
      <c r="Q6319" s="107"/>
      <c r="R6319" s="107"/>
      <c r="S6319" s="107"/>
      <c r="T6319" s="28" t="s">
        <v>29750</v>
      </c>
      <c r="U6319" s="38" t="str">
        <f>HYPERLINK("https://www.ncbi.nlm.nih.gov/pubmed/30458313","PubMed")</f>
        <v>PubMed</v>
      </c>
      <c r="V6319" s="139"/>
      <c r="W6319" s="49"/>
      <c r="X6319" s="49"/>
      <c r="Y6319" s="35"/>
      <c r="Z6319" s="35"/>
      <c r="AA6319" s="35"/>
      <c r="AB6319" s="35"/>
      <c r="AC6319" s="35"/>
      <c r="AD6319" s="35"/>
      <c r="AE6319" s="35"/>
      <c r="AF6319" s="35"/>
      <c r="AG6319" s="35"/>
      <c r="AH6319" s="35"/>
      <c r="AI6319" s="35"/>
      <c r="AJ6319" s="35"/>
      <c r="AK6319" s="35"/>
      <c r="AL6319" s="35"/>
    </row>
    <row r="6320">
      <c r="A6320" s="133"/>
      <c r="B6320" s="157" t="s">
        <v>29730</v>
      </c>
      <c r="C6320" s="158" t="s">
        <v>29747</v>
      </c>
      <c r="D6320" s="159"/>
      <c r="E6320" s="403" t="s">
        <v>1561</v>
      </c>
      <c r="F6320" s="22" t="s">
        <v>358</v>
      </c>
      <c r="G6320" s="23">
        <v>2012.0</v>
      </c>
      <c r="H6320" s="57" t="s">
        <v>29751</v>
      </c>
      <c r="I6320" s="134" t="s">
        <v>29752</v>
      </c>
      <c r="J6320" s="22" t="s">
        <v>31</v>
      </c>
      <c r="K6320" s="23" t="s">
        <v>29753</v>
      </c>
      <c r="L6320" s="36" t="s">
        <v>2217</v>
      </c>
      <c r="M6320" s="36"/>
      <c r="N6320" s="107"/>
      <c r="O6320" s="107"/>
      <c r="P6320" s="109"/>
      <c r="Q6320" s="107"/>
      <c r="R6320" s="107"/>
      <c r="S6320" s="107"/>
      <c r="T6320" s="28" t="s">
        <v>29754</v>
      </c>
      <c r="U6320" s="38" t="str">
        <f>HYPERLINK("https://www.ncbi.nlm.nih.gov/pubmed/22934760","PubMed")</f>
        <v>PubMed</v>
      </c>
      <c r="V6320" s="139"/>
      <c r="W6320" s="49"/>
      <c r="X6320" s="49"/>
      <c r="Y6320" s="35"/>
      <c r="Z6320" s="35"/>
      <c r="AA6320" s="35"/>
      <c r="AB6320" s="35"/>
      <c r="AC6320" s="35"/>
      <c r="AD6320" s="35"/>
      <c r="AE6320" s="35"/>
      <c r="AF6320" s="35"/>
      <c r="AG6320" s="35"/>
      <c r="AH6320" s="35"/>
      <c r="AI6320" s="35"/>
      <c r="AJ6320" s="35"/>
      <c r="AK6320" s="35"/>
      <c r="AL6320" s="35"/>
    </row>
    <row r="6321">
      <c r="A6321" s="133"/>
      <c r="B6321" s="157" t="s">
        <v>29730</v>
      </c>
      <c r="C6321" s="158" t="s">
        <v>29747</v>
      </c>
      <c r="D6321" s="159"/>
      <c r="E6321" s="403" t="s">
        <v>1561</v>
      </c>
      <c r="F6321" s="22" t="s">
        <v>358</v>
      </c>
      <c r="G6321" s="23">
        <v>2011.0</v>
      </c>
      <c r="H6321" s="57" t="s">
        <v>29751</v>
      </c>
      <c r="I6321" s="134" t="s">
        <v>29755</v>
      </c>
      <c r="J6321" s="22" t="s">
        <v>31</v>
      </c>
      <c r="K6321" s="23"/>
      <c r="L6321" s="36">
        <v>670.0</v>
      </c>
      <c r="M6321" s="36"/>
      <c r="N6321" s="107"/>
      <c r="O6321" s="107"/>
      <c r="P6321" s="109"/>
      <c r="Q6321" s="107"/>
      <c r="R6321" s="107"/>
      <c r="S6321" s="107"/>
      <c r="T6321" s="28" t="s">
        <v>29756</v>
      </c>
      <c r="U6321" s="38" t="str">
        <f>HYPERLINK("https://www.ncbi.nlm.nih.gov/pubmed/21728963","PubMed")</f>
        <v>PubMed</v>
      </c>
      <c r="V6321" s="139"/>
      <c r="W6321" s="49"/>
      <c r="X6321" s="49"/>
      <c r="Y6321" s="35"/>
      <c r="Z6321" s="35"/>
      <c r="AA6321" s="35"/>
      <c r="AB6321" s="35"/>
      <c r="AC6321" s="35"/>
      <c r="AD6321" s="35"/>
      <c r="AE6321" s="35"/>
      <c r="AF6321" s="35"/>
      <c r="AG6321" s="35"/>
      <c r="AH6321" s="35"/>
      <c r="AI6321" s="35"/>
      <c r="AJ6321" s="35"/>
      <c r="AK6321" s="35"/>
      <c r="AL6321" s="35"/>
    </row>
    <row r="6322">
      <c r="A6322" s="133"/>
      <c r="B6322" s="157" t="s">
        <v>29730</v>
      </c>
      <c r="C6322" s="158" t="s">
        <v>29747</v>
      </c>
      <c r="D6322" s="159"/>
      <c r="E6322" s="403" t="s">
        <v>29757</v>
      </c>
      <c r="F6322" s="22" t="s">
        <v>358</v>
      </c>
      <c r="G6322" s="23">
        <v>2011.0</v>
      </c>
      <c r="H6322" s="57" t="s">
        <v>658</v>
      </c>
      <c r="I6322" s="134" t="s">
        <v>29758</v>
      </c>
      <c r="J6322" s="22" t="s">
        <v>31</v>
      </c>
      <c r="K6322" s="23"/>
      <c r="L6322" s="36">
        <v>670.0</v>
      </c>
      <c r="M6322" s="36"/>
      <c r="N6322" s="107"/>
      <c r="O6322" s="107"/>
      <c r="P6322" s="109"/>
      <c r="Q6322" s="107"/>
      <c r="R6322" s="107"/>
      <c r="S6322" s="107"/>
      <c r="T6322" s="28" t="s">
        <v>29759</v>
      </c>
      <c r="U6322" s="38" t="str">
        <f>HYPERLINK("https://www.ncbi.nlm.nih.gov/pubmed/21668374","PubMed")</f>
        <v>PubMed</v>
      </c>
      <c r="V6322" s="139"/>
      <c r="W6322" s="49"/>
      <c r="X6322" s="49"/>
      <c r="Y6322" s="35"/>
      <c r="Z6322" s="35"/>
      <c r="AA6322" s="35"/>
      <c r="AB6322" s="35"/>
      <c r="AC6322" s="35"/>
      <c r="AD6322" s="35"/>
      <c r="AE6322" s="35"/>
      <c r="AF6322" s="35"/>
      <c r="AG6322" s="35"/>
      <c r="AH6322" s="35"/>
      <c r="AI6322" s="35"/>
      <c r="AJ6322" s="35"/>
      <c r="AK6322" s="35"/>
      <c r="AL6322" s="35"/>
    </row>
    <row r="6323">
      <c r="A6323" s="133"/>
      <c r="B6323" s="157" t="s">
        <v>4400</v>
      </c>
      <c r="C6323" s="158"/>
      <c r="D6323" s="159"/>
      <c r="E6323" s="403" t="s">
        <v>29618</v>
      </c>
      <c r="F6323" s="22" t="s">
        <v>41</v>
      </c>
      <c r="G6323" s="23">
        <v>2024.0</v>
      </c>
      <c r="H6323" s="57" t="s">
        <v>91</v>
      </c>
      <c r="I6323" s="134" t="s">
        <v>29760</v>
      </c>
      <c r="J6323" s="22"/>
      <c r="K6323" s="23"/>
      <c r="L6323" s="36" t="s">
        <v>5858</v>
      </c>
      <c r="M6323" s="36"/>
      <c r="N6323" s="107"/>
      <c r="O6323" s="107"/>
      <c r="P6323" s="109"/>
      <c r="Q6323" s="107"/>
      <c r="R6323" s="107"/>
      <c r="S6323" s="36" t="s">
        <v>29761</v>
      </c>
      <c r="T6323" s="28" t="s">
        <v>29762</v>
      </c>
      <c r="U6323" s="38" t="s">
        <v>61</v>
      </c>
      <c r="V6323" s="139"/>
      <c r="W6323" s="49"/>
      <c r="X6323" s="49"/>
      <c r="Y6323" s="35"/>
      <c r="Z6323" s="35"/>
      <c r="AA6323" s="35"/>
      <c r="AB6323" s="35"/>
      <c r="AC6323" s="35"/>
      <c r="AD6323" s="35"/>
      <c r="AE6323" s="35"/>
      <c r="AF6323" s="35"/>
      <c r="AG6323" s="35"/>
      <c r="AH6323" s="35"/>
      <c r="AI6323" s="35"/>
      <c r="AJ6323" s="35"/>
      <c r="AK6323" s="35"/>
      <c r="AL6323" s="35"/>
    </row>
    <row r="6324">
      <c r="A6324" s="133"/>
      <c r="B6324" s="157" t="s">
        <v>4400</v>
      </c>
      <c r="C6324" s="158"/>
      <c r="D6324" s="159"/>
      <c r="E6324" s="403" t="s">
        <v>29763</v>
      </c>
      <c r="F6324" s="22" t="s">
        <v>29764</v>
      </c>
      <c r="G6324" s="23">
        <v>2023.0</v>
      </c>
      <c r="H6324" s="57" t="s">
        <v>147</v>
      </c>
      <c r="I6324" s="134" t="s">
        <v>29765</v>
      </c>
      <c r="J6324" s="22"/>
      <c r="K6324" s="23"/>
      <c r="L6324" s="36" t="s">
        <v>29766</v>
      </c>
      <c r="M6324" s="36"/>
      <c r="N6324" s="107"/>
      <c r="O6324" s="107"/>
      <c r="P6324" s="109"/>
      <c r="Q6324" s="107"/>
      <c r="R6324" s="107"/>
      <c r="S6324" s="107"/>
      <c r="T6324" s="28" t="s">
        <v>29767</v>
      </c>
      <c r="U6324" s="215"/>
      <c r="V6324" s="139"/>
      <c r="W6324" s="49"/>
      <c r="X6324" s="49"/>
      <c r="Y6324" s="35"/>
      <c r="Z6324" s="35"/>
      <c r="AA6324" s="35"/>
      <c r="AB6324" s="35"/>
      <c r="AC6324" s="35"/>
      <c r="AD6324" s="35"/>
      <c r="AE6324" s="35"/>
      <c r="AF6324" s="35"/>
      <c r="AG6324" s="35"/>
      <c r="AH6324" s="35"/>
      <c r="AI6324" s="35"/>
      <c r="AJ6324" s="35"/>
      <c r="AK6324" s="35"/>
      <c r="AL6324" s="35"/>
    </row>
    <row r="6325">
      <c r="A6325" s="39" t="s">
        <v>2</v>
      </c>
      <c r="B6325" s="157" t="s">
        <v>4400</v>
      </c>
      <c r="C6325" s="158"/>
      <c r="D6325" s="159"/>
      <c r="E6325" s="403" t="s">
        <v>29768</v>
      </c>
      <c r="F6325" s="22" t="s">
        <v>8378</v>
      </c>
      <c r="G6325" s="23">
        <v>2022.0</v>
      </c>
      <c r="H6325" s="57" t="s">
        <v>4975</v>
      </c>
      <c r="I6325" s="134" t="s">
        <v>29769</v>
      </c>
      <c r="J6325" s="22"/>
      <c r="K6325" s="23"/>
      <c r="L6325" s="36" t="s">
        <v>29770</v>
      </c>
      <c r="M6325" s="36"/>
      <c r="N6325" s="107"/>
      <c r="O6325" s="107"/>
      <c r="P6325" s="109"/>
      <c r="Q6325" s="107"/>
      <c r="R6325" s="107"/>
      <c r="S6325" s="107"/>
      <c r="T6325" s="28" t="s">
        <v>29771</v>
      </c>
      <c r="U6325" s="38" t="s">
        <v>61</v>
      </c>
      <c r="V6325" s="139"/>
      <c r="W6325" s="49"/>
      <c r="X6325" s="49"/>
      <c r="Y6325" s="35"/>
      <c r="Z6325" s="35"/>
      <c r="AA6325" s="35"/>
      <c r="AB6325" s="35"/>
      <c r="AC6325" s="35"/>
      <c r="AD6325" s="35"/>
      <c r="AE6325" s="35"/>
      <c r="AF6325" s="35"/>
      <c r="AG6325" s="35"/>
      <c r="AH6325" s="35"/>
      <c r="AI6325" s="35"/>
      <c r="AJ6325" s="35"/>
      <c r="AK6325" s="35"/>
      <c r="AL6325" s="35"/>
    </row>
    <row r="6326">
      <c r="A6326" s="133"/>
      <c r="B6326" s="157" t="s">
        <v>4400</v>
      </c>
      <c r="C6326" s="158"/>
      <c r="D6326" s="159"/>
      <c r="E6326" s="403" t="s">
        <v>114</v>
      </c>
      <c r="F6326" s="22" t="s">
        <v>358</v>
      </c>
      <c r="G6326" s="23">
        <v>2020.0</v>
      </c>
      <c r="H6326" s="57" t="s">
        <v>207</v>
      </c>
      <c r="I6326" s="134" t="s">
        <v>29772</v>
      </c>
      <c r="J6326" s="22"/>
      <c r="K6326" s="23"/>
      <c r="L6326" s="36" t="s">
        <v>15619</v>
      </c>
      <c r="M6326" s="36"/>
      <c r="N6326" s="107"/>
      <c r="O6326" s="107"/>
      <c r="P6326" s="109"/>
      <c r="Q6326" s="107"/>
      <c r="R6326" s="107"/>
      <c r="S6326" s="107"/>
      <c r="T6326" s="28" t="s">
        <v>29773</v>
      </c>
      <c r="U6326" s="29" t="s">
        <v>61</v>
      </c>
      <c r="V6326" s="139"/>
      <c r="W6326" s="49"/>
      <c r="X6326" s="49"/>
      <c r="Y6326" s="35"/>
      <c r="Z6326" s="35"/>
      <c r="AA6326" s="35"/>
      <c r="AB6326" s="35"/>
      <c r="AC6326" s="35"/>
      <c r="AD6326" s="35"/>
      <c r="AE6326" s="35"/>
      <c r="AF6326" s="35"/>
      <c r="AG6326" s="35"/>
      <c r="AH6326" s="35"/>
      <c r="AI6326" s="35"/>
      <c r="AJ6326" s="35"/>
      <c r="AK6326" s="35"/>
      <c r="AL6326" s="35"/>
    </row>
    <row r="6327">
      <c r="A6327" s="133"/>
      <c r="B6327" s="157" t="s">
        <v>4400</v>
      </c>
      <c r="C6327" s="158"/>
      <c r="D6327" s="159"/>
      <c r="E6327" s="403" t="s">
        <v>29774</v>
      </c>
      <c r="F6327" s="22" t="s">
        <v>29775</v>
      </c>
      <c r="G6327" s="23">
        <v>2018.0</v>
      </c>
      <c r="H6327" s="57" t="s">
        <v>1025</v>
      </c>
      <c r="I6327" s="134" t="s">
        <v>29776</v>
      </c>
      <c r="J6327" s="22"/>
      <c r="K6327" s="23"/>
      <c r="L6327" s="36"/>
      <c r="M6327" s="36"/>
      <c r="N6327" s="107"/>
      <c r="O6327" s="107"/>
      <c r="P6327" s="109"/>
      <c r="Q6327" s="107"/>
      <c r="R6327" s="107"/>
      <c r="S6327" s="107"/>
      <c r="T6327" s="28" t="s">
        <v>29777</v>
      </c>
      <c r="U6327" s="38" t="str">
        <f>HYPERLINK("https://www.ncbi.nlm.nih.gov/pubmed/29363291","PubMed")</f>
        <v>PubMed</v>
      </c>
      <c r="V6327" s="139"/>
      <c r="W6327" s="49"/>
      <c r="X6327" s="49"/>
      <c r="Y6327" s="35"/>
      <c r="Z6327" s="35"/>
      <c r="AA6327" s="35"/>
      <c r="AB6327" s="35"/>
      <c r="AC6327" s="35"/>
      <c r="AD6327" s="35"/>
      <c r="AE6327" s="35"/>
      <c r="AF6327" s="35"/>
      <c r="AG6327" s="35"/>
      <c r="AH6327" s="35"/>
      <c r="AI6327" s="35"/>
      <c r="AJ6327" s="35"/>
      <c r="AK6327" s="35"/>
      <c r="AL6327" s="35"/>
    </row>
    <row r="6328">
      <c r="A6328" s="133"/>
      <c r="B6328" s="157" t="s">
        <v>4400</v>
      </c>
      <c r="C6328" s="158"/>
      <c r="D6328" s="159"/>
      <c r="E6328" s="403" t="s">
        <v>29778</v>
      </c>
      <c r="F6328" s="22" t="s">
        <v>16233</v>
      </c>
      <c r="G6328" s="23">
        <v>2017.0</v>
      </c>
      <c r="H6328" s="57" t="s">
        <v>658</v>
      </c>
      <c r="I6328" s="134" t="s">
        <v>29779</v>
      </c>
      <c r="J6328" s="22" t="s">
        <v>3053</v>
      </c>
      <c r="K6328" s="23" t="s">
        <v>29780</v>
      </c>
      <c r="L6328" s="36" t="s">
        <v>29781</v>
      </c>
      <c r="M6328" s="36"/>
      <c r="N6328" s="107"/>
      <c r="O6328" s="107"/>
      <c r="P6328" s="109"/>
      <c r="Q6328" s="107"/>
      <c r="R6328" s="107"/>
      <c r="S6328" s="107"/>
      <c r="T6328" s="28" t="s">
        <v>29782</v>
      </c>
      <c r="U6328" s="38" t="str">
        <f>HYPERLINK("https://www.ncbi.nlm.nih.gov/pubmed/28677985","PubMed")</f>
        <v>PubMed</v>
      </c>
      <c r="V6328" s="139"/>
      <c r="W6328" s="49"/>
      <c r="X6328" s="49"/>
      <c r="Y6328" s="35"/>
      <c r="Z6328" s="35"/>
      <c r="AA6328" s="35"/>
      <c r="AB6328" s="35"/>
      <c r="AC6328" s="35"/>
      <c r="AD6328" s="35"/>
      <c r="AE6328" s="35"/>
      <c r="AF6328" s="35"/>
      <c r="AG6328" s="35"/>
      <c r="AH6328" s="35"/>
      <c r="AI6328" s="35"/>
      <c r="AJ6328" s="35"/>
      <c r="AK6328" s="35"/>
      <c r="AL6328" s="35"/>
    </row>
    <row r="6329">
      <c r="A6329" s="133"/>
      <c r="B6329" s="157" t="s">
        <v>4400</v>
      </c>
      <c r="C6329" s="158"/>
      <c r="D6329" s="159"/>
      <c r="E6329" s="403" t="s">
        <v>29783</v>
      </c>
      <c r="F6329" s="22" t="s">
        <v>1465</v>
      </c>
      <c r="G6329" s="23" t="s">
        <v>90</v>
      </c>
      <c r="H6329" s="57" t="s">
        <v>658</v>
      </c>
      <c r="I6329" s="134" t="s">
        <v>29784</v>
      </c>
      <c r="J6329" s="22" t="s">
        <v>3053</v>
      </c>
      <c r="K6329" s="23" t="s">
        <v>29785</v>
      </c>
      <c r="L6329" s="36" t="s">
        <v>29781</v>
      </c>
      <c r="M6329" s="36" t="s">
        <v>29786</v>
      </c>
      <c r="N6329" s="107"/>
      <c r="O6329" s="107"/>
      <c r="P6329" s="109"/>
      <c r="Q6329" s="107"/>
      <c r="R6329" s="107"/>
      <c r="S6329" s="107"/>
      <c r="T6329" s="28" t="s">
        <v>29787</v>
      </c>
      <c r="U6329" s="38" t="str">
        <f>HYPERLINK("https://www.ncbi.nlm.nih.gov/pubmed/28436746","PubMed")</f>
        <v>PubMed</v>
      </c>
      <c r="V6329" s="139"/>
      <c r="W6329" s="49"/>
      <c r="X6329" s="49"/>
      <c r="Y6329" s="35"/>
      <c r="Z6329" s="35"/>
      <c r="AA6329" s="35"/>
      <c r="AB6329" s="35"/>
      <c r="AC6329" s="35"/>
      <c r="AD6329" s="35"/>
      <c r="AE6329" s="35"/>
      <c r="AF6329" s="35"/>
      <c r="AG6329" s="35"/>
      <c r="AH6329" s="35"/>
      <c r="AI6329" s="35"/>
      <c r="AJ6329" s="35"/>
      <c r="AK6329" s="35"/>
      <c r="AL6329" s="35"/>
    </row>
    <row r="6330">
      <c r="A6330" s="133"/>
      <c r="B6330" s="157" t="s">
        <v>4400</v>
      </c>
      <c r="C6330" s="158"/>
      <c r="D6330" s="159"/>
      <c r="E6330" s="403" t="s">
        <v>29788</v>
      </c>
      <c r="F6330" s="22" t="s">
        <v>41</v>
      </c>
      <c r="G6330" s="23">
        <v>2017.0</v>
      </c>
      <c r="H6330" s="57" t="s">
        <v>1485</v>
      </c>
      <c r="I6330" s="134" t="s">
        <v>29789</v>
      </c>
      <c r="J6330" s="22"/>
      <c r="K6330" s="23" t="s">
        <v>29790</v>
      </c>
      <c r="L6330" s="36"/>
      <c r="M6330" s="107"/>
      <c r="N6330" s="107"/>
      <c r="O6330" s="107"/>
      <c r="P6330" s="109"/>
      <c r="Q6330" s="107"/>
      <c r="R6330" s="107"/>
      <c r="S6330" s="107"/>
      <c r="T6330" s="28" t="s">
        <v>29791</v>
      </c>
      <c r="U6330" s="38" t="str">
        <f>HYPERLINK("https://www.ncbi.nlm.nih.gov/pubmed/28359937","PubMed")</f>
        <v>PubMed</v>
      </c>
      <c r="V6330" s="139"/>
      <c r="W6330" s="49"/>
      <c r="X6330" s="49"/>
      <c r="Y6330" s="35"/>
      <c r="Z6330" s="35"/>
      <c r="AA6330" s="35"/>
      <c r="AB6330" s="35"/>
      <c r="AC6330" s="35"/>
      <c r="AD6330" s="35"/>
      <c r="AE6330" s="35"/>
      <c r="AF6330" s="35"/>
      <c r="AG6330" s="35"/>
      <c r="AH6330" s="35"/>
      <c r="AI6330" s="35"/>
      <c r="AJ6330" s="35"/>
      <c r="AK6330" s="35"/>
      <c r="AL6330" s="35"/>
    </row>
    <row r="6331">
      <c r="A6331" s="207"/>
      <c r="B6331" s="157" t="s">
        <v>4400</v>
      </c>
      <c r="C6331" s="158"/>
      <c r="D6331" s="159"/>
      <c r="E6331" s="22" t="s">
        <v>2195</v>
      </c>
      <c r="F6331" s="22" t="s">
        <v>2196</v>
      </c>
      <c r="G6331" s="23">
        <v>2016.0</v>
      </c>
      <c r="H6331" s="22" t="s">
        <v>2225</v>
      </c>
      <c r="I6331" s="24" t="s">
        <v>29792</v>
      </c>
      <c r="J6331" s="23" t="s">
        <v>3053</v>
      </c>
      <c r="K6331" s="23"/>
      <c r="L6331" s="171"/>
      <c r="M6331" s="44"/>
      <c r="N6331" s="44"/>
      <c r="O6331" s="44"/>
      <c r="P6331" s="44"/>
      <c r="Q6331" s="44"/>
      <c r="R6331" s="44"/>
      <c r="S6331" s="44"/>
      <c r="T6331" s="45"/>
      <c r="U6331" s="38" t="str">
        <f>HYPERLINK("https://www.ncbi.nlm.nih.gov/pubmed/27630706","PubMed")</f>
        <v>PubMed</v>
      </c>
      <c r="V6331" s="139"/>
      <c r="W6331" s="49"/>
      <c r="X6331" s="49"/>
      <c r="Y6331" s="35"/>
      <c r="Z6331" s="35"/>
      <c r="AA6331" s="35"/>
      <c r="AB6331" s="35"/>
      <c r="AC6331" s="35"/>
      <c r="AD6331" s="35"/>
      <c r="AE6331" s="35"/>
      <c r="AF6331" s="35"/>
      <c r="AG6331" s="35"/>
      <c r="AH6331" s="35"/>
      <c r="AI6331" s="35"/>
      <c r="AJ6331" s="35"/>
      <c r="AK6331" s="35"/>
      <c r="AL6331" s="35"/>
    </row>
    <row r="6332">
      <c r="A6332" s="133"/>
      <c r="B6332" s="157" t="s">
        <v>4400</v>
      </c>
      <c r="C6332" s="158"/>
      <c r="D6332" s="159"/>
      <c r="E6332" s="403" t="s">
        <v>29793</v>
      </c>
      <c r="F6332" s="22" t="s">
        <v>3441</v>
      </c>
      <c r="G6332" s="23">
        <v>2016.0</v>
      </c>
      <c r="H6332" s="57" t="s">
        <v>658</v>
      </c>
      <c r="I6332" s="134" t="s">
        <v>29794</v>
      </c>
      <c r="J6332" s="22"/>
      <c r="K6332" s="361"/>
      <c r="L6332" s="36" t="s">
        <v>29781</v>
      </c>
      <c r="M6332" s="107"/>
      <c r="N6332" s="107"/>
      <c r="O6332" s="107"/>
      <c r="P6332" s="109"/>
      <c r="Q6332" s="107"/>
      <c r="R6332" s="107"/>
      <c r="S6332" s="107"/>
      <c r="T6332" s="28" t="s">
        <v>29795</v>
      </c>
      <c r="U6332" s="38" t="str">
        <f>HYPERLINK("https://www.ncbi.nlm.nih.gov/pubmed/27500419","PubMed")</f>
        <v>PubMed</v>
      </c>
      <c r="V6332" s="139"/>
      <c r="W6332" s="49"/>
      <c r="X6332" s="49"/>
      <c r="Y6332" s="35"/>
      <c r="Z6332" s="35"/>
      <c r="AA6332" s="35"/>
      <c r="AB6332" s="35"/>
      <c r="AC6332" s="35"/>
      <c r="AD6332" s="35"/>
      <c r="AE6332" s="35"/>
      <c r="AF6332" s="35"/>
      <c r="AG6332" s="35"/>
      <c r="AH6332" s="35"/>
      <c r="AI6332" s="35"/>
      <c r="AJ6332" s="35"/>
      <c r="AK6332" s="35"/>
      <c r="AL6332" s="35"/>
    </row>
    <row r="6333">
      <c r="A6333" s="133"/>
      <c r="B6333" s="157" t="s">
        <v>4400</v>
      </c>
      <c r="C6333" s="158"/>
      <c r="D6333" s="159"/>
      <c r="E6333" s="403" t="s">
        <v>1080</v>
      </c>
      <c r="F6333" s="22" t="s">
        <v>1773</v>
      </c>
      <c r="G6333" s="23">
        <v>2015.0</v>
      </c>
      <c r="H6333" s="57" t="s">
        <v>1025</v>
      </c>
      <c r="I6333" s="134" t="s">
        <v>29796</v>
      </c>
      <c r="J6333" s="22"/>
      <c r="K6333" s="361"/>
      <c r="L6333" s="36" t="s">
        <v>9259</v>
      </c>
      <c r="M6333" s="107"/>
      <c r="N6333" s="107"/>
      <c r="O6333" s="107"/>
      <c r="P6333" s="109"/>
      <c r="Q6333" s="107"/>
      <c r="R6333" s="107"/>
      <c r="S6333" s="107"/>
      <c r="T6333" s="28" t="s">
        <v>29797</v>
      </c>
      <c r="U6333" s="38" t="str">
        <f>HYPERLINK("https://www.ncbi.nlm.nih.gov/pubmed/25611979","PubMed")</f>
        <v>PubMed</v>
      </c>
      <c r="V6333" s="139"/>
      <c r="W6333" s="49"/>
      <c r="X6333" s="49"/>
      <c r="Y6333" s="35"/>
      <c r="Z6333" s="35"/>
      <c r="AA6333" s="35"/>
      <c r="AB6333" s="35"/>
      <c r="AC6333" s="35"/>
      <c r="AD6333" s="35"/>
      <c r="AE6333" s="35"/>
      <c r="AF6333" s="35"/>
      <c r="AG6333" s="35"/>
      <c r="AH6333" s="35"/>
      <c r="AI6333" s="35"/>
      <c r="AJ6333" s="35"/>
      <c r="AK6333" s="35"/>
      <c r="AL6333" s="35"/>
    </row>
    <row r="6334">
      <c r="A6334" s="133"/>
      <c r="B6334" s="157" t="s">
        <v>4400</v>
      </c>
      <c r="C6334" s="158"/>
      <c r="D6334" s="159"/>
      <c r="E6334" s="403" t="s">
        <v>29798</v>
      </c>
      <c r="F6334" s="22" t="s">
        <v>29799</v>
      </c>
      <c r="G6334" s="23">
        <v>2013.0</v>
      </c>
      <c r="H6334" s="57" t="s">
        <v>658</v>
      </c>
      <c r="I6334" s="134" t="s">
        <v>29800</v>
      </c>
      <c r="J6334" s="22"/>
      <c r="K6334" s="96"/>
      <c r="L6334" s="36" t="s">
        <v>15666</v>
      </c>
      <c r="M6334" s="107"/>
      <c r="N6334" s="107"/>
      <c r="O6334" s="107"/>
      <c r="P6334" s="109"/>
      <c r="Q6334" s="107"/>
      <c r="R6334" s="107"/>
      <c r="S6334" s="107"/>
      <c r="T6334" s="28" t="s">
        <v>29801</v>
      </c>
      <c r="U6334" s="38" t="str">
        <f>HYPERLINK("https://www.ncbi.nlm.nih.gov/pubmed/23441909","PubMed")</f>
        <v>PubMed</v>
      </c>
      <c r="V6334" s="139"/>
      <c r="W6334" s="49"/>
      <c r="X6334" s="49"/>
      <c r="Y6334" s="35"/>
      <c r="Z6334" s="35"/>
      <c r="AA6334" s="35"/>
      <c r="AB6334" s="35"/>
      <c r="AC6334" s="35"/>
      <c r="AD6334" s="35"/>
      <c r="AE6334" s="35"/>
      <c r="AF6334" s="35"/>
      <c r="AG6334" s="35"/>
      <c r="AH6334" s="35"/>
      <c r="AI6334" s="35"/>
      <c r="AJ6334" s="35"/>
      <c r="AK6334" s="35"/>
      <c r="AL6334" s="35"/>
    </row>
    <row r="6335">
      <c r="A6335" s="133"/>
      <c r="B6335" s="157" t="s">
        <v>4400</v>
      </c>
      <c r="C6335" s="158"/>
      <c r="D6335" s="159"/>
      <c r="E6335" s="403" t="s">
        <v>29802</v>
      </c>
      <c r="F6335" s="22" t="s">
        <v>23054</v>
      </c>
      <c r="G6335" s="23">
        <v>2012.0</v>
      </c>
      <c r="H6335" s="57" t="s">
        <v>658</v>
      </c>
      <c r="I6335" s="134" t="s">
        <v>29803</v>
      </c>
      <c r="J6335" s="22"/>
      <c r="K6335" s="96"/>
      <c r="L6335" s="107"/>
      <c r="M6335" s="107"/>
      <c r="N6335" s="107"/>
      <c r="O6335" s="107"/>
      <c r="P6335" s="109"/>
      <c r="Q6335" s="107"/>
      <c r="R6335" s="107"/>
      <c r="S6335" s="107"/>
      <c r="T6335" s="50"/>
      <c r="U6335" s="296"/>
      <c r="V6335" s="139"/>
      <c r="W6335" s="49"/>
      <c r="X6335" s="49"/>
      <c r="Y6335" s="35"/>
      <c r="Z6335" s="35"/>
      <c r="AA6335" s="35"/>
      <c r="AB6335" s="35"/>
      <c r="AC6335" s="35"/>
      <c r="AD6335" s="35"/>
      <c r="AE6335" s="35"/>
      <c r="AF6335" s="35"/>
      <c r="AG6335" s="35"/>
      <c r="AH6335" s="35"/>
      <c r="AI6335" s="35"/>
      <c r="AJ6335" s="35"/>
      <c r="AK6335" s="35"/>
      <c r="AL6335" s="35"/>
    </row>
    <row r="6336">
      <c r="A6336" s="133"/>
      <c r="B6336" s="157" t="s">
        <v>4400</v>
      </c>
      <c r="C6336" s="158"/>
      <c r="D6336" s="159"/>
      <c r="E6336" s="57" t="s">
        <v>29804</v>
      </c>
      <c r="F6336" s="22" t="s">
        <v>29805</v>
      </c>
      <c r="G6336" s="23">
        <v>2010.0</v>
      </c>
      <c r="H6336" s="57" t="s">
        <v>1485</v>
      </c>
      <c r="I6336" s="134" t="s">
        <v>29806</v>
      </c>
      <c r="J6336" s="96"/>
      <c r="K6336" s="22"/>
      <c r="L6336" s="107"/>
      <c r="M6336" s="107"/>
      <c r="N6336" s="107"/>
      <c r="O6336" s="107"/>
      <c r="P6336" s="109"/>
      <c r="Q6336" s="107"/>
      <c r="R6336" s="107"/>
      <c r="S6336" s="107"/>
      <c r="T6336" s="83" t="s">
        <v>29807</v>
      </c>
      <c r="U6336" s="326" t="s">
        <v>61</v>
      </c>
      <c r="V6336" s="139"/>
      <c r="W6336" s="49"/>
      <c r="X6336" s="49"/>
      <c r="Y6336" s="35"/>
      <c r="Z6336" s="35"/>
      <c r="AA6336" s="35"/>
      <c r="AB6336" s="35"/>
      <c r="AC6336" s="35"/>
      <c r="AD6336" s="35"/>
      <c r="AE6336" s="35"/>
      <c r="AF6336" s="35"/>
      <c r="AG6336" s="35"/>
      <c r="AH6336" s="35"/>
      <c r="AI6336" s="35"/>
      <c r="AJ6336" s="35"/>
      <c r="AK6336" s="35"/>
      <c r="AL6336" s="35"/>
    </row>
    <row r="6337">
      <c r="A6337" s="133"/>
      <c r="B6337" s="157" t="s">
        <v>4400</v>
      </c>
      <c r="C6337" s="158"/>
      <c r="D6337" s="159"/>
      <c r="E6337" s="57" t="s">
        <v>29808</v>
      </c>
      <c r="F6337" s="22" t="s">
        <v>5223</v>
      </c>
      <c r="G6337" s="23">
        <v>2007.0</v>
      </c>
      <c r="H6337" s="57" t="s">
        <v>27732</v>
      </c>
      <c r="I6337" s="134" t="s">
        <v>29809</v>
      </c>
      <c r="J6337" s="22" t="s">
        <v>29810</v>
      </c>
      <c r="K6337" s="96"/>
      <c r="L6337" s="36">
        <v>850.0</v>
      </c>
      <c r="M6337" s="36">
        <v>100.0</v>
      </c>
      <c r="N6337" s="107"/>
      <c r="O6337" s="107"/>
      <c r="P6337" s="109"/>
      <c r="Q6337" s="36" t="s">
        <v>29811</v>
      </c>
      <c r="R6337" s="107"/>
      <c r="S6337" s="107"/>
      <c r="T6337" s="83" t="s">
        <v>29812</v>
      </c>
      <c r="U6337" s="312" t="str">
        <f>HYPERLINK("https://www.ncbi.nlm.nih.gov/pubmed/18077939/","PubMed")</f>
        <v>PubMed</v>
      </c>
      <c r="V6337" s="139"/>
      <c r="W6337" s="49"/>
      <c r="X6337" s="49"/>
      <c r="Y6337" s="35"/>
      <c r="Z6337" s="35"/>
      <c r="AA6337" s="35"/>
      <c r="AB6337" s="35"/>
      <c r="AC6337" s="35"/>
      <c r="AD6337" s="35"/>
      <c r="AE6337" s="35"/>
      <c r="AF6337" s="35"/>
      <c r="AG6337" s="35"/>
      <c r="AH6337" s="35"/>
      <c r="AI6337" s="35"/>
      <c r="AJ6337" s="35"/>
      <c r="AK6337" s="35"/>
      <c r="AL6337" s="35"/>
    </row>
    <row r="6338">
      <c r="A6338" s="133"/>
      <c r="B6338" s="157" t="s">
        <v>4400</v>
      </c>
      <c r="C6338" s="158"/>
      <c r="D6338" s="159"/>
      <c r="E6338" s="57" t="s">
        <v>29813</v>
      </c>
      <c r="F6338" s="22" t="s">
        <v>29814</v>
      </c>
      <c r="G6338" s="23">
        <v>2007.0</v>
      </c>
      <c r="H6338" s="57" t="s">
        <v>29815</v>
      </c>
      <c r="I6338" s="134" t="s">
        <v>29816</v>
      </c>
      <c r="J6338" s="22" t="s">
        <v>29817</v>
      </c>
      <c r="K6338" s="96"/>
      <c r="L6338" s="36">
        <v>810.0</v>
      </c>
      <c r="M6338" s="36">
        <v>500.0</v>
      </c>
      <c r="N6338" s="107"/>
      <c r="O6338" s="107"/>
      <c r="P6338" s="109"/>
      <c r="Q6338" s="36"/>
      <c r="R6338" s="107"/>
      <c r="S6338" s="107"/>
      <c r="T6338" s="83" t="s">
        <v>29818</v>
      </c>
      <c r="U6338" s="312" t="str">
        <f>HYPERLINK("https://www.ncbi.nlm.nih.gov/pubmed/21851694","PubMed")</f>
        <v>PubMed</v>
      </c>
      <c r="V6338" s="139"/>
      <c r="W6338" s="49"/>
      <c r="X6338" s="49"/>
      <c r="Y6338" s="35"/>
      <c r="Z6338" s="35"/>
      <c r="AA6338" s="35"/>
      <c r="AB6338" s="35"/>
      <c r="AC6338" s="35"/>
      <c r="AD6338" s="35"/>
      <c r="AE6338" s="35"/>
      <c r="AF6338" s="35"/>
      <c r="AG6338" s="35"/>
      <c r="AH6338" s="35"/>
      <c r="AI6338" s="35"/>
      <c r="AJ6338" s="35"/>
      <c r="AK6338" s="35"/>
      <c r="AL6338" s="35"/>
    </row>
    <row r="6339">
      <c r="A6339" s="133"/>
      <c r="B6339" s="157" t="s">
        <v>4400</v>
      </c>
      <c r="C6339" s="158"/>
      <c r="D6339" s="159"/>
      <c r="E6339" s="57" t="s">
        <v>29819</v>
      </c>
      <c r="F6339" s="22" t="s">
        <v>2391</v>
      </c>
      <c r="G6339" s="23">
        <v>2005.0</v>
      </c>
      <c r="H6339" s="57" t="s">
        <v>2357</v>
      </c>
      <c r="I6339" s="134" t="s">
        <v>29820</v>
      </c>
      <c r="J6339" s="22"/>
      <c r="K6339" s="96"/>
      <c r="L6339" s="36"/>
      <c r="M6339" s="36"/>
      <c r="N6339" s="107"/>
      <c r="O6339" s="107"/>
      <c r="P6339" s="109"/>
      <c r="Q6339" s="36"/>
      <c r="R6339" s="107"/>
      <c r="S6339" s="107"/>
      <c r="T6339" s="83" t="s">
        <v>29821</v>
      </c>
      <c r="U6339" s="312" t="str">
        <f>HYPERLINK("http://iopscience.iop.org/article/10.1088/0022-3727/38/15/004/pdf","IOPscience")</f>
        <v>IOPscience</v>
      </c>
      <c r="V6339" s="139"/>
      <c r="W6339" s="49"/>
      <c r="X6339" s="49"/>
      <c r="Y6339" s="35"/>
      <c r="Z6339" s="35"/>
      <c r="AA6339" s="35"/>
      <c r="AB6339" s="35"/>
      <c r="AC6339" s="35"/>
      <c r="AD6339" s="35"/>
      <c r="AE6339" s="35"/>
      <c r="AF6339" s="35"/>
      <c r="AG6339" s="35"/>
      <c r="AH6339" s="35"/>
      <c r="AI6339" s="35"/>
      <c r="AJ6339" s="35"/>
      <c r="AK6339" s="35"/>
      <c r="AL6339" s="35"/>
    </row>
    <row r="6340">
      <c r="A6340" s="133"/>
      <c r="B6340" s="157" t="s">
        <v>4400</v>
      </c>
      <c r="C6340" s="158"/>
      <c r="D6340" s="159"/>
      <c r="E6340" s="57" t="s">
        <v>14284</v>
      </c>
      <c r="F6340" s="22" t="s">
        <v>41</v>
      </c>
      <c r="G6340" s="23">
        <v>2001.0</v>
      </c>
      <c r="H6340" s="57" t="s">
        <v>1289</v>
      </c>
      <c r="I6340" s="134" t="s">
        <v>29822</v>
      </c>
      <c r="J6340" s="22" t="s">
        <v>29823</v>
      </c>
      <c r="K6340" s="96"/>
      <c r="L6340" s="36">
        <v>630.0</v>
      </c>
      <c r="M6340" s="36"/>
      <c r="N6340" s="107"/>
      <c r="O6340" s="107"/>
      <c r="P6340" s="109"/>
      <c r="Q6340" s="36"/>
      <c r="R6340" s="107"/>
      <c r="S6340" s="107"/>
      <c r="T6340" s="83" t="s">
        <v>29824</v>
      </c>
      <c r="U6340" s="312" t="str">
        <f>HYPERLINK("https://www.ncbi.nlm.nih.gov/pubmed/11523859","PubMed")</f>
        <v>PubMed</v>
      </c>
      <c r="V6340" s="139"/>
      <c r="W6340" s="49"/>
      <c r="X6340" s="49"/>
      <c r="Y6340" s="35"/>
      <c r="Z6340" s="35"/>
      <c r="AA6340" s="35"/>
      <c r="AB6340" s="35"/>
      <c r="AC6340" s="35"/>
      <c r="AD6340" s="35"/>
      <c r="AE6340" s="35"/>
      <c r="AF6340" s="35"/>
      <c r="AG6340" s="35"/>
      <c r="AH6340" s="35"/>
      <c r="AI6340" s="35"/>
      <c r="AJ6340" s="35"/>
      <c r="AK6340" s="35"/>
      <c r="AL6340" s="35"/>
    </row>
    <row r="6341">
      <c r="A6341" s="133"/>
      <c r="B6341" s="157" t="s">
        <v>4400</v>
      </c>
      <c r="C6341" s="158"/>
      <c r="D6341" s="159"/>
      <c r="E6341" s="57" t="s">
        <v>14375</v>
      </c>
      <c r="F6341" s="22" t="s">
        <v>2161</v>
      </c>
      <c r="G6341" s="23">
        <v>2000.0</v>
      </c>
      <c r="H6341" s="57" t="s">
        <v>292</v>
      </c>
      <c r="I6341" s="134" t="s">
        <v>29825</v>
      </c>
      <c r="J6341" s="22" t="s">
        <v>253</v>
      </c>
      <c r="K6341" s="96"/>
      <c r="L6341" s="36" t="s">
        <v>5640</v>
      </c>
      <c r="M6341" s="36"/>
      <c r="N6341" s="107"/>
      <c r="O6341" s="107"/>
      <c r="P6341" s="109"/>
      <c r="Q6341" s="36"/>
      <c r="R6341" s="107"/>
      <c r="S6341" s="107"/>
      <c r="T6341" s="83" t="s">
        <v>29826</v>
      </c>
      <c r="U6341" s="312" t="str">
        <f>HYPERLINK("https://www.jstage.jst.go.jp/article/islsm/13/1/13_1_95/_article/-char/en","J-STAGE")</f>
        <v>J-STAGE</v>
      </c>
      <c r="V6341" s="139"/>
      <c r="W6341" s="49"/>
      <c r="X6341" s="49"/>
      <c r="Y6341" s="35"/>
      <c r="Z6341" s="35"/>
      <c r="AA6341" s="35"/>
      <c r="AB6341" s="35"/>
      <c r="AC6341" s="35"/>
      <c r="AD6341" s="35"/>
      <c r="AE6341" s="35"/>
      <c r="AF6341" s="35"/>
      <c r="AG6341" s="35"/>
      <c r="AH6341" s="35"/>
      <c r="AI6341" s="35"/>
      <c r="AJ6341" s="35"/>
      <c r="AK6341" s="35"/>
      <c r="AL6341" s="35"/>
    </row>
    <row r="6342">
      <c r="A6342" s="133"/>
      <c r="B6342" s="157" t="s">
        <v>4400</v>
      </c>
      <c r="C6342" s="158"/>
      <c r="D6342" s="159"/>
      <c r="E6342" s="57" t="s">
        <v>29827</v>
      </c>
      <c r="F6342" s="22"/>
      <c r="G6342" s="23">
        <v>1999.0</v>
      </c>
      <c r="H6342" s="57" t="s">
        <v>53</v>
      </c>
      <c r="I6342" s="134" t="s">
        <v>29828</v>
      </c>
      <c r="J6342" s="22"/>
      <c r="K6342" s="96"/>
      <c r="L6342" s="36" t="s">
        <v>29829</v>
      </c>
      <c r="M6342" s="36"/>
      <c r="N6342" s="107"/>
      <c r="O6342" s="107"/>
      <c r="P6342" s="109"/>
      <c r="Q6342" s="36"/>
      <c r="R6342" s="107"/>
      <c r="S6342" s="107"/>
      <c r="T6342" s="83" t="s">
        <v>29830</v>
      </c>
      <c r="U6342" s="312" t="str">
        <f>HYPERLINK("https://www.ncbi.nlm.nih.gov/pubmed/10229154","PubMed")</f>
        <v>PubMed</v>
      </c>
      <c r="V6342" s="139"/>
      <c r="W6342" s="49"/>
      <c r="X6342" s="49"/>
      <c r="Y6342" s="35"/>
      <c r="Z6342" s="35"/>
      <c r="AA6342" s="35"/>
      <c r="AB6342" s="35"/>
      <c r="AC6342" s="35"/>
      <c r="AD6342" s="35"/>
      <c r="AE6342" s="35"/>
      <c r="AF6342" s="35"/>
      <c r="AG6342" s="35"/>
      <c r="AH6342" s="35"/>
      <c r="AI6342" s="35"/>
      <c r="AJ6342" s="35"/>
      <c r="AK6342" s="35"/>
      <c r="AL6342" s="35"/>
    </row>
    <row r="6343">
      <c r="A6343" s="133"/>
      <c r="B6343" s="157" t="s">
        <v>4400</v>
      </c>
      <c r="C6343" s="158"/>
      <c r="D6343" s="159"/>
      <c r="E6343" s="57" t="s">
        <v>29831</v>
      </c>
      <c r="F6343" s="22" t="s">
        <v>1416</v>
      </c>
      <c r="G6343" s="23">
        <v>1996.0</v>
      </c>
      <c r="H6343" s="57" t="s">
        <v>292</v>
      </c>
      <c r="I6343" s="134" t="s">
        <v>29832</v>
      </c>
      <c r="J6343" s="22"/>
      <c r="K6343" s="96"/>
      <c r="L6343" s="36">
        <v>830.0</v>
      </c>
      <c r="M6343" s="36"/>
      <c r="N6343" s="107"/>
      <c r="O6343" s="107"/>
      <c r="P6343" s="109"/>
      <c r="Q6343" s="36"/>
      <c r="R6343" s="107"/>
      <c r="S6343" s="107"/>
      <c r="T6343" s="83"/>
      <c r="U6343" s="312" t="str">
        <f>HYPERLINK("https://www.jstage.jst.go.jp/article/islsm/8/3/8_3_197/_article/-char/en","J-STAGE")</f>
        <v>J-STAGE</v>
      </c>
      <c r="V6343" s="139"/>
      <c r="W6343" s="49"/>
      <c r="X6343" s="49"/>
      <c r="Y6343" s="35"/>
      <c r="Z6343" s="35"/>
      <c r="AA6343" s="35"/>
      <c r="AB6343" s="35"/>
      <c r="AC6343" s="35"/>
      <c r="AD6343" s="35"/>
      <c r="AE6343" s="35"/>
      <c r="AF6343" s="35"/>
      <c r="AG6343" s="35"/>
      <c r="AH6343" s="35"/>
      <c r="AI6343" s="35"/>
      <c r="AJ6343" s="35"/>
      <c r="AK6343" s="35"/>
      <c r="AL6343" s="35"/>
    </row>
    <row r="6344">
      <c r="A6344" s="133"/>
      <c r="B6344" s="157" t="s">
        <v>4400</v>
      </c>
      <c r="C6344" s="158"/>
      <c r="D6344" s="159"/>
      <c r="E6344" s="403" t="s">
        <v>29833</v>
      </c>
      <c r="F6344" s="96"/>
      <c r="G6344" s="23">
        <v>1986.0</v>
      </c>
      <c r="H6344" s="57" t="s">
        <v>29834</v>
      </c>
      <c r="I6344" s="134" t="s">
        <v>29835</v>
      </c>
      <c r="J6344" s="96"/>
      <c r="K6344" s="96"/>
      <c r="L6344" s="107"/>
      <c r="M6344" s="107"/>
      <c r="N6344" s="107"/>
      <c r="O6344" s="107"/>
      <c r="P6344" s="109"/>
      <c r="Q6344" s="107"/>
      <c r="R6344" s="107"/>
      <c r="S6344" s="107"/>
      <c r="T6344" s="50"/>
      <c r="U6344" s="296"/>
      <c r="V6344" s="139"/>
      <c r="W6344" s="49"/>
      <c r="X6344" s="49"/>
      <c r="Y6344" s="35"/>
      <c r="Z6344" s="35"/>
      <c r="AA6344" s="35"/>
      <c r="AB6344" s="35"/>
      <c r="AC6344" s="35"/>
      <c r="AD6344" s="35"/>
      <c r="AE6344" s="35"/>
      <c r="AF6344" s="35"/>
      <c r="AG6344" s="35"/>
      <c r="AH6344" s="35"/>
      <c r="AI6344" s="35"/>
      <c r="AJ6344" s="35"/>
      <c r="AK6344" s="35"/>
      <c r="AL6344" s="35"/>
    </row>
    <row r="6345">
      <c r="A6345" s="1"/>
      <c r="B6345" s="75" t="s">
        <v>4400</v>
      </c>
      <c r="C6345" s="77" t="s">
        <v>2073</v>
      </c>
      <c r="D6345" s="404"/>
      <c r="E6345" s="403" t="s">
        <v>29836</v>
      </c>
      <c r="F6345" s="22" t="s">
        <v>3188</v>
      </c>
      <c r="G6345" s="23">
        <v>2024.0</v>
      </c>
      <c r="H6345" s="57" t="s">
        <v>91</v>
      </c>
      <c r="I6345" s="134" t="s">
        <v>29837</v>
      </c>
      <c r="J6345" s="178"/>
      <c r="K6345" s="22"/>
      <c r="L6345" s="36" t="s">
        <v>29838</v>
      </c>
      <c r="M6345" s="107"/>
      <c r="N6345" s="107"/>
      <c r="O6345" s="107"/>
      <c r="P6345" s="109"/>
      <c r="Q6345" s="107"/>
      <c r="R6345" s="107"/>
      <c r="S6345" s="107"/>
      <c r="T6345" s="28" t="s">
        <v>29839</v>
      </c>
      <c r="U6345" s="38" t="s">
        <v>61</v>
      </c>
      <c r="V6345" s="139"/>
      <c r="W6345" s="49"/>
      <c r="X6345" s="49"/>
      <c r="Y6345" s="35"/>
      <c r="Z6345" s="35"/>
      <c r="AA6345" s="35"/>
      <c r="AB6345" s="35"/>
      <c r="AC6345" s="35"/>
      <c r="AD6345" s="35"/>
      <c r="AE6345" s="35"/>
      <c r="AF6345" s="35"/>
      <c r="AG6345" s="35"/>
      <c r="AH6345" s="35"/>
      <c r="AI6345" s="35"/>
      <c r="AJ6345" s="35"/>
      <c r="AK6345" s="35"/>
      <c r="AL6345" s="35"/>
    </row>
    <row r="6346">
      <c r="A6346" s="1"/>
      <c r="B6346" s="75" t="s">
        <v>4400</v>
      </c>
      <c r="C6346" s="77" t="s">
        <v>2073</v>
      </c>
      <c r="D6346" s="404"/>
      <c r="E6346" s="403" t="s">
        <v>4486</v>
      </c>
      <c r="F6346" s="178"/>
      <c r="G6346" s="23">
        <v>2023.0</v>
      </c>
      <c r="H6346" s="57" t="s">
        <v>6123</v>
      </c>
      <c r="I6346" s="134" t="s">
        <v>29613</v>
      </c>
      <c r="J6346" s="178"/>
      <c r="K6346" s="22"/>
      <c r="L6346" s="36" t="s">
        <v>29840</v>
      </c>
      <c r="M6346" s="107"/>
      <c r="N6346" s="107"/>
      <c r="O6346" s="107"/>
      <c r="P6346" s="109"/>
      <c r="Q6346" s="107"/>
      <c r="R6346" s="107"/>
      <c r="S6346" s="107"/>
      <c r="T6346" s="28" t="s">
        <v>29841</v>
      </c>
      <c r="U6346" s="29" t="s">
        <v>37</v>
      </c>
      <c r="V6346" s="139"/>
      <c r="W6346" s="49"/>
      <c r="X6346" s="49"/>
      <c r="Y6346" s="35"/>
      <c r="Z6346" s="35"/>
      <c r="AA6346" s="35"/>
      <c r="AB6346" s="35"/>
      <c r="AC6346" s="35"/>
      <c r="AD6346" s="35"/>
      <c r="AE6346" s="35"/>
      <c r="AF6346" s="35"/>
      <c r="AG6346" s="35"/>
      <c r="AH6346" s="35"/>
      <c r="AI6346" s="35"/>
      <c r="AJ6346" s="35"/>
      <c r="AK6346" s="35"/>
      <c r="AL6346" s="35"/>
    </row>
    <row r="6347">
      <c r="A6347" s="1"/>
      <c r="B6347" s="75" t="s">
        <v>4400</v>
      </c>
      <c r="C6347" s="77" t="s">
        <v>2073</v>
      </c>
      <c r="D6347" s="404"/>
      <c r="E6347" s="405" t="s">
        <v>4486</v>
      </c>
      <c r="F6347" s="178" t="s">
        <v>2821</v>
      </c>
      <c r="G6347" s="177" t="s">
        <v>16943</v>
      </c>
      <c r="H6347" s="219" t="s">
        <v>15384</v>
      </c>
      <c r="I6347" s="406" t="s">
        <v>29842</v>
      </c>
      <c r="J6347" s="178"/>
      <c r="K6347" s="22" t="s">
        <v>29843</v>
      </c>
      <c r="L6347" s="36" t="s">
        <v>29844</v>
      </c>
      <c r="M6347" s="107"/>
      <c r="N6347" s="107"/>
      <c r="O6347" s="107"/>
      <c r="P6347" s="109"/>
      <c r="Q6347" s="107"/>
      <c r="R6347" s="107"/>
      <c r="S6347" s="107"/>
      <c r="T6347" s="28" t="s">
        <v>29845</v>
      </c>
      <c r="U6347" s="29" t="s">
        <v>61</v>
      </c>
      <c r="V6347" s="139"/>
      <c r="W6347" s="49"/>
      <c r="X6347" s="49"/>
      <c r="Y6347" s="35"/>
      <c r="Z6347" s="35"/>
      <c r="AA6347" s="35"/>
      <c r="AB6347" s="35"/>
      <c r="AC6347" s="35"/>
      <c r="AD6347" s="35"/>
      <c r="AE6347" s="35"/>
      <c r="AF6347" s="35"/>
      <c r="AG6347" s="35"/>
      <c r="AH6347" s="35"/>
      <c r="AI6347" s="35"/>
      <c r="AJ6347" s="35"/>
      <c r="AK6347" s="35"/>
      <c r="AL6347" s="35"/>
    </row>
    <row r="6348">
      <c r="A6348" s="1"/>
      <c r="B6348" s="75" t="s">
        <v>4400</v>
      </c>
      <c r="C6348" s="77" t="s">
        <v>2073</v>
      </c>
      <c r="D6348" s="159"/>
      <c r="E6348" s="403" t="s">
        <v>29846</v>
      </c>
      <c r="F6348" s="22" t="s">
        <v>332</v>
      </c>
      <c r="G6348" s="23">
        <v>2020.0</v>
      </c>
      <c r="H6348" s="57" t="s">
        <v>91</v>
      </c>
      <c r="I6348" s="134" t="s">
        <v>29847</v>
      </c>
      <c r="J6348" s="22"/>
      <c r="K6348" s="22"/>
      <c r="L6348" s="36">
        <v>808.0</v>
      </c>
      <c r="M6348" s="107"/>
      <c r="N6348" s="107"/>
      <c r="O6348" s="107"/>
      <c r="P6348" s="109"/>
      <c r="Q6348" s="107"/>
      <c r="R6348" s="107"/>
      <c r="S6348" s="107"/>
      <c r="T6348" s="28" t="s">
        <v>29848</v>
      </c>
      <c r="U6348" s="29" t="s">
        <v>61</v>
      </c>
      <c r="V6348" s="139"/>
      <c r="W6348" s="49"/>
      <c r="X6348" s="49"/>
      <c r="Y6348" s="35"/>
      <c r="Z6348" s="35"/>
      <c r="AA6348" s="35"/>
      <c r="AB6348" s="35"/>
      <c r="AC6348" s="35"/>
      <c r="AD6348" s="35"/>
      <c r="AE6348" s="35"/>
      <c r="AF6348" s="35"/>
      <c r="AG6348" s="35"/>
      <c r="AH6348" s="35"/>
      <c r="AI6348" s="35"/>
      <c r="AJ6348" s="35"/>
      <c r="AK6348" s="35"/>
      <c r="AL6348" s="35"/>
    </row>
    <row r="6349">
      <c r="A6349" s="1"/>
      <c r="B6349" s="157" t="s">
        <v>4400</v>
      </c>
      <c r="C6349" s="158" t="s">
        <v>2073</v>
      </c>
      <c r="D6349" s="159"/>
      <c r="E6349" s="403" t="s">
        <v>29849</v>
      </c>
      <c r="F6349" s="22" t="s">
        <v>2407</v>
      </c>
      <c r="G6349" s="23">
        <v>2020.0</v>
      </c>
      <c r="H6349" s="57" t="s">
        <v>3166</v>
      </c>
      <c r="I6349" s="134" t="s">
        <v>29850</v>
      </c>
      <c r="J6349" s="22" t="s">
        <v>29851</v>
      </c>
      <c r="K6349" s="22"/>
      <c r="L6349" s="107"/>
      <c r="M6349" s="107"/>
      <c r="N6349" s="107"/>
      <c r="O6349" s="107"/>
      <c r="P6349" s="109"/>
      <c r="Q6349" s="107"/>
      <c r="R6349" s="107"/>
      <c r="S6349" s="107"/>
      <c r="T6349" s="28" t="s">
        <v>29852</v>
      </c>
      <c r="U6349" s="38" t="str">
        <f>HYPERLINK("https://www.ncbi.nlm.nih.gov/pubmed/32118086","PubMed")</f>
        <v>PubMed</v>
      </c>
      <c r="V6349" s="139"/>
      <c r="W6349" s="49"/>
      <c r="X6349" s="49"/>
      <c r="Y6349" s="35"/>
      <c r="Z6349" s="35"/>
      <c r="AA6349" s="35"/>
      <c r="AB6349" s="35"/>
      <c r="AC6349" s="35"/>
      <c r="AD6349" s="35"/>
      <c r="AE6349" s="35"/>
      <c r="AF6349" s="35"/>
      <c r="AG6349" s="35"/>
      <c r="AH6349" s="35"/>
      <c r="AI6349" s="35"/>
      <c r="AJ6349" s="35"/>
      <c r="AK6349" s="35"/>
      <c r="AL6349" s="35"/>
    </row>
    <row r="6350">
      <c r="A6350" s="1" t="s">
        <v>2</v>
      </c>
      <c r="B6350" s="157" t="s">
        <v>4400</v>
      </c>
      <c r="C6350" s="158" t="s">
        <v>2073</v>
      </c>
      <c r="D6350" s="159"/>
      <c r="E6350" s="403" t="s">
        <v>2402</v>
      </c>
      <c r="F6350" s="22" t="s">
        <v>3202</v>
      </c>
      <c r="G6350" s="23">
        <v>2019.0</v>
      </c>
      <c r="H6350" s="57" t="s">
        <v>77</v>
      </c>
      <c r="I6350" s="134" t="s">
        <v>29853</v>
      </c>
      <c r="J6350" s="22" t="s">
        <v>125</v>
      </c>
      <c r="K6350" s="22"/>
      <c r="L6350" s="171" t="s">
        <v>29854</v>
      </c>
      <c r="M6350" s="44"/>
      <c r="N6350" s="44"/>
      <c r="O6350" s="44"/>
      <c r="P6350" s="44"/>
      <c r="Q6350" s="44"/>
      <c r="R6350" s="44"/>
      <c r="S6350" s="44"/>
      <c r="T6350" s="45"/>
      <c r="U6350" s="38" t="str">
        <f>HYPERLINK("https://www.ncbi.nlm.nih.gov/pubmed/31553265","PubMed")</f>
        <v>PubMed</v>
      </c>
      <c r="V6350" s="139"/>
      <c r="W6350" s="49"/>
      <c r="X6350" s="49"/>
      <c r="Y6350" s="35"/>
      <c r="Z6350" s="35"/>
      <c r="AA6350" s="35"/>
      <c r="AB6350" s="35"/>
      <c r="AC6350" s="35"/>
      <c r="AD6350" s="35"/>
      <c r="AE6350" s="35"/>
      <c r="AF6350" s="35"/>
      <c r="AG6350" s="35"/>
      <c r="AH6350" s="35"/>
      <c r="AI6350" s="35"/>
      <c r="AJ6350" s="35"/>
      <c r="AK6350" s="35"/>
      <c r="AL6350" s="35"/>
    </row>
    <row r="6351">
      <c r="A6351" s="133"/>
      <c r="B6351" s="157" t="s">
        <v>4400</v>
      </c>
      <c r="C6351" s="158" t="s">
        <v>2073</v>
      </c>
      <c r="D6351" s="159"/>
      <c r="E6351" s="403" t="s">
        <v>3371</v>
      </c>
      <c r="F6351" s="22" t="s">
        <v>2407</v>
      </c>
      <c r="G6351" s="23">
        <v>2019.0</v>
      </c>
      <c r="H6351" s="57" t="s">
        <v>3166</v>
      </c>
      <c r="I6351" s="134" t="s">
        <v>29855</v>
      </c>
      <c r="J6351" s="22" t="s">
        <v>29851</v>
      </c>
      <c r="K6351" s="22"/>
      <c r="L6351" s="407"/>
      <c r="M6351" s="407"/>
      <c r="N6351" s="407"/>
      <c r="O6351" s="407"/>
      <c r="P6351" s="407"/>
      <c r="Q6351" s="407"/>
      <c r="R6351" s="407"/>
      <c r="S6351" s="407"/>
      <c r="T6351" s="28" t="s">
        <v>29856</v>
      </c>
      <c r="U6351" s="38" t="str">
        <f>HYPERLINK("https://www.ncbi.nlm.nih.gov/pubmed/30796882","PubMed")</f>
        <v>PubMed</v>
      </c>
      <c r="V6351" s="139"/>
      <c r="W6351" s="49"/>
      <c r="X6351" s="49"/>
      <c r="Y6351" s="35"/>
      <c r="Z6351" s="35"/>
      <c r="AA6351" s="35"/>
      <c r="AB6351" s="35"/>
      <c r="AC6351" s="35"/>
      <c r="AD6351" s="35"/>
      <c r="AE6351" s="35"/>
      <c r="AF6351" s="35"/>
      <c r="AG6351" s="35"/>
      <c r="AH6351" s="35"/>
      <c r="AI6351" s="35"/>
      <c r="AJ6351" s="35"/>
      <c r="AK6351" s="35"/>
      <c r="AL6351" s="35"/>
    </row>
    <row r="6352">
      <c r="A6352" s="133"/>
      <c r="B6352" s="157" t="s">
        <v>4400</v>
      </c>
      <c r="C6352" s="158" t="s">
        <v>2073</v>
      </c>
      <c r="D6352" s="159"/>
      <c r="E6352" s="403" t="s">
        <v>29857</v>
      </c>
      <c r="F6352" s="22" t="s">
        <v>2801</v>
      </c>
      <c r="G6352" s="23">
        <v>2018.0</v>
      </c>
      <c r="H6352" s="57" t="s">
        <v>42</v>
      </c>
      <c r="I6352" s="134" t="s">
        <v>29858</v>
      </c>
      <c r="J6352" s="22" t="s">
        <v>125</v>
      </c>
      <c r="K6352" s="22"/>
      <c r="L6352" s="171" t="s">
        <v>29859</v>
      </c>
      <c r="M6352" s="44"/>
      <c r="N6352" s="44"/>
      <c r="O6352" s="44"/>
      <c r="P6352" s="44"/>
      <c r="Q6352" s="44"/>
      <c r="R6352" s="44"/>
      <c r="S6352" s="44"/>
      <c r="T6352" s="45"/>
      <c r="U6352" s="38" t="str">
        <f>HYPERLINK("https://www.ncbi.nlm.nih.gov/pubmed/30043500","PubMed")</f>
        <v>PubMed</v>
      </c>
      <c r="V6352" s="139"/>
      <c r="W6352" s="49"/>
      <c r="X6352" s="49"/>
      <c r="Y6352" s="35"/>
      <c r="Z6352" s="35"/>
      <c r="AA6352" s="35"/>
      <c r="AB6352" s="35"/>
      <c r="AC6352" s="35"/>
      <c r="AD6352" s="35"/>
      <c r="AE6352" s="35"/>
      <c r="AF6352" s="35"/>
      <c r="AG6352" s="35"/>
      <c r="AH6352" s="35"/>
      <c r="AI6352" s="35"/>
      <c r="AJ6352" s="35"/>
      <c r="AK6352" s="35"/>
      <c r="AL6352" s="35"/>
    </row>
    <row r="6353">
      <c r="A6353" s="133"/>
      <c r="B6353" s="157" t="s">
        <v>4400</v>
      </c>
      <c r="C6353" s="158" t="s">
        <v>2073</v>
      </c>
      <c r="D6353" s="159"/>
      <c r="E6353" s="403" t="s">
        <v>29860</v>
      </c>
      <c r="F6353" s="22" t="s">
        <v>15724</v>
      </c>
      <c r="G6353" s="23">
        <v>2016.0</v>
      </c>
      <c r="H6353" s="57" t="s">
        <v>15379</v>
      </c>
      <c r="I6353" s="134" t="s">
        <v>29861</v>
      </c>
      <c r="J6353" s="22" t="s">
        <v>125</v>
      </c>
      <c r="K6353" s="22" t="s">
        <v>29862</v>
      </c>
      <c r="L6353" s="171" t="s">
        <v>29863</v>
      </c>
      <c r="M6353" s="44"/>
      <c r="N6353" s="44"/>
      <c r="O6353" s="44"/>
      <c r="P6353" s="44"/>
      <c r="Q6353" s="44"/>
      <c r="R6353" s="44"/>
      <c r="S6353" s="44"/>
      <c r="T6353" s="45"/>
      <c r="U6353" s="38" t="str">
        <f>HYPERLINK("https://www.ncbi.nlm.nih.gov/pubmed/27755969","PubMed")</f>
        <v>PubMed</v>
      </c>
      <c r="V6353" s="139"/>
      <c r="W6353" s="49"/>
      <c r="X6353" s="49"/>
      <c r="Y6353" s="35"/>
      <c r="Z6353" s="35"/>
      <c r="AA6353" s="35"/>
      <c r="AB6353" s="35"/>
      <c r="AC6353" s="35"/>
      <c r="AD6353" s="35"/>
      <c r="AE6353" s="35"/>
      <c r="AF6353" s="35"/>
      <c r="AG6353" s="35"/>
      <c r="AH6353" s="35"/>
      <c r="AI6353" s="35"/>
      <c r="AJ6353" s="35"/>
      <c r="AK6353" s="35"/>
      <c r="AL6353" s="35"/>
    </row>
    <row r="6354">
      <c r="A6354" s="133"/>
      <c r="B6354" s="157" t="s">
        <v>4400</v>
      </c>
      <c r="C6354" s="158" t="s">
        <v>2073</v>
      </c>
      <c r="D6354" s="159"/>
      <c r="E6354" s="403" t="s">
        <v>29864</v>
      </c>
      <c r="F6354" s="22" t="s">
        <v>29865</v>
      </c>
      <c r="G6354" s="23">
        <v>2015.0</v>
      </c>
      <c r="H6354" s="57" t="s">
        <v>53</v>
      </c>
      <c r="I6354" s="134" t="s">
        <v>29866</v>
      </c>
      <c r="J6354" s="22" t="s">
        <v>29867</v>
      </c>
      <c r="K6354" s="361"/>
      <c r="L6354" s="36" t="s">
        <v>29868</v>
      </c>
      <c r="M6354" s="107"/>
      <c r="N6354" s="107"/>
      <c r="O6354" s="107"/>
      <c r="P6354" s="109"/>
      <c r="Q6354" s="107"/>
      <c r="R6354" s="107"/>
      <c r="S6354" s="107"/>
      <c r="T6354" s="28" t="s">
        <v>29869</v>
      </c>
      <c r="U6354" s="38" t="str">
        <f>HYPERLINK("https://www.ncbi.nlm.nih.gov/pubmed/25772014","PubMed")</f>
        <v>PubMed</v>
      </c>
      <c r="V6354" s="139"/>
      <c r="W6354" s="49"/>
      <c r="X6354" s="49"/>
      <c r="Y6354" s="35"/>
      <c r="Z6354" s="35"/>
      <c r="AA6354" s="35"/>
      <c r="AB6354" s="35"/>
      <c r="AC6354" s="35"/>
      <c r="AD6354" s="35"/>
      <c r="AE6354" s="35"/>
      <c r="AF6354" s="35"/>
      <c r="AG6354" s="35"/>
      <c r="AH6354" s="35"/>
      <c r="AI6354" s="35"/>
      <c r="AJ6354" s="35"/>
      <c r="AK6354" s="35"/>
      <c r="AL6354" s="35"/>
    </row>
    <row r="6355">
      <c r="A6355" s="133"/>
      <c r="B6355" s="157" t="s">
        <v>4400</v>
      </c>
      <c r="C6355" s="158" t="s">
        <v>2073</v>
      </c>
      <c r="D6355" s="159"/>
      <c r="E6355" s="403" t="s">
        <v>29870</v>
      </c>
      <c r="F6355" s="22" t="s">
        <v>4125</v>
      </c>
      <c r="G6355" s="23">
        <v>2015.0</v>
      </c>
      <c r="H6355" s="57" t="s">
        <v>29834</v>
      </c>
      <c r="I6355" s="134" t="s">
        <v>29871</v>
      </c>
      <c r="J6355" s="22" t="s">
        <v>29867</v>
      </c>
      <c r="K6355" s="361"/>
      <c r="L6355" s="36" t="s">
        <v>29872</v>
      </c>
      <c r="M6355" s="107"/>
      <c r="N6355" s="107"/>
      <c r="O6355" s="107"/>
      <c r="P6355" s="109"/>
      <c r="Q6355" s="107"/>
      <c r="R6355" s="107"/>
      <c r="S6355" s="107"/>
      <c r="T6355" s="28" t="s">
        <v>29873</v>
      </c>
      <c r="U6355" s="38" t="str">
        <f>HYPERLINK("https://www.ncbi.nlm.nih.gov/pubmed/25789711","PubMed")</f>
        <v>PubMed</v>
      </c>
      <c r="V6355" s="139"/>
      <c r="W6355" s="49"/>
      <c r="X6355" s="49"/>
      <c r="Y6355" s="35"/>
      <c r="Z6355" s="35"/>
      <c r="AA6355" s="35"/>
      <c r="AB6355" s="35"/>
      <c r="AC6355" s="35"/>
      <c r="AD6355" s="35"/>
      <c r="AE6355" s="35"/>
      <c r="AF6355" s="35"/>
      <c r="AG6355" s="35"/>
      <c r="AH6355" s="35"/>
      <c r="AI6355" s="35"/>
      <c r="AJ6355" s="35"/>
      <c r="AK6355" s="35"/>
      <c r="AL6355" s="35"/>
    </row>
    <row r="6356">
      <c r="A6356" s="133"/>
      <c r="B6356" s="157" t="s">
        <v>4400</v>
      </c>
      <c r="C6356" s="158" t="s">
        <v>2073</v>
      </c>
      <c r="D6356" s="159"/>
      <c r="E6356" s="403" t="s">
        <v>3393</v>
      </c>
      <c r="F6356" s="22" t="s">
        <v>2899</v>
      </c>
      <c r="G6356" s="23">
        <v>2015.0</v>
      </c>
      <c r="H6356" s="57" t="s">
        <v>2900</v>
      </c>
      <c r="I6356" s="134" t="s">
        <v>29874</v>
      </c>
      <c r="J6356" s="22" t="s">
        <v>125</v>
      </c>
      <c r="K6356" s="22" t="s">
        <v>2073</v>
      </c>
      <c r="L6356" s="171" t="s">
        <v>29875</v>
      </c>
      <c r="M6356" s="44"/>
      <c r="N6356" s="44"/>
      <c r="O6356" s="44"/>
      <c r="P6356" s="44"/>
      <c r="Q6356" s="44"/>
      <c r="R6356" s="44"/>
      <c r="S6356" s="44"/>
      <c r="T6356" s="45"/>
      <c r="U6356" s="38" t="str">
        <f>HYPERLINK("https://www.ncbi.nlm.nih.gov/pubmed/26346298/","PubMed")</f>
        <v>PubMed</v>
      </c>
      <c r="V6356" s="139"/>
      <c r="W6356" s="130" t="str">
        <f>HYPERLINK("https://www.ncbi.nlm.nih.gov/pubmed/31050925","Hipskind (2019)")</f>
        <v>Hipskind (2019)</v>
      </c>
      <c r="X6356" s="49"/>
      <c r="Y6356" s="35"/>
      <c r="Z6356" s="35"/>
      <c r="AA6356" s="35"/>
      <c r="AB6356" s="35"/>
      <c r="AC6356" s="35"/>
      <c r="AD6356" s="35"/>
      <c r="AE6356" s="35"/>
      <c r="AF6356" s="35"/>
      <c r="AG6356" s="35"/>
      <c r="AH6356" s="35"/>
      <c r="AI6356" s="35"/>
      <c r="AJ6356" s="35"/>
      <c r="AK6356" s="35"/>
      <c r="AL6356" s="35"/>
    </row>
    <row r="6357">
      <c r="A6357" s="133"/>
      <c r="B6357" s="157" t="s">
        <v>4400</v>
      </c>
      <c r="C6357" s="158" t="s">
        <v>2073</v>
      </c>
      <c r="D6357" s="159"/>
      <c r="E6357" s="57" t="s">
        <v>4614</v>
      </c>
      <c r="F6357" s="22" t="s">
        <v>2795</v>
      </c>
      <c r="G6357" s="23">
        <v>2015.0</v>
      </c>
      <c r="H6357" s="57" t="s">
        <v>627</v>
      </c>
      <c r="I6357" s="134" t="s">
        <v>29876</v>
      </c>
      <c r="J6357" s="22" t="s">
        <v>29877</v>
      </c>
      <c r="K6357" s="96"/>
      <c r="L6357" s="36">
        <v>800.0</v>
      </c>
      <c r="M6357" s="36"/>
      <c r="N6357" s="107"/>
      <c r="O6357" s="107"/>
      <c r="P6357" s="109"/>
      <c r="Q6357" s="36"/>
      <c r="R6357" s="107"/>
      <c r="S6357" s="107"/>
      <c r="T6357" s="83" t="s">
        <v>29878</v>
      </c>
      <c r="U6357" s="312" t="str">
        <f>HYPERLINK("https://www.ncbi.nlm.nih.gov/pubmed/26039354","PubMed")</f>
        <v>PubMed</v>
      </c>
      <c r="V6357" s="139"/>
      <c r="W6357" s="49"/>
      <c r="X6357" s="49"/>
      <c r="Y6357" s="35"/>
      <c r="Z6357" s="35"/>
      <c r="AA6357" s="35"/>
      <c r="AB6357" s="35"/>
      <c r="AC6357" s="35"/>
      <c r="AD6357" s="35"/>
      <c r="AE6357" s="35"/>
      <c r="AF6357" s="35"/>
      <c r="AG6357" s="35"/>
      <c r="AH6357" s="35"/>
      <c r="AI6357" s="35"/>
      <c r="AJ6357" s="35"/>
      <c r="AK6357" s="35"/>
      <c r="AL6357" s="35"/>
    </row>
    <row r="6358">
      <c r="A6358" s="18" t="s">
        <v>181</v>
      </c>
      <c r="B6358" s="157" t="s">
        <v>4400</v>
      </c>
      <c r="C6358" s="158" t="s">
        <v>2073</v>
      </c>
      <c r="D6358" s="159"/>
      <c r="E6358" s="403" t="s">
        <v>29879</v>
      </c>
      <c r="F6358" s="22" t="s">
        <v>3047</v>
      </c>
      <c r="G6358" s="23">
        <v>2014.0</v>
      </c>
      <c r="H6358" s="57" t="s">
        <v>1000</v>
      </c>
      <c r="I6358" s="134" t="s">
        <v>29880</v>
      </c>
      <c r="J6358" s="22" t="s">
        <v>1773</v>
      </c>
      <c r="K6358" s="96"/>
      <c r="L6358" s="36" t="s">
        <v>29881</v>
      </c>
      <c r="M6358" s="107"/>
      <c r="N6358" s="107"/>
      <c r="O6358" s="107"/>
      <c r="P6358" s="109"/>
      <c r="Q6358" s="107"/>
      <c r="R6358" s="107"/>
      <c r="S6358" s="107"/>
      <c r="T6358" s="83" t="s">
        <v>29882</v>
      </c>
      <c r="U6358" s="38" t="str">
        <f>HYPERLINK("https://www.hindawi.com/journals/ijp/2014/268354/#B8","Hindawi")</f>
        <v>Hindawi</v>
      </c>
      <c r="V6358" s="139"/>
      <c r="W6358" s="49"/>
      <c r="X6358" s="49"/>
      <c r="Y6358" s="35"/>
      <c r="Z6358" s="35"/>
      <c r="AA6358" s="35"/>
      <c r="AB6358" s="35"/>
      <c r="AC6358" s="35"/>
      <c r="AD6358" s="35"/>
      <c r="AE6358" s="35"/>
      <c r="AF6358" s="35"/>
      <c r="AG6358" s="35"/>
      <c r="AH6358" s="35"/>
      <c r="AI6358" s="35"/>
      <c r="AJ6358" s="35"/>
      <c r="AK6358" s="35"/>
      <c r="AL6358" s="35"/>
    </row>
    <row r="6359">
      <c r="A6359" s="133"/>
      <c r="B6359" s="157" t="s">
        <v>4400</v>
      </c>
      <c r="C6359" s="158" t="s">
        <v>2073</v>
      </c>
      <c r="D6359" s="159"/>
      <c r="E6359" s="403" t="s">
        <v>29883</v>
      </c>
      <c r="F6359" s="22" t="s">
        <v>10202</v>
      </c>
      <c r="G6359" s="23">
        <v>2011.0</v>
      </c>
      <c r="H6359" s="57" t="s">
        <v>627</v>
      </c>
      <c r="I6359" s="134" t="s">
        <v>29884</v>
      </c>
      <c r="J6359" s="22"/>
      <c r="K6359" s="96"/>
      <c r="L6359" s="36" t="s">
        <v>1773</v>
      </c>
      <c r="M6359" s="107"/>
      <c r="N6359" s="107"/>
      <c r="O6359" s="107"/>
      <c r="P6359" s="109"/>
      <c r="Q6359" s="107"/>
      <c r="R6359" s="107"/>
      <c r="S6359" s="107"/>
      <c r="T6359" s="83" t="s">
        <v>29885</v>
      </c>
      <c r="U6359" s="38" t="str">
        <f>HYPERLINK("https://www.ncbi.nlm.nih.gov/pubmed/22039475","PubMed")</f>
        <v>PubMed</v>
      </c>
      <c r="V6359" s="139"/>
      <c r="W6359" s="49"/>
      <c r="X6359" s="49"/>
      <c r="Y6359" s="35"/>
      <c r="Z6359" s="35"/>
      <c r="AA6359" s="35"/>
      <c r="AB6359" s="35"/>
      <c r="AC6359" s="35"/>
      <c r="AD6359" s="35"/>
      <c r="AE6359" s="35"/>
      <c r="AF6359" s="35"/>
      <c r="AG6359" s="35"/>
      <c r="AH6359" s="35"/>
      <c r="AI6359" s="35"/>
      <c r="AJ6359" s="35"/>
      <c r="AK6359" s="35"/>
      <c r="AL6359" s="35"/>
    </row>
    <row r="6360">
      <c r="A6360" s="133"/>
      <c r="B6360" s="157" t="s">
        <v>4400</v>
      </c>
      <c r="C6360" s="158" t="s">
        <v>2073</v>
      </c>
      <c r="D6360" s="159"/>
      <c r="E6360" s="403" t="s">
        <v>22264</v>
      </c>
      <c r="F6360" s="22" t="s">
        <v>2407</v>
      </c>
      <c r="G6360" s="23">
        <v>2002.0</v>
      </c>
      <c r="H6360" s="57" t="s">
        <v>29834</v>
      </c>
      <c r="I6360" s="134" t="s">
        <v>29886</v>
      </c>
      <c r="J6360" s="22" t="s">
        <v>29887</v>
      </c>
      <c r="K6360" s="96"/>
      <c r="L6360" s="36" t="s">
        <v>29888</v>
      </c>
      <c r="M6360" s="107"/>
      <c r="N6360" s="107"/>
      <c r="O6360" s="107"/>
      <c r="P6360" s="109"/>
      <c r="Q6360" s="107"/>
      <c r="R6360" s="107"/>
      <c r="S6360" s="107"/>
      <c r="T6360" s="83" t="s">
        <v>29889</v>
      </c>
      <c r="U6360" s="38" t="str">
        <f>HYPERLINK("https://www.ncbi.nlm.nih.gov/pubmed/12118601","PubMed")</f>
        <v>PubMed</v>
      </c>
      <c r="V6360" s="139"/>
      <c r="W6360" s="49"/>
      <c r="X6360" s="49"/>
      <c r="Y6360" s="35"/>
      <c r="Z6360" s="35"/>
      <c r="AA6360" s="35"/>
      <c r="AB6360" s="35"/>
      <c r="AC6360" s="35"/>
      <c r="AD6360" s="35"/>
      <c r="AE6360" s="35"/>
      <c r="AF6360" s="35"/>
      <c r="AG6360" s="35"/>
      <c r="AH6360" s="35"/>
      <c r="AI6360" s="35"/>
      <c r="AJ6360" s="35"/>
      <c r="AK6360" s="35"/>
      <c r="AL6360" s="35"/>
    </row>
    <row r="6361">
      <c r="A6361" s="133"/>
      <c r="B6361" s="157" t="s">
        <v>4400</v>
      </c>
      <c r="C6361" s="158" t="s">
        <v>29890</v>
      </c>
      <c r="D6361" s="159"/>
      <c r="E6361" s="57" t="s">
        <v>29891</v>
      </c>
      <c r="F6361" s="22" t="s">
        <v>19477</v>
      </c>
      <c r="G6361" s="23">
        <v>2024.0</v>
      </c>
      <c r="H6361" s="57" t="s">
        <v>29892</v>
      </c>
      <c r="I6361" s="134" t="s">
        <v>29893</v>
      </c>
      <c r="J6361" s="22" t="s">
        <v>29894</v>
      </c>
      <c r="K6361" s="96"/>
      <c r="L6361" s="36">
        <v>830.0</v>
      </c>
      <c r="M6361" s="36"/>
      <c r="N6361" s="107"/>
      <c r="O6361" s="107"/>
      <c r="P6361" s="109"/>
      <c r="Q6361" s="36"/>
      <c r="R6361" s="107"/>
      <c r="S6361" s="107"/>
      <c r="T6361" s="83" t="s">
        <v>29895</v>
      </c>
      <c r="U6361" s="255" t="s">
        <v>61</v>
      </c>
      <c r="V6361" s="139"/>
      <c r="W6361" s="49"/>
      <c r="X6361" s="49"/>
      <c r="Y6361" s="35"/>
      <c r="Z6361" s="35"/>
      <c r="AA6361" s="35"/>
      <c r="AB6361" s="35"/>
      <c r="AC6361" s="35"/>
      <c r="AD6361" s="35"/>
      <c r="AE6361" s="35"/>
      <c r="AF6361" s="35"/>
      <c r="AG6361" s="35"/>
      <c r="AH6361" s="35"/>
      <c r="AI6361" s="35"/>
      <c r="AJ6361" s="35"/>
      <c r="AK6361" s="35"/>
      <c r="AL6361" s="35"/>
    </row>
    <row r="6362">
      <c r="A6362" s="133"/>
      <c r="B6362" s="157" t="s">
        <v>4400</v>
      </c>
      <c r="C6362" s="158" t="s">
        <v>29896</v>
      </c>
      <c r="D6362" s="159"/>
      <c r="E6362" s="57" t="s">
        <v>20196</v>
      </c>
      <c r="F6362" s="22" t="s">
        <v>4448</v>
      </c>
      <c r="G6362" s="23">
        <v>2024.0</v>
      </c>
      <c r="H6362" s="57" t="s">
        <v>1485</v>
      </c>
      <c r="I6362" s="134" t="s">
        <v>29897</v>
      </c>
      <c r="J6362" s="22"/>
      <c r="K6362" s="96"/>
      <c r="L6362" s="36"/>
      <c r="M6362" s="36"/>
      <c r="N6362" s="107"/>
      <c r="O6362" s="107"/>
      <c r="P6362" s="109"/>
      <c r="Q6362" s="36"/>
      <c r="R6362" s="107"/>
      <c r="S6362" s="107"/>
      <c r="T6362" s="83" t="s">
        <v>29898</v>
      </c>
      <c r="U6362" s="255" t="s">
        <v>61</v>
      </c>
      <c r="V6362" s="139"/>
      <c r="W6362" s="49"/>
      <c r="X6362" s="49"/>
      <c r="Y6362" s="35"/>
      <c r="Z6362" s="35"/>
      <c r="AA6362" s="35"/>
      <c r="AB6362" s="35"/>
      <c r="AC6362" s="35"/>
      <c r="AD6362" s="35"/>
      <c r="AE6362" s="35"/>
      <c r="AF6362" s="35"/>
      <c r="AG6362" s="35"/>
      <c r="AH6362" s="35"/>
      <c r="AI6362" s="35"/>
      <c r="AJ6362" s="35"/>
      <c r="AK6362" s="35"/>
      <c r="AL6362" s="35"/>
    </row>
    <row r="6363">
      <c r="A6363" s="133"/>
      <c r="B6363" s="157" t="s">
        <v>4400</v>
      </c>
      <c r="C6363" s="158" t="s">
        <v>29896</v>
      </c>
      <c r="D6363" s="159"/>
      <c r="E6363" s="57" t="s">
        <v>8682</v>
      </c>
      <c r="F6363" s="22" t="s">
        <v>1773</v>
      </c>
      <c r="G6363" s="23">
        <v>2018.0</v>
      </c>
      <c r="H6363" s="57" t="s">
        <v>19693</v>
      </c>
      <c r="I6363" s="134" t="s">
        <v>29899</v>
      </c>
      <c r="J6363" s="22"/>
      <c r="K6363" s="96"/>
      <c r="L6363" s="36">
        <v>808.0</v>
      </c>
      <c r="M6363" s="36"/>
      <c r="N6363" s="107"/>
      <c r="O6363" s="107"/>
      <c r="P6363" s="109"/>
      <c r="Q6363" s="36"/>
      <c r="R6363" s="107"/>
      <c r="S6363" s="107"/>
      <c r="T6363" s="83" t="s">
        <v>29900</v>
      </c>
      <c r="U6363" s="312" t="str">
        <f>HYPERLINK("https://www.ncbi.nlm.nih.gov/pubmed/29935726","PubMed")</f>
        <v>PubMed</v>
      </c>
      <c r="V6363" s="139"/>
      <c r="W6363" s="49"/>
      <c r="X6363" s="49"/>
      <c r="Y6363" s="35"/>
      <c r="Z6363" s="35"/>
      <c r="AA6363" s="35"/>
      <c r="AB6363" s="35"/>
      <c r="AC6363" s="35"/>
      <c r="AD6363" s="35"/>
      <c r="AE6363" s="35"/>
      <c r="AF6363" s="35"/>
      <c r="AG6363" s="35"/>
      <c r="AH6363" s="35"/>
      <c r="AI6363" s="35"/>
      <c r="AJ6363" s="35"/>
      <c r="AK6363" s="35"/>
      <c r="AL6363" s="35"/>
    </row>
    <row r="6364">
      <c r="A6364" s="133"/>
      <c r="B6364" s="157" t="s">
        <v>4400</v>
      </c>
      <c r="C6364" s="158" t="s">
        <v>29901</v>
      </c>
      <c r="D6364" s="159"/>
      <c r="E6364" s="403" t="s">
        <v>29902</v>
      </c>
      <c r="F6364" s="22" t="s">
        <v>29903</v>
      </c>
      <c r="G6364" s="23">
        <v>2023.0</v>
      </c>
      <c r="H6364" s="57" t="s">
        <v>29904</v>
      </c>
      <c r="I6364" s="134" t="s">
        <v>29905</v>
      </c>
      <c r="J6364" s="22" t="s">
        <v>2049</v>
      </c>
      <c r="K6364" s="23"/>
      <c r="L6364" s="36"/>
      <c r="M6364" s="36"/>
      <c r="N6364" s="107"/>
      <c r="O6364" s="107"/>
      <c r="P6364" s="109"/>
      <c r="Q6364" s="107"/>
      <c r="R6364" s="107"/>
      <c r="S6364" s="107"/>
      <c r="T6364" s="28" t="s">
        <v>29906</v>
      </c>
      <c r="U6364" s="38" t="s">
        <v>61</v>
      </c>
      <c r="V6364" s="139"/>
      <c r="W6364" s="49"/>
      <c r="X6364" s="49"/>
      <c r="Y6364" s="35"/>
      <c r="Z6364" s="35"/>
      <c r="AA6364" s="35"/>
      <c r="AB6364" s="35"/>
      <c r="AC6364" s="35"/>
      <c r="AD6364" s="35"/>
      <c r="AE6364" s="35"/>
      <c r="AF6364" s="35"/>
      <c r="AG6364" s="35"/>
      <c r="AH6364" s="35"/>
      <c r="AI6364" s="35"/>
      <c r="AJ6364" s="35"/>
      <c r="AK6364" s="35"/>
      <c r="AL6364" s="35"/>
    </row>
    <row r="6365">
      <c r="A6365" s="133"/>
      <c r="B6365" s="157" t="s">
        <v>4400</v>
      </c>
      <c r="C6365" s="158" t="s">
        <v>29901</v>
      </c>
      <c r="D6365" s="159"/>
      <c r="E6365" s="403" t="s">
        <v>29907</v>
      </c>
      <c r="F6365" s="22" t="s">
        <v>6349</v>
      </c>
      <c r="G6365" s="23">
        <v>2020.0</v>
      </c>
      <c r="H6365" s="57" t="s">
        <v>29908</v>
      </c>
      <c r="I6365" s="134" t="s">
        <v>29909</v>
      </c>
      <c r="J6365" s="22" t="s">
        <v>2049</v>
      </c>
      <c r="K6365" s="23"/>
      <c r="L6365" s="36"/>
      <c r="M6365" s="36"/>
      <c r="N6365" s="107"/>
      <c r="O6365" s="107"/>
      <c r="P6365" s="109"/>
      <c r="Q6365" s="107"/>
      <c r="R6365" s="107"/>
      <c r="S6365" s="107"/>
      <c r="T6365" s="28" t="s">
        <v>29910</v>
      </c>
      <c r="U6365" s="38" t="str">
        <f>HYPERLINK("https://www.ncbi.nlm.nih.gov/pubmed/32255908","PubMed")</f>
        <v>PubMed</v>
      </c>
      <c r="V6365" s="139"/>
      <c r="W6365" s="49"/>
      <c r="X6365" s="49"/>
      <c r="Y6365" s="35"/>
      <c r="Z6365" s="35"/>
      <c r="AA6365" s="35"/>
      <c r="AB6365" s="35"/>
      <c r="AC6365" s="35"/>
      <c r="AD6365" s="35"/>
      <c r="AE6365" s="35"/>
      <c r="AF6365" s="35"/>
      <c r="AG6365" s="35"/>
      <c r="AH6365" s="35"/>
      <c r="AI6365" s="35"/>
      <c r="AJ6365" s="35"/>
      <c r="AK6365" s="35"/>
      <c r="AL6365" s="35"/>
    </row>
    <row r="6366">
      <c r="A6366" s="133"/>
      <c r="B6366" s="157" t="s">
        <v>4400</v>
      </c>
      <c r="C6366" s="158" t="s">
        <v>29911</v>
      </c>
      <c r="D6366" s="159"/>
      <c r="E6366" s="403" t="s">
        <v>29912</v>
      </c>
      <c r="F6366" s="22" t="s">
        <v>490</v>
      </c>
      <c r="G6366" s="23">
        <v>2020.0</v>
      </c>
      <c r="H6366" s="57" t="s">
        <v>29108</v>
      </c>
      <c r="I6366" s="134" t="s">
        <v>29913</v>
      </c>
      <c r="J6366" s="22"/>
      <c r="K6366" s="23"/>
      <c r="L6366" s="36" t="s">
        <v>29914</v>
      </c>
      <c r="M6366" s="36"/>
      <c r="N6366" s="107"/>
      <c r="O6366" s="107"/>
      <c r="P6366" s="109"/>
      <c r="Q6366" s="107"/>
      <c r="R6366" s="107"/>
      <c r="S6366" s="107"/>
      <c r="T6366" s="28" t="s">
        <v>29915</v>
      </c>
      <c r="U6366" s="38" t="str">
        <f>HYPERLINK("https://www.ncbi.nlm.nih.gov/pubmed/31952636","PubMed")</f>
        <v>PubMed</v>
      </c>
      <c r="V6366" s="139"/>
      <c r="W6366" s="49"/>
      <c r="X6366" s="49"/>
      <c r="Y6366" s="35"/>
      <c r="Z6366" s="35"/>
      <c r="AA6366" s="35"/>
      <c r="AB6366" s="35"/>
      <c r="AC6366" s="35"/>
      <c r="AD6366" s="35"/>
      <c r="AE6366" s="35"/>
      <c r="AF6366" s="35"/>
      <c r="AG6366" s="35"/>
      <c r="AH6366" s="35"/>
      <c r="AI6366" s="35"/>
      <c r="AJ6366" s="35"/>
      <c r="AK6366" s="35"/>
      <c r="AL6366" s="35"/>
    </row>
    <row r="6367">
      <c r="A6367" s="133"/>
      <c r="B6367" s="157" t="s">
        <v>4400</v>
      </c>
      <c r="C6367" s="158" t="s">
        <v>29911</v>
      </c>
      <c r="D6367" s="159"/>
      <c r="E6367" s="403" t="s">
        <v>29916</v>
      </c>
      <c r="F6367" s="22" t="s">
        <v>29917</v>
      </c>
      <c r="G6367" s="23">
        <v>2016.0</v>
      </c>
      <c r="H6367" s="57" t="s">
        <v>2047</v>
      </c>
      <c r="I6367" s="134" t="s">
        <v>29918</v>
      </c>
      <c r="J6367" s="22"/>
      <c r="K6367" s="23"/>
      <c r="L6367" s="36" t="s">
        <v>29919</v>
      </c>
      <c r="M6367" s="36"/>
      <c r="N6367" s="107"/>
      <c r="O6367" s="107"/>
      <c r="P6367" s="109"/>
      <c r="Q6367" s="107"/>
      <c r="R6367" s="107"/>
      <c r="S6367" s="107"/>
      <c r="T6367" s="28" t="s">
        <v>29920</v>
      </c>
      <c r="U6367" s="29" t="s">
        <v>61</v>
      </c>
      <c r="V6367" s="139"/>
      <c r="W6367" s="49"/>
      <c r="X6367" s="49"/>
      <c r="Y6367" s="35"/>
      <c r="Z6367" s="35"/>
      <c r="AA6367" s="35"/>
      <c r="AB6367" s="35"/>
      <c r="AC6367" s="35"/>
      <c r="AD6367" s="35"/>
      <c r="AE6367" s="35"/>
      <c r="AF6367" s="35"/>
      <c r="AG6367" s="35"/>
      <c r="AH6367" s="35"/>
      <c r="AI6367" s="35"/>
      <c r="AJ6367" s="35"/>
      <c r="AK6367" s="35"/>
      <c r="AL6367" s="35"/>
    </row>
    <row r="6368">
      <c r="A6368" s="133"/>
      <c r="B6368" s="157" t="s">
        <v>4400</v>
      </c>
      <c r="C6368" s="158" t="s">
        <v>29921</v>
      </c>
      <c r="D6368" s="159"/>
      <c r="E6368" s="403" t="s">
        <v>29480</v>
      </c>
      <c r="F6368" s="22" t="s">
        <v>41</v>
      </c>
      <c r="G6368" s="23">
        <v>2018.0</v>
      </c>
      <c r="H6368" s="57" t="s">
        <v>1485</v>
      </c>
      <c r="I6368" s="134" t="s">
        <v>29922</v>
      </c>
      <c r="J6368" s="22" t="s">
        <v>3053</v>
      </c>
      <c r="K6368" s="23" t="s">
        <v>29921</v>
      </c>
      <c r="L6368" s="36">
        <v>660.0</v>
      </c>
      <c r="M6368" s="36">
        <v>100.0</v>
      </c>
      <c r="N6368" s="107"/>
      <c r="O6368" s="107"/>
      <c r="P6368" s="109"/>
      <c r="Q6368" s="107"/>
      <c r="R6368" s="107"/>
      <c r="S6368" s="107"/>
      <c r="T6368" s="28" t="s">
        <v>29923</v>
      </c>
      <c r="U6368" s="38" t="str">
        <f>HYPERLINK("https://www.ncbi.nlm.nih.gov/pubmed/29807147","PubMed")</f>
        <v>PubMed</v>
      </c>
      <c r="V6368" s="139"/>
      <c r="W6368" s="49"/>
      <c r="X6368" s="49"/>
      <c r="Y6368" s="35"/>
      <c r="Z6368" s="35"/>
      <c r="AA6368" s="35"/>
      <c r="AB6368" s="35"/>
      <c r="AC6368" s="35"/>
      <c r="AD6368" s="35"/>
      <c r="AE6368" s="35"/>
      <c r="AF6368" s="35"/>
      <c r="AG6368" s="35"/>
      <c r="AH6368" s="35"/>
      <c r="AI6368" s="35"/>
      <c r="AJ6368" s="35"/>
      <c r="AK6368" s="35"/>
      <c r="AL6368" s="35"/>
    </row>
    <row r="6369">
      <c r="A6369" s="133"/>
      <c r="B6369" s="157" t="s">
        <v>4400</v>
      </c>
      <c r="C6369" s="158" t="s">
        <v>13147</v>
      </c>
      <c r="D6369" s="159"/>
      <c r="E6369" s="113" t="s">
        <v>29924</v>
      </c>
      <c r="F6369" s="113" t="s">
        <v>5157</v>
      </c>
      <c r="G6369" s="113">
        <v>2023.0</v>
      </c>
      <c r="H6369" s="113" t="s">
        <v>42</v>
      </c>
      <c r="I6369" s="114" t="s">
        <v>29925</v>
      </c>
      <c r="J6369" s="22"/>
      <c r="K6369" s="96"/>
      <c r="L6369" s="36"/>
      <c r="M6369" s="36"/>
      <c r="N6369" s="107"/>
      <c r="O6369" s="107"/>
      <c r="P6369" s="109"/>
      <c r="Q6369" s="36"/>
      <c r="R6369" s="107"/>
      <c r="S6369" s="107"/>
      <c r="T6369" s="83" t="s">
        <v>29926</v>
      </c>
      <c r="U6369" s="255" t="s">
        <v>61</v>
      </c>
      <c r="V6369" s="139"/>
      <c r="W6369" s="49"/>
      <c r="X6369" s="49"/>
      <c r="Y6369" s="35"/>
      <c r="Z6369" s="35"/>
      <c r="AA6369" s="35"/>
      <c r="AB6369" s="35"/>
      <c r="AC6369" s="35"/>
      <c r="AD6369" s="35"/>
      <c r="AE6369" s="35"/>
      <c r="AF6369" s="35"/>
      <c r="AG6369" s="35"/>
      <c r="AH6369" s="35"/>
      <c r="AI6369" s="35"/>
      <c r="AJ6369" s="35"/>
      <c r="AK6369" s="35"/>
      <c r="AL6369" s="35"/>
    </row>
    <row r="6370">
      <c r="A6370" s="133"/>
      <c r="B6370" s="157" t="s">
        <v>4400</v>
      </c>
      <c r="C6370" s="158" t="s">
        <v>13147</v>
      </c>
      <c r="D6370" s="159"/>
      <c r="E6370" s="115" t="s">
        <v>4410</v>
      </c>
      <c r="F6370" s="115" t="s">
        <v>4296</v>
      </c>
      <c r="G6370" s="115">
        <v>2023.0</v>
      </c>
      <c r="H6370" s="115" t="s">
        <v>2479</v>
      </c>
      <c r="I6370" s="120" t="s">
        <v>29927</v>
      </c>
      <c r="J6370" s="22"/>
      <c r="K6370" s="96"/>
      <c r="L6370" s="36"/>
      <c r="M6370" s="36"/>
      <c r="N6370" s="107"/>
      <c r="O6370" s="107"/>
      <c r="P6370" s="109"/>
      <c r="Q6370" s="36"/>
      <c r="R6370" s="107"/>
      <c r="S6370" s="107"/>
      <c r="T6370" s="83" t="s">
        <v>29928</v>
      </c>
      <c r="U6370" s="255" t="s">
        <v>61</v>
      </c>
      <c r="V6370" s="139"/>
      <c r="W6370" s="49"/>
      <c r="X6370" s="49"/>
      <c r="Y6370" s="35"/>
      <c r="Z6370" s="35"/>
      <c r="AA6370" s="35"/>
      <c r="AB6370" s="35"/>
      <c r="AC6370" s="35"/>
      <c r="AD6370" s="35"/>
      <c r="AE6370" s="35"/>
      <c r="AF6370" s="35"/>
      <c r="AG6370" s="35"/>
      <c r="AH6370" s="35"/>
      <c r="AI6370" s="35"/>
      <c r="AJ6370" s="35"/>
      <c r="AK6370" s="35"/>
      <c r="AL6370" s="35"/>
    </row>
    <row r="6371">
      <c r="A6371" s="133"/>
      <c r="B6371" s="157" t="s">
        <v>4400</v>
      </c>
      <c r="C6371" s="158" t="s">
        <v>29929</v>
      </c>
      <c r="D6371" s="159"/>
      <c r="E6371" s="57" t="s">
        <v>3827</v>
      </c>
      <c r="F6371" s="22" t="s">
        <v>41</v>
      </c>
      <c r="G6371" s="23">
        <v>2021.0</v>
      </c>
      <c r="H6371" s="57" t="s">
        <v>17926</v>
      </c>
      <c r="I6371" s="134" t="s">
        <v>29930</v>
      </c>
      <c r="J6371" s="22"/>
      <c r="K6371" s="96"/>
      <c r="L6371" s="36"/>
      <c r="M6371" s="36"/>
      <c r="N6371" s="107"/>
      <c r="O6371" s="107"/>
      <c r="P6371" s="109"/>
      <c r="Q6371" s="36"/>
      <c r="R6371" s="107"/>
      <c r="S6371" s="107"/>
      <c r="T6371" s="83" t="s">
        <v>29931</v>
      </c>
      <c r="U6371" s="248" t="s">
        <v>61</v>
      </c>
      <c r="V6371" s="139"/>
      <c r="W6371" s="49"/>
      <c r="X6371" s="49"/>
      <c r="Y6371" s="35"/>
      <c r="Z6371" s="35"/>
      <c r="AA6371" s="35"/>
      <c r="AB6371" s="35"/>
      <c r="AC6371" s="35"/>
      <c r="AD6371" s="35"/>
      <c r="AE6371" s="35"/>
      <c r="AF6371" s="35"/>
      <c r="AG6371" s="35"/>
      <c r="AH6371" s="35"/>
      <c r="AI6371" s="35"/>
      <c r="AJ6371" s="35"/>
      <c r="AK6371" s="35"/>
      <c r="AL6371" s="35"/>
    </row>
    <row r="6372">
      <c r="A6372" s="133"/>
      <c r="B6372" s="157" t="s">
        <v>4400</v>
      </c>
      <c r="C6372" s="158" t="s">
        <v>29929</v>
      </c>
      <c r="D6372" s="159"/>
      <c r="E6372" s="57" t="s">
        <v>29932</v>
      </c>
      <c r="F6372" s="22" t="s">
        <v>19546</v>
      </c>
      <c r="G6372" s="23">
        <v>2018.0</v>
      </c>
      <c r="H6372" s="57" t="s">
        <v>91</v>
      </c>
      <c r="I6372" s="134" t="s">
        <v>29933</v>
      </c>
      <c r="J6372" s="22"/>
      <c r="K6372" s="96"/>
      <c r="L6372" s="36" t="s">
        <v>5357</v>
      </c>
      <c r="M6372" s="36"/>
      <c r="N6372" s="107"/>
      <c r="O6372" s="107"/>
      <c r="P6372" s="109"/>
      <c r="Q6372" s="36"/>
      <c r="R6372" s="107"/>
      <c r="S6372" s="107"/>
      <c r="T6372" s="83" t="s">
        <v>29934</v>
      </c>
      <c r="U6372" s="312" t="str">
        <f>HYPERLINK("https://www.ncbi.nlm.nih.gov/pubmed/29611063","PubMed")</f>
        <v>PubMed</v>
      </c>
      <c r="V6372" s="139"/>
      <c r="W6372" s="49"/>
      <c r="X6372" s="49"/>
      <c r="Y6372" s="35"/>
      <c r="Z6372" s="35"/>
      <c r="AA6372" s="35"/>
      <c r="AB6372" s="35"/>
      <c r="AC6372" s="35"/>
      <c r="AD6372" s="35"/>
      <c r="AE6372" s="35"/>
      <c r="AF6372" s="35"/>
      <c r="AG6372" s="35"/>
      <c r="AH6372" s="35"/>
      <c r="AI6372" s="35"/>
      <c r="AJ6372" s="35"/>
      <c r="AK6372" s="35"/>
      <c r="AL6372" s="35"/>
    </row>
    <row r="6373">
      <c r="A6373" s="133"/>
      <c r="B6373" s="157" t="s">
        <v>4400</v>
      </c>
      <c r="C6373" s="158" t="s">
        <v>29929</v>
      </c>
      <c r="D6373" s="159"/>
      <c r="E6373" s="57" t="s">
        <v>9152</v>
      </c>
      <c r="F6373" s="22" t="s">
        <v>358</v>
      </c>
      <c r="G6373" s="23">
        <v>2010.0</v>
      </c>
      <c r="H6373" s="57" t="s">
        <v>658</v>
      </c>
      <c r="I6373" s="134" t="s">
        <v>29935</v>
      </c>
      <c r="J6373" s="22"/>
      <c r="K6373" s="96"/>
      <c r="L6373" s="36" t="s">
        <v>15619</v>
      </c>
      <c r="M6373" s="36" t="s">
        <v>29936</v>
      </c>
      <c r="N6373" s="107"/>
      <c r="O6373" s="107"/>
      <c r="P6373" s="109"/>
      <c r="Q6373" s="36"/>
      <c r="R6373" s="107"/>
      <c r="S6373" s="107"/>
      <c r="T6373" s="83" t="s">
        <v>29937</v>
      </c>
      <c r="U6373" s="312" t="str">
        <f>HYPERLINK("https://www.ncbi.nlm.nih.gov/pubmed/19817516","PubMed")</f>
        <v>PubMed</v>
      </c>
      <c r="V6373" s="139"/>
      <c r="W6373" s="49"/>
      <c r="X6373" s="49"/>
      <c r="Y6373" s="35"/>
      <c r="Z6373" s="35"/>
      <c r="AA6373" s="35"/>
      <c r="AB6373" s="35"/>
      <c r="AC6373" s="35"/>
      <c r="AD6373" s="35"/>
      <c r="AE6373" s="35"/>
      <c r="AF6373" s="35"/>
      <c r="AG6373" s="35"/>
      <c r="AH6373" s="35"/>
      <c r="AI6373" s="35"/>
      <c r="AJ6373" s="35"/>
      <c r="AK6373" s="35"/>
      <c r="AL6373" s="35"/>
    </row>
    <row r="6374">
      <c r="A6374" s="133"/>
      <c r="B6374" s="157" t="s">
        <v>4400</v>
      </c>
      <c r="C6374" s="158" t="s">
        <v>29929</v>
      </c>
      <c r="D6374" s="159"/>
      <c r="E6374" s="57" t="s">
        <v>29938</v>
      </c>
      <c r="F6374" s="22" t="s">
        <v>2445</v>
      </c>
      <c r="G6374" s="23">
        <v>2000.0</v>
      </c>
      <c r="H6374" s="57" t="s">
        <v>1289</v>
      </c>
      <c r="I6374" s="134" t="s">
        <v>29939</v>
      </c>
      <c r="J6374" s="22"/>
      <c r="K6374" s="96"/>
      <c r="L6374" s="36"/>
      <c r="M6374" s="36"/>
      <c r="N6374" s="107"/>
      <c r="O6374" s="107"/>
      <c r="P6374" s="109"/>
      <c r="Q6374" s="36"/>
      <c r="R6374" s="107"/>
      <c r="S6374" s="107"/>
      <c r="T6374" s="83" t="s">
        <v>29940</v>
      </c>
      <c r="U6374" s="312" t="str">
        <f>HYPERLINK("https://www.ncbi.nlm.nih.gov/pubmed/11572237","PubMed")</f>
        <v>PubMed</v>
      </c>
      <c r="V6374" s="139"/>
      <c r="W6374" s="49"/>
      <c r="X6374" s="49"/>
      <c r="Y6374" s="35"/>
      <c r="Z6374" s="35"/>
      <c r="AA6374" s="35"/>
      <c r="AB6374" s="35"/>
      <c r="AC6374" s="35"/>
      <c r="AD6374" s="35"/>
      <c r="AE6374" s="35"/>
      <c r="AF6374" s="35"/>
      <c r="AG6374" s="35"/>
      <c r="AH6374" s="35"/>
      <c r="AI6374" s="35"/>
      <c r="AJ6374" s="35"/>
      <c r="AK6374" s="35"/>
      <c r="AL6374" s="35"/>
    </row>
    <row r="6375">
      <c r="A6375" s="133"/>
      <c r="B6375" s="157" t="s">
        <v>4400</v>
      </c>
      <c r="C6375" s="158" t="s">
        <v>19332</v>
      </c>
      <c r="D6375" s="159"/>
      <c r="E6375" s="57" t="s">
        <v>22264</v>
      </c>
      <c r="F6375" s="22" t="s">
        <v>22265</v>
      </c>
      <c r="G6375" s="23">
        <v>2021.0</v>
      </c>
      <c r="H6375" s="57" t="s">
        <v>29941</v>
      </c>
      <c r="I6375" s="134" t="s">
        <v>29942</v>
      </c>
      <c r="J6375" s="22"/>
      <c r="K6375" s="22" t="s">
        <v>29943</v>
      </c>
      <c r="L6375" s="36">
        <v>850.0</v>
      </c>
      <c r="M6375" s="36"/>
      <c r="N6375" s="107"/>
      <c r="O6375" s="107"/>
      <c r="P6375" s="109"/>
      <c r="Q6375" s="36"/>
      <c r="R6375" s="107"/>
      <c r="S6375" s="107"/>
      <c r="T6375" s="83" t="s">
        <v>29944</v>
      </c>
      <c r="U6375" s="248"/>
      <c r="V6375" s="139"/>
      <c r="W6375" s="49"/>
      <c r="X6375" s="49"/>
      <c r="Y6375" s="35"/>
      <c r="Z6375" s="35"/>
      <c r="AA6375" s="35"/>
      <c r="AB6375" s="35"/>
      <c r="AC6375" s="35"/>
      <c r="AD6375" s="35"/>
      <c r="AE6375" s="35"/>
      <c r="AF6375" s="35"/>
      <c r="AG6375" s="35"/>
      <c r="AH6375" s="35"/>
      <c r="AI6375" s="35"/>
      <c r="AJ6375" s="35"/>
      <c r="AK6375" s="35"/>
      <c r="AL6375" s="35"/>
    </row>
    <row r="6376">
      <c r="A6376" s="133"/>
      <c r="B6376" s="157" t="s">
        <v>4400</v>
      </c>
      <c r="C6376" s="158" t="s">
        <v>29945</v>
      </c>
      <c r="D6376" s="159"/>
      <c r="E6376" s="57" t="s">
        <v>2207</v>
      </c>
      <c r="F6376" s="22" t="s">
        <v>206</v>
      </c>
      <c r="G6376" s="23">
        <v>2020.0</v>
      </c>
      <c r="H6376" s="57" t="s">
        <v>300</v>
      </c>
      <c r="I6376" s="134" t="s">
        <v>29946</v>
      </c>
      <c r="J6376" s="22"/>
      <c r="K6376" s="96"/>
      <c r="L6376" s="36" t="s">
        <v>5858</v>
      </c>
      <c r="M6376" s="36"/>
      <c r="N6376" s="107"/>
      <c r="O6376" s="107"/>
      <c r="P6376" s="109"/>
      <c r="Q6376" s="36"/>
      <c r="R6376" s="107"/>
      <c r="S6376" s="107"/>
      <c r="T6376" s="83" t="s">
        <v>29947</v>
      </c>
      <c r="U6376" s="248" t="s">
        <v>61</v>
      </c>
      <c r="V6376" s="139"/>
      <c r="W6376" s="49"/>
      <c r="X6376" s="49"/>
      <c r="Y6376" s="35"/>
      <c r="Z6376" s="35"/>
      <c r="AA6376" s="35"/>
      <c r="AB6376" s="35"/>
      <c r="AC6376" s="35"/>
      <c r="AD6376" s="35"/>
      <c r="AE6376" s="35"/>
      <c r="AF6376" s="35"/>
      <c r="AG6376" s="35"/>
      <c r="AH6376" s="35"/>
      <c r="AI6376" s="35"/>
      <c r="AJ6376" s="35"/>
      <c r="AK6376" s="35"/>
      <c r="AL6376" s="35"/>
    </row>
    <row r="6377">
      <c r="A6377" s="133"/>
      <c r="B6377" s="157" t="s">
        <v>4400</v>
      </c>
      <c r="C6377" s="158" t="s">
        <v>6783</v>
      </c>
      <c r="D6377" s="159"/>
      <c r="E6377" s="57" t="s">
        <v>29948</v>
      </c>
      <c r="F6377" s="22" t="s">
        <v>29949</v>
      </c>
      <c r="G6377" s="23">
        <v>1993.0</v>
      </c>
      <c r="H6377" s="57" t="s">
        <v>27732</v>
      </c>
      <c r="I6377" s="134" t="s">
        <v>29950</v>
      </c>
      <c r="J6377" s="22" t="s">
        <v>31</v>
      </c>
      <c r="K6377" s="96"/>
      <c r="L6377" s="36">
        <v>633.0</v>
      </c>
      <c r="M6377" s="36"/>
      <c r="N6377" s="107"/>
      <c r="O6377" s="107"/>
      <c r="P6377" s="109"/>
      <c r="Q6377" s="36"/>
      <c r="R6377" s="107"/>
      <c r="S6377" s="107"/>
      <c r="T6377" s="84" t="s">
        <v>29951</v>
      </c>
      <c r="U6377" s="312" t="str">
        <f>HYPERLINK("https://www.ncbi.nlm.nih.gov/pubmed/8098894","PubMed")</f>
        <v>PubMed</v>
      </c>
      <c r="V6377" s="139"/>
      <c r="W6377" s="49"/>
      <c r="X6377" s="49"/>
      <c r="Y6377" s="35"/>
      <c r="Z6377" s="35"/>
      <c r="AA6377" s="35"/>
      <c r="AB6377" s="35"/>
      <c r="AC6377" s="35"/>
      <c r="AD6377" s="35"/>
      <c r="AE6377" s="35"/>
      <c r="AF6377" s="35"/>
      <c r="AG6377" s="35"/>
      <c r="AH6377" s="35"/>
      <c r="AI6377" s="35"/>
      <c r="AJ6377" s="35"/>
      <c r="AK6377" s="35"/>
      <c r="AL6377" s="35"/>
    </row>
    <row r="6378">
      <c r="A6378" s="133"/>
      <c r="B6378" s="157" t="s">
        <v>4400</v>
      </c>
      <c r="C6378" s="158" t="s">
        <v>29952</v>
      </c>
      <c r="D6378" s="159"/>
      <c r="E6378" s="57" t="s">
        <v>29774</v>
      </c>
      <c r="F6378" s="22" t="s">
        <v>29775</v>
      </c>
      <c r="G6378" s="23">
        <v>2019.0</v>
      </c>
      <c r="H6378" s="57" t="s">
        <v>91</v>
      </c>
      <c r="I6378" s="134" t="s">
        <v>29953</v>
      </c>
      <c r="J6378" s="22" t="s">
        <v>29954</v>
      </c>
      <c r="K6378" s="96"/>
      <c r="L6378" s="36">
        <v>980.0</v>
      </c>
      <c r="M6378" s="36"/>
      <c r="N6378" s="107"/>
      <c r="O6378" s="107"/>
      <c r="P6378" s="109"/>
      <c r="Q6378" s="36"/>
      <c r="R6378" s="107"/>
      <c r="S6378" s="107"/>
      <c r="T6378" s="83"/>
      <c r="U6378" s="312" t="str">
        <f>HYPERLINK("https://www.ncbi.nlm.nih.gov/pubmed/30879228","PubMed")</f>
        <v>PubMed</v>
      </c>
      <c r="V6378" s="139"/>
      <c r="W6378" s="49"/>
      <c r="X6378" s="49"/>
      <c r="Y6378" s="35"/>
      <c r="Z6378" s="35"/>
      <c r="AA6378" s="35"/>
      <c r="AB6378" s="35"/>
      <c r="AC6378" s="35"/>
      <c r="AD6378" s="35"/>
      <c r="AE6378" s="35"/>
      <c r="AF6378" s="35"/>
      <c r="AG6378" s="35"/>
      <c r="AH6378" s="35"/>
      <c r="AI6378" s="35"/>
      <c r="AJ6378" s="35"/>
      <c r="AK6378" s="35"/>
      <c r="AL6378" s="35"/>
    </row>
    <row r="6379">
      <c r="A6379" s="133"/>
      <c r="B6379" s="157" t="s">
        <v>4400</v>
      </c>
      <c r="C6379" s="158" t="s">
        <v>18422</v>
      </c>
      <c r="D6379" s="159"/>
      <c r="E6379" s="403" t="s">
        <v>29955</v>
      </c>
      <c r="F6379" s="22" t="s">
        <v>29956</v>
      </c>
      <c r="G6379" s="23">
        <v>2020.0</v>
      </c>
      <c r="H6379" s="57" t="s">
        <v>77</v>
      </c>
      <c r="I6379" s="134" t="s">
        <v>29957</v>
      </c>
      <c r="J6379" s="22"/>
      <c r="K6379" s="23"/>
      <c r="L6379" s="36">
        <v>810.0</v>
      </c>
      <c r="M6379" s="36"/>
      <c r="N6379" s="107"/>
      <c r="O6379" s="107"/>
      <c r="P6379" s="109"/>
      <c r="Q6379" s="107"/>
      <c r="R6379" s="107"/>
      <c r="S6379" s="107"/>
      <c r="T6379" s="28" t="s">
        <v>29958</v>
      </c>
      <c r="U6379" s="29" t="s">
        <v>61</v>
      </c>
      <c r="V6379" s="139"/>
      <c r="W6379" s="49"/>
      <c r="X6379" s="49"/>
      <c r="Y6379" s="35"/>
      <c r="Z6379" s="35"/>
      <c r="AA6379" s="35"/>
      <c r="AB6379" s="35"/>
      <c r="AC6379" s="35"/>
      <c r="AD6379" s="35"/>
      <c r="AE6379" s="35"/>
      <c r="AF6379" s="35"/>
      <c r="AG6379" s="35"/>
      <c r="AH6379" s="35"/>
      <c r="AI6379" s="35"/>
      <c r="AJ6379" s="35"/>
      <c r="AK6379" s="35"/>
      <c r="AL6379" s="35"/>
    </row>
    <row r="6380">
      <c r="A6380" s="133"/>
      <c r="B6380" s="157" t="s">
        <v>4400</v>
      </c>
      <c r="C6380" s="158" t="s">
        <v>18422</v>
      </c>
      <c r="D6380" s="159"/>
      <c r="E6380" s="57" t="s">
        <v>29955</v>
      </c>
      <c r="F6380" s="22" t="s">
        <v>29956</v>
      </c>
      <c r="G6380" s="23">
        <v>2018.0</v>
      </c>
      <c r="H6380" s="57" t="s">
        <v>29959</v>
      </c>
      <c r="I6380" s="134" t="s">
        <v>29960</v>
      </c>
      <c r="J6380" s="22"/>
      <c r="K6380" s="96"/>
      <c r="L6380" s="36" t="s">
        <v>29961</v>
      </c>
      <c r="M6380" s="36"/>
      <c r="N6380" s="107"/>
      <c r="O6380" s="107"/>
      <c r="P6380" s="109"/>
      <c r="Q6380" s="36"/>
      <c r="R6380" s="107"/>
      <c r="S6380" s="107"/>
      <c r="T6380" s="83" t="s">
        <v>29962</v>
      </c>
      <c r="U6380" s="312" t="str">
        <f>HYPERLINK("https://www.ncbi.nlm.nih.gov/pubmed/29967691","PubMed")</f>
        <v>PubMed</v>
      </c>
      <c r="V6380" s="139"/>
      <c r="W6380" s="49"/>
      <c r="X6380" s="49"/>
      <c r="Y6380" s="35"/>
      <c r="Z6380" s="35"/>
      <c r="AA6380" s="35"/>
      <c r="AB6380" s="35"/>
      <c r="AC6380" s="35"/>
      <c r="AD6380" s="35"/>
      <c r="AE6380" s="35"/>
      <c r="AF6380" s="35"/>
      <c r="AG6380" s="35"/>
      <c r="AH6380" s="35"/>
      <c r="AI6380" s="35"/>
      <c r="AJ6380" s="35"/>
      <c r="AK6380" s="35"/>
      <c r="AL6380" s="35"/>
    </row>
    <row r="6381">
      <c r="A6381" s="133"/>
      <c r="B6381" s="157" t="s">
        <v>4400</v>
      </c>
      <c r="C6381" s="158" t="s">
        <v>17448</v>
      </c>
      <c r="D6381" s="159"/>
      <c r="E6381" s="57" t="s">
        <v>3035</v>
      </c>
      <c r="F6381" s="22" t="s">
        <v>9927</v>
      </c>
      <c r="G6381" s="23">
        <v>2019.0</v>
      </c>
      <c r="H6381" s="57" t="s">
        <v>42</v>
      </c>
      <c r="I6381" s="134" t="s">
        <v>29963</v>
      </c>
      <c r="J6381" s="22" t="s">
        <v>29964</v>
      </c>
      <c r="K6381" s="96"/>
      <c r="L6381" s="36">
        <v>660.0</v>
      </c>
      <c r="M6381" s="36"/>
      <c r="N6381" s="107"/>
      <c r="O6381" s="107"/>
      <c r="P6381" s="109"/>
      <c r="Q6381" s="36"/>
      <c r="R6381" s="107"/>
      <c r="S6381" s="107"/>
      <c r="T6381" s="83" t="s">
        <v>29965</v>
      </c>
      <c r="U6381" s="312" t="str">
        <f>HYPERLINK("https://www.ncbi.nlm.nih.gov/pubmed/30851081","PubMed")</f>
        <v>PubMed</v>
      </c>
      <c r="V6381" s="139"/>
      <c r="W6381" s="49"/>
      <c r="X6381" s="49"/>
      <c r="Y6381" s="35"/>
      <c r="Z6381" s="35"/>
      <c r="AA6381" s="35"/>
      <c r="AB6381" s="35"/>
      <c r="AC6381" s="35"/>
      <c r="AD6381" s="35"/>
      <c r="AE6381" s="35"/>
      <c r="AF6381" s="35"/>
      <c r="AG6381" s="35"/>
      <c r="AH6381" s="35"/>
      <c r="AI6381" s="35"/>
      <c r="AJ6381" s="35"/>
      <c r="AK6381" s="35"/>
      <c r="AL6381" s="35"/>
    </row>
    <row r="6382">
      <c r="A6382" s="133"/>
      <c r="B6382" s="157" t="s">
        <v>4400</v>
      </c>
      <c r="C6382" s="158" t="s">
        <v>29966</v>
      </c>
      <c r="D6382" s="159"/>
      <c r="E6382" s="57" t="s">
        <v>2603</v>
      </c>
      <c r="F6382" s="22" t="s">
        <v>8796</v>
      </c>
      <c r="G6382" s="23">
        <v>2007.0</v>
      </c>
      <c r="H6382" s="57" t="s">
        <v>658</v>
      </c>
      <c r="I6382" s="134" t="s">
        <v>29967</v>
      </c>
      <c r="J6382" s="22" t="s">
        <v>29968</v>
      </c>
      <c r="K6382" s="96"/>
      <c r="L6382" s="36">
        <v>670.0</v>
      </c>
      <c r="M6382" s="36"/>
      <c r="N6382" s="107"/>
      <c r="O6382" s="107"/>
      <c r="P6382" s="109"/>
      <c r="Q6382" s="36"/>
      <c r="R6382" s="107"/>
      <c r="S6382" s="107"/>
      <c r="T6382" s="83" t="s">
        <v>29969</v>
      </c>
      <c r="U6382" s="312" t="str">
        <f>HYPERLINK("https://www.ncbi.nlm.nih.gov/pubmed/17603854","PubMed")</f>
        <v>PubMed</v>
      </c>
      <c r="V6382" s="139"/>
      <c r="W6382" s="49"/>
      <c r="X6382" s="49"/>
      <c r="Y6382" s="35"/>
      <c r="Z6382" s="35"/>
      <c r="AA6382" s="35"/>
      <c r="AB6382" s="35"/>
      <c r="AC6382" s="35"/>
      <c r="AD6382" s="35"/>
      <c r="AE6382" s="35"/>
      <c r="AF6382" s="35"/>
      <c r="AG6382" s="35"/>
      <c r="AH6382" s="35"/>
      <c r="AI6382" s="35"/>
      <c r="AJ6382" s="35"/>
      <c r="AK6382" s="35"/>
      <c r="AL6382" s="35"/>
    </row>
    <row r="6383">
      <c r="A6383" s="133"/>
      <c r="B6383" s="157" t="s">
        <v>4400</v>
      </c>
      <c r="C6383" s="158" t="s">
        <v>20986</v>
      </c>
      <c r="D6383" s="159"/>
      <c r="E6383" s="57" t="s">
        <v>2770</v>
      </c>
      <c r="F6383" s="22" t="s">
        <v>1862</v>
      </c>
      <c r="G6383" s="23">
        <v>2022.0</v>
      </c>
      <c r="H6383" s="57" t="s">
        <v>21758</v>
      </c>
      <c r="I6383" s="134" t="s">
        <v>29970</v>
      </c>
      <c r="J6383" s="22"/>
      <c r="K6383" s="96"/>
      <c r="L6383" s="36" t="s">
        <v>29971</v>
      </c>
      <c r="M6383" s="36"/>
      <c r="N6383" s="107"/>
      <c r="O6383" s="107"/>
      <c r="P6383" s="109"/>
      <c r="Q6383" s="36"/>
      <c r="R6383" s="107"/>
      <c r="S6383" s="107"/>
      <c r="T6383" s="83" t="s">
        <v>29972</v>
      </c>
      <c r="U6383" s="248" t="s">
        <v>6709</v>
      </c>
      <c r="V6383" s="139"/>
      <c r="W6383" s="49"/>
      <c r="X6383" s="49"/>
      <c r="Y6383" s="35"/>
      <c r="Z6383" s="35"/>
      <c r="AA6383" s="35"/>
      <c r="AB6383" s="35"/>
      <c r="AC6383" s="35"/>
      <c r="AD6383" s="35"/>
      <c r="AE6383" s="35"/>
      <c r="AF6383" s="35"/>
      <c r="AG6383" s="35"/>
      <c r="AH6383" s="35"/>
      <c r="AI6383" s="35"/>
      <c r="AJ6383" s="35"/>
      <c r="AK6383" s="35"/>
      <c r="AL6383" s="35"/>
    </row>
    <row r="6384">
      <c r="A6384" s="133"/>
      <c r="B6384" s="157" t="s">
        <v>4400</v>
      </c>
      <c r="C6384" s="158" t="s">
        <v>20986</v>
      </c>
      <c r="D6384" s="159"/>
      <c r="E6384" s="57" t="s">
        <v>21427</v>
      </c>
      <c r="F6384" s="22" t="s">
        <v>400</v>
      </c>
      <c r="G6384" s="23">
        <v>2013.0</v>
      </c>
      <c r="H6384" s="57" t="s">
        <v>20004</v>
      </c>
      <c r="I6384" s="134" t="s">
        <v>29973</v>
      </c>
      <c r="J6384" s="22" t="s">
        <v>29974</v>
      </c>
      <c r="K6384" s="96"/>
      <c r="L6384" s="36" t="s">
        <v>29975</v>
      </c>
      <c r="M6384" s="36"/>
      <c r="N6384" s="107"/>
      <c r="O6384" s="107"/>
      <c r="P6384" s="109"/>
      <c r="Q6384" s="36"/>
      <c r="R6384" s="107"/>
      <c r="S6384" s="107"/>
      <c r="T6384" s="83" t="s">
        <v>29976</v>
      </c>
      <c r="U6384" s="312" t="str">
        <f>HYPERLINK("https://www.ncbi.nlm.nih.gov/pubmed/24640435","PubMed")</f>
        <v>PubMed</v>
      </c>
      <c r="V6384" s="139"/>
      <c r="W6384" s="49"/>
      <c r="X6384" s="49"/>
      <c r="Y6384" s="35"/>
      <c r="Z6384" s="35"/>
      <c r="AA6384" s="35"/>
      <c r="AB6384" s="35"/>
      <c r="AC6384" s="35"/>
      <c r="AD6384" s="35"/>
      <c r="AE6384" s="35"/>
      <c r="AF6384" s="35"/>
      <c r="AG6384" s="35"/>
      <c r="AH6384" s="35"/>
      <c r="AI6384" s="35"/>
      <c r="AJ6384" s="35"/>
      <c r="AK6384" s="35"/>
      <c r="AL6384" s="35"/>
    </row>
    <row r="6385">
      <c r="A6385" s="1" t="s">
        <v>2</v>
      </c>
      <c r="B6385" s="157" t="s">
        <v>4400</v>
      </c>
      <c r="C6385" s="158" t="s">
        <v>29977</v>
      </c>
      <c r="D6385" s="159"/>
      <c r="E6385" s="57" t="s">
        <v>22545</v>
      </c>
      <c r="F6385" s="22" t="s">
        <v>11994</v>
      </c>
      <c r="G6385" s="23">
        <v>2023.0</v>
      </c>
      <c r="H6385" s="57" t="s">
        <v>191</v>
      </c>
      <c r="I6385" s="134" t="s">
        <v>29978</v>
      </c>
      <c r="J6385" s="22"/>
      <c r="K6385" s="22" t="s">
        <v>4071</v>
      </c>
      <c r="L6385" s="36" t="s">
        <v>29979</v>
      </c>
      <c r="M6385" s="36"/>
      <c r="N6385" s="36"/>
      <c r="O6385" s="36"/>
      <c r="P6385" s="109"/>
      <c r="Q6385" s="36"/>
      <c r="R6385" s="107"/>
      <c r="S6385" s="107"/>
      <c r="T6385" s="83" t="s">
        <v>29980</v>
      </c>
      <c r="U6385" s="255" t="s">
        <v>61</v>
      </c>
      <c r="V6385" s="139"/>
      <c r="W6385" s="49"/>
      <c r="X6385" s="49"/>
      <c r="Y6385" s="35"/>
      <c r="Z6385" s="35"/>
      <c r="AA6385" s="35"/>
      <c r="AB6385" s="35"/>
      <c r="AC6385" s="35"/>
      <c r="AD6385" s="35"/>
      <c r="AE6385" s="35"/>
      <c r="AF6385" s="35"/>
      <c r="AG6385" s="35"/>
      <c r="AH6385" s="35"/>
      <c r="AI6385" s="35"/>
      <c r="AJ6385" s="35"/>
      <c r="AK6385" s="35"/>
      <c r="AL6385" s="35"/>
    </row>
    <row r="6386">
      <c r="A6386" s="133"/>
      <c r="B6386" s="157" t="s">
        <v>4400</v>
      </c>
      <c r="C6386" s="158" t="s">
        <v>29977</v>
      </c>
      <c r="D6386" s="159"/>
      <c r="E6386" s="57" t="s">
        <v>29981</v>
      </c>
      <c r="F6386" s="22" t="s">
        <v>8199</v>
      </c>
      <c r="G6386" s="23">
        <v>2019.0</v>
      </c>
      <c r="H6386" s="57" t="s">
        <v>2257</v>
      </c>
      <c r="I6386" s="134" t="s">
        <v>29982</v>
      </c>
      <c r="J6386" s="22" t="s">
        <v>29983</v>
      </c>
      <c r="K6386" s="96"/>
      <c r="L6386" s="36"/>
      <c r="M6386" s="36"/>
      <c r="N6386" s="36"/>
      <c r="O6386" s="36"/>
      <c r="P6386" s="109"/>
      <c r="Q6386" s="36"/>
      <c r="R6386" s="107"/>
      <c r="S6386" s="107"/>
      <c r="T6386" s="83" t="s">
        <v>29984</v>
      </c>
      <c r="U6386" s="312" t="str">
        <f>HYPERLINK("https://www.ncbi.nlm.nih.gov/pubmed/31357574","PubMed")</f>
        <v>PubMed</v>
      </c>
      <c r="V6386" s="139"/>
      <c r="W6386" s="49"/>
      <c r="X6386" s="49"/>
      <c r="Y6386" s="35"/>
      <c r="Z6386" s="35"/>
      <c r="AA6386" s="35"/>
      <c r="AB6386" s="35"/>
      <c r="AC6386" s="35"/>
      <c r="AD6386" s="35"/>
      <c r="AE6386" s="35"/>
      <c r="AF6386" s="35"/>
      <c r="AG6386" s="35"/>
      <c r="AH6386" s="35"/>
      <c r="AI6386" s="35"/>
      <c r="AJ6386" s="35"/>
      <c r="AK6386" s="35"/>
      <c r="AL6386" s="35"/>
    </row>
    <row r="6387">
      <c r="A6387" s="133"/>
      <c r="B6387" s="157" t="s">
        <v>4400</v>
      </c>
      <c r="C6387" s="158" t="s">
        <v>29977</v>
      </c>
      <c r="D6387" s="159"/>
      <c r="E6387" s="57" t="s">
        <v>29985</v>
      </c>
      <c r="F6387" s="22" t="s">
        <v>2445</v>
      </c>
      <c r="G6387" s="23" t="s">
        <v>90</v>
      </c>
      <c r="H6387" s="57" t="s">
        <v>53</v>
      </c>
      <c r="I6387" s="134" t="s">
        <v>29986</v>
      </c>
      <c r="J6387" s="22" t="s">
        <v>6783</v>
      </c>
      <c r="K6387" s="96"/>
      <c r="L6387" s="36" t="s">
        <v>25700</v>
      </c>
      <c r="M6387" s="36" t="s">
        <v>29987</v>
      </c>
      <c r="N6387" s="36" t="s">
        <v>29988</v>
      </c>
      <c r="O6387" s="36" t="s">
        <v>29989</v>
      </c>
      <c r="P6387" s="109"/>
      <c r="Q6387" s="36"/>
      <c r="R6387" s="107"/>
      <c r="S6387" s="107"/>
      <c r="T6387" s="83" t="s">
        <v>29990</v>
      </c>
      <c r="U6387" s="312" t="str">
        <f>HYPERLINK("https://www.ncbi.nlm.nih.gov/pubmed/29178437","PubMed")</f>
        <v>PubMed</v>
      </c>
      <c r="V6387" s="139"/>
      <c r="W6387" s="49"/>
      <c r="X6387" s="49"/>
      <c r="Y6387" s="35"/>
      <c r="Z6387" s="35"/>
      <c r="AA6387" s="35"/>
      <c r="AB6387" s="35"/>
      <c r="AC6387" s="35"/>
      <c r="AD6387" s="35"/>
      <c r="AE6387" s="35"/>
      <c r="AF6387" s="35"/>
      <c r="AG6387" s="35"/>
      <c r="AH6387" s="35"/>
      <c r="AI6387" s="35"/>
      <c r="AJ6387" s="35"/>
      <c r="AK6387" s="35"/>
      <c r="AL6387" s="35"/>
    </row>
    <row r="6388">
      <c r="A6388" s="133"/>
      <c r="B6388" s="157" t="s">
        <v>4400</v>
      </c>
      <c r="C6388" s="158" t="s">
        <v>29977</v>
      </c>
      <c r="D6388" s="159"/>
      <c r="E6388" s="57" t="s">
        <v>29991</v>
      </c>
      <c r="F6388" s="22" t="s">
        <v>41</v>
      </c>
      <c r="G6388" s="23">
        <v>2015.0</v>
      </c>
      <c r="H6388" s="57" t="s">
        <v>91</v>
      </c>
      <c r="I6388" s="134" t="s">
        <v>29992</v>
      </c>
      <c r="J6388" s="22"/>
      <c r="K6388" s="96"/>
      <c r="L6388" s="36" t="s">
        <v>29993</v>
      </c>
      <c r="M6388" s="36"/>
      <c r="N6388" s="107"/>
      <c r="O6388" s="107"/>
      <c r="P6388" s="109"/>
      <c r="Q6388" s="36"/>
      <c r="R6388" s="107"/>
      <c r="S6388" s="107"/>
      <c r="T6388" s="83" t="s">
        <v>29994</v>
      </c>
      <c r="U6388" s="312" t="str">
        <f>HYPERLINK("https://www.ncbi.nlm.nih.gov/pubmed/25987340","PubMed")</f>
        <v>PubMed</v>
      </c>
      <c r="V6388" s="139"/>
      <c r="W6388" s="49"/>
      <c r="X6388" s="49"/>
      <c r="Y6388" s="35"/>
      <c r="Z6388" s="35"/>
      <c r="AA6388" s="35"/>
      <c r="AB6388" s="35"/>
      <c r="AC6388" s="35"/>
      <c r="AD6388" s="35"/>
      <c r="AE6388" s="35"/>
      <c r="AF6388" s="35"/>
      <c r="AG6388" s="35"/>
      <c r="AH6388" s="35"/>
      <c r="AI6388" s="35"/>
      <c r="AJ6388" s="35"/>
      <c r="AK6388" s="35"/>
      <c r="AL6388" s="35"/>
    </row>
    <row r="6389">
      <c r="A6389" s="133"/>
      <c r="B6389" s="157" t="s">
        <v>4400</v>
      </c>
      <c r="C6389" s="158" t="s">
        <v>29977</v>
      </c>
      <c r="D6389" s="159"/>
      <c r="E6389" s="57" t="s">
        <v>2195</v>
      </c>
      <c r="F6389" s="22" t="s">
        <v>4606</v>
      </c>
      <c r="G6389" s="23">
        <v>2013.0</v>
      </c>
      <c r="H6389" s="57" t="s">
        <v>2558</v>
      </c>
      <c r="I6389" s="134" t="s">
        <v>29995</v>
      </c>
      <c r="J6389" s="22" t="s">
        <v>253</v>
      </c>
      <c r="K6389" s="96"/>
      <c r="L6389" s="36">
        <v>808.0</v>
      </c>
      <c r="M6389" s="36"/>
      <c r="N6389" s="36" t="s">
        <v>29996</v>
      </c>
      <c r="O6389" s="107"/>
      <c r="P6389" s="109"/>
      <c r="Q6389" s="36"/>
      <c r="R6389" s="107"/>
      <c r="S6389" s="107"/>
      <c r="T6389" s="83" t="s">
        <v>29997</v>
      </c>
      <c r="U6389" s="248" t="s">
        <v>61</v>
      </c>
      <c r="V6389" s="139"/>
      <c r="W6389" s="49"/>
      <c r="X6389" s="49"/>
      <c r="Y6389" s="35"/>
      <c r="Z6389" s="35"/>
      <c r="AA6389" s="35"/>
      <c r="AB6389" s="35"/>
      <c r="AC6389" s="35"/>
      <c r="AD6389" s="35"/>
      <c r="AE6389" s="35"/>
      <c r="AF6389" s="35"/>
      <c r="AG6389" s="35"/>
      <c r="AH6389" s="35"/>
      <c r="AI6389" s="35"/>
      <c r="AJ6389" s="35"/>
      <c r="AK6389" s="35"/>
      <c r="AL6389" s="35"/>
    </row>
    <row r="6390">
      <c r="A6390" s="133"/>
      <c r="B6390" s="157" t="s">
        <v>4400</v>
      </c>
      <c r="C6390" s="158" t="s">
        <v>29977</v>
      </c>
      <c r="D6390" s="159"/>
      <c r="E6390" s="57" t="s">
        <v>29802</v>
      </c>
      <c r="F6390" s="22" t="s">
        <v>1465</v>
      </c>
      <c r="G6390" s="23">
        <v>2011.0</v>
      </c>
      <c r="H6390" s="57" t="s">
        <v>658</v>
      </c>
      <c r="I6390" s="134" t="s">
        <v>29998</v>
      </c>
      <c r="J6390" s="22"/>
      <c r="K6390" s="96"/>
      <c r="L6390" s="36" t="s">
        <v>29999</v>
      </c>
      <c r="M6390" s="36" t="s">
        <v>30000</v>
      </c>
      <c r="N6390" s="36" t="s">
        <v>30001</v>
      </c>
      <c r="O6390" s="107"/>
      <c r="P6390" s="109"/>
      <c r="Q6390" s="36" t="s">
        <v>30002</v>
      </c>
      <c r="R6390" s="107"/>
      <c r="S6390" s="107"/>
      <c r="T6390" s="83" t="s">
        <v>30003</v>
      </c>
      <c r="U6390" s="312" t="str">
        <f>HYPERLINK("https://www.ncbi.nlm.nih.gov/pubmed/21219241","PubMed")</f>
        <v>PubMed</v>
      </c>
      <c r="V6390" s="139"/>
      <c r="W6390" s="49"/>
      <c r="X6390" s="49"/>
      <c r="Y6390" s="35"/>
      <c r="Z6390" s="35"/>
      <c r="AA6390" s="35"/>
      <c r="AB6390" s="35"/>
      <c r="AC6390" s="35"/>
      <c r="AD6390" s="35"/>
      <c r="AE6390" s="35"/>
      <c r="AF6390" s="35"/>
      <c r="AG6390" s="35"/>
      <c r="AH6390" s="35"/>
      <c r="AI6390" s="35"/>
      <c r="AJ6390" s="35"/>
      <c r="AK6390" s="35"/>
      <c r="AL6390" s="35"/>
    </row>
    <row r="6391">
      <c r="A6391" s="133"/>
      <c r="B6391" s="157" t="s">
        <v>4400</v>
      </c>
      <c r="C6391" s="158" t="s">
        <v>29977</v>
      </c>
      <c r="D6391" s="159"/>
      <c r="E6391" s="57" t="s">
        <v>30004</v>
      </c>
      <c r="F6391" s="22" t="s">
        <v>274</v>
      </c>
      <c r="G6391" s="23">
        <v>2004.0</v>
      </c>
      <c r="H6391" s="57" t="s">
        <v>658</v>
      </c>
      <c r="I6391" s="134" t="s">
        <v>30005</v>
      </c>
      <c r="J6391" s="22"/>
      <c r="K6391" s="96"/>
      <c r="L6391" s="36">
        <v>810.0</v>
      </c>
      <c r="M6391" s="36" t="s">
        <v>30006</v>
      </c>
      <c r="N6391" s="36"/>
      <c r="O6391" s="107"/>
      <c r="P6391" s="109"/>
      <c r="Q6391" s="36" t="s">
        <v>30007</v>
      </c>
      <c r="R6391" s="107"/>
      <c r="S6391" s="107"/>
      <c r="T6391" s="83" t="s">
        <v>30008</v>
      </c>
      <c r="U6391" s="312" t="str">
        <f>HYPERLINK("https://www.ncbi.nlm.nih.gov/pubmed/15684754","PubMed")</f>
        <v>PubMed</v>
      </c>
      <c r="V6391" s="139"/>
      <c r="W6391" s="49"/>
      <c r="X6391" s="49"/>
      <c r="Y6391" s="35"/>
      <c r="Z6391" s="35"/>
      <c r="AA6391" s="35"/>
      <c r="AB6391" s="35"/>
      <c r="AC6391" s="35"/>
      <c r="AD6391" s="35"/>
      <c r="AE6391" s="35"/>
      <c r="AF6391" s="35"/>
      <c r="AG6391" s="35"/>
      <c r="AH6391" s="35"/>
      <c r="AI6391" s="35"/>
      <c r="AJ6391" s="35"/>
      <c r="AK6391" s="35"/>
      <c r="AL6391" s="35"/>
    </row>
    <row r="6392">
      <c r="A6392" s="133"/>
      <c r="B6392" s="157" t="s">
        <v>4400</v>
      </c>
      <c r="C6392" s="158" t="s">
        <v>29977</v>
      </c>
      <c r="D6392" s="159"/>
      <c r="E6392" s="57" t="s">
        <v>12157</v>
      </c>
      <c r="F6392" s="22" t="s">
        <v>5227</v>
      </c>
      <c r="G6392" s="23">
        <v>2004.0</v>
      </c>
      <c r="H6392" s="57" t="s">
        <v>658</v>
      </c>
      <c r="I6392" s="134" t="s">
        <v>30009</v>
      </c>
      <c r="J6392" s="22" t="s">
        <v>44</v>
      </c>
      <c r="K6392" s="96"/>
      <c r="L6392" s="36">
        <v>830.0</v>
      </c>
      <c r="M6392" s="36">
        <v>36.0</v>
      </c>
      <c r="N6392" s="36"/>
      <c r="O6392" s="107"/>
      <c r="P6392" s="37" t="s">
        <v>12160</v>
      </c>
      <c r="Q6392" s="36"/>
      <c r="R6392" s="107"/>
      <c r="S6392" s="107"/>
      <c r="T6392" s="83" t="s">
        <v>30010</v>
      </c>
      <c r="U6392" s="312" t="str">
        <f>HYPERLINK("https://www.ncbi.nlm.nih.gov/pubmed/15315730","PubMed")</f>
        <v>PubMed</v>
      </c>
      <c r="V6392" s="139"/>
      <c r="W6392" s="49"/>
      <c r="X6392" s="49"/>
      <c r="Y6392" s="35"/>
      <c r="Z6392" s="35"/>
      <c r="AA6392" s="35"/>
      <c r="AB6392" s="35"/>
      <c r="AC6392" s="35"/>
      <c r="AD6392" s="35"/>
      <c r="AE6392" s="35"/>
      <c r="AF6392" s="35"/>
      <c r="AG6392" s="35"/>
      <c r="AH6392" s="35"/>
      <c r="AI6392" s="35"/>
      <c r="AJ6392" s="35"/>
      <c r="AK6392" s="35"/>
      <c r="AL6392" s="35"/>
    </row>
    <row r="6393">
      <c r="A6393" s="133"/>
      <c r="B6393" s="157" t="s">
        <v>4400</v>
      </c>
      <c r="C6393" s="158" t="s">
        <v>29977</v>
      </c>
      <c r="D6393" s="159"/>
      <c r="E6393" s="57" t="s">
        <v>19157</v>
      </c>
      <c r="F6393" s="22" t="s">
        <v>19158</v>
      </c>
      <c r="G6393" s="23">
        <v>2003.0</v>
      </c>
      <c r="H6393" s="57" t="s">
        <v>905</v>
      </c>
      <c r="I6393" s="134" t="s">
        <v>30011</v>
      </c>
      <c r="J6393" s="22"/>
      <c r="K6393" s="96"/>
      <c r="L6393" s="36">
        <v>809.0</v>
      </c>
      <c r="M6393" s="36" t="s">
        <v>25835</v>
      </c>
      <c r="N6393" s="36"/>
      <c r="O6393" s="107"/>
      <c r="P6393" s="37"/>
      <c r="Q6393" s="36" t="s">
        <v>1065</v>
      </c>
      <c r="R6393" s="107"/>
      <c r="S6393" s="107"/>
      <c r="T6393" s="83" t="s">
        <v>30012</v>
      </c>
      <c r="U6393" s="312" t="str">
        <f>HYPERLINK("https://www.ncbi.nlm.nih.gov/pubmed/12562370","PubMed")</f>
        <v>PubMed</v>
      </c>
      <c r="V6393" s="139"/>
      <c r="W6393" s="49"/>
      <c r="X6393" s="49"/>
      <c r="Y6393" s="35"/>
      <c r="Z6393" s="35"/>
      <c r="AA6393" s="35"/>
      <c r="AB6393" s="35"/>
      <c r="AC6393" s="35"/>
      <c r="AD6393" s="35"/>
      <c r="AE6393" s="35"/>
      <c r="AF6393" s="35"/>
      <c r="AG6393" s="35"/>
      <c r="AH6393" s="35"/>
      <c r="AI6393" s="35"/>
      <c r="AJ6393" s="35"/>
      <c r="AK6393" s="35"/>
      <c r="AL6393" s="35"/>
    </row>
    <row r="6394">
      <c r="A6394" s="133"/>
      <c r="B6394" s="157" t="s">
        <v>4400</v>
      </c>
      <c r="C6394" s="158" t="s">
        <v>29977</v>
      </c>
      <c r="D6394" s="159"/>
      <c r="E6394" s="57" t="s">
        <v>7786</v>
      </c>
      <c r="F6394" s="22" t="s">
        <v>1398</v>
      </c>
      <c r="G6394" s="23">
        <v>1992.0</v>
      </c>
      <c r="H6394" s="57" t="s">
        <v>292</v>
      </c>
      <c r="I6394" s="134" t="s">
        <v>30013</v>
      </c>
      <c r="J6394" s="22" t="s">
        <v>55</v>
      </c>
      <c r="K6394" s="96"/>
      <c r="L6394" s="36">
        <v>830.0</v>
      </c>
      <c r="M6394" s="36">
        <v>60.0</v>
      </c>
      <c r="N6394" s="36"/>
      <c r="O6394" s="107"/>
      <c r="P6394" s="37" t="s">
        <v>30014</v>
      </c>
      <c r="Q6394" s="36"/>
      <c r="R6394" s="36" t="s">
        <v>30015</v>
      </c>
      <c r="S6394" s="107"/>
      <c r="T6394" s="83" t="s">
        <v>30016</v>
      </c>
      <c r="U6394" s="312" t="str">
        <f>HYPERLINK("https://www.jstage.jst.go.jp/article/islsm/4/2/4_92-OR-07/_article/-char/en","J-STAGE")</f>
        <v>J-STAGE</v>
      </c>
      <c r="V6394" s="139"/>
      <c r="W6394" s="49"/>
      <c r="X6394" s="49"/>
      <c r="Y6394" s="35"/>
      <c r="Z6394" s="35"/>
      <c r="AA6394" s="35"/>
      <c r="AB6394" s="35"/>
      <c r="AC6394" s="35"/>
      <c r="AD6394" s="35"/>
      <c r="AE6394" s="35"/>
      <c r="AF6394" s="35"/>
      <c r="AG6394" s="35"/>
      <c r="AH6394" s="35"/>
      <c r="AI6394" s="35"/>
      <c r="AJ6394" s="35"/>
      <c r="AK6394" s="35"/>
      <c r="AL6394" s="35"/>
    </row>
    <row r="6395">
      <c r="A6395" s="133"/>
      <c r="B6395" s="157" t="s">
        <v>4400</v>
      </c>
      <c r="C6395" s="158" t="s">
        <v>7993</v>
      </c>
      <c r="D6395" s="159"/>
      <c r="E6395" s="57" t="s">
        <v>5556</v>
      </c>
      <c r="F6395" s="22" t="s">
        <v>5649</v>
      </c>
      <c r="G6395" s="23">
        <v>2007.0</v>
      </c>
      <c r="H6395" s="57" t="s">
        <v>658</v>
      </c>
      <c r="I6395" s="134" t="s">
        <v>30017</v>
      </c>
      <c r="J6395" s="22" t="s">
        <v>31</v>
      </c>
      <c r="K6395" s="96"/>
      <c r="L6395" s="36">
        <v>670.0</v>
      </c>
      <c r="M6395" s="36"/>
      <c r="N6395" s="107"/>
      <c r="O6395" s="107"/>
      <c r="P6395" s="109"/>
      <c r="Q6395" s="36"/>
      <c r="R6395" s="107"/>
      <c r="S6395" s="107"/>
      <c r="T6395" s="83" t="s">
        <v>30018</v>
      </c>
      <c r="U6395" s="312" t="str">
        <f>HYPERLINK("https://www.ncbi.nlm.nih.gov/pubmed/17603853","PubMed")</f>
        <v>PubMed</v>
      </c>
      <c r="V6395" s="139"/>
      <c r="W6395" s="49"/>
      <c r="X6395" s="49"/>
      <c r="Y6395" s="35"/>
      <c r="Z6395" s="35"/>
      <c r="AA6395" s="35"/>
      <c r="AB6395" s="35"/>
      <c r="AC6395" s="35"/>
      <c r="AD6395" s="35"/>
      <c r="AE6395" s="35"/>
      <c r="AF6395" s="35"/>
      <c r="AG6395" s="35"/>
      <c r="AH6395" s="35"/>
      <c r="AI6395" s="35"/>
      <c r="AJ6395" s="35"/>
      <c r="AK6395" s="35"/>
      <c r="AL6395" s="35"/>
    </row>
    <row r="6396">
      <c r="A6396" s="133"/>
      <c r="B6396" s="157" t="s">
        <v>4400</v>
      </c>
      <c r="C6396" s="158" t="s">
        <v>30019</v>
      </c>
      <c r="D6396" s="159"/>
      <c r="E6396" s="57" t="s">
        <v>7618</v>
      </c>
      <c r="F6396" s="22" t="s">
        <v>2750</v>
      </c>
      <c r="G6396" s="23">
        <v>2017.0</v>
      </c>
      <c r="H6396" s="57" t="s">
        <v>4975</v>
      </c>
      <c r="I6396" s="134" t="s">
        <v>30020</v>
      </c>
      <c r="J6396" s="22"/>
      <c r="K6396" s="22" t="s">
        <v>6783</v>
      </c>
      <c r="L6396" s="36"/>
      <c r="M6396" s="36"/>
      <c r="N6396" s="107"/>
      <c r="O6396" s="107"/>
      <c r="P6396" s="109"/>
      <c r="Q6396" s="36"/>
      <c r="R6396" s="107"/>
      <c r="S6396" s="107"/>
      <c r="T6396" s="83" t="s">
        <v>30021</v>
      </c>
      <c r="U6396" s="312" t="str">
        <f>HYPERLINK("https://www.ncbi.nlm.nih.gov/pubmed/28471473","PubMed")</f>
        <v>PubMed</v>
      </c>
      <c r="V6396" s="139"/>
      <c r="W6396" s="49"/>
      <c r="X6396" s="49"/>
      <c r="Y6396" s="35"/>
      <c r="Z6396" s="35"/>
      <c r="AA6396" s="35"/>
      <c r="AB6396" s="35"/>
      <c r="AC6396" s="35"/>
      <c r="AD6396" s="35"/>
      <c r="AE6396" s="35"/>
      <c r="AF6396" s="35"/>
      <c r="AG6396" s="35"/>
      <c r="AH6396" s="35"/>
      <c r="AI6396" s="35"/>
      <c r="AJ6396" s="35"/>
      <c r="AK6396" s="35"/>
      <c r="AL6396" s="35"/>
    </row>
    <row r="6397">
      <c r="A6397" s="133"/>
      <c r="B6397" s="157" t="s">
        <v>30022</v>
      </c>
      <c r="C6397" s="158" t="s">
        <v>30023</v>
      </c>
      <c r="D6397" s="159"/>
      <c r="E6397" s="403" t="s">
        <v>30024</v>
      </c>
      <c r="F6397" s="22" t="s">
        <v>30025</v>
      </c>
      <c r="G6397" s="23">
        <v>2018.0</v>
      </c>
      <c r="H6397" s="57" t="s">
        <v>91</v>
      </c>
      <c r="I6397" s="134" t="s">
        <v>30026</v>
      </c>
      <c r="J6397" s="22" t="s">
        <v>44</v>
      </c>
      <c r="K6397" s="96"/>
      <c r="L6397" s="36">
        <v>904.0</v>
      </c>
      <c r="M6397" s="36">
        <v>50.0</v>
      </c>
      <c r="N6397" s="36" t="s">
        <v>30027</v>
      </c>
      <c r="O6397" s="36" t="s">
        <v>30028</v>
      </c>
      <c r="P6397" s="37" t="s">
        <v>9338</v>
      </c>
      <c r="Q6397" s="36" t="s">
        <v>30029</v>
      </c>
      <c r="R6397" s="36" t="s">
        <v>30030</v>
      </c>
      <c r="S6397" s="36" t="s">
        <v>30031</v>
      </c>
      <c r="T6397" s="28" t="s">
        <v>30032</v>
      </c>
      <c r="U6397" s="38" t="str">
        <f>HYPERLINK("https://www.ncbi.nlm.nih.gov/pubmed/29951878","PubMed")</f>
        <v>PubMed</v>
      </c>
      <c r="V6397" s="139"/>
      <c r="W6397" s="49"/>
      <c r="X6397" s="49"/>
      <c r="Y6397" s="35"/>
      <c r="Z6397" s="35"/>
      <c r="AA6397" s="35"/>
      <c r="AB6397" s="35"/>
      <c r="AC6397" s="35"/>
      <c r="AD6397" s="35"/>
      <c r="AE6397" s="35"/>
      <c r="AF6397" s="35"/>
      <c r="AG6397" s="35"/>
      <c r="AH6397" s="35"/>
      <c r="AI6397" s="35"/>
      <c r="AJ6397" s="35"/>
      <c r="AK6397" s="35"/>
      <c r="AL6397" s="35"/>
    </row>
    <row r="6398">
      <c r="A6398" s="133"/>
      <c r="B6398" s="157" t="s">
        <v>30022</v>
      </c>
      <c r="C6398" s="158" t="s">
        <v>30023</v>
      </c>
      <c r="D6398" s="159"/>
      <c r="E6398" s="403" t="s">
        <v>15922</v>
      </c>
      <c r="F6398" s="22" t="s">
        <v>41</v>
      </c>
      <c r="G6398" s="23">
        <v>2007.0</v>
      </c>
      <c r="H6398" s="57" t="s">
        <v>658</v>
      </c>
      <c r="I6398" s="134" t="s">
        <v>30033</v>
      </c>
      <c r="J6398" s="22" t="s">
        <v>44</v>
      </c>
      <c r="K6398" s="96"/>
      <c r="L6398" s="36">
        <v>904.0</v>
      </c>
      <c r="M6398" s="36">
        <v>4.0</v>
      </c>
      <c r="N6398" s="107"/>
      <c r="O6398" s="107"/>
      <c r="P6398" s="37" t="s">
        <v>30034</v>
      </c>
      <c r="Q6398" s="107"/>
      <c r="R6398" s="107"/>
      <c r="S6398" s="36">
        <v>1.0</v>
      </c>
      <c r="T6398" s="28" t="s">
        <v>30035</v>
      </c>
      <c r="U6398" s="38" t="str">
        <f>HYPERLINK("https://www.ncbi.nlm.nih.gov/pubmed/17803379","PubMed")</f>
        <v>PubMed</v>
      </c>
      <c r="V6398" s="139"/>
      <c r="W6398" s="49"/>
      <c r="X6398" s="49"/>
      <c r="Y6398" s="35"/>
      <c r="Z6398" s="35"/>
      <c r="AA6398" s="35"/>
      <c r="AB6398" s="35"/>
      <c r="AC6398" s="35"/>
      <c r="AD6398" s="35"/>
      <c r="AE6398" s="35"/>
      <c r="AF6398" s="35"/>
      <c r="AG6398" s="35"/>
      <c r="AH6398" s="35"/>
      <c r="AI6398" s="35"/>
      <c r="AJ6398" s="35"/>
      <c r="AK6398" s="35"/>
      <c r="AL6398" s="35"/>
    </row>
    <row r="6399">
      <c r="A6399" s="1"/>
      <c r="B6399" s="19" t="s">
        <v>30036</v>
      </c>
      <c r="C6399" s="20"/>
      <c r="D6399" s="47"/>
      <c r="E6399" s="22" t="s">
        <v>1611</v>
      </c>
      <c r="F6399" s="22" t="s">
        <v>814</v>
      </c>
      <c r="G6399" s="23">
        <v>2016.0</v>
      </c>
      <c r="H6399" s="22" t="s">
        <v>91</v>
      </c>
      <c r="I6399" s="24" t="s">
        <v>30037</v>
      </c>
      <c r="J6399" s="22" t="s">
        <v>31</v>
      </c>
      <c r="K6399" s="22" t="s">
        <v>56</v>
      </c>
      <c r="L6399" s="36"/>
      <c r="M6399" s="36"/>
      <c r="N6399" s="36"/>
      <c r="O6399" s="36"/>
      <c r="P6399" s="37"/>
      <c r="Q6399" s="36"/>
      <c r="R6399" s="36"/>
      <c r="S6399" s="36"/>
      <c r="T6399" s="28" t="s">
        <v>30038</v>
      </c>
      <c r="U6399" s="38" t="str">
        <f>HYPERLINK("https://www.ncbi.nlm.nih.gov/pubmed/27492374","PubMed")</f>
        <v>PubMed</v>
      </c>
      <c r="V6399" s="30"/>
      <c r="W6399" s="49"/>
      <c r="X6399" s="49"/>
      <c r="Y6399" s="35"/>
      <c r="Z6399" s="35"/>
      <c r="AA6399" s="35"/>
      <c r="AB6399" s="35"/>
      <c r="AC6399" s="35"/>
      <c r="AD6399" s="35"/>
      <c r="AE6399" s="35"/>
      <c r="AF6399" s="35"/>
      <c r="AG6399" s="35"/>
      <c r="AH6399" s="35"/>
      <c r="AI6399" s="35"/>
      <c r="AJ6399" s="35"/>
      <c r="AK6399" s="35"/>
      <c r="AL6399" s="35"/>
    </row>
    <row r="6400">
      <c r="A6400" s="1"/>
      <c r="B6400" s="19" t="s">
        <v>30039</v>
      </c>
      <c r="C6400" s="20" t="s">
        <v>30040</v>
      </c>
      <c r="D6400" s="47"/>
      <c r="E6400" s="22" t="s">
        <v>626</v>
      </c>
      <c r="F6400" s="22" t="s">
        <v>2196</v>
      </c>
      <c r="G6400" s="23">
        <v>2015.0</v>
      </c>
      <c r="H6400" s="22" t="s">
        <v>12307</v>
      </c>
      <c r="I6400" s="24" t="s">
        <v>30041</v>
      </c>
      <c r="J6400" s="22" t="s">
        <v>31</v>
      </c>
      <c r="K6400" s="22"/>
      <c r="L6400" s="36">
        <v>657.0</v>
      </c>
      <c r="M6400" s="36"/>
      <c r="N6400" s="36"/>
      <c r="O6400" s="36"/>
      <c r="P6400" s="37"/>
      <c r="Q6400" s="36"/>
      <c r="R6400" s="36"/>
      <c r="S6400" s="36"/>
      <c r="T6400" s="28" t="s">
        <v>30042</v>
      </c>
      <c r="U6400" s="38" t="str">
        <f>HYPERLINK("https://www.ncbi.nlm.nih.gov/pubmed/25691809","PubMed")</f>
        <v>PubMed</v>
      </c>
      <c r="V6400" s="50"/>
      <c r="W6400" s="49"/>
      <c r="X6400" s="49"/>
      <c r="Y6400" s="35"/>
      <c r="Z6400" s="35"/>
      <c r="AA6400" s="35"/>
      <c r="AB6400" s="35"/>
      <c r="AC6400" s="35"/>
      <c r="AD6400" s="35"/>
      <c r="AE6400" s="35"/>
      <c r="AF6400" s="35"/>
      <c r="AG6400" s="35"/>
      <c r="AH6400" s="35"/>
      <c r="AI6400" s="35"/>
      <c r="AJ6400" s="35"/>
      <c r="AK6400" s="35"/>
      <c r="AL6400" s="35"/>
    </row>
    <row r="6401">
      <c r="A6401" s="1"/>
      <c r="B6401" s="19" t="s">
        <v>30043</v>
      </c>
      <c r="C6401" s="20" t="s">
        <v>221</v>
      </c>
      <c r="D6401" s="47"/>
      <c r="E6401" s="22" t="s">
        <v>388</v>
      </c>
      <c r="F6401" s="22" t="s">
        <v>41</v>
      </c>
      <c r="G6401" s="23">
        <v>2022.0</v>
      </c>
      <c r="H6401" s="22" t="s">
        <v>91</v>
      </c>
      <c r="I6401" s="24" t="s">
        <v>30044</v>
      </c>
      <c r="J6401" s="22" t="s">
        <v>3892</v>
      </c>
      <c r="K6401" s="22"/>
      <c r="L6401" s="105" t="s">
        <v>30045</v>
      </c>
      <c r="M6401" s="44"/>
      <c r="N6401" s="44"/>
      <c r="O6401" s="44"/>
      <c r="P6401" s="44"/>
      <c r="Q6401" s="44"/>
      <c r="R6401" s="44"/>
      <c r="S6401" s="44"/>
      <c r="T6401" s="45"/>
      <c r="U6401" s="38" t="s">
        <v>61</v>
      </c>
      <c r="V6401" s="30"/>
      <c r="W6401" s="49"/>
      <c r="X6401" s="49"/>
      <c r="Y6401" s="35"/>
      <c r="Z6401" s="35"/>
      <c r="AA6401" s="35"/>
      <c r="AB6401" s="35"/>
      <c r="AC6401" s="35"/>
      <c r="AD6401" s="35"/>
      <c r="AE6401" s="35"/>
      <c r="AF6401" s="35"/>
      <c r="AG6401" s="35"/>
      <c r="AH6401" s="35"/>
      <c r="AI6401" s="35"/>
      <c r="AJ6401" s="35"/>
      <c r="AK6401" s="35"/>
      <c r="AL6401" s="35"/>
    </row>
    <row r="6402">
      <c r="A6402" s="1"/>
      <c r="B6402" s="19" t="s">
        <v>30043</v>
      </c>
      <c r="C6402" s="20" t="s">
        <v>30046</v>
      </c>
      <c r="D6402" s="47"/>
      <c r="E6402" s="22" t="s">
        <v>30047</v>
      </c>
      <c r="F6402" s="22" t="s">
        <v>748</v>
      </c>
      <c r="G6402" s="23">
        <v>2015.0</v>
      </c>
      <c r="H6402" s="22" t="s">
        <v>9550</v>
      </c>
      <c r="I6402" s="24" t="s">
        <v>30048</v>
      </c>
      <c r="J6402" s="22" t="s">
        <v>30049</v>
      </c>
      <c r="K6402" s="22" t="s">
        <v>30050</v>
      </c>
      <c r="L6402" s="36">
        <v>633.0</v>
      </c>
      <c r="M6402" s="36"/>
      <c r="N6402" s="36"/>
      <c r="O6402" s="36"/>
      <c r="P6402" s="37"/>
      <c r="Q6402" s="36"/>
      <c r="R6402" s="36"/>
      <c r="S6402" s="36"/>
      <c r="T6402" s="28" t="s">
        <v>30051</v>
      </c>
      <c r="U6402" s="38" t="str">
        <f>HYPERLINK("https://iopscience.iop.org/article/10.1088/1612-2011/12/11/115601/meta","IOP")</f>
        <v>IOP</v>
      </c>
      <c r="V6402" s="30"/>
      <c r="W6402" s="49"/>
      <c r="X6402" s="49"/>
      <c r="Y6402" s="35"/>
      <c r="Z6402" s="35"/>
      <c r="AA6402" s="35"/>
      <c r="AB6402" s="35"/>
      <c r="AC6402" s="35"/>
      <c r="AD6402" s="35"/>
      <c r="AE6402" s="35"/>
      <c r="AF6402" s="35"/>
      <c r="AG6402" s="35"/>
      <c r="AH6402" s="35"/>
      <c r="AI6402" s="35"/>
      <c r="AJ6402" s="35"/>
      <c r="AK6402" s="35"/>
      <c r="AL6402" s="35"/>
    </row>
    <row r="6403">
      <c r="A6403" s="1"/>
      <c r="B6403" s="19" t="s">
        <v>30043</v>
      </c>
      <c r="C6403" s="20" t="s">
        <v>5250</v>
      </c>
      <c r="D6403" s="47"/>
      <c r="E6403" s="22" t="s">
        <v>18701</v>
      </c>
      <c r="F6403" s="22" t="s">
        <v>30052</v>
      </c>
      <c r="G6403" s="23">
        <v>2020.0</v>
      </c>
      <c r="H6403" s="22" t="s">
        <v>77</v>
      </c>
      <c r="I6403" s="24" t="s">
        <v>30053</v>
      </c>
      <c r="J6403" s="22" t="s">
        <v>125</v>
      </c>
      <c r="K6403" s="22"/>
      <c r="L6403" s="196" t="s">
        <v>30054</v>
      </c>
      <c r="U6403" s="29" t="s">
        <v>61</v>
      </c>
      <c r="V6403" s="30"/>
      <c r="W6403" s="49"/>
      <c r="X6403" s="49"/>
      <c r="Y6403" s="35"/>
      <c r="Z6403" s="35"/>
      <c r="AA6403" s="35"/>
      <c r="AB6403" s="35"/>
      <c r="AC6403" s="35"/>
      <c r="AD6403" s="35"/>
      <c r="AE6403" s="35"/>
      <c r="AF6403" s="35"/>
      <c r="AG6403" s="35"/>
      <c r="AH6403" s="35"/>
      <c r="AI6403" s="35"/>
      <c r="AJ6403" s="35"/>
      <c r="AK6403" s="35"/>
      <c r="AL6403" s="35"/>
    </row>
    <row r="6404">
      <c r="A6404" s="1"/>
      <c r="B6404" s="19" t="s">
        <v>30043</v>
      </c>
      <c r="C6404" s="20" t="s">
        <v>27156</v>
      </c>
      <c r="D6404" s="47"/>
      <c r="E6404" s="22" t="s">
        <v>626</v>
      </c>
      <c r="F6404" s="22" t="s">
        <v>2437</v>
      </c>
      <c r="G6404" s="23">
        <v>2020.0</v>
      </c>
      <c r="H6404" s="22" t="s">
        <v>17058</v>
      </c>
      <c r="I6404" s="24" t="s">
        <v>30055</v>
      </c>
      <c r="J6404" s="22" t="s">
        <v>31</v>
      </c>
      <c r="K6404" s="22"/>
      <c r="L6404" s="36">
        <v>635.0</v>
      </c>
      <c r="M6404" s="36"/>
      <c r="N6404" s="36"/>
      <c r="O6404" s="36"/>
      <c r="P6404" s="37" t="s">
        <v>47</v>
      </c>
      <c r="Q6404" s="36"/>
      <c r="R6404" s="36"/>
      <c r="S6404" s="36"/>
      <c r="T6404" s="28" t="s">
        <v>30056</v>
      </c>
      <c r="U6404" s="38" t="str">
        <f>HYPERLINK("https://www.ncbi.nlm.nih.gov/pubmed/32223956","PubMed")</f>
        <v>PubMed</v>
      </c>
      <c r="V6404" s="30"/>
      <c r="W6404" s="49"/>
      <c r="X6404" s="49"/>
      <c r="Y6404" s="35"/>
      <c r="Z6404" s="35"/>
      <c r="AA6404" s="35"/>
      <c r="AB6404" s="35"/>
      <c r="AC6404" s="35"/>
      <c r="AD6404" s="35"/>
      <c r="AE6404" s="35"/>
      <c r="AF6404" s="35"/>
      <c r="AG6404" s="35"/>
      <c r="AH6404" s="35"/>
      <c r="AI6404" s="35"/>
      <c r="AJ6404" s="35"/>
      <c r="AK6404" s="35"/>
      <c r="AL6404" s="35"/>
    </row>
    <row r="6405">
      <c r="A6405" s="1"/>
      <c r="B6405" s="19" t="s">
        <v>30043</v>
      </c>
      <c r="C6405" s="20" t="s">
        <v>27156</v>
      </c>
      <c r="D6405" s="47"/>
      <c r="E6405" s="22" t="s">
        <v>30057</v>
      </c>
      <c r="F6405" s="22" t="s">
        <v>1943</v>
      </c>
      <c r="G6405" s="23">
        <v>2019.0</v>
      </c>
      <c r="H6405" s="22" t="s">
        <v>30058</v>
      </c>
      <c r="I6405" s="24" t="s">
        <v>30059</v>
      </c>
      <c r="J6405" s="22" t="s">
        <v>55</v>
      </c>
      <c r="K6405" s="22"/>
      <c r="L6405" s="36">
        <v>870.0</v>
      </c>
      <c r="M6405" s="36">
        <v>100.0</v>
      </c>
      <c r="N6405" s="36"/>
      <c r="O6405" s="36"/>
      <c r="P6405" s="37" t="s">
        <v>325</v>
      </c>
      <c r="Q6405" s="36" t="s">
        <v>30060</v>
      </c>
      <c r="R6405" s="36" t="s">
        <v>30061</v>
      </c>
      <c r="S6405" s="36"/>
      <c r="T6405" s="28" t="s">
        <v>30062</v>
      </c>
      <c r="U6405" s="38" t="str">
        <f>HYPERLINK("https://www.ncbi.nlm.nih.gov/pubmed/31313245","PubMed")</f>
        <v>PubMed</v>
      </c>
      <c r="V6405" s="30"/>
      <c r="W6405" s="49"/>
      <c r="X6405" s="49"/>
      <c r="Y6405" s="35"/>
      <c r="Z6405" s="35"/>
      <c r="AA6405" s="35"/>
      <c r="AB6405" s="35"/>
      <c r="AC6405" s="35"/>
      <c r="AD6405" s="35"/>
      <c r="AE6405" s="35"/>
      <c r="AF6405" s="35"/>
      <c r="AG6405" s="35"/>
      <c r="AH6405" s="35"/>
      <c r="AI6405" s="35"/>
      <c r="AJ6405" s="35"/>
      <c r="AK6405" s="35"/>
      <c r="AL6405" s="35"/>
    </row>
    <row r="6406">
      <c r="A6406" s="1"/>
      <c r="B6406" s="19" t="s">
        <v>30043</v>
      </c>
      <c r="C6406" s="20" t="s">
        <v>27156</v>
      </c>
      <c r="D6406" s="47"/>
      <c r="E6406" s="22" t="s">
        <v>30063</v>
      </c>
      <c r="F6406" s="22" t="s">
        <v>30064</v>
      </c>
      <c r="G6406" s="23">
        <v>2015.0</v>
      </c>
      <c r="H6406" s="22" t="s">
        <v>658</v>
      </c>
      <c r="I6406" s="24" t="s">
        <v>30065</v>
      </c>
      <c r="J6406" s="22" t="s">
        <v>44</v>
      </c>
      <c r="K6406" s="22" t="s">
        <v>30066</v>
      </c>
      <c r="L6406" s="36">
        <v>940.0</v>
      </c>
      <c r="M6406" s="36" t="s">
        <v>30067</v>
      </c>
      <c r="N6406" s="36" t="s">
        <v>30068</v>
      </c>
      <c r="O6406" s="36"/>
      <c r="P6406" s="37" t="s">
        <v>30069</v>
      </c>
      <c r="Q6406" s="36"/>
      <c r="R6406" s="36" t="s">
        <v>30070</v>
      </c>
      <c r="S6406" s="36"/>
      <c r="T6406" s="41" t="s">
        <v>30071</v>
      </c>
      <c r="U6406" s="38" t="str">
        <f>HYPERLINK("https://www.ncbi.nlm.nih.gov/pubmed/25654740","PubMed")</f>
        <v>PubMed</v>
      </c>
      <c r="V6406" s="30"/>
      <c r="W6406" s="49"/>
      <c r="X6406" s="49"/>
      <c r="Y6406" s="35"/>
      <c r="Z6406" s="35"/>
      <c r="AA6406" s="35"/>
      <c r="AB6406" s="35"/>
      <c r="AC6406" s="35"/>
      <c r="AD6406" s="35"/>
      <c r="AE6406" s="35"/>
      <c r="AF6406" s="35"/>
      <c r="AG6406" s="35"/>
      <c r="AH6406" s="35"/>
      <c r="AI6406" s="35"/>
      <c r="AJ6406" s="35"/>
      <c r="AK6406" s="35"/>
      <c r="AL6406" s="35"/>
    </row>
    <row r="6407">
      <c r="A6407" s="1"/>
      <c r="B6407" s="19" t="s">
        <v>30043</v>
      </c>
      <c r="C6407" s="20" t="s">
        <v>27156</v>
      </c>
      <c r="D6407" s="47"/>
      <c r="E6407" s="22" t="s">
        <v>23144</v>
      </c>
      <c r="F6407" s="22" t="s">
        <v>41</v>
      </c>
      <c r="G6407" s="23">
        <v>2014.0</v>
      </c>
      <c r="H6407" s="22" t="s">
        <v>658</v>
      </c>
      <c r="I6407" s="24" t="s">
        <v>30072</v>
      </c>
      <c r="J6407" s="56" t="s">
        <v>55</v>
      </c>
      <c r="K6407" s="22"/>
      <c r="L6407" s="52">
        <v>808.0</v>
      </c>
      <c r="M6407" s="52">
        <v>100.0</v>
      </c>
      <c r="N6407" s="52" t="s">
        <v>278</v>
      </c>
      <c r="O6407" s="52">
        <v>2.0</v>
      </c>
      <c r="P6407" s="189" t="s">
        <v>30073</v>
      </c>
      <c r="Q6407" s="52" t="s">
        <v>280</v>
      </c>
      <c r="R6407" s="52">
        <v>20.0</v>
      </c>
      <c r="S6407" s="52" t="s">
        <v>30074</v>
      </c>
      <c r="T6407" s="28" t="s">
        <v>30075</v>
      </c>
      <c r="U6407" s="38" t="s">
        <v>61</v>
      </c>
      <c r="V6407" s="30"/>
      <c r="W6407" s="49"/>
      <c r="X6407" s="49"/>
      <c r="Y6407" s="35"/>
      <c r="Z6407" s="35"/>
      <c r="AA6407" s="35"/>
      <c r="AB6407" s="35"/>
      <c r="AC6407" s="35"/>
      <c r="AD6407" s="35"/>
      <c r="AE6407" s="35"/>
      <c r="AF6407" s="35"/>
      <c r="AG6407" s="35"/>
      <c r="AH6407" s="35"/>
      <c r="AI6407" s="35"/>
      <c r="AJ6407" s="35"/>
      <c r="AK6407" s="35"/>
      <c r="AL6407" s="35"/>
    </row>
    <row r="6408" ht="52.5" customHeight="1">
      <c r="A6408" s="51" t="s">
        <v>2</v>
      </c>
      <c r="B6408" s="19" t="s">
        <v>30043</v>
      </c>
      <c r="C6408" s="20" t="s">
        <v>27156</v>
      </c>
      <c r="D6408" s="47"/>
      <c r="E6408" s="56" t="s">
        <v>30076</v>
      </c>
      <c r="F6408" s="22" t="s">
        <v>1943</v>
      </c>
      <c r="G6408" s="57">
        <v>2013.0</v>
      </c>
      <c r="H6408" s="56" t="s">
        <v>555</v>
      </c>
      <c r="I6408" s="58" t="s">
        <v>30077</v>
      </c>
      <c r="J6408" s="56" t="s">
        <v>55</v>
      </c>
      <c r="K6408" s="56" t="s">
        <v>30078</v>
      </c>
      <c r="L6408" s="69">
        <v>904.0</v>
      </c>
      <c r="M6408" s="69">
        <v>30.0</v>
      </c>
      <c r="N6408" s="69" t="s">
        <v>58</v>
      </c>
      <c r="O6408" s="72">
        <v>42465.0</v>
      </c>
      <c r="P6408" s="70" t="s">
        <v>58</v>
      </c>
      <c r="Q6408" s="69" t="s">
        <v>675</v>
      </c>
      <c r="R6408" s="69">
        <v>180.0</v>
      </c>
      <c r="S6408" s="69">
        <v>4.0</v>
      </c>
      <c r="T6408" s="28" t="s">
        <v>30079</v>
      </c>
      <c r="U6408" s="66" t="str">
        <f>HYPERLINK("https://www.ncbi.nlm.nih.gov/pubmed/23102551","PubMed")</f>
        <v>PubMed</v>
      </c>
      <c r="V6408" s="30" t="s">
        <v>30080</v>
      </c>
      <c r="W6408" s="49"/>
      <c r="X6408" s="49"/>
      <c r="Y6408" s="35"/>
      <c r="Z6408" s="35"/>
      <c r="AA6408" s="35"/>
      <c r="AB6408" s="35"/>
      <c r="AC6408" s="35"/>
      <c r="AD6408" s="35"/>
      <c r="AE6408" s="35"/>
      <c r="AF6408" s="35"/>
      <c r="AG6408" s="35"/>
      <c r="AH6408" s="35"/>
      <c r="AI6408" s="35"/>
      <c r="AJ6408" s="35"/>
      <c r="AK6408" s="35"/>
      <c r="AL6408" s="35"/>
    </row>
    <row r="6409">
      <c r="A6409" s="1"/>
      <c r="B6409" s="19" t="s">
        <v>30043</v>
      </c>
      <c r="C6409" s="20" t="s">
        <v>27156</v>
      </c>
      <c r="D6409" s="47"/>
      <c r="E6409" s="22" t="s">
        <v>30081</v>
      </c>
      <c r="F6409" s="22" t="s">
        <v>30082</v>
      </c>
      <c r="G6409" s="23">
        <v>2012.0</v>
      </c>
      <c r="H6409" s="22" t="s">
        <v>4975</v>
      </c>
      <c r="I6409" s="24" t="s">
        <v>30083</v>
      </c>
      <c r="J6409" s="22" t="s">
        <v>31</v>
      </c>
      <c r="K6409" s="22" t="s">
        <v>30084</v>
      </c>
      <c r="L6409" s="36" t="s">
        <v>30085</v>
      </c>
      <c r="M6409" s="36"/>
      <c r="N6409" s="36" t="s">
        <v>821</v>
      </c>
      <c r="O6409" s="36"/>
      <c r="P6409" s="37"/>
      <c r="Q6409" s="36"/>
      <c r="R6409" s="36"/>
      <c r="S6409" s="36"/>
      <c r="T6409" s="42" t="s">
        <v>30086</v>
      </c>
      <c r="U6409" s="38" t="str">
        <f>HYPERLINK("https://www.ncbi.nlm.nih.gov/pubmed/22053955","PubMed")</f>
        <v>PubMed</v>
      </c>
      <c r="V6409" s="30"/>
      <c r="W6409" s="49"/>
      <c r="X6409" s="49"/>
      <c r="Y6409" s="35"/>
      <c r="Z6409" s="35"/>
      <c r="AA6409" s="35"/>
      <c r="AB6409" s="35"/>
      <c r="AC6409" s="35"/>
      <c r="AD6409" s="35"/>
      <c r="AE6409" s="35"/>
      <c r="AF6409" s="35"/>
      <c r="AG6409" s="35"/>
      <c r="AH6409" s="35"/>
      <c r="AI6409" s="35"/>
      <c r="AJ6409" s="35"/>
      <c r="AK6409" s="35"/>
      <c r="AL6409" s="35"/>
    </row>
    <row r="6410">
      <c r="A6410" s="1"/>
      <c r="B6410" s="19" t="s">
        <v>30043</v>
      </c>
      <c r="C6410" s="20" t="s">
        <v>27156</v>
      </c>
      <c r="D6410" s="47"/>
      <c r="E6410" s="22" t="s">
        <v>30087</v>
      </c>
      <c r="F6410" s="22" t="s">
        <v>8506</v>
      </c>
      <c r="G6410" s="23">
        <v>2012.0</v>
      </c>
      <c r="H6410" s="22" t="s">
        <v>207</v>
      </c>
      <c r="I6410" s="24" t="s">
        <v>30088</v>
      </c>
      <c r="J6410" s="22" t="s">
        <v>44</v>
      </c>
      <c r="K6410" s="22" t="s">
        <v>27156</v>
      </c>
      <c r="L6410" s="36">
        <v>830.0</v>
      </c>
      <c r="M6410" s="36"/>
      <c r="N6410" s="36"/>
      <c r="O6410" s="36"/>
      <c r="P6410" s="37"/>
      <c r="Q6410" s="36"/>
      <c r="R6410" s="36"/>
      <c r="S6410" s="36"/>
      <c r="T6410" s="41" t="s">
        <v>30089</v>
      </c>
      <c r="U6410" s="38" t="str">
        <f>HYPERLINK("http://www.ncbi.nlm.nih.gov/pubmed/23099481","PubMed")</f>
        <v>PubMed</v>
      </c>
      <c r="V6410" s="30"/>
      <c r="W6410" s="49"/>
      <c r="X6410" s="49"/>
      <c r="Y6410" s="35"/>
      <c r="Z6410" s="35"/>
      <c r="AA6410" s="35"/>
      <c r="AB6410" s="35"/>
      <c r="AC6410" s="35"/>
      <c r="AD6410" s="35"/>
      <c r="AE6410" s="35"/>
      <c r="AF6410" s="35"/>
      <c r="AG6410" s="35"/>
      <c r="AH6410" s="35"/>
      <c r="AI6410" s="35"/>
      <c r="AJ6410" s="35"/>
      <c r="AK6410" s="35"/>
      <c r="AL6410" s="35"/>
    </row>
    <row r="6411">
      <c r="A6411" s="1"/>
      <c r="B6411" s="19" t="s">
        <v>30043</v>
      </c>
      <c r="C6411" s="20" t="s">
        <v>27156</v>
      </c>
      <c r="D6411" s="47"/>
      <c r="E6411" s="22" t="s">
        <v>30090</v>
      </c>
      <c r="F6411" s="22" t="s">
        <v>30091</v>
      </c>
      <c r="G6411" s="23">
        <v>2010.0</v>
      </c>
      <c r="H6411" s="22" t="s">
        <v>207</v>
      </c>
      <c r="I6411" s="24" t="s">
        <v>30092</v>
      </c>
      <c r="J6411" s="22" t="s">
        <v>253</v>
      </c>
      <c r="K6411" s="22" t="s">
        <v>1725</v>
      </c>
      <c r="L6411" s="36">
        <v>488.0</v>
      </c>
      <c r="M6411" s="36">
        <v>500.0</v>
      </c>
      <c r="N6411" s="36"/>
      <c r="O6411" s="36"/>
      <c r="P6411" s="37" t="s">
        <v>2746</v>
      </c>
      <c r="Q6411" s="36" t="s">
        <v>30093</v>
      </c>
      <c r="R6411" s="36">
        <v>20.0</v>
      </c>
      <c r="S6411" s="36"/>
      <c r="T6411" s="42" t="s">
        <v>30094</v>
      </c>
      <c r="U6411" s="38" t="str">
        <f>HYPERLINK("https://www.ncbi.nlm.nih.gov/pubmed/20202857","PubMed")</f>
        <v>PubMed</v>
      </c>
      <c r="V6411" s="30"/>
      <c r="W6411" s="49"/>
      <c r="X6411" s="49"/>
      <c r="Y6411" s="35"/>
      <c r="Z6411" s="35"/>
      <c r="AA6411" s="35"/>
      <c r="AB6411" s="35"/>
      <c r="AC6411" s="35"/>
      <c r="AD6411" s="35"/>
      <c r="AE6411" s="35"/>
      <c r="AF6411" s="35"/>
      <c r="AG6411" s="35"/>
      <c r="AH6411" s="35"/>
      <c r="AI6411" s="35"/>
      <c r="AJ6411" s="35"/>
      <c r="AK6411" s="35"/>
      <c r="AL6411" s="35"/>
    </row>
    <row r="6412">
      <c r="A6412" s="1"/>
      <c r="B6412" s="19" t="s">
        <v>30043</v>
      </c>
      <c r="C6412" s="20" t="s">
        <v>27156</v>
      </c>
      <c r="D6412" s="47"/>
      <c r="E6412" s="22" t="s">
        <v>30095</v>
      </c>
      <c r="F6412" s="22" t="s">
        <v>30096</v>
      </c>
      <c r="G6412" s="23">
        <v>1999.0</v>
      </c>
      <c r="H6412" s="22" t="s">
        <v>30097</v>
      </c>
      <c r="I6412" s="24" t="s">
        <v>30098</v>
      </c>
      <c r="J6412" s="22" t="s">
        <v>31</v>
      </c>
      <c r="K6412" s="22"/>
      <c r="L6412" s="36" t="s">
        <v>30099</v>
      </c>
      <c r="M6412" s="36"/>
      <c r="N6412" s="36"/>
      <c r="O6412" s="36"/>
      <c r="P6412" s="37"/>
      <c r="Q6412" s="36"/>
      <c r="R6412" s="36"/>
      <c r="S6412" s="36"/>
      <c r="T6412" s="28" t="s">
        <v>30100</v>
      </c>
      <c r="U6412" s="38" t="str">
        <f>HYPERLINK("https://www.ncbi.nlm.nih.gov/pubmed/10526215","PubMed")</f>
        <v>PubMed</v>
      </c>
      <c r="V6412" s="30"/>
      <c r="W6412" s="49"/>
      <c r="X6412" s="49"/>
      <c r="Y6412" s="35"/>
      <c r="Z6412" s="35"/>
      <c r="AA6412" s="35"/>
      <c r="AB6412" s="35"/>
      <c r="AC6412" s="35"/>
      <c r="AD6412" s="35"/>
      <c r="AE6412" s="35"/>
      <c r="AF6412" s="35"/>
      <c r="AG6412" s="35"/>
      <c r="AH6412" s="35"/>
      <c r="AI6412" s="35"/>
      <c r="AJ6412" s="35"/>
      <c r="AK6412" s="35"/>
      <c r="AL6412" s="35"/>
    </row>
    <row r="6413">
      <c r="A6413" s="1"/>
      <c r="B6413" s="19" t="s">
        <v>30043</v>
      </c>
      <c r="C6413" s="20" t="s">
        <v>27156</v>
      </c>
      <c r="D6413" s="47"/>
      <c r="E6413" s="22" t="s">
        <v>5109</v>
      </c>
      <c r="F6413" s="22" t="s">
        <v>748</v>
      </c>
      <c r="G6413" s="23">
        <v>1994.0</v>
      </c>
      <c r="H6413" s="22" t="s">
        <v>3902</v>
      </c>
      <c r="I6413" s="24" t="s">
        <v>30101</v>
      </c>
      <c r="J6413" s="22" t="s">
        <v>31</v>
      </c>
      <c r="K6413" s="22"/>
      <c r="L6413" s="36">
        <v>633.0</v>
      </c>
      <c r="M6413" s="36"/>
      <c r="N6413" s="36"/>
      <c r="O6413" s="36"/>
      <c r="P6413" s="37"/>
      <c r="Q6413" s="36"/>
      <c r="R6413" s="36"/>
      <c r="S6413" s="36"/>
      <c r="T6413" s="28" t="s">
        <v>30102</v>
      </c>
      <c r="U6413" s="38" t="str">
        <f>HYPERLINK("https://www.ncbi.nlm.nih.gov/pubmed/7912719","PubMed")</f>
        <v>PubMed</v>
      </c>
      <c r="V6413" s="30"/>
      <c r="W6413" s="49"/>
      <c r="X6413" s="49"/>
      <c r="Y6413" s="35"/>
      <c r="Z6413" s="35"/>
      <c r="AA6413" s="35"/>
      <c r="AB6413" s="35"/>
      <c r="AC6413" s="35"/>
      <c r="AD6413" s="35"/>
      <c r="AE6413" s="35"/>
      <c r="AF6413" s="35"/>
      <c r="AG6413" s="35"/>
      <c r="AH6413" s="35"/>
      <c r="AI6413" s="35"/>
      <c r="AJ6413" s="35"/>
      <c r="AK6413" s="35"/>
      <c r="AL6413" s="35"/>
    </row>
    <row r="6414">
      <c r="A6414" s="1"/>
      <c r="B6414" s="19" t="s">
        <v>30043</v>
      </c>
      <c r="C6414" s="20" t="s">
        <v>30103</v>
      </c>
      <c r="D6414" s="47"/>
      <c r="E6414" s="22" t="s">
        <v>190</v>
      </c>
      <c r="F6414" s="22" t="s">
        <v>8211</v>
      </c>
      <c r="G6414" s="23">
        <v>2024.0</v>
      </c>
      <c r="H6414" s="22" t="s">
        <v>555</v>
      </c>
      <c r="I6414" s="24" t="s">
        <v>30104</v>
      </c>
      <c r="J6414" s="22" t="s">
        <v>31</v>
      </c>
      <c r="K6414" s="22"/>
      <c r="L6414" s="36">
        <v>660.0</v>
      </c>
      <c r="M6414" s="36">
        <v>30.0</v>
      </c>
      <c r="N6414" s="36"/>
      <c r="O6414" s="36"/>
      <c r="P6414" s="37" t="s">
        <v>30105</v>
      </c>
      <c r="Q6414" s="36"/>
      <c r="R6414" s="36"/>
      <c r="S6414" s="36"/>
      <c r="T6414" s="28" t="s">
        <v>30106</v>
      </c>
      <c r="U6414" s="38" t="s">
        <v>61</v>
      </c>
      <c r="V6414" s="30"/>
      <c r="W6414" s="49"/>
      <c r="X6414" s="49"/>
      <c r="Y6414" s="35"/>
      <c r="Z6414" s="35"/>
      <c r="AA6414" s="35"/>
      <c r="AB6414" s="35"/>
      <c r="AC6414" s="35"/>
      <c r="AD6414" s="35"/>
      <c r="AE6414" s="35"/>
      <c r="AF6414" s="35"/>
      <c r="AG6414" s="35"/>
      <c r="AH6414" s="35"/>
      <c r="AI6414" s="35"/>
      <c r="AJ6414" s="35"/>
      <c r="AK6414" s="35"/>
      <c r="AL6414" s="35"/>
    </row>
    <row r="6415">
      <c r="A6415" s="1"/>
      <c r="B6415" s="19" t="s">
        <v>30043</v>
      </c>
      <c r="C6415" s="20" t="s">
        <v>30107</v>
      </c>
      <c r="D6415" s="47"/>
      <c r="E6415" s="22" t="s">
        <v>30108</v>
      </c>
      <c r="F6415" s="22" t="s">
        <v>2180</v>
      </c>
      <c r="G6415" s="23">
        <v>2024.0</v>
      </c>
      <c r="H6415" s="22" t="s">
        <v>8086</v>
      </c>
      <c r="I6415" s="24" t="s">
        <v>30109</v>
      </c>
      <c r="J6415" s="22" t="s">
        <v>30110</v>
      </c>
      <c r="K6415" s="22"/>
      <c r="L6415" s="36"/>
      <c r="M6415" s="36"/>
      <c r="N6415" s="36"/>
      <c r="O6415" s="36"/>
      <c r="P6415" s="37"/>
      <c r="Q6415" s="36"/>
      <c r="R6415" s="36"/>
      <c r="S6415" s="36"/>
      <c r="T6415" s="28"/>
      <c r="U6415" s="38" t="s">
        <v>61</v>
      </c>
      <c r="V6415" s="30" t="s">
        <v>174</v>
      </c>
      <c r="W6415" s="49"/>
      <c r="X6415" s="49"/>
      <c r="Y6415" s="35"/>
      <c r="Z6415" s="35"/>
      <c r="AA6415" s="35"/>
      <c r="AB6415" s="35"/>
      <c r="AC6415" s="35"/>
      <c r="AD6415" s="35"/>
      <c r="AE6415" s="35"/>
      <c r="AF6415" s="35"/>
      <c r="AG6415" s="35"/>
      <c r="AH6415" s="35"/>
      <c r="AI6415" s="35"/>
      <c r="AJ6415" s="35"/>
      <c r="AK6415" s="35"/>
      <c r="AL6415" s="35"/>
    </row>
    <row r="6416">
      <c r="A6416" s="18"/>
      <c r="B6416" s="19" t="s">
        <v>30043</v>
      </c>
      <c r="C6416" s="20" t="s">
        <v>30111</v>
      </c>
      <c r="D6416" s="47"/>
      <c r="E6416" s="22" t="s">
        <v>30112</v>
      </c>
      <c r="F6416" s="22" t="s">
        <v>110</v>
      </c>
      <c r="G6416" s="23">
        <v>2022.0</v>
      </c>
      <c r="H6416" s="22" t="s">
        <v>91</v>
      </c>
      <c r="I6416" s="24" t="s">
        <v>30113</v>
      </c>
      <c r="J6416" s="22" t="s">
        <v>55</v>
      </c>
      <c r="K6416" s="22"/>
      <c r="L6416" s="36">
        <v>660.0</v>
      </c>
      <c r="M6416" s="36">
        <v>100.0</v>
      </c>
      <c r="N6416" s="36"/>
      <c r="O6416" s="36"/>
      <c r="P6416" s="37" t="s">
        <v>269</v>
      </c>
      <c r="Q6416" s="36" t="s">
        <v>30114</v>
      </c>
      <c r="R6416" s="36" t="s">
        <v>13402</v>
      </c>
      <c r="S6416" s="36">
        <v>10.0</v>
      </c>
      <c r="T6416" s="28" t="s">
        <v>30115</v>
      </c>
      <c r="U6416" s="29" t="s">
        <v>61</v>
      </c>
      <c r="V6416" s="30"/>
      <c r="W6416" s="49"/>
      <c r="X6416" s="49"/>
      <c r="Y6416" s="35"/>
      <c r="Z6416" s="35"/>
      <c r="AA6416" s="35"/>
      <c r="AB6416" s="35"/>
      <c r="AC6416" s="35"/>
      <c r="AD6416" s="35"/>
      <c r="AE6416" s="35"/>
      <c r="AF6416" s="35"/>
      <c r="AG6416" s="35"/>
      <c r="AH6416" s="35"/>
      <c r="AI6416" s="35"/>
      <c r="AJ6416" s="35"/>
      <c r="AK6416" s="35"/>
      <c r="AL6416" s="35"/>
    </row>
    <row r="6417">
      <c r="A6417" s="18" t="s">
        <v>38</v>
      </c>
      <c r="B6417" s="19" t="s">
        <v>30043</v>
      </c>
      <c r="C6417" s="20" t="s">
        <v>30116</v>
      </c>
      <c r="D6417" s="47"/>
      <c r="E6417" s="22" t="s">
        <v>388</v>
      </c>
      <c r="F6417" s="22" t="s">
        <v>110</v>
      </c>
      <c r="G6417" s="23">
        <v>2021.0</v>
      </c>
      <c r="H6417" s="22" t="s">
        <v>147</v>
      </c>
      <c r="I6417" s="24" t="s">
        <v>30117</v>
      </c>
      <c r="J6417" s="22" t="s">
        <v>55</v>
      </c>
      <c r="K6417" s="22"/>
      <c r="L6417" s="36">
        <v>660.0</v>
      </c>
      <c r="M6417" s="36">
        <v>100.0</v>
      </c>
      <c r="N6417" s="36"/>
      <c r="O6417" s="36" t="s">
        <v>30118</v>
      </c>
      <c r="P6417" s="37" t="s">
        <v>21170</v>
      </c>
      <c r="Q6417" s="36"/>
      <c r="R6417" s="36"/>
      <c r="S6417" s="36"/>
      <c r="T6417" s="42" t="s">
        <v>30119</v>
      </c>
      <c r="U6417" s="29" t="s">
        <v>61</v>
      </c>
      <c r="V6417" s="30"/>
      <c r="W6417" s="49"/>
      <c r="X6417" s="49"/>
      <c r="Y6417" s="35"/>
      <c r="Z6417" s="35"/>
      <c r="AA6417" s="35"/>
      <c r="AB6417" s="35"/>
      <c r="AC6417" s="35"/>
      <c r="AD6417" s="35"/>
      <c r="AE6417" s="35"/>
      <c r="AF6417" s="35"/>
      <c r="AG6417" s="35"/>
      <c r="AH6417" s="35"/>
      <c r="AI6417" s="35"/>
      <c r="AJ6417" s="35"/>
      <c r="AK6417" s="35"/>
      <c r="AL6417" s="35"/>
    </row>
    <row r="6418">
      <c r="A6418" s="1"/>
      <c r="B6418" s="19" t="s">
        <v>30043</v>
      </c>
      <c r="C6418" s="20" t="s">
        <v>30116</v>
      </c>
      <c r="D6418" s="47"/>
      <c r="E6418" s="22" t="s">
        <v>5883</v>
      </c>
      <c r="F6418" s="22" t="s">
        <v>5884</v>
      </c>
      <c r="G6418" s="23">
        <v>2018.0</v>
      </c>
      <c r="H6418" s="22" t="s">
        <v>207</v>
      </c>
      <c r="I6418" s="24" t="s">
        <v>30120</v>
      </c>
      <c r="J6418" s="22" t="s">
        <v>30121</v>
      </c>
      <c r="K6418" s="22" t="s">
        <v>30122</v>
      </c>
      <c r="L6418" s="36" t="s">
        <v>30123</v>
      </c>
      <c r="M6418" s="36"/>
      <c r="N6418" s="36" t="s">
        <v>821</v>
      </c>
      <c r="O6418" s="129"/>
      <c r="P6418" s="37"/>
      <c r="Q6418" s="36"/>
      <c r="R6418" s="36"/>
      <c r="S6418" s="36"/>
      <c r="T6418" s="42" t="s">
        <v>30124</v>
      </c>
      <c r="U6418" s="38" t="str">
        <f>HYPERLINK("https://www.ncbi.nlm.nih.gov/pubmed/29131990","PubMed")</f>
        <v>PubMed</v>
      </c>
      <c r="V6418" s="30"/>
      <c r="W6418" s="49"/>
      <c r="X6418" s="49"/>
      <c r="Y6418" s="35"/>
      <c r="Z6418" s="35"/>
      <c r="AA6418" s="35"/>
      <c r="AB6418" s="35"/>
      <c r="AC6418" s="35"/>
      <c r="AD6418" s="35"/>
      <c r="AE6418" s="35"/>
      <c r="AF6418" s="35"/>
      <c r="AG6418" s="35"/>
      <c r="AH6418" s="35"/>
      <c r="AI6418" s="35"/>
      <c r="AJ6418" s="35"/>
      <c r="AK6418" s="35"/>
      <c r="AL6418" s="35"/>
    </row>
    <row r="6419">
      <c r="A6419" s="1"/>
      <c r="B6419" s="19" t="s">
        <v>30043</v>
      </c>
      <c r="C6419" s="20" t="s">
        <v>30116</v>
      </c>
      <c r="D6419" s="47"/>
      <c r="E6419" s="22" t="s">
        <v>25086</v>
      </c>
      <c r="F6419" s="22" t="s">
        <v>183</v>
      </c>
      <c r="G6419" s="23">
        <v>2011.0</v>
      </c>
      <c r="H6419" s="22" t="s">
        <v>967</v>
      </c>
      <c r="I6419" s="24" t="s">
        <v>30125</v>
      </c>
      <c r="J6419" s="22" t="s">
        <v>55</v>
      </c>
      <c r="K6419" s="22" t="s">
        <v>306</v>
      </c>
      <c r="L6419" s="36">
        <v>780.0</v>
      </c>
      <c r="M6419" s="36">
        <v>40.0</v>
      </c>
      <c r="N6419" s="36"/>
      <c r="O6419" s="129"/>
      <c r="P6419" s="37" t="s">
        <v>777</v>
      </c>
      <c r="Q6419" s="36"/>
      <c r="R6419" s="36"/>
      <c r="S6419" s="36"/>
      <c r="T6419" s="28" t="s">
        <v>30126</v>
      </c>
      <c r="U6419" s="38" t="str">
        <f>HYPERLINK("https://link.springer.com/article/10.1134/S1054660X11070085","Springer")</f>
        <v>Springer</v>
      </c>
      <c r="V6419" s="30"/>
      <c r="W6419" s="49"/>
      <c r="X6419" s="49"/>
      <c r="Y6419" s="35"/>
      <c r="Z6419" s="35"/>
      <c r="AA6419" s="35"/>
      <c r="AB6419" s="35"/>
      <c r="AC6419" s="35"/>
      <c r="AD6419" s="35"/>
      <c r="AE6419" s="35"/>
      <c r="AF6419" s="35"/>
      <c r="AG6419" s="35"/>
      <c r="AH6419" s="35"/>
      <c r="AI6419" s="35"/>
      <c r="AJ6419" s="35"/>
      <c r="AK6419" s="35"/>
      <c r="AL6419" s="35"/>
    </row>
    <row r="6420">
      <c r="A6420" s="191" t="s">
        <v>181</v>
      </c>
      <c r="B6420" s="19" t="s">
        <v>30043</v>
      </c>
      <c r="C6420" s="20" t="s">
        <v>30116</v>
      </c>
      <c r="D6420" s="47"/>
      <c r="E6420" s="22" t="s">
        <v>30127</v>
      </c>
      <c r="F6420" s="22" t="s">
        <v>748</v>
      </c>
      <c r="G6420" s="23">
        <v>2011.0</v>
      </c>
      <c r="H6420" s="22" t="s">
        <v>30128</v>
      </c>
      <c r="I6420" s="24" t="s">
        <v>30129</v>
      </c>
      <c r="J6420" s="22" t="s">
        <v>44</v>
      </c>
      <c r="K6420" s="22"/>
      <c r="L6420" s="36">
        <v>850.0</v>
      </c>
      <c r="M6420" s="36"/>
      <c r="N6420" s="36"/>
      <c r="O6420" s="129"/>
      <c r="P6420" s="37"/>
      <c r="Q6420" s="36"/>
      <c r="R6420" s="36"/>
      <c r="S6420" s="36"/>
      <c r="T6420" s="42" t="s">
        <v>30130</v>
      </c>
      <c r="U6420" s="38" t="str">
        <f>HYPERLINK("https://www.ncbi.nlm.nih.gov/pubmed/22279766","PubMed")</f>
        <v>PubMed</v>
      </c>
      <c r="V6420" s="30"/>
      <c r="W6420" s="49"/>
      <c r="X6420" s="49"/>
      <c r="Y6420" s="35"/>
      <c r="Z6420" s="35"/>
      <c r="AA6420" s="35"/>
      <c r="AB6420" s="35"/>
      <c r="AC6420" s="35"/>
      <c r="AD6420" s="35"/>
      <c r="AE6420" s="35"/>
      <c r="AF6420" s="35"/>
      <c r="AG6420" s="35"/>
      <c r="AH6420" s="35"/>
      <c r="AI6420" s="35"/>
      <c r="AJ6420" s="35"/>
      <c r="AK6420" s="35"/>
      <c r="AL6420" s="35"/>
    </row>
    <row r="6421">
      <c r="A6421" s="1"/>
      <c r="B6421" s="19" t="s">
        <v>30043</v>
      </c>
      <c r="C6421" s="20" t="s">
        <v>30116</v>
      </c>
      <c r="D6421" s="47"/>
      <c r="E6421" s="22" t="s">
        <v>30131</v>
      </c>
      <c r="F6421" s="22" t="s">
        <v>3064</v>
      </c>
      <c r="G6421" s="23">
        <v>2010.0</v>
      </c>
      <c r="H6421" s="22" t="s">
        <v>292</v>
      </c>
      <c r="I6421" s="24" t="s">
        <v>30132</v>
      </c>
      <c r="J6421" s="22" t="s">
        <v>30133</v>
      </c>
      <c r="K6421" s="22" t="s">
        <v>30134</v>
      </c>
      <c r="L6421" s="36">
        <v>890.0</v>
      </c>
      <c r="M6421" s="36">
        <v>45.0</v>
      </c>
      <c r="N6421" s="36"/>
      <c r="O6421" s="129">
        <v>42592.0</v>
      </c>
      <c r="P6421" s="37"/>
      <c r="Q6421" s="36"/>
      <c r="R6421" s="36">
        <v>240.0</v>
      </c>
      <c r="S6421" s="36">
        <v>12.0</v>
      </c>
      <c r="T6421" s="28" t="s">
        <v>30135</v>
      </c>
      <c r="U6421" s="38" t="str">
        <f>HYPERLINK("https://www.jstage.jst.go.jp/article/islsm/19/2/19_2_89/_article","J-STAGE")</f>
        <v>J-STAGE</v>
      </c>
      <c r="V6421" s="30"/>
      <c r="W6421" s="49"/>
      <c r="X6421" s="49"/>
      <c r="Y6421" s="35"/>
      <c r="Z6421" s="35"/>
      <c r="AA6421" s="35"/>
      <c r="AB6421" s="35"/>
      <c r="AC6421" s="35"/>
      <c r="AD6421" s="35"/>
      <c r="AE6421" s="35"/>
      <c r="AF6421" s="35"/>
      <c r="AG6421" s="35"/>
      <c r="AH6421" s="35"/>
      <c r="AI6421" s="35"/>
      <c r="AJ6421" s="35"/>
      <c r="AK6421" s="35"/>
      <c r="AL6421" s="35"/>
    </row>
    <row r="6422">
      <c r="A6422" s="1"/>
      <c r="B6422" s="19" t="s">
        <v>30043</v>
      </c>
      <c r="C6422" s="20" t="s">
        <v>30116</v>
      </c>
      <c r="D6422" s="47"/>
      <c r="E6422" s="22" t="s">
        <v>6570</v>
      </c>
      <c r="F6422" s="22" t="s">
        <v>6571</v>
      </c>
      <c r="G6422" s="23">
        <v>2000.0</v>
      </c>
      <c r="H6422" s="22" t="s">
        <v>207</v>
      </c>
      <c r="I6422" s="24" t="s">
        <v>30136</v>
      </c>
      <c r="J6422" s="22" t="s">
        <v>10915</v>
      </c>
      <c r="K6422" s="22"/>
      <c r="L6422" s="36">
        <v>780.0</v>
      </c>
      <c r="M6422" s="36"/>
      <c r="N6422" s="36"/>
      <c r="O6422" s="129"/>
      <c r="P6422" s="37" t="s">
        <v>432</v>
      </c>
      <c r="Q6422" s="36"/>
      <c r="R6422" s="36"/>
      <c r="S6422" s="36"/>
      <c r="T6422" s="28" t="s">
        <v>30137</v>
      </c>
      <c r="U6422" s="38" t="str">
        <f>HYPERLINK("https://www.ncbi.nlm.nih.gov/pubmed/11332876","PubMed")</f>
        <v>PubMed</v>
      </c>
      <c r="V6422" s="30"/>
      <c r="W6422" s="49"/>
      <c r="X6422" s="49"/>
      <c r="Y6422" s="35"/>
      <c r="Z6422" s="35"/>
      <c r="AA6422" s="35"/>
      <c r="AB6422" s="35"/>
      <c r="AC6422" s="35"/>
      <c r="AD6422" s="35"/>
      <c r="AE6422" s="35"/>
      <c r="AF6422" s="35"/>
      <c r="AG6422" s="35"/>
      <c r="AH6422" s="35"/>
      <c r="AI6422" s="35"/>
      <c r="AJ6422" s="35"/>
      <c r="AK6422" s="35"/>
      <c r="AL6422" s="35"/>
    </row>
    <row r="6423">
      <c r="A6423" s="1"/>
      <c r="B6423" s="19" t="s">
        <v>30043</v>
      </c>
      <c r="C6423" s="20" t="s">
        <v>30116</v>
      </c>
      <c r="D6423" s="47"/>
      <c r="E6423" s="22" t="s">
        <v>30138</v>
      </c>
      <c r="F6423" s="22" t="s">
        <v>15730</v>
      </c>
      <c r="G6423" s="23">
        <v>1993.0</v>
      </c>
      <c r="H6423" s="22" t="s">
        <v>30139</v>
      </c>
      <c r="I6423" s="24" t="s">
        <v>30140</v>
      </c>
      <c r="J6423" s="22" t="s">
        <v>3694</v>
      </c>
      <c r="K6423" s="22" t="s">
        <v>30141</v>
      </c>
      <c r="L6423" s="36" t="s">
        <v>30142</v>
      </c>
      <c r="M6423" s="36"/>
      <c r="N6423" s="36"/>
      <c r="O6423" s="129"/>
      <c r="P6423" s="37" t="s">
        <v>1984</v>
      </c>
      <c r="Q6423" s="36"/>
      <c r="R6423" s="36">
        <v>60.0</v>
      </c>
      <c r="S6423" s="36"/>
      <c r="T6423" s="42" t="s">
        <v>30143</v>
      </c>
      <c r="U6423" s="38" t="str">
        <f>HYPERLINK("https://www.ncbi.nlm.nih.gov/pubmed/8457828","PubMed")</f>
        <v>PubMed</v>
      </c>
      <c r="V6423" s="30"/>
      <c r="W6423" s="49"/>
      <c r="X6423" s="49"/>
      <c r="Y6423" s="35"/>
      <c r="Z6423" s="35"/>
      <c r="AA6423" s="35"/>
      <c r="AB6423" s="35"/>
      <c r="AC6423" s="35"/>
      <c r="AD6423" s="35"/>
      <c r="AE6423" s="35"/>
      <c r="AF6423" s="35"/>
      <c r="AG6423" s="35"/>
      <c r="AH6423" s="35"/>
      <c r="AI6423" s="35"/>
      <c r="AJ6423" s="35"/>
      <c r="AK6423" s="35"/>
      <c r="AL6423" s="35"/>
    </row>
    <row r="6424">
      <c r="A6424" s="1"/>
      <c r="B6424" s="19" t="s">
        <v>30043</v>
      </c>
      <c r="C6424" s="20" t="s">
        <v>30116</v>
      </c>
      <c r="D6424" s="47"/>
      <c r="E6424" s="22" t="s">
        <v>30138</v>
      </c>
      <c r="F6424" s="22" t="s">
        <v>15730</v>
      </c>
      <c r="G6424" s="23">
        <v>1992.0</v>
      </c>
      <c r="H6424" s="22" t="s">
        <v>53</v>
      </c>
      <c r="I6424" s="24" t="s">
        <v>30144</v>
      </c>
      <c r="J6424" s="22" t="s">
        <v>3694</v>
      </c>
      <c r="K6424" s="22" t="s">
        <v>30141</v>
      </c>
      <c r="L6424" s="36" t="s">
        <v>30142</v>
      </c>
      <c r="M6424" s="36"/>
      <c r="N6424" s="36"/>
      <c r="O6424" s="129"/>
      <c r="P6424" s="37" t="s">
        <v>30145</v>
      </c>
      <c r="Q6424" s="36"/>
      <c r="R6424" s="36"/>
      <c r="S6424" s="36"/>
      <c r="T6424" s="42" t="s">
        <v>30146</v>
      </c>
      <c r="U6424" s="38" t="str">
        <f>HYPERLINK("https://www.ncbi.nlm.nih.gov/pubmed/1508023","PubMed")</f>
        <v>PubMed</v>
      </c>
      <c r="V6424" s="30"/>
      <c r="W6424" s="49"/>
      <c r="X6424" s="49"/>
      <c r="Y6424" s="35"/>
      <c r="Z6424" s="35"/>
      <c r="AA6424" s="35"/>
      <c r="AB6424" s="35"/>
      <c r="AC6424" s="35"/>
      <c r="AD6424" s="35"/>
      <c r="AE6424" s="35"/>
      <c r="AF6424" s="35"/>
      <c r="AG6424" s="35"/>
      <c r="AH6424" s="35"/>
      <c r="AI6424" s="35"/>
      <c r="AJ6424" s="35"/>
      <c r="AK6424" s="35"/>
      <c r="AL6424" s="35"/>
    </row>
    <row r="6425">
      <c r="A6425" s="1"/>
      <c r="B6425" s="19" t="s">
        <v>30043</v>
      </c>
      <c r="C6425" s="20" t="s">
        <v>30116</v>
      </c>
      <c r="D6425" s="47"/>
      <c r="E6425" s="22" t="s">
        <v>30147</v>
      </c>
      <c r="F6425" s="22" t="s">
        <v>30148</v>
      </c>
      <c r="G6425" s="23">
        <v>1987.0</v>
      </c>
      <c r="H6425" s="22" t="s">
        <v>3065</v>
      </c>
      <c r="I6425" s="24" t="s">
        <v>30149</v>
      </c>
      <c r="J6425" s="22" t="s">
        <v>55</v>
      </c>
      <c r="K6425" s="22"/>
      <c r="L6425" s="36">
        <v>633.0</v>
      </c>
      <c r="M6425" s="36"/>
      <c r="N6425" s="36" t="s">
        <v>30150</v>
      </c>
      <c r="O6425" s="129"/>
      <c r="P6425" s="37"/>
      <c r="Q6425" s="36"/>
      <c r="R6425" s="36"/>
      <c r="S6425" s="36"/>
      <c r="T6425" s="28" t="s">
        <v>30151</v>
      </c>
      <c r="U6425" s="38" t="str">
        <f>HYPERLINK("https://link.springer.com/article/10.1007/BF00842496","Springer")</f>
        <v>Springer</v>
      </c>
      <c r="V6425" s="30"/>
      <c r="W6425" s="49"/>
      <c r="X6425" s="49"/>
      <c r="Y6425" s="35"/>
      <c r="Z6425" s="35"/>
      <c r="AA6425" s="35"/>
      <c r="AB6425" s="35"/>
      <c r="AC6425" s="35"/>
      <c r="AD6425" s="35"/>
      <c r="AE6425" s="35"/>
      <c r="AF6425" s="35"/>
      <c r="AG6425" s="35"/>
      <c r="AH6425" s="35"/>
      <c r="AI6425" s="35"/>
      <c r="AJ6425" s="35"/>
      <c r="AK6425" s="35"/>
      <c r="AL6425" s="35"/>
    </row>
    <row r="6426">
      <c r="A6426" s="1"/>
      <c r="B6426" s="19" t="s">
        <v>29702</v>
      </c>
      <c r="C6426" s="20" t="s">
        <v>30152</v>
      </c>
      <c r="D6426" s="47"/>
      <c r="E6426" s="22" t="s">
        <v>30153</v>
      </c>
      <c r="F6426" s="22" t="s">
        <v>3466</v>
      </c>
      <c r="G6426" s="23">
        <v>2008.0</v>
      </c>
      <c r="H6426" s="22" t="s">
        <v>300</v>
      </c>
      <c r="I6426" s="24" t="s">
        <v>30154</v>
      </c>
      <c r="J6426" s="22" t="s">
        <v>125</v>
      </c>
      <c r="K6426" s="22"/>
      <c r="L6426" s="105" t="s">
        <v>30155</v>
      </c>
      <c r="M6426" s="44"/>
      <c r="N6426" s="44"/>
      <c r="O6426" s="44"/>
      <c r="P6426" s="44"/>
      <c r="Q6426" s="44"/>
      <c r="R6426" s="44"/>
      <c r="S6426" s="44"/>
      <c r="T6426" s="45"/>
      <c r="U6426" s="29" t="s">
        <v>61</v>
      </c>
      <c r="V6426" s="50"/>
      <c r="W6426" s="49"/>
      <c r="X6426" s="49"/>
      <c r="Y6426" s="35"/>
      <c r="Z6426" s="35"/>
      <c r="AA6426" s="35"/>
      <c r="AB6426" s="35"/>
      <c r="AC6426" s="35"/>
      <c r="AD6426" s="35"/>
      <c r="AE6426" s="35"/>
      <c r="AF6426" s="35"/>
      <c r="AG6426" s="35"/>
      <c r="AH6426" s="35"/>
      <c r="AI6426" s="35"/>
      <c r="AJ6426" s="35"/>
      <c r="AK6426" s="35"/>
      <c r="AL6426" s="35"/>
    </row>
    <row r="6427">
      <c r="A6427" s="1"/>
      <c r="B6427" s="19" t="s">
        <v>29702</v>
      </c>
      <c r="C6427" s="20" t="s">
        <v>30156</v>
      </c>
      <c r="D6427" s="47"/>
      <c r="E6427" s="22" t="s">
        <v>30157</v>
      </c>
      <c r="F6427" s="22" t="s">
        <v>6319</v>
      </c>
      <c r="G6427" s="23">
        <v>2022.0</v>
      </c>
      <c r="H6427" s="22" t="s">
        <v>29662</v>
      </c>
      <c r="I6427" s="24" t="s">
        <v>30158</v>
      </c>
      <c r="J6427" s="22" t="s">
        <v>30159</v>
      </c>
      <c r="K6427" s="22"/>
      <c r="L6427" s="105" t="s">
        <v>30160</v>
      </c>
      <c r="M6427" s="44"/>
      <c r="N6427" s="44"/>
      <c r="O6427" s="44"/>
      <c r="P6427" s="44"/>
      <c r="Q6427" s="44"/>
      <c r="R6427" s="44"/>
      <c r="S6427" s="44"/>
      <c r="T6427" s="45"/>
      <c r="U6427" s="29" t="s">
        <v>61</v>
      </c>
      <c r="V6427" s="50"/>
      <c r="W6427" s="49"/>
      <c r="X6427" s="49"/>
      <c r="Y6427" s="35"/>
      <c r="Z6427" s="35"/>
      <c r="AA6427" s="35"/>
      <c r="AB6427" s="35"/>
      <c r="AC6427" s="35"/>
      <c r="AD6427" s="35"/>
      <c r="AE6427" s="35"/>
      <c r="AF6427" s="35"/>
      <c r="AG6427" s="35"/>
      <c r="AH6427" s="35"/>
      <c r="AI6427" s="35"/>
      <c r="AJ6427" s="35"/>
      <c r="AK6427" s="35"/>
      <c r="AL6427" s="35"/>
    </row>
    <row r="6428">
      <c r="A6428" s="1"/>
      <c r="B6428" s="19" t="s">
        <v>29702</v>
      </c>
      <c r="C6428" s="20" t="s">
        <v>30161</v>
      </c>
      <c r="D6428" s="47"/>
      <c r="E6428" s="22" t="s">
        <v>19208</v>
      </c>
      <c r="F6428" s="22" t="s">
        <v>30162</v>
      </c>
      <c r="G6428" s="23">
        <v>2020.0</v>
      </c>
      <c r="H6428" s="22" t="s">
        <v>1025</v>
      </c>
      <c r="I6428" s="24" t="s">
        <v>30163</v>
      </c>
      <c r="J6428" s="22" t="s">
        <v>31</v>
      </c>
      <c r="K6428" s="22" t="s">
        <v>30164</v>
      </c>
      <c r="L6428" s="36" t="s">
        <v>30165</v>
      </c>
      <c r="M6428" s="36"/>
      <c r="N6428" s="36"/>
      <c r="O6428" s="129"/>
      <c r="P6428" s="37"/>
      <c r="Q6428" s="36"/>
      <c r="R6428" s="36"/>
      <c r="S6428" s="36"/>
      <c r="T6428" s="42" t="s">
        <v>30166</v>
      </c>
      <c r="U6428" s="38" t="str">
        <f>HYPERLINK("https://www.ncbi.nlm.nih.gov/pubmed/32193907","PubMed")</f>
        <v>PubMed</v>
      </c>
      <c r="V6428" s="50"/>
      <c r="W6428" s="49"/>
      <c r="X6428" s="49"/>
      <c r="Y6428" s="35"/>
      <c r="Z6428" s="35"/>
      <c r="AA6428" s="35"/>
      <c r="AB6428" s="35"/>
      <c r="AC6428" s="35"/>
      <c r="AD6428" s="35"/>
      <c r="AE6428" s="35"/>
      <c r="AF6428" s="35"/>
      <c r="AG6428" s="35"/>
      <c r="AH6428" s="35"/>
      <c r="AI6428" s="35"/>
      <c r="AJ6428" s="35"/>
      <c r="AK6428" s="35"/>
      <c r="AL6428" s="35"/>
    </row>
    <row r="6429">
      <c r="A6429" s="1"/>
      <c r="B6429" s="19" t="s">
        <v>30167</v>
      </c>
      <c r="C6429" s="20"/>
      <c r="D6429" s="47"/>
      <c r="E6429" s="22"/>
      <c r="F6429" s="22" t="s">
        <v>1416</v>
      </c>
      <c r="G6429" s="23">
        <v>1992.0</v>
      </c>
      <c r="H6429" s="22" t="s">
        <v>292</v>
      </c>
      <c r="I6429" s="24" t="s">
        <v>30168</v>
      </c>
      <c r="J6429" s="22" t="s">
        <v>30169</v>
      </c>
      <c r="K6429" s="22"/>
      <c r="L6429" s="43"/>
      <c r="M6429" s="44"/>
      <c r="N6429" s="44"/>
      <c r="O6429" s="44"/>
      <c r="P6429" s="44"/>
      <c r="Q6429" s="44"/>
      <c r="R6429" s="44"/>
      <c r="S6429" s="44"/>
      <c r="T6429" s="45"/>
      <c r="U6429" s="38" t="str">
        <f>HYPERLINK("https://www.jstage.jst.go.jp/article/islsm/4/2/4_92-PR-01/_article/-char/en","J-STAGE")</f>
        <v>J-STAGE</v>
      </c>
      <c r="V6429" s="50"/>
      <c r="W6429" s="49"/>
      <c r="X6429" s="49"/>
      <c r="Y6429" s="35"/>
      <c r="Z6429" s="35"/>
      <c r="AA6429" s="35"/>
      <c r="AB6429" s="35"/>
      <c r="AC6429" s="35"/>
      <c r="AD6429" s="35"/>
      <c r="AE6429" s="35"/>
      <c r="AF6429" s="35"/>
      <c r="AG6429" s="35"/>
      <c r="AH6429" s="35"/>
      <c r="AI6429" s="35"/>
      <c r="AJ6429" s="35"/>
      <c r="AK6429" s="35"/>
      <c r="AL6429" s="35"/>
    </row>
    <row r="6430">
      <c r="A6430" s="1"/>
      <c r="B6430" s="19" t="s">
        <v>30167</v>
      </c>
      <c r="C6430" s="20"/>
      <c r="D6430" s="47"/>
      <c r="E6430" s="22"/>
      <c r="F6430" s="22" t="s">
        <v>1416</v>
      </c>
      <c r="G6430" s="23">
        <v>1989.0</v>
      </c>
      <c r="H6430" s="22" t="s">
        <v>292</v>
      </c>
      <c r="I6430" s="24" t="s">
        <v>30170</v>
      </c>
      <c r="J6430" s="22" t="s">
        <v>30169</v>
      </c>
      <c r="K6430" s="22" t="s">
        <v>30171</v>
      </c>
      <c r="L6430" s="43"/>
      <c r="M6430" s="44"/>
      <c r="N6430" s="44"/>
      <c r="O6430" s="44"/>
      <c r="P6430" s="44"/>
      <c r="Q6430" s="44"/>
      <c r="R6430" s="44"/>
      <c r="S6430" s="44"/>
      <c r="T6430" s="45"/>
      <c r="U6430" s="38" t="str">
        <f>HYPERLINK("https://www.jstage.jst.go.jp/article/islsm/1/1/1_89-PR-01/_article/-char/en","J-STAGE")</f>
        <v>J-STAGE</v>
      </c>
      <c r="V6430" s="50"/>
      <c r="W6430" s="49"/>
      <c r="X6430" s="49"/>
      <c r="Y6430" s="35"/>
      <c r="Z6430" s="35"/>
      <c r="AA6430" s="35"/>
      <c r="AB6430" s="35"/>
      <c r="AC6430" s="35"/>
      <c r="AD6430" s="35"/>
      <c r="AE6430" s="35"/>
      <c r="AF6430" s="35"/>
      <c r="AG6430" s="35"/>
      <c r="AH6430" s="35"/>
      <c r="AI6430" s="35"/>
      <c r="AJ6430" s="35"/>
      <c r="AK6430" s="35"/>
      <c r="AL6430" s="35"/>
    </row>
    <row r="6431" ht="20.25" customHeight="1">
      <c r="A6431" s="191" t="s">
        <v>181</v>
      </c>
      <c r="B6431" s="19" t="s">
        <v>30172</v>
      </c>
      <c r="C6431" s="158" t="s">
        <v>30173</v>
      </c>
      <c r="D6431" s="159"/>
      <c r="E6431" s="22" t="s">
        <v>30174</v>
      </c>
      <c r="F6431" s="23" t="s">
        <v>1862</v>
      </c>
      <c r="G6431" s="23">
        <v>2018.0</v>
      </c>
      <c r="H6431" s="22" t="s">
        <v>129</v>
      </c>
      <c r="I6431" s="24" t="s">
        <v>30175</v>
      </c>
      <c r="J6431" s="22" t="s">
        <v>30176</v>
      </c>
      <c r="K6431" s="96"/>
      <c r="L6431" s="36">
        <v>904.0</v>
      </c>
      <c r="M6431" s="36"/>
      <c r="N6431" s="36"/>
      <c r="O6431" s="107"/>
      <c r="P6431" s="109"/>
      <c r="Q6431" s="107"/>
      <c r="R6431" s="36" t="s">
        <v>30177</v>
      </c>
      <c r="S6431" s="36" t="s">
        <v>6951</v>
      </c>
      <c r="T6431" s="41" t="s">
        <v>30178</v>
      </c>
      <c r="U6431" s="38" t="str">
        <f>HYPERLINK("https://www.ncbi.nlm.nih.gov/pubmed/30511966","PubMed")</f>
        <v>PubMed</v>
      </c>
      <c r="V6431" s="136" t="s">
        <v>30179</v>
      </c>
      <c r="W6431" s="49"/>
      <c r="X6431" s="49"/>
      <c r="Y6431" s="35"/>
      <c r="Z6431" s="35"/>
      <c r="AA6431" s="35"/>
      <c r="AB6431" s="35"/>
      <c r="AC6431" s="35"/>
      <c r="AD6431" s="35"/>
      <c r="AE6431" s="35"/>
      <c r="AF6431" s="35"/>
      <c r="AG6431" s="35"/>
      <c r="AH6431" s="35"/>
      <c r="AI6431" s="35"/>
      <c r="AJ6431" s="35"/>
      <c r="AK6431" s="35"/>
      <c r="AL6431" s="35"/>
    </row>
    <row r="6432" ht="20.25" customHeight="1">
      <c r="A6432" s="18" t="s">
        <v>38</v>
      </c>
      <c r="B6432" s="19" t="s">
        <v>30172</v>
      </c>
      <c r="C6432" s="158" t="s">
        <v>30173</v>
      </c>
      <c r="D6432" s="159"/>
      <c r="E6432" s="22" t="s">
        <v>4252</v>
      </c>
      <c r="F6432" s="23" t="s">
        <v>4448</v>
      </c>
      <c r="G6432" s="23">
        <v>2015.0</v>
      </c>
      <c r="H6432" s="22" t="s">
        <v>30180</v>
      </c>
      <c r="I6432" s="24" t="s">
        <v>30181</v>
      </c>
      <c r="J6432" s="22" t="s">
        <v>29165</v>
      </c>
      <c r="K6432" s="96"/>
      <c r="L6432" s="36">
        <v>904.0</v>
      </c>
      <c r="M6432" s="36"/>
      <c r="N6432" s="36"/>
      <c r="O6432" s="107"/>
      <c r="P6432" s="37" t="s">
        <v>671</v>
      </c>
      <c r="Q6432" s="107"/>
      <c r="R6432" s="36">
        <v>600.0</v>
      </c>
      <c r="S6432" s="36">
        <v>6.0</v>
      </c>
      <c r="T6432" s="28" t="s">
        <v>30182</v>
      </c>
      <c r="U6432" s="38" t="str">
        <f>HYPERLINK("https://journals.sagepub.com/doi/abs/10.5992/AJCS-D-14-00036.1","SAGE")</f>
        <v>SAGE</v>
      </c>
      <c r="V6432" s="139"/>
      <c r="W6432" s="49"/>
      <c r="X6432" s="49"/>
      <c r="Y6432" s="35"/>
      <c r="Z6432" s="35"/>
      <c r="AA6432" s="35"/>
      <c r="AB6432" s="35"/>
      <c r="AC6432" s="35"/>
      <c r="AD6432" s="35"/>
      <c r="AE6432" s="35"/>
      <c r="AF6432" s="35"/>
      <c r="AG6432" s="35"/>
      <c r="AH6432" s="35"/>
      <c r="AI6432" s="35"/>
      <c r="AJ6432" s="35"/>
      <c r="AK6432" s="35"/>
      <c r="AL6432" s="35"/>
    </row>
    <row r="6433" ht="20.25" customHeight="1">
      <c r="A6433" s="180"/>
      <c r="B6433" s="19" t="s">
        <v>30172</v>
      </c>
      <c r="C6433" s="158" t="s">
        <v>30183</v>
      </c>
      <c r="D6433" s="159"/>
      <c r="E6433" s="22" t="s">
        <v>30184</v>
      </c>
      <c r="F6433" s="23" t="s">
        <v>19584</v>
      </c>
      <c r="G6433" s="23">
        <v>1989.0</v>
      </c>
      <c r="H6433" s="22" t="s">
        <v>30185</v>
      </c>
      <c r="I6433" s="24" t="s">
        <v>30186</v>
      </c>
      <c r="J6433" s="22" t="s">
        <v>30187</v>
      </c>
      <c r="K6433" s="96"/>
      <c r="L6433" s="36">
        <v>633.0</v>
      </c>
      <c r="M6433" s="36">
        <v>25.0</v>
      </c>
      <c r="N6433" s="36"/>
      <c r="O6433" s="107"/>
      <c r="P6433" s="109"/>
      <c r="Q6433" s="107"/>
      <c r="R6433" s="107"/>
      <c r="S6433" s="107"/>
      <c r="T6433" s="41" t="s">
        <v>30188</v>
      </c>
      <c r="U6433" s="38" t="str">
        <f>HYPERLINK("https://onlinelibrary.wiley.com/doi/abs/10.1111/j.1439-0442.1989.tb00770.x","Wiley")</f>
        <v>Wiley</v>
      </c>
      <c r="V6433" s="139"/>
      <c r="W6433" s="49"/>
      <c r="X6433" s="49"/>
      <c r="Y6433" s="35"/>
      <c r="Z6433" s="35"/>
      <c r="AA6433" s="35"/>
      <c r="AB6433" s="35"/>
      <c r="AC6433" s="35"/>
      <c r="AD6433" s="35"/>
      <c r="AE6433" s="35"/>
      <c r="AF6433" s="35"/>
      <c r="AG6433" s="35"/>
      <c r="AH6433" s="35"/>
      <c r="AI6433" s="35"/>
      <c r="AJ6433" s="35"/>
      <c r="AK6433" s="35"/>
      <c r="AL6433" s="35"/>
    </row>
    <row r="6434" ht="20.25" customHeight="1">
      <c r="A6434" s="180"/>
      <c r="B6434" s="19" t="s">
        <v>30172</v>
      </c>
      <c r="C6434" s="158" t="s">
        <v>30189</v>
      </c>
      <c r="D6434" s="159"/>
      <c r="E6434" s="22" t="s">
        <v>30190</v>
      </c>
      <c r="F6434" s="23" t="s">
        <v>6406</v>
      </c>
      <c r="G6434" s="23">
        <v>2019.0</v>
      </c>
      <c r="H6434" s="22" t="s">
        <v>30191</v>
      </c>
      <c r="I6434" s="24" t="s">
        <v>30192</v>
      </c>
      <c r="J6434" s="22" t="s">
        <v>30187</v>
      </c>
      <c r="K6434" s="96"/>
      <c r="L6434" s="36" t="s">
        <v>30193</v>
      </c>
      <c r="M6434" s="36"/>
      <c r="N6434" s="36"/>
      <c r="O6434" s="107"/>
      <c r="P6434" s="109"/>
      <c r="Q6434" s="107"/>
      <c r="R6434" s="107"/>
      <c r="S6434" s="107"/>
      <c r="T6434" s="28" t="s">
        <v>30194</v>
      </c>
      <c r="U6434" s="38" t="str">
        <f>HYPERLINK("https://www.ncbi.nlm.nih.gov/pubmed/31599550","PubMed")</f>
        <v>PubMed</v>
      </c>
      <c r="V6434" s="136" t="s">
        <v>30195</v>
      </c>
      <c r="W6434" s="49"/>
      <c r="X6434" s="49"/>
      <c r="Y6434" s="35"/>
      <c r="Z6434" s="35"/>
      <c r="AA6434" s="35"/>
      <c r="AB6434" s="35"/>
      <c r="AC6434" s="35"/>
      <c r="AD6434" s="35"/>
      <c r="AE6434" s="35"/>
      <c r="AF6434" s="35"/>
      <c r="AG6434" s="35"/>
      <c r="AH6434" s="35"/>
      <c r="AI6434" s="35"/>
      <c r="AJ6434" s="35"/>
      <c r="AK6434" s="35"/>
      <c r="AL6434" s="35"/>
    </row>
    <row r="6435" ht="20.25" customHeight="1">
      <c r="A6435" s="180"/>
      <c r="B6435" s="19" t="s">
        <v>30172</v>
      </c>
      <c r="C6435" s="158" t="s">
        <v>30189</v>
      </c>
      <c r="D6435" s="159"/>
      <c r="E6435" s="22" t="s">
        <v>30196</v>
      </c>
      <c r="F6435" s="23" t="s">
        <v>1398</v>
      </c>
      <c r="G6435" s="23">
        <v>1994.0</v>
      </c>
      <c r="H6435" s="22" t="s">
        <v>292</v>
      </c>
      <c r="I6435" s="24" t="s">
        <v>30197</v>
      </c>
      <c r="J6435" s="22" t="s">
        <v>30187</v>
      </c>
      <c r="K6435" s="96"/>
      <c r="L6435" s="36">
        <v>830.0</v>
      </c>
      <c r="M6435" s="36">
        <v>80.0</v>
      </c>
      <c r="N6435" s="36"/>
      <c r="O6435" s="107"/>
      <c r="P6435" s="109"/>
      <c r="Q6435" s="107"/>
      <c r="R6435" s="107"/>
      <c r="S6435" s="107"/>
      <c r="T6435" s="28" t="s">
        <v>30198</v>
      </c>
      <c r="U6435" s="38" t="str">
        <f>HYPERLINK("https://www.jstage.jst.go.jp/article/islsm/6/3/6_94-OR-10/_article/-char/en","J-STAGE")</f>
        <v>J-STAGE</v>
      </c>
      <c r="V6435" s="139"/>
      <c r="W6435" s="49"/>
      <c r="X6435" s="49"/>
      <c r="Y6435" s="35"/>
      <c r="Z6435" s="35"/>
      <c r="AA6435" s="35"/>
      <c r="AB6435" s="35"/>
      <c r="AC6435" s="35"/>
      <c r="AD6435" s="35"/>
      <c r="AE6435" s="35"/>
      <c r="AF6435" s="35"/>
      <c r="AG6435" s="35"/>
      <c r="AH6435" s="35"/>
      <c r="AI6435" s="35"/>
      <c r="AJ6435" s="35"/>
      <c r="AK6435" s="35"/>
      <c r="AL6435" s="35"/>
    </row>
    <row r="6436" ht="20.25" customHeight="1">
      <c r="A6436" s="180"/>
      <c r="B6436" s="19" t="s">
        <v>30172</v>
      </c>
      <c r="C6436" s="158" t="s">
        <v>30199</v>
      </c>
      <c r="D6436" s="159"/>
      <c r="E6436" s="22" t="s">
        <v>626</v>
      </c>
      <c r="F6436" s="23" t="s">
        <v>30200</v>
      </c>
      <c r="G6436" s="23">
        <v>2014.0</v>
      </c>
      <c r="H6436" s="22" t="s">
        <v>30201</v>
      </c>
      <c r="I6436" s="24" t="s">
        <v>30202</v>
      </c>
      <c r="J6436" s="22" t="s">
        <v>55</v>
      </c>
      <c r="K6436" s="96"/>
      <c r="L6436" s="36">
        <v>650.0</v>
      </c>
      <c r="M6436" s="129">
        <v>42492.0</v>
      </c>
      <c r="N6436" s="36" t="s">
        <v>1069</v>
      </c>
      <c r="O6436" s="107"/>
      <c r="P6436" s="109"/>
      <c r="Q6436" s="107"/>
      <c r="R6436" s="107"/>
      <c r="S6436" s="107"/>
      <c r="T6436" s="28" t="s">
        <v>30203</v>
      </c>
      <c r="U6436" s="38" t="str">
        <f>HYPERLINK("https://www.ncbi.nlm.nih.gov/pubmed/25452258","PubMed")</f>
        <v>PubMed</v>
      </c>
      <c r="V6436" s="139"/>
      <c r="W6436" s="49"/>
      <c r="X6436" s="49"/>
      <c r="Y6436" s="35"/>
      <c r="Z6436" s="35"/>
      <c r="AA6436" s="35"/>
      <c r="AB6436" s="35"/>
      <c r="AC6436" s="35"/>
      <c r="AD6436" s="35"/>
      <c r="AE6436" s="35"/>
      <c r="AF6436" s="35"/>
      <c r="AG6436" s="35"/>
      <c r="AH6436" s="35"/>
      <c r="AI6436" s="35"/>
      <c r="AJ6436" s="35"/>
      <c r="AK6436" s="35"/>
      <c r="AL6436" s="35"/>
    </row>
    <row r="6437" ht="20.25" customHeight="1">
      <c r="A6437" s="180"/>
      <c r="B6437" s="19" t="s">
        <v>30172</v>
      </c>
      <c r="C6437" s="158" t="s">
        <v>30204</v>
      </c>
      <c r="D6437" s="159"/>
      <c r="E6437" s="22" t="s">
        <v>88</v>
      </c>
      <c r="F6437" s="23" t="s">
        <v>30205</v>
      </c>
      <c r="G6437" s="23">
        <v>2022.0</v>
      </c>
      <c r="H6437" s="22" t="s">
        <v>91</v>
      </c>
      <c r="I6437" s="24" t="s">
        <v>30206</v>
      </c>
      <c r="J6437" s="22" t="s">
        <v>522</v>
      </c>
      <c r="K6437" s="22" t="s">
        <v>30207</v>
      </c>
      <c r="L6437" s="36">
        <v>660.0</v>
      </c>
      <c r="M6437" s="129"/>
      <c r="N6437" s="36"/>
      <c r="O6437" s="107"/>
      <c r="P6437" s="109"/>
      <c r="Q6437" s="107"/>
      <c r="R6437" s="107"/>
      <c r="S6437" s="107"/>
      <c r="T6437" s="41" t="s">
        <v>30208</v>
      </c>
      <c r="U6437" s="29" t="s">
        <v>61</v>
      </c>
      <c r="V6437" s="139"/>
      <c r="W6437" s="49"/>
      <c r="X6437" s="49"/>
      <c r="Y6437" s="35"/>
      <c r="Z6437" s="35"/>
      <c r="AA6437" s="35"/>
      <c r="AB6437" s="35"/>
      <c r="AC6437" s="35"/>
      <c r="AD6437" s="35"/>
      <c r="AE6437" s="35"/>
      <c r="AF6437" s="35"/>
      <c r="AG6437" s="35"/>
      <c r="AH6437" s="35"/>
      <c r="AI6437" s="35"/>
      <c r="AJ6437" s="35"/>
      <c r="AK6437" s="35"/>
      <c r="AL6437" s="35"/>
    </row>
    <row r="6438">
      <c r="A6438" s="40" t="s">
        <v>181</v>
      </c>
      <c r="B6438" s="19" t="s">
        <v>30172</v>
      </c>
      <c r="C6438" s="20" t="s">
        <v>30209</v>
      </c>
      <c r="D6438" s="47"/>
      <c r="E6438" s="22" t="s">
        <v>30210</v>
      </c>
      <c r="F6438" s="22" t="s">
        <v>30211</v>
      </c>
      <c r="G6438" s="23">
        <v>2023.0</v>
      </c>
      <c r="H6438" s="22" t="s">
        <v>91</v>
      </c>
      <c r="I6438" s="24" t="s">
        <v>30212</v>
      </c>
      <c r="J6438" s="22" t="s">
        <v>30213</v>
      </c>
      <c r="K6438" s="22"/>
      <c r="L6438" s="36" t="s">
        <v>30214</v>
      </c>
      <c r="M6438" s="36" t="s">
        <v>30215</v>
      </c>
      <c r="N6438" s="36" t="s">
        <v>58</v>
      </c>
      <c r="O6438" s="36" t="s">
        <v>58</v>
      </c>
      <c r="P6438" s="37" t="s">
        <v>269</v>
      </c>
      <c r="Q6438" s="36" t="s">
        <v>30216</v>
      </c>
      <c r="R6438" s="36" t="s">
        <v>30217</v>
      </c>
      <c r="S6438" s="36" t="s">
        <v>10290</v>
      </c>
      <c r="T6438" s="28" t="s">
        <v>30218</v>
      </c>
      <c r="U6438" s="38" t="s">
        <v>61</v>
      </c>
      <c r="V6438" s="30"/>
      <c r="W6438" s="49"/>
      <c r="X6438" s="49"/>
      <c r="Y6438" s="35"/>
      <c r="Z6438" s="35"/>
      <c r="AA6438" s="35"/>
      <c r="AB6438" s="35"/>
      <c r="AC6438" s="35"/>
      <c r="AD6438" s="35"/>
      <c r="AE6438" s="35"/>
      <c r="AF6438" s="35"/>
      <c r="AG6438" s="35"/>
      <c r="AH6438" s="35"/>
      <c r="AI6438" s="35"/>
      <c r="AJ6438" s="35"/>
      <c r="AK6438" s="35"/>
      <c r="AL6438" s="35"/>
    </row>
    <row r="6439">
      <c r="A6439" s="1"/>
      <c r="B6439" s="19" t="s">
        <v>30172</v>
      </c>
      <c r="C6439" s="20" t="s">
        <v>30209</v>
      </c>
      <c r="D6439" s="47"/>
      <c r="E6439" s="22" t="s">
        <v>30219</v>
      </c>
      <c r="F6439" s="22" t="s">
        <v>720</v>
      </c>
      <c r="G6439" s="23">
        <v>2019.0</v>
      </c>
      <c r="H6439" s="22" t="s">
        <v>91</v>
      </c>
      <c r="I6439" s="24" t="s">
        <v>30220</v>
      </c>
      <c r="J6439" s="22" t="s">
        <v>30221</v>
      </c>
      <c r="K6439" s="22" t="s">
        <v>30222</v>
      </c>
      <c r="L6439" s="36">
        <v>660.0</v>
      </c>
      <c r="M6439" s="36" t="s">
        <v>18205</v>
      </c>
      <c r="N6439" s="36"/>
      <c r="O6439" s="36" t="s">
        <v>30223</v>
      </c>
      <c r="P6439" s="37" t="s">
        <v>1307</v>
      </c>
      <c r="Q6439" s="36" t="s">
        <v>675</v>
      </c>
      <c r="R6439" s="36" t="s">
        <v>30224</v>
      </c>
      <c r="S6439" s="36" t="s">
        <v>30225</v>
      </c>
      <c r="T6439" s="28" t="s">
        <v>30226</v>
      </c>
      <c r="U6439" s="38" t="str">
        <f>HYPERLINK("https://www.ncbi.nlm.nih.gov/pubmed/31659541","PubMed")</f>
        <v>PubMed</v>
      </c>
      <c r="V6439" s="30"/>
      <c r="W6439" s="49"/>
      <c r="X6439" s="49"/>
      <c r="Y6439" s="35"/>
      <c r="Z6439" s="35"/>
      <c r="AA6439" s="35"/>
      <c r="AB6439" s="35"/>
      <c r="AC6439" s="35"/>
      <c r="AD6439" s="35"/>
      <c r="AE6439" s="35"/>
      <c r="AF6439" s="35"/>
      <c r="AG6439" s="35"/>
      <c r="AH6439" s="35"/>
      <c r="AI6439" s="35"/>
      <c r="AJ6439" s="35"/>
      <c r="AK6439" s="35"/>
      <c r="AL6439" s="35"/>
    </row>
    <row r="6440">
      <c r="A6440" s="18"/>
      <c r="B6440" s="19" t="s">
        <v>30172</v>
      </c>
      <c r="C6440" s="20" t="s">
        <v>30209</v>
      </c>
      <c r="D6440" s="47"/>
      <c r="E6440" s="22" t="s">
        <v>30227</v>
      </c>
      <c r="F6440" s="22" t="s">
        <v>24346</v>
      </c>
      <c r="G6440" s="23">
        <v>2018.0</v>
      </c>
      <c r="H6440" s="22" t="s">
        <v>13450</v>
      </c>
      <c r="I6440" s="24" t="s">
        <v>30228</v>
      </c>
      <c r="J6440" s="22" t="s">
        <v>30229</v>
      </c>
      <c r="K6440" s="22"/>
      <c r="L6440" s="36" t="s">
        <v>30230</v>
      </c>
      <c r="M6440" s="36" t="s">
        <v>30231</v>
      </c>
      <c r="N6440" s="36" t="s">
        <v>30232</v>
      </c>
      <c r="O6440" s="36" t="s">
        <v>30233</v>
      </c>
      <c r="P6440" s="37" t="s">
        <v>30234</v>
      </c>
      <c r="Q6440" s="36"/>
      <c r="R6440" s="36"/>
      <c r="S6440" s="36">
        <v>1.0</v>
      </c>
      <c r="T6440" s="28" t="s">
        <v>30235</v>
      </c>
      <c r="U6440" s="38" t="str">
        <f>HYPERLINK("https://www.ncbi.nlm.nih.gov/pubmed/30719420","PubMed")</f>
        <v>PubMed</v>
      </c>
      <c r="V6440" s="50"/>
      <c r="W6440" s="34"/>
      <c r="X6440" s="49"/>
      <c r="Y6440" s="35"/>
      <c r="Z6440" s="35"/>
      <c r="AA6440" s="35"/>
      <c r="AB6440" s="35"/>
      <c r="AC6440" s="35"/>
      <c r="AD6440" s="35"/>
      <c r="AE6440" s="35"/>
      <c r="AF6440" s="35"/>
      <c r="AG6440" s="35"/>
      <c r="AH6440" s="35"/>
      <c r="AI6440" s="35"/>
      <c r="AJ6440" s="35"/>
      <c r="AK6440" s="35"/>
      <c r="AL6440" s="35"/>
    </row>
    <row r="6441">
      <c r="A6441" s="1"/>
      <c r="B6441" s="19" t="s">
        <v>30172</v>
      </c>
      <c r="C6441" s="20" t="s">
        <v>30236</v>
      </c>
      <c r="D6441" s="47"/>
      <c r="E6441" s="22" t="s">
        <v>30237</v>
      </c>
      <c r="F6441" s="22" t="s">
        <v>13592</v>
      </c>
      <c r="G6441" s="23">
        <v>1981.0</v>
      </c>
      <c r="H6441" s="22" t="s">
        <v>53</v>
      </c>
      <c r="I6441" s="24" t="s">
        <v>30238</v>
      </c>
      <c r="J6441" s="22" t="s">
        <v>30239</v>
      </c>
      <c r="K6441" s="22"/>
      <c r="L6441" s="36">
        <v>632.0</v>
      </c>
      <c r="M6441" s="36">
        <v>5.0</v>
      </c>
      <c r="N6441" s="36"/>
      <c r="O6441" s="36"/>
      <c r="P6441" s="37" t="s">
        <v>2555</v>
      </c>
      <c r="Q6441" s="36" t="s">
        <v>675</v>
      </c>
      <c r="R6441" s="36">
        <v>195.0</v>
      </c>
      <c r="S6441" s="36"/>
      <c r="T6441" s="28" t="s">
        <v>30240</v>
      </c>
      <c r="U6441" s="38" t="str">
        <f>HYPERLINK("https://www.ncbi.nlm.nih.gov/pubmed/7341894","PubMed")</f>
        <v>PubMed</v>
      </c>
      <c r="V6441" s="30"/>
      <c r="W6441" s="49"/>
      <c r="X6441" s="49"/>
      <c r="Y6441" s="35"/>
      <c r="Z6441" s="35"/>
      <c r="AA6441" s="35"/>
      <c r="AB6441" s="35"/>
      <c r="AC6441" s="35"/>
      <c r="AD6441" s="35"/>
      <c r="AE6441" s="35"/>
      <c r="AF6441" s="35"/>
      <c r="AG6441" s="35"/>
      <c r="AH6441" s="35"/>
      <c r="AI6441" s="35"/>
      <c r="AJ6441" s="35"/>
      <c r="AK6441" s="35"/>
      <c r="AL6441" s="35"/>
    </row>
    <row r="6442">
      <c r="A6442" s="1"/>
      <c r="B6442" s="19" t="s">
        <v>30172</v>
      </c>
      <c r="C6442" s="20" t="s">
        <v>30241</v>
      </c>
      <c r="D6442" s="47"/>
      <c r="E6442" s="22" t="s">
        <v>14640</v>
      </c>
      <c r="F6442" s="22" t="s">
        <v>5889</v>
      </c>
      <c r="G6442" s="23">
        <v>2014.0</v>
      </c>
      <c r="H6442" s="22" t="s">
        <v>30242</v>
      </c>
      <c r="I6442" s="24" t="s">
        <v>30243</v>
      </c>
      <c r="J6442" s="22" t="s">
        <v>9041</v>
      </c>
      <c r="K6442" s="22" t="s">
        <v>157</v>
      </c>
      <c r="L6442" s="36">
        <v>632.0</v>
      </c>
      <c r="M6442" s="36"/>
      <c r="N6442" s="36"/>
      <c r="O6442" s="36"/>
      <c r="P6442" s="37"/>
      <c r="Q6442" s="36"/>
      <c r="R6442" s="36"/>
      <c r="S6442" s="36"/>
      <c r="T6442" s="28" t="s">
        <v>30244</v>
      </c>
      <c r="U6442" s="38" t="str">
        <f>HYPERLINK("https://www.ncbi.nlm.nih.gov/pubmed/24795325","PubMed")</f>
        <v>PubMed</v>
      </c>
      <c r="V6442" s="30"/>
      <c r="W6442" s="49"/>
      <c r="X6442" s="49"/>
      <c r="Y6442" s="35"/>
      <c r="Z6442" s="35"/>
      <c r="AA6442" s="35"/>
      <c r="AB6442" s="35"/>
      <c r="AC6442" s="35"/>
      <c r="AD6442" s="35"/>
      <c r="AE6442" s="35"/>
      <c r="AF6442" s="35"/>
      <c r="AG6442" s="35"/>
      <c r="AH6442" s="35"/>
      <c r="AI6442" s="35"/>
      <c r="AJ6442" s="35"/>
      <c r="AK6442" s="35"/>
      <c r="AL6442" s="35"/>
    </row>
    <row r="6443">
      <c r="A6443" s="1"/>
      <c r="B6443" s="19" t="s">
        <v>30172</v>
      </c>
      <c r="C6443" s="20" t="s">
        <v>30245</v>
      </c>
      <c r="D6443" s="47"/>
      <c r="E6443" s="22" t="s">
        <v>30246</v>
      </c>
      <c r="F6443" s="22" t="s">
        <v>41</v>
      </c>
      <c r="G6443" s="23">
        <v>2021.0</v>
      </c>
      <c r="H6443" s="22" t="s">
        <v>77</v>
      </c>
      <c r="I6443" s="24" t="s">
        <v>30247</v>
      </c>
      <c r="J6443" s="22" t="s">
        <v>30248</v>
      </c>
      <c r="K6443" s="22" t="s">
        <v>30249</v>
      </c>
      <c r="L6443" s="36" t="s">
        <v>3031</v>
      </c>
      <c r="M6443" s="36"/>
      <c r="N6443" s="36" t="s">
        <v>30250</v>
      </c>
      <c r="O6443" s="36" t="s">
        <v>30251</v>
      </c>
      <c r="P6443" s="37"/>
      <c r="Q6443" s="36"/>
      <c r="R6443" s="36">
        <v>600.0</v>
      </c>
      <c r="S6443" s="36">
        <v>1.0</v>
      </c>
      <c r="T6443" s="42" t="s">
        <v>30252</v>
      </c>
      <c r="U6443" s="29" t="s">
        <v>61</v>
      </c>
      <c r="V6443" s="30"/>
      <c r="W6443" s="49"/>
      <c r="X6443" s="49"/>
      <c r="Y6443" s="35"/>
      <c r="Z6443" s="35"/>
      <c r="AA6443" s="35"/>
      <c r="AB6443" s="35"/>
      <c r="AC6443" s="35"/>
      <c r="AD6443" s="35"/>
      <c r="AE6443" s="35"/>
      <c r="AF6443" s="35"/>
      <c r="AG6443" s="35"/>
      <c r="AH6443" s="35"/>
      <c r="AI6443" s="35"/>
      <c r="AJ6443" s="35"/>
      <c r="AK6443" s="35"/>
      <c r="AL6443" s="35"/>
    </row>
    <row r="6444">
      <c r="A6444" s="1"/>
      <c r="B6444" s="19" t="s">
        <v>30172</v>
      </c>
      <c r="C6444" s="20" t="s">
        <v>30253</v>
      </c>
      <c r="D6444" s="47"/>
      <c r="E6444" s="22" t="s">
        <v>30254</v>
      </c>
      <c r="F6444" s="22" t="s">
        <v>30255</v>
      </c>
      <c r="G6444" s="23">
        <v>2017.0</v>
      </c>
      <c r="H6444" s="22" t="s">
        <v>30256</v>
      </c>
      <c r="I6444" s="24" t="s">
        <v>30257</v>
      </c>
      <c r="J6444" s="22" t="s">
        <v>30258</v>
      </c>
      <c r="K6444" s="22"/>
      <c r="L6444" s="36" t="s">
        <v>30193</v>
      </c>
      <c r="M6444" s="36"/>
      <c r="N6444" s="36"/>
      <c r="O6444" s="36"/>
      <c r="P6444" s="37" t="s">
        <v>30259</v>
      </c>
      <c r="Q6444" s="36"/>
      <c r="R6444" s="36"/>
      <c r="S6444" s="36"/>
      <c r="T6444" s="28" t="s">
        <v>30260</v>
      </c>
      <c r="U6444" s="29" t="s">
        <v>61</v>
      </c>
      <c r="V6444" s="30"/>
      <c r="W6444" s="49"/>
      <c r="X6444" s="49"/>
      <c r="Y6444" s="35"/>
      <c r="Z6444" s="35"/>
      <c r="AA6444" s="35"/>
      <c r="AB6444" s="35"/>
      <c r="AC6444" s="35"/>
      <c r="AD6444" s="35"/>
      <c r="AE6444" s="35"/>
      <c r="AF6444" s="35"/>
      <c r="AG6444" s="35"/>
      <c r="AH6444" s="35"/>
      <c r="AI6444" s="35"/>
      <c r="AJ6444" s="35"/>
      <c r="AK6444" s="35"/>
      <c r="AL6444" s="35"/>
    </row>
    <row r="6445">
      <c r="A6445" s="1"/>
      <c r="B6445" s="19" t="s">
        <v>30172</v>
      </c>
      <c r="C6445" s="20" t="s">
        <v>30261</v>
      </c>
      <c r="D6445" s="47"/>
      <c r="E6445" s="22" t="s">
        <v>1621</v>
      </c>
      <c r="F6445" s="22" t="s">
        <v>2196</v>
      </c>
      <c r="G6445" s="23">
        <v>2024.0</v>
      </c>
      <c r="H6445" s="22" t="s">
        <v>42</v>
      </c>
      <c r="I6445" s="24" t="s">
        <v>30262</v>
      </c>
      <c r="J6445" s="22" t="s">
        <v>209</v>
      </c>
      <c r="K6445" s="22" t="s">
        <v>1684</v>
      </c>
      <c r="L6445" s="36" t="s">
        <v>30263</v>
      </c>
      <c r="M6445" s="129"/>
      <c r="N6445" s="36"/>
      <c r="O6445" s="36"/>
      <c r="P6445" s="37"/>
      <c r="Q6445" s="36"/>
      <c r="R6445" s="36"/>
      <c r="S6445" s="36"/>
      <c r="T6445" s="28" t="s">
        <v>30264</v>
      </c>
      <c r="U6445" s="38" t="s">
        <v>61</v>
      </c>
      <c r="V6445" s="30"/>
      <c r="W6445" s="49"/>
      <c r="X6445" s="49"/>
      <c r="Y6445" s="35"/>
      <c r="Z6445" s="35"/>
      <c r="AA6445" s="35"/>
      <c r="AB6445" s="35"/>
      <c r="AC6445" s="35"/>
      <c r="AD6445" s="35"/>
      <c r="AE6445" s="35"/>
      <c r="AF6445" s="35"/>
      <c r="AG6445" s="35"/>
      <c r="AH6445" s="35"/>
      <c r="AI6445" s="35"/>
      <c r="AJ6445" s="35"/>
      <c r="AK6445" s="35"/>
      <c r="AL6445" s="35"/>
    </row>
    <row r="6446">
      <c r="A6446" s="1"/>
      <c r="B6446" s="19" t="s">
        <v>30172</v>
      </c>
      <c r="C6446" s="20" t="s">
        <v>30261</v>
      </c>
      <c r="D6446" s="47"/>
      <c r="E6446" s="22" t="s">
        <v>626</v>
      </c>
      <c r="F6446" s="22" t="s">
        <v>224</v>
      </c>
      <c r="G6446" s="23">
        <v>2023.0</v>
      </c>
      <c r="H6446" s="22" t="s">
        <v>383</v>
      </c>
      <c r="I6446" s="24" t="s">
        <v>30265</v>
      </c>
      <c r="J6446" s="22" t="s">
        <v>30266</v>
      </c>
      <c r="K6446" s="22" t="s">
        <v>30267</v>
      </c>
      <c r="L6446" s="36">
        <v>630.0</v>
      </c>
      <c r="M6446" s="129">
        <v>45048.0</v>
      </c>
      <c r="N6446" s="36"/>
      <c r="O6446" s="36"/>
      <c r="P6446" s="37"/>
      <c r="Q6446" s="36"/>
      <c r="R6446" s="36"/>
      <c r="S6446" s="36"/>
      <c r="T6446" s="42" t="s">
        <v>30268</v>
      </c>
      <c r="U6446" s="38" t="s">
        <v>61</v>
      </c>
      <c r="V6446" s="30"/>
      <c r="W6446" s="49"/>
      <c r="X6446" s="49"/>
      <c r="Y6446" s="35"/>
      <c r="Z6446" s="35"/>
      <c r="AA6446" s="35"/>
      <c r="AB6446" s="35"/>
      <c r="AC6446" s="35"/>
      <c r="AD6446" s="35"/>
      <c r="AE6446" s="35"/>
      <c r="AF6446" s="35"/>
      <c r="AG6446" s="35"/>
      <c r="AH6446" s="35"/>
      <c r="AI6446" s="35"/>
      <c r="AJ6446" s="35"/>
      <c r="AK6446" s="35"/>
      <c r="AL6446" s="35"/>
    </row>
    <row r="6447">
      <c r="A6447" s="1"/>
      <c r="B6447" s="19" t="s">
        <v>30172</v>
      </c>
      <c r="C6447" s="20" t="s">
        <v>30261</v>
      </c>
      <c r="D6447" s="47"/>
      <c r="E6447" s="22" t="s">
        <v>1921</v>
      </c>
      <c r="F6447" s="22" t="s">
        <v>30269</v>
      </c>
      <c r="G6447" s="23">
        <v>2022.0</v>
      </c>
      <c r="H6447" s="22" t="s">
        <v>91</v>
      </c>
      <c r="I6447" s="24" t="s">
        <v>30270</v>
      </c>
      <c r="J6447" s="22" t="s">
        <v>30271</v>
      </c>
      <c r="K6447" s="22" t="s">
        <v>30272</v>
      </c>
      <c r="L6447" s="36"/>
      <c r="M6447" s="36"/>
      <c r="N6447" s="36"/>
      <c r="O6447" s="36"/>
      <c r="P6447" s="37"/>
      <c r="Q6447" s="36"/>
      <c r="R6447" s="36"/>
      <c r="S6447" s="36"/>
      <c r="T6447" s="42" t="s">
        <v>30273</v>
      </c>
      <c r="U6447" s="29" t="s">
        <v>61</v>
      </c>
      <c r="V6447" s="30"/>
      <c r="W6447" s="49"/>
      <c r="X6447" s="49"/>
      <c r="Y6447" s="35"/>
      <c r="Z6447" s="35"/>
      <c r="AA6447" s="35"/>
      <c r="AB6447" s="35"/>
      <c r="AC6447" s="35"/>
      <c r="AD6447" s="35"/>
      <c r="AE6447" s="35"/>
      <c r="AF6447" s="35"/>
      <c r="AG6447" s="35"/>
      <c r="AH6447" s="35"/>
      <c r="AI6447" s="35"/>
      <c r="AJ6447" s="35"/>
      <c r="AK6447" s="35"/>
      <c r="AL6447" s="35"/>
    </row>
    <row r="6448">
      <c r="A6448" s="1"/>
      <c r="B6448" s="19" t="s">
        <v>30172</v>
      </c>
      <c r="C6448" s="20" t="s">
        <v>30261</v>
      </c>
      <c r="D6448" s="47"/>
      <c r="E6448" s="22" t="s">
        <v>2019</v>
      </c>
      <c r="F6448" s="22" t="s">
        <v>17580</v>
      </c>
      <c r="G6448" s="23">
        <v>2021.0</v>
      </c>
      <c r="H6448" s="22" t="s">
        <v>1958</v>
      </c>
      <c r="I6448" s="24" t="s">
        <v>30274</v>
      </c>
      <c r="J6448" s="22" t="s">
        <v>30275</v>
      </c>
      <c r="K6448" s="22" t="s">
        <v>4743</v>
      </c>
      <c r="L6448" s="36" t="s">
        <v>30276</v>
      </c>
      <c r="M6448" s="36"/>
      <c r="N6448" s="36"/>
      <c r="O6448" s="36"/>
      <c r="P6448" s="37"/>
      <c r="Q6448" s="36"/>
      <c r="R6448" s="36"/>
      <c r="S6448" s="36">
        <v>9.0</v>
      </c>
      <c r="T6448" s="28" t="s">
        <v>30277</v>
      </c>
      <c r="U6448" s="29" t="s">
        <v>61</v>
      </c>
      <c r="V6448" s="30"/>
      <c r="W6448" s="49"/>
      <c r="X6448" s="49"/>
      <c r="Y6448" s="35"/>
      <c r="Z6448" s="35"/>
      <c r="AA6448" s="35"/>
      <c r="AB6448" s="35"/>
      <c r="AC6448" s="35"/>
      <c r="AD6448" s="35"/>
      <c r="AE6448" s="35"/>
      <c r="AF6448" s="35"/>
      <c r="AG6448" s="35"/>
      <c r="AH6448" s="35"/>
      <c r="AI6448" s="35"/>
      <c r="AJ6448" s="35"/>
      <c r="AK6448" s="35"/>
      <c r="AL6448" s="35"/>
    </row>
    <row r="6449">
      <c r="A6449" s="1"/>
      <c r="B6449" s="19" t="s">
        <v>30172</v>
      </c>
      <c r="C6449" s="20" t="s">
        <v>30261</v>
      </c>
      <c r="D6449" s="47"/>
      <c r="E6449" s="22" t="s">
        <v>2019</v>
      </c>
      <c r="F6449" s="22" t="s">
        <v>1943</v>
      </c>
      <c r="G6449" s="23">
        <v>2017.0</v>
      </c>
      <c r="H6449" s="22" t="s">
        <v>1958</v>
      </c>
      <c r="I6449" s="24" t="s">
        <v>30278</v>
      </c>
      <c r="J6449" s="22" t="s">
        <v>30279</v>
      </c>
      <c r="K6449" s="22" t="s">
        <v>30280</v>
      </c>
      <c r="L6449" s="36">
        <v>1064.0</v>
      </c>
      <c r="M6449" s="36"/>
      <c r="N6449" s="36"/>
      <c r="O6449" s="36"/>
      <c r="P6449" s="37"/>
      <c r="Q6449" s="36"/>
      <c r="R6449" s="36"/>
      <c r="S6449" s="36">
        <v>9.0</v>
      </c>
      <c r="T6449" s="28" t="s">
        <v>30281</v>
      </c>
      <c r="U6449" s="38" t="str">
        <f>HYPERLINK("https://www.ncbi.nlm.nih.gov/pubmed/29184281","PubMed")</f>
        <v>PubMed</v>
      </c>
      <c r="V6449" s="30"/>
      <c r="W6449" s="49"/>
      <c r="X6449" s="49"/>
      <c r="Y6449" s="35"/>
      <c r="Z6449" s="35"/>
      <c r="AA6449" s="35"/>
      <c r="AB6449" s="35"/>
      <c r="AC6449" s="35"/>
      <c r="AD6449" s="35"/>
      <c r="AE6449" s="35"/>
      <c r="AF6449" s="35"/>
      <c r="AG6449" s="35"/>
      <c r="AH6449" s="35"/>
      <c r="AI6449" s="35"/>
      <c r="AJ6449" s="35"/>
      <c r="AK6449" s="35"/>
      <c r="AL6449" s="35"/>
    </row>
    <row r="6450">
      <c r="A6450" s="1"/>
      <c r="B6450" s="19" t="s">
        <v>30172</v>
      </c>
      <c r="C6450" s="20" t="s">
        <v>30261</v>
      </c>
      <c r="D6450" s="47"/>
      <c r="E6450" s="22" t="s">
        <v>1648</v>
      </c>
      <c r="F6450" s="22" t="s">
        <v>30282</v>
      </c>
      <c r="G6450" s="23">
        <v>2016.0</v>
      </c>
      <c r="H6450" s="22" t="s">
        <v>30283</v>
      </c>
      <c r="I6450" s="24" t="s">
        <v>30284</v>
      </c>
      <c r="J6450" s="22" t="s">
        <v>30285</v>
      </c>
      <c r="K6450" s="22" t="s">
        <v>157</v>
      </c>
      <c r="L6450" s="36">
        <v>610.0</v>
      </c>
      <c r="M6450" s="36" t="s">
        <v>58</v>
      </c>
      <c r="N6450" s="36" t="s">
        <v>30286</v>
      </c>
      <c r="O6450" s="36" t="s">
        <v>58</v>
      </c>
      <c r="P6450" s="37" t="s">
        <v>58</v>
      </c>
      <c r="Q6450" s="36" t="s">
        <v>58</v>
      </c>
      <c r="R6450" s="36">
        <v>1200.0</v>
      </c>
      <c r="S6450" s="36" t="s">
        <v>30287</v>
      </c>
      <c r="T6450" s="28" t="s">
        <v>30288</v>
      </c>
      <c r="U6450" s="38" t="str">
        <f>HYPERLINK("https://www.ncbi.nlm.nih.gov/pubmed/26797192","PubMed")</f>
        <v>PubMed</v>
      </c>
      <c r="V6450" s="30" t="s">
        <v>30289</v>
      </c>
      <c r="W6450" s="49"/>
      <c r="X6450" s="49"/>
      <c r="Y6450" s="35"/>
      <c r="Z6450" s="35"/>
      <c r="AA6450" s="35"/>
      <c r="AB6450" s="35"/>
      <c r="AC6450" s="35"/>
      <c r="AD6450" s="35"/>
      <c r="AE6450" s="35"/>
      <c r="AF6450" s="35"/>
      <c r="AG6450" s="35"/>
      <c r="AH6450" s="35"/>
      <c r="AI6450" s="35"/>
      <c r="AJ6450" s="35"/>
      <c r="AK6450" s="35"/>
      <c r="AL6450" s="35"/>
    </row>
    <row r="6451">
      <c r="A6451" s="1"/>
      <c r="B6451" s="19" t="s">
        <v>30172</v>
      </c>
      <c r="C6451" s="20" t="s">
        <v>30261</v>
      </c>
      <c r="D6451" s="47"/>
      <c r="E6451" s="22" t="s">
        <v>1759</v>
      </c>
      <c r="F6451" s="22" t="s">
        <v>1649</v>
      </c>
      <c r="G6451" s="23">
        <v>2012.0</v>
      </c>
      <c r="H6451" s="22" t="s">
        <v>30290</v>
      </c>
      <c r="I6451" s="24" t="s">
        <v>30291</v>
      </c>
      <c r="J6451" s="22" t="s">
        <v>30292</v>
      </c>
      <c r="K6451" s="22" t="s">
        <v>157</v>
      </c>
      <c r="L6451" s="36">
        <v>610.0</v>
      </c>
      <c r="M6451" s="36"/>
      <c r="N6451" s="36" t="s">
        <v>1975</v>
      </c>
      <c r="O6451" s="36"/>
      <c r="P6451" s="37"/>
      <c r="Q6451" s="36"/>
      <c r="R6451" s="36">
        <v>1200.0</v>
      </c>
      <c r="S6451" s="36" t="s">
        <v>30293</v>
      </c>
      <c r="T6451" s="28" t="s">
        <v>30294</v>
      </c>
      <c r="U6451" s="38" t="str">
        <f>HYPERLINK("https://www.ncbi.nlm.nih.gov/pubmed/22648444","PubMed")</f>
        <v>PubMed</v>
      </c>
      <c r="V6451" s="30"/>
      <c r="W6451" s="49"/>
      <c r="X6451" s="49"/>
      <c r="Y6451" s="35"/>
      <c r="Z6451" s="35"/>
      <c r="AA6451" s="35"/>
      <c r="AB6451" s="35"/>
      <c r="AC6451" s="35"/>
      <c r="AD6451" s="35"/>
      <c r="AE6451" s="35"/>
      <c r="AF6451" s="35"/>
      <c r="AG6451" s="35"/>
      <c r="AH6451" s="35"/>
      <c r="AI6451" s="35"/>
      <c r="AJ6451" s="35"/>
      <c r="AK6451" s="35"/>
      <c r="AL6451" s="35"/>
    </row>
    <row r="6452">
      <c r="A6452" s="1"/>
      <c r="B6452" s="19" t="s">
        <v>30172</v>
      </c>
      <c r="C6452" s="20" t="s">
        <v>30295</v>
      </c>
      <c r="D6452" s="47"/>
      <c r="E6452" s="22" t="s">
        <v>30296</v>
      </c>
      <c r="F6452" s="22" t="s">
        <v>1943</v>
      </c>
      <c r="G6452" s="23">
        <v>2018.0</v>
      </c>
      <c r="H6452" s="22" t="s">
        <v>91</v>
      </c>
      <c r="I6452" s="24" t="s">
        <v>30297</v>
      </c>
      <c r="J6452" s="22" t="s">
        <v>31</v>
      </c>
      <c r="K6452" s="22" t="s">
        <v>30298</v>
      </c>
      <c r="L6452" s="36">
        <v>635.0</v>
      </c>
      <c r="M6452" s="36"/>
      <c r="N6452" s="36"/>
      <c r="O6452" s="36"/>
      <c r="P6452" s="37" t="s">
        <v>30299</v>
      </c>
      <c r="Q6452" s="36"/>
      <c r="R6452" s="36"/>
      <c r="S6452" s="36"/>
      <c r="T6452" s="28" t="s">
        <v>30300</v>
      </c>
      <c r="U6452" s="38" t="str">
        <f>HYPERLINK("https://www.ncbi.nlm.nih.gov/pubmed/29546619","PubMed")</f>
        <v>PubMed</v>
      </c>
      <c r="V6452" s="30"/>
      <c r="W6452" s="49"/>
      <c r="X6452" s="49"/>
      <c r="Y6452" s="35"/>
      <c r="Z6452" s="35"/>
      <c r="AA6452" s="35"/>
      <c r="AB6452" s="35"/>
      <c r="AC6452" s="35"/>
      <c r="AD6452" s="35"/>
      <c r="AE6452" s="35"/>
      <c r="AF6452" s="35"/>
      <c r="AG6452" s="35"/>
      <c r="AH6452" s="35"/>
      <c r="AI6452" s="35"/>
      <c r="AJ6452" s="35"/>
      <c r="AK6452" s="35"/>
      <c r="AL6452" s="35"/>
    </row>
    <row r="6453">
      <c r="A6453" s="18" t="s">
        <v>38</v>
      </c>
      <c r="B6453" s="19" t="s">
        <v>30172</v>
      </c>
      <c r="C6453" s="20" t="s">
        <v>30301</v>
      </c>
      <c r="D6453" s="47"/>
      <c r="E6453" s="22" t="s">
        <v>30302</v>
      </c>
      <c r="F6453" s="22" t="s">
        <v>3040</v>
      </c>
      <c r="G6453" s="23">
        <v>2024.0</v>
      </c>
      <c r="H6453" s="22" t="s">
        <v>30303</v>
      </c>
      <c r="I6453" s="24" t="s">
        <v>30304</v>
      </c>
      <c r="J6453" s="22" t="s">
        <v>44</v>
      </c>
      <c r="K6453" s="22" t="s">
        <v>30305</v>
      </c>
      <c r="L6453" s="36" t="s">
        <v>30306</v>
      </c>
      <c r="M6453" s="36"/>
      <c r="N6453" s="36"/>
      <c r="O6453" s="36"/>
      <c r="P6453" s="37"/>
      <c r="Q6453" s="36"/>
      <c r="R6453" s="36"/>
      <c r="S6453" s="36" t="s">
        <v>3125</v>
      </c>
      <c r="T6453" s="28" t="s">
        <v>30307</v>
      </c>
      <c r="U6453" s="38" t="s">
        <v>61</v>
      </c>
      <c r="V6453" s="30"/>
      <c r="W6453" s="49"/>
      <c r="X6453" s="49"/>
      <c r="Y6453" s="35"/>
      <c r="Z6453" s="35"/>
      <c r="AA6453" s="35"/>
      <c r="AB6453" s="35"/>
      <c r="AC6453" s="35"/>
      <c r="AD6453" s="35"/>
      <c r="AE6453" s="35"/>
      <c r="AF6453" s="35"/>
      <c r="AG6453" s="35"/>
      <c r="AH6453" s="35"/>
      <c r="AI6453" s="35"/>
      <c r="AJ6453" s="35"/>
      <c r="AK6453" s="35"/>
      <c r="AL6453" s="35"/>
    </row>
    <row r="6454">
      <c r="A6454" s="1"/>
      <c r="B6454" s="19" t="s">
        <v>30172</v>
      </c>
      <c r="C6454" s="20" t="s">
        <v>30301</v>
      </c>
      <c r="D6454" s="47"/>
      <c r="E6454" s="22" t="s">
        <v>2338</v>
      </c>
      <c r="F6454" s="22" t="s">
        <v>3301</v>
      </c>
      <c r="G6454" s="23">
        <v>2023.0</v>
      </c>
      <c r="H6454" s="22" t="s">
        <v>30308</v>
      </c>
      <c r="I6454" s="24" t="s">
        <v>30309</v>
      </c>
      <c r="J6454" s="22" t="s">
        <v>55</v>
      </c>
      <c r="K6454" s="22"/>
      <c r="L6454" s="36">
        <v>808.0</v>
      </c>
      <c r="M6454" s="36"/>
      <c r="N6454" s="36"/>
      <c r="O6454" s="36"/>
      <c r="P6454" s="37"/>
      <c r="Q6454" s="36"/>
      <c r="R6454" s="36"/>
      <c r="S6454" s="36"/>
      <c r="T6454" s="28" t="s">
        <v>30310</v>
      </c>
      <c r="U6454" s="38" t="s">
        <v>61</v>
      </c>
      <c r="V6454" s="30"/>
      <c r="W6454" s="49"/>
      <c r="X6454" s="49"/>
      <c r="Y6454" s="35"/>
      <c r="Z6454" s="35"/>
      <c r="AA6454" s="35"/>
      <c r="AB6454" s="35"/>
      <c r="AC6454" s="35"/>
      <c r="AD6454" s="35"/>
      <c r="AE6454" s="35"/>
      <c r="AF6454" s="35"/>
      <c r="AG6454" s="35"/>
      <c r="AH6454" s="35"/>
      <c r="AI6454" s="35"/>
      <c r="AJ6454" s="35"/>
      <c r="AK6454" s="35"/>
      <c r="AL6454" s="35"/>
    </row>
    <row r="6455">
      <c r="A6455" s="1"/>
      <c r="B6455" s="19" t="s">
        <v>30172</v>
      </c>
      <c r="C6455" s="20" t="s">
        <v>30311</v>
      </c>
      <c r="D6455" s="47"/>
      <c r="E6455" s="22" t="s">
        <v>3617</v>
      </c>
      <c r="F6455" s="22" t="s">
        <v>1081</v>
      </c>
      <c r="G6455" s="23">
        <v>2021.0</v>
      </c>
      <c r="H6455" s="22" t="s">
        <v>30312</v>
      </c>
      <c r="I6455" s="24" t="s">
        <v>30313</v>
      </c>
      <c r="J6455" s="22" t="s">
        <v>30314</v>
      </c>
      <c r="K6455" s="22"/>
      <c r="L6455" s="36"/>
      <c r="M6455" s="36"/>
      <c r="N6455" s="36" t="s">
        <v>30315</v>
      </c>
      <c r="O6455" s="36"/>
      <c r="P6455" s="37"/>
      <c r="Q6455" s="36"/>
      <c r="R6455" s="36"/>
      <c r="S6455" s="36"/>
      <c r="T6455" s="28" t="s">
        <v>30316</v>
      </c>
      <c r="U6455" s="29" t="s">
        <v>61</v>
      </c>
      <c r="V6455" s="30"/>
      <c r="W6455" s="49"/>
      <c r="X6455" s="49"/>
      <c r="Y6455" s="35"/>
      <c r="Z6455" s="35"/>
      <c r="AA6455" s="35"/>
      <c r="AB6455" s="35"/>
      <c r="AC6455" s="35"/>
      <c r="AD6455" s="35"/>
      <c r="AE6455" s="35"/>
      <c r="AF6455" s="35"/>
      <c r="AG6455" s="35"/>
      <c r="AH6455" s="35"/>
      <c r="AI6455" s="35"/>
      <c r="AJ6455" s="35"/>
      <c r="AK6455" s="35"/>
      <c r="AL6455" s="35"/>
    </row>
    <row r="6456">
      <c r="A6456" s="1"/>
      <c r="B6456" s="19" t="s">
        <v>30172</v>
      </c>
      <c r="C6456" s="20" t="s">
        <v>30317</v>
      </c>
      <c r="D6456" s="47"/>
      <c r="E6456" s="22" t="s">
        <v>14256</v>
      </c>
      <c r="F6456" s="22" t="s">
        <v>3958</v>
      </c>
      <c r="G6456" s="23">
        <v>2023.0</v>
      </c>
      <c r="H6456" s="22" t="s">
        <v>383</v>
      </c>
      <c r="I6456" s="24" t="s">
        <v>30318</v>
      </c>
      <c r="J6456" s="22" t="s">
        <v>30319</v>
      </c>
      <c r="K6456" s="22"/>
      <c r="L6456" s="36"/>
      <c r="M6456" s="36"/>
      <c r="N6456" s="36"/>
      <c r="O6456" s="36"/>
      <c r="P6456" s="37" t="s">
        <v>30320</v>
      </c>
      <c r="Q6456" s="36"/>
      <c r="R6456" s="36"/>
      <c r="S6456" s="36"/>
      <c r="T6456" s="28" t="s">
        <v>30321</v>
      </c>
      <c r="U6456" s="38" t="s">
        <v>61</v>
      </c>
      <c r="V6456" s="30"/>
      <c r="W6456" s="49"/>
      <c r="X6456" s="49"/>
      <c r="Y6456" s="35"/>
      <c r="Z6456" s="35"/>
      <c r="AA6456" s="35"/>
      <c r="AB6456" s="35"/>
      <c r="AC6456" s="35"/>
      <c r="AD6456" s="35"/>
      <c r="AE6456" s="35"/>
      <c r="AF6456" s="35"/>
      <c r="AG6456" s="35"/>
      <c r="AH6456" s="35"/>
      <c r="AI6456" s="35"/>
      <c r="AJ6456" s="35"/>
      <c r="AK6456" s="35"/>
      <c r="AL6456" s="35"/>
    </row>
    <row r="6457">
      <c r="A6457" s="1"/>
      <c r="B6457" s="19" t="s">
        <v>30172</v>
      </c>
      <c r="C6457" s="20" t="s">
        <v>30322</v>
      </c>
      <c r="D6457" s="47"/>
      <c r="E6457" s="22" t="s">
        <v>23931</v>
      </c>
      <c r="F6457" s="22" t="s">
        <v>30323</v>
      </c>
      <c r="G6457" s="23">
        <v>2018.0</v>
      </c>
      <c r="H6457" s="22" t="s">
        <v>3828</v>
      </c>
      <c r="I6457" s="24" t="s">
        <v>30324</v>
      </c>
      <c r="J6457" s="22" t="s">
        <v>30325</v>
      </c>
      <c r="K6457" s="22" t="s">
        <v>9631</v>
      </c>
      <c r="L6457" s="36">
        <v>625.0</v>
      </c>
      <c r="M6457" s="36" t="s">
        <v>30326</v>
      </c>
      <c r="N6457" s="36" t="s">
        <v>30327</v>
      </c>
      <c r="O6457" s="36"/>
      <c r="P6457" s="37"/>
      <c r="Q6457" s="36"/>
      <c r="R6457" s="36">
        <v>1200.0</v>
      </c>
      <c r="S6457" s="36"/>
      <c r="T6457" s="28" t="s">
        <v>30328</v>
      </c>
      <c r="U6457" s="38" t="str">
        <f>HYPERLINK("https://www.ncbi.nlm.nih.gov/pubmed/30213012","PubMed")</f>
        <v>PubMed</v>
      </c>
      <c r="V6457" s="30" t="s">
        <v>30329</v>
      </c>
      <c r="W6457" s="49"/>
      <c r="X6457" s="49"/>
      <c r="Y6457" s="35"/>
      <c r="Z6457" s="35"/>
      <c r="AA6457" s="35"/>
      <c r="AB6457" s="35"/>
      <c r="AC6457" s="35"/>
      <c r="AD6457" s="35"/>
      <c r="AE6457" s="35"/>
      <c r="AF6457" s="35"/>
      <c r="AG6457" s="35"/>
      <c r="AH6457" s="35"/>
      <c r="AI6457" s="35"/>
      <c r="AJ6457" s="35"/>
      <c r="AK6457" s="35"/>
      <c r="AL6457" s="35"/>
    </row>
    <row r="6458">
      <c r="A6458" s="1"/>
      <c r="B6458" s="19" t="s">
        <v>30172</v>
      </c>
      <c r="C6458" s="158" t="s">
        <v>30330</v>
      </c>
      <c r="D6458" s="47"/>
      <c r="E6458" s="22" t="s">
        <v>3300</v>
      </c>
      <c r="F6458" s="22" t="s">
        <v>2196</v>
      </c>
      <c r="G6458" s="23">
        <v>2023.0</v>
      </c>
      <c r="H6458" s="22" t="s">
        <v>4975</v>
      </c>
      <c r="I6458" s="24" t="s">
        <v>30331</v>
      </c>
      <c r="J6458" s="22" t="s">
        <v>55</v>
      </c>
      <c r="K6458" s="22"/>
      <c r="L6458" s="52"/>
      <c r="M6458" s="52"/>
      <c r="N6458" s="52"/>
      <c r="O6458" s="52"/>
      <c r="P6458" s="189"/>
      <c r="Q6458" s="52"/>
      <c r="R6458" s="52"/>
      <c r="S6458" s="52"/>
      <c r="T6458" s="28" t="s">
        <v>30332</v>
      </c>
      <c r="U6458" s="38" t="s">
        <v>61</v>
      </c>
      <c r="V6458" s="30" t="s">
        <v>174</v>
      </c>
      <c r="W6458" s="49"/>
      <c r="X6458" s="49"/>
      <c r="Y6458" s="35"/>
      <c r="Z6458" s="35"/>
      <c r="AA6458" s="35"/>
      <c r="AB6458" s="35"/>
      <c r="AC6458" s="35"/>
      <c r="AD6458" s="35"/>
      <c r="AE6458" s="35"/>
      <c r="AF6458" s="35"/>
      <c r="AG6458" s="35"/>
      <c r="AH6458" s="35"/>
      <c r="AI6458" s="35"/>
      <c r="AJ6458" s="35"/>
      <c r="AK6458" s="35"/>
      <c r="AL6458" s="35"/>
    </row>
    <row r="6459">
      <c r="A6459" s="1"/>
      <c r="B6459" s="19" t="s">
        <v>30172</v>
      </c>
      <c r="C6459" s="158" t="s">
        <v>30333</v>
      </c>
      <c r="D6459" s="47"/>
      <c r="E6459" s="22" t="s">
        <v>30334</v>
      </c>
      <c r="F6459" s="22" t="s">
        <v>4724</v>
      </c>
      <c r="G6459" s="23">
        <v>2023.0</v>
      </c>
      <c r="H6459" s="22" t="s">
        <v>147</v>
      </c>
      <c r="I6459" s="24" t="s">
        <v>30335</v>
      </c>
      <c r="J6459" s="22" t="s">
        <v>25653</v>
      </c>
      <c r="K6459" s="22"/>
      <c r="L6459" s="196" t="s">
        <v>30336</v>
      </c>
      <c r="U6459" s="38" t="s">
        <v>61</v>
      </c>
      <c r="V6459" s="30"/>
      <c r="W6459" s="49"/>
      <c r="X6459" s="49"/>
      <c r="Y6459" s="35"/>
      <c r="Z6459" s="35"/>
      <c r="AA6459" s="35"/>
      <c r="AB6459" s="35"/>
      <c r="AC6459" s="35"/>
      <c r="AD6459" s="35"/>
      <c r="AE6459" s="35"/>
      <c r="AF6459" s="35"/>
      <c r="AG6459" s="35"/>
      <c r="AH6459" s="35"/>
      <c r="AI6459" s="35"/>
      <c r="AJ6459" s="35"/>
      <c r="AK6459" s="35"/>
      <c r="AL6459" s="35"/>
    </row>
    <row r="6460">
      <c r="A6460" s="1"/>
      <c r="B6460" s="19" t="s">
        <v>30172</v>
      </c>
      <c r="C6460" s="158" t="s">
        <v>30333</v>
      </c>
      <c r="D6460" s="47"/>
      <c r="E6460" s="22" t="s">
        <v>5053</v>
      </c>
      <c r="F6460" s="22" t="s">
        <v>7853</v>
      </c>
      <c r="G6460" s="23">
        <v>2020.0</v>
      </c>
      <c r="H6460" s="22" t="s">
        <v>91</v>
      </c>
      <c r="I6460" s="24" t="s">
        <v>30337</v>
      </c>
      <c r="J6460" s="22" t="s">
        <v>125</v>
      </c>
      <c r="K6460" s="22"/>
      <c r="L6460" s="173" t="s">
        <v>30338</v>
      </c>
      <c r="U6460" s="29" t="s">
        <v>61</v>
      </c>
      <c r="V6460" s="30"/>
      <c r="W6460" s="49"/>
      <c r="X6460" s="49"/>
      <c r="Y6460" s="35"/>
      <c r="Z6460" s="35"/>
      <c r="AA6460" s="35"/>
      <c r="AB6460" s="35"/>
      <c r="AC6460" s="35"/>
      <c r="AD6460" s="35"/>
      <c r="AE6460" s="35"/>
      <c r="AF6460" s="35"/>
      <c r="AG6460" s="35"/>
      <c r="AH6460" s="35"/>
      <c r="AI6460" s="35"/>
      <c r="AJ6460" s="35"/>
      <c r="AK6460" s="35"/>
      <c r="AL6460" s="35"/>
    </row>
    <row r="6461">
      <c r="A6461" s="1"/>
      <c r="B6461" s="19" t="s">
        <v>30172</v>
      </c>
      <c r="C6461" s="158" t="s">
        <v>30333</v>
      </c>
      <c r="D6461" s="47"/>
      <c r="E6461" s="22" t="s">
        <v>3457</v>
      </c>
      <c r="F6461" s="22" t="s">
        <v>494</v>
      </c>
      <c r="G6461" s="23">
        <v>2020.0</v>
      </c>
      <c r="H6461" s="22" t="s">
        <v>30339</v>
      </c>
      <c r="I6461" s="24" t="s">
        <v>30340</v>
      </c>
      <c r="J6461" s="22" t="s">
        <v>30341</v>
      </c>
      <c r="K6461" s="22"/>
      <c r="L6461" s="36">
        <v>633.0</v>
      </c>
      <c r="M6461" s="36"/>
      <c r="N6461" s="36"/>
      <c r="O6461" s="36"/>
      <c r="P6461" s="37"/>
      <c r="Q6461" s="36"/>
      <c r="R6461" s="36"/>
      <c r="S6461" s="36"/>
      <c r="T6461" s="42" t="s">
        <v>30342</v>
      </c>
      <c r="U6461" s="38" t="str">
        <f>HYPERLINK("https://www.ncbi.nlm.nih.gov/pubmed/31928249","PubMed")</f>
        <v>PubMed</v>
      </c>
      <c r="V6461" s="30"/>
      <c r="W6461" s="49"/>
      <c r="X6461" s="49"/>
      <c r="Y6461" s="35"/>
      <c r="Z6461" s="35"/>
      <c r="AA6461" s="35"/>
      <c r="AB6461" s="35"/>
      <c r="AC6461" s="35"/>
      <c r="AD6461" s="35"/>
      <c r="AE6461" s="35"/>
      <c r="AF6461" s="35"/>
      <c r="AG6461" s="35"/>
      <c r="AH6461" s="35"/>
      <c r="AI6461" s="35"/>
      <c r="AJ6461" s="35"/>
      <c r="AK6461" s="35"/>
      <c r="AL6461" s="35"/>
    </row>
    <row r="6462">
      <c r="A6462" s="1"/>
      <c r="B6462" s="19" t="s">
        <v>30172</v>
      </c>
      <c r="C6462" s="158" t="s">
        <v>30333</v>
      </c>
      <c r="D6462" s="47"/>
      <c r="E6462" s="22" t="s">
        <v>12679</v>
      </c>
      <c r="F6462" s="22" t="s">
        <v>2346</v>
      </c>
      <c r="G6462" s="23">
        <v>2018.0</v>
      </c>
      <c r="H6462" s="22" t="s">
        <v>17543</v>
      </c>
      <c r="I6462" s="24" t="s">
        <v>30343</v>
      </c>
      <c r="J6462" s="22" t="s">
        <v>125</v>
      </c>
      <c r="K6462" s="22"/>
      <c r="L6462" s="43" t="s">
        <v>30344</v>
      </c>
      <c r="M6462" s="44"/>
      <c r="N6462" s="44"/>
      <c r="O6462" s="44"/>
      <c r="P6462" s="44"/>
      <c r="Q6462" s="44"/>
      <c r="R6462" s="44"/>
      <c r="S6462" s="44"/>
      <c r="T6462" s="45"/>
      <c r="U6462" s="38" t="str">
        <f>HYPERLINK("https://www.ncbi.nlm.nih.gov/pubmed/29806585","PubMed")</f>
        <v>PubMed</v>
      </c>
      <c r="V6462" s="30"/>
      <c r="W6462" s="49"/>
      <c r="X6462" s="49"/>
      <c r="Y6462" s="35"/>
      <c r="Z6462" s="35"/>
      <c r="AA6462" s="35"/>
      <c r="AB6462" s="35"/>
      <c r="AC6462" s="35"/>
      <c r="AD6462" s="35"/>
      <c r="AE6462" s="35"/>
      <c r="AF6462" s="35"/>
      <c r="AG6462" s="35"/>
      <c r="AH6462" s="35"/>
      <c r="AI6462" s="35"/>
      <c r="AJ6462" s="35"/>
      <c r="AK6462" s="35"/>
      <c r="AL6462" s="35"/>
    </row>
    <row r="6463">
      <c r="A6463" s="1"/>
      <c r="B6463" s="19" t="s">
        <v>30172</v>
      </c>
      <c r="C6463" s="158" t="s">
        <v>30333</v>
      </c>
      <c r="D6463" s="47"/>
      <c r="E6463" s="22" t="s">
        <v>10739</v>
      </c>
      <c r="F6463" s="22" t="s">
        <v>1416</v>
      </c>
      <c r="G6463" s="23">
        <v>2015.0</v>
      </c>
      <c r="H6463" s="22" t="s">
        <v>292</v>
      </c>
      <c r="I6463" s="24" t="s">
        <v>30345</v>
      </c>
      <c r="J6463" s="22" t="s">
        <v>202</v>
      </c>
      <c r="K6463" s="22"/>
      <c r="L6463" s="43"/>
      <c r="M6463" s="44"/>
      <c r="N6463" s="44"/>
      <c r="O6463" s="44"/>
      <c r="P6463" s="44"/>
      <c r="Q6463" s="44"/>
      <c r="R6463" s="44"/>
      <c r="S6463" s="44"/>
      <c r="T6463" s="45"/>
      <c r="U6463" s="38" t="str">
        <f>HYPERLINK("https://www.ncbi.nlm.nih.gov/pubmed/26557730","PubMed")</f>
        <v>PubMed</v>
      </c>
      <c r="V6463" s="30"/>
      <c r="W6463" s="49"/>
      <c r="X6463" s="49"/>
      <c r="Y6463" s="35"/>
      <c r="Z6463" s="35"/>
      <c r="AA6463" s="35"/>
      <c r="AB6463" s="35"/>
      <c r="AC6463" s="35"/>
      <c r="AD6463" s="35"/>
      <c r="AE6463" s="35"/>
      <c r="AF6463" s="35"/>
      <c r="AG6463" s="35"/>
      <c r="AH6463" s="35"/>
      <c r="AI6463" s="35"/>
      <c r="AJ6463" s="35"/>
      <c r="AK6463" s="35"/>
      <c r="AL6463" s="35"/>
    </row>
    <row r="6464">
      <c r="A6464" s="1"/>
      <c r="B6464" s="19" t="s">
        <v>30172</v>
      </c>
      <c r="C6464" s="158" t="s">
        <v>30333</v>
      </c>
      <c r="D6464" s="47"/>
      <c r="E6464" s="22" t="s">
        <v>10739</v>
      </c>
      <c r="F6464" s="22" t="s">
        <v>1398</v>
      </c>
      <c r="G6464" s="23">
        <v>2012.0</v>
      </c>
      <c r="H6464" s="22" t="s">
        <v>292</v>
      </c>
      <c r="I6464" s="24" t="s">
        <v>30346</v>
      </c>
      <c r="J6464" s="22" t="s">
        <v>30347</v>
      </c>
      <c r="K6464" s="22"/>
      <c r="L6464" s="36">
        <v>830.0</v>
      </c>
      <c r="M6464" s="36">
        <v>60.0</v>
      </c>
      <c r="N6464" s="36"/>
      <c r="O6464" s="36"/>
      <c r="P6464" s="37"/>
      <c r="Q6464" s="36"/>
      <c r="R6464" s="36"/>
      <c r="S6464" s="36" t="s">
        <v>30348</v>
      </c>
      <c r="T6464" s="28" t="s">
        <v>30349</v>
      </c>
      <c r="U6464" s="38" t="str">
        <f>HYPERLINK("https://www.ncbi.nlm.nih.gov/pubmed/24610987","PubMed")</f>
        <v>PubMed</v>
      </c>
      <c r="V6464" s="30"/>
      <c r="W6464" s="49"/>
      <c r="X6464" s="49"/>
      <c r="Y6464" s="35"/>
      <c r="Z6464" s="35"/>
      <c r="AA6464" s="35"/>
      <c r="AB6464" s="35"/>
      <c r="AC6464" s="35"/>
      <c r="AD6464" s="35"/>
      <c r="AE6464" s="35"/>
      <c r="AF6464" s="35"/>
      <c r="AG6464" s="35"/>
      <c r="AH6464" s="35"/>
      <c r="AI6464" s="35"/>
      <c r="AJ6464" s="35"/>
      <c r="AK6464" s="35"/>
      <c r="AL6464" s="35"/>
    </row>
    <row r="6465">
      <c r="A6465" s="133"/>
      <c r="B6465" s="19" t="s">
        <v>30172</v>
      </c>
      <c r="C6465" s="158" t="s">
        <v>30333</v>
      </c>
      <c r="D6465" s="159"/>
      <c r="E6465" s="23" t="s">
        <v>15081</v>
      </c>
      <c r="F6465" s="23" t="s">
        <v>748</v>
      </c>
      <c r="G6465" s="23">
        <v>2012.0</v>
      </c>
      <c r="H6465" s="23" t="s">
        <v>658</v>
      </c>
      <c r="I6465" s="175" t="s">
        <v>30350</v>
      </c>
      <c r="J6465" s="23" t="s">
        <v>3289</v>
      </c>
      <c r="K6465" s="23"/>
      <c r="L6465" s="43"/>
      <c r="M6465" s="44"/>
      <c r="N6465" s="44"/>
      <c r="O6465" s="44"/>
      <c r="P6465" s="44"/>
      <c r="Q6465" s="44"/>
      <c r="R6465" s="44"/>
      <c r="S6465" s="44"/>
      <c r="T6465" s="45"/>
      <c r="U6465" s="135" t="str">
        <f>HYPERLINK("https://www.ncbi.nlm.nih.gov/pubmed/22551048","PubMed")</f>
        <v>PubMed</v>
      </c>
      <c r="V6465" s="139"/>
      <c r="W6465" s="49"/>
      <c r="X6465" s="49"/>
      <c r="Y6465" s="35"/>
      <c r="Z6465" s="35"/>
      <c r="AA6465" s="35"/>
      <c r="AB6465" s="35"/>
      <c r="AC6465" s="35"/>
      <c r="AD6465" s="35"/>
      <c r="AE6465" s="35"/>
      <c r="AF6465" s="35"/>
      <c r="AG6465" s="35"/>
      <c r="AH6465" s="35"/>
      <c r="AI6465" s="35"/>
      <c r="AJ6465" s="35"/>
      <c r="AK6465" s="35"/>
      <c r="AL6465" s="35"/>
    </row>
    <row r="6466">
      <c r="A6466" s="133"/>
      <c r="B6466" s="19" t="s">
        <v>30172</v>
      </c>
      <c r="C6466" s="158" t="s">
        <v>30333</v>
      </c>
      <c r="D6466" s="159"/>
      <c r="E6466" s="23" t="s">
        <v>30351</v>
      </c>
      <c r="F6466" s="23" t="s">
        <v>13197</v>
      </c>
      <c r="G6466" s="23">
        <v>1989.0</v>
      </c>
      <c r="H6466" s="23" t="s">
        <v>292</v>
      </c>
      <c r="I6466" s="175" t="s">
        <v>30352</v>
      </c>
      <c r="J6466" s="23" t="s">
        <v>10915</v>
      </c>
      <c r="K6466" s="23" t="s">
        <v>30353</v>
      </c>
      <c r="L6466" s="36" t="s">
        <v>4922</v>
      </c>
      <c r="M6466" s="36"/>
      <c r="N6466" s="36"/>
      <c r="O6466" s="36"/>
      <c r="P6466" s="37"/>
      <c r="Q6466" s="36"/>
      <c r="R6466" s="36"/>
      <c r="S6466" s="36"/>
      <c r="T6466" s="239" t="s">
        <v>30354</v>
      </c>
      <c r="U6466" s="135" t="str">
        <f>HYPERLINK("https://www.jstage.jst.go.jp/article/islsm/1/1/1_89-OR-07/_article","J-STAGE")</f>
        <v>J-STAGE</v>
      </c>
      <c r="V6466" s="139"/>
      <c r="W6466" s="49"/>
      <c r="X6466" s="49"/>
      <c r="Y6466" s="35"/>
      <c r="Z6466" s="35"/>
      <c r="AA6466" s="35"/>
      <c r="AB6466" s="35"/>
      <c r="AC6466" s="35"/>
      <c r="AD6466" s="35"/>
      <c r="AE6466" s="35"/>
      <c r="AF6466" s="35"/>
      <c r="AG6466" s="35"/>
      <c r="AH6466" s="35"/>
      <c r="AI6466" s="35"/>
      <c r="AJ6466" s="35"/>
      <c r="AK6466" s="35"/>
      <c r="AL6466" s="35"/>
    </row>
    <row r="6467">
      <c r="A6467" s="133"/>
      <c r="B6467" s="19" t="s">
        <v>30172</v>
      </c>
      <c r="C6467" s="20" t="s">
        <v>30355</v>
      </c>
      <c r="D6467" s="159"/>
      <c r="E6467" s="23" t="s">
        <v>30356</v>
      </c>
      <c r="F6467" s="23" t="s">
        <v>1943</v>
      </c>
      <c r="G6467" s="23">
        <v>2019.0</v>
      </c>
      <c r="H6467" s="23" t="s">
        <v>30357</v>
      </c>
      <c r="I6467" s="175" t="s">
        <v>30358</v>
      </c>
      <c r="J6467" s="23" t="s">
        <v>30359</v>
      </c>
      <c r="K6467" s="23"/>
      <c r="L6467" s="36">
        <v>633.0</v>
      </c>
      <c r="M6467" s="36"/>
      <c r="N6467" s="36"/>
      <c r="O6467" s="36"/>
      <c r="P6467" s="37"/>
      <c r="Q6467" s="36"/>
      <c r="R6467" s="36"/>
      <c r="S6467" s="36"/>
      <c r="T6467" s="102" t="s">
        <v>30360</v>
      </c>
      <c r="U6467" s="135" t="str">
        <f>HYPERLINK("https://www.ncbi.nlm.nih.gov/pubmed/31327162","PubMed")</f>
        <v>PubMed</v>
      </c>
      <c r="V6467" s="139"/>
      <c r="W6467" s="49"/>
      <c r="X6467" s="49"/>
      <c r="Y6467" s="35"/>
      <c r="Z6467" s="35"/>
      <c r="AA6467" s="35"/>
      <c r="AB6467" s="35"/>
      <c r="AC6467" s="35"/>
      <c r="AD6467" s="35"/>
      <c r="AE6467" s="35"/>
      <c r="AF6467" s="35"/>
      <c r="AG6467" s="35"/>
      <c r="AH6467" s="35"/>
      <c r="AI6467" s="35"/>
      <c r="AJ6467" s="35"/>
      <c r="AK6467" s="35"/>
      <c r="AL6467" s="35"/>
    </row>
    <row r="6468">
      <c r="A6468" s="18"/>
      <c r="B6468" s="19" t="s">
        <v>30172</v>
      </c>
      <c r="C6468" s="20" t="s">
        <v>30355</v>
      </c>
      <c r="D6468" s="47"/>
      <c r="E6468" s="22" t="s">
        <v>30361</v>
      </c>
      <c r="F6468" s="22" t="s">
        <v>323</v>
      </c>
      <c r="G6468" s="23">
        <v>2009.0</v>
      </c>
      <c r="H6468" s="23" t="s">
        <v>658</v>
      </c>
      <c r="I6468" s="24" t="s">
        <v>30362</v>
      </c>
      <c r="J6468" s="22" t="s">
        <v>30359</v>
      </c>
      <c r="K6468" s="22"/>
      <c r="L6468" s="36" t="s">
        <v>30363</v>
      </c>
      <c r="M6468" s="36" t="s">
        <v>30364</v>
      </c>
      <c r="N6468" s="36"/>
      <c r="O6468" s="36" t="s">
        <v>30365</v>
      </c>
      <c r="P6468" s="37" t="s">
        <v>30366</v>
      </c>
      <c r="Q6468" s="36"/>
      <c r="R6468" s="36"/>
      <c r="S6468" s="36"/>
      <c r="T6468" s="42" t="s">
        <v>30367</v>
      </c>
      <c r="U6468" s="38" t="str">
        <f>HYPERLINK("https://www.ncbi.nlm.nih.gov/pubmed/19405857","PubMed")</f>
        <v>PubMed</v>
      </c>
      <c r="V6468" s="30"/>
      <c r="W6468" s="49"/>
      <c r="X6468" s="49"/>
      <c r="Y6468" s="35"/>
      <c r="Z6468" s="35"/>
      <c r="AA6468" s="35"/>
      <c r="AB6468" s="35"/>
      <c r="AC6468" s="35"/>
      <c r="AD6468" s="35"/>
      <c r="AE6468" s="35"/>
      <c r="AF6468" s="35"/>
      <c r="AG6468" s="35"/>
      <c r="AH6468" s="35"/>
      <c r="AI6468" s="35"/>
      <c r="AJ6468" s="35"/>
      <c r="AK6468" s="35"/>
      <c r="AL6468" s="35"/>
    </row>
    <row r="6469">
      <c r="A6469" s="18"/>
      <c r="B6469" s="19" t="s">
        <v>30172</v>
      </c>
      <c r="C6469" s="20" t="s">
        <v>30368</v>
      </c>
      <c r="D6469" s="47"/>
      <c r="E6469" s="22" t="s">
        <v>30369</v>
      </c>
      <c r="F6469" s="22" t="s">
        <v>1173</v>
      </c>
      <c r="G6469" s="23">
        <v>2022.0</v>
      </c>
      <c r="H6469" s="23" t="s">
        <v>30370</v>
      </c>
      <c r="I6469" s="24" t="s">
        <v>30371</v>
      </c>
      <c r="J6469" s="22" t="s">
        <v>31</v>
      </c>
      <c r="K6469" s="22" t="s">
        <v>157</v>
      </c>
      <c r="L6469" s="36">
        <v>670.0</v>
      </c>
      <c r="M6469" s="36"/>
      <c r="N6469" s="36" t="s">
        <v>414</v>
      </c>
      <c r="O6469" s="36"/>
      <c r="P6469" s="37"/>
      <c r="Q6469" s="36"/>
      <c r="R6469" s="36">
        <v>40.0</v>
      </c>
      <c r="S6469" s="36">
        <v>1.0</v>
      </c>
      <c r="T6469" s="28" t="s">
        <v>30372</v>
      </c>
      <c r="U6469" s="29" t="s">
        <v>61</v>
      </c>
      <c r="V6469" s="30"/>
      <c r="W6469" s="49"/>
      <c r="X6469" s="49"/>
      <c r="Y6469" s="35"/>
      <c r="Z6469" s="35"/>
      <c r="AA6469" s="35"/>
      <c r="AB6469" s="35"/>
      <c r="AC6469" s="35"/>
      <c r="AD6469" s="35"/>
      <c r="AE6469" s="35"/>
      <c r="AF6469" s="35"/>
      <c r="AG6469" s="35"/>
      <c r="AH6469" s="35"/>
      <c r="AI6469" s="35"/>
      <c r="AJ6469" s="35"/>
      <c r="AK6469" s="35"/>
      <c r="AL6469" s="35"/>
    </row>
    <row r="6470">
      <c r="A6470" s="18"/>
      <c r="B6470" s="19" t="s">
        <v>30172</v>
      </c>
      <c r="C6470" s="20" t="s">
        <v>30373</v>
      </c>
      <c r="D6470" s="47"/>
      <c r="E6470" s="22" t="s">
        <v>30374</v>
      </c>
      <c r="F6470" s="22" t="s">
        <v>490</v>
      </c>
      <c r="G6470" s="23">
        <v>2009.0</v>
      </c>
      <c r="H6470" s="23" t="s">
        <v>309</v>
      </c>
      <c r="I6470" s="24" t="s">
        <v>30375</v>
      </c>
      <c r="J6470" s="22" t="s">
        <v>55</v>
      </c>
      <c r="K6470" s="22"/>
      <c r="L6470" s="36">
        <v>780.0</v>
      </c>
      <c r="M6470" s="36"/>
      <c r="N6470" s="36"/>
      <c r="O6470" s="36"/>
      <c r="P6470" s="37" t="s">
        <v>2555</v>
      </c>
      <c r="Q6470" s="36"/>
      <c r="R6470" s="36"/>
      <c r="S6470" s="36">
        <v>7.0</v>
      </c>
      <c r="T6470" s="28" t="s">
        <v>30376</v>
      </c>
      <c r="U6470" s="38" t="str">
        <f>HYPERLINK("https://www.ncbi.nlm.nih.gov/pubmed/19169535","PubMed")</f>
        <v>PubMed</v>
      </c>
      <c r="V6470" s="30"/>
      <c r="W6470" s="49"/>
      <c r="X6470" s="49"/>
      <c r="Y6470" s="35"/>
      <c r="Z6470" s="35"/>
      <c r="AA6470" s="35"/>
      <c r="AB6470" s="35"/>
      <c r="AC6470" s="35"/>
      <c r="AD6470" s="35"/>
      <c r="AE6470" s="35"/>
      <c r="AF6470" s="35"/>
      <c r="AG6470" s="35"/>
      <c r="AH6470" s="35"/>
      <c r="AI6470" s="35"/>
      <c r="AJ6470" s="35"/>
      <c r="AK6470" s="35"/>
      <c r="AL6470" s="35"/>
    </row>
    <row r="6471">
      <c r="A6471" s="18"/>
      <c r="B6471" s="19" t="s">
        <v>30172</v>
      </c>
      <c r="C6471" s="20" t="s">
        <v>30377</v>
      </c>
      <c r="D6471" s="47"/>
      <c r="E6471" s="22" t="s">
        <v>30378</v>
      </c>
      <c r="F6471" s="22" t="s">
        <v>237</v>
      </c>
      <c r="G6471" s="23">
        <v>2023.0</v>
      </c>
      <c r="H6471" s="23" t="s">
        <v>6911</v>
      </c>
      <c r="I6471" s="24" t="s">
        <v>30379</v>
      </c>
      <c r="J6471" s="22" t="s">
        <v>2141</v>
      </c>
      <c r="K6471" s="22"/>
      <c r="L6471" s="185" t="s">
        <v>30380</v>
      </c>
      <c r="U6471" s="38" t="s">
        <v>61</v>
      </c>
      <c r="V6471" s="30"/>
      <c r="W6471" s="49"/>
      <c r="X6471" s="49"/>
      <c r="Y6471" s="35"/>
      <c r="Z6471" s="35"/>
      <c r="AA6471" s="35"/>
      <c r="AB6471" s="35"/>
      <c r="AC6471" s="35"/>
      <c r="AD6471" s="35"/>
      <c r="AE6471" s="35"/>
      <c r="AF6471" s="35"/>
      <c r="AG6471" s="35"/>
      <c r="AH6471" s="35"/>
      <c r="AI6471" s="35"/>
      <c r="AJ6471" s="35"/>
      <c r="AK6471" s="35"/>
      <c r="AL6471" s="35"/>
    </row>
    <row r="6472">
      <c r="A6472" s="18"/>
      <c r="B6472" s="19" t="s">
        <v>30172</v>
      </c>
      <c r="C6472" s="20" t="s">
        <v>30377</v>
      </c>
      <c r="D6472" s="47"/>
      <c r="E6472" s="22" t="s">
        <v>30381</v>
      </c>
      <c r="F6472" s="22" t="s">
        <v>41</v>
      </c>
      <c r="G6472" s="23">
        <v>2020.0</v>
      </c>
      <c r="H6472" s="23" t="s">
        <v>30382</v>
      </c>
      <c r="I6472" s="24" t="s">
        <v>30383</v>
      </c>
      <c r="J6472" s="22" t="s">
        <v>30384</v>
      </c>
      <c r="K6472" s="22"/>
      <c r="L6472" s="185" t="s">
        <v>30385</v>
      </c>
      <c r="U6472" s="29" t="s">
        <v>61</v>
      </c>
      <c r="V6472" s="30"/>
      <c r="W6472" s="49"/>
      <c r="X6472" s="49"/>
      <c r="Y6472" s="35"/>
      <c r="Z6472" s="35"/>
      <c r="AA6472" s="35"/>
      <c r="AB6472" s="35"/>
      <c r="AC6472" s="35"/>
      <c r="AD6472" s="35"/>
      <c r="AE6472" s="35"/>
      <c r="AF6472" s="35"/>
      <c r="AG6472" s="35"/>
      <c r="AH6472" s="35"/>
      <c r="AI6472" s="35"/>
      <c r="AJ6472" s="35"/>
      <c r="AK6472" s="35"/>
      <c r="AL6472" s="35"/>
    </row>
    <row r="6473">
      <c r="A6473" s="18"/>
      <c r="B6473" s="19" t="s">
        <v>30172</v>
      </c>
      <c r="C6473" s="20" t="s">
        <v>30377</v>
      </c>
      <c r="D6473" s="47"/>
      <c r="E6473" s="22" t="s">
        <v>8184</v>
      </c>
      <c r="F6473" s="22" t="s">
        <v>41</v>
      </c>
      <c r="G6473" s="23">
        <v>2019.0</v>
      </c>
      <c r="H6473" s="23" t="s">
        <v>91</v>
      </c>
      <c r="I6473" s="24" t="s">
        <v>30386</v>
      </c>
      <c r="J6473" s="22" t="s">
        <v>30387</v>
      </c>
      <c r="K6473" s="22"/>
      <c r="L6473" s="36">
        <v>660.0</v>
      </c>
      <c r="M6473" s="36">
        <v>100.0</v>
      </c>
      <c r="N6473" s="129">
        <v>43527.0</v>
      </c>
      <c r="O6473" s="36">
        <v>2.0</v>
      </c>
      <c r="P6473" s="37" t="s">
        <v>30388</v>
      </c>
      <c r="Q6473" s="36"/>
      <c r="R6473" s="36">
        <v>20.0</v>
      </c>
      <c r="S6473" s="36"/>
      <c r="T6473" s="41" t="s">
        <v>30389</v>
      </c>
      <c r="U6473" s="38" t="str">
        <f>HYPERLINK("https://www.ncbi.nlm.nih.gov/pubmed/31030379","PubMed")</f>
        <v>PubMed</v>
      </c>
      <c r="V6473" s="30"/>
      <c r="W6473" s="49"/>
      <c r="X6473" s="49"/>
      <c r="Y6473" s="35"/>
      <c r="Z6473" s="35"/>
      <c r="AA6473" s="35"/>
      <c r="AB6473" s="35"/>
      <c r="AC6473" s="35"/>
      <c r="AD6473" s="35"/>
      <c r="AE6473" s="35"/>
      <c r="AF6473" s="35"/>
      <c r="AG6473" s="35"/>
      <c r="AH6473" s="35"/>
      <c r="AI6473" s="35"/>
      <c r="AJ6473" s="35"/>
      <c r="AK6473" s="35"/>
      <c r="AL6473" s="35"/>
    </row>
    <row r="6474">
      <c r="A6474" s="18"/>
      <c r="B6474" s="19" t="s">
        <v>30172</v>
      </c>
      <c r="C6474" s="20" t="s">
        <v>30377</v>
      </c>
      <c r="D6474" s="47"/>
      <c r="E6474" s="22" t="s">
        <v>10615</v>
      </c>
      <c r="F6474" s="22" t="s">
        <v>41</v>
      </c>
      <c r="G6474" s="23">
        <v>2018.0</v>
      </c>
      <c r="H6474" s="23" t="s">
        <v>3828</v>
      </c>
      <c r="I6474" s="24" t="s">
        <v>30390</v>
      </c>
      <c r="J6474" s="22" t="s">
        <v>2141</v>
      </c>
      <c r="K6474" s="22" t="s">
        <v>157</v>
      </c>
      <c r="L6474" s="168"/>
      <c r="M6474" s="168"/>
      <c r="N6474" s="168"/>
      <c r="O6474" s="168"/>
      <c r="P6474" s="169"/>
      <c r="Q6474" s="168"/>
      <c r="R6474" s="168"/>
      <c r="S6474" s="168"/>
      <c r="T6474" s="185" t="s">
        <v>30391</v>
      </c>
      <c r="U6474" s="38" t="str">
        <f>HYPERLINK("https://www.ncbi.nlm.nih.gov/pubmed/30313028","PubMed")</f>
        <v>PubMed</v>
      </c>
      <c r="V6474" s="30"/>
      <c r="W6474" s="49"/>
      <c r="X6474" s="49"/>
      <c r="Y6474" s="35"/>
      <c r="Z6474" s="35"/>
      <c r="AA6474" s="35"/>
      <c r="AB6474" s="35"/>
      <c r="AC6474" s="35"/>
      <c r="AD6474" s="35"/>
      <c r="AE6474" s="35"/>
      <c r="AF6474" s="35"/>
      <c r="AG6474" s="35"/>
      <c r="AH6474" s="35"/>
      <c r="AI6474" s="35"/>
      <c r="AJ6474" s="35"/>
      <c r="AK6474" s="35"/>
      <c r="AL6474" s="35"/>
    </row>
    <row r="6475">
      <c r="A6475" s="18"/>
      <c r="B6475" s="19" t="s">
        <v>30172</v>
      </c>
      <c r="C6475" s="20" t="s">
        <v>30377</v>
      </c>
      <c r="D6475" s="47"/>
      <c r="E6475" s="22" t="s">
        <v>30392</v>
      </c>
      <c r="F6475" s="22" t="s">
        <v>1773</v>
      </c>
      <c r="G6475" s="23">
        <v>2016.0</v>
      </c>
      <c r="H6475" s="23" t="s">
        <v>30393</v>
      </c>
      <c r="I6475" s="24" t="s">
        <v>30394</v>
      </c>
      <c r="J6475" s="22" t="s">
        <v>20771</v>
      </c>
      <c r="K6475" s="22"/>
      <c r="L6475" s="36"/>
      <c r="M6475" s="36"/>
      <c r="N6475" s="36"/>
      <c r="O6475" s="36"/>
      <c r="P6475" s="37"/>
      <c r="Q6475" s="36"/>
      <c r="R6475" s="36"/>
      <c r="S6475" s="36"/>
      <c r="T6475" s="28" t="s">
        <v>30395</v>
      </c>
      <c r="U6475" s="38" t="str">
        <f>HYPERLINK("https://www.ncbi.nlm.nih.gov/pubmed/29211392","PubMed")</f>
        <v>PubMed</v>
      </c>
      <c r="V6475" s="30"/>
      <c r="W6475" s="49"/>
      <c r="X6475" s="49"/>
      <c r="Y6475" s="35"/>
      <c r="Z6475" s="35"/>
      <c r="AA6475" s="35"/>
      <c r="AB6475" s="35"/>
      <c r="AC6475" s="35"/>
      <c r="AD6475" s="35"/>
      <c r="AE6475" s="35"/>
      <c r="AF6475" s="35"/>
      <c r="AG6475" s="35"/>
      <c r="AH6475" s="35"/>
      <c r="AI6475" s="35"/>
      <c r="AJ6475" s="35"/>
      <c r="AK6475" s="35"/>
      <c r="AL6475" s="35"/>
    </row>
    <row r="6476">
      <c r="A6476" s="18"/>
      <c r="B6476" s="19" t="s">
        <v>30172</v>
      </c>
      <c r="C6476" s="20" t="s">
        <v>30377</v>
      </c>
      <c r="D6476" s="47"/>
      <c r="E6476" s="22" t="s">
        <v>30396</v>
      </c>
      <c r="F6476" s="22" t="s">
        <v>41</v>
      </c>
      <c r="G6476" s="23">
        <v>2016.0</v>
      </c>
      <c r="H6476" s="23" t="s">
        <v>30397</v>
      </c>
      <c r="I6476" s="24" t="s">
        <v>30398</v>
      </c>
      <c r="J6476" s="22" t="s">
        <v>30399</v>
      </c>
      <c r="K6476" s="22"/>
      <c r="L6476" s="36">
        <v>660.0</v>
      </c>
      <c r="M6476" s="36">
        <v>40.0</v>
      </c>
      <c r="N6476" s="36"/>
      <c r="O6476" s="36" t="s">
        <v>1468</v>
      </c>
      <c r="P6476" s="37" t="s">
        <v>432</v>
      </c>
      <c r="Q6476" s="36"/>
      <c r="R6476" s="36"/>
      <c r="S6476" s="36" t="s">
        <v>6403</v>
      </c>
      <c r="T6476" s="42" t="s">
        <v>30400</v>
      </c>
      <c r="U6476" s="38" t="str">
        <f>HYPERLINK("https://www.ncbi.nlm.nih.gov/pubmed/27363734","PubMed")</f>
        <v>PubMed</v>
      </c>
      <c r="V6476" s="30" t="s">
        <v>30401</v>
      </c>
      <c r="W6476" s="49"/>
      <c r="X6476" s="49"/>
      <c r="Y6476" s="35"/>
      <c r="Z6476" s="35"/>
      <c r="AA6476" s="35"/>
      <c r="AB6476" s="35"/>
      <c r="AC6476" s="35"/>
      <c r="AD6476" s="35"/>
      <c r="AE6476" s="35"/>
      <c r="AF6476" s="35"/>
      <c r="AG6476" s="35"/>
      <c r="AH6476" s="35"/>
      <c r="AI6476" s="35"/>
      <c r="AJ6476" s="35"/>
      <c r="AK6476" s="35"/>
      <c r="AL6476" s="35"/>
    </row>
    <row r="6477">
      <c r="A6477" s="18" t="s">
        <v>38</v>
      </c>
      <c r="B6477" s="19" t="s">
        <v>30172</v>
      </c>
      <c r="C6477" s="20" t="s">
        <v>30377</v>
      </c>
      <c r="D6477" s="47"/>
      <c r="E6477" s="22" t="s">
        <v>24055</v>
      </c>
      <c r="F6477" s="22" t="s">
        <v>1576</v>
      </c>
      <c r="G6477" s="23">
        <v>2012.0</v>
      </c>
      <c r="H6477" s="23" t="s">
        <v>658</v>
      </c>
      <c r="I6477" s="24" t="s">
        <v>30402</v>
      </c>
      <c r="J6477" s="22" t="s">
        <v>30403</v>
      </c>
      <c r="K6477" s="22" t="s">
        <v>157</v>
      </c>
      <c r="L6477" s="36">
        <v>860.0</v>
      </c>
      <c r="M6477" s="36">
        <v>50.0</v>
      </c>
      <c r="N6477" s="36" t="s">
        <v>1729</v>
      </c>
      <c r="O6477" s="36"/>
      <c r="P6477" s="37" t="s">
        <v>254</v>
      </c>
      <c r="Q6477" s="36" t="s">
        <v>675</v>
      </c>
      <c r="R6477" s="36">
        <v>79.0</v>
      </c>
      <c r="S6477" s="36" t="s">
        <v>2099</v>
      </c>
      <c r="T6477" s="28" t="s">
        <v>30404</v>
      </c>
      <c r="U6477" s="38" t="str">
        <f>HYPERLINK("https://www.ncbi.nlm.nih.gov/pubmed/22283620","PubMed")</f>
        <v>PubMed</v>
      </c>
      <c r="V6477" s="30"/>
      <c r="W6477" s="49"/>
      <c r="X6477" s="49"/>
      <c r="Y6477" s="35"/>
      <c r="Z6477" s="35"/>
      <c r="AA6477" s="35"/>
      <c r="AB6477" s="35"/>
      <c r="AC6477" s="35"/>
      <c r="AD6477" s="35"/>
      <c r="AE6477" s="35"/>
      <c r="AF6477" s="35"/>
      <c r="AG6477" s="35"/>
      <c r="AH6477" s="35"/>
      <c r="AI6477" s="35"/>
      <c r="AJ6477" s="35"/>
      <c r="AK6477" s="35"/>
      <c r="AL6477" s="35"/>
    </row>
    <row r="6478">
      <c r="A6478" s="18"/>
      <c r="B6478" s="19" t="s">
        <v>30172</v>
      </c>
      <c r="C6478" s="20" t="s">
        <v>30377</v>
      </c>
      <c r="D6478" s="47"/>
      <c r="E6478" s="22" t="s">
        <v>30405</v>
      </c>
      <c r="F6478" s="22" t="s">
        <v>14112</v>
      </c>
      <c r="G6478" s="23">
        <v>2000.0</v>
      </c>
      <c r="H6478" s="23" t="s">
        <v>2398</v>
      </c>
      <c r="I6478" s="24" t="s">
        <v>30406</v>
      </c>
      <c r="J6478" s="22" t="s">
        <v>29165</v>
      </c>
      <c r="K6478" s="22"/>
      <c r="L6478" s="36">
        <v>780.0</v>
      </c>
      <c r="M6478" s="36">
        <v>5.0</v>
      </c>
      <c r="N6478" s="36"/>
      <c r="O6478" s="36"/>
      <c r="P6478" s="37"/>
      <c r="Q6478" s="36"/>
      <c r="R6478" s="36">
        <v>120.0</v>
      </c>
      <c r="S6478" s="36"/>
      <c r="T6478" s="28" t="s">
        <v>30407</v>
      </c>
      <c r="U6478" s="38" t="str">
        <f>HYPERLINK("https://www.ncbi.nlm.nih.gov/pubmed/11065120","PubMed")</f>
        <v>PubMed</v>
      </c>
      <c r="V6478" s="30"/>
      <c r="W6478" s="49"/>
      <c r="X6478" s="49"/>
      <c r="Y6478" s="35"/>
      <c r="Z6478" s="35"/>
      <c r="AA6478" s="35"/>
      <c r="AB6478" s="35"/>
      <c r="AC6478" s="35"/>
      <c r="AD6478" s="35"/>
      <c r="AE6478" s="35"/>
      <c r="AF6478" s="35"/>
      <c r="AG6478" s="35"/>
      <c r="AH6478" s="35"/>
      <c r="AI6478" s="35"/>
      <c r="AJ6478" s="35"/>
      <c r="AK6478" s="35"/>
      <c r="AL6478" s="35"/>
    </row>
    <row r="6479">
      <c r="A6479" s="18"/>
      <c r="B6479" s="19" t="s">
        <v>30172</v>
      </c>
      <c r="C6479" s="20" t="s">
        <v>30408</v>
      </c>
      <c r="D6479" s="47"/>
      <c r="E6479" s="22" t="s">
        <v>835</v>
      </c>
      <c r="F6479" s="22" t="s">
        <v>6082</v>
      </c>
      <c r="G6479" s="23">
        <v>2014.0</v>
      </c>
      <c r="H6479" s="23" t="s">
        <v>1025</v>
      </c>
      <c r="I6479" s="24" t="s">
        <v>30409</v>
      </c>
      <c r="J6479" s="22" t="s">
        <v>31</v>
      </c>
      <c r="K6479" s="22"/>
      <c r="L6479" s="36">
        <v>633.0</v>
      </c>
      <c r="M6479" s="36"/>
      <c r="N6479" s="36"/>
      <c r="O6479" s="36"/>
      <c r="P6479" s="37" t="s">
        <v>2555</v>
      </c>
      <c r="Q6479" s="36"/>
      <c r="R6479" s="36"/>
      <c r="S6479" s="36"/>
      <c r="T6479" s="28" t="s">
        <v>30410</v>
      </c>
      <c r="U6479" s="38" t="str">
        <f>HYPERLINK("https://www.ncbi.nlm.nih.gov/pubmed/24658775","PubMed")</f>
        <v>PubMed</v>
      </c>
      <c r="V6479" s="30"/>
      <c r="W6479" s="49"/>
      <c r="X6479" s="49"/>
      <c r="Y6479" s="35"/>
      <c r="Z6479" s="35"/>
      <c r="AA6479" s="35"/>
      <c r="AB6479" s="35"/>
      <c r="AC6479" s="35"/>
      <c r="AD6479" s="35"/>
      <c r="AE6479" s="35"/>
      <c r="AF6479" s="35"/>
      <c r="AG6479" s="35"/>
      <c r="AH6479" s="35"/>
      <c r="AI6479" s="35"/>
      <c r="AJ6479" s="35"/>
      <c r="AK6479" s="35"/>
      <c r="AL6479" s="35"/>
    </row>
    <row r="6480">
      <c r="A6480" s="18"/>
      <c r="B6480" s="19" t="s">
        <v>30172</v>
      </c>
      <c r="C6480" s="20" t="s">
        <v>30408</v>
      </c>
      <c r="D6480" s="47"/>
      <c r="E6480" s="22" t="s">
        <v>365</v>
      </c>
      <c r="F6480" s="22" t="s">
        <v>3445</v>
      </c>
      <c r="G6480" s="23">
        <v>2012.0</v>
      </c>
      <c r="H6480" s="23" t="s">
        <v>292</v>
      </c>
      <c r="I6480" s="24" t="s">
        <v>30411</v>
      </c>
      <c r="J6480" s="22" t="s">
        <v>31</v>
      </c>
      <c r="K6480" s="22"/>
      <c r="L6480" s="36">
        <v>830.0</v>
      </c>
      <c r="M6480" s="36">
        <v>60.0</v>
      </c>
      <c r="N6480" s="36"/>
      <c r="O6480" s="36"/>
      <c r="P6480" s="37"/>
      <c r="Q6480" s="36"/>
      <c r="R6480" s="36"/>
      <c r="S6480" s="36"/>
      <c r="T6480" s="28" t="s">
        <v>30412</v>
      </c>
      <c r="U6480" s="38" t="str">
        <f>HYPERLINK("https://www.ncbi.nlm.nih.gov/pubmed/24511196","PubMed")</f>
        <v>PubMed</v>
      </c>
      <c r="V6480" s="30"/>
      <c r="W6480" s="49"/>
      <c r="X6480" s="49"/>
      <c r="Y6480" s="35"/>
      <c r="Z6480" s="35"/>
      <c r="AA6480" s="35"/>
      <c r="AB6480" s="35"/>
      <c r="AC6480" s="35"/>
      <c r="AD6480" s="35"/>
      <c r="AE6480" s="35"/>
      <c r="AF6480" s="35"/>
      <c r="AG6480" s="35"/>
      <c r="AH6480" s="35"/>
      <c r="AI6480" s="35"/>
      <c r="AJ6480" s="35"/>
      <c r="AK6480" s="35"/>
      <c r="AL6480" s="35"/>
    </row>
    <row r="6481">
      <c r="A6481" s="18"/>
      <c r="B6481" s="19" t="s">
        <v>30172</v>
      </c>
      <c r="C6481" s="20" t="s">
        <v>30413</v>
      </c>
      <c r="D6481" s="47"/>
      <c r="E6481" s="22" t="s">
        <v>2783</v>
      </c>
      <c r="F6481" s="22" t="s">
        <v>494</v>
      </c>
      <c r="G6481" s="23">
        <v>2024.0</v>
      </c>
      <c r="H6481" s="23" t="s">
        <v>3940</v>
      </c>
      <c r="I6481" s="24" t="s">
        <v>30414</v>
      </c>
      <c r="J6481" s="22" t="s">
        <v>30415</v>
      </c>
      <c r="K6481" s="22" t="s">
        <v>2815</v>
      </c>
      <c r="L6481" s="36">
        <v>633.0</v>
      </c>
      <c r="M6481" s="36"/>
      <c r="N6481" s="129"/>
      <c r="O6481" s="36"/>
      <c r="P6481" s="37"/>
      <c r="Q6481" s="36"/>
      <c r="R6481" s="36"/>
      <c r="S6481" s="36">
        <v>20.0</v>
      </c>
      <c r="T6481" s="28" t="s">
        <v>30416</v>
      </c>
      <c r="U6481" s="38" t="s">
        <v>61</v>
      </c>
      <c r="V6481" s="30"/>
      <c r="W6481" s="49"/>
      <c r="X6481" s="49"/>
      <c r="Y6481" s="35"/>
      <c r="Z6481" s="35"/>
      <c r="AA6481" s="35"/>
      <c r="AB6481" s="35"/>
      <c r="AC6481" s="35"/>
      <c r="AD6481" s="35"/>
      <c r="AE6481" s="35"/>
      <c r="AF6481" s="35"/>
      <c r="AG6481" s="35"/>
      <c r="AH6481" s="35"/>
      <c r="AI6481" s="35"/>
      <c r="AJ6481" s="35"/>
      <c r="AK6481" s="35"/>
      <c r="AL6481" s="35"/>
    </row>
    <row r="6482">
      <c r="A6482" s="18"/>
      <c r="B6482" s="19" t="s">
        <v>30172</v>
      </c>
      <c r="C6482" s="20" t="s">
        <v>30413</v>
      </c>
      <c r="D6482" s="47"/>
      <c r="E6482" s="22" t="s">
        <v>30417</v>
      </c>
      <c r="F6482" s="22" t="s">
        <v>30418</v>
      </c>
      <c r="G6482" s="23">
        <v>2021.0</v>
      </c>
      <c r="H6482" s="23" t="s">
        <v>30419</v>
      </c>
      <c r="I6482" s="24" t="s">
        <v>30420</v>
      </c>
      <c r="J6482" s="22" t="s">
        <v>44</v>
      </c>
      <c r="K6482" s="22" t="s">
        <v>30421</v>
      </c>
      <c r="L6482" s="36">
        <v>606.0</v>
      </c>
      <c r="M6482" s="36"/>
      <c r="N6482" s="129"/>
      <c r="O6482" s="36"/>
      <c r="P6482" s="37" t="s">
        <v>30422</v>
      </c>
      <c r="Q6482" s="36"/>
      <c r="R6482" s="36" t="s">
        <v>30423</v>
      </c>
      <c r="S6482" s="36"/>
      <c r="T6482" s="28" t="s">
        <v>30424</v>
      </c>
      <c r="U6482" s="29" t="s">
        <v>61</v>
      </c>
      <c r="V6482" s="30"/>
      <c r="W6482" s="49"/>
      <c r="X6482" s="49"/>
      <c r="Y6482" s="35"/>
      <c r="Z6482" s="35"/>
      <c r="AA6482" s="35"/>
      <c r="AB6482" s="35"/>
      <c r="AC6482" s="35"/>
      <c r="AD6482" s="35"/>
      <c r="AE6482" s="35"/>
      <c r="AF6482" s="35"/>
      <c r="AG6482" s="35"/>
      <c r="AH6482" s="35"/>
      <c r="AI6482" s="35"/>
      <c r="AJ6482" s="35"/>
      <c r="AK6482" s="35"/>
      <c r="AL6482" s="35"/>
    </row>
    <row r="6483">
      <c r="A6483" s="18"/>
      <c r="B6483" s="19" t="s">
        <v>30172</v>
      </c>
      <c r="C6483" s="20" t="s">
        <v>30413</v>
      </c>
      <c r="D6483" s="47"/>
      <c r="E6483" s="22" t="s">
        <v>543</v>
      </c>
      <c r="F6483" s="22" t="s">
        <v>308</v>
      </c>
      <c r="G6483" s="23">
        <v>2019.0</v>
      </c>
      <c r="H6483" s="23" t="s">
        <v>207</v>
      </c>
      <c r="I6483" s="24" t="s">
        <v>30425</v>
      </c>
      <c r="J6483" s="22" t="s">
        <v>55</v>
      </c>
      <c r="K6483" s="22"/>
      <c r="L6483" s="36"/>
      <c r="M6483" s="36"/>
      <c r="N6483" s="129"/>
      <c r="O6483" s="36"/>
      <c r="P6483" s="37"/>
      <c r="Q6483" s="36"/>
      <c r="R6483" s="36"/>
      <c r="S6483" s="36"/>
      <c r="T6483" s="28" t="s">
        <v>30426</v>
      </c>
      <c r="U6483" s="38" t="str">
        <f>HYPERLINK("https://www.ncbi.nlm.nih.gov/pubmed/30897401","PubMed")</f>
        <v>PubMed</v>
      </c>
      <c r="V6483" s="30"/>
      <c r="W6483" s="49"/>
      <c r="X6483" s="49"/>
      <c r="Y6483" s="35"/>
      <c r="Z6483" s="35"/>
      <c r="AA6483" s="35"/>
      <c r="AB6483" s="35"/>
      <c r="AC6483" s="35"/>
      <c r="AD6483" s="35"/>
      <c r="AE6483" s="35"/>
      <c r="AF6483" s="35"/>
      <c r="AG6483" s="35"/>
      <c r="AH6483" s="35"/>
      <c r="AI6483" s="35"/>
      <c r="AJ6483" s="35"/>
      <c r="AK6483" s="35"/>
      <c r="AL6483" s="35"/>
    </row>
    <row r="6484">
      <c r="A6484" s="18"/>
      <c r="B6484" s="19" t="s">
        <v>30172</v>
      </c>
      <c r="C6484" s="20" t="s">
        <v>30413</v>
      </c>
      <c r="D6484" s="47"/>
      <c r="E6484" s="22" t="s">
        <v>30417</v>
      </c>
      <c r="F6484" s="22" t="s">
        <v>30418</v>
      </c>
      <c r="G6484" s="23">
        <v>2018.0</v>
      </c>
      <c r="H6484" s="23" t="s">
        <v>314</v>
      </c>
      <c r="I6484" s="24" t="s">
        <v>30427</v>
      </c>
      <c r="J6484" s="22" t="s">
        <v>44</v>
      </c>
      <c r="K6484" s="22"/>
      <c r="L6484" s="36">
        <v>606.0</v>
      </c>
      <c r="M6484" s="36"/>
      <c r="N6484" s="129">
        <v>43222.0</v>
      </c>
      <c r="O6484" s="36"/>
      <c r="P6484" s="37" t="s">
        <v>30428</v>
      </c>
      <c r="Q6484" s="36" t="s">
        <v>1199</v>
      </c>
      <c r="R6484" s="36" t="s">
        <v>11690</v>
      </c>
      <c r="S6484" s="36"/>
      <c r="T6484" s="28" t="s">
        <v>30429</v>
      </c>
      <c r="U6484" s="38" t="str">
        <f>HYPERLINK("https://www.ncbi.nlm.nih.gov/pubmed/30500339","PubMed")</f>
        <v>PubMed</v>
      </c>
      <c r="V6484" s="30"/>
      <c r="W6484" s="49"/>
      <c r="X6484" s="49"/>
      <c r="Y6484" s="35"/>
      <c r="Z6484" s="35"/>
      <c r="AA6484" s="35"/>
      <c r="AB6484" s="35"/>
      <c r="AC6484" s="35"/>
      <c r="AD6484" s="35"/>
      <c r="AE6484" s="35"/>
      <c r="AF6484" s="35"/>
      <c r="AG6484" s="35"/>
      <c r="AH6484" s="35"/>
      <c r="AI6484" s="35"/>
      <c r="AJ6484" s="35"/>
      <c r="AK6484" s="35"/>
      <c r="AL6484" s="35"/>
    </row>
    <row r="6485">
      <c r="A6485" s="18"/>
      <c r="B6485" s="19" t="s">
        <v>30172</v>
      </c>
      <c r="C6485" s="20" t="s">
        <v>30413</v>
      </c>
      <c r="D6485" s="47"/>
      <c r="E6485" s="22" t="s">
        <v>21135</v>
      </c>
      <c r="F6485" s="22" t="s">
        <v>1046</v>
      </c>
      <c r="G6485" s="23">
        <v>2017.0</v>
      </c>
      <c r="H6485" s="23" t="s">
        <v>91</v>
      </c>
      <c r="I6485" s="24" t="s">
        <v>30430</v>
      </c>
      <c r="J6485" s="22" t="s">
        <v>55</v>
      </c>
      <c r="K6485" s="22" t="s">
        <v>30431</v>
      </c>
      <c r="L6485" s="36" t="s">
        <v>30432</v>
      </c>
      <c r="M6485" s="36"/>
      <c r="N6485" s="36"/>
      <c r="O6485" s="36"/>
      <c r="P6485" s="37" t="s">
        <v>5859</v>
      </c>
      <c r="Q6485" s="36"/>
      <c r="R6485" s="36"/>
      <c r="S6485" s="36"/>
      <c r="T6485" s="28" t="s">
        <v>30433</v>
      </c>
      <c r="U6485" s="38" t="str">
        <f>HYPERLINK("https://www.ncbi.nlm.nih.gov/pubmed/28801854","PubMed")</f>
        <v>PubMed</v>
      </c>
      <c r="V6485" s="30"/>
      <c r="W6485" s="49"/>
      <c r="X6485" s="49"/>
      <c r="Y6485" s="35"/>
      <c r="Z6485" s="35"/>
      <c r="AA6485" s="35"/>
      <c r="AB6485" s="35"/>
      <c r="AC6485" s="35"/>
      <c r="AD6485" s="35"/>
      <c r="AE6485" s="35"/>
      <c r="AF6485" s="35"/>
      <c r="AG6485" s="35"/>
      <c r="AH6485" s="35"/>
      <c r="AI6485" s="35"/>
      <c r="AJ6485" s="35"/>
      <c r="AK6485" s="35"/>
      <c r="AL6485" s="35"/>
    </row>
    <row r="6486">
      <c r="A6486" s="18"/>
      <c r="B6486" s="19" t="s">
        <v>30172</v>
      </c>
      <c r="C6486" s="20" t="s">
        <v>30434</v>
      </c>
      <c r="D6486" s="47"/>
      <c r="E6486" s="22" t="s">
        <v>30435</v>
      </c>
      <c r="F6486" s="22" t="s">
        <v>697</v>
      </c>
      <c r="G6486" s="23">
        <v>2023.0</v>
      </c>
      <c r="H6486" s="23" t="s">
        <v>147</v>
      </c>
      <c r="I6486" s="24" t="s">
        <v>30436</v>
      </c>
      <c r="J6486" s="22" t="s">
        <v>31</v>
      </c>
      <c r="K6486" s="22"/>
      <c r="L6486" s="36">
        <v>640.0</v>
      </c>
      <c r="M6486" s="129">
        <v>45055.0</v>
      </c>
      <c r="N6486" s="36" t="s">
        <v>58</v>
      </c>
      <c r="O6486" s="36" t="s">
        <v>58</v>
      </c>
      <c r="P6486" s="37" t="s">
        <v>30437</v>
      </c>
      <c r="Q6486" s="36" t="s">
        <v>30438</v>
      </c>
      <c r="R6486" s="36" t="s">
        <v>1223</v>
      </c>
      <c r="S6486" s="36">
        <v>1.0</v>
      </c>
      <c r="T6486" s="28" t="s">
        <v>30439</v>
      </c>
      <c r="U6486" s="38" t="s">
        <v>61</v>
      </c>
      <c r="V6486" s="30"/>
      <c r="W6486" s="49"/>
      <c r="X6486" s="49"/>
      <c r="Y6486" s="35"/>
      <c r="Z6486" s="35"/>
      <c r="AA6486" s="35"/>
      <c r="AB6486" s="35"/>
      <c r="AC6486" s="35"/>
      <c r="AD6486" s="35"/>
      <c r="AE6486" s="35"/>
      <c r="AF6486" s="35"/>
      <c r="AG6486" s="35"/>
      <c r="AH6486" s="35"/>
      <c r="AI6486" s="35"/>
      <c r="AJ6486" s="35"/>
      <c r="AK6486" s="35"/>
      <c r="AL6486" s="35"/>
    </row>
    <row r="6487">
      <c r="A6487" s="18"/>
      <c r="B6487" s="19" t="s">
        <v>30172</v>
      </c>
      <c r="C6487" s="20" t="s">
        <v>30434</v>
      </c>
      <c r="D6487" s="47"/>
      <c r="E6487" s="22" t="s">
        <v>30440</v>
      </c>
      <c r="F6487" s="22" t="s">
        <v>408</v>
      </c>
      <c r="G6487" s="23">
        <v>2023.0</v>
      </c>
      <c r="H6487" s="23" t="s">
        <v>91</v>
      </c>
      <c r="I6487" s="24" t="s">
        <v>30441</v>
      </c>
      <c r="J6487" s="22" t="s">
        <v>55</v>
      </c>
      <c r="K6487" s="22" t="s">
        <v>1827</v>
      </c>
      <c r="L6487" s="36">
        <v>904.0</v>
      </c>
      <c r="M6487" s="36">
        <v>25.0</v>
      </c>
      <c r="N6487" s="36" t="s">
        <v>58</v>
      </c>
      <c r="O6487" s="36" t="s">
        <v>58</v>
      </c>
      <c r="P6487" s="37" t="s">
        <v>30442</v>
      </c>
      <c r="Q6487" s="36" t="s">
        <v>30443</v>
      </c>
      <c r="R6487" s="36" t="s">
        <v>30444</v>
      </c>
      <c r="S6487" s="36" t="s">
        <v>4905</v>
      </c>
      <c r="T6487" s="28" t="s">
        <v>30445</v>
      </c>
      <c r="U6487" s="38" t="s">
        <v>61</v>
      </c>
      <c r="V6487" s="30" t="s">
        <v>30446</v>
      </c>
      <c r="W6487" s="49"/>
      <c r="X6487" s="49"/>
      <c r="Y6487" s="35"/>
      <c r="Z6487" s="35"/>
      <c r="AA6487" s="35"/>
      <c r="AB6487" s="35"/>
      <c r="AC6487" s="35"/>
      <c r="AD6487" s="35"/>
      <c r="AE6487" s="35"/>
      <c r="AF6487" s="35"/>
      <c r="AG6487" s="35"/>
      <c r="AH6487" s="35"/>
      <c r="AI6487" s="35"/>
      <c r="AJ6487" s="35"/>
      <c r="AK6487" s="35"/>
      <c r="AL6487" s="35"/>
    </row>
    <row r="6488">
      <c r="A6488" s="18"/>
      <c r="B6488" s="19" t="s">
        <v>30172</v>
      </c>
      <c r="C6488" s="20" t="s">
        <v>30447</v>
      </c>
      <c r="D6488" s="47"/>
      <c r="E6488" s="22" t="s">
        <v>30448</v>
      </c>
      <c r="F6488" s="22" t="s">
        <v>30449</v>
      </c>
      <c r="G6488" s="23">
        <v>2015.0</v>
      </c>
      <c r="H6488" s="23" t="s">
        <v>10415</v>
      </c>
      <c r="I6488" s="24" t="s">
        <v>30450</v>
      </c>
      <c r="J6488" s="22" t="s">
        <v>2273</v>
      </c>
      <c r="K6488" s="22"/>
      <c r="L6488" s="36" t="s">
        <v>30451</v>
      </c>
      <c r="M6488" s="36"/>
      <c r="N6488" s="36"/>
      <c r="O6488" s="36"/>
      <c r="P6488" s="37"/>
      <c r="Q6488" s="36"/>
      <c r="R6488" s="36">
        <v>900.0</v>
      </c>
      <c r="S6488" s="36">
        <v>20.0</v>
      </c>
      <c r="T6488" s="28" t="s">
        <v>30452</v>
      </c>
      <c r="U6488" s="38" t="str">
        <f>HYPERLINK("https://www.ncbi.nlm.nih.gov/pubmed/25483212","PubMed")</f>
        <v>PubMed</v>
      </c>
      <c r="V6488" s="30"/>
      <c r="W6488" s="49"/>
      <c r="X6488" s="49"/>
      <c r="Y6488" s="35"/>
      <c r="Z6488" s="35"/>
      <c r="AA6488" s="35"/>
      <c r="AB6488" s="35"/>
      <c r="AC6488" s="35"/>
      <c r="AD6488" s="35"/>
      <c r="AE6488" s="35"/>
      <c r="AF6488" s="35"/>
      <c r="AG6488" s="35"/>
      <c r="AH6488" s="35"/>
      <c r="AI6488" s="35"/>
      <c r="AJ6488" s="35"/>
      <c r="AK6488" s="35"/>
      <c r="AL6488" s="35"/>
    </row>
    <row r="6489">
      <c r="A6489" s="18"/>
      <c r="B6489" s="19" t="s">
        <v>30172</v>
      </c>
      <c r="C6489" s="20" t="s">
        <v>30453</v>
      </c>
      <c r="D6489" s="47"/>
      <c r="E6489" s="22" t="s">
        <v>30454</v>
      </c>
      <c r="F6489" s="22" t="s">
        <v>30455</v>
      </c>
      <c r="G6489" s="23">
        <v>2023.0</v>
      </c>
      <c r="H6489" s="23" t="s">
        <v>30456</v>
      </c>
      <c r="I6489" s="24" t="s">
        <v>30457</v>
      </c>
      <c r="J6489" s="22" t="s">
        <v>30458</v>
      </c>
      <c r="K6489" s="22" t="s">
        <v>30459</v>
      </c>
      <c r="L6489" s="36" t="s">
        <v>30460</v>
      </c>
      <c r="M6489" s="36"/>
      <c r="N6489" s="36"/>
      <c r="O6489" s="36"/>
      <c r="P6489" s="37" t="s">
        <v>30461</v>
      </c>
      <c r="Q6489" s="36"/>
      <c r="R6489" s="36" t="s">
        <v>15919</v>
      </c>
      <c r="S6489" s="36"/>
      <c r="T6489" s="28" t="s">
        <v>30462</v>
      </c>
      <c r="U6489" s="38" t="s">
        <v>61</v>
      </c>
      <c r="V6489" s="30" t="s">
        <v>30463</v>
      </c>
      <c r="W6489" s="49"/>
      <c r="X6489" s="49"/>
      <c r="Y6489" s="35"/>
      <c r="Z6489" s="35"/>
      <c r="AA6489" s="35"/>
      <c r="AB6489" s="35"/>
      <c r="AC6489" s="35"/>
      <c r="AD6489" s="35"/>
      <c r="AE6489" s="35"/>
      <c r="AF6489" s="35"/>
      <c r="AG6489" s="35"/>
      <c r="AH6489" s="35"/>
      <c r="AI6489" s="35"/>
      <c r="AJ6489" s="35"/>
      <c r="AK6489" s="35"/>
      <c r="AL6489" s="35"/>
    </row>
    <row r="6490">
      <c r="A6490" s="18"/>
      <c r="B6490" s="19" t="s">
        <v>30172</v>
      </c>
      <c r="C6490" s="20" t="s">
        <v>30453</v>
      </c>
      <c r="D6490" s="47"/>
      <c r="E6490" s="22" t="s">
        <v>30464</v>
      </c>
      <c r="F6490" s="22" t="s">
        <v>15692</v>
      </c>
      <c r="G6490" s="23">
        <v>2021.0</v>
      </c>
      <c r="H6490" s="23" t="s">
        <v>77</v>
      </c>
      <c r="I6490" s="24" t="s">
        <v>30465</v>
      </c>
      <c r="J6490" s="22" t="s">
        <v>202</v>
      </c>
      <c r="K6490" s="22"/>
      <c r="L6490" s="43"/>
      <c r="M6490" s="44"/>
      <c r="N6490" s="44"/>
      <c r="O6490" s="44"/>
      <c r="P6490" s="44"/>
      <c r="Q6490" s="44"/>
      <c r="R6490" s="44"/>
      <c r="S6490" s="44"/>
      <c r="T6490" s="45"/>
      <c r="U6490" s="29" t="s">
        <v>61</v>
      </c>
      <c r="V6490" s="30"/>
      <c r="W6490" s="49"/>
      <c r="X6490" s="49"/>
      <c r="Y6490" s="35"/>
      <c r="Z6490" s="35"/>
      <c r="AA6490" s="35"/>
      <c r="AB6490" s="35"/>
      <c r="AC6490" s="35"/>
      <c r="AD6490" s="35"/>
      <c r="AE6490" s="35"/>
      <c r="AF6490" s="35"/>
      <c r="AG6490" s="35"/>
      <c r="AH6490" s="35"/>
      <c r="AI6490" s="35"/>
      <c r="AJ6490" s="35"/>
      <c r="AK6490" s="35"/>
      <c r="AL6490" s="35"/>
    </row>
    <row r="6491">
      <c r="A6491" s="18"/>
      <c r="B6491" s="19" t="s">
        <v>30172</v>
      </c>
      <c r="C6491" s="20" t="s">
        <v>30466</v>
      </c>
      <c r="D6491" s="47"/>
      <c r="E6491" s="22" t="s">
        <v>1689</v>
      </c>
      <c r="F6491" s="22" t="s">
        <v>30467</v>
      </c>
      <c r="G6491" s="23">
        <v>1989.0</v>
      </c>
      <c r="H6491" s="23" t="s">
        <v>292</v>
      </c>
      <c r="I6491" s="24" t="s">
        <v>30468</v>
      </c>
      <c r="J6491" s="22" t="s">
        <v>30469</v>
      </c>
      <c r="K6491" s="22" t="s">
        <v>2686</v>
      </c>
      <c r="L6491" s="36">
        <v>633.0</v>
      </c>
      <c r="M6491" s="36">
        <v>37.0</v>
      </c>
      <c r="N6491" s="36"/>
      <c r="O6491" s="36"/>
      <c r="P6491" s="37"/>
      <c r="Q6491" s="36"/>
      <c r="R6491" s="36"/>
      <c r="S6491" s="36"/>
      <c r="T6491" s="28" t="s">
        <v>30470</v>
      </c>
      <c r="U6491" s="38" t="str">
        <f>HYPERLINK("https://www.jstage.jst.go.jp/article/islsm/1/1/1_89-OR-05/_article/-char/en","J-STAGE")</f>
        <v>J-STAGE</v>
      </c>
      <c r="V6491" s="30"/>
      <c r="W6491" s="49"/>
      <c r="X6491" s="49"/>
      <c r="Y6491" s="35"/>
      <c r="Z6491" s="35"/>
      <c r="AA6491" s="35"/>
      <c r="AB6491" s="35"/>
      <c r="AC6491" s="35"/>
      <c r="AD6491" s="35"/>
      <c r="AE6491" s="35"/>
      <c r="AF6491" s="35"/>
      <c r="AG6491" s="35"/>
      <c r="AH6491" s="35"/>
      <c r="AI6491" s="35"/>
      <c r="AJ6491" s="35"/>
      <c r="AK6491" s="35"/>
      <c r="AL6491" s="35"/>
    </row>
    <row r="6492">
      <c r="A6492" s="18"/>
      <c r="B6492" s="19" t="s">
        <v>30172</v>
      </c>
      <c r="C6492" s="20" t="s">
        <v>30471</v>
      </c>
      <c r="D6492" s="47"/>
      <c r="E6492" s="22" t="s">
        <v>3371</v>
      </c>
      <c r="F6492" s="22" t="s">
        <v>2407</v>
      </c>
      <c r="G6492" s="23">
        <v>2018.0</v>
      </c>
      <c r="H6492" s="22" t="s">
        <v>53</v>
      </c>
      <c r="I6492" s="24" t="s">
        <v>30472</v>
      </c>
      <c r="J6492" s="22" t="s">
        <v>30473</v>
      </c>
      <c r="K6492" s="22" t="s">
        <v>157</v>
      </c>
      <c r="L6492" s="36">
        <v>823.0</v>
      </c>
      <c r="M6492" s="36"/>
      <c r="N6492" s="36" t="s">
        <v>30474</v>
      </c>
      <c r="O6492" s="36"/>
      <c r="P6492" s="37" t="s">
        <v>30475</v>
      </c>
      <c r="Q6492" s="36" t="s">
        <v>30476</v>
      </c>
      <c r="R6492" s="36" t="s">
        <v>3375</v>
      </c>
      <c r="S6492" s="36" t="s">
        <v>2680</v>
      </c>
      <c r="T6492" s="54" t="s">
        <v>30477</v>
      </c>
      <c r="U6492" s="38" t="str">
        <f>HYPERLINK("https://www.ncbi.nlm.nih.gov/pubmed/30221776","PubMed")</f>
        <v>PubMed</v>
      </c>
      <c r="V6492" s="30"/>
      <c r="W6492" s="49"/>
      <c r="X6492" s="49"/>
      <c r="Y6492" s="35"/>
      <c r="Z6492" s="35"/>
      <c r="AA6492" s="35"/>
      <c r="AB6492" s="35"/>
      <c r="AC6492" s="35"/>
      <c r="AD6492" s="35"/>
      <c r="AE6492" s="35"/>
      <c r="AF6492" s="35"/>
      <c r="AG6492" s="35"/>
      <c r="AH6492" s="35"/>
      <c r="AI6492" s="35"/>
      <c r="AJ6492" s="35"/>
      <c r="AK6492" s="35"/>
      <c r="AL6492" s="35"/>
    </row>
    <row r="6493">
      <c r="A6493" s="18"/>
      <c r="B6493" s="19" t="s">
        <v>30172</v>
      </c>
      <c r="C6493" s="20" t="s">
        <v>15129</v>
      </c>
      <c r="D6493" s="47"/>
      <c r="E6493" s="22" t="s">
        <v>30478</v>
      </c>
      <c r="F6493" s="22" t="s">
        <v>7625</v>
      </c>
      <c r="G6493" s="23">
        <v>2024.0</v>
      </c>
      <c r="H6493" s="22" t="s">
        <v>4975</v>
      </c>
      <c r="I6493" s="24" t="s">
        <v>30479</v>
      </c>
      <c r="J6493" s="22" t="s">
        <v>125</v>
      </c>
      <c r="K6493" s="22"/>
      <c r="L6493" s="105" t="s">
        <v>30480</v>
      </c>
      <c r="M6493" s="44"/>
      <c r="N6493" s="44"/>
      <c r="O6493" s="44"/>
      <c r="P6493" s="44"/>
      <c r="Q6493" s="44"/>
      <c r="R6493" s="44"/>
      <c r="S6493" s="44"/>
      <c r="T6493" s="45"/>
      <c r="U6493" s="38" t="s">
        <v>61</v>
      </c>
      <c r="V6493" s="30"/>
      <c r="W6493" s="49"/>
      <c r="X6493" s="49"/>
      <c r="Y6493" s="35"/>
      <c r="Z6493" s="35"/>
      <c r="AA6493" s="35"/>
      <c r="AB6493" s="35"/>
      <c r="AC6493" s="35"/>
      <c r="AD6493" s="35"/>
      <c r="AE6493" s="35"/>
      <c r="AF6493" s="35"/>
      <c r="AG6493" s="35"/>
      <c r="AH6493" s="35"/>
      <c r="AI6493" s="35"/>
      <c r="AJ6493" s="35"/>
      <c r="AK6493" s="35"/>
      <c r="AL6493" s="35"/>
    </row>
    <row r="6494">
      <c r="A6494" s="18"/>
      <c r="B6494" s="19" t="s">
        <v>30172</v>
      </c>
      <c r="C6494" s="20" t="s">
        <v>15129</v>
      </c>
      <c r="D6494" s="47"/>
      <c r="E6494" s="22" t="s">
        <v>30481</v>
      </c>
      <c r="F6494" s="22" t="s">
        <v>323</v>
      </c>
      <c r="G6494" s="23">
        <v>2024.0</v>
      </c>
      <c r="H6494" s="22" t="s">
        <v>147</v>
      </c>
      <c r="I6494" s="24" t="s">
        <v>30482</v>
      </c>
      <c r="J6494" s="22" t="s">
        <v>44</v>
      </c>
      <c r="K6494" s="22"/>
      <c r="L6494" s="36">
        <v>890.0</v>
      </c>
      <c r="M6494" s="36"/>
      <c r="N6494" s="36"/>
      <c r="O6494" s="36"/>
      <c r="P6494" s="37" t="s">
        <v>1069</v>
      </c>
      <c r="Q6494" s="36" t="s">
        <v>13571</v>
      </c>
      <c r="R6494" s="36"/>
      <c r="S6494" s="36"/>
      <c r="T6494" s="54" t="s">
        <v>30483</v>
      </c>
      <c r="U6494" s="38" t="s">
        <v>61</v>
      </c>
      <c r="V6494" s="30"/>
      <c r="W6494" s="49"/>
      <c r="X6494" s="49"/>
      <c r="Y6494" s="35"/>
      <c r="Z6494" s="35"/>
      <c r="AA6494" s="35"/>
      <c r="AB6494" s="35"/>
      <c r="AC6494" s="35"/>
      <c r="AD6494" s="35"/>
      <c r="AE6494" s="35"/>
      <c r="AF6494" s="35"/>
      <c r="AG6494" s="35"/>
      <c r="AH6494" s="35"/>
      <c r="AI6494" s="35"/>
      <c r="AJ6494" s="35"/>
      <c r="AK6494" s="35"/>
      <c r="AL6494" s="35"/>
    </row>
    <row r="6495">
      <c r="A6495" s="18"/>
      <c r="B6495" s="19" t="s">
        <v>30172</v>
      </c>
      <c r="C6495" s="20" t="s">
        <v>15129</v>
      </c>
      <c r="D6495" s="47"/>
      <c r="E6495" s="22" t="s">
        <v>3919</v>
      </c>
      <c r="F6495" s="22" t="s">
        <v>1943</v>
      </c>
      <c r="G6495" s="23">
        <v>2024.0</v>
      </c>
      <c r="H6495" s="22" t="s">
        <v>3950</v>
      </c>
      <c r="I6495" s="24" t="s">
        <v>30484</v>
      </c>
      <c r="J6495" s="22" t="s">
        <v>31</v>
      </c>
      <c r="K6495" s="22" t="s">
        <v>30485</v>
      </c>
      <c r="L6495" s="36" t="s">
        <v>30486</v>
      </c>
      <c r="M6495" s="36"/>
      <c r="N6495" s="36"/>
      <c r="O6495" s="36"/>
      <c r="P6495" s="37"/>
      <c r="Q6495" s="36"/>
      <c r="R6495" s="36"/>
      <c r="S6495" s="36"/>
      <c r="T6495" s="54" t="s">
        <v>30487</v>
      </c>
      <c r="U6495" s="38" t="s">
        <v>61</v>
      </c>
      <c r="V6495" s="30"/>
      <c r="W6495" s="49"/>
      <c r="X6495" s="49"/>
      <c r="Y6495" s="35"/>
      <c r="Z6495" s="35"/>
      <c r="AA6495" s="35"/>
      <c r="AB6495" s="35"/>
      <c r="AC6495" s="35"/>
      <c r="AD6495" s="35"/>
      <c r="AE6495" s="35"/>
      <c r="AF6495" s="35"/>
      <c r="AG6495" s="35"/>
      <c r="AH6495" s="35"/>
      <c r="AI6495" s="35"/>
      <c r="AJ6495" s="35"/>
      <c r="AK6495" s="35"/>
      <c r="AL6495" s="35"/>
    </row>
    <row r="6496">
      <c r="A6496" s="18"/>
      <c r="B6496" s="19" t="s">
        <v>30172</v>
      </c>
      <c r="C6496" s="20" t="s">
        <v>15129</v>
      </c>
      <c r="D6496" s="47"/>
      <c r="E6496" s="22" t="s">
        <v>381</v>
      </c>
      <c r="F6496" s="22" t="s">
        <v>30488</v>
      </c>
      <c r="G6496" s="23">
        <v>2023.0</v>
      </c>
      <c r="H6496" s="22" t="s">
        <v>30489</v>
      </c>
      <c r="I6496" s="24" t="s">
        <v>30490</v>
      </c>
      <c r="J6496" s="22" t="s">
        <v>125</v>
      </c>
      <c r="K6496" s="22"/>
      <c r="L6496" s="105" t="s">
        <v>30491</v>
      </c>
      <c r="M6496" s="44"/>
      <c r="N6496" s="44"/>
      <c r="O6496" s="44"/>
      <c r="P6496" s="44"/>
      <c r="Q6496" s="44"/>
      <c r="R6496" s="44"/>
      <c r="S6496" s="44"/>
      <c r="T6496" s="45"/>
      <c r="U6496" s="38" t="s">
        <v>61</v>
      </c>
      <c r="V6496" s="30"/>
      <c r="W6496" s="49"/>
      <c r="X6496" s="49"/>
      <c r="Y6496" s="35"/>
      <c r="Z6496" s="35"/>
      <c r="AA6496" s="35"/>
      <c r="AB6496" s="35"/>
      <c r="AC6496" s="35"/>
      <c r="AD6496" s="35"/>
      <c r="AE6496" s="35"/>
      <c r="AF6496" s="35"/>
      <c r="AG6496" s="35"/>
      <c r="AH6496" s="35"/>
      <c r="AI6496" s="35"/>
      <c r="AJ6496" s="35"/>
      <c r="AK6496" s="35"/>
      <c r="AL6496" s="35"/>
    </row>
    <row r="6497">
      <c r="A6497" s="18"/>
      <c r="B6497" s="19" t="s">
        <v>30172</v>
      </c>
      <c r="C6497" s="20" t="s">
        <v>15129</v>
      </c>
      <c r="D6497" s="47"/>
      <c r="E6497" s="22" t="s">
        <v>30492</v>
      </c>
      <c r="F6497" s="22" t="s">
        <v>323</v>
      </c>
      <c r="G6497" s="23">
        <v>2023.0</v>
      </c>
      <c r="H6497" s="22" t="s">
        <v>91</v>
      </c>
      <c r="I6497" s="24" t="s">
        <v>30493</v>
      </c>
      <c r="J6497" s="22" t="s">
        <v>44</v>
      </c>
      <c r="K6497" s="22"/>
      <c r="L6497" s="36">
        <v>890.0</v>
      </c>
      <c r="M6497" s="36">
        <v>72.0</v>
      </c>
      <c r="N6497" s="36" t="s">
        <v>30494</v>
      </c>
      <c r="O6497" s="36"/>
      <c r="P6497" s="37" t="s">
        <v>30495</v>
      </c>
      <c r="Q6497" s="36"/>
      <c r="R6497" s="36"/>
      <c r="S6497" s="36" t="s">
        <v>30496</v>
      </c>
      <c r="T6497" s="102" t="s">
        <v>30497</v>
      </c>
      <c r="U6497" s="38" t="s">
        <v>61</v>
      </c>
      <c r="V6497" s="30"/>
      <c r="W6497" s="49"/>
      <c r="X6497" s="49"/>
      <c r="Y6497" s="35"/>
      <c r="Z6497" s="35"/>
      <c r="AA6497" s="35"/>
      <c r="AB6497" s="35"/>
      <c r="AC6497" s="35"/>
      <c r="AD6497" s="35"/>
      <c r="AE6497" s="35"/>
      <c r="AF6497" s="35"/>
      <c r="AG6497" s="35"/>
      <c r="AH6497" s="35"/>
      <c r="AI6497" s="35"/>
      <c r="AJ6497" s="35"/>
      <c r="AK6497" s="35"/>
      <c r="AL6497" s="35"/>
    </row>
    <row r="6498">
      <c r="A6498" s="18"/>
      <c r="B6498" s="19" t="s">
        <v>30172</v>
      </c>
      <c r="C6498" s="20" t="s">
        <v>15129</v>
      </c>
      <c r="D6498" s="47"/>
      <c r="E6498" s="22" t="s">
        <v>30498</v>
      </c>
      <c r="F6498" s="22" t="s">
        <v>23306</v>
      </c>
      <c r="G6498" s="23">
        <v>2023.0</v>
      </c>
      <c r="H6498" s="22" t="s">
        <v>30499</v>
      </c>
      <c r="I6498" s="24" t="s">
        <v>30500</v>
      </c>
      <c r="J6498" s="22" t="s">
        <v>6818</v>
      </c>
      <c r="K6498" s="22"/>
      <c r="L6498" s="36">
        <v>650.0</v>
      </c>
      <c r="M6498" s="36">
        <v>200.0</v>
      </c>
      <c r="N6498" s="36"/>
      <c r="O6498" s="36"/>
      <c r="P6498" s="37"/>
      <c r="Q6498" s="36" t="s">
        <v>30501</v>
      </c>
      <c r="R6498" s="36"/>
      <c r="S6498" s="36"/>
      <c r="T6498" s="54" t="s">
        <v>30502</v>
      </c>
      <c r="U6498" s="38" t="s">
        <v>61</v>
      </c>
      <c r="V6498" s="30"/>
      <c r="W6498" s="49"/>
      <c r="X6498" s="49"/>
      <c r="Y6498" s="35"/>
      <c r="Z6498" s="35"/>
      <c r="AA6498" s="35"/>
      <c r="AB6498" s="35"/>
      <c r="AC6498" s="35"/>
      <c r="AD6498" s="35"/>
      <c r="AE6498" s="35"/>
      <c r="AF6498" s="35"/>
      <c r="AG6498" s="35"/>
      <c r="AH6498" s="35"/>
      <c r="AI6498" s="35"/>
      <c r="AJ6498" s="35"/>
      <c r="AK6498" s="35"/>
      <c r="AL6498" s="35"/>
    </row>
    <row r="6499">
      <c r="A6499" s="18"/>
      <c r="B6499" s="19" t="s">
        <v>30172</v>
      </c>
      <c r="C6499" s="20" t="s">
        <v>15129</v>
      </c>
      <c r="D6499" s="47"/>
      <c r="E6499" s="22" t="s">
        <v>30503</v>
      </c>
      <c r="F6499" s="22" t="s">
        <v>323</v>
      </c>
      <c r="G6499" s="23">
        <v>2022.0</v>
      </c>
      <c r="H6499" s="22" t="s">
        <v>147</v>
      </c>
      <c r="I6499" s="24" t="s">
        <v>30504</v>
      </c>
      <c r="J6499" s="22" t="s">
        <v>125</v>
      </c>
      <c r="K6499" s="22"/>
      <c r="L6499" s="105" t="s">
        <v>30505</v>
      </c>
      <c r="M6499" s="44"/>
      <c r="N6499" s="44"/>
      <c r="O6499" s="44"/>
      <c r="P6499" s="44"/>
      <c r="Q6499" s="44"/>
      <c r="R6499" s="44"/>
      <c r="S6499" s="44"/>
      <c r="T6499" s="45"/>
      <c r="U6499" s="38" t="s">
        <v>61</v>
      </c>
      <c r="V6499" s="30"/>
      <c r="W6499" s="49"/>
      <c r="X6499" s="49"/>
      <c r="Y6499" s="35"/>
      <c r="Z6499" s="35"/>
      <c r="AA6499" s="35"/>
      <c r="AB6499" s="35"/>
      <c r="AC6499" s="35"/>
      <c r="AD6499" s="35"/>
      <c r="AE6499" s="35"/>
      <c r="AF6499" s="35"/>
      <c r="AG6499" s="35"/>
      <c r="AH6499" s="35"/>
      <c r="AI6499" s="35"/>
      <c r="AJ6499" s="35"/>
      <c r="AK6499" s="35"/>
      <c r="AL6499" s="35"/>
    </row>
    <row r="6500">
      <c r="A6500" s="18"/>
      <c r="B6500" s="19" t="s">
        <v>30172</v>
      </c>
      <c r="C6500" s="20" t="s">
        <v>15129</v>
      </c>
      <c r="D6500" s="47"/>
      <c r="E6500" s="22" t="s">
        <v>30506</v>
      </c>
      <c r="F6500" s="22" t="s">
        <v>3027</v>
      </c>
      <c r="G6500" s="23">
        <v>2022.0</v>
      </c>
      <c r="H6500" s="22" t="s">
        <v>1667</v>
      </c>
      <c r="I6500" s="24" t="s">
        <v>30507</v>
      </c>
      <c r="J6500" s="22" t="s">
        <v>31</v>
      </c>
      <c r="K6500" s="22" t="s">
        <v>30508</v>
      </c>
      <c r="L6500" s="36" t="s">
        <v>30509</v>
      </c>
      <c r="M6500" s="36"/>
      <c r="N6500" s="36"/>
      <c r="O6500" s="36"/>
      <c r="P6500" s="37"/>
      <c r="Q6500" s="36"/>
      <c r="R6500" s="36" t="s">
        <v>4642</v>
      </c>
      <c r="S6500" s="36">
        <v>1.0</v>
      </c>
      <c r="T6500" s="54" t="s">
        <v>30510</v>
      </c>
      <c r="U6500" s="38" t="s">
        <v>61</v>
      </c>
      <c r="V6500" s="30"/>
      <c r="W6500" s="49"/>
      <c r="X6500" s="49"/>
      <c r="Y6500" s="35"/>
      <c r="Z6500" s="35"/>
      <c r="AA6500" s="35"/>
      <c r="AB6500" s="35"/>
      <c r="AC6500" s="35"/>
      <c r="AD6500" s="35"/>
      <c r="AE6500" s="35"/>
      <c r="AF6500" s="35"/>
      <c r="AG6500" s="35"/>
      <c r="AH6500" s="35"/>
      <c r="AI6500" s="35"/>
      <c r="AJ6500" s="35"/>
      <c r="AK6500" s="35"/>
      <c r="AL6500" s="35"/>
    </row>
    <row r="6501">
      <c r="A6501" s="18"/>
      <c r="B6501" s="19" t="s">
        <v>30172</v>
      </c>
      <c r="C6501" s="20" t="s">
        <v>15129</v>
      </c>
      <c r="D6501" s="47"/>
      <c r="E6501" s="22" t="s">
        <v>30511</v>
      </c>
      <c r="F6501" s="22" t="s">
        <v>323</v>
      </c>
      <c r="G6501" s="23">
        <v>2022.0</v>
      </c>
      <c r="H6501" s="22" t="s">
        <v>30512</v>
      </c>
      <c r="I6501" s="24" t="s">
        <v>30513</v>
      </c>
      <c r="J6501" s="22" t="s">
        <v>31</v>
      </c>
      <c r="K6501" s="22"/>
      <c r="L6501" s="36">
        <v>810.0</v>
      </c>
      <c r="M6501" s="36"/>
      <c r="N6501" s="36"/>
      <c r="O6501" s="36"/>
      <c r="P6501" s="37" t="s">
        <v>1468</v>
      </c>
      <c r="Q6501" s="36"/>
      <c r="R6501" s="36"/>
      <c r="S6501" s="36"/>
      <c r="T6501" s="54" t="s">
        <v>30514</v>
      </c>
      <c r="U6501" s="29" t="s">
        <v>61</v>
      </c>
      <c r="V6501" s="30"/>
      <c r="W6501" s="49"/>
      <c r="X6501" s="49"/>
      <c r="Y6501" s="35"/>
      <c r="Z6501" s="35"/>
      <c r="AA6501" s="35"/>
      <c r="AB6501" s="35"/>
      <c r="AC6501" s="35"/>
      <c r="AD6501" s="35"/>
      <c r="AE6501" s="35"/>
      <c r="AF6501" s="35"/>
      <c r="AG6501" s="35"/>
      <c r="AH6501" s="35"/>
      <c r="AI6501" s="35"/>
      <c r="AJ6501" s="35"/>
      <c r="AK6501" s="35"/>
      <c r="AL6501" s="35"/>
    </row>
    <row r="6502">
      <c r="A6502" s="18"/>
      <c r="B6502" s="19" t="s">
        <v>30172</v>
      </c>
      <c r="C6502" s="20" t="s">
        <v>15129</v>
      </c>
      <c r="D6502" s="47"/>
      <c r="E6502" s="22" t="s">
        <v>30515</v>
      </c>
      <c r="F6502" s="22" t="s">
        <v>3027</v>
      </c>
      <c r="G6502" s="23">
        <v>2021.0</v>
      </c>
      <c r="H6502" s="22" t="s">
        <v>30516</v>
      </c>
      <c r="I6502" s="24" t="s">
        <v>30517</v>
      </c>
      <c r="J6502" s="22" t="s">
        <v>31</v>
      </c>
      <c r="K6502" s="22" t="s">
        <v>157</v>
      </c>
      <c r="L6502" s="36" t="s">
        <v>30509</v>
      </c>
      <c r="M6502" s="36"/>
      <c r="N6502" s="36"/>
      <c r="O6502" s="36"/>
      <c r="P6502" s="37"/>
      <c r="Q6502" s="36"/>
      <c r="R6502" s="36"/>
      <c r="S6502" s="36"/>
      <c r="T6502" s="54" t="s">
        <v>30518</v>
      </c>
      <c r="U6502" s="29" t="s">
        <v>61</v>
      </c>
      <c r="V6502" s="30"/>
      <c r="W6502" s="49"/>
      <c r="X6502" s="49"/>
      <c r="Y6502" s="35"/>
      <c r="Z6502" s="35"/>
      <c r="AA6502" s="35"/>
      <c r="AB6502" s="35"/>
      <c r="AC6502" s="35"/>
      <c r="AD6502" s="35"/>
      <c r="AE6502" s="35"/>
      <c r="AF6502" s="35"/>
      <c r="AG6502" s="35"/>
      <c r="AH6502" s="35"/>
      <c r="AI6502" s="35"/>
      <c r="AJ6502" s="35"/>
      <c r="AK6502" s="35"/>
      <c r="AL6502" s="35"/>
    </row>
    <row r="6503">
      <c r="A6503" s="18"/>
      <c r="B6503" s="19" t="s">
        <v>30172</v>
      </c>
      <c r="C6503" s="20" t="s">
        <v>15129</v>
      </c>
      <c r="D6503" s="47"/>
      <c r="E6503" s="22" t="s">
        <v>30511</v>
      </c>
      <c r="F6503" s="22" t="s">
        <v>323</v>
      </c>
      <c r="G6503" s="23">
        <v>2021.0</v>
      </c>
      <c r="H6503" s="22" t="s">
        <v>30519</v>
      </c>
      <c r="I6503" s="24" t="s">
        <v>30520</v>
      </c>
      <c r="J6503" s="22" t="s">
        <v>31</v>
      </c>
      <c r="K6503" s="22" t="s">
        <v>30485</v>
      </c>
      <c r="L6503" s="36">
        <v>810.0</v>
      </c>
      <c r="M6503" s="36"/>
      <c r="N6503" s="36"/>
      <c r="O6503" s="36"/>
      <c r="P6503" s="37" t="s">
        <v>1468</v>
      </c>
      <c r="Q6503" s="36"/>
      <c r="R6503" s="36"/>
      <c r="S6503" s="36"/>
      <c r="T6503" s="54" t="s">
        <v>30521</v>
      </c>
      <c r="U6503" s="29" t="s">
        <v>61</v>
      </c>
      <c r="V6503" s="30"/>
      <c r="W6503" s="49"/>
      <c r="X6503" s="49"/>
      <c r="Y6503" s="35"/>
      <c r="Z6503" s="35"/>
      <c r="AA6503" s="35"/>
      <c r="AB6503" s="35"/>
      <c r="AC6503" s="35"/>
      <c r="AD6503" s="35"/>
      <c r="AE6503" s="35"/>
      <c r="AF6503" s="35"/>
      <c r="AG6503" s="35"/>
      <c r="AH6503" s="35"/>
      <c r="AI6503" s="35"/>
      <c r="AJ6503" s="35"/>
      <c r="AK6503" s="35"/>
      <c r="AL6503" s="35"/>
    </row>
    <row r="6504">
      <c r="A6504" s="18"/>
      <c r="B6504" s="19" t="s">
        <v>30172</v>
      </c>
      <c r="C6504" s="20" t="s">
        <v>15129</v>
      </c>
      <c r="D6504" s="47"/>
      <c r="E6504" s="22" t="s">
        <v>30522</v>
      </c>
      <c r="F6504" s="22" t="s">
        <v>19850</v>
      </c>
      <c r="G6504" s="23">
        <v>2021.0</v>
      </c>
      <c r="H6504" s="22" t="s">
        <v>30516</v>
      </c>
      <c r="I6504" s="24" t="s">
        <v>30523</v>
      </c>
      <c r="J6504" s="22" t="s">
        <v>30524</v>
      </c>
      <c r="K6504" s="22" t="s">
        <v>30525</v>
      </c>
      <c r="L6504" s="36"/>
      <c r="M6504" s="36"/>
      <c r="N6504" s="36"/>
      <c r="O6504" s="36"/>
      <c r="P6504" s="37"/>
      <c r="Q6504" s="36"/>
      <c r="R6504" s="36"/>
      <c r="S6504" s="36"/>
      <c r="T6504" s="103" t="s">
        <v>30526</v>
      </c>
      <c r="U6504" s="29" t="s">
        <v>61</v>
      </c>
      <c r="V6504" s="30"/>
      <c r="W6504" s="49"/>
      <c r="X6504" s="49"/>
      <c r="Y6504" s="35"/>
      <c r="Z6504" s="35"/>
      <c r="AA6504" s="35"/>
      <c r="AB6504" s="35"/>
      <c r="AC6504" s="35"/>
      <c r="AD6504" s="35"/>
      <c r="AE6504" s="35"/>
      <c r="AF6504" s="35"/>
      <c r="AG6504" s="35"/>
      <c r="AH6504" s="35"/>
      <c r="AI6504" s="35"/>
      <c r="AJ6504" s="35"/>
      <c r="AK6504" s="35"/>
      <c r="AL6504" s="35"/>
    </row>
    <row r="6505">
      <c r="A6505" s="18"/>
      <c r="B6505" s="19" t="s">
        <v>30172</v>
      </c>
      <c r="C6505" s="20" t="s">
        <v>15129</v>
      </c>
      <c r="D6505" s="47"/>
      <c r="E6505" s="22" t="s">
        <v>30527</v>
      </c>
      <c r="F6505" s="22" t="s">
        <v>323</v>
      </c>
      <c r="G6505" s="23">
        <v>2021.0</v>
      </c>
      <c r="H6505" s="22" t="s">
        <v>30512</v>
      </c>
      <c r="I6505" s="24" t="s">
        <v>30528</v>
      </c>
      <c r="J6505" s="22" t="s">
        <v>44</v>
      </c>
      <c r="K6505" s="22" t="s">
        <v>1240</v>
      </c>
      <c r="L6505" s="36">
        <v>890.0</v>
      </c>
      <c r="M6505" s="36"/>
      <c r="N6505" s="36"/>
      <c r="O6505" s="36"/>
      <c r="P6505" s="37" t="s">
        <v>30529</v>
      </c>
      <c r="Q6505" s="36"/>
      <c r="R6505" s="36"/>
      <c r="S6505" s="36"/>
      <c r="T6505" s="102" t="s">
        <v>30530</v>
      </c>
      <c r="U6505" s="29" t="s">
        <v>61</v>
      </c>
      <c r="V6505" s="30"/>
      <c r="W6505" s="49"/>
      <c r="X6505" s="49"/>
      <c r="Y6505" s="35"/>
      <c r="Z6505" s="35"/>
      <c r="AA6505" s="35"/>
      <c r="AB6505" s="35"/>
      <c r="AC6505" s="35"/>
      <c r="AD6505" s="35"/>
      <c r="AE6505" s="35"/>
      <c r="AF6505" s="35"/>
      <c r="AG6505" s="35"/>
      <c r="AH6505" s="35"/>
      <c r="AI6505" s="35"/>
      <c r="AJ6505" s="35"/>
      <c r="AK6505" s="35"/>
      <c r="AL6505" s="35"/>
    </row>
    <row r="6506">
      <c r="A6506" s="18"/>
      <c r="B6506" s="19" t="s">
        <v>30172</v>
      </c>
      <c r="C6506" s="20" t="s">
        <v>15129</v>
      </c>
      <c r="D6506" s="47"/>
      <c r="E6506" s="22" t="s">
        <v>30531</v>
      </c>
      <c r="F6506" s="22" t="s">
        <v>14122</v>
      </c>
      <c r="G6506" s="23">
        <v>2021.0</v>
      </c>
      <c r="H6506" s="22" t="s">
        <v>53</v>
      </c>
      <c r="I6506" s="24" t="s">
        <v>30532</v>
      </c>
      <c r="J6506" s="22" t="s">
        <v>31</v>
      </c>
      <c r="K6506" s="22" t="s">
        <v>30533</v>
      </c>
      <c r="L6506" s="36">
        <v>655.0</v>
      </c>
      <c r="M6506" s="36"/>
      <c r="N6506" s="36"/>
      <c r="O6506" s="36"/>
      <c r="P6506" s="37" t="s">
        <v>5798</v>
      </c>
      <c r="Q6506" s="36"/>
      <c r="R6506" s="36"/>
      <c r="S6506" s="36"/>
      <c r="T6506" s="102" t="s">
        <v>30534</v>
      </c>
      <c r="U6506" s="29" t="s">
        <v>61</v>
      </c>
      <c r="V6506" s="30"/>
      <c r="W6506" s="49"/>
      <c r="X6506" s="49"/>
      <c r="Y6506" s="35"/>
      <c r="Z6506" s="35"/>
      <c r="AA6506" s="35"/>
      <c r="AB6506" s="35"/>
      <c r="AC6506" s="35"/>
      <c r="AD6506" s="35"/>
      <c r="AE6506" s="35"/>
      <c r="AF6506" s="35"/>
      <c r="AG6506" s="35"/>
      <c r="AH6506" s="35"/>
      <c r="AI6506" s="35"/>
      <c r="AJ6506" s="35"/>
      <c r="AK6506" s="35"/>
      <c r="AL6506" s="35"/>
    </row>
    <row r="6507">
      <c r="A6507" s="18"/>
      <c r="B6507" s="19" t="s">
        <v>30172</v>
      </c>
      <c r="C6507" s="20" t="s">
        <v>15129</v>
      </c>
      <c r="D6507" s="47"/>
      <c r="E6507" s="22" t="s">
        <v>30535</v>
      </c>
      <c r="F6507" s="22" t="s">
        <v>9104</v>
      </c>
      <c r="G6507" s="23">
        <v>2021.0</v>
      </c>
      <c r="H6507" s="22" t="s">
        <v>207</v>
      </c>
      <c r="I6507" s="24" t="s">
        <v>30536</v>
      </c>
      <c r="J6507" s="22" t="s">
        <v>31</v>
      </c>
      <c r="K6507" s="22" t="s">
        <v>30537</v>
      </c>
      <c r="L6507" s="36">
        <v>532.0</v>
      </c>
      <c r="M6507" s="36"/>
      <c r="N6507" s="36"/>
      <c r="O6507" s="36"/>
      <c r="P6507" s="37"/>
      <c r="Q6507" s="36"/>
      <c r="R6507" s="36"/>
      <c r="S6507" s="36"/>
      <c r="T6507" s="54" t="s">
        <v>30538</v>
      </c>
      <c r="U6507" s="29" t="s">
        <v>61</v>
      </c>
      <c r="V6507" s="30"/>
      <c r="W6507" s="49"/>
      <c r="X6507" s="49"/>
      <c r="Y6507" s="35"/>
      <c r="Z6507" s="35"/>
      <c r="AA6507" s="35"/>
      <c r="AB6507" s="35"/>
      <c r="AC6507" s="35"/>
      <c r="AD6507" s="35"/>
      <c r="AE6507" s="35"/>
      <c r="AF6507" s="35"/>
      <c r="AG6507" s="35"/>
      <c r="AH6507" s="35"/>
      <c r="AI6507" s="35"/>
      <c r="AJ6507" s="35"/>
      <c r="AK6507" s="35"/>
      <c r="AL6507" s="35"/>
    </row>
    <row r="6508">
      <c r="A6508" s="18"/>
      <c r="B6508" s="19" t="s">
        <v>30172</v>
      </c>
      <c r="C6508" s="20" t="s">
        <v>15129</v>
      </c>
      <c r="D6508" s="47"/>
      <c r="E6508" s="22" t="s">
        <v>30506</v>
      </c>
      <c r="F6508" s="22" t="s">
        <v>30539</v>
      </c>
      <c r="G6508" s="23">
        <v>2020.0</v>
      </c>
      <c r="H6508" s="22" t="s">
        <v>30540</v>
      </c>
      <c r="I6508" s="24" t="s">
        <v>30541</v>
      </c>
      <c r="J6508" s="22" t="s">
        <v>31</v>
      </c>
      <c r="K6508" s="22" t="s">
        <v>157</v>
      </c>
      <c r="L6508" s="36"/>
      <c r="M6508" s="36"/>
      <c r="N6508" s="36"/>
      <c r="O6508" s="36"/>
      <c r="P6508" s="37"/>
      <c r="Q6508" s="36"/>
      <c r="R6508" s="36"/>
      <c r="S6508" s="36"/>
      <c r="T6508" s="54" t="s">
        <v>30542</v>
      </c>
      <c r="U6508" s="38" t="s">
        <v>61</v>
      </c>
      <c r="V6508" s="30"/>
      <c r="W6508" s="49"/>
      <c r="X6508" s="49"/>
      <c r="Y6508" s="35"/>
      <c r="Z6508" s="35"/>
      <c r="AA6508" s="35"/>
      <c r="AB6508" s="35"/>
      <c r="AC6508" s="35"/>
      <c r="AD6508" s="35"/>
      <c r="AE6508" s="35"/>
      <c r="AF6508" s="35"/>
      <c r="AG6508" s="35"/>
      <c r="AH6508" s="35"/>
      <c r="AI6508" s="35"/>
      <c r="AJ6508" s="35"/>
      <c r="AK6508" s="35"/>
      <c r="AL6508" s="35"/>
    </row>
    <row r="6509">
      <c r="A6509" s="18"/>
      <c r="B6509" s="19" t="s">
        <v>30172</v>
      </c>
      <c r="C6509" s="20" t="s">
        <v>15129</v>
      </c>
      <c r="D6509" s="47"/>
      <c r="E6509" s="22" t="s">
        <v>30506</v>
      </c>
      <c r="F6509" s="22" t="s">
        <v>30539</v>
      </c>
      <c r="G6509" s="23">
        <v>2020.0</v>
      </c>
      <c r="H6509" s="22" t="s">
        <v>2392</v>
      </c>
      <c r="I6509" s="24" t="s">
        <v>30543</v>
      </c>
      <c r="J6509" s="22" t="s">
        <v>31</v>
      </c>
      <c r="K6509" s="22" t="s">
        <v>2628</v>
      </c>
      <c r="L6509" s="36" t="s">
        <v>30509</v>
      </c>
      <c r="M6509" s="36"/>
      <c r="N6509" s="36"/>
      <c r="O6509" s="36"/>
      <c r="P6509" s="37"/>
      <c r="Q6509" s="36"/>
      <c r="R6509" s="36" t="s">
        <v>4642</v>
      </c>
      <c r="S6509" s="36"/>
      <c r="T6509" s="54" t="s">
        <v>30544</v>
      </c>
      <c r="U6509" s="29" t="s">
        <v>61</v>
      </c>
      <c r="V6509" s="30"/>
      <c r="W6509" s="49"/>
      <c r="X6509" s="49"/>
      <c r="Y6509" s="35"/>
      <c r="Z6509" s="35"/>
      <c r="AA6509" s="35"/>
      <c r="AB6509" s="35"/>
      <c r="AC6509" s="35"/>
      <c r="AD6509" s="35"/>
      <c r="AE6509" s="35"/>
      <c r="AF6509" s="35"/>
      <c r="AG6509" s="35"/>
      <c r="AH6509" s="35"/>
      <c r="AI6509" s="35"/>
      <c r="AJ6509" s="35"/>
      <c r="AK6509" s="35"/>
      <c r="AL6509" s="35"/>
    </row>
    <row r="6510">
      <c r="A6510" s="18"/>
      <c r="B6510" s="19" t="s">
        <v>30172</v>
      </c>
      <c r="C6510" s="20" t="s">
        <v>15129</v>
      </c>
      <c r="D6510" s="47"/>
      <c r="E6510" s="22" t="s">
        <v>30515</v>
      </c>
      <c r="F6510" s="22" t="s">
        <v>3027</v>
      </c>
      <c r="G6510" s="23">
        <v>2020.0</v>
      </c>
      <c r="H6510" s="22" t="s">
        <v>26790</v>
      </c>
      <c r="I6510" s="24" t="s">
        <v>30545</v>
      </c>
      <c r="J6510" s="22" t="s">
        <v>31</v>
      </c>
      <c r="K6510" s="22" t="s">
        <v>157</v>
      </c>
      <c r="L6510" s="36" t="s">
        <v>30509</v>
      </c>
      <c r="M6510" s="36"/>
      <c r="N6510" s="36"/>
      <c r="O6510" s="36"/>
      <c r="P6510" s="37"/>
      <c r="Q6510" s="36"/>
      <c r="R6510" s="36"/>
      <c r="S6510" s="36"/>
      <c r="T6510" s="54" t="s">
        <v>30546</v>
      </c>
      <c r="U6510" s="29" t="s">
        <v>61</v>
      </c>
      <c r="V6510" s="30"/>
      <c r="W6510" s="49"/>
      <c r="X6510" s="49"/>
      <c r="Y6510" s="35"/>
      <c r="Z6510" s="35"/>
      <c r="AA6510" s="35"/>
      <c r="AB6510" s="35"/>
      <c r="AC6510" s="35"/>
      <c r="AD6510" s="35"/>
      <c r="AE6510" s="35"/>
      <c r="AF6510" s="35"/>
      <c r="AG6510" s="35"/>
      <c r="AH6510" s="35"/>
      <c r="AI6510" s="35"/>
      <c r="AJ6510" s="35"/>
      <c r="AK6510" s="35"/>
      <c r="AL6510" s="35"/>
    </row>
    <row r="6511">
      <c r="A6511" s="18"/>
      <c r="B6511" s="19" t="s">
        <v>30172</v>
      </c>
      <c r="C6511" s="20" t="s">
        <v>15129</v>
      </c>
      <c r="D6511" s="47"/>
      <c r="E6511" s="22" t="s">
        <v>30515</v>
      </c>
      <c r="F6511" s="22" t="s">
        <v>3027</v>
      </c>
      <c r="G6511" s="23">
        <v>2020.0</v>
      </c>
      <c r="H6511" s="22" t="s">
        <v>30540</v>
      </c>
      <c r="I6511" s="24" t="s">
        <v>30547</v>
      </c>
      <c r="J6511" s="22" t="s">
        <v>31</v>
      </c>
      <c r="K6511" s="22"/>
      <c r="L6511" s="36" t="s">
        <v>30509</v>
      </c>
      <c r="M6511" s="36"/>
      <c r="N6511" s="36"/>
      <c r="O6511" s="36"/>
      <c r="P6511" s="37"/>
      <c r="Q6511" s="36"/>
      <c r="R6511" s="36"/>
      <c r="S6511" s="36"/>
      <c r="T6511" s="54" t="s">
        <v>30548</v>
      </c>
      <c r="U6511" s="29" t="s">
        <v>61</v>
      </c>
      <c r="V6511" s="30"/>
      <c r="W6511" s="49"/>
      <c r="X6511" s="49"/>
      <c r="Y6511" s="35"/>
      <c r="Z6511" s="35"/>
      <c r="AA6511" s="35"/>
      <c r="AB6511" s="35"/>
      <c r="AC6511" s="35"/>
      <c r="AD6511" s="35"/>
      <c r="AE6511" s="35"/>
      <c r="AF6511" s="35"/>
      <c r="AG6511" s="35"/>
      <c r="AH6511" s="35"/>
      <c r="AI6511" s="35"/>
      <c r="AJ6511" s="35"/>
      <c r="AK6511" s="35"/>
      <c r="AL6511" s="35"/>
    </row>
    <row r="6512">
      <c r="A6512" s="18"/>
      <c r="B6512" s="19" t="s">
        <v>30172</v>
      </c>
      <c r="C6512" s="20" t="s">
        <v>15129</v>
      </c>
      <c r="D6512" s="47"/>
      <c r="E6512" s="22" t="s">
        <v>5053</v>
      </c>
      <c r="F6512" s="22" t="s">
        <v>7853</v>
      </c>
      <c r="G6512" s="23">
        <v>2020.0</v>
      </c>
      <c r="H6512" s="22" t="s">
        <v>30549</v>
      </c>
      <c r="I6512" s="24" t="s">
        <v>30550</v>
      </c>
      <c r="J6512" s="22" t="s">
        <v>31</v>
      </c>
      <c r="K6512" s="22"/>
      <c r="L6512" s="36">
        <v>800.0</v>
      </c>
      <c r="M6512" s="36"/>
      <c r="N6512" s="36"/>
      <c r="O6512" s="36"/>
      <c r="P6512" s="37"/>
      <c r="Q6512" s="36"/>
      <c r="R6512" s="36"/>
      <c r="S6512" s="36"/>
      <c r="T6512" s="54" t="s">
        <v>30551</v>
      </c>
      <c r="U6512" s="29" t="s">
        <v>61</v>
      </c>
      <c r="V6512" s="30"/>
      <c r="W6512" s="49"/>
      <c r="X6512" s="49"/>
      <c r="Y6512" s="35"/>
      <c r="Z6512" s="35"/>
      <c r="AA6512" s="35"/>
      <c r="AB6512" s="35"/>
      <c r="AC6512" s="35"/>
      <c r="AD6512" s="35"/>
      <c r="AE6512" s="35"/>
      <c r="AF6512" s="35"/>
      <c r="AG6512" s="35"/>
      <c r="AH6512" s="35"/>
      <c r="AI6512" s="35"/>
      <c r="AJ6512" s="35"/>
      <c r="AK6512" s="35"/>
      <c r="AL6512" s="35"/>
    </row>
    <row r="6513">
      <c r="A6513" s="18"/>
      <c r="B6513" s="19" t="s">
        <v>30172</v>
      </c>
      <c r="C6513" s="20" t="s">
        <v>15129</v>
      </c>
      <c r="D6513" s="47"/>
      <c r="E6513" s="22" t="s">
        <v>30535</v>
      </c>
      <c r="F6513" s="22" t="s">
        <v>9104</v>
      </c>
      <c r="G6513" s="23">
        <v>2020.0</v>
      </c>
      <c r="H6513" s="22" t="s">
        <v>4975</v>
      </c>
      <c r="I6513" s="24" t="s">
        <v>30552</v>
      </c>
      <c r="J6513" s="22" t="s">
        <v>31</v>
      </c>
      <c r="K6513" s="22" t="s">
        <v>1827</v>
      </c>
      <c r="L6513" s="36" t="s">
        <v>30553</v>
      </c>
      <c r="M6513" s="36"/>
      <c r="N6513" s="36"/>
      <c r="O6513" s="36"/>
      <c r="P6513" s="37"/>
      <c r="Q6513" s="36"/>
      <c r="R6513" s="36"/>
      <c r="S6513" s="36"/>
      <c r="T6513" s="54" t="s">
        <v>30554</v>
      </c>
      <c r="U6513" s="29" t="s">
        <v>61</v>
      </c>
      <c r="V6513" s="30"/>
      <c r="W6513" s="49"/>
      <c r="X6513" s="49"/>
      <c r="Y6513" s="35"/>
      <c r="Z6513" s="35"/>
      <c r="AA6513" s="35"/>
      <c r="AB6513" s="35"/>
      <c r="AC6513" s="35"/>
      <c r="AD6513" s="35"/>
      <c r="AE6513" s="35"/>
      <c r="AF6513" s="35"/>
      <c r="AG6513" s="35"/>
      <c r="AH6513" s="35"/>
      <c r="AI6513" s="35"/>
      <c r="AJ6513" s="35"/>
      <c r="AK6513" s="35"/>
      <c r="AL6513" s="35"/>
    </row>
    <row r="6514">
      <c r="A6514" s="18"/>
      <c r="B6514" s="19" t="s">
        <v>30172</v>
      </c>
      <c r="C6514" s="20" t="s">
        <v>15129</v>
      </c>
      <c r="D6514" s="47"/>
      <c r="E6514" s="22" t="s">
        <v>30555</v>
      </c>
      <c r="F6514" s="22" t="s">
        <v>323</v>
      </c>
      <c r="G6514" s="23">
        <v>2020.0</v>
      </c>
      <c r="H6514" s="22" t="s">
        <v>4283</v>
      </c>
      <c r="I6514" s="24" t="s">
        <v>30556</v>
      </c>
      <c r="J6514" s="22" t="s">
        <v>44</v>
      </c>
      <c r="K6514" s="22"/>
      <c r="L6514" s="36">
        <v>890.0</v>
      </c>
      <c r="M6514" s="36"/>
      <c r="N6514" s="36"/>
      <c r="O6514" s="36"/>
      <c r="P6514" s="37" t="s">
        <v>1069</v>
      </c>
      <c r="Q6514" s="36"/>
      <c r="R6514" s="36"/>
      <c r="S6514" s="36"/>
      <c r="T6514" s="54" t="s">
        <v>30557</v>
      </c>
      <c r="U6514" s="29" t="s">
        <v>61</v>
      </c>
      <c r="V6514" s="30"/>
      <c r="W6514" s="49"/>
      <c r="X6514" s="49"/>
      <c r="Y6514" s="35"/>
      <c r="Z6514" s="35"/>
      <c r="AA6514" s="35"/>
      <c r="AB6514" s="35"/>
      <c r="AC6514" s="35"/>
      <c r="AD6514" s="35"/>
      <c r="AE6514" s="35"/>
      <c r="AF6514" s="35"/>
      <c r="AG6514" s="35"/>
      <c r="AH6514" s="35"/>
      <c r="AI6514" s="35"/>
      <c r="AJ6514" s="35"/>
      <c r="AK6514" s="35"/>
      <c r="AL6514" s="35"/>
    </row>
    <row r="6515">
      <c r="A6515" s="18"/>
      <c r="B6515" s="19" t="s">
        <v>30172</v>
      </c>
      <c r="C6515" s="20" t="s">
        <v>15129</v>
      </c>
      <c r="D6515" s="47"/>
      <c r="E6515" s="22" t="s">
        <v>30511</v>
      </c>
      <c r="F6515" s="22" t="s">
        <v>323</v>
      </c>
      <c r="G6515" s="23">
        <v>2020.0</v>
      </c>
      <c r="H6515" s="22" t="s">
        <v>77</v>
      </c>
      <c r="I6515" s="24" t="s">
        <v>30558</v>
      </c>
      <c r="J6515" s="22" t="s">
        <v>31</v>
      </c>
      <c r="K6515" s="22" t="s">
        <v>294</v>
      </c>
      <c r="L6515" s="36" t="s">
        <v>30432</v>
      </c>
      <c r="M6515" s="36"/>
      <c r="N6515" s="36"/>
      <c r="O6515" s="36"/>
      <c r="P6515" s="37"/>
      <c r="Q6515" s="36"/>
      <c r="R6515" s="36"/>
      <c r="S6515" s="36"/>
      <c r="T6515" s="54" t="s">
        <v>30559</v>
      </c>
      <c r="U6515" s="38" t="str">
        <f>HYPERLINK("https://www.ncbi.nlm.nih.gov/pubmed/32301671","PubMed")</f>
        <v>PubMed</v>
      </c>
      <c r="V6515" s="30"/>
      <c r="W6515" s="49"/>
      <c r="X6515" s="49"/>
      <c r="Y6515" s="35"/>
      <c r="Z6515" s="35"/>
      <c r="AA6515" s="35"/>
      <c r="AB6515" s="35"/>
      <c r="AC6515" s="35"/>
      <c r="AD6515" s="35"/>
      <c r="AE6515" s="35"/>
      <c r="AF6515" s="35"/>
      <c r="AG6515" s="35"/>
      <c r="AH6515" s="35"/>
      <c r="AI6515" s="35"/>
      <c r="AJ6515" s="35"/>
      <c r="AK6515" s="35"/>
      <c r="AL6515" s="35"/>
    </row>
    <row r="6516">
      <c r="A6516" s="18"/>
      <c r="B6516" s="19" t="s">
        <v>30172</v>
      </c>
      <c r="C6516" s="20" t="s">
        <v>15129</v>
      </c>
      <c r="D6516" s="47"/>
      <c r="E6516" s="22" t="s">
        <v>30515</v>
      </c>
      <c r="F6516" s="22" t="s">
        <v>3027</v>
      </c>
      <c r="G6516" s="23">
        <v>2020.0</v>
      </c>
      <c r="H6516" s="22" t="s">
        <v>1667</v>
      </c>
      <c r="I6516" s="24" t="s">
        <v>30560</v>
      </c>
      <c r="J6516" s="22" t="s">
        <v>31</v>
      </c>
      <c r="K6516" s="22" t="s">
        <v>157</v>
      </c>
      <c r="L6516" s="36" t="s">
        <v>30509</v>
      </c>
      <c r="M6516" s="36"/>
      <c r="N6516" s="36" t="s">
        <v>25541</v>
      </c>
      <c r="O6516" s="36"/>
      <c r="P6516" s="37"/>
      <c r="Q6516" s="36"/>
      <c r="R6516" s="36" t="s">
        <v>4642</v>
      </c>
      <c r="S6516" s="36"/>
      <c r="T6516" s="54" t="s">
        <v>30561</v>
      </c>
      <c r="U6516" s="29" t="s">
        <v>61</v>
      </c>
      <c r="V6516" s="30"/>
      <c r="W6516" s="49"/>
      <c r="X6516" s="49"/>
      <c r="Y6516" s="35"/>
      <c r="Z6516" s="35"/>
      <c r="AA6516" s="35"/>
      <c r="AB6516" s="35"/>
      <c r="AC6516" s="35"/>
      <c r="AD6516" s="35"/>
      <c r="AE6516" s="35"/>
      <c r="AF6516" s="35"/>
      <c r="AG6516" s="35"/>
      <c r="AH6516" s="35"/>
      <c r="AI6516" s="35"/>
      <c r="AJ6516" s="35"/>
      <c r="AK6516" s="35"/>
      <c r="AL6516" s="35"/>
    </row>
    <row r="6517">
      <c r="A6517" s="18"/>
      <c r="B6517" s="19" t="s">
        <v>30172</v>
      </c>
      <c r="C6517" s="20" t="s">
        <v>15129</v>
      </c>
      <c r="D6517" s="47"/>
      <c r="E6517" s="22" t="s">
        <v>30515</v>
      </c>
      <c r="F6517" s="22" t="s">
        <v>3027</v>
      </c>
      <c r="G6517" s="23">
        <v>2020.0</v>
      </c>
      <c r="H6517" s="22" t="s">
        <v>30540</v>
      </c>
      <c r="I6517" s="24" t="s">
        <v>30562</v>
      </c>
      <c r="J6517" s="22" t="s">
        <v>31</v>
      </c>
      <c r="K6517" s="22" t="s">
        <v>157</v>
      </c>
      <c r="L6517" s="36" t="s">
        <v>30509</v>
      </c>
      <c r="M6517" s="36"/>
      <c r="N6517" s="36"/>
      <c r="O6517" s="36"/>
      <c r="P6517" s="37"/>
      <c r="Q6517" s="36"/>
      <c r="R6517" s="36"/>
      <c r="S6517" s="36"/>
      <c r="T6517" s="54" t="s">
        <v>30563</v>
      </c>
      <c r="U6517" s="38" t="str">
        <f>HYPERLINK("https://www.ncbi.nlm.nih.gov/pubmed/32247951","PubMed")</f>
        <v>PubMed</v>
      </c>
      <c r="V6517" s="30"/>
      <c r="W6517" s="49"/>
      <c r="X6517" s="49"/>
      <c r="Y6517" s="35"/>
      <c r="Z6517" s="35"/>
      <c r="AA6517" s="35"/>
      <c r="AB6517" s="35"/>
      <c r="AC6517" s="35"/>
      <c r="AD6517" s="35"/>
      <c r="AE6517" s="35"/>
      <c r="AF6517" s="35"/>
      <c r="AG6517" s="35"/>
      <c r="AH6517" s="35"/>
      <c r="AI6517" s="35"/>
      <c r="AJ6517" s="35"/>
      <c r="AK6517" s="35"/>
      <c r="AL6517" s="35"/>
    </row>
    <row r="6518">
      <c r="A6518" s="18"/>
      <c r="B6518" s="19" t="s">
        <v>30172</v>
      </c>
      <c r="C6518" s="20" t="s">
        <v>15129</v>
      </c>
      <c r="D6518" s="47"/>
      <c r="E6518" s="22" t="s">
        <v>30564</v>
      </c>
      <c r="F6518" s="22" t="s">
        <v>30565</v>
      </c>
      <c r="G6518" s="23" t="s">
        <v>76</v>
      </c>
      <c r="H6518" s="22" t="s">
        <v>3950</v>
      </c>
      <c r="I6518" s="24" t="s">
        <v>30566</v>
      </c>
      <c r="J6518" s="22" t="s">
        <v>31</v>
      </c>
      <c r="K6518" s="22" t="s">
        <v>30567</v>
      </c>
      <c r="L6518" s="36" t="s">
        <v>30568</v>
      </c>
      <c r="M6518" s="36"/>
      <c r="N6518" s="36"/>
      <c r="O6518" s="36"/>
      <c r="P6518" s="37"/>
      <c r="Q6518" s="36"/>
      <c r="R6518" s="36"/>
      <c r="S6518" s="36"/>
      <c r="T6518" s="54" t="s">
        <v>30569</v>
      </c>
      <c r="U6518" s="38" t="str">
        <f>HYPERLINK("https://www.ncbi.nlm.nih.gov/pubmed/31681924","PubMed")</f>
        <v>PubMed</v>
      </c>
      <c r="V6518" s="30"/>
      <c r="W6518" s="49"/>
      <c r="X6518" s="49"/>
      <c r="Y6518" s="35"/>
      <c r="Z6518" s="35"/>
      <c r="AA6518" s="35"/>
      <c r="AB6518" s="35"/>
      <c r="AC6518" s="35"/>
      <c r="AD6518" s="35"/>
      <c r="AE6518" s="35"/>
      <c r="AF6518" s="35"/>
      <c r="AG6518" s="35"/>
      <c r="AH6518" s="35"/>
      <c r="AI6518" s="35"/>
      <c r="AJ6518" s="35"/>
      <c r="AK6518" s="35"/>
      <c r="AL6518" s="35"/>
    </row>
    <row r="6519">
      <c r="A6519" s="18"/>
      <c r="B6519" s="19" t="s">
        <v>30172</v>
      </c>
      <c r="C6519" s="20" t="s">
        <v>15129</v>
      </c>
      <c r="D6519" s="47"/>
      <c r="E6519" s="22" t="s">
        <v>764</v>
      </c>
      <c r="F6519" s="22" t="s">
        <v>30570</v>
      </c>
      <c r="G6519" s="23">
        <v>2019.0</v>
      </c>
      <c r="H6519" s="22" t="s">
        <v>91</v>
      </c>
      <c r="I6519" s="24" t="s">
        <v>30571</v>
      </c>
      <c r="J6519" s="22" t="s">
        <v>30572</v>
      </c>
      <c r="K6519" s="22"/>
      <c r="L6519" s="36">
        <v>808.0</v>
      </c>
      <c r="M6519" s="36"/>
      <c r="N6519" s="36"/>
      <c r="O6519" s="36"/>
      <c r="P6519" s="37" t="s">
        <v>30573</v>
      </c>
      <c r="Q6519" s="36"/>
      <c r="R6519" s="36"/>
      <c r="S6519" s="36"/>
      <c r="T6519" s="103" t="s">
        <v>30574</v>
      </c>
      <c r="U6519" s="38" t="str">
        <f>HYPERLINK("https://www.ncbi.nlm.nih.gov/pubmed/30460521","PubMed")</f>
        <v>PubMed</v>
      </c>
      <c r="V6519" s="30"/>
      <c r="W6519" s="49"/>
      <c r="X6519" s="49"/>
      <c r="Y6519" s="35"/>
      <c r="Z6519" s="35"/>
      <c r="AA6519" s="35"/>
      <c r="AB6519" s="35"/>
      <c r="AC6519" s="35"/>
      <c r="AD6519" s="35"/>
      <c r="AE6519" s="35"/>
      <c r="AF6519" s="35"/>
      <c r="AG6519" s="35"/>
      <c r="AH6519" s="35"/>
      <c r="AI6519" s="35"/>
      <c r="AJ6519" s="35"/>
      <c r="AK6519" s="35"/>
      <c r="AL6519" s="35"/>
    </row>
    <row r="6520">
      <c r="A6520" s="18"/>
      <c r="B6520" s="19" t="s">
        <v>30172</v>
      </c>
      <c r="C6520" s="20" t="s">
        <v>15129</v>
      </c>
      <c r="D6520" s="47"/>
      <c r="E6520" s="22" t="s">
        <v>30575</v>
      </c>
      <c r="F6520" s="22" t="s">
        <v>3027</v>
      </c>
      <c r="G6520" s="23">
        <v>2019.0</v>
      </c>
      <c r="H6520" s="22" t="s">
        <v>30576</v>
      </c>
      <c r="I6520" s="24" t="s">
        <v>30577</v>
      </c>
      <c r="J6520" s="22" t="s">
        <v>8446</v>
      </c>
      <c r="K6520" s="22" t="s">
        <v>157</v>
      </c>
      <c r="L6520" s="36"/>
      <c r="M6520" s="36"/>
      <c r="N6520" s="36"/>
      <c r="O6520" s="36"/>
      <c r="P6520" s="37"/>
      <c r="Q6520" s="36"/>
      <c r="R6520" s="36"/>
      <c r="S6520" s="36"/>
      <c r="T6520" s="102" t="s">
        <v>30578</v>
      </c>
      <c r="U6520" s="38" t="str">
        <f>HYPERLINK("https://www.ncbi.nlm.nih.gov/pubmed/31104351","PubMed")</f>
        <v>PubMed</v>
      </c>
      <c r="V6520" s="30" t="s">
        <v>30579</v>
      </c>
      <c r="W6520" s="49"/>
      <c r="X6520" s="49"/>
      <c r="Y6520" s="35"/>
      <c r="Z6520" s="35"/>
      <c r="AA6520" s="35"/>
      <c r="AB6520" s="35"/>
      <c r="AC6520" s="35"/>
      <c r="AD6520" s="35"/>
      <c r="AE6520" s="35"/>
      <c r="AF6520" s="35"/>
      <c r="AG6520" s="35"/>
      <c r="AH6520" s="35"/>
      <c r="AI6520" s="35"/>
      <c r="AJ6520" s="35"/>
      <c r="AK6520" s="35"/>
      <c r="AL6520" s="35"/>
    </row>
    <row r="6521">
      <c r="A6521" s="18"/>
      <c r="B6521" s="19" t="s">
        <v>30172</v>
      </c>
      <c r="C6521" s="20" t="s">
        <v>15129</v>
      </c>
      <c r="D6521" s="47"/>
      <c r="E6521" s="22" t="s">
        <v>30580</v>
      </c>
      <c r="F6521" s="22" t="s">
        <v>7177</v>
      </c>
      <c r="G6521" s="23">
        <v>2019.0</v>
      </c>
      <c r="H6521" s="22" t="s">
        <v>14467</v>
      </c>
      <c r="I6521" s="24" t="s">
        <v>30581</v>
      </c>
      <c r="J6521" s="22" t="s">
        <v>31</v>
      </c>
      <c r="K6521" s="22" t="s">
        <v>30582</v>
      </c>
      <c r="L6521" s="36" t="s">
        <v>30509</v>
      </c>
      <c r="M6521" s="36"/>
      <c r="N6521" s="36"/>
      <c r="O6521" s="36"/>
      <c r="P6521" s="37"/>
      <c r="Q6521" s="36"/>
      <c r="R6521" s="36"/>
      <c r="S6521" s="36"/>
      <c r="T6521" s="54" t="s">
        <v>30583</v>
      </c>
      <c r="U6521" s="38" t="str">
        <f>HYPERLINK("https://www.ncbi.nlm.nih.gov/pubmed/30656707","PubMed")</f>
        <v>PubMed</v>
      </c>
      <c r="V6521" s="30"/>
      <c r="W6521" s="49"/>
      <c r="X6521" s="49"/>
      <c r="Y6521" s="35"/>
      <c r="Z6521" s="35"/>
      <c r="AA6521" s="35"/>
      <c r="AB6521" s="35"/>
      <c r="AC6521" s="35"/>
      <c r="AD6521" s="35"/>
      <c r="AE6521" s="35"/>
      <c r="AF6521" s="35"/>
      <c r="AG6521" s="35"/>
      <c r="AH6521" s="35"/>
      <c r="AI6521" s="35"/>
      <c r="AJ6521" s="35"/>
      <c r="AK6521" s="35"/>
      <c r="AL6521" s="35"/>
    </row>
    <row r="6522">
      <c r="A6522" s="18"/>
      <c r="B6522" s="19" t="s">
        <v>30172</v>
      </c>
      <c r="C6522" s="20" t="s">
        <v>15129</v>
      </c>
      <c r="D6522" s="47"/>
      <c r="E6522" s="22" t="s">
        <v>13311</v>
      </c>
      <c r="F6522" s="22" t="s">
        <v>4436</v>
      </c>
      <c r="G6522" s="23">
        <v>2018.0</v>
      </c>
      <c r="H6522" s="22" t="s">
        <v>2479</v>
      </c>
      <c r="I6522" s="24" t="s">
        <v>30584</v>
      </c>
      <c r="J6522" s="22" t="s">
        <v>31</v>
      </c>
      <c r="K6522" s="22"/>
      <c r="L6522" s="36">
        <v>633.0</v>
      </c>
      <c r="M6522" s="36"/>
      <c r="N6522" s="36" t="s">
        <v>16655</v>
      </c>
      <c r="O6522" s="36"/>
      <c r="P6522" s="37"/>
      <c r="Q6522" s="36"/>
      <c r="R6522" s="36">
        <v>1800.0</v>
      </c>
      <c r="S6522" s="36"/>
      <c r="T6522" s="54" t="s">
        <v>30585</v>
      </c>
      <c r="U6522" s="38" t="str">
        <f>HYPERLINK("https://www.ncbi.nlm.nih.gov/pubmed/28966858","PubMed")</f>
        <v>PubMed</v>
      </c>
      <c r="V6522" s="30"/>
      <c r="W6522" s="49"/>
      <c r="X6522" s="49"/>
      <c r="Y6522" s="35"/>
      <c r="Z6522" s="35"/>
      <c r="AA6522" s="35"/>
      <c r="AB6522" s="35"/>
      <c r="AC6522" s="35"/>
      <c r="AD6522" s="35"/>
      <c r="AE6522" s="35"/>
      <c r="AF6522" s="35"/>
      <c r="AG6522" s="35"/>
      <c r="AH6522" s="35"/>
      <c r="AI6522" s="35"/>
      <c r="AJ6522" s="35"/>
      <c r="AK6522" s="35"/>
      <c r="AL6522" s="35"/>
    </row>
    <row r="6523">
      <c r="A6523" s="40" t="s">
        <v>181</v>
      </c>
      <c r="B6523" s="19" t="s">
        <v>30172</v>
      </c>
      <c r="C6523" s="20" t="s">
        <v>15129</v>
      </c>
      <c r="D6523" s="47"/>
      <c r="E6523" s="22" t="s">
        <v>30586</v>
      </c>
      <c r="F6523" s="22" t="s">
        <v>30587</v>
      </c>
      <c r="G6523" s="23">
        <v>2018.0</v>
      </c>
      <c r="H6523" s="22" t="s">
        <v>30576</v>
      </c>
      <c r="I6523" s="24" t="s">
        <v>30588</v>
      </c>
      <c r="J6523" s="22" t="s">
        <v>31</v>
      </c>
      <c r="K6523" s="22" t="s">
        <v>30589</v>
      </c>
      <c r="L6523" s="36" t="s">
        <v>30509</v>
      </c>
      <c r="M6523" s="36"/>
      <c r="N6523" s="36"/>
      <c r="O6523" s="36"/>
      <c r="P6523" s="37"/>
      <c r="Q6523" s="36"/>
      <c r="R6523" s="36"/>
      <c r="S6523" s="36"/>
      <c r="T6523" s="103" t="s">
        <v>30590</v>
      </c>
      <c r="U6523" s="38" t="str">
        <f>HYPERLINK("https://www.ncbi.nlm.nih.gov/pubmed/29604142","PubMed")</f>
        <v>PubMed</v>
      </c>
      <c r="V6523" s="30"/>
      <c r="W6523" s="49"/>
      <c r="X6523" s="49"/>
      <c r="Y6523" s="35"/>
      <c r="Z6523" s="35"/>
      <c r="AA6523" s="35"/>
      <c r="AB6523" s="35"/>
      <c r="AC6523" s="35"/>
      <c r="AD6523" s="35"/>
      <c r="AE6523" s="35"/>
      <c r="AF6523" s="35"/>
      <c r="AG6523" s="35"/>
      <c r="AH6523" s="35"/>
      <c r="AI6523" s="35"/>
      <c r="AJ6523" s="35"/>
      <c r="AK6523" s="35"/>
      <c r="AL6523" s="35"/>
    </row>
    <row r="6524">
      <c r="A6524" s="18"/>
      <c r="B6524" s="19" t="s">
        <v>30172</v>
      </c>
      <c r="C6524" s="20" t="s">
        <v>15129</v>
      </c>
      <c r="D6524" s="47"/>
      <c r="E6524" s="22" t="s">
        <v>30591</v>
      </c>
      <c r="F6524" s="22" t="s">
        <v>30592</v>
      </c>
      <c r="G6524" s="23">
        <v>2018.0</v>
      </c>
      <c r="H6524" s="22" t="s">
        <v>207</v>
      </c>
      <c r="I6524" s="24" t="s">
        <v>30593</v>
      </c>
      <c r="J6524" s="22" t="s">
        <v>31</v>
      </c>
      <c r="K6524" s="22" t="s">
        <v>30594</v>
      </c>
      <c r="L6524" s="36" t="s">
        <v>30595</v>
      </c>
      <c r="M6524" s="36"/>
      <c r="N6524" s="36"/>
      <c r="O6524" s="36"/>
      <c r="P6524" s="37"/>
      <c r="Q6524" s="36"/>
      <c r="R6524" s="36">
        <v>900.0</v>
      </c>
      <c r="S6524" s="36"/>
      <c r="T6524" s="103" t="s">
        <v>30596</v>
      </c>
      <c r="U6524" s="38" t="str">
        <f>HYPERLINK("https://www.ncbi.nlm.nih.gov/pubmed/29704859","PubMed")</f>
        <v>PubMed</v>
      </c>
      <c r="V6524" s="30"/>
      <c r="W6524" s="49"/>
      <c r="X6524" s="49"/>
      <c r="Y6524" s="35"/>
      <c r="Z6524" s="35"/>
      <c r="AA6524" s="35"/>
      <c r="AB6524" s="35"/>
      <c r="AC6524" s="35"/>
      <c r="AD6524" s="35"/>
      <c r="AE6524" s="35"/>
      <c r="AF6524" s="35"/>
      <c r="AG6524" s="35"/>
      <c r="AH6524" s="35"/>
      <c r="AI6524" s="35"/>
      <c r="AJ6524" s="35"/>
      <c r="AK6524" s="35"/>
      <c r="AL6524" s="35"/>
    </row>
    <row r="6525">
      <c r="A6525" s="18"/>
      <c r="B6525" s="19" t="s">
        <v>30172</v>
      </c>
      <c r="C6525" s="20" t="s">
        <v>15129</v>
      </c>
      <c r="D6525" s="47"/>
      <c r="E6525" s="22" t="s">
        <v>30597</v>
      </c>
      <c r="F6525" s="22" t="s">
        <v>30598</v>
      </c>
      <c r="G6525" s="23">
        <v>2018.0</v>
      </c>
      <c r="H6525" s="22" t="s">
        <v>30599</v>
      </c>
      <c r="I6525" s="24" t="s">
        <v>30600</v>
      </c>
      <c r="J6525" s="22" t="s">
        <v>125</v>
      </c>
      <c r="K6525" s="22"/>
      <c r="L6525" s="105" t="s">
        <v>30601</v>
      </c>
      <c r="M6525" s="44"/>
      <c r="N6525" s="44"/>
      <c r="O6525" s="44"/>
      <c r="P6525" s="44"/>
      <c r="Q6525" s="44"/>
      <c r="R6525" s="44"/>
      <c r="S6525" s="44"/>
      <c r="T6525" s="45"/>
      <c r="U6525" s="38" t="str">
        <f>HYPERLINK("https://www.sciencedirect.com/science/article/pii/S0378432017309831","ScienceDirect")</f>
        <v>ScienceDirect</v>
      </c>
      <c r="V6525" s="30"/>
      <c r="W6525" s="49"/>
      <c r="X6525" s="49"/>
      <c r="Y6525" s="35"/>
      <c r="Z6525" s="35"/>
      <c r="AA6525" s="35"/>
      <c r="AB6525" s="35"/>
      <c r="AC6525" s="35"/>
      <c r="AD6525" s="35"/>
      <c r="AE6525" s="35"/>
      <c r="AF6525" s="35"/>
      <c r="AG6525" s="35"/>
      <c r="AH6525" s="35"/>
      <c r="AI6525" s="35"/>
      <c r="AJ6525" s="35"/>
      <c r="AK6525" s="35"/>
      <c r="AL6525" s="35"/>
    </row>
    <row r="6526">
      <c r="A6526" s="18"/>
      <c r="B6526" s="19" t="s">
        <v>30172</v>
      </c>
      <c r="C6526" s="20" t="s">
        <v>15129</v>
      </c>
      <c r="D6526" s="47"/>
      <c r="E6526" s="22" t="s">
        <v>19330</v>
      </c>
      <c r="F6526" s="22" t="s">
        <v>5227</v>
      </c>
      <c r="G6526" s="23">
        <v>2017.0</v>
      </c>
      <c r="H6526" s="23" t="s">
        <v>4492</v>
      </c>
      <c r="I6526" s="24" t="s">
        <v>30602</v>
      </c>
      <c r="J6526" s="22" t="s">
        <v>202</v>
      </c>
      <c r="K6526" s="22"/>
      <c r="L6526" s="105" t="s">
        <v>30603</v>
      </c>
      <c r="M6526" s="44"/>
      <c r="N6526" s="44"/>
      <c r="O6526" s="44"/>
      <c r="P6526" s="44"/>
      <c r="Q6526" s="44"/>
      <c r="R6526" s="44"/>
      <c r="S6526" s="44"/>
      <c r="T6526" s="45"/>
      <c r="U6526" s="29" t="s">
        <v>61</v>
      </c>
      <c r="V6526" s="30"/>
      <c r="W6526" s="49"/>
      <c r="X6526" s="49"/>
      <c r="Y6526" s="35"/>
      <c r="Z6526" s="35"/>
      <c r="AA6526" s="35"/>
      <c r="AB6526" s="35"/>
      <c r="AC6526" s="35"/>
      <c r="AD6526" s="35"/>
      <c r="AE6526" s="35"/>
      <c r="AF6526" s="35"/>
      <c r="AG6526" s="35"/>
      <c r="AH6526" s="35"/>
      <c r="AI6526" s="35"/>
      <c r="AJ6526" s="35"/>
      <c r="AK6526" s="35"/>
      <c r="AL6526" s="35"/>
    </row>
    <row r="6527">
      <c r="A6527" s="18" t="s">
        <v>2</v>
      </c>
      <c r="B6527" s="19" t="s">
        <v>30172</v>
      </c>
      <c r="C6527" s="20" t="s">
        <v>15129</v>
      </c>
      <c r="D6527" s="47"/>
      <c r="E6527" s="22" t="s">
        <v>30604</v>
      </c>
      <c r="F6527" s="22" t="s">
        <v>4606</v>
      </c>
      <c r="G6527" s="23">
        <v>2017.0</v>
      </c>
      <c r="H6527" s="22" t="s">
        <v>2181</v>
      </c>
      <c r="I6527" s="24" t="s">
        <v>30605</v>
      </c>
      <c r="J6527" s="22" t="s">
        <v>31</v>
      </c>
      <c r="K6527" s="22" t="s">
        <v>30485</v>
      </c>
      <c r="L6527" s="36">
        <v>633.0</v>
      </c>
      <c r="M6527" s="36"/>
      <c r="N6527" s="36" t="s">
        <v>30606</v>
      </c>
      <c r="O6527" s="36"/>
      <c r="P6527" s="37"/>
      <c r="Q6527" s="36"/>
      <c r="R6527" s="36">
        <v>2100.0</v>
      </c>
      <c r="S6527" s="36"/>
      <c r="T6527" s="28" t="s">
        <v>30607</v>
      </c>
      <c r="U6527" s="38" t="str">
        <f>HYPERLINK("https://www.ncbi.nlm.nih.gov/pubmed/28425485","PubMed")</f>
        <v>PubMed</v>
      </c>
      <c r="V6527" s="30"/>
      <c r="W6527" s="49"/>
      <c r="X6527" s="49"/>
      <c r="Y6527" s="35"/>
      <c r="Z6527" s="35"/>
      <c r="AA6527" s="35"/>
      <c r="AB6527" s="35"/>
      <c r="AC6527" s="35"/>
      <c r="AD6527" s="35"/>
      <c r="AE6527" s="35"/>
      <c r="AF6527" s="35"/>
      <c r="AG6527" s="35"/>
      <c r="AH6527" s="35"/>
      <c r="AI6527" s="35"/>
      <c r="AJ6527" s="35"/>
      <c r="AK6527" s="35"/>
      <c r="AL6527" s="35"/>
    </row>
    <row r="6528">
      <c r="A6528" s="40" t="s">
        <v>181</v>
      </c>
      <c r="B6528" s="19" t="s">
        <v>30172</v>
      </c>
      <c r="C6528" s="20" t="s">
        <v>15129</v>
      </c>
      <c r="D6528" s="47"/>
      <c r="E6528" s="22" t="s">
        <v>30597</v>
      </c>
      <c r="F6528" s="22" t="s">
        <v>3027</v>
      </c>
      <c r="G6528" s="23">
        <v>2016.0</v>
      </c>
      <c r="H6528" s="22" t="s">
        <v>2181</v>
      </c>
      <c r="I6528" s="24" t="s">
        <v>30608</v>
      </c>
      <c r="J6528" s="22" t="s">
        <v>31</v>
      </c>
      <c r="K6528" s="22" t="s">
        <v>157</v>
      </c>
      <c r="L6528" s="36" t="s">
        <v>30509</v>
      </c>
      <c r="M6528" s="36"/>
      <c r="N6528" s="36"/>
      <c r="O6528" s="36"/>
      <c r="P6528" s="37"/>
      <c r="Q6528" s="36"/>
      <c r="R6528" s="36"/>
      <c r="S6528" s="36"/>
      <c r="T6528" s="28" t="s">
        <v>30609</v>
      </c>
      <c r="U6528" s="38" t="str">
        <f>HYPERLINK("https://www.ncbi.nlm.nih.gov/pubmed/26931070","PubMed")</f>
        <v>PubMed</v>
      </c>
      <c r="V6528" s="30"/>
      <c r="W6528" s="49"/>
      <c r="X6528" s="49"/>
      <c r="Y6528" s="35"/>
      <c r="Z6528" s="35"/>
      <c r="AA6528" s="35"/>
      <c r="AB6528" s="35"/>
      <c r="AC6528" s="35"/>
      <c r="AD6528" s="35"/>
      <c r="AE6528" s="35"/>
      <c r="AF6528" s="35"/>
      <c r="AG6528" s="35"/>
      <c r="AH6528" s="35"/>
      <c r="AI6528" s="35"/>
      <c r="AJ6528" s="35"/>
      <c r="AK6528" s="35"/>
      <c r="AL6528" s="35"/>
    </row>
    <row r="6529">
      <c r="A6529" s="1"/>
      <c r="B6529" s="19" t="s">
        <v>30172</v>
      </c>
      <c r="C6529" s="20" t="s">
        <v>15129</v>
      </c>
      <c r="D6529" s="47"/>
      <c r="E6529" s="22" t="s">
        <v>7540</v>
      </c>
      <c r="F6529" s="22" t="s">
        <v>41</v>
      </c>
      <c r="G6529" s="23">
        <v>2016.0</v>
      </c>
      <c r="H6529" s="22" t="s">
        <v>91</v>
      </c>
      <c r="I6529" s="24" t="s">
        <v>30610</v>
      </c>
      <c r="J6529" s="22" t="s">
        <v>31</v>
      </c>
      <c r="K6529" s="22" t="s">
        <v>30611</v>
      </c>
      <c r="L6529" s="36">
        <v>633.0</v>
      </c>
      <c r="M6529" s="36" t="s">
        <v>30612</v>
      </c>
      <c r="N6529" s="36"/>
      <c r="O6529" s="36"/>
      <c r="P6529" s="37"/>
      <c r="Q6529" s="36"/>
      <c r="R6529" s="36" t="s">
        <v>9594</v>
      </c>
      <c r="S6529" s="36"/>
      <c r="T6529" s="28" t="s">
        <v>30613</v>
      </c>
      <c r="U6529" s="38" t="str">
        <f>HYPERLINK("https://www.ncbi.nlm.nih.gov/pubmed/27272676","PubMed")</f>
        <v>PubMed</v>
      </c>
      <c r="V6529" s="30"/>
      <c r="W6529" s="49"/>
      <c r="X6529" s="49"/>
      <c r="Y6529" s="35"/>
      <c r="Z6529" s="35"/>
      <c r="AA6529" s="35"/>
      <c r="AB6529" s="35"/>
      <c r="AC6529" s="35"/>
      <c r="AD6529" s="35"/>
      <c r="AE6529" s="35"/>
      <c r="AF6529" s="35"/>
      <c r="AG6529" s="35"/>
      <c r="AH6529" s="35"/>
      <c r="AI6529" s="35"/>
      <c r="AJ6529" s="35"/>
      <c r="AK6529" s="35"/>
      <c r="AL6529" s="35"/>
    </row>
    <row r="6530">
      <c r="A6530" s="1"/>
      <c r="B6530" s="19" t="s">
        <v>30172</v>
      </c>
      <c r="C6530" s="20" t="s">
        <v>15129</v>
      </c>
      <c r="D6530" s="47"/>
      <c r="E6530" s="22" t="s">
        <v>30614</v>
      </c>
      <c r="F6530" s="22" t="s">
        <v>15115</v>
      </c>
      <c r="G6530" s="23">
        <v>2016.0</v>
      </c>
      <c r="H6530" s="22" t="s">
        <v>30540</v>
      </c>
      <c r="I6530" s="24" t="s">
        <v>30615</v>
      </c>
      <c r="J6530" s="22" t="s">
        <v>31</v>
      </c>
      <c r="K6530" s="22" t="s">
        <v>30616</v>
      </c>
      <c r="L6530" s="36">
        <v>633.0</v>
      </c>
      <c r="M6530" s="36"/>
      <c r="N6530" s="36"/>
      <c r="O6530" s="36"/>
      <c r="P6530" s="37"/>
      <c r="Q6530" s="36"/>
      <c r="R6530" s="36"/>
      <c r="S6530" s="36"/>
      <c r="T6530" s="28" t="s">
        <v>30617</v>
      </c>
      <c r="U6530" s="38" t="str">
        <f>HYPERLINK("https://www.ncbi.nlm.nih.gov/pubmed/27036659","PubMed")</f>
        <v>PubMed</v>
      </c>
      <c r="V6530" s="30"/>
      <c r="W6530" s="49"/>
      <c r="X6530" s="49"/>
      <c r="Y6530" s="35"/>
      <c r="Z6530" s="35"/>
      <c r="AA6530" s="35"/>
      <c r="AB6530" s="35"/>
      <c r="AC6530" s="35"/>
      <c r="AD6530" s="35"/>
      <c r="AE6530" s="35"/>
      <c r="AF6530" s="35"/>
      <c r="AG6530" s="35"/>
      <c r="AH6530" s="35"/>
      <c r="AI6530" s="35"/>
      <c r="AJ6530" s="35"/>
      <c r="AK6530" s="35"/>
      <c r="AL6530" s="35"/>
    </row>
    <row r="6531">
      <c r="A6531" s="1"/>
      <c r="B6531" s="19" t="s">
        <v>30172</v>
      </c>
      <c r="C6531" s="20" t="s">
        <v>15129</v>
      </c>
      <c r="D6531" s="47"/>
      <c r="E6531" s="22" t="s">
        <v>30618</v>
      </c>
      <c r="F6531" s="22" t="s">
        <v>6546</v>
      </c>
      <c r="G6531" s="23">
        <v>2015.0</v>
      </c>
      <c r="H6531" s="22" t="s">
        <v>91</v>
      </c>
      <c r="I6531" s="24" t="s">
        <v>30619</v>
      </c>
      <c r="J6531" s="22" t="s">
        <v>31</v>
      </c>
      <c r="K6531" s="22" t="s">
        <v>30620</v>
      </c>
      <c r="L6531" s="36" t="s">
        <v>30621</v>
      </c>
      <c r="M6531" s="36"/>
      <c r="N6531" s="36"/>
      <c r="O6531" s="36"/>
      <c r="P6531" s="37"/>
      <c r="Q6531" s="36"/>
      <c r="R6531" s="36"/>
      <c r="S6531" s="36"/>
      <c r="T6531" s="28" t="s">
        <v>30622</v>
      </c>
      <c r="U6531" s="38" t="str">
        <f>HYPERLINK("https://www.ncbi.nlm.nih.gov/pubmed/25204851","PubMed")</f>
        <v>PubMed</v>
      </c>
      <c r="V6531" s="30"/>
      <c r="W6531" s="49"/>
      <c r="X6531" s="49"/>
      <c r="Y6531" s="35"/>
      <c r="Z6531" s="35"/>
      <c r="AA6531" s="35"/>
      <c r="AB6531" s="35"/>
      <c r="AC6531" s="35"/>
      <c r="AD6531" s="35"/>
      <c r="AE6531" s="35"/>
      <c r="AF6531" s="35"/>
      <c r="AG6531" s="35"/>
      <c r="AH6531" s="35"/>
      <c r="AI6531" s="35"/>
      <c r="AJ6531" s="35"/>
      <c r="AK6531" s="35"/>
      <c r="AL6531" s="35"/>
    </row>
    <row r="6532">
      <c r="A6532" s="1"/>
      <c r="B6532" s="19" t="s">
        <v>30172</v>
      </c>
      <c r="C6532" s="20" t="s">
        <v>15129</v>
      </c>
      <c r="D6532" s="47"/>
      <c r="E6532" s="22" t="s">
        <v>30623</v>
      </c>
      <c r="F6532" s="22" t="s">
        <v>2028</v>
      </c>
      <c r="G6532" s="23">
        <v>2015.0</v>
      </c>
      <c r="H6532" s="22" t="s">
        <v>30624</v>
      </c>
      <c r="I6532" s="24" t="s">
        <v>30625</v>
      </c>
      <c r="J6532" s="22" t="s">
        <v>31</v>
      </c>
      <c r="K6532" s="22" t="s">
        <v>30626</v>
      </c>
      <c r="L6532" s="36">
        <v>637.0</v>
      </c>
      <c r="M6532" s="36"/>
      <c r="N6532" s="36"/>
      <c r="O6532" s="36"/>
      <c r="P6532" s="37" t="s">
        <v>30627</v>
      </c>
      <c r="Q6532" s="36"/>
      <c r="R6532" s="36"/>
      <c r="S6532" s="36"/>
      <c r="T6532" s="28" t="s">
        <v>30628</v>
      </c>
      <c r="U6532" s="38" t="str">
        <f>HYPERLINK("https://www.ncbi.nlm.nih.gov/pubmed/25847890","PubMed")</f>
        <v>PubMed</v>
      </c>
      <c r="V6532" s="30"/>
      <c r="W6532" s="49"/>
      <c r="X6532" s="49"/>
      <c r="Y6532" s="35"/>
      <c r="Z6532" s="35"/>
      <c r="AA6532" s="35"/>
      <c r="AB6532" s="35"/>
      <c r="AC6532" s="35"/>
      <c r="AD6532" s="35"/>
      <c r="AE6532" s="35"/>
      <c r="AF6532" s="35"/>
      <c r="AG6532" s="35"/>
      <c r="AH6532" s="35"/>
      <c r="AI6532" s="35"/>
      <c r="AJ6532" s="35"/>
      <c r="AK6532" s="35"/>
      <c r="AL6532" s="35"/>
    </row>
    <row r="6533">
      <c r="A6533" s="1"/>
      <c r="B6533" s="19" t="s">
        <v>30172</v>
      </c>
      <c r="C6533" s="20" t="s">
        <v>15129</v>
      </c>
      <c r="D6533" s="47"/>
      <c r="E6533" s="22" t="s">
        <v>714</v>
      </c>
      <c r="F6533" s="22" t="s">
        <v>41</v>
      </c>
      <c r="G6533" s="23">
        <v>2015.0</v>
      </c>
      <c r="H6533" s="22" t="s">
        <v>627</v>
      </c>
      <c r="I6533" s="24" t="s">
        <v>30629</v>
      </c>
      <c r="J6533" s="22" t="s">
        <v>31</v>
      </c>
      <c r="K6533" s="22" t="s">
        <v>30630</v>
      </c>
      <c r="L6533" s="36"/>
      <c r="M6533" s="36"/>
      <c r="N6533" s="36"/>
      <c r="O6533" s="36"/>
      <c r="P6533" s="37"/>
      <c r="Q6533" s="36"/>
      <c r="R6533" s="36"/>
      <c r="S6533" s="36"/>
      <c r="T6533" s="28" t="s">
        <v>30631</v>
      </c>
      <c r="U6533" s="38" t="str">
        <f>HYPERLINK("https://www.ncbi.nlm.nih.gov/pubmed/25781016","PubMed")</f>
        <v>PubMed</v>
      </c>
      <c r="V6533" s="30"/>
      <c r="W6533" s="49"/>
      <c r="X6533" s="49"/>
      <c r="Y6533" s="35"/>
      <c r="Z6533" s="35"/>
      <c r="AA6533" s="35"/>
      <c r="AB6533" s="35"/>
      <c r="AC6533" s="35"/>
      <c r="AD6533" s="35"/>
      <c r="AE6533" s="35"/>
      <c r="AF6533" s="35"/>
      <c r="AG6533" s="35"/>
      <c r="AH6533" s="35"/>
      <c r="AI6533" s="35"/>
      <c r="AJ6533" s="35"/>
      <c r="AK6533" s="35"/>
      <c r="AL6533" s="35"/>
    </row>
    <row r="6534">
      <c r="A6534" s="1"/>
      <c r="B6534" s="19" t="s">
        <v>30172</v>
      </c>
      <c r="C6534" s="20" t="s">
        <v>15129</v>
      </c>
      <c r="D6534" s="47"/>
      <c r="E6534" s="22" t="s">
        <v>30632</v>
      </c>
      <c r="F6534" s="22" t="s">
        <v>323</v>
      </c>
      <c r="G6534" s="23">
        <v>2014.0</v>
      </c>
      <c r="H6534" s="22" t="s">
        <v>91</v>
      </c>
      <c r="I6534" s="24" t="s">
        <v>30633</v>
      </c>
      <c r="J6534" s="22" t="s">
        <v>31</v>
      </c>
      <c r="K6534" s="22" t="s">
        <v>30485</v>
      </c>
      <c r="L6534" s="36">
        <v>830.0</v>
      </c>
      <c r="M6534" s="36"/>
      <c r="N6534" s="36"/>
      <c r="O6534" s="36"/>
      <c r="P6534" s="37" t="s">
        <v>5798</v>
      </c>
      <c r="Q6534" s="36"/>
      <c r="R6534" s="36"/>
      <c r="S6534" s="36"/>
      <c r="T6534" s="28" t="s">
        <v>30634</v>
      </c>
      <c r="U6534" s="38" t="str">
        <f>HYPERLINK("https://www.ncbi.nlm.nih.gov/pubmed/23407899","PubMed")</f>
        <v>PubMed</v>
      </c>
      <c r="V6534" s="30"/>
      <c r="W6534" s="49"/>
      <c r="X6534" s="49"/>
      <c r="Y6534" s="35"/>
      <c r="Z6534" s="35"/>
      <c r="AA6534" s="35"/>
      <c r="AB6534" s="35"/>
      <c r="AC6534" s="35"/>
      <c r="AD6534" s="35"/>
      <c r="AE6534" s="35"/>
      <c r="AF6534" s="35"/>
      <c r="AG6534" s="35"/>
      <c r="AH6534" s="35"/>
      <c r="AI6534" s="35"/>
      <c r="AJ6534" s="35"/>
      <c r="AK6534" s="35"/>
      <c r="AL6534" s="35"/>
    </row>
    <row r="6535" ht="45.0" customHeight="1">
      <c r="A6535" s="1"/>
      <c r="B6535" s="19" t="s">
        <v>30172</v>
      </c>
      <c r="C6535" s="20" t="s">
        <v>15129</v>
      </c>
      <c r="D6535" s="47"/>
      <c r="E6535" s="22" t="s">
        <v>30635</v>
      </c>
      <c r="F6535" s="22" t="s">
        <v>6245</v>
      </c>
      <c r="G6535" s="23">
        <v>2014.0</v>
      </c>
      <c r="H6535" s="22" t="s">
        <v>30636</v>
      </c>
      <c r="I6535" s="24" t="s">
        <v>30637</v>
      </c>
      <c r="J6535" s="22" t="s">
        <v>31</v>
      </c>
      <c r="K6535" s="22" t="s">
        <v>30638</v>
      </c>
      <c r="L6535" s="36" t="s">
        <v>30639</v>
      </c>
      <c r="M6535" s="36"/>
      <c r="N6535" s="36" t="s">
        <v>30640</v>
      </c>
      <c r="O6535" s="36"/>
      <c r="P6535" s="37" t="s">
        <v>30641</v>
      </c>
      <c r="Q6535" s="36"/>
      <c r="R6535" s="36"/>
      <c r="S6535" s="36"/>
      <c r="T6535" s="28" t="s">
        <v>30642</v>
      </c>
      <c r="U6535" s="38" t="str">
        <f>HYPERLINK("https://www.ncbi.nlm.nih.gov/pubmed/25172337","PubMed")</f>
        <v>PubMed</v>
      </c>
      <c r="V6535" s="30"/>
      <c r="W6535" s="49"/>
      <c r="X6535" s="49"/>
      <c r="Y6535" s="35"/>
      <c r="Z6535" s="35"/>
      <c r="AA6535" s="35"/>
      <c r="AB6535" s="35"/>
      <c r="AC6535" s="35"/>
      <c r="AD6535" s="35"/>
      <c r="AE6535" s="35"/>
      <c r="AF6535" s="35"/>
      <c r="AG6535" s="35"/>
      <c r="AH6535" s="35"/>
      <c r="AI6535" s="35"/>
      <c r="AJ6535" s="35"/>
      <c r="AK6535" s="35"/>
      <c r="AL6535" s="35"/>
    </row>
    <row r="6536" ht="45.0" customHeight="1">
      <c r="A6536" s="1"/>
      <c r="B6536" s="19" t="s">
        <v>30172</v>
      </c>
      <c r="C6536" s="20" t="s">
        <v>15129</v>
      </c>
      <c r="D6536" s="47"/>
      <c r="E6536" s="22" t="s">
        <v>30643</v>
      </c>
      <c r="F6536" s="22" t="s">
        <v>12109</v>
      </c>
      <c r="G6536" s="23">
        <v>2014.0</v>
      </c>
      <c r="H6536" s="22" t="s">
        <v>4975</v>
      </c>
      <c r="I6536" s="24" t="s">
        <v>30644</v>
      </c>
      <c r="J6536" s="22" t="s">
        <v>31</v>
      </c>
      <c r="K6536" s="22" t="s">
        <v>56</v>
      </c>
      <c r="L6536" s="36" t="s">
        <v>5367</v>
      </c>
      <c r="M6536" s="36"/>
      <c r="N6536" s="36"/>
      <c r="O6536" s="36"/>
      <c r="P6536" s="37"/>
      <c r="Q6536" s="36"/>
      <c r="R6536" s="36"/>
      <c r="S6536" s="36"/>
      <c r="T6536" s="28" t="s">
        <v>30645</v>
      </c>
      <c r="U6536" s="38" t="str">
        <f>HYPERLINK("https://www.ncbi.nlm.nih.gov/pubmed/24724551","PubMed")</f>
        <v>PubMed</v>
      </c>
      <c r="V6536" s="30"/>
      <c r="W6536" s="49"/>
      <c r="X6536" s="49"/>
      <c r="Y6536" s="35"/>
      <c r="Z6536" s="35"/>
      <c r="AA6536" s="35"/>
      <c r="AB6536" s="35"/>
      <c r="AC6536" s="35"/>
      <c r="AD6536" s="35"/>
      <c r="AE6536" s="35"/>
      <c r="AF6536" s="35"/>
      <c r="AG6536" s="35"/>
      <c r="AH6536" s="35"/>
      <c r="AI6536" s="35"/>
      <c r="AJ6536" s="35"/>
      <c r="AK6536" s="35"/>
      <c r="AL6536" s="35"/>
    </row>
    <row r="6537" ht="45.0" customHeight="1">
      <c r="A6537" s="1"/>
      <c r="B6537" s="19" t="s">
        <v>30172</v>
      </c>
      <c r="C6537" s="20" t="s">
        <v>15129</v>
      </c>
      <c r="D6537" s="47"/>
      <c r="E6537" s="22" t="s">
        <v>30646</v>
      </c>
      <c r="F6537" s="22" t="s">
        <v>2445</v>
      </c>
      <c r="G6537" s="23">
        <v>2012.0</v>
      </c>
      <c r="H6537" s="22" t="s">
        <v>30647</v>
      </c>
      <c r="I6537" s="24" t="s">
        <v>30648</v>
      </c>
      <c r="J6537" s="22" t="s">
        <v>31</v>
      </c>
      <c r="K6537" s="22"/>
      <c r="L6537" s="36">
        <v>905.0</v>
      </c>
      <c r="M6537" s="36"/>
      <c r="N6537" s="36" t="s">
        <v>1729</v>
      </c>
      <c r="O6537" s="36"/>
      <c r="P6537" s="37"/>
      <c r="Q6537" s="36"/>
      <c r="R6537" s="36"/>
      <c r="S6537" s="36"/>
      <c r="T6537" s="28" t="s">
        <v>30649</v>
      </c>
      <c r="U6537" s="38" t="str">
        <f>HYPERLINK("https://www.ncbi.nlm.nih.gov/pubmed/21757512","PubMed")</f>
        <v>PubMed</v>
      </c>
      <c r="V6537" s="30"/>
      <c r="W6537" s="49"/>
      <c r="X6537" s="49"/>
      <c r="Y6537" s="35"/>
      <c r="Z6537" s="35"/>
      <c r="AA6537" s="35"/>
      <c r="AB6537" s="35"/>
      <c r="AC6537" s="35"/>
      <c r="AD6537" s="35"/>
      <c r="AE6537" s="35"/>
      <c r="AF6537" s="35"/>
      <c r="AG6537" s="35"/>
      <c r="AH6537" s="35"/>
      <c r="AI6537" s="35"/>
      <c r="AJ6537" s="35"/>
      <c r="AK6537" s="35"/>
      <c r="AL6537" s="35"/>
    </row>
    <row r="6538" ht="45.0" customHeight="1">
      <c r="A6538" s="1"/>
      <c r="B6538" s="19" t="s">
        <v>30172</v>
      </c>
      <c r="C6538" s="20" t="s">
        <v>15129</v>
      </c>
      <c r="D6538" s="47"/>
      <c r="E6538" s="22" t="s">
        <v>30614</v>
      </c>
      <c r="F6538" s="22" t="s">
        <v>15115</v>
      </c>
      <c r="G6538" s="23">
        <v>2010.0</v>
      </c>
      <c r="H6538" s="22" t="s">
        <v>30599</v>
      </c>
      <c r="I6538" s="24" t="s">
        <v>30650</v>
      </c>
      <c r="J6538" s="22" t="s">
        <v>31</v>
      </c>
      <c r="K6538" s="22" t="s">
        <v>30651</v>
      </c>
      <c r="L6538" s="36">
        <v>633.0</v>
      </c>
      <c r="M6538" s="36"/>
      <c r="N6538" s="36"/>
      <c r="O6538" s="36"/>
      <c r="P6538" s="37"/>
      <c r="Q6538" s="36"/>
      <c r="R6538" s="36"/>
      <c r="S6538" s="36"/>
      <c r="T6538" s="28" t="s">
        <v>30652</v>
      </c>
      <c r="U6538" s="38" t="str">
        <f>HYPERLINK("https://www.ncbi.nlm.nih.gov/pubmed/19932573","PubMed")</f>
        <v>PubMed</v>
      </c>
      <c r="V6538" s="30"/>
      <c r="W6538" s="49"/>
      <c r="X6538" s="49"/>
      <c r="Y6538" s="35"/>
      <c r="Z6538" s="35"/>
      <c r="AA6538" s="35"/>
      <c r="AB6538" s="35"/>
      <c r="AC6538" s="35"/>
      <c r="AD6538" s="35"/>
      <c r="AE6538" s="35"/>
      <c r="AF6538" s="35"/>
      <c r="AG6538" s="35"/>
      <c r="AH6538" s="35"/>
      <c r="AI6538" s="35"/>
      <c r="AJ6538" s="35"/>
      <c r="AK6538" s="35"/>
      <c r="AL6538" s="35"/>
    </row>
    <row r="6539">
      <c r="A6539" s="1"/>
      <c r="B6539" s="19" t="s">
        <v>30172</v>
      </c>
      <c r="C6539" s="20" t="s">
        <v>15129</v>
      </c>
      <c r="D6539" s="47"/>
      <c r="E6539" s="22" t="s">
        <v>30653</v>
      </c>
      <c r="F6539" s="22" t="s">
        <v>1337</v>
      </c>
      <c r="G6539" s="23">
        <v>2009.0</v>
      </c>
      <c r="H6539" s="22" t="s">
        <v>91</v>
      </c>
      <c r="I6539" s="24" t="s">
        <v>30654</v>
      </c>
      <c r="J6539" s="22" t="s">
        <v>31</v>
      </c>
      <c r="K6539" s="22" t="s">
        <v>30655</v>
      </c>
      <c r="L6539" s="36">
        <v>655.0</v>
      </c>
      <c r="M6539" s="36" t="s">
        <v>30656</v>
      </c>
      <c r="N6539" s="36"/>
      <c r="O6539" s="36" t="s">
        <v>30657</v>
      </c>
      <c r="P6539" s="37"/>
      <c r="Q6539" s="36"/>
      <c r="R6539" s="36">
        <v>2700.0</v>
      </c>
      <c r="S6539" s="36"/>
      <c r="T6539" s="42" t="s">
        <v>30658</v>
      </c>
      <c r="U6539" s="38" t="str">
        <f>HYPERLINK("http://www.ncbi.nlm.nih.gov/pubmed/18787758","PubMed")</f>
        <v>PubMed</v>
      </c>
      <c r="V6539" s="30"/>
      <c r="W6539" s="49"/>
      <c r="X6539" s="49"/>
      <c r="Y6539" s="35"/>
      <c r="Z6539" s="35"/>
      <c r="AA6539" s="35"/>
      <c r="AB6539" s="35"/>
      <c r="AC6539" s="35"/>
      <c r="AD6539" s="35"/>
      <c r="AE6539" s="35"/>
      <c r="AF6539" s="35"/>
      <c r="AG6539" s="35"/>
      <c r="AH6539" s="35"/>
      <c r="AI6539" s="35"/>
      <c r="AJ6539" s="35"/>
      <c r="AK6539" s="35"/>
      <c r="AL6539" s="35"/>
    </row>
    <row r="6540">
      <c r="A6540" s="1"/>
      <c r="B6540" s="19" t="s">
        <v>30172</v>
      </c>
      <c r="C6540" s="20" t="s">
        <v>15129</v>
      </c>
      <c r="D6540" s="47"/>
      <c r="E6540" s="22" t="s">
        <v>30614</v>
      </c>
      <c r="F6540" s="22" t="s">
        <v>15115</v>
      </c>
      <c r="G6540" s="23">
        <v>2005.0</v>
      </c>
      <c r="H6540" s="22" t="s">
        <v>30599</v>
      </c>
      <c r="I6540" s="24" t="s">
        <v>30659</v>
      </c>
      <c r="J6540" s="22" t="s">
        <v>31</v>
      </c>
      <c r="K6540" s="22" t="s">
        <v>30660</v>
      </c>
      <c r="L6540" s="36">
        <v>633.0</v>
      </c>
      <c r="M6540" s="36"/>
      <c r="N6540" s="36"/>
      <c r="O6540" s="36"/>
      <c r="P6540" s="37" t="s">
        <v>30661</v>
      </c>
      <c r="Q6540" s="36"/>
      <c r="R6540" s="36"/>
      <c r="S6540" s="36"/>
      <c r="T6540" s="28" t="s">
        <v>30662</v>
      </c>
      <c r="U6540" s="38" t="str">
        <f>HYPERLINK("https://www.ncbi.nlm.nih.gov/pubmed/15581514","PubMed")</f>
        <v>PubMed</v>
      </c>
      <c r="V6540" s="30"/>
      <c r="W6540" s="49"/>
      <c r="X6540" s="49"/>
      <c r="Y6540" s="35"/>
      <c r="Z6540" s="35"/>
      <c r="AA6540" s="35"/>
      <c r="AB6540" s="35"/>
      <c r="AC6540" s="35"/>
      <c r="AD6540" s="35"/>
      <c r="AE6540" s="35"/>
      <c r="AF6540" s="35"/>
      <c r="AG6540" s="35"/>
      <c r="AH6540" s="35"/>
      <c r="AI6540" s="35"/>
      <c r="AJ6540" s="35"/>
      <c r="AK6540" s="35"/>
      <c r="AL6540" s="35"/>
    </row>
    <row r="6541">
      <c r="A6541" s="1"/>
      <c r="B6541" s="19" t="s">
        <v>30172</v>
      </c>
      <c r="C6541" s="20" t="s">
        <v>15129</v>
      </c>
      <c r="D6541" s="47"/>
      <c r="E6541" s="22" t="s">
        <v>30653</v>
      </c>
      <c r="F6541" s="22" t="s">
        <v>15073</v>
      </c>
      <c r="G6541" s="23">
        <v>2005.0</v>
      </c>
      <c r="H6541" s="22" t="s">
        <v>91</v>
      </c>
      <c r="I6541" s="24" t="s">
        <v>30663</v>
      </c>
      <c r="J6541" s="22" t="s">
        <v>31</v>
      </c>
      <c r="K6541" s="22" t="s">
        <v>30655</v>
      </c>
      <c r="L6541" s="36">
        <v>655.0</v>
      </c>
      <c r="M6541" s="36"/>
      <c r="N6541" s="36"/>
      <c r="O6541" s="36"/>
      <c r="P6541" s="37" t="s">
        <v>5798</v>
      </c>
      <c r="Q6541" s="36"/>
      <c r="R6541" s="36"/>
      <c r="S6541" s="36"/>
      <c r="T6541" s="28" t="s">
        <v>30664</v>
      </c>
      <c r="U6541" s="38" t="str">
        <f>HYPERLINK("https://www.ncbi.nlm.nih.gov/pubmed/15838719","PubMed")</f>
        <v>PubMed</v>
      </c>
      <c r="V6541" s="30"/>
      <c r="W6541" s="49"/>
      <c r="X6541" s="49"/>
      <c r="Y6541" s="35"/>
      <c r="Z6541" s="35"/>
      <c r="AA6541" s="35"/>
      <c r="AB6541" s="35"/>
      <c r="AC6541" s="35"/>
      <c r="AD6541" s="35"/>
      <c r="AE6541" s="35"/>
      <c r="AF6541" s="35"/>
      <c r="AG6541" s="35"/>
      <c r="AH6541" s="35"/>
      <c r="AI6541" s="35"/>
      <c r="AJ6541" s="35"/>
      <c r="AK6541" s="35"/>
      <c r="AL6541" s="35"/>
    </row>
    <row r="6542">
      <c r="A6542" s="1"/>
      <c r="B6542" s="19" t="s">
        <v>30172</v>
      </c>
      <c r="C6542" s="20" t="s">
        <v>15129</v>
      </c>
      <c r="D6542" s="47"/>
      <c r="E6542" s="22" t="s">
        <v>30665</v>
      </c>
      <c r="F6542" s="22" t="s">
        <v>30666</v>
      </c>
      <c r="G6542" s="23">
        <v>1997.0</v>
      </c>
      <c r="H6542" s="22" t="s">
        <v>207</v>
      </c>
      <c r="I6542" s="24" t="s">
        <v>30667</v>
      </c>
      <c r="J6542" s="22" t="s">
        <v>31</v>
      </c>
      <c r="K6542" s="22" t="s">
        <v>30668</v>
      </c>
      <c r="L6542" s="36">
        <v>633.0</v>
      </c>
      <c r="M6542" s="36">
        <v>10.0</v>
      </c>
      <c r="N6542" s="36"/>
      <c r="O6542" s="36"/>
      <c r="P6542" s="37"/>
      <c r="Q6542" s="36"/>
      <c r="R6542" s="36"/>
      <c r="S6542" s="36"/>
      <c r="T6542" s="28" t="s">
        <v>30669</v>
      </c>
      <c r="U6542" s="38" t="str">
        <f>HYPERLINK("https://www.ncbi.nlm.nih.gov/pubmed/9372619","PubMed")</f>
        <v>PubMed</v>
      </c>
      <c r="V6542" s="30"/>
      <c r="W6542" s="49"/>
      <c r="X6542" s="49"/>
      <c r="Y6542" s="35"/>
      <c r="Z6542" s="35"/>
      <c r="AA6542" s="35"/>
      <c r="AB6542" s="35"/>
      <c r="AC6542" s="35"/>
      <c r="AD6542" s="35"/>
      <c r="AE6542" s="35"/>
      <c r="AF6542" s="35"/>
      <c r="AG6542" s="35"/>
      <c r="AH6542" s="35"/>
      <c r="AI6542" s="35"/>
      <c r="AJ6542" s="35"/>
      <c r="AK6542" s="35"/>
      <c r="AL6542" s="35"/>
    </row>
    <row r="6543">
      <c r="A6543" s="1"/>
      <c r="B6543" s="19" t="s">
        <v>30172</v>
      </c>
      <c r="C6543" s="20" t="s">
        <v>15129</v>
      </c>
      <c r="D6543" s="47"/>
      <c r="E6543" s="22" t="s">
        <v>30670</v>
      </c>
      <c r="F6543" s="22" t="s">
        <v>12109</v>
      </c>
      <c r="G6543" s="23">
        <v>1996.0</v>
      </c>
      <c r="H6543" s="22" t="s">
        <v>207</v>
      </c>
      <c r="I6543" s="24" t="s">
        <v>30671</v>
      </c>
      <c r="J6543" s="22" t="s">
        <v>31</v>
      </c>
      <c r="K6543" s="22"/>
      <c r="L6543" s="36">
        <v>633.0</v>
      </c>
      <c r="M6543" s="36"/>
      <c r="N6543" s="36"/>
      <c r="O6543" s="36"/>
      <c r="P6543" s="37"/>
      <c r="Q6543" s="36"/>
      <c r="R6543" s="36"/>
      <c r="S6543" s="36"/>
      <c r="T6543" s="28" t="s">
        <v>30672</v>
      </c>
      <c r="U6543" s="38" t="str">
        <f>HYPERLINK("https://www.ncbi.nlm.nih.gov/pubmed/8810529","PubMed")</f>
        <v>PubMed</v>
      </c>
      <c r="V6543" s="30"/>
      <c r="W6543" s="49"/>
      <c r="X6543" s="49"/>
      <c r="Y6543" s="35"/>
      <c r="Z6543" s="35"/>
      <c r="AA6543" s="35"/>
      <c r="AB6543" s="35"/>
      <c r="AC6543" s="35"/>
      <c r="AD6543" s="35"/>
      <c r="AE6543" s="35"/>
      <c r="AF6543" s="35"/>
      <c r="AG6543" s="35"/>
      <c r="AH6543" s="35"/>
      <c r="AI6543" s="35"/>
      <c r="AJ6543" s="35"/>
      <c r="AK6543" s="35"/>
      <c r="AL6543" s="35"/>
    </row>
    <row r="6544">
      <c r="A6544" s="1"/>
      <c r="B6544" s="19" t="s">
        <v>30172</v>
      </c>
      <c r="C6544" s="20" t="s">
        <v>15129</v>
      </c>
      <c r="D6544" s="47"/>
      <c r="E6544" s="22" t="s">
        <v>30673</v>
      </c>
      <c r="F6544" s="22" t="s">
        <v>12109</v>
      </c>
      <c r="G6544" s="23">
        <v>1993.0</v>
      </c>
      <c r="H6544" s="22" t="s">
        <v>4975</v>
      </c>
      <c r="I6544" s="24" t="s">
        <v>30674</v>
      </c>
      <c r="J6544" s="22" t="s">
        <v>31</v>
      </c>
      <c r="K6544" s="22" t="s">
        <v>30675</v>
      </c>
      <c r="L6544" s="36">
        <v>633.0</v>
      </c>
      <c r="M6544" s="36"/>
      <c r="N6544" s="36"/>
      <c r="O6544" s="36"/>
      <c r="P6544" s="37"/>
      <c r="Q6544" s="36"/>
      <c r="R6544" s="36"/>
      <c r="S6544" s="36"/>
      <c r="T6544" s="28" t="s">
        <v>30676</v>
      </c>
      <c r="U6544" s="38" t="str">
        <f>HYPERLINK("https://www.ncbi.nlm.nih.gov/pubmed/9747596","PubMed")</f>
        <v>PubMed</v>
      </c>
      <c r="V6544" s="30"/>
      <c r="W6544" s="49"/>
      <c r="X6544" s="49"/>
      <c r="Y6544" s="35"/>
      <c r="Z6544" s="35"/>
      <c r="AA6544" s="35"/>
      <c r="AB6544" s="35"/>
      <c r="AC6544" s="35"/>
      <c r="AD6544" s="35"/>
      <c r="AE6544" s="35"/>
      <c r="AF6544" s="35"/>
      <c r="AG6544" s="35"/>
      <c r="AH6544" s="35"/>
      <c r="AI6544" s="35"/>
      <c r="AJ6544" s="35"/>
      <c r="AK6544" s="35"/>
      <c r="AL6544" s="35"/>
    </row>
    <row r="6545">
      <c r="A6545" s="1"/>
      <c r="B6545" s="19" t="s">
        <v>30172</v>
      </c>
      <c r="C6545" s="20" t="s">
        <v>15129</v>
      </c>
      <c r="D6545" s="47"/>
      <c r="E6545" s="22" t="s">
        <v>1425</v>
      </c>
      <c r="F6545" s="22" t="s">
        <v>12109</v>
      </c>
      <c r="G6545" s="23">
        <v>1992.0</v>
      </c>
      <c r="H6545" s="22" t="s">
        <v>207</v>
      </c>
      <c r="I6545" s="24" t="s">
        <v>30677</v>
      </c>
      <c r="J6545" s="22" t="s">
        <v>31</v>
      </c>
      <c r="K6545" s="22" t="s">
        <v>9894</v>
      </c>
      <c r="L6545" s="36" t="s">
        <v>30678</v>
      </c>
      <c r="M6545" s="36"/>
      <c r="N6545" s="36"/>
      <c r="O6545" s="36"/>
      <c r="P6545" s="37"/>
      <c r="Q6545" s="36"/>
      <c r="R6545" s="36"/>
      <c r="S6545" s="36"/>
      <c r="T6545" s="28" t="s">
        <v>30679</v>
      </c>
      <c r="U6545" s="38" t="str">
        <f>HYPERLINK("https://www.ncbi.nlm.nih.gov/pubmed/1432397","PubMed")</f>
        <v>PubMed</v>
      </c>
      <c r="V6545" s="30"/>
      <c r="W6545" s="49"/>
      <c r="X6545" s="49"/>
      <c r="Y6545" s="35"/>
      <c r="Z6545" s="35"/>
      <c r="AA6545" s="35"/>
      <c r="AB6545" s="35"/>
      <c r="AC6545" s="35"/>
      <c r="AD6545" s="35"/>
      <c r="AE6545" s="35"/>
      <c r="AF6545" s="35"/>
      <c r="AG6545" s="35"/>
      <c r="AH6545" s="35"/>
      <c r="AI6545" s="35"/>
      <c r="AJ6545" s="35"/>
      <c r="AK6545" s="35"/>
      <c r="AL6545" s="35"/>
    </row>
    <row r="6546">
      <c r="A6546" s="1"/>
      <c r="B6546" s="19" t="s">
        <v>30172</v>
      </c>
      <c r="C6546" s="20" t="s">
        <v>15129</v>
      </c>
      <c r="D6546" s="47"/>
      <c r="E6546" s="22" t="s">
        <v>28069</v>
      </c>
      <c r="F6546" s="22" t="s">
        <v>30680</v>
      </c>
      <c r="G6546" s="23">
        <v>1991.0</v>
      </c>
      <c r="H6546" s="22" t="s">
        <v>14467</v>
      </c>
      <c r="I6546" s="24" t="s">
        <v>30681</v>
      </c>
      <c r="J6546" s="22" t="s">
        <v>31</v>
      </c>
      <c r="K6546" s="22" t="s">
        <v>30682</v>
      </c>
      <c r="L6546" s="36">
        <v>940.0</v>
      </c>
      <c r="M6546" s="36">
        <v>25.0</v>
      </c>
      <c r="N6546" s="36" t="s">
        <v>821</v>
      </c>
      <c r="O6546" s="36"/>
      <c r="P6546" s="37"/>
      <c r="Q6546" s="36" t="s">
        <v>6761</v>
      </c>
      <c r="R6546" s="36"/>
      <c r="S6546" s="36"/>
      <c r="T6546" s="42" t="s">
        <v>30683</v>
      </c>
      <c r="U6546" s="38" t="str">
        <f>HYPERLINK("https://www.ncbi.nlm.nih.gov/pubmed/1952126","PubMed")</f>
        <v>PubMed</v>
      </c>
      <c r="V6546" s="30"/>
      <c r="W6546" s="49"/>
      <c r="X6546" s="49"/>
      <c r="Y6546" s="35"/>
      <c r="Z6546" s="35"/>
      <c r="AA6546" s="35"/>
      <c r="AB6546" s="35"/>
      <c r="AC6546" s="35"/>
      <c r="AD6546" s="35"/>
      <c r="AE6546" s="35"/>
      <c r="AF6546" s="35"/>
      <c r="AG6546" s="35"/>
      <c r="AH6546" s="35"/>
      <c r="AI6546" s="35"/>
      <c r="AJ6546" s="35"/>
      <c r="AK6546" s="35"/>
      <c r="AL6546" s="35"/>
    </row>
    <row r="6547">
      <c r="A6547" s="1"/>
      <c r="B6547" s="19" t="s">
        <v>30172</v>
      </c>
      <c r="C6547" s="20" t="s">
        <v>15129</v>
      </c>
      <c r="D6547" s="47"/>
      <c r="E6547" s="22" t="s">
        <v>30684</v>
      </c>
      <c r="F6547" s="22" t="s">
        <v>748</v>
      </c>
      <c r="G6547" s="23">
        <v>1990.0</v>
      </c>
      <c r="H6547" s="22" t="s">
        <v>4326</v>
      </c>
      <c r="I6547" s="24" t="s">
        <v>30685</v>
      </c>
      <c r="J6547" s="22" t="s">
        <v>31</v>
      </c>
      <c r="K6547" s="22"/>
      <c r="L6547" s="36">
        <v>633.0</v>
      </c>
      <c r="M6547" s="36"/>
      <c r="N6547" s="36"/>
      <c r="O6547" s="36"/>
      <c r="P6547" s="37"/>
      <c r="Q6547" s="36"/>
      <c r="R6547" s="36"/>
      <c r="S6547" s="36"/>
      <c r="T6547" s="28" t="s">
        <v>30686</v>
      </c>
      <c r="U6547" s="38" t="str">
        <f>HYPERLINK("https://www.ncbi.nlm.nih.gov/pubmed/2281618","PubMed")</f>
        <v>PubMed</v>
      </c>
      <c r="V6547" s="30"/>
      <c r="W6547" s="49"/>
      <c r="X6547" s="49"/>
      <c r="Y6547" s="35"/>
      <c r="Z6547" s="35"/>
      <c r="AA6547" s="35"/>
      <c r="AB6547" s="35"/>
      <c r="AC6547" s="35"/>
      <c r="AD6547" s="35"/>
      <c r="AE6547" s="35"/>
      <c r="AF6547" s="35"/>
      <c r="AG6547" s="35"/>
      <c r="AH6547" s="35"/>
      <c r="AI6547" s="35"/>
      <c r="AJ6547" s="35"/>
      <c r="AK6547" s="35"/>
      <c r="AL6547" s="35"/>
    </row>
    <row r="6548">
      <c r="A6548" s="1"/>
      <c r="B6548" s="19" t="s">
        <v>30172</v>
      </c>
      <c r="C6548" s="20" t="s">
        <v>15129</v>
      </c>
      <c r="D6548" s="47"/>
      <c r="E6548" s="22" t="s">
        <v>30687</v>
      </c>
      <c r="F6548" s="22" t="s">
        <v>1392</v>
      </c>
      <c r="G6548" s="23">
        <v>1989.0</v>
      </c>
      <c r="H6548" s="22" t="s">
        <v>30688</v>
      </c>
      <c r="I6548" s="24" t="s">
        <v>30689</v>
      </c>
      <c r="J6548" s="22" t="s">
        <v>31</v>
      </c>
      <c r="K6548" s="22" t="s">
        <v>30690</v>
      </c>
      <c r="L6548" s="36"/>
      <c r="M6548" s="36"/>
      <c r="N6548" s="36"/>
      <c r="O6548" s="36"/>
      <c r="P6548" s="37"/>
      <c r="Q6548" s="36"/>
      <c r="R6548" s="36"/>
      <c r="S6548" s="36"/>
      <c r="T6548" s="28" t="s">
        <v>30691</v>
      </c>
      <c r="U6548" s="38" t="str">
        <f>HYPERLINK("https://www.ncbi.nlm.nih.gov/pubmed/2694995","PubMed")</f>
        <v>PubMed</v>
      </c>
      <c r="V6548" s="30"/>
      <c r="W6548" s="49"/>
      <c r="X6548" s="49"/>
      <c r="Y6548" s="35"/>
      <c r="Z6548" s="35"/>
      <c r="AA6548" s="35"/>
      <c r="AB6548" s="35"/>
      <c r="AC6548" s="35"/>
      <c r="AD6548" s="35"/>
      <c r="AE6548" s="35"/>
      <c r="AF6548" s="35"/>
      <c r="AG6548" s="35"/>
      <c r="AH6548" s="35"/>
      <c r="AI6548" s="35"/>
      <c r="AJ6548" s="35"/>
      <c r="AK6548" s="35"/>
      <c r="AL6548" s="35"/>
    </row>
    <row r="6549">
      <c r="A6549" s="1"/>
      <c r="B6549" s="19" t="s">
        <v>30172</v>
      </c>
      <c r="C6549" s="20" t="s">
        <v>30692</v>
      </c>
      <c r="D6549" s="47"/>
      <c r="E6549" s="22" t="s">
        <v>15626</v>
      </c>
      <c r="F6549" s="22" t="s">
        <v>323</v>
      </c>
      <c r="G6549" s="23">
        <v>2018.0</v>
      </c>
      <c r="H6549" s="22" t="s">
        <v>207</v>
      </c>
      <c r="I6549" s="24" t="s">
        <v>30693</v>
      </c>
      <c r="J6549" s="22" t="s">
        <v>44</v>
      </c>
      <c r="K6549" s="22" t="s">
        <v>1112</v>
      </c>
      <c r="L6549" s="36">
        <v>890.0</v>
      </c>
      <c r="M6549" s="36"/>
      <c r="N6549" s="36"/>
      <c r="O6549" s="36"/>
      <c r="P6549" s="37" t="s">
        <v>30694</v>
      </c>
      <c r="Q6549" s="36"/>
      <c r="R6549" s="36"/>
      <c r="S6549" s="36"/>
      <c r="T6549" s="28" t="s">
        <v>30695</v>
      </c>
      <c r="U6549" s="38" t="str">
        <f>HYPERLINK("https://www.ncbi.nlm.nih.gov/pubmed/30015063","PubMed")</f>
        <v>PubMed</v>
      </c>
      <c r="V6549" s="30" t="s">
        <v>30696</v>
      </c>
      <c r="W6549" s="49"/>
      <c r="X6549" s="49"/>
      <c r="Y6549" s="35"/>
      <c r="Z6549" s="35"/>
      <c r="AA6549" s="35"/>
      <c r="AB6549" s="35"/>
      <c r="AC6549" s="35"/>
      <c r="AD6549" s="35"/>
      <c r="AE6549" s="35"/>
      <c r="AF6549" s="35"/>
      <c r="AG6549" s="35"/>
      <c r="AH6549" s="35"/>
      <c r="AI6549" s="35"/>
      <c r="AJ6549" s="35"/>
      <c r="AK6549" s="35"/>
      <c r="AL6549" s="35"/>
    </row>
    <row r="6550">
      <c r="A6550" s="1"/>
      <c r="B6550" s="19" t="s">
        <v>30172</v>
      </c>
      <c r="C6550" s="20" t="s">
        <v>30692</v>
      </c>
      <c r="D6550" s="47"/>
      <c r="E6550" s="22" t="s">
        <v>543</v>
      </c>
      <c r="F6550" s="22" t="s">
        <v>30570</v>
      </c>
      <c r="G6550" s="23">
        <v>2016.0</v>
      </c>
      <c r="H6550" s="22" t="s">
        <v>91</v>
      </c>
      <c r="I6550" s="24" t="s">
        <v>30697</v>
      </c>
      <c r="J6550" s="22" t="s">
        <v>30698</v>
      </c>
      <c r="K6550" s="22" t="s">
        <v>1240</v>
      </c>
      <c r="L6550" s="36">
        <v>808.0</v>
      </c>
      <c r="M6550" s="36">
        <v>30.0</v>
      </c>
      <c r="N6550" s="36"/>
      <c r="O6550" s="36"/>
      <c r="P6550" s="37" t="s">
        <v>30699</v>
      </c>
      <c r="Q6550" s="36"/>
      <c r="R6550" s="36"/>
      <c r="S6550" s="36">
        <v>8.0</v>
      </c>
      <c r="T6550" s="41" t="s">
        <v>30700</v>
      </c>
      <c r="U6550" s="38" t="str">
        <f>HYPERLINK("https://www.ncbi.nlm.nih.gov/pubmed/26914685","PubMed")</f>
        <v>PubMed</v>
      </c>
      <c r="V6550" s="30"/>
      <c r="W6550" s="49"/>
      <c r="X6550" s="49"/>
      <c r="Y6550" s="35"/>
      <c r="Z6550" s="35"/>
      <c r="AA6550" s="35"/>
      <c r="AB6550" s="35"/>
      <c r="AC6550" s="35"/>
      <c r="AD6550" s="35"/>
      <c r="AE6550" s="35"/>
      <c r="AF6550" s="35"/>
      <c r="AG6550" s="35"/>
      <c r="AH6550" s="35"/>
      <c r="AI6550" s="35"/>
      <c r="AJ6550" s="35"/>
      <c r="AK6550" s="35"/>
      <c r="AL6550" s="35"/>
    </row>
    <row r="6551">
      <c r="A6551" s="1"/>
      <c r="B6551" s="19" t="s">
        <v>30172</v>
      </c>
      <c r="C6551" s="20" t="s">
        <v>30692</v>
      </c>
      <c r="D6551" s="47"/>
      <c r="E6551" s="22" t="s">
        <v>30701</v>
      </c>
      <c r="F6551" s="22" t="s">
        <v>30702</v>
      </c>
      <c r="G6551" s="23">
        <v>2014.0</v>
      </c>
      <c r="H6551" s="22" t="s">
        <v>30703</v>
      </c>
      <c r="I6551" s="24" t="s">
        <v>30704</v>
      </c>
      <c r="J6551" s="22" t="s">
        <v>55</v>
      </c>
      <c r="K6551" s="22" t="s">
        <v>30705</v>
      </c>
      <c r="L6551" s="36">
        <v>660.0</v>
      </c>
      <c r="M6551" s="36">
        <v>50.0</v>
      </c>
      <c r="N6551" s="36"/>
      <c r="O6551" s="36"/>
      <c r="P6551" s="37" t="s">
        <v>30706</v>
      </c>
      <c r="Q6551" s="36"/>
      <c r="R6551" s="36">
        <v>30.0</v>
      </c>
      <c r="S6551" s="36"/>
      <c r="T6551" s="41" t="s">
        <v>30707</v>
      </c>
      <c r="U6551" s="38" t="str">
        <f>HYPERLINK("http://www.journalijar.com/article/3257/the-effect-of-expose-the-rat-testis-to-low-level-laser-light-on-changing-serum-lh-and-testosterone-levels/","IJAR")</f>
        <v>IJAR</v>
      </c>
      <c r="V6551" s="30"/>
      <c r="W6551" s="49"/>
      <c r="X6551" s="49"/>
      <c r="Y6551" s="35"/>
      <c r="Z6551" s="35"/>
      <c r="AA6551" s="35"/>
      <c r="AB6551" s="35"/>
      <c r="AC6551" s="35"/>
      <c r="AD6551" s="35"/>
      <c r="AE6551" s="35"/>
      <c r="AF6551" s="35"/>
      <c r="AG6551" s="35"/>
      <c r="AH6551" s="35"/>
      <c r="AI6551" s="35"/>
      <c r="AJ6551" s="35"/>
      <c r="AK6551" s="35"/>
      <c r="AL6551" s="35"/>
    </row>
    <row r="6552">
      <c r="A6552" s="1"/>
      <c r="B6552" s="19" t="s">
        <v>30172</v>
      </c>
      <c r="C6552" s="20" t="s">
        <v>30692</v>
      </c>
      <c r="D6552" s="47"/>
      <c r="E6552" s="22" t="s">
        <v>9841</v>
      </c>
      <c r="F6552" s="22" t="s">
        <v>1905</v>
      </c>
      <c r="G6552" s="23">
        <v>2013.0</v>
      </c>
      <c r="H6552" s="22" t="s">
        <v>30708</v>
      </c>
      <c r="I6552" s="24" t="s">
        <v>30709</v>
      </c>
      <c r="J6552" s="22" t="s">
        <v>55</v>
      </c>
      <c r="K6552" s="22" t="s">
        <v>294</v>
      </c>
      <c r="L6552" s="36" t="s">
        <v>30710</v>
      </c>
      <c r="M6552" s="36">
        <v>200.0</v>
      </c>
      <c r="N6552" s="36"/>
      <c r="O6552" s="36"/>
      <c r="P6552" s="37" t="s">
        <v>7878</v>
      </c>
      <c r="Q6552" s="36"/>
      <c r="R6552" s="36">
        <v>1800.0</v>
      </c>
      <c r="S6552" s="36"/>
      <c r="T6552" s="28" t="s">
        <v>30711</v>
      </c>
      <c r="U6552" s="38" t="str">
        <f>HYPERLINK("http://www.alliedacademies.org/articles/the-effects-of-low-level-laser-therapy-lllt-on-the-testis-in-elevatingserum-testosterone-level-in-rats.pdf","PDF")</f>
        <v>PDF</v>
      </c>
      <c r="V6552" s="30"/>
      <c r="W6552" s="49"/>
      <c r="X6552" s="49"/>
      <c r="Y6552" s="35"/>
      <c r="Z6552" s="35"/>
      <c r="AA6552" s="35"/>
      <c r="AB6552" s="35"/>
      <c r="AC6552" s="35"/>
      <c r="AD6552" s="35"/>
      <c r="AE6552" s="35"/>
      <c r="AF6552" s="35"/>
      <c r="AG6552" s="35"/>
      <c r="AH6552" s="35"/>
      <c r="AI6552" s="35"/>
      <c r="AJ6552" s="35"/>
      <c r="AK6552" s="35"/>
      <c r="AL6552" s="35"/>
    </row>
    <row r="6553">
      <c r="A6553" s="1"/>
      <c r="B6553" s="19" t="s">
        <v>30172</v>
      </c>
      <c r="C6553" s="20" t="s">
        <v>30692</v>
      </c>
      <c r="D6553" s="47"/>
      <c r="E6553" s="22" t="s">
        <v>30712</v>
      </c>
      <c r="F6553" s="22" t="s">
        <v>30713</v>
      </c>
      <c r="G6553" s="23">
        <v>2004.0</v>
      </c>
      <c r="H6553" s="22" t="s">
        <v>53</v>
      </c>
      <c r="I6553" s="24" t="s">
        <v>30714</v>
      </c>
      <c r="J6553" s="22" t="s">
        <v>55</v>
      </c>
      <c r="K6553" s="22" t="s">
        <v>30715</v>
      </c>
      <c r="L6553" s="36" t="s">
        <v>10745</v>
      </c>
      <c r="M6553" s="36"/>
      <c r="N6553" s="36"/>
      <c r="O6553" s="36"/>
      <c r="P6553" s="37" t="s">
        <v>30716</v>
      </c>
      <c r="Q6553" s="36"/>
      <c r="R6553" s="36"/>
      <c r="S6553" s="36">
        <v>15.0</v>
      </c>
      <c r="T6553" s="42" t="s">
        <v>30717</v>
      </c>
      <c r="U6553" s="38" t="str">
        <f>HYPERLINK("https://www.ncbi.nlm.nih.gov/pubmed/15083497","PubMed")</f>
        <v>PubMed</v>
      </c>
      <c r="V6553" s="30"/>
      <c r="W6553" s="49"/>
      <c r="X6553" s="49"/>
      <c r="Y6553" s="35"/>
      <c r="Z6553" s="35"/>
      <c r="AA6553" s="35"/>
      <c r="AB6553" s="35"/>
      <c r="AC6553" s="35"/>
      <c r="AD6553" s="35"/>
      <c r="AE6553" s="35"/>
      <c r="AF6553" s="35"/>
      <c r="AG6553" s="35"/>
      <c r="AH6553" s="35"/>
      <c r="AI6553" s="35"/>
      <c r="AJ6553" s="35"/>
      <c r="AK6553" s="35"/>
      <c r="AL6553" s="35"/>
    </row>
    <row r="6554">
      <c r="A6554" s="18"/>
      <c r="B6554" s="19" t="s">
        <v>30172</v>
      </c>
      <c r="C6554" s="20" t="s">
        <v>30718</v>
      </c>
      <c r="D6554" s="47"/>
      <c r="E6554" s="22" t="s">
        <v>30719</v>
      </c>
      <c r="F6554" s="22" t="s">
        <v>6330</v>
      </c>
      <c r="G6554" s="23">
        <v>2014.0</v>
      </c>
      <c r="H6554" s="23" t="s">
        <v>91</v>
      </c>
      <c r="I6554" s="24" t="s">
        <v>30720</v>
      </c>
      <c r="J6554" s="22" t="s">
        <v>31</v>
      </c>
      <c r="K6554" s="22"/>
      <c r="L6554" s="36">
        <v>1064.0</v>
      </c>
      <c r="M6554" s="36">
        <v>60.0</v>
      </c>
      <c r="N6554" s="36"/>
      <c r="O6554" s="36"/>
      <c r="P6554" s="37"/>
      <c r="Q6554" s="36"/>
      <c r="R6554" s="36"/>
      <c r="S6554" s="36"/>
      <c r="T6554" s="42" t="s">
        <v>30721</v>
      </c>
      <c r="U6554" s="38" t="str">
        <f>HYPERLINK("https://www.ncbi.nlm.nih.gov/pubmed/24870411","PubMed")</f>
        <v>PubMed</v>
      </c>
      <c r="V6554" s="30"/>
      <c r="W6554" s="49"/>
      <c r="X6554" s="49"/>
      <c r="Y6554" s="35"/>
      <c r="Z6554" s="35"/>
      <c r="AA6554" s="35"/>
      <c r="AB6554" s="35"/>
      <c r="AC6554" s="35"/>
      <c r="AD6554" s="35"/>
      <c r="AE6554" s="35"/>
      <c r="AF6554" s="35"/>
      <c r="AG6554" s="35"/>
      <c r="AH6554" s="35"/>
      <c r="AI6554" s="35"/>
      <c r="AJ6554" s="35"/>
      <c r="AK6554" s="35"/>
      <c r="AL6554" s="35"/>
    </row>
    <row r="6555">
      <c r="A6555" s="18"/>
      <c r="B6555" s="19" t="s">
        <v>30172</v>
      </c>
      <c r="C6555" s="20" t="s">
        <v>30718</v>
      </c>
      <c r="D6555" s="47"/>
      <c r="E6555" s="22" t="s">
        <v>6244</v>
      </c>
      <c r="F6555" s="22" t="s">
        <v>6245</v>
      </c>
      <c r="G6555" s="23">
        <v>2022.0</v>
      </c>
      <c r="H6555" s="23" t="s">
        <v>3065</v>
      </c>
      <c r="I6555" s="24" t="s">
        <v>6246</v>
      </c>
      <c r="J6555" s="22" t="s">
        <v>55</v>
      </c>
      <c r="K6555" s="22"/>
      <c r="L6555" s="36">
        <v>633.0</v>
      </c>
      <c r="M6555" s="36">
        <v>2.0</v>
      </c>
      <c r="N6555" s="36"/>
      <c r="O6555" s="36"/>
      <c r="P6555" s="37"/>
      <c r="Q6555" s="36"/>
      <c r="R6555" s="36"/>
      <c r="S6555" s="36"/>
      <c r="T6555" s="42" t="s">
        <v>30722</v>
      </c>
      <c r="U6555" s="29" t="s">
        <v>61</v>
      </c>
      <c r="V6555" s="30"/>
      <c r="W6555" s="49"/>
      <c r="X6555" s="49"/>
      <c r="Y6555" s="35"/>
      <c r="Z6555" s="35"/>
      <c r="AA6555" s="35"/>
      <c r="AB6555" s="35"/>
      <c r="AC6555" s="35"/>
      <c r="AD6555" s="35"/>
      <c r="AE6555" s="35"/>
      <c r="AF6555" s="35"/>
      <c r="AG6555" s="35"/>
      <c r="AH6555" s="35"/>
      <c r="AI6555" s="35"/>
      <c r="AJ6555" s="35"/>
      <c r="AK6555" s="35"/>
      <c r="AL6555" s="35"/>
    </row>
    <row r="6556">
      <c r="A6556" s="18"/>
      <c r="B6556" s="19" t="s">
        <v>30172</v>
      </c>
      <c r="C6556" s="20" t="s">
        <v>30723</v>
      </c>
      <c r="D6556" s="47"/>
      <c r="E6556" s="22" t="s">
        <v>450</v>
      </c>
      <c r="F6556" s="22" t="s">
        <v>17009</v>
      </c>
      <c r="G6556" s="23">
        <v>2023.0</v>
      </c>
      <c r="H6556" s="23" t="s">
        <v>348</v>
      </c>
      <c r="I6556" s="24" t="s">
        <v>30724</v>
      </c>
      <c r="J6556" s="22" t="s">
        <v>125</v>
      </c>
      <c r="K6556" s="22"/>
      <c r="L6556" s="132" t="s">
        <v>30725</v>
      </c>
      <c r="U6556" s="38" t="s">
        <v>61</v>
      </c>
      <c r="V6556" s="30"/>
      <c r="W6556" s="49"/>
      <c r="X6556" s="49"/>
      <c r="Y6556" s="35"/>
      <c r="Z6556" s="35"/>
      <c r="AA6556" s="35"/>
      <c r="AB6556" s="35"/>
      <c r="AC6556" s="35"/>
      <c r="AD6556" s="35"/>
      <c r="AE6556" s="35"/>
      <c r="AF6556" s="35"/>
      <c r="AG6556" s="35"/>
      <c r="AH6556" s="35"/>
      <c r="AI6556" s="35"/>
      <c r="AJ6556" s="35"/>
      <c r="AK6556" s="35"/>
      <c r="AL6556" s="35"/>
    </row>
    <row r="6557">
      <c r="A6557" s="18"/>
      <c r="B6557" s="19" t="s">
        <v>30172</v>
      </c>
      <c r="C6557" s="20" t="s">
        <v>30723</v>
      </c>
      <c r="D6557" s="47"/>
      <c r="E6557" s="22" t="s">
        <v>88</v>
      </c>
      <c r="F6557" s="22" t="s">
        <v>22128</v>
      </c>
      <c r="G6557" s="23">
        <v>2022.0</v>
      </c>
      <c r="H6557" s="23" t="s">
        <v>77</v>
      </c>
      <c r="I6557" s="24" t="s">
        <v>30726</v>
      </c>
      <c r="J6557" s="22" t="s">
        <v>30727</v>
      </c>
      <c r="K6557" s="22" t="s">
        <v>2803</v>
      </c>
      <c r="L6557" s="36">
        <v>405.0</v>
      </c>
      <c r="M6557" s="36"/>
      <c r="N6557" s="36"/>
      <c r="O6557" s="36"/>
      <c r="P6557" s="37"/>
      <c r="Q6557" s="36"/>
      <c r="R6557" s="36"/>
      <c r="S6557" s="36" t="s">
        <v>30728</v>
      </c>
      <c r="T6557" s="28" t="s">
        <v>30729</v>
      </c>
      <c r="U6557" s="38" t="s">
        <v>61</v>
      </c>
      <c r="V6557" s="30"/>
      <c r="W6557" s="49"/>
      <c r="X6557" s="49"/>
      <c r="Y6557" s="35"/>
      <c r="Z6557" s="35"/>
      <c r="AA6557" s="35"/>
      <c r="AB6557" s="35"/>
      <c r="AC6557" s="35"/>
      <c r="AD6557" s="35"/>
      <c r="AE6557" s="35"/>
      <c r="AF6557" s="35"/>
      <c r="AG6557" s="35"/>
      <c r="AH6557" s="35"/>
      <c r="AI6557" s="35"/>
      <c r="AJ6557" s="35"/>
      <c r="AK6557" s="35"/>
      <c r="AL6557" s="35"/>
    </row>
    <row r="6558">
      <c r="A6558" s="1"/>
      <c r="B6558" s="19" t="s">
        <v>30172</v>
      </c>
      <c r="C6558" s="20" t="s">
        <v>30723</v>
      </c>
      <c r="D6558" s="47"/>
      <c r="E6558" s="22" t="s">
        <v>30730</v>
      </c>
      <c r="F6558" s="22" t="s">
        <v>5567</v>
      </c>
      <c r="G6558" s="23">
        <v>2022.0</v>
      </c>
      <c r="H6558" s="22" t="s">
        <v>29180</v>
      </c>
      <c r="I6558" s="24" t="s">
        <v>30731</v>
      </c>
      <c r="J6558" s="22" t="s">
        <v>125</v>
      </c>
      <c r="K6558" s="22"/>
      <c r="L6558" s="195" t="s">
        <v>30732</v>
      </c>
      <c r="M6558" s="44"/>
      <c r="N6558" s="44"/>
      <c r="O6558" s="44"/>
      <c r="P6558" s="44"/>
      <c r="Q6558" s="44"/>
      <c r="R6558" s="44"/>
      <c r="S6558" s="44"/>
      <c r="T6558" s="45"/>
      <c r="U6558" s="29" t="s">
        <v>61</v>
      </c>
      <c r="V6558" s="30"/>
      <c r="W6558" s="49"/>
      <c r="X6558" s="49"/>
      <c r="Y6558" s="35"/>
      <c r="Z6558" s="35"/>
      <c r="AA6558" s="35"/>
      <c r="AB6558" s="35"/>
      <c r="AC6558" s="35"/>
      <c r="AD6558" s="35"/>
      <c r="AE6558" s="35"/>
      <c r="AF6558" s="35"/>
      <c r="AG6558" s="35"/>
      <c r="AH6558" s="35"/>
      <c r="AI6558" s="35"/>
      <c r="AJ6558" s="35"/>
      <c r="AK6558" s="35"/>
      <c r="AL6558" s="35"/>
    </row>
    <row r="6559">
      <c r="A6559" s="1"/>
      <c r="B6559" s="19" t="s">
        <v>30172</v>
      </c>
      <c r="C6559" s="20" t="s">
        <v>30723</v>
      </c>
      <c r="D6559" s="47"/>
      <c r="E6559" s="22" t="s">
        <v>9663</v>
      </c>
      <c r="F6559" s="22" t="s">
        <v>3885</v>
      </c>
      <c r="G6559" s="23">
        <v>2020.0</v>
      </c>
      <c r="H6559" s="22" t="s">
        <v>30733</v>
      </c>
      <c r="I6559" s="24" t="s">
        <v>30734</v>
      </c>
      <c r="J6559" s="22" t="s">
        <v>30735</v>
      </c>
      <c r="K6559" s="22" t="s">
        <v>30736</v>
      </c>
      <c r="L6559" s="36" t="s">
        <v>30737</v>
      </c>
      <c r="M6559" s="36"/>
      <c r="N6559" s="36"/>
      <c r="O6559" s="36"/>
      <c r="P6559" s="37"/>
      <c r="Q6559" s="36" t="s">
        <v>30738</v>
      </c>
      <c r="R6559" s="36">
        <v>300.0</v>
      </c>
      <c r="S6559" s="36" t="s">
        <v>13185</v>
      </c>
      <c r="T6559" s="28" t="s">
        <v>30739</v>
      </c>
      <c r="U6559" s="38" t="s">
        <v>3913</v>
      </c>
      <c r="V6559" s="30"/>
      <c r="W6559" s="49"/>
      <c r="X6559" s="49"/>
      <c r="Y6559" s="35"/>
      <c r="Z6559" s="35"/>
      <c r="AA6559" s="35"/>
      <c r="AB6559" s="35"/>
      <c r="AC6559" s="35"/>
      <c r="AD6559" s="35"/>
      <c r="AE6559" s="35"/>
      <c r="AF6559" s="35"/>
      <c r="AG6559" s="35"/>
      <c r="AH6559" s="35"/>
      <c r="AI6559" s="35"/>
      <c r="AJ6559" s="35"/>
      <c r="AK6559" s="35"/>
      <c r="AL6559" s="35"/>
    </row>
    <row r="6560">
      <c r="A6560" s="1"/>
      <c r="B6560" s="19" t="s">
        <v>30172</v>
      </c>
      <c r="C6560" s="20" t="s">
        <v>30723</v>
      </c>
      <c r="D6560" s="47"/>
      <c r="E6560" s="22" t="s">
        <v>11169</v>
      </c>
      <c r="F6560" s="22" t="s">
        <v>5227</v>
      </c>
      <c r="G6560" s="23">
        <v>2019.0</v>
      </c>
      <c r="H6560" s="22" t="s">
        <v>77</v>
      </c>
      <c r="I6560" s="24" t="s">
        <v>30740</v>
      </c>
      <c r="J6560" s="22" t="s">
        <v>30741</v>
      </c>
      <c r="K6560" s="22" t="s">
        <v>157</v>
      </c>
      <c r="L6560" s="43" t="s">
        <v>30742</v>
      </c>
      <c r="M6560" s="44"/>
      <c r="N6560" s="44"/>
      <c r="O6560" s="44"/>
      <c r="P6560" s="44"/>
      <c r="Q6560" s="44"/>
      <c r="R6560" s="44"/>
      <c r="S6560" s="44"/>
      <c r="T6560" s="45"/>
      <c r="U6560" s="38" t="str">
        <f>HYPERLINK("https://www.ncbi.nlm.nih.gov/pubmed/31210575","PubMed")</f>
        <v>PubMed</v>
      </c>
      <c r="V6560" s="30" t="s">
        <v>30743</v>
      </c>
      <c r="W6560" s="49"/>
      <c r="X6560" s="49"/>
      <c r="Y6560" s="35"/>
      <c r="Z6560" s="35"/>
      <c r="AA6560" s="35"/>
      <c r="AB6560" s="35"/>
      <c r="AC6560" s="35"/>
      <c r="AD6560" s="35"/>
      <c r="AE6560" s="35"/>
      <c r="AF6560" s="35"/>
      <c r="AG6560" s="35"/>
      <c r="AH6560" s="35"/>
      <c r="AI6560" s="35"/>
      <c r="AJ6560" s="35"/>
      <c r="AK6560" s="35"/>
      <c r="AL6560" s="35"/>
    </row>
    <row r="6561">
      <c r="A6561" s="1"/>
      <c r="B6561" s="19" t="s">
        <v>30172</v>
      </c>
      <c r="C6561" s="20" t="s">
        <v>30723</v>
      </c>
      <c r="D6561" s="47"/>
      <c r="E6561" s="22" t="s">
        <v>30744</v>
      </c>
      <c r="F6561" s="22" t="s">
        <v>183</v>
      </c>
      <c r="G6561" s="23">
        <v>2018.0</v>
      </c>
      <c r="H6561" s="22" t="s">
        <v>91</v>
      </c>
      <c r="I6561" s="24" t="s">
        <v>30745</v>
      </c>
      <c r="J6561" s="22" t="s">
        <v>3053</v>
      </c>
      <c r="K6561" s="22" t="s">
        <v>1725</v>
      </c>
      <c r="L6561" s="36">
        <v>401.0</v>
      </c>
      <c r="M6561" s="36"/>
      <c r="N6561" s="36"/>
      <c r="O6561" s="36"/>
      <c r="P6561" s="37"/>
      <c r="Q6561" s="36"/>
      <c r="R6561" s="36">
        <v>1800.0</v>
      </c>
      <c r="S6561" s="36"/>
      <c r="T6561" s="42" t="s">
        <v>30746</v>
      </c>
      <c r="U6561" s="38" t="str">
        <f>HYPERLINK("https://www.ncbi.nlm.nih.gov/pubmed/30406341","PubMed")</f>
        <v>PubMed</v>
      </c>
      <c r="V6561" s="30"/>
      <c r="W6561" s="49"/>
      <c r="X6561" s="49"/>
      <c r="Y6561" s="35"/>
      <c r="Z6561" s="35"/>
      <c r="AA6561" s="35"/>
      <c r="AB6561" s="35"/>
      <c r="AC6561" s="35"/>
      <c r="AD6561" s="35"/>
      <c r="AE6561" s="35"/>
      <c r="AF6561" s="35"/>
      <c r="AG6561" s="35"/>
      <c r="AH6561" s="35"/>
      <c r="AI6561" s="35"/>
      <c r="AJ6561" s="35"/>
      <c r="AK6561" s="35"/>
      <c r="AL6561" s="35"/>
    </row>
    <row r="6562">
      <c r="A6562" s="1"/>
      <c r="B6562" s="19" t="s">
        <v>30172</v>
      </c>
      <c r="C6562" s="20" t="s">
        <v>30723</v>
      </c>
      <c r="D6562" s="47"/>
      <c r="E6562" s="22" t="s">
        <v>2547</v>
      </c>
      <c r="F6562" s="22" t="s">
        <v>30747</v>
      </c>
      <c r="G6562" s="23">
        <v>2017.0</v>
      </c>
      <c r="H6562" s="22" t="s">
        <v>30748</v>
      </c>
      <c r="I6562" s="24" t="s">
        <v>30749</v>
      </c>
      <c r="J6562" s="22" t="s">
        <v>3053</v>
      </c>
      <c r="K6562" s="22" t="s">
        <v>30750</v>
      </c>
      <c r="L6562" s="36" t="s">
        <v>30751</v>
      </c>
      <c r="M6562" s="36"/>
      <c r="N6562" s="36"/>
      <c r="O6562" s="36"/>
      <c r="P6562" s="37"/>
      <c r="Q6562" s="36"/>
      <c r="R6562" s="36"/>
      <c r="S6562" s="36">
        <v>24.0</v>
      </c>
      <c r="T6562" s="28" t="s">
        <v>30752</v>
      </c>
      <c r="U6562" s="38" t="str">
        <f>HYPERLINK("https://www.ncbi.nlm.nih.gov/pubmed/28035444","PubMed")</f>
        <v>PubMed</v>
      </c>
      <c r="V6562" s="30"/>
      <c r="W6562" s="49"/>
      <c r="X6562" s="49"/>
      <c r="Y6562" s="35"/>
      <c r="Z6562" s="35"/>
      <c r="AA6562" s="35"/>
      <c r="AB6562" s="35"/>
      <c r="AC6562" s="35"/>
      <c r="AD6562" s="35"/>
      <c r="AE6562" s="35"/>
      <c r="AF6562" s="35"/>
      <c r="AG6562" s="35"/>
      <c r="AH6562" s="35"/>
      <c r="AI6562" s="35"/>
      <c r="AJ6562" s="35"/>
      <c r="AK6562" s="35"/>
      <c r="AL6562" s="35"/>
    </row>
    <row r="6563">
      <c r="A6563" s="1"/>
      <c r="B6563" s="19" t="s">
        <v>30172</v>
      </c>
      <c r="C6563" s="20" t="s">
        <v>30753</v>
      </c>
      <c r="D6563" s="47"/>
      <c r="E6563" s="22" t="s">
        <v>30754</v>
      </c>
      <c r="F6563" s="22" t="s">
        <v>30755</v>
      </c>
      <c r="G6563" s="23">
        <v>2023.0</v>
      </c>
      <c r="H6563" s="22" t="s">
        <v>18722</v>
      </c>
      <c r="I6563" s="24" t="s">
        <v>30756</v>
      </c>
      <c r="J6563" s="22" t="s">
        <v>3053</v>
      </c>
      <c r="K6563" s="22"/>
      <c r="L6563" s="36"/>
      <c r="M6563" s="36"/>
      <c r="N6563" s="36"/>
      <c r="O6563" s="36"/>
      <c r="P6563" s="37"/>
      <c r="Q6563" s="36"/>
      <c r="R6563" s="36"/>
      <c r="S6563" s="36"/>
      <c r="T6563" s="28" t="s">
        <v>30757</v>
      </c>
      <c r="U6563" s="38" t="s">
        <v>61</v>
      </c>
      <c r="V6563" s="30"/>
      <c r="W6563" s="49"/>
      <c r="X6563" s="49"/>
      <c r="Y6563" s="35"/>
      <c r="Z6563" s="35"/>
      <c r="AA6563" s="35"/>
      <c r="AB6563" s="35"/>
      <c r="AC6563" s="35"/>
      <c r="AD6563" s="35"/>
      <c r="AE6563" s="35"/>
      <c r="AF6563" s="35"/>
      <c r="AG6563" s="35"/>
      <c r="AH6563" s="35"/>
      <c r="AI6563" s="35"/>
      <c r="AJ6563" s="35"/>
      <c r="AK6563" s="35"/>
      <c r="AL6563" s="35"/>
    </row>
    <row r="6564">
      <c r="A6564" s="1"/>
      <c r="B6564" s="19" t="s">
        <v>30172</v>
      </c>
      <c r="C6564" s="20" t="s">
        <v>30758</v>
      </c>
      <c r="D6564" s="47"/>
      <c r="E6564" s="22" t="s">
        <v>30759</v>
      </c>
      <c r="F6564" s="22" t="s">
        <v>5312</v>
      </c>
      <c r="G6564" s="23">
        <v>2017.0</v>
      </c>
      <c r="H6564" s="22" t="s">
        <v>29176</v>
      </c>
      <c r="I6564" s="24" t="s">
        <v>30760</v>
      </c>
      <c r="J6564" s="22" t="s">
        <v>30761</v>
      </c>
      <c r="K6564" s="22"/>
      <c r="L6564" s="36">
        <v>820.0</v>
      </c>
      <c r="M6564" s="36"/>
      <c r="N6564" s="36"/>
      <c r="O6564" s="36"/>
      <c r="P6564" s="37" t="s">
        <v>2400</v>
      </c>
      <c r="Q6564" s="36"/>
      <c r="R6564" s="36" t="s">
        <v>21543</v>
      </c>
      <c r="S6564" s="36" t="s">
        <v>2688</v>
      </c>
      <c r="T6564" s="42" t="s">
        <v>30762</v>
      </c>
      <c r="U6564" s="38" t="str">
        <f>HYPERLINK("https://www.ncbi.nlm.nih.gov/pubmed/28970071","PubMed")</f>
        <v>PubMed</v>
      </c>
      <c r="V6564" s="30" t="s">
        <v>30763</v>
      </c>
      <c r="W6564" s="49"/>
      <c r="X6564" s="49"/>
      <c r="Y6564" s="35"/>
      <c r="Z6564" s="35"/>
      <c r="AA6564" s="35"/>
      <c r="AB6564" s="35"/>
      <c r="AC6564" s="35"/>
      <c r="AD6564" s="35"/>
      <c r="AE6564" s="35"/>
      <c r="AF6564" s="35"/>
      <c r="AG6564" s="35"/>
      <c r="AH6564" s="35"/>
      <c r="AI6564" s="35"/>
      <c r="AJ6564" s="35"/>
      <c r="AK6564" s="35"/>
      <c r="AL6564" s="35"/>
    </row>
    <row r="6565">
      <c r="A6565" s="1"/>
      <c r="B6565" s="19" t="s">
        <v>30172</v>
      </c>
      <c r="C6565" s="20" t="s">
        <v>30764</v>
      </c>
      <c r="D6565" s="47"/>
      <c r="E6565" s="22" t="s">
        <v>30765</v>
      </c>
      <c r="F6565" s="22" t="s">
        <v>30766</v>
      </c>
      <c r="G6565" s="23">
        <v>2024.0</v>
      </c>
      <c r="H6565" s="22" t="s">
        <v>30767</v>
      </c>
      <c r="I6565" s="24" t="s">
        <v>30768</v>
      </c>
      <c r="J6565" s="22" t="s">
        <v>30769</v>
      </c>
      <c r="K6565" s="22"/>
      <c r="L6565" s="36">
        <v>808.0</v>
      </c>
      <c r="M6565" s="36">
        <v>500.0</v>
      </c>
      <c r="N6565" s="36"/>
      <c r="O6565" s="36"/>
      <c r="P6565" s="37"/>
      <c r="Q6565" s="36"/>
      <c r="R6565" s="36"/>
      <c r="S6565" s="36" t="s">
        <v>30770</v>
      </c>
      <c r="T6565" s="28" t="s">
        <v>30771</v>
      </c>
      <c r="U6565" s="38" t="s">
        <v>61</v>
      </c>
      <c r="V6565" s="30"/>
      <c r="W6565" s="49"/>
      <c r="X6565" s="49"/>
      <c r="Y6565" s="35"/>
      <c r="Z6565" s="35"/>
      <c r="AA6565" s="35"/>
      <c r="AB6565" s="35"/>
      <c r="AC6565" s="35"/>
      <c r="AD6565" s="35"/>
      <c r="AE6565" s="35"/>
      <c r="AF6565" s="35"/>
      <c r="AG6565" s="35"/>
      <c r="AH6565" s="35"/>
      <c r="AI6565" s="35"/>
      <c r="AJ6565" s="35"/>
      <c r="AK6565" s="35"/>
      <c r="AL6565" s="35"/>
    </row>
    <row r="6566">
      <c r="A6566" s="1"/>
      <c r="B6566" s="19" t="s">
        <v>30772</v>
      </c>
      <c r="C6566" s="20" t="s">
        <v>30773</v>
      </c>
      <c r="D6566" s="47"/>
      <c r="E6566" s="22" t="s">
        <v>5713</v>
      </c>
      <c r="F6566" s="22" t="s">
        <v>510</v>
      </c>
      <c r="G6566" s="23">
        <v>2011.0</v>
      </c>
      <c r="H6566" s="22" t="s">
        <v>91</v>
      </c>
      <c r="I6566" s="24" t="s">
        <v>30774</v>
      </c>
      <c r="J6566" s="22" t="s">
        <v>209</v>
      </c>
      <c r="K6566" s="22" t="s">
        <v>30775</v>
      </c>
      <c r="L6566" s="36">
        <v>660.0</v>
      </c>
      <c r="M6566" s="36"/>
      <c r="N6566" s="36"/>
      <c r="O6566" s="129"/>
      <c r="P6566" s="37" t="s">
        <v>2366</v>
      </c>
      <c r="Q6566" s="36"/>
      <c r="R6566" s="36"/>
      <c r="S6566" s="36"/>
      <c r="T6566" s="28" t="s">
        <v>30776</v>
      </c>
      <c r="U6566" s="38" t="str">
        <f>HYPERLINK("https://www.ncbi.nlm.nih.gov/pubmed/21184127","PubMed")</f>
        <v>PubMed</v>
      </c>
      <c r="V6566" s="50"/>
      <c r="W6566" s="49"/>
      <c r="X6566" s="49"/>
      <c r="Y6566" s="35"/>
      <c r="Z6566" s="35"/>
      <c r="AA6566" s="35"/>
      <c r="AB6566" s="35"/>
      <c r="AC6566" s="35"/>
      <c r="AD6566" s="35"/>
      <c r="AE6566" s="35"/>
      <c r="AF6566" s="35"/>
      <c r="AG6566" s="35"/>
      <c r="AH6566" s="35"/>
      <c r="AI6566" s="35"/>
      <c r="AJ6566" s="35"/>
      <c r="AK6566" s="35"/>
      <c r="AL6566" s="35"/>
    </row>
    <row r="6567">
      <c r="A6567" s="1"/>
      <c r="B6567" s="19" t="s">
        <v>30772</v>
      </c>
      <c r="C6567" s="20" t="s">
        <v>30777</v>
      </c>
      <c r="D6567" s="47"/>
      <c r="E6567" s="22" t="s">
        <v>30778</v>
      </c>
      <c r="F6567" s="22" t="s">
        <v>510</v>
      </c>
      <c r="G6567" s="23">
        <v>2006.0</v>
      </c>
      <c r="H6567" s="22" t="s">
        <v>53</v>
      </c>
      <c r="I6567" s="24" t="s">
        <v>30779</v>
      </c>
      <c r="J6567" s="22" t="s">
        <v>31</v>
      </c>
      <c r="K6567" s="22"/>
      <c r="L6567" s="36">
        <v>655.0</v>
      </c>
      <c r="M6567" s="129">
        <v>42857.0</v>
      </c>
      <c r="N6567" s="36" t="s">
        <v>30780</v>
      </c>
      <c r="O6567" s="36" t="s">
        <v>30781</v>
      </c>
      <c r="P6567" s="37" t="s">
        <v>30782</v>
      </c>
      <c r="Q6567" s="36" t="s">
        <v>22639</v>
      </c>
      <c r="R6567" s="36">
        <v>42.0</v>
      </c>
      <c r="S6567" s="36">
        <v>2.0</v>
      </c>
      <c r="T6567" s="28" t="s">
        <v>30783</v>
      </c>
      <c r="U6567" s="38" t="str">
        <f>HYPERLINK("https://www.ncbi.nlm.nih.gov/pubmed/16868933","PubMed")</f>
        <v>PubMed</v>
      </c>
      <c r="V6567" s="50"/>
      <c r="W6567" s="49"/>
      <c r="X6567" s="49"/>
      <c r="Y6567" s="35"/>
      <c r="Z6567" s="35"/>
      <c r="AA6567" s="35"/>
      <c r="AB6567" s="35"/>
      <c r="AC6567" s="35"/>
      <c r="AD6567" s="35"/>
      <c r="AE6567" s="35"/>
      <c r="AF6567" s="35"/>
      <c r="AG6567" s="35"/>
      <c r="AH6567" s="35"/>
      <c r="AI6567" s="35"/>
      <c r="AJ6567" s="35"/>
      <c r="AK6567" s="35"/>
      <c r="AL6567" s="35"/>
    </row>
    <row r="6568">
      <c r="A6568" s="1"/>
      <c r="B6568" s="75" t="s">
        <v>30772</v>
      </c>
      <c r="C6568" s="77" t="s">
        <v>30784</v>
      </c>
      <c r="D6568" s="47"/>
      <c r="E6568" s="22" t="s">
        <v>30785</v>
      </c>
      <c r="F6568" s="22" t="s">
        <v>323</v>
      </c>
      <c r="G6568" s="23">
        <v>2024.0</v>
      </c>
      <c r="H6568" s="22" t="s">
        <v>30786</v>
      </c>
      <c r="I6568" s="24" t="s">
        <v>30787</v>
      </c>
      <c r="J6568" s="22" t="s">
        <v>1078</v>
      </c>
      <c r="K6568" s="22"/>
      <c r="L6568" s="195" t="s">
        <v>30788</v>
      </c>
      <c r="M6568" s="44"/>
      <c r="N6568" s="44"/>
      <c r="O6568" s="44"/>
      <c r="P6568" s="44"/>
      <c r="Q6568" s="44"/>
      <c r="R6568" s="44"/>
      <c r="S6568" s="44"/>
      <c r="T6568" s="45"/>
      <c r="U6568" s="38" t="s">
        <v>61</v>
      </c>
      <c r="V6568" s="30"/>
      <c r="W6568" s="49"/>
      <c r="X6568" s="49"/>
      <c r="Y6568" s="35"/>
      <c r="Z6568" s="35"/>
      <c r="AA6568" s="35"/>
      <c r="AB6568" s="35"/>
      <c r="AC6568" s="35"/>
      <c r="AD6568" s="35"/>
      <c r="AE6568" s="35"/>
      <c r="AF6568" s="35"/>
      <c r="AG6568" s="35"/>
      <c r="AH6568" s="35"/>
      <c r="AI6568" s="35"/>
      <c r="AJ6568" s="35"/>
      <c r="AK6568" s="35"/>
      <c r="AL6568" s="35"/>
    </row>
    <row r="6569">
      <c r="A6569" s="1"/>
      <c r="B6569" s="75" t="s">
        <v>30772</v>
      </c>
      <c r="C6569" s="77" t="s">
        <v>30784</v>
      </c>
      <c r="D6569" s="47"/>
      <c r="E6569" s="22" t="s">
        <v>30789</v>
      </c>
      <c r="F6569" s="22" t="s">
        <v>30790</v>
      </c>
      <c r="G6569" s="23">
        <v>2023.0</v>
      </c>
      <c r="H6569" s="22" t="s">
        <v>8420</v>
      </c>
      <c r="I6569" s="24" t="s">
        <v>30791</v>
      </c>
      <c r="J6569" s="22" t="s">
        <v>30792</v>
      </c>
      <c r="K6569" s="22"/>
      <c r="L6569" s="36" t="s">
        <v>30793</v>
      </c>
      <c r="M6569" s="36"/>
      <c r="N6569" s="36"/>
      <c r="O6569" s="36"/>
      <c r="P6569" s="37" t="s">
        <v>30794</v>
      </c>
      <c r="Q6569" s="36"/>
      <c r="R6569" s="36" t="s">
        <v>30795</v>
      </c>
      <c r="S6569" s="36" t="s">
        <v>30796</v>
      </c>
      <c r="T6569" s="28" t="s">
        <v>30797</v>
      </c>
      <c r="U6569" s="38" t="s">
        <v>61</v>
      </c>
      <c r="V6569" s="30" t="s">
        <v>30798</v>
      </c>
      <c r="W6569" s="49"/>
      <c r="X6569" s="49"/>
      <c r="Y6569" s="35"/>
      <c r="Z6569" s="35"/>
      <c r="AA6569" s="35"/>
      <c r="AB6569" s="35"/>
      <c r="AC6569" s="35"/>
      <c r="AD6569" s="35"/>
      <c r="AE6569" s="35"/>
      <c r="AF6569" s="35"/>
      <c r="AG6569" s="35"/>
      <c r="AH6569" s="35"/>
      <c r="AI6569" s="35"/>
      <c r="AJ6569" s="35"/>
      <c r="AK6569" s="35"/>
      <c r="AL6569" s="35"/>
    </row>
    <row r="6570">
      <c r="A6570" s="1"/>
      <c r="B6570" s="75" t="s">
        <v>30772</v>
      </c>
      <c r="C6570" s="77" t="s">
        <v>30784</v>
      </c>
      <c r="D6570" s="47"/>
      <c r="E6570" s="22" t="s">
        <v>19177</v>
      </c>
      <c r="F6570" s="22" t="s">
        <v>299</v>
      </c>
      <c r="G6570" s="23">
        <v>2023.0</v>
      </c>
      <c r="H6570" s="22" t="s">
        <v>8884</v>
      </c>
      <c r="I6570" s="24" t="s">
        <v>30799</v>
      </c>
      <c r="J6570" s="22" t="s">
        <v>7263</v>
      </c>
      <c r="K6570" s="22"/>
      <c r="L6570" s="36" t="s">
        <v>30800</v>
      </c>
      <c r="M6570" s="36">
        <v>5.0</v>
      </c>
      <c r="N6570" s="36"/>
      <c r="O6570" s="36"/>
      <c r="P6570" s="37"/>
      <c r="Q6570" s="36"/>
      <c r="R6570" s="36"/>
      <c r="S6570" s="36" t="s">
        <v>30801</v>
      </c>
      <c r="T6570" s="28" t="s">
        <v>30802</v>
      </c>
      <c r="U6570" s="38" t="s">
        <v>61</v>
      </c>
      <c r="V6570" s="30"/>
      <c r="W6570" s="49"/>
      <c r="X6570" s="49"/>
      <c r="Y6570" s="35"/>
      <c r="Z6570" s="35"/>
      <c r="AA6570" s="35"/>
      <c r="AB6570" s="35"/>
      <c r="AC6570" s="35"/>
      <c r="AD6570" s="35"/>
      <c r="AE6570" s="35"/>
      <c r="AF6570" s="35"/>
      <c r="AG6570" s="35"/>
      <c r="AH6570" s="35"/>
      <c r="AI6570" s="35"/>
      <c r="AJ6570" s="35"/>
      <c r="AK6570" s="35"/>
      <c r="AL6570" s="35"/>
    </row>
    <row r="6571">
      <c r="A6571" s="1"/>
      <c r="B6571" s="75" t="s">
        <v>30772</v>
      </c>
      <c r="C6571" s="77" t="s">
        <v>30784</v>
      </c>
      <c r="D6571" s="47"/>
      <c r="E6571" s="22" t="s">
        <v>30803</v>
      </c>
      <c r="F6571" s="22" t="s">
        <v>52</v>
      </c>
      <c r="G6571" s="23">
        <v>2023.0</v>
      </c>
      <c r="H6571" s="22" t="s">
        <v>30804</v>
      </c>
      <c r="I6571" s="24" t="s">
        <v>30805</v>
      </c>
      <c r="J6571" s="22" t="s">
        <v>30806</v>
      </c>
      <c r="K6571" s="22"/>
      <c r="L6571" s="36"/>
      <c r="M6571" s="36"/>
      <c r="N6571" s="36"/>
      <c r="O6571" s="36"/>
      <c r="P6571" s="37"/>
      <c r="Q6571" s="36"/>
      <c r="R6571" s="36"/>
      <c r="S6571" s="36"/>
      <c r="T6571" s="28" t="s">
        <v>30807</v>
      </c>
      <c r="U6571" s="38" t="s">
        <v>61</v>
      </c>
      <c r="V6571" s="30" t="s">
        <v>174</v>
      </c>
      <c r="W6571" s="49"/>
      <c r="X6571" s="49"/>
      <c r="Y6571" s="35"/>
      <c r="Z6571" s="35"/>
      <c r="AA6571" s="35"/>
      <c r="AB6571" s="35"/>
      <c r="AC6571" s="35"/>
      <c r="AD6571" s="35"/>
      <c r="AE6571" s="35"/>
      <c r="AF6571" s="35"/>
      <c r="AG6571" s="35"/>
      <c r="AH6571" s="35"/>
      <c r="AI6571" s="35"/>
      <c r="AJ6571" s="35"/>
      <c r="AK6571" s="35"/>
      <c r="AL6571" s="35"/>
    </row>
    <row r="6572">
      <c r="A6572" s="1"/>
      <c r="B6572" s="19" t="s">
        <v>30772</v>
      </c>
      <c r="C6572" s="20" t="s">
        <v>30784</v>
      </c>
      <c r="D6572" s="47"/>
      <c r="E6572" s="22" t="s">
        <v>19177</v>
      </c>
      <c r="F6572" s="22" t="s">
        <v>6828</v>
      </c>
      <c r="G6572" s="23">
        <v>2022.0</v>
      </c>
      <c r="H6572" s="22" t="s">
        <v>30808</v>
      </c>
      <c r="I6572" s="24" t="s">
        <v>30809</v>
      </c>
      <c r="J6572" s="22" t="s">
        <v>30810</v>
      </c>
      <c r="K6572" s="22" t="s">
        <v>30811</v>
      </c>
      <c r="L6572" s="36">
        <v>650.0</v>
      </c>
      <c r="M6572" s="36"/>
      <c r="N6572" s="36"/>
      <c r="O6572" s="36"/>
      <c r="P6572" s="37"/>
      <c r="Q6572" s="36"/>
      <c r="R6572" s="36"/>
      <c r="S6572" s="36" t="s">
        <v>4905</v>
      </c>
      <c r="T6572" s="42" t="s">
        <v>30812</v>
      </c>
      <c r="U6572" s="29" t="s">
        <v>61</v>
      </c>
      <c r="V6572" s="30" t="s">
        <v>30813</v>
      </c>
      <c r="W6572" s="49"/>
      <c r="X6572" s="49"/>
      <c r="Y6572" s="35"/>
      <c r="Z6572" s="35"/>
      <c r="AA6572" s="35"/>
      <c r="AB6572" s="35"/>
      <c r="AC6572" s="35"/>
      <c r="AD6572" s="35"/>
      <c r="AE6572" s="35"/>
      <c r="AF6572" s="35"/>
      <c r="AG6572" s="35"/>
      <c r="AH6572" s="35"/>
      <c r="AI6572" s="35"/>
      <c r="AJ6572" s="35"/>
      <c r="AK6572" s="35"/>
      <c r="AL6572" s="35"/>
    </row>
    <row r="6573">
      <c r="A6573" s="40"/>
      <c r="B6573" s="19" t="s">
        <v>30772</v>
      </c>
      <c r="C6573" s="20" t="s">
        <v>30784</v>
      </c>
      <c r="D6573" s="47"/>
      <c r="E6573" s="22" t="s">
        <v>7880</v>
      </c>
      <c r="F6573" s="22" t="s">
        <v>30814</v>
      </c>
      <c r="G6573" s="23">
        <v>2021.0</v>
      </c>
      <c r="H6573" s="22" t="s">
        <v>22974</v>
      </c>
      <c r="I6573" s="24" t="s">
        <v>30815</v>
      </c>
      <c r="J6573" s="22" t="s">
        <v>1078</v>
      </c>
      <c r="K6573" s="22"/>
      <c r="L6573" s="105" t="s">
        <v>30816</v>
      </c>
      <c r="M6573" s="44"/>
      <c r="N6573" s="44"/>
      <c r="O6573" s="44"/>
      <c r="P6573" s="44"/>
      <c r="Q6573" s="44"/>
      <c r="R6573" s="44"/>
      <c r="S6573" s="44"/>
      <c r="T6573" s="45"/>
      <c r="U6573" s="29" t="s">
        <v>61</v>
      </c>
      <c r="V6573" s="50"/>
      <c r="W6573" s="49"/>
      <c r="X6573" s="49"/>
      <c r="Y6573" s="35"/>
      <c r="Z6573" s="35"/>
      <c r="AA6573" s="35"/>
      <c r="AB6573" s="35"/>
      <c r="AC6573" s="35"/>
      <c r="AD6573" s="35"/>
      <c r="AE6573" s="35"/>
      <c r="AF6573" s="35"/>
      <c r="AG6573" s="35"/>
      <c r="AH6573" s="35"/>
      <c r="AI6573" s="35"/>
      <c r="AJ6573" s="35"/>
      <c r="AK6573" s="35"/>
      <c r="AL6573" s="35"/>
    </row>
    <row r="6574">
      <c r="A6574" s="40"/>
      <c r="B6574" s="19" t="s">
        <v>30772</v>
      </c>
      <c r="C6574" s="20" t="s">
        <v>30784</v>
      </c>
      <c r="D6574" s="47"/>
      <c r="E6574" s="22" t="s">
        <v>30817</v>
      </c>
      <c r="F6574" s="22" t="s">
        <v>23306</v>
      </c>
      <c r="G6574" s="23">
        <v>2021.0</v>
      </c>
      <c r="H6574" s="22" t="s">
        <v>30818</v>
      </c>
      <c r="I6574" s="24" t="s">
        <v>30819</v>
      </c>
      <c r="J6574" s="22" t="s">
        <v>30820</v>
      </c>
      <c r="K6574" s="22"/>
      <c r="L6574" s="36" t="s">
        <v>30821</v>
      </c>
      <c r="M6574" s="36"/>
      <c r="N6574" s="36"/>
      <c r="O6574" s="36"/>
      <c r="P6574" s="37" t="s">
        <v>30822</v>
      </c>
      <c r="Q6574" s="36"/>
      <c r="R6574" s="36"/>
      <c r="S6574" s="36" t="s">
        <v>30823</v>
      </c>
      <c r="T6574" s="28" t="s">
        <v>30824</v>
      </c>
      <c r="U6574" s="29" t="s">
        <v>61</v>
      </c>
      <c r="V6574" s="50"/>
      <c r="W6574" s="49"/>
      <c r="X6574" s="49"/>
      <c r="Y6574" s="35"/>
      <c r="Z6574" s="35"/>
      <c r="AA6574" s="35"/>
      <c r="AB6574" s="35"/>
      <c r="AC6574" s="35"/>
      <c r="AD6574" s="35"/>
      <c r="AE6574" s="35"/>
      <c r="AF6574" s="35"/>
      <c r="AG6574" s="35"/>
      <c r="AH6574" s="35"/>
      <c r="AI6574" s="35"/>
      <c r="AJ6574" s="35"/>
      <c r="AK6574" s="35"/>
      <c r="AL6574" s="35"/>
    </row>
    <row r="6575">
      <c r="A6575" s="40"/>
      <c r="B6575" s="19" t="s">
        <v>30772</v>
      </c>
      <c r="C6575" s="20" t="s">
        <v>30784</v>
      </c>
      <c r="D6575" s="47"/>
      <c r="E6575" s="22" t="s">
        <v>30825</v>
      </c>
      <c r="F6575" s="22" t="s">
        <v>41</v>
      </c>
      <c r="G6575" s="23">
        <v>2021.0</v>
      </c>
      <c r="H6575" s="22" t="s">
        <v>91</v>
      </c>
      <c r="I6575" s="24" t="s">
        <v>30826</v>
      </c>
      <c r="J6575" s="22" t="s">
        <v>55</v>
      </c>
      <c r="K6575" s="22" t="s">
        <v>30827</v>
      </c>
      <c r="L6575" s="36">
        <v>660.0</v>
      </c>
      <c r="M6575" s="36">
        <v>100.0</v>
      </c>
      <c r="N6575" s="36"/>
      <c r="O6575" s="36">
        <v>15.0</v>
      </c>
      <c r="P6575" s="37" t="s">
        <v>10509</v>
      </c>
      <c r="Q6575" s="36" t="s">
        <v>30828</v>
      </c>
      <c r="R6575" s="36">
        <v>150.0</v>
      </c>
      <c r="S6575" s="36">
        <v>3.0</v>
      </c>
      <c r="T6575" s="28" t="s">
        <v>30829</v>
      </c>
      <c r="U6575" s="29" t="s">
        <v>61</v>
      </c>
      <c r="V6575" s="50"/>
      <c r="W6575" s="49"/>
      <c r="X6575" s="49"/>
      <c r="Y6575" s="35"/>
      <c r="Z6575" s="35"/>
      <c r="AA6575" s="35"/>
      <c r="AB6575" s="35"/>
      <c r="AC6575" s="35"/>
      <c r="AD6575" s="35"/>
      <c r="AE6575" s="35"/>
      <c r="AF6575" s="35"/>
      <c r="AG6575" s="35"/>
      <c r="AH6575" s="35"/>
      <c r="AI6575" s="35"/>
      <c r="AJ6575" s="35"/>
      <c r="AK6575" s="35"/>
      <c r="AL6575" s="35"/>
    </row>
    <row r="6576">
      <c r="A6576" s="40"/>
      <c r="B6576" s="19" t="s">
        <v>30772</v>
      </c>
      <c r="C6576" s="20" t="s">
        <v>30784</v>
      </c>
      <c r="D6576" s="47"/>
      <c r="E6576" s="22" t="s">
        <v>6140</v>
      </c>
      <c r="F6576" s="22" t="s">
        <v>6118</v>
      </c>
      <c r="G6576" s="23">
        <v>2021.0</v>
      </c>
      <c r="H6576" s="22" t="s">
        <v>30804</v>
      </c>
      <c r="I6576" s="24" t="s">
        <v>30830</v>
      </c>
      <c r="J6576" s="22" t="s">
        <v>44</v>
      </c>
      <c r="K6576" s="22"/>
      <c r="L6576" s="36"/>
      <c r="M6576" s="36"/>
      <c r="N6576" s="36"/>
      <c r="O6576" s="36"/>
      <c r="P6576" s="37"/>
      <c r="Q6576" s="36"/>
      <c r="R6576" s="36"/>
      <c r="S6576" s="36"/>
      <c r="T6576" s="28" t="s">
        <v>30831</v>
      </c>
      <c r="U6576" s="29" t="s">
        <v>61</v>
      </c>
      <c r="V6576" s="50"/>
      <c r="W6576" s="49"/>
      <c r="X6576" s="49"/>
      <c r="Y6576" s="35"/>
      <c r="Z6576" s="35"/>
      <c r="AA6576" s="35"/>
      <c r="AB6576" s="35"/>
      <c r="AC6576" s="35"/>
      <c r="AD6576" s="35"/>
      <c r="AE6576" s="35"/>
      <c r="AF6576" s="35"/>
      <c r="AG6576" s="35"/>
      <c r="AH6576" s="35"/>
      <c r="AI6576" s="35"/>
      <c r="AJ6576" s="35"/>
      <c r="AK6576" s="35"/>
      <c r="AL6576" s="35"/>
    </row>
    <row r="6577">
      <c r="A6577" s="40"/>
      <c r="B6577" s="19" t="s">
        <v>30772</v>
      </c>
      <c r="C6577" s="20" t="s">
        <v>30784</v>
      </c>
      <c r="D6577" s="47"/>
      <c r="E6577" s="22" t="s">
        <v>7155</v>
      </c>
      <c r="F6577" s="22" t="s">
        <v>6269</v>
      </c>
      <c r="G6577" s="23">
        <v>2021.0</v>
      </c>
      <c r="H6577" s="22" t="s">
        <v>3963</v>
      </c>
      <c r="I6577" s="24" t="s">
        <v>30832</v>
      </c>
      <c r="J6577" s="22" t="s">
        <v>30833</v>
      </c>
      <c r="K6577" s="22" t="s">
        <v>30834</v>
      </c>
      <c r="L6577" s="36" t="s">
        <v>30835</v>
      </c>
      <c r="M6577" s="36" t="s">
        <v>30836</v>
      </c>
      <c r="N6577" s="36"/>
      <c r="O6577" s="36"/>
      <c r="P6577" s="37"/>
      <c r="Q6577" s="36"/>
      <c r="R6577" s="36">
        <v>1200.0</v>
      </c>
      <c r="S6577" s="36" t="s">
        <v>30837</v>
      </c>
      <c r="T6577" s="28" t="s">
        <v>30838</v>
      </c>
      <c r="U6577" s="29" t="s">
        <v>61</v>
      </c>
      <c r="V6577" s="30" t="s">
        <v>30839</v>
      </c>
      <c r="W6577" s="49"/>
      <c r="X6577" s="49"/>
      <c r="Y6577" s="35"/>
      <c r="Z6577" s="35"/>
      <c r="AA6577" s="35"/>
      <c r="AB6577" s="35"/>
      <c r="AC6577" s="35"/>
      <c r="AD6577" s="35"/>
      <c r="AE6577" s="35"/>
      <c r="AF6577" s="35"/>
      <c r="AG6577" s="35"/>
      <c r="AH6577" s="35"/>
      <c r="AI6577" s="35"/>
      <c r="AJ6577" s="35"/>
      <c r="AK6577" s="35"/>
      <c r="AL6577" s="35"/>
    </row>
    <row r="6578">
      <c r="A6578" s="40"/>
      <c r="B6578" s="19" t="s">
        <v>30772</v>
      </c>
      <c r="C6578" s="20" t="s">
        <v>30784</v>
      </c>
      <c r="D6578" s="47"/>
      <c r="E6578" s="22" t="s">
        <v>30840</v>
      </c>
      <c r="F6578" s="22" t="s">
        <v>30841</v>
      </c>
      <c r="G6578" s="23">
        <v>2020.0</v>
      </c>
      <c r="H6578" s="22" t="s">
        <v>30842</v>
      </c>
      <c r="I6578" s="24" t="s">
        <v>30843</v>
      </c>
      <c r="J6578" s="22" t="s">
        <v>30844</v>
      </c>
      <c r="K6578" s="22" t="s">
        <v>56</v>
      </c>
      <c r="L6578" s="36" t="s">
        <v>30845</v>
      </c>
      <c r="M6578" s="36" t="s">
        <v>58</v>
      </c>
      <c r="N6578" s="36" t="s">
        <v>58</v>
      </c>
      <c r="O6578" s="36" t="s">
        <v>58</v>
      </c>
      <c r="P6578" s="37" t="s">
        <v>58</v>
      </c>
      <c r="Q6578" s="36" t="s">
        <v>58</v>
      </c>
      <c r="R6578" s="36">
        <v>180.0</v>
      </c>
      <c r="S6578" s="36" t="s">
        <v>30846</v>
      </c>
      <c r="T6578" s="28" t="s">
        <v>30847</v>
      </c>
      <c r="U6578" s="38" t="str">
        <f>HYPERLINK("https://www.ncbi.nlm.nih.gov/pubmed/31594294","PubMed")</f>
        <v>PubMed</v>
      </c>
      <c r="V6578" s="50"/>
      <c r="W6578" s="49"/>
      <c r="X6578" s="49"/>
      <c r="Y6578" s="35"/>
      <c r="Z6578" s="35"/>
      <c r="AA6578" s="35"/>
      <c r="AB6578" s="35"/>
      <c r="AC6578" s="35"/>
      <c r="AD6578" s="35"/>
      <c r="AE6578" s="35"/>
      <c r="AF6578" s="35"/>
      <c r="AG6578" s="35"/>
      <c r="AH6578" s="35"/>
      <c r="AI6578" s="35"/>
      <c r="AJ6578" s="35"/>
      <c r="AK6578" s="35"/>
      <c r="AL6578" s="35"/>
    </row>
    <row r="6579">
      <c r="A6579" s="40"/>
      <c r="B6579" s="19" t="s">
        <v>30772</v>
      </c>
      <c r="C6579" s="20" t="s">
        <v>30784</v>
      </c>
      <c r="D6579" s="47"/>
      <c r="E6579" s="22" t="s">
        <v>19177</v>
      </c>
      <c r="F6579" s="22" t="s">
        <v>1905</v>
      </c>
      <c r="G6579" s="23">
        <v>2020.0</v>
      </c>
      <c r="H6579" s="22" t="s">
        <v>3828</v>
      </c>
      <c r="I6579" s="24" t="s">
        <v>30848</v>
      </c>
      <c r="J6579" s="22" t="s">
        <v>2141</v>
      </c>
      <c r="K6579" s="22"/>
      <c r="L6579" s="216" t="s">
        <v>30849</v>
      </c>
      <c r="M6579" s="44"/>
      <c r="N6579" s="44"/>
      <c r="O6579" s="44"/>
      <c r="P6579" s="44"/>
      <c r="Q6579" s="44"/>
      <c r="R6579" s="44"/>
      <c r="S6579" s="44"/>
      <c r="T6579" s="45"/>
      <c r="U6579" s="29" t="s">
        <v>61</v>
      </c>
      <c r="V6579" s="50"/>
      <c r="W6579" s="49"/>
      <c r="X6579" s="49"/>
      <c r="Y6579" s="35"/>
      <c r="Z6579" s="35"/>
      <c r="AA6579" s="35"/>
      <c r="AB6579" s="35"/>
      <c r="AC6579" s="35"/>
      <c r="AD6579" s="35"/>
      <c r="AE6579" s="35"/>
      <c r="AF6579" s="35"/>
      <c r="AG6579" s="35"/>
      <c r="AH6579" s="35"/>
      <c r="AI6579" s="35"/>
      <c r="AJ6579" s="35"/>
      <c r="AK6579" s="35"/>
      <c r="AL6579" s="35"/>
    </row>
    <row r="6580">
      <c r="A6580" s="40" t="s">
        <v>38</v>
      </c>
      <c r="B6580" s="19" t="s">
        <v>30772</v>
      </c>
      <c r="C6580" s="20" t="s">
        <v>30784</v>
      </c>
      <c r="D6580" s="47"/>
      <c r="E6580" s="22" t="s">
        <v>30850</v>
      </c>
      <c r="F6580" s="22" t="s">
        <v>1905</v>
      </c>
      <c r="G6580" s="23">
        <v>2019.0</v>
      </c>
      <c r="H6580" s="22" t="s">
        <v>53</v>
      </c>
      <c r="I6580" s="24" t="s">
        <v>30851</v>
      </c>
      <c r="J6580" s="22" t="s">
        <v>44</v>
      </c>
      <c r="K6580" s="22"/>
      <c r="L6580" s="36">
        <v>650.0</v>
      </c>
      <c r="M6580" s="36">
        <v>5.0</v>
      </c>
      <c r="N6580" s="36"/>
      <c r="O6580" s="36"/>
      <c r="P6580" s="37"/>
      <c r="Q6580" s="36"/>
      <c r="R6580" s="36">
        <v>900.0</v>
      </c>
      <c r="S6580" s="36"/>
      <c r="T6580" s="28" t="s">
        <v>30852</v>
      </c>
      <c r="U6580" s="38" t="str">
        <f>HYPERLINK("https://www.ncbi.nlm.nih.gov/pubmed/31338850","PubMed")</f>
        <v>PubMed</v>
      </c>
      <c r="V6580" s="50"/>
      <c r="W6580" s="49"/>
      <c r="X6580" s="49"/>
      <c r="Y6580" s="35"/>
      <c r="Z6580" s="35"/>
      <c r="AA6580" s="35"/>
      <c r="AB6580" s="35"/>
      <c r="AC6580" s="35"/>
      <c r="AD6580" s="35"/>
      <c r="AE6580" s="35"/>
      <c r="AF6580" s="35"/>
      <c r="AG6580" s="35"/>
      <c r="AH6580" s="35"/>
      <c r="AI6580" s="35"/>
      <c r="AJ6580" s="35"/>
      <c r="AK6580" s="35"/>
      <c r="AL6580" s="35"/>
    </row>
    <row r="6581">
      <c r="A6581" s="40"/>
      <c r="B6581" s="19" t="s">
        <v>30772</v>
      </c>
      <c r="C6581" s="20" t="s">
        <v>30784</v>
      </c>
      <c r="D6581" s="47"/>
      <c r="E6581" s="22" t="s">
        <v>30853</v>
      </c>
      <c r="F6581" s="22" t="s">
        <v>1943</v>
      </c>
      <c r="G6581" s="23">
        <v>2019.0</v>
      </c>
      <c r="H6581" s="22" t="s">
        <v>19565</v>
      </c>
      <c r="I6581" s="24" t="s">
        <v>30854</v>
      </c>
      <c r="J6581" s="22" t="s">
        <v>13547</v>
      </c>
      <c r="K6581" s="22" t="s">
        <v>30855</v>
      </c>
      <c r="L6581" s="36">
        <v>904.0</v>
      </c>
      <c r="M6581" s="36">
        <v>100.0</v>
      </c>
      <c r="N6581" s="36"/>
      <c r="O6581" s="36" t="s">
        <v>354</v>
      </c>
      <c r="P6581" s="37"/>
      <c r="Q6581" s="36" t="s">
        <v>6449</v>
      </c>
      <c r="R6581" s="36"/>
      <c r="S6581" s="36" t="s">
        <v>30856</v>
      </c>
      <c r="T6581" s="28" t="s">
        <v>30857</v>
      </c>
      <c r="U6581" s="29" t="s">
        <v>61</v>
      </c>
      <c r="V6581" s="30" t="s">
        <v>30858</v>
      </c>
      <c r="W6581" s="49"/>
      <c r="X6581" s="49"/>
      <c r="Y6581" s="35"/>
      <c r="Z6581" s="35"/>
      <c r="AA6581" s="35"/>
      <c r="AB6581" s="35"/>
      <c r="AC6581" s="35"/>
      <c r="AD6581" s="35"/>
      <c r="AE6581" s="35"/>
      <c r="AF6581" s="35"/>
      <c r="AG6581" s="35"/>
      <c r="AH6581" s="35"/>
      <c r="AI6581" s="35"/>
      <c r="AJ6581" s="35"/>
      <c r="AK6581" s="35"/>
      <c r="AL6581" s="35"/>
    </row>
    <row r="6582">
      <c r="A6582" s="1"/>
      <c r="B6582" s="19" t="s">
        <v>30772</v>
      </c>
      <c r="C6582" s="20" t="s">
        <v>30784</v>
      </c>
      <c r="D6582" s="47"/>
      <c r="E6582" s="22" t="s">
        <v>30859</v>
      </c>
      <c r="F6582" s="22" t="s">
        <v>1508</v>
      </c>
      <c r="G6582" s="23">
        <v>2018.0</v>
      </c>
      <c r="H6582" s="22" t="s">
        <v>30860</v>
      </c>
      <c r="I6582" s="24" t="s">
        <v>30861</v>
      </c>
      <c r="J6582" s="22" t="s">
        <v>30862</v>
      </c>
      <c r="K6582" s="22"/>
      <c r="L6582" s="36">
        <v>660.0</v>
      </c>
      <c r="M6582" s="36" t="s">
        <v>58</v>
      </c>
      <c r="N6582" s="36" t="s">
        <v>58</v>
      </c>
      <c r="O6582" s="36" t="s">
        <v>30863</v>
      </c>
      <c r="P6582" s="37" t="s">
        <v>58</v>
      </c>
      <c r="Q6582" s="36" t="s">
        <v>58</v>
      </c>
      <c r="R6582" s="36">
        <v>900.0</v>
      </c>
      <c r="S6582" s="36"/>
      <c r="T6582" s="42" t="s">
        <v>30864</v>
      </c>
      <c r="U6582" s="38" t="str">
        <f>HYPERLINK("https://www.ncbi.nlm.nih.gov/pubmed/30647740","PubMed")</f>
        <v>PubMed</v>
      </c>
      <c r="V6582" s="30" t="s">
        <v>30865</v>
      </c>
      <c r="W6582" s="49"/>
      <c r="X6582" s="49"/>
      <c r="Y6582" s="35"/>
      <c r="Z6582" s="35"/>
      <c r="AA6582" s="35"/>
      <c r="AB6582" s="35"/>
      <c r="AC6582" s="35"/>
      <c r="AD6582" s="35"/>
      <c r="AE6582" s="35"/>
      <c r="AF6582" s="35"/>
      <c r="AG6582" s="35"/>
      <c r="AH6582" s="35"/>
      <c r="AI6582" s="35"/>
      <c r="AJ6582" s="35"/>
      <c r="AK6582" s="35"/>
      <c r="AL6582" s="35"/>
    </row>
    <row r="6583">
      <c r="A6583" s="1"/>
      <c r="B6583" s="19" t="s">
        <v>30772</v>
      </c>
      <c r="C6583" s="20" t="s">
        <v>30784</v>
      </c>
      <c r="D6583" s="47"/>
      <c r="E6583" s="22" t="s">
        <v>30866</v>
      </c>
      <c r="F6583" s="22" t="s">
        <v>8140</v>
      </c>
      <c r="G6583" s="23">
        <v>2017.0</v>
      </c>
      <c r="H6583" s="22" t="s">
        <v>11543</v>
      </c>
      <c r="I6583" s="24" t="s">
        <v>30867</v>
      </c>
      <c r="J6583" s="22" t="s">
        <v>30868</v>
      </c>
      <c r="K6583" s="22" t="s">
        <v>30869</v>
      </c>
      <c r="L6583" s="36" t="s">
        <v>30870</v>
      </c>
      <c r="M6583" s="36"/>
      <c r="N6583" s="36"/>
      <c r="O6583" s="36"/>
      <c r="P6583" s="37" t="s">
        <v>30871</v>
      </c>
      <c r="Q6583" s="36"/>
      <c r="R6583" s="36"/>
      <c r="S6583" s="36" t="s">
        <v>30872</v>
      </c>
      <c r="T6583" s="28" t="s">
        <v>30873</v>
      </c>
      <c r="U6583" s="38" t="str">
        <f>HYPERLINK("https://www.ncbi.nlm.nih.gov/pubmed/27864672","PubMed")</f>
        <v>PubMed</v>
      </c>
      <c r="V6583" s="30" t="s">
        <v>30874</v>
      </c>
      <c r="W6583" s="49"/>
      <c r="X6583" s="49"/>
      <c r="Y6583" s="35"/>
      <c r="Z6583" s="35"/>
      <c r="AA6583" s="35"/>
      <c r="AB6583" s="35"/>
      <c r="AC6583" s="35"/>
      <c r="AD6583" s="35"/>
      <c r="AE6583" s="35"/>
      <c r="AF6583" s="35"/>
      <c r="AG6583" s="35"/>
      <c r="AH6583" s="35"/>
      <c r="AI6583" s="35"/>
      <c r="AJ6583" s="35"/>
      <c r="AK6583" s="35"/>
      <c r="AL6583" s="35"/>
    </row>
    <row r="6584">
      <c r="A6584" s="1"/>
      <c r="B6584" s="19" t="s">
        <v>30772</v>
      </c>
      <c r="C6584" s="20" t="s">
        <v>30784</v>
      </c>
      <c r="D6584" s="47"/>
      <c r="E6584" s="22" t="s">
        <v>30875</v>
      </c>
      <c r="F6584" s="22" t="s">
        <v>697</v>
      </c>
      <c r="G6584" s="23">
        <v>2016.0</v>
      </c>
      <c r="H6584" s="22" t="s">
        <v>30876</v>
      </c>
      <c r="I6584" s="24" t="s">
        <v>30877</v>
      </c>
      <c r="J6584" s="22" t="s">
        <v>30878</v>
      </c>
      <c r="K6584" s="22" t="s">
        <v>30879</v>
      </c>
      <c r="L6584" s="36" t="s">
        <v>30870</v>
      </c>
      <c r="M6584" s="36"/>
      <c r="N6584" s="36"/>
      <c r="O6584" s="36"/>
      <c r="P6584" s="37" t="s">
        <v>30880</v>
      </c>
      <c r="Q6584" s="36"/>
      <c r="R6584" s="36"/>
      <c r="S6584" s="36" t="s">
        <v>30881</v>
      </c>
      <c r="T6584" s="28" t="s">
        <v>30882</v>
      </c>
      <c r="U6584" s="38" t="str">
        <f>HYPERLINK("https://www.ncbi.nlm.nih.gov/pubmed/27921413","PubMed")</f>
        <v>PubMed</v>
      </c>
      <c r="V6584" s="30" t="s">
        <v>30874</v>
      </c>
      <c r="W6584" s="49"/>
      <c r="X6584" s="49"/>
      <c r="Y6584" s="35"/>
      <c r="Z6584" s="35"/>
      <c r="AA6584" s="35"/>
      <c r="AB6584" s="35"/>
      <c r="AC6584" s="35"/>
      <c r="AD6584" s="35"/>
      <c r="AE6584" s="35"/>
      <c r="AF6584" s="35"/>
      <c r="AG6584" s="35"/>
      <c r="AH6584" s="35"/>
      <c r="AI6584" s="35"/>
      <c r="AJ6584" s="35"/>
      <c r="AK6584" s="35"/>
      <c r="AL6584" s="35"/>
    </row>
    <row r="6585">
      <c r="A6585" s="1"/>
      <c r="B6585" s="19" t="s">
        <v>30772</v>
      </c>
      <c r="C6585" s="20" t="s">
        <v>30784</v>
      </c>
      <c r="D6585" s="47"/>
      <c r="E6585" s="22" t="s">
        <v>2498</v>
      </c>
      <c r="F6585" s="22" t="s">
        <v>3040</v>
      </c>
      <c r="G6585" s="23">
        <v>2015.0</v>
      </c>
      <c r="H6585" s="22" t="s">
        <v>30804</v>
      </c>
      <c r="I6585" s="24" t="s">
        <v>30883</v>
      </c>
      <c r="J6585" s="22" t="s">
        <v>1078</v>
      </c>
      <c r="K6585" s="22"/>
      <c r="L6585" s="105" t="s">
        <v>30884</v>
      </c>
      <c r="M6585" s="44"/>
      <c r="N6585" s="44"/>
      <c r="O6585" s="44"/>
      <c r="P6585" s="44"/>
      <c r="Q6585" s="44"/>
      <c r="R6585" s="44"/>
      <c r="S6585" s="44"/>
      <c r="T6585" s="45"/>
      <c r="U6585" s="38" t="str">
        <f>HYPERLINK("https://www.ncbi.nlm.nih.gov/pubmed/26163248","PubMed")</f>
        <v>PubMed</v>
      </c>
      <c r="V6585" s="50"/>
      <c r="W6585" s="49"/>
      <c r="X6585" s="49"/>
      <c r="Y6585" s="35"/>
      <c r="Z6585" s="35"/>
      <c r="AA6585" s="35"/>
      <c r="AB6585" s="35"/>
      <c r="AC6585" s="35"/>
      <c r="AD6585" s="35"/>
      <c r="AE6585" s="35"/>
      <c r="AF6585" s="35"/>
      <c r="AG6585" s="35"/>
      <c r="AH6585" s="35"/>
      <c r="AI6585" s="35"/>
      <c r="AJ6585" s="35"/>
      <c r="AK6585" s="35"/>
      <c r="AL6585" s="35"/>
    </row>
    <row r="6586">
      <c r="A6586" s="1"/>
      <c r="B6586" s="19" t="s">
        <v>30772</v>
      </c>
      <c r="C6586" s="20" t="s">
        <v>30784</v>
      </c>
      <c r="D6586" s="47"/>
      <c r="E6586" s="22" t="s">
        <v>30885</v>
      </c>
      <c r="F6586" s="22" t="s">
        <v>23306</v>
      </c>
      <c r="G6586" s="23">
        <v>2015.0</v>
      </c>
      <c r="H6586" s="22" t="s">
        <v>207</v>
      </c>
      <c r="I6586" s="24" t="s">
        <v>30886</v>
      </c>
      <c r="J6586" s="22" t="s">
        <v>253</v>
      </c>
      <c r="K6586" s="22" t="s">
        <v>30887</v>
      </c>
      <c r="L6586" s="36"/>
      <c r="M6586" s="36"/>
      <c r="N6586" s="36"/>
      <c r="O6586" s="36"/>
      <c r="P6586" s="37"/>
      <c r="Q6586" s="36"/>
      <c r="R6586" s="36"/>
      <c r="S6586" s="36"/>
      <c r="T6586" s="28" t="s">
        <v>30888</v>
      </c>
      <c r="U6586" s="38" t="str">
        <f>HYPERLINK("https://www.ncbi.nlm.nih.gov/pubmed/26123190","PubMed")</f>
        <v>PubMed</v>
      </c>
      <c r="V6586" s="50"/>
      <c r="W6586" s="49"/>
      <c r="X6586" s="49"/>
      <c r="Y6586" s="35"/>
      <c r="Z6586" s="35"/>
      <c r="AA6586" s="35"/>
      <c r="AB6586" s="35"/>
      <c r="AC6586" s="35"/>
      <c r="AD6586" s="35"/>
      <c r="AE6586" s="35"/>
      <c r="AF6586" s="35"/>
      <c r="AG6586" s="35"/>
      <c r="AH6586" s="35"/>
      <c r="AI6586" s="35"/>
      <c r="AJ6586" s="35"/>
      <c r="AK6586" s="35"/>
      <c r="AL6586" s="35"/>
    </row>
    <row r="6587">
      <c r="A6587" s="1"/>
      <c r="B6587" s="19" t="s">
        <v>30772</v>
      </c>
      <c r="C6587" s="20" t="s">
        <v>30784</v>
      </c>
      <c r="D6587" s="47"/>
      <c r="E6587" s="22" t="s">
        <v>30853</v>
      </c>
      <c r="F6587" s="22" t="s">
        <v>1943</v>
      </c>
      <c r="G6587" s="23">
        <v>2013.0</v>
      </c>
      <c r="H6587" s="22" t="s">
        <v>23459</v>
      </c>
      <c r="I6587" s="24" t="s">
        <v>30889</v>
      </c>
      <c r="J6587" s="22" t="s">
        <v>30890</v>
      </c>
      <c r="K6587" s="22" t="s">
        <v>30891</v>
      </c>
      <c r="L6587" s="36">
        <v>660.0</v>
      </c>
      <c r="M6587" s="36"/>
      <c r="N6587" s="36"/>
      <c r="O6587" s="36" t="s">
        <v>8679</v>
      </c>
      <c r="P6587" s="37"/>
      <c r="Q6587" s="36"/>
      <c r="R6587" s="36">
        <v>270.0</v>
      </c>
      <c r="S6587" s="36"/>
      <c r="T6587" s="28" t="s">
        <v>30892</v>
      </c>
      <c r="U6587" s="29" t="s">
        <v>61</v>
      </c>
      <c r="V6587" s="50"/>
      <c r="W6587" s="49"/>
      <c r="X6587" s="49"/>
      <c r="Y6587" s="35"/>
      <c r="Z6587" s="35"/>
      <c r="AA6587" s="35"/>
      <c r="AB6587" s="35"/>
      <c r="AC6587" s="35"/>
      <c r="AD6587" s="35"/>
      <c r="AE6587" s="35"/>
      <c r="AF6587" s="35"/>
      <c r="AG6587" s="35"/>
      <c r="AH6587" s="35"/>
      <c r="AI6587" s="35"/>
      <c r="AJ6587" s="35"/>
      <c r="AK6587" s="35"/>
      <c r="AL6587" s="35"/>
    </row>
    <row r="6588">
      <c r="A6588" s="1"/>
      <c r="B6588" s="19" t="s">
        <v>30772</v>
      </c>
      <c r="C6588" s="20" t="s">
        <v>30784</v>
      </c>
      <c r="D6588" s="47"/>
      <c r="E6588" s="22" t="s">
        <v>493</v>
      </c>
      <c r="F6588" s="22" t="s">
        <v>299</v>
      </c>
      <c r="G6588" s="23">
        <v>2013.0</v>
      </c>
      <c r="H6588" s="22" t="s">
        <v>4975</v>
      </c>
      <c r="I6588" s="24" t="s">
        <v>30893</v>
      </c>
      <c r="J6588" s="22" t="s">
        <v>30894</v>
      </c>
      <c r="K6588" s="22"/>
      <c r="L6588" s="36">
        <v>650.0</v>
      </c>
      <c r="M6588" s="36">
        <v>5.0</v>
      </c>
      <c r="N6588" s="36"/>
      <c r="O6588" s="36" t="s">
        <v>30895</v>
      </c>
      <c r="P6588" s="37" t="s">
        <v>671</v>
      </c>
      <c r="Q6588" s="36" t="s">
        <v>1264</v>
      </c>
      <c r="R6588" s="36">
        <v>40.0</v>
      </c>
      <c r="S6588" s="36" t="s">
        <v>30896</v>
      </c>
      <c r="T6588" s="28" t="s">
        <v>30897</v>
      </c>
      <c r="U6588" s="38" t="str">
        <f>HYPERLINK("https://pubmed.ncbi.nlm.nih.gov/23253070/","PubMed")</f>
        <v>PubMed</v>
      </c>
      <c r="V6588" s="30" t="s">
        <v>30898</v>
      </c>
      <c r="W6588" s="49"/>
      <c r="X6588" s="49"/>
      <c r="Y6588" s="35"/>
      <c r="Z6588" s="35"/>
      <c r="AA6588" s="35"/>
      <c r="AB6588" s="35"/>
      <c r="AC6588" s="35"/>
      <c r="AD6588" s="35"/>
      <c r="AE6588" s="35"/>
      <c r="AF6588" s="35"/>
      <c r="AG6588" s="35"/>
      <c r="AH6588" s="35"/>
      <c r="AI6588" s="35"/>
      <c r="AJ6588" s="35"/>
      <c r="AK6588" s="35"/>
      <c r="AL6588" s="35"/>
    </row>
    <row r="6589">
      <c r="A6589" s="1"/>
      <c r="B6589" s="19" t="s">
        <v>30772</v>
      </c>
      <c r="C6589" s="20" t="s">
        <v>30784</v>
      </c>
      <c r="D6589" s="47"/>
      <c r="E6589" s="22" t="s">
        <v>30899</v>
      </c>
      <c r="F6589" s="22" t="s">
        <v>30900</v>
      </c>
      <c r="G6589" s="23">
        <v>2013.0</v>
      </c>
      <c r="H6589" s="22" t="s">
        <v>11623</v>
      </c>
      <c r="I6589" s="24" t="s">
        <v>30901</v>
      </c>
      <c r="J6589" s="22" t="s">
        <v>30902</v>
      </c>
      <c r="K6589" s="22" t="s">
        <v>30903</v>
      </c>
      <c r="L6589" s="36"/>
      <c r="M6589" s="36"/>
      <c r="N6589" s="36"/>
      <c r="O6589" s="36"/>
      <c r="P6589" s="37"/>
      <c r="Q6589" s="36"/>
      <c r="R6589" s="36"/>
      <c r="S6589" s="36" t="s">
        <v>2302</v>
      </c>
      <c r="T6589" s="28" t="s">
        <v>30904</v>
      </c>
      <c r="U6589" s="38" t="str">
        <f>HYPERLINK("https://www.ncbi.nlm.nih.gov/pubmed/23228884","PubMed")</f>
        <v>PubMed</v>
      </c>
      <c r="V6589" s="30" t="s">
        <v>30874</v>
      </c>
      <c r="W6589" s="49"/>
      <c r="X6589" s="49"/>
      <c r="Y6589" s="35"/>
      <c r="Z6589" s="35"/>
      <c r="AA6589" s="35"/>
      <c r="AB6589" s="35"/>
      <c r="AC6589" s="35"/>
      <c r="AD6589" s="35"/>
      <c r="AE6589" s="35"/>
      <c r="AF6589" s="35"/>
      <c r="AG6589" s="35"/>
      <c r="AH6589" s="35"/>
      <c r="AI6589" s="35"/>
      <c r="AJ6589" s="35"/>
      <c r="AK6589" s="35"/>
      <c r="AL6589" s="35"/>
    </row>
    <row r="6590">
      <c r="A6590" s="1"/>
      <c r="B6590" s="19" t="s">
        <v>30772</v>
      </c>
      <c r="C6590" s="20" t="s">
        <v>30784</v>
      </c>
      <c r="D6590" s="47"/>
      <c r="E6590" s="22" t="s">
        <v>30905</v>
      </c>
      <c r="F6590" s="22" t="s">
        <v>52</v>
      </c>
      <c r="G6590" s="23">
        <v>2013.0</v>
      </c>
      <c r="H6590" s="22" t="s">
        <v>30906</v>
      </c>
      <c r="I6590" s="24" t="s">
        <v>30907</v>
      </c>
      <c r="J6590" s="22" t="s">
        <v>30908</v>
      </c>
      <c r="K6590" s="22" t="s">
        <v>30909</v>
      </c>
      <c r="L6590" s="36"/>
      <c r="M6590" s="36"/>
      <c r="N6590" s="36"/>
      <c r="O6590" s="36"/>
      <c r="P6590" s="37"/>
      <c r="Q6590" s="36"/>
      <c r="R6590" s="36"/>
      <c r="S6590" s="36" t="s">
        <v>4387</v>
      </c>
      <c r="T6590" s="28" t="s">
        <v>30910</v>
      </c>
      <c r="U6590" s="38" t="str">
        <f>HYPERLINK("https://www.ncbi.nlm.nih.gov/pubmed/23799163","PubMed")</f>
        <v>PubMed</v>
      </c>
      <c r="V6590" s="50"/>
      <c r="W6590" s="49"/>
      <c r="X6590" s="49"/>
      <c r="Y6590" s="35"/>
      <c r="Z6590" s="35"/>
      <c r="AA6590" s="35"/>
      <c r="AB6590" s="35"/>
      <c r="AC6590" s="35"/>
      <c r="AD6590" s="35"/>
      <c r="AE6590" s="35"/>
      <c r="AF6590" s="35"/>
      <c r="AG6590" s="35"/>
      <c r="AH6590" s="35"/>
      <c r="AI6590" s="35"/>
      <c r="AJ6590" s="35"/>
      <c r="AK6590" s="35"/>
      <c r="AL6590" s="35"/>
    </row>
    <row r="6591">
      <c r="A6591" s="1"/>
      <c r="B6591" s="19" t="s">
        <v>30772</v>
      </c>
      <c r="C6591" s="20" t="s">
        <v>30784</v>
      </c>
      <c r="D6591" s="47"/>
      <c r="E6591" s="22" t="s">
        <v>30911</v>
      </c>
      <c r="F6591" s="22" t="s">
        <v>605</v>
      </c>
      <c r="G6591" s="23">
        <v>2013.0</v>
      </c>
      <c r="H6591" s="22" t="s">
        <v>30876</v>
      </c>
      <c r="I6591" s="24" t="s">
        <v>30912</v>
      </c>
      <c r="J6591" s="22" t="s">
        <v>30913</v>
      </c>
      <c r="K6591" s="22" t="s">
        <v>30879</v>
      </c>
      <c r="L6591" s="36"/>
      <c r="M6591" s="36"/>
      <c r="N6591" s="36"/>
      <c r="O6591" s="36"/>
      <c r="P6591" s="37"/>
      <c r="Q6591" s="36"/>
      <c r="R6591" s="36"/>
      <c r="S6591" s="36" t="s">
        <v>2302</v>
      </c>
      <c r="T6591" s="28" t="s">
        <v>30914</v>
      </c>
      <c r="U6591" s="38" t="str">
        <f>HYPERLINK("https://www.ncbi.nlm.nih.gov/pubmed/23893813","PubMed")</f>
        <v>PubMed</v>
      </c>
      <c r="V6591" s="50"/>
      <c r="W6591" s="49"/>
      <c r="X6591" s="49"/>
      <c r="Y6591" s="35"/>
      <c r="Z6591" s="35"/>
      <c r="AA6591" s="35"/>
      <c r="AB6591" s="35"/>
      <c r="AC6591" s="35"/>
      <c r="AD6591" s="35"/>
      <c r="AE6591" s="35"/>
      <c r="AF6591" s="35"/>
      <c r="AG6591" s="35"/>
      <c r="AH6591" s="35"/>
      <c r="AI6591" s="35"/>
      <c r="AJ6591" s="35"/>
      <c r="AK6591" s="35"/>
      <c r="AL6591" s="35"/>
    </row>
    <row r="6592">
      <c r="A6592" s="1"/>
      <c r="B6592" s="19" t="s">
        <v>30772</v>
      </c>
      <c r="C6592" s="20" t="s">
        <v>30784</v>
      </c>
      <c r="D6592" s="47"/>
      <c r="E6592" s="22" t="s">
        <v>4595</v>
      </c>
      <c r="F6592" s="22" t="s">
        <v>299</v>
      </c>
      <c r="G6592" s="23">
        <v>2013.0</v>
      </c>
      <c r="H6592" s="22" t="s">
        <v>300</v>
      </c>
      <c r="I6592" s="24" t="s">
        <v>30915</v>
      </c>
      <c r="J6592" s="22" t="s">
        <v>44</v>
      </c>
      <c r="K6592" s="22" t="s">
        <v>1240</v>
      </c>
      <c r="L6592" s="36">
        <v>658.0</v>
      </c>
      <c r="M6592" s="36">
        <v>30.0</v>
      </c>
      <c r="N6592" s="36" t="s">
        <v>2922</v>
      </c>
      <c r="O6592" s="36"/>
      <c r="P6592" s="37" t="s">
        <v>1819</v>
      </c>
      <c r="Q6592" s="36" t="s">
        <v>9358</v>
      </c>
      <c r="R6592" s="36" t="s">
        <v>7571</v>
      </c>
      <c r="S6592" s="36">
        <v>7.0</v>
      </c>
      <c r="T6592" s="28" t="s">
        <v>30916</v>
      </c>
      <c r="U6592" s="38" t="str">
        <f>HYPERLINK("https://www.ncbi.nlm.nih.gov/pubmed/24319484","PubMed")</f>
        <v>PubMed</v>
      </c>
      <c r="V6592" s="50"/>
      <c r="W6592" s="49"/>
      <c r="X6592" s="49"/>
      <c r="Y6592" s="35"/>
      <c r="Z6592" s="35"/>
      <c r="AA6592" s="35"/>
      <c r="AB6592" s="35"/>
      <c r="AC6592" s="35"/>
      <c r="AD6592" s="35"/>
      <c r="AE6592" s="35"/>
      <c r="AF6592" s="35"/>
      <c r="AG6592" s="35"/>
      <c r="AH6592" s="35"/>
      <c r="AI6592" s="35"/>
      <c r="AJ6592" s="35"/>
      <c r="AK6592" s="35"/>
      <c r="AL6592" s="35"/>
    </row>
    <row r="6593">
      <c r="A6593" s="1"/>
      <c r="B6593" s="19" t="s">
        <v>30772</v>
      </c>
      <c r="C6593" s="20" t="s">
        <v>30784</v>
      </c>
      <c r="D6593" s="47"/>
      <c r="E6593" s="22" t="s">
        <v>30917</v>
      </c>
      <c r="F6593" s="22" t="s">
        <v>12756</v>
      </c>
      <c r="G6593" s="23">
        <v>2011.0</v>
      </c>
      <c r="H6593" s="22" t="s">
        <v>30918</v>
      </c>
      <c r="I6593" s="24" t="s">
        <v>30919</v>
      </c>
      <c r="J6593" s="22" t="s">
        <v>125</v>
      </c>
      <c r="K6593" s="22"/>
      <c r="L6593" s="167" t="s">
        <v>30920</v>
      </c>
      <c r="M6593" s="44"/>
      <c r="N6593" s="44"/>
      <c r="O6593" s="44"/>
      <c r="P6593" s="44"/>
      <c r="Q6593" s="44"/>
      <c r="R6593" s="44"/>
      <c r="S6593" s="44"/>
      <c r="T6593" s="45"/>
      <c r="U6593" s="38" t="str">
        <f>HYPERLINK("https://www.ncbi.nlm.nih.gov/pubmed/22125778","PubMed")</f>
        <v>PubMed</v>
      </c>
      <c r="V6593" s="50"/>
      <c r="W6593" s="49"/>
      <c r="X6593" s="49"/>
      <c r="Y6593" s="35"/>
      <c r="Z6593" s="35"/>
      <c r="AA6593" s="35"/>
      <c r="AB6593" s="35"/>
      <c r="AC6593" s="35"/>
      <c r="AD6593" s="35"/>
      <c r="AE6593" s="35"/>
      <c r="AF6593" s="35"/>
      <c r="AG6593" s="35"/>
      <c r="AH6593" s="35"/>
      <c r="AI6593" s="35"/>
      <c r="AJ6593" s="35"/>
      <c r="AK6593" s="35"/>
      <c r="AL6593" s="35"/>
    </row>
    <row r="6594">
      <c r="A6594" s="1"/>
      <c r="B6594" s="19" t="s">
        <v>30772</v>
      </c>
      <c r="C6594" s="20" t="s">
        <v>30784</v>
      </c>
      <c r="D6594" s="47"/>
      <c r="E6594" s="22" t="s">
        <v>30921</v>
      </c>
      <c r="F6594" s="22" t="s">
        <v>7358</v>
      </c>
      <c r="G6594" s="23">
        <v>2011.0</v>
      </c>
      <c r="H6594" s="22" t="s">
        <v>11543</v>
      </c>
      <c r="I6594" s="24" t="s">
        <v>30922</v>
      </c>
      <c r="J6594" s="22" t="s">
        <v>30923</v>
      </c>
      <c r="K6594" s="22" t="s">
        <v>30924</v>
      </c>
      <c r="L6594" s="36" t="s">
        <v>30925</v>
      </c>
      <c r="M6594" s="36"/>
      <c r="N6594" s="36"/>
      <c r="O6594" s="36"/>
      <c r="P6594" s="37"/>
      <c r="Q6594" s="36"/>
      <c r="R6594" s="36" t="s">
        <v>30926</v>
      </c>
      <c r="S6594" s="36" t="s">
        <v>2302</v>
      </c>
      <c r="T6594" s="28" t="s">
        <v>30927</v>
      </c>
      <c r="U6594" s="29" t="s">
        <v>61</v>
      </c>
      <c r="V6594" s="30" t="s">
        <v>30874</v>
      </c>
      <c r="W6594" s="49"/>
      <c r="X6594" s="49"/>
      <c r="Y6594" s="35"/>
      <c r="Z6594" s="35"/>
      <c r="AA6594" s="35"/>
      <c r="AB6594" s="35"/>
      <c r="AC6594" s="35"/>
      <c r="AD6594" s="35"/>
      <c r="AE6594" s="35"/>
      <c r="AF6594" s="35"/>
      <c r="AG6594" s="35"/>
      <c r="AH6594" s="35"/>
      <c r="AI6594" s="35"/>
      <c r="AJ6594" s="35"/>
      <c r="AK6594" s="35"/>
      <c r="AL6594" s="35"/>
    </row>
    <row r="6595">
      <c r="A6595" s="1"/>
      <c r="B6595" s="19" t="s">
        <v>30772</v>
      </c>
      <c r="C6595" s="20" t="s">
        <v>30784</v>
      </c>
      <c r="D6595" s="47"/>
      <c r="E6595" s="22" t="s">
        <v>30928</v>
      </c>
      <c r="F6595" s="22" t="s">
        <v>8140</v>
      </c>
      <c r="G6595" s="23">
        <v>2011.0</v>
      </c>
      <c r="H6595" s="22" t="s">
        <v>4975</v>
      </c>
      <c r="I6595" s="24" t="s">
        <v>30929</v>
      </c>
      <c r="J6595" s="22" t="s">
        <v>30930</v>
      </c>
      <c r="K6595" s="22" t="s">
        <v>30924</v>
      </c>
      <c r="L6595" s="36" t="s">
        <v>30925</v>
      </c>
      <c r="M6595" s="36">
        <v>180.0</v>
      </c>
      <c r="N6595" s="36"/>
      <c r="O6595" s="36"/>
      <c r="P6595" s="37" t="s">
        <v>30931</v>
      </c>
      <c r="Q6595" s="36"/>
      <c r="R6595" s="36"/>
      <c r="S6595" s="36" t="s">
        <v>2302</v>
      </c>
      <c r="T6595" s="28" t="s">
        <v>30932</v>
      </c>
      <c r="U6595" s="38" t="str">
        <f>HYPERLINK("https://www.ncbi.nlm.nih.gov/pubmed/21366599","PubMed")</f>
        <v>PubMed</v>
      </c>
      <c r="V6595" s="50"/>
      <c r="W6595" s="49"/>
      <c r="X6595" s="49"/>
      <c r="Y6595" s="35"/>
      <c r="Z6595" s="35"/>
      <c r="AA6595" s="35"/>
      <c r="AB6595" s="35"/>
      <c r="AC6595" s="35"/>
      <c r="AD6595" s="35"/>
      <c r="AE6595" s="35"/>
      <c r="AF6595" s="35"/>
      <c r="AG6595" s="35"/>
      <c r="AH6595" s="35"/>
      <c r="AI6595" s="35"/>
      <c r="AJ6595" s="35"/>
      <c r="AK6595" s="35"/>
      <c r="AL6595" s="35"/>
    </row>
    <row r="6596">
      <c r="A6596" s="1"/>
      <c r="B6596" s="19" t="s">
        <v>30772</v>
      </c>
      <c r="C6596" s="20" t="s">
        <v>30784</v>
      </c>
      <c r="D6596" s="47"/>
      <c r="E6596" s="22" t="s">
        <v>30933</v>
      </c>
      <c r="F6596" s="22" t="s">
        <v>23306</v>
      </c>
      <c r="G6596" s="23">
        <v>2011.0</v>
      </c>
      <c r="H6596" s="22" t="s">
        <v>207</v>
      </c>
      <c r="I6596" s="24" t="s">
        <v>30934</v>
      </c>
      <c r="J6596" s="22" t="s">
        <v>253</v>
      </c>
      <c r="K6596" s="22" t="s">
        <v>30935</v>
      </c>
      <c r="L6596" s="36"/>
      <c r="M6596" s="36"/>
      <c r="N6596" s="36"/>
      <c r="O6596" s="36"/>
      <c r="P6596" s="37"/>
      <c r="Q6596" s="36"/>
      <c r="R6596" s="36"/>
      <c r="S6596" s="36"/>
      <c r="T6596" s="28" t="s">
        <v>30936</v>
      </c>
      <c r="U6596" s="38" t="str">
        <f>HYPERLINK("https://www.ncbi.nlm.nih.gov/pubmed/21890373","PubMed")</f>
        <v>PubMed</v>
      </c>
      <c r="V6596" s="50"/>
      <c r="W6596" s="49"/>
      <c r="X6596" s="49"/>
      <c r="Y6596" s="35"/>
      <c r="Z6596" s="35"/>
      <c r="AA6596" s="35"/>
      <c r="AB6596" s="35"/>
      <c r="AC6596" s="35"/>
      <c r="AD6596" s="35"/>
      <c r="AE6596" s="35"/>
      <c r="AF6596" s="35"/>
      <c r="AG6596" s="35"/>
      <c r="AH6596" s="35"/>
      <c r="AI6596" s="35"/>
      <c r="AJ6596" s="35"/>
      <c r="AK6596" s="35"/>
      <c r="AL6596" s="35"/>
    </row>
    <row r="6597">
      <c r="A6597" s="1"/>
      <c r="B6597" s="19" t="s">
        <v>30772</v>
      </c>
      <c r="C6597" s="20" t="s">
        <v>30784</v>
      </c>
      <c r="D6597" s="47"/>
      <c r="E6597" s="22" t="s">
        <v>30937</v>
      </c>
      <c r="F6597" s="22" t="s">
        <v>4849</v>
      </c>
      <c r="G6597" s="23">
        <v>2010.0</v>
      </c>
      <c r="H6597" s="22" t="s">
        <v>30938</v>
      </c>
      <c r="I6597" s="24" t="s">
        <v>30939</v>
      </c>
      <c r="J6597" s="22" t="s">
        <v>30940</v>
      </c>
      <c r="K6597" s="22" t="s">
        <v>30879</v>
      </c>
      <c r="L6597" s="36" t="s">
        <v>30925</v>
      </c>
      <c r="M6597" s="36"/>
      <c r="N6597" s="36"/>
      <c r="O6597" s="36"/>
      <c r="P6597" s="37" t="s">
        <v>30941</v>
      </c>
      <c r="Q6597" s="36"/>
      <c r="R6597" s="36" t="s">
        <v>30926</v>
      </c>
      <c r="S6597" s="36" t="s">
        <v>2302</v>
      </c>
      <c r="T6597" s="28" t="s">
        <v>30942</v>
      </c>
      <c r="U6597" s="38" t="str">
        <f>HYPERLINK("https://www.ncbi.nlm.nih.gov/pubmed/20587541","PubMed")</f>
        <v>PubMed</v>
      </c>
      <c r="V6597" s="30" t="s">
        <v>30943</v>
      </c>
      <c r="W6597" s="49"/>
      <c r="X6597" s="49"/>
      <c r="Y6597" s="35"/>
      <c r="Z6597" s="35"/>
      <c r="AA6597" s="35"/>
      <c r="AB6597" s="35"/>
      <c r="AC6597" s="35"/>
      <c r="AD6597" s="35"/>
      <c r="AE6597" s="35"/>
      <c r="AF6597" s="35"/>
      <c r="AG6597" s="35"/>
      <c r="AH6597" s="35"/>
      <c r="AI6597" s="35"/>
      <c r="AJ6597" s="35"/>
      <c r="AK6597" s="35"/>
      <c r="AL6597" s="35"/>
    </row>
    <row r="6598">
      <c r="A6598" s="1"/>
      <c r="B6598" s="19" t="s">
        <v>30772</v>
      </c>
      <c r="C6598" s="20" t="s">
        <v>30784</v>
      </c>
      <c r="D6598" s="47"/>
      <c r="E6598" s="22" t="s">
        <v>30937</v>
      </c>
      <c r="F6598" s="22" t="s">
        <v>4849</v>
      </c>
      <c r="G6598" s="23">
        <v>2009.0</v>
      </c>
      <c r="H6598" s="22" t="s">
        <v>11543</v>
      </c>
      <c r="I6598" s="24" t="s">
        <v>30944</v>
      </c>
      <c r="J6598" s="22" t="s">
        <v>30945</v>
      </c>
      <c r="K6598" s="22" t="s">
        <v>30946</v>
      </c>
      <c r="L6598" s="36" t="s">
        <v>30925</v>
      </c>
      <c r="M6598" s="36"/>
      <c r="N6598" s="36"/>
      <c r="O6598" s="36"/>
      <c r="P6598" s="37" t="s">
        <v>30941</v>
      </c>
      <c r="Q6598" s="36"/>
      <c r="R6598" s="36" t="s">
        <v>30926</v>
      </c>
      <c r="S6598" s="36" t="s">
        <v>2302</v>
      </c>
      <c r="T6598" s="28" t="s">
        <v>30947</v>
      </c>
      <c r="U6598" s="29" t="s">
        <v>61</v>
      </c>
      <c r="V6598" s="50"/>
      <c r="W6598" s="49"/>
      <c r="X6598" s="49"/>
      <c r="Y6598" s="35"/>
      <c r="Z6598" s="35"/>
      <c r="AA6598" s="35"/>
      <c r="AB6598" s="35"/>
      <c r="AC6598" s="35"/>
      <c r="AD6598" s="35"/>
      <c r="AE6598" s="35"/>
      <c r="AF6598" s="35"/>
      <c r="AG6598" s="35"/>
      <c r="AH6598" s="35"/>
      <c r="AI6598" s="35"/>
      <c r="AJ6598" s="35"/>
      <c r="AK6598" s="35"/>
      <c r="AL6598" s="35"/>
    </row>
    <row r="6599">
      <c r="A6599" s="1"/>
      <c r="B6599" s="19" t="s">
        <v>30772</v>
      </c>
      <c r="C6599" s="20" t="s">
        <v>30784</v>
      </c>
      <c r="D6599" s="47"/>
      <c r="E6599" s="22" t="s">
        <v>30948</v>
      </c>
      <c r="F6599" s="22" t="s">
        <v>30949</v>
      </c>
      <c r="G6599" s="23">
        <v>2009.0</v>
      </c>
      <c r="H6599" s="22" t="s">
        <v>30950</v>
      </c>
      <c r="I6599" s="24" t="s">
        <v>30951</v>
      </c>
      <c r="J6599" s="22" t="s">
        <v>30952</v>
      </c>
      <c r="K6599" s="22" t="s">
        <v>30834</v>
      </c>
      <c r="L6599" s="36" t="s">
        <v>30953</v>
      </c>
      <c r="M6599" s="36"/>
      <c r="N6599" s="36"/>
      <c r="O6599" s="36"/>
      <c r="P6599" s="37" t="s">
        <v>30954</v>
      </c>
      <c r="Q6599" s="36"/>
      <c r="R6599" s="36">
        <v>180.0</v>
      </c>
      <c r="S6599" s="36" t="s">
        <v>30955</v>
      </c>
      <c r="T6599" s="28" t="s">
        <v>30956</v>
      </c>
      <c r="U6599" s="38" t="str">
        <f>HYPERLINK("https://www.ncbi.nlm.nih.gov/pubmed/19476405","PubMed")</f>
        <v>PubMed</v>
      </c>
      <c r="V6599" s="30" t="s">
        <v>30957</v>
      </c>
      <c r="W6599" s="49"/>
      <c r="X6599" s="49"/>
      <c r="Y6599" s="35"/>
      <c r="Z6599" s="35"/>
      <c r="AA6599" s="35"/>
      <c r="AB6599" s="35"/>
      <c r="AC6599" s="35"/>
      <c r="AD6599" s="35"/>
      <c r="AE6599" s="35"/>
      <c r="AF6599" s="35"/>
      <c r="AG6599" s="35"/>
      <c r="AH6599" s="35"/>
      <c r="AI6599" s="35"/>
      <c r="AJ6599" s="35"/>
      <c r="AK6599" s="35"/>
      <c r="AL6599" s="35"/>
    </row>
    <row r="6600">
      <c r="A6600" s="1"/>
      <c r="B6600" s="19" t="s">
        <v>30772</v>
      </c>
      <c r="C6600" s="20" t="s">
        <v>30784</v>
      </c>
      <c r="D6600" s="47"/>
      <c r="E6600" s="22" t="s">
        <v>8795</v>
      </c>
      <c r="F6600" s="22" t="s">
        <v>8796</v>
      </c>
      <c r="G6600" s="23">
        <v>2008.0</v>
      </c>
      <c r="H6600" s="22" t="s">
        <v>30958</v>
      </c>
      <c r="I6600" s="24" t="s">
        <v>30959</v>
      </c>
      <c r="J6600" s="22" t="s">
        <v>2273</v>
      </c>
      <c r="K6600" s="22" t="s">
        <v>157</v>
      </c>
      <c r="L6600" s="36">
        <v>670.0</v>
      </c>
      <c r="M6600" s="36"/>
      <c r="N6600" s="36"/>
      <c r="O6600" s="36"/>
      <c r="P6600" s="37"/>
      <c r="Q6600" s="36"/>
      <c r="R6600" s="36"/>
      <c r="S6600" s="36"/>
      <c r="T6600" s="28" t="s">
        <v>30960</v>
      </c>
      <c r="U6600" s="29" t="s">
        <v>8353</v>
      </c>
      <c r="V6600" s="30" t="s">
        <v>30961</v>
      </c>
      <c r="W6600" s="49"/>
      <c r="X6600" s="49"/>
      <c r="Y6600" s="35"/>
      <c r="Z6600" s="35"/>
      <c r="AA6600" s="35"/>
      <c r="AB6600" s="35"/>
      <c r="AC6600" s="35"/>
      <c r="AD6600" s="35"/>
      <c r="AE6600" s="35"/>
      <c r="AF6600" s="35"/>
      <c r="AG6600" s="35"/>
      <c r="AH6600" s="35"/>
      <c r="AI6600" s="35"/>
      <c r="AJ6600" s="35"/>
      <c r="AK6600" s="35"/>
      <c r="AL6600" s="35"/>
    </row>
    <row r="6601">
      <c r="A6601" s="1"/>
      <c r="B6601" s="19" t="s">
        <v>30772</v>
      </c>
      <c r="C6601" s="20" t="s">
        <v>30784</v>
      </c>
      <c r="D6601" s="47"/>
      <c r="E6601" s="22" t="s">
        <v>30962</v>
      </c>
      <c r="F6601" s="22" t="s">
        <v>8140</v>
      </c>
      <c r="G6601" s="23">
        <v>2007.0</v>
      </c>
      <c r="H6601" s="22" t="s">
        <v>207</v>
      </c>
      <c r="I6601" s="24" t="s">
        <v>30963</v>
      </c>
      <c r="J6601" s="22" t="s">
        <v>30964</v>
      </c>
      <c r="K6601" s="22" t="s">
        <v>30935</v>
      </c>
      <c r="L6601" s="36" t="s">
        <v>30925</v>
      </c>
      <c r="M6601" s="36">
        <v>180.0</v>
      </c>
      <c r="N6601" s="36"/>
      <c r="O6601" s="36"/>
      <c r="P6601" s="37"/>
      <c r="Q6601" s="36"/>
      <c r="R6601" s="36"/>
      <c r="S6601" s="36" t="s">
        <v>2302</v>
      </c>
      <c r="T6601" s="28" t="s">
        <v>30965</v>
      </c>
      <c r="U6601" s="38" t="str">
        <f>HYPERLINK("https://www.ncbi.nlm.nih.gov/pubmed/17997323","PubMed")</f>
        <v>PubMed</v>
      </c>
      <c r="V6601" s="30" t="s">
        <v>30966</v>
      </c>
      <c r="W6601" s="49"/>
      <c r="X6601" s="49"/>
      <c r="Y6601" s="35"/>
      <c r="Z6601" s="35"/>
      <c r="AA6601" s="35"/>
      <c r="AB6601" s="35"/>
      <c r="AC6601" s="35"/>
      <c r="AD6601" s="35"/>
      <c r="AE6601" s="35"/>
      <c r="AF6601" s="35"/>
      <c r="AG6601" s="35"/>
      <c r="AH6601" s="35"/>
      <c r="AI6601" s="35"/>
      <c r="AJ6601" s="35"/>
      <c r="AK6601" s="35"/>
      <c r="AL6601" s="35"/>
    </row>
    <row r="6602">
      <c r="A6602" s="1"/>
      <c r="B6602" s="19" t="s">
        <v>30772</v>
      </c>
      <c r="C6602" s="20" t="s">
        <v>30784</v>
      </c>
      <c r="D6602" s="47"/>
      <c r="E6602" s="22" t="s">
        <v>30962</v>
      </c>
      <c r="F6602" s="22" t="s">
        <v>8140</v>
      </c>
      <c r="G6602" s="23">
        <v>2005.0</v>
      </c>
      <c r="H6602" s="22" t="s">
        <v>30967</v>
      </c>
      <c r="I6602" s="24" t="s">
        <v>30968</v>
      </c>
      <c r="J6602" s="22" t="s">
        <v>30969</v>
      </c>
      <c r="K6602" s="22" t="s">
        <v>30879</v>
      </c>
      <c r="L6602" s="36"/>
      <c r="M6602" s="36"/>
      <c r="N6602" s="36"/>
      <c r="O6602" s="36"/>
      <c r="P6602" s="37"/>
      <c r="Q6602" s="36"/>
      <c r="R6602" s="36"/>
      <c r="S6602" s="36" t="s">
        <v>8476</v>
      </c>
      <c r="T6602" s="28" t="s">
        <v>30970</v>
      </c>
      <c r="U6602" s="38" t="str">
        <f>HYPERLINK("https://www.ncbi.nlm.nih.gov/pubmed/15753902","PubMed")</f>
        <v>PubMed</v>
      </c>
      <c r="V6602" s="30" t="s">
        <v>30971</v>
      </c>
      <c r="W6602" s="49"/>
      <c r="X6602" s="49"/>
      <c r="Y6602" s="35"/>
      <c r="Z6602" s="35"/>
      <c r="AA6602" s="35"/>
      <c r="AB6602" s="35"/>
      <c r="AC6602" s="35"/>
      <c r="AD6602" s="35"/>
      <c r="AE6602" s="35"/>
      <c r="AF6602" s="35"/>
      <c r="AG6602" s="35"/>
      <c r="AH6602" s="35"/>
      <c r="AI6602" s="35"/>
      <c r="AJ6602" s="35"/>
      <c r="AK6602" s="35"/>
      <c r="AL6602" s="35"/>
    </row>
    <row r="6603">
      <c r="A6603" s="1"/>
      <c r="B6603" s="19" t="s">
        <v>30772</v>
      </c>
      <c r="C6603" s="20" t="s">
        <v>30784</v>
      </c>
      <c r="D6603" s="47"/>
      <c r="E6603" s="22" t="s">
        <v>2233</v>
      </c>
      <c r="F6603" s="22" t="s">
        <v>30972</v>
      </c>
      <c r="G6603" s="23">
        <v>2000.0</v>
      </c>
      <c r="H6603" s="22" t="s">
        <v>30973</v>
      </c>
      <c r="I6603" s="24" t="s">
        <v>30974</v>
      </c>
      <c r="J6603" s="22" t="s">
        <v>30975</v>
      </c>
      <c r="K6603" s="22"/>
      <c r="L6603" s="36" t="s">
        <v>30976</v>
      </c>
      <c r="M6603" s="36"/>
      <c r="N6603" s="36"/>
      <c r="O6603" s="36"/>
      <c r="P6603" s="37"/>
      <c r="Q6603" s="36"/>
      <c r="R6603" s="36"/>
      <c r="S6603" s="36" t="s">
        <v>30977</v>
      </c>
      <c r="T6603" s="28" t="s">
        <v>30978</v>
      </c>
      <c r="U6603" s="38" t="str">
        <f>HYPERLINK("https://www.spiedigitallibrary.org/conference-proceedings-of-spie/4166/1/Self-organizing-phenomena-at-membrane-level-and-low-level-laser/10.1117/12.389503.short","SPIE")</f>
        <v>SPIE</v>
      </c>
      <c r="V6603" s="50"/>
      <c r="W6603" s="49"/>
      <c r="X6603" s="49"/>
      <c r="Y6603" s="35"/>
      <c r="Z6603" s="35"/>
      <c r="AA6603" s="35"/>
      <c r="AB6603" s="35"/>
      <c r="AC6603" s="35"/>
      <c r="AD6603" s="35"/>
      <c r="AE6603" s="35"/>
      <c r="AF6603" s="35"/>
      <c r="AG6603" s="35"/>
      <c r="AH6603" s="35"/>
      <c r="AI6603" s="35"/>
      <c r="AJ6603" s="35"/>
      <c r="AK6603" s="35"/>
      <c r="AL6603" s="35"/>
    </row>
    <row r="6604">
      <c r="A6604" s="1"/>
      <c r="B6604" s="19" t="s">
        <v>30772</v>
      </c>
      <c r="C6604" s="20" t="s">
        <v>30784</v>
      </c>
      <c r="D6604" s="47"/>
      <c r="E6604" s="22" t="s">
        <v>30979</v>
      </c>
      <c r="F6604" s="22" t="s">
        <v>30680</v>
      </c>
      <c r="G6604" s="23">
        <v>1997.0</v>
      </c>
      <c r="H6604" s="22" t="s">
        <v>30980</v>
      </c>
      <c r="I6604" s="24" t="s">
        <v>30981</v>
      </c>
      <c r="J6604" s="22" t="s">
        <v>30982</v>
      </c>
      <c r="K6604" s="22" t="s">
        <v>30983</v>
      </c>
      <c r="L6604" s="36">
        <v>660.0</v>
      </c>
      <c r="M6604" s="36">
        <v>4.0</v>
      </c>
      <c r="N6604" s="36"/>
      <c r="O6604" s="36">
        <v>1.0</v>
      </c>
      <c r="P6604" s="37"/>
      <c r="Q6604" s="36"/>
      <c r="R6604" s="36">
        <v>260.0</v>
      </c>
      <c r="S6604" s="36" t="s">
        <v>30984</v>
      </c>
      <c r="T6604" s="28" t="s">
        <v>30985</v>
      </c>
      <c r="U6604" s="38" t="str">
        <f>HYPERLINK("https://www.ncbi.nlm.nih.gov/pubmed/9109708","PubMed")</f>
        <v>PubMed</v>
      </c>
      <c r="V6604" s="30" t="s">
        <v>30986</v>
      </c>
      <c r="W6604" s="49"/>
      <c r="X6604" s="49"/>
      <c r="Y6604" s="35"/>
      <c r="Z6604" s="35"/>
      <c r="AA6604" s="35"/>
      <c r="AB6604" s="35"/>
      <c r="AC6604" s="35"/>
      <c r="AD6604" s="35"/>
      <c r="AE6604" s="35"/>
      <c r="AF6604" s="35"/>
      <c r="AG6604" s="35"/>
      <c r="AH6604" s="35"/>
      <c r="AI6604" s="35"/>
      <c r="AJ6604" s="35"/>
      <c r="AK6604" s="35"/>
      <c r="AL6604" s="35"/>
    </row>
    <row r="6605">
      <c r="A6605" s="1"/>
      <c r="B6605" s="19" t="s">
        <v>30772</v>
      </c>
      <c r="C6605" s="20" t="s">
        <v>30784</v>
      </c>
      <c r="D6605" s="47"/>
      <c r="E6605" s="22" t="s">
        <v>30987</v>
      </c>
      <c r="F6605" s="22" t="s">
        <v>30988</v>
      </c>
      <c r="G6605" s="23">
        <v>1996.0</v>
      </c>
      <c r="H6605" s="22" t="s">
        <v>292</v>
      </c>
      <c r="I6605" s="24" t="s">
        <v>30989</v>
      </c>
      <c r="J6605" s="22" t="s">
        <v>30990</v>
      </c>
      <c r="K6605" s="22" t="s">
        <v>30991</v>
      </c>
      <c r="L6605" s="36">
        <v>830.0</v>
      </c>
      <c r="M6605" s="36" t="s">
        <v>1064</v>
      </c>
      <c r="N6605" s="36"/>
      <c r="O6605" s="36"/>
      <c r="P6605" s="37"/>
      <c r="Q6605" s="36"/>
      <c r="R6605" s="36" t="s">
        <v>30992</v>
      </c>
      <c r="S6605" s="36"/>
      <c r="T6605" s="28" t="s">
        <v>30993</v>
      </c>
      <c r="U6605" s="38" t="str">
        <f>HYPERLINK("https://www.jstage.jst.go.jp/article/islsm/8/2/8_2_159/_article/-char/en","J-STAGE")</f>
        <v>J-STAGE</v>
      </c>
      <c r="V6605" s="50"/>
      <c r="W6605" s="49"/>
      <c r="X6605" s="49"/>
      <c r="Y6605" s="35"/>
      <c r="Z6605" s="35"/>
      <c r="AA6605" s="35"/>
      <c r="AB6605" s="35"/>
      <c r="AC6605" s="35"/>
      <c r="AD6605" s="35"/>
      <c r="AE6605" s="35"/>
      <c r="AF6605" s="35"/>
      <c r="AG6605" s="35"/>
      <c r="AH6605" s="35"/>
      <c r="AI6605" s="35"/>
      <c r="AJ6605" s="35"/>
      <c r="AK6605" s="35"/>
      <c r="AL6605" s="35"/>
    </row>
    <row r="6606">
      <c r="A6606" s="1"/>
      <c r="B6606" s="19" t="s">
        <v>30772</v>
      </c>
      <c r="C6606" s="20" t="s">
        <v>30784</v>
      </c>
      <c r="D6606" s="47"/>
      <c r="E6606" s="22" t="s">
        <v>30994</v>
      </c>
      <c r="F6606" s="22"/>
      <c r="G6606" s="23">
        <v>1992.0</v>
      </c>
      <c r="H6606" s="22" t="s">
        <v>292</v>
      </c>
      <c r="I6606" s="24" t="s">
        <v>30995</v>
      </c>
      <c r="J6606" s="22" t="s">
        <v>2273</v>
      </c>
      <c r="K6606" s="22"/>
      <c r="L6606" s="36">
        <v>830.0</v>
      </c>
      <c r="M6606" s="36">
        <v>60.0</v>
      </c>
      <c r="N6606" s="36">
        <v>3.0</v>
      </c>
      <c r="O6606" s="36"/>
      <c r="P6606" s="37" t="s">
        <v>6327</v>
      </c>
      <c r="Q6606" s="36"/>
      <c r="R6606" s="36">
        <v>180.0</v>
      </c>
      <c r="S6606" s="36"/>
      <c r="T6606" s="28" t="s">
        <v>30996</v>
      </c>
      <c r="U6606" s="38" t="str">
        <f>HYPERLINK("https://www.jstage.jst.go.jp/article/islsm/4/3/4_92-OR-13/_article/-char/en","J-STAGE")</f>
        <v>J-STAGE</v>
      </c>
      <c r="V6606" s="50"/>
      <c r="W6606" s="49"/>
      <c r="X6606" s="49"/>
      <c r="Y6606" s="35"/>
      <c r="Z6606" s="35"/>
      <c r="AA6606" s="35"/>
      <c r="AB6606" s="35"/>
      <c r="AC6606" s="35"/>
      <c r="AD6606" s="35"/>
      <c r="AE6606" s="35"/>
      <c r="AF6606" s="35"/>
      <c r="AG6606" s="35"/>
      <c r="AH6606" s="35"/>
      <c r="AI6606" s="35"/>
      <c r="AJ6606" s="35"/>
      <c r="AK6606" s="35"/>
      <c r="AL6606" s="35"/>
    </row>
    <row r="6607">
      <c r="A6607" s="146"/>
      <c r="B6607" s="19" t="s">
        <v>30772</v>
      </c>
      <c r="C6607" s="20" t="s">
        <v>30997</v>
      </c>
      <c r="D6607" s="47"/>
      <c r="E6607" s="22" t="s">
        <v>17090</v>
      </c>
      <c r="F6607" s="22" t="s">
        <v>41</v>
      </c>
      <c r="G6607" s="23">
        <v>2022.0</v>
      </c>
      <c r="H6607" s="22" t="s">
        <v>12052</v>
      </c>
      <c r="I6607" s="24" t="s">
        <v>30998</v>
      </c>
      <c r="J6607" s="22" t="s">
        <v>44</v>
      </c>
      <c r="K6607" s="22"/>
      <c r="L6607" s="36">
        <v>660.0</v>
      </c>
      <c r="M6607" s="36">
        <v>100.0</v>
      </c>
      <c r="N6607" s="36"/>
      <c r="O6607" s="36" t="s">
        <v>30999</v>
      </c>
      <c r="P6607" s="37"/>
      <c r="Q6607" s="36" t="s">
        <v>31000</v>
      </c>
      <c r="R6607" s="36">
        <v>50.0</v>
      </c>
      <c r="S6607" s="36" t="s">
        <v>31001</v>
      </c>
      <c r="T6607" s="28" t="s">
        <v>31002</v>
      </c>
      <c r="U6607" s="29" t="s">
        <v>61</v>
      </c>
      <c r="V6607" s="50"/>
      <c r="W6607" s="49"/>
      <c r="X6607" s="49"/>
      <c r="Y6607" s="35"/>
      <c r="Z6607" s="35"/>
      <c r="AA6607" s="35"/>
      <c r="AB6607" s="35"/>
      <c r="AC6607" s="35"/>
      <c r="AD6607" s="35"/>
      <c r="AE6607" s="35"/>
      <c r="AF6607" s="35"/>
      <c r="AG6607" s="35"/>
      <c r="AH6607" s="35"/>
      <c r="AI6607" s="35"/>
      <c r="AJ6607" s="35"/>
      <c r="AK6607" s="35"/>
      <c r="AL6607" s="35"/>
    </row>
    <row r="6608">
      <c r="A6608" s="146"/>
      <c r="B6608" s="19" t="s">
        <v>30772</v>
      </c>
      <c r="C6608" s="20" t="s">
        <v>30997</v>
      </c>
      <c r="D6608" s="47"/>
      <c r="E6608" s="22" t="s">
        <v>21444</v>
      </c>
      <c r="F6608" s="22" t="s">
        <v>41</v>
      </c>
      <c r="G6608" s="23">
        <v>2021.0</v>
      </c>
      <c r="H6608" s="22" t="s">
        <v>91</v>
      </c>
      <c r="I6608" s="24" t="s">
        <v>31003</v>
      </c>
      <c r="J6608" s="22" t="s">
        <v>55</v>
      </c>
      <c r="K6608" s="22"/>
      <c r="L6608" s="36">
        <v>660.0</v>
      </c>
      <c r="M6608" s="36"/>
      <c r="N6608" s="36" t="s">
        <v>24595</v>
      </c>
      <c r="O6608" s="36">
        <v>15.0</v>
      </c>
      <c r="P6608" s="37" t="s">
        <v>10509</v>
      </c>
      <c r="Q6608" s="36" t="s">
        <v>30828</v>
      </c>
      <c r="R6608" s="36">
        <v>150.0</v>
      </c>
      <c r="S6608" s="36"/>
      <c r="T6608" s="28" t="s">
        <v>31004</v>
      </c>
      <c r="U6608" s="29" t="s">
        <v>61</v>
      </c>
      <c r="V6608" s="50"/>
      <c r="W6608" s="49"/>
      <c r="X6608" s="49"/>
      <c r="Y6608" s="35"/>
      <c r="Z6608" s="35"/>
      <c r="AA6608" s="35"/>
      <c r="AB6608" s="35"/>
      <c r="AC6608" s="35"/>
      <c r="AD6608" s="35"/>
      <c r="AE6608" s="35"/>
      <c r="AF6608" s="35"/>
      <c r="AG6608" s="35"/>
      <c r="AH6608" s="35"/>
      <c r="AI6608" s="35"/>
      <c r="AJ6608" s="35"/>
      <c r="AK6608" s="35"/>
      <c r="AL6608" s="35"/>
    </row>
    <row r="6609">
      <c r="A6609" s="1"/>
      <c r="B6609" s="19" t="s">
        <v>30772</v>
      </c>
      <c r="C6609" s="20" t="s">
        <v>30997</v>
      </c>
      <c r="D6609" s="47"/>
      <c r="E6609" s="22" t="s">
        <v>31005</v>
      </c>
      <c r="F6609" s="22" t="s">
        <v>41</v>
      </c>
      <c r="G6609" s="23">
        <v>2021.0</v>
      </c>
      <c r="H6609" s="22" t="s">
        <v>91</v>
      </c>
      <c r="I6609" s="24" t="s">
        <v>31006</v>
      </c>
      <c r="J6609" s="22" t="s">
        <v>55</v>
      </c>
      <c r="K6609" s="22" t="s">
        <v>31007</v>
      </c>
      <c r="L6609" s="36">
        <v>810.0</v>
      </c>
      <c r="M6609" s="36">
        <v>100.0</v>
      </c>
      <c r="N6609" s="36"/>
      <c r="O6609" s="36">
        <v>15.0</v>
      </c>
      <c r="P6609" s="37" t="s">
        <v>432</v>
      </c>
      <c r="Q6609" s="36"/>
      <c r="R6609" s="36">
        <v>150.0</v>
      </c>
      <c r="S6609" s="36"/>
      <c r="T6609" s="28" t="s">
        <v>31008</v>
      </c>
      <c r="U6609" s="29" t="s">
        <v>61</v>
      </c>
      <c r="V6609" s="50"/>
      <c r="W6609" s="49"/>
      <c r="X6609" s="49"/>
      <c r="Y6609" s="35"/>
      <c r="Z6609" s="35"/>
      <c r="AA6609" s="35"/>
      <c r="AB6609" s="35"/>
      <c r="AC6609" s="35"/>
      <c r="AD6609" s="35"/>
      <c r="AE6609" s="35"/>
      <c r="AF6609" s="35"/>
      <c r="AG6609" s="35"/>
      <c r="AH6609" s="35"/>
      <c r="AI6609" s="35"/>
      <c r="AJ6609" s="35"/>
      <c r="AK6609" s="35"/>
      <c r="AL6609" s="35"/>
    </row>
    <row r="6610">
      <c r="A6610" s="146"/>
      <c r="B6610" s="19" t="s">
        <v>30772</v>
      </c>
      <c r="C6610" s="20" t="s">
        <v>30997</v>
      </c>
      <c r="D6610" s="47"/>
      <c r="E6610" s="22" t="s">
        <v>31009</v>
      </c>
      <c r="F6610" s="22" t="s">
        <v>2346</v>
      </c>
      <c r="G6610" s="23">
        <v>2020.0</v>
      </c>
      <c r="H6610" s="22" t="s">
        <v>17543</v>
      </c>
      <c r="I6610" s="24" t="s">
        <v>31010</v>
      </c>
      <c r="J6610" s="22" t="s">
        <v>125</v>
      </c>
      <c r="K6610" s="22"/>
      <c r="L6610" s="105" t="s">
        <v>31011</v>
      </c>
      <c r="M6610" s="44"/>
      <c r="N6610" s="44"/>
      <c r="O6610" s="44"/>
      <c r="P6610" s="44"/>
      <c r="Q6610" s="44"/>
      <c r="R6610" s="44"/>
      <c r="S6610" s="44"/>
      <c r="T6610" s="45"/>
      <c r="U6610" s="29" t="s">
        <v>61</v>
      </c>
      <c r="V6610" s="50"/>
      <c r="W6610" s="49"/>
      <c r="X6610" s="49"/>
      <c r="Y6610" s="35"/>
      <c r="Z6610" s="35"/>
      <c r="AA6610" s="35"/>
      <c r="AB6610" s="35"/>
      <c r="AC6610" s="35"/>
      <c r="AD6610" s="35"/>
      <c r="AE6610" s="35"/>
      <c r="AF6610" s="35"/>
      <c r="AG6610" s="35"/>
      <c r="AH6610" s="35"/>
      <c r="AI6610" s="35"/>
      <c r="AJ6610" s="35"/>
      <c r="AK6610" s="35"/>
      <c r="AL6610" s="35"/>
    </row>
    <row r="6611">
      <c r="A6611" s="146"/>
      <c r="B6611" s="75" t="s">
        <v>30772</v>
      </c>
      <c r="C6611" s="77" t="s">
        <v>30997</v>
      </c>
      <c r="D6611" s="47"/>
      <c r="E6611" s="22" t="s">
        <v>2682</v>
      </c>
      <c r="F6611" s="22" t="s">
        <v>332</v>
      </c>
      <c r="G6611" s="23">
        <v>2019.0</v>
      </c>
      <c r="H6611" s="22" t="s">
        <v>31012</v>
      </c>
      <c r="I6611" s="24" t="s">
        <v>31013</v>
      </c>
      <c r="J6611" s="22" t="s">
        <v>31014</v>
      </c>
      <c r="K6611" s="22" t="s">
        <v>31015</v>
      </c>
      <c r="L6611" s="36">
        <v>780.0</v>
      </c>
      <c r="M6611" s="36">
        <v>800.0</v>
      </c>
      <c r="N6611" s="36"/>
      <c r="O6611" s="36"/>
      <c r="P6611" s="37" t="s">
        <v>17526</v>
      </c>
      <c r="Q6611" s="36"/>
      <c r="R6611" s="36"/>
      <c r="S6611" s="36">
        <v>12.0</v>
      </c>
      <c r="T6611" s="28" t="s">
        <v>31016</v>
      </c>
      <c r="U6611" s="29" t="s">
        <v>61</v>
      </c>
      <c r="V6611" s="50"/>
      <c r="W6611" s="49"/>
      <c r="X6611" s="49"/>
      <c r="Y6611" s="35"/>
      <c r="Z6611" s="35"/>
      <c r="AA6611" s="35"/>
      <c r="AB6611" s="35"/>
      <c r="AC6611" s="35"/>
      <c r="AD6611" s="35"/>
      <c r="AE6611" s="35"/>
      <c r="AF6611" s="35"/>
      <c r="AG6611" s="35"/>
      <c r="AH6611" s="35"/>
      <c r="AI6611" s="35"/>
      <c r="AJ6611" s="35"/>
      <c r="AK6611" s="35"/>
      <c r="AL6611" s="35"/>
    </row>
    <row r="6612">
      <c r="A6612" s="146" t="s">
        <v>38</v>
      </c>
      <c r="B6612" s="19" t="s">
        <v>30772</v>
      </c>
      <c r="C6612" s="20" t="s">
        <v>30997</v>
      </c>
      <c r="D6612" s="47"/>
      <c r="E6612" s="22" t="s">
        <v>5150</v>
      </c>
      <c r="F6612" s="22" t="s">
        <v>1649</v>
      </c>
      <c r="G6612" s="23" t="s">
        <v>76</v>
      </c>
      <c r="H6612" s="22" t="s">
        <v>31017</v>
      </c>
      <c r="I6612" s="24" t="s">
        <v>31018</v>
      </c>
      <c r="J6612" s="22" t="s">
        <v>44</v>
      </c>
      <c r="K6612" s="22" t="s">
        <v>31019</v>
      </c>
      <c r="L6612" s="36">
        <v>610.0</v>
      </c>
      <c r="M6612" s="36"/>
      <c r="N6612" s="36" t="s">
        <v>4561</v>
      </c>
      <c r="O6612" s="36"/>
      <c r="P6612" s="37" t="s">
        <v>269</v>
      </c>
      <c r="Q6612" s="36"/>
      <c r="R6612" s="36">
        <v>1200.0</v>
      </c>
      <c r="S6612" s="36"/>
      <c r="T6612" s="28" t="s">
        <v>31020</v>
      </c>
      <c r="U6612" s="38" t="str">
        <f>HYPERLINK("https://www.ncbi.nlm.nih.gov/pubmed/31140603","PubMed")</f>
        <v>PubMed</v>
      </c>
      <c r="V6612" s="50"/>
      <c r="W6612" s="49"/>
      <c r="X6612" s="49"/>
      <c r="Y6612" s="35"/>
      <c r="Z6612" s="35"/>
      <c r="AA6612" s="35"/>
      <c r="AB6612" s="35"/>
      <c r="AC6612" s="35"/>
      <c r="AD6612" s="35"/>
      <c r="AE6612" s="35"/>
      <c r="AF6612" s="35"/>
      <c r="AG6612" s="35"/>
      <c r="AH6612" s="35"/>
      <c r="AI6612" s="35"/>
      <c r="AJ6612" s="35"/>
      <c r="AK6612" s="35"/>
      <c r="AL6612" s="35"/>
    </row>
    <row r="6613">
      <c r="A6613" s="1"/>
      <c r="B6613" s="19" t="s">
        <v>30772</v>
      </c>
      <c r="C6613" s="20" t="s">
        <v>30997</v>
      </c>
      <c r="D6613" s="47"/>
      <c r="E6613" s="22" t="s">
        <v>31021</v>
      </c>
      <c r="F6613" s="22" t="s">
        <v>41</v>
      </c>
      <c r="G6613" s="23">
        <v>2019.0</v>
      </c>
      <c r="H6613" s="22" t="s">
        <v>31022</v>
      </c>
      <c r="I6613" s="24" t="s">
        <v>31023</v>
      </c>
      <c r="J6613" s="22" t="s">
        <v>44</v>
      </c>
      <c r="K6613" s="22" t="s">
        <v>1240</v>
      </c>
      <c r="L6613" s="36">
        <v>660.0</v>
      </c>
      <c r="M6613" s="36">
        <v>100.0</v>
      </c>
      <c r="N6613" s="36"/>
      <c r="O6613" s="36" t="s">
        <v>31024</v>
      </c>
      <c r="P6613" s="37"/>
      <c r="Q6613" s="36"/>
      <c r="R6613" s="36"/>
      <c r="S6613" s="36">
        <v>16.0</v>
      </c>
      <c r="T6613" s="28" t="s">
        <v>31025</v>
      </c>
      <c r="U6613" s="38" t="str">
        <f>HYPERLINK("https://www.ncbi.nlm.nih.gov/pubmed/31015955","PubMed")</f>
        <v>PubMed</v>
      </c>
      <c r="V6613" s="50"/>
      <c r="W6613" s="49"/>
      <c r="X6613" s="49"/>
      <c r="Y6613" s="35"/>
      <c r="Z6613" s="35"/>
      <c r="AA6613" s="35"/>
      <c r="AB6613" s="35"/>
      <c r="AC6613" s="35"/>
      <c r="AD6613" s="35"/>
      <c r="AE6613" s="35"/>
      <c r="AF6613" s="35"/>
      <c r="AG6613" s="35"/>
      <c r="AH6613" s="35"/>
      <c r="AI6613" s="35"/>
      <c r="AJ6613" s="35"/>
      <c r="AK6613" s="35"/>
      <c r="AL6613" s="35"/>
    </row>
    <row r="6614">
      <c r="A6614" s="1"/>
      <c r="B6614" s="19" t="s">
        <v>30772</v>
      </c>
      <c r="C6614" s="20" t="s">
        <v>30997</v>
      </c>
      <c r="D6614" s="47"/>
      <c r="E6614" s="22" t="s">
        <v>31026</v>
      </c>
      <c r="F6614" s="22" t="s">
        <v>332</v>
      </c>
      <c r="G6614" s="23">
        <v>2017.0</v>
      </c>
      <c r="H6614" s="22" t="s">
        <v>91</v>
      </c>
      <c r="I6614" s="24" t="s">
        <v>31027</v>
      </c>
      <c r="J6614" s="22" t="s">
        <v>31028</v>
      </c>
      <c r="K6614" s="22" t="s">
        <v>2686</v>
      </c>
      <c r="L6614" s="36">
        <v>780.0</v>
      </c>
      <c r="M6614" s="36">
        <v>800.0</v>
      </c>
      <c r="N6614" s="36"/>
      <c r="O6614" s="36"/>
      <c r="P6614" s="37" t="s">
        <v>17526</v>
      </c>
      <c r="Q6614" s="36" t="s">
        <v>1003</v>
      </c>
      <c r="R6614" s="36" t="s">
        <v>31029</v>
      </c>
      <c r="S6614" s="36" t="s">
        <v>4905</v>
      </c>
      <c r="T6614" s="28" t="s">
        <v>31030</v>
      </c>
      <c r="U6614" s="38" t="str">
        <f>HYPERLINK("https://www.ncbi.nlm.nih.gov/pubmed/27709308","PubMed")</f>
        <v>PubMed</v>
      </c>
      <c r="V6614" s="50"/>
      <c r="W6614" s="49"/>
      <c r="X6614" s="49"/>
      <c r="Y6614" s="35"/>
      <c r="Z6614" s="35"/>
      <c r="AA6614" s="35"/>
      <c r="AB6614" s="35"/>
      <c r="AC6614" s="35"/>
      <c r="AD6614" s="35"/>
      <c r="AE6614" s="35"/>
      <c r="AF6614" s="35"/>
      <c r="AG6614" s="35"/>
      <c r="AH6614" s="35"/>
      <c r="AI6614" s="35"/>
      <c r="AJ6614" s="35"/>
      <c r="AK6614" s="35"/>
      <c r="AL6614" s="35"/>
    </row>
    <row r="6615">
      <c r="A6615" s="1" t="s">
        <v>2</v>
      </c>
      <c r="B6615" s="19" t="s">
        <v>30772</v>
      </c>
      <c r="C6615" s="20" t="s">
        <v>30997</v>
      </c>
      <c r="D6615" s="47"/>
      <c r="E6615" s="22" t="s">
        <v>88</v>
      </c>
      <c r="F6615" s="22" t="s">
        <v>41</v>
      </c>
      <c r="G6615" s="23">
        <v>2014.0</v>
      </c>
      <c r="H6615" s="22" t="s">
        <v>31031</v>
      </c>
      <c r="I6615" s="24" t="s">
        <v>31032</v>
      </c>
      <c r="J6615" s="22" t="s">
        <v>44</v>
      </c>
      <c r="K6615" s="22"/>
      <c r="L6615" s="36">
        <v>660.0</v>
      </c>
      <c r="M6615" s="36">
        <v>30.0</v>
      </c>
      <c r="N6615" s="36" t="s">
        <v>11688</v>
      </c>
      <c r="O6615" s="129">
        <v>42465.0</v>
      </c>
      <c r="P6615" s="37"/>
      <c r="Q6615" s="36" t="s">
        <v>22639</v>
      </c>
      <c r="R6615" s="36">
        <v>180.0</v>
      </c>
      <c r="S6615" s="36"/>
      <c r="T6615" s="28" t="s">
        <v>31033</v>
      </c>
      <c r="U6615" s="38" t="str">
        <f>HYPERLINK("https://www.ncbi.nlm.nih.gov/pubmed/24486607","PubMed")</f>
        <v>PubMed</v>
      </c>
      <c r="V6615" s="50"/>
      <c r="W6615" s="49"/>
      <c r="X6615" s="49"/>
      <c r="Y6615" s="35"/>
      <c r="Z6615" s="35"/>
      <c r="AA6615" s="35"/>
      <c r="AB6615" s="35"/>
      <c r="AC6615" s="35"/>
      <c r="AD6615" s="35"/>
      <c r="AE6615" s="35"/>
      <c r="AF6615" s="35"/>
      <c r="AG6615" s="35"/>
      <c r="AH6615" s="35"/>
      <c r="AI6615" s="35"/>
      <c r="AJ6615" s="35"/>
      <c r="AK6615" s="35"/>
      <c r="AL6615" s="35"/>
    </row>
    <row r="6616">
      <c r="A6616" s="1"/>
      <c r="B6616" s="19" t="s">
        <v>30772</v>
      </c>
      <c r="C6616" s="20" t="s">
        <v>30997</v>
      </c>
      <c r="D6616" s="47"/>
      <c r="E6616" s="22" t="s">
        <v>626</v>
      </c>
      <c r="F6616" s="22" t="s">
        <v>2437</v>
      </c>
      <c r="G6616" s="23">
        <v>2014.0</v>
      </c>
      <c r="H6616" s="22" t="s">
        <v>91</v>
      </c>
      <c r="I6616" s="24" t="s">
        <v>31034</v>
      </c>
      <c r="J6616" s="22" t="s">
        <v>55</v>
      </c>
      <c r="K6616" s="22" t="s">
        <v>31035</v>
      </c>
      <c r="L6616" s="36">
        <v>810.0</v>
      </c>
      <c r="M6616" s="36">
        <v>80.0</v>
      </c>
      <c r="N6616" s="36"/>
      <c r="O6616" s="36"/>
      <c r="P6616" s="37" t="s">
        <v>70</v>
      </c>
      <c r="Q6616" s="36" t="s">
        <v>31036</v>
      </c>
      <c r="R6616" s="36">
        <v>1200.0</v>
      </c>
      <c r="S6616" s="36">
        <v>21.0</v>
      </c>
      <c r="T6616" s="28" t="s">
        <v>31037</v>
      </c>
      <c r="U6616" s="38" t="str">
        <f>HYPERLINK("https://www.ncbi.nlm.nih.gov/pubmed/24158722","PubMed")</f>
        <v>PubMed</v>
      </c>
      <c r="V6616" s="50"/>
      <c r="W6616" s="49"/>
      <c r="X6616" s="49"/>
      <c r="Y6616" s="35"/>
      <c r="Z6616" s="35"/>
      <c r="AA6616" s="35"/>
      <c r="AB6616" s="35"/>
      <c r="AC6616" s="35"/>
      <c r="AD6616" s="35"/>
      <c r="AE6616" s="35"/>
      <c r="AF6616" s="35"/>
      <c r="AG6616" s="35"/>
      <c r="AH6616" s="35"/>
      <c r="AI6616" s="35"/>
      <c r="AJ6616" s="35"/>
      <c r="AK6616" s="35"/>
      <c r="AL6616" s="35"/>
    </row>
    <row r="6617">
      <c r="A6617" s="1"/>
      <c r="B6617" s="19" t="s">
        <v>30772</v>
      </c>
      <c r="C6617" s="20" t="s">
        <v>30997</v>
      </c>
      <c r="D6617" s="47"/>
      <c r="E6617" s="22" t="s">
        <v>31038</v>
      </c>
      <c r="F6617" s="22" t="s">
        <v>3414</v>
      </c>
      <c r="G6617" s="23">
        <v>2013.0</v>
      </c>
      <c r="H6617" s="22" t="s">
        <v>31039</v>
      </c>
      <c r="I6617" s="24" t="s">
        <v>31040</v>
      </c>
      <c r="J6617" s="22" t="s">
        <v>31041</v>
      </c>
      <c r="K6617" s="22" t="s">
        <v>2686</v>
      </c>
      <c r="L6617" s="36">
        <v>808.0</v>
      </c>
      <c r="M6617" s="36">
        <v>99.0</v>
      </c>
      <c r="N6617" s="36" t="s">
        <v>58</v>
      </c>
      <c r="O6617" s="36" t="s">
        <v>58</v>
      </c>
      <c r="P6617" s="37" t="s">
        <v>58</v>
      </c>
      <c r="Q6617" s="36" t="s">
        <v>31042</v>
      </c>
      <c r="R6617" s="36">
        <v>20.0</v>
      </c>
      <c r="S6617" s="36" t="s">
        <v>17419</v>
      </c>
      <c r="T6617" s="28" t="s">
        <v>31043</v>
      </c>
      <c r="U6617" s="38" t="str">
        <f>HYPERLINK("https://www.ncbi.nlm.nih.gov/pubmed/23843569","PubMed")</f>
        <v>PubMed</v>
      </c>
      <c r="V6617" s="50"/>
      <c r="W6617" s="49"/>
      <c r="X6617" s="49"/>
      <c r="Y6617" s="35"/>
      <c r="Z6617" s="35"/>
      <c r="AA6617" s="35"/>
      <c r="AB6617" s="35"/>
      <c r="AC6617" s="35"/>
      <c r="AD6617" s="35"/>
      <c r="AE6617" s="35"/>
      <c r="AF6617" s="35"/>
      <c r="AG6617" s="35"/>
      <c r="AH6617" s="35"/>
      <c r="AI6617" s="35"/>
      <c r="AJ6617" s="35"/>
      <c r="AK6617" s="35"/>
      <c r="AL6617" s="35"/>
    </row>
    <row r="6618">
      <c r="A6618" s="1"/>
      <c r="B6618" s="19" t="s">
        <v>30772</v>
      </c>
      <c r="C6618" s="20" t="s">
        <v>31044</v>
      </c>
      <c r="D6618" s="47"/>
      <c r="E6618" s="22" t="s">
        <v>31045</v>
      </c>
      <c r="F6618" s="22" t="s">
        <v>510</v>
      </c>
      <c r="G6618" s="23">
        <v>2009.0</v>
      </c>
      <c r="H6618" s="22" t="s">
        <v>53</v>
      </c>
      <c r="I6618" s="24" t="s">
        <v>31046</v>
      </c>
      <c r="J6618" s="22" t="s">
        <v>31</v>
      </c>
      <c r="K6618" s="22"/>
      <c r="L6618" s="36">
        <v>655.0</v>
      </c>
      <c r="M6618" s="129">
        <v>42857.0</v>
      </c>
      <c r="N6618" s="36" t="s">
        <v>30780</v>
      </c>
      <c r="O6618" s="36"/>
      <c r="P6618" s="129">
        <v>42795.0</v>
      </c>
      <c r="Q6618" s="36" t="s">
        <v>22639</v>
      </c>
      <c r="R6618" s="36"/>
      <c r="S6618" s="36">
        <v>2.0</v>
      </c>
      <c r="T6618" s="28" t="s">
        <v>31047</v>
      </c>
      <c r="U6618" s="38" t="str">
        <f>HYPERLINK("https://www.ncbi.nlm.nih.gov/pubmed/19143014","PubMed")</f>
        <v>PubMed</v>
      </c>
      <c r="V6618" s="50"/>
      <c r="W6618" s="49"/>
      <c r="X6618" s="49"/>
      <c r="Y6618" s="35"/>
      <c r="Z6618" s="35"/>
      <c r="AA6618" s="35"/>
      <c r="AB6618" s="35"/>
      <c r="AC6618" s="35"/>
      <c r="AD6618" s="35"/>
      <c r="AE6618" s="35"/>
      <c r="AF6618" s="35"/>
      <c r="AG6618" s="35"/>
      <c r="AH6618" s="35"/>
      <c r="AI6618" s="35"/>
      <c r="AJ6618" s="35"/>
      <c r="AK6618" s="35"/>
      <c r="AL6618" s="35"/>
    </row>
    <row r="6619">
      <c r="A6619" s="1"/>
      <c r="B6619" s="19" t="s">
        <v>30772</v>
      </c>
      <c r="C6619" s="20" t="s">
        <v>31044</v>
      </c>
      <c r="D6619" s="47"/>
      <c r="E6619" s="22" t="s">
        <v>30778</v>
      </c>
      <c r="F6619" s="22" t="s">
        <v>510</v>
      </c>
      <c r="G6619" s="23">
        <v>2009.0</v>
      </c>
      <c r="H6619" s="22" t="s">
        <v>91</v>
      </c>
      <c r="I6619" s="24" t="s">
        <v>31048</v>
      </c>
      <c r="J6619" s="22" t="s">
        <v>31</v>
      </c>
      <c r="K6619" s="22"/>
      <c r="L6619" s="36">
        <v>660.0</v>
      </c>
      <c r="M6619" s="36"/>
      <c r="N6619" s="36" t="s">
        <v>30780</v>
      </c>
      <c r="O6619" s="36" t="s">
        <v>7877</v>
      </c>
      <c r="P6619" s="129">
        <v>42795.0</v>
      </c>
      <c r="Q6619" s="36" t="s">
        <v>22639</v>
      </c>
      <c r="R6619" s="36">
        <v>42.0</v>
      </c>
      <c r="S6619" s="36">
        <v>2.0</v>
      </c>
      <c r="T6619" s="28" t="s">
        <v>31049</v>
      </c>
      <c r="U6619" s="38" t="str">
        <f>HYPERLINK("https://www.ncbi.nlm.nih.gov/pubmed/19005736","PubMed")</f>
        <v>PubMed</v>
      </c>
      <c r="V6619" s="50"/>
      <c r="W6619" s="49"/>
      <c r="X6619" s="49"/>
      <c r="Y6619" s="35"/>
      <c r="Z6619" s="35"/>
      <c r="AA6619" s="35"/>
      <c r="AB6619" s="35"/>
      <c r="AC6619" s="35"/>
      <c r="AD6619" s="35"/>
      <c r="AE6619" s="35"/>
      <c r="AF6619" s="35"/>
      <c r="AG6619" s="35"/>
      <c r="AH6619" s="35"/>
      <c r="AI6619" s="35"/>
      <c r="AJ6619" s="35"/>
      <c r="AK6619" s="35"/>
      <c r="AL6619" s="35"/>
    </row>
    <row r="6620">
      <c r="A6620" s="40"/>
      <c r="B6620" s="19" t="s">
        <v>30772</v>
      </c>
      <c r="C6620" s="20" t="s">
        <v>31050</v>
      </c>
      <c r="D6620" s="47"/>
      <c r="E6620" s="22" t="s">
        <v>23726</v>
      </c>
      <c r="F6620" s="22" t="s">
        <v>41</v>
      </c>
      <c r="G6620" s="23">
        <v>2021.0</v>
      </c>
      <c r="H6620" s="22" t="s">
        <v>39</v>
      </c>
      <c r="I6620" s="24" t="s">
        <v>31051</v>
      </c>
      <c r="J6620" s="22" t="s">
        <v>31</v>
      </c>
      <c r="K6620" s="22" t="s">
        <v>31052</v>
      </c>
      <c r="L6620" s="36"/>
      <c r="M6620" s="36"/>
      <c r="N6620" s="36"/>
      <c r="O6620" s="36"/>
      <c r="P6620" s="36"/>
      <c r="Q6620" s="36"/>
      <c r="R6620" s="36"/>
      <c r="S6620" s="36"/>
      <c r="T6620" s="28" t="s">
        <v>31053</v>
      </c>
      <c r="U6620" s="29" t="s">
        <v>61</v>
      </c>
      <c r="V6620" s="50"/>
      <c r="W6620" s="49"/>
      <c r="X6620" s="49"/>
      <c r="Y6620" s="35"/>
      <c r="Z6620" s="35"/>
      <c r="AA6620" s="35"/>
      <c r="AB6620" s="35"/>
      <c r="AC6620" s="35"/>
      <c r="AD6620" s="35"/>
      <c r="AE6620" s="35"/>
      <c r="AF6620" s="35"/>
      <c r="AG6620" s="35"/>
      <c r="AH6620" s="35"/>
      <c r="AI6620" s="35"/>
      <c r="AJ6620" s="35"/>
      <c r="AK6620" s="35"/>
      <c r="AL6620" s="35"/>
    </row>
    <row r="6621">
      <c r="A6621" s="40"/>
      <c r="B6621" s="19" t="s">
        <v>30772</v>
      </c>
      <c r="C6621" s="20" t="s">
        <v>31054</v>
      </c>
      <c r="D6621" s="47"/>
      <c r="E6621" s="22" t="s">
        <v>17090</v>
      </c>
      <c r="F6621" s="22" t="s">
        <v>41</v>
      </c>
      <c r="G6621" s="23">
        <v>2024.0</v>
      </c>
      <c r="H6621" s="22" t="s">
        <v>5348</v>
      </c>
      <c r="I6621" s="24" t="s">
        <v>31055</v>
      </c>
      <c r="J6621" s="22" t="s">
        <v>44</v>
      </c>
      <c r="K6621" s="22"/>
      <c r="L6621" s="52">
        <v>660.0</v>
      </c>
      <c r="M6621" s="52">
        <v>100.0</v>
      </c>
      <c r="N6621" s="52"/>
      <c r="O6621" s="52" t="s">
        <v>31056</v>
      </c>
      <c r="P6621" s="52"/>
      <c r="Q6621" s="52" t="s">
        <v>31057</v>
      </c>
      <c r="R6621" s="52">
        <v>180.0</v>
      </c>
      <c r="S6621" s="52" t="s">
        <v>31058</v>
      </c>
      <c r="T6621" s="28" t="s">
        <v>31059</v>
      </c>
      <c r="U6621" s="38" t="s">
        <v>61</v>
      </c>
      <c r="V6621" s="50"/>
      <c r="W6621" s="49"/>
      <c r="X6621" s="49"/>
      <c r="Y6621" s="35"/>
      <c r="Z6621" s="35"/>
      <c r="AA6621" s="35"/>
      <c r="AB6621" s="35"/>
      <c r="AC6621" s="35"/>
      <c r="AD6621" s="35"/>
      <c r="AE6621" s="35"/>
      <c r="AF6621" s="35"/>
      <c r="AG6621" s="35"/>
      <c r="AH6621" s="35"/>
      <c r="AI6621" s="35"/>
      <c r="AJ6621" s="35"/>
      <c r="AK6621" s="35"/>
      <c r="AL6621" s="35"/>
    </row>
    <row r="6622">
      <c r="A6622" s="40"/>
      <c r="B6622" s="19" t="s">
        <v>30772</v>
      </c>
      <c r="C6622" s="20" t="s">
        <v>31054</v>
      </c>
      <c r="D6622" s="47"/>
      <c r="E6622" s="22" t="s">
        <v>312</v>
      </c>
      <c r="F6622" s="22" t="s">
        <v>494</v>
      </c>
      <c r="G6622" s="23">
        <v>2023.0</v>
      </c>
      <c r="H6622" s="22" t="s">
        <v>91</v>
      </c>
      <c r="I6622" s="24" t="s">
        <v>31060</v>
      </c>
      <c r="J6622" s="22" t="s">
        <v>125</v>
      </c>
      <c r="K6622" s="22"/>
      <c r="L6622" s="132" t="s">
        <v>31061</v>
      </c>
      <c r="U6622" s="38" t="s">
        <v>61</v>
      </c>
      <c r="V6622" s="50"/>
      <c r="W6622" s="49"/>
      <c r="X6622" s="49"/>
      <c r="Y6622" s="35"/>
      <c r="Z6622" s="35"/>
      <c r="AA6622" s="35"/>
      <c r="AB6622" s="35"/>
      <c r="AC6622" s="35"/>
      <c r="AD6622" s="35"/>
      <c r="AE6622" s="35"/>
      <c r="AF6622" s="35"/>
      <c r="AG6622" s="35"/>
      <c r="AH6622" s="35"/>
      <c r="AI6622" s="35"/>
      <c r="AJ6622" s="35"/>
      <c r="AK6622" s="35"/>
      <c r="AL6622" s="35"/>
    </row>
    <row r="6623">
      <c r="A6623" s="40"/>
      <c r="B6623" s="19" t="s">
        <v>30772</v>
      </c>
      <c r="C6623" s="20" t="s">
        <v>31054</v>
      </c>
      <c r="D6623" s="47"/>
      <c r="E6623" s="22" t="s">
        <v>10573</v>
      </c>
      <c r="F6623" s="22" t="s">
        <v>41</v>
      </c>
      <c r="G6623" s="23">
        <v>2019.0</v>
      </c>
      <c r="H6623" s="22" t="s">
        <v>91</v>
      </c>
      <c r="I6623" s="24" t="s">
        <v>31062</v>
      </c>
      <c r="J6623" s="22" t="s">
        <v>31063</v>
      </c>
      <c r="K6623" s="22" t="s">
        <v>31064</v>
      </c>
      <c r="L6623" s="36" t="s">
        <v>31065</v>
      </c>
      <c r="M6623" s="36" t="s">
        <v>31066</v>
      </c>
      <c r="N6623" s="36"/>
      <c r="O6623" s="36"/>
      <c r="P6623" s="36"/>
      <c r="Q6623" s="36"/>
      <c r="R6623" s="36"/>
      <c r="S6623" s="36">
        <v>1.0</v>
      </c>
      <c r="T6623" s="42" t="s">
        <v>31067</v>
      </c>
      <c r="U6623" s="38" t="str">
        <f>HYPERLINK("https://www.ncbi.nlm.nih.gov/pubmed/31654154","PubMed")</f>
        <v>PubMed</v>
      </c>
      <c r="V6623" s="50"/>
      <c r="W6623" s="49"/>
      <c r="X6623" s="49"/>
      <c r="Y6623" s="35"/>
      <c r="Z6623" s="35"/>
      <c r="AA6623" s="35"/>
      <c r="AB6623" s="35"/>
      <c r="AC6623" s="35"/>
      <c r="AD6623" s="35"/>
      <c r="AE6623" s="35"/>
      <c r="AF6623" s="35"/>
      <c r="AG6623" s="35"/>
      <c r="AH6623" s="35"/>
      <c r="AI6623" s="35"/>
      <c r="AJ6623" s="35"/>
      <c r="AK6623" s="35"/>
      <c r="AL6623" s="35"/>
    </row>
    <row r="6624">
      <c r="A6624" s="40"/>
      <c r="B6624" s="19" t="s">
        <v>30772</v>
      </c>
      <c r="C6624" s="20" t="s">
        <v>31054</v>
      </c>
      <c r="D6624" s="47"/>
      <c r="E6624" s="22" t="s">
        <v>16445</v>
      </c>
      <c r="F6624" s="22" t="s">
        <v>41</v>
      </c>
      <c r="G6624" s="23">
        <v>2018.0</v>
      </c>
      <c r="H6624" s="22" t="s">
        <v>91</v>
      </c>
      <c r="I6624" s="24" t="s">
        <v>31068</v>
      </c>
      <c r="J6624" s="22" t="s">
        <v>31069</v>
      </c>
      <c r="K6624" s="22" t="s">
        <v>31070</v>
      </c>
      <c r="L6624" s="36" t="s">
        <v>13418</v>
      </c>
      <c r="M6624" s="36"/>
      <c r="N6624" s="36"/>
      <c r="O6624" s="36" t="s">
        <v>31071</v>
      </c>
      <c r="P6624" s="36"/>
      <c r="Q6624" s="36"/>
      <c r="R6624" s="36"/>
      <c r="S6624" s="36" t="s">
        <v>31072</v>
      </c>
      <c r="T6624" s="28" t="s">
        <v>31073</v>
      </c>
      <c r="U6624" s="38" t="str">
        <f>HYPERLINK("https://www.ncbi.nlm.nih.gov/pubmed/30255449","PubMed")</f>
        <v>PubMed</v>
      </c>
      <c r="V6624" s="50"/>
      <c r="W6624" s="49"/>
      <c r="X6624" s="49"/>
      <c r="Y6624" s="35"/>
      <c r="Z6624" s="35"/>
      <c r="AA6624" s="35"/>
      <c r="AB6624" s="35"/>
      <c r="AC6624" s="35"/>
      <c r="AD6624" s="35"/>
      <c r="AE6624" s="35"/>
      <c r="AF6624" s="35"/>
      <c r="AG6624" s="35"/>
      <c r="AH6624" s="35"/>
      <c r="AI6624" s="35"/>
      <c r="AJ6624" s="35"/>
      <c r="AK6624" s="35"/>
      <c r="AL6624" s="35"/>
    </row>
    <row r="6625">
      <c r="A6625" s="40" t="s">
        <v>181</v>
      </c>
      <c r="B6625" s="19" t="s">
        <v>30772</v>
      </c>
      <c r="C6625" s="20" t="s">
        <v>31054</v>
      </c>
      <c r="D6625" s="47"/>
      <c r="E6625" s="22" t="s">
        <v>11766</v>
      </c>
      <c r="F6625" s="22" t="s">
        <v>1943</v>
      </c>
      <c r="G6625" s="23">
        <v>2018.0</v>
      </c>
      <c r="H6625" s="22" t="s">
        <v>31074</v>
      </c>
      <c r="I6625" s="24" t="s">
        <v>31075</v>
      </c>
      <c r="J6625" s="22" t="s">
        <v>31076</v>
      </c>
      <c r="K6625" s="22"/>
      <c r="L6625" s="36">
        <v>905.0</v>
      </c>
      <c r="M6625" s="36" t="s">
        <v>11770</v>
      </c>
      <c r="N6625" s="36"/>
      <c r="O6625" s="36"/>
      <c r="P6625" s="36"/>
      <c r="Q6625" s="36"/>
      <c r="R6625" s="36"/>
      <c r="S6625" s="36" t="s">
        <v>1514</v>
      </c>
      <c r="T6625" s="28" t="s">
        <v>31077</v>
      </c>
      <c r="U6625" s="38" t="s">
        <v>6709</v>
      </c>
      <c r="V6625" s="50"/>
      <c r="W6625" s="49"/>
      <c r="X6625" s="49"/>
      <c r="Y6625" s="35"/>
      <c r="Z6625" s="35"/>
      <c r="AA6625" s="35"/>
      <c r="AB6625" s="35"/>
      <c r="AC6625" s="35"/>
      <c r="AD6625" s="35"/>
      <c r="AE6625" s="35"/>
      <c r="AF6625" s="35"/>
      <c r="AG6625" s="35"/>
      <c r="AH6625" s="35"/>
      <c r="AI6625" s="35"/>
      <c r="AJ6625" s="35"/>
      <c r="AK6625" s="35"/>
      <c r="AL6625" s="35"/>
    </row>
    <row r="6626">
      <c r="A6626" s="205" t="s">
        <v>2</v>
      </c>
      <c r="B6626" s="19" t="s">
        <v>30772</v>
      </c>
      <c r="C6626" s="20" t="s">
        <v>31054</v>
      </c>
      <c r="D6626" s="47"/>
      <c r="E6626" s="22" t="s">
        <v>31078</v>
      </c>
      <c r="F6626" s="22" t="s">
        <v>41</v>
      </c>
      <c r="G6626" s="23">
        <v>2018.0</v>
      </c>
      <c r="H6626" s="22" t="s">
        <v>3347</v>
      </c>
      <c r="I6626" s="24" t="s">
        <v>31079</v>
      </c>
      <c r="J6626" s="22" t="s">
        <v>44</v>
      </c>
      <c r="K6626" s="22"/>
      <c r="L6626" s="36">
        <v>660.0</v>
      </c>
      <c r="M6626" s="36">
        <v>30.0</v>
      </c>
      <c r="N6626" s="36"/>
      <c r="O6626" s="36"/>
      <c r="P6626" s="36">
        <v>3.0</v>
      </c>
      <c r="Q6626" s="36" t="s">
        <v>31080</v>
      </c>
      <c r="R6626" s="36" t="s">
        <v>31081</v>
      </c>
      <c r="S6626" s="36">
        <v>15.0</v>
      </c>
      <c r="T6626" s="28" t="s">
        <v>31082</v>
      </c>
      <c r="U6626" s="38" t="str">
        <f>HYPERLINK("https://www.ncbi.nlm.nih.gov/pubmed/29686745","PubMed")</f>
        <v>PubMed</v>
      </c>
      <c r="V6626" s="50"/>
      <c r="W6626" s="49"/>
      <c r="X6626" s="49"/>
      <c r="Y6626" s="35"/>
      <c r="Z6626" s="35"/>
      <c r="AA6626" s="35"/>
      <c r="AB6626" s="35"/>
      <c r="AC6626" s="35"/>
      <c r="AD6626" s="35"/>
      <c r="AE6626" s="35"/>
      <c r="AF6626" s="35"/>
      <c r="AG6626" s="35"/>
      <c r="AH6626" s="35"/>
      <c r="AI6626" s="35"/>
      <c r="AJ6626" s="35"/>
      <c r="AK6626" s="35"/>
      <c r="AL6626" s="35"/>
    </row>
    <row r="6627">
      <c r="A6627" s="40" t="s">
        <v>181</v>
      </c>
      <c r="B6627" s="19" t="s">
        <v>30772</v>
      </c>
      <c r="C6627" s="20" t="s">
        <v>31054</v>
      </c>
      <c r="D6627" s="47"/>
      <c r="E6627" s="22" t="s">
        <v>31083</v>
      </c>
      <c r="F6627" s="22" t="s">
        <v>3414</v>
      </c>
      <c r="G6627" s="23">
        <v>2017.0</v>
      </c>
      <c r="H6627" s="22" t="s">
        <v>1958</v>
      </c>
      <c r="I6627" s="24" t="s">
        <v>31084</v>
      </c>
      <c r="J6627" s="22" t="s">
        <v>31085</v>
      </c>
      <c r="K6627" s="22" t="s">
        <v>31086</v>
      </c>
      <c r="L6627" s="36" t="s">
        <v>31087</v>
      </c>
      <c r="M6627" s="36"/>
      <c r="N6627" s="36"/>
      <c r="O6627" s="36"/>
      <c r="P6627" s="37"/>
      <c r="Q6627" s="36"/>
      <c r="R6627" s="36"/>
      <c r="S6627" s="36" t="s">
        <v>31088</v>
      </c>
      <c r="T6627" s="28" t="s">
        <v>31089</v>
      </c>
      <c r="U6627" s="38" t="str">
        <f>HYPERLINK("https://www.ncbi.nlm.nih.gov/pubmed/28931981","PubMed")</f>
        <v>PubMed</v>
      </c>
      <c r="V6627" s="50"/>
      <c r="W6627" s="49"/>
      <c r="X6627" s="49"/>
      <c r="Y6627" s="35"/>
      <c r="Z6627" s="35"/>
      <c r="AA6627" s="35"/>
      <c r="AB6627" s="35"/>
      <c r="AC6627" s="35"/>
      <c r="AD6627" s="35"/>
      <c r="AE6627" s="35"/>
      <c r="AF6627" s="35"/>
      <c r="AG6627" s="35"/>
      <c r="AH6627" s="35"/>
      <c r="AI6627" s="35"/>
      <c r="AJ6627" s="35"/>
      <c r="AK6627" s="35"/>
      <c r="AL6627" s="35"/>
    </row>
    <row r="6628">
      <c r="A6628" s="1"/>
      <c r="B6628" s="19" t="s">
        <v>30772</v>
      </c>
      <c r="C6628" s="20" t="s">
        <v>31054</v>
      </c>
      <c r="D6628" s="47"/>
      <c r="E6628" s="22" t="s">
        <v>31090</v>
      </c>
      <c r="F6628" s="22" t="s">
        <v>27626</v>
      </c>
      <c r="G6628" s="23">
        <v>2016.0</v>
      </c>
      <c r="H6628" s="22" t="s">
        <v>31091</v>
      </c>
      <c r="I6628" s="24" t="s">
        <v>31092</v>
      </c>
      <c r="J6628" s="22" t="s">
        <v>3053</v>
      </c>
      <c r="K6628" s="22"/>
      <c r="L6628" s="36"/>
      <c r="M6628" s="36"/>
      <c r="N6628" s="36"/>
      <c r="O6628" s="36"/>
      <c r="P6628" s="37"/>
      <c r="Q6628" s="36"/>
      <c r="R6628" s="36"/>
      <c r="S6628" s="36"/>
      <c r="T6628" s="28" t="s">
        <v>31093</v>
      </c>
      <c r="U6628" s="38" t="str">
        <f>HYPERLINK("https://www.ncbi.nlm.nih.gov/pubmed/27030326","PubMed")</f>
        <v>PubMed</v>
      </c>
      <c r="V6628" s="50"/>
      <c r="W6628" s="49"/>
      <c r="X6628" s="49"/>
      <c r="Y6628" s="35"/>
      <c r="Z6628" s="35"/>
      <c r="AA6628" s="35"/>
      <c r="AB6628" s="35"/>
      <c r="AC6628" s="35"/>
      <c r="AD6628" s="35"/>
      <c r="AE6628" s="35"/>
      <c r="AF6628" s="35"/>
      <c r="AG6628" s="35"/>
      <c r="AH6628" s="35"/>
      <c r="AI6628" s="35"/>
      <c r="AJ6628" s="35"/>
      <c r="AK6628" s="35"/>
      <c r="AL6628" s="35"/>
    </row>
    <row r="6629">
      <c r="A6629" s="1"/>
      <c r="B6629" s="19" t="s">
        <v>30772</v>
      </c>
      <c r="C6629" s="20" t="s">
        <v>31054</v>
      </c>
      <c r="D6629" s="47"/>
      <c r="E6629" s="22" t="s">
        <v>31094</v>
      </c>
      <c r="F6629" s="22" t="s">
        <v>400</v>
      </c>
      <c r="G6629" s="23">
        <v>2015.0</v>
      </c>
      <c r="H6629" s="22" t="s">
        <v>627</v>
      </c>
      <c r="I6629" s="24" t="s">
        <v>31095</v>
      </c>
      <c r="J6629" s="22" t="s">
        <v>44</v>
      </c>
      <c r="K6629" s="22" t="s">
        <v>31096</v>
      </c>
      <c r="L6629" s="36"/>
      <c r="M6629" s="36"/>
      <c r="N6629" s="36"/>
      <c r="O6629" s="36"/>
      <c r="P6629" s="37"/>
      <c r="Q6629" s="36"/>
      <c r="R6629" s="36"/>
      <c r="S6629" s="36"/>
      <c r="T6629" s="28" t="s">
        <v>31097</v>
      </c>
      <c r="U6629" s="38" t="str">
        <f>HYPERLINK("http://www.ncbi.nlm.nih.gov/pubmed/26322981","PubMed")</f>
        <v>PubMed</v>
      </c>
      <c r="V6629" s="50"/>
      <c r="W6629" s="49"/>
      <c r="X6629" s="49"/>
      <c r="Y6629" s="35"/>
      <c r="Z6629" s="35"/>
      <c r="AA6629" s="35"/>
      <c r="AB6629" s="35"/>
      <c r="AC6629" s="35"/>
      <c r="AD6629" s="35"/>
      <c r="AE6629" s="35"/>
      <c r="AF6629" s="35"/>
      <c r="AG6629" s="35"/>
      <c r="AH6629" s="35"/>
      <c r="AI6629" s="35"/>
      <c r="AJ6629" s="35"/>
      <c r="AK6629" s="35"/>
      <c r="AL6629" s="35"/>
    </row>
    <row r="6630">
      <c r="A6630" s="341" t="s">
        <v>2</v>
      </c>
      <c r="B6630" s="19" t="s">
        <v>30772</v>
      </c>
      <c r="C6630" s="20" t="s">
        <v>31054</v>
      </c>
      <c r="D6630" s="47"/>
      <c r="E6630" s="22" t="s">
        <v>16445</v>
      </c>
      <c r="F6630" s="22" t="s">
        <v>41</v>
      </c>
      <c r="G6630" s="23">
        <v>2015.0</v>
      </c>
      <c r="H6630" s="22" t="s">
        <v>91</v>
      </c>
      <c r="I6630" s="24" t="s">
        <v>31098</v>
      </c>
      <c r="J6630" s="22" t="s">
        <v>31099</v>
      </c>
      <c r="K6630" s="22" t="s">
        <v>31100</v>
      </c>
      <c r="L6630" s="36" t="s">
        <v>29993</v>
      </c>
      <c r="M6630" s="36"/>
      <c r="N6630" s="36"/>
      <c r="O6630" s="36" t="s">
        <v>31101</v>
      </c>
      <c r="P6630" s="106"/>
      <c r="Q6630" s="299"/>
      <c r="R6630" s="36">
        <v>228.0</v>
      </c>
      <c r="S6630" s="36" t="s">
        <v>31102</v>
      </c>
      <c r="T6630" s="28" t="s">
        <v>31103</v>
      </c>
      <c r="U6630" s="38" t="str">
        <f>HYPERLINK("https://www.ncbi.nlm.nih.gov/pubmed/25413975/","PubMed")</f>
        <v>PubMed</v>
      </c>
      <c r="V6630" s="30"/>
      <c r="W6630" s="49"/>
      <c r="X6630" s="49"/>
      <c r="Y6630" s="35"/>
      <c r="Z6630" s="35"/>
      <c r="AA6630" s="35"/>
      <c r="AB6630" s="35"/>
      <c r="AC6630" s="35"/>
      <c r="AD6630" s="35"/>
      <c r="AE6630" s="35"/>
      <c r="AF6630" s="35"/>
      <c r="AG6630" s="35"/>
      <c r="AH6630" s="35"/>
      <c r="AI6630" s="35"/>
      <c r="AJ6630" s="35"/>
      <c r="AK6630" s="35"/>
      <c r="AL6630" s="35"/>
    </row>
    <row r="6631">
      <c r="A6631" s="341"/>
      <c r="B6631" s="19" t="s">
        <v>30772</v>
      </c>
      <c r="C6631" s="20" t="s">
        <v>31054</v>
      </c>
      <c r="D6631" s="47"/>
      <c r="E6631" s="22" t="s">
        <v>16445</v>
      </c>
      <c r="F6631" s="22" t="s">
        <v>41</v>
      </c>
      <c r="G6631" s="23">
        <v>2014.0</v>
      </c>
      <c r="H6631" s="22" t="s">
        <v>91</v>
      </c>
      <c r="I6631" s="24" t="s">
        <v>31104</v>
      </c>
      <c r="J6631" s="22" t="s">
        <v>31105</v>
      </c>
      <c r="K6631" s="22" t="s">
        <v>31106</v>
      </c>
      <c r="L6631" s="36"/>
      <c r="M6631" s="36"/>
      <c r="N6631" s="36"/>
      <c r="O6631" s="36"/>
      <c r="P6631" s="106"/>
      <c r="Q6631" s="299"/>
      <c r="R6631" s="36"/>
      <c r="S6631" s="36" t="s">
        <v>31102</v>
      </c>
      <c r="T6631" s="28" t="s">
        <v>31107</v>
      </c>
      <c r="U6631" s="38" t="str">
        <f>HYPERLINK("https://www.ncbi.nlm.nih.gov/pubmed/23743817","PubMed")</f>
        <v>PubMed</v>
      </c>
      <c r="V6631" s="30"/>
      <c r="W6631" s="49"/>
      <c r="X6631" s="49"/>
      <c r="Y6631" s="35"/>
      <c r="Z6631" s="35"/>
      <c r="AA6631" s="35"/>
      <c r="AB6631" s="35"/>
      <c r="AC6631" s="35"/>
      <c r="AD6631" s="35"/>
      <c r="AE6631" s="35"/>
      <c r="AF6631" s="35"/>
      <c r="AG6631" s="35"/>
      <c r="AH6631" s="35"/>
      <c r="AI6631" s="35"/>
      <c r="AJ6631" s="35"/>
      <c r="AK6631" s="35"/>
      <c r="AL6631" s="35"/>
    </row>
    <row r="6632">
      <c r="A6632" s="341"/>
      <c r="B6632" s="19" t="s">
        <v>30772</v>
      </c>
      <c r="C6632" s="20" t="s">
        <v>31054</v>
      </c>
      <c r="D6632" s="47"/>
      <c r="E6632" s="22" t="s">
        <v>16445</v>
      </c>
      <c r="F6632" s="22" t="s">
        <v>41</v>
      </c>
      <c r="G6632" s="23">
        <v>2013.0</v>
      </c>
      <c r="H6632" s="22" t="s">
        <v>2863</v>
      </c>
      <c r="I6632" s="24" t="s">
        <v>31108</v>
      </c>
      <c r="J6632" s="22" t="s">
        <v>2141</v>
      </c>
      <c r="K6632" s="22" t="s">
        <v>157</v>
      </c>
      <c r="L6632" s="168"/>
      <c r="M6632" s="168"/>
      <c r="N6632" s="168"/>
      <c r="O6632" s="168"/>
      <c r="P6632" s="339"/>
      <c r="Q6632" s="340"/>
      <c r="R6632" s="168"/>
      <c r="S6632" s="168"/>
      <c r="T6632" s="185"/>
      <c r="U6632" s="38" t="str">
        <f>HYPERLINK("https://www.ncbi.nlm.nih.gov/pubmed/23663518","PubMed")</f>
        <v>PubMed</v>
      </c>
      <c r="V6632" s="30"/>
      <c r="W6632" s="49"/>
      <c r="X6632" s="49"/>
      <c r="Y6632" s="35"/>
      <c r="Z6632" s="35"/>
      <c r="AA6632" s="35"/>
      <c r="AB6632" s="35"/>
      <c r="AC6632" s="35"/>
      <c r="AD6632" s="35"/>
      <c r="AE6632" s="35"/>
      <c r="AF6632" s="35"/>
      <c r="AG6632" s="35"/>
      <c r="AH6632" s="35"/>
      <c r="AI6632" s="35"/>
      <c r="AJ6632" s="35"/>
      <c r="AK6632" s="35"/>
      <c r="AL6632" s="35"/>
    </row>
    <row r="6633">
      <c r="A6633" s="1"/>
      <c r="B6633" s="19" t="s">
        <v>30772</v>
      </c>
      <c r="C6633" s="20" t="s">
        <v>31054</v>
      </c>
      <c r="D6633" s="47"/>
      <c r="E6633" s="22" t="s">
        <v>31109</v>
      </c>
      <c r="F6633" s="22" t="s">
        <v>748</v>
      </c>
      <c r="G6633" s="23">
        <v>2009.0</v>
      </c>
      <c r="H6633" s="22" t="s">
        <v>31110</v>
      </c>
      <c r="I6633" s="24" t="s">
        <v>31111</v>
      </c>
      <c r="J6633" s="22" t="s">
        <v>3053</v>
      </c>
      <c r="K6633" s="22"/>
      <c r="L6633" s="36"/>
      <c r="M6633" s="36"/>
      <c r="N6633" s="36"/>
      <c r="O6633" s="36"/>
      <c r="P6633" s="37"/>
      <c r="Q6633" s="129"/>
      <c r="R6633" s="36"/>
      <c r="S6633" s="36"/>
      <c r="T6633" s="28" t="s">
        <v>31112</v>
      </c>
      <c r="U6633" s="38" t="str">
        <f>HYPERLINK("https://www.ncbi.nlm.nih.gov/pubmed/19514298","PubMed")</f>
        <v>PubMed</v>
      </c>
      <c r="V6633" s="30"/>
      <c r="W6633" s="49"/>
      <c r="X6633" s="49"/>
      <c r="Y6633" s="35"/>
      <c r="Z6633" s="35"/>
      <c r="AA6633" s="35"/>
      <c r="AB6633" s="35"/>
      <c r="AC6633" s="35"/>
      <c r="AD6633" s="35"/>
      <c r="AE6633" s="35"/>
      <c r="AF6633" s="35"/>
      <c r="AG6633" s="35"/>
      <c r="AH6633" s="35"/>
      <c r="AI6633" s="35"/>
      <c r="AJ6633" s="35"/>
      <c r="AK6633" s="35"/>
      <c r="AL6633" s="35"/>
    </row>
    <row r="6634">
      <c r="A6634" s="1"/>
      <c r="B6634" s="19" t="s">
        <v>30772</v>
      </c>
      <c r="C6634" s="20" t="s">
        <v>31113</v>
      </c>
      <c r="D6634" s="47"/>
      <c r="E6634" s="22" t="s">
        <v>30778</v>
      </c>
      <c r="F6634" s="22" t="s">
        <v>31114</v>
      </c>
      <c r="G6634" s="23">
        <v>2006.0</v>
      </c>
      <c r="H6634" s="22" t="s">
        <v>91</v>
      </c>
      <c r="I6634" s="24" t="s">
        <v>31115</v>
      </c>
      <c r="J6634" s="22" t="s">
        <v>55</v>
      </c>
      <c r="K6634" s="22" t="s">
        <v>31116</v>
      </c>
      <c r="L6634" s="36">
        <v>650.0</v>
      </c>
      <c r="M6634" s="36"/>
      <c r="N6634" s="36"/>
      <c r="O6634" s="36"/>
      <c r="P6634" s="37"/>
      <c r="Q6634" s="129"/>
      <c r="R6634" s="36"/>
      <c r="S6634" s="36">
        <v>4.0</v>
      </c>
      <c r="T6634" s="28" t="s">
        <v>31117</v>
      </c>
      <c r="U6634" s="38" t="str">
        <f>HYPERLINK("https://www.ncbi.nlm.nih.gov/pubmed/17033742","PubMed")</f>
        <v>PubMed</v>
      </c>
      <c r="V6634" s="30"/>
      <c r="W6634" s="49"/>
      <c r="X6634" s="49"/>
      <c r="Y6634" s="35"/>
      <c r="Z6634" s="35"/>
      <c r="AA6634" s="35"/>
      <c r="AB6634" s="35"/>
      <c r="AC6634" s="35"/>
      <c r="AD6634" s="35"/>
      <c r="AE6634" s="35"/>
      <c r="AF6634" s="35"/>
      <c r="AG6634" s="35"/>
      <c r="AH6634" s="35"/>
      <c r="AI6634" s="35"/>
      <c r="AJ6634" s="35"/>
      <c r="AK6634" s="35"/>
      <c r="AL6634" s="35"/>
    </row>
    <row r="6635">
      <c r="A6635" s="1"/>
      <c r="B6635" s="19" t="s">
        <v>30772</v>
      </c>
      <c r="C6635" s="20" t="s">
        <v>31118</v>
      </c>
      <c r="D6635" s="47"/>
      <c r="E6635" s="22" t="s">
        <v>28276</v>
      </c>
      <c r="F6635" s="22" t="s">
        <v>1398</v>
      </c>
      <c r="G6635" s="23">
        <v>2019.0</v>
      </c>
      <c r="H6635" s="22" t="s">
        <v>31119</v>
      </c>
      <c r="I6635" s="24" t="s">
        <v>31120</v>
      </c>
      <c r="J6635" s="22" t="s">
        <v>31121</v>
      </c>
      <c r="K6635" s="22" t="s">
        <v>31122</v>
      </c>
      <c r="L6635" s="36" t="s">
        <v>3447</v>
      </c>
      <c r="M6635" s="36"/>
      <c r="N6635" s="36"/>
      <c r="O6635" s="36"/>
      <c r="P6635" s="37"/>
      <c r="Q6635" s="129"/>
      <c r="R6635" s="36"/>
      <c r="S6635" s="36">
        <v>1.0</v>
      </c>
      <c r="T6635" s="28" t="s">
        <v>31123</v>
      </c>
      <c r="U6635" s="38" t="str">
        <f>HYPERLINK("https://www.ncbi.nlm.nih.gov/pubmed/31113856","PubMed")</f>
        <v>PubMed</v>
      </c>
      <c r="V6635" s="30" t="s">
        <v>31124</v>
      </c>
      <c r="W6635" s="49"/>
      <c r="X6635" s="49"/>
      <c r="Y6635" s="35"/>
      <c r="Z6635" s="35"/>
      <c r="AA6635" s="35"/>
      <c r="AB6635" s="35"/>
      <c r="AC6635" s="35"/>
      <c r="AD6635" s="35"/>
      <c r="AE6635" s="35"/>
      <c r="AF6635" s="35"/>
      <c r="AG6635" s="35"/>
      <c r="AH6635" s="35"/>
      <c r="AI6635" s="35"/>
      <c r="AJ6635" s="35"/>
      <c r="AK6635" s="35"/>
      <c r="AL6635" s="35"/>
    </row>
    <row r="6636">
      <c r="A6636" s="1"/>
      <c r="B6636" s="19" t="s">
        <v>30772</v>
      </c>
      <c r="C6636" s="20" t="s">
        <v>2815</v>
      </c>
      <c r="D6636" s="47"/>
      <c r="E6636" s="22" t="s">
        <v>30825</v>
      </c>
      <c r="F6636" s="22" t="s">
        <v>41</v>
      </c>
      <c r="G6636" s="23">
        <v>2023.0</v>
      </c>
      <c r="H6636" s="22" t="s">
        <v>91</v>
      </c>
      <c r="I6636" s="24" t="s">
        <v>31125</v>
      </c>
      <c r="J6636" s="22" t="s">
        <v>125</v>
      </c>
      <c r="K6636" s="22"/>
      <c r="L6636" s="105" t="s">
        <v>31126</v>
      </c>
      <c r="M6636" s="44"/>
      <c r="N6636" s="44"/>
      <c r="O6636" s="44"/>
      <c r="P6636" s="44"/>
      <c r="Q6636" s="44"/>
      <c r="R6636" s="44"/>
      <c r="S6636" s="44"/>
      <c r="T6636" s="45"/>
      <c r="U6636" s="38" t="s">
        <v>61</v>
      </c>
      <c r="V6636" s="30"/>
      <c r="W6636" s="49"/>
      <c r="X6636" s="49"/>
      <c r="Y6636" s="35"/>
      <c r="Z6636" s="35"/>
      <c r="AA6636" s="35"/>
      <c r="AB6636" s="35"/>
      <c r="AC6636" s="35"/>
      <c r="AD6636" s="35"/>
      <c r="AE6636" s="35"/>
      <c r="AF6636" s="35"/>
      <c r="AG6636" s="35"/>
      <c r="AH6636" s="35"/>
      <c r="AI6636" s="35"/>
      <c r="AJ6636" s="35"/>
      <c r="AK6636" s="35"/>
      <c r="AL6636" s="35"/>
    </row>
    <row r="6637">
      <c r="A6637" s="1"/>
      <c r="B6637" s="19" t="s">
        <v>30772</v>
      </c>
      <c r="C6637" s="20" t="s">
        <v>31127</v>
      </c>
      <c r="D6637" s="47"/>
      <c r="E6637" s="22" t="s">
        <v>17090</v>
      </c>
      <c r="F6637" s="22" t="s">
        <v>41</v>
      </c>
      <c r="G6637" s="23">
        <v>2019.0</v>
      </c>
      <c r="H6637" s="22" t="s">
        <v>207</v>
      </c>
      <c r="I6637" s="24" t="s">
        <v>31128</v>
      </c>
      <c r="J6637" s="22" t="s">
        <v>209</v>
      </c>
      <c r="K6637" s="22"/>
      <c r="L6637" s="36">
        <v>780.0</v>
      </c>
      <c r="M6637" s="36">
        <v>30.0</v>
      </c>
      <c r="N6637" s="36"/>
      <c r="O6637" s="129">
        <v>44044.0</v>
      </c>
      <c r="P6637" s="37" t="s">
        <v>969</v>
      </c>
      <c r="Q6637" s="36" t="s">
        <v>31129</v>
      </c>
      <c r="R6637" s="36">
        <v>60.0</v>
      </c>
      <c r="S6637" s="36"/>
      <c r="T6637" s="28" t="s">
        <v>31130</v>
      </c>
      <c r="U6637" s="38" t="str">
        <f>HYPERLINK("https://www.ncbi.nlm.nih.gov/pubmed/31935633","PubMed")</f>
        <v>PubMed</v>
      </c>
      <c r="V6637" s="30"/>
      <c r="W6637" s="49"/>
      <c r="X6637" s="49"/>
      <c r="Y6637" s="35"/>
      <c r="Z6637" s="35"/>
      <c r="AA6637" s="35"/>
      <c r="AB6637" s="35"/>
      <c r="AC6637" s="35"/>
      <c r="AD6637" s="35"/>
      <c r="AE6637" s="35"/>
      <c r="AF6637" s="35"/>
      <c r="AG6637" s="35"/>
      <c r="AH6637" s="35"/>
      <c r="AI6637" s="35"/>
      <c r="AJ6637" s="35"/>
      <c r="AK6637" s="35"/>
      <c r="AL6637" s="35"/>
    </row>
    <row r="6638">
      <c r="A6638" s="1"/>
      <c r="B6638" s="19" t="s">
        <v>30772</v>
      </c>
      <c r="C6638" s="20" t="s">
        <v>31127</v>
      </c>
      <c r="D6638" s="47"/>
      <c r="E6638" s="22" t="s">
        <v>31005</v>
      </c>
      <c r="F6638" s="22" t="s">
        <v>41</v>
      </c>
      <c r="G6638" s="23">
        <v>2017.0</v>
      </c>
      <c r="H6638" s="22" t="s">
        <v>91</v>
      </c>
      <c r="I6638" s="24" t="s">
        <v>31131</v>
      </c>
      <c r="J6638" s="22" t="s">
        <v>44</v>
      </c>
      <c r="K6638" s="22" t="s">
        <v>31132</v>
      </c>
      <c r="L6638" s="36">
        <v>660.0</v>
      </c>
      <c r="M6638" s="36">
        <v>100.0</v>
      </c>
      <c r="N6638" s="36" t="s">
        <v>286</v>
      </c>
      <c r="O6638" s="36">
        <v>15.0</v>
      </c>
      <c r="P6638" s="37" t="s">
        <v>432</v>
      </c>
      <c r="Q6638" s="36" t="s">
        <v>25453</v>
      </c>
      <c r="R6638" s="36">
        <v>150.0</v>
      </c>
      <c r="S6638" s="36">
        <v>8.0</v>
      </c>
      <c r="T6638" s="28" t="s">
        <v>31133</v>
      </c>
      <c r="U6638" s="38" t="str">
        <f>HYPERLINK("https://www.ncbi.nlm.nih.gov/pubmed/28712048","PubMed")</f>
        <v>PubMed</v>
      </c>
      <c r="V6638" s="30"/>
      <c r="W6638" s="49"/>
      <c r="X6638" s="49"/>
      <c r="Y6638" s="35"/>
      <c r="Z6638" s="35"/>
      <c r="AA6638" s="35"/>
      <c r="AB6638" s="35"/>
      <c r="AC6638" s="35"/>
      <c r="AD6638" s="35"/>
      <c r="AE6638" s="35"/>
      <c r="AF6638" s="35"/>
      <c r="AG6638" s="35"/>
      <c r="AH6638" s="35"/>
      <c r="AI6638" s="35"/>
      <c r="AJ6638" s="35"/>
      <c r="AK6638" s="35"/>
      <c r="AL6638" s="35"/>
    </row>
    <row r="6639">
      <c r="A6639" s="1"/>
      <c r="B6639" s="19" t="s">
        <v>30772</v>
      </c>
      <c r="C6639" s="20" t="s">
        <v>31134</v>
      </c>
      <c r="D6639" s="47"/>
      <c r="E6639" s="22" t="s">
        <v>30778</v>
      </c>
      <c r="F6639" s="22" t="s">
        <v>31114</v>
      </c>
      <c r="G6639" s="23">
        <v>2007.0</v>
      </c>
      <c r="H6639" s="22" t="s">
        <v>658</v>
      </c>
      <c r="I6639" s="24" t="s">
        <v>31135</v>
      </c>
      <c r="J6639" s="22" t="s">
        <v>55</v>
      </c>
      <c r="K6639" s="22" t="s">
        <v>31136</v>
      </c>
      <c r="L6639" s="36">
        <v>650.0</v>
      </c>
      <c r="M6639" s="36"/>
      <c r="N6639" s="36"/>
      <c r="O6639" s="36"/>
      <c r="P6639" s="37" t="s">
        <v>31137</v>
      </c>
      <c r="Q6639" s="129"/>
      <c r="R6639" s="36"/>
      <c r="S6639" s="36"/>
      <c r="T6639" s="28" t="s">
        <v>31138</v>
      </c>
      <c r="U6639" s="38" t="str">
        <f>HYPERLINK("https://www.ncbi.nlm.nih.gov/pubmed/17508847","PubMed")</f>
        <v>PubMed</v>
      </c>
      <c r="V6639" s="30"/>
      <c r="W6639" s="49"/>
      <c r="X6639" s="49"/>
      <c r="Y6639" s="35"/>
      <c r="Z6639" s="35"/>
      <c r="AA6639" s="35"/>
      <c r="AB6639" s="35"/>
      <c r="AC6639" s="35"/>
      <c r="AD6639" s="35"/>
      <c r="AE6639" s="35"/>
      <c r="AF6639" s="35"/>
      <c r="AG6639" s="35"/>
      <c r="AH6639" s="35"/>
      <c r="AI6639" s="35"/>
      <c r="AJ6639" s="35"/>
      <c r="AK6639" s="35"/>
      <c r="AL6639" s="35"/>
    </row>
    <row r="6640">
      <c r="A6640" s="1"/>
      <c r="B6640" s="19" t="s">
        <v>30772</v>
      </c>
      <c r="C6640" s="20" t="s">
        <v>31139</v>
      </c>
      <c r="D6640" s="47"/>
      <c r="E6640" s="22" t="s">
        <v>31140</v>
      </c>
      <c r="F6640" s="22" t="s">
        <v>323</v>
      </c>
      <c r="G6640" s="23">
        <v>2023.0</v>
      </c>
      <c r="H6640" s="22" t="s">
        <v>31141</v>
      </c>
      <c r="I6640" s="24" t="s">
        <v>31142</v>
      </c>
      <c r="J6640" s="22" t="s">
        <v>557</v>
      </c>
      <c r="K6640" s="22"/>
      <c r="L6640" s="173" t="s">
        <v>31143</v>
      </c>
      <c r="U6640" s="38" t="s">
        <v>61</v>
      </c>
      <c r="V6640" s="50"/>
      <c r="W6640" s="49"/>
      <c r="X6640" s="49"/>
      <c r="Y6640" s="35"/>
      <c r="Z6640" s="35"/>
      <c r="AA6640" s="35"/>
      <c r="AB6640" s="35"/>
      <c r="AC6640" s="35"/>
      <c r="AD6640" s="35"/>
      <c r="AE6640" s="35"/>
      <c r="AF6640" s="35"/>
      <c r="AG6640" s="35"/>
      <c r="AH6640" s="35"/>
      <c r="AI6640" s="35"/>
      <c r="AJ6640" s="35"/>
      <c r="AK6640" s="35"/>
      <c r="AL6640" s="35"/>
    </row>
    <row r="6641">
      <c r="A6641" s="1"/>
      <c r="B6641" s="19" t="s">
        <v>30772</v>
      </c>
      <c r="C6641" s="20" t="s">
        <v>31139</v>
      </c>
      <c r="D6641" s="47"/>
      <c r="E6641" s="22" t="s">
        <v>31144</v>
      </c>
      <c r="F6641" s="22" t="s">
        <v>24346</v>
      </c>
      <c r="G6641" s="23">
        <v>2021.0</v>
      </c>
      <c r="H6641" s="22" t="s">
        <v>2398</v>
      </c>
      <c r="I6641" s="24" t="s">
        <v>31145</v>
      </c>
      <c r="J6641" s="22" t="s">
        <v>557</v>
      </c>
      <c r="K6641" s="22"/>
      <c r="L6641" s="173" t="s">
        <v>31146</v>
      </c>
      <c r="U6641" s="29" t="s">
        <v>61</v>
      </c>
      <c r="V6641" s="50"/>
      <c r="W6641" s="49"/>
      <c r="X6641" s="49"/>
      <c r="Y6641" s="35"/>
      <c r="Z6641" s="35"/>
      <c r="AA6641" s="35"/>
      <c r="AB6641" s="35"/>
      <c r="AC6641" s="35"/>
      <c r="AD6641" s="35"/>
      <c r="AE6641" s="35"/>
      <c r="AF6641" s="35"/>
      <c r="AG6641" s="35"/>
      <c r="AH6641" s="35"/>
      <c r="AI6641" s="35"/>
      <c r="AJ6641" s="35"/>
      <c r="AK6641" s="35"/>
      <c r="AL6641" s="35"/>
    </row>
    <row r="6642">
      <c r="A6642" s="1" t="s">
        <v>2</v>
      </c>
      <c r="B6642" s="19" t="s">
        <v>30772</v>
      </c>
      <c r="C6642" s="20" t="s">
        <v>31139</v>
      </c>
      <c r="D6642" s="47"/>
      <c r="E6642" s="22" t="s">
        <v>7540</v>
      </c>
      <c r="F6642" s="22" t="s">
        <v>41</v>
      </c>
      <c r="G6642" s="23" t="s">
        <v>90</v>
      </c>
      <c r="H6642" s="22" t="s">
        <v>42</v>
      </c>
      <c r="I6642" s="24" t="s">
        <v>31147</v>
      </c>
      <c r="J6642" s="22" t="s">
        <v>44</v>
      </c>
      <c r="K6642" s="22" t="s">
        <v>31148</v>
      </c>
      <c r="L6642" s="36">
        <v>660.0</v>
      </c>
      <c r="M6642" s="36">
        <v>100.0</v>
      </c>
      <c r="N6642" s="36" t="s">
        <v>286</v>
      </c>
      <c r="O6642" s="36">
        <v>15.0</v>
      </c>
      <c r="P6642" s="37" t="s">
        <v>432</v>
      </c>
      <c r="Q6642" s="36" t="s">
        <v>25453</v>
      </c>
      <c r="R6642" s="36">
        <v>150.0</v>
      </c>
      <c r="S6642" s="36" t="s">
        <v>31149</v>
      </c>
      <c r="T6642" s="28" t="s">
        <v>31150</v>
      </c>
      <c r="U6642" s="38" t="str">
        <f>HYPERLINK("https://www.ncbi.nlm.nih.gov/pubmed/28417574","PubMed")</f>
        <v>PubMed</v>
      </c>
      <c r="V6642" s="50"/>
      <c r="W6642" s="49"/>
      <c r="X6642" s="49"/>
      <c r="Y6642" s="35"/>
      <c r="Z6642" s="35"/>
      <c r="AA6642" s="35"/>
      <c r="AB6642" s="35"/>
      <c r="AC6642" s="35"/>
      <c r="AD6642" s="35"/>
      <c r="AE6642" s="35"/>
      <c r="AF6642" s="35"/>
      <c r="AG6642" s="35"/>
      <c r="AH6642" s="35"/>
      <c r="AI6642" s="35"/>
      <c r="AJ6642" s="35"/>
      <c r="AK6642" s="35"/>
      <c r="AL6642" s="35"/>
    </row>
    <row r="6643">
      <c r="A6643" s="1" t="s">
        <v>2</v>
      </c>
      <c r="B6643" s="19" t="s">
        <v>30772</v>
      </c>
      <c r="C6643" s="20" t="s">
        <v>31139</v>
      </c>
      <c r="D6643" s="47"/>
      <c r="E6643" s="22" t="s">
        <v>17005</v>
      </c>
      <c r="F6643" s="22" t="s">
        <v>31114</v>
      </c>
      <c r="G6643" s="23">
        <v>2017.0</v>
      </c>
      <c r="H6643" s="22" t="s">
        <v>91</v>
      </c>
      <c r="I6643" s="24" t="s">
        <v>31151</v>
      </c>
      <c r="J6643" s="22" t="s">
        <v>44</v>
      </c>
      <c r="K6643" s="22" t="s">
        <v>31152</v>
      </c>
      <c r="L6643" s="36">
        <v>660.0</v>
      </c>
      <c r="M6643" s="36">
        <v>30.0</v>
      </c>
      <c r="N6643" s="36" t="s">
        <v>31153</v>
      </c>
      <c r="O6643" s="129">
        <v>42830.0</v>
      </c>
      <c r="P6643" s="37" t="s">
        <v>31154</v>
      </c>
      <c r="Q6643" s="36" t="s">
        <v>22639</v>
      </c>
      <c r="R6643" s="36">
        <v>180.0</v>
      </c>
      <c r="S6643" s="36">
        <v>1.0</v>
      </c>
      <c r="T6643" s="28" t="s">
        <v>31155</v>
      </c>
      <c r="U6643" s="38" t="str">
        <f>HYPERLINK("https://www.ncbi.nlm.nih.gov/pubmed/27924419","PubMed")</f>
        <v>PubMed</v>
      </c>
      <c r="V6643" s="50"/>
      <c r="W6643" s="49"/>
      <c r="X6643" s="49"/>
      <c r="Y6643" s="35"/>
      <c r="Z6643" s="35"/>
      <c r="AA6643" s="35"/>
      <c r="AB6643" s="35"/>
      <c r="AC6643" s="35"/>
      <c r="AD6643" s="35"/>
      <c r="AE6643" s="35"/>
      <c r="AF6643" s="35"/>
      <c r="AG6643" s="35"/>
      <c r="AH6643" s="35"/>
      <c r="AI6643" s="35"/>
      <c r="AJ6643" s="35"/>
      <c r="AK6643" s="35"/>
      <c r="AL6643" s="35"/>
    </row>
    <row r="6644">
      <c r="A6644" s="1" t="s">
        <v>2</v>
      </c>
      <c r="B6644" s="19" t="s">
        <v>30772</v>
      </c>
      <c r="C6644" s="20" t="s">
        <v>31139</v>
      </c>
      <c r="D6644" s="47"/>
      <c r="E6644" s="22" t="s">
        <v>31156</v>
      </c>
      <c r="F6644" s="22" t="s">
        <v>31114</v>
      </c>
      <c r="G6644" s="23">
        <v>2016.0</v>
      </c>
      <c r="H6644" s="22" t="s">
        <v>42</v>
      </c>
      <c r="I6644" s="24" t="s">
        <v>31157</v>
      </c>
      <c r="J6644" s="22" t="s">
        <v>44</v>
      </c>
      <c r="K6644" s="22" t="s">
        <v>31158</v>
      </c>
      <c r="L6644" s="36">
        <v>660.0</v>
      </c>
      <c r="M6644" s="36">
        <v>30.0</v>
      </c>
      <c r="N6644" s="36" t="s">
        <v>11688</v>
      </c>
      <c r="O6644" s="36">
        <v>9.0</v>
      </c>
      <c r="P6644" s="37" t="s">
        <v>14254</v>
      </c>
      <c r="Q6644" s="36" t="s">
        <v>22639</v>
      </c>
      <c r="R6644" s="36">
        <v>300.0</v>
      </c>
      <c r="S6644" s="36" t="s">
        <v>1990</v>
      </c>
      <c r="T6644" s="28" t="s">
        <v>31159</v>
      </c>
      <c r="U6644" s="38" t="str">
        <f>HYPERLINK("https://www.ncbi.nlm.nih.gov/pubmed/27649282","PubMed")</f>
        <v>PubMed</v>
      </c>
      <c r="V6644" s="50"/>
      <c r="W6644" s="49"/>
      <c r="X6644" s="49"/>
      <c r="Y6644" s="35"/>
      <c r="Z6644" s="35"/>
      <c r="AA6644" s="35"/>
      <c r="AB6644" s="35"/>
      <c r="AC6644" s="35"/>
      <c r="AD6644" s="35"/>
      <c r="AE6644" s="35"/>
      <c r="AF6644" s="35"/>
      <c r="AG6644" s="35"/>
      <c r="AH6644" s="35"/>
      <c r="AI6644" s="35"/>
      <c r="AJ6644" s="35"/>
      <c r="AK6644" s="35"/>
      <c r="AL6644" s="35"/>
    </row>
    <row r="6645">
      <c r="A6645" s="18" t="s">
        <v>38</v>
      </c>
      <c r="B6645" s="19" t="s">
        <v>30772</v>
      </c>
      <c r="C6645" s="20" t="s">
        <v>31139</v>
      </c>
      <c r="D6645" s="47"/>
      <c r="E6645" s="22" t="s">
        <v>31160</v>
      </c>
      <c r="F6645" s="22" t="s">
        <v>41</v>
      </c>
      <c r="G6645" s="23">
        <v>2016.0</v>
      </c>
      <c r="H6645" s="22" t="s">
        <v>42</v>
      </c>
      <c r="I6645" s="24" t="s">
        <v>31161</v>
      </c>
      <c r="J6645" s="22" t="s">
        <v>44</v>
      </c>
      <c r="K6645" s="22" t="s">
        <v>31162</v>
      </c>
      <c r="L6645" s="36">
        <v>660.0</v>
      </c>
      <c r="M6645" s="36"/>
      <c r="N6645" s="36"/>
      <c r="O6645" s="36"/>
      <c r="P6645" s="37" t="s">
        <v>95</v>
      </c>
      <c r="Q6645" s="36"/>
      <c r="R6645" s="36"/>
      <c r="S6645" s="36">
        <v>1.0</v>
      </c>
      <c r="T6645" s="42" t="s">
        <v>31163</v>
      </c>
      <c r="U6645" s="38" t="str">
        <f>HYPERLINK("https://www.ncbi.nlm.nih.gov/pubmed/26381933","PubMed")</f>
        <v>PubMed</v>
      </c>
      <c r="V6645" s="50"/>
      <c r="W6645" s="49"/>
      <c r="X6645" s="49"/>
      <c r="Y6645" s="35"/>
      <c r="Z6645" s="35"/>
      <c r="AA6645" s="35"/>
      <c r="AB6645" s="35"/>
      <c r="AC6645" s="35"/>
      <c r="AD6645" s="35"/>
      <c r="AE6645" s="35"/>
      <c r="AF6645" s="35"/>
      <c r="AG6645" s="35"/>
      <c r="AH6645" s="35"/>
      <c r="AI6645" s="35"/>
      <c r="AJ6645" s="35"/>
      <c r="AK6645" s="35"/>
      <c r="AL6645" s="35"/>
    </row>
    <row r="6646">
      <c r="A6646" s="18"/>
      <c r="B6646" s="19" t="s">
        <v>30772</v>
      </c>
      <c r="C6646" s="20" t="s">
        <v>31139</v>
      </c>
      <c r="D6646" s="47"/>
      <c r="E6646" s="22" t="s">
        <v>31164</v>
      </c>
      <c r="F6646" s="22" t="s">
        <v>41</v>
      </c>
      <c r="G6646" s="23">
        <v>2015.0</v>
      </c>
      <c r="H6646" s="22" t="s">
        <v>627</v>
      </c>
      <c r="I6646" s="24" t="s">
        <v>31165</v>
      </c>
      <c r="J6646" s="22" t="s">
        <v>55</v>
      </c>
      <c r="K6646" s="22" t="s">
        <v>31166</v>
      </c>
      <c r="L6646" s="36">
        <v>660.0</v>
      </c>
      <c r="M6646" s="36">
        <v>30.0</v>
      </c>
      <c r="N6646" s="36" t="s">
        <v>9865</v>
      </c>
      <c r="O6646" s="36" t="s">
        <v>31167</v>
      </c>
      <c r="P6646" s="37" t="s">
        <v>31168</v>
      </c>
      <c r="Q6646" s="36" t="s">
        <v>19017</v>
      </c>
      <c r="R6646" s="36" t="s">
        <v>8808</v>
      </c>
      <c r="S6646" s="36"/>
      <c r="T6646" s="28" t="s">
        <v>31169</v>
      </c>
      <c r="U6646" s="38" t="str">
        <f>HYPERLINK("https://www.ncbi.nlm.nih.gov/pubmed/26569396","PubMed")</f>
        <v>PubMed</v>
      </c>
      <c r="V6646" s="50"/>
      <c r="W6646" s="49"/>
      <c r="X6646" s="49"/>
      <c r="Y6646" s="35"/>
      <c r="Z6646" s="35"/>
      <c r="AA6646" s="35"/>
      <c r="AB6646" s="35"/>
      <c r="AC6646" s="35"/>
      <c r="AD6646" s="35"/>
      <c r="AE6646" s="35"/>
      <c r="AF6646" s="35"/>
      <c r="AG6646" s="35"/>
      <c r="AH6646" s="35"/>
      <c r="AI6646" s="35"/>
      <c r="AJ6646" s="35"/>
      <c r="AK6646" s="35"/>
      <c r="AL6646" s="35"/>
    </row>
    <row r="6647">
      <c r="A6647" s="1"/>
      <c r="B6647" s="19" t="s">
        <v>30772</v>
      </c>
      <c r="C6647" s="20" t="s">
        <v>31139</v>
      </c>
      <c r="D6647" s="47"/>
      <c r="E6647" s="22" t="s">
        <v>5713</v>
      </c>
      <c r="F6647" s="22" t="s">
        <v>31114</v>
      </c>
      <c r="G6647" s="23">
        <v>2014.0</v>
      </c>
      <c r="H6647" s="22" t="s">
        <v>147</v>
      </c>
      <c r="I6647" s="24" t="s">
        <v>31170</v>
      </c>
      <c r="J6647" s="22" t="s">
        <v>44</v>
      </c>
      <c r="K6647" s="22" t="s">
        <v>1112</v>
      </c>
      <c r="L6647" s="36">
        <v>660.0</v>
      </c>
      <c r="M6647" s="36"/>
      <c r="N6647" s="36"/>
      <c r="O6647" s="36"/>
      <c r="P6647" s="37" t="s">
        <v>31024</v>
      </c>
      <c r="Q6647" s="36"/>
      <c r="R6647" s="36">
        <v>300.0</v>
      </c>
      <c r="S6647" s="36"/>
      <c r="T6647" s="28" t="s">
        <v>31171</v>
      </c>
      <c r="U6647" s="38" t="str">
        <f>HYPERLINK("https://www.ncbi.nlm.nih.gov/pubmed/25653801","PubMed")</f>
        <v>PubMed</v>
      </c>
      <c r="V6647" s="50"/>
      <c r="W6647" s="49"/>
      <c r="X6647" s="49"/>
      <c r="Y6647" s="35"/>
      <c r="Z6647" s="35"/>
      <c r="AA6647" s="35"/>
      <c r="AB6647" s="35"/>
      <c r="AC6647" s="35"/>
      <c r="AD6647" s="35"/>
      <c r="AE6647" s="35"/>
      <c r="AF6647" s="35"/>
      <c r="AG6647" s="35"/>
      <c r="AH6647" s="35"/>
      <c r="AI6647" s="35"/>
      <c r="AJ6647" s="35"/>
      <c r="AK6647" s="35"/>
      <c r="AL6647" s="35"/>
    </row>
    <row r="6648">
      <c r="A6648" s="1"/>
      <c r="B6648" s="19" t="s">
        <v>30772</v>
      </c>
      <c r="C6648" s="20" t="s">
        <v>31139</v>
      </c>
      <c r="D6648" s="47"/>
      <c r="E6648" s="22" t="s">
        <v>856</v>
      </c>
      <c r="F6648" s="22" t="s">
        <v>41</v>
      </c>
      <c r="G6648" s="23">
        <v>2014.0</v>
      </c>
      <c r="H6648" s="22" t="s">
        <v>207</v>
      </c>
      <c r="I6648" s="24" t="s">
        <v>31172</v>
      </c>
      <c r="J6648" s="22" t="s">
        <v>44</v>
      </c>
      <c r="K6648" s="22"/>
      <c r="L6648" s="36">
        <v>830.0</v>
      </c>
      <c r="M6648" s="36">
        <v>35.0</v>
      </c>
      <c r="N6648" s="36"/>
      <c r="O6648" s="36"/>
      <c r="P6648" s="37" t="s">
        <v>2395</v>
      </c>
      <c r="Q6648" s="36"/>
      <c r="R6648" s="36" t="s">
        <v>31173</v>
      </c>
      <c r="S6648" s="36"/>
      <c r="T6648" s="28" t="s">
        <v>31174</v>
      </c>
      <c r="U6648" s="38" t="str">
        <f>HYPERLINK("https://www.ncbi.nlm.nih.gov/pubmed/24792475","PubMed")</f>
        <v>PubMed</v>
      </c>
      <c r="V6648" s="50"/>
      <c r="W6648" s="49"/>
      <c r="X6648" s="49"/>
      <c r="Y6648" s="35"/>
      <c r="Z6648" s="35"/>
      <c r="AA6648" s="35"/>
      <c r="AB6648" s="35"/>
      <c r="AC6648" s="35"/>
      <c r="AD6648" s="35"/>
      <c r="AE6648" s="35"/>
      <c r="AF6648" s="35"/>
      <c r="AG6648" s="35"/>
      <c r="AH6648" s="35"/>
      <c r="AI6648" s="35"/>
      <c r="AJ6648" s="35"/>
      <c r="AK6648" s="35"/>
      <c r="AL6648" s="35"/>
    </row>
    <row r="6649">
      <c r="A6649" s="1" t="s">
        <v>2</v>
      </c>
      <c r="B6649" s="19" t="s">
        <v>30772</v>
      </c>
      <c r="C6649" s="20" t="s">
        <v>31139</v>
      </c>
      <c r="D6649" s="47"/>
      <c r="E6649" s="22" t="s">
        <v>5713</v>
      </c>
      <c r="F6649" s="22" t="s">
        <v>31114</v>
      </c>
      <c r="G6649" s="23">
        <v>2013.0</v>
      </c>
      <c r="H6649" s="22" t="s">
        <v>4975</v>
      </c>
      <c r="I6649" s="24" t="s">
        <v>31175</v>
      </c>
      <c r="J6649" s="22" t="s">
        <v>55</v>
      </c>
      <c r="K6649" s="22"/>
      <c r="L6649" s="36">
        <v>660.0</v>
      </c>
      <c r="M6649" s="36">
        <v>30.0</v>
      </c>
      <c r="N6649" s="36" t="s">
        <v>31176</v>
      </c>
      <c r="O6649" s="129">
        <v>42465.0</v>
      </c>
      <c r="P6649" s="37" t="s">
        <v>31177</v>
      </c>
      <c r="Q6649" s="36" t="s">
        <v>22639</v>
      </c>
      <c r="R6649" s="36">
        <v>180.0</v>
      </c>
      <c r="S6649" s="36">
        <v>2.0</v>
      </c>
      <c r="T6649" s="28" t="s">
        <v>31178</v>
      </c>
      <c r="U6649" s="38" t="str">
        <f>HYPERLINK("https://www.ncbi.nlm.nih.gov/pubmed/22882462","PubMed")</f>
        <v>PubMed</v>
      </c>
      <c r="V6649" s="30"/>
      <c r="W6649" s="49"/>
      <c r="X6649" s="49"/>
      <c r="Y6649" s="35"/>
      <c r="Z6649" s="35"/>
      <c r="AA6649" s="35"/>
      <c r="AB6649" s="35"/>
      <c r="AC6649" s="35"/>
      <c r="AD6649" s="35"/>
      <c r="AE6649" s="35"/>
      <c r="AF6649" s="35"/>
      <c r="AG6649" s="35"/>
      <c r="AH6649" s="35"/>
      <c r="AI6649" s="35"/>
      <c r="AJ6649" s="35"/>
      <c r="AK6649" s="35"/>
      <c r="AL6649" s="35"/>
    </row>
    <row r="6650">
      <c r="A6650" s="1"/>
      <c r="B6650" s="19" t="s">
        <v>30772</v>
      </c>
      <c r="C6650" s="20" t="s">
        <v>31139</v>
      </c>
      <c r="D6650" s="47"/>
      <c r="E6650" s="22" t="s">
        <v>5713</v>
      </c>
      <c r="F6650" s="22" t="s">
        <v>31114</v>
      </c>
      <c r="G6650" s="23">
        <v>2013.0</v>
      </c>
      <c r="H6650" s="22" t="s">
        <v>91</v>
      </c>
      <c r="I6650" s="24" t="s">
        <v>31179</v>
      </c>
      <c r="J6650" s="22" t="s">
        <v>55</v>
      </c>
      <c r="K6650" s="22" t="s">
        <v>31180</v>
      </c>
      <c r="L6650" s="36">
        <v>660.0</v>
      </c>
      <c r="M6650" s="36">
        <v>30.0</v>
      </c>
      <c r="N6650" s="36"/>
      <c r="O6650" s="129">
        <v>42465.0</v>
      </c>
      <c r="P6650" s="37"/>
      <c r="Q6650" s="36" t="s">
        <v>22639</v>
      </c>
      <c r="R6650" s="36">
        <v>180.0</v>
      </c>
      <c r="S6650" s="36">
        <v>1.0</v>
      </c>
      <c r="T6650" s="28" t="s">
        <v>31181</v>
      </c>
      <c r="U6650" s="38" t="str">
        <f>HYPERLINK("https://www.ncbi.nlm.nih.gov/pubmed/22562449","PubMed")</f>
        <v>PubMed</v>
      </c>
      <c r="V6650" s="30" t="s">
        <v>31182</v>
      </c>
      <c r="W6650" s="49"/>
      <c r="X6650" s="49"/>
      <c r="Y6650" s="35"/>
      <c r="Z6650" s="35"/>
      <c r="AA6650" s="35"/>
      <c r="AB6650" s="35"/>
      <c r="AC6650" s="35"/>
      <c r="AD6650" s="35"/>
      <c r="AE6650" s="35"/>
      <c r="AF6650" s="35"/>
      <c r="AG6650" s="35"/>
      <c r="AH6650" s="35"/>
      <c r="AI6650" s="35"/>
      <c r="AJ6650" s="35"/>
      <c r="AK6650" s="35"/>
      <c r="AL6650" s="35"/>
    </row>
    <row r="6651">
      <c r="A6651" s="1"/>
      <c r="B6651" s="19" t="s">
        <v>30772</v>
      </c>
      <c r="C6651" s="20" t="s">
        <v>31139</v>
      </c>
      <c r="D6651" s="47"/>
      <c r="E6651" s="22" t="s">
        <v>5713</v>
      </c>
      <c r="F6651" s="22" t="s">
        <v>31114</v>
      </c>
      <c r="G6651" s="23">
        <v>2011.0</v>
      </c>
      <c r="H6651" s="22" t="s">
        <v>53</v>
      </c>
      <c r="I6651" s="24" t="s">
        <v>31183</v>
      </c>
      <c r="J6651" s="22" t="s">
        <v>55</v>
      </c>
      <c r="K6651" s="22" t="s">
        <v>31184</v>
      </c>
      <c r="L6651" s="36">
        <v>660.0</v>
      </c>
      <c r="M6651" s="36">
        <v>30.0</v>
      </c>
      <c r="N6651" s="36"/>
      <c r="O6651" s="129">
        <v>42465.0</v>
      </c>
      <c r="P6651" s="37"/>
      <c r="Q6651" s="36" t="s">
        <v>22639</v>
      </c>
      <c r="R6651" s="36">
        <v>180.0</v>
      </c>
      <c r="S6651" s="36">
        <v>1.0</v>
      </c>
      <c r="T6651" s="28" t="s">
        <v>31185</v>
      </c>
      <c r="U6651" s="38" t="str">
        <f>HYPERLINK("https://www.ncbi.nlm.nih.gov/pubmed/21674546","PubMed")</f>
        <v>PubMed</v>
      </c>
      <c r="V6651" s="30"/>
      <c r="W6651" s="49"/>
      <c r="X6651" s="49"/>
      <c r="Y6651" s="35"/>
      <c r="Z6651" s="35"/>
      <c r="AA6651" s="35"/>
      <c r="AB6651" s="35"/>
      <c r="AC6651" s="35"/>
      <c r="AD6651" s="35"/>
      <c r="AE6651" s="35"/>
      <c r="AF6651" s="35"/>
      <c r="AG6651" s="35"/>
      <c r="AH6651" s="35"/>
      <c r="AI6651" s="35"/>
      <c r="AJ6651" s="35"/>
      <c r="AK6651" s="35"/>
      <c r="AL6651" s="35"/>
    </row>
    <row r="6652">
      <c r="A6652" s="40" t="s">
        <v>2</v>
      </c>
      <c r="B6652" s="19" t="s">
        <v>30772</v>
      </c>
      <c r="C6652" s="20" t="s">
        <v>31139</v>
      </c>
      <c r="D6652" s="47"/>
      <c r="E6652" s="22" t="s">
        <v>31045</v>
      </c>
      <c r="F6652" s="22" t="s">
        <v>31114</v>
      </c>
      <c r="G6652" s="23">
        <v>2010.0</v>
      </c>
      <c r="H6652" s="22" t="s">
        <v>207</v>
      </c>
      <c r="I6652" s="24" t="s">
        <v>31186</v>
      </c>
      <c r="J6652" s="22" t="s">
        <v>55</v>
      </c>
      <c r="K6652" s="22" t="s">
        <v>31187</v>
      </c>
      <c r="L6652" s="36">
        <v>650.0</v>
      </c>
      <c r="M6652" s="129">
        <v>42492.0</v>
      </c>
      <c r="N6652" s="36" t="s">
        <v>16655</v>
      </c>
      <c r="O6652" s="129"/>
      <c r="P6652" s="37" t="s">
        <v>30782</v>
      </c>
      <c r="Q6652" s="36" t="s">
        <v>22639</v>
      </c>
      <c r="R6652" s="36">
        <v>42.0</v>
      </c>
      <c r="S6652" s="36"/>
      <c r="T6652" s="28" t="s">
        <v>31188</v>
      </c>
      <c r="U6652" s="38" t="str">
        <f>HYPERLINK("https://www.ncbi.nlm.nih.gov/pubmed/20728373","PubMed")</f>
        <v>PubMed</v>
      </c>
      <c r="V6652" s="30"/>
      <c r="W6652" s="49"/>
      <c r="X6652" s="49"/>
      <c r="Y6652" s="35"/>
      <c r="Z6652" s="35"/>
      <c r="AA6652" s="35"/>
      <c r="AB6652" s="35"/>
      <c r="AC6652" s="35"/>
      <c r="AD6652" s="35"/>
      <c r="AE6652" s="35"/>
      <c r="AF6652" s="35"/>
      <c r="AG6652" s="35"/>
      <c r="AH6652" s="35"/>
      <c r="AI6652" s="35"/>
      <c r="AJ6652" s="35"/>
      <c r="AK6652" s="35"/>
      <c r="AL6652" s="35"/>
    </row>
    <row r="6653">
      <c r="A6653" s="1"/>
      <c r="B6653" s="19" t="s">
        <v>30772</v>
      </c>
      <c r="C6653" s="20" t="s">
        <v>31139</v>
      </c>
      <c r="D6653" s="47"/>
      <c r="E6653" s="22" t="s">
        <v>30778</v>
      </c>
      <c r="F6653" s="22" t="s">
        <v>31114</v>
      </c>
      <c r="G6653" s="23">
        <v>2008.0</v>
      </c>
      <c r="H6653" s="22" t="s">
        <v>9366</v>
      </c>
      <c r="I6653" s="24" t="s">
        <v>31189</v>
      </c>
      <c r="J6653" s="22" t="s">
        <v>44</v>
      </c>
      <c r="K6653" s="22"/>
      <c r="L6653" s="36">
        <v>660.0</v>
      </c>
      <c r="M6653" s="36">
        <v>30.0</v>
      </c>
      <c r="N6653" s="36"/>
      <c r="O6653" s="36"/>
      <c r="P6653" s="37" t="s">
        <v>704</v>
      </c>
      <c r="Q6653" s="36" t="s">
        <v>4833</v>
      </c>
      <c r="R6653" s="36"/>
      <c r="S6653" s="36"/>
      <c r="T6653" s="28" t="s">
        <v>31190</v>
      </c>
      <c r="U6653" s="38" t="str">
        <f>HYPERLINK("https://www.ncbi.nlm.nih.gov/pubmed/18328453","PubMed")</f>
        <v>PubMed</v>
      </c>
      <c r="V6653" s="30"/>
      <c r="W6653" s="49"/>
      <c r="X6653" s="49"/>
      <c r="Y6653" s="35"/>
      <c r="Z6653" s="35"/>
      <c r="AA6653" s="35"/>
      <c r="AB6653" s="35"/>
      <c r="AC6653" s="35"/>
      <c r="AD6653" s="35"/>
      <c r="AE6653" s="35"/>
      <c r="AF6653" s="35"/>
      <c r="AG6653" s="35"/>
      <c r="AH6653" s="35"/>
      <c r="AI6653" s="35"/>
      <c r="AJ6653" s="35"/>
      <c r="AK6653" s="35"/>
      <c r="AL6653" s="35"/>
    </row>
    <row r="6654">
      <c r="A6654" s="1"/>
      <c r="B6654" s="19" t="s">
        <v>30772</v>
      </c>
      <c r="C6654" s="20" t="s">
        <v>31139</v>
      </c>
      <c r="D6654" s="47"/>
      <c r="E6654" s="22" t="s">
        <v>30778</v>
      </c>
      <c r="F6654" s="22" t="s">
        <v>31114</v>
      </c>
      <c r="G6654" s="23">
        <v>2008.0</v>
      </c>
      <c r="H6654" s="22" t="s">
        <v>39</v>
      </c>
      <c r="I6654" s="24" t="s">
        <v>31191</v>
      </c>
      <c r="J6654" s="22" t="s">
        <v>55</v>
      </c>
      <c r="K6654" s="22" t="s">
        <v>31187</v>
      </c>
      <c r="L6654" s="36">
        <v>660.0</v>
      </c>
      <c r="M6654" s="36">
        <v>30.0</v>
      </c>
      <c r="N6654" s="36"/>
      <c r="O6654" s="36"/>
      <c r="P6654" s="37" t="s">
        <v>704</v>
      </c>
      <c r="Q6654" s="36" t="s">
        <v>4833</v>
      </c>
      <c r="R6654" s="36"/>
      <c r="S6654" s="36"/>
      <c r="T6654" s="28" t="s">
        <v>31192</v>
      </c>
      <c r="U6654" s="38" t="str">
        <f>HYPERLINK("https://www.ncbi.nlm.nih.gov/pubmed/18421573","PubMed")</f>
        <v>PubMed</v>
      </c>
      <c r="V6654" s="30"/>
      <c r="W6654" s="49"/>
      <c r="X6654" s="49"/>
      <c r="Y6654" s="35"/>
      <c r="Z6654" s="35"/>
      <c r="AA6654" s="35"/>
      <c r="AB6654" s="35"/>
      <c r="AC6654" s="35"/>
      <c r="AD6654" s="35"/>
      <c r="AE6654" s="35"/>
      <c r="AF6654" s="35"/>
      <c r="AG6654" s="35"/>
      <c r="AH6654" s="35"/>
      <c r="AI6654" s="35"/>
      <c r="AJ6654" s="35"/>
      <c r="AK6654" s="35"/>
      <c r="AL6654" s="35"/>
    </row>
    <row r="6655">
      <c r="A6655" s="1"/>
      <c r="B6655" s="19" t="s">
        <v>30772</v>
      </c>
      <c r="C6655" s="20" t="s">
        <v>31139</v>
      </c>
      <c r="D6655" s="47"/>
      <c r="E6655" s="22" t="s">
        <v>30778</v>
      </c>
      <c r="F6655" s="22" t="s">
        <v>31114</v>
      </c>
      <c r="G6655" s="23">
        <v>2006.0</v>
      </c>
      <c r="H6655" s="22" t="s">
        <v>658</v>
      </c>
      <c r="I6655" s="24" t="s">
        <v>31193</v>
      </c>
      <c r="J6655" s="22" t="s">
        <v>55</v>
      </c>
      <c r="K6655" s="22" t="s">
        <v>31194</v>
      </c>
      <c r="L6655" s="36">
        <v>650.0</v>
      </c>
      <c r="M6655" s="36" t="s">
        <v>31195</v>
      </c>
      <c r="N6655" s="36" t="s">
        <v>31196</v>
      </c>
      <c r="O6655" s="36" t="s">
        <v>31197</v>
      </c>
      <c r="P6655" s="37"/>
      <c r="Q6655" s="36" t="s">
        <v>22639</v>
      </c>
      <c r="R6655" s="36">
        <v>42.0</v>
      </c>
      <c r="S6655" s="36">
        <v>1.0</v>
      </c>
      <c r="T6655" s="42" t="s">
        <v>31198</v>
      </c>
      <c r="U6655" s="38" t="str">
        <f>HYPERLINK("https://www.ncbi.nlm.nih.gov/pubmed/16503786","PubMed")</f>
        <v>PubMed</v>
      </c>
      <c r="V6655" s="30"/>
      <c r="W6655" s="49"/>
      <c r="X6655" s="49"/>
      <c r="Y6655" s="35"/>
      <c r="Z6655" s="35"/>
      <c r="AA6655" s="35"/>
      <c r="AB6655" s="35"/>
      <c r="AC6655" s="35"/>
      <c r="AD6655" s="35"/>
      <c r="AE6655" s="35"/>
      <c r="AF6655" s="35"/>
      <c r="AG6655" s="35"/>
      <c r="AH6655" s="35"/>
      <c r="AI6655" s="35"/>
      <c r="AJ6655" s="35"/>
      <c r="AK6655" s="35"/>
      <c r="AL6655" s="35"/>
    </row>
    <row r="6656">
      <c r="A6656" s="1"/>
      <c r="B6656" s="19" t="s">
        <v>30772</v>
      </c>
      <c r="C6656" s="20" t="s">
        <v>31139</v>
      </c>
      <c r="D6656" s="47"/>
      <c r="E6656" s="22" t="s">
        <v>30778</v>
      </c>
      <c r="F6656" s="22" t="s">
        <v>31114</v>
      </c>
      <c r="G6656" s="23">
        <v>2005.0</v>
      </c>
      <c r="H6656" s="22" t="s">
        <v>91</v>
      </c>
      <c r="I6656" s="24" t="s">
        <v>31199</v>
      </c>
      <c r="J6656" s="22" t="s">
        <v>55</v>
      </c>
      <c r="K6656" s="22" t="s">
        <v>31200</v>
      </c>
      <c r="L6656" s="36">
        <v>685.0</v>
      </c>
      <c r="M6656" s="36">
        <v>12.0</v>
      </c>
      <c r="N6656" s="36"/>
      <c r="O6656" s="36"/>
      <c r="P6656" s="37" t="s">
        <v>7500</v>
      </c>
      <c r="Q6656" s="129"/>
      <c r="R6656" s="36">
        <v>80.0</v>
      </c>
      <c r="S6656" s="36"/>
      <c r="T6656" s="28" t="s">
        <v>31201</v>
      </c>
      <c r="U6656" s="38" t="str">
        <f>HYPERLINK("https://www.ncbi.nlm.nih.gov/pubmed/15965713","PubMed")</f>
        <v>PubMed</v>
      </c>
      <c r="V6656" s="30"/>
      <c r="W6656" s="49"/>
      <c r="X6656" s="49"/>
      <c r="Y6656" s="35"/>
      <c r="Z6656" s="35"/>
      <c r="AA6656" s="35"/>
      <c r="AB6656" s="35"/>
      <c r="AC6656" s="35"/>
      <c r="AD6656" s="35"/>
      <c r="AE6656" s="35"/>
      <c r="AF6656" s="35"/>
      <c r="AG6656" s="35"/>
      <c r="AH6656" s="35"/>
      <c r="AI6656" s="35"/>
      <c r="AJ6656" s="35"/>
      <c r="AK6656" s="35"/>
      <c r="AL6656" s="35"/>
    </row>
    <row r="6657">
      <c r="A6657" s="40"/>
      <c r="B6657" s="19" t="s">
        <v>30772</v>
      </c>
      <c r="C6657" s="20" t="s">
        <v>31202</v>
      </c>
      <c r="D6657" s="47"/>
      <c r="E6657" s="22" t="s">
        <v>2195</v>
      </c>
      <c r="F6657" s="22" t="s">
        <v>2437</v>
      </c>
      <c r="G6657" s="23">
        <v>2022.0</v>
      </c>
      <c r="H6657" s="22" t="s">
        <v>207</v>
      </c>
      <c r="I6657" s="24" t="s">
        <v>31203</v>
      </c>
      <c r="J6657" s="22" t="s">
        <v>378</v>
      </c>
      <c r="K6657" s="22" t="s">
        <v>31204</v>
      </c>
      <c r="L6657" s="36"/>
      <c r="M6657" s="36"/>
      <c r="N6657" s="36"/>
      <c r="O6657" s="36"/>
      <c r="P6657" s="37"/>
      <c r="Q6657" s="36"/>
      <c r="R6657" s="36"/>
      <c r="S6657" s="36"/>
      <c r="T6657" s="28" t="s">
        <v>31205</v>
      </c>
      <c r="U6657" s="38" t="s">
        <v>61</v>
      </c>
      <c r="V6657" s="30" t="s">
        <v>174</v>
      </c>
      <c r="W6657" s="49"/>
      <c r="X6657" s="49"/>
      <c r="Y6657" s="35"/>
      <c r="Z6657" s="35"/>
      <c r="AA6657" s="35"/>
      <c r="AB6657" s="35"/>
      <c r="AC6657" s="35"/>
      <c r="AD6657" s="35"/>
      <c r="AE6657" s="35"/>
      <c r="AF6657" s="35"/>
      <c r="AG6657" s="35"/>
      <c r="AH6657" s="35"/>
      <c r="AI6657" s="35"/>
      <c r="AJ6657" s="35"/>
      <c r="AK6657" s="35"/>
      <c r="AL6657" s="35"/>
    </row>
    <row r="6658">
      <c r="A6658" s="40" t="s">
        <v>2</v>
      </c>
      <c r="B6658" s="19" t="s">
        <v>30772</v>
      </c>
      <c r="C6658" s="20" t="s">
        <v>31206</v>
      </c>
      <c r="D6658" s="47"/>
      <c r="E6658" s="22" t="s">
        <v>23931</v>
      </c>
      <c r="F6658" s="22" t="s">
        <v>2437</v>
      </c>
      <c r="G6658" s="23">
        <v>2022.0</v>
      </c>
      <c r="H6658" s="22" t="s">
        <v>18988</v>
      </c>
      <c r="I6658" s="24" t="s">
        <v>31207</v>
      </c>
      <c r="J6658" s="22" t="s">
        <v>55</v>
      </c>
      <c r="K6658" s="22" t="s">
        <v>31204</v>
      </c>
      <c r="L6658" s="36" t="s">
        <v>25700</v>
      </c>
      <c r="M6658" s="36"/>
      <c r="N6658" s="36" t="s">
        <v>211</v>
      </c>
      <c r="O6658" s="36"/>
      <c r="P6658" s="37" t="s">
        <v>969</v>
      </c>
      <c r="Q6658" s="36"/>
      <c r="R6658" s="36"/>
      <c r="S6658" s="36"/>
      <c r="T6658" s="28" t="s">
        <v>31208</v>
      </c>
      <c r="U6658" s="38" t="s">
        <v>61</v>
      </c>
      <c r="V6658" s="30"/>
      <c r="W6658" s="49"/>
      <c r="X6658" s="49"/>
      <c r="Y6658" s="35"/>
      <c r="Z6658" s="35"/>
      <c r="AA6658" s="35"/>
      <c r="AB6658" s="35"/>
      <c r="AC6658" s="35"/>
      <c r="AD6658" s="35"/>
      <c r="AE6658" s="35"/>
      <c r="AF6658" s="35"/>
      <c r="AG6658" s="35"/>
      <c r="AH6658" s="35"/>
      <c r="AI6658" s="35"/>
      <c r="AJ6658" s="35"/>
      <c r="AK6658" s="35"/>
      <c r="AL6658" s="35"/>
    </row>
    <row r="6659">
      <c r="A6659" s="40"/>
      <c r="B6659" s="19" t="s">
        <v>30772</v>
      </c>
      <c r="C6659" s="20" t="s">
        <v>31206</v>
      </c>
      <c r="D6659" s="47"/>
      <c r="E6659" s="22" t="s">
        <v>5294</v>
      </c>
      <c r="F6659" s="22" t="s">
        <v>31209</v>
      </c>
      <c r="G6659" s="23">
        <v>2022.0</v>
      </c>
      <c r="H6659" s="22" t="s">
        <v>3950</v>
      </c>
      <c r="I6659" s="24" t="s">
        <v>31210</v>
      </c>
      <c r="J6659" s="22" t="s">
        <v>55</v>
      </c>
      <c r="K6659" s="22"/>
      <c r="L6659" s="36">
        <v>808.0</v>
      </c>
      <c r="M6659" s="36"/>
      <c r="N6659" s="36"/>
      <c r="O6659" s="36"/>
      <c r="P6659" s="37"/>
      <c r="Q6659" s="36"/>
      <c r="R6659" s="36"/>
      <c r="S6659" s="36"/>
      <c r="T6659" s="28" t="s">
        <v>31211</v>
      </c>
      <c r="U6659" s="29" t="s">
        <v>61</v>
      </c>
      <c r="V6659" s="30"/>
      <c r="W6659" s="49"/>
      <c r="X6659" s="49"/>
      <c r="Y6659" s="35"/>
      <c r="Z6659" s="35"/>
      <c r="AA6659" s="35"/>
      <c r="AB6659" s="35"/>
      <c r="AC6659" s="35"/>
      <c r="AD6659" s="35"/>
      <c r="AE6659" s="35"/>
      <c r="AF6659" s="35"/>
      <c r="AG6659" s="35"/>
      <c r="AH6659" s="35"/>
      <c r="AI6659" s="35"/>
      <c r="AJ6659" s="35"/>
      <c r="AK6659" s="35"/>
      <c r="AL6659" s="35"/>
    </row>
    <row r="6660">
      <c r="A6660" s="40"/>
      <c r="B6660" s="19" t="s">
        <v>30772</v>
      </c>
      <c r="C6660" s="20" t="s">
        <v>31206</v>
      </c>
      <c r="D6660" s="47"/>
      <c r="E6660" s="22" t="s">
        <v>5294</v>
      </c>
      <c r="F6660" s="22" t="s">
        <v>31209</v>
      </c>
      <c r="G6660" s="23">
        <v>2021.0</v>
      </c>
      <c r="H6660" s="22" t="s">
        <v>3950</v>
      </c>
      <c r="I6660" s="24" t="s">
        <v>31212</v>
      </c>
      <c r="J6660" s="22" t="s">
        <v>55</v>
      </c>
      <c r="K6660" s="22"/>
      <c r="L6660" s="36">
        <v>808.0</v>
      </c>
      <c r="M6660" s="36">
        <v>100.0</v>
      </c>
      <c r="N6660" s="36" t="s">
        <v>31213</v>
      </c>
      <c r="O6660" s="36"/>
      <c r="P6660" s="37" t="s">
        <v>2907</v>
      </c>
      <c r="Q6660" s="36" t="s">
        <v>280</v>
      </c>
      <c r="R6660" s="36"/>
      <c r="S6660" s="36"/>
      <c r="T6660" s="28" t="s">
        <v>31214</v>
      </c>
      <c r="U6660" s="29" t="s">
        <v>61</v>
      </c>
      <c r="V6660" s="30"/>
      <c r="W6660" s="49"/>
      <c r="X6660" s="49"/>
      <c r="Y6660" s="35"/>
      <c r="Z6660" s="35"/>
      <c r="AA6660" s="35"/>
      <c r="AB6660" s="35"/>
      <c r="AC6660" s="35"/>
      <c r="AD6660" s="35"/>
      <c r="AE6660" s="35"/>
      <c r="AF6660" s="35"/>
      <c r="AG6660" s="35"/>
      <c r="AH6660" s="35"/>
      <c r="AI6660" s="35"/>
      <c r="AJ6660" s="35"/>
      <c r="AK6660" s="35"/>
      <c r="AL6660" s="35"/>
    </row>
    <row r="6661">
      <c r="A6661" s="40"/>
      <c r="B6661" s="19" t="s">
        <v>30772</v>
      </c>
      <c r="C6661" s="20" t="s">
        <v>31206</v>
      </c>
      <c r="D6661" s="47"/>
      <c r="E6661" s="22" t="s">
        <v>3827</v>
      </c>
      <c r="F6661" s="22" t="s">
        <v>41</v>
      </c>
      <c r="G6661" s="23">
        <v>2020.0</v>
      </c>
      <c r="H6661" s="22" t="s">
        <v>91</v>
      </c>
      <c r="I6661" s="24" t="s">
        <v>31215</v>
      </c>
      <c r="J6661" s="22" t="s">
        <v>55</v>
      </c>
      <c r="K6661" s="22" t="s">
        <v>157</v>
      </c>
      <c r="L6661" s="36">
        <v>660.0</v>
      </c>
      <c r="M6661" s="36">
        <v>100.0</v>
      </c>
      <c r="N6661" s="36"/>
      <c r="O6661" s="36">
        <v>15.0</v>
      </c>
      <c r="P6661" s="37" t="s">
        <v>432</v>
      </c>
      <c r="Q6661" s="36"/>
      <c r="R6661" s="36"/>
      <c r="S6661" s="36"/>
      <c r="T6661" s="28" t="s">
        <v>31216</v>
      </c>
      <c r="U6661" s="29" t="s">
        <v>61</v>
      </c>
      <c r="V6661" s="30"/>
      <c r="W6661" s="49"/>
      <c r="X6661" s="49"/>
      <c r="Y6661" s="35"/>
      <c r="Z6661" s="35"/>
      <c r="AA6661" s="35"/>
      <c r="AB6661" s="35"/>
      <c r="AC6661" s="35"/>
      <c r="AD6661" s="35"/>
      <c r="AE6661" s="35"/>
      <c r="AF6661" s="35"/>
      <c r="AG6661" s="35"/>
      <c r="AH6661" s="35"/>
      <c r="AI6661" s="35"/>
      <c r="AJ6661" s="35"/>
      <c r="AK6661" s="35"/>
      <c r="AL6661" s="35"/>
    </row>
    <row r="6662">
      <c r="A6662" s="40"/>
      <c r="B6662" s="19" t="s">
        <v>30772</v>
      </c>
      <c r="C6662" s="20" t="s">
        <v>31206</v>
      </c>
      <c r="D6662" s="47"/>
      <c r="E6662" s="22" t="s">
        <v>7678</v>
      </c>
      <c r="F6662" s="22" t="s">
        <v>993</v>
      </c>
      <c r="G6662" s="23" t="s">
        <v>2499</v>
      </c>
      <c r="H6662" s="22" t="s">
        <v>3950</v>
      </c>
      <c r="I6662" s="24" t="s">
        <v>31217</v>
      </c>
      <c r="J6662" s="22" t="s">
        <v>55</v>
      </c>
      <c r="K6662" s="22" t="s">
        <v>31218</v>
      </c>
      <c r="L6662" s="36">
        <v>808.0</v>
      </c>
      <c r="M6662" s="36">
        <v>100.0</v>
      </c>
      <c r="N6662" s="36" t="s">
        <v>31219</v>
      </c>
      <c r="O6662" s="36" t="s">
        <v>31220</v>
      </c>
      <c r="P6662" s="37" t="s">
        <v>2907</v>
      </c>
      <c r="Q6662" s="36"/>
      <c r="R6662" s="36" t="s">
        <v>31221</v>
      </c>
      <c r="S6662" s="36"/>
      <c r="T6662" s="28" t="s">
        <v>31222</v>
      </c>
      <c r="U6662" s="38" t="str">
        <f>HYPERLINK("https://www.ncbi.nlm.nih.gov/pubmed/29922788","PubMed")</f>
        <v>PubMed</v>
      </c>
      <c r="V6662" s="30"/>
      <c r="W6662" s="49"/>
      <c r="X6662" s="49"/>
      <c r="Y6662" s="35"/>
      <c r="Z6662" s="35"/>
      <c r="AA6662" s="35"/>
      <c r="AB6662" s="35"/>
      <c r="AC6662" s="35"/>
      <c r="AD6662" s="35"/>
      <c r="AE6662" s="35"/>
      <c r="AF6662" s="35"/>
      <c r="AG6662" s="35"/>
      <c r="AH6662" s="35"/>
      <c r="AI6662" s="35"/>
      <c r="AJ6662" s="35"/>
      <c r="AK6662" s="35"/>
      <c r="AL6662" s="35"/>
    </row>
    <row r="6663">
      <c r="A6663" s="40"/>
      <c r="B6663" s="19" t="s">
        <v>30772</v>
      </c>
      <c r="C6663" s="20" t="s">
        <v>31206</v>
      </c>
      <c r="D6663" s="47"/>
      <c r="E6663" s="22" t="s">
        <v>31045</v>
      </c>
      <c r="F6663" s="22" t="s">
        <v>31114</v>
      </c>
      <c r="G6663" s="23">
        <v>2009.0</v>
      </c>
      <c r="H6663" s="22" t="s">
        <v>31223</v>
      </c>
      <c r="I6663" s="24" t="s">
        <v>31224</v>
      </c>
      <c r="J6663" s="22" t="s">
        <v>378</v>
      </c>
      <c r="K6663" s="22" t="s">
        <v>31225</v>
      </c>
      <c r="L6663" s="36">
        <v>685.0</v>
      </c>
      <c r="M6663" s="36"/>
      <c r="N6663" s="36"/>
      <c r="O6663" s="36"/>
      <c r="P6663" s="37"/>
      <c r="Q6663" s="36"/>
      <c r="R6663" s="36"/>
      <c r="S6663" s="36"/>
      <c r="T6663" s="28" t="s">
        <v>31226</v>
      </c>
      <c r="U6663" s="38" t="str">
        <f>HYPERLINK("https://www.ncbi.nlm.nih.gov/pubmed/19450696","PubMed")</f>
        <v>PubMed</v>
      </c>
      <c r="V6663" s="30"/>
      <c r="W6663" s="49"/>
      <c r="X6663" s="49"/>
      <c r="Y6663" s="35"/>
      <c r="Z6663" s="35"/>
      <c r="AA6663" s="35"/>
      <c r="AB6663" s="35"/>
      <c r="AC6663" s="35"/>
      <c r="AD6663" s="35"/>
      <c r="AE6663" s="35"/>
      <c r="AF6663" s="35"/>
      <c r="AG6663" s="35"/>
      <c r="AH6663" s="35"/>
      <c r="AI6663" s="35"/>
      <c r="AJ6663" s="35"/>
      <c r="AK6663" s="35"/>
      <c r="AL6663" s="35"/>
    </row>
    <row r="6664">
      <c r="A6664" s="40"/>
      <c r="B6664" s="19" t="s">
        <v>30772</v>
      </c>
      <c r="C6664" s="20" t="s">
        <v>31227</v>
      </c>
      <c r="D6664" s="47"/>
      <c r="E6664" s="22" t="s">
        <v>4299</v>
      </c>
      <c r="F6664" s="22" t="s">
        <v>5416</v>
      </c>
      <c r="G6664" s="23">
        <v>2024.0</v>
      </c>
      <c r="H6664" s="22" t="s">
        <v>77</v>
      </c>
      <c r="I6664" s="24" t="s">
        <v>31228</v>
      </c>
      <c r="J6664" s="22" t="s">
        <v>209</v>
      </c>
      <c r="K6664" s="22" t="s">
        <v>157</v>
      </c>
      <c r="L6664" s="36">
        <v>630.0</v>
      </c>
      <c r="M6664" s="36"/>
      <c r="N6664" s="36"/>
      <c r="O6664" s="36"/>
      <c r="P6664" s="37"/>
      <c r="Q6664" s="36"/>
      <c r="R6664" s="36"/>
      <c r="S6664" s="36"/>
      <c r="T6664" s="28" t="s">
        <v>31229</v>
      </c>
      <c r="U6664" s="38" t="s">
        <v>61</v>
      </c>
      <c r="V6664" s="30"/>
      <c r="W6664" s="49"/>
      <c r="X6664" s="49"/>
      <c r="Y6664" s="35"/>
      <c r="Z6664" s="35"/>
      <c r="AA6664" s="35"/>
      <c r="AB6664" s="35"/>
      <c r="AC6664" s="35"/>
      <c r="AD6664" s="35"/>
      <c r="AE6664" s="35"/>
      <c r="AF6664" s="35"/>
      <c r="AG6664" s="35"/>
      <c r="AH6664" s="35"/>
      <c r="AI6664" s="35"/>
      <c r="AJ6664" s="35"/>
      <c r="AK6664" s="35"/>
      <c r="AL6664" s="35"/>
    </row>
    <row r="6665">
      <c r="A6665" s="40"/>
      <c r="B6665" s="19" t="s">
        <v>30772</v>
      </c>
      <c r="C6665" s="20" t="s">
        <v>31227</v>
      </c>
      <c r="D6665" s="47"/>
      <c r="E6665" s="22" t="s">
        <v>577</v>
      </c>
      <c r="F6665" s="22" t="s">
        <v>41</v>
      </c>
      <c r="G6665" s="23">
        <v>2021.0</v>
      </c>
      <c r="H6665" s="22" t="s">
        <v>91</v>
      </c>
      <c r="I6665" s="24" t="s">
        <v>31230</v>
      </c>
      <c r="J6665" s="22" t="s">
        <v>55</v>
      </c>
      <c r="K6665" s="22" t="s">
        <v>31231</v>
      </c>
      <c r="L6665" s="36">
        <v>808.0</v>
      </c>
      <c r="M6665" s="36">
        <v>30.0</v>
      </c>
      <c r="N6665" s="323">
        <v>44378.0</v>
      </c>
      <c r="O6665" s="36" t="s">
        <v>31232</v>
      </c>
      <c r="P6665" s="37"/>
      <c r="Q6665" s="36" t="s">
        <v>13520</v>
      </c>
      <c r="R6665" s="36">
        <v>56.0</v>
      </c>
      <c r="S6665" s="36"/>
      <c r="T6665" s="28" t="s">
        <v>31233</v>
      </c>
      <c r="U6665" s="29" t="s">
        <v>61</v>
      </c>
      <c r="V6665" s="30"/>
      <c r="W6665" s="49"/>
      <c r="X6665" s="49"/>
      <c r="Y6665" s="35"/>
      <c r="Z6665" s="35"/>
      <c r="AA6665" s="35"/>
      <c r="AB6665" s="35"/>
      <c r="AC6665" s="35"/>
      <c r="AD6665" s="35"/>
      <c r="AE6665" s="35"/>
      <c r="AF6665" s="35"/>
      <c r="AG6665" s="35"/>
      <c r="AH6665" s="35"/>
      <c r="AI6665" s="35"/>
      <c r="AJ6665" s="35"/>
      <c r="AK6665" s="35"/>
      <c r="AL6665" s="35"/>
    </row>
    <row r="6666">
      <c r="A6666" s="40"/>
      <c r="B6666" s="19" t="s">
        <v>30772</v>
      </c>
      <c r="C6666" s="20" t="s">
        <v>31227</v>
      </c>
      <c r="D6666" s="47"/>
      <c r="E6666" s="22" t="s">
        <v>31234</v>
      </c>
      <c r="F6666" s="22" t="s">
        <v>41</v>
      </c>
      <c r="G6666" s="23">
        <v>2018.0</v>
      </c>
      <c r="H6666" s="22" t="s">
        <v>91</v>
      </c>
      <c r="I6666" s="24" t="s">
        <v>31235</v>
      </c>
      <c r="J6666" s="22" t="s">
        <v>44</v>
      </c>
      <c r="K6666" s="22" t="s">
        <v>157</v>
      </c>
      <c r="L6666" s="36">
        <v>660.0</v>
      </c>
      <c r="M6666" s="36">
        <v>100.0</v>
      </c>
      <c r="N6666" s="36" t="s">
        <v>24595</v>
      </c>
      <c r="O6666" s="36">
        <v>15.0</v>
      </c>
      <c r="P6666" s="37" t="s">
        <v>432</v>
      </c>
      <c r="Q6666" s="36" t="s">
        <v>30828</v>
      </c>
      <c r="R6666" s="36">
        <v>150.0</v>
      </c>
      <c r="S6666" s="36"/>
      <c r="T6666" s="28" t="s">
        <v>31236</v>
      </c>
      <c r="U6666" s="38" t="str">
        <f>HYPERLINK("https://www.ncbi.nlm.nih.gov/pubmed/30443882","PubMed")</f>
        <v>PubMed</v>
      </c>
      <c r="V6666" s="30"/>
      <c r="W6666" s="49"/>
      <c r="X6666" s="49"/>
      <c r="Y6666" s="35"/>
      <c r="Z6666" s="35"/>
      <c r="AA6666" s="35"/>
      <c r="AB6666" s="35"/>
      <c r="AC6666" s="35"/>
      <c r="AD6666" s="35"/>
      <c r="AE6666" s="35"/>
      <c r="AF6666" s="35"/>
      <c r="AG6666" s="35"/>
      <c r="AH6666" s="35"/>
      <c r="AI6666" s="35"/>
      <c r="AJ6666" s="35"/>
      <c r="AK6666" s="35"/>
      <c r="AL6666" s="35"/>
    </row>
    <row r="6667">
      <c r="A6667" s="40"/>
      <c r="B6667" s="19" t="s">
        <v>30772</v>
      </c>
      <c r="C6667" s="20" t="s">
        <v>31227</v>
      </c>
      <c r="D6667" s="47"/>
      <c r="E6667" s="22" t="s">
        <v>31237</v>
      </c>
      <c r="F6667" s="22" t="s">
        <v>993</v>
      </c>
      <c r="G6667" s="23" t="s">
        <v>2499</v>
      </c>
      <c r="H6667" s="22" t="s">
        <v>91</v>
      </c>
      <c r="I6667" s="24" t="s">
        <v>31238</v>
      </c>
      <c r="J6667" s="22" t="s">
        <v>55</v>
      </c>
      <c r="K6667" s="22"/>
      <c r="L6667" s="36">
        <v>808.0</v>
      </c>
      <c r="M6667" s="36">
        <v>100.0</v>
      </c>
      <c r="N6667" s="36" t="s">
        <v>31219</v>
      </c>
      <c r="O6667" s="36" t="s">
        <v>31220</v>
      </c>
      <c r="P6667" s="37" t="s">
        <v>2907</v>
      </c>
      <c r="Q6667" s="36" t="s">
        <v>280</v>
      </c>
      <c r="R6667" s="36" t="s">
        <v>31239</v>
      </c>
      <c r="S6667" s="36">
        <v>1.0</v>
      </c>
      <c r="T6667" s="42" t="s">
        <v>31240</v>
      </c>
      <c r="U6667" s="38" t="str">
        <f>HYPERLINK("https://www.ncbi.nlm.nih.gov/pubmed/30298300","PubMed")</f>
        <v>PubMed</v>
      </c>
      <c r="V6667" s="30"/>
      <c r="W6667" s="49"/>
      <c r="X6667" s="49"/>
      <c r="Y6667" s="35"/>
      <c r="Z6667" s="35"/>
      <c r="AA6667" s="35"/>
      <c r="AB6667" s="35"/>
      <c r="AC6667" s="35"/>
      <c r="AD6667" s="35"/>
      <c r="AE6667" s="35"/>
      <c r="AF6667" s="35"/>
      <c r="AG6667" s="35"/>
      <c r="AH6667" s="35"/>
      <c r="AI6667" s="35"/>
      <c r="AJ6667" s="35"/>
      <c r="AK6667" s="35"/>
      <c r="AL6667" s="35"/>
    </row>
    <row r="6668">
      <c r="A6668" s="146" t="s">
        <v>38</v>
      </c>
      <c r="B6668" s="19" t="s">
        <v>30772</v>
      </c>
      <c r="C6668" s="20" t="s">
        <v>31227</v>
      </c>
      <c r="D6668" s="47"/>
      <c r="E6668" s="22" t="s">
        <v>7678</v>
      </c>
      <c r="F6668" s="22" t="s">
        <v>993</v>
      </c>
      <c r="G6668" s="23">
        <v>2018.0</v>
      </c>
      <c r="H6668" s="22" t="s">
        <v>967</v>
      </c>
      <c r="I6668" s="24" t="s">
        <v>31241</v>
      </c>
      <c r="J6668" s="22" t="s">
        <v>44</v>
      </c>
      <c r="K6668" s="22"/>
      <c r="L6668" s="36">
        <v>808.0</v>
      </c>
      <c r="M6668" s="36">
        <v>100.0</v>
      </c>
      <c r="N6668" s="36" t="s">
        <v>31219</v>
      </c>
      <c r="O6668" s="36" t="s">
        <v>18105</v>
      </c>
      <c r="P6668" s="37" t="s">
        <v>2907</v>
      </c>
      <c r="Q6668" s="36" t="s">
        <v>280</v>
      </c>
      <c r="R6668" s="36" t="s">
        <v>31220</v>
      </c>
      <c r="S6668" s="36"/>
      <c r="T6668" s="28" t="s">
        <v>31242</v>
      </c>
      <c r="U6668" s="38" t="str">
        <f>HYPERLINK("http://iopscience.iop.org/article/10.1088/1555-6611/aab44d/meta","IOP")</f>
        <v>IOP</v>
      </c>
      <c r="V6668" s="30"/>
      <c r="W6668" s="49"/>
      <c r="X6668" s="49"/>
      <c r="Y6668" s="35"/>
      <c r="Z6668" s="35"/>
      <c r="AA6668" s="35"/>
      <c r="AB6668" s="35"/>
      <c r="AC6668" s="35"/>
      <c r="AD6668" s="35"/>
      <c r="AE6668" s="35"/>
      <c r="AF6668" s="35"/>
      <c r="AG6668" s="35"/>
      <c r="AH6668" s="35"/>
      <c r="AI6668" s="35"/>
      <c r="AJ6668" s="35"/>
      <c r="AK6668" s="35"/>
      <c r="AL6668" s="35"/>
    </row>
    <row r="6669">
      <c r="A6669" s="40" t="s">
        <v>2</v>
      </c>
      <c r="B6669" s="19" t="s">
        <v>30772</v>
      </c>
      <c r="C6669" s="20" t="s">
        <v>31227</v>
      </c>
      <c r="D6669" s="47"/>
      <c r="E6669" s="22" t="s">
        <v>7880</v>
      </c>
      <c r="F6669" s="22" t="s">
        <v>41</v>
      </c>
      <c r="G6669" s="23">
        <v>2017.0</v>
      </c>
      <c r="H6669" s="22" t="s">
        <v>2181</v>
      </c>
      <c r="I6669" s="24" t="s">
        <v>31243</v>
      </c>
      <c r="J6669" s="22" t="s">
        <v>44</v>
      </c>
      <c r="K6669" s="22" t="s">
        <v>31244</v>
      </c>
      <c r="L6669" s="36" t="s">
        <v>31245</v>
      </c>
      <c r="M6669" s="36">
        <v>100.0</v>
      </c>
      <c r="N6669" s="36" t="s">
        <v>24595</v>
      </c>
      <c r="O6669" s="36">
        <v>15.0</v>
      </c>
      <c r="P6669" s="37" t="s">
        <v>432</v>
      </c>
      <c r="Q6669" s="36" t="s">
        <v>25453</v>
      </c>
      <c r="R6669" s="36">
        <v>150.0</v>
      </c>
      <c r="S6669" s="36">
        <v>2.0</v>
      </c>
      <c r="T6669" s="28" t="s">
        <v>31246</v>
      </c>
      <c r="U6669" s="38" t="str">
        <f>HYPERLINK("https://www.nature.com/articles/s41598-017-13117-5","Nature")</f>
        <v>Nature</v>
      </c>
      <c r="V6669" s="30"/>
      <c r="W6669" s="49"/>
      <c r="X6669" s="49"/>
      <c r="Y6669" s="35"/>
      <c r="Z6669" s="35"/>
      <c r="AA6669" s="35"/>
      <c r="AB6669" s="35"/>
      <c r="AC6669" s="35"/>
      <c r="AD6669" s="35"/>
      <c r="AE6669" s="35"/>
      <c r="AF6669" s="35"/>
      <c r="AG6669" s="35"/>
      <c r="AH6669" s="35"/>
      <c r="AI6669" s="35"/>
      <c r="AJ6669" s="35"/>
      <c r="AK6669" s="35"/>
      <c r="AL6669" s="35"/>
    </row>
    <row r="6670">
      <c r="A6670" s="40"/>
      <c r="B6670" s="19" t="s">
        <v>30772</v>
      </c>
      <c r="C6670" s="20" t="s">
        <v>31247</v>
      </c>
      <c r="D6670" s="47"/>
      <c r="E6670" s="22" t="s">
        <v>31248</v>
      </c>
      <c r="F6670" s="22" t="s">
        <v>5425</v>
      </c>
      <c r="G6670" s="23">
        <v>2020.0</v>
      </c>
      <c r="H6670" s="22" t="s">
        <v>3950</v>
      </c>
      <c r="I6670" s="24" t="s">
        <v>31249</v>
      </c>
      <c r="J6670" s="22" t="s">
        <v>55</v>
      </c>
      <c r="K6670" s="22"/>
      <c r="L6670" s="36">
        <v>808.0</v>
      </c>
      <c r="M6670" s="36">
        <v>100.0</v>
      </c>
      <c r="N6670" s="36"/>
      <c r="O6670" s="36"/>
      <c r="P6670" s="37" t="s">
        <v>287</v>
      </c>
      <c r="Q6670" s="36"/>
      <c r="R6670" s="36">
        <v>5.0</v>
      </c>
      <c r="S6670" s="36"/>
      <c r="T6670" s="28" t="s">
        <v>31250</v>
      </c>
      <c r="U6670" s="29" t="s">
        <v>61</v>
      </c>
      <c r="V6670" s="30"/>
      <c r="W6670" s="49"/>
      <c r="X6670" s="49"/>
      <c r="Y6670" s="35"/>
      <c r="Z6670" s="35"/>
      <c r="AA6670" s="35"/>
      <c r="AB6670" s="35"/>
      <c r="AC6670" s="35"/>
      <c r="AD6670" s="35"/>
      <c r="AE6670" s="35"/>
      <c r="AF6670" s="35"/>
      <c r="AG6670" s="35"/>
      <c r="AH6670" s="35"/>
      <c r="AI6670" s="35"/>
      <c r="AJ6670" s="35"/>
      <c r="AK6670" s="35"/>
      <c r="AL6670" s="35"/>
    </row>
    <row r="6671">
      <c r="A6671" s="1"/>
      <c r="B6671" s="19" t="s">
        <v>30772</v>
      </c>
      <c r="C6671" s="20" t="s">
        <v>31251</v>
      </c>
      <c r="D6671" s="47"/>
      <c r="E6671" s="22" t="s">
        <v>31252</v>
      </c>
      <c r="F6671" s="22" t="s">
        <v>8140</v>
      </c>
      <c r="G6671" s="23">
        <v>2022.0</v>
      </c>
      <c r="H6671" s="22" t="s">
        <v>31253</v>
      </c>
      <c r="I6671" s="24" t="s">
        <v>31254</v>
      </c>
      <c r="J6671" s="22" t="s">
        <v>31255</v>
      </c>
      <c r="K6671" s="22" t="s">
        <v>31256</v>
      </c>
      <c r="L6671" s="36" t="s">
        <v>31257</v>
      </c>
      <c r="M6671" s="36"/>
      <c r="N6671" s="36"/>
      <c r="O6671" s="36"/>
      <c r="P6671" s="37" t="s">
        <v>82</v>
      </c>
      <c r="Q6671" s="36"/>
      <c r="R6671" s="36"/>
      <c r="S6671" s="36"/>
      <c r="T6671" s="28" t="s">
        <v>31258</v>
      </c>
      <c r="U6671" s="29" t="s">
        <v>61</v>
      </c>
      <c r="V6671" s="30"/>
      <c r="W6671" s="49"/>
      <c r="X6671" s="49"/>
      <c r="Y6671" s="35"/>
      <c r="Z6671" s="35"/>
      <c r="AA6671" s="35"/>
      <c r="AB6671" s="35"/>
      <c r="AC6671" s="35"/>
      <c r="AD6671" s="35"/>
      <c r="AE6671" s="35"/>
      <c r="AF6671" s="35"/>
      <c r="AG6671" s="35"/>
      <c r="AH6671" s="35"/>
      <c r="AI6671" s="35"/>
      <c r="AJ6671" s="35"/>
      <c r="AK6671" s="35"/>
      <c r="AL6671" s="35"/>
    </row>
    <row r="6672">
      <c r="A6672" s="1"/>
      <c r="B6672" s="19" t="s">
        <v>30772</v>
      </c>
      <c r="C6672" s="20" t="s">
        <v>31259</v>
      </c>
      <c r="D6672" s="47"/>
      <c r="E6672" s="22" t="s">
        <v>626</v>
      </c>
      <c r="F6672" s="22" t="s">
        <v>65</v>
      </c>
      <c r="G6672" s="23">
        <v>2023.0</v>
      </c>
      <c r="H6672" s="22" t="s">
        <v>31260</v>
      </c>
      <c r="I6672" s="24" t="s">
        <v>31261</v>
      </c>
      <c r="J6672" s="22" t="s">
        <v>31262</v>
      </c>
      <c r="K6672" s="22"/>
      <c r="L6672" s="36">
        <v>635.0</v>
      </c>
      <c r="M6672" s="36">
        <v>15.0</v>
      </c>
      <c r="N6672" s="36"/>
      <c r="O6672" s="36"/>
      <c r="P6672" s="37"/>
      <c r="Q6672" s="36"/>
      <c r="R6672" s="36">
        <v>600.0</v>
      </c>
      <c r="S6672" s="36"/>
      <c r="T6672" s="28" t="s">
        <v>31263</v>
      </c>
      <c r="U6672" s="38" t="s">
        <v>61</v>
      </c>
      <c r="V6672" s="30" t="s">
        <v>174</v>
      </c>
      <c r="W6672" s="49"/>
      <c r="X6672" s="49"/>
      <c r="Y6672" s="35"/>
      <c r="Z6672" s="35"/>
      <c r="AA6672" s="35"/>
      <c r="AB6672" s="35"/>
      <c r="AC6672" s="35"/>
      <c r="AD6672" s="35"/>
      <c r="AE6672" s="35"/>
      <c r="AF6672" s="35"/>
      <c r="AG6672" s="35"/>
      <c r="AH6672" s="35"/>
      <c r="AI6672" s="35"/>
      <c r="AJ6672" s="35"/>
      <c r="AK6672" s="35"/>
      <c r="AL6672" s="35"/>
    </row>
    <row r="6673">
      <c r="A6673" s="1"/>
      <c r="B6673" s="19" t="s">
        <v>30772</v>
      </c>
      <c r="C6673" s="20" t="s">
        <v>31264</v>
      </c>
      <c r="D6673" s="47"/>
      <c r="E6673" s="22" t="s">
        <v>2126</v>
      </c>
      <c r="F6673" s="22" t="s">
        <v>323</v>
      </c>
      <c r="G6673" s="23">
        <v>2023.0</v>
      </c>
      <c r="H6673" s="22" t="s">
        <v>31265</v>
      </c>
      <c r="I6673" s="24" t="s">
        <v>31266</v>
      </c>
      <c r="J6673" s="22" t="s">
        <v>31267</v>
      </c>
      <c r="K6673" s="22"/>
      <c r="L6673" s="36">
        <v>660.0</v>
      </c>
      <c r="M6673" s="36">
        <v>80.0</v>
      </c>
      <c r="N6673" s="36" t="s">
        <v>58</v>
      </c>
      <c r="O6673" s="36" t="s">
        <v>58</v>
      </c>
      <c r="P6673" s="37" t="s">
        <v>58</v>
      </c>
      <c r="Q6673" s="36" t="s">
        <v>27171</v>
      </c>
      <c r="R6673" s="36">
        <v>1200.0</v>
      </c>
      <c r="S6673" s="36" t="s">
        <v>31268</v>
      </c>
      <c r="T6673" s="42" t="s">
        <v>31269</v>
      </c>
      <c r="U6673" s="38" t="s">
        <v>61</v>
      </c>
      <c r="V6673" s="30"/>
      <c r="W6673" s="49"/>
      <c r="X6673" s="49"/>
      <c r="Y6673" s="35"/>
      <c r="Z6673" s="35"/>
      <c r="AA6673" s="35"/>
      <c r="AB6673" s="35"/>
      <c r="AC6673" s="35"/>
      <c r="AD6673" s="35"/>
      <c r="AE6673" s="35"/>
      <c r="AF6673" s="35"/>
      <c r="AG6673" s="35"/>
      <c r="AH6673" s="35"/>
      <c r="AI6673" s="35"/>
      <c r="AJ6673" s="35"/>
      <c r="AK6673" s="35"/>
      <c r="AL6673" s="35"/>
    </row>
    <row r="6674">
      <c r="A6674" s="1"/>
      <c r="B6674" s="19" t="s">
        <v>30772</v>
      </c>
      <c r="C6674" s="20" t="s">
        <v>31264</v>
      </c>
      <c r="D6674" s="47"/>
      <c r="E6674" s="22" t="s">
        <v>31270</v>
      </c>
      <c r="F6674" s="22" t="s">
        <v>1622</v>
      </c>
      <c r="G6674" s="23">
        <v>2023.0</v>
      </c>
      <c r="H6674" s="22" t="s">
        <v>4556</v>
      </c>
      <c r="I6674" s="24" t="s">
        <v>31271</v>
      </c>
      <c r="J6674" s="22" t="s">
        <v>44</v>
      </c>
      <c r="K6674" s="22"/>
      <c r="L6674" s="36">
        <v>808.0</v>
      </c>
      <c r="M6674" s="36"/>
      <c r="N6674" s="36" t="s">
        <v>31272</v>
      </c>
      <c r="O6674" s="36"/>
      <c r="P6674" s="37" t="s">
        <v>2746</v>
      </c>
      <c r="Q6674" s="36"/>
      <c r="R6674" s="36">
        <v>120.0</v>
      </c>
      <c r="S6674" s="36"/>
      <c r="T6674" s="28" t="s">
        <v>31273</v>
      </c>
      <c r="U6674" s="38" t="s">
        <v>61</v>
      </c>
      <c r="V6674" s="30"/>
      <c r="W6674" s="49"/>
      <c r="X6674" s="49"/>
      <c r="Y6674" s="35"/>
      <c r="Z6674" s="35"/>
      <c r="AA6674" s="35"/>
      <c r="AB6674" s="35"/>
      <c r="AC6674" s="35"/>
      <c r="AD6674" s="35"/>
      <c r="AE6674" s="35"/>
      <c r="AF6674" s="35"/>
      <c r="AG6674" s="35"/>
      <c r="AH6674" s="35"/>
      <c r="AI6674" s="35"/>
      <c r="AJ6674" s="35"/>
      <c r="AK6674" s="35"/>
      <c r="AL6674" s="35"/>
    </row>
    <row r="6675">
      <c r="A6675" s="1"/>
      <c r="B6675" s="19" t="s">
        <v>30772</v>
      </c>
      <c r="C6675" s="20" t="s">
        <v>31274</v>
      </c>
      <c r="D6675" s="47"/>
      <c r="E6675" s="22" t="s">
        <v>31275</v>
      </c>
      <c r="F6675" s="22" t="s">
        <v>31276</v>
      </c>
      <c r="G6675" s="23">
        <v>1995.0</v>
      </c>
      <c r="H6675" s="22" t="s">
        <v>53</v>
      </c>
      <c r="I6675" s="24" t="s">
        <v>31277</v>
      </c>
      <c r="J6675" s="22" t="s">
        <v>29110</v>
      </c>
      <c r="K6675" s="22"/>
      <c r="L6675" s="36">
        <v>633.0</v>
      </c>
      <c r="M6675" s="36"/>
      <c r="N6675" s="36"/>
      <c r="O6675" s="36"/>
      <c r="P6675" s="37"/>
      <c r="Q6675" s="36"/>
      <c r="R6675" s="36"/>
      <c r="S6675" s="36"/>
      <c r="T6675" s="28" t="s">
        <v>31278</v>
      </c>
      <c r="U6675" s="38" t="str">
        <f>HYPERLINK("https://www.ncbi.nlm.nih.gov/pubmed/7769963/","PubMed")</f>
        <v>PubMed</v>
      </c>
      <c r="V6675" s="30"/>
      <c r="W6675" s="49"/>
      <c r="X6675" s="49"/>
      <c r="Y6675" s="35"/>
      <c r="Z6675" s="35"/>
      <c r="AA6675" s="35"/>
      <c r="AB6675" s="35"/>
      <c r="AC6675" s="35"/>
      <c r="AD6675" s="35"/>
      <c r="AE6675" s="35"/>
      <c r="AF6675" s="35"/>
      <c r="AG6675" s="35"/>
      <c r="AH6675" s="35"/>
      <c r="AI6675" s="35"/>
      <c r="AJ6675" s="35"/>
      <c r="AK6675" s="35"/>
      <c r="AL6675" s="35"/>
    </row>
    <row r="6676">
      <c r="A6676" s="1"/>
      <c r="B6676" s="19" t="s">
        <v>30772</v>
      </c>
      <c r="C6676" s="20" t="s">
        <v>31279</v>
      </c>
      <c r="D6676" s="47"/>
      <c r="E6676" s="22" t="s">
        <v>31280</v>
      </c>
      <c r="F6676" s="22" t="s">
        <v>797</v>
      </c>
      <c r="G6676" s="23">
        <v>2008.0</v>
      </c>
      <c r="H6676" s="22" t="s">
        <v>53</v>
      </c>
      <c r="I6676" s="24" t="s">
        <v>31281</v>
      </c>
      <c r="J6676" s="22" t="s">
        <v>55</v>
      </c>
      <c r="K6676" s="22" t="s">
        <v>31282</v>
      </c>
      <c r="L6676" s="36">
        <v>660.0</v>
      </c>
      <c r="M6676" s="36">
        <v>20.0</v>
      </c>
      <c r="N6676" s="36" t="s">
        <v>11816</v>
      </c>
      <c r="O6676" s="36" t="s">
        <v>31283</v>
      </c>
      <c r="P6676" s="37"/>
      <c r="Q6676" s="36" t="s">
        <v>9307</v>
      </c>
      <c r="R6676" s="36" t="s">
        <v>31284</v>
      </c>
      <c r="S6676" s="36"/>
      <c r="T6676" s="28" t="s">
        <v>31285</v>
      </c>
      <c r="U6676" s="38" t="str">
        <f>HYPERLINK("https://www.ncbi.nlm.nih.gov/pubmed/18727002","PubMed")</f>
        <v>PubMed</v>
      </c>
      <c r="V6676" s="30"/>
      <c r="W6676" s="49"/>
      <c r="X6676" s="49"/>
      <c r="Y6676" s="35"/>
      <c r="Z6676" s="35"/>
      <c r="AA6676" s="35"/>
      <c r="AB6676" s="35"/>
      <c r="AC6676" s="35"/>
      <c r="AD6676" s="35"/>
      <c r="AE6676" s="35"/>
      <c r="AF6676" s="35"/>
      <c r="AG6676" s="35"/>
      <c r="AH6676" s="35"/>
      <c r="AI6676" s="35"/>
      <c r="AJ6676" s="35"/>
      <c r="AK6676" s="35"/>
      <c r="AL6676" s="35"/>
    </row>
    <row r="6677">
      <c r="A6677" s="1"/>
      <c r="B6677" s="19" t="s">
        <v>30772</v>
      </c>
      <c r="C6677" s="20" t="s">
        <v>31279</v>
      </c>
      <c r="D6677" s="47"/>
      <c r="E6677" s="22" t="s">
        <v>14778</v>
      </c>
      <c r="F6677" s="22" t="s">
        <v>41</v>
      </c>
      <c r="G6677" s="23">
        <v>2006.0</v>
      </c>
      <c r="H6677" s="22" t="s">
        <v>658</v>
      </c>
      <c r="I6677" s="24" t="s">
        <v>31286</v>
      </c>
      <c r="J6677" s="22" t="s">
        <v>44</v>
      </c>
      <c r="K6677" s="22" t="s">
        <v>4071</v>
      </c>
      <c r="L6677" s="36">
        <v>650.0</v>
      </c>
      <c r="M6677" s="129">
        <v>43953.0</v>
      </c>
      <c r="N6677" s="36" t="s">
        <v>31287</v>
      </c>
      <c r="O6677" s="36"/>
      <c r="P6677" s="37" t="s">
        <v>7500</v>
      </c>
      <c r="Q6677" s="36" t="s">
        <v>31288</v>
      </c>
      <c r="R6677" s="36">
        <v>80.0</v>
      </c>
      <c r="S6677" s="36" t="s">
        <v>31289</v>
      </c>
      <c r="T6677" s="28" t="s">
        <v>31290</v>
      </c>
      <c r="U6677" s="29" t="s">
        <v>61</v>
      </c>
      <c r="V6677" s="30"/>
      <c r="W6677" s="49"/>
      <c r="X6677" s="49"/>
      <c r="Y6677" s="35"/>
      <c r="Z6677" s="35"/>
      <c r="AA6677" s="35"/>
      <c r="AB6677" s="35"/>
      <c r="AC6677" s="35"/>
      <c r="AD6677" s="35"/>
      <c r="AE6677" s="35"/>
      <c r="AF6677" s="35"/>
      <c r="AG6677" s="35"/>
      <c r="AH6677" s="35"/>
      <c r="AI6677" s="35"/>
      <c r="AJ6677" s="35"/>
      <c r="AK6677" s="35"/>
      <c r="AL6677" s="35"/>
    </row>
    <row r="6678">
      <c r="A6678" s="1"/>
      <c r="B6678" s="19" t="s">
        <v>30772</v>
      </c>
      <c r="C6678" s="20" t="s">
        <v>31279</v>
      </c>
      <c r="D6678" s="47"/>
      <c r="E6678" s="22" t="s">
        <v>14778</v>
      </c>
      <c r="F6678" s="22" t="s">
        <v>510</v>
      </c>
      <c r="G6678" s="23">
        <v>2005.0</v>
      </c>
      <c r="H6678" s="22" t="s">
        <v>658</v>
      </c>
      <c r="I6678" s="24" t="s">
        <v>31291</v>
      </c>
      <c r="J6678" s="22" t="s">
        <v>44</v>
      </c>
      <c r="K6678" s="22" t="s">
        <v>1240</v>
      </c>
      <c r="L6678" s="36">
        <v>650.0</v>
      </c>
      <c r="M6678" s="129">
        <v>42492.0</v>
      </c>
      <c r="N6678" s="36" t="s">
        <v>16655</v>
      </c>
      <c r="O6678" s="36" t="s">
        <v>31292</v>
      </c>
      <c r="P6678" s="37" t="s">
        <v>31195</v>
      </c>
      <c r="Q6678" s="36"/>
      <c r="R6678" s="36"/>
      <c r="S6678" s="36">
        <v>3.0</v>
      </c>
      <c r="T6678" s="42" t="s">
        <v>31293</v>
      </c>
      <c r="U6678" s="38" t="str">
        <f>HYPERLINK("https://www.ncbi.nlm.nih.gov/pubmed/16144480","PubMed")</f>
        <v>PubMed</v>
      </c>
      <c r="V6678" s="30"/>
      <c r="W6678" s="49"/>
      <c r="X6678" s="49"/>
      <c r="Y6678" s="35"/>
      <c r="Z6678" s="35"/>
      <c r="AA6678" s="35"/>
      <c r="AB6678" s="35"/>
      <c r="AC6678" s="35"/>
      <c r="AD6678" s="35"/>
      <c r="AE6678" s="35"/>
      <c r="AF6678" s="35"/>
      <c r="AG6678" s="35"/>
      <c r="AH6678" s="35"/>
      <c r="AI6678" s="35"/>
      <c r="AJ6678" s="35"/>
      <c r="AK6678" s="35"/>
      <c r="AL6678" s="35"/>
    </row>
    <row r="6679">
      <c r="A6679" s="149"/>
      <c r="B6679" s="19" t="s">
        <v>30772</v>
      </c>
      <c r="C6679" s="20" t="s">
        <v>31294</v>
      </c>
      <c r="D6679" s="47"/>
      <c r="E6679" s="22" t="s">
        <v>1101</v>
      </c>
      <c r="F6679" s="22" t="s">
        <v>510</v>
      </c>
      <c r="G6679" s="23">
        <v>2022.0</v>
      </c>
      <c r="H6679" s="22" t="s">
        <v>77</v>
      </c>
      <c r="I6679" s="24" t="s">
        <v>31295</v>
      </c>
      <c r="J6679" s="22" t="s">
        <v>31296</v>
      </c>
      <c r="K6679" s="22"/>
      <c r="L6679" s="36">
        <v>940.0</v>
      </c>
      <c r="M6679" s="36">
        <v>6000.0</v>
      </c>
      <c r="N6679" s="36"/>
      <c r="O6679" s="36"/>
      <c r="P6679" s="37"/>
      <c r="Q6679" s="36"/>
      <c r="R6679" s="36">
        <v>900.0</v>
      </c>
      <c r="S6679" s="36">
        <v>7.0</v>
      </c>
      <c r="T6679" s="28" t="s">
        <v>31297</v>
      </c>
      <c r="U6679" s="29" t="s">
        <v>61</v>
      </c>
      <c r="V6679" s="50"/>
      <c r="W6679" s="49"/>
      <c r="X6679" s="49"/>
      <c r="Y6679" s="35"/>
      <c r="Z6679" s="35"/>
      <c r="AA6679" s="35"/>
      <c r="AB6679" s="35"/>
      <c r="AC6679" s="35"/>
      <c r="AD6679" s="35"/>
      <c r="AE6679" s="35"/>
      <c r="AF6679" s="35"/>
      <c r="AG6679" s="35"/>
      <c r="AH6679" s="35"/>
      <c r="AI6679" s="35"/>
      <c r="AJ6679" s="35"/>
      <c r="AK6679" s="35"/>
      <c r="AL6679" s="35"/>
    </row>
    <row r="6680">
      <c r="A6680" s="149"/>
      <c r="B6680" s="19" t="s">
        <v>30772</v>
      </c>
      <c r="C6680" s="20" t="s">
        <v>31294</v>
      </c>
      <c r="D6680" s="47"/>
      <c r="E6680" s="22" t="s">
        <v>31298</v>
      </c>
      <c r="F6680" s="22" t="s">
        <v>274</v>
      </c>
      <c r="G6680" s="23">
        <v>2017.0</v>
      </c>
      <c r="H6680" s="22" t="s">
        <v>13975</v>
      </c>
      <c r="I6680" s="24" t="s">
        <v>31299</v>
      </c>
      <c r="J6680" s="22" t="s">
        <v>44</v>
      </c>
      <c r="K6680" s="22" t="s">
        <v>31300</v>
      </c>
      <c r="L6680" s="36">
        <v>780.0</v>
      </c>
      <c r="M6680" s="36"/>
      <c r="N6680" s="36"/>
      <c r="O6680" s="36"/>
      <c r="P6680" s="37"/>
      <c r="Q6680" s="36"/>
      <c r="R6680" s="36"/>
      <c r="S6680" s="36"/>
      <c r="T6680" s="42" t="s">
        <v>31301</v>
      </c>
      <c r="U6680" s="38" t="str">
        <f>HYPERLINK("https://www.ncbi.nlm.nih.gov/pubmed/28292878","PubMed")</f>
        <v>PubMed</v>
      </c>
      <c r="V6680" s="50"/>
      <c r="W6680" s="49"/>
      <c r="X6680" s="49"/>
      <c r="Y6680" s="35"/>
      <c r="Z6680" s="35"/>
      <c r="AA6680" s="35"/>
      <c r="AB6680" s="35"/>
      <c r="AC6680" s="35"/>
      <c r="AD6680" s="35"/>
      <c r="AE6680" s="35"/>
      <c r="AF6680" s="35"/>
      <c r="AG6680" s="35"/>
      <c r="AH6680" s="35"/>
      <c r="AI6680" s="35"/>
      <c r="AJ6680" s="35"/>
      <c r="AK6680" s="35"/>
      <c r="AL6680" s="35"/>
    </row>
    <row r="6681">
      <c r="A6681" s="149"/>
      <c r="B6681" s="19" t="s">
        <v>30772</v>
      </c>
      <c r="C6681" s="20" t="s">
        <v>31302</v>
      </c>
      <c r="D6681" s="47"/>
      <c r="E6681" s="22" t="s">
        <v>6140</v>
      </c>
      <c r="F6681" s="22" t="s">
        <v>7156</v>
      </c>
      <c r="G6681" s="23">
        <v>2023.0</v>
      </c>
      <c r="H6681" s="22" t="s">
        <v>348</v>
      </c>
      <c r="I6681" s="24" t="s">
        <v>31303</v>
      </c>
      <c r="J6681" s="22" t="s">
        <v>253</v>
      </c>
      <c r="K6681" s="22"/>
      <c r="L6681" s="36" t="s">
        <v>31304</v>
      </c>
      <c r="M6681" s="36" t="s">
        <v>31305</v>
      </c>
      <c r="N6681" s="36"/>
      <c r="O6681" s="36"/>
      <c r="P6681" s="37"/>
      <c r="Q6681" s="36"/>
      <c r="R6681" s="36"/>
      <c r="S6681" s="36"/>
      <c r="T6681" s="28" t="s">
        <v>31306</v>
      </c>
      <c r="U6681" s="38" t="s">
        <v>61</v>
      </c>
      <c r="V6681" s="50"/>
      <c r="W6681" s="49"/>
      <c r="X6681" s="49"/>
      <c r="Y6681" s="35"/>
      <c r="Z6681" s="35"/>
      <c r="AA6681" s="35"/>
      <c r="AB6681" s="35"/>
      <c r="AC6681" s="35"/>
      <c r="AD6681" s="35"/>
      <c r="AE6681" s="35"/>
      <c r="AF6681" s="35"/>
      <c r="AG6681" s="35"/>
      <c r="AH6681" s="35"/>
      <c r="AI6681" s="35"/>
      <c r="AJ6681" s="35"/>
      <c r="AK6681" s="35"/>
      <c r="AL6681" s="35"/>
    </row>
    <row r="6682">
      <c r="A6682" s="149"/>
      <c r="B6682" s="19" t="s">
        <v>30772</v>
      </c>
      <c r="C6682" s="20" t="s">
        <v>31302</v>
      </c>
      <c r="D6682" s="47"/>
      <c r="E6682" s="22" t="s">
        <v>31307</v>
      </c>
      <c r="F6682" s="22" t="s">
        <v>323</v>
      </c>
      <c r="G6682" s="23">
        <v>2022.0</v>
      </c>
      <c r="H6682" s="22" t="s">
        <v>91</v>
      </c>
      <c r="I6682" s="24" t="s">
        <v>31308</v>
      </c>
      <c r="J6682" s="22" t="s">
        <v>31309</v>
      </c>
      <c r="K6682" s="22"/>
      <c r="L6682" s="36">
        <v>830.0</v>
      </c>
      <c r="M6682" s="36">
        <v>30.0</v>
      </c>
      <c r="N6682" s="36"/>
      <c r="O6682" s="36" t="s">
        <v>16599</v>
      </c>
      <c r="P6682" s="37"/>
      <c r="Q6682" s="36"/>
      <c r="R6682" s="36" t="s">
        <v>31310</v>
      </c>
      <c r="S6682" s="36" t="s">
        <v>31311</v>
      </c>
      <c r="T6682" s="28" t="s">
        <v>31312</v>
      </c>
      <c r="U6682" s="38" t="s">
        <v>61</v>
      </c>
      <c r="V6682" s="30" t="s">
        <v>174</v>
      </c>
      <c r="W6682" s="49"/>
      <c r="X6682" s="49"/>
      <c r="Y6682" s="35"/>
      <c r="Z6682" s="35"/>
      <c r="AA6682" s="35"/>
      <c r="AB6682" s="35"/>
      <c r="AC6682" s="35"/>
      <c r="AD6682" s="35"/>
      <c r="AE6682" s="35"/>
      <c r="AF6682" s="35"/>
      <c r="AG6682" s="35"/>
      <c r="AH6682" s="35"/>
      <c r="AI6682" s="35"/>
      <c r="AJ6682" s="35"/>
      <c r="AK6682" s="35"/>
      <c r="AL6682" s="35"/>
    </row>
    <row r="6683">
      <c r="A6683" s="149"/>
      <c r="B6683" s="19" t="s">
        <v>30772</v>
      </c>
      <c r="C6683" s="20" t="s">
        <v>31302</v>
      </c>
      <c r="D6683" s="47"/>
      <c r="E6683" s="22" t="s">
        <v>31313</v>
      </c>
      <c r="F6683" s="22" t="s">
        <v>1943</v>
      </c>
      <c r="G6683" s="23">
        <v>2019.0</v>
      </c>
      <c r="H6683" s="22" t="s">
        <v>147</v>
      </c>
      <c r="I6683" s="24" t="s">
        <v>31314</v>
      </c>
      <c r="J6683" s="22" t="s">
        <v>31315</v>
      </c>
      <c r="K6683" s="22" t="s">
        <v>31316</v>
      </c>
      <c r="L6683" s="36">
        <v>905.0</v>
      </c>
      <c r="M6683" s="36"/>
      <c r="N6683" s="36"/>
      <c r="O6683" s="36" t="s">
        <v>31317</v>
      </c>
      <c r="P6683" s="37"/>
      <c r="Q6683" s="36"/>
      <c r="R6683" s="36">
        <v>480.0</v>
      </c>
      <c r="S6683" s="36" t="s">
        <v>4905</v>
      </c>
      <c r="T6683" s="28" t="s">
        <v>31318</v>
      </c>
      <c r="U6683" s="38" t="str">
        <f>HYPERLINK("https://www.ncbi.nlm.nih.gov/pubmed/31749951","PubMed")</f>
        <v>PubMed</v>
      </c>
      <c r="V6683" s="50"/>
      <c r="W6683" s="49"/>
      <c r="X6683" s="49"/>
      <c r="Y6683" s="35"/>
      <c r="Z6683" s="35"/>
      <c r="AA6683" s="35"/>
      <c r="AB6683" s="35"/>
      <c r="AC6683" s="35"/>
      <c r="AD6683" s="35"/>
      <c r="AE6683" s="35"/>
      <c r="AF6683" s="35"/>
      <c r="AG6683" s="35"/>
      <c r="AH6683" s="35"/>
      <c r="AI6683" s="35"/>
      <c r="AJ6683" s="35"/>
      <c r="AK6683" s="35"/>
      <c r="AL6683" s="35"/>
    </row>
    <row r="6684">
      <c r="A6684" s="149"/>
      <c r="B6684" s="19" t="s">
        <v>30772</v>
      </c>
      <c r="C6684" s="20" t="s">
        <v>31302</v>
      </c>
      <c r="D6684" s="47"/>
      <c r="E6684" s="22" t="s">
        <v>31319</v>
      </c>
      <c r="F6684" s="22" t="s">
        <v>2180</v>
      </c>
      <c r="G6684" s="23">
        <v>2017.0</v>
      </c>
      <c r="H6684" s="22" t="s">
        <v>30918</v>
      </c>
      <c r="I6684" s="24" t="s">
        <v>31320</v>
      </c>
      <c r="J6684" s="22" t="s">
        <v>31321</v>
      </c>
      <c r="K6684" s="22"/>
      <c r="L6684" s="36" t="s">
        <v>31322</v>
      </c>
      <c r="M6684" s="36"/>
      <c r="N6684" s="36"/>
      <c r="O6684" s="36"/>
      <c r="P6684" s="37"/>
      <c r="Q6684" s="36"/>
      <c r="R6684" s="36"/>
      <c r="S6684" s="36"/>
      <c r="T6684" s="41" t="s">
        <v>31323</v>
      </c>
      <c r="U6684" s="38" t="str">
        <f>HYPERLINK("https://www.ncbi.nlm.nih.gov/pubmed/28501886","PubMed")</f>
        <v>PubMed</v>
      </c>
      <c r="V6684" s="30" t="s">
        <v>31324</v>
      </c>
      <c r="W6684" s="49"/>
      <c r="X6684" s="49"/>
      <c r="Y6684" s="35"/>
      <c r="Z6684" s="35"/>
      <c r="AA6684" s="35"/>
      <c r="AB6684" s="35"/>
      <c r="AC6684" s="35"/>
      <c r="AD6684" s="35"/>
      <c r="AE6684" s="35"/>
      <c r="AF6684" s="35"/>
      <c r="AG6684" s="35"/>
      <c r="AH6684" s="35"/>
      <c r="AI6684" s="35"/>
      <c r="AJ6684" s="35"/>
      <c r="AK6684" s="35"/>
      <c r="AL6684" s="35"/>
    </row>
    <row r="6685">
      <c r="A6685" s="149"/>
      <c r="B6685" s="19" t="s">
        <v>30772</v>
      </c>
      <c r="C6685" s="20" t="s">
        <v>31302</v>
      </c>
      <c r="D6685" s="47"/>
      <c r="E6685" s="22" t="s">
        <v>31252</v>
      </c>
      <c r="F6685" s="22" t="s">
        <v>8140</v>
      </c>
      <c r="G6685" s="23">
        <v>2017.0</v>
      </c>
      <c r="H6685" s="22" t="s">
        <v>207</v>
      </c>
      <c r="I6685" s="24" t="s">
        <v>31325</v>
      </c>
      <c r="J6685" s="22" t="s">
        <v>31326</v>
      </c>
      <c r="K6685" s="22" t="s">
        <v>56</v>
      </c>
      <c r="L6685" s="36" t="s">
        <v>31257</v>
      </c>
      <c r="M6685" s="36"/>
      <c r="N6685" s="36"/>
      <c r="O6685" s="36"/>
      <c r="P6685" s="37" t="s">
        <v>31327</v>
      </c>
      <c r="Q6685" s="36"/>
      <c r="R6685" s="36"/>
      <c r="S6685" s="36" t="s">
        <v>1961</v>
      </c>
      <c r="T6685" s="28" t="s">
        <v>31328</v>
      </c>
      <c r="U6685" s="38" t="str">
        <f>HYPERLINK("https://www.ncbi.nlm.nih.gov/pubmed/28992605","PubMed")</f>
        <v>PubMed</v>
      </c>
      <c r="V6685" s="30" t="s">
        <v>31329</v>
      </c>
      <c r="W6685" s="49"/>
      <c r="X6685" s="49"/>
      <c r="Y6685" s="35"/>
      <c r="Z6685" s="35"/>
      <c r="AA6685" s="35"/>
      <c r="AB6685" s="35"/>
      <c r="AC6685" s="35"/>
      <c r="AD6685" s="35"/>
      <c r="AE6685" s="35"/>
      <c r="AF6685" s="35"/>
      <c r="AG6685" s="35"/>
      <c r="AH6685" s="35"/>
      <c r="AI6685" s="35"/>
      <c r="AJ6685" s="35"/>
      <c r="AK6685" s="35"/>
      <c r="AL6685" s="35"/>
    </row>
    <row r="6686">
      <c r="A6686" s="149"/>
      <c r="B6686" s="19" t="s">
        <v>30772</v>
      </c>
      <c r="C6686" s="20" t="s">
        <v>31302</v>
      </c>
      <c r="D6686" s="47"/>
      <c r="E6686" s="22" t="s">
        <v>31330</v>
      </c>
      <c r="F6686" s="22" t="s">
        <v>323</v>
      </c>
      <c r="G6686" s="23">
        <v>2015.0</v>
      </c>
      <c r="H6686" s="22" t="s">
        <v>469</v>
      </c>
      <c r="I6686" s="24" t="s">
        <v>31331</v>
      </c>
      <c r="J6686" s="22" t="s">
        <v>31332</v>
      </c>
      <c r="K6686" s="22"/>
      <c r="L6686" s="36">
        <v>810.0</v>
      </c>
      <c r="M6686" s="36"/>
      <c r="N6686" s="36"/>
      <c r="O6686" s="183">
        <v>45111.0</v>
      </c>
      <c r="P6686" s="37"/>
      <c r="Q6686" s="36"/>
      <c r="R6686" s="36"/>
      <c r="S6686" s="36" t="s">
        <v>31333</v>
      </c>
      <c r="T6686" s="28" t="s">
        <v>31334</v>
      </c>
      <c r="U6686" s="29" t="s">
        <v>61</v>
      </c>
      <c r="V6686" s="50"/>
      <c r="W6686" s="49"/>
      <c r="X6686" s="49"/>
      <c r="Y6686" s="35"/>
      <c r="Z6686" s="35"/>
      <c r="AA6686" s="35"/>
      <c r="AB6686" s="35"/>
      <c r="AC6686" s="35"/>
      <c r="AD6686" s="35"/>
      <c r="AE6686" s="35"/>
      <c r="AF6686" s="35"/>
      <c r="AG6686" s="35"/>
      <c r="AH6686" s="35"/>
      <c r="AI6686" s="35"/>
      <c r="AJ6686" s="35"/>
      <c r="AK6686" s="35"/>
      <c r="AL6686" s="35"/>
    </row>
    <row r="6687">
      <c r="A6687" s="149"/>
      <c r="B6687" s="19" t="s">
        <v>30772</v>
      </c>
      <c r="C6687" s="20" t="s">
        <v>31302</v>
      </c>
      <c r="D6687" s="47"/>
      <c r="E6687" s="22" t="s">
        <v>31307</v>
      </c>
      <c r="F6687" s="22" t="s">
        <v>323</v>
      </c>
      <c r="G6687" s="23">
        <v>2013.0</v>
      </c>
      <c r="H6687" s="22" t="s">
        <v>4791</v>
      </c>
      <c r="I6687" s="24" t="s">
        <v>31335</v>
      </c>
      <c r="J6687" s="22" t="s">
        <v>29165</v>
      </c>
      <c r="K6687" s="22" t="s">
        <v>31336</v>
      </c>
      <c r="L6687" s="36">
        <v>830.0</v>
      </c>
      <c r="M6687" s="36">
        <v>30.0</v>
      </c>
      <c r="N6687" s="36"/>
      <c r="O6687" s="36">
        <v>1.0</v>
      </c>
      <c r="P6687" s="37"/>
      <c r="Q6687" s="36"/>
      <c r="R6687" s="36"/>
      <c r="S6687" s="36"/>
      <c r="T6687" s="28" t="s">
        <v>31337</v>
      </c>
      <c r="U6687" s="38" t="str">
        <f>HYPERLINK("https://www.ncbi.nlm.nih.gov/pubmed/23521568","PubMed")</f>
        <v>PubMed</v>
      </c>
      <c r="V6687" s="50"/>
      <c r="W6687" s="49"/>
      <c r="X6687" s="49"/>
      <c r="Y6687" s="35"/>
      <c r="Z6687" s="35"/>
      <c r="AA6687" s="35"/>
      <c r="AB6687" s="35"/>
      <c r="AC6687" s="35"/>
      <c r="AD6687" s="35"/>
      <c r="AE6687" s="35"/>
      <c r="AF6687" s="35"/>
      <c r="AG6687" s="35"/>
      <c r="AH6687" s="35"/>
      <c r="AI6687" s="35"/>
      <c r="AJ6687" s="35"/>
      <c r="AK6687" s="35"/>
      <c r="AL6687" s="35"/>
    </row>
    <row r="6688">
      <c r="A6688" s="149"/>
      <c r="B6688" s="19" t="s">
        <v>30772</v>
      </c>
      <c r="C6688" s="20" t="s">
        <v>31302</v>
      </c>
      <c r="D6688" s="47"/>
      <c r="E6688" s="22" t="s">
        <v>31338</v>
      </c>
      <c r="F6688" s="22" t="s">
        <v>30052</v>
      </c>
      <c r="G6688" s="23">
        <v>2011.0</v>
      </c>
      <c r="H6688" s="22" t="s">
        <v>53</v>
      </c>
      <c r="I6688" s="24" t="s">
        <v>31339</v>
      </c>
      <c r="J6688" s="22" t="s">
        <v>31340</v>
      </c>
      <c r="K6688" s="22" t="s">
        <v>31341</v>
      </c>
      <c r="L6688" s="36" t="s">
        <v>25744</v>
      </c>
      <c r="M6688" s="36"/>
      <c r="N6688" s="36"/>
      <c r="O6688" s="36" t="s">
        <v>31342</v>
      </c>
      <c r="P6688" s="37"/>
      <c r="Q6688" s="36"/>
      <c r="R6688" s="36"/>
      <c r="S6688" s="36"/>
      <c r="T6688" s="28" t="s">
        <v>31343</v>
      </c>
      <c r="U6688" s="38" t="str">
        <f>HYPERLINK("https://www.ncbi.nlm.nih.gov/pubmed/21290392","PubMed")</f>
        <v>PubMed</v>
      </c>
      <c r="V6688" s="50"/>
      <c r="W6688" s="49"/>
      <c r="X6688" s="49"/>
      <c r="Y6688" s="35"/>
      <c r="Z6688" s="35"/>
      <c r="AA6688" s="35"/>
      <c r="AB6688" s="35"/>
      <c r="AC6688" s="35"/>
      <c r="AD6688" s="35"/>
      <c r="AE6688" s="35"/>
      <c r="AF6688" s="35"/>
      <c r="AG6688" s="35"/>
      <c r="AH6688" s="35"/>
      <c r="AI6688" s="35"/>
      <c r="AJ6688" s="35"/>
      <c r="AK6688" s="35"/>
      <c r="AL6688" s="35"/>
    </row>
    <row r="6689">
      <c r="A6689" s="149"/>
      <c r="B6689" s="19" t="s">
        <v>30772</v>
      </c>
      <c r="C6689" s="20" t="s">
        <v>31302</v>
      </c>
      <c r="D6689" s="47"/>
      <c r="E6689" s="22" t="s">
        <v>31344</v>
      </c>
      <c r="F6689" s="22" t="s">
        <v>748</v>
      </c>
      <c r="G6689" s="23">
        <v>1991.0</v>
      </c>
      <c r="H6689" s="22" t="s">
        <v>31345</v>
      </c>
      <c r="I6689" s="24" t="s">
        <v>31346</v>
      </c>
      <c r="J6689" s="22" t="s">
        <v>3053</v>
      </c>
      <c r="K6689" s="22"/>
      <c r="L6689" s="36">
        <v>633.0</v>
      </c>
      <c r="M6689" s="36"/>
      <c r="N6689" s="36"/>
      <c r="O6689" s="36"/>
      <c r="P6689" s="37"/>
      <c r="Q6689" s="36"/>
      <c r="R6689" s="36"/>
      <c r="S6689" s="36"/>
      <c r="T6689" s="28" t="s">
        <v>31347</v>
      </c>
      <c r="U6689" s="38" t="str">
        <f>HYPERLINK("https://www.ncbi.nlm.nih.gov/pubmed/1862594","PubMed")</f>
        <v>PubMed</v>
      </c>
      <c r="V6689" s="50"/>
      <c r="W6689" s="49"/>
      <c r="X6689" s="49"/>
      <c r="Y6689" s="35"/>
      <c r="Z6689" s="35"/>
      <c r="AA6689" s="35"/>
      <c r="AB6689" s="35"/>
      <c r="AC6689" s="35"/>
      <c r="AD6689" s="35"/>
      <c r="AE6689" s="35"/>
      <c r="AF6689" s="35"/>
      <c r="AG6689" s="35"/>
      <c r="AH6689" s="35"/>
      <c r="AI6689" s="35"/>
      <c r="AJ6689" s="35"/>
      <c r="AK6689" s="35"/>
      <c r="AL6689" s="35"/>
    </row>
    <row r="6690">
      <c r="A6690" s="149"/>
      <c r="B6690" s="19" t="s">
        <v>30772</v>
      </c>
      <c r="C6690" s="20" t="s">
        <v>31348</v>
      </c>
      <c r="D6690" s="47"/>
      <c r="E6690" s="22" t="s">
        <v>31349</v>
      </c>
      <c r="F6690" s="22" t="s">
        <v>5552</v>
      </c>
      <c r="G6690" s="23">
        <v>1992.0</v>
      </c>
      <c r="H6690" s="22" t="s">
        <v>31350</v>
      </c>
      <c r="I6690" s="24" t="s">
        <v>31351</v>
      </c>
      <c r="J6690" s="22" t="s">
        <v>55</v>
      </c>
      <c r="K6690" s="22" t="s">
        <v>31352</v>
      </c>
      <c r="L6690" s="36">
        <v>633.0</v>
      </c>
      <c r="M6690" s="36"/>
      <c r="N6690" s="36"/>
      <c r="O6690" s="36"/>
      <c r="P6690" s="37"/>
      <c r="Q6690" s="36"/>
      <c r="R6690" s="36"/>
      <c r="S6690" s="36"/>
      <c r="T6690" s="42" t="s">
        <v>31353</v>
      </c>
      <c r="U6690" s="38" t="str">
        <f>HYPERLINK("https://www.ncbi.nlm.nih.gov/pubmed/1283039","PubMed")</f>
        <v>PubMed</v>
      </c>
      <c r="V6690" s="50"/>
      <c r="W6690" s="49"/>
      <c r="X6690" s="49"/>
      <c r="Y6690" s="35"/>
      <c r="Z6690" s="35"/>
      <c r="AA6690" s="35"/>
      <c r="AB6690" s="35"/>
      <c r="AC6690" s="35"/>
      <c r="AD6690" s="35"/>
      <c r="AE6690" s="35"/>
      <c r="AF6690" s="35"/>
      <c r="AG6690" s="35"/>
      <c r="AH6690" s="35"/>
      <c r="AI6690" s="35"/>
      <c r="AJ6690" s="35"/>
      <c r="AK6690" s="35"/>
      <c r="AL6690" s="35"/>
    </row>
    <row r="6691">
      <c r="A6691" s="149"/>
      <c r="B6691" s="19" t="s">
        <v>30772</v>
      </c>
      <c r="C6691" s="20" t="s">
        <v>31354</v>
      </c>
      <c r="D6691" s="47"/>
      <c r="E6691" s="22" t="s">
        <v>493</v>
      </c>
      <c r="F6691" s="22" t="s">
        <v>1081</v>
      </c>
      <c r="G6691" s="23">
        <v>2023.0</v>
      </c>
      <c r="H6691" s="22" t="s">
        <v>207</v>
      </c>
      <c r="I6691" s="24" t="s">
        <v>31355</v>
      </c>
      <c r="J6691" s="22" t="s">
        <v>55</v>
      </c>
      <c r="K6691" s="22"/>
      <c r="L6691" s="36">
        <v>635.0</v>
      </c>
      <c r="M6691" s="36"/>
      <c r="N6691" s="36"/>
      <c r="O6691" s="36"/>
      <c r="P6691" s="37" t="s">
        <v>287</v>
      </c>
      <c r="Q6691" s="36" t="s">
        <v>6761</v>
      </c>
      <c r="R6691" s="36"/>
      <c r="S6691" s="36"/>
      <c r="T6691" s="28" t="s">
        <v>31356</v>
      </c>
      <c r="U6691" s="38" t="s">
        <v>61</v>
      </c>
      <c r="V6691" s="50"/>
      <c r="W6691" s="49"/>
      <c r="X6691" s="49"/>
      <c r="Y6691" s="35"/>
      <c r="Z6691" s="35"/>
      <c r="AA6691" s="35"/>
      <c r="AB6691" s="35"/>
      <c r="AC6691" s="35"/>
      <c r="AD6691" s="35"/>
      <c r="AE6691" s="35"/>
      <c r="AF6691" s="35"/>
      <c r="AG6691" s="35"/>
      <c r="AH6691" s="35"/>
      <c r="AI6691" s="35"/>
      <c r="AJ6691" s="35"/>
      <c r="AK6691" s="35"/>
      <c r="AL6691" s="35"/>
    </row>
    <row r="6692">
      <c r="A6692" s="149"/>
      <c r="B6692" s="19" t="s">
        <v>30772</v>
      </c>
      <c r="C6692" s="20" t="s">
        <v>31357</v>
      </c>
      <c r="D6692" s="47"/>
      <c r="E6692" s="22" t="s">
        <v>493</v>
      </c>
      <c r="F6692" s="22" t="s">
        <v>1081</v>
      </c>
      <c r="G6692" s="23">
        <v>2022.0</v>
      </c>
      <c r="H6692" s="22" t="s">
        <v>9148</v>
      </c>
      <c r="I6692" s="24" t="s">
        <v>31358</v>
      </c>
      <c r="J6692" s="22" t="s">
        <v>378</v>
      </c>
      <c r="K6692" s="22" t="s">
        <v>1725</v>
      </c>
      <c r="L6692" s="36">
        <v>405.0</v>
      </c>
      <c r="M6692" s="36"/>
      <c r="N6692" s="36"/>
      <c r="O6692" s="36"/>
      <c r="P6692" s="37"/>
      <c r="Q6692" s="36"/>
      <c r="R6692" s="36"/>
      <c r="S6692" s="36"/>
      <c r="T6692" s="42" t="s">
        <v>31359</v>
      </c>
      <c r="U6692" s="38" t="s">
        <v>61</v>
      </c>
      <c r="V6692" s="50"/>
      <c r="W6692" s="49"/>
      <c r="X6692" s="49"/>
      <c r="Y6692" s="35"/>
      <c r="Z6692" s="35"/>
      <c r="AA6692" s="35"/>
      <c r="AB6692" s="35"/>
      <c r="AC6692" s="35"/>
      <c r="AD6692" s="35"/>
      <c r="AE6692" s="35"/>
      <c r="AF6692" s="35"/>
      <c r="AG6692" s="35"/>
      <c r="AH6692" s="35"/>
      <c r="AI6692" s="35"/>
      <c r="AJ6692" s="35"/>
      <c r="AK6692" s="35"/>
      <c r="AL6692" s="35"/>
    </row>
    <row r="6693">
      <c r="A6693" s="149" t="s">
        <v>181</v>
      </c>
      <c r="B6693" s="19" t="s">
        <v>30772</v>
      </c>
      <c r="C6693" s="20"/>
      <c r="D6693" s="47"/>
      <c r="E6693" s="22" t="s">
        <v>23458</v>
      </c>
      <c r="F6693" s="22" t="s">
        <v>1943</v>
      </c>
      <c r="G6693" s="23">
        <v>2016.0</v>
      </c>
      <c r="H6693" s="22" t="s">
        <v>31360</v>
      </c>
      <c r="I6693" s="24" t="s">
        <v>31361</v>
      </c>
      <c r="J6693" s="22" t="s">
        <v>31362</v>
      </c>
      <c r="K6693" s="22"/>
      <c r="L6693" s="36">
        <v>970.0</v>
      </c>
      <c r="M6693" s="36">
        <v>2000.0</v>
      </c>
      <c r="N6693" s="36"/>
      <c r="O6693" s="36"/>
      <c r="P6693" s="37" t="s">
        <v>9353</v>
      </c>
      <c r="Q6693" s="36"/>
      <c r="R6693" s="36"/>
      <c r="S6693" s="36">
        <v>1.0</v>
      </c>
      <c r="T6693" s="28" t="s">
        <v>31363</v>
      </c>
      <c r="U6693" s="38" t="str">
        <f>HYPERLINK("https://www.ncbi.nlm.nih.gov/pubmed/27085288","PubMed")</f>
        <v>PubMed</v>
      </c>
      <c r="V6693" s="30" t="s">
        <v>31364</v>
      </c>
      <c r="W6693" s="49"/>
      <c r="X6693" s="49"/>
      <c r="Y6693" s="35"/>
      <c r="Z6693" s="35"/>
      <c r="AA6693" s="35"/>
      <c r="AB6693" s="35"/>
      <c r="AC6693" s="35"/>
      <c r="AD6693" s="35"/>
      <c r="AE6693" s="35"/>
      <c r="AF6693" s="35"/>
      <c r="AG6693" s="35"/>
      <c r="AH6693" s="35"/>
      <c r="AI6693" s="35"/>
      <c r="AJ6693" s="35"/>
      <c r="AK6693" s="35"/>
      <c r="AL6693" s="35"/>
    </row>
    <row r="6694">
      <c r="A6694" s="149"/>
      <c r="B6694" s="19" t="s">
        <v>30772</v>
      </c>
      <c r="C6694" s="20"/>
      <c r="D6694" s="47"/>
      <c r="E6694" s="22" t="s">
        <v>31365</v>
      </c>
      <c r="F6694" s="22" t="s">
        <v>748</v>
      </c>
      <c r="G6694" s="23">
        <v>1989.0</v>
      </c>
      <c r="H6694" s="22" t="s">
        <v>31366</v>
      </c>
      <c r="I6694" s="24" t="s">
        <v>31367</v>
      </c>
      <c r="J6694" s="22" t="s">
        <v>2049</v>
      </c>
      <c r="K6694" s="22" t="s">
        <v>31368</v>
      </c>
      <c r="L6694" s="36">
        <v>633.0</v>
      </c>
      <c r="M6694" s="36"/>
      <c r="N6694" s="36"/>
      <c r="O6694" s="36"/>
      <c r="P6694" s="37"/>
      <c r="Q6694" s="36"/>
      <c r="R6694" s="36"/>
      <c r="S6694" s="36"/>
      <c r="T6694" s="28"/>
      <c r="U6694" s="38" t="str">
        <f>HYPERLINK("https://www.ncbi.nlm.nih.gov/pubmed/2734265","PubMed")</f>
        <v>PubMed</v>
      </c>
      <c r="V6694" s="50"/>
      <c r="W6694" s="49"/>
      <c r="X6694" s="49"/>
      <c r="Y6694" s="35"/>
      <c r="Z6694" s="35"/>
      <c r="AA6694" s="35"/>
      <c r="AB6694" s="35"/>
      <c r="AC6694" s="35"/>
      <c r="AD6694" s="35"/>
      <c r="AE6694" s="35"/>
      <c r="AF6694" s="35"/>
      <c r="AG6694" s="35"/>
      <c r="AH6694" s="35"/>
      <c r="AI6694" s="35"/>
      <c r="AJ6694" s="35"/>
      <c r="AK6694" s="35"/>
      <c r="AL6694" s="35"/>
    </row>
    <row r="6695">
      <c r="A6695" s="1"/>
      <c r="B6695" s="19" t="s">
        <v>30772</v>
      </c>
      <c r="C6695" s="20"/>
      <c r="D6695" s="47"/>
      <c r="E6695" s="22" t="s">
        <v>5713</v>
      </c>
      <c r="F6695" s="22" t="s">
        <v>31114</v>
      </c>
      <c r="G6695" s="23">
        <v>2010.0</v>
      </c>
      <c r="H6695" s="22" t="s">
        <v>91</v>
      </c>
      <c r="I6695" s="24" t="s">
        <v>31369</v>
      </c>
      <c r="J6695" s="22" t="s">
        <v>55</v>
      </c>
      <c r="K6695" s="22"/>
      <c r="L6695" s="36">
        <v>660.0</v>
      </c>
      <c r="M6695" s="36"/>
      <c r="N6695" s="36"/>
      <c r="O6695" s="36"/>
      <c r="P6695" s="37" t="s">
        <v>30782</v>
      </c>
      <c r="Q6695" s="36"/>
      <c r="R6695" s="36">
        <v>42.0</v>
      </c>
      <c r="S6695" s="128">
        <v>42401.0</v>
      </c>
      <c r="T6695" s="28" t="s">
        <v>31370</v>
      </c>
      <c r="U6695" s="38" t="str">
        <f>HYPERLINK("https://www.ncbi.nlm.nih.gov/pubmed/20393772","PubMed")</f>
        <v>PubMed</v>
      </c>
      <c r="V6695" s="30"/>
      <c r="W6695" s="49"/>
      <c r="X6695" s="49"/>
      <c r="Y6695" s="35"/>
      <c r="Z6695" s="35"/>
      <c r="AA6695" s="35"/>
      <c r="AB6695" s="35"/>
      <c r="AC6695" s="35"/>
      <c r="AD6695" s="35"/>
      <c r="AE6695" s="35"/>
      <c r="AF6695" s="35"/>
      <c r="AG6695" s="35"/>
      <c r="AH6695" s="35"/>
      <c r="AI6695" s="35"/>
      <c r="AJ6695" s="35"/>
      <c r="AK6695" s="35"/>
      <c r="AL6695" s="35"/>
    </row>
    <row r="6696">
      <c r="A6696" s="1"/>
      <c r="B6696" s="19" t="s">
        <v>31371</v>
      </c>
      <c r="C6696" s="20" t="s">
        <v>13943</v>
      </c>
      <c r="D6696" s="47"/>
      <c r="E6696" s="22" t="s">
        <v>5325</v>
      </c>
      <c r="F6696" s="22" t="s">
        <v>5326</v>
      </c>
      <c r="G6696" s="23">
        <v>2020.0</v>
      </c>
      <c r="H6696" s="22" t="s">
        <v>77</v>
      </c>
      <c r="I6696" s="24" t="s">
        <v>31372</v>
      </c>
      <c r="J6696" s="22" t="s">
        <v>2273</v>
      </c>
      <c r="K6696" s="22"/>
      <c r="L6696" s="36">
        <v>940.0</v>
      </c>
      <c r="M6696" s="36"/>
      <c r="N6696" s="36"/>
      <c r="O6696" s="36"/>
      <c r="P6696" s="37"/>
      <c r="Q6696" s="36"/>
      <c r="R6696" s="36"/>
      <c r="S6696" s="36"/>
      <c r="T6696" s="137" t="s">
        <v>31373</v>
      </c>
      <c r="U6696" s="29" t="s">
        <v>61</v>
      </c>
      <c r="V6696" s="50"/>
      <c r="W6696" s="49"/>
      <c r="X6696" s="49"/>
      <c r="Y6696" s="35"/>
      <c r="Z6696" s="35"/>
      <c r="AA6696" s="35"/>
      <c r="AB6696" s="35"/>
      <c r="AC6696" s="35"/>
      <c r="AD6696" s="35"/>
      <c r="AE6696" s="35"/>
      <c r="AF6696" s="35"/>
      <c r="AG6696" s="35"/>
      <c r="AH6696" s="35"/>
      <c r="AI6696" s="35"/>
      <c r="AJ6696" s="35"/>
      <c r="AK6696" s="35"/>
      <c r="AL6696" s="35"/>
    </row>
    <row r="6697">
      <c r="A6697" s="1"/>
      <c r="B6697" s="19" t="s">
        <v>31371</v>
      </c>
      <c r="C6697" s="20" t="s">
        <v>13943</v>
      </c>
      <c r="D6697" s="47"/>
      <c r="E6697" s="22" t="s">
        <v>31374</v>
      </c>
      <c r="F6697" s="22" t="s">
        <v>8147</v>
      </c>
      <c r="G6697" s="23">
        <v>2011.0</v>
      </c>
      <c r="H6697" s="22" t="s">
        <v>7033</v>
      </c>
      <c r="I6697" s="24" t="s">
        <v>31375</v>
      </c>
      <c r="J6697" s="22" t="s">
        <v>31376</v>
      </c>
      <c r="K6697" s="22" t="s">
        <v>5886</v>
      </c>
      <c r="L6697" s="36" t="s">
        <v>31377</v>
      </c>
      <c r="M6697" s="36"/>
      <c r="N6697" s="36"/>
      <c r="O6697" s="36"/>
      <c r="P6697" s="37"/>
      <c r="Q6697" s="36"/>
      <c r="R6697" s="36"/>
      <c r="S6697" s="36"/>
      <c r="T6697" s="137" t="s">
        <v>31378</v>
      </c>
      <c r="U6697" s="38" t="str">
        <f>HYPERLINK("https://www.ncbi.nlm.nih.gov/pubmed/21757879","PubMed")</f>
        <v>PubMed</v>
      </c>
      <c r="V6697" s="30"/>
      <c r="W6697" s="49"/>
      <c r="X6697" s="49"/>
      <c r="Y6697" s="35"/>
      <c r="Z6697" s="35"/>
      <c r="AA6697" s="35"/>
      <c r="AB6697" s="35"/>
      <c r="AC6697" s="35"/>
      <c r="AD6697" s="35"/>
      <c r="AE6697" s="35"/>
      <c r="AF6697" s="35"/>
      <c r="AG6697" s="35"/>
      <c r="AH6697" s="35"/>
      <c r="AI6697" s="35"/>
      <c r="AJ6697" s="35"/>
      <c r="AK6697" s="35"/>
      <c r="AL6697" s="35"/>
    </row>
    <row r="6698">
      <c r="A6698" s="1"/>
      <c r="B6698" s="19" t="s">
        <v>31371</v>
      </c>
      <c r="C6698" s="20" t="s">
        <v>13943</v>
      </c>
      <c r="D6698" s="47"/>
      <c r="E6698" s="22" t="s">
        <v>31379</v>
      </c>
      <c r="F6698" s="22" t="s">
        <v>2604</v>
      </c>
      <c r="G6698" s="23">
        <v>1990.0</v>
      </c>
      <c r="H6698" s="22" t="s">
        <v>31380</v>
      </c>
      <c r="I6698" s="24" t="s">
        <v>31381</v>
      </c>
      <c r="J6698" s="22" t="s">
        <v>31382</v>
      </c>
      <c r="K6698" s="22"/>
      <c r="L6698" s="36" t="s">
        <v>7936</v>
      </c>
      <c r="M6698" s="36"/>
      <c r="N6698" s="36"/>
      <c r="O6698" s="36"/>
      <c r="P6698" s="37"/>
      <c r="Q6698" s="36"/>
      <c r="R6698" s="36">
        <v>1800.0</v>
      </c>
      <c r="S6698" s="36"/>
      <c r="T6698" s="137" t="s">
        <v>31383</v>
      </c>
      <c r="U6698" s="38" t="str">
        <f>HYPERLINK("https://www.ncbi.nlm.nih.gov/pubmed/2083608","PubMed")</f>
        <v>PubMed</v>
      </c>
      <c r="V6698" s="30"/>
      <c r="W6698" s="49"/>
      <c r="X6698" s="49"/>
      <c r="Y6698" s="35"/>
      <c r="Z6698" s="35"/>
      <c r="AA6698" s="35"/>
      <c r="AB6698" s="35"/>
      <c r="AC6698" s="35"/>
      <c r="AD6698" s="35"/>
      <c r="AE6698" s="35"/>
      <c r="AF6698" s="35"/>
      <c r="AG6698" s="35"/>
      <c r="AH6698" s="35"/>
      <c r="AI6698" s="35"/>
      <c r="AJ6698" s="35"/>
      <c r="AK6698" s="35"/>
      <c r="AL6698" s="35"/>
    </row>
    <row r="6699">
      <c r="A6699" s="1"/>
      <c r="B6699" s="19" t="s">
        <v>31371</v>
      </c>
      <c r="C6699" s="20" t="s">
        <v>31384</v>
      </c>
      <c r="D6699" s="47"/>
      <c r="E6699" s="22" t="s">
        <v>31385</v>
      </c>
      <c r="F6699" s="22" t="s">
        <v>5025</v>
      </c>
      <c r="G6699" s="23">
        <v>2022.0</v>
      </c>
      <c r="H6699" s="22" t="s">
        <v>31386</v>
      </c>
      <c r="I6699" s="24" t="s">
        <v>31387</v>
      </c>
      <c r="J6699" s="22" t="s">
        <v>31388</v>
      </c>
      <c r="K6699" s="22"/>
      <c r="L6699" s="36"/>
      <c r="M6699" s="36"/>
      <c r="N6699" s="36"/>
      <c r="O6699" s="36"/>
      <c r="P6699" s="37"/>
      <c r="Q6699" s="36"/>
      <c r="R6699" s="36"/>
      <c r="S6699" s="36" t="s">
        <v>24819</v>
      </c>
      <c r="T6699" s="28" t="s">
        <v>31389</v>
      </c>
      <c r="U6699" s="29" t="s">
        <v>61</v>
      </c>
      <c r="V6699" s="30"/>
      <c r="W6699" s="49"/>
      <c r="X6699" s="49"/>
      <c r="Y6699" s="35"/>
      <c r="Z6699" s="35"/>
      <c r="AA6699" s="35"/>
      <c r="AB6699" s="35"/>
      <c r="AC6699" s="35"/>
      <c r="AD6699" s="35"/>
      <c r="AE6699" s="35"/>
      <c r="AF6699" s="35"/>
      <c r="AG6699" s="35"/>
      <c r="AH6699" s="35"/>
      <c r="AI6699" s="35"/>
      <c r="AJ6699" s="35"/>
      <c r="AK6699" s="35"/>
      <c r="AL6699" s="35"/>
    </row>
    <row r="6700">
      <c r="A6700" s="1"/>
      <c r="B6700" s="19" t="s">
        <v>31390</v>
      </c>
      <c r="C6700" s="20" t="s">
        <v>6283</v>
      </c>
      <c r="D6700" s="47"/>
      <c r="E6700" s="22" t="s">
        <v>31391</v>
      </c>
      <c r="F6700" s="22" t="s">
        <v>31392</v>
      </c>
      <c r="G6700" s="23">
        <v>2023.0</v>
      </c>
      <c r="H6700" s="22" t="s">
        <v>207</v>
      </c>
      <c r="I6700" s="24" t="s">
        <v>31393</v>
      </c>
      <c r="J6700" s="22" t="s">
        <v>44</v>
      </c>
      <c r="K6700" s="408" t="s">
        <v>56</v>
      </c>
      <c r="L6700" s="36" t="s">
        <v>4772</v>
      </c>
      <c r="M6700" s="36"/>
      <c r="N6700" s="36"/>
      <c r="O6700" s="36"/>
      <c r="P6700" s="37"/>
      <c r="Q6700" s="36"/>
      <c r="R6700" s="36"/>
      <c r="S6700" s="36"/>
      <c r="T6700" s="28" t="s">
        <v>31394</v>
      </c>
      <c r="U6700" s="38" t="s">
        <v>8353</v>
      </c>
      <c r="V6700" s="30"/>
      <c r="W6700" s="49"/>
      <c r="X6700" s="49"/>
      <c r="Y6700" s="35"/>
      <c r="Z6700" s="35"/>
      <c r="AA6700" s="35"/>
      <c r="AB6700" s="35"/>
      <c r="AC6700" s="35"/>
      <c r="AD6700" s="35"/>
      <c r="AE6700" s="35"/>
      <c r="AF6700" s="35"/>
      <c r="AG6700" s="35"/>
      <c r="AH6700" s="35"/>
      <c r="AI6700" s="35"/>
      <c r="AJ6700" s="35"/>
      <c r="AK6700" s="35"/>
      <c r="AL6700" s="35"/>
    </row>
    <row r="6701">
      <c r="A6701" s="1"/>
      <c r="B6701" s="19" t="s">
        <v>31390</v>
      </c>
      <c r="C6701" s="20" t="s">
        <v>31395</v>
      </c>
      <c r="D6701" s="47"/>
      <c r="E6701" s="22" t="s">
        <v>1080</v>
      </c>
      <c r="F6701" s="22" t="s">
        <v>299</v>
      </c>
      <c r="G6701" s="23">
        <v>2020.0</v>
      </c>
      <c r="H6701" s="22" t="s">
        <v>3828</v>
      </c>
      <c r="I6701" s="24" t="s">
        <v>31396</v>
      </c>
      <c r="J6701" s="22" t="s">
        <v>2273</v>
      </c>
      <c r="K6701" s="408" t="s">
        <v>31397</v>
      </c>
      <c r="L6701" s="36" t="s">
        <v>31398</v>
      </c>
      <c r="M6701" s="36"/>
      <c r="N6701" s="36"/>
      <c r="O6701" s="36"/>
      <c r="P6701" s="37"/>
      <c r="Q6701" s="36"/>
      <c r="R6701" s="36"/>
      <c r="S6701" s="36"/>
      <c r="T6701" s="41" t="s">
        <v>31399</v>
      </c>
      <c r="U6701" s="29" t="s">
        <v>61</v>
      </c>
      <c r="V6701" s="30"/>
      <c r="W6701" s="49"/>
      <c r="X6701" s="49"/>
      <c r="Y6701" s="35"/>
      <c r="Z6701" s="35"/>
      <c r="AA6701" s="35"/>
      <c r="AB6701" s="35"/>
      <c r="AC6701" s="35"/>
      <c r="AD6701" s="35"/>
      <c r="AE6701" s="35"/>
      <c r="AF6701" s="35"/>
      <c r="AG6701" s="35"/>
      <c r="AH6701" s="35"/>
      <c r="AI6701" s="35"/>
      <c r="AJ6701" s="35"/>
      <c r="AK6701" s="35"/>
      <c r="AL6701" s="35"/>
    </row>
    <row r="6702">
      <c r="A6702" s="1"/>
      <c r="B6702" s="19" t="s">
        <v>31390</v>
      </c>
      <c r="C6702" s="20" t="s">
        <v>31400</v>
      </c>
      <c r="D6702" s="47"/>
      <c r="E6702" s="22" t="s">
        <v>31401</v>
      </c>
      <c r="F6702" s="22" t="s">
        <v>6594</v>
      </c>
      <c r="G6702" s="23">
        <v>2022.0</v>
      </c>
      <c r="H6702" s="22" t="s">
        <v>8385</v>
      </c>
      <c r="I6702" s="24" t="s">
        <v>31402</v>
      </c>
      <c r="J6702" s="22" t="s">
        <v>31</v>
      </c>
      <c r="K6702" s="408"/>
      <c r="L6702" s="36"/>
      <c r="M6702" s="36"/>
      <c r="N6702" s="36"/>
      <c r="O6702" s="36"/>
      <c r="P6702" s="37" t="s">
        <v>82</v>
      </c>
      <c r="Q6702" s="36"/>
      <c r="R6702" s="36"/>
      <c r="S6702" s="36" t="s">
        <v>3125</v>
      </c>
      <c r="T6702" s="41" t="s">
        <v>31403</v>
      </c>
      <c r="U6702" s="38" t="s">
        <v>61</v>
      </c>
      <c r="V6702" s="30"/>
      <c r="W6702" s="49"/>
      <c r="X6702" s="49"/>
      <c r="Y6702" s="35"/>
      <c r="Z6702" s="35"/>
      <c r="AA6702" s="35"/>
      <c r="AB6702" s="35"/>
      <c r="AC6702" s="35"/>
      <c r="AD6702" s="35"/>
      <c r="AE6702" s="35"/>
      <c r="AF6702" s="35"/>
      <c r="AG6702" s="35"/>
      <c r="AH6702" s="35"/>
      <c r="AI6702" s="35"/>
      <c r="AJ6702" s="35"/>
      <c r="AK6702" s="35"/>
      <c r="AL6702" s="35"/>
    </row>
    <row r="6703">
      <c r="A6703" s="1"/>
      <c r="B6703" s="19" t="s">
        <v>31390</v>
      </c>
      <c r="C6703" s="20" t="s">
        <v>2073</v>
      </c>
      <c r="D6703" s="47"/>
      <c r="E6703" s="22" t="s">
        <v>3371</v>
      </c>
      <c r="F6703" s="22" t="s">
        <v>2407</v>
      </c>
      <c r="G6703" s="23">
        <v>2019.0</v>
      </c>
      <c r="H6703" s="22" t="s">
        <v>77</v>
      </c>
      <c r="I6703" s="24" t="s">
        <v>31404</v>
      </c>
      <c r="J6703" s="22" t="s">
        <v>31405</v>
      </c>
      <c r="K6703" s="22" t="s">
        <v>31406</v>
      </c>
      <c r="L6703" s="36">
        <v>823.0</v>
      </c>
      <c r="M6703" s="36"/>
      <c r="N6703" s="36"/>
      <c r="O6703" s="36"/>
      <c r="P6703" s="37"/>
      <c r="Q6703" s="36"/>
      <c r="R6703" s="36"/>
      <c r="S6703" s="36" t="s">
        <v>2680</v>
      </c>
      <c r="T6703" s="42" t="s">
        <v>31407</v>
      </c>
      <c r="U6703" s="38" t="str">
        <f>HYPERLINK("https://www.ncbi.nlm.nih.gov/pubmed/31647774","PubMed")</f>
        <v>PubMed</v>
      </c>
      <c r="V6703" s="30"/>
      <c r="W6703" s="49"/>
      <c r="X6703" s="49"/>
      <c r="Y6703" s="35"/>
      <c r="Z6703" s="35"/>
      <c r="AA6703" s="35"/>
      <c r="AB6703" s="35"/>
      <c r="AC6703" s="35"/>
      <c r="AD6703" s="35"/>
      <c r="AE6703" s="35"/>
      <c r="AF6703" s="35"/>
      <c r="AG6703" s="35"/>
      <c r="AH6703" s="35"/>
      <c r="AI6703" s="35"/>
      <c r="AJ6703" s="35"/>
      <c r="AK6703" s="35"/>
      <c r="AL6703" s="35"/>
    </row>
    <row r="6704">
      <c r="A6704" s="1"/>
      <c r="B6704" s="19" t="s">
        <v>31390</v>
      </c>
      <c r="C6704" s="20" t="s">
        <v>2073</v>
      </c>
      <c r="D6704" s="47"/>
      <c r="E6704" s="22" t="s">
        <v>31408</v>
      </c>
      <c r="F6704" s="22" t="s">
        <v>5987</v>
      </c>
      <c r="G6704" s="23">
        <v>2017.0</v>
      </c>
      <c r="H6704" s="22" t="s">
        <v>2181</v>
      </c>
      <c r="I6704" s="24" t="s">
        <v>31409</v>
      </c>
      <c r="J6704" s="22" t="s">
        <v>55</v>
      </c>
      <c r="K6704" s="22"/>
      <c r="L6704" s="36">
        <v>638.0</v>
      </c>
      <c r="M6704" s="36"/>
      <c r="N6704" s="36" t="s">
        <v>31410</v>
      </c>
      <c r="O6704" s="36"/>
      <c r="P6704" s="37"/>
      <c r="Q6704" s="36"/>
      <c r="R6704" s="36" t="s">
        <v>31411</v>
      </c>
      <c r="S6704" s="36"/>
      <c r="T6704" s="28" t="s">
        <v>31412</v>
      </c>
      <c r="U6704" s="38" t="str">
        <f>HYPERLINK("https://www.ncbi.nlm.nih.gov/pubmed/28276522","PubMed")</f>
        <v>PubMed</v>
      </c>
      <c r="V6704" s="30"/>
      <c r="W6704" s="49"/>
      <c r="X6704" s="49"/>
      <c r="Y6704" s="35"/>
      <c r="Z6704" s="35"/>
      <c r="AA6704" s="35"/>
      <c r="AB6704" s="35"/>
      <c r="AC6704" s="35"/>
      <c r="AD6704" s="35"/>
      <c r="AE6704" s="35"/>
      <c r="AF6704" s="35"/>
      <c r="AG6704" s="35"/>
      <c r="AH6704" s="35"/>
      <c r="AI6704" s="35"/>
      <c r="AJ6704" s="35"/>
      <c r="AK6704" s="35"/>
      <c r="AL6704" s="35"/>
    </row>
    <row r="6705">
      <c r="A6705" s="1"/>
      <c r="B6705" s="19" t="s">
        <v>31390</v>
      </c>
      <c r="C6705" s="20" t="s">
        <v>2073</v>
      </c>
      <c r="D6705" s="47"/>
      <c r="E6705" s="22" t="s">
        <v>4095</v>
      </c>
      <c r="F6705" s="22" t="s">
        <v>4073</v>
      </c>
      <c r="G6705" s="23">
        <v>2017.0</v>
      </c>
      <c r="H6705" s="22" t="s">
        <v>3626</v>
      </c>
      <c r="I6705" s="24" t="s">
        <v>31413</v>
      </c>
      <c r="J6705" s="22" t="s">
        <v>31414</v>
      </c>
      <c r="K6705" s="22"/>
      <c r="L6705" s="36">
        <v>670.0</v>
      </c>
      <c r="M6705" s="36"/>
      <c r="N6705" s="129"/>
      <c r="O6705" s="36"/>
      <c r="P6705" s="37"/>
      <c r="Q6705" s="36"/>
      <c r="R6705" s="36"/>
      <c r="S6705" s="36"/>
      <c r="T6705" s="28" t="s">
        <v>31415</v>
      </c>
      <c r="U6705" s="38" t="str">
        <f>HYPERLINK("https://www.ncbi.nlm.nih.gov/pubmed/28744621","PubMed")</f>
        <v>PubMed</v>
      </c>
      <c r="V6705" s="30"/>
      <c r="W6705" s="49"/>
      <c r="X6705" s="49"/>
      <c r="Y6705" s="35"/>
      <c r="Z6705" s="35"/>
      <c r="AA6705" s="35"/>
      <c r="AB6705" s="35"/>
      <c r="AC6705" s="35"/>
      <c r="AD6705" s="35"/>
      <c r="AE6705" s="35"/>
      <c r="AF6705" s="35"/>
      <c r="AG6705" s="35"/>
      <c r="AH6705" s="35"/>
      <c r="AI6705" s="35"/>
      <c r="AJ6705" s="35"/>
      <c r="AK6705" s="35"/>
      <c r="AL6705" s="35"/>
    </row>
    <row r="6706">
      <c r="A6706" s="1"/>
      <c r="B6706" s="19" t="s">
        <v>31390</v>
      </c>
      <c r="C6706" s="20" t="s">
        <v>31416</v>
      </c>
      <c r="D6706" s="47"/>
      <c r="E6706" s="22" t="s">
        <v>31417</v>
      </c>
      <c r="F6706" s="22" t="s">
        <v>6963</v>
      </c>
      <c r="G6706" s="23">
        <v>2016.0</v>
      </c>
      <c r="H6706" s="22" t="s">
        <v>2181</v>
      </c>
      <c r="I6706" s="24" t="s">
        <v>31418</v>
      </c>
      <c r="J6706" s="22" t="s">
        <v>31</v>
      </c>
      <c r="K6706" s="22"/>
      <c r="L6706" s="36">
        <v>808.0</v>
      </c>
      <c r="M6706" s="36"/>
      <c r="N6706" s="129">
        <v>42856.0</v>
      </c>
      <c r="O6706" s="36"/>
      <c r="P6706" s="37"/>
      <c r="Q6706" s="36"/>
      <c r="R6706" s="36">
        <v>120.0</v>
      </c>
      <c r="S6706" s="36"/>
      <c r="T6706" s="28" t="s">
        <v>31419</v>
      </c>
      <c r="U6706" s="38" t="str">
        <f>HYPERLINK("https://www.ncbi.nlm.nih.gov/pubmed/27465276","PubMed")</f>
        <v>PubMed</v>
      </c>
      <c r="V6706" s="30"/>
      <c r="W6706" s="49"/>
      <c r="X6706" s="49"/>
      <c r="Y6706" s="35"/>
      <c r="Z6706" s="35"/>
      <c r="AA6706" s="35"/>
      <c r="AB6706" s="35"/>
      <c r="AC6706" s="35"/>
      <c r="AD6706" s="35"/>
      <c r="AE6706" s="35"/>
      <c r="AF6706" s="35"/>
      <c r="AG6706" s="35"/>
      <c r="AH6706" s="35"/>
      <c r="AI6706" s="35"/>
      <c r="AJ6706" s="35"/>
      <c r="AK6706" s="35"/>
      <c r="AL6706" s="35"/>
    </row>
    <row r="6707">
      <c r="A6707" s="1"/>
      <c r="B6707" s="19" t="s">
        <v>31390</v>
      </c>
      <c r="C6707" s="20" t="s">
        <v>31420</v>
      </c>
      <c r="D6707" s="47"/>
      <c r="E6707" s="22" t="s">
        <v>216</v>
      </c>
      <c r="F6707" s="22" t="s">
        <v>2196</v>
      </c>
      <c r="G6707" s="23">
        <v>2023.0</v>
      </c>
      <c r="H6707" s="22" t="s">
        <v>10019</v>
      </c>
      <c r="I6707" s="24" t="s">
        <v>31421</v>
      </c>
      <c r="J6707" s="22" t="s">
        <v>8456</v>
      </c>
      <c r="K6707" s="22"/>
      <c r="L6707" s="36"/>
      <c r="M6707" s="36"/>
      <c r="N6707" s="129"/>
      <c r="O6707" s="36"/>
      <c r="P6707" s="37"/>
      <c r="Q6707" s="36"/>
      <c r="R6707" s="36"/>
      <c r="S6707" s="36"/>
      <c r="T6707" s="28" t="s">
        <v>31422</v>
      </c>
      <c r="U6707" s="38" t="s">
        <v>61</v>
      </c>
      <c r="V6707" s="30" t="s">
        <v>174</v>
      </c>
      <c r="W6707" s="49"/>
      <c r="X6707" s="49"/>
      <c r="Y6707" s="35"/>
      <c r="Z6707" s="35"/>
      <c r="AA6707" s="35"/>
      <c r="AB6707" s="35"/>
      <c r="AC6707" s="35"/>
      <c r="AD6707" s="35"/>
      <c r="AE6707" s="35"/>
      <c r="AF6707" s="35"/>
      <c r="AG6707" s="35"/>
      <c r="AH6707" s="35"/>
      <c r="AI6707" s="35"/>
      <c r="AJ6707" s="35"/>
      <c r="AK6707" s="35"/>
      <c r="AL6707" s="35"/>
    </row>
    <row r="6708">
      <c r="A6708" s="1"/>
      <c r="B6708" s="19" t="s">
        <v>31390</v>
      </c>
      <c r="C6708" s="20" t="s">
        <v>31423</v>
      </c>
      <c r="D6708" s="47"/>
      <c r="E6708" s="22" t="s">
        <v>8316</v>
      </c>
      <c r="F6708" s="22" t="s">
        <v>4999</v>
      </c>
      <c r="G6708" s="23">
        <v>2023.0</v>
      </c>
      <c r="H6708" s="22" t="s">
        <v>42</v>
      </c>
      <c r="I6708" s="24" t="s">
        <v>31424</v>
      </c>
      <c r="J6708" s="22" t="s">
        <v>31</v>
      </c>
      <c r="K6708" s="22"/>
      <c r="L6708" s="36">
        <v>830.0</v>
      </c>
      <c r="M6708" s="36"/>
      <c r="N6708" s="129"/>
      <c r="O6708" s="36"/>
      <c r="P6708" s="37" t="s">
        <v>31425</v>
      </c>
      <c r="Q6708" s="36"/>
      <c r="R6708" s="36"/>
      <c r="S6708" s="36"/>
      <c r="T6708" s="28" t="s">
        <v>31426</v>
      </c>
      <c r="U6708" s="38" t="s">
        <v>61</v>
      </c>
      <c r="V6708" s="30"/>
      <c r="W6708" s="49"/>
      <c r="X6708" s="49"/>
      <c r="Y6708" s="35"/>
      <c r="Z6708" s="35"/>
      <c r="AA6708" s="35"/>
      <c r="AB6708" s="35"/>
      <c r="AC6708" s="35"/>
      <c r="AD6708" s="35"/>
      <c r="AE6708" s="35"/>
      <c r="AF6708" s="35"/>
      <c r="AG6708" s="35"/>
      <c r="AH6708" s="35"/>
      <c r="AI6708" s="35"/>
      <c r="AJ6708" s="35"/>
      <c r="AK6708" s="35"/>
      <c r="AL6708" s="35"/>
    </row>
    <row r="6709">
      <c r="A6709" s="1"/>
      <c r="B6709" s="19" t="s">
        <v>31390</v>
      </c>
      <c r="C6709" s="20" t="s">
        <v>31423</v>
      </c>
      <c r="D6709" s="47"/>
      <c r="E6709" s="22" t="s">
        <v>626</v>
      </c>
      <c r="F6709" s="22" t="s">
        <v>4999</v>
      </c>
      <c r="G6709" s="23">
        <v>2022.0</v>
      </c>
      <c r="H6709" s="22" t="s">
        <v>42</v>
      </c>
      <c r="I6709" s="24" t="s">
        <v>31427</v>
      </c>
      <c r="J6709" s="22" t="s">
        <v>31</v>
      </c>
      <c r="K6709" s="22"/>
      <c r="L6709" s="36">
        <v>633.0</v>
      </c>
      <c r="M6709" s="36"/>
      <c r="N6709" s="129"/>
      <c r="O6709" s="36"/>
      <c r="P6709" s="37" t="s">
        <v>31428</v>
      </c>
      <c r="Q6709" s="36"/>
      <c r="R6709" s="36"/>
      <c r="S6709" s="36"/>
      <c r="T6709" s="28" t="s">
        <v>31429</v>
      </c>
      <c r="U6709" s="38" t="s">
        <v>61</v>
      </c>
      <c r="V6709" s="30"/>
      <c r="W6709" s="49"/>
      <c r="X6709" s="49"/>
      <c r="Y6709" s="35"/>
      <c r="Z6709" s="35"/>
      <c r="AA6709" s="35"/>
      <c r="AB6709" s="35"/>
      <c r="AC6709" s="35"/>
      <c r="AD6709" s="35"/>
      <c r="AE6709" s="35"/>
      <c r="AF6709" s="35"/>
      <c r="AG6709" s="35"/>
      <c r="AH6709" s="35"/>
      <c r="AI6709" s="35"/>
      <c r="AJ6709" s="35"/>
      <c r="AK6709" s="35"/>
      <c r="AL6709" s="35"/>
    </row>
    <row r="6710">
      <c r="A6710" s="18"/>
      <c r="B6710" s="19" t="s">
        <v>31390</v>
      </c>
      <c r="C6710" s="20" t="s">
        <v>31423</v>
      </c>
      <c r="D6710" s="47"/>
      <c r="E6710" s="22" t="s">
        <v>31430</v>
      </c>
      <c r="F6710" s="22" t="s">
        <v>797</v>
      </c>
      <c r="G6710" s="23">
        <v>2018.0</v>
      </c>
      <c r="H6710" s="22" t="s">
        <v>658</v>
      </c>
      <c r="I6710" s="24" t="s">
        <v>31431</v>
      </c>
      <c r="J6710" s="22" t="s">
        <v>2823</v>
      </c>
      <c r="K6710" s="22" t="s">
        <v>31432</v>
      </c>
      <c r="L6710" s="36">
        <v>904.0</v>
      </c>
      <c r="M6710" s="36"/>
      <c r="N6710" s="36"/>
      <c r="O6710" s="36"/>
      <c r="P6710" s="37" t="s">
        <v>31433</v>
      </c>
      <c r="Q6710" s="36"/>
      <c r="R6710" s="36"/>
      <c r="S6710" s="36"/>
      <c r="T6710" s="41" t="s">
        <v>31434</v>
      </c>
      <c r="U6710" s="38" t="str">
        <f>HYPERLINK("https://www.ncbi.nlm.nih.gov/pubmed/30251923","PubMed")</f>
        <v>PubMed</v>
      </c>
      <c r="V6710" s="30"/>
      <c r="W6710" s="49"/>
      <c r="X6710" s="49"/>
      <c r="Y6710" s="35"/>
      <c r="Z6710" s="35"/>
      <c r="AA6710" s="35"/>
      <c r="AB6710" s="35"/>
      <c r="AC6710" s="35"/>
      <c r="AD6710" s="35"/>
      <c r="AE6710" s="35"/>
      <c r="AF6710" s="35"/>
      <c r="AG6710" s="35"/>
      <c r="AH6710" s="35"/>
      <c r="AI6710" s="35"/>
      <c r="AJ6710" s="35"/>
      <c r="AK6710" s="35"/>
      <c r="AL6710" s="35"/>
    </row>
    <row r="6711">
      <c r="A6711" s="1"/>
      <c r="B6711" s="19" t="s">
        <v>31390</v>
      </c>
      <c r="C6711" s="20" t="s">
        <v>31423</v>
      </c>
      <c r="D6711" s="47"/>
      <c r="E6711" s="22" t="s">
        <v>19290</v>
      </c>
      <c r="F6711" s="22" t="s">
        <v>6278</v>
      </c>
      <c r="G6711" s="23">
        <v>2017.0</v>
      </c>
      <c r="H6711" s="22" t="s">
        <v>11664</v>
      </c>
      <c r="I6711" s="24" t="s">
        <v>31435</v>
      </c>
      <c r="J6711" s="22" t="s">
        <v>44</v>
      </c>
      <c r="K6711" s="22"/>
      <c r="L6711" s="36" t="s">
        <v>31436</v>
      </c>
      <c r="M6711" s="36"/>
      <c r="N6711" s="36" t="s">
        <v>31437</v>
      </c>
      <c r="O6711" s="36"/>
      <c r="P6711" s="37"/>
      <c r="Q6711" s="36"/>
      <c r="R6711" s="36" t="s">
        <v>31438</v>
      </c>
      <c r="S6711" s="36"/>
      <c r="T6711" s="28" t="s">
        <v>31439</v>
      </c>
      <c r="U6711" s="38" t="str">
        <f>HYPERLINK("https://link.springer.com/article/10.1134/S0006350917050244","Springer")</f>
        <v>Springer</v>
      </c>
      <c r="V6711" s="30"/>
      <c r="W6711" s="49"/>
      <c r="X6711" s="49"/>
      <c r="Y6711" s="35"/>
      <c r="Z6711" s="35"/>
      <c r="AA6711" s="35"/>
      <c r="AB6711" s="35"/>
      <c r="AC6711" s="35"/>
      <c r="AD6711" s="35"/>
      <c r="AE6711" s="35"/>
      <c r="AF6711" s="35"/>
      <c r="AG6711" s="35"/>
      <c r="AH6711" s="35"/>
      <c r="AI6711" s="35"/>
      <c r="AJ6711" s="35"/>
      <c r="AK6711" s="35"/>
      <c r="AL6711" s="35"/>
    </row>
    <row r="6712">
      <c r="A6712" s="18"/>
      <c r="B6712" s="19" t="s">
        <v>31390</v>
      </c>
      <c r="C6712" s="20" t="s">
        <v>30355</v>
      </c>
      <c r="D6712" s="47"/>
      <c r="E6712" s="22" t="s">
        <v>58</v>
      </c>
      <c r="F6712" s="22" t="s">
        <v>58</v>
      </c>
      <c r="G6712" s="23">
        <v>2018.0</v>
      </c>
      <c r="H6712" s="22" t="s">
        <v>31440</v>
      </c>
      <c r="I6712" s="24" t="s">
        <v>31441</v>
      </c>
      <c r="J6712" s="22"/>
      <c r="K6712" s="22"/>
      <c r="L6712" s="43" t="s">
        <v>31442</v>
      </c>
      <c r="M6712" s="44"/>
      <c r="N6712" s="44"/>
      <c r="O6712" s="44"/>
      <c r="P6712" s="44"/>
      <c r="Q6712" s="44"/>
      <c r="R6712" s="44"/>
      <c r="S6712" s="44"/>
      <c r="T6712" s="45"/>
      <c r="U6712" s="38" t="str">
        <f>HYPERLINK("https://www.ncbi.nlm.nih.gov/pubmed/29999939","PubMed")</f>
        <v>PubMed</v>
      </c>
      <c r="V6712" s="30"/>
      <c r="W6712" s="49"/>
      <c r="X6712" s="49"/>
      <c r="Y6712" s="35"/>
      <c r="Z6712" s="35"/>
      <c r="AA6712" s="35"/>
      <c r="AB6712" s="35"/>
      <c r="AC6712" s="35"/>
      <c r="AD6712" s="35"/>
      <c r="AE6712" s="35"/>
      <c r="AF6712" s="35"/>
      <c r="AG6712" s="35"/>
      <c r="AH6712" s="35"/>
      <c r="AI6712" s="35"/>
      <c r="AJ6712" s="35"/>
      <c r="AK6712" s="35"/>
      <c r="AL6712" s="35"/>
    </row>
    <row r="6713">
      <c r="A6713" s="18"/>
      <c r="B6713" s="19" t="s">
        <v>31390</v>
      </c>
      <c r="C6713" s="20" t="s">
        <v>6783</v>
      </c>
      <c r="D6713" s="47"/>
      <c r="E6713" s="22" t="s">
        <v>31443</v>
      </c>
      <c r="F6713" s="22" t="s">
        <v>17937</v>
      </c>
      <c r="G6713" s="23">
        <v>2023.0</v>
      </c>
      <c r="H6713" s="22" t="s">
        <v>8444</v>
      </c>
      <c r="I6713" s="24" t="s">
        <v>31444</v>
      </c>
      <c r="J6713" s="22" t="s">
        <v>31445</v>
      </c>
      <c r="K6713" s="22"/>
      <c r="L6713" s="36"/>
      <c r="M6713" s="36"/>
      <c r="N6713" s="36"/>
      <c r="O6713" s="36"/>
      <c r="P6713" s="36"/>
      <c r="Q6713" s="36"/>
      <c r="R6713" s="36"/>
      <c r="S6713" s="36"/>
      <c r="T6713" s="137" t="s">
        <v>31446</v>
      </c>
      <c r="U6713" s="215"/>
      <c r="V6713" s="30"/>
      <c r="W6713" s="49"/>
      <c r="X6713" s="49"/>
      <c r="Y6713" s="35"/>
      <c r="Z6713" s="35"/>
      <c r="AA6713" s="35"/>
      <c r="AB6713" s="35"/>
      <c r="AC6713" s="35"/>
      <c r="AD6713" s="35"/>
      <c r="AE6713" s="35"/>
      <c r="AF6713" s="35"/>
      <c r="AG6713" s="35"/>
      <c r="AH6713" s="35"/>
      <c r="AI6713" s="35"/>
      <c r="AJ6713" s="35"/>
      <c r="AK6713" s="35"/>
      <c r="AL6713" s="35"/>
    </row>
    <row r="6714">
      <c r="A6714" s="18"/>
      <c r="B6714" s="19" t="s">
        <v>31390</v>
      </c>
      <c r="C6714" s="20" t="s">
        <v>6783</v>
      </c>
      <c r="D6714" s="47"/>
      <c r="E6714" s="22" t="s">
        <v>8360</v>
      </c>
      <c r="F6714" s="22" t="s">
        <v>8361</v>
      </c>
      <c r="G6714" s="23">
        <v>2023.0</v>
      </c>
      <c r="H6714" s="22" t="s">
        <v>136</v>
      </c>
      <c r="I6714" s="24" t="s">
        <v>31447</v>
      </c>
      <c r="J6714" s="22" t="s">
        <v>649</v>
      </c>
      <c r="K6714" s="22"/>
      <c r="L6714" s="105" t="s">
        <v>31448</v>
      </c>
      <c r="M6714" s="44"/>
      <c r="N6714" s="44"/>
      <c r="O6714" s="44"/>
      <c r="P6714" s="44"/>
      <c r="Q6714" s="44"/>
      <c r="R6714" s="44"/>
      <c r="S6714" s="44"/>
      <c r="T6714" s="45"/>
      <c r="U6714" s="38" t="s">
        <v>61</v>
      </c>
      <c r="V6714" s="30"/>
      <c r="W6714" s="49"/>
      <c r="X6714" s="49"/>
      <c r="Y6714" s="35"/>
      <c r="Z6714" s="35"/>
      <c r="AA6714" s="35"/>
      <c r="AB6714" s="35"/>
      <c r="AC6714" s="35"/>
      <c r="AD6714" s="35"/>
      <c r="AE6714" s="35"/>
      <c r="AF6714" s="35"/>
      <c r="AG6714" s="35"/>
      <c r="AH6714" s="35"/>
      <c r="AI6714" s="35"/>
      <c r="AJ6714" s="35"/>
      <c r="AK6714" s="35"/>
      <c r="AL6714" s="35"/>
    </row>
    <row r="6715">
      <c r="A6715" s="18"/>
      <c r="B6715" s="19" t="s">
        <v>31390</v>
      </c>
      <c r="C6715" s="20" t="s">
        <v>6783</v>
      </c>
      <c r="D6715" s="47"/>
      <c r="E6715" s="22" t="s">
        <v>31449</v>
      </c>
      <c r="F6715" s="22" t="s">
        <v>31450</v>
      </c>
      <c r="G6715" s="23">
        <v>2021.0</v>
      </c>
      <c r="H6715" s="22" t="s">
        <v>348</v>
      </c>
      <c r="I6715" s="24" t="s">
        <v>31451</v>
      </c>
      <c r="J6715" s="22" t="s">
        <v>31</v>
      </c>
      <c r="K6715" s="22" t="s">
        <v>31452</v>
      </c>
      <c r="L6715" s="36" t="s">
        <v>31453</v>
      </c>
      <c r="M6715" s="36"/>
      <c r="N6715" s="36"/>
      <c r="O6715" s="36"/>
      <c r="P6715" s="37"/>
      <c r="Q6715" s="36"/>
      <c r="R6715" s="36"/>
      <c r="S6715" s="36"/>
      <c r="T6715" s="103" t="s">
        <v>31454</v>
      </c>
      <c r="U6715" s="29" t="s">
        <v>61</v>
      </c>
      <c r="V6715" s="30"/>
      <c r="W6715" s="49"/>
      <c r="X6715" s="49"/>
      <c r="Y6715" s="35"/>
      <c r="Z6715" s="35"/>
      <c r="AA6715" s="35"/>
      <c r="AB6715" s="35"/>
      <c r="AC6715" s="35"/>
      <c r="AD6715" s="35"/>
      <c r="AE6715" s="35"/>
      <c r="AF6715" s="35"/>
      <c r="AG6715" s="35"/>
      <c r="AH6715" s="35"/>
      <c r="AI6715" s="35"/>
      <c r="AJ6715" s="35"/>
      <c r="AK6715" s="35"/>
      <c r="AL6715" s="35"/>
    </row>
    <row r="6716">
      <c r="A6716" s="1"/>
      <c r="B6716" s="19" t="s">
        <v>31390</v>
      </c>
      <c r="C6716" s="20" t="s">
        <v>6783</v>
      </c>
      <c r="D6716" s="47"/>
      <c r="E6716" s="22" t="s">
        <v>8370</v>
      </c>
      <c r="F6716" s="22" t="s">
        <v>7413</v>
      </c>
      <c r="G6716" s="23" t="s">
        <v>76</v>
      </c>
      <c r="H6716" s="22" t="s">
        <v>42</v>
      </c>
      <c r="I6716" s="24" t="s">
        <v>31455</v>
      </c>
      <c r="J6716" s="22" t="s">
        <v>31456</v>
      </c>
      <c r="K6716" s="22" t="s">
        <v>157</v>
      </c>
      <c r="L6716" s="36">
        <v>633.0</v>
      </c>
      <c r="M6716" s="36"/>
      <c r="N6716" s="36" t="s">
        <v>7416</v>
      </c>
      <c r="O6716" s="36"/>
      <c r="P6716" s="37" t="s">
        <v>31457</v>
      </c>
      <c r="Q6716" s="36"/>
      <c r="R6716" s="36"/>
      <c r="S6716" s="36" t="s">
        <v>8476</v>
      </c>
      <c r="T6716" s="137" t="s">
        <v>31458</v>
      </c>
      <c r="U6716" s="38" t="str">
        <f>HYPERLINK("https://www.ncbi.nlm.nih.gov/pubmed/31483941","PubMed")</f>
        <v>PubMed</v>
      </c>
      <c r="V6716" s="30" t="s">
        <v>31459</v>
      </c>
      <c r="W6716" s="49"/>
      <c r="X6716" s="49"/>
      <c r="Y6716" s="35"/>
      <c r="Z6716" s="35"/>
      <c r="AA6716" s="35"/>
      <c r="AB6716" s="35"/>
      <c r="AC6716" s="35"/>
      <c r="AD6716" s="35"/>
      <c r="AE6716" s="35"/>
      <c r="AF6716" s="35"/>
      <c r="AG6716" s="35"/>
      <c r="AH6716" s="35"/>
      <c r="AI6716" s="35"/>
      <c r="AJ6716" s="35"/>
      <c r="AK6716" s="35"/>
      <c r="AL6716" s="35"/>
    </row>
    <row r="6717">
      <c r="A6717" s="1"/>
      <c r="B6717" s="19" t="s">
        <v>31390</v>
      </c>
      <c r="C6717" s="20" t="s">
        <v>6783</v>
      </c>
      <c r="D6717" s="47"/>
      <c r="E6717" s="22" t="s">
        <v>626</v>
      </c>
      <c r="F6717" s="22" t="s">
        <v>12046</v>
      </c>
      <c r="G6717" s="23">
        <v>2019.0</v>
      </c>
      <c r="H6717" s="22" t="s">
        <v>2863</v>
      </c>
      <c r="I6717" s="24" t="s">
        <v>31460</v>
      </c>
      <c r="J6717" s="22" t="s">
        <v>2141</v>
      </c>
      <c r="K6717" s="22"/>
      <c r="L6717" s="168"/>
      <c r="M6717" s="168"/>
      <c r="N6717" s="168"/>
      <c r="O6717" s="168"/>
      <c r="P6717" s="169"/>
      <c r="Q6717" s="168"/>
      <c r="R6717" s="168"/>
      <c r="S6717" s="168"/>
      <c r="T6717" s="392"/>
      <c r="U6717" s="38" t="str">
        <f>HYPERLINK("https://www.ncbi.nlm.nih.gov/pubmed/30894210","PubMed")</f>
        <v>PubMed</v>
      </c>
      <c r="V6717" s="50"/>
      <c r="W6717" s="49"/>
      <c r="X6717" s="49"/>
      <c r="Y6717" s="35"/>
      <c r="Z6717" s="35"/>
      <c r="AA6717" s="35"/>
      <c r="AB6717" s="35"/>
      <c r="AC6717" s="35"/>
      <c r="AD6717" s="35"/>
      <c r="AE6717" s="35"/>
      <c r="AF6717" s="35"/>
      <c r="AG6717" s="35"/>
      <c r="AH6717" s="35"/>
      <c r="AI6717" s="35"/>
      <c r="AJ6717" s="35"/>
      <c r="AK6717" s="35"/>
      <c r="AL6717" s="35"/>
    </row>
    <row r="6718">
      <c r="A6718" s="18"/>
      <c r="B6718" s="19" t="s">
        <v>31390</v>
      </c>
      <c r="C6718" s="20" t="s">
        <v>6783</v>
      </c>
      <c r="D6718" s="47"/>
      <c r="E6718" s="22" t="s">
        <v>31461</v>
      </c>
      <c r="F6718" s="22" t="s">
        <v>5752</v>
      </c>
      <c r="G6718" s="23">
        <v>2019.0</v>
      </c>
      <c r="H6718" s="22" t="s">
        <v>5489</v>
      </c>
      <c r="I6718" s="24" t="s">
        <v>31462</v>
      </c>
      <c r="J6718" s="22" t="s">
        <v>2273</v>
      </c>
      <c r="K6718" s="22"/>
      <c r="L6718" s="36" t="s">
        <v>31463</v>
      </c>
      <c r="M6718" s="36">
        <v>1300.0</v>
      </c>
      <c r="N6718" s="36"/>
      <c r="O6718" s="36"/>
      <c r="P6718" s="37"/>
      <c r="Q6718" s="36"/>
      <c r="R6718" s="36"/>
      <c r="S6718" s="36"/>
      <c r="T6718" s="54" t="s">
        <v>31464</v>
      </c>
      <c r="U6718" s="38" t="str">
        <f>HYPERLINK("https://www.ncbi.nlm.nih.gov/pubmed/31876575","PubMed")</f>
        <v>PubMed</v>
      </c>
      <c r="V6718" s="30"/>
      <c r="W6718" s="49"/>
      <c r="X6718" s="49"/>
      <c r="Y6718" s="35"/>
      <c r="Z6718" s="35"/>
      <c r="AA6718" s="35"/>
      <c r="AB6718" s="35"/>
      <c r="AC6718" s="35"/>
      <c r="AD6718" s="35"/>
      <c r="AE6718" s="35"/>
      <c r="AF6718" s="35"/>
      <c r="AG6718" s="35"/>
      <c r="AH6718" s="35"/>
      <c r="AI6718" s="35"/>
      <c r="AJ6718" s="35"/>
      <c r="AK6718" s="35"/>
      <c r="AL6718" s="35"/>
    </row>
    <row r="6719">
      <c r="A6719" s="18"/>
      <c r="B6719" s="19" t="s">
        <v>31390</v>
      </c>
      <c r="C6719" s="20" t="s">
        <v>18422</v>
      </c>
      <c r="D6719" s="47"/>
      <c r="E6719" s="22" t="s">
        <v>4993</v>
      </c>
      <c r="F6719" s="22" t="s">
        <v>3301</v>
      </c>
      <c r="G6719" s="23">
        <v>2021.0</v>
      </c>
      <c r="H6719" s="22" t="s">
        <v>91</v>
      </c>
      <c r="I6719" s="24" t="s">
        <v>31465</v>
      </c>
      <c r="J6719" s="22" t="s">
        <v>31466</v>
      </c>
      <c r="K6719" s="22"/>
      <c r="L6719" s="36">
        <v>810.0</v>
      </c>
      <c r="M6719" s="36"/>
      <c r="N6719" s="36"/>
      <c r="O6719" s="36"/>
      <c r="P6719" s="37"/>
      <c r="Q6719" s="36"/>
      <c r="R6719" s="36"/>
      <c r="S6719" s="36"/>
      <c r="T6719" s="54" t="s">
        <v>31467</v>
      </c>
      <c r="U6719" s="29" t="s">
        <v>61</v>
      </c>
      <c r="V6719" s="30"/>
      <c r="W6719" s="49"/>
      <c r="X6719" s="49"/>
      <c r="Y6719" s="35"/>
      <c r="Z6719" s="35"/>
      <c r="AA6719" s="35"/>
      <c r="AB6719" s="35"/>
      <c r="AC6719" s="35"/>
      <c r="AD6719" s="35"/>
      <c r="AE6719" s="35"/>
      <c r="AF6719" s="35"/>
      <c r="AG6719" s="35"/>
      <c r="AH6719" s="35"/>
      <c r="AI6719" s="35"/>
      <c r="AJ6719" s="35"/>
      <c r="AK6719" s="35"/>
      <c r="AL6719" s="35"/>
    </row>
    <row r="6720">
      <c r="A6720" s="18"/>
      <c r="B6720" s="19" t="s">
        <v>31390</v>
      </c>
      <c r="C6720" s="20"/>
      <c r="D6720" s="47"/>
      <c r="E6720" s="22" t="s">
        <v>31468</v>
      </c>
      <c r="F6720" s="22" t="s">
        <v>30455</v>
      </c>
      <c r="G6720" s="23">
        <v>2023.0</v>
      </c>
      <c r="H6720" s="22" t="s">
        <v>348</v>
      </c>
      <c r="I6720" s="24" t="s">
        <v>31469</v>
      </c>
      <c r="J6720" s="22" t="s">
        <v>31</v>
      </c>
      <c r="K6720" s="22" t="s">
        <v>31452</v>
      </c>
      <c r="L6720" s="36" t="s">
        <v>31470</v>
      </c>
      <c r="M6720" s="36"/>
      <c r="N6720" s="36" t="s">
        <v>31471</v>
      </c>
      <c r="O6720" s="36"/>
      <c r="P6720" s="36"/>
      <c r="Q6720" s="36"/>
      <c r="R6720" s="36"/>
      <c r="S6720" s="36"/>
      <c r="T6720" s="41" t="s">
        <v>31472</v>
      </c>
      <c r="U6720" s="38" t="s">
        <v>61</v>
      </c>
      <c r="V6720" s="30"/>
      <c r="W6720" s="49"/>
      <c r="X6720" s="49"/>
      <c r="Y6720" s="35"/>
      <c r="Z6720" s="35"/>
      <c r="AA6720" s="35"/>
      <c r="AB6720" s="35"/>
      <c r="AC6720" s="35"/>
      <c r="AD6720" s="35"/>
      <c r="AE6720" s="35"/>
      <c r="AF6720" s="35"/>
      <c r="AG6720" s="35"/>
      <c r="AH6720" s="35"/>
      <c r="AI6720" s="35"/>
      <c r="AJ6720" s="35"/>
      <c r="AK6720" s="35"/>
      <c r="AL6720" s="35"/>
    </row>
    <row r="6721">
      <c r="A6721" s="18"/>
      <c r="B6721" s="19" t="s">
        <v>31390</v>
      </c>
      <c r="C6721" s="20"/>
      <c r="D6721" s="47"/>
      <c r="E6721" s="22" t="s">
        <v>31473</v>
      </c>
      <c r="F6721" s="22" t="s">
        <v>1203</v>
      </c>
      <c r="G6721" s="23">
        <v>2021.0</v>
      </c>
      <c r="H6721" s="22" t="s">
        <v>91</v>
      </c>
      <c r="I6721" s="24" t="s">
        <v>31474</v>
      </c>
      <c r="J6721" s="22" t="s">
        <v>31</v>
      </c>
      <c r="K6721" s="22" t="s">
        <v>1725</v>
      </c>
      <c r="L6721" s="36" t="s">
        <v>18861</v>
      </c>
      <c r="M6721" s="36"/>
      <c r="N6721" s="36"/>
      <c r="O6721" s="36"/>
      <c r="P6721" s="36" t="s">
        <v>31475</v>
      </c>
      <c r="Q6721" s="36"/>
      <c r="R6721" s="36"/>
      <c r="S6721" s="36"/>
      <c r="T6721" s="28" t="s">
        <v>31476</v>
      </c>
      <c r="U6721" s="29" t="s">
        <v>61</v>
      </c>
      <c r="V6721" s="30"/>
      <c r="W6721" s="49"/>
      <c r="X6721" s="49"/>
      <c r="Y6721" s="35"/>
      <c r="Z6721" s="35"/>
      <c r="AA6721" s="35"/>
      <c r="AB6721" s="35"/>
      <c r="AC6721" s="35"/>
      <c r="AD6721" s="35"/>
      <c r="AE6721" s="35"/>
      <c r="AF6721" s="35"/>
      <c r="AG6721" s="35"/>
      <c r="AH6721" s="35"/>
      <c r="AI6721" s="35"/>
      <c r="AJ6721" s="35"/>
      <c r="AK6721" s="35"/>
      <c r="AL6721" s="35"/>
    </row>
    <row r="6722">
      <c r="A6722" s="18" t="s">
        <v>2</v>
      </c>
      <c r="B6722" s="19" t="s">
        <v>31390</v>
      </c>
      <c r="C6722" s="20"/>
      <c r="D6722" s="47"/>
      <c r="E6722" s="22" t="s">
        <v>31477</v>
      </c>
      <c r="F6722" s="22" t="s">
        <v>3441</v>
      </c>
      <c r="G6722" s="23">
        <v>2016.0</v>
      </c>
      <c r="H6722" s="22" t="s">
        <v>42</v>
      </c>
      <c r="I6722" s="24" t="s">
        <v>31478</v>
      </c>
      <c r="J6722" s="22" t="s">
        <v>31</v>
      </c>
      <c r="K6722" s="22" t="s">
        <v>31479</v>
      </c>
      <c r="L6722" s="36"/>
      <c r="M6722" s="36"/>
      <c r="N6722" s="36"/>
      <c r="O6722" s="36"/>
      <c r="P6722" s="37"/>
      <c r="Q6722" s="36"/>
      <c r="R6722" s="36"/>
      <c r="S6722" s="36"/>
      <c r="T6722" s="28" t="s">
        <v>31480</v>
      </c>
      <c r="U6722" s="38" t="str">
        <f>HYPERLINK("https://www.ncbi.nlm.nih.gov/pubmed/27392170","PubMed")</f>
        <v>PubMed</v>
      </c>
      <c r="V6722" s="30"/>
      <c r="W6722" s="49"/>
      <c r="X6722" s="49"/>
      <c r="Y6722" s="35"/>
      <c r="Z6722" s="35"/>
      <c r="AA6722" s="35"/>
      <c r="AB6722" s="35"/>
      <c r="AC6722" s="35"/>
      <c r="AD6722" s="35"/>
      <c r="AE6722" s="35"/>
      <c r="AF6722" s="35"/>
      <c r="AG6722" s="35"/>
      <c r="AH6722" s="35"/>
      <c r="AI6722" s="35"/>
      <c r="AJ6722" s="35"/>
      <c r="AK6722" s="35"/>
      <c r="AL6722" s="35"/>
    </row>
    <row r="6723">
      <c r="A6723" s="1"/>
      <c r="B6723" s="19" t="s">
        <v>31390</v>
      </c>
      <c r="C6723" s="20"/>
      <c r="D6723" s="47"/>
      <c r="E6723" s="22" t="s">
        <v>1535</v>
      </c>
      <c r="F6723" s="22" t="s">
        <v>6828</v>
      </c>
      <c r="G6723" s="23">
        <v>2016.0</v>
      </c>
      <c r="H6723" s="22" t="s">
        <v>91</v>
      </c>
      <c r="I6723" s="24" t="s">
        <v>31481</v>
      </c>
      <c r="J6723" s="22" t="s">
        <v>55</v>
      </c>
      <c r="K6723" s="22" t="s">
        <v>31452</v>
      </c>
      <c r="L6723" s="36">
        <v>830.0</v>
      </c>
      <c r="M6723" s="36"/>
      <c r="N6723" s="36"/>
      <c r="O6723" s="36"/>
      <c r="P6723" s="37"/>
      <c r="Q6723" s="36"/>
      <c r="R6723" s="36"/>
      <c r="S6723" s="36"/>
      <c r="T6723" s="41" t="s">
        <v>31482</v>
      </c>
      <c r="U6723" s="38" t="str">
        <f>HYPERLINK("http://www.ncbi.nlm.nih.gov/pubmed/26738500","PubMed")</f>
        <v>PubMed</v>
      </c>
      <c r="V6723" s="30"/>
      <c r="W6723" s="49"/>
      <c r="X6723" s="49"/>
      <c r="Y6723" s="35"/>
      <c r="Z6723" s="35"/>
      <c r="AA6723" s="35"/>
      <c r="AB6723" s="35"/>
      <c r="AC6723" s="35"/>
      <c r="AD6723" s="35"/>
      <c r="AE6723" s="35"/>
      <c r="AF6723" s="35"/>
      <c r="AG6723" s="35"/>
      <c r="AH6723" s="35"/>
      <c r="AI6723" s="35"/>
      <c r="AJ6723" s="35"/>
      <c r="AK6723" s="35"/>
      <c r="AL6723" s="35"/>
    </row>
    <row r="6724">
      <c r="A6724" s="1"/>
      <c r="B6724" s="19" t="s">
        <v>31390</v>
      </c>
      <c r="C6724" s="20"/>
      <c r="D6724" s="47"/>
      <c r="E6724" s="22" t="s">
        <v>31483</v>
      </c>
      <c r="F6724" s="22" t="s">
        <v>12421</v>
      </c>
      <c r="G6724" s="23">
        <v>2016.0</v>
      </c>
      <c r="H6724" s="22" t="s">
        <v>207</v>
      </c>
      <c r="I6724" s="24" t="s">
        <v>31484</v>
      </c>
      <c r="J6724" s="22" t="s">
        <v>31485</v>
      </c>
      <c r="K6724" s="22" t="s">
        <v>31486</v>
      </c>
      <c r="L6724" s="36" t="s">
        <v>30019</v>
      </c>
      <c r="M6724" s="36"/>
      <c r="N6724" s="36"/>
      <c r="O6724" s="36"/>
      <c r="P6724" s="37"/>
      <c r="Q6724" s="36"/>
      <c r="R6724" s="36"/>
      <c r="S6724" s="36"/>
      <c r="T6724" s="28" t="s">
        <v>31487</v>
      </c>
      <c r="U6724" s="38" t="str">
        <f>HYPERLINK("https://www.ncbi.nlm.nih.gov/pubmed/27838487","PubMed")</f>
        <v>PubMed</v>
      </c>
      <c r="V6724" s="30"/>
      <c r="W6724" s="49"/>
      <c r="X6724" s="49"/>
      <c r="Y6724" s="35"/>
      <c r="Z6724" s="35"/>
      <c r="AA6724" s="35"/>
      <c r="AB6724" s="35"/>
      <c r="AC6724" s="35"/>
      <c r="AD6724" s="35"/>
      <c r="AE6724" s="35"/>
      <c r="AF6724" s="35"/>
      <c r="AG6724" s="35"/>
      <c r="AH6724" s="35"/>
      <c r="AI6724" s="35"/>
      <c r="AJ6724" s="35"/>
      <c r="AK6724" s="35"/>
      <c r="AL6724" s="35"/>
    </row>
    <row r="6725">
      <c r="A6725" s="1"/>
      <c r="B6725" s="19" t="s">
        <v>31390</v>
      </c>
      <c r="C6725" s="20"/>
      <c r="D6725" s="47"/>
      <c r="E6725" s="22" t="s">
        <v>7678</v>
      </c>
      <c r="F6725" s="22" t="s">
        <v>31488</v>
      </c>
      <c r="G6725" s="23">
        <v>2015.0</v>
      </c>
      <c r="H6725" s="22" t="s">
        <v>53</v>
      </c>
      <c r="I6725" s="24" t="s">
        <v>31489</v>
      </c>
      <c r="J6725" s="22" t="s">
        <v>31</v>
      </c>
      <c r="K6725" s="22" t="s">
        <v>31490</v>
      </c>
      <c r="L6725" s="36" t="s">
        <v>5357</v>
      </c>
      <c r="M6725" s="36"/>
      <c r="N6725" s="36"/>
      <c r="O6725" s="36"/>
      <c r="P6725" s="37" t="s">
        <v>31491</v>
      </c>
      <c r="Q6725" s="36"/>
      <c r="R6725" s="36"/>
      <c r="S6725" s="36"/>
      <c r="T6725" s="41" t="s">
        <v>31492</v>
      </c>
      <c r="U6725" s="38" t="str">
        <f>HYPERLINK("https://www.ncbi.nlm.nih.gov/pubmed/25740459","PubMed")</f>
        <v>PubMed</v>
      </c>
      <c r="V6725" s="30"/>
      <c r="W6725" s="49"/>
      <c r="X6725" s="49"/>
      <c r="Y6725" s="35"/>
      <c r="Z6725" s="35"/>
      <c r="AA6725" s="35"/>
      <c r="AB6725" s="35"/>
      <c r="AC6725" s="35"/>
      <c r="AD6725" s="35"/>
      <c r="AE6725" s="35"/>
      <c r="AF6725" s="35"/>
      <c r="AG6725" s="35"/>
      <c r="AH6725" s="35"/>
      <c r="AI6725" s="35"/>
      <c r="AJ6725" s="35"/>
      <c r="AK6725" s="35"/>
      <c r="AL6725" s="35"/>
    </row>
    <row r="6726">
      <c r="A6726" s="1"/>
      <c r="B6726" s="19" t="s">
        <v>31390</v>
      </c>
      <c r="C6726" s="20"/>
      <c r="D6726" s="47"/>
      <c r="E6726" s="22" t="s">
        <v>31493</v>
      </c>
      <c r="F6726" s="22" t="s">
        <v>2445</v>
      </c>
      <c r="G6726" s="23">
        <v>2014.0</v>
      </c>
      <c r="H6726" s="22" t="s">
        <v>31494</v>
      </c>
      <c r="I6726" s="24" t="s">
        <v>31495</v>
      </c>
      <c r="J6726" s="22" t="s">
        <v>2273</v>
      </c>
      <c r="K6726" s="22" t="s">
        <v>31496</v>
      </c>
      <c r="L6726" s="36"/>
      <c r="M6726" s="36"/>
      <c r="N6726" s="36"/>
      <c r="O6726" s="36"/>
      <c r="P6726" s="37"/>
      <c r="Q6726" s="36"/>
      <c r="R6726" s="36"/>
      <c r="S6726" s="36"/>
      <c r="T6726" s="28" t="s">
        <v>31497</v>
      </c>
      <c r="U6726" s="38" t="str">
        <f>HYPERLINK("https://www.ncbi.nlm.nih.gov/pubmed/24727847","PubMed")</f>
        <v>PubMed</v>
      </c>
      <c r="V6726" s="30"/>
      <c r="W6726" s="49"/>
      <c r="X6726" s="49"/>
      <c r="Y6726" s="35"/>
      <c r="Z6726" s="35"/>
      <c r="AA6726" s="35"/>
      <c r="AB6726" s="35"/>
      <c r="AC6726" s="35"/>
      <c r="AD6726" s="35"/>
      <c r="AE6726" s="35"/>
      <c r="AF6726" s="35"/>
      <c r="AG6726" s="35"/>
      <c r="AH6726" s="35"/>
      <c r="AI6726" s="35"/>
      <c r="AJ6726" s="35"/>
      <c r="AK6726" s="35"/>
      <c r="AL6726" s="35"/>
    </row>
    <row r="6727">
      <c r="A6727" s="1"/>
      <c r="B6727" s="19" t="s">
        <v>31390</v>
      </c>
      <c r="C6727" s="20"/>
      <c r="D6727" s="47"/>
      <c r="E6727" s="22" t="s">
        <v>31498</v>
      </c>
      <c r="F6727" s="22" t="s">
        <v>2608</v>
      </c>
      <c r="G6727" s="23">
        <v>2010.0</v>
      </c>
      <c r="H6727" s="22" t="s">
        <v>658</v>
      </c>
      <c r="I6727" s="24" t="s">
        <v>31499</v>
      </c>
      <c r="J6727" s="22" t="s">
        <v>55</v>
      </c>
      <c r="K6727" s="22"/>
      <c r="L6727" s="36">
        <v>808.0</v>
      </c>
      <c r="M6727" s="36">
        <v>70.0</v>
      </c>
      <c r="N6727" s="36" t="s">
        <v>31500</v>
      </c>
      <c r="O6727" s="36"/>
      <c r="P6727" s="37" t="s">
        <v>31501</v>
      </c>
      <c r="Q6727" s="36" t="s">
        <v>11413</v>
      </c>
      <c r="R6727" s="36"/>
      <c r="S6727" s="36" t="s">
        <v>1352</v>
      </c>
      <c r="T6727" s="28" t="s">
        <v>31502</v>
      </c>
      <c r="U6727" s="38" t="str">
        <f>HYPERLINK("https://www.ncbi.nlm.nih.gov/pubmed/20961232","PubMed")</f>
        <v>PubMed</v>
      </c>
      <c r="V6727" s="30"/>
      <c r="W6727" s="49"/>
      <c r="X6727" s="49"/>
      <c r="Y6727" s="35"/>
      <c r="Z6727" s="35"/>
      <c r="AA6727" s="35"/>
      <c r="AB6727" s="35"/>
      <c r="AC6727" s="35"/>
      <c r="AD6727" s="35"/>
      <c r="AE6727" s="35"/>
      <c r="AF6727" s="35"/>
      <c r="AG6727" s="35"/>
      <c r="AH6727" s="35"/>
      <c r="AI6727" s="35"/>
      <c r="AJ6727" s="35"/>
      <c r="AK6727" s="35"/>
      <c r="AL6727" s="35"/>
    </row>
    <row r="6728">
      <c r="A6728" s="1"/>
      <c r="B6728" s="19" t="s">
        <v>31390</v>
      </c>
      <c r="C6728" s="20"/>
      <c r="D6728" s="47"/>
      <c r="E6728" s="22" t="s">
        <v>31503</v>
      </c>
      <c r="F6728" s="22" t="s">
        <v>31504</v>
      </c>
      <c r="G6728" s="23">
        <v>2000.0</v>
      </c>
      <c r="H6728" s="22" t="s">
        <v>3292</v>
      </c>
      <c r="I6728" s="24" t="s">
        <v>31505</v>
      </c>
      <c r="J6728" s="22" t="s">
        <v>3694</v>
      </c>
      <c r="K6728" s="22"/>
      <c r="L6728" s="36" t="s">
        <v>31506</v>
      </c>
      <c r="M6728" s="36"/>
      <c r="N6728" s="36"/>
      <c r="O6728" s="36"/>
      <c r="P6728" s="37" t="s">
        <v>19631</v>
      </c>
      <c r="Q6728" s="36"/>
      <c r="R6728" s="36"/>
      <c r="S6728" s="36"/>
      <c r="T6728" s="28" t="s">
        <v>31507</v>
      </c>
      <c r="U6728" s="29" t="s">
        <v>61</v>
      </c>
      <c r="V6728" s="30"/>
      <c r="W6728" s="49"/>
      <c r="X6728" s="49"/>
      <c r="Y6728" s="35"/>
      <c r="Z6728" s="35"/>
      <c r="AA6728" s="35"/>
      <c r="AB6728" s="35"/>
      <c r="AC6728" s="35"/>
      <c r="AD6728" s="35"/>
      <c r="AE6728" s="35"/>
      <c r="AF6728" s="35"/>
      <c r="AG6728" s="35"/>
      <c r="AH6728" s="35"/>
      <c r="AI6728" s="35"/>
      <c r="AJ6728" s="35"/>
      <c r="AK6728" s="35"/>
      <c r="AL6728" s="35"/>
    </row>
    <row r="6729">
      <c r="A6729" s="1"/>
      <c r="B6729" s="19" t="s">
        <v>31390</v>
      </c>
      <c r="C6729" s="20"/>
      <c r="D6729" s="47"/>
      <c r="E6729" s="22" t="s">
        <v>31508</v>
      </c>
      <c r="F6729" s="22" t="s">
        <v>2608</v>
      </c>
      <c r="G6729" s="23">
        <v>2006.0</v>
      </c>
      <c r="H6729" s="22" t="s">
        <v>658</v>
      </c>
      <c r="I6729" s="24" t="s">
        <v>31509</v>
      </c>
      <c r="J6729" s="22" t="s">
        <v>55</v>
      </c>
      <c r="K6729" s="22"/>
      <c r="L6729" s="36">
        <v>808.0</v>
      </c>
      <c r="M6729" s="36"/>
      <c r="N6729" s="36"/>
      <c r="O6729" s="36"/>
      <c r="P6729" s="37"/>
      <c r="Q6729" s="36"/>
      <c r="R6729" s="36"/>
      <c r="S6729" s="36"/>
      <c r="T6729" s="28" t="s">
        <v>31510</v>
      </c>
      <c r="U6729" s="38" t="str">
        <f>HYPERLINK("https://www.ncbi.nlm.nih.gov/pubmed/16942425","PubMed")</f>
        <v>PubMed</v>
      </c>
      <c r="V6729" s="30"/>
      <c r="W6729" s="49"/>
      <c r="X6729" s="49"/>
      <c r="Y6729" s="35"/>
      <c r="Z6729" s="35"/>
      <c r="AA6729" s="35"/>
      <c r="AB6729" s="35"/>
      <c r="AC6729" s="35"/>
      <c r="AD6729" s="35"/>
      <c r="AE6729" s="35"/>
      <c r="AF6729" s="35"/>
      <c r="AG6729" s="35"/>
      <c r="AH6729" s="35"/>
      <c r="AI6729" s="35"/>
      <c r="AJ6729" s="35"/>
      <c r="AK6729" s="35"/>
      <c r="AL6729" s="35"/>
    </row>
    <row r="6730">
      <c r="A6730" s="1"/>
      <c r="B6730" s="19" t="s">
        <v>31390</v>
      </c>
      <c r="C6730" s="20"/>
      <c r="D6730" s="47"/>
      <c r="E6730" s="22" t="s">
        <v>5003</v>
      </c>
      <c r="F6730" s="22" t="s">
        <v>2076</v>
      </c>
      <c r="G6730" s="23">
        <v>2004.0</v>
      </c>
      <c r="H6730" s="22" t="s">
        <v>658</v>
      </c>
      <c r="I6730" s="24" t="s">
        <v>31511</v>
      </c>
      <c r="J6730" s="22" t="s">
        <v>31</v>
      </c>
      <c r="K6730" s="22"/>
      <c r="L6730" s="36">
        <v>810.0</v>
      </c>
      <c r="M6730" s="36">
        <v>200.0</v>
      </c>
      <c r="N6730" s="36"/>
      <c r="O6730" s="36"/>
      <c r="P6730" s="37" t="s">
        <v>31512</v>
      </c>
      <c r="Q6730" s="36"/>
      <c r="R6730" s="36"/>
      <c r="S6730" s="36"/>
      <c r="T6730" s="28" t="s">
        <v>31513</v>
      </c>
      <c r="U6730" s="29" t="s">
        <v>61</v>
      </c>
      <c r="V6730" s="30"/>
      <c r="W6730" s="49"/>
      <c r="X6730" s="49"/>
      <c r="Y6730" s="35"/>
      <c r="Z6730" s="35"/>
      <c r="AA6730" s="35"/>
      <c r="AB6730" s="35"/>
      <c r="AC6730" s="35"/>
      <c r="AD6730" s="35"/>
      <c r="AE6730" s="35"/>
      <c r="AF6730" s="35"/>
      <c r="AG6730" s="35"/>
      <c r="AH6730" s="35"/>
      <c r="AI6730" s="35"/>
      <c r="AJ6730" s="35"/>
      <c r="AK6730" s="35"/>
      <c r="AL6730" s="35"/>
    </row>
    <row r="6731">
      <c r="A6731" s="1"/>
      <c r="B6731" s="19" t="s">
        <v>31390</v>
      </c>
      <c r="C6731" s="20"/>
      <c r="D6731" s="47"/>
      <c r="E6731" s="22" t="s">
        <v>31514</v>
      </c>
      <c r="F6731" s="22" t="s">
        <v>2076</v>
      </c>
      <c r="G6731" s="23">
        <v>1996.0</v>
      </c>
      <c r="H6731" s="22" t="s">
        <v>31515</v>
      </c>
      <c r="I6731" s="24" t="s">
        <v>31516</v>
      </c>
      <c r="J6731" s="22" t="s">
        <v>3053</v>
      </c>
      <c r="K6731" s="22"/>
      <c r="L6731" s="36"/>
      <c r="M6731" s="36"/>
      <c r="N6731" s="36"/>
      <c r="O6731" s="36"/>
      <c r="P6731" s="37"/>
      <c r="Q6731" s="36"/>
      <c r="R6731" s="36"/>
      <c r="S6731" s="36"/>
      <c r="T6731" s="28" t="s">
        <v>31517</v>
      </c>
      <c r="U6731" s="38" t="str">
        <f>HYPERLINK("https://www.ncbi.nlm.nih.gov/pubmed/8803330","PubMed")</f>
        <v>PubMed</v>
      </c>
      <c r="V6731" s="30"/>
      <c r="W6731" s="49"/>
      <c r="X6731" s="49"/>
      <c r="Y6731" s="35"/>
      <c r="Z6731" s="35"/>
      <c r="AA6731" s="35"/>
      <c r="AB6731" s="35"/>
      <c r="AC6731" s="35"/>
      <c r="AD6731" s="35"/>
      <c r="AE6731" s="35"/>
      <c r="AF6731" s="35"/>
      <c r="AG6731" s="35"/>
      <c r="AH6731" s="35"/>
      <c r="AI6731" s="35"/>
      <c r="AJ6731" s="35"/>
      <c r="AK6731" s="35"/>
      <c r="AL6731" s="35"/>
    </row>
    <row r="6732">
      <c r="A6732" s="1"/>
      <c r="B6732" s="19" t="s">
        <v>31390</v>
      </c>
      <c r="C6732" s="20"/>
      <c r="D6732" s="47"/>
      <c r="E6732" s="22" t="s">
        <v>31518</v>
      </c>
      <c r="F6732" s="22" t="s">
        <v>4411</v>
      </c>
      <c r="G6732" s="23">
        <v>1994.0</v>
      </c>
      <c r="H6732" s="22" t="s">
        <v>14425</v>
      </c>
      <c r="I6732" s="24" t="s">
        <v>31519</v>
      </c>
      <c r="J6732" s="22" t="s">
        <v>125</v>
      </c>
      <c r="K6732" s="22"/>
      <c r="L6732" s="167" t="s">
        <v>31520</v>
      </c>
      <c r="M6732" s="44"/>
      <c r="N6732" s="44"/>
      <c r="O6732" s="44"/>
      <c r="P6732" s="44"/>
      <c r="Q6732" s="44"/>
      <c r="R6732" s="44"/>
      <c r="S6732" s="44"/>
      <c r="T6732" s="45"/>
      <c r="U6732" s="38" t="str">
        <f>HYPERLINK("http://lia.scitation.org/doi/abs/10.2351/1.4745354","LIA")</f>
        <v>LIA</v>
      </c>
      <c r="V6732" s="30"/>
      <c r="W6732" s="49"/>
      <c r="X6732" s="49"/>
      <c r="Y6732" s="35"/>
      <c r="Z6732" s="35"/>
      <c r="AA6732" s="35"/>
      <c r="AB6732" s="35"/>
      <c r="AC6732" s="35"/>
      <c r="AD6732" s="35"/>
      <c r="AE6732" s="35"/>
      <c r="AF6732" s="35"/>
      <c r="AG6732" s="35"/>
      <c r="AH6732" s="35"/>
      <c r="AI6732" s="35"/>
      <c r="AJ6732" s="35"/>
      <c r="AK6732" s="35"/>
      <c r="AL6732" s="35"/>
    </row>
    <row r="6733">
      <c r="A6733" s="1"/>
      <c r="B6733" s="19" t="s">
        <v>31390</v>
      </c>
      <c r="C6733" s="20"/>
      <c r="D6733" s="47"/>
      <c r="E6733" s="22" t="s">
        <v>31521</v>
      </c>
      <c r="F6733" s="22" t="s">
        <v>1398</v>
      </c>
      <c r="G6733" s="23">
        <v>1992.0</v>
      </c>
      <c r="H6733" s="22" t="s">
        <v>292</v>
      </c>
      <c r="I6733" s="24" t="s">
        <v>31522</v>
      </c>
      <c r="J6733" s="22" t="s">
        <v>55</v>
      </c>
      <c r="K6733" s="22"/>
      <c r="L6733" s="36">
        <v>830.0</v>
      </c>
      <c r="M6733" s="36">
        <v>60.0</v>
      </c>
      <c r="N6733" s="36" t="s">
        <v>267</v>
      </c>
      <c r="O6733" s="36">
        <v>108.0</v>
      </c>
      <c r="P6733" s="37" t="s">
        <v>7878</v>
      </c>
      <c r="Q6733" s="36" t="s">
        <v>16965</v>
      </c>
      <c r="R6733" s="36"/>
      <c r="S6733" s="36"/>
      <c r="T6733" s="28" t="s">
        <v>31523</v>
      </c>
      <c r="U6733" s="38" t="str">
        <f>HYPERLINK("https://www.jstage.jst.go.jp/article/islsm/4/2/4_92-OR-06/_article/-char/ja","J-STAGE")</f>
        <v>J-STAGE</v>
      </c>
      <c r="V6733" s="30"/>
      <c r="W6733" s="49"/>
      <c r="X6733" s="49"/>
      <c r="Y6733" s="35"/>
      <c r="Z6733" s="35"/>
      <c r="AA6733" s="35"/>
      <c r="AB6733" s="35"/>
      <c r="AC6733" s="35"/>
      <c r="AD6733" s="35"/>
      <c r="AE6733" s="35"/>
      <c r="AF6733" s="35"/>
      <c r="AG6733" s="35"/>
      <c r="AH6733" s="35"/>
      <c r="AI6733" s="35"/>
      <c r="AJ6733" s="35"/>
      <c r="AK6733" s="35"/>
      <c r="AL6733" s="35"/>
    </row>
    <row r="6734">
      <c r="A6734" s="40"/>
      <c r="B6734" s="19" t="s">
        <v>31524</v>
      </c>
      <c r="C6734" s="20" t="s">
        <v>19833</v>
      </c>
      <c r="D6734" s="47"/>
      <c r="E6734" s="22" t="s">
        <v>31525</v>
      </c>
      <c r="F6734" s="22" t="s">
        <v>26062</v>
      </c>
      <c r="G6734" s="23">
        <v>2022.0</v>
      </c>
      <c r="H6734" s="22" t="s">
        <v>3828</v>
      </c>
      <c r="I6734" s="24" t="s">
        <v>31526</v>
      </c>
      <c r="J6734" s="22" t="s">
        <v>2141</v>
      </c>
      <c r="K6734" s="22"/>
      <c r="L6734" s="168"/>
      <c r="M6734" s="168"/>
      <c r="N6734" s="168"/>
      <c r="O6734" s="168"/>
      <c r="P6734" s="169"/>
      <c r="Q6734" s="168"/>
      <c r="R6734" s="168"/>
      <c r="S6734" s="168"/>
      <c r="T6734" s="214"/>
      <c r="U6734" s="38" t="s">
        <v>61</v>
      </c>
      <c r="V6734" s="50"/>
      <c r="W6734" s="49"/>
      <c r="X6734" s="49"/>
      <c r="Y6734" s="35"/>
      <c r="Z6734" s="35"/>
      <c r="AA6734" s="35"/>
      <c r="AB6734" s="35"/>
      <c r="AC6734" s="35"/>
      <c r="AD6734" s="35"/>
      <c r="AE6734" s="35"/>
      <c r="AF6734" s="35"/>
      <c r="AG6734" s="35"/>
      <c r="AH6734" s="35"/>
      <c r="AI6734" s="35"/>
      <c r="AJ6734" s="35"/>
      <c r="AK6734" s="35"/>
      <c r="AL6734" s="35"/>
    </row>
    <row r="6735">
      <c r="A6735" s="40" t="s">
        <v>38</v>
      </c>
      <c r="B6735" s="19" t="s">
        <v>31524</v>
      </c>
      <c r="C6735" s="20" t="s">
        <v>19833</v>
      </c>
      <c r="D6735" s="47"/>
      <c r="E6735" s="22" t="s">
        <v>6784</v>
      </c>
      <c r="F6735" s="22" t="s">
        <v>41</v>
      </c>
      <c r="G6735" s="23">
        <v>2022.0</v>
      </c>
      <c r="H6735" s="22" t="s">
        <v>3523</v>
      </c>
      <c r="I6735" s="24" t="s">
        <v>31527</v>
      </c>
      <c r="J6735" s="22" t="s">
        <v>31528</v>
      </c>
      <c r="K6735" s="22" t="s">
        <v>157</v>
      </c>
      <c r="L6735" s="36">
        <v>850.0</v>
      </c>
      <c r="M6735" s="183"/>
      <c r="N6735" s="36"/>
      <c r="O6735" s="36"/>
      <c r="P6735" s="37" t="s">
        <v>31529</v>
      </c>
      <c r="Q6735" s="36"/>
      <c r="R6735" s="36" t="s">
        <v>31530</v>
      </c>
      <c r="S6735" s="36"/>
      <c r="T6735" s="102"/>
      <c r="U6735" s="38" t="s">
        <v>61</v>
      </c>
      <c r="V6735" s="50"/>
      <c r="W6735" s="49"/>
      <c r="X6735" s="49"/>
      <c r="Y6735" s="35"/>
      <c r="Z6735" s="35"/>
      <c r="AA6735" s="35"/>
      <c r="AB6735" s="35"/>
      <c r="AC6735" s="35"/>
      <c r="AD6735" s="35"/>
      <c r="AE6735" s="35"/>
      <c r="AF6735" s="35"/>
      <c r="AG6735" s="35"/>
      <c r="AH6735" s="35"/>
      <c r="AI6735" s="35"/>
      <c r="AJ6735" s="35"/>
      <c r="AK6735" s="35"/>
      <c r="AL6735" s="35"/>
    </row>
    <row r="6736">
      <c r="A6736" s="40"/>
      <c r="B6736" s="19" t="s">
        <v>31524</v>
      </c>
      <c r="C6736" s="20" t="s">
        <v>19833</v>
      </c>
      <c r="D6736" s="47"/>
      <c r="E6736" s="22" t="s">
        <v>19834</v>
      </c>
      <c r="F6736" s="22" t="s">
        <v>41</v>
      </c>
      <c r="G6736" s="23">
        <v>2020.0</v>
      </c>
      <c r="H6736" s="22" t="s">
        <v>77</v>
      </c>
      <c r="I6736" s="24" t="s">
        <v>31531</v>
      </c>
      <c r="J6736" s="22" t="s">
        <v>31532</v>
      </c>
      <c r="K6736" s="22" t="s">
        <v>31533</v>
      </c>
      <c r="L6736" s="36">
        <v>787.0</v>
      </c>
      <c r="M6736" s="36"/>
      <c r="N6736" s="36"/>
      <c r="O6736" s="36" t="s">
        <v>31534</v>
      </c>
      <c r="P6736" s="37" t="s">
        <v>26380</v>
      </c>
      <c r="Q6736" s="36" t="s">
        <v>31535</v>
      </c>
      <c r="R6736" s="36"/>
      <c r="S6736" s="36" t="s">
        <v>2688</v>
      </c>
      <c r="T6736" s="103" t="s">
        <v>31536</v>
      </c>
      <c r="U6736" s="29" t="s">
        <v>61</v>
      </c>
      <c r="V6736" s="30" t="s">
        <v>31537</v>
      </c>
      <c r="W6736" s="49"/>
      <c r="X6736" s="49"/>
      <c r="Y6736" s="35"/>
      <c r="Z6736" s="35"/>
      <c r="AA6736" s="35"/>
      <c r="AB6736" s="35"/>
      <c r="AC6736" s="35"/>
      <c r="AD6736" s="35"/>
      <c r="AE6736" s="35"/>
      <c r="AF6736" s="35"/>
      <c r="AG6736" s="35"/>
      <c r="AH6736" s="35"/>
      <c r="AI6736" s="35"/>
      <c r="AJ6736" s="35"/>
      <c r="AK6736" s="35"/>
      <c r="AL6736" s="35"/>
    </row>
    <row r="6737">
      <c r="A6737" s="40"/>
      <c r="B6737" s="19" t="s">
        <v>31524</v>
      </c>
      <c r="C6737" s="20" t="s">
        <v>19833</v>
      </c>
      <c r="D6737" s="47"/>
      <c r="E6737" s="22" t="s">
        <v>19834</v>
      </c>
      <c r="F6737" s="22" t="s">
        <v>41</v>
      </c>
      <c r="G6737" s="23">
        <v>2020.0</v>
      </c>
      <c r="H6737" s="22" t="s">
        <v>3828</v>
      </c>
      <c r="I6737" s="24" t="s">
        <v>31538</v>
      </c>
      <c r="J6737" s="22" t="s">
        <v>2141</v>
      </c>
      <c r="K6737" s="22"/>
      <c r="L6737" s="168"/>
      <c r="M6737" s="168"/>
      <c r="N6737" s="168"/>
      <c r="O6737" s="168"/>
      <c r="P6737" s="169"/>
      <c r="Q6737" s="168"/>
      <c r="R6737" s="168"/>
      <c r="S6737" s="168"/>
      <c r="T6737" s="214"/>
      <c r="U6737" s="38" t="str">
        <f>HYPERLINK("https://www.ncbi.nlm.nih.gov/pubmed/32332670","PubMed")</f>
        <v>PubMed</v>
      </c>
      <c r="V6737" s="50"/>
      <c r="W6737" s="49"/>
      <c r="X6737" s="49"/>
      <c r="Y6737" s="35"/>
      <c r="Z6737" s="35"/>
      <c r="AA6737" s="35"/>
      <c r="AB6737" s="35"/>
      <c r="AC6737" s="35"/>
      <c r="AD6737" s="35"/>
      <c r="AE6737" s="35"/>
      <c r="AF6737" s="35"/>
      <c r="AG6737" s="35"/>
      <c r="AH6737" s="35"/>
      <c r="AI6737" s="35"/>
      <c r="AJ6737" s="35"/>
      <c r="AK6737" s="35"/>
      <c r="AL6737" s="35"/>
    </row>
    <row r="6738">
      <c r="A6738" s="40"/>
      <c r="B6738" s="19" t="s">
        <v>31524</v>
      </c>
      <c r="C6738" s="20" t="s">
        <v>19833</v>
      </c>
      <c r="D6738" s="47"/>
      <c r="E6738" s="22" t="s">
        <v>6784</v>
      </c>
      <c r="F6738" s="22" t="s">
        <v>41</v>
      </c>
      <c r="G6738" s="23">
        <v>2019.0</v>
      </c>
      <c r="H6738" s="22" t="s">
        <v>3828</v>
      </c>
      <c r="I6738" s="24" t="s">
        <v>31539</v>
      </c>
      <c r="J6738" s="22" t="s">
        <v>2141</v>
      </c>
      <c r="K6738" s="22"/>
      <c r="L6738" s="168"/>
      <c r="M6738" s="168"/>
      <c r="N6738" s="168"/>
      <c r="O6738" s="168"/>
      <c r="P6738" s="169"/>
      <c r="Q6738" s="168"/>
      <c r="R6738" s="168"/>
      <c r="S6738" s="168"/>
      <c r="T6738" s="214"/>
      <c r="U6738" s="38" t="str">
        <f>HYPERLINK("https://www.ncbi.nlm.nih.gov/pubmed/31567965","PubMed")</f>
        <v>PubMed</v>
      </c>
      <c r="V6738" s="50"/>
      <c r="W6738" s="49"/>
      <c r="X6738" s="49"/>
      <c r="Y6738" s="35"/>
      <c r="Z6738" s="35"/>
      <c r="AA6738" s="35"/>
      <c r="AB6738" s="35"/>
      <c r="AC6738" s="35"/>
      <c r="AD6738" s="35"/>
      <c r="AE6738" s="35"/>
      <c r="AF6738" s="35"/>
      <c r="AG6738" s="35"/>
      <c r="AH6738" s="35"/>
      <c r="AI6738" s="35"/>
      <c r="AJ6738" s="35"/>
      <c r="AK6738" s="35"/>
      <c r="AL6738" s="35"/>
    </row>
    <row r="6739">
      <c r="A6739" s="40"/>
      <c r="B6739" s="19" t="s">
        <v>31524</v>
      </c>
      <c r="C6739" s="20" t="s">
        <v>31540</v>
      </c>
      <c r="D6739" s="47"/>
      <c r="E6739" s="22" t="s">
        <v>31541</v>
      </c>
      <c r="F6739" s="22" t="s">
        <v>494</v>
      </c>
      <c r="G6739" s="23">
        <v>2022.0</v>
      </c>
      <c r="H6739" s="22" t="s">
        <v>3828</v>
      </c>
      <c r="I6739" s="24" t="s">
        <v>31542</v>
      </c>
      <c r="J6739" s="22" t="s">
        <v>21542</v>
      </c>
      <c r="K6739" s="22" t="s">
        <v>31543</v>
      </c>
      <c r="L6739" s="36">
        <v>633.0</v>
      </c>
      <c r="M6739" s="36" t="s">
        <v>58</v>
      </c>
      <c r="N6739" s="36" t="s">
        <v>58</v>
      </c>
      <c r="O6739" s="36" t="s">
        <v>58</v>
      </c>
      <c r="P6739" s="37" t="s">
        <v>58</v>
      </c>
      <c r="Q6739" s="36" t="s">
        <v>58</v>
      </c>
      <c r="R6739" s="36">
        <v>3600.0</v>
      </c>
      <c r="S6739" s="36" t="s">
        <v>31544</v>
      </c>
      <c r="T6739" s="54" t="s">
        <v>31545</v>
      </c>
      <c r="U6739" s="29" t="s">
        <v>61</v>
      </c>
      <c r="V6739" s="50"/>
      <c r="W6739" s="49"/>
      <c r="X6739" s="49"/>
      <c r="Y6739" s="35"/>
      <c r="Z6739" s="35"/>
      <c r="AA6739" s="35"/>
      <c r="AB6739" s="35"/>
      <c r="AC6739" s="35"/>
      <c r="AD6739" s="35"/>
      <c r="AE6739" s="35"/>
      <c r="AF6739" s="35"/>
      <c r="AG6739" s="35"/>
      <c r="AH6739" s="35"/>
      <c r="AI6739" s="35"/>
      <c r="AJ6739" s="35"/>
      <c r="AK6739" s="35"/>
      <c r="AL6739" s="35"/>
    </row>
    <row r="6740">
      <c r="A6740" s="40"/>
      <c r="B6740" s="19" t="s">
        <v>31524</v>
      </c>
      <c r="C6740" s="20" t="s">
        <v>31546</v>
      </c>
      <c r="D6740" s="47"/>
      <c r="E6740" s="22" t="s">
        <v>31547</v>
      </c>
      <c r="F6740" s="22" t="s">
        <v>5850</v>
      </c>
      <c r="G6740" s="23">
        <v>2018.0</v>
      </c>
      <c r="H6740" s="22" t="s">
        <v>31548</v>
      </c>
      <c r="I6740" s="24" t="s">
        <v>31549</v>
      </c>
      <c r="J6740" s="22" t="s">
        <v>31550</v>
      </c>
      <c r="K6740" s="22" t="s">
        <v>31551</v>
      </c>
      <c r="L6740" s="36">
        <v>940.0</v>
      </c>
      <c r="M6740" s="36">
        <v>21.0</v>
      </c>
      <c r="N6740" s="36" t="s">
        <v>9755</v>
      </c>
      <c r="O6740" s="36"/>
      <c r="P6740" s="37"/>
      <c r="Q6740" s="36" t="s">
        <v>6761</v>
      </c>
      <c r="R6740" s="36"/>
      <c r="S6740" s="36" t="s">
        <v>4905</v>
      </c>
      <c r="T6740" s="54" t="s">
        <v>31552</v>
      </c>
      <c r="U6740" s="38" t="str">
        <f>HYPERLINK("https://www.ncbi.nlm.nih.gov/pubmed/29776916","PubMed")</f>
        <v>PubMed</v>
      </c>
      <c r="V6740" s="50"/>
      <c r="W6740" s="49"/>
      <c r="X6740" s="49"/>
      <c r="Y6740" s="35"/>
      <c r="Z6740" s="35"/>
      <c r="AA6740" s="35"/>
      <c r="AB6740" s="35"/>
      <c r="AC6740" s="35"/>
      <c r="AD6740" s="35"/>
      <c r="AE6740" s="35"/>
      <c r="AF6740" s="35"/>
      <c r="AG6740" s="35"/>
      <c r="AH6740" s="35"/>
      <c r="AI6740" s="35"/>
      <c r="AJ6740" s="35"/>
      <c r="AK6740" s="35"/>
      <c r="AL6740" s="35"/>
    </row>
    <row r="6741">
      <c r="A6741" s="40"/>
      <c r="B6741" s="19" t="s">
        <v>31524</v>
      </c>
      <c r="C6741" s="20" t="s">
        <v>31546</v>
      </c>
      <c r="D6741" s="47"/>
      <c r="E6741" s="22" t="s">
        <v>31553</v>
      </c>
      <c r="F6741" s="22" t="s">
        <v>6605</v>
      </c>
      <c r="G6741" s="23">
        <v>2011.0</v>
      </c>
      <c r="H6741" s="22" t="s">
        <v>4791</v>
      </c>
      <c r="I6741" s="24" t="s">
        <v>31554</v>
      </c>
      <c r="J6741" s="22" t="s">
        <v>31555</v>
      </c>
      <c r="K6741" s="22" t="s">
        <v>31556</v>
      </c>
      <c r="L6741" s="36" t="s">
        <v>31557</v>
      </c>
      <c r="M6741" s="36"/>
      <c r="N6741" s="36"/>
      <c r="O6741" s="36"/>
      <c r="P6741" s="37"/>
      <c r="Q6741" s="36"/>
      <c r="R6741" s="36"/>
      <c r="S6741" s="36" t="s">
        <v>4905</v>
      </c>
      <c r="T6741" s="54" t="s">
        <v>31558</v>
      </c>
      <c r="U6741" s="38" t="str">
        <f>HYPERLINK("https://www.ncbi.nlm.nih.gov/pubmed/20950168","PubMed")</f>
        <v>PubMed</v>
      </c>
      <c r="V6741" s="30" t="s">
        <v>31559</v>
      </c>
      <c r="W6741" s="49"/>
      <c r="X6741" s="49"/>
      <c r="Y6741" s="35"/>
      <c r="Z6741" s="35"/>
      <c r="AA6741" s="35"/>
      <c r="AB6741" s="35"/>
      <c r="AC6741" s="35"/>
      <c r="AD6741" s="35"/>
      <c r="AE6741" s="35"/>
      <c r="AF6741" s="35"/>
      <c r="AG6741" s="35"/>
      <c r="AH6741" s="35"/>
      <c r="AI6741" s="35"/>
      <c r="AJ6741" s="35"/>
      <c r="AK6741" s="35"/>
      <c r="AL6741" s="35"/>
    </row>
    <row r="6742">
      <c r="A6742" s="40"/>
      <c r="B6742" s="19" t="s">
        <v>31524</v>
      </c>
      <c r="C6742" s="20" t="s">
        <v>31546</v>
      </c>
      <c r="D6742" s="47"/>
      <c r="E6742" s="22" t="s">
        <v>31553</v>
      </c>
      <c r="F6742" s="22" t="s">
        <v>6605</v>
      </c>
      <c r="G6742" s="23">
        <v>2011.0</v>
      </c>
      <c r="H6742" s="22" t="s">
        <v>4791</v>
      </c>
      <c r="I6742" s="24" t="s">
        <v>31560</v>
      </c>
      <c r="J6742" s="22" t="s">
        <v>31561</v>
      </c>
      <c r="K6742" s="22" t="s">
        <v>31562</v>
      </c>
      <c r="L6742" s="36">
        <v>890.0</v>
      </c>
      <c r="M6742" s="36"/>
      <c r="N6742" s="36"/>
      <c r="O6742" s="36"/>
      <c r="P6742" s="37" t="s">
        <v>31563</v>
      </c>
      <c r="Q6742" s="36"/>
      <c r="R6742" s="36">
        <v>1800.0</v>
      </c>
      <c r="S6742" s="36" t="s">
        <v>4905</v>
      </c>
      <c r="T6742" s="54" t="s">
        <v>31564</v>
      </c>
      <c r="U6742" s="38" t="str">
        <f>HYPERLINK("https://www.ncbi.nlm.nih.gov/pubmed/20977377","PubMed")</f>
        <v>PubMed</v>
      </c>
      <c r="V6742" s="30" t="s">
        <v>31565</v>
      </c>
      <c r="W6742" s="49"/>
      <c r="X6742" s="49"/>
      <c r="Y6742" s="35"/>
      <c r="Z6742" s="35"/>
      <c r="AA6742" s="35"/>
      <c r="AB6742" s="35"/>
      <c r="AC6742" s="35"/>
      <c r="AD6742" s="35"/>
      <c r="AE6742" s="35"/>
      <c r="AF6742" s="35"/>
      <c r="AG6742" s="35"/>
      <c r="AH6742" s="35"/>
      <c r="AI6742" s="35"/>
      <c r="AJ6742" s="35"/>
      <c r="AK6742" s="35"/>
      <c r="AL6742" s="35"/>
    </row>
    <row r="6743">
      <c r="A6743" s="40"/>
      <c r="B6743" s="19" t="s">
        <v>31524</v>
      </c>
      <c r="C6743" s="20" t="s">
        <v>2036</v>
      </c>
      <c r="D6743" s="47"/>
      <c r="E6743" s="22" t="s">
        <v>2190</v>
      </c>
      <c r="F6743" s="22" t="s">
        <v>2750</v>
      </c>
      <c r="G6743" s="23">
        <v>2023.0</v>
      </c>
      <c r="H6743" s="22" t="s">
        <v>348</v>
      </c>
      <c r="I6743" s="24" t="s">
        <v>31566</v>
      </c>
      <c r="J6743" s="22" t="s">
        <v>125</v>
      </c>
      <c r="K6743" s="22" t="s">
        <v>2394</v>
      </c>
      <c r="L6743" s="105" t="s">
        <v>31567</v>
      </c>
      <c r="M6743" s="44"/>
      <c r="N6743" s="44"/>
      <c r="O6743" s="44"/>
      <c r="P6743" s="44"/>
      <c r="Q6743" s="44"/>
      <c r="R6743" s="44"/>
      <c r="S6743" s="44"/>
      <c r="T6743" s="45"/>
      <c r="U6743" s="38" t="s">
        <v>61</v>
      </c>
      <c r="V6743" s="30"/>
      <c r="W6743" s="49"/>
      <c r="X6743" s="49"/>
      <c r="Y6743" s="35"/>
      <c r="Z6743" s="35"/>
      <c r="AA6743" s="35"/>
      <c r="AB6743" s="35"/>
      <c r="AC6743" s="35"/>
      <c r="AD6743" s="35"/>
      <c r="AE6743" s="35"/>
      <c r="AF6743" s="35"/>
      <c r="AG6743" s="35"/>
      <c r="AH6743" s="35"/>
      <c r="AI6743" s="35"/>
      <c r="AJ6743" s="35"/>
      <c r="AK6743" s="35"/>
      <c r="AL6743" s="35"/>
    </row>
    <row r="6744">
      <c r="A6744" s="40" t="s">
        <v>2</v>
      </c>
      <c r="B6744" s="19" t="s">
        <v>31524</v>
      </c>
      <c r="C6744" s="20" t="s">
        <v>2036</v>
      </c>
      <c r="D6744" s="47"/>
      <c r="E6744" s="22" t="s">
        <v>4095</v>
      </c>
      <c r="F6744" s="22" t="s">
        <v>4073</v>
      </c>
      <c r="G6744" s="23">
        <v>2022.0</v>
      </c>
      <c r="H6744" s="22" t="s">
        <v>2122</v>
      </c>
      <c r="I6744" s="24" t="s">
        <v>31568</v>
      </c>
      <c r="J6744" s="22" t="s">
        <v>125</v>
      </c>
      <c r="K6744" s="22" t="s">
        <v>2394</v>
      </c>
      <c r="L6744" s="105" t="s">
        <v>31569</v>
      </c>
      <c r="M6744" s="44"/>
      <c r="N6744" s="44"/>
      <c r="O6744" s="44"/>
      <c r="P6744" s="44"/>
      <c r="Q6744" s="44"/>
      <c r="R6744" s="44"/>
      <c r="S6744" s="44"/>
      <c r="T6744" s="45"/>
      <c r="U6744" s="38" t="s">
        <v>61</v>
      </c>
      <c r="V6744" s="30"/>
      <c r="W6744" s="49"/>
      <c r="X6744" s="49"/>
      <c r="Y6744" s="35"/>
      <c r="Z6744" s="35"/>
      <c r="AA6744" s="35"/>
      <c r="AB6744" s="35"/>
      <c r="AC6744" s="35"/>
      <c r="AD6744" s="35"/>
      <c r="AE6744" s="35"/>
      <c r="AF6744" s="35"/>
      <c r="AG6744" s="35"/>
      <c r="AH6744" s="35"/>
      <c r="AI6744" s="35"/>
      <c r="AJ6744" s="35"/>
      <c r="AK6744" s="35"/>
      <c r="AL6744" s="35"/>
    </row>
    <row r="6745">
      <c r="A6745" s="40"/>
      <c r="B6745" s="19" t="s">
        <v>31524</v>
      </c>
      <c r="C6745" s="20" t="s">
        <v>31570</v>
      </c>
      <c r="D6745" s="47"/>
      <c r="E6745" s="22" t="s">
        <v>31571</v>
      </c>
      <c r="F6745" s="22" t="s">
        <v>400</v>
      </c>
      <c r="G6745" s="23">
        <v>2020.0</v>
      </c>
      <c r="H6745" s="22" t="s">
        <v>3828</v>
      </c>
      <c r="I6745" s="24" t="s">
        <v>31572</v>
      </c>
      <c r="J6745" s="22" t="s">
        <v>2141</v>
      </c>
      <c r="K6745" s="22"/>
      <c r="L6745" s="168"/>
      <c r="M6745" s="168"/>
      <c r="N6745" s="168"/>
      <c r="O6745" s="168"/>
      <c r="P6745" s="169"/>
      <c r="Q6745" s="168"/>
      <c r="R6745" s="168"/>
      <c r="S6745" s="168"/>
      <c r="T6745" s="214" t="s">
        <v>31573</v>
      </c>
      <c r="U6745" s="38" t="str">
        <f>HYPERLINK("https://www.ncbi.nlm.nih.gov/pubmed/32195961","PubMed")</f>
        <v>PubMed</v>
      </c>
      <c r="V6745" s="30"/>
      <c r="W6745" s="49"/>
      <c r="X6745" s="49"/>
      <c r="Y6745" s="35"/>
      <c r="Z6745" s="35"/>
      <c r="AA6745" s="35"/>
      <c r="AB6745" s="35"/>
      <c r="AC6745" s="35"/>
      <c r="AD6745" s="35"/>
      <c r="AE6745" s="35"/>
      <c r="AF6745" s="35"/>
      <c r="AG6745" s="35"/>
      <c r="AH6745" s="35"/>
      <c r="AI6745" s="35"/>
      <c r="AJ6745" s="35"/>
      <c r="AK6745" s="35"/>
      <c r="AL6745" s="35"/>
    </row>
    <row r="6746">
      <c r="A6746" s="40"/>
      <c r="B6746" s="19" t="s">
        <v>31524</v>
      </c>
      <c r="C6746" s="20" t="s">
        <v>31574</v>
      </c>
      <c r="D6746" s="47"/>
      <c r="E6746" s="22" t="s">
        <v>31575</v>
      </c>
      <c r="F6746" s="22" t="s">
        <v>1943</v>
      </c>
      <c r="G6746" s="23">
        <v>2023.0</v>
      </c>
      <c r="H6746" s="22" t="s">
        <v>31576</v>
      </c>
      <c r="I6746" s="24" t="s">
        <v>31577</v>
      </c>
      <c r="J6746" s="22" t="s">
        <v>55</v>
      </c>
      <c r="K6746" s="22"/>
      <c r="L6746" s="36">
        <v>830.0</v>
      </c>
      <c r="M6746" s="36"/>
      <c r="N6746" s="36"/>
      <c r="O6746" s="36"/>
      <c r="P6746" s="37"/>
      <c r="Q6746" s="36"/>
      <c r="R6746" s="36"/>
      <c r="S6746" s="36"/>
      <c r="T6746" s="54" t="s">
        <v>31578</v>
      </c>
      <c r="U6746" s="38" t="s">
        <v>61</v>
      </c>
      <c r="V6746" s="30"/>
      <c r="W6746" s="49"/>
      <c r="X6746" s="49"/>
      <c r="Y6746" s="35"/>
      <c r="Z6746" s="35"/>
      <c r="AA6746" s="35"/>
      <c r="AB6746" s="35"/>
      <c r="AC6746" s="35"/>
      <c r="AD6746" s="35"/>
      <c r="AE6746" s="35"/>
      <c r="AF6746" s="35"/>
      <c r="AG6746" s="35"/>
      <c r="AH6746" s="35"/>
      <c r="AI6746" s="35"/>
      <c r="AJ6746" s="35"/>
      <c r="AK6746" s="35"/>
      <c r="AL6746" s="35"/>
    </row>
    <row r="6747">
      <c r="A6747" s="40"/>
      <c r="B6747" s="19" t="s">
        <v>31524</v>
      </c>
      <c r="C6747" s="20" t="s">
        <v>31574</v>
      </c>
      <c r="D6747" s="47"/>
      <c r="E6747" s="22" t="s">
        <v>31575</v>
      </c>
      <c r="F6747" s="22" t="s">
        <v>1943</v>
      </c>
      <c r="G6747" s="23">
        <v>2023.0</v>
      </c>
      <c r="H6747" s="22" t="s">
        <v>2112</v>
      </c>
      <c r="I6747" s="24" t="s">
        <v>31579</v>
      </c>
      <c r="J6747" s="22" t="s">
        <v>55</v>
      </c>
      <c r="K6747" s="22"/>
      <c r="L6747" s="36">
        <v>830.0</v>
      </c>
      <c r="M6747" s="36"/>
      <c r="N6747" s="36"/>
      <c r="O6747" s="36"/>
      <c r="P6747" s="37"/>
      <c r="Q6747" s="36"/>
      <c r="R6747" s="36"/>
      <c r="S6747" s="36"/>
      <c r="T6747" s="54" t="s">
        <v>31580</v>
      </c>
      <c r="U6747" s="38" t="s">
        <v>61</v>
      </c>
      <c r="V6747" s="30"/>
      <c r="W6747" s="49"/>
      <c r="X6747" s="49"/>
      <c r="Y6747" s="35"/>
      <c r="Z6747" s="35"/>
      <c r="AA6747" s="35"/>
      <c r="AB6747" s="35"/>
      <c r="AC6747" s="35"/>
      <c r="AD6747" s="35"/>
      <c r="AE6747" s="35"/>
      <c r="AF6747" s="35"/>
      <c r="AG6747" s="35"/>
      <c r="AH6747" s="35"/>
      <c r="AI6747" s="35"/>
      <c r="AJ6747" s="35"/>
      <c r="AK6747" s="35"/>
      <c r="AL6747" s="35"/>
    </row>
    <row r="6748">
      <c r="A6748" s="40"/>
      <c r="B6748" s="19" t="s">
        <v>31524</v>
      </c>
      <c r="C6748" s="20" t="s">
        <v>31581</v>
      </c>
      <c r="D6748" s="47"/>
      <c r="E6748" s="22" t="s">
        <v>1507</v>
      </c>
      <c r="F6748" s="22" t="s">
        <v>3522</v>
      </c>
      <c r="G6748" s="23">
        <v>2024.0</v>
      </c>
      <c r="H6748" s="22" t="s">
        <v>91</v>
      </c>
      <c r="I6748" s="24" t="s">
        <v>31582</v>
      </c>
      <c r="J6748" s="22" t="s">
        <v>31583</v>
      </c>
      <c r="K6748" s="22" t="s">
        <v>2686</v>
      </c>
      <c r="L6748" s="36">
        <v>830.0</v>
      </c>
      <c r="M6748" s="166"/>
      <c r="N6748" s="166"/>
      <c r="O6748" s="166"/>
      <c r="P6748" s="36"/>
      <c r="Q6748" s="166"/>
      <c r="R6748" s="166"/>
      <c r="S6748" s="166"/>
      <c r="T6748" s="54" t="s">
        <v>31584</v>
      </c>
      <c r="U6748" s="38" t="s">
        <v>61</v>
      </c>
      <c r="V6748" s="30" t="s">
        <v>174</v>
      </c>
      <c r="W6748" s="49"/>
      <c r="X6748" s="49"/>
      <c r="Y6748" s="35"/>
      <c r="Z6748" s="35"/>
      <c r="AA6748" s="35"/>
      <c r="AB6748" s="35"/>
      <c r="AC6748" s="35"/>
      <c r="AD6748" s="35"/>
      <c r="AE6748" s="35"/>
      <c r="AF6748" s="35"/>
      <c r="AG6748" s="35"/>
      <c r="AH6748" s="35"/>
      <c r="AI6748" s="35"/>
      <c r="AJ6748" s="35"/>
      <c r="AK6748" s="35"/>
      <c r="AL6748" s="35"/>
    </row>
    <row r="6749">
      <c r="A6749" s="40"/>
      <c r="B6749" s="19" t="s">
        <v>31524</v>
      </c>
      <c r="C6749" s="20" t="s">
        <v>31581</v>
      </c>
      <c r="D6749" s="47"/>
      <c r="E6749" s="22" t="s">
        <v>2783</v>
      </c>
      <c r="F6749" s="22" t="s">
        <v>494</v>
      </c>
      <c r="G6749" s="23">
        <v>2023.0</v>
      </c>
      <c r="H6749" s="22" t="s">
        <v>8884</v>
      </c>
      <c r="I6749" s="24" t="s">
        <v>31585</v>
      </c>
      <c r="J6749" s="22" t="s">
        <v>31586</v>
      </c>
      <c r="K6749" s="22"/>
      <c r="L6749" s="36"/>
      <c r="M6749" s="166"/>
      <c r="N6749" s="166"/>
      <c r="O6749" s="166"/>
      <c r="P6749" s="36"/>
      <c r="Q6749" s="166"/>
      <c r="R6749" s="166"/>
      <c r="S6749" s="166"/>
      <c r="T6749" s="54" t="s">
        <v>31587</v>
      </c>
      <c r="U6749" s="38" t="s">
        <v>61</v>
      </c>
      <c r="V6749" s="30"/>
      <c r="W6749" s="49"/>
      <c r="X6749" s="49"/>
      <c r="Y6749" s="35"/>
      <c r="Z6749" s="35"/>
      <c r="AA6749" s="35"/>
      <c r="AB6749" s="35"/>
      <c r="AC6749" s="35"/>
      <c r="AD6749" s="35"/>
      <c r="AE6749" s="35"/>
      <c r="AF6749" s="35"/>
      <c r="AG6749" s="35"/>
      <c r="AH6749" s="35"/>
      <c r="AI6749" s="35"/>
      <c r="AJ6749" s="35"/>
      <c r="AK6749" s="35"/>
      <c r="AL6749" s="35"/>
    </row>
    <row r="6750">
      <c r="A6750" s="40"/>
      <c r="B6750" s="19" t="s">
        <v>31524</v>
      </c>
      <c r="C6750" s="20" t="s">
        <v>31581</v>
      </c>
      <c r="D6750" s="47"/>
      <c r="E6750" s="22" t="s">
        <v>2051</v>
      </c>
      <c r="F6750" s="22" t="s">
        <v>3427</v>
      </c>
      <c r="G6750" s="23">
        <v>2023.0</v>
      </c>
      <c r="H6750" s="22" t="s">
        <v>31588</v>
      </c>
      <c r="I6750" s="24" t="s">
        <v>31589</v>
      </c>
      <c r="J6750" s="22" t="s">
        <v>29521</v>
      </c>
      <c r="K6750" s="22" t="s">
        <v>31590</v>
      </c>
      <c r="L6750" s="36" t="s">
        <v>31591</v>
      </c>
      <c r="M6750" s="166"/>
      <c r="N6750" s="166"/>
      <c r="O6750" s="166"/>
      <c r="P6750" s="36"/>
      <c r="Q6750" s="166"/>
      <c r="R6750" s="166"/>
      <c r="S6750" s="166"/>
      <c r="T6750" s="102" t="s">
        <v>31592</v>
      </c>
      <c r="U6750" s="38" t="s">
        <v>61</v>
      </c>
      <c r="V6750" s="30"/>
      <c r="W6750" s="49"/>
      <c r="X6750" s="49"/>
      <c r="Y6750" s="35"/>
      <c r="Z6750" s="35"/>
      <c r="AA6750" s="35"/>
      <c r="AB6750" s="35"/>
      <c r="AC6750" s="35"/>
      <c r="AD6750" s="35"/>
      <c r="AE6750" s="35"/>
      <c r="AF6750" s="35"/>
      <c r="AG6750" s="35"/>
      <c r="AH6750" s="35"/>
      <c r="AI6750" s="35"/>
      <c r="AJ6750" s="35"/>
      <c r="AK6750" s="35"/>
      <c r="AL6750" s="35"/>
    </row>
    <row r="6751">
      <c r="A6751" s="40" t="s">
        <v>2</v>
      </c>
      <c r="B6751" s="19" t="s">
        <v>31524</v>
      </c>
      <c r="C6751" s="20" t="s">
        <v>31581</v>
      </c>
      <c r="D6751" s="47"/>
      <c r="E6751" s="22" t="s">
        <v>31593</v>
      </c>
      <c r="F6751" s="22" t="s">
        <v>31594</v>
      </c>
      <c r="G6751" s="23">
        <v>2023.0</v>
      </c>
      <c r="H6751" s="22" t="s">
        <v>31595</v>
      </c>
      <c r="I6751" s="24" t="s">
        <v>31596</v>
      </c>
      <c r="J6751" s="22" t="s">
        <v>31597</v>
      </c>
      <c r="K6751" s="22" t="s">
        <v>31598</v>
      </c>
      <c r="L6751" s="36">
        <v>850.0</v>
      </c>
      <c r="M6751" s="166"/>
      <c r="N6751" s="166"/>
      <c r="O6751" s="166"/>
      <c r="P6751" s="36" t="s">
        <v>31599</v>
      </c>
      <c r="Q6751" s="166"/>
      <c r="R6751" s="166"/>
      <c r="S6751" s="166"/>
      <c r="T6751" s="54" t="s">
        <v>31600</v>
      </c>
      <c r="U6751" s="38" t="s">
        <v>61</v>
      </c>
      <c r="V6751" s="30"/>
      <c r="W6751" s="49"/>
      <c r="X6751" s="49"/>
      <c r="Y6751" s="35"/>
      <c r="Z6751" s="35"/>
      <c r="AA6751" s="35"/>
      <c r="AB6751" s="35"/>
      <c r="AC6751" s="35"/>
      <c r="AD6751" s="35"/>
      <c r="AE6751" s="35"/>
      <c r="AF6751" s="35"/>
      <c r="AG6751" s="35"/>
      <c r="AH6751" s="35"/>
      <c r="AI6751" s="35"/>
      <c r="AJ6751" s="35"/>
      <c r="AK6751" s="35"/>
      <c r="AL6751" s="35"/>
    </row>
    <row r="6752">
      <c r="A6752" s="40"/>
      <c r="B6752" s="19" t="s">
        <v>31524</v>
      </c>
      <c r="C6752" s="20" t="s">
        <v>31581</v>
      </c>
      <c r="D6752" s="47"/>
      <c r="E6752" s="22" t="s">
        <v>31601</v>
      </c>
      <c r="F6752" s="22" t="s">
        <v>2665</v>
      </c>
      <c r="G6752" s="23">
        <v>2023.0</v>
      </c>
      <c r="H6752" s="22" t="s">
        <v>31602</v>
      </c>
      <c r="I6752" s="24" t="s">
        <v>31603</v>
      </c>
      <c r="J6752" s="22" t="s">
        <v>125</v>
      </c>
      <c r="K6752" s="22"/>
      <c r="L6752" s="105" t="s">
        <v>31604</v>
      </c>
      <c r="M6752" s="44"/>
      <c r="N6752" s="44"/>
      <c r="O6752" s="44"/>
      <c r="P6752" s="44"/>
      <c r="Q6752" s="44"/>
      <c r="R6752" s="44"/>
      <c r="S6752" s="44"/>
      <c r="T6752" s="45"/>
      <c r="U6752" s="38" t="s">
        <v>61</v>
      </c>
      <c r="V6752" s="30"/>
      <c r="W6752" s="49"/>
      <c r="X6752" s="49"/>
      <c r="Y6752" s="35"/>
      <c r="Z6752" s="35"/>
      <c r="AA6752" s="35"/>
      <c r="AB6752" s="35"/>
      <c r="AC6752" s="35"/>
      <c r="AD6752" s="35"/>
      <c r="AE6752" s="35"/>
      <c r="AF6752" s="35"/>
      <c r="AG6752" s="35"/>
      <c r="AH6752" s="35"/>
      <c r="AI6752" s="35"/>
      <c r="AJ6752" s="35"/>
      <c r="AK6752" s="35"/>
      <c r="AL6752" s="35"/>
    </row>
    <row r="6753">
      <c r="A6753" s="40"/>
      <c r="B6753" s="19" t="s">
        <v>31524</v>
      </c>
      <c r="C6753" s="20" t="s">
        <v>31581</v>
      </c>
      <c r="D6753" s="47"/>
      <c r="E6753" s="22" t="s">
        <v>31605</v>
      </c>
      <c r="F6753" s="22" t="s">
        <v>15866</v>
      </c>
      <c r="G6753" s="23">
        <v>2022.0</v>
      </c>
      <c r="H6753" s="22" t="s">
        <v>16319</v>
      </c>
      <c r="I6753" s="24" t="s">
        <v>31606</v>
      </c>
      <c r="J6753" s="22" t="s">
        <v>31607</v>
      </c>
      <c r="K6753" s="22"/>
      <c r="L6753" s="36" t="s">
        <v>3031</v>
      </c>
      <c r="M6753" s="36"/>
      <c r="N6753" s="36"/>
      <c r="O6753" s="36"/>
      <c r="P6753" s="37"/>
      <c r="Q6753" s="36"/>
      <c r="R6753" s="36"/>
      <c r="S6753" s="36" t="s">
        <v>31608</v>
      </c>
      <c r="T6753" s="102" t="s">
        <v>31609</v>
      </c>
      <c r="U6753" s="38" t="s">
        <v>61</v>
      </c>
      <c r="V6753" s="30" t="s">
        <v>31610</v>
      </c>
      <c r="W6753" s="49"/>
      <c r="X6753" s="49"/>
      <c r="Y6753" s="35"/>
      <c r="Z6753" s="35"/>
      <c r="AA6753" s="35"/>
      <c r="AB6753" s="35"/>
      <c r="AC6753" s="35"/>
      <c r="AD6753" s="35"/>
      <c r="AE6753" s="35"/>
      <c r="AF6753" s="35"/>
      <c r="AG6753" s="35"/>
      <c r="AH6753" s="35"/>
      <c r="AI6753" s="35"/>
      <c r="AJ6753" s="35"/>
      <c r="AK6753" s="35"/>
      <c r="AL6753" s="35"/>
    </row>
    <row r="6754">
      <c r="A6754" s="40"/>
      <c r="B6754" s="19" t="s">
        <v>31524</v>
      </c>
      <c r="C6754" s="20" t="s">
        <v>31581</v>
      </c>
      <c r="D6754" s="47"/>
      <c r="E6754" s="22" t="s">
        <v>3159</v>
      </c>
      <c r="F6754" s="22" t="s">
        <v>224</v>
      </c>
      <c r="G6754" s="23">
        <v>2022.0</v>
      </c>
      <c r="H6754" s="22" t="s">
        <v>2238</v>
      </c>
      <c r="I6754" s="24" t="s">
        <v>31611</v>
      </c>
      <c r="J6754" s="22" t="s">
        <v>31612</v>
      </c>
      <c r="K6754" s="22"/>
      <c r="L6754" s="36" t="s">
        <v>1773</v>
      </c>
      <c r="M6754" s="36"/>
      <c r="N6754" s="36"/>
      <c r="O6754" s="36"/>
      <c r="P6754" s="37"/>
      <c r="Q6754" s="36"/>
      <c r="R6754" s="36"/>
      <c r="S6754" s="36" t="s">
        <v>13892</v>
      </c>
      <c r="T6754" s="102" t="s">
        <v>31613</v>
      </c>
      <c r="U6754" s="29" t="s">
        <v>61</v>
      </c>
      <c r="V6754" s="30" t="s">
        <v>174</v>
      </c>
      <c r="W6754" s="49"/>
      <c r="X6754" s="49"/>
      <c r="Y6754" s="35"/>
      <c r="Z6754" s="35"/>
      <c r="AA6754" s="35"/>
      <c r="AB6754" s="35"/>
      <c r="AC6754" s="35"/>
      <c r="AD6754" s="35"/>
      <c r="AE6754" s="35"/>
      <c r="AF6754" s="35"/>
      <c r="AG6754" s="35"/>
      <c r="AH6754" s="35"/>
      <c r="AI6754" s="35"/>
      <c r="AJ6754" s="35"/>
      <c r="AK6754" s="35"/>
      <c r="AL6754" s="35"/>
    </row>
    <row r="6755">
      <c r="A6755" s="40" t="s">
        <v>38</v>
      </c>
      <c r="B6755" s="19" t="s">
        <v>31524</v>
      </c>
      <c r="C6755" s="20" t="s">
        <v>31581</v>
      </c>
      <c r="D6755" s="47"/>
      <c r="E6755" s="22" t="s">
        <v>3159</v>
      </c>
      <c r="F6755" s="22" t="s">
        <v>224</v>
      </c>
      <c r="G6755" s="23">
        <v>2012.0</v>
      </c>
      <c r="H6755" s="22" t="s">
        <v>6350</v>
      </c>
      <c r="I6755" s="24" t="s">
        <v>31614</v>
      </c>
      <c r="J6755" s="22" t="s">
        <v>31615</v>
      </c>
      <c r="K6755" s="22" t="s">
        <v>28138</v>
      </c>
      <c r="L6755" s="36">
        <v>658.0</v>
      </c>
      <c r="M6755" s="36"/>
      <c r="N6755" s="36"/>
      <c r="O6755" s="36"/>
      <c r="P6755" s="37" t="s">
        <v>480</v>
      </c>
      <c r="Q6755" s="36"/>
      <c r="R6755" s="36">
        <v>1800.0</v>
      </c>
      <c r="S6755" s="36" t="s">
        <v>31616</v>
      </c>
      <c r="T6755" s="54" t="s">
        <v>31617</v>
      </c>
      <c r="U6755" s="38" t="str">
        <f>HYPERLINK("https://www.ncbi.nlm.nih.gov/pubmed/23182016","PubMed")</f>
        <v>PubMed</v>
      </c>
      <c r="V6755" s="30" t="s">
        <v>31618</v>
      </c>
      <c r="W6755" s="49"/>
      <c r="X6755" s="49"/>
      <c r="Y6755" s="35"/>
      <c r="Z6755" s="35"/>
      <c r="AA6755" s="35"/>
      <c r="AB6755" s="35"/>
      <c r="AC6755" s="35"/>
      <c r="AD6755" s="35"/>
      <c r="AE6755" s="35"/>
      <c r="AF6755" s="35"/>
      <c r="AG6755" s="35"/>
      <c r="AH6755" s="35"/>
      <c r="AI6755" s="35"/>
      <c r="AJ6755" s="35"/>
      <c r="AK6755" s="35"/>
      <c r="AL6755" s="35"/>
    </row>
    <row r="6756">
      <c r="A6756" s="146"/>
      <c r="B6756" s="157" t="s">
        <v>10634</v>
      </c>
      <c r="C6756" s="158" t="s">
        <v>31619</v>
      </c>
      <c r="D6756" s="159"/>
      <c r="E6756" s="57" t="s">
        <v>31620</v>
      </c>
      <c r="F6756" s="22" t="s">
        <v>21778</v>
      </c>
      <c r="G6756" s="57">
        <v>2017.0</v>
      </c>
      <c r="H6756" s="57" t="s">
        <v>2047</v>
      </c>
      <c r="I6756" s="134" t="s">
        <v>31621</v>
      </c>
      <c r="J6756" s="23" t="s">
        <v>2049</v>
      </c>
      <c r="K6756" s="23"/>
      <c r="L6756" s="36">
        <v>660.0</v>
      </c>
      <c r="M6756" s="36">
        <v>24.0</v>
      </c>
      <c r="N6756" s="36" t="s">
        <v>1069</v>
      </c>
      <c r="O6756" s="129"/>
      <c r="P6756" s="37"/>
      <c r="Q6756" s="36"/>
      <c r="R6756" s="36"/>
      <c r="S6756" s="36"/>
      <c r="T6756" s="82" t="s">
        <v>31622</v>
      </c>
      <c r="U6756" s="248" t="str">
        <f>HYPERLINK("https://www.ncbi.nlm.nih.gov/pubmed/28140641","PubMed")</f>
        <v>PubMed</v>
      </c>
      <c r="V6756" s="139"/>
      <c r="W6756" s="49"/>
      <c r="X6756" s="49"/>
      <c r="Y6756" s="35"/>
      <c r="Z6756" s="35"/>
      <c r="AA6756" s="35"/>
      <c r="AB6756" s="35"/>
      <c r="AC6756" s="35"/>
      <c r="AD6756" s="35"/>
      <c r="AE6756" s="35"/>
      <c r="AF6756" s="35"/>
      <c r="AG6756" s="35"/>
      <c r="AH6756" s="35"/>
      <c r="AI6756" s="35"/>
      <c r="AJ6756" s="35"/>
      <c r="AK6756" s="35"/>
      <c r="AL6756" s="35"/>
    </row>
    <row r="6757">
      <c r="A6757" s="18" t="s">
        <v>38</v>
      </c>
      <c r="B6757" s="157" t="s">
        <v>31623</v>
      </c>
      <c r="C6757" s="158" t="s">
        <v>31624</v>
      </c>
      <c r="D6757" s="159"/>
      <c r="E6757" s="57" t="s">
        <v>31625</v>
      </c>
      <c r="F6757" s="23" t="s">
        <v>31626</v>
      </c>
      <c r="G6757" s="57">
        <v>2020.0</v>
      </c>
      <c r="H6757" s="57" t="s">
        <v>29571</v>
      </c>
      <c r="I6757" s="134" t="s">
        <v>31627</v>
      </c>
      <c r="J6757" s="22" t="s">
        <v>31628</v>
      </c>
      <c r="K6757" s="22" t="s">
        <v>56</v>
      </c>
      <c r="L6757" s="36" t="s">
        <v>5966</v>
      </c>
      <c r="M6757" s="36"/>
      <c r="N6757" s="36"/>
      <c r="O6757" s="36"/>
      <c r="P6757" s="244"/>
      <c r="Q6757" s="245"/>
      <c r="R6757" s="36"/>
      <c r="S6757" s="36" t="s">
        <v>6038</v>
      </c>
      <c r="T6757" s="83" t="s">
        <v>31629</v>
      </c>
      <c r="U6757" s="248" t="s">
        <v>61</v>
      </c>
      <c r="V6757" s="136"/>
      <c r="W6757" s="49"/>
      <c r="X6757" s="49"/>
      <c r="Y6757" s="35"/>
      <c r="Z6757" s="35"/>
      <c r="AA6757" s="35"/>
      <c r="AB6757" s="35"/>
      <c r="AC6757" s="35"/>
      <c r="AD6757" s="35"/>
      <c r="AE6757" s="35"/>
      <c r="AF6757" s="35"/>
      <c r="AG6757" s="35"/>
      <c r="AH6757" s="35"/>
      <c r="AI6757" s="35"/>
      <c r="AJ6757" s="35"/>
      <c r="AK6757" s="35"/>
      <c r="AL6757" s="35"/>
    </row>
    <row r="6758">
      <c r="A6758" s="18"/>
      <c r="B6758" s="157" t="s">
        <v>31623</v>
      </c>
      <c r="C6758" s="158" t="s">
        <v>31619</v>
      </c>
      <c r="D6758" s="159"/>
      <c r="E6758" s="57" t="s">
        <v>31630</v>
      </c>
      <c r="F6758" s="23" t="s">
        <v>6349</v>
      </c>
      <c r="G6758" s="57">
        <v>2012.0</v>
      </c>
      <c r="H6758" s="57" t="s">
        <v>31631</v>
      </c>
      <c r="I6758" s="134" t="s">
        <v>31632</v>
      </c>
      <c r="J6758" s="23" t="s">
        <v>31633</v>
      </c>
      <c r="K6758" s="22"/>
      <c r="L6758" s="36">
        <v>810.0</v>
      </c>
      <c r="M6758" s="36">
        <v>1000.0</v>
      </c>
      <c r="N6758" s="36" t="s">
        <v>31634</v>
      </c>
      <c r="O6758" s="36"/>
      <c r="P6758" s="244"/>
      <c r="Q6758" s="245"/>
      <c r="R6758" s="36" t="s">
        <v>31635</v>
      </c>
      <c r="S6758" s="36">
        <v>5.0</v>
      </c>
      <c r="T6758" s="83" t="s">
        <v>31636</v>
      </c>
      <c r="U6758" s="312" t="str">
        <f>HYPERLINK("https://www.ncbi.nlm.nih.gov/pubmed/22783835","PubMed")</f>
        <v>PubMed</v>
      </c>
      <c r="V6758" s="136"/>
      <c r="W6758" s="49"/>
      <c r="X6758" s="49"/>
      <c r="Y6758" s="35"/>
      <c r="Z6758" s="35"/>
      <c r="AA6758" s="35"/>
      <c r="AB6758" s="35"/>
      <c r="AC6758" s="35"/>
      <c r="AD6758" s="35"/>
      <c r="AE6758" s="35"/>
      <c r="AF6758" s="35"/>
      <c r="AG6758" s="35"/>
      <c r="AH6758" s="35"/>
      <c r="AI6758" s="35"/>
      <c r="AJ6758" s="35"/>
      <c r="AK6758" s="35"/>
      <c r="AL6758" s="35"/>
    </row>
    <row r="6759">
      <c r="A6759" s="18" t="s">
        <v>181</v>
      </c>
      <c r="B6759" s="157" t="s">
        <v>31623</v>
      </c>
      <c r="C6759" s="158" t="s">
        <v>31637</v>
      </c>
      <c r="D6759" s="159"/>
      <c r="E6759" s="57" t="s">
        <v>31638</v>
      </c>
      <c r="F6759" s="23" t="s">
        <v>3885</v>
      </c>
      <c r="G6759" s="57">
        <v>2016.0</v>
      </c>
      <c r="H6759" s="57" t="s">
        <v>292</v>
      </c>
      <c r="I6759" s="134" t="s">
        <v>31639</v>
      </c>
      <c r="J6759" s="22" t="s">
        <v>31640</v>
      </c>
      <c r="K6759" s="22"/>
      <c r="L6759" s="36" t="s">
        <v>31641</v>
      </c>
      <c r="M6759" s="36" t="s">
        <v>31642</v>
      </c>
      <c r="N6759" s="36" t="s">
        <v>23551</v>
      </c>
      <c r="O6759" s="36"/>
      <c r="P6759" s="244" t="s">
        <v>31643</v>
      </c>
      <c r="Q6759" s="245"/>
      <c r="R6759" s="36">
        <v>900.0</v>
      </c>
      <c r="S6759" s="36" t="s">
        <v>85</v>
      </c>
      <c r="T6759" s="83" t="s">
        <v>31644</v>
      </c>
      <c r="U6759" s="312" t="str">
        <f>HYPERLINK("https://www.ncbi.nlm.nih.gov/pubmed/28765673","PubMed")</f>
        <v>PubMed</v>
      </c>
      <c r="V6759" s="136"/>
      <c r="W6759" s="49"/>
      <c r="X6759" s="49"/>
      <c r="Y6759" s="35"/>
      <c r="Z6759" s="35"/>
      <c r="AA6759" s="35"/>
      <c r="AB6759" s="35"/>
      <c r="AC6759" s="35"/>
      <c r="AD6759" s="35"/>
      <c r="AE6759" s="35"/>
      <c r="AF6759" s="35"/>
      <c r="AG6759" s="35"/>
      <c r="AH6759" s="35"/>
      <c r="AI6759" s="35"/>
      <c r="AJ6759" s="35"/>
      <c r="AK6759" s="35"/>
      <c r="AL6759" s="35"/>
    </row>
    <row r="6760">
      <c r="A6760" s="133"/>
      <c r="B6760" s="157" t="s">
        <v>31623</v>
      </c>
      <c r="C6760" s="158" t="s">
        <v>1610</v>
      </c>
      <c r="D6760" s="159"/>
      <c r="E6760" s="57" t="s">
        <v>3256</v>
      </c>
      <c r="F6760" s="23" t="s">
        <v>299</v>
      </c>
      <c r="G6760" s="57">
        <v>2020.0</v>
      </c>
      <c r="H6760" s="57" t="s">
        <v>2181</v>
      </c>
      <c r="I6760" s="134" t="s">
        <v>31645</v>
      </c>
      <c r="J6760" s="23" t="s">
        <v>31</v>
      </c>
      <c r="K6760" s="23" t="s">
        <v>19025</v>
      </c>
      <c r="L6760" s="36" t="s">
        <v>31646</v>
      </c>
      <c r="M6760" s="36"/>
      <c r="N6760" s="36"/>
      <c r="O6760" s="36"/>
      <c r="P6760" s="244"/>
      <c r="Q6760" s="245"/>
      <c r="R6760" s="36"/>
      <c r="S6760" s="409"/>
      <c r="T6760" s="83" t="s">
        <v>31647</v>
      </c>
      <c r="U6760" s="248" t="s">
        <v>61</v>
      </c>
      <c r="V6760" s="136"/>
      <c r="W6760" s="49"/>
      <c r="X6760" s="49"/>
      <c r="Y6760" s="35"/>
      <c r="Z6760" s="35"/>
      <c r="AA6760" s="35"/>
      <c r="AB6760" s="35"/>
      <c r="AC6760" s="35"/>
      <c r="AD6760" s="35"/>
      <c r="AE6760" s="35"/>
      <c r="AF6760" s="35"/>
      <c r="AG6760" s="35"/>
      <c r="AH6760" s="35"/>
      <c r="AI6760" s="35"/>
      <c r="AJ6760" s="35"/>
      <c r="AK6760" s="35"/>
      <c r="AL6760" s="35"/>
    </row>
    <row r="6761">
      <c r="A6761" s="133"/>
      <c r="B6761" s="157" t="s">
        <v>31623</v>
      </c>
      <c r="C6761" s="158" t="s">
        <v>1610</v>
      </c>
      <c r="D6761" s="159"/>
      <c r="E6761" s="57" t="s">
        <v>3256</v>
      </c>
      <c r="F6761" s="23" t="s">
        <v>299</v>
      </c>
      <c r="G6761" s="57">
        <v>2018.0</v>
      </c>
      <c r="H6761" s="57" t="s">
        <v>2181</v>
      </c>
      <c r="I6761" s="134" t="s">
        <v>31648</v>
      </c>
      <c r="J6761" s="23" t="s">
        <v>31</v>
      </c>
      <c r="K6761" s="23" t="s">
        <v>1684</v>
      </c>
      <c r="L6761" s="36" t="s">
        <v>31649</v>
      </c>
      <c r="M6761" s="36"/>
      <c r="N6761" s="36"/>
      <c r="O6761" s="36"/>
      <c r="P6761" s="244" t="s">
        <v>31650</v>
      </c>
      <c r="Q6761" s="245"/>
      <c r="R6761" s="36"/>
      <c r="S6761" s="409"/>
      <c r="T6761" s="83" t="s">
        <v>31651</v>
      </c>
      <c r="U6761" s="312" t="str">
        <f>HYPERLINK("https://www.ncbi.nlm.nih.gov/pubmed/30076336","PubMed")</f>
        <v>PubMed</v>
      </c>
      <c r="V6761" s="136"/>
      <c r="W6761" s="49"/>
      <c r="X6761" s="49"/>
      <c r="Y6761" s="35"/>
      <c r="Z6761" s="35"/>
      <c r="AA6761" s="35"/>
      <c r="AB6761" s="35"/>
      <c r="AC6761" s="35"/>
      <c r="AD6761" s="35"/>
      <c r="AE6761" s="35"/>
      <c r="AF6761" s="35"/>
      <c r="AG6761" s="35"/>
      <c r="AH6761" s="35"/>
      <c r="AI6761" s="35"/>
      <c r="AJ6761" s="35"/>
      <c r="AK6761" s="35"/>
      <c r="AL6761" s="35"/>
    </row>
    <row r="6762">
      <c r="A6762" s="133"/>
      <c r="B6762" s="157" t="s">
        <v>31623</v>
      </c>
      <c r="C6762" s="158" t="s">
        <v>1610</v>
      </c>
      <c r="D6762" s="159"/>
      <c r="E6762" s="57" t="s">
        <v>3256</v>
      </c>
      <c r="F6762" s="23" t="s">
        <v>299</v>
      </c>
      <c r="G6762" s="57">
        <v>2018.0</v>
      </c>
      <c r="H6762" s="57" t="s">
        <v>91</v>
      </c>
      <c r="I6762" s="134" t="s">
        <v>31652</v>
      </c>
      <c r="J6762" s="23" t="s">
        <v>31</v>
      </c>
      <c r="K6762" s="23" t="s">
        <v>1684</v>
      </c>
      <c r="L6762" s="36" t="s">
        <v>31649</v>
      </c>
      <c r="M6762" s="36"/>
      <c r="N6762" s="36"/>
      <c r="O6762" s="36"/>
      <c r="P6762" s="244" t="s">
        <v>31650</v>
      </c>
      <c r="Q6762" s="245"/>
      <c r="R6762" s="36"/>
      <c r="S6762" s="409"/>
      <c r="T6762" s="83" t="s">
        <v>31653</v>
      </c>
      <c r="U6762" s="312" t="str">
        <f>HYPERLINK("https://www.ncbi.nlm.nih.gov/pubmed/29502159","PubMed")</f>
        <v>PubMed</v>
      </c>
      <c r="V6762" s="136"/>
      <c r="W6762" s="49"/>
      <c r="X6762" s="49"/>
      <c r="Y6762" s="35"/>
      <c r="Z6762" s="35"/>
      <c r="AA6762" s="35"/>
      <c r="AB6762" s="35"/>
      <c r="AC6762" s="35"/>
      <c r="AD6762" s="35"/>
      <c r="AE6762" s="35"/>
      <c r="AF6762" s="35"/>
      <c r="AG6762" s="35"/>
      <c r="AH6762" s="35"/>
      <c r="AI6762" s="35"/>
      <c r="AJ6762" s="35"/>
      <c r="AK6762" s="35"/>
      <c r="AL6762" s="35"/>
    </row>
    <row r="6763">
      <c r="A6763" s="133"/>
      <c r="B6763" s="157" t="s">
        <v>31623</v>
      </c>
      <c r="C6763" s="158" t="s">
        <v>1610</v>
      </c>
      <c r="D6763" s="159"/>
      <c r="E6763" s="57" t="s">
        <v>3256</v>
      </c>
      <c r="F6763" s="23" t="s">
        <v>299</v>
      </c>
      <c r="G6763" s="57">
        <v>2016.0</v>
      </c>
      <c r="H6763" s="57" t="s">
        <v>91</v>
      </c>
      <c r="I6763" s="134" t="s">
        <v>31654</v>
      </c>
      <c r="J6763" s="23" t="s">
        <v>31</v>
      </c>
      <c r="K6763" s="23" t="s">
        <v>1684</v>
      </c>
      <c r="L6763" s="36" t="s">
        <v>31655</v>
      </c>
      <c r="M6763" s="36"/>
      <c r="N6763" s="36"/>
      <c r="O6763" s="36"/>
      <c r="P6763" s="244" t="s">
        <v>31656</v>
      </c>
      <c r="Q6763" s="245"/>
      <c r="R6763" s="36"/>
      <c r="S6763" s="409"/>
      <c r="T6763" s="83" t="s">
        <v>31657</v>
      </c>
      <c r="U6763" s="312" t="str">
        <f>HYPERLINK("https://www.ncbi.nlm.nih.gov/pubmed/26987527","PubMed")</f>
        <v>PubMed</v>
      </c>
      <c r="V6763" s="136"/>
      <c r="W6763" s="49"/>
      <c r="X6763" s="49"/>
      <c r="Y6763" s="35"/>
      <c r="Z6763" s="35"/>
      <c r="AA6763" s="35"/>
      <c r="AB6763" s="35"/>
      <c r="AC6763" s="35"/>
      <c r="AD6763" s="35"/>
      <c r="AE6763" s="35"/>
      <c r="AF6763" s="35"/>
      <c r="AG6763" s="35"/>
      <c r="AH6763" s="35"/>
      <c r="AI6763" s="35"/>
      <c r="AJ6763" s="35"/>
      <c r="AK6763" s="35"/>
      <c r="AL6763" s="35"/>
    </row>
    <row r="6764">
      <c r="A6764" s="133"/>
      <c r="B6764" s="157" t="s">
        <v>31623</v>
      </c>
      <c r="C6764" s="158" t="s">
        <v>1610</v>
      </c>
      <c r="D6764" s="159"/>
      <c r="E6764" s="57" t="s">
        <v>3256</v>
      </c>
      <c r="F6764" s="23" t="s">
        <v>299</v>
      </c>
      <c r="G6764" s="57">
        <v>2015.0</v>
      </c>
      <c r="H6764" s="57" t="s">
        <v>4975</v>
      </c>
      <c r="I6764" s="134" t="s">
        <v>31658</v>
      </c>
      <c r="J6764" s="23" t="s">
        <v>31</v>
      </c>
      <c r="K6764" s="23" t="s">
        <v>294</v>
      </c>
      <c r="L6764" s="36" t="s">
        <v>31659</v>
      </c>
      <c r="M6764" s="36"/>
      <c r="N6764" s="36"/>
      <c r="O6764" s="36"/>
      <c r="P6764" s="244"/>
      <c r="Q6764" s="245"/>
      <c r="R6764" s="36"/>
      <c r="S6764" s="409"/>
      <c r="T6764" s="84" t="s">
        <v>31660</v>
      </c>
      <c r="U6764" s="312" t="str">
        <f>HYPERLINK("https://www.ncbi.nlm.nih.gov/pubmed/25557915","PubMed")</f>
        <v>PubMed</v>
      </c>
      <c r="V6764" s="136"/>
      <c r="W6764" s="49"/>
      <c r="X6764" s="49"/>
      <c r="Y6764" s="35"/>
      <c r="Z6764" s="35"/>
      <c r="AA6764" s="35"/>
      <c r="AB6764" s="35"/>
      <c r="AC6764" s="35"/>
      <c r="AD6764" s="35"/>
      <c r="AE6764" s="35"/>
      <c r="AF6764" s="35"/>
      <c r="AG6764" s="35"/>
      <c r="AH6764" s="35"/>
      <c r="AI6764" s="35"/>
      <c r="AJ6764" s="35"/>
      <c r="AK6764" s="35"/>
      <c r="AL6764" s="35"/>
    </row>
    <row r="6765">
      <c r="A6765" s="18"/>
      <c r="B6765" s="157" t="s">
        <v>31623</v>
      </c>
      <c r="C6765" s="158" t="s">
        <v>31661</v>
      </c>
      <c r="D6765" s="159"/>
      <c r="E6765" s="57" t="s">
        <v>31662</v>
      </c>
      <c r="F6765" s="23" t="s">
        <v>2346</v>
      </c>
      <c r="G6765" s="57">
        <v>2022.0</v>
      </c>
      <c r="H6765" s="57" t="s">
        <v>91</v>
      </c>
      <c r="I6765" s="134" t="s">
        <v>31663</v>
      </c>
      <c r="J6765" s="23" t="s">
        <v>31664</v>
      </c>
      <c r="K6765" s="22"/>
      <c r="L6765" s="36">
        <v>1560.0</v>
      </c>
      <c r="M6765" s="36">
        <v>1200.0</v>
      </c>
      <c r="N6765" s="36"/>
      <c r="O6765" s="36"/>
      <c r="P6765" s="244"/>
      <c r="Q6765" s="245" t="s">
        <v>31665</v>
      </c>
      <c r="R6765" s="36"/>
      <c r="S6765" s="409"/>
      <c r="T6765" s="83" t="s">
        <v>31666</v>
      </c>
      <c r="U6765" s="248" t="s">
        <v>61</v>
      </c>
      <c r="V6765" s="136"/>
      <c r="W6765" s="49"/>
      <c r="X6765" s="49"/>
      <c r="Y6765" s="35"/>
      <c r="Z6765" s="35"/>
      <c r="AA6765" s="35"/>
      <c r="AB6765" s="35"/>
      <c r="AC6765" s="35"/>
      <c r="AD6765" s="35"/>
      <c r="AE6765" s="35"/>
      <c r="AF6765" s="35"/>
      <c r="AG6765" s="35"/>
      <c r="AH6765" s="35"/>
      <c r="AI6765" s="35"/>
      <c r="AJ6765" s="35"/>
      <c r="AK6765" s="35"/>
      <c r="AL6765" s="35"/>
    </row>
    <row r="6766">
      <c r="A6766" s="18"/>
      <c r="B6766" s="157" t="s">
        <v>31623</v>
      </c>
      <c r="C6766" s="158" t="s">
        <v>31661</v>
      </c>
      <c r="D6766" s="159"/>
      <c r="E6766" s="57" t="s">
        <v>27855</v>
      </c>
      <c r="F6766" s="23" t="s">
        <v>10072</v>
      </c>
      <c r="G6766" s="57">
        <v>2018.0</v>
      </c>
      <c r="H6766" s="57" t="s">
        <v>31667</v>
      </c>
      <c r="I6766" s="134" t="s">
        <v>31668</v>
      </c>
      <c r="J6766" s="23" t="s">
        <v>29308</v>
      </c>
      <c r="K6766" s="22"/>
      <c r="L6766" s="36" t="s">
        <v>31669</v>
      </c>
      <c r="M6766" s="36"/>
      <c r="N6766" s="36"/>
      <c r="O6766" s="36"/>
      <c r="P6766" s="244"/>
      <c r="Q6766" s="245"/>
      <c r="R6766" s="36"/>
      <c r="S6766" s="409"/>
      <c r="T6766" s="82" t="s">
        <v>31670</v>
      </c>
      <c r="U6766" s="312" t="str">
        <f>HYPERLINK("https://www.ncbi.nlm.nih.gov/pubmed/30174418","PubMed")</f>
        <v>PubMed</v>
      </c>
      <c r="V6766" s="136"/>
      <c r="W6766" s="49"/>
      <c r="X6766" s="49"/>
      <c r="Y6766" s="35"/>
      <c r="Z6766" s="35"/>
      <c r="AA6766" s="35"/>
      <c r="AB6766" s="35"/>
      <c r="AC6766" s="35"/>
      <c r="AD6766" s="35"/>
      <c r="AE6766" s="35"/>
      <c r="AF6766" s="35"/>
      <c r="AG6766" s="35"/>
      <c r="AH6766" s="35"/>
      <c r="AI6766" s="35"/>
      <c r="AJ6766" s="35"/>
      <c r="AK6766" s="35"/>
      <c r="AL6766" s="35"/>
    </row>
    <row r="6767">
      <c r="A6767" s="18"/>
      <c r="B6767" s="157" t="s">
        <v>31623</v>
      </c>
      <c r="C6767" s="158" t="s">
        <v>31671</v>
      </c>
      <c r="D6767" s="159"/>
      <c r="E6767" s="57" t="s">
        <v>2195</v>
      </c>
      <c r="F6767" s="23" t="s">
        <v>65</v>
      </c>
      <c r="G6767" s="57">
        <v>2018.0</v>
      </c>
      <c r="H6767" s="57" t="s">
        <v>4718</v>
      </c>
      <c r="I6767" s="134" t="s">
        <v>31672</v>
      </c>
      <c r="J6767" s="22" t="s">
        <v>31673</v>
      </c>
      <c r="K6767" s="22"/>
      <c r="L6767" s="36">
        <v>1064.0</v>
      </c>
      <c r="M6767" s="36"/>
      <c r="N6767" s="36"/>
      <c r="O6767" s="36" t="s">
        <v>31674</v>
      </c>
      <c r="P6767" s="244" t="s">
        <v>15031</v>
      </c>
      <c r="Q6767" s="245" t="s">
        <v>501</v>
      </c>
      <c r="R6767" s="36"/>
      <c r="S6767" s="245" t="s">
        <v>1514</v>
      </c>
      <c r="T6767" s="83" t="s">
        <v>31675</v>
      </c>
      <c r="U6767" s="312" t="str">
        <f>HYPERLINK("https://www.ncbi.nlm.nih.gov/pubmed/28854500","PubMed")</f>
        <v>PubMed</v>
      </c>
      <c r="V6767" s="136" t="s">
        <v>31676</v>
      </c>
      <c r="W6767" s="49"/>
      <c r="X6767" s="49"/>
      <c r="Y6767" s="35"/>
      <c r="Z6767" s="35"/>
      <c r="AA6767" s="35"/>
      <c r="AB6767" s="35"/>
      <c r="AC6767" s="35"/>
      <c r="AD6767" s="35"/>
      <c r="AE6767" s="35"/>
      <c r="AF6767" s="35"/>
      <c r="AG6767" s="35"/>
      <c r="AH6767" s="35"/>
      <c r="AI6767" s="35"/>
      <c r="AJ6767" s="35"/>
      <c r="AK6767" s="35"/>
      <c r="AL6767" s="35"/>
    </row>
    <row r="6768">
      <c r="A6768" s="18"/>
      <c r="B6768" s="157" t="s">
        <v>31623</v>
      </c>
      <c r="C6768" s="158" t="s">
        <v>31677</v>
      </c>
      <c r="D6768" s="159"/>
      <c r="E6768" s="57" t="s">
        <v>3919</v>
      </c>
      <c r="F6768" s="23" t="s">
        <v>7751</v>
      </c>
      <c r="G6768" s="57">
        <v>2022.0</v>
      </c>
      <c r="H6768" s="57" t="s">
        <v>147</v>
      </c>
      <c r="I6768" s="134" t="s">
        <v>31678</v>
      </c>
      <c r="J6768" s="23" t="s">
        <v>22213</v>
      </c>
      <c r="K6768" s="22"/>
      <c r="L6768" s="168"/>
      <c r="M6768" s="168"/>
      <c r="N6768" s="168"/>
      <c r="O6768" s="168"/>
      <c r="P6768" s="410"/>
      <c r="Q6768" s="411"/>
      <c r="R6768" s="168"/>
      <c r="S6768" s="411"/>
      <c r="T6768" s="314" t="s">
        <v>31679</v>
      </c>
      <c r="U6768" s="255" t="s">
        <v>61</v>
      </c>
      <c r="V6768" s="136"/>
      <c r="W6768" s="49"/>
      <c r="X6768" s="49"/>
      <c r="Y6768" s="35"/>
      <c r="Z6768" s="35"/>
      <c r="AA6768" s="35"/>
      <c r="AB6768" s="35"/>
      <c r="AC6768" s="35"/>
      <c r="AD6768" s="35"/>
      <c r="AE6768" s="35"/>
      <c r="AF6768" s="35"/>
      <c r="AG6768" s="35"/>
      <c r="AH6768" s="35"/>
      <c r="AI6768" s="35"/>
      <c r="AJ6768" s="35"/>
      <c r="AK6768" s="35"/>
      <c r="AL6768" s="35"/>
    </row>
    <row r="6769">
      <c r="A6769" s="18"/>
      <c r="B6769" s="157" t="s">
        <v>31623</v>
      </c>
      <c r="C6769" s="158" t="s">
        <v>31677</v>
      </c>
      <c r="D6769" s="159"/>
      <c r="E6769" s="57" t="s">
        <v>3919</v>
      </c>
      <c r="F6769" s="23" t="s">
        <v>7751</v>
      </c>
      <c r="G6769" s="57">
        <v>2022.0</v>
      </c>
      <c r="H6769" s="57" t="s">
        <v>31680</v>
      </c>
      <c r="I6769" s="134" t="s">
        <v>31681</v>
      </c>
      <c r="J6769" s="23" t="s">
        <v>31682</v>
      </c>
      <c r="K6769" s="22"/>
      <c r="L6769" s="36">
        <v>830.0</v>
      </c>
      <c r="M6769" s="36"/>
      <c r="N6769" s="36" t="s">
        <v>31683</v>
      </c>
      <c r="O6769" s="36" t="s">
        <v>31684</v>
      </c>
      <c r="P6769" s="244" t="s">
        <v>969</v>
      </c>
      <c r="Q6769" s="245"/>
      <c r="R6769" s="36" t="s">
        <v>304</v>
      </c>
      <c r="S6769" s="245">
        <v>18.0</v>
      </c>
      <c r="T6769" s="83" t="s">
        <v>31685</v>
      </c>
      <c r="U6769" s="248" t="s">
        <v>61</v>
      </c>
      <c r="V6769" s="136"/>
      <c r="W6769" s="49"/>
      <c r="X6769" s="49"/>
      <c r="Y6769" s="35"/>
      <c r="Z6769" s="35"/>
      <c r="AA6769" s="35"/>
      <c r="AB6769" s="35"/>
      <c r="AC6769" s="35"/>
      <c r="AD6769" s="35"/>
      <c r="AE6769" s="35"/>
      <c r="AF6769" s="35"/>
      <c r="AG6769" s="35"/>
      <c r="AH6769" s="35"/>
      <c r="AI6769" s="35"/>
      <c r="AJ6769" s="35"/>
      <c r="AK6769" s="35"/>
      <c r="AL6769" s="35"/>
    </row>
    <row r="6770">
      <c r="A6770" s="18"/>
      <c r="B6770" s="157" t="s">
        <v>31623</v>
      </c>
      <c r="C6770" s="158" t="s">
        <v>31686</v>
      </c>
      <c r="D6770" s="159"/>
      <c r="E6770" s="57" t="s">
        <v>31687</v>
      </c>
      <c r="F6770" s="23" t="s">
        <v>31688</v>
      </c>
      <c r="G6770" s="57">
        <v>1992.0</v>
      </c>
      <c r="H6770" s="57" t="s">
        <v>292</v>
      </c>
      <c r="I6770" s="134" t="s">
        <v>31689</v>
      </c>
      <c r="J6770" s="23" t="s">
        <v>29165</v>
      </c>
      <c r="K6770" s="22"/>
      <c r="L6770" s="36"/>
      <c r="M6770" s="36"/>
      <c r="N6770" s="36"/>
      <c r="O6770" s="36"/>
      <c r="P6770" s="244"/>
      <c r="Q6770" s="245"/>
      <c r="R6770" s="36"/>
      <c r="S6770" s="409"/>
      <c r="T6770" s="83" t="s">
        <v>31690</v>
      </c>
      <c r="U6770" s="312" t="str">
        <f>HYPERLINK("https://www.jstage.jst.go.jp/article/islsm/4/4/4_92-OR-17/_article/-char/en","J-STAGE")</f>
        <v>J-STAGE</v>
      </c>
      <c r="V6770" s="136"/>
      <c r="W6770" s="49"/>
      <c r="X6770" s="49"/>
      <c r="Y6770" s="35"/>
      <c r="Z6770" s="35"/>
      <c r="AA6770" s="35"/>
      <c r="AB6770" s="35"/>
      <c r="AC6770" s="35"/>
      <c r="AD6770" s="35"/>
      <c r="AE6770" s="35"/>
      <c r="AF6770" s="35"/>
      <c r="AG6770" s="35"/>
      <c r="AH6770" s="35"/>
      <c r="AI6770" s="35"/>
      <c r="AJ6770" s="35"/>
      <c r="AK6770" s="35"/>
      <c r="AL6770" s="35"/>
    </row>
    <row r="6771">
      <c r="A6771" s="18"/>
      <c r="B6771" s="157" t="s">
        <v>31623</v>
      </c>
      <c r="C6771" s="158" t="s">
        <v>31691</v>
      </c>
      <c r="D6771" s="159"/>
      <c r="E6771" s="57" t="s">
        <v>20581</v>
      </c>
      <c r="F6771" s="23" t="s">
        <v>605</v>
      </c>
      <c r="G6771" s="57">
        <v>2020.0</v>
      </c>
      <c r="H6771" s="57" t="s">
        <v>14630</v>
      </c>
      <c r="I6771" s="134" t="s">
        <v>31692</v>
      </c>
      <c r="J6771" s="22" t="s">
        <v>13192</v>
      </c>
      <c r="K6771" s="22"/>
      <c r="L6771" s="36">
        <v>1064.0</v>
      </c>
      <c r="M6771" s="36"/>
      <c r="N6771" s="36"/>
      <c r="O6771" s="36">
        <v>1850.0</v>
      </c>
      <c r="P6771" s="244"/>
      <c r="Q6771" s="245"/>
      <c r="R6771" s="36"/>
      <c r="S6771" s="245" t="s">
        <v>85</v>
      </c>
      <c r="T6771" s="83" t="s">
        <v>31693</v>
      </c>
      <c r="U6771" s="248" t="s">
        <v>61</v>
      </c>
      <c r="V6771" s="136"/>
      <c r="W6771" s="49"/>
      <c r="X6771" s="49"/>
      <c r="Y6771" s="35"/>
      <c r="Z6771" s="35"/>
      <c r="AA6771" s="35"/>
      <c r="AB6771" s="35"/>
      <c r="AC6771" s="35"/>
      <c r="AD6771" s="35"/>
      <c r="AE6771" s="35"/>
      <c r="AF6771" s="35"/>
      <c r="AG6771" s="35"/>
      <c r="AH6771" s="35"/>
      <c r="AI6771" s="35"/>
      <c r="AJ6771" s="35"/>
      <c r="AK6771" s="35"/>
      <c r="AL6771" s="35"/>
    </row>
    <row r="6772">
      <c r="A6772" s="18"/>
      <c r="B6772" s="157" t="s">
        <v>31623</v>
      </c>
      <c r="C6772" s="158" t="s">
        <v>31691</v>
      </c>
      <c r="D6772" s="159"/>
      <c r="E6772" s="57" t="s">
        <v>7705</v>
      </c>
      <c r="F6772" s="23" t="s">
        <v>510</v>
      </c>
      <c r="G6772" s="57">
        <v>2016.0</v>
      </c>
      <c r="H6772" s="57" t="s">
        <v>91</v>
      </c>
      <c r="I6772" s="134" t="s">
        <v>31694</v>
      </c>
      <c r="J6772" s="23" t="s">
        <v>31695</v>
      </c>
      <c r="K6772" s="22" t="s">
        <v>31696</v>
      </c>
      <c r="L6772" s="36" t="s">
        <v>31697</v>
      </c>
      <c r="M6772" s="36" t="s">
        <v>31698</v>
      </c>
      <c r="N6772" s="36" t="s">
        <v>31699</v>
      </c>
      <c r="O6772" s="36" t="s">
        <v>31700</v>
      </c>
      <c r="P6772" s="244" t="s">
        <v>31701</v>
      </c>
      <c r="Q6772" s="245" t="s">
        <v>31702</v>
      </c>
      <c r="R6772" s="36" t="s">
        <v>31703</v>
      </c>
      <c r="S6772" s="409" t="s">
        <v>31704</v>
      </c>
      <c r="T6772" s="84" t="s">
        <v>31705</v>
      </c>
      <c r="U6772" s="312" t="str">
        <f>HYPERLINK("https://www.ncbi.nlm.nih.gov/pubmed/27379776","PubMed")</f>
        <v>PubMed</v>
      </c>
      <c r="V6772" s="136"/>
      <c r="W6772" s="49"/>
      <c r="X6772" s="49"/>
      <c r="Y6772" s="35"/>
      <c r="Z6772" s="35"/>
      <c r="AA6772" s="35"/>
      <c r="AB6772" s="35"/>
      <c r="AC6772" s="35"/>
      <c r="AD6772" s="35"/>
      <c r="AE6772" s="35"/>
      <c r="AF6772" s="35"/>
      <c r="AG6772" s="35"/>
      <c r="AH6772" s="35"/>
      <c r="AI6772" s="35"/>
      <c r="AJ6772" s="35"/>
      <c r="AK6772" s="35"/>
      <c r="AL6772" s="35"/>
    </row>
    <row r="6773">
      <c r="A6773" s="18"/>
      <c r="B6773" s="157" t="s">
        <v>31623</v>
      </c>
      <c r="C6773" s="158" t="s">
        <v>31706</v>
      </c>
      <c r="D6773" s="159"/>
      <c r="E6773" s="57" t="s">
        <v>31707</v>
      </c>
      <c r="F6773" s="23" t="s">
        <v>31708</v>
      </c>
      <c r="G6773" s="57">
        <v>2020.0</v>
      </c>
      <c r="H6773" s="57" t="s">
        <v>5890</v>
      </c>
      <c r="I6773" s="134" t="s">
        <v>31709</v>
      </c>
      <c r="J6773" s="23" t="s">
        <v>2049</v>
      </c>
      <c r="K6773" s="22"/>
      <c r="L6773" s="36" t="s">
        <v>4503</v>
      </c>
      <c r="M6773" s="36"/>
      <c r="N6773" s="36"/>
      <c r="O6773" s="36"/>
      <c r="P6773" s="244"/>
      <c r="Q6773" s="245"/>
      <c r="R6773" s="36"/>
      <c r="S6773" s="409"/>
      <c r="T6773" s="84" t="s">
        <v>31710</v>
      </c>
      <c r="U6773" s="312" t="str">
        <f>HYPERLINK("https://www.ncbi.nlm.nih.gov/pubmed/32334585","PubMed")</f>
        <v>PubMed</v>
      </c>
      <c r="V6773" s="136"/>
      <c r="W6773" s="49"/>
      <c r="X6773" s="49"/>
      <c r="Y6773" s="35"/>
      <c r="Z6773" s="35"/>
      <c r="AA6773" s="35"/>
      <c r="AB6773" s="35"/>
      <c r="AC6773" s="35"/>
      <c r="AD6773" s="35"/>
      <c r="AE6773" s="35"/>
      <c r="AF6773" s="35"/>
      <c r="AG6773" s="35"/>
      <c r="AH6773" s="35"/>
      <c r="AI6773" s="35"/>
      <c r="AJ6773" s="35"/>
      <c r="AK6773" s="35"/>
      <c r="AL6773" s="35"/>
    </row>
    <row r="6774">
      <c r="A6774" s="18"/>
      <c r="B6774" s="157" t="s">
        <v>31711</v>
      </c>
      <c r="C6774" s="158" t="s">
        <v>31712</v>
      </c>
      <c r="D6774" s="159"/>
      <c r="E6774" s="57" t="s">
        <v>5065</v>
      </c>
      <c r="F6774" s="23" t="s">
        <v>14858</v>
      </c>
      <c r="G6774" s="57">
        <v>2022.0</v>
      </c>
      <c r="H6774" s="57" t="s">
        <v>348</v>
      </c>
      <c r="I6774" s="134" t="s">
        <v>31713</v>
      </c>
      <c r="J6774" s="23" t="s">
        <v>31712</v>
      </c>
      <c r="K6774" s="22"/>
      <c r="L6774" s="36">
        <v>810.0</v>
      </c>
      <c r="M6774" s="36">
        <v>1000.0</v>
      </c>
      <c r="N6774" s="36">
        <v>1.0</v>
      </c>
      <c r="O6774" s="36">
        <v>60.0</v>
      </c>
      <c r="P6774" s="244" t="s">
        <v>1028</v>
      </c>
      <c r="Q6774" s="245" t="s">
        <v>675</v>
      </c>
      <c r="R6774" s="36">
        <v>60.0</v>
      </c>
      <c r="S6774" s="245" t="s">
        <v>3125</v>
      </c>
      <c r="T6774" s="83" t="s">
        <v>31714</v>
      </c>
      <c r="U6774" s="255" t="s">
        <v>61</v>
      </c>
      <c r="V6774" s="136"/>
      <c r="W6774" s="49"/>
      <c r="X6774" s="49"/>
      <c r="Y6774" s="35"/>
      <c r="Z6774" s="35"/>
      <c r="AA6774" s="35"/>
      <c r="AB6774" s="35"/>
      <c r="AC6774" s="35"/>
      <c r="AD6774" s="35"/>
      <c r="AE6774" s="35"/>
      <c r="AF6774" s="35"/>
      <c r="AG6774" s="35"/>
      <c r="AH6774" s="35"/>
      <c r="AI6774" s="35"/>
      <c r="AJ6774" s="35"/>
      <c r="AK6774" s="35"/>
      <c r="AL6774" s="35"/>
    </row>
    <row r="6775">
      <c r="A6775" s="133"/>
      <c r="B6775" s="157" t="s">
        <v>31715</v>
      </c>
      <c r="C6775" s="158"/>
      <c r="D6775" s="159"/>
      <c r="E6775" s="57" t="s">
        <v>31716</v>
      </c>
      <c r="F6775" s="23" t="s">
        <v>18524</v>
      </c>
      <c r="G6775" s="57" t="s">
        <v>90</v>
      </c>
      <c r="H6775" s="57" t="s">
        <v>658</v>
      </c>
      <c r="I6775" s="134" t="s">
        <v>31717</v>
      </c>
      <c r="J6775" s="23" t="s">
        <v>31</v>
      </c>
      <c r="K6775" s="23"/>
      <c r="L6775" s="36">
        <v>1064.0</v>
      </c>
      <c r="M6775" s="36"/>
      <c r="N6775" s="107"/>
      <c r="O6775" s="107"/>
      <c r="P6775" s="244" t="s">
        <v>31718</v>
      </c>
      <c r="Q6775" s="245"/>
      <c r="R6775" s="107"/>
      <c r="S6775" s="106"/>
      <c r="T6775" s="84" t="s">
        <v>31719</v>
      </c>
      <c r="U6775" s="312" t="str">
        <f>HYPERLINK("https://www.ncbi.nlm.nih.gov/pubmed/29131717","PubMed")</f>
        <v>PubMed</v>
      </c>
      <c r="V6775" s="136"/>
      <c r="W6775" s="49"/>
      <c r="X6775" s="49"/>
      <c r="Y6775" s="35"/>
      <c r="Z6775" s="35"/>
      <c r="AA6775" s="35"/>
      <c r="AB6775" s="35"/>
      <c r="AC6775" s="35"/>
      <c r="AD6775" s="35"/>
      <c r="AE6775" s="35"/>
      <c r="AF6775" s="35"/>
      <c r="AG6775" s="35"/>
      <c r="AH6775" s="35"/>
      <c r="AI6775" s="35"/>
      <c r="AJ6775" s="35"/>
      <c r="AK6775" s="35"/>
      <c r="AL6775" s="35"/>
    </row>
    <row r="6776">
      <c r="A6776" s="40" t="s">
        <v>2</v>
      </c>
      <c r="B6776" s="157" t="s">
        <v>31715</v>
      </c>
      <c r="C6776" s="158"/>
      <c r="D6776" s="159"/>
      <c r="E6776" s="57" t="s">
        <v>6264</v>
      </c>
      <c r="F6776" s="23" t="s">
        <v>224</v>
      </c>
      <c r="G6776" s="57">
        <v>2017.0</v>
      </c>
      <c r="H6776" s="57" t="s">
        <v>31720</v>
      </c>
      <c r="I6776" s="134" t="s">
        <v>31721</v>
      </c>
      <c r="J6776" s="23" t="s">
        <v>31</v>
      </c>
      <c r="K6776" s="23" t="s">
        <v>31722</v>
      </c>
      <c r="L6776" s="36">
        <v>660.0</v>
      </c>
      <c r="M6776" s="36"/>
      <c r="N6776" s="107"/>
      <c r="O6776" s="36"/>
      <c r="P6776" s="244" t="s">
        <v>12360</v>
      </c>
      <c r="Q6776" s="245"/>
      <c r="R6776" s="36"/>
      <c r="S6776" s="106"/>
      <c r="T6776" s="83" t="s">
        <v>31723</v>
      </c>
      <c r="U6776" s="312" t="str">
        <f>HYPERLINK("https://www.ncbi.nlm.nih.gov/pubmed/28178868","PubMed")</f>
        <v>PubMed</v>
      </c>
      <c r="V6776" s="136"/>
      <c r="W6776" s="49"/>
      <c r="X6776" s="49"/>
      <c r="Y6776" s="35"/>
      <c r="Z6776" s="35"/>
      <c r="AA6776" s="35"/>
      <c r="AB6776" s="35"/>
      <c r="AC6776" s="35"/>
      <c r="AD6776" s="35"/>
      <c r="AE6776" s="35"/>
      <c r="AF6776" s="35"/>
      <c r="AG6776" s="35"/>
      <c r="AH6776" s="35"/>
      <c r="AI6776" s="35"/>
      <c r="AJ6776" s="35"/>
      <c r="AK6776" s="35"/>
      <c r="AL6776" s="35"/>
    </row>
    <row r="6777">
      <c r="A6777" s="40"/>
      <c r="B6777" s="157" t="s">
        <v>31715</v>
      </c>
      <c r="C6777" s="158" t="s">
        <v>31724</v>
      </c>
      <c r="D6777" s="159"/>
      <c r="E6777" s="57" t="s">
        <v>29467</v>
      </c>
      <c r="F6777" s="23" t="s">
        <v>2702</v>
      </c>
      <c r="G6777" s="57">
        <v>2025.0</v>
      </c>
      <c r="H6777" s="57" t="s">
        <v>2225</v>
      </c>
      <c r="I6777" s="134" t="s">
        <v>31725</v>
      </c>
      <c r="J6777" s="23" t="s">
        <v>31</v>
      </c>
      <c r="K6777" s="23"/>
      <c r="L6777" s="36" t="s">
        <v>31726</v>
      </c>
      <c r="M6777" s="36"/>
      <c r="N6777" s="107"/>
      <c r="O6777" s="36"/>
      <c r="P6777" s="244"/>
      <c r="Q6777" s="245"/>
      <c r="R6777" s="36"/>
      <c r="S6777" s="106"/>
      <c r="T6777" s="83" t="s">
        <v>31727</v>
      </c>
      <c r="U6777" s="255" t="s">
        <v>61</v>
      </c>
      <c r="V6777" s="136"/>
      <c r="W6777" s="49"/>
      <c r="X6777" s="49"/>
      <c r="Y6777" s="35"/>
      <c r="Z6777" s="35"/>
      <c r="AA6777" s="35"/>
      <c r="AB6777" s="35"/>
      <c r="AC6777" s="35"/>
      <c r="AD6777" s="35"/>
      <c r="AE6777" s="35"/>
      <c r="AF6777" s="35"/>
      <c r="AG6777" s="35"/>
      <c r="AH6777" s="35"/>
      <c r="AI6777" s="35"/>
      <c r="AJ6777" s="35"/>
      <c r="AK6777" s="35"/>
      <c r="AL6777" s="35"/>
    </row>
    <row r="6778">
      <c r="A6778" s="40"/>
      <c r="B6778" s="157" t="s">
        <v>31715</v>
      </c>
      <c r="C6778" s="158" t="s">
        <v>31724</v>
      </c>
      <c r="D6778" s="159"/>
      <c r="E6778" s="57" t="s">
        <v>23467</v>
      </c>
      <c r="F6778" s="23" t="s">
        <v>323</v>
      </c>
      <c r="G6778" s="57">
        <v>2024.0</v>
      </c>
      <c r="H6778" s="57" t="s">
        <v>4975</v>
      </c>
      <c r="I6778" s="134" t="s">
        <v>31728</v>
      </c>
      <c r="J6778" s="23" t="s">
        <v>31</v>
      </c>
      <c r="K6778" s="23"/>
      <c r="L6778" s="36">
        <v>635.0</v>
      </c>
      <c r="M6778" s="36" t="s">
        <v>31729</v>
      </c>
      <c r="N6778" s="107"/>
      <c r="O6778" s="36"/>
      <c r="P6778" s="244" t="s">
        <v>7492</v>
      </c>
      <c r="Q6778" s="245"/>
      <c r="R6778" s="36"/>
      <c r="S6778" s="106"/>
      <c r="T6778" s="84" t="s">
        <v>31730</v>
      </c>
      <c r="U6778" s="255" t="s">
        <v>61</v>
      </c>
      <c r="V6778" s="136"/>
      <c r="W6778" s="49"/>
      <c r="X6778" s="49"/>
      <c r="Y6778" s="35"/>
      <c r="Z6778" s="35"/>
      <c r="AA6778" s="35"/>
      <c r="AB6778" s="35"/>
      <c r="AC6778" s="35"/>
      <c r="AD6778" s="35"/>
      <c r="AE6778" s="35"/>
      <c r="AF6778" s="35"/>
      <c r="AG6778" s="35"/>
      <c r="AH6778" s="35"/>
      <c r="AI6778" s="35"/>
      <c r="AJ6778" s="35"/>
      <c r="AK6778" s="35"/>
      <c r="AL6778" s="35"/>
    </row>
    <row r="6779">
      <c r="A6779" s="40"/>
      <c r="B6779" s="157" t="s">
        <v>31715</v>
      </c>
      <c r="C6779" s="158" t="s">
        <v>31724</v>
      </c>
      <c r="D6779" s="159"/>
      <c r="E6779" s="57" t="s">
        <v>17313</v>
      </c>
      <c r="F6779" s="23" t="s">
        <v>41</v>
      </c>
      <c r="G6779" s="57">
        <v>2024.0</v>
      </c>
      <c r="H6779" s="57" t="s">
        <v>4975</v>
      </c>
      <c r="I6779" s="134" t="s">
        <v>31731</v>
      </c>
      <c r="J6779" s="23" t="s">
        <v>31</v>
      </c>
      <c r="K6779" s="23" t="s">
        <v>157</v>
      </c>
      <c r="L6779" s="36">
        <v>630.0</v>
      </c>
      <c r="M6779" s="36"/>
      <c r="N6779" s="36" t="s">
        <v>5658</v>
      </c>
      <c r="O6779" s="36"/>
      <c r="P6779" s="244"/>
      <c r="Q6779" s="245"/>
      <c r="R6779" s="36"/>
      <c r="S6779" s="106"/>
      <c r="T6779" s="84" t="s">
        <v>31732</v>
      </c>
      <c r="U6779" s="255" t="s">
        <v>61</v>
      </c>
      <c r="V6779" s="136"/>
      <c r="W6779" s="49"/>
      <c r="X6779" s="49"/>
      <c r="Y6779" s="35"/>
      <c r="Z6779" s="35"/>
      <c r="AA6779" s="35"/>
      <c r="AB6779" s="35"/>
      <c r="AC6779" s="35"/>
      <c r="AD6779" s="35"/>
      <c r="AE6779" s="35"/>
      <c r="AF6779" s="35"/>
      <c r="AG6779" s="35"/>
      <c r="AH6779" s="35"/>
      <c r="AI6779" s="35"/>
      <c r="AJ6779" s="35"/>
      <c r="AK6779" s="35"/>
      <c r="AL6779" s="35"/>
    </row>
    <row r="6780">
      <c r="A6780" s="40"/>
      <c r="B6780" s="157" t="s">
        <v>31715</v>
      </c>
      <c r="C6780" s="158" t="s">
        <v>31724</v>
      </c>
      <c r="D6780" s="159"/>
      <c r="E6780" s="57" t="s">
        <v>31733</v>
      </c>
      <c r="F6780" s="23" t="s">
        <v>1386</v>
      </c>
      <c r="G6780" s="57">
        <v>2024.0</v>
      </c>
      <c r="H6780" s="57" t="s">
        <v>3211</v>
      </c>
      <c r="I6780" s="134" t="s">
        <v>31734</v>
      </c>
      <c r="J6780" s="23" t="s">
        <v>31</v>
      </c>
      <c r="K6780" s="23" t="s">
        <v>6802</v>
      </c>
      <c r="L6780" s="36" t="s">
        <v>31735</v>
      </c>
      <c r="M6780" s="36"/>
      <c r="N6780" s="107"/>
      <c r="O6780" s="36"/>
      <c r="P6780" s="244"/>
      <c r="Q6780" s="245"/>
      <c r="R6780" s="36"/>
      <c r="S6780" s="106"/>
      <c r="T6780" s="83" t="s">
        <v>31736</v>
      </c>
      <c r="U6780" s="255" t="s">
        <v>61</v>
      </c>
      <c r="V6780" s="136"/>
      <c r="W6780" s="49"/>
      <c r="X6780" s="49"/>
      <c r="Y6780" s="35"/>
      <c r="Z6780" s="35"/>
      <c r="AA6780" s="35"/>
      <c r="AB6780" s="35"/>
      <c r="AC6780" s="35"/>
      <c r="AD6780" s="35"/>
      <c r="AE6780" s="35"/>
      <c r="AF6780" s="35"/>
      <c r="AG6780" s="35"/>
      <c r="AH6780" s="35"/>
      <c r="AI6780" s="35"/>
      <c r="AJ6780" s="35"/>
      <c r="AK6780" s="35"/>
      <c r="AL6780" s="35"/>
    </row>
    <row r="6781">
      <c r="A6781" s="40"/>
      <c r="B6781" s="157" t="s">
        <v>31715</v>
      </c>
      <c r="C6781" s="158" t="s">
        <v>31724</v>
      </c>
      <c r="D6781" s="159"/>
      <c r="E6781" s="57" t="s">
        <v>1507</v>
      </c>
      <c r="F6781" s="23" t="s">
        <v>206</v>
      </c>
      <c r="G6781" s="57">
        <v>2024.0</v>
      </c>
      <c r="H6781" s="57" t="s">
        <v>207</v>
      </c>
      <c r="I6781" s="134" t="s">
        <v>31737</v>
      </c>
      <c r="J6781" s="23" t="s">
        <v>31</v>
      </c>
      <c r="K6781" s="23" t="s">
        <v>1240</v>
      </c>
      <c r="L6781" s="36">
        <v>830.0</v>
      </c>
      <c r="M6781" s="36"/>
      <c r="N6781" s="107"/>
      <c r="O6781" s="36"/>
      <c r="P6781" s="244"/>
      <c r="Q6781" s="245"/>
      <c r="R6781" s="36"/>
      <c r="S6781" s="106"/>
      <c r="T6781" s="83" t="s">
        <v>31738</v>
      </c>
      <c r="U6781" s="255" t="s">
        <v>61</v>
      </c>
      <c r="V6781" s="136"/>
      <c r="W6781" s="49"/>
      <c r="X6781" s="49"/>
      <c r="Y6781" s="35"/>
      <c r="Z6781" s="35"/>
      <c r="AA6781" s="35"/>
      <c r="AB6781" s="35"/>
      <c r="AC6781" s="35"/>
      <c r="AD6781" s="35"/>
      <c r="AE6781" s="35"/>
      <c r="AF6781" s="35"/>
      <c r="AG6781" s="35"/>
      <c r="AH6781" s="35"/>
      <c r="AI6781" s="35"/>
      <c r="AJ6781" s="35"/>
      <c r="AK6781" s="35"/>
      <c r="AL6781" s="35"/>
    </row>
    <row r="6782">
      <c r="A6782" s="40"/>
      <c r="B6782" s="157" t="s">
        <v>31715</v>
      </c>
      <c r="C6782" s="158" t="s">
        <v>31724</v>
      </c>
      <c r="D6782" s="159"/>
      <c r="E6782" s="57" t="s">
        <v>31739</v>
      </c>
      <c r="F6782" s="23" t="s">
        <v>6118</v>
      </c>
      <c r="G6782" s="57">
        <v>2024.0</v>
      </c>
      <c r="H6782" s="57" t="s">
        <v>31740</v>
      </c>
      <c r="I6782" s="134" t="s">
        <v>31741</v>
      </c>
      <c r="J6782" s="23" t="s">
        <v>31</v>
      </c>
      <c r="K6782" s="23"/>
      <c r="L6782" s="36">
        <v>630.0</v>
      </c>
      <c r="M6782" s="36"/>
      <c r="N6782" s="107"/>
      <c r="O6782" s="36"/>
      <c r="P6782" s="244"/>
      <c r="Q6782" s="245"/>
      <c r="R6782" s="36"/>
      <c r="S6782" s="106"/>
      <c r="T6782" s="83" t="s">
        <v>31742</v>
      </c>
      <c r="U6782" s="255" t="s">
        <v>61</v>
      </c>
      <c r="V6782" s="136"/>
      <c r="W6782" s="49"/>
      <c r="X6782" s="49"/>
      <c r="Y6782" s="35"/>
      <c r="Z6782" s="35"/>
      <c r="AA6782" s="35"/>
      <c r="AB6782" s="35"/>
      <c r="AC6782" s="35"/>
      <c r="AD6782" s="35"/>
      <c r="AE6782" s="35"/>
      <c r="AF6782" s="35"/>
      <c r="AG6782" s="35"/>
      <c r="AH6782" s="35"/>
      <c r="AI6782" s="35"/>
      <c r="AJ6782" s="35"/>
      <c r="AK6782" s="35"/>
      <c r="AL6782" s="35"/>
    </row>
    <row r="6783">
      <c r="A6783" s="40"/>
      <c r="B6783" s="157" t="s">
        <v>31715</v>
      </c>
      <c r="C6783" s="158" t="s">
        <v>31724</v>
      </c>
      <c r="D6783" s="159"/>
      <c r="E6783" s="57" t="s">
        <v>31743</v>
      </c>
      <c r="F6783" s="23" t="s">
        <v>41</v>
      </c>
      <c r="G6783" s="57">
        <v>2024.0</v>
      </c>
      <c r="H6783" s="57" t="s">
        <v>77</v>
      </c>
      <c r="I6783" s="134" t="s">
        <v>31744</v>
      </c>
      <c r="J6783" s="23" t="s">
        <v>31</v>
      </c>
      <c r="K6783" s="23"/>
      <c r="L6783" s="36" t="s">
        <v>31745</v>
      </c>
      <c r="M6783" s="36"/>
      <c r="N6783" s="107"/>
      <c r="O6783" s="36"/>
      <c r="P6783" s="244" t="s">
        <v>31746</v>
      </c>
      <c r="Q6783" s="245"/>
      <c r="R6783" s="36"/>
      <c r="S6783" s="106"/>
      <c r="T6783" s="84" t="s">
        <v>31747</v>
      </c>
      <c r="U6783" s="255" t="s">
        <v>61</v>
      </c>
      <c r="V6783" s="136"/>
      <c r="W6783" s="49"/>
      <c r="X6783" s="49"/>
      <c r="Y6783" s="35"/>
      <c r="Z6783" s="35"/>
      <c r="AA6783" s="35"/>
      <c r="AB6783" s="35"/>
      <c r="AC6783" s="35"/>
      <c r="AD6783" s="35"/>
      <c r="AE6783" s="35"/>
      <c r="AF6783" s="35"/>
      <c r="AG6783" s="35"/>
      <c r="AH6783" s="35"/>
      <c r="AI6783" s="35"/>
      <c r="AJ6783" s="35"/>
      <c r="AK6783" s="35"/>
      <c r="AL6783" s="35"/>
    </row>
    <row r="6784">
      <c r="A6784" s="146"/>
      <c r="B6784" s="157" t="s">
        <v>31715</v>
      </c>
      <c r="C6784" s="158" t="s">
        <v>31724</v>
      </c>
      <c r="D6784" s="159"/>
      <c r="E6784" s="57" t="s">
        <v>31748</v>
      </c>
      <c r="F6784" s="23" t="s">
        <v>41</v>
      </c>
      <c r="G6784" s="57">
        <v>2023.0</v>
      </c>
      <c r="H6784" s="57" t="s">
        <v>4975</v>
      </c>
      <c r="I6784" s="134" t="s">
        <v>31749</v>
      </c>
      <c r="J6784" s="23" t="s">
        <v>31</v>
      </c>
      <c r="K6784" s="23" t="s">
        <v>157</v>
      </c>
      <c r="L6784" s="36">
        <v>630.0</v>
      </c>
      <c r="M6784" s="36"/>
      <c r="N6784" s="36"/>
      <c r="O6784" s="36"/>
      <c r="P6784" s="244" t="s">
        <v>31750</v>
      </c>
      <c r="Q6784" s="245"/>
      <c r="R6784" s="36"/>
      <c r="S6784" s="36" t="s">
        <v>31751</v>
      </c>
      <c r="T6784" s="84" t="s">
        <v>31752</v>
      </c>
      <c r="U6784" s="255" t="s">
        <v>61</v>
      </c>
      <c r="V6784" s="136"/>
      <c r="W6784" s="49"/>
      <c r="X6784" s="49"/>
      <c r="Y6784" s="35"/>
      <c r="Z6784" s="35"/>
      <c r="AA6784" s="35"/>
      <c r="AB6784" s="35"/>
      <c r="AC6784" s="35"/>
      <c r="AD6784" s="35"/>
      <c r="AE6784" s="35"/>
      <c r="AF6784" s="35"/>
      <c r="AG6784" s="35"/>
      <c r="AH6784" s="35"/>
      <c r="AI6784" s="35"/>
      <c r="AJ6784" s="35"/>
      <c r="AK6784" s="35"/>
      <c r="AL6784" s="35"/>
    </row>
    <row r="6785">
      <c r="A6785" s="146"/>
      <c r="B6785" s="157" t="s">
        <v>31715</v>
      </c>
      <c r="C6785" s="158" t="s">
        <v>31724</v>
      </c>
      <c r="D6785" s="159"/>
      <c r="E6785" s="57" t="s">
        <v>29044</v>
      </c>
      <c r="F6785" s="23" t="s">
        <v>274</v>
      </c>
      <c r="G6785" s="57">
        <v>2023.0</v>
      </c>
      <c r="H6785" s="57" t="s">
        <v>91</v>
      </c>
      <c r="I6785" s="134" t="s">
        <v>31753</v>
      </c>
      <c r="J6785" s="23" t="s">
        <v>31</v>
      </c>
      <c r="K6785" s="23"/>
      <c r="L6785" s="36">
        <v>660.0</v>
      </c>
      <c r="M6785" s="36"/>
      <c r="N6785" s="36"/>
      <c r="O6785" s="36" t="s">
        <v>30442</v>
      </c>
      <c r="P6785" s="244"/>
      <c r="Q6785" s="245"/>
      <c r="R6785" s="36"/>
      <c r="S6785" s="36" t="s">
        <v>31754</v>
      </c>
      <c r="T6785" s="83" t="s">
        <v>31755</v>
      </c>
      <c r="U6785" s="255" t="s">
        <v>61</v>
      </c>
      <c r="V6785" s="136"/>
      <c r="W6785" s="49"/>
      <c r="X6785" s="49"/>
      <c r="Y6785" s="35"/>
      <c r="Z6785" s="35"/>
      <c r="AA6785" s="35"/>
      <c r="AB6785" s="35"/>
      <c r="AC6785" s="35"/>
      <c r="AD6785" s="35"/>
      <c r="AE6785" s="35"/>
      <c r="AF6785" s="35"/>
      <c r="AG6785" s="35"/>
      <c r="AH6785" s="35"/>
      <c r="AI6785" s="35"/>
      <c r="AJ6785" s="35"/>
      <c r="AK6785" s="35"/>
      <c r="AL6785" s="35"/>
    </row>
    <row r="6786">
      <c r="A6786" s="146"/>
      <c r="B6786" s="157" t="s">
        <v>31715</v>
      </c>
      <c r="C6786" s="158" t="s">
        <v>31724</v>
      </c>
      <c r="D6786" s="159"/>
      <c r="E6786" s="57" t="s">
        <v>10106</v>
      </c>
      <c r="F6786" s="23" t="s">
        <v>224</v>
      </c>
      <c r="G6786" s="57">
        <v>2023.0</v>
      </c>
      <c r="H6786" s="57" t="s">
        <v>91</v>
      </c>
      <c r="I6786" s="134" t="s">
        <v>31756</v>
      </c>
      <c r="J6786" s="23" t="s">
        <v>6020</v>
      </c>
      <c r="K6786" s="23" t="s">
        <v>31757</v>
      </c>
      <c r="L6786" s="36">
        <v>1064.0</v>
      </c>
      <c r="M6786" s="36"/>
      <c r="N6786" s="36"/>
      <c r="O6786" s="36"/>
      <c r="P6786" s="244" t="s">
        <v>31758</v>
      </c>
      <c r="Q6786" s="245"/>
      <c r="R6786" s="36"/>
      <c r="S6786" s="36"/>
      <c r="T6786" s="83" t="s">
        <v>31759</v>
      </c>
      <c r="U6786" s="255" t="s">
        <v>61</v>
      </c>
      <c r="V6786" s="136"/>
      <c r="W6786" s="49"/>
      <c r="X6786" s="49"/>
      <c r="Y6786" s="35"/>
      <c r="Z6786" s="35"/>
      <c r="AA6786" s="35"/>
      <c r="AB6786" s="35"/>
      <c r="AC6786" s="35"/>
      <c r="AD6786" s="35"/>
      <c r="AE6786" s="35"/>
      <c r="AF6786" s="35"/>
      <c r="AG6786" s="35"/>
      <c r="AH6786" s="35"/>
      <c r="AI6786" s="35"/>
      <c r="AJ6786" s="35"/>
      <c r="AK6786" s="35"/>
      <c r="AL6786" s="35"/>
    </row>
    <row r="6787">
      <c r="A6787" s="146"/>
      <c r="B6787" s="157" t="s">
        <v>31715</v>
      </c>
      <c r="C6787" s="158" t="s">
        <v>31724</v>
      </c>
      <c r="D6787" s="159"/>
      <c r="E6787" s="57" t="s">
        <v>1507</v>
      </c>
      <c r="F6787" s="23" t="s">
        <v>12068</v>
      </c>
      <c r="G6787" s="57">
        <v>2023.0</v>
      </c>
      <c r="H6787" s="57" t="s">
        <v>31760</v>
      </c>
      <c r="I6787" s="134" t="s">
        <v>31761</v>
      </c>
      <c r="J6787" s="23" t="s">
        <v>31762</v>
      </c>
      <c r="K6787" s="23"/>
      <c r="L6787" s="36" t="s">
        <v>31763</v>
      </c>
      <c r="M6787" s="36"/>
      <c r="N6787" s="36"/>
      <c r="O6787" s="36"/>
      <c r="P6787" s="244"/>
      <c r="Q6787" s="245"/>
      <c r="R6787" s="36"/>
      <c r="S6787" s="36"/>
      <c r="T6787" s="83" t="s">
        <v>31764</v>
      </c>
      <c r="U6787" s="255" t="s">
        <v>61</v>
      </c>
      <c r="V6787" s="136"/>
      <c r="W6787" s="49"/>
      <c r="X6787" s="49"/>
      <c r="Y6787" s="35"/>
      <c r="Z6787" s="35"/>
      <c r="AA6787" s="35"/>
      <c r="AB6787" s="35"/>
      <c r="AC6787" s="35"/>
      <c r="AD6787" s="35"/>
      <c r="AE6787" s="35"/>
      <c r="AF6787" s="35"/>
      <c r="AG6787" s="35"/>
      <c r="AH6787" s="35"/>
      <c r="AI6787" s="35"/>
      <c r="AJ6787" s="35"/>
      <c r="AK6787" s="35"/>
      <c r="AL6787" s="35"/>
    </row>
    <row r="6788">
      <c r="A6788" s="146"/>
      <c r="B6788" s="157" t="s">
        <v>31715</v>
      </c>
      <c r="C6788" s="158" t="s">
        <v>31724</v>
      </c>
      <c r="D6788" s="159"/>
      <c r="E6788" s="57" t="s">
        <v>31748</v>
      </c>
      <c r="F6788" s="23" t="s">
        <v>41</v>
      </c>
      <c r="G6788" s="57">
        <v>2023.0</v>
      </c>
      <c r="H6788" s="57" t="s">
        <v>4975</v>
      </c>
      <c r="I6788" s="134" t="s">
        <v>31765</v>
      </c>
      <c r="J6788" s="23" t="s">
        <v>31</v>
      </c>
      <c r="K6788" s="23" t="s">
        <v>157</v>
      </c>
      <c r="L6788" s="36">
        <v>630.0</v>
      </c>
      <c r="M6788" s="36"/>
      <c r="N6788" s="36" t="s">
        <v>5658</v>
      </c>
      <c r="O6788" s="36"/>
      <c r="P6788" s="244" t="s">
        <v>31746</v>
      </c>
      <c r="Q6788" s="245" t="s">
        <v>31766</v>
      </c>
      <c r="R6788" s="36"/>
      <c r="S6788" s="36" t="s">
        <v>31767</v>
      </c>
      <c r="T6788" s="83" t="s">
        <v>31768</v>
      </c>
      <c r="U6788" s="255" t="s">
        <v>61</v>
      </c>
      <c r="V6788" s="136" t="s">
        <v>31769</v>
      </c>
      <c r="W6788" s="49"/>
      <c r="X6788" s="49"/>
      <c r="Y6788" s="35"/>
      <c r="Z6788" s="35"/>
      <c r="AA6788" s="35"/>
      <c r="AB6788" s="35"/>
      <c r="AC6788" s="35"/>
      <c r="AD6788" s="35"/>
      <c r="AE6788" s="35"/>
      <c r="AF6788" s="35"/>
      <c r="AG6788" s="35"/>
      <c r="AH6788" s="35"/>
      <c r="AI6788" s="35"/>
      <c r="AJ6788" s="35"/>
      <c r="AK6788" s="35"/>
      <c r="AL6788" s="35"/>
    </row>
    <row r="6789">
      <c r="A6789" s="146"/>
      <c r="B6789" s="157" t="s">
        <v>31715</v>
      </c>
      <c r="C6789" s="158" t="s">
        <v>31724</v>
      </c>
      <c r="D6789" s="159"/>
      <c r="E6789" s="57" t="s">
        <v>31770</v>
      </c>
      <c r="F6789" s="23" t="s">
        <v>323</v>
      </c>
      <c r="G6789" s="57">
        <v>2022.0</v>
      </c>
      <c r="H6789" s="57" t="s">
        <v>91</v>
      </c>
      <c r="I6789" s="134" t="s">
        <v>31771</v>
      </c>
      <c r="J6789" s="23" t="s">
        <v>31</v>
      </c>
      <c r="K6789" s="23" t="s">
        <v>6802</v>
      </c>
      <c r="L6789" s="36">
        <v>532.0</v>
      </c>
      <c r="M6789" s="36"/>
      <c r="N6789" s="107"/>
      <c r="O6789" s="36"/>
      <c r="P6789" s="244"/>
      <c r="Q6789" s="245"/>
      <c r="R6789" s="36"/>
      <c r="S6789" s="36"/>
      <c r="T6789" s="84" t="s">
        <v>31772</v>
      </c>
      <c r="U6789" s="255" t="s">
        <v>61</v>
      </c>
      <c r="V6789" s="136"/>
      <c r="W6789" s="49"/>
      <c r="X6789" s="49"/>
      <c r="Y6789" s="35"/>
      <c r="Z6789" s="35"/>
      <c r="AA6789" s="35"/>
      <c r="AB6789" s="35"/>
      <c r="AC6789" s="35"/>
      <c r="AD6789" s="35"/>
      <c r="AE6789" s="35"/>
      <c r="AF6789" s="35"/>
      <c r="AG6789" s="35"/>
      <c r="AH6789" s="35"/>
      <c r="AI6789" s="35"/>
      <c r="AJ6789" s="35"/>
      <c r="AK6789" s="35"/>
      <c r="AL6789" s="35"/>
    </row>
    <row r="6790">
      <c r="A6790" s="146"/>
      <c r="B6790" s="157" t="s">
        <v>31715</v>
      </c>
      <c r="C6790" s="158" t="s">
        <v>31724</v>
      </c>
      <c r="D6790" s="159"/>
      <c r="E6790" s="57" t="s">
        <v>5136</v>
      </c>
      <c r="F6790" s="23" t="s">
        <v>1930</v>
      </c>
      <c r="G6790" s="57">
        <v>2022.0</v>
      </c>
      <c r="H6790" s="57" t="s">
        <v>91</v>
      </c>
      <c r="I6790" s="134" t="s">
        <v>31773</v>
      </c>
      <c r="J6790" s="23" t="s">
        <v>31</v>
      </c>
      <c r="K6790" s="23" t="s">
        <v>1413</v>
      </c>
      <c r="L6790" s="36">
        <v>940.0</v>
      </c>
      <c r="M6790" s="36">
        <v>100.0</v>
      </c>
      <c r="N6790" s="107"/>
      <c r="O6790" s="36"/>
      <c r="P6790" s="244" t="s">
        <v>969</v>
      </c>
      <c r="Q6790" s="245"/>
      <c r="R6790" s="36"/>
      <c r="S6790" s="36" t="s">
        <v>31774</v>
      </c>
      <c r="T6790" s="84" t="s">
        <v>31775</v>
      </c>
      <c r="U6790" s="255" t="s">
        <v>61</v>
      </c>
      <c r="V6790" s="136"/>
      <c r="W6790" s="49"/>
      <c r="X6790" s="49"/>
      <c r="Y6790" s="35"/>
      <c r="Z6790" s="35"/>
      <c r="AA6790" s="35"/>
      <c r="AB6790" s="35"/>
      <c r="AC6790" s="35"/>
      <c r="AD6790" s="35"/>
      <c r="AE6790" s="35"/>
      <c r="AF6790" s="35"/>
      <c r="AG6790" s="35"/>
      <c r="AH6790" s="35"/>
      <c r="AI6790" s="35"/>
      <c r="AJ6790" s="35"/>
      <c r="AK6790" s="35"/>
      <c r="AL6790" s="35"/>
    </row>
    <row r="6791">
      <c r="A6791" s="146"/>
      <c r="B6791" s="157" t="s">
        <v>31715</v>
      </c>
      <c r="C6791" s="158" t="s">
        <v>31724</v>
      </c>
      <c r="D6791" s="159"/>
      <c r="E6791" s="57" t="s">
        <v>31776</v>
      </c>
      <c r="F6791" s="23" t="s">
        <v>323</v>
      </c>
      <c r="G6791" s="57">
        <v>2022.0</v>
      </c>
      <c r="H6791" s="57" t="s">
        <v>31777</v>
      </c>
      <c r="I6791" s="134" t="s">
        <v>31778</v>
      </c>
      <c r="J6791" s="23" t="s">
        <v>31</v>
      </c>
      <c r="K6791" s="23"/>
      <c r="L6791" s="36"/>
      <c r="M6791" s="36"/>
      <c r="N6791" s="107"/>
      <c r="O6791" s="36"/>
      <c r="P6791" s="244"/>
      <c r="Q6791" s="245"/>
      <c r="R6791" s="36"/>
      <c r="S6791" s="36"/>
      <c r="T6791" s="83" t="s">
        <v>31779</v>
      </c>
      <c r="U6791" s="255" t="s">
        <v>61</v>
      </c>
      <c r="V6791" s="136" t="s">
        <v>174</v>
      </c>
      <c r="W6791" s="49"/>
      <c r="X6791" s="49"/>
      <c r="Y6791" s="35"/>
      <c r="Z6791" s="35"/>
      <c r="AA6791" s="35"/>
      <c r="AB6791" s="35"/>
      <c r="AC6791" s="35"/>
      <c r="AD6791" s="35"/>
      <c r="AE6791" s="35"/>
      <c r="AF6791" s="35"/>
      <c r="AG6791" s="35"/>
      <c r="AH6791" s="35"/>
      <c r="AI6791" s="35"/>
      <c r="AJ6791" s="35"/>
      <c r="AK6791" s="35"/>
      <c r="AL6791" s="35"/>
    </row>
    <row r="6792">
      <c r="A6792" s="146"/>
      <c r="B6792" s="157" t="s">
        <v>31715</v>
      </c>
      <c r="C6792" s="158" t="s">
        <v>31724</v>
      </c>
      <c r="D6792" s="159"/>
      <c r="E6792" s="57" t="s">
        <v>31780</v>
      </c>
      <c r="F6792" s="23" t="s">
        <v>1386</v>
      </c>
      <c r="G6792" s="57">
        <v>2022.0</v>
      </c>
      <c r="H6792" s="57" t="s">
        <v>11373</v>
      </c>
      <c r="I6792" s="134" t="s">
        <v>31781</v>
      </c>
      <c r="J6792" s="23" t="s">
        <v>31</v>
      </c>
      <c r="K6792" s="23"/>
      <c r="L6792" s="36" t="s">
        <v>31782</v>
      </c>
      <c r="M6792" s="36"/>
      <c r="N6792" s="107"/>
      <c r="O6792" s="36"/>
      <c r="P6792" s="244"/>
      <c r="Q6792" s="245"/>
      <c r="R6792" s="36"/>
      <c r="S6792" s="36"/>
      <c r="T6792" s="83" t="s">
        <v>31783</v>
      </c>
      <c r="U6792" s="255" t="s">
        <v>61</v>
      </c>
      <c r="V6792" s="136"/>
      <c r="W6792" s="49"/>
      <c r="X6792" s="49"/>
      <c r="Y6792" s="35"/>
      <c r="Z6792" s="35"/>
      <c r="AA6792" s="35"/>
      <c r="AB6792" s="35"/>
      <c r="AC6792" s="35"/>
      <c r="AD6792" s="35"/>
      <c r="AE6792" s="35"/>
      <c r="AF6792" s="35"/>
      <c r="AG6792" s="35"/>
      <c r="AH6792" s="35"/>
      <c r="AI6792" s="35"/>
      <c r="AJ6792" s="35"/>
      <c r="AK6792" s="35"/>
      <c r="AL6792" s="35"/>
    </row>
    <row r="6793">
      <c r="A6793" s="146"/>
      <c r="B6793" s="157" t="s">
        <v>31715</v>
      </c>
      <c r="C6793" s="158" t="s">
        <v>31724</v>
      </c>
      <c r="D6793" s="159"/>
      <c r="E6793" s="57" t="s">
        <v>26169</v>
      </c>
      <c r="F6793" s="23" t="s">
        <v>1386</v>
      </c>
      <c r="G6793" s="57">
        <v>2022.0</v>
      </c>
      <c r="H6793" s="57" t="s">
        <v>31784</v>
      </c>
      <c r="I6793" s="134" t="s">
        <v>31785</v>
      </c>
      <c r="J6793" s="23" t="s">
        <v>31</v>
      </c>
      <c r="K6793" s="23" t="s">
        <v>31786</v>
      </c>
      <c r="L6793" s="36">
        <v>940.0</v>
      </c>
      <c r="M6793" s="36"/>
      <c r="N6793" s="107"/>
      <c r="O6793" s="36"/>
      <c r="P6793" s="244"/>
      <c r="Q6793" s="245"/>
      <c r="R6793" s="36"/>
      <c r="S6793" s="36"/>
      <c r="T6793" s="83" t="s">
        <v>31787</v>
      </c>
      <c r="U6793" s="255" t="s">
        <v>61</v>
      </c>
      <c r="V6793" s="136"/>
      <c r="W6793" s="49"/>
      <c r="X6793" s="49"/>
      <c r="Y6793" s="35"/>
      <c r="Z6793" s="35"/>
      <c r="AA6793" s="35"/>
      <c r="AB6793" s="35"/>
      <c r="AC6793" s="35"/>
      <c r="AD6793" s="35"/>
      <c r="AE6793" s="35"/>
      <c r="AF6793" s="35"/>
      <c r="AG6793" s="35"/>
      <c r="AH6793" s="35"/>
      <c r="AI6793" s="35"/>
      <c r="AJ6793" s="35"/>
      <c r="AK6793" s="35"/>
      <c r="AL6793" s="35"/>
    </row>
    <row r="6794">
      <c r="A6794" s="146"/>
      <c r="B6794" s="157" t="s">
        <v>31715</v>
      </c>
      <c r="C6794" s="158" t="s">
        <v>31724</v>
      </c>
      <c r="D6794" s="159"/>
      <c r="E6794" s="57" t="s">
        <v>31788</v>
      </c>
      <c r="F6794" s="23" t="s">
        <v>27792</v>
      </c>
      <c r="G6794" s="57">
        <v>2022.0</v>
      </c>
      <c r="H6794" s="57" t="s">
        <v>147</v>
      </c>
      <c r="I6794" s="134" t="s">
        <v>31789</v>
      </c>
      <c r="J6794" s="23" t="s">
        <v>31</v>
      </c>
      <c r="K6794" s="23"/>
      <c r="L6794" s="36">
        <v>660.0</v>
      </c>
      <c r="M6794" s="36">
        <v>35.0</v>
      </c>
      <c r="N6794" s="107"/>
      <c r="O6794" s="36"/>
      <c r="P6794" s="244" t="s">
        <v>31790</v>
      </c>
      <c r="Q6794" s="245"/>
      <c r="R6794" s="36">
        <v>720.0</v>
      </c>
      <c r="S6794" s="36"/>
      <c r="T6794" s="83" t="s">
        <v>31791</v>
      </c>
      <c r="U6794" s="255" t="s">
        <v>61</v>
      </c>
      <c r="V6794" s="136"/>
      <c r="W6794" s="49"/>
      <c r="X6794" s="49"/>
      <c r="Y6794" s="35"/>
      <c r="Z6794" s="35"/>
      <c r="AA6794" s="35"/>
      <c r="AB6794" s="35"/>
      <c r="AC6794" s="35"/>
      <c r="AD6794" s="35"/>
      <c r="AE6794" s="35"/>
      <c r="AF6794" s="35"/>
      <c r="AG6794" s="35"/>
      <c r="AH6794" s="35"/>
      <c r="AI6794" s="35"/>
      <c r="AJ6794" s="35"/>
      <c r="AK6794" s="35"/>
      <c r="AL6794" s="35"/>
    </row>
    <row r="6795">
      <c r="A6795" s="146" t="s">
        <v>181</v>
      </c>
      <c r="B6795" s="157" t="s">
        <v>31715</v>
      </c>
      <c r="C6795" s="158" t="s">
        <v>31724</v>
      </c>
      <c r="D6795" s="159"/>
      <c r="E6795" s="57" t="s">
        <v>493</v>
      </c>
      <c r="F6795" s="23" t="s">
        <v>6118</v>
      </c>
      <c r="G6795" s="57">
        <v>2022.0</v>
      </c>
      <c r="H6795" s="57" t="s">
        <v>484</v>
      </c>
      <c r="I6795" s="134" t="s">
        <v>31792</v>
      </c>
      <c r="J6795" s="23" t="s">
        <v>31</v>
      </c>
      <c r="K6795" s="23" t="s">
        <v>31793</v>
      </c>
      <c r="L6795" s="36">
        <v>532.0</v>
      </c>
      <c r="M6795" s="36"/>
      <c r="N6795" s="107"/>
      <c r="O6795" s="36"/>
      <c r="P6795" s="244"/>
      <c r="Q6795" s="245"/>
      <c r="R6795" s="36"/>
      <c r="S6795" s="36"/>
      <c r="T6795" s="83" t="s">
        <v>31794</v>
      </c>
      <c r="U6795" s="248" t="s">
        <v>61</v>
      </c>
      <c r="V6795" s="136"/>
      <c r="W6795" s="49"/>
      <c r="X6795" s="49"/>
      <c r="Y6795" s="35"/>
      <c r="Z6795" s="35"/>
      <c r="AA6795" s="35"/>
      <c r="AB6795" s="35"/>
      <c r="AC6795" s="35"/>
      <c r="AD6795" s="35"/>
      <c r="AE6795" s="35"/>
      <c r="AF6795" s="35"/>
      <c r="AG6795" s="35"/>
      <c r="AH6795" s="35"/>
      <c r="AI6795" s="35"/>
      <c r="AJ6795" s="35"/>
      <c r="AK6795" s="35"/>
      <c r="AL6795" s="35"/>
    </row>
    <row r="6796">
      <c r="A6796" s="133"/>
      <c r="B6796" s="157" t="s">
        <v>31715</v>
      </c>
      <c r="C6796" s="158" t="s">
        <v>31724</v>
      </c>
      <c r="D6796" s="159"/>
      <c r="E6796" s="57" t="s">
        <v>31795</v>
      </c>
      <c r="F6796" s="23" t="s">
        <v>1603</v>
      </c>
      <c r="G6796" s="57">
        <v>2021.0</v>
      </c>
      <c r="H6796" s="57" t="s">
        <v>207</v>
      </c>
      <c r="I6796" s="134" t="s">
        <v>31796</v>
      </c>
      <c r="J6796" s="23" t="s">
        <v>31</v>
      </c>
      <c r="K6796" s="23" t="s">
        <v>31797</v>
      </c>
      <c r="L6796" s="36" t="s">
        <v>31798</v>
      </c>
      <c r="M6796" s="36"/>
      <c r="N6796" s="107"/>
      <c r="O6796" s="36"/>
      <c r="P6796" s="244"/>
      <c r="Q6796" s="245"/>
      <c r="R6796" s="36"/>
      <c r="S6796" s="36"/>
      <c r="T6796" s="83" t="s">
        <v>31799</v>
      </c>
      <c r="U6796" s="248" t="s">
        <v>61</v>
      </c>
      <c r="V6796" s="136"/>
      <c r="W6796" s="49"/>
      <c r="X6796" s="49"/>
      <c r="Y6796" s="35"/>
      <c r="Z6796" s="35"/>
      <c r="AA6796" s="35"/>
      <c r="AB6796" s="35"/>
      <c r="AC6796" s="35"/>
      <c r="AD6796" s="35"/>
      <c r="AE6796" s="35"/>
      <c r="AF6796" s="35"/>
      <c r="AG6796" s="35"/>
      <c r="AH6796" s="35"/>
      <c r="AI6796" s="35"/>
      <c r="AJ6796" s="35"/>
      <c r="AK6796" s="35"/>
      <c r="AL6796" s="35"/>
    </row>
    <row r="6797">
      <c r="A6797" s="133"/>
      <c r="B6797" s="157" t="s">
        <v>31715</v>
      </c>
      <c r="C6797" s="158" t="s">
        <v>31724</v>
      </c>
      <c r="D6797" s="159"/>
      <c r="E6797" s="57" t="s">
        <v>673</v>
      </c>
      <c r="F6797" s="23" t="s">
        <v>323</v>
      </c>
      <c r="G6797" s="57">
        <v>2021.0</v>
      </c>
      <c r="H6797" s="57" t="s">
        <v>31800</v>
      </c>
      <c r="I6797" s="134" t="s">
        <v>31801</v>
      </c>
      <c r="J6797" s="23" t="s">
        <v>31</v>
      </c>
      <c r="K6797" s="23" t="s">
        <v>31802</v>
      </c>
      <c r="L6797" s="36" t="s">
        <v>30432</v>
      </c>
      <c r="M6797" s="36"/>
      <c r="N6797" s="107"/>
      <c r="O6797" s="36"/>
      <c r="P6797" s="244"/>
      <c r="Q6797" s="245"/>
      <c r="R6797" s="36"/>
      <c r="S6797" s="36"/>
      <c r="T6797" s="83" t="s">
        <v>31803</v>
      </c>
      <c r="U6797" s="248" t="s">
        <v>61</v>
      </c>
      <c r="V6797" s="136"/>
      <c r="W6797" s="49"/>
      <c r="X6797" s="49"/>
      <c r="Y6797" s="35"/>
      <c r="Z6797" s="35"/>
      <c r="AA6797" s="35"/>
      <c r="AB6797" s="35"/>
      <c r="AC6797" s="35"/>
      <c r="AD6797" s="35"/>
      <c r="AE6797" s="35"/>
      <c r="AF6797" s="35"/>
      <c r="AG6797" s="35"/>
      <c r="AH6797" s="35"/>
      <c r="AI6797" s="35"/>
      <c r="AJ6797" s="35"/>
      <c r="AK6797" s="35"/>
      <c r="AL6797" s="35"/>
    </row>
    <row r="6798">
      <c r="A6798" s="133"/>
      <c r="B6798" s="157" t="s">
        <v>31715</v>
      </c>
      <c r="C6798" s="158" t="s">
        <v>31724</v>
      </c>
      <c r="D6798" s="159"/>
      <c r="E6798" s="57" t="s">
        <v>31804</v>
      </c>
      <c r="F6798" s="23" t="s">
        <v>1386</v>
      </c>
      <c r="G6798" s="57">
        <v>2021.0</v>
      </c>
      <c r="H6798" s="57" t="s">
        <v>31805</v>
      </c>
      <c r="I6798" s="134" t="s">
        <v>31806</v>
      </c>
      <c r="J6798" s="23" t="s">
        <v>31</v>
      </c>
      <c r="K6798" s="23"/>
      <c r="L6798" s="36" t="s">
        <v>31807</v>
      </c>
      <c r="M6798" s="36"/>
      <c r="N6798" s="107"/>
      <c r="O6798" s="36"/>
      <c r="P6798" s="244"/>
      <c r="Q6798" s="245"/>
      <c r="R6798" s="36"/>
      <c r="S6798" s="36"/>
      <c r="T6798" s="83" t="s">
        <v>31808</v>
      </c>
      <c r="U6798" s="248" t="s">
        <v>61</v>
      </c>
      <c r="V6798" s="136"/>
      <c r="W6798" s="49"/>
      <c r="X6798" s="49"/>
      <c r="Y6798" s="35"/>
      <c r="Z6798" s="35"/>
      <c r="AA6798" s="35"/>
      <c r="AB6798" s="35"/>
      <c r="AC6798" s="35"/>
      <c r="AD6798" s="35"/>
      <c r="AE6798" s="35"/>
      <c r="AF6798" s="35"/>
      <c r="AG6798" s="35"/>
      <c r="AH6798" s="35"/>
      <c r="AI6798" s="35"/>
      <c r="AJ6798" s="35"/>
      <c r="AK6798" s="35"/>
      <c r="AL6798" s="35"/>
    </row>
    <row r="6799">
      <c r="A6799" s="133"/>
      <c r="B6799" s="157" t="s">
        <v>31715</v>
      </c>
      <c r="C6799" s="158" t="s">
        <v>31724</v>
      </c>
      <c r="D6799" s="159"/>
      <c r="E6799" s="57" t="s">
        <v>31809</v>
      </c>
      <c r="F6799" s="23" t="s">
        <v>6406</v>
      </c>
      <c r="G6799" s="57">
        <v>2020.0</v>
      </c>
      <c r="H6799" s="57" t="s">
        <v>19547</v>
      </c>
      <c r="I6799" s="134" t="s">
        <v>31810</v>
      </c>
      <c r="J6799" s="23" t="s">
        <v>31</v>
      </c>
      <c r="K6799" s="23"/>
      <c r="L6799" s="36" t="s">
        <v>31811</v>
      </c>
      <c r="M6799" s="36"/>
      <c r="N6799" s="107"/>
      <c r="O6799" s="36"/>
      <c r="P6799" s="244"/>
      <c r="Q6799" s="245"/>
      <c r="R6799" s="36"/>
      <c r="S6799" s="36"/>
      <c r="T6799" s="83" t="s">
        <v>31812</v>
      </c>
      <c r="U6799" s="248" t="s">
        <v>61</v>
      </c>
      <c r="V6799" s="136"/>
      <c r="W6799" s="49"/>
      <c r="X6799" s="49"/>
      <c r="Y6799" s="35"/>
      <c r="Z6799" s="35"/>
      <c r="AA6799" s="35"/>
      <c r="AB6799" s="35"/>
      <c r="AC6799" s="35"/>
      <c r="AD6799" s="35"/>
      <c r="AE6799" s="35"/>
      <c r="AF6799" s="35"/>
      <c r="AG6799" s="35"/>
      <c r="AH6799" s="35"/>
      <c r="AI6799" s="35"/>
      <c r="AJ6799" s="35"/>
      <c r="AK6799" s="35"/>
      <c r="AL6799" s="35"/>
    </row>
    <row r="6800">
      <c r="A6800" s="133"/>
      <c r="B6800" s="157" t="s">
        <v>31715</v>
      </c>
      <c r="C6800" s="158" t="s">
        <v>31724</v>
      </c>
      <c r="D6800" s="159"/>
      <c r="E6800" s="57" t="s">
        <v>26169</v>
      </c>
      <c r="F6800" s="23" t="s">
        <v>1386</v>
      </c>
      <c r="G6800" s="57">
        <v>2020.0</v>
      </c>
      <c r="H6800" s="57" t="s">
        <v>53</v>
      </c>
      <c r="I6800" s="134" t="s">
        <v>31813</v>
      </c>
      <c r="J6800" s="23" t="s">
        <v>31</v>
      </c>
      <c r="K6800" s="23" t="s">
        <v>31814</v>
      </c>
      <c r="L6800" s="36">
        <v>660.0</v>
      </c>
      <c r="M6800" s="36"/>
      <c r="N6800" s="107"/>
      <c r="O6800" s="36"/>
      <c r="P6800" s="244"/>
      <c r="Q6800" s="245"/>
      <c r="R6800" s="36"/>
      <c r="S6800" s="36"/>
      <c r="T6800" s="83" t="s">
        <v>31815</v>
      </c>
      <c r="U6800" s="248" t="s">
        <v>61</v>
      </c>
      <c r="V6800" s="136"/>
      <c r="W6800" s="49"/>
      <c r="X6800" s="49"/>
      <c r="Y6800" s="35"/>
      <c r="Z6800" s="35"/>
      <c r="AA6800" s="35"/>
      <c r="AB6800" s="35"/>
      <c r="AC6800" s="35"/>
      <c r="AD6800" s="35"/>
      <c r="AE6800" s="35"/>
      <c r="AF6800" s="35"/>
      <c r="AG6800" s="35"/>
      <c r="AH6800" s="35"/>
      <c r="AI6800" s="35"/>
      <c r="AJ6800" s="35"/>
      <c r="AK6800" s="35"/>
      <c r="AL6800" s="35"/>
    </row>
    <row r="6801">
      <c r="A6801" s="133"/>
      <c r="B6801" s="157" t="s">
        <v>31715</v>
      </c>
      <c r="C6801" s="158" t="s">
        <v>31724</v>
      </c>
      <c r="D6801" s="159"/>
      <c r="E6801" s="57" t="s">
        <v>31816</v>
      </c>
      <c r="F6801" s="23" t="s">
        <v>323</v>
      </c>
      <c r="G6801" s="57">
        <v>2019.0</v>
      </c>
      <c r="H6801" s="57" t="s">
        <v>207</v>
      </c>
      <c r="I6801" s="134" t="s">
        <v>31817</v>
      </c>
      <c r="J6801" s="23" t="s">
        <v>31</v>
      </c>
      <c r="K6801" s="23" t="s">
        <v>31818</v>
      </c>
      <c r="L6801" s="36" t="s">
        <v>31819</v>
      </c>
      <c r="M6801" s="36"/>
      <c r="N6801" s="107"/>
      <c r="O6801" s="36"/>
      <c r="P6801" s="244"/>
      <c r="Q6801" s="245"/>
      <c r="R6801" s="36"/>
      <c r="S6801" s="36"/>
      <c r="T6801" s="83" t="s">
        <v>31820</v>
      </c>
      <c r="U6801" s="312" t="str">
        <f>HYPERLINK("https://www.ncbi.nlm.nih.gov/pubmed/31710923","PubMed")</f>
        <v>PubMed</v>
      </c>
      <c r="V6801" s="136"/>
      <c r="W6801" s="49"/>
      <c r="X6801" s="49"/>
      <c r="Y6801" s="35"/>
      <c r="Z6801" s="35"/>
      <c r="AA6801" s="35"/>
      <c r="AB6801" s="35"/>
      <c r="AC6801" s="35"/>
      <c r="AD6801" s="35"/>
      <c r="AE6801" s="35"/>
      <c r="AF6801" s="35"/>
      <c r="AG6801" s="35"/>
      <c r="AH6801" s="35"/>
      <c r="AI6801" s="35"/>
      <c r="AJ6801" s="35"/>
      <c r="AK6801" s="35"/>
      <c r="AL6801" s="35"/>
    </row>
    <row r="6802">
      <c r="A6802" s="133"/>
      <c r="B6802" s="157" t="s">
        <v>31715</v>
      </c>
      <c r="C6802" s="158" t="s">
        <v>31724</v>
      </c>
      <c r="D6802" s="159"/>
      <c r="E6802" s="57" t="s">
        <v>29044</v>
      </c>
      <c r="F6802" s="23" t="s">
        <v>274</v>
      </c>
      <c r="G6802" s="57">
        <v>2018.0</v>
      </c>
      <c r="H6802" s="57" t="s">
        <v>91</v>
      </c>
      <c r="I6802" s="134" t="s">
        <v>31821</v>
      </c>
      <c r="J6802" s="23" t="s">
        <v>31</v>
      </c>
      <c r="K6802" s="23" t="s">
        <v>31822</v>
      </c>
      <c r="L6802" s="36">
        <v>660.0</v>
      </c>
      <c r="M6802" s="36">
        <v>40.0</v>
      </c>
      <c r="N6802" s="107"/>
      <c r="O6802" s="36" t="s">
        <v>31823</v>
      </c>
      <c r="P6802" s="244" t="s">
        <v>31824</v>
      </c>
      <c r="Q6802" s="245" t="s">
        <v>280</v>
      </c>
      <c r="R6802" s="36" t="s">
        <v>31825</v>
      </c>
      <c r="S6802" s="36" t="s">
        <v>31826</v>
      </c>
      <c r="T6802" s="83" t="s">
        <v>31827</v>
      </c>
      <c r="U6802" s="312" t="str">
        <f>HYPERLINK("https://www.ncbi.nlm.nih.gov/pubmed/30284088","PubMed")</f>
        <v>PubMed</v>
      </c>
      <c r="V6802" s="136"/>
      <c r="W6802" s="49"/>
      <c r="X6802" s="49"/>
      <c r="Y6802" s="35"/>
      <c r="Z6802" s="35"/>
      <c r="AA6802" s="35"/>
      <c r="AB6802" s="35"/>
      <c r="AC6802" s="35"/>
      <c r="AD6802" s="35"/>
      <c r="AE6802" s="35"/>
      <c r="AF6802" s="35"/>
      <c r="AG6802" s="35"/>
      <c r="AH6802" s="35"/>
      <c r="AI6802" s="35"/>
      <c r="AJ6802" s="35"/>
      <c r="AK6802" s="35"/>
      <c r="AL6802" s="35"/>
    </row>
    <row r="6803">
      <c r="A6803" s="133"/>
      <c r="B6803" s="157" t="s">
        <v>31715</v>
      </c>
      <c r="C6803" s="158" t="s">
        <v>31724</v>
      </c>
      <c r="D6803" s="159"/>
      <c r="E6803" s="57" t="s">
        <v>31828</v>
      </c>
      <c r="F6803" s="23" t="s">
        <v>1603</v>
      </c>
      <c r="G6803" s="57">
        <v>2018.0</v>
      </c>
      <c r="H6803" s="57" t="s">
        <v>2015</v>
      </c>
      <c r="I6803" s="134" t="s">
        <v>31829</v>
      </c>
      <c r="J6803" s="23" t="s">
        <v>31</v>
      </c>
      <c r="K6803" s="23" t="s">
        <v>31830</v>
      </c>
      <c r="L6803" s="36" t="s">
        <v>31798</v>
      </c>
      <c r="M6803" s="36"/>
      <c r="N6803" s="107"/>
      <c r="O6803" s="107"/>
      <c r="P6803" s="244"/>
      <c r="Q6803" s="245"/>
      <c r="R6803" s="36"/>
      <c r="S6803" s="106"/>
      <c r="T6803" s="83" t="s">
        <v>31831</v>
      </c>
      <c r="U6803" s="312" t="str">
        <f>HYPERLINK("https://www.ncbi.nlm.nih.gov/pubmed/29603903","PubMed")</f>
        <v>PubMed</v>
      </c>
      <c r="V6803" s="136"/>
      <c r="W6803" s="49"/>
      <c r="X6803" s="49"/>
      <c r="Y6803" s="35"/>
      <c r="Z6803" s="35"/>
      <c r="AA6803" s="35"/>
      <c r="AB6803" s="35"/>
      <c r="AC6803" s="35"/>
      <c r="AD6803" s="35"/>
      <c r="AE6803" s="35"/>
      <c r="AF6803" s="35"/>
      <c r="AG6803" s="35"/>
      <c r="AH6803" s="35"/>
      <c r="AI6803" s="35"/>
      <c r="AJ6803" s="35"/>
      <c r="AK6803" s="35"/>
      <c r="AL6803" s="35"/>
    </row>
    <row r="6804">
      <c r="A6804" s="133"/>
      <c r="B6804" s="157" t="s">
        <v>31715</v>
      </c>
      <c r="C6804" s="158" t="s">
        <v>31724</v>
      </c>
      <c r="D6804" s="159"/>
      <c r="E6804" s="57" t="s">
        <v>5449</v>
      </c>
      <c r="F6804" s="23" t="s">
        <v>720</v>
      </c>
      <c r="G6804" s="57">
        <v>2017.0</v>
      </c>
      <c r="H6804" s="57" t="s">
        <v>16555</v>
      </c>
      <c r="I6804" s="134" t="s">
        <v>31832</v>
      </c>
      <c r="J6804" s="23" t="s">
        <v>31</v>
      </c>
      <c r="K6804" s="23"/>
      <c r="L6804" s="36">
        <v>660.0</v>
      </c>
      <c r="M6804" s="36">
        <v>30.0</v>
      </c>
      <c r="N6804" s="107"/>
      <c r="O6804" s="107"/>
      <c r="P6804" s="244" t="s">
        <v>5451</v>
      </c>
      <c r="Q6804" s="245"/>
      <c r="R6804" s="36" t="s">
        <v>31833</v>
      </c>
      <c r="S6804" s="106"/>
      <c r="T6804" s="83" t="s">
        <v>31834</v>
      </c>
      <c r="U6804" s="312" t="str">
        <f>HYPERLINK("https://www.ncbi.nlm.nih.gov/pubmed/29091156","PubMed")</f>
        <v>PubMed</v>
      </c>
      <c r="V6804" s="136"/>
      <c r="W6804" s="49"/>
      <c r="X6804" s="49"/>
      <c r="Y6804" s="35"/>
      <c r="Z6804" s="35"/>
      <c r="AA6804" s="35"/>
      <c r="AB6804" s="35"/>
      <c r="AC6804" s="35"/>
      <c r="AD6804" s="35"/>
      <c r="AE6804" s="35"/>
      <c r="AF6804" s="35"/>
      <c r="AG6804" s="35"/>
      <c r="AH6804" s="35"/>
      <c r="AI6804" s="35"/>
      <c r="AJ6804" s="35"/>
      <c r="AK6804" s="35"/>
      <c r="AL6804" s="35"/>
    </row>
    <row r="6805">
      <c r="A6805" s="133"/>
      <c r="B6805" s="157" t="s">
        <v>31715</v>
      </c>
      <c r="C6805" s="158" t="s">
        <v>31724</v>
      </c>
      <c r="D6805" s="159"/>
      <c r="E6805" s="57" t="s">
        <v>31835</v>
      </c>
      <c r="F6805" s="23" t="s">
        <v>31836</v>
      </c>
      <c r="G6805" s="57">
        <v>2017.0</v>
      </c>
      <c r="H6805" s="57" t="s">
        <v>91</v>
      </c>
      <c r="I6805" s="134" t="s">
        <v>31837</v>
      </c>
      <c r="J6805" s="23" t="s">
        <v>31</v>
      </c>
      <c r="K6805" s="23"/>
      <c r="L6805" s="36">
        <v>808.0</v>
      </c>
      <c r="M6805" s="36">
        <v>200.0</v>
      </c>
      <c r="N6805" s="36" t="s">
        <v>267</v>
      </c>
      <c r="O6805" s="107"/>
      <c r="P6805" s="244" t="s">
        <v>432</v>
      </c>
      <c r="Q6805" s="245"/>
      <c r="R6805" s="36">
        <v>300.0</v>
      </c>
      <c r="S6805" s="36">
        <v>7.0</v>
      </c>
      <c r="T6805" s="83" t="s">
        <v>31838</v>
      </c>
      <c r="U6805" s="312" t="str">
        <f>HYPERLINK("https://www.ncbi.nlm.nih.gov/pubmed/27770222","PubMed")</f>
        <v>PubMed</v>
      </c>
      <c r="V6805" s="136"/>
      <c r="W6805" s="49"/>
      <c r="X6805" s="49"/>
      <c r="Y6805" s="35"/>
      <c r="Z6805" s="35"/>
      <c r="AA6805" s="35"/>
      <c r="AB6805" s="35"/>
      <c r="AC6805" s="35"/>
      <c r="AD6805" s="35"/>
      <c r="AE6805" s="35"/>
      <c r="AF6805" s="35"/>
      <c r="AG6805" s="35"/>
      <c r="AH6805" s="35"/>
      <c r="AI6805" s="35"/>
      <c r="AJ6805" s="35"/>
      <c r="AK6805" s="35"/>
      <c r="AL6805" s="35"/>
    </row>
    <row r="6806">
      <c r="A6806" s="133"/>
      <c r="B6806" s="157" t="s">
        <v>31715</v>
      </c>
      <c r="C6806" s="158" t="s">
        <v>31724</v>
      </c>
      <c r="D6806" s="159"/>
      <c r="E6806" s="57" t="s">
        <v>9226</v>
      </c>
      <c r="F6806" s="23" t="s">
        <v>299</v>
      </c>
      <c r="G6806" s="57">
        <v>2015.0</v>
      </c>
      <c r="H6806" s="57" t="s">
        <v>6902</v>
      </c>
      <c r="I6806" s="134" t="s">
        <v>31839</v>
      </c>
      <c r="J6806" s="23" t="s">
        <v>1629</v>
      </c>
      <c r="K6806" s="23"/>
      <c r="L6806" s="36">
        <v>830.0</v>
      </c>
      <c r="M6806" s="36"/>
      <c r="N6806" s="36" t="s">
        <v>31840</v>
      </c>
      <c r="O6806" s="107"/>
      <c r="P6806" s="244" t="s">
        <v>31841</v>
      </c>
      <c r="Q6806" s="245"/>
      <c r="R6806" s="36" t="s">
        <v>31842</v>
      </c>
      <c r="S6806" s="90" t="s">
        <v>31843</v>
      </c>
      <c r="T6806" s="83" t="s">
        <v>31844</v>
      </c>
      <c r="U6806" s="312" t="str">
        <f>HYPERLINK("https://www.ncbi.nlm.nih.gov/pubmed/26183254","PubMed")</f>
        <v>PubMed</v>
      </c>
      <c r="V6806" s="136"/>
      <c r="W6806" s="49"/>
      <c r="X6806" s="49"/>
      <c r="Y6806" s="35"/>
      <c r="Z6806" s="35"/>
      <c r="AA6806" s="35"/>
      <c r="AB6806" s="35"/>
      <c r="AC6806" s="35"/>
      <c r="AD6806" s="35"/>
      <c r="AE6806" s="35"/>
      <c r="AF6806" s="35"/>
      <c r="AG6806" s="35"/>
      <c r="AH6806" s="35"/>
      <c r="AI6806" s="35"/>
      <c r="AJ6806" s="35"/>
      <c r="AK6806" s="35"/>
      <c r="AL6806" s="35"/>
    </row>
    <row r="6807">
      <c r="A6807" s="133"/>
      <c r="B6807" s="157" t="s">
        <v>31715</v>
      </c>
      <c r="C6807" s="158" t="s">
        <v>31724</v>
      </c>
      <c r="D6807" s="159"/>
      <c r="E6807" s="57" t="s">
        <v>388</v>
      </c>
      <c r="F6807" s="23" t="s">
        <v>41</v>
      </c>
      <c r="G6807" s="57">
        <v>2015.0</v>
      </c>
      <c r="H6807" s="57" t="s">
        <v>91</v>
      </c>
      <c r="I6807" s="134" t="s">
        <v>31845</v>
      </c>
      <c r="J6807" s="23" t="s">
        <v>31</v>
      </c>
      <c r="K6807" s="23" t="s">
        <v>31846</v>
      </c>
      <c r="L6807" s="36">
        <v>660.0</v>
      </c>
      <c r="M6807" s="36">
        <v>30.0</v>
      </c>
      <c r="N6807" s="107"/>
      <c r="O6807" s="107"/>
      <c r="P6807" s="244"/>
      <c r="Q6807" s="245"/>
      <c r="R6807" s="36"/>
      <c r="S6807" s="106"/>
      <c r="T6807" s="83" t="s">
        <v>31847</v>
      </c>
      <c r="U6807" s="312" t="str">
        <f>HYPERLINK("https://www.ncbi.nlm.nih.gov/pubmed/25192841","PubMed")</f>
        <v>PubMed</v>
      </c>
      <c r="V6807" s="136"/>
      <c r="W6807" s="49"/>
      <c r="X6807" s="49"/>
      <c r="Y6807" s="35"/>
      <c r="Z6807" s="35"/>
      <c r="AA6807" s="35"/>
      <c r="AB6807" s="35"/>
      <c r="AC6807" s="35"/>
      <c r="AD6807" s="35"/>
      <c r="AE6807" s="35"/>
      <c r="AF6807" s="35"/>
      <c r="AG6807" s="35"/>
      <c r="AH6807" s="35"/>
      <c r="AI6807" s="35"/>
      <c r="AJ6807" s="35"/>
      <c r="AK6807" s="35"/>
      <c r="AL6807" s="35"/>
    </row>
    <row r="6808">
      <c r="A6808" s="133"/>
      <c r="B6808" s="157" t="s">
        <v>31715</v>
      </c>
      <c r="C6808" s="158" t="s">
        <v>31848</v>
      </c>
      <c r="D6808" s="159"/>
      <c r="E6808" s="57" t="s">
        <v>27</v>
      </c>
      <c r="F6808" s="23" t="s">
        <v>28</v>
      </c>
      <c r="G6808" s="57">
        <v>2020.0</v>
      </c>
      <c r="H6808" s="57" t="s">
        <v>53</v>
      </c>
      <c r="I6808" s="134" t="s">
        <v>31849</v>
      </c>
      <c r="J6808" s="23" t="s">
        <v>31</v>
      </c>
      <c r="K6808" s="23" t="s">
        <v>31850</v>
      </c>
      <c r="L6808" s="36">
        <v>1064.0</v>
      </c>
      <c r="M6808" s="36"/>
      <c r="N6808" s="36"/>
      <c r="O6808" s="36"/>
      <c r="P6808" s="244"/>
      <c r="Q6808" s="245"/>
      <c r="R6808" s="36"/>
      <c r="S6808" s="106"/>
      <c r="T6808" s="84" t="s">
        <v>31851</v>
      </c>
      <c r="U6808" s="248" t="s">
        <v>61</v>
      </c>
      <c r="V6808" s="136"/>
      <c r="W6808" s="49"/>
      <c r="X6808" s="49"/>
      <c r="Y6808" s="35"/>
      <c r="Z6808" s="35"/>
      <c r="AA6808" s="35"/>
      <c r="AB6808" s="35"/>
      <c r="AC6808" s="35"/>
      <c r="AD6808" s="35"/>
      <c r="AE6808" s="35"/>
      <c r="AF6808" s="35"/>
      <c r="AG6808" s="35"/>
      <c r="AH6808" s="35"/>
      <c r="AI6808" s="35"/>
      <c r="AJ6808" s="35"/>
      <c r="AK6808" s="35"/>
      <c r="AL6808" s="35"/>
    </row>
    <row r="6809">
      <c r="A6809" s="133"/>
      <c r="B6809" s="157" t="s">
        <v>31715</v>
      </c>
      <c r="C6809" s="158" t="s">
        <v>31852</v>
      </c>
      <c r="D6809" s="159"/>
      <c r="E6809" s="57" t="s">
        <v>31853</v>
      </c>
      <c r="F6809" s="23" t="s">
        <v>31854</v>
      </c>
      <c r="G6809" s="57">
        <v>2023.0</v>
      </c>
      <c r="H6809" s="57" t="s">
        <v>25388</v>
      </c>
      <c r="I6809" s="134" t="s">
        <v>31855</v>
      </c>
      <c r="J6809" s="23" t="s">
        <v>31</v>
      </c>
      <c r="K6809" s="23"/>
      <c r="L6809" s="36">
        <v>660.0</v>
      </c>
      <c r="M6809" s="36"/>
      <c r="N6809" s="36"/>
      <c r="O6809" s="36"/>
      <c r="P6809" s="244"/>
      <c r="Q6809" s="245"/>
      <c r="R6809" s="36"/>
      <c r="S6809" s="106"/>
      <c r="T6809" s="83" t="s">
        <v>31856</v>
      </c>
      <c r="U6809" s="255" t="s">
        <v>61</v>
      </c>
      <c r="V6809" s="136"/>
      <c r="W6809" s="49"/>
      <c r="X6809" s="49"/>
      <c r="Y6809" s="35"/>
      <c r="Z6809" s="35"/>
      <c r="AA6809" s="35"/>
      <c r="AB6809" s="35"/>
      <c r="AC6809" s="35"/>
      <c r="AD6809" s="35"/>
      <c r="AE6809" s="35"/>
      <c r="AF6809" s="35"/>
      <c r="AG6809" s="35"/>
      <c r="AH6809" s="35"/>
      <c r="AI6809" s="35"/>
      <c r="AJ6809" s="35"/>
      <c r="AK6809" s="35"/>
      <c r="AL6809" s="35"/>
    </row>
    <row r="6810">
      <c r="A6810" s="133"/>
      <c r="B6810" s="157" t="s">
        <v>31715</v>
      </c>
      <c r="C6810" s="158" t="s">
        <v>31852</v>
      </c>
      <c r="D6810" s="159"/>
      <c r="E6810" s="57" t="s">
        <v>18797</v>
      </c>
      <c r="F6810" s="23" t="s">
        <v>323</v>
      </c>
      <c r="G6810" s="57">
        <v>2023.0</v>
      </c>
      <c r="H6810" s="57" t="s">
        <v>77</v>
      </c>
      <c r="I6810" s="134" t="s">
        <v>31857</v>
      </c>
      <c r="J6810" s="23" t="s">
        <v>31</v>
      </c>
      <c r="K6810" s="23"/>
      <c r="L6810" s="36"/>
      <c r="M6810" s="36"/>
      <c r="N6810" s="36"/>
      <c r="O6810" s="36"/>
      <c r="P6810" s="244"/>
      <c r="Q6810" s="245"/>
      <c r="R6810" s="36"/>
      <c r="S6810" s="106"/>
      <c r="T6810" s="83" t="s">
        <v>31858</v>
      </c>
      <c r="U6810" s="255" t="s">
        <v>61</v>
      </c>
      <c r="V6810" s="136"/>
      <c r="W6810" s="49"/>
      <c r="X6810" s="49"/>
      <c r="Y6810" s="35"/>
      <c r="Z6810" s="35"/>
      <c r="AA6810" s="35"/>
      <c r="AB6810" s="35"/>
      <c r="AC6810" s="35"/>
      <c r="AD6810" s="35"/>
      <c r="AE6810" s="35"/>
      <c r="AF6810" s="35"/>
      <c r="AG6810" s="35"/>
      <c r="AH6810" s="35"/>
      <c r="AI6810" s="35"/>
      <c r="AJ6810" s="35"/>
      <c r="AK6810" s="35"/>
      <c r="AL6810" s="35"/>
    </row>
    <row r="6811">
      <c r="A6811" s="133"/>
      <c r="B6811" s="157" t="s">
        <v>31715</v>
      </c>
      <c r="C6811" s="158" t="s">
        <v>31852</v>
      </c>
      <c r="D6811" s="159"/>
      <c r="E6811" s="57" t="s">
        <v>18797</v>
      </c>
      <c r="F6811" s="23" t="s">
        <v>323</v>
      </c>
      <c r="G6811" s="57">
        <v>2022.0</v>
      </c>
      <c r="H6811" s="57" t="s">
        <v>147</v>
      </c>
      <c r="I6811" s="134" t="s">
        <v>31859</v>
      </c>
      <c r="J6811" s="23" t="s">
        <v>31</v>
      </c>
      <c r="K6811" s="23"/>
      <c r="L6811" s="36">
        <v>630.0</v>
      </c>
      <c r="M6811" s="36">
        <v>5.0</v>
      </c>
      <c r="N6811" s="36"/>
      <c r="O6811" s="36"/>
      <c r="P6811" s="244" t="s">
        <v>254</v>
      </c>
      <c r="Q6811" s="245"/>
      <c r="R6811" s="36"/>
      <c r="S6811" s="106"/>
      <c r="T6811" s="83" t="s">
        <v>31860</v>
      </c>
      <c r="U6811" s="255" t="s">
        <v>61</v>
      </c>
      <c r="V6811" s="136"/>
      <c r="W6811" s="49"/>
      <c r="X6811" s="49"/>
      <c r="Y6811" s="35"/>
      <c r="Z6811" s="35"/>
      <c r="AA6811" s="35"/>
      <c r="AB6811" s="35"/>
      <c r="AC6811" s="35"/>
      <c r="AD6811" s="35"/>
      <c r="AE6811" s="35"/>
      <c r="AF6811" s="35"/>
      <c r="AG6811" s="35"/>
      <c r="AH6811" s="35"/>
      <c r="AI6811" s="35"/>
      <c r="AJ6811" s="35"/>
      <c r="AK6811" s="35"/>
      <c r="AL6811" s="35"/>
    </row>
    <row r="6812">
      <c r="A6812" s="133"/>
      <c r="B6812" s="157" t="s">
        <v>31715</v>
      </c>
      <c r="C6812" s="158" t="s">
        <v>31852</v>
      </c>
      <c r="D6812" s="159"/>
      <c r="E6812" s="57" t="s">
        <v>21268</v>
      </c>
      <c r="F6812" s="23" t="s">
        <v>1930</v>
      </c>
      <c r="G6812" s="57">
        <v>2022.0</v>
      </c>
      <c r="H6812" s="57" t="s">
        <v>12502</v>
      </c>
      <c r="I6812" s="134" t="s">
        <v>31861</v>
      </c>
      <c r="J6812" s="23" t="s">
        <v>31</v>
      </c>
      <c r="K6812" s="23" t="s">
        <v>653</v>
      </c>
      <c r="L6812" s="36"/>
      <c r="M6812" s="36"/>
      <c r="N6812" s="36"/>
      <c r="O6812" s="36"/>
      <c r="P6812" s="244" t="s">
        <v>254</v>
      </c>
      <c r="Q6812" s="245"/>
      <c r="R6812" s="36"/>
      <c r="S6812" s="106"/>
      <c r="T6812" s="83" t="s">
        <v>31862</v>
      </c>
      <c r="U6812" s="255" t="s">
        <v>61</v>
      </c>
      <c r="V6812" s="136"/>
      <c r="W6812" s="49"/>
      <c r="X6812" s="49"/>
      <c r="Y6812" s="35"/>
      <c r="Z6812" s="35"/>
      <c r="AA6812" s="35"/>
      <c r="AB6812" s="35"/>
      <c r="AC6812" s="35"/>
      <c r="AD6812" s="35"/>
      <c r="AE6812" s="35"/>
      <c r="AF6812" s="35"/>
      <c r="AG6812" s="35"/>
      <c r="AH6812" s="35"/>
      <c r="AI6812" s="35"/>
      <c r="AJ6812" s="35"/>
      <c r="AK6812" s="35"/>
      <c r="AL6812" s="35"/>
    </row>
    <row r="6813">
      <c r="A6813" s="133"/>
      <c r="B6813" s="157" t="s">
        <v>31715</v>
      </c>
      <c r="C6813" s="158" t="s">
        <v>31852</v>
      </c>
      <c r="D6813" s="159"/>
      <c r="E6813" s="57" t="s">
        <v>31863</v>
      </c>
      <c r="F6813" s="23" t="s">
        <v>25676</v>
      </c>
      <c r="G6813" s="57">
        <v>2022.0</v>
      </c>
      <c r="H6813" s="57" t="s">
        <v>91</v>
      </c>
      <c r="I6813" s="134" t="s">
        <v>31864</v>
      </c>
      <c r="J6813" s="23" t="s">
        <v>31</v>
      </c>
      <c r="K6813" s="23"/>
      <c r="L6813" s="36" t="s">
        <v>9219</v>
      </c>
      <c r="M6813" s="36"/>
      <c r="N6813" s="36"/>
      <c r="O6813" s="36"/>
      <c r="P6813" s="244" t="s">
        <v>31865</v>
      </c>
      <c r="Q6813" s="245"/>
      <c r="R6813" s="36"/>
      <c r="S6813" s="106"/>
      <c r="T6813" s="83" t="s">
        <v>31866</v>
      </c>
      <c r="U6813" s="248" t="s">
        <v>61</v>
      </c>
      <c r="V6813" s="136"/>
      <c r="W6813" s="49"/>
      <c r="X6813" s="49"/>
      <c r="Y6813" s="35"/>
      <c r="Z6813" s="35"/>
      <c r="AA6813" s="35"/>
      <c r="AB6813" s="35"/>
      <c r="AC6813" s="35"/>
      <c r="AD6813" s="35"/>
      <c r="AE6813" s="35"/>
      <c r="AF6813" s="35"/>
      <c r="AG6813" s="35"/>
      <c r="AH6813" s="35"/>
      <c r="AI6813" s="35"/>
      <c r="AJ6813" s="35"/>
      <c r="AK6813" s="35"/>
      <c r="AL6813" s="35"/>
    </row>
    <row r="6814">
      <c r="A6814" s="133"/>
      <c r="B6814" s="157" t="s">
        <v>31715</v>
      </c>
      <c r="C6814" s="158" t="s">
        <v>31852</v>
      </c>
      <c r="D6814" s="159"/>
      <c r="E6814" s="57" t="s">
        <v>31867</v>
      </c>
      <c r="F6814" s="23" t="s">
        <v>1636</v>
      </c>
      <c r="G6814" s="57">
        <v>2021.0</v>
      </c>
      <c r="H6814" s="57" t="s">
        <v>147</v>
      </c>
      <c r="I6814" s="134" t="s">
        <v>31868</v>
      </c>
      <c r="J6814" s="23" t="s">
        <v>31</v>
      </c>
      <c r="K6814" s="23"/>
      <c r="L6814" s="36">
        <v>650.0</v>
      </c>
      <c r="M6814" s="36"/>
      <c r="N6814" s="36"/>
      <c r="O6814" s="36"/>
      <c r="P6814" s="244" t="s">
        <v>82</v>
      </c>
      <c r="Q6814" s="245"/>
      <c r="R6814" s="36"/>
      <c r="S6814" s="106"/>
      <c r="T6814" s="83" t="s">
        <v>31869</v>
      </c>
      <c r="U6814" s="248" t="s">
        <v>61</v>
      </c>
      <c r="V6814" s="136"/>
      <c r="W6814" s="49"/>
      <c r="X6814" s="49"/>
      <c r="Y6814" s="35"/>
      <c r="Z6814" s="35"/>
      <c r="AA6814" s="35"/>
      <c r="AB6814" s="35"/>
      <c r="AC6814" s="35"/>
      <c r="AD6814" s="35"/>
      <c r="AE6814" s="35"/>
      <c r="AF6814" s="35"/>
      <c r="AG6814" s="35"/>
      <c r="AH6814" s="35"/>
      <c r="AI6814" s="35"/>
      <c r="AJ6814" s="35"/>
      <c r="AK6814" s="35"/>
      <c r="AL6814" s="35"/>
    </row>
    <row r="6815">
      <c r="A6815" s="133"/>
      <c r="B6815" s="157" t="s">
        <v>31715</v>
      </c>
      <c r="C6815" s="158" t="s">
        <v>31870</v>
      </c>
      <c r="D6815" s="159"/>
      <c r="E6815" s="57" t="s">
        <v>31871</v>
      </c>
      <c r="F6815" s="23" t="s">
        <v>2346</v>
      </c>
      <c r="G6815" s="57">
        <v>2023.0</v>
      </c>
      <c r="H6815" s="57" t="s">
        <v>3065</v>
      </c>
      <c r="I6815" s="134" t="s">
        <v>31872</v>
      </c>
      <c r="J6815" s="23" t="s">
        <v>31</v>
      </c>
      <c r="K6815" s="23"/>
      <c r="L6815" s="36">
        <v>970.0</v>
      </c>
      <c r="M6815" s="36"/>
      <c r="N6815" s="36"/>
      <c r="O6815" s="36"/>
      <c r="P6815" s="244"/>
      <c r="Q6815" s="245"/>
      <c r="R6815" s="36"/>
      <c r="S6815" s="245"/>
      <c r="T6815" s="83" t="s">
        <v>31873</v>
      </c>
      <c r="U6815" s="255" t="s">
        <v>61</v>
      </c>
      <c r="V6815" s="136"/>
      <c r="W6815" s="49"/>
      <c r="X6815" s="49"/>
      <c r="Y6815" s="35"/>
      <c r="Z6815" s="35"/>
      <c r="AA6815" s="35"/>
      <c r="AB6815" s="35"/>
      <c r="AC6815" s="35"/>
      <c r="AD6815" s="35"/>
      <c r="AE6815" s="35"/>
      <c r="AF6815" s="35"/>
      <c r="AG6815" s="35"/>
      <c r="AH6815" s="35"/>
      <c r="AI6815" s="35"/>
      <c r="AJ6815" s="35"/>
      <c r="AK6815" s="35"/>
      <c r="AL6815" s="35"/>
    </row>
    <row r="6816">
      <c r="A6816" s="133"/>
      <c r="B6816" s="157" t="s">
        <v>31715</v>
      </c>
      <c r="C6816" s="158" t="s">
        <v>31870</v>
      </c>
      <c r="D6816" s="159"/>
      <c r="E6816" s="57" t="s">
        <v>216</v>
      </c>
      <c r="F6816" s="23" t="s">
        <v>1968</v>
      </c>
      <c r="G6816" s="57">
        <v>2023.0</v>
      </c>
      <c r="H6816" s="57" t="s">
        <v>77</v>
      </c>
      <c r="I6816" s="134" t="s">
        <v>31874</v>
      </c>
      <c r="J6816" s="23" t="s">
        <v>31</v>
      </c>
      <c r="K6816" s="23" t="s">
        <v>157</v>
      </c>
      <c r="L6816" s="36">
        <v>800.0</v>
      </c>
      <c r="M6816" s="36"/>
      <c r="N6816" s="36"/>
      <c r="O6816" s="36"/>
      <c r="P6816" s="244"/>
      <c r="Q6816" s="245"/>
      <c r="R6816" s="36">
        <v>180.0</v>
      </c>
      <c r="S6816" s="245"/>
      <c r="T6816" s="83" t="s">
        <v>31875</v>
      </c>
      <c r="U6816" s="255" t="s">
        <v>61</v>
      </c>
      <c r="V6816" s="136"/>
      <c r="W6816" s="49"/>
      <c r="X6816" s="49"/>
      <c r="Y6816" s="35"/>
      <c r="Z6816" s="35"/>
      <c r="AA6816" s="35"/>
      <c r="AB6816" s="35"/>
      <c r="AC6816" s="35"/>
      <c r="AD6816" s="35"/>
      <c r="AE6816" s="35"/>
      <c r="AF6816" s="35"/>
      <c r="AG6816" s="35"/>
      <c r="AH6816" s="35"/>
      <c r="AI6816" s="35"/>
      <c r="AJ6816" s="35"/>
      <c r="AK6816" s="35"/>
      <c r="AL6816" s="35"/>
    </row>
    <row r="6817">
      <c r="A6817" s="133"/>
      <c r="B6817" s="157" t="s">
        <v>31715</v>
      </c>
      <c r="C6817" s="158" t="s">
        <v>31870</v>
      </c>
      <c r="D6817" s="159"/>
      <c r="E6817" s="57" t="s">
        <v>31876</v>
      </c>
      <c r="F6817" s="23" t="s">
        <v>5416</v>
      </c>
      <c r="G6817" s="57">
        <v>2022.0</v>
      </c>
      <c r="H6817" s="57" t="s">
        <v>91</v>
      </c>
      <c r="I6817" s="134" t="s">
        <v>31877</v>
      </c>
      <c r="J6817" s="23" t="s">
        <v>31</v>
      </c>
      <c r="K6817" s="23"/>
      <c r="L6817" s="36">
        <v>660.0</v>
      </c>
      <c r="M6817" s="36" t="s">
        <v>15810</v>
      </c>
      <c r="N6817" s="36" t="s">
        <v>31878</v>
      </c>
      <c r="O6817" s="36"/>
      <c r="P6817" s="244" t="s">
        <v>8848</v>
      </c>
      <c r="Q6817" s="245" t="s">
        <v>31879</v>
      </c>
      <c r="R6817" s="36" t="s">
        <v>31880</v>
      </c>
      <c r="S6817" s="245">
        <v>3.0</v>
      </c>
      <c r="T6817" s="83" t="s">
        <v>31881</v>
      </c>
      <c r="U6817" s="255" t="s">
        <v>61</v>
      </c>
      <c r="V6817" s="136"/>
      <c r="W6817" s="49"/>
      <c r="X6817" s="49"/>
      <c r="Y6817" s="35"/>
      <c r="Z6817" s="35"/>
      <c r="AA6817" s="35"/>
      <c r="AB6817" s="35"/>
      <c r="AC6817" s="35"/>
      <c r="AD6817" s="35"/>
      <c r="AE6817" s="35"/>
      <c r="AF6817" s="35"/>
      <c r="AG6817" s="35"/>
      <c r="AH6817" s="35"/>
      <c r="AI6817" s="35"/>
      <c r="AJ6817" s="35"/>
      <c r="AK6817" s="35"/>
      <c r="AL6817" s="35"/>
    </row>
    <row r="6818">
      <c r="A6818" s="133"/>
      <c r="B6818" s="157" t="s">
        <v>31715</v>
      </c>
      <c r="C6818" s="158" t="s">
        <v>31870</v>
      </c>
      <c r="D6818" s="159"/>
      <c r="E6818" s="57" t="s">
        <v>1652</v>
      </c>
      <c r="F6818" s="23" t="s">
        <v>41</v>
      </c>
      <c r="G6818" s="57">
        <v>2022.0</v>
      </c>
      <c r="H6818" s="57" t="s">
        <v>91</v>
      </c>
      <c r="I6818" s="134" t="s">
        <v>31882</v>
      </c>
      <c r="J6818" s="23" t="s">
        <v>31</v>
      </c>
      <c r="K6818" s="23"/>
      <c r="L6818" s="36">
        <v>660.0</v>
      </c>
      <c r="M6818" s="36">
        <v>20.0</v>
      </c>
      <c r="N6818" s="36" t="s">
        <v>1655</v>
      </c>
      <c r="O6818" s="36" t="s">
        <v>1656</v>
      </c>
      <c r="P6818" s="244" t="s">
        <v>432</v>
      </c>
      <c r="Q6818" s="245"/>
      <c r="R6818" s="36"/>
      <c r="S6818" s="106"/>
      <c r="T6818" s="83" t="s">
        <v>31883</v>
      </c>
      <c r="U6818" s="248" t="s">
        <v>61</v>
      </c>
      <c r="V6818" s="136"/>
      <c r="W6818" s="49"/>
      <c r="X6818" s="49"/>
      <c r="Y6818" s="35"/>
      <c r="Z6818" s="35"/>
      <c r="AA6818" s="35"/>
      <c r="AB6818" s="35"/>
      <c r="AC6818" s="35"/>
      <c r="AD6818" s="35"/>
      <c r="AE6818" s="35"/>
      <c r="AF6818" s="35"/>
      <c r="AG6818" s="35"/>
      <c r="AH6818" s="35"/>
      <c r="AI6818" s="35"/>
      <c r="AJ6818" s="35"/>
      <c r="AK6818" s="35"/>
      <c r="AL6818" s="35"/>
    </row>
    <row r="6819">
      <c r="A6819" s="133"/>
      <c r="B6819" s="157" t="s">
        <v>31715</v>
      </c>
      <c r="C6819" s="158" t="s">
        <v>31870</v>
      </c>
      <c r="D6819" s="159"/>
      <c r="E6819" s="57" t="s">
        <v>31884</v>
      </c>
      <c r="F6819" s="23" t="s">
        <v>6319</v>
      </c>
      <c r="G6819" s="57">
        <v>2021.0</v>
      </c>
      <c r="H6819" s="57" t="s">
        <v>3902</v>
      </c>
      <c r="I6819" s="134" t="s">
        <v>31885</v>
      </c>
      <c r="J6819" s="23" t="s">
        <v>31</v>
      </c>
      <c r="K6819" s="23" t="s">
        <v>157</v>
      </c>
      <c r="L6819" s="36">
        <v>630.0</v>
      </c>
      <c r="M6819" s="36"/>
      <c r="N6819" s="36" t="s">
        <v>31886</v>
      </c>
      <c r="O6819" s="36"/>
      <c r="P6819" s="244" t="s">
        <v>254</v>
      </c>
      <c r="Q6819" s="245"/>
      <c r="R6819" s="36"/>
      <c r="S6819" s="106"/>
      <c r="T6819" s="84" t="s">
        <v>31887</v>
      </c>
      <c r="U6819" s="248" t="s">
        <v>61</v>
      </c>
      <c r="V6819" s="136"/>
      <c r="W6819" s="49"/>
      <c r="X6819" s="49"/>
      <c r="Y6819" s="35"/>
      <c r="Z6819" s="35"/>
      <c r="AA6819" s="35"/>
      <c r="AB6819" s="35"/>
      <c r="AC6819" s="35"/>
      <c r="AD6819" s="35"/>
      <c r="AE6819" s="35"/>
      <c r="AF6819" s="35"/>
      <c r="AG6819" s="35"/>
      <c r="AH6819" s="35"/>
      <c r="AI6819" s="35"/>
      <c r="AJ6819" s="35"/>
      <c r="AK6819" s="35"/>
      <c r="AL6819" s="35"/>
    </row>
    <row r="6820">
      <c r="A6820" s="133"/>
      <c r="B6820" s="157" t="s">
        <v>31715</v>
      </c>
      <c r="C6820" s="158" t="s">
        <v>31870</v>
      </c>
      <c r="D6820" s="159"/>
      <c r="E6820" s="57" t="s">
        <v>21695</v>
      </c>
      <c r="F6820" s="23" t="s">
        <v>8062</v>
      </c>
      <c r="G6820" s="57">
        <v>2021.0</v>
      </c>
      <c r="H6820" s="57" t="s">
        <v>31888</v>
      </c>
      <c r="I6820" s="134" t="s">
        <v>31889</v>
      </c>
      <c r="J6820" s="23" t="s">
        <v>31</v>
      </c>
      <c r="K6820" s="23"/>
      <c r="L6820" s="36">
        <v>805.0</v>
      </c>
      <c r="M6820" s="36"/>
      <c r="N6820" s="36"/>
      <c r="O6820" s="36"/>
      <c r="P6820" s="244" t="s">
        <v>31890</v>
      </c>
      <c r="Q6820" s="245"/>
      <c r="R6820" s="36"/>
      <c r="S6820" s="106"/>
      <c r="T6820" s="83" t="s">
        <v>31891</v>
      </c>
      <c r="U6820" s="248" t="s">
        <v>61</v>
      </c>
      <c r="V6820" s="136"/>
      <c r="W6820" s="49"/>
      <c r="X6820" s="49"/>
      <c r="Y6820" s="35"/>
      <c r="Z6820" s="35"/>
      <c r="AA6820" s="35"/>
      <c r="AB6820" s="35"/>
      <c r="AC6820" s="35"/>
      <c r="AD6820" s="35"/>
      <c r="AE6820" s="35"/>
      <c r="AF6820" s="35"/>
      <c r="AG6820" s="35"/>
      <c r="AH6820" s="35"/>
      <c r="AI6820" s="35"/>
      <c r="AJ6820" s="35"/>
      <c r="AK6820" s="35"/>
      <c r="AL6820" s="35"/>
    </row>
    <row r="6821">
      <c r="A6821" s="191" t="s">
        <v>181</v>
      </c>
      <c r="B6821" s="157" t="s">
        <v>31715</v>
      </c>
      <c r="C6821" s="158" t="s">
        <v>31870</v>
      </c>
      <c r="D6821" s="159"/>
      <c r="E6821" s="57" t="s">
        <v>216</v>
      </c>
      <c r="F6821" s="23" t="s">
        <v>1968</v>
      </c>
      <c r="G6821" s="57">
        <v>2021.0</v>
      </c>
      <c r="H6821" s="57" t="s">
        <v>91</v>
      </c>
      <c r="I6821" s="134" t="s">
        <v>31892</v>
      </c>
      <c r="J6821" s="23" t="s">
        <v>31</v>
      </c>
      <c r="K6821" s="23" t="s">
        <v>157</v>
      </c>
      <c r="L6821" s="36">
        <v>800.0</v>
      </c>
      <c r="M6821" s="36"/>
      <c r="N6821" s="36" t="s">
        <v>5323</v>
      </c>
      <c r="O6821" s="36"/>
      <c r="P6821" s="244" t="s">
        <v>18299</v>
      </c>
      <c r="Q6821" s="245"/>
      <c r="R6821" s="36">
        <v>180.0</v>
      </c>
      <c r="S6821" s="106"/>
      <c r="T6821" s="83" t="s">
        <v>31893</v>
      </c>
      <c r="U6821" s="248" t="s">
        <v>61</v>
      </c>
      <c r="V6821" s="136"/>
      <c r="W6821" s="49"/>
      <c r="X6821" s="49"/>
      <c r="Y6821" s="35"/>
      <c r="Z6821" s="35"/>
      <c r="AA6821" s="35"/>
      <c r="AB6821" s="35"/>
      <c r="AC6821" s="35"/>
      <c r="AD6821" s="35"/>
      <c r="AE6821" s="35"/>
      <c r="AF6821" s="35"/>
      <c r="AG6821" s="35"/>
      <c r="AH6821" s="35"/>
      <c r="AI6821" s="35"/>
      <c r="AJ6821" s="35"/>
      <c r="AK6821" s="35"/>
      <c r="AL6821" s="35"/>
    </row>
    <row r="6822">
      <c r="A6822" s="133"/>
      <c r="B6822" s="157" t="s">
        <v>31715</v>
      </c>
      <c r="C6822" s="158" t="s">
        <v>31870</v>
      </c>
      <c r="D6822" s="159"/>
      <c r="E6822" s="57" t="s">
        <v>31894</v>
      </c>
      <c r="F6822" s="23" t="s">
        <v>3344</v>
      </c>
      <c r="G6822" s="57">
        <v>2021.0</v>
      </c>
      <c r="H6822" s="57" t="s">
        <v>2181</v>
      </c>
      <c r="I6822" s="134" t="s">
        <v>31895</v>
      </c>
      <c r="J6822" s="23" t="s">
        <v>31</v>
      </c>
      <c r="K6822" s="23" t="s">
        <v>1240</v>
      </c>
      <c r="L6822" s="36">
        <v>808.0</v>
      </c>
      <c r="M6822" s="36"/>
      <c r="N6822" s="36"/>
      <c r="O6822" s="36"/>
      <c r="P6822" s="244" t="s">
        <v>31896</v>
      </c>
      <c r="Q6822" s="245"/>
      <c r="R6822" s="36"/>
      <c r="S6822" s="106"/>
      <c r="T6822" s="83" t="s">
        <v>31897</v>
      </c>
      <c r="U6822" s="248" t="s">
        <v>61</v>
      </c>
      <c r="V6822" s="136"/>
      <c r="W6822" s="49"/>
      <c r="X6822" s="49"/>
      <c r="Y6822" s="35"/>
      <c r="Z6822" s="35"/>
      <c r="AA6822" s="35"/>
      <c r="AB6822" s="35"/>
      <c r="AC6822" s="35"/>
      <c r="AD6822" s="35"/>
      <c r="AE6822" s="35"/>
      <c r="AF6822" s="35"/>
      <c r="AG6822" s="35"/>
      <c r="AH6822" s="35"/>
      <c r="AI6822" s="35"/>
      <c r="AJ6822" s="35"/>
      <c r="AK6822" s="35"/>
      <c r="AL6822" s="35"/>
    </row>
    <row r="6823">
      <c r="A6823" s="133"/>
      <c r="B6823" s="157" t="s">
        <v>31715</v>
      </c>
      <c r="C6823" s="158" t="s">
        <v>31870</v>
      </c>
      <c r="D6823" s="159"/>
      <c r="E6823" s="57" t="s">
        <v>5065</v>
      </c>
      <c r="F6823" s="23" t="s">
        <v>14812</v>
      </c>
      <c r="G6823" s="57">
        <v>2020.0</v>
      </c>
      <c r="H6823" s="57" t="s">
        <v>31898</v>
      </c>
      <c r="I6823" s="134" t="s">
        <v>31899</v>
      </c>
      <c r="J6823" s="23" t="s">
        <v>31</v>
      </c>
      <c r="K6823" s="23"/>
      <c r="L6823" s="36">
        <v>808.0</v>
      </c>
      <c r="M6823" s="36">
        <v>1000.0</v>
      </c>
      <c r="N6823" s="36">
        <v>1.0</v>
      </c>
      <c r="O6823" s="36"/>
      <c r="P6823" s="244"/>
      <c r="Q6823" s="245"/>
      <c r="R6823" s="36">
        <v>60.0</v>
      </c>
      <c r="S6823" s="106"/>
      <c r="T6823" s="83" t="s">
        <v>31900</v>
      </c>
      <c r="U6823" s="248" t="s">
        <v>61</v>
      </c>
      <c r="V6823" s="136"/>
      <c r="W6823" s="49"/>
      <c r="X6823" s="49"/>
      <c r="Y6823" s="35"/>
      <c r="Z6823" s="35"/>
      <c r="AA6823" s="35"/>
      <c r="AB6823" s="35"/>
      <c r="AC6823" s="35"/>
      <c r="AD6823" s="35"/>
      <c r="AE6823" s="35"/>
      <c r="AF6823" s="35"/>
      <c r="AG6823" s="35"/>
      <c r="AH6823" s="35"/>
      <c r="AI6823" s="35"/>
      <c r="AJ6823" s="35"/>
      <c r="AK6823" s="35"/>
      <c r="AL6823" s="35"/>
    </row>
    <row r="6824">
      <c r="A6824" s="133"/>
      <c r="B6824" s="157" t="s">
        <v>31715</v>
      </c>
      <c r="C6824" s="158" t="s">
        <v>31870</v>
      </c>
      <c r="D6824" s="159"/>
      <c r="E6824" s="57" t="s">
        <v>4971</v>
      </c>
      <c r="F6824" s="23" t="s">
        <v>2076</v>
      </c>
      <c r="G6824" s="57">
        <v>2019.0</v>
      </c>
      <c r="H6824" s="57" t="s">
        <v>53</v>
      </c>
      <c r="I6824" s="134" t="s">
        <v>31901</v>
      </c>
      <c r="J6824" s="23" t="s">
        <v>31</v>
      </c>
      <c r="K6824" s="23"/>
      <c r="L6824" s="36" t="s">
        <v>4503</v>
      </c>
      <c r="M6824" s="36"/>
      <c r="N6824" s="36"/>
      <c r="O6824" s="36"/>
      <c r="P6824" s="244"/>
      <c r="Q6824" s="245"/>
      <c r="R6824" s="36"/>
      <c r="S6824" s="106"/>
      <c r="T6824" s="84" t="s">
        <v>31902</v>
      </c>
      <c r="U6824" s="312" t="str">
        <f>HYPERLINK("https://www.ncbi.nlm.nih.gov/pubmed/31165521","PubMed")</f>
        <v>PubMed</v>
      </c>
      <c r="V6824" s="136"/>
      <c r="W6824" s="49"/>
      <c r="X6824" s="49"/>
      <c r="Y6824" s="35"/>
      <c r="Z6824" s="35"/>
      <c r="AA6824" s="35"/>
      <c r="AB6824" s="35"/>
      <c r="AC6824" s="35"/>
      <c r="AD6824" s="35"/>
      <c r="AE6824" s="35"/>
      <c r="AF6824" s="35"/>
      <c r="AG6824" s="35"/>
      <c r="AH6824" s="35"/>
      <c r="AI6824" s="35"/>
      <c r="AJ6824" s="35"/>
      <c r="AK6824" s="35"/>
      <c r="AL6824" s="35"/>
    </row>
    <row r="6825">
      <c r="A6825" s="133"/>
      <c r="B6825" s="157" t="s">
        <v>31715</v>
      </c>
      <c r="C6825" s="158" t="s">
        <v>31870</v>
      </c>
      <c r="D6825" s="159"/>
      <c r="E6825" s="57" t="s">
        <v>626</v>
      </c>
      <c r="F6825" s="23" t="s">
        <v>14604</v>
      </c>
      <c r="G6825" s="57">
        <v>2018.0</v>
      </c>
      <c r="H6825" s="57" t="s">
        <v>91</v>
      </c>
      <c r="I6825" s="134" t="s">
        <v>31903</v>
      </c>
      <c r="J6825" s="23" t="s">
        <v>31</v>
      </c>
      <c r="K6825" s="23" t="s">
        <v>1240</v>
      </c>
      <c r="L6825" s="36">
        <v>1064.0</v>
      </c>
      <c r="M6825" s="36"/>
      <c r="N6825" s="36"/>
      <c r="O6825" s="36"/>
      <c r="P6825" s="244" t="s">
        <v>31904</v>
      </c>
      <c r="Q6825" s="245"/>
      <c r="R6825" s="36"/>
      <c r="S6825" s="106"/>
      <c r="T6825" s="83" t="s">
        <v>31905</v>
      </c>
      <c r="U6825" s="312" t="str">
        <f>HYPERLINK("https://www.ncbi.nlm.nih.gov/pubmed/30456535","PubMed")</f>
        <v>PubMed</v>
      </c>
      <c r="V6825" s="136"/>
      <c r="W6825" s="49"/>
      <c r="X6825" s="49"/>
      <c r="Y6825" s="35"/>
      <c r="Z6825" s="35"/>
      <c r="AA6825" s="35"/>
      <c r="AB6825" s="35"/>
      <c r="AC6825" s="35"/>
      <c r="AD6825" s="35"/>
      <c r="AE6825" s="35"/>
      <c r="AF6825" s="35"/>
      <c r="AG6825" s="35"/>
      <c r="AH6825" s="35"/>
      <c r="AI6825" s="35"/>
      <c r="AJ6825" s="35"/>
      <c r="AK6825" s="35"/>
      <c r="AL6825" s="35"/>
    </row>
    <row r="6826">
      <c r="A6826" s="133"/>
      <c r="B6826" s="157" t="s">
        <v>31715</v>
      </c>
      <c r="C6826" s="158" t="s">
        <v>31870</v>
      </c>
      <c r="D6826" s="159"/>
      <c r="E6826" s="57" t="s">
        <v>31906</v>
      </c>
      <c r="F6826" s="23" t="s">
        <v>9002</v>
      </c>
      <c r="G6826" s="57">
        <v>2018.0</v>
      </c>
      <c r="H6826" s="57" t="s">
        <v>1485</v>
      </c>
      <c r="I6826" s="134" t="s">
        <v>29749</v>
      </c>
      <c r="J6826" s="23" t="s">
        <v>31</v>
      </c>
      <c r="K6826" s="23"/>
      <c r="L6826" s="36">
        <v>670.0</v>
      </c>
      <c r="M6826" s="36"/>
      <c r="N6826" s="36"/>
      <c r="O6826" s="36"/>
      <c r="P6826" s="244" t="s">
        <v>211</v>
      </c>
      <c r="Q6826" s="245"/>
      <c r="R6826" s="36"/>
      <c r="S6826" s="106"/>
      <c r="T6826" s="83" t="s">
        <v>29750</v>
      </c>
      <c r="U6826" s="312" t="str">
        <f>HYPERLINK("https://www.ncbi.nlm.nih.gov/pubmed/30458313","PubMed")</f>
        <v>PubMed</v>
      </c>
      <c r="V6826" s="136"/>
      <c r="W6826" s="49"/>
      <c r="X6826" s="49"/>
      <c r="Y6826" s="35"/>
      <c r="Z6826" s="35"/>
      <c r="AA6826" s="35"/>
      <c r="AB6826" s="35"/>
      <c r="AC6826" s="35"/>
      <c r="AD6826" s="35"/>
      <c r="AE6826" s="35"/>
      <c r="AF6826" s="35"/>
      <c r="AG6826" s="35"/>
      <c r="AH6826" s="35"/>
      <c r="AI6826" s="35"/>
      <c r="AJ6826" s="35"/>
      <c r="AK6826" s="35"/>
      <c r="AL6826" s="35"/>
    </row>
    <row r="6827">
      <c r="A6827" s="133"/>
      <c r="B6827" s="157" t="s">
        <v>31715</v>
      </c>
      <c r="C6827" s="158" t="s">
        <v>31870</v>
      </c>
      <c r="D6827" s="159"/>
      <c r="E6827" s="57" t="s">
        <v>31907</v>
      </c>
      <c r="F6827" s="23" t="s">
        <v>323</v>
      </c>
      <c r="G6827" s="57">
        <v>2018.0</v>
      </c>
      <c r="H6827" s="57" t="s">
        <v>9113</v>
      </c>
      <c r="I6827" s="134" t="s">
        <v>31908</v>
      </c>
      <c r="J6827" s="23" t="s">
        <v>31</v>
      </c>
      <c r="K6827" s="23"/>
      <c r="L6827" s="36">
        <v>633.0</v>
      </c>
      <c r="M6827" s="36">
        <v>3.0</v>
      </c>
      <c r="N6827" s="36" t="s">
        <v>31909</v>
      </c>
      <c r="O6827" s="36"/>
      <c r="P6827" s="244" t="s">
        <v>325</v>
      </c>
      <c r="Q6827" s="245" t="s">
        <v>31910</v>
      </c>
      <c r="R6827" s="36">
        <v>378.0</v>
      </c>
      <c r="S6827" s="106"/>
      <c r="T6827" s="83" t="s">
        <v>31911</v>
      </c>
      <c r="U6827" s="312" t="str">
        <f>HYPERLINK("https://www.ncbi.nlm.nih.gov/pubmed/28681933","PubMed")</f>
        <v>PubMed</v>
      </c>
      <c r="V6827" s="136"/>
      <c r="W6827" s="49"/>
      <c r="X6827" s="49"/>
      <c r="Y6827" s="35"/>
      <c r="Z6827" s="35"/>
      <c r="AA6827" s="35"/>
      <c r="AB6827" s="35"/>
      <c r="AC6827" s="35"/>
      <c r="AD6827" s="35"/>
      <c r="AE6827" s="35"/>
      <c r="AF6827" s="35"/>
      <c r="AG6827" s="35"/>
      <c r="AH6827" s="35"/>
      <c r="AI6827" s="35"/>
      <c r="AJ6827" s="35"/>
      <c r="AK6827" s="35"/>
      <c r="AL6827" s="35"/>
    </row>
    <row r="6828">
      <c r="A6828" s="133"/>
      <c r="B6828" s="157" t="s">
        <v>31715</v>
      </c>
      <c r="C6828" s="158" t="s">
        <v>31870</v>
      </c>
      <c r="D6828" s="159"/>
      <c r="E6828" s="57" t="s">
        <v>31912</v>
      </c>
      <c r="F6828" s="23" t="s">
        <v>9002</v>
      </c>
      <c r="G6828" s="57">
        <v>2018.0</v>
      </c>
      <c r="H6828" s="57" t="s">
        <v>31913</v>
      </c>
      <c r="I6828" s="134" t="s">
        <v>31914</v>
      </c>
      <c r="J6828" s="23" t="s">
        <v>31</v>
      </c>
      <c r="K6828" s="23"/>
      <c r="L6828" s="36">
        <v>650.0</v>
      </c>
      <c r="M6828" s="36">
        <v>50.0</v>
      </c>
      <c r="N6828" s="36" t="s">
        <v>31915</v>
      </c>
      <c r="O6828" s="36" t="s">
        <v>31916</v>
      </c>
      <c r="P6828" s="244" t="s">
        <v>31917</v>
      </c>
      <c r="Q6828" s="245"/>
      <c r="R6828" s="36" t="s">
        <v>31918</v>
      </c>
      <c r="S6828" s="106"/>
      <c r="T6828" s="83" t="s">
        <v>31919</v>
      </c>
      <c r="U6828" s="312" t="str">
        <f>HYPERLINK("https://www.ncbi.nlm.nih.gov/pubmed/29442223","PubMed")</f>
        <v>PubMed</v>
      </c>
      <c r="V6828" s="136"/>
      <c r="W6828" s="49"/>
      <c r="X6828" s="49"/>
      <c r="Y6828" s="35"/>
      <c r="Z6828" s="35"/>
      <c r="AA6828" s="35"/>
      <c r="AB6828" s="35"/>
      <c r="AC6828" s="35"/>
      <c r="AD6828" s="35"/>
      <c r="AE6828" s="35"/>
      <c r="AF6828" s="35"/>
      <c r="AG6828" s="35"/>
      <c r="AH6828" s="35"/>
      <c r="AI6828" s="35"/>
      <c r="AJ6828" s="35"/>
      <c r="AK6828" s="35"/>
      <c r="AL6828" s="35"/>
    </row>
    <row r="6829">
      <c r="A6829" s="133"/>
      <c r="B6829" s="157" t="s">
        <v>31715</v>
      </c>
      <c r="C6829" s="158" t="s">
        <v>31870</v>
      </c>
      <c r="D6829" s="159"/>
      <c r="E6829" s="57" t="s">
        <v>29849</v>
      </c>
      <c r="F6829" s="23" t="s">
        <v>5416</v>
      </c>
      <c r="G6829" s="57">
        <v>2017.0</v>
      </c>
      <c r="H6829" s="57" t="s">
        <v>31920</v>
      </c>
      <c r="I6829" s="134" t="s">
        <v>31921</v>
      </c>
      <c r="J6829" s="23" t="s">
        <v>31</v>
      </c>
      <c r="K6829" s="23" t="s">
        <v>31922</v>
      </c>
      <c r="L6829" s="36">
        <v>470.0</v>
      </c>
      <c r="M6829" s="36"/>
      <c r="N6829" s="107"/>
      <c r="O6829" s="107"/>
      <c r="P6829" s="244"/>
      <c r="Q6829" s="245"/>
      <c r="R6829" s="107"/>
      <c r="S6829" s="106"/>
      <c r="T6829" s="82" t="s">
        <v>31923</v>
      </c>
      <c r="U6829" s="312" t="str">
        <f>HYPERLINK("https://www.ncbi.nlm.nih.gov/pubmed/28854417","PubMed")</f>
        <v>PubMed</v>
      </c>
      <c r="V6829" s="136"/>
      <c r="W6829" s="49"/>
      <c r="X6829" s="49"/>
      <c r="Y6829" s="35"/>
      <c r="Z6829" s="35"/>
      <c r="AA6829" s="35"/>
      <c r="AB6829" s="35"/>
      <c r="AC6829" s="35"/>
      <c r="AD6829" s="35"/>
      <c r="AE6829" s="35"/>
      <c r="AF6829" s="35"/>
      <c r="AG6829" s="35"/>
      <c r="AH6829" s="35"/>
      <c r="AI6829" s="35"/>
      <c r="AJ6829" s="35"/>
      <c r="AK6829" s="35"/>
      <c r="AL6829" s="35"/>
    </row>
    <row r="6830">
      <c r="A6830" s="133"/>
      <c r="B6830" s="157" t="s">
        <v>31715</v>
      </c>
      <c r="C6830" s="158" t="s">
        <v>31870</v>
      </c>
      <c r="D6830" s="159"/>
      <c r="E6830" s="57" t="s">
        <v>5144</v>
      </c>
      <c r="F6830" s="23" t="s">
        <v>41</v>
      </c>
      <c r="G6830" s="57">
        <v>2015.0</v>
      </c>
      <c r="H6830" s="57" t="s">
        <v>658</v>
      </c>
      <c r="I6830" s="134" t="s">
        <v>31924</v>
      </c>
      <c r="J6830" s="23" t="s">
        <v>31</v>
      </c>
      <c r="K6830" s="23"/>
      <c r="L6830" s="36">
        <v>660.0</v>
      </c>
      <c r="M6830" s="36">
        <v>50.0</v>
      </c>
      <c r="N6830" s="107"/>
      <c r="O6830" s="107"/>
      <c r="P6830" s="244" t="s">
        <v>31925</v>
      </c>
      <c r="Q6830" s="245"/>
      <c r="R6830" s="107"/>
      <c r="S6830" s="106"/>
      <c r="T6830" s="83" t="s">
        <v>31926</v>
      </c>
      <c r="U6830" s="312" t="str">
        <f>HYPERLINK("https://www.ncbi.nlm.nih.gov/pubmed/26580583","PubMed")</f>
        <v>PubMed</v>
      </c>
      <c r="V6830" s="136"/>
      <c r="W6830" s="49"/>
      <c r="X6830" s="49"/>
      <c r="Y6830" s="35"/>
      <c r="Z6830" s="35"/>
      <c r="AA6830" s="35"/>
      <c r="AB6830" s="35"/>
      <c r="AC6830" s="35"/>
      <c r="AD6830" s="35"/>
      <c r="AE6830" s="35"/>
      <c r="AF6830" s="35"/>
      <c r="AG6830" s="35"/>
      <c r="AH6830" s="35"/>
      <c r="AI6830" s="35"/>
      <c r="AJ6830" s="35"/>
      <c r="AK6830" s="35"/>
      <c r="AL6830" s="35"/>
    </row>
    <row r="6831">
      <c r="A6831" s="133"/>
      <c r="B6831" s="157" t="s">
        <v>31715</v>
      </c>
      <c r="C6831" s="158" t="s">
        <v>31870</v>
      </c>
      <c r="D6831" s="159"/>
      <c r="E6831" s="57" t="s">
        <v>12471</v>
      </c>
      <c r="F6831" s="23" t="s">
        <v>1426</v>
      </c>
      <c r="G6831" s="57">
        <v>2013.0</v>
      </c>
      <c r="H6831" s="57" t="s">
        <v>91</v>
      </c>
      <c r="I6831" s="134" t="s">
        <v>31927</v>
      </c>
      <c r="J6831" s="23" t="s">
        <v>31</v>
      </c>
      <c r="K6831" s="23" t="s">
        <v>31928</v>
      </c>
      <c r="L6831" s="36" t="s">
        <v>5367</v>
      </c>
      <c r="M6831" s="36"/>
      <c r="N6831" s="36" t="s">
        <v>1439</v>
      </c>
      <c r="O6831" s="107"/>
      <c r="P6831" s="244" t="s">
        <v>31929</v>
      </c>
      <c r="Q6831" s="245"/>
      <c r="R6831" s="107"/>
      <c r="S6831" s="106"/>
      <c r="T6831" s="84" t="s">
        <v>31930</v>
      </c>
      <c r="U6831" s="312" t="str">
        <f>HYPERLINK("https://www.ncbi.nlm.nih.gov/pubmed/23007630","PubMed")</f>
        <v>PubMed</v>
      </c>
      <c r="V6831" s="136"/>
      <c r="W6831" s="49"/>
      <c r="X6831" s="49"/>
      <c r="Y6831" s="35"/>
      <c r="Z6831" s="35"/>
      <c r="AA6831" s="35"/>
      <c r="AB6831" s="35"/>
      <c r="AC6831" s="35"/>
      <c r="AD6831" s="35"/>
      <c r="AE6831" s="35"/>
      <c r="AF6831" s="35"/>
      <c r="AG6831" s="35"/>
      <c r="AH6831" s="35"/>
      <c r="AI6831" s="35"/>
      <c r="AJ6831" s="35"/>
      <c r="AK6831" s="35"/>
      <c r="AL6831" s="35"/>
    </row>
    <row r="6832">
      <c r="A6832" s="133"/>
      <c r="B6832" s="157" t="s">
        <v>31715</v>
      </c>
      <c r="C6832" s="158" t="s">
        <v>31870</v>
      </c>
      <c r="D6832" s="159"/>
      <c r="E6832" s="57" t="s">
        <v>1689</v>
      </c>
      <c r="F6832" s="23" t="s">
        <v>12068</v>
      </c>
      <c r="G6832" s="57">
        <v>2013.0</v>
      </c>
      <c r="H6832" s="57" t="s">
        <v>1774</v>
      </c>
      <c r="I6832" s="134" t="s">
        <v>31931</v>
      </c>
      <c r="J6832" s="23" t="s">
        <v>31</v>
      </c>
      <c r="K6832" s="23" t="s">
        <v>31932</v>
      </c>
      <c r="L6832" s="36" t="s">
        <v>31933</v>
      </c>
      <c r="M6832" s="36"/>
      <c r="N6832" s="36" t="s">
        <v>31934</v>
      </c>
      <c r="O6832" s="107"/>
      <c r="P6832" s="244" t="s">
        <v>4104</v>
      </c>
      <c r="Q6832" s="245"/>
      <c r="R6832" s="36" t="s">
        <v>31935</v>
      </c>
      <c r="S6832" s="106"/>
      <c r="T6832" s="83" t="s">
        <v>31936</v>
      </c>
      <c r="U6832" s="312" t="str">
        <f>HYPERLINK("https://www.ncbi.nlm.nih.gov/pubmed/24110639","PubMed")</f>
        <v>PubMed</v>
      </c>
      <c r="V6832" s="136"/>
      <c r="W6832" s="49"/>
      <c r="X6832" s="49"/>
      <c r="Y6832" s="35"/>
      <c r="Z6832" s="35"/>
      <c r="AA6832" s="35"/>
      <c r="AB6832" s="35"/>
      <c r="AC6832" s="35"/>
      <c r="AD6832" s="35"/>
      <c r="AE6832" s="35"/>
      <c r="AF6832" s="35"/>
      <c r="AG6832" s="35"/>
      <c r="AH6832" s="35"/>
      <c r="AI6832" s="35"/>
      <c r="AJ6832" s="35"/>
      <c r="AK6832" s="35"/>
      <c r="AL6832" s="35"/>
    </row>
    <row r="6833">
      <c r="A6833" s="133"/>
      <c r="B6833" s="157" t="s">
        <v>31715</v>
      </c>
      <c r="C6833" s="158" t="s">
        <v>31870</v>
      </c>
      <c r="D6833" s="159"/>
      <c r="E6833" s="57" t="s">
        <v>31937</v>
      </c>
      <c r="F6833" s="23" t="s">
        <v>3492</v>
      </c>
      <c r="G6833" s="57">
        <v>2013.0</v>
      </c>
      <c r="H6833" s="57" t="s">
        <v>91</v>
      </c>
      <c r="I6833" s="134" t="s">
        <v>31938</v>
      </c>
      <c r="J6833" s="23" t="s">
        <v>31</v>
      </c>
      <c r="K6833" s="23"/>
      <c r="L6833" s="36">
        <v>1064.0</v>
      </c>
      <c r="M6833" s="36"/>
      <c r="N6833" s="36"/>
      <c r="O6833" s="107"/>
      <c r="P6833" s="244"/>
      <c r="Q6833" s="245"/>
      <c r="R6833" s="36"/>
      <c r="S6833" s="106"/>
      <c r="T6833" s="83" t="s">
        <v>31939</v>
      </c>
      <c r="U6833" s="248" t="s">
        <v>61</v>
      </c>
      <c r="V6833" s="136"/>
      <c r="W6833" s="49"/>
      <c r="X6833" s="49"/>
      <c r="Y6833" s="35"/>
      <c r="Z6833" s="35"/>
      <c r="AA6833" s="35"/>
      <c r="AB6833" s="35"/>
      <c r="AC6833" s="35"/>
      <c r="AD6833" s="35"/>
      <c r="AE6833" s="35"/>
      <c r="AF6833" s="35"/>
      <c r="AG6833" s="35"/>
      <c r="AH6833" s="35"/>
      <c r="AI6833" s="35"/>
      <c r="AJ6833" s="35"/>
      <c r="AK6833" s="35"/>
      <c r="AL6833" s="35"/>
    </row>
    <row r="6834">
      <c r="A6834" s="133"/>
      <c r="B6834" s="157" t="s">
        <v>31715</v>
      </c>
      <c r="C6834" s="158" t="s">
        <v>31870</v>
      </c>
      <c r="D6834" s="159"/>
      <c r="E6834" s="57" t="s">
        <v>25408</v>
      </c>
      <c r="F6834" s="23" t="s">
        <v>2705</v>
      </c>
      <c r="G6834" s="57">
        <v>2013.0</v>
      </c>
      <c r="H6834" s="57" t="s">
        <v>5009</v>
      </c>
      <c r="I6834" s="134" t="s">
        <v>31940</v>
      </c>
      <c r="J6834" s="23" t="s">
        <v>31</v>
      </c>
      <c r="K6834" s="23" t="s">
        <v>31941</v>
      </c>
      <c r="L6834" s="36">
        <v>635.0</v>
      </c>
      <c r="M6834" s="36"/>
      <c r="N6834" s="36"/>
      <c r="O6834" s="107"/>
      <c r="P6834" s="244"/>
      <c r="Q6834" s="245"/>
      <c r="R6834" s="36"/>
      <c r="S6834" s="106"/>
      <c r="T6834" s="83" t="s">
        <v>31942</v>
      </c>
      <c r="U6834" s="312" t="str">
        <f>HYPERLINK("https://www.ncbi.nlm.nih.gov/pubmed/22628164","PubMed")</f>
        <v>PubMed</v>
      </c>
      <c r="V6834" s="136"/>
      <c r="W6834" s="49"/>
      <c r="X6834" s="49"/>
      <c r="Y6834" s="35"/>
      <c r="Z6834" s="35"/>
      <c r="AA6834" s="35"/>
      <c r="AB6834" s="35"/>
      <c r="AC6834" s="35"/>
      <c r="AD6834" s="35"/>
      <c r="AE6834" s="35"/>
      <c r="AF6834" s="35"/>
      <c r="AG6834" s="35"/>
      <c r="AH6834" s="35"/>
      <c r="AI6834" s="35"/>
      <c r="AJ6834" s="35"/>
      <c r="AK6834" s="35"/>
      <c r="AL6834" s="35"/>
    </row>
    <row r="6835">
      <c r="A6835" s="133"/>
      <c r="B6835" s="157" t="s">
        <v>31715</v>
      </c>
      <c r="C6835" s="158" t="s">
        <v>31870</v>
      </c>
      <c r="D6835" s="159"/>
      <c r="E6835" s="57" t="s">
        <v>626</v>
      </c>
      <c r="F6835" s="23" t="s">
        <v>224</v>
      </c>
      <c r="G6835" s="57">
        <v>2012.0</v>
      </c>
      <c r="H6835" s="57" t="s">
        <v>31720</v>
      </c>
      <c r="I6835" s="134" t="s">
        <v>31943</v>
      </c>
      <c r="J6835" s="23" t="s">
        <v>31</v>
      </c>
      <c r="K6835" s="23"/>
      <c r="L6835" s="36">
        <v>635.0</v>
      </c>
      <c r="M6835" s="36"/>
      <c r="N6835" s="36" t="s">
        <v>6380</v>
      </c>
      <c r="O6835" s="107"/>
      <c r="P6835" s="244" t="s">
        <v>4163</v>
      </c>
      <c r="Q6835" s="245"/>
      <c r="R6835" s="36">
        <v>75.0</v>
      </c>
      <c r="S6835" s="106"/>
      <c r="T6835" s="83" t="s">
        <v>31944</v>
      </c>
      <c r="U6835" s="312" t="str">
        <f>HYPERLINK("https://www.ncbi.nlm.nih.gov/pubmed/22384930","PubMed")</f>
        <v>PubMed</v>
      </c>
      <c r="V6835" s="136"/>
      <c r="W6835" s="49"/>
      <c r="X6835" s="49"/>
      <c r="Y6835" s="35"/>
      <c r="Z6835" s="35"/>
      <c r="AA6835" s="35"/>
      <c r="AB6835" s="35"/>
      <c r="AC6835" s="35"/>
      <c r="AD6835" s="35"/>
      <c r="AE6835" s="35"/>
      <c r="AF6835" s="35"/>
      <c r="AG6835" s="35"/>
      <c r="AH6835" s="35"/>
      <c r="AI6835" s="35"/>
      <c r="AJ6835" s="35"/>
      <c r="AK6835" s="35"/>
      <c r="AL6835" s="35"/>
    </row>
    <row r="6836">
      <c r="A6836" s="133"/>
      <c r="B6836" s="157" t="s">
        <v>31715</v>
      </c>
      <c r="C6836" s="158" t="s">
        <v>31870</v>
      </c>
      <c r="D6836" s="159"/>
      <c r="E6836" s="57" t="s">
        <v>1689</v>
      </c>
      <c r="F6836" s="23" t="s">
        <v>12068</v>
      </c>
      <c r="G6836" s="57">
        <v>2010.0</v>
      </c>
      <c r="H6836" s="57" t="s">
        <v>658</v>
      </c>
      <c r="I6836" s="134" t="s">
        <v>31945</v>
      </c>
      <c r="J6836" s="23" t="s">
        <v>31</v>
      </c>
      <c r="K6836" s="23" t="s">
        <v>31946</v>
      </c>
      <c r="L6836" s="36">
        <v>630.0</v>
      </c>
      <c r="M6836" s="36"/>
      <c r="N6836" s="36" t="s">
        <v>31947</v>
      </c>
      <c r="O6836" s="107"/>
      <c r="P6836" s="244" t="s">
        <v>1307</v>
      </c>
      <c r="Q6836" s="245"/>
      <c r="R6836" s="107"/>
      <c r="S6836" s="106"/>
      <c r="T6836" s="83" t="s">
        <v>31948</v>
      </c>
      <c r="U6836" s="312" t="str">
        <f>HYPERLINK("https://www.ncbi.nlm.nih.gov/pubmed/20583914","PubMed")</f>
        <v>PubMed</v>
      </c>
      <c r="V6836" s="136"/>
      <c r="W6836" s="49"/>
      <c r="X6836" s="49"/>
      <c r="Y6836" s="35"/>
      <c r="Z6836" s="35"/>
      <c r="AA6836" s="35"/>
      <c r="AB6836" s="35"/>
      <c r="AC6836" s="35"/>
      <c r="AD6836" s="35"/>
      <c r="AE6836" s="35"/>
      <c r="AF6836" s="35"/>
      <c r="AG6836" s="35"/>
      <c r="AH6836" s="35"/>
      <c r="AI6836" s="35"/>
      <c r="AJ6836" s="35"/>
      <c r="AK6836" s="35"/>
      <c r="AL6836" s="35"/>
    </row>
    <row r="6837">
      <c r="A6837" s="133"/>
      <c r="B6837" s="157" t="s">
        <v>31715</v>
      </c>
      <c r="C6837" s="158" t="s">
        <v>31870</v>
      </c>
      <c r="D6837" s="159"/>
      <c r="E6837" s="57" t="s">
        <v>31949</v>
      </c>
      <c r="F6837" s="23" t="s">
        <v>12068</v>
      </c>
      <c r="G6837" s="57">
        <v>2007.0</v>
      </c>
      <c r="H6837" s="57" t="s">
        <v>1774</v>
      </c>
      <c r="I6837" s="134" t="s">
        <v>31950</v>
      </c>
      <c r="J6837" s="23" t="s">
        <v>31</v>
      </c>
      <c r="K6837" s="23" t="s">
        <v>157</v>
      </c>
      <c r="L6837" s="36">
        <v>630.0</v>
      </c>
      <c r="M6837" s="36"/>
      <c r="N6837" s="36" t="s">
        <v>31951</v>
      </c>
      <c r="O6837" s="107"/>
      <c r="P6837" s="244" t="s">
        <v>31952</v>
      </c>
      <c r="Q6837" s="245"/>
      <c r="R6837" s="107"/>
      <c r="S6837" s="106"/>
      <c r="T6837" s="83" t="s">
        <v>31953</v>
      </c>
      <c r="U6837" s="312" t="str">
        <f>HYPERLINK("https://www.ncbi.nlm.nih.gov/pubmed/18003339","PubMed")</f>
        <v>PubMed</v>
      </c>
      <c r="V6837" s="136"/>
      <c r="W6837" s="49"/>
      <c r="X6837" s="49"/>
      <c r="Y6837" s="35"/>
      <c r="Z6837" s="35"/>
      <c r="AA6837" s="35"/>
      <c r="AB6837" s="35"/>
      <c r="AC6837" s="35"/>
      <c r="AD6837" s="35"/>
      <c r="AE6837" s="35"/>
      <c r="AF6837" s="35"/>
      <c r="AG6837" s="35"/>
      <c r="AH6837" s="35"/>
      <c r="AI6837" s="35"/>
      <c r="AJ6837" s="35"/>
      <c r="AK6837" s="35"/>
      <c r="AL6837" s="35"/>
    </row>
    <row r="6838">
      <c r="A6838" s="133"/>
      <c r="B6838" s="157" t="s">
        <v>31715</v>
      </c>
      <c r="C6838" s="158" t="s">
        <v>31954</v>
      </c>
      <c r="D6838" s="159"/>
      <c r="E6838" s="57" t="s">
        <v>31955</v>
      </c>
      <c r="F6838" s="23" t="s">
        <v>323</v>
      </c>
      <c r="G6838" s="57">
        <v>2024.0</v>
      </c>
      <c r="H6838" s="57" t="s">
        <v>4975</v>
      </c>
      <c r="I6838" s="134" t="s">
        <v>31956</v>
      </c>
      <c r="J6838" s="23" t="s">
        <v>31</v>
      </c>
      <c r="K6838" s="23" t="s">
        <v>31957</v>
      </c>
      <c r="L6838" s="36">
        <v>980.0</v>
      </c>
      <c r="M6838" s="36"/>
      <c r="N6838" s="36"/>
      <c r="O6838" s="107"/>
      <c r="P6838" s="244"/>
      <c r="Q6838" s="36"/>
      <c r="R6838" s="107"/>
      <c r="S6838" s="106"/>
      <c r="T6838" s="83" t="s">
        <v>31958</v>
      </c>
      <c r="U6838" s="255" t="s">
        <v>61</v>
      </c>
      <c r="V6838" s="136"/>
      <c r="W6838" s="49"/>
      <c r="X6838" s="49"/>
      <c r="Y6838" s="35"/>
      <c r="Z6838" s="35"/>
      <c r="AA6838" s="35"/>
      <c r="AB6838" s="35"/>
      <c r="AC6838" s="35"/>
      <c r="AD6838" s="35"/>
      <c r="AE6838" s="35"/>
      <c r="AF6838" s="35"/>
      <c r="AG6838" s="35"/>
      <c r="AH6838" s="35"/>
      <c r="AI6838" s="35"/>
      <c r="AJ6838" s="35"/>
      <c r="AK6838" s="35"/>
      <c r="AL6838" s="35"/>
    </row>
    <row r="6839">
      <c r="A6839" s="133"/>
      <c r="B6839" s="157" t="s">
        <v>31715</v>
      </c>
      <c r="C6839" s="158" t="s">
        <v>31959</v>
      </c>
      <c r="D6839" s="159"/>
      <c r="E6839" s="57" t="s">
        <v>31960</v>
      </c>
      <c r="F6839" s="23" t="s">
        <v>3064</v>
      </c>
      <c r="G6839" s="57">
        <v>2021.0</v>
      </c>
      <c r="H6839" s="57" t="s">
        <v>91</v>
      </c>
      <c r="I6839" s="134" t="s">
        <v>31961</v>
      </c>
      <c r="J6839" s="23" t="s">
        <v>31</v>
      </c>
      <c r="K6839" s="23"/>
      <c r="L6839" s="36">
        <v>633.0</v>
      </c>
      <c r="M6839" s="36"/>
      <c r="N6839" s="36"/>
      <c r="O6839" s="107"/>
      <c r="P6839" s="244"/>
      <c r="Q6839" s="245"/>
      <c r="R6839" s="107"/>
      <c r="S6839" s="106"/>
      <c r="T6839" s="83" t="s">
        <v>31962</v>
      </c>
      <c r="U6839" s="248" t="s">
        <v>61</v>
      </c>
      <c r="V6839" s="136"/>
      <c r="W6839" s="49"/>
      <c r="X6839" s="49"/>
      <c r="Y6839" s="35"/>
      <c r="Z6839" s="35"/>
      <c r="AA6839" s="35"/>
      <c r="AB6839" s="35"/>
      <c r="AC6839" s="35"/>
      <c r="AD6839" s="35"/>
      <c r="AE6839" s="35"/>
      <c r="AF6839" s="35"/>
      <c r="AG6839" s="35"/>
      <c r="AH6839" s="35"/>
      <c r="AI6839" s="35"/>
      <c r="AJ6839" s="35"/>
      <c r="AK6839" s="35"/>
      <c r="AL6839" s="35"/>
    </row>
    <row r="6840">
      <c r="A6840" s="133"/>
      <c r="B6840" s="157" t="s">
        <v>31715</v>
      </c>
      <c r="C6840" s="158" t="s">
        <v>31959</v>
      </c>
      <c r="D6840" s="159"/>
      <c r="E6840" s="57" t="s">
        <v>5867</v>
      </c>
      <c r="F6840" s="23" t="s">
        <v>6785</v>
      </c>
      <c r="G6840" s="57">
        <v>2010.0</v>
      </c>
      <c r="H6840" s="57" t="s">
        <v>207</v>
      </c>
      <c r="I6840" s="134" t="s">
        <v>31963</v>
      </c>
      <c r="J6840" s="23" t="s">
        <v>31</v>
      </c>
      <c r="K6840" s="23" t="s">
        <v>1725</v>
      </c>
      <c r="L6840" s="36">
        <v>405.0</v>
      </c>
      <c r="M6840" s="36"/>
      <c r="N6840" s="36"/>
      <c r="O6840" s="107"/>
      <c r="P6840" s="244"/>
      <c r="Q6840" s="245"/>
      <c r="R6840" s="107"/>
      <c r="S6840" s="106"/>
      <c r="T6840" s="83" t="s">
        <v>31964</v>
      </c>
      <c r="U6840" s="255" t="s">
        <v>61</v>
      </c>
      <c r="V6840" s="136"/>
      <c r="W6840" s="49"/>
      <c r="X6840" s="49"/>
      <c r="Y6840" s="35"/>
      <c r="Z6840" s="35"/>
      <c r="AA6840" s="35"/>
      <c r="AB6840" s="35"/>
      <c r="AC6840" s="35"/>
      <c r="AD6840" s="35"/>
      <c r="AE6840" s="35"/>
      <c r="AF6840" s="35"/>
      <c r="AG6840" s="35"/>
      <c r="AH6840" s="35"/>
      <c r="AI6840" s="35"/>
      <c r="AJ6840" s="35"/>
      <c r="AK6840" s="35"/>
      <c r="AL6840" s="35"/>
    </row>
    <row r="6841">
      <c r="A6841" s="133"/>
      <c r="B6841" s="157" t="s">
        <v>31715</v>
      </c>
      <c r="C6841" s="158" t="s">
        <v>31965</v>
      </c>
      <c r="D6841" s="159"/>
      <c r="E6841" s="57" t="s">
        <v>4595</v>
      </c>
      <c r="F6841" s="23" t="s">
        <v>299</v>
      </c>
      <c r="G6841" s="57">
        <v>2021.0</v>
      </c>
      <c r="H6841" s="57" t="s">
        <v>2181</v>
      </c>
      <c r="I6841" s="134" t="s">
        <v>31966</v>
      </c>
      <c r="J6841" s="23" t="s">
        <v>31</v>
      </c>
      <c r="K6841" s="23" t="s">
        <v>31967</v>
      </c>
      <c r="L6841" s="36">
        <v>950.0</v>
      </c>
      <c r="M6841" s="36"/>
      <c r="N6841" s="36"/>
      <c r="O6841" s="107"/>
      <c r="P6841" s="244"/>
      <c r="Q6841" s="245"/>
      <c r="R6841" s="107"/>
      <c r="S6841" s="106"/>
      <c r="T6841" s="83" t="s">
        <v>31968</v>
      </c>
      <c r="U6841" s="248" t="s">
        <v>61</v>
      </c>
      <c r="V6841" s="136"/>
      <c r="W6841" s="49"/>
      <c r="X6841" s="49"/>
      <c r="Y6841" s="35"/>
      <c r="Z6841" s="35"/>
      <c r="AA6841" s="35"/>
      <c r="AB6841" s="35"/>
      <c r="AC6841" s="35"/>
      <c r="AD6841" s="35"/>
      <c r="AE6841" s="35"/>
      <c r="AF6841" s="35"/>
      <c r="AG6841" s="35"/>
      <c r="AH6841" s="35"/>
      <c r="AI6841" s="35"/>
      <c r="AJ6841" s="35"/>
      <c r="AK6841" s="35"/>
      <c r="AL6841" s="35"/>
    </row>
    <row r="6842">
      <c r="A6842" s="133"/>
      <c r="B6842" s="157" t="s">
        <v>31715</v>
      </c>
      <c r="C6842" s="158" t="s">
        <v>31969</v>
      </c>
      <c r="D6842" s="159"/>
      <c r="E6842" s="57" t="s">
        <v>31816</v>
      </c>
      <c r="F6842" s="23" t="s">
        <v>323</v>
      </c>
      <c r="G6842" s="57">
        <v>2019.0</v>
      </c>
      <c r="H6842" s="57" t="s">
        <v>91</v>
      </c>
      <c r="I6842" s="134" t="s">
        <v>31970</v>
      </c>
      <c r="J6842" s="23" t="s">
        <v>31</v>
      </c>
      <c r="K6842" s="23" t="s">
        <v>16789</v>
      </c>
      <c r="L6842" s="36">
        <v>633.0</v>
      </c>
      <c r="M6842" s="36"/>
      <c r="N6842" s="36"/>
      <c r="O6842" s="107"/>
      <c r="P6842" s="244" t="s">
        <v>31971</v>
      </c>
      <c r="Q6842" s="245"/>
      <c r="R6842" s="107"/>
      <c r="S6842" s="106"/>
      <c r="T6842" s="84" t="s">
        <v>31972</v>
      </c>
      <c r="U6842" s="312" t="str">
        <f>HYPERLINK("https://www.ncbi.nlm.nih.gov/pubmed/31338628","PubMed")</f>
        <v>PubMed</v>
      </c>
      <c r="V6842" s="136"/>
      <c r="W6842" s="49"/>
      <c r="X6842" s="49"/>
      <c r="Y6842" s="35"/>
      <c r="Z6842" s="35"/>
      <c r="AA6842" s="35"/>
      <c r="AB6842" s="35"/>
      <c r="AC6842" s="35"/>
      <c r="AD6842" s="35"/>
      <c r="AE6842" s="35"/>
      <c r="AF6842" s="35"/>
      <c r="AG6842" s="35"/>
      <c r="AH6842" s="35"/>
      <c r="AI6842" s="35"/>
      <c r="AJ6842" s="35"/>
      <c r="AK6842" s="35"/>
      <c r="AL6842" s="35"/>
    </row>
    <row r="6843">
      <c r="A6843" s="133"/>
      <c r="B6843" s="157" t="s">
        <v>31715</v>
      </c>
      <c r="C6843" s="158" t="s">
        <v>31973</v>
      </c>
      <c r="D6843" s="159"/>
      <c r="E6843" s="57" t="s">
        <v>31974</v>
      </c>
      <c r="F6843" s="23" t="s">
        <v>332</v>
      </c>
      <c r="G6843" s="57">
        <v>2021.0</v>
      </c>
      <c r="H6843" s="57" t="s">
        <v>31975</v>
      </c>
      <c r="I6843" s="134" t="s">
        <v>31976</v>
      </c>
      <c r="J6843" s="23" t="s">
        <v>31</v>
      </c>
      <c r="K6843" s="23"/>
      <c r="L6843" s="36">
        <v>633.0</v>
      </c>
      <c r="M6843" s="36"/>
      <c r="N6843" s="36"/>
      <c r="O6843" s="107"/>
      <c r="P6843" s="244"/>
      <c r="Q6843" s="245"/>
      <c r="R6843" s="107"/>
      <c r="S6843" s="106"/>
      <c r="T6843" s="83" t="s">
        <v>31977</v>
      </c>
      <c r="U6843" s="248" t="s">
        <v>61</v>
      </c>
      <c r="V6843" s="136"/>
      <c r="W6843" s="49"/>
      <c r="X6843" s="49"/>
      <c r="Y6843" s="35"/>
      <c r="Z6843" s="35"/>
      <c r="AA6843" s="35"/>
      <c r="AB6843" s="35"/>
      <c r="AC6843" s="35"/>
      <c r="AD6843" s="35"/>
      <c r="AE6843" s="35"/>
      <c r="AF6843" s="35"/>
      <c r="AG6843" s="35"/>
      <c r="AH6843" s="35"/>
      <c r="AI6843" s="35"/>
      <c r="AJ6843" s="35"/>
      <c r="AK6843" s="35"/>
      <c r="AL6843" s="35"/>
    </row>
    <row r="6844">
      <c r="A6844" s="133"/>
      <c r="B6844" s="157" t="s">
        <v>31715</v>
      </c>
      <c r="C6844" s="158" t="s">
        <v>31978</v>
      </c>
      <c r="D6844" s="159"/>
      <c r="E6844" s="57" t="s">
        <v>31979</v>
      </c>
      <c r="F6844" s="23" t="s">
        <v>14223</v>
      </c>
      <c r="G6844" s="57">
        <v>2023.0</v>
      </c>
      <c r="H6844" s="57" t="s">
        <v>2181</v>
      </c>
      <c r="I6844" s="134" t="s">
        <v>31980</v>
      </c>
      <c r="J6844" s="23" t="s">
        <v>31</v>
      </c>
      <c r="K6844" s="23" t="s">
        <v>6802</v>
      </c>
      <c r="L6844" s="36">
        <v>520.0</v>
      </c>
      <c r="M6844" s="36"/>
      <c r="N6844" s="107"/>
      <c r="O6844" s="107"/>
      <c r="P6844" s="244"/>
      <c r="Q6844" s="245"/>
      <c r="R6844" s="36"/>
      <c r="S6844" s="36"/>
      <c r="T6844" s="83" t="s">
        <v>31981</v>
      </c>
      <c r="U6844" s="255" t="s">
        <v>61</v>
      </c>
      <c r="V6844" s="136"/>
      <c r="W6844" s="49"/>
      <c r="X6844" s="49"/>
      <c r="Y6844" s="35"/>
      <c r="Z6844" s="35"/>
      <c r="AA6844" s="35"/>
      <c r="AB6844" s="35"/>
      <c r="AC6844" s="35"/>
      <c r="AD6844" s="35"/>
      <c r="AE6844" s="35"/>
      <c r="AF6844" s="35"/>
      <c r="AG6844" s="35"/>
      <c r="AH6844" s="35"/>
      <c r="AI6844" s="35"/>
      <c r="AJ6844" s="35"/>
      <c r="AK6844" s="35"/>
      <c r="AL6844" s="35"/>
    </row>
    <row r="6845">
      <c r="A6845" s="133"/>
      <c r="B6845" s="157" t="s">
        <v>31715</v>
      </c>
      <c r="C6845" s="158" t="s">
        <v>31982</v>
      </c>
      <c r="D6845" s="159"/>
      <c r="E6845" s="57" t="s">
        <v>1507</v>
      </c>
      <c r="F6845" s="23" t="s">
        <v>1905</v>
      </c>
      <c r="G6845" s="57">
        <v>2020.0</v>
      </c>
      <c r="H6845" s="57" t="s">
        <v>31983</v>
      </c>
      <c r="I6845" s="134" t="s">
        <v>31984</v>
      </c>
      <c r="J6845" s="23" t="s">
        <v>31</v>
      </c>
      <c r="K6845" s="23" t="s">
        <v>157</v>
      </c>
      <c r="L6845" s="36">
        <v>630.0</v>
      </c>
      <c r="M6845" s="36">
        <v>40.0</v>
      </c>
      <c r="N6845" s="107"/>
      <c r="O6845" s="107"/>
      <c r="P6845" s="244" t="s">
        <v>480</v>
      </c>
      <c r="Q6845" s="245"/>
      <c r="R6845" s="36">
        <v>750.0</v>
      </c>
      <c r="S6845" s="36">
        <v>3.0</v>
      </c>
      <c r="T6845" s="83" t="s">
        <v>31985</v>
      </c>
      <c r="U6845" s="248" t="str">
        <f>HYPERLINK("https://www.ncbi.nlm.nih.gov/pubmed/32258218","PubMed")</f>
        <v>PubMed</v>
      </c>
      <c r="V6845" s="136"/>
      <c r="W6845" s="49"/>
      <c r="X6845" s="49"/>
      <c r="Y6845" s="35"/>
      <c r="Z6845" s="35"/>
      <c r="AA6845" s="35"/>
      <c r="AB6845" s="35"/>
      <c r="AC6845" s="35"/>
      <c r="AD6845" s="35"/>
      <c r="AE6845" s="35"/>
      <c r="AF6845" s="35"/>
      <c r="AG6845" s="35"/>
      <c r="AH6845" s="35"/>
      <c r="AI6845" s="35"/>
      <c r="AJ6845" s="35"/>
      <c r="AK6845" s="35"/>
      <c r="AL6845" s="35"/>
    </row>
    <row r="6846">
      <c r="A6846" s="133"/>
      <c r="B6846" s="157" t="s">
        <v>31715</v>
      </c>
      <c r="C6846" s="158" t="s">
        <v>31986</v>
      </c>
      <c r="D6846" s="159"/>
      <c r="E6846" s="57" t="s">
        <v>18010</v>
      </c>
      <c r="F6846" s="23" t="s">
        <v>224</v>
      </c>
      <c r="G6846" s="57">
        <v>2008.0</v>
      </c>
      <c r="H6846" s="57" t="s">
        <v>53</v>
      </c>
      <c r="I6846" s="134" t="s">
        <v>31987</v>
      </c>
      <c r="J6846" s="23" t="s">
        <v>31</v>
      </c>
      <c r="K6846" s="23"/>
      <c r="L6846" s="36">
        <v>635.0</v>
      </c>
      <c r="M6846" s="36">
        <v>60.0</v>
      </c>
      <c r="N6846" s="107"/>
      <c r="O6846" s="107"/>
      <c r="P6846" s="244" t="s">
        <v>31988</v>
      </c>
      <c r="Q6846" s="245"/>
      <c r="R6846" s="107"/>
      <c r="S6846" s="106"/>
      <c r="T6846" s="83" t="s">
        <v>31989</v>
      </c>
      <c r="U6846" s="326" t="s">
        <v>61</v>
      </c>
      <c r="V6846" s="136" t="s">
        <v>31990</v>
      </c>
      <c r="W6846" s="49"/>
      <c r="X6846" s="49"/>
      <c r="Y6846" s="35"/>
      <c r="Z6846" s="35"/>
      <c r="AA6846" s="35"/>
      <c r="AB6846" s="35"/>
      <c r="AC6846" s="35"/>
      <c r="AD6846" s="35"/>
      <c r="AE6846" s="35"/>
      <c r="AF6846" s="35"/>
      <c r="AG6846" s="35"/>
      <c r="AH6846" s="35"/>
      <c r="AI6846" s="35"/>
      <c r="AJ6846" s="35"/>
      <c r="AK6846" s="35"/>
      <c r="AL6846" s="35"/>
    </row>
    <row r="6847">
      <c r="A6847" s="133"/>
      <c r="B6847" s="157" t="s">
        <v>31715</v>
      </c>
      <c r="C6847" s="158" t="s">
        <v>31986</v>
      </c>
      <c r="D6847" s="159"/>
      <c r="E6847" s="57" t="s">
        <v>31991</v>
      </c>
      <c r="F6847" s="23" t="s">
        <v>291</v>
      </c>
      <c r="G6847" s="57">
        <v>1993.0</v>
      </c>
      <c r="H6847" s="57" t="s">
        <v>207</v>
      </c>
      <c r="I6847" s="134" t="s">
        <v>31992</v>
      </c>
      <c r="J6847" s="23" t="s">
        <v>31</v>
      </c>
      <c r="K6847" s="23"/>
      <c r="L6847" s="36">
        <v>633.0</v>
      </c>
      <c r="M6847" s="36"/>
      <c r="N6847" s="107"/>
      <c r="O6847" s="107"/>
      <c r="P6847" s="244" t="s">
        <v>267</v>
      </c>
      <c r="Q6847" s="245"/>
      <c r="R6847" s="107"/>
      <c r="S6847" s="106"/>
      <c r="T6847" s="83" t="s">
        <v>31993</v>
      </c>
      <c r="U6847" s="248" t="s">
        <v>61</v>
      </c>
      <c r="V6847" s="136"/>
      <c r="W6847" s="49"/>
      <c r="X6847" s="49"/>
      <c r="Y6847" s="35"/>
      <c r="Z6847" s="35"/>
      <c r="AA6847" s="35"/>
      <c r="AB6847" s="35"/>
      <c r="AC6847" s="35"/>
      <c r="AD6847" s="35"/>
      <c r="AE6847" s="35"/>
      <c r="AF6847" s="35"/>
      <c r="AG6847" s="35"/>
      <c r="AH6847" s="35"/>
      <c r="AI6847" s="35"/>
      <c r="AJ6847" s="35"/>
      <c r="AK6847" s="35"/>
      <c r="AL6847" s="35"/>
    </row>
    <row r="6848">
      <c r="A6848" s="133"/>
      <c r="B6848" s="75" t="s">
        <v>31715</v>
      </c>
      <c r="C6848" s="77" t="s">
        <v>31994</v>
      </c>
      <c r="D6848" s="159"/>
      <c r="E6848" s="57" t="s">
        <v>5861</v>
      </c>
      <c r="F6848" s="23" t="s">
        <v>2702</v>
      </c>
      <c r="G6848" s="57">
        <v>2022.0</v>
      </c>
      <c r="H6848" s="57" t="s">
        <v>207</v>
      </c>
      <c r="I6848" s="134" t="s">
        <v>31995</v>
      </c>
      <c r="J6848" s="23" t="s">
        <v>31</v>
      </c>
      <c r="K6848" s="23"/>
      <c r="L6848" s="36"/>
      <c r="M6848" s="36"/>
      <c r="N6848" s="107"/>
      <c r="O6848" s="107"/>
      <c r="P6848" s="244"/>
      <c r="Q6848" s="245"/>
      <c r="R6848" s="107"/>
      <c r="S6848" s="106"/>
      <c r="T6848" s="84" t="s">
        <v>31996</v>
      </c>
      <c r="U6848" s="248" t="s">
        <v>61</v>
      </c>
      <c r="V6848" s="136"/>
      <c r="W6848" s="49"/>
      <c r="X6848" s="49"/>
      <c r="Y6848" s="35"/>
      <c r="Z6848" s="35"/>
      <c r="AA6848" s="35"/>
      <c r="AB6848" s="35"/>
      <c r="AC6848" s="35"/>
      <c r="AD6848" s="35"/>
      <c r="AE6848" s="35"/>
      <c r="AF6848" s="35"/>
      <c r="AG6848" s="35"/>
      <c r="AH6848" s="35"/>
      <c r="AI6848" s="35"/>
      <c r="AJ6848" s="35"/>
      <c r="AK6848" s="35"/>
      <c r="AL6848" s="35"/>
    </row>
    <row r="6849">
      <c r="A6849" s="133"/>
      <c r="B6849" s="75" t="s">
        <v>31715</v>
      </c>
      <c r="C6849" s="77" t="s">
        <v>31994</v>
      </c>
      <c r="D6849" s="159"/>
      <c r="E6849" s="57" t="s">
        <v>31547</v>
      </c>
      <c r="F6849" s="23" t="s">
        <v>323</v>
      </c>
      <c r="G6849" s="57">
        <v>2022.0</v>
      </c>
      <c r="H6849" s="57" t="s">
        <v>4975</v>
      </c>
      <c r="I6849" s="134" t="s">
        <v>31997</v>
      </c>
      <c r="J6849" s="23" t="s">
        <v>31</v>
      </c>
      <c r="K6849" s="23"/>
      <c r="L6849" s="36" t="s">
        <v>15769</v>
      </c>
      <c r="M6849" s="36"/>
      <c r="N6849" s="107"/>
      <c r="O6849" s="107"/>
      <c r="P6849" s="244" t="s">
        <v>22700</v>
      </c>
      <c r="Q6849" s="245"/>
      <c r="R6849" s="107"/>
      <c r="S6849" s="106"/>
      <c r="T6849" s="83" t="s">
        <v>31998</v>
      </c>
      <c r="U6849" s="248" t="s">
        <v>61</v>
      </c>
      <c r="V6849" s="136"/>
      <c r="W6849" s="49"/>
      <c r="X6849" s="49"/>
      <c r="Y6849" s="35"/>
      <c r="Z6849" s="35"/>
      <c r="AA6849" s="35"/>
      <c r="AB6849" s="35"/>
      <c r="AC6849" s="35"/>
      <c r="AD6849" s="35"/>
      <c r="AE6849" s="35"/>
      <c r="AF6849" s="35"/>
      <c r="AG6849" s="35"/>
      <c r="AH6849" s="35"/>
      <c r="AI6849" s="35"/>
      <c r="AJ6849" s="35"/>
      <c r="AK6849" s="35"/>
      <c r="AL6849" s="35"/>
    </row>
    <row r="6850">
      <c r="A6850" s="133"/>
      <c r="B6850" s="75" t="s">
        <v>31715</v>
      </c>
      <c r="C6850" s="77" t="s">
        <v>31994</v>
      </c>
      <c r="D6850" s="159"/>
      <c r="E6850" s="57" t="s">
        <v>31999</v>
      </c>
      <c r="F6850" s="23" t="s">
        <v>5973</v>
      </c>
      <c r="G6850" s="57">
        <v>2021.0</v>
      </c>
      <c r="H6850" s="57" t="s">
        <v>1485</v>
      </c>
      <c r="I6850" s="134" t="s">
        <v>32000</v>
      </c>
      <c r="J6850" s="23" t="s">
        <v>31</v>
      </c>
      <c r="K6850" s="23" t="s">
        <v>30207</v>
      </c>
      <c r="L6850" s="36">
        <v>655.0</v>
      </c>
      <c r="M6850" s="36"/>
      <c r="N6850" s="107"/>
      <c r="O6850" s="107"/>
      <c r="P6850" s="244" t="s">
        <v>2218</v>
      </c>
      <c r="Q6850" s="245"/>
      <c r="R6850" s="107"/>
      <c r="S6850" s="106"/>
      <c r="T6850" s="83" t="s">
        <v>32001</v>
      </c>
      <c r="U6850" s="248" t="s">
        <v>61</v>
      </c>
      <c r="V6850" s="136"/>
      <c r="W6850" s="49"/>
      <c r="X6850" s="49"/>
      <c r="Y6850" s="35"/>
      <c r="Z6850" s="35"/>
      <c r="AA6850" s="35"/>
      <c r="AB6850" s="35"/>
      <c r="AC6850" s="35"/>
      <c r="AD6850" s="35"/>
      <c r="AE6850" s="35"/>
      <c r="AF6850" s="35"/>
      <c r="AG6850" s="35"/>
      <c r="AH6850" s="35"/>
      <c r="AI6850" s="35"/>
      <c r="AJ6850" s="35"/>
      <c r="AK6850" s="35"/>
      <c r="AL6850" s="35"/>
    </row>
    <row r="6851">
      <c r="A6851" s="133"/>
      <c r="B6851" s="75" t="s">
        <v>31715</v>
      </c>
      <c r="C6851" s="77" t="s">
        <v>31994</v>
      </c>
      <c r="D6851" s="159"/>
      <c r="E6851" s="57" t="s">
        <v>5861</v>
      </c>
      <c r="F6851" s="23" t="s">
        <v>19040</v>
      </c>
      <c r="G6851" s="57">
        <v>2020.0</v>
      </c>
      <c r="H6851" s="57" t="s">
        <v>53</v>
      </c>
      <c r="I6851" s="134" t="s">
        <v>32002</v>
      </c>
      <c r="J6851" s="23" t="s">
        <v>31</v>
      </c>
      <c r="K6851" s="23"/>
      <c r="L6851" s="36">
        <v>825.0</v>
      </c>
      <c r="M6851" s="36"/>
      <c r="N6851" s="107"/>
      <c r="O6851" s="107"/>
      <c r="P6851" s="244" t="s">
        <v>1765</v>
      </c>
      <c r="Q6851" s="245"/>
      <c r="R6851" s="107"/>
      <c r="S6851" s="106"/>
      <c r="T6851" s="83" t="s">
        <v>32003</v>
      </c>
      <c r="U6851" s="248" t="s">
        <v>61</v>
      </c>
      <c r="V6851" s="136"/>
      <c r="W6851" s="49"/>
      <c r="X6851" s="49"/>
      <c r="Y6851" s="35"/>
      <c r="Z6851" s="35"/>
      <c r="AA6851" s="35"/>
      <c r="AB6851" s="35"/>
      <c r="AC6851" s="35"/>
      <c r="AD6851" s="35"/>
      <c r="AE6851" s="35"/>
      <c r="AF6851" s="35"/>
      <c r="AG6851" s="35"/>
      <c r="AH6851" s="35"/>
      <c r="AI6851" s="35"/>
      <c r="AJ6851" s="35"/>
      <c r="AK6851" s="35"/>
      <c r="AL6851" s="35"/>
    </row>
    <row r="6852">
      <c r="A6852" s="133"/>
      <c r="B6852" s="157" t="s">
        <v>31715</v>
      </c>
      <c r="C6852" s="158" t="s">
        <v>31994</v>
      </c>
      <c r="D6852" s="159"/>
      <c r="E6852" s="57" t="s">
        <v>2195</v>
      </c>
      <c r="F6852" s="23" t="s">
        <v>2437</v>
      </c>
      <c r="G6852" s="57">
        <v>2019.0</v>
      </c>
      <c r="H6852" s="57" t="s">
        <v>91</v>
      </c>
      <c r="I6852" s="134" t="s">
        <v>32004</v>
      </c>
      <c r="J6852" s="23" t="s">
        <v>31</v>
      </c>
      <c r="K6852" s="23" t="s">
        <v>294</v>
      </c>
      <c r="L6852" s="36" t="s">
        <v>25700</v>
      </c>
      <c r="M6852" s="36"/>
      <c r="N6852" s="107"/>
      <c r="O6852" s="107"/>
      <c r="P6852" s="244" t="s">
        <v>32005</v>
      </c>
      <c r="Q6852" s="245"/>
      <c r="R6852" s="107"/>
      <c r="S6852" s="106"/>
      <c r="T6852" s="84" t="s">
        <v>32006</v>
      </c>
      <c r="U6852" s="312" t="str">
        <f>HYPERLINK("https://www.ncbi.nlm.nih.gov/pubmed/30232645","PubMed")</f>
        <v>PubMed</v>
      </c>
      <c r="V6852" s="136"/>
      <c r="W6852" s="49"/>
      <c r="X6852" s="49"/>
      <c r="Y6852" s="35"/>
      <c r="Z6852" s="35"/>
      <c r="AA6852" s="35"/>
      <c r="AB6852" s="35"/>
      <c r="AC6852" s="35"/>
      <c r="AD6852" s="35"/>
      <c r="AE6852" s="35"/>
      <c r="AF6852" s="35"/>
      <c r="AG6852" s="35"/>
      <c r="AH6852" s="35"/>
      <c r="AI6852" s="35"/>
      <c r="AJ6852" s="35"/>
      <c r="AK6852" s="35"/>
      <c r="AL6852" s="35"/>
    </row>
    <row r="6853">
      <c r="A6853" s="133"/>
      <c r="B6853" s="157" t="s">
        <v>31715</v>
      </c>
      <c r="C6853" s="158" t="s">
        <v>31994</v>
      </c>
      <c r="D6853" s="159"/>
      <c r="E6853" s="57" t="s">
        <v>450</v>
      </c>
      <c r="F6853" s="23" t="s">
        <v>32007</v>
      </c>
      <c r="G6853" s="57">
        <v>2017.0</v>
      </c>
      <c r="H6853" s="57" t="s">
        <v>32008</v>
      </c>
      <c r="I6853" s="134" t="s">
        <v>32009</v>
      </c>
      <c r="J6853" s="23" t="s">
        <v>31</v>
      </c>
      <c r="K6853" s="23" t="s">
        <v>1725</v>
      </c>
      <c r="L6853" s="36">
        <v>405.0</v>
      </c>
      <c r="M6853" s="36"/>
      <c r="N6853" s="107"/>
      <c r="O6853" s="107"/>
      <c r="P6853" s="244"/>
      <c r="Q6853" s="245"/>
      <c r="R6853" s="107"/>
      <c r="S6853" s="106"/>
      <c r="T6853" s="83" t="s">
        <v>32010</v>
      </c>
      <c r="U6853" s="255" t="s">
        <v>61</v>
      </c>
      <c r="V6853" s="136"/>
      <c r="W6853" s="49"/>
      <c r="X6853" s="49"/>
      <c r="Y6853" s="35"/>
      <c r="Z6853" s="35"/>
      <c r="AA6853" s="35"/>
      <c r="AB6853" s="35"/>
      <c r="AC6853" s="35"/>
      <c r="AD6853" s="35"/>
      <c r="AE6853" s="35"/>
      <c r="AF6853" s="35"/>
      <c r="AG6853" s="35"/>
      <c r="AH6853" s="35"/>
      <c r="AI6853" s="35"/>
      <c r="AJ6853" s="35"/>
      <c r="AK6853" s="35"/>
      <c r="AL6853" s="35"/>
    </row>
    <row r="6854">
      <c r="A6854" s="133"/>
      <c r="B6854" s="157" t="s">
        <v>31715</v>
      </c>
      <c r="C6854" s="158" t="s">
        <v>31994</v>
      </c>
      <c r="D6854" s="159"/>
      <c r="E6854" s="57" t="s">
        <v>32011</v>
      </c>
      <c r="F6854" s="23" t="s">
        <v>18424</v>
      </c>
      <c r="G6854" s="57">
        <v>2017.0</v>
      </c>
      <c r="H6854" s="57" t="s">
        <v>2181</v>
      </c>
      <c r="I6854" s="134" t="s">
        <v>32012</v>
      </c>
      <c r="J6854" s="23" t="s">
        <v>31</v>
      </c>
      <c r="K6854" s="23" t="s">
        <v>32013</v>
      </c>
      <c r="L6854" s="36" t="s">
        <v>32014</v>
      </c>
      <c r="M6854" s="36"/>
      <c r="N6854" s="107"/>
      <c r="O6854" s="107"/>
      <c r="P6854" s="244"/>
      <c r="Q6854" s="245"/>
      <c r="R6854" s="107"/>
      <c r="S6854" s="106"/>
      <c r="T6854" s="83" t="s">
        <v>32015</v>
      </c>
      <c r="U6854" s="312" t="str">
        <f>HYPERLINK("https://www.ncbi.nlm.nih.gov/pubmed/28855704","PubMed")</f>
        <v>PubMed</v>
      </c>
      <c r="V6854" s="136"/>
      <c r="W6854" s="49"/>
      <c r="X6854" s="49"/>
      <c r="Y6854" s="35"/>
      <c r="Z6854" s="35"/>
      <c r="AA6854" s="35"/>
      <c r="AB6854" s="35"/>
      <c r="AC6854" s="35"/>
      <c r="AD6854" s="35"/>
      <c r="AE6854" s="35"/>
      <c r="AF6854" s="35"/>
      <c r="AG6854" s="35"/>
      <c r="AH6854" s="35"/>
      <c r="AI6854" s="35"/>
      <c r="AJ6854" s="35"/>
      <c r="AK6854" s="35"/>
      <c r="AL6854" s="35"/>
    </row>
    <row r="6855">
      <c r="A6855" s="133"/>
      <c r="B6855" s="157" t="s">
        <v>31715</v>
      </c>
      <c r="C6855" s="158" t="s">
        <v>32016</v>
      </c>
      <c r="D6855" s="159"/>
      <c r="E6855" s="57" t="s">
        <v>11452</v>
      </c>
      <c r="F6855" s="23" t="s">
        <v>1905</v>
      </c>
      <c r="G6855" s="57">
        <v>2023.0</v>
      </c>
      <c r="H6855" s="57" t="s">
        <v>348</v>
      </c>
      <c r="I6855" s="134" t="s">
        <v>32017</v>
      </c>
      <c r="J6855" s="22" t="s">
        <v>125</v>
      </c>
      <c r="K6855" s="23"/>
      <c r="L6855" s="86" t="s">
        <v>32018</v>
      </c>
      <c r="U6855" s="255" t="s">
        <v>61</v>
      </c>
      <c r="V6855" s="136"/>
      <c r="W6855" s="49"/>
      <c r="X6855" s="49"/>
      <c r="Y6855" s="35"/>
      <c r="Z6855" s="35"/>
      <c r="AA6855" s="35"/>
      <c r="AB6855" s="35"/>
      <c r="AC6855" s="35"/>
      <c r="AD6855" s="35"/>
      <c r="AE6855" s="35"/>
      <c r="AF6855" s="35"/>
      <c r="AG6855" s="35"/>
      <c r="AH6855" s="35"/>
      <c r="AI6855" s="35"/>
      <c r="AJ6855" s="35"/>
      <c r="AK6855" s="35"/>
      <c r="AL6855" s="35"/>
    </row>
    <row r="6856">
      <c r="A6856" s="133"/>
      <c r="B6856" s="157" t="s">
        <v>31715</v>
      </c>
      <c r="C6856" s="158" t="s">
        <v>32016</v>
      </c>
      <c r="D6856" s="159"/>
      <c r="E6856" s="57" t="s">
        <v>1921</v>
      </c>
      <c r="F6856" s="23" t="s">
        <v>7449</v>
      </c>
      <c r="G6856" s="57">
        <v>2017.0</v>
      </c>
      <c r="H6856" s="57" t="s">
        <v>32019</v>
      </c>
      <c r="I6856" s="134" t="s">
        <v>32020</v>
      </c>
      <c r="J6856" s="23" t="s">
        <v>31</v>
      </c>
      <c r="K6856" s="23"/>
      <c r="L6856" s="36"/>
      <c r="M6856" s="36"/>
      <c r="N6856" s="107"/>
      <c r="O6856" s="107"/>
      <c r="P6856" s="244"/>
      <c r="Q6856" s="245"/>
      <c r="R6856" s="107"/>
      <c r="S6856" s="106"/>
      <c r="T6856" s="83" t="s">
        <v>32021</v>
      </c>
      <c r="U6856" s="312" t="str">
        <f>HYPERLINK("https://www.ncbi.nlm.nih.gov/pubmed/28349897","PubMed")</f>
        <v>PubMed</v>
      </c>
      <c r="V6856" s="136"/>
      <c r="W6856" s="49"/>
      <c r="X6856" s="49"/>
      <c r="Y6856" s="35"/>
      <c r="Z6856" s="35"/>
      <c r="AA6856" s="35"/>
      <c r="AB6856" s="35"/>
      <c r="AC6856" s="35"/>
      <c r="AD6856" s="35"/>
      <c r="AE6856" s="35"/>
      <c r="AF6856" s="35"/>
      <c r="AG6856" s="35"/>
      <c r="AH6856" s="35"/>
      <c r="AI6856" s="35"/>
      <c r="AJ6856" s="35"/>
      <c r="AK6856" s="35"/>
      <c r="AL6856" s="35"/>
    </row>
    <row r="6857">
      <c r="A6857" s="133"/>
      <c r="B6857" s="157" t="s">
        <v>31715</v>
      </c>
      <c r="C6857" s="158" t="s">
        <v>6042</v>
      </c>
      <c r="D6857" s="159"/>
      <c r="E6857" s="57" t="s">
        <v>32022</v>
      </c>
      <c r="F6857" s="23" t="s">
        <v>323</v>
      </c>
      <c r="G6857" s="57">
        <v>2024.0</v>
      </c>
      <c r="H6857" s="57" t="s">
        <v>4975</v>
      </c>
      <c r="I6857" s="134" t="s">
        <v>32023</v>
      </c>
      <c r="J6857" s="23" t="s">
        <v>31</v>
      </c>
      <c r="K6857" s="23"/>
      <c r="L6857" s="36" t="s">
        <v>32024</v>
      </c>
      <c r="M6857" s="36"/>
      <c r="N6857" s="36"/>
      <c r="O6857" s="107"/>
      <c r="P6857" s="244"/>
      <c r="Q6857" s="245"/>
      <c r="R6857" s="36"/>
      <c r="S6857" s="244"/>
      <c r="T6857" s="54" t="s">
        <v>32025</v>
      </c>
      <c r="U6857" s="255" t="s">
        <v>61</v>
      </c>
      <c r="V6857" s="136"/>
      <c r="W6857" s="49"/>
      <c r="X6857" s="49"/>
      <c r="Y6857" s="35"/>
      <c r="Z6857" s="35"/>
      <c r="AA6857" s="35"/>
      <c r="AB6857" s="35"/>
      <c r="AC6857" s="35"/>
      <c r="AD6857" s="35"/>
      <c r="AE6857" s="35"/>
      <c r="AF6857" s="35"/>
      <c r="AG6857" s="35"/>
      <c r="AH6857" s="35"/>
      <c r="AI6857" s="35"/>
      <c r="AJ6857" s="35"/>
      <c r="AK6857" s="35"/>
      <c r="AL6857" s="35"/>
    </row>
    <row r="6858">
      <c r="A6858" s="133"/>
      <c r="B6858" s="157" t="s">
        <v>31715</v>
      </c>
      <c r="C6858" s="158" t="s">
        <v>6042</v>
      </c>
      <c r="D6858" s="159"/>
      <c r="E6858" s="57" t="s">
        <v>32026</v>
      </c>
      <c r="F6858" s="23" t="s">
        <v>7657</v>
      </c>
      <c r="G6858" s="57">
        <v>2023.0</v>
      </c>
      <c r="H6858" s="57" t="s">
        <v>1485</v>
      </c>
      <c r="I6858" s="134" t="s">
        <v>32027</v>
      </c>
      <c r="J6858" s="23" t="s">
        <v>32028</v>
      </c>
      <c r="K6858" s="23"/>
      <c r="L6858" s="36" t="s">
        <v>112</v>
      </c>
      <c r="M6858" s="36"/>
      <c r="N6858" s="36"/>
      <c r="O6858" s="107"/>
      <c r="P6858" s="244"/>
      <c r="Q6858" s="245"/>
      <c r="R6858" s="36"/>
      <c r="S6858" s="244" t="s">
        <v>32029</v>
      </c>
      <c r="T6858" s="54" t="s">
        <v>32030</v>
      </c>
      <c r="U6858" s="255" t="s">
        <v>61</v>
      </c>
      <c r="V6858" s="136"/>
      <c r="W6858" s="49"/>
      <c r="X6858" s="49"/>
      <c r="Y6858" s="35"/>
      <c r="Z6858" s="35"/>
      <c r="AA6858" s="35"/>
      <c r="AB6858" s="35"/>
      <c r="AC6858" s="35"/>
      <c r="AD6858" s="35"/>
      <c r="AE6858" s="35"/>
      <c r="AF6858" s="35"/>
      <c r="AG6858" s="35"/>
      <c r="AH6858" s="35"/>
      <c r="AI6858" s="35"/>
      <c r="AJ6858" s="35"/>
      <c r="AK6858" s="35"/>
      <c r="AL6858" s="35"/>
    </row>
    <row r="6859">
      <c r="A6859" s="133"/>
      <c r="B6859" s="157" t="s">
        <v>31715</v>
      </c>
      <c r="C6859" s="158" t="s">
        <v>6042</v>
      </c>
      <c r="D6859" s="159"/>
      <c r="E6859" s="57" t="s">
        <v>32031</v>
      </c>
      <c r="F6859" s="23" t="s">
        <v>5567</v>
      </c>
      <c r="G6859" s="57">
        <v>2023.0</v>
      </c>
      <c r="H6859" s="57" t="s">
        <v>91</v>
      </c>
      <c r="I6859" s="134" t="s">
        <v>32032</v>
      </c>
      <c r="J6859" s="23" t="s">
        <v>31</v>
      </c>
      <c r="K6859" s="23" t="s">
        <v>32033</v>
      </c>
      <c r="L6859" s="36"/>
      <c r="M6859" s="36"/>
      <c r="N6859" s="36" t="s">
        <v>2692</v>
      </c>
      <c r="O6859" s="107"/>
      <c r="P6859" s="244" t="s">
        <v>20995</v>
      </c>
      <c r="Q6859" s="245"/>
      <c r="R6859" s="107"/>
      <c r="S6859" s="106"/>
      <c r="T6859" s="54" t="s">
        <v>32034</v>
      </c>
      <c r="U6859" s="255" t="s">
        <v>61</v>
      </c>
      <c r="V6859" s="136"/>
      <c r="W6859" s="49"/>
      <c r="X6859" s="49"/>
      <c r="Y6859" s="35"/>
      <c r="Z6859" s="35"/>
      <c r="AA6859" s="35"/>
      <c r="AB6859" s="35"/>
      <c r="AC6859" s="35"/>
      <c r="AD6859" s="35"/>
      <c r="AE6859" s="35"/>
      <c r="AF6859" s="35"/>
      <c r="AG6859" s="35"/>
      <c r="AH6859" s="35"/>
      <c r="AI6859" s="35"/>
      <c r="AJ6859" s="35"/>
      <c r="AK6859" s="35"/>
      <c r="AL6859" s="35"/>
    </row>
    <row r="6860">
      <c r="A6860" s="133"/>
      <c r="B6860" s="157" t="s">
        <v>31715</v>
      </c>
      <c r="C6860" s="158" t="s">
        <v>6042</v>
      </c>
      <c r="D6860" s="159"/>
      <c r="E6860" s="57" t="s">
        <v>29467</v>
      </c>
      <c r="F6860" s="23" t="s">
        <v>1386</v>
      </c>
      <c r="G6860" s="57">
        <v>2023.0</v>
      </c>
      <c r="H6860" s="57" t="s">
        <v>32035</v>
      </c>
      <c r="I6860" s="134" t="s">
        <v>32036</v>
      </c>
      <c r="J6860" s="23" t="s">
        <v>31</v>
      </c>
      <c r="K6860" s="23" t="s">
        <v>16994</v>
      </c>
      <c r="L6860" s="36" t="s">
        <v>31807</v>
      </c>
      <c r="M6860" s="36"/>
      <c r="N6860" s="107"/>
      <c r="O6860" s="107"/>
      <c r="P6860" s="244"/>
      <c r="Q6860" s="245"/>
      <c r="R6860" s="107"/>
      <c r="S6860" s="106"/>
      <c r="T6860" s="54" t="s">
        <v>32037</v>
      </c>
      <c r="U6860" s="255" t="s">
        <v>61</v>
      </c>
      <c r="V6860" s="136"/>
      <c r="W6860" s="49"/>
      <c r="X6860" s="49"/>
      <c r="Y6860" s="35"/>
      <c r="Z6860" s="35"/>
      <c r="AA6860" s="35"/>
      <c r="AB6860" s="35"/>
      <c r="AC6860" s="35"/>
      <c r="AD6860" s="35"/>
      <c r="AE6860" s="35"/>
      <c r="AF6860" s="35"/>
      <c r="AG6860" s="35"/>
      <c r="AH6860" s="35"/>
      <c r="AI6860" s="35"/>
      <c r="AJ6860" s="35"/>
      <c r="AK6860" s="35"/>
      <c r="AL6860" s="35"/>
    </row>
    <row r="6861">
      <c r="A6861" s="133"/>
      <c r="B6861" s="157" t="s">
        <v>31715</v>
      </c>
      <c r="C6861" s="158" t="s">
        <v>6042</v>
      </c>
      <c r="D6861" s="159"/>
      <c r="E6861" s="57" t="s">
        <v>32038</v>
      </c>
      <c r="F6861" s="23" t="s">
        <v>5973</v>
      </c>
      <c r="G6861" s="57">
        <v>2023.0</v>
      </c>
      <c r="H6861" s="57" t="s">
        <v>91</v>
      </c>
      <c r="I6861" s="134" t="s">
        <v>32039</v>
      </c>
      <c r="J6861" s="23" t="s">
        <v>31</v>
      </c>
      <c r="K6861" s="23" t="s">
        <v>1112</v>
      </c>
      <c r="L6861" s="36" t="s">
        <v>5975</v>
      </c>
      <c r="M6861" s="36"/>
      <c r="N6861" s="107"/>
      <c r="O6861" s="107"/>
      <c r="P6861" s="244" t="s">
        <v>5976</v>
      </c>
      <c r="Q6861" s="245"/>
      <c r="R6861" s="107"/>
      <c r="S6861" s="106"/>
      <c r="T6861" s="54" t="s">
        <v>32040</v>
      </c>
      <c r="U6861" s="255" t="s">
        <v>61</v>
      </c>
      <c r="V6861" s="136"/>
      <c r="W6861" s="49"/>
      <c r="X6861" s="49"/>
      <c r="Y6861" s="35"/>
      <c r="Z6861" s="35"/>
      <c r="AA6861" s="35"/>
      <c r="AB6861" s="35"/>
      <c r="AC6861" s="35"/>
      <c r="AD6861" s="35"/>
      <c r="AE6861" s="35"/>
      <c r="AF6861" s="35"/>
      <c r="AG6861" s="35"/>
      <c r="AH6861" s="35"/>
      <c r="AI6861" s="35"/>
      <c r="AJ6861" s="35"/>
      <c r="AK6861" s="35"/>
      <c r="AL6861" s="35"/>
    </row>
    <row r="6862">
      <c r="A6862" s="133"/>
      <c r="B6862" s="157" t="s">
        <v>31715</v>
      </c>
      <c r="C6862" s="158" t="s">
        <v>6042</v>
      </c>
      <c r="D6862" s="159"/>
      <c r="E6862" s="57" t="s">
        <v>32038</v>
      </c>
      <c r="F6862" s="23" t="s">
        <v>5973</v>
      </c>
      <c r="G6862" s="57">
        <v>2023.0</v>
      </c>
      <c r="H6862" s="57" t="s">
        <v>32041</v>
      </c>
      <c r="I6862" s="134" t="s">
        <v>32042</v>
      </c>
      <c r="J6862" s="23" t="s">
        <v>31</v>
      </c>
      <c r="K6862" s="23"/>
      <c r="L6862" s="36" t="s">
        <v>5975</v>
      </c>
      <c r="M6862" s="36"/>
      <c r="N6862" s="107"/>
      <c r="O6862" s="107"/>
      <c r="P6862" s="244" t="s">
        <v>9338</v>
      </c>
      <c r="Q6862" s="245"/>
      <c r="R6862" s="107"/>
      <c r="S6862" s="106"/>
      <c r="T6862" s="54" t="s">
        <v>32043</v>
      </c>
      <c r="U6862" s="255" t="s">
        <v>61</v>
      </c>
      <c r="V6862" s="136"/>
      <c r="W6862" s="49"/>
      <c r="X6862" s="49"/>
      <c r="Y6862" s="35"/>
      <c r="Z6862" s="35"/>
      <c r="AA6862" s="35"/>
      <c r="AB6862" s="35"/>
      <c r="AC6862" s="35"/>
      <c r="AD6862" s="35"/>
      <c r="AE6862" s="35"/>
      <c r="AF6862" s="35"/>
      <c r="AG6862" s="35"/>
      <c r="AH6862" s="35"/>
      <c r="AI6862" s="35"/>
      <c r="AJ6862" s="35"/>
      <c r="AK6862" s="35"/>
      <c r="AL6862" s="35"/>
    </row>
    <row r="6863">
      <c r="A6863" s="133"/>
      <c r="B6863" s="157" t="s">
        <v>31715</v>
      </c>
      <c r="C6863" s="158" t="s">
        <v>6042</v>
      </c>
      <c r="D6863" s="159"/>
      <c r="E6863" s="57" t="s">
        <v>32038</v>
      </c>
      <c r="F6863" s="23" t="s">
        <v>5973</v>
      </c>
      <c r="G6863" s="57">
        <v>2023.0</v>
      </c>
      <c r="H6863" s="57" t="s">
        <v>207</v>
      </c>
      <c r="I6863" s="134" t="s">
        <v>32044</v>
      </c>
      <c r="J6863" s="23" t="s">
        <v>31</v>
      </c>
      <c r="K6863" s="23"/>
      <c r="L6863" s="36" t="s">
        <v>5975</v>
      </c>
      <c r="M6863" s="36"/>
      <c r="N6863" s="107"/>
      <c r="O6863" s="107"/>
      <c r="P6863" s="244" t="s">
        <v>5976</v>
      </c>
      <c r="Q6863" s="245"/>
      <c r="R6863" s="107"/>
      <c r="S6863" s="106"/>
      <c r="T6863" s="54" t="s">
        <v>32045</v>
      </c>
      <c r="U6863" s="255" t="s">
        <v>61</v>
      </c>
      <c r="V6863" s="136"/>
      <c r="W6863" s="49"/>
      <c r="X6863" s="49"/>
      <c r="Y6863" s="35"/>
      <c r="Z6863" s="35"/>
      <c r="AA6863" s="35"/>
      <c r="AB6863" s="35"/>
      <c r="AC6863" s="35"/>
      <c r="AD6863" s="35"/>
      <c r="AE6863" s="35"/>
      <c r="AF6863" s="35"/>
      <c r="AG6863" s="35"/>
      <c r="AH6863" s="35"/>
      <c r="AI6863" s="35"/>
      <c r="AJ6863" s="35"/>
      <c r="AK6863" s="35"/>
      <c r="AL6863" s="35"/>
    </row>
    <row r="6864">
      <c r="A6864" s="133"/>
      <c r="B6864" s="157" t="s">
        <v>31715</v>
      </c>
      <c r="C6864" s="158" t="s">
        <v>6042</v>
      </c>
      <c r="D6864" s="159"/>
      <c r="E6864" s="57" t="s">
        <v>3159</v>
      </c>
      <c r="F6864" s="23" t="s">
        <v>19540</v>
      </c>
      <c r="G6864" s="57">
        <v>2022.0</v>
      </c>
      <c r="H6864" s="57" t="s">
        <v>12502</v>
      </c>
      <c r="I6864" s="134" t="s">
        <v>32046</v>
      </c>
      <c r="J6864" s="23" t="s">
        <v>31</v>
      </c>
      <c r="K6864" s="23"/>
      <c r="L6864" s="36" t="s">
        <v>25634</v>
      </c>
      <c r="M6864" s="36"/>
      <c r="N6864" s="107"/>
      <c r="O6864" s="107"/>
      <c r="P6864" s="244"/>
      <c r="Q6864" s="245"/>
      <c r="R6864" s="107"/>
      <c r="S6864" s="106"/>
      <c r="T6864" s="54" t="s">
        <v>32047</v>
      </c>
      <c r="U6864" s="255" t="s">
        <v>61</v>
      </c>
      <c r="V6864" s="136"/>
      <c r="W6864" s="49"/>
      <c r="X6864" s="49"/>
      <c r="Y6864" s="35"/>
      <c r="Z6864" s="35"/>
      <c r="AA6864" s="35"/>
      <c r="AB6864" s="35"/>
      <c r="AC6864" s="35"/>
      <c r="AD6864" s="35"/>
      <c r="AE6864" s="35"/>
      <c r="AF6864" s="35"/>
      <c r="AG6864" s="35"/>
      <c r="AH6864" s="35"/>
      <c r="AI6864" s="35"/>
      <c r="AJ6864" s="35"/>
      <c r="AK6864" s="35"/>
      <c r="AL6864" s="35"/>
    </row>
    <row r="6865">
      <c r="A6865" s="133"/>
      <c r="B6865" s="157" t="s">
        <v>31715</v>
      </c>
      <c r="C6865" s="158" t="s">
        <v>6042</v>
      </c>
      <c r="D6865" s="159"/>
      <c r="E6865" s="57" t="s">
        <v>5065</v>
      </c>
      <c r="F6865" s="23" t="s">
        <v>540</v>
      </c>
      <c r="G6865" s="57">
        <v>2022.0</v>
      </c>
      <c r="H6865" s="57" t="s">
        <v>32048</v>
      </c>
      <c r="I6865" s="134" t="s">
        <v>32049</v>
      </c>
      <c r="J6865" s="22" t="s">
        <v>125</v>
      </c>
      <c r="K6865" s="23"/>
      <c r="L6865" s="105" t="s">
        <v>32050</v>
      </c>
      <c r="M6865" s="44"/>
      <c r="N6865" s="44"/>
      <c r="O6865" s="44"/>
      <c r="P6865" s="44"/>
      <c r="Q6865" s="44"/>
      <c r="R6865" s="44"/>
      <c r="S6865" s="44"/>
      <c r="T6865" s="45"/>
      <c r="U6865" s="248" t="s">
        <v>61</v>
      </c>
      <c r="V6865" s="136"/>
      <c r="W6865" s="49"/>
      <c r="X6865" s="49"/>
      <c r="Y6865" s="35"/>
      <c r="Z6865" s="35"/>
      <c r="AA6865" s="35"/>
      <c r="AB6865" s="35"/>
      <c r="AC6865" s="35"/>
      <c r="AD6865" s="35"/>
      <c r="AE6865" s="35"/>
      <c r="AF6865" s="35"/>
      <c r="AG6865" s="35"/>
      <c r="AH6865" s="35"/>
      <c r="AI6865" s="35"/>
      <c r="AJ6865" s="35"/>
      <c r="AK6865" s="35"/>
      <c r="AL6865" s="35"/>
    </row>
    <row r="6866">
      <c r="A6866" s="133"/>
      <c r="B6866" s="157" t="s">
        <v>31715</v>
      </c>
      <c r="C6866" s="158" t="s">
        <v>6042</v>
      </c>
      <c r="D6866" s="159"/>
      <c r="E6866" s="57" t="s">
        <v>32051</v>
      </c>
      <c r="F6866" s="23" t="s">
        <v>1398</v>
      </c>
      <c r="G6866" s="57">
        <v>2021.0</v>
      </c>
      <c r="H6866" s="57" t="s">
        <v>77</v>
      </c>
      <c r="I6866" s="134" t="s">
        <v>32052</v>
      </c>
      <c r="J6866" s="23" t="s">
        <v>31</v>
      </c>
      <c r="K6866" s="23"/>
      <c r="L6866" s="36">
        <v>2940.0</v>
      </c>
      <c r="M6866" s="36"/>
      <c r="N6866" s="107"/>
      <c r="O6866" s="107"/>
      <c r="P6866" s="244" t="s">
        <v>32053</v>
      </c>
      <c r="Q6866" s="245"/>
      <c r="R6866" s="107"/>
      <c r="S6866" s="106"/>
      <c r="T6866" s="83" t="s">
        <v>32054</v>
      </c>
      <c r="U6866" s="248" t="s">
        <v>61</v>
      </c>
      <c r="V6866" s="136"/>
      <c r="W6866" s="49"/>
      <c r="X6866" s="49"/>
      <c r="Y6866" s="35"/>
      <c r="Z6866" s="35"/>
      <c r="AA6866" s="35"/>
      <c r="AB6866" s="35"/>
      <c r="AC6866" s="35"/>
      <c r="AD6866" s="35"/>
      <c r="AE6866" s="35"/>
      <c r="AF6866" s="35"/>
      <c r="AG6866" s="35"/>
      <c r="AH6866" s="35"/>
      <c r="AI6866" s="35"/>
      <c r="AJ6866" s="35"/>
      <c r="AK6866" s="35"/>
      <c r="AL6866" s="35"/>
    </row>
    <row r="6867">
      <c r="A6867" s="133"/>
      <c r="B6867" s="157" t="s">
        <v>31715</v>
      </c>
      <c r="C6867" s="158" t="s">
        <v>6042</v>
      </c>
      <c r="D6867" s="159"/>
      <c r="E6867" s="57" t="s">
        <v>626</v>
      </c>
      <c r="F6867" s="23" t="s">
        <v>7062</v>
      </c>
      <c r="G6867" s="57">
        <v>2021.0</v>
      </c>
      <c r="H6867" s="57" t="s">
        <v>91</v>
      </c>
      <c r="I6867" s="134" t="s">
        <v>32055</v>
      </c>
      <c r="J6867" s="23" t="s">
        <v>31</v>
      </c>
      <c r="K6867" s="23" t="s">
        <v>1827</v>
      </c>
      <c r="L6867" s="36">
        <v>1064.0</v>
      </c>
      <c r="M6867" s="36"/>
      <c r="N6867" s="107"/>
      <c r="O6867" s="107"/>
      <c r="P6867" s="244" t="s">
        <v>7369</v>
      </c>
      <c r="Q6867" s="245"/>
      <c r="R6867" s="107"/>
      <c r="S6867" s="106"/>
      <c r="T6867" s="83" t="s">
        <v>32056</v>
      </c>
      <c r="U6867" s="248" t="s">
        <v>61</v>
      </c>
      <c r="V6867" s="136"/>
      <c r="W6867" s="49"/>
      <c r="X6867" s="49"/>
      <c r="Y6867" s="35"/>
      <c r="Z6867" s="35"/>
      <c r="AA6867" s="35"/>
      <c r="AB6867" s="35"/>
      <c r="AC6867" s="35"/>
      <c r="AD6867" s="35"/>
      <c r="AE6867" s="35"/>
      <c r="AF6867" s="35"/>
      <c r="AG6867" s="35"/>
      <c r="AH6867" s="35"/>
      <c r="AI6867" s="35"/>
      <c r="AJ6867" s="35"/>
      <c r="AK6867" s="35"/>
      <c r="AL6867" s="35"/>
    </row>
    <row r="6868">
      <c r="A6868" s="133"/>
      <c r="B6868" s="157" t="s">
        <v>31715</v>
      </c>
      <c r="C6868" s="158" t="s">
        <v>6042</v>
      </c>
      <c r="D6868" s="159"/>
      <c r="E6868" s="57" t="s">
        <v>29467</v>
      </c>
      <c r="F6868" s="23" t="s">
        <v>1386</v>
      </c>
      <c r="G6868" s="57">
        <v>2021.0</v>
      </c>
      <c r="H6868" s="57" t="s">
        <v>11373</v>
      </c>
      <c r="I6868" s="134" t="s">
        <v>32057</v>
      </c>
      <c r="J6868" s="22" t="s">
        <v>125</v>
      </c>
      <c r="K6868" s="23"/>
      <c r="L6868" s="43" t="s">
        <v>32058</v>
      </c>
      <c r="M6868" s="44"/>
      <c r="N6868" s="44"/>
      <c r="O6868" s="44"/>
      <c r="P6868" s="44"/>
      <c r="Q6868" s="44"/>
      <c r="R6868" s="44"/>
      <c r="S6868" s="44"/>
      <c r="T6868" s="45"/>
      <c r="U6868" s="248" t="s">
        <v>61</v>
      </c>
      <c r="V6868" s="136"/>
      <c r="W6868" s="49"/>
      <c r="X6868" s="49"/>
      <c r="Y6868" s="35"/>
      <c r="Z6868" s="35"/>
      <c r="AA6868" s="35"/>
      <c r="AB6868" s="35"/>
      <c r="AC6868" s="35"/>
      <c r="AD6868" s="35"/>
      <c r="AE6868" s="35"/>
      <c r="AF6868" s="35"/>
      <c r="AG6868" s="35"/>
      <c r="AH6868" s="35"/>
      <c r="AI6868" s="35"/>
      <c r="AJ6868" s="35"/>
      <c r="AK6868" s="35"/>
      <c r="AL6868" s="35"/>
    </row>
    <row r="6869">
      <c r="A6869" s="133"/>
      <c r="B6869" s="157" t="s">
        <v>31715</v>
      </c>
      <c r="C6869" s="158" t="s">
        <v>6042</v>
      </c>
      <c r="D6869" s="159"/>
      <c r="E6869" s="57" t="s">
        <v>32059</v>
      </c>
      <c r="F6869" s="23" t="s">
        <v>3762</v>
      </c>
      <c r="G6869" s="57">
        <v>2020.0</v>
      </c>
      <c r="H6869" s="57" t="s">
        <v>91</v>
      </c>
      <c r="I6869" s="134" t="s">
        <v>32060</v>
      </c>
      <c r="J6869" s="23" t="s">
        <v>31</v>
      </c>
      <c r="K6869" s="23" t="s">
        <v>157</v>
      </c>
      <c r="L6869" s="36">
        <v>650.0</v>
      </c>
      <c r="M6869" s="36"/>
      <c r="N6869" s="107"/>
      <c r="O6869" s="107"/>
      <c r="P6869" s="244"/>
      <c r="Q6869" s="245"/>
      <c r="R6869" s="107"/>
      <c r="S6869" s="106"/>
      <c r="T6869" s="83" t="s">
        <v>32061</v>
      </c>
      <c r="U6869" s="248" t="s">
        <v>61</v>
      </c>
      <c r="V6869" s="136"/>
      <c r="W6869" s="49"/>
      <c r="X6869" s="49"/>
      <c r="Y6869" s="35"/>
      <c r="Z6869" s="35"/>
      <c r="AA6869" s="35"/>
      <c r="AB6869" s="35"/>
      <c r="AC6869" s="35"/>
      <c r="AD6869" s="35"/>
      <c r="AE6869" s="35"/>
      <c r="AF6869" s="35"/>
      <c r="AG6869" s="35"/>
      <c r="AH6869" s="35"/>
      <c r="AI6869" s="35"/>
      <c r="AJ6869" s="35"/>
      <c r="AK6869" s="35"/>
      <c r="AL6869" s="35"/>
    </row>
    <row r="6870">
      <c r="A6870" s="133"/>
      <c r="B6870" s="157" t="s">
        <v>31715</v>
      </c>
      <c r="C6870" s="158" t="s">
        <v>6042</v>
      </c>
      <c r="D6870" s="159"/>
      <c r="E6870" s="57" t="s">
        <v>2338</v>
      </c>
      <c r="F6870" s="23" t="s">
        <v>10060</v>
      </c>
      <c r="G6870" s="57">
        <v>2020.0</v>
      </c>
      <c r="H6870" s="57" t="s">
        <v>91</v>
      </c>
      <c r="I6870" s="134" t="s">
        <v>32062</v>
      </c>
      <c r="J6870" s="23" t="s">
        <v>31</v>
      </c>
      <c r="K6870" s="23" t="s">
        <v>8538</v>
      </c>
      <c r="L6870" s="36" t="s">
        <v>32063</v>
      </c>
      <c r="M6870" s="36"/>
      <c r="N6870" s="107"/>
      <c r="O6870" s="107"/>
      <c r="P6870" s="244" t="s">
        <v>4548</v>
      </c>
      <c r="Q6870" s="245"/>
      <c r="R6870" s="107"/>
      <c r="S6870" s="106"/>
      <c r="T6870" s="83" t="s">
        <v>32064</v>
      </c>
      <c r="U6870" s="312" t="str">
        <f>HYPERLINK("https://www.ncbi.nlm.nih.gov/pubmed/32173788","PubMed")</f>
        <v>PubMed</v>
      </c>
      <c r="V6870" s="136"/>
      <c r="W6870" s="49"/>
      <c r="X6870" s="49"/>
      <c r="Y6870" s="35"/>
      <c r="Z6870" s="35"/>
      <c r="AA6870" s="35"/>
      <c r="AB6870" s="35"/>
      <c r="AC6870" s="35"/>
      <c r="AD6870" s="35"/>
      <c r="AE6870" s="35"/>
      <c r="AF6870" s="35"/>
      <c r="AG6870" s="35"/>
      <c r="AH6870" s="35"/>
      <c r="AI6870" s="35"/>
      <c r="AJ6870" s="35"/>
      <c r="AK6870" s="35"/>
      <c r="AL6870" s="35"/>
    </row>
    <row r="6871">
      <c r="A6871" s="18"/>
      <c r="B6871" s="157" t="s">
        <v>31715</v>
      </c>
      <c r="C6871" s="158" t="s">
        <v>6042</v>
      </c>
      <c r="D6871" s="159"/>
      <c r="E6871" s="57" t="s">
        <v>1742</v>
      </c>
      <c r="F6871" s="23" t="s">
        <v>605</v>
      </c>
      <c r="G6871" s="57">
        <v>2020.0</v>
      </c>
      <c r="H6871" s="57" t="s">
        <v>12022</v>
      </c>
      <c r="I6871" s="134" t="s">
        <v>32065</v>
      </c>
      <c r="J6871" s="23" t="s">
        <v>31</v>
      </c>
      <c r="K6871" s="23"/>
      <c r="L6871" s="36" t="s">
        <v>1744</v>
      </c>
      <c r="M6871" s="36"/>
      <c r="N6871" s="36"/>
      <c r="O6871" s="107"/>
      <c r="P6871" s="244"/>
      <c r="Q6871" s="245"/>
      <c r="R6871" s="36"/>
      <c r="S6871" s="106"/>
      <c r="T6871" s="84" t="s">
        <v>32066</v>
      </c>
      <c r="U6871" s="312" t="str">
        <f>HYPERLINK("https://www.ncbi.nlm.nih.gov/pubmed/32016710","PubMed")</f>
        <v>PubMed</v>
      </c>
      <c r="V6871" s="136"/>
      <c r="W6871" s="49"/>
      <c r="X6871" s="49"/>
      <c r="Y6871" s="35"/>
      <c r="Z6871" s="35"/>
      <c r="AA6871" s="35"/>
      <c r="AB6871" s="35"/>
      <c r="AC6871" s="35"/>
      <c r="AD6871" s="35"/>
      <c r="AE6871" s="35"/>
      <c r="AF6871" s="35"/>
      <c r="AG6871" s="35"/>
      <c r="AH6871" s="35"/>
      <c r="AI6871" s="35"/>
      <c r="AJ6871" s="35"/>
      <c r="AK6871" s="35"/>
      <c r="AL6871" s="35"/>
    </row>
    <row r="6872">
      <c r="A6872" s="18"/>
      <c r="B6872" s="157" t="s">
        <v>31715</v>
      </c>
      <c r="C6872" s="158" t="s">
        <v>6042</v>
      </c>
      <c r="D6872" s="159"/>
      <c r="E6872" s="57" t="s">
        <v>9052</v>
      </c>
      <c r="F6872" s="23" t="s">
        <v>2346</v>
      </c>
      <c r="G6872" s="57">
        <v>2019.0</v>
      </c>
      <c r="H6872" s="57" t="s">
        <v>32067</v>
      </c>
      <c r="I6872" s="134" t="s">
        <v>32068</v>
      </c>
      <c r="J6872" s="23" t="s">
        <v>31</v>
      </c>
      <c r="K6872" s="23"/>
      <c r="L6872" s="36" t="s">
        <v>32069</v>
      </c>
      <c r="M6872" s="36"/>
      <c r="N6872" s="36"/>
      <c r="O6872" s="107"/>
      <c r="P6872" s="244"/>
      <c r="Q6872" s="245"/>
      <c r="R6872" s="36"/>
      <c r="S6872" s="106"/>
      <c r="T6872" s="83" t="s">
        <v>32070</v>
      </c>
      <c r="U6872" s="312" t="str">
        <f>HYPERLINK("https://www.ncbi.nlm.nih.gov/pubmed/31595390","PubMed")</f>
        <v>PubMed</v>
      </c>
      <c r="V6872" s="136"/>
      <c r="W6872" s="49"/>
      <c r="X6872" s="49"/>
      <c r="Y6872" s="35"/>
      <c r="Z6872" s="35"/>
      <c r="AA6872" s="35"/>
      <c r="AB6872" s="35"/>
      <c r="AC6872" s="35"/>
      <c r="AD6872" s="35"/>
      <c r="AE6872" s="35"/>
      <c r="AF6872" s="35"/>
      <c r="AG6872" s="35"/>
      <c r="AH6872" s="35"/>
      <c r="AI6872" s="35"/>
      <c r="AJ6872" s="35"/>
      <c r="AK6872" s="35"/>
      <c r="AL6872" s="35"/>
    </row>
    <row r="6873">
      <c r="A6873" s="18"/>
      <c r="B6873" s="157" t="s">
        <v>31715</v>
      </c>
      <c r="C6873" s="158" t="s">
        <v>6042</v>
      </c>
      <c r="D6873" s="159"/>
      <c r="E6873" s="57" t="s">
        <v>31907</v>
      </c>
      <c r="F6873" s="23" t="s">
        <v>11529</v>
      </c>
      <c r="G6873" s="57" t="s">
        <v>76</v>
      </c>
      <c r="H6873" s="57" t="s">
        <v>91</v>
      </c>
      <c r="I6873" s="134" t="s">
        <v>32071</v>
      </c>
      <c r="J6873" s="23" t="s">
        <v>31</v>
      </c>
      <c r="K6873" s="23" t="s">
        <v>29034</v>
      </c>
      <c r="L6873" s="36">
        <v>633.0</v>
      </c>
      <c r="M6873" s="36">
        <v>3.0</v>
      </c>
      <c r="N6873" s="36" t="s">
        <v>31909</v>
      </c>
      <c r="O6873" s="107"/>
      <c r="P6873" s="244" t="s">
        <v>325</v>
      </c>
      <c r="Q6873" s="245" t="s">
        <v>32072</v>
      </c>
      <c r="R6873" s="36">
        <v>378.0</v>
      </c>
      <c r="S6873" s="106"/>
      <c r="T6873" s="83" t="s">
        <v>32073</v>
      </c>
      <c r="U6873" s="312" t="str">
        <f>HYPERLINK("https://www.ncbi.nlm.nih.gov/pubmed/31399862","PubMed")</f>
        <v>PubMed</v>
      </c>
      <c r="V6873" s="136"/>
      <c r="W6873" s="49"/>
      <c r="X6873" s="49"/>
      <c r="Y6873" s="35"/>
      <c r="Z6873" s="35"/>
      <c r="AA6873" s="35"/>
      <c r="AB6873" s="35"/>
      <c r="AC6873" s="35"/>
      <c r="AD6873" s="35"/>
      <c r="AE6873" s="35"/>
      <c r="AF6873" s="35"/>
      <c r="AG6873" s="35"/>
      <c r="AH6873" s="35"/>
      <c r="AI6873" s="35"/>
      <c r="AJ6873" s="35"/>
      <c r="AK6873" s="35"/>
      <c r="AL6873" s="35"/>
    </row>
    <row r="6874">
      <c r="A6874" s="18" t="s">
        <v>2</v>
      </c>
      <c r="B6874" s="157" t="s">
        <v>31715</v>
      </c>
      <c r="C6874" s="158" t="s">
        <v>6042</v>
      </c>
      <c r="D6874" s="159"/>
      <c r="E6874" s="57" t="s">
        <v>412</v>
      </c>
      <c r="F6874" s="23" t="s">
        <v>323</v>
      </c>
      <c r="G6874" s="57">
        <v>2018.0</v>
      </c>
      <c r="H6874" s="57" t="s">
        <v>91</v>
      </c>
      <c r="I6874" s="134" t="s">
        <v>32074</v>
      </c>
      <c r="J6874" s="23" t="s">
        <v>31</v>
      </c>
      <c r="K6874" s="23" t="s">
        <v>5440</v>
      </c>
      <c r="L6874" s="36" t="s">
        <v>32075</v>
      </c>
      <c r="M6874" s="36" t="s">
        <v>32076</v>
      </c>
      <c r="N6874" s="36" t="s">
        <v>32077</v>
      </c>
      <c r="O6874" s="107"/>
      <c r="P6874" s="244" t="s">
        <v>7492</v>
      </c>
      <c r="Q6874" s="245" t="s">
        <v>32078</v>
      </c>
      <c r="R6874" s="36" t="s">
        <v>32079</v>
      </c>
      <c r="S6874" s="106"/>
      <c r="T6874" s="83" t="s">
        <v>32080</v>
      </c>
      <c r="U6874" s="312" t="str">
        <f>HYPERLINK("https://www.ncbi.nlm.nih.gov/pubmed/30264177","PubMed")</f>
        <v>PubMed</v>
      </c>
      <c r="V6874" s="136"/>
      <c r="W6874" s="49"/>
      <c r="X6874" s="49"/>
      <c r="Y6874" s="35"/>
      <c r="Z6874" s="35"/>
      <c r="AA6874" s="35"/>
      <c r="AB6874" s="35"/>
      <c r="AC6874" s="35"/>
      <c r="AD6874" s="35"/>
      <c r="AE6874" s="35"/>
      <c r="AF6874" s="35"/>
      <c r="AG6874" s="35"/>
      <c r="AH6874" s="35"/>
      <c r="AI6874" s="35"/>
      <c r="AJ6874" s="35"/>
      <c r="AK6874" s="35"/>
      <c r="AL6874" s="35"/>
    </row>
    <row r="6875">
      <c r="A6875" s="18"/>
      <c r="B6875" s="157" t="s">
        <v>31715</v>
      </c>
      <c r="C6875" s="158" t="s">
        <v>6042</v>
      </c>
      <c r="D6875" s="159"/>
      <c r="E6875" s="57" t="s">
        <v>32081</v>
      </c>
      <c r="F6875" s="23" t="s">
        <v>52</v>
      </c>
      <c r="G6875" s="57">
        <v>2018.0</v>
      </c>
      <c r="H6875" s="57" t="s">
        <v>91</v>
      </c>
      <c r="I6875" s="134" t="s">
        <v>32082</v>
      </c>
      <c r="J6875" s="23" t="s">
        <v>31</v>
      </c>
      <c r="K6875" s="23" t="s">
        <v>32083</v>
      </c>
      <c r="L6875" s="36" t="s">
        <v>1613</v>
      </c>
      <c r="M6875" s="36"/>
      <c r="N6875" s="36" t="s">
        <v>32084</v>
      </c>
      <c r="O6875" s="107"/>
      <c r="P6875" s="244"/>
      <c r="Q6875" s="245"/>
      <c r="R6875" s="36">
        <v>300.0</v>
      </c>
      <c r="S6875" s="106"/>
      <c r="T6875" s="83" t="s">
        <v>32085</v>
      </c>
      <c r="U6875" s="312" t="str">
        <f>HYPERLINK("https://www.ncbi.nlm.nih.gov/pubmed/29250712","PubMed")</f>
        <v>PubMed</v>
      </c>
      <c r="V6875" s="136"/>
      <c r="W6875" s="49"/>
      <c r="X6875" s="49"/>
      <c r="Y6875" s="35"/>
      <c r="Z6875" s="35"/>
      <c r="AA6875" s="35"/>
      <c r="AB6875" s="35"/>
      <c r="AC6875" s="35"/>
      <c r="AD6875" s="35"/>
      <c r="AE6875" s="35"/>
      <c r="AF6875" s="35"/>
      <c r="AG6875" s="35"/>
      <c r="AH6875" s="35"/>
      <c r="AI6875" s="35"/>
      <c r="AJ6875" s="35"/>
      <c r="AK6875" s="35"/>
      <c r="AL6875" s="35"/>
    </row>
    <row r="6876">
      <c r="A6876" s="133"/>
      <c r="B6876" s="157" t="s">
        <v>31715</v>
      </c>
      <c r="C6876" s="158" t="s">
        <v>6042</v>
      </c>
      <c r="D6876" s="159"/>
      <c r="E6876" s="57" t="s">
        <v>32086</v>
      </c>
      <c r="F6876" s="23" t="s">
        <v>2705</v>
      </c>
      <c r="G6876" s="57">
        <v>2018.0</v>
      </c>
      <c r="H6876" s="57" t="s">
        <v>348</v>
      </c>
      <c r="I6876" s="134" t="s">
        <v>32087</v>
      </c>
      <c r="J6876" s="23" t="s">
        <v>31</v>
      </c>
      <c r="K6876" s="23" t="s">
        <v>32088</v>
      </c>
      <c r="L6876" s="36" t="s">
        <v>19219</v>
      </c>
      <c r="M6876" s="36"/>
      <c r="N6876" s="107"/>
      <c r="O6876" s="107"/>
      <c r="P6876" s="244" t="s">
        <v>431</v>
      </c>
      <c r="Q6876" s="245"/>
      <c r="R6876" s="107"/>
      <c r="S6876" s="106"/>
      <c r="T6876" s="83" t="s">
        <v>32089</v>
      </c>
      <c r="U6876" s="312" t="str">
        <f>HYPERLINK("https://www.ncbi.nlm.nih.gov/pubmed/29970828","PubMed")</f>
        <v>PubMed</v>
      </c>
      <c r="V6876" s="136"/>
      <c r="W6876" s="49"/>
      <c r="X6876" s="49"/>
      <c r="Y6876" s="35"/>
      <c r="Z6876" s="35"/>
      <c r="AA6876" s="35"/>
      <c r="AB6876" s="35"/>
      <c r="AC6876" s="35"/>
      <c r="AD6876" s="35"/>
      <c r="AE6876" s="35"/>
      <c r="AF6876" s="35"/>
      <c r="AG6876" s="35"/>
      <c r="AH6876" s="35"/>
      <c r="AI6876" s="35"/>
      <c r="AJ6876" s="35"/>
      <c r="AK6876" s="35"/>
      <c r="AL6876" s="35"/>
    </row>
    <row r="6877">
      <c r="A6877" s="133"/>
      <c r="B6877" s="157" t="s">
        <v>31715</v>
      </c>
      <c r="C6877" s="158" t="s">
        <v>6042</v>
      </c>
      <c r="D6877" s="159"/>
      <c r="E6877" s="57" t="s">
        <v>2316</v>
      </c>
      <c r="F6877" s="23" t="s">
        <v>32090</v>
      </c>
      <c r="G6877" s="57">
        <v>2018.0</v>
      </c>
      <c r="H6877" s="57" t="s">
        <v>1969</v>
      </c>
      <c r="I6877" s="134" t="s">
        <v>32091</v>
      </c>
      <c r="J6877" s="23" t="s">
        <v>31</v>
      </c>
      <c r="K6877" s="23" t="s">
        <v>32092</v>
      </c>
      <c r="L6877" s="36"/>
      <c r="M6877" s="36"/>
      <c r="N6877" s="107"/>
      <c r="O6877" s="107"/>
      <c r="P6877" s="244"/>
      <c r="Q6877" s="245"/>
      <c r="R6877" s="107"/>
      <c r="S6877" s="106"/>
      <c r="T6877" s="83" t="s">
        <v>32093</v>
      </c>
      <c r="U6877" s="312" t="str">
        <f>HYPERLINK("https://www.ncbi.nlm.nih.gov/pubmed/29771444","PubMed")</f>
        <v>PubMed</v>
      </c>
      <c r="V6877" s="136"/>
      <c r="W6877" s="49"/>
      <c r="X6877" s="49"/>
      <c r="Y6877" s="35"/>
      <c r="Z6877" s="35"/>
      <c r="AA6877" s="35"/>
      <c r="AB6877" s="35"/>
      <c r="AC6877" s="35"/>
      <c r="AD6877" s="35"/>
      <c r="AE6877" s="35"/>
      <c r="AF6877" s="35"/>
      <c r="AG6877" s="35"/>
      <c r="AH6877" s="35"/>
      <c r="AI6877" s="35"/>
      <c r="AJ6877" s="35"/>
      <c r="AK6877" s="35"/>
      <c r="AL6877" s="35"/>
    </row>
    <row r="6878">
      <c r="A6878" s="133"/>
      <c r="B6878" s="157" t="s">
        <v>31715</v>
      </c>
      <c r="C6878" s="158" t="s">
        <v>6042</v>
      </c>
      <c r="D6878" s="159"/>
      <c r="E6878" s="57" t="s">
        <v>5065</v>
      </c>
      <c r="F6878" s="23" t="s">
        <v>540</v>
      </c>
      <c r="G6878" s="57">
        <v>2018.0</v>
      </c>
      <c r="H6878" s="57" t="s">
        <v>452</v>
      </c>
      <c r="I6878" s="134" t="s">
        <v>32094</v>
      </c>
      <c r="J6878" s="23" t="s">
        <v>31</v>
      </c>
      <c r="K6878" s="23"/>
      <c r="L6878" s="36">
        <v>808.0</v>
      </c>
      <c r="M6878" s="36"/>
      <c r="N6878" s="107"/>
      <c r="O6878" s="107"/>
      <c r="P6878" s="244" t="s">
        <v>15675</v>
      </c>
      <c r="Q6878" s="245"/>
      <c r="R6878" s="107"/>
      <c r="S6878" s="106"/>
      <c r="T6878" s="83" t="s">
        <v>32095</v>
      </c>
      <c r="U6878" s="312" t="str">
        <f>HYPERLINK("https://www.ncbi.nlm.nih.gov/pubmed/29527174","PubMed")</f>
        <v>PubMed</v>
      </c>
      <c r="V6878" s="136"/>
      <c r="W6878" s="49"/>
      <c r="X6878" s="49"/>
      <c r="Y6878" s="35"/>
      <c r="Z6878" s="35"/>
      <c r="AA6878" s="35"/>
      <c r="AB6878" s="35"/>
      <c r="AC6878" s="35"/>
      <c r="AD6878" s="35"/>
      <c r="AE6878" s="35"/>
      <c r="AF6878" s="35"/>
      <c r="AG6878" s="35"/>
      <c r="AH6878" s="35"/>
      <c r="AI6878" s="35"/>
      <c r="AJ6878" s="35"/>
      <c r="AK6878" s="35"/>
      <c r="AL6878" s="35"/>
    </row>
    <row r="6879">
      <c r="A6879" s="133"/>
      <c r="B6879" s="157" t="s">
        <v>31715</v>
      </c>
      <c r="C6879" s="158" t="s">
        <v>6042</v>
      </c>
      <c r="D6879" s="159"/>
      <c r="E6879" s="57" t="s">
        <v>32096</v>
      </c>
      <c r="F6879" s="23" t="s">
        <v>323</v>
      </c>
      <c r="G6879" s="57">
        <v>2017.0</v>
      </c>
      <c r="H6879" s="57" t="s">
        <v>658</v>
      </c>
      <c r="I6879" s="134" t="s">
        <v>32097</v>
      </c>
      <c r="J6879" s="22" t="s">
        <v>125</v>
      </c>
      <c r="K6879" s="23"/>
      <c r="L6879" s="105" t="s">
        <v>32098</v>
      </c>
      <c r="M6879" s="44"/>
      <c r="N6879" s="44"/>
      <c r="O6879" s="44"/>
      <c r="P6879" s="44"/>
      <c r="Q6879" s="44"/>
      <c r="R6879" s="44"/>
      <c r="S6879" s="44"/>
      <c r="T6879" s="45"/>
      <c r="U6879" s="312" t="str">
        <f>HYPERLINK("https://www.ncbi.nlm.nih.gov/pubmed/28621568","PubMed")</f>
        <v>PubMed</v>
      </c>
      <c r="V6879" s="136"/>
      <c r="W6879" s="156"/>
      <c r="X6879" s="156"/>
      <c r="Y6879" s="35"/>
      <c r="Z6879" s="35"/>
      <c r="AA6879" s="35"/>
      <c r="AB6879" s="35"/>
      <c r="AC6879" s="35"/>
      <c r="AD6879" s="35"/>
      <c r="AE6879" s="35"/>
      <c r="AF6879" s="35"/>
      <c r="AG6879" s="35"/>
      <c r="AH6879" s="35"/>
      <c r="AI6879" s="35"/>
      <c r="AJ6879" s="35"/>
      <c r="AK6879" s="35"/>
      <c r="AL6879" s="35"/>
    </row>
    <row r="6880">
      <c r="A6880" s="133"/>
      <c r="B6880" s="157" t="s">
        <v>31715</v>
      </c>
      <c r="C6880" s="158" t="s">
        <v>6042</v>
      </c>
      <c r="D6880" s="159"/>
      <c r="E6880" s="57" t="s">
        <v>1089</v>
      </c>
      <c r="F6880" s="23" t="s">
        <v>1576</v>
      </c>
      <c r="G6880" s="57" t="s">
        <v>90</v>
      </c>
      <c r="H6880" s="57" t="s">
        <v>5009</v>
      </c>
      <c r="I6880" s="134" t="s">
        <v>32099</v>
      </c>
      <c r="J6880" s="23" t="s">
        <v>32100</v>
      </c>
      <c r="K6880" s="23"/>
      <c r="L6880" s="36">
        <v>660.0</v>
      </c>
      <c r="M6880" s="36">
        <v>20.0</v>
      </c>
      <c r="N6880" s="36" t="s">
        <v>5132</v>
      </c>
      <c r="O6880" s="36" t="s">
        <v>32101</v>
      </c>
      <c r="P6880" s="37" t="s">
        <v>13087</v>
      </c>
      <c r="Q6880" s="107"/>
      <c r="R6880" s="36" t="s">
        <v>32102</v>
      </c>
      <c r="S6880" s="107"/>
      <c r="T6880" s="54" t="s">
        <v>32103</v>
      </c>
      <c r="U6880" s="312" t="str">
        <f>HYPERLINK("https://www.ncbi.nlm.nih.gov/pubmed/29215714","PubMed")</f>
        <v>PubMed</v>
      </c>
      <c r="V6880" s="136"/>
      <c r="W6880" s="156"/>
      <c r="X6880" s="156"/>
      <c r="Y6880" s="35"/>
      <c r="Z6880" s="35"/>
      <c r="AA6880" s="35"/>
      <c r="AB6880" s="35"/>
      <c r="AC6880" s="35"/>
      <c r="AD6880" s="35"/>
      <c r="AE6880" s="35"/>
      <c r="AF6880" s="35"/>
      <c r="AG6880" s="35"/>
      <c r="AH6880" s="35"/>
      <c r="AI6880" s="35"/>
      <c r="AJ6880" s="35"/>
      <c r="AK6880" s="35"/>
      <c r="AL6880" s="35"/>
    </row>
    <row r="6881">
      <c r="A6881" s="133"/>
      <c r="B6881" s="157" t="s">
        <v>31715</v>
      </c>
      <c r="C6881" s="158" t="s">
        <v>6042</v>
      </c>
      <c r="D6881" s="159"/>
      <c r="E6881" s="57" t="s">
        <v>20703</v>
      </c>
      <c r="F6881" s="23" t="s">
        <v>7945</v>
      </c>
      <c r="G6881" s="57">
        <v>2016.0</v>
      </c>
      <c r="H6881" s="57" t="s">
        <v>207</v>
      </c>
      <c r="I6881" s="134" t="s">
        <v>32104</v>
      </c>
      <c r="J6881" s="23" t="s">
        <v>31</v>
      </c>
      <c r="K6881" s="23" t="s">
        <v>6802</v>
      </c>
      <c r="L6881" s="36">
        <v>532.0</v>
      </c>
      <c r="M6881" s="36"/>
      <c r="N6881" s="36"/>
      <c r="O6881" s="36"/>
      <c r="P6881" s="37" t="s">
        <v>254</v>
      </c>
      <c r="Q6881" s="107"/>
      <c r="R6881" s="36"/>
      <c r="S6881" s="36" t="s">
        <v>537</v>
      </c>
      <c r="T6881" s="54" t="s">
        <v>32105</v>
      </c>
      <c r="U6881" s="312" t="str">
        <f>HYPERLINK("https://www.ncbi.nlm.nih.gov/pubmed/26732735","PubMed")</f>
        <v>PubMed</v>
      </c>
      <c r="V6881" s="136"/>
      <c r="W6881" s="156"/>
      <c r="X6881" s="156"/>
      <c r="Y6881" s="35"/>
      <c r="Z6881" s="35"/>
      <c r="AA6881" s="35"/>
      <c r="AB6881" s="35"/>
      <c r="AC6881" s="35"/>
      <c r="AD6881" s="35"/>
      <c r="AE6881" s="35"/>
      <c r="AF6881" s="35"/>
      <c r="AG6881" s="35"/>
      <c r="AH6881" s="35"/>
      <c r="AI6881" s="35"/>
      <c r="AJ6881" s="35"/>
      <c r="AK6881" s="35"/>
      <c r="AL6881" s="35"/>
    </row>
    <row r="6882">
      <c r="A6882" s="133"/>
      <c r="B6882" s="157" t="s">
        <v>31715</v>
      </c>
      <c r="C6882" s="158" t="s">
        <v>6042</v>
      </c>
      <c r="D6882" s="159"/>
      <c r="E6882" s="57" t="s">
        <v>2338</v>
      </c>
      <c r="F6882" s="23" t="s">
        <v>2175</v>
      </c>
      <c r="G6882" s="57">
        <v>2016.0</v>
      </c>
      <c r="H6882" s="57" t="s">
        <v>2181</v>
      </c>
      <c r="I6882" s="134" t="s">
        <v>32106</v>
      </c>
      <c r="J6882" s="23" t="s">
        <v>31</v>
      </c>
      <c r="K6882" s="23" t="s">
        <v>157</v>
      </c>
      <c r="L6882" s="36">
        <v>620.0</v>
      </c>
      <c r="M6882" s="107"/>
      <c r="N6882" s="107"/>
      <c r="O6882" s="107"/>
      <c r="P6882" s="37" t="s">
        <v>269</v>
      </c>
      <c r="Q6882" s="107"/>
      <c r="R6882" s="36"/>
      <c r="S6882" s="107"/>
      <c r="T6882" s="54" t="s">
        <v>32107</v>
      </c>
      <c r="U6882" s="312" t="str">
        <f>HYPERLINK("https://www.ncbi.nlm.nih.gov/pubmed/27874039","PubMed")</f>
        <v>PubMed</v>
      </c>
      <c r="V6882" s="136"/>
      <c r="W6882" s="156"/>
      <c r="X6882" s="156"/>
      <c r="Y6882" s="35"/>
      <c r="Z6882" s="35"/>
      <c r="AA6882" s="35"/>
      <c r="AB6882" s="35"/>
      <c r="AC6882" s="35"/>
      <c r="AD6882" s="35"/>
      <c r="AE6882" s="35"/>
      <c r="AF6882" s="35"/>
      <c r="AG6882" s="35"/>
      <c r="AH6882" s="35"/>
      <c r="AI6882" s="35"/>
      <c r="AJ6882" s="35"/>
      <c r="AK6882" s="35"/>
      <c r="AL6882" s="35"/>
    </row>
    <row r="6883">
      <c r="A6883" s="133"/>
      <c r="B6883" s="157" t="s">
        <v>31715</v>
      </c>
      <c r="C6883" s="158" t="s">
        <v>6042</v>
      </c>
      <c r="D6883" s="159"/>
      <c r="E6883" s="57" t="s">
        <v>1626</v>
      </c>
      <c r="F6883" s="23" t="s">
        <v>313</v>
      </c>
      <c r="G6883" s="57">
        <v>2012.0</v>
      </c>
      <c r="H6883" s="57" t="s">
        <v>91</v>
      </c>
      <c r="I6883" s="134" t="s">
        <v>32108</v>
      </c>
      <c r="J6883" s="23" t="s">
        <v>31</v>
      </c>
      <c r="K6883" s="23" t="s">
        <v>157</v>
      </c>
      <c r="L6883" s="36">
        <v>620.0</v>
      </c>
      <c r="M6883" s="107"/>
      <c r="N6883" s="36" t="s">
        <v>32109</v>
      </c>
      <c r="O6883" s="107"/>
      <c r="P6883" s="37" t="s">
        <v>4059</v>
      </c>
      <c r="Q6883" s="107"/>
      <c r="R6883" s="36" t="s">
        <v>32110</v>
      </c>
      <c r="S6883" s="107"/>
      <c r="T6883" s="54" t="s">
        <v>32111</v>
      </c>
      <c r="U6883" s="312" t="str">
        <f>HYPERLINK("https://www.ncbi.nlm.nih.gov/pubmed/22016038","PubMed")</f>
        <v>PubMed</v>
      </c>
      <c r="V6883" s="136"/>
      <c r="W6883" s="156"/>
      <c r="X6883" s="156"/>
      <c r="Y6883" s="35"/>
      <c r="Z6883" s="35"/>
      <c r="AA6883" s="35"/>
      <c r="AB6883" s="35"/>
      <c r="AC6883" s="35"/>
      <c r="AD6883" s="35"/>
      <c r="AE6883" s="35"/>
      <c r="AF6883" s="35"/>
      <c r="AG6883" s="35"/>
      <c r="AH6883" s="35"/>
      <c r="AI6883" s="35"/>
      <c r="AJ6883" s="35"/>
      <c r="AK6883" s="35"/>
      <c r="AL6883" s="35"/>
    </row>
    <row r="6884">
      <c r="A6884" s="133"/>
      <c r="B6884" s="157" t="s">
        <v>31715</v>
      </c>
      <c r="C6884" s="158" t="s">
        <v>6042</v>
      </c>
      <c r="D6884" s="159"/>
      <c r="E6884" s="57" t="s">
        <v>2275</v>
      </c>
      <c r="F6884" s="23" t="s">
        <v>32112</v>
      </c>
      <c r="G6884" s="57">
        <v>2012.0</v>
      </c>
      <c r="H6884" s="57" t="s">
        <v>627</v>
      </c>
      <c r="I6884" s="134" t="s">
        <v>32113</v>
      </c>
      <c r="J6884" s="23" t="s">
        <v>31</v>
      </c>
      <c r="K6884" s="23"/>
      <c r="L6884" s="36">
        <v>660.0</v>
      </c>
      <c r="M6884" s="36"/>
      <c r="N6884" s="107"/>
      <c r="O6884" s="107"/>
      <c r="P6884" s="244"/>
      <c r="Q6884" s="245"/>
      <c r="R6884" s="107"/>
      <c r="S6884" s="106"/>
      <c r="T6884" s="83" t="s">
        <v>32114</v>
      </c>
      <c r="U6884" s="248" t="s">
        <v>61</v>
      </c>
      <c r="V6884" s="136"/>
      <c r="W6884" s="49"/>
      <c r="X6884" s="49"/>
      <c r="Y6884" s="35"/>
      <c r="Z6884" s="35"/>
      <c r="AA6884" s="35"/>
      <c r="AB6884" s="35"/>
      <c r="AC6884" s="35"/>
      <c r="AD6884" s="35"/>
      <c r="AE6884" s="35"/>
      <c r="AF6884" s="35"/>
      <c r="AG6884" s="35"/>
      <c r="AH6884" s="35"/>
      <c r="AI6884" s="35"/>
      <c r="AJ6884" s="35"/>
      <c r="AK6884" s="35"/>
      <c r="AL6884" s="35"/>
    </row>
    <row r="6885">
      <c r="A6885" s="133"/>
      <c r="B6885" s="75" t="s">
        <v>31715</v>
      </c>
      <c r="C6885" s="77" t="s">
        <v>6042</v>
      </c>
      <c r="D6885" s="159"/>
      <c r="E6885" s="57" t="s">
        <v>1080</v>
      </c>
      <c r="F6885" s="23" t="s">
        <v>32115</v>
      </c>
      <c r="G6885" s="57">
        <v>2009.0</v>
      </c>
      <c r="H6885" s="57" t="s">
        <v>91</v>
      </c>
      <c r="I6885" s="134" t="s">
        <v>32116</v>
      </c>
      <c r="J6885" s="23" t="s">
        <v>31</v>
      </c>
      <c r="K6885" s="23" t="s">
        <v>157</v>
      </c>
      <c r="L6885" s="36">
        <v>647.0</v>
      </c>
      <c r="M6885" s="36"/>
      <c r="N6885" s="107"/>
      <c r="O6885" s="107"/>
      <c r="P6885" s="244"/>
      <c r="Q6885" s="245"/>
      <c r="R6885" s="36" t="s">
        <v>17099</v>
      </c>
      <c r="S6885" s="106"/>
      <c r="T6885" s="83" t="s">
        <v>32117</v>
      </c>
      <c r="U6885" s="248" t="s">
        <v>61</v>
      </c>
      <c r="V6885" s="136"/>
      <c r="W6885" s="49"/>
      <c r="X6885" s="49"/>
      <c r="Y6885" s="35"/>
      <c r="Z6885" s="35"/>
      <c r="AA6885" s="35"/>
      <c r="AB6885" s="35"/>
      <c r="AC6885" s="35"/>
      <c r="AD6885" s="35"/>
      <c r="AE6885" s="35"/>
      <c r="AF6885" s="35"/>
      <c r="AG6885" s="35"/>
      <c r="AH6885" s="35"/>
      <c r="AI6885" s="35"/>
      <c r="AJ6885" s="35"/>
      <c r="AK6885" s="35"/>
      <c r="AL6885" s="35"/>
    </row>
    <row r="6886">
      <c r="A6886" s="133"/>
      <c r="B6886" s="157" t="s">
        <v>31715</v>
      </c>
      <c r="C6886" s="158" t="s">
        <v>6042</v>
      </c>
      <c r="D6886" s="159"/>
      <c r="E6886" s="57" t="s">
        <v>32118</v>
      </c>
      <c r="F6886" s="23" t="s">
        <v>32119</v>
      </c>
      <c r="G6886" s="57">
        <v>2009.0</v>
      </c>
      <c r="H6886" s="57" t="s">
        <v>53</v>
      </c>
      <c r="I6886" s="134" t="s">
        <v>32120</v>
      </c>
      <c r="J6886" s="23" t="s">
        <v>31</v>
      </c>
      <c r="K6886" s="325"/>
      <c r="L6886" s="36">
        <v>808.0</v>
      </c>
      <c r="M6886" s="107"/>
      <c r="N6886" s="107"/>
      <c r="O6886" s="107"/>
      <c r="P6886" s="37" t="s">
        <v>254</v>
      </c>
      <c r="Q6886" s="36"/>
      <c r="R6886" s="107"/>
      <c r="S6886" s="36">
        <v>3.0</v>
      </c>
      <c r="T6886" s="82" t="s">
        <v>32121</v>
      </c>
      <c r="U6886" s="326" t="s">
        <v>61</v>
      </c>
      <c r="V6886" s="139"/>
      <c r="W6886" s="49"/>
      <c r="X6886" s="49"/>
      <c r="Y6886" s="35"/>
      <c r="Z6886" s="35"/>
      <c r="AA6886" s="35"/>
      <c r="AB6886" s="35"/>
      <c r="AC6886" s="35"/>
      <c r="AD6886" s="35"/>
      <c r="AE6886" s="35"/>
      <c r="AF6886" s="35"/>
      <c r="AG6886" s="35"/>
      <c r="AH6886" s="35"/>
      <c r="AI6886" s="35"/>
      <c r="AJ6886" s="35"/>
      <c r="AK6886" s="35"/>
      <c r="AL6886" s="35"/>
    </row>
    <row r="6887">
      <c r="A6887" s="133"/>
      <c r="B6887" s="157" t="s">
        <v>31715</v>
      </c>
      <c r="C6887" s="158" t="s">
        <v>6042</v>
      </c>
      <c r="D6887" s="159"/>
      <c r="E6887" s="57" t="s">
        <v>32122</v>
      </c>
      <c r="F6887" s="23" t="s">
        <v>32123</v>
      </c>
      <c r="G6887" s="57">
        <v>2005.0</v>
      </c>
      <c r="H6887" s="57" t="s">
        <v>91</v>
      </c>
      <c r="I6887" s="134" t="s">
        <v>32124</v>
      </c>
      <c r="J6887" s="23" t="s">
        <v>31</v>
      </c>
      <c r="K6887" s="325"/>
      <c r="L6887" s="36"/>
      <c r="M6887" s="107"/>
      <c r="N6887" s="36"/>
      <c r="O6887" s="107"/>
      <c r="P6887" s="37"/>
      <c r="Q6887" s="107"/>
      <c r="R6887" s="36"/>
      <c r="S6887" s="107"/>
      <c r="T6887" s="54" t="s">
        <v>32125</v>
      </c>
      <c r="U6887" s="312" t="str">
        <f>HYPERLINK("https://www.ncbi.nlm.nih.gov/pubmed/16292614","PubMed")</f>
        <v>PubMed</v>
      </c>
      <c r="V6887" s="136"/>
      <c r="W6887" s="156"/>
      <c r="X6887" s="156"/>
      <c r="Y6887" s="35"/>
      <c r="Z6887" s="35"/>
      <c r="AA6887" s="35"/>
      <c r="AB6887" s="35"/>
      <c r="AC6887" s="35"/>
      <c r="AD6887" s="35"/>
      <c r="AE6887" s="35"/>
      <c r="AF6887" s="35"/>
      <c r="AG6887" s="35"/>
      <c r="AH6887" s="35"/>
      <c r="AI6887" s="35"/>
      <c r="AJ6887" s="35"/>
      <c r="AK6887" s="35"/>
      <c r="AL6887" s="35"/>
    </row>
    <row r="6888">
      <c r="A6888" s="133"/>
      <c r="B6888" s="157" t="s">
        <v>31715</v>
      </c>
      <c r="C6888" s="158" t="s">
        <v>1918</v>
      </c>
      <c r="D6888" s="159"/>
      <c r="E6888" s="57" t="s">
        <v>31907</v>
      </c>
      <c r="F6888" s="23" t="s">
        <v>323</v>
      </c>
      <c r="G6888" s="57">
        <v>2018.0</v>
      </c>
      <c r="H6888" s="57" t="s">
        <v>207</v>
      </c>
      <c r="I6888" s="134" t="s">
        <v>32126</v>
      </c>
      <c r="J6888" s="23" t="s">
        <v>31</v>
      </c>
      <c r="K6888" s="23" t="s">
        <v>32127</v>
      </c>
      <c r="L6888" s="36">
        <v>633.0</v>
      </c>
      <c r="M6888" s="107"/>
      <c r="N6888" s="107"/>
      <c r="O6888" s="107"/>
      <c r="P6888" s="37" t="s">
        <v>325</v>
      </c>
      <c r="Q6888" s="36"/>
      <c r="R6888" s="107"/>
      <c r="S6888" s="36"/>
      <c r="T6888" s="83" t="s">
        <v>32128</v>
      </c>
      <c r="U6888" s="248" t="str">
        <f>HYPERLINK("https://www.ncbi.nlm.nih.gov/pubmed/29627514","PubMed")</f>
        <v>PubMed</v>
      </c>
      <c r="V6888" s="139"/>
      <c r="W6888" s="49"/>
      <c r="X6888" s="49"/>
      <c r="Y6888" s="35"/>
      <c r="Z6888" s="35"/>
      <c r="AA6888" s="35"/>
      <c r="AB6888" s="35"/>
      <c r="AC6888" s="35"/>
      <c r="AD6888" s="35"/>
      <c r="AE6888" s="35"/>
      <c r="AF6888" s="35"/>
      <c r="AG6888" s="35"/>
      <c r="AH6888" s="35"/>
      <c r="AI6888" s="35"/>
      <c r="AJ6888" s="35"/>
      <c r="AK6888" s="35"/>
      <c r="AL6888" s="35"/>
    </row>
    <row r="6889">
      <c r="A6889" s="133"/>
      <c r="B6889" s="157" t="s">
        <v>31715</v>
      </c>
      <c r="C6889" s="158" t="s">
        <v>32129</v>
      </c>
      <c r="D6889" s="159"/>
      <c r="E6889" s="57" t="s">
        <v>32130</v>
      </c>
      <c r="F6889" s="23" t="s">
        <v>32131</v>
      </c>
      <c r="G6889" s="57">
        <v>2016.0</v>
      </c>
      <c r="H6889" s="57" t="s">
        <v>32132</v>
      </c>
      <c r="I6889" s="134" t="s">
        <v>32133</v>
      </c>
      <c r="J6889" s="23" t="s">
        <v>31</v>
      </c>
      <c r="K6889" s="325"/>
      <c r="L6889" s="36" t="s">
        <v>32134</v>
      </c>
      <c r="M6889" s="107"/>
      <c r="N6889" s="107"/>
      <c r="O6889" s="107"/>
      <c r="P6889" s="37" t="s">
        <v>432</v>
      </c>
      <c r="Q6889" s="107"/>
      <c r="R6889" s="36">
        <v>120.0</v>
      </c>
      <c r="S6889" s="107"/>
      <c r="T6889" s="54" t="s">
        <v>32135</v>
      </c>
      <c r="U6889" s="326" t="s">
        <v>61</v>
      </c>
      <c r="V6889" s="136" t="s">
        <v>31990</v>
      </c>
      <c r="W6889" s="156"/>
      <c r="X6889" s="156"/>
      <c r="Y6889" s="35"/>
      <c r="Z6889" s="35"/>
      <c r="AA6889" s="35"/>
      <c r="AB6889" s="35"/>
      <c r="AC6889" s="35"/>
      <c r="AD6889" s="35"/>
      <c r="AE6889" s="35"/>
      <c r="AF6889" s="35"/>
      <c r="AG6889" s="35"/>
      <c r="AH6889" s="35"/>
      <c r="AI6889" s="35"/>
      <c r="AJ6889" s="35"/>
      <c r="AK6889" s="35"/>
      <c r="AL6889" s="35"/>
    </row>
    <row r="6890">
      <c r="A6890" s="133"/>
      <c r="B6890" s="157" t="s">
        <v>31715</v>
      </c>
      <c r="C6890" s="158" t="s">
        <v>32136</v>
      </c>
      <c r="D6890" s="159"/>
      <c r="E6890" s="57" t="s">
        <v>2338</v>
      </c>
      <c r="F6890" s="23" t="s">
        <v>2407</v>
      </c>
      <c r="G6890" s="57">
        <v>2020.0</v>
      </c>
      <c r="H6890" s="57" t="s">
        <v>2181</v>
      </c>
      <c r="I6890" s="134" t="s">
        <v>32137</v>
      </c>
      <c r="J6890" s="23" t="s">
        <v>6143</v>
      </c>
      <c r="K6890" s="23" t="s">
        <v>157</v>
      </c>
      <c r="L6890" s="52">
        <v>830.0</v>
      </c>
      <c r="M6890" s="52"/>
      <c r="N6890" s="52"/>
      <c r="O6890" s="192"/>
      <c r="P6890" s="189" t="s">
        <v>269</v>
      </c>
      <c r="Q6890" s="192"/>
      <c r="R6890" s="52"/>
      <c r="S6890" s="192"/>
      <c r="T6890" s="54" t="s">
        <v>32138</v>
      </c>
      <c r="U6890" s="248" t="s">
        <v>61</v>
      </c>
      <c r="V6890" s="136"/>
      <c r="W6890" s="156"/>
      <c r="X6890" s="156"/>
      <c r="Y6890" s="35"/>
      <c r="Z6890" s="35"/>
      <c r="AA6890" s="35"/>
      <c r="AB6890" s="35"/>
      <c r="AC6890" s="35"/>
      <c r="AD6890" s="35"/>
      <c r="AE6890" s="35"/>
      <c r="AF6890" s="35"/>
      <c r="AG6890" s="35"/>
      <c r="AH6890" s="35"/>
      <c r="AI6890" s="35"/>
      <c r="AJ6890" s="35"/>
      <c r="AK6890" s="35"/>
      <c r="AL6890" s="35"/>
    </row>
    <row r="6891">
      <c r="A6891" s="133"/>
      <c r="B6891" s="157" t="s">
        <v>31715</v>
      </c>
      <c r="C6891" s="158" t="s">
        <v>32136</v>
      </c>
      <c r="D6891" s="159"/>
      <c r="E6891" s="57" t="s">
        <v>16445</v>
      </c>
      <c r="F6891" s="23" t="s">
        <v>657</v>
      </c>
      <c r="G6891" s="57">
        <v>2020.0</v>
      </c>
      <c r="H6891" s="57" t="s">
        <v>147</v>
      </c>
      <c r="I6891" s="134" t="s">
        <v>32139</v>
      </c>
      <c r="J6891" s="23" t="s">
        <v>31</v>
      </c>
      <c r="K6891" s="23"/>
      <c r="L6891" s="52">
        <v>660.0</v>
      </c>
      <c r="M6891" s="52">
        <v>10.0</v>
      </c>
      <c r="N6891" s="52"/>
      <c r="O6891" s="192"/>
      <c r="P6891" s="189" t="s">
        <v>7500</v>
      </c>
      <c r="Q6891" s="192"/>
      <c r="R6891" s="52"/>
      <c r="S6891" s="192"/>
      <c r="T6891" s="54" t="s">
        <v>32140</v>
      </c>
      <c r="U6891" s="248" t="s">
        <v>61</v>
      </c>
      <c r="V6891" s="136"/>
      <c r="W6891" s="156"/>
      <c r="X6891" s="156"/>
      <c r="Y6891" s="35"/>
      <c r="Z6891" s="35"/>
      <c r="AA6891" s="35"/>
      <c r="AB6891" s="35"/>
      <c r="AC6891" s="35"/>
      <c r="AD6891" s="35"/>
      <c r="AE6891" s="35"/>
      <c r="AF6891" s="35"/>
      <c r="AG6891" s="35"/>
      <c r="AH6891" s="35"/>
      <c r="AI6891" s="35"/>
      <c r="AJ6891" s="35"/>
      <c r="AK6891" s="35"/>
      <c r="AL6891" s="35"/>
    </row>
    <row r="6892">
      <c r="A6892" s="133"/>
      <c r="B6892" s="157" t="s">
        <v>31715</v>
      </c>
      <c r="C6892" s="158" t="s">
        <v>32136</v>
      </c>
      <c r="D6892" s="159"/>
      <c r="E6892" s="57" t="s">
        <v>32141</v>
      </c>
      <c r="F6892" s="23" t="s">
        <v>18424</v>
      </c>
      <c r="G6892" s="57">
        <v>2016.0</v>
      </c>
      <c r="H6892" s="57" t="s">
        <v>91</v>
      </c>
      <c r="I6892" s="134" t="s">
        <v>32142</v>
      </c>
      <c r="J6892" s="23" t="s">
        <v>31</v>
      </c>
      <c r="K6892" s="23" t="s">
        <v>32143</v>
      </c>
      <c r="L6892" s="52" t="s">
        <v>32144</v>
      </c>
      <c r="M6892" s="192"/>
      <c r="N6892" s="52" t="s">
        <v>4947</v>
      </c>
      <c r="O6892" s="192"/>
      <c r="P6892" s="189" t="s">
        <v>32145</v>
      </c>
      <c r="Q6892" s="192"/>
      <c r="R6892" s="52" t="s">
        <v>32146</v>
      </c>
      <c r="S6892" s="192"/>
      <c r="T6892" s="54" t="s">
        <v>32147</v>
      </c>
      <c r="U6892" s="248" t="str">
        <f>HYPERLINK("https://www.ncbi.nlm.nih.gov/pubmed/26714979","PubMed")</f>
        <v>PubMed</v>
      </c>
      <c r="V6892" s="136"/>
      <c r="W6892" s="156"/>
      <c r="X6892" s="156"/>
      <c r="Y6892" s="35"/>
      <c r="Z6892" s="35"/>
      <c r="AA6892" s="35"/>
      <c r="AB6892" s="35"/>
      <c r="AC6892" s="35"/>
      <c r="AD6892" s="35"/>
      <c r="AE6892" s="35"/>
      <c r="AF6892" s="35"/>
      <c r="AG6892" s="35"/>
      <c r="AH6892" s="35"/>
      <c r="AI6892" s="35"/>
      <c r="AJ6892" s="35"/>
      <c r="AK6892" s="35"/>
      <c r="AL6892" s="35"/>
    </row>
    <row r="6893">
      <c r="A6893" s="133"/>
      <c r="B6893" s="157" t="s">
        <v>31715</v>
      </c>
      <c r="C6893" s="158" t="s">
        <v>32148</v>
      </c>
      <c r="D6893" s="159"/>
      <c r="E6893" s="57" t="s">
        <v>27436</v>
      </c>
      <c r="F6893" s="23" t="s">
        <v>3441</v>
      </c>
      <c r="G6893" s="57">
        <v>2016.0</v>
      </c>
      <c r="H6893" s="57" t="s">
        <v>658</v>
      </c>
      <c r="I6893" s="134" t="s">
        <v>32149</v>
      </c>
      <c r="J6893" s="23" t="s">
        <v>31</v>
      </c>
      <c r="K6893" s="23" t="s">
        <v>32150</v>
      </c>
      <c r="L6893" s="52">
        <v>810.0</v>
      </c>
      <c r="M6893" s="192"/>
      <c r="N6893" s="192"/>
      <c r="O6893" s="192"/>
      <c r="P6893" s="189"/>
      <c r="Q6893" s="192"/>
      <c r="R6893" s="52"/>
      <c r="S6893" s="192"/>
      <c r="T6893" s="54" t="s">
        <v>32151</v>
      </c>
      <c r="U6893" s="312" t="str">
        <f>HYPERLINK("https://www.ncbi.nlm.nih.gov/pubmed/27841965","PubMed")</f>
        <v>PubMed</v>
      </c>
      <c r="V6893" s="136"/>
      <c r="W6893" s="156"/>
      <c r="X6893" s="156"/>
      <c r="Y6893" s="35"/>
      <c r="Z6893" s="35"/>
      <c r="AA6893" s="35"/>
      <c r="AB6893" s="35"/>
      <c r="AC6893" s="35"/>
      <c r="AD6893" s="35"/>
      <c r="AE6893" s="35"/>
      <c r="AF6893" s="35"/>
      <c r="AG6893" s="35"/>
      <c r="AH6893" s="35"/>
      <c r="AI6893" s="35"/>
      <c r="AJ6893" s="35"/>
      <c r="AK6893" s="35"/>
      <c r="AL6893" s="35"/>
    </row>
    <row r="6894">
      <c r="A6894" s="133"/>
      <c r="B6894" s="157" t="s">
        <v>31715</v>
      </c>
      <c r="C6894" s="158" t="s">
        <v>32152</v>
      </c>
      <c r="D6894" s="159"/>
      <c r="E6894" s="57" t="s">
        <v>32153</v>
      </c>
      <c r="F6894" s="22" t="s">
        <v>32154</v>
      </c>
      <c r="G6894" s="57">
        <v>2023.0</v>
      </c>
      <c r="H6894" s="57" t="s">
        <v>207</v>
      </c>
      <c r="I6894" s="134" t="s">
        <v>32155</v>
      </c>
      <c r="J6894" s="23" t="s">
        <v>31</v>
      </c>
      <c r="K6894" s="23" t="s">
        <v>32156</v>
      </c>
      <c r="L6894" s="52">
        <v>630.0</v>
      </c>
      <c r="M6894" s="52">
        <v>10.0</v>
      </c>
      <c r="N6894" s="52"/>
      <c r="O6894" s="52"/>
      <c r="P6894" s="189"/>
      <c r="Q6894" s="192"/>
      <c r="R6894" s="52"/>
      <c r="S6894" s="52"/>
      <c r="T6894" s="54" t="s">
        <v>32157</v>
      </c>
      <c r="U6894" s="255" t="s">
        <v>61</v>
      </c>
      <c r="V6894" s="136"/>
      <c r="W6894" s="156"/>
      <c r="X6894" s="156"/>
      <c r="Y6894" s="35"/>
      <c r="Z6894" s="35"/>
      <c r="AA6894" s="35"/>
      <c r="AB6894" s="35"/>
      <c r="AC6894" s="35"/>
      <c r="AD6894" s="35"/>
      <c r="AE6894" s="35"/>
      <c r="AF6894" s="35"/>
      <c r="AG6894" s="35"/>
      <c r="AH6894" s="35"/>
      <c r="AI6894" s="35"/>
      <c r="AJ6894" s="35"/>
      <c r="AK6894" s="35"/>
      <c r="AL6894" s="35"/>
    </row>
    <row r="6895">
      <c r="A6895" s="133"/>
      <c r="B6895" s="157" t="s">
        <v>31715</v>
      </c>
      <c r="C6895" s="158" t="s">
        <v>32158</v>
      </c>
      <c r="D6895" s="159"/>
      <c r="E6895" s="57" t="s">
        <v>6140</v>
      </c>
      <c r="F6895" s="22" t="s">
        <v>1905</v>
      </c>
      <c r="G6895" s="57">
        <v>2014.0</v>
      </c>
      <c r="H6895" s="57" t="s">
        <v>1858</v>
      </c>
      <c r="I6895" s="134" t="s">
        <v>32159</v>
      </c>
      <c r="J6895" s="23" t="s">
        <v>44</v>
      </c>
      <c r="K6895" s="23" t="s">
        <v>32160</v>
      </c>
      <c r="L6895" s="52">
        <v>660.0</v>
      </c>
      <c r="M6895" s="52"/>
      <c r="N6895" s="52" t="s">
        <v>1729</v>
      </c>
      <c r="O6895" s="192"/>
      <c r="P6895" s="189" t="s">
        <v>480</v>
      </c>
      <c r="Q6895" s="192"/>
      <c r="R6895" s="52">
        <v>600.0</v>
      </c>
      <c r="S6895" s="52">
        <v>20.0</v>
      </c>
      <c r="T6895" s="54" t="s">
        <v>32161</v>
      </c>
      <c r="U6895" s="312" t="str">
        <f>HYPERLINK("https://www.ncbi.nlm.nih.gov/pubmed/25132605","PubMed")</f>
        <v>PubMed</v>
      </c>
      <c r="V6895" s="136"/>
      <c r="W6895" s="156"/>
      <c r="X6895" s="156"/>
      <c r="Y6895" s="35"/>
      <c r="Z6895" s="35"/>
      <c r="AA6895" s="35"/>
      <c r="AB6895" s="35"/>
      <c r="AC6895" s="35"/>
      <c r="AD6895" s="35"/>
      <c r="AE6895" s="35"/>
      <c r="AF6895" s="35"/>
      <c r="AG6895" s="35"/>
      <c r="AH6895" s="35"/>
      <c r="AI6895" s="35"/>
      <c r="AJ6895" s="35"/>
      <c r="AK6895" s="35"/>
      <c r="AL6895" s="35"/>
    </row>
    <row r="6896">
      <c r="A6896" s="133"/>
      <c r="B6896" s="157" t="s">
        <v>31715</v>
      </c>
      <c r="C6896" s="158" t="s">
        <v>32162</v>
      </c>
      <c r="D6896" s="159"/>
      <c r="E6896" s="57" t="s">
        <v>32163</v>
      </c>
      <c r="F6896" s="22" t="s">
        <v>2808</v>
      </c>
      <c r="G6896" s="57">
        <v>2021.0</v>
      </c>
      <c r="H6896" s="57" t="s">
        <v>3950</v>
      </c>
      <c r="I6896" s="134" t="s">
        <v>32164</v>
      </c>
      <c r="J6896" s="22" t="s">
        <v>125</v>
      </c>
      <c r="K6896" s="23"/>
      <c r="L6896" s="202" t="s">
        <v>32165</v>
      </c>
      <c r="U6896" s="248" t="s">
        <v>61</v>
      </c>
      <c r="V6896" s="136"/>
      <c r="W6896" s="156"/>
      <c r="X6896" s="156"/>
      <c r="Y6896" s="35"/>
      <c r="Z6896" s="35"/>
      <c r="AA6896" s="35"/>
      <c r="AB6896" s="35"/>
      <c r="AC6896" s="35"/>
      <c r="AD6896" s="35"/>
      <c r="AE6896" s="35"/>
      <c r="AF6896" s="35"/>
      <c r="AG6896" s="35"/>
      <c r="AH6896" s="35"/>
      <c r="AI6896" s="35"/>
      <c r="AJ6896" s="35"/>
      <c r="AK6896" s="35"/>
      <c r="AL6896" s="35"/>
    </row>
    <row r="6897">
      <c r="A6897" s="133"/>
      <c r="B6897" s="157" t="s">
        <v>31715</v>
      </c>
      <c r="C6897" s="158" t="s">
        <v>32166</v>
      </c>
      <c r="D6897" s="159"/>
      <c r="E6897" s="57" t="s">
        <v>31748</v>
      </c>
      <c r="F6897" s="22" t="s">
        <v>41</v>
      </c>
      <c r="G6897" s="57">
        <v>2021.0</v>
      </c>
      <c r="H6897" s="57" t="s">
        <v>3347</v>
      </c>
      <c r="I6897" s="134" t="s">
        <v>32167</v>
      </c>
      <c r="J6897" s="22" t="s">
        <v>125</v>
      </c>
      <c r="K6897" s="23"/>
      <c r="L6897" s="188" t="s">
        <v>32168</v>
      </c>
      <c r="U6897" s="248" t="s">
        <v>61</v>
      </c>
      <c r="V6897" s="136"/>
      <c r="W6897" s="156"/>
      <c r="X6897" s="156"/>
      <c r="Y6897" s="35"/>
      <c r="Z6897" s="35"/>
      <c r="AA6897" s="35"/>
      <c r="AB6897" s="35"/>
      <c r="AC6897" s="35"/>
      <c r="AD6897" s="35"/>
      <c r="AE6897" s="35"/>
      <c r="AF6897" s="35"/>
      <c r="AG6897" s="35"/>
      <c r="AH6897" s="35"/>
      <c r="AI6897" s="35"/>
      <c r="AJ6897" s="35"/>
      <c r="AK6897" s="35"/>
      <c r="AL6897" s="35"/>
    </row>
    <row r="6898">
      <c r="A6898" s="133"/>
      <c r="B6898" s="157" t="s">
        <v>31715</v>
      </c>
      <c r="C6898" s="158" t="s">
        <v>32166</v>
      </c>
      <c r="D6898" s="159"/>
      <c r="E6898" s="57" t="s">
        <v>992</v>
      </c>
      <c r="F6898" s="22" t="s">
        <v>3027</v>
      </c>
      <c r="G6898" s="57">
        <v>2021.0</v>
      </c>
      <c r="H6898" s="57" t="s">
        <v>6902</v>
      </c>
      <c r="I6898" s="134" t="s">
        <v>32169</v>
      </c>
      <c r="J6898" s="22" t="s">
        <v>125</v>
      </c>
      <c r="K6898" s="23"/>
      <c r="L6898" s="173" t="s">
        <v>32170</v>
      </c>
      <c r="U6898" s="248" t="s">
        <v>61</v>
      </c>
      <c r="V6898" s="136"/>
      <c r="W6898" s="156"/>
      <c r="X6898" s="156"/>
      <c r="Y6898" s="35"/>
      <c r="Z6898" s="35"/>
      <c r="AA6898" s="35"/>
      <c r="AB6898" s="35"/>
      <c r="AC6898" s="35"/>
      <c r="AD6898" s="35"/>
      <c r="AE6898" s="35"/>
      <c r="AF6898" s="35"/>
      <c r="AG6898" s="35"/>
      <c r="AH6898" s="35"/>
      <c r="AI6898" s="35"/>
      <c r="AJ6898" s="35"/>
      <c r="AK6898" s="35"/>
      <c r="AL6898" s="35"/>
    </row>
    <row r="6899">
      <c r="A6899" s="133"/>
      <c r="B6899" s="157" t="s">
        <v>31715</v>
      </c>
      <c r="C6899" s="158" t="s">
        <v>32166</v>
      </c>
      <c r="D6899" s="159"/>
      <c r="E6899" s="57" t="s">
        <v>18923</v>
      </c>
      <c r="F6899" s="22" t="s">
        <v>323</v>
      </c>
      <c r="G6899" s="57">
        <v>2020.0</v>
      </c>
      <c r="H6899" s="57" t="s">
        <v>21300</v>
      </c>
      <c r="I6899" s="134" t="s">
        <v>32171</v>
      </c>
      <c r="J6899" s="22" t="s">
        <v>125</v>
      </c>
      <c r="K6899" s="23" t="s">
        <v>4071</v>
      </c>
      <c r="L6899" s="202" t="s">
        <v>32172</v>
      </c>
      <c r="U6899" s="312" t="str">
        <f>HYPERLINK("https://www.ncbi.nlm.nih.gov/pubmed/32013851","PubMed")</f>
        <v>PubMed</v>
      </c>
      <c r="V6899" s="136"/>
      <c r="W6899" s="156"/>
      <c r="X6899" s="156"/>
      <c r="Y6899" s="35"/>
      <c r="Z6899" s="35"/>
      <c r="AA6899" s="35"/>
      <c r="AB6899" s="35"/>
      <c r="AC6899" s="35"/>
      <c r="AD6899" s="35"/>
      <c r="AE6899" s="35"/>
      <c r="AF6899" s="35"/>
      <c r="AG6899" s="35"/>
      <c r="AH6899" s="35"/>
      <c r="AI6899" s="35"/>
      <c r="AJ6899" s="35"/>
      <c r="AK6899" s="35"/>
      <c r="AL6899" s="35"/>
    </row>
    <row r="6900">
      <c r="A6900" s="133"/>
      <c r="B6900" s="157" t="s">
        <v>31715</v>
      </c>
      <c r="C6900" s="158" t="s">
        <v>32166</v>
      </c>
      <c r="D6900" s="159"/>
      <c r="E6900" s="57" t="s">
        <v>3976</v>
      </c>
      <c r="F6900" s="22" t="s">
        <v>323</v>
      </c>
      <c r="G6900" s="57">
        <v>2019.0</v>
      </c>
      <c r="H6900" s="57" t="s">
        <v>147</v>
      </c>
      <c r="I6900" s="134" t="s">
        <v>32173</v>
      </c>
      <c r="J6900" s="22" t="s">
        <v>125</v>
      </c>
      <c r="K6900" s="23"/>
      <c r="L6900" s="202" t="s">
        <v>32174</v>
      </c>
      <c r="U6900" s="312" t="str">
        <f>HYPERLINK("https://www.ncbi.nlm.nih.gov/pubmed/32021681","PubMed")</f>
        <v>PubMed</v>
      </c>
      <c r="V6900" s="136"/>
      <c r="W6900" s="156"/>
      <c r="X6900" s="156"/>
      <c r="Y6900" s="35"/>
      <c r="Z6900" s="35"/>
      <c r="AA6900" s="35"/>
      <c r="AB6900" s="35"/>
      <c r="AC6900" s="35"/>
      <c r="AD6900" s="35"/>
      <c r="AE6900" s="35"/>
      <c r="AF6900" s="35"/>
      <c r="AG6900" s="35"/>
      <c r="AH6900" s="35"/>
      <c r="AI6900" s="35"/>
      <c r="AJ6900" s="35"/>
      <c r="AK6900" s="35"/>
      <c r="AL6900" s="35"/>
    </row>
    <row r="6901">
      <c r="A6901" s="133"/>
      <c r="B6901" s="157" t="s">
        <v>31715</v>
      </c>
      <c r="C6901" s="158" t="s">
        <v>32166</v>
      </c>
      <c r="D6901" s="159"/>
      <c r="E6901" s="57" t="s">
        <v>32175</v>
      </c>
      <c r="F6901" s="22" t="s">
        <v>1046</v>
      </c>
      <c r="G6901" s="57">
        <v>2019.0</v>
      </c>
      <c r="H6901" s="57" t="s">
        <v>91</v>
      </c>
      <c r="I6901" s="134" t="s">
        <v>32176</v>
      </c>
      <c r="J6901" s="22" t="s">
        <v>125</v>
      </c>
      <c r="K6901" s="23"/>
      <c r="L6901" s="202" t="s">
        <v>32177</v>
      </c>
      <c r="U6901" s="312" t="str">
        <f>HYPERLINK("https://www.ncbi.nlm.nih.gov/pubmed/31494789","PubMed")</f>
        <v>PubMed</v>
      </c>
      <c r="V6901" s="136"/>
      <c r="W6901" s="156"/>
      <c r="X6901" s="156"/>
      <c r="Y6901" s="35"/>
      <c r="Z6901" s="35"/>
      <c r="AA6901" s="35"/>
      <c r="AB6901" s="35"/>
      <c r="AC6901" s="35"/>
      <c r="AD6901" s="35"/>
      <c r="AE6901" s="35"/>
      <c r="AF6901" s="35"/>
      <c r="AG6901" s="35"/>
      <c r="AH6901" s="35"/>
      <c r="AI6901" s="35"/>
      <c r="AJ6901" s="35"/>
      <c r="AK6901" s="35"/>
      <c r="AL6901" s="35"/>
    </row>
    <row r="6902">
      <c r="A6902" s="133"/>
      <c r="B6902" s="157" t="s">
        <v>31715</v>
      </c>
      <c r="C6902" s="158" t="s">
        <v>32166</v>
      </c>
      <c r="D6902" s="159"/>
      <c r="E6902" s="57" t="s">
        <v>32178</v>
      </c>
      <c r="F6902" s="22" t="s">
        <v>230</v>
      </c>
      <c r="G6902" s="57">
        <v>2019.0</v>
      </c>
      <c r="H6902" s="57" t="s">
        <v>32179</v>
      </c>
      <c r="I6902" s="134" t="s">
        <v>32180</v>
      </c>
      <c r="J6902" s="22" t="s">
        <v>125</v>
      </c>
      <c r="K6902" s="23"/>
      <c r="L6902" s="202" t="s">
        <v>32181</v>
      </c>
      <c r="U6902" s="312" t="str">
        <f>HYPERLINK("https://www.ncbi.nlm.nih.gov/pubmed/31293714","PubMed")</f>
        <v>PubMed</v>
      </c>
      <c r="V6902" s="136"/>
      <c r="W6902" s="156"/>
      <c r="X6902" s="156"/>
      <c r="Y6902" s="35"/>
      <c r="Z6902" s="35"/>
      <c r="AA6902" s="35"/>
      <c r="AB6902" s="35"/>
      <c r="AC6902" s="35"/>
      <c r="AD6902" s="35"/>
      <c r="AE6902" s="35"/>
      <c r="AF6902" s="35"/>
      <c r="AG6902" s="35"/>
      <c r="AH6902" s="35"/>
      <c r="AI6902" s="35"/>
      <c r="AJ6902" s="35"/>
      <c r="AK6902" s="35"/>
      <c r="AL6902" s="35"/>
    </row>
    <row r="6903">
      <c r="A6903" s="133"/>
      <c r="B6903" s="157" t="s">
        <v>31715</v>
      </c>
      <c r="C6903" s="158" t="s">
        <v>32166</v>
      </c>
      <c r="D6903" s="159"/>
      <c r="E6903" s="57" t="s">
        <v>14341</v>
      </c>
      <c r="F6903" s="22" t="s">
        <v>8199</v>
      </c>
      <c r="G6903" s="57">
        <v>2016.0</v>
      </c>
      <c r="H6903" s="57" t="s">
        <v>658</v>
      </c>
      <c r="I6903" s="134" t="s">
        <v>32182</v>
      </c>
      <c r="J6903" s="23" t="s">
        <v>8962</v>
      </c>
      <c r="K6903" s="23"/>
      <c r="L6903" s="202"/>
      <c r="U6903" s="312" t="str">
        <f>HYPERLINK("https://www.ncbi.nlm.nih.gov/pubmed/27841966","PubMed")</f>
        <v>PubMed</v>
      </c>
      <c r="V6903" s="136"/>
      <c r="W6903" s="156"/>
      <c r="X6903" s="156"/>
      <c r="Y6903" s="35"/>
      <c r="Z6903" s="35"/>
      <c r="AA6903" s="35"/>
      <c r="AB6903" s="35"/>
      <c r="AC6903" s="35"/>
      <c r="AD6903" s="35"/>
      <c r="AE6903" s="35"/>
      <c r="AF6903" s="35"/>
      <c r="AG6903" s="35"/>
      <c r="AH6903" s="35"/>
      <c r="AI6903" s="35"/>
      <c r="AJ6903" s="35"/>
      <c r="AK6903" s="35"/>
      <c r="AL6903" s="35"/>
    </row>
    <row r="6904">
      <c r="A6904" s="1"/>
      <c r="B6904" s="157" t="s">
        <v>31715</v>
      </c>
      <c r="C6904" s="158" t="s">
        <v>32183</v>
      </c>
      <c r="D6904" s="47"/>
      <c r="E6904" s="22" t="s">
        <v>32184</v>
      </c>
      <c r="F6904" s="22" t="s">
        <v>32185</v>
      </c>
      <c r="G6904" s="23">
        <v>2022.0</v>
      </c>
      <c r="H6904" s="22" t="s">
        <v>2181</v>
      </c>
      <c r="I6904" s="24" t="s">
        <v>32186</v>
      </c>
      <c r="J6904" s="22" t="s">
        <v>31</v>
      </c>
      <c r="K6904" s="22" t="s">
        <v>32187</v>
      </c>
      <c r="L6904" s="52">
        <v>690.0</v>
      </c>
      <c r="M6904" s="52"/>
      <c r="N6904" s="52" t="s">
        <v>1897</v>
      </c>
      <c r="O6904" s="52"/>
      <c r="P6904" s="189" t="s">
        <v>32188</v>
      </c>
      <c r="Q6904" s="52"/>
      <c r="R6904" s="52"/>
      <c r="S6904" s="52"/>
      <c r="T6904" s="28" t="s">
        <v>32189</v>
      </c>
      <c r="U6904" s="29" t="s">
        <v>61</v>
      </c>
      <c r="V6904" s="30"/>
      <c r="W6904" s="49"/>
      <c r="X6904" s="49"/>
      <c r="Y6904" s="35"/>
      <c r="Z6904" s="35"/>
      <c r="AA6904" s="35"/>
      <c r="AB6904" s="35"/>
      <c r="AC6904" s="35"/>
      <c r="AD6904" s="35"/>
      <c r="AE6904" s="35"/>
      <c r="AF6904" s="35"/>
      <c r="AG6904" s="35"/>
      <c r="AH6904" s="35"/>
      <c r="AI6904" s="35"/>
      <c r="AJ6904" s="35"/>
      <c r="AK6904" s="35"/>
      <c r="AL6904" s="35"/>
    </row>
    <row r="6905">
      <c r="A6905" s="1"/>
      <c r="B6905" s="157" t="s">
        <v>31715</v>
      </c>
      <c r="C6905" s="158" t="s">
        <v>32183</v>
      </c>
      <c r="D6905" s="47"/>
      <c r="E6905" s="22" t="s">
        <v>32190</v>
      </c>
      <c r="F6905" s="22" t="s">
        <v>2346</v>
      </c>
      <c r="G6905" s="23">
        <v>2019.0</v>
      </c>
      <c r="H6905" s="22" t="s">
        <v>3065</v>
      </c>
      <c r="I6905" s="24" t="s">
        <v>32191</v>
      </c>
      <c r="J6905" s="22" t="s">
        <v>31</v>
      </c>
      <c r="K6905" s="22"/>
      <c r="L6905" s="52">
        <v>650.0</v>
      </c>
      <c r="M6905" s="52"/>
      <c r="N6905" s="52"/>
      <c r="O6905" s="52"/>
      <c r="P6905" s="189" t="s">
        <v>32192</v>
      </c>
      <c r="Q6905" s="52"/>
      <c r="R6905" s="52"/>
      <c r="S6905" s="52"/>
      <c r="T6905" s="28" t="s">
        <v>32193</v>
      </c>
      <c r="U6905" s="38" t="str">
        <f>HYPERLINK("https://www.ncbi.nlm.nih.gov/pubmed/31183648","PubMed")</f>
        <v>PubMed</v>
      </c>
      <c r="V6905" s="30"/>
      <c r="W6905" s="49"/>
      <c r="X6905" s="49"/>
      <c r="Y6905" s="35"/>
      <c r="Z6905" s="35"/>
      <c r="AA6905" s="35"/>
      <c r="AB6905" s="35"/>
      <c r="AC6905" s="35"/>
      <c r="AD6905" s="35"/>
      <c r="AE6905" s="35"/>
      <c r="AF6905" s="35"/>
      <c r="AG6905" s="35"/>
      <c r="AH6905" s="35"/>
      <c r="AI6905" s="35"/>
      <c r="AJ6905" s="35"/>
      <c r="AK6905" s="35"/>
      <c r="AL6905" s="35"/>
    </row>
    <row r="6906">
      <c r="A6906" s="1"/>
      <c r="B6906" s="157" t="s">
        <v>31715</v>
      </c>
      <c r="C6906" s="158" t="s">
        <v>32183</v>
      </c>
      <c r="D6906" s="47"/>
      <c r="E6906" s="22" t="s">
        <v>32194</v>
      </c>
      <c r="F6906" s="22" t="s">
        <v>18424</v>
      </c>
      <c r="G6906" s="23">
        <v>2019.0</v>
      </c>
      <c r="H6906" s="22" t="s">
        <v>546</v>
      </c>
      <c r="I6906" s="24" t="s">
        <v>32195</v>
      </c>
      <c r="J6906" s="22" t="s">
        <v>31</v>
      </c>
      <c r="K6906" s="22"/>
      <c r="L6906" s="36">
        <v>625.0</v>
      </c>
      <c r="M6906" s="36"/>
      <c r="N6906" s="36"/>
      <c r="O6906" s="36"/>
      <c r="P6906" s="37" t="s">
        <v>32196</v>
      </c>
      <c r="Q6906" s="36"/>
      <c r="R6906" s="36"/>
      <c r="S6906" s="36"/>
      <c r="T6906" s="28" t="s">
        <v>32197</v>
      </c>
      <c r="U6906" s="38" t="str">
        <f>HYPERLINK("https://www.ncbi.nlm.nih.gov/pubmed/31029424","PubMed")</f>
        <v>PubMed</v>
      </c>
      <c r="V6906" s="30"/>
      <c r="W6906" s="49"/>
      <c r="X6906" s="49"/>
      <c r="Y6906" s="35"/>
      <c r="Z6906" s="35"/>
      <c r="AA6906" s="35"/>
      <c r="AB6906" s="35"/>
      <c r="AC6906" s="35"/>
      <c r="AD6906" s="35"/>
      <c r="AE6906" s="35"/>
      <c r="AF6906" s="35"/>
      <c r="AG6906" s="35"/>
      <c r="AH6906" s="35"/>
      <c r="AI6906" s="35"/>
      <c r="AJ6906" s="35"/>
      <c r="AK6906" s="35"/>
      <c r="AL6906" s="35"/>
    </row>
    <row r="6907">
      <c r="A6907" s="133"/>
      <c r="B6907" s="157" t="s">
        <v>31715</v>
      </c>
      <c r="C6907" s="158" t="s">
        <v>32183</v>
      </c>
      <c r="D6907" s="159"/>
      <c r="E6907" s="57" t="s">
        <v>32194</v>
      </c>
      <c r="F6907" s="22" t="s">
        <v>18424</v>
      </c>
      <c r="G6907" s="57">
        <v>2018.0</v>
      </c>
      <c r="H6907" s="57" t="s">
        <v>546</v>
      </c>
      <c r="I6907" s="134" t="s">
        <v>32198</v>
      </c>
      <c r="J6907" s="23" t="s">
        <v>31</v>
      </c>
      <c r="K6907" s="23" t="s">
        <v>32199</v>
      </c>
      <c r="L6907" s="52">
        <v>625.0</v>
      </c>
      <c r="M6907" s="52"/>
      <c r="N6907" s="52"/>
      <c r="O6907" s="192"/>
      <c r="P6907" s="189" t="s">
        <v>32200</v>
      </c>
      <c r="Q6907" s="52"/>
      <c r="R6907" s="52"/>
      <c r="S6907" s="52"/>
      <c r="T6907" s="103" t="s">
        <v>32201</v>
      </c>
      <c r="U6907" s="312" t="str">
        <f>HYPERLINK("https://www.ncbi.nlm.nih.gov/pubmed/30219226","PubMed")</f>
        <v>PubMed</v>
      </c>
      <c r="V6907" s="136"/>
      <c r="W6907" s="156"/>
      <c r="X6907" s="156"/>
      <c r="Y6907" s="35"/>
      <c r="Z6907" s="35"/>
      <c r="AA6907" s="35"/>
      <c r="AB6907" s="35"/>
      <c r="AC6907" s="35"/>
      <c r="AD6907" s="35"/>
      <c r="AE6907" s="35"/>
      <c r="AF6907" s="35"/>
      <c r="AG6907" s="35"/>
      <c r="AH6907" s="35"/>
      <c r="AI6907" s="35"/>
      <c r="AJ6907" s="35"/>
      <c r="AK6907" s="35"/>
      <c r="AL6907" s="35"/>
    </row>
    <row r="6908">
      <c r="A6908" s="133"/>
      <c r="B6908" s="157" t="s">
        <v>31715</v>
      </c>
      <c r="C6908" s="158" t="s">
        <v>6113</v>
      </c>
      <c r="D6908" s="159"/>
      <c r="E6908" s="57" t="s">
        <v>3300</v>
      </c>
      <c r="F6908" s="22" t="s">
        <v>2244</v>
      </c>
      <c r="G6908" s="57">
        <v>2023.0</v>
      </c>
      <c r="H6908" s="57" t="s">
        <v>21909</v>
      </c>
      <c r="I6908" s="134" t="s">
        <v>32202</v>
      </c>
      <c r="J6908" s="23" t="s">
        <v>32203</v>
      </c>
      <c r="K6908" s="23"/>
      <c r="L6908" s="53" t="s">
        <v>32204</v>
      </c>
      <c r="U6908" s="255" t="s">
        <v>61</v>
      </c>
      <c r="V6908" s="136"/>
      <c r="W6908" s="156"/>
      <c r="X6908" s="156"/>
      <c r="Y6908" s="35"/>
      <c r="Z6908" s="35"/>
      <c r="AA6908" s="35"/>
      <c r="AB6908" s="35"/>
      <c r="AC6908" s="35"/>
      <c r="AD6908" s="35"/>
      <c r="AE6908" s="35"/>
      <c r="AF6908" s="35"/>
      <c r="AG6908" s="35"/>
      <c r="AH6908" s="35"/>
      <c r="AI6908" s="35"/>
      <c r="AJ6908" s="35"/>
      <c r="AK6908" s="35"/>
      <c r="AL6908" s="35"/>
    </row>
    <row r="6909">
      <c r="A6909" s="133"/>
      <c r="B6909" s="157" t="s">
        <v>31715</v>
      </c>
      <c r="C6909" s="158" t="s">
        <v>6113</v>
      </c>
      <c r="D6909" s="159"/>
      <c r="E6909" s="57" t="s">
        <v>12429</v>
      </c>
      <c r="F6909" s="22" t="s">
        <v>323</v>
      </c>
      <c r="G6909" s="57">
        <v>2020.0</v>
      </c>
      <c r="H6909" s="57" t="s">
        <v>484</v>
      </c>
      <c r="I6909" s="134" t="s">
        <v>32205</v>
      </c>
      <c r="J6909" s="23" t="s">
        <v>55</v>
      </c>
      <c r="K6909" s="23"/>
      <c r="L6909" s="52" t="s">
        <v>32206</v>
      </c>
      <c r="M6909" s="52"/>
      <c r="N6909" s="52"/>
      <c r="O6909" s="192"/>
      <c r="P6909" s="189"/>
      <c r="Q6909" s="52"/>
      <c r="R6909" s="52"/>
      <c r="S6909" s="52"/>
      <c r="T6909" s="54" t="s">
        <v>32207</v>
      </c>
      <c r="U6909" s="312"/>
      <c r="V6909" s="136"/>
      <c r="W6909" s="156"/>
      <c r="X6909" s="156"/>
      <c r="Y6909" s="35"/>
      <c r="Z6909" s="35"/>
      <c r="AA6909" s="35"/>
      <c r="AB6909" s="35"/>
      <c r="AC6909" s="35"/>
      <c r="AD6909" s="35"/>
      <c r="AE6909" s="35"/>
      <c r="AF6909" s="35"/>
      <c r="AG6909" s="35"/>
      <c r="AH6909" s="35"/>
      <c r="AI6909" s="35"/>
      <c r="AJ6909" s="35"/>
      <c r="AK6909" s="35"/>
      <c r="AL6909" s="35"/>
    </row>
    <row r="6910">
      <c r="A6910" s="133"/>
      <c r="B6910" s="157" t="s">
        <v>31715</v>
      </c>
      <c r="C6910" s="158" t="s">
        <v>6113</v>
      </c>
      <c r="D6910" s="159"/>
      <c r="E6910" s="57" t="s">
        <v>6140</v>
      </c>
      <c r="F6910" s="22" t="s">
        <v>1905</v>
      </c>
      <c r="G6910" s="57">
        <v>2015.0</v>
      </c>
      <c r="H6910" s="57" t="s">
        <v>627</v>
      </c>
      <c r="I6910" s="134" t="s">
        <v>32208</v>
      </c>
      <c r="J6910" s="23" t="s">
        <v>32209</v>
      </c>
      <c r="K6910" s="23" t="s">
        <v>157</v>
      </c>
      <c r="L6910" s="52">
        <v>660.0</v>
      </c>
      <c r="M6910" s="52"/>
      <c r="N6910" s="52" t="s">
        <v>1729</v>
      </c>
      <c r="O6910" s="192"/>
      <c r="P6910" s="189" t="s">
        <v>480</v>
      </c>
      <c r="Q6910" s="52" t="s">
        <v>7766</v>
      </c>
      <c r="R6910" s="52">
        <v>600.0</v>
      </c>
      <c r="S6910" s="52">
        <v>20.0</v>
      </c>
      <c r="T6910" s="54" t="s">
        <v>32210</v>
      </c>
      <c r="U6910" s="312" t="str">
        <f>HYPERLINK("https://www.ncbi.nlm.nih.gov/pubmed/26065900","PubMed")</f>
        <v>PubMed</v>
      </c>
      <c r="V6910" s="136"/>
      <c r="W6910" s="156"/>
      <c r="X6910" s="156"/>
      <c r="Y6910" s="35"/>
      <c r="Z6910" s="35"/>
      <c r="AA6910" s="35"/>
      <c r="AB6910" s="35"/>
      <c r="AC6910" s="35"/>
      <c r="AD6910" s="35"/>
      <c r="AE6910" s="35"/>
      <c r="AF6910" s="35"/>
      <c r="AG6910" s="35"/>
      <c r="AH6910" s="35"/>
      <c r="AI6910" s="35"/>
      <c r="AJ6910" s="35"/>
      <c r="AK6910" s="35"/>
      <c r="AL6910" s="35"/>
    </row>
    <row r="6911">
      <c r="A6911" s="133"/>
      <c r="B6911" s="157" t="s">
        <v>31715</v>
      </c>
      <c r="C6911" s="158"/>
      <c r="D6911" s="159"/>
      <c r="E6911" s="57" t="s">
        <v>1689</v>
      </c>
      <c r="F6911" s="23" t="s">
        <v>10060</v>
      </c>
      <c r="G6911" s="57">
        <v>2023.0</v>
      </c>
      <c r="H6911" s="57" t="s">
        <v>91</v>
      </c>
      <c r="I6911" s="134" t="s">
        <v>32211</v>
      </c>
      <c r="J6911" s="23" t="s">
        <v>649</v>
      </c>
      <c r="K6911" s="23" t="s">
        <v>1725</v>
      </c>
      <c r="L6911" s="173" t="s">
        <v>32212</v>
      </c>
      <c r="U6911" s="255" t="s">
        <v>61</v>
      </c>
      <c r="V6911" s="136"/>
      <c r="W6911" s="156"/>
      <c r="X6911" s="156"/>
      <c r="Y6911" s="35"/>
      <c r="Z6911" s="35"/>
      <c r="AA6911" s="35"/>
      <c r="AB6911" s="35"/>
      <c r="AC6911" s="35"/>
      <c r="AD6911" s="35"/>
      <c r="AE6911" s="35"/>
      <c r="AF6911" s="35"/>
      <c r="AG6911" s="35"/>
      <c r="AH6911" s="35"/>
      <c r="AI6911" s="35"/>
      <c r="AJ6911" s="35"/>
      <c r="AK6911" s="35"/>
      <c r="AL6911" s="35"/>
    </row>
    <row r="6912">
      <c r="A6912" s="133"/>
      <c r="B6912" s="157" t="s">
        <v>31715</v>
      </c>
      <c r="C6912" s="158"/>
      <c r="D6912" s="159"/>
      <c r="E6912" s="57" t="s">
        <v>5861</v>
      </c>
      <c r="F6912" s="23" t="s">
        <v>19040</v>
      </c>
      <c r="G6912" s="57">
        <v>2018.0</v>
      </c>
      <c r="H6912" s="57" t="s">
        <v>658</v>
      </c>
      <c r="I6912" s="134" t="s">
        <v>32213</v>
      </c>
      <c r="J6912" s="22" t="s">
        <v>125</v>
      </c>
      <c r="K6912" s="325"/>
      <c r="L6912" s="173" t="s">
        <v>32214</v>
      </c>
      <c r="U6912" s="312" t="str">
        <f>HYPERLINK("https://www.ncbi.nlm.nih.gov/pubmed/29570423","PubMed")</f>
        <v>PubMed</v>
      </c>
      <c r="V6912" s="136"/>
      <c r="W6912" s="156"/>
      <c r="X6912" s="156"/>
      <c r="Y6912" s="35"/>
      <c r="Z6912" s="35"/>
      <c r="AA6912" s="35"/>
      <c r="AB6912" s="35"/>
      <c r="AC6912" s="35"/>
      <c r="AD6912" s="35"/>
      <c r="AE6912" s="35"/>
      <c r="AF6912" s="35"/>
      <c r="AG6912" s="35"/>
      <c r="AH6912" s="35"/>
      <c r="AI6912" s="35"/>
      <c r="AJ6912" s="35"/>
      <c r="AK6912" s="35"/>
      <c r="AL6912" s="35"/>
    </row>
    <row r="6913">
      <c r="A6913" s="133"/>
      <c r="B6913" s="157" t="s">
        <v>31715</v>
      </c>
      <c r="C6913" s="158"/>
      <c r="D6913" s="159"/>
      <c r="E6913" s="57" t="s">
        <v>6264</v>
      </c>
      <c r="F6913" s="23" t="s">
        <v>224</v>
      </c>
      <c r="G6913" s="57" t="s">
        <v>90</v>
      </c>
      <c r="H6913" s="57" t="s">
        <v>31720</v>
      </c>
      <c r="I6913" s="134" t="s">
        <v>32215</v>
      </c>
      <c r="J6913" s="23" t="s">
        <v>31</v>
      </c>
      <c r="K6913" s="23" t="s">
        <v>32216</v>
      </c>
      <c r="L6913" s="36">
        <v>660.0</v>
      </c>
      <c r="M6913" s="36" t="s">
        <v>32217</v>
      </c>
      <c r="N6913" s="107"/>
      <c r="O6913" s="107"/>
      <c r="P6913" s="37"/>
      <c r="Q6913" s="107"/>
      <c r="R6913" s="36"/>
      <c r="S6913" s="107"/>
      <c r="T6913" s="54" t="s">
        <v>32218</v>
      </c>
      <c r="U6913" s="312" t="str">
        <f>HYPERLINK("https://www.ncbi.nlm.nih.gov/pubmed/28178868","PubMed")</f>
        <v>PubMed</v>
      </c>
      <c r="V6913" s="136"/>
      <c r="W6913" s="156"/>
      <c r="X6913" s="156"/>
      <c r="Y6913" s="35"/>
      <c r="Z6913" s="35"/>
      <c r="AA6913" s="35"/>
      <c r="AB6913" s="35"/>
      <c r="AC6913" s="35"/>
      <c r="AD6913" s="35"/>
      <c r="AE6913" s="35"/>
      <c r="AF6913" s="35"/>
      <c r="AG6913" s="35"/>
      <c r="AH6913" s="35"/>
      <c r="AI6913" s="35"/>
      <c r="AJ6913" s="35"/>
      <c r="AK6913" s="35"/>
      <c r="AL6913" s="35"/>
    </row>
    <row r="6914">
      <c r="A6914" s="133"/>
      <c r="B6914" s="157" t="s">
        <v>31715</v>
      </c>
      <c r="C6914" s="158"/>
      <c r="D6914" s="159"/>
      <c r="E6914" s="57" t="s">
        <v>412</v>
      </c>
      <c r="F6914" s="23" t="s">
        <v>323</v>
      </c>
      <c r="G6914" s="57">
        <v>2016.0</v>
      </c>
      <c r="H6914" s="57" t="s">
        <v>658</v>
      </c>
      <c r="I6914" s="134" t="s">
        <v>32219</v>
      </c>
      <c r="J6914" s="23" t="s">
        <v>649</v>
      </c>
      <c r="K6914" s="325"/>
      <c r="L6914" s="173" t="s">
        <v>32220</v>
      </c>
      <c r="U6914" s="312" t="str">
        <f>HYPERLINK("https://www.ncbi.nlm.nih.gov/pubmed/27070113","PubMed")</f>
        <v>PubMed</v>
      </c>
      <c r="V6914" s="136"/>
      <c r="W6914" s="156"/>
      <c r="X6914" s="156"/>
      <c r="Y6914" s="35"/>
      <c r="Z6914" s="35"/>
      <c r="AA6914" s="35"/>
      <c r="AB6914" s="35"/>
      <c r="AC6914" s="35"/>
      <c r="AD6914" s="35"/>
      <c r="AE6914" s="35"/>
      <c r="AF6914" s="35"/>
      <c r="AG6914" s="35"/>
      <c r="AH6914" s="35"/>
      <c r="AI6914" s="35"/>
      <c r="AJ6914" s="35"/>
      <c r="AK6914" s="35"/>
      <c r="AL6914" s="35"/>
    </row>
    <row r="6915">
      <c r="A6915" s="133"/>
      <c r="B6915" s="157" t="s">
        <v>31715</v>
      </c>
      <c r="C6915" s="158"/>
      <c r="D6915" s="159"/>
      <c r="E6915" s="57" t="s">
        <v>31907</v>
      </c>
      <c r="F6915" s="23" t="s">
        <v>323</v>
      </c>
      <c r="G6915" s="57">
        <v>2016.0</v>
      </c>
      <c r="H6915" s="57" t="s">
        <v>1025</v>
      </c>
      <c r="I6915" s="134" t="s">
        <v>32221</v>
      </c>
      <c r="J6915" s="23" t="s">
        <v>31</v>
      </c>
      <c r="K6915" s="325"/>
      <c r="L6915" s="36" t="s">
        <v>32222</v>
      </c>
      <c r="M6915" s="36" t="s">
        <v>32223</v>
      </c>
      <c r="N6915" s="107"/>
      <c r="O6915" s="36" t="s">
        <v>32224</v>
      </c>
      <c r="P6915" s="37"/>
      <c r="Q6915" s="36" t="s">
        <v>32225</v>
      </c>
      <c r="R6915" s="36"/>
      <c r="S6915" s="107"/>
      <c r="T6915" s="54" t="s">
        <v>32226</v>
      </c>
      <c r="U6915" s="312" t="str">
        <f>HYPERLINK("https://www.ncbi.nlm.nih.gov/pubmed/27685702","PubMed")</f>
        <v>PubMed</v>
      </c>
      <c r="V6915" s="136"/>
      <c r="W6915" s="156"/>
      <c r="X6915" s="156"/>
      <c r="Y6915" s="35"/>
      <c r="Z6915" s="35"/>
      <c r="AA6915" s="35"/>
      <c r="AB6915" s="35"/>
      <c r="AC6915" s="35"/>
      <c r="AD6915" s="35"/>
      <c r="AE6915" s="35"/>
      <c r="AF6915" s="35"/>
      <c r="AG6915" s="35"/>
      <c r="AH6915" s="35"/>
      <c r="AI6915" s="35"/>
      <c r="AJ6915" s="35"/>
      <c r="AK6915" s="35"/>
      <c r="AL6915" s="35"/>
    </row>
    <row r="6916">
      <c r="A6916" s="133"/>
      <c r="B6916" s="157" t="s">
        <v>31715</v>
      </c>
      <c r="C6916" s="158"/>
      <c r="D6916" s="159"/>
      <c r="E6916" s="57" t="s">
        <v>5449</v>
      </c>
      <c r="F6916" s="23" t="s">
        <v>720</v>
      </c>
      <c r="G6916" s="57">
        <v>2015.0</v>
      </c>
      <c r="H6916" s="57" t="s">
        <v>91</v>
      </c>
      <c r="I6916" s="134" t="s">
        <v>32227</v>
      </c>
      <c r="J6916" s="23" t="s">
        <v>1078</v>
      </c>
      <c r="K6916" s="325"/>
      <c r="L6916" s="173" t="s">
        <v>32228</v>
      </c>
      <c r="U6916" s="312" t="str">
        <f>HYPERLINK("https://www.ncbi.nlm.nih.gov/pubmed/25764448","PubMed")</f>
        <v>PubMed</v>
      </c>
      <c r="V6916" s="136"/>
      <c r="W6916" s="156"/>
      <c r="X6916" s="156"/>
      <c r="Y6916" s="35"/>
      <c r="Z6916" s="35"/>
      <c r="AA6916" s="35"/>
      <c r="AB6916" s="35"/>
      <c r="AC6916" s="35"/>
      <c r="AD6916" s="35"/>
      <c r="AE6916" s="35"/>
      <c r="AF6916" s="35"/>
      <c r="AG6916" s="35"/>
      <c r="AH6916" s="35"/>
      <c r="AI6916" s="35"/>
      <c r="AJ6916" s="35"/>
      <c r="AK6916" s="35"/>
      <c r="AL6916" s="35"/>
    </row>
    <row r="6917">
      <c r="A6917" s="133"/>
      <c r="B6917" s="157" t="s">
        <v>31715</v>
      </c>
      <c r="C6917" s="158"/>
      <c r="D6917" s="159"/>
      <c r="E6917" s="57" t="s">
        <v>32229</v>
      </c>
      <c r="F6917" s="23" t="s">
        <v>1386</v>
      </c>
      <c r="G6917" s="57">
        <v>2016.0</v>
      </c>
      <c r="H6917" s="57" t="s">
        <v>658</v>
      </c>
      <c r="I6917" s="134" t="s">
        <v>32230</v>
      </c>
      <c r="J6917" s="23" t="s">
        <v>31</v>
      </c>
      <c r="K6917" s="325"/>
      <c r="L6917" s="36"/>
      <c r="M6917" s="107"/>
      <c r="N6917" s="107"/>
      <c r="O6917" s="107"/>
      <c r="P6917" s="37"/>
      <c r="Q6917" s="107"/>
      <c r="R6917" s="36"/>
      <c r="S6917" s="107"/>
      <c r="T6917" s="54" t="s">
        <v>32231</v>
      </c>
      <c r="U6917" s="312" t="str">
        <f>HYPERLINK("https://www.ncbi.nlm.nih.gov/pubmed/26594838","PubMed")</f>
        <v>PubMed</v>
      </c>
      <c r="V6917" s="136"/>
      <c r="W6917" s="156"/>
      <c r="X6917" s="156"/>
      <c r="Y6917" s="35"/>
      <c r="Z6917" s="35"/>
      <c r="AA6917" s="35"/>
      <c r="AB6917" s="35"/>
      <c r="AC6917" s="35"/>
      <c r="AD6917" s="35"/>
      <c r="AE6917" s="35"/>
      <c r="AF6917" s="35"/>
      <c r="AG6917" s="35"/>
      <c r="AH6917" s="35"/>
      <c r="AI6917" s="35"/>
      <c r="AJ6917" s="35"/>
      <c r="AK6917" s="35"/>
      <c r="AL6917" s="35"/>
    </row>
    <row r="6918">
      <c r="A6918" s="133"/>
      <c r="B6918" s="157" t="s">
        <v>31715</v>
      </c>
      <c r="C6918" s="158"/>
      <c r="D6918" s="159"/>
      <c r="E6918" s="57" t="s">
        <v>32232</v>
      </c>
      <c r="F6918" s="23" t="s">
        <v>3064</v>
      </c>
      <c r="G6918" s="57">
        <v>2015.0</v>
      </c>
      <c r="H6918" s="57" t="s">
        <v>658</v>
      </c>
      <c r="I6918" s="134" t="s">
        <v>32233</v>
      </c>
      <c r="J6918" s="23" t="s">
        <v>649</v>
      </c>
      <c r="K6918" s="325"/>
      <c r="L6918" s="105" t="s">
        <v>32234</v>
      </c>
      <c r="M6918" s="44"/>
      <c r="N6918" s="44"/>
      <c r="O6918" s="44"/>
      <c r="P6918" s="44"/>
      <c r="Q6918" s="44"/>
      <c r="R6918" s="44"/>
      <c r="S6918" s="44"/>
      <c r="T6918" s="45"/>
      <c r="U6918" s="312" t="str">
        <f>HYPERLINK("https://www.ncbi.nlm.nih.gov/pubmed/25692649","PubMed")</f>
        <v>PubMed</v>
      </c>
      <c r="V6918" s="136"/>
      <c r="W6918" s="156"/>
      <c r="X6918" s="156"/>
      <c r="Y6918" s="35"/>
      <c r="Z6918" s="35"/>
      <c r="AA6918" s="35"/>
      <c r="AB6918" s="35"/>
      <c r="AC6918" s="35"/>
      <c r="AD6918" s="35"/>
      <c r="AE6918" s="35"/>
      <c r="AF6918" s="35"/>
      <c r="AG6918" s="35"/>
      <c r="AH6918" s="35"/>
      <c r="AI6918" s="35"/>
      <c r="AJ6918" s="35"/>
      <c r="AK6918" s="35"/>
      <c r="AL6918" s="35"/>
    </row>
    <row r="6919">
      <c r="A6919" s="133"/>
      <c r="B6919" s="157" t="s">
        <v>31715</v>
      </c>
      <c r="C6919" s="158"/>
      <c r="D6919" s="159"/>
      <c r="E6919" s="57" t="s">
        <v>12446</v>
      </c>
      <c r="F6919" s="23" t="s">
        <v>720</v>
      </c>
      <c r="G6919" s="57">
        <v>2014.0</v>
      </c>
      <c r="H6919" s="57" t="s">
        <v>16555</v>
      </c>
      <c r="I6919" s="134" t="s">
        <v>32235</v>
      </c>
      <c r="J6919" s="23" t="s">
        <v>31</v>
      </c>
      <c r="K6919" s="325"/>
      <c r="L6919" s="36">
        <v>660.0</v>
      </c>
      <c r="M6919" s="107"/>
      <c r="N6919" s="107"/>
      <c r="O6919" s="107"/>
      <c r="P6919" s="37" t="s">
        <v>5451</v>
      </c>
      <c r="Q6919" s="36"/>
      <c r="R6919" s="107"/>
      <c r="S6919" s="36"/>
      <c r="T6919" s="83" t="s">
        <v>32236</v>
      </c>
      <c r="U6919" s="135" t="str">
        <f>HYPERLINK("https://www.ncbi.nlm.nih.gov/pubmed/24728250","PubMed")</f>
        <v>PubMed</v>
      </c>
      <c r="V6919" s="139"/>
      <c r="W6919" s="49"/>
      <c r="X6919" s="49"/>
      <c r="Y6919" s="35"/>
      <c r="Z6919" s="35"/>
      <c r="AA6919" s="35"/>
      <c r="AB6919" s="35"/>
      <c r="AC6919" s="35"/>
      <c r="AD6919" s="35"/>
      <c r="AE6919" s="35"/>
      <c r="AF6919" s="35"/>
      <c r="AG6919" s="35"/>
      <c r="AH6919" s="35"/>
      <c r="AI6919" s="35"/>
      <c r="AJ6919" s="35"/>
      <c r="AK6919" s="35"/>
      <c r="AL6919" s="35"/>
    </row>
    <row r="6920">
      <c r="A6920" s="133"/>
      <c r="B6920" s="157" t="s">
        <v>31715</v>
      </c>
      <c r="C6920" s="158"/>
      <c r="D6920" s="159"/>
      <c r="E6920" s="57" t="s">
        <v>32237</v>
      </c>
      <c r="F6920" s="23" t="s">
        <v>30713</v>
      </c>
      <c r="G6920" s="57">
        <v>2012.0</v>
      </c>
      <c r="H6920" s="57" t="s">
        <v>91</v>
      </c>
      <c r="I6920" s="134" t="s">
        <v>32238</v>
      </c>
      <c r="J6920" s="23" t="s">
        <v>31</v>
      </c>
      <c r="K6920" s="325"/>
      <c r="L6920" s="36">
        <v>810.0</v>
      </c>
      <c r="M6920" s="107"/>
      <c r="N6920" s="107"/>
      <c r="O6920" s="107"/>
      <c r="P6920" s="37" t="s">
        <v>32239</v>
      </c>
      <c r="Q6920" s="36"/>
      <c r="R6920" s="107"/>
      <c r="S6920" s="36">
        <v>3.0</v>
      </c>
      <c r="T6920" s="83" t="s">
        <v>32240</v>
      </c>
      <c r="U6920" s="135" t="str">
        <f>HYPERLINK("https://www.ncbi.nlm.nih.gov/pubmed/21597948","PubMed")</f>
        <v>PubMed</v>
      </c>
      <c r="V6920" s="139"/>
      <c r="W6920" s="49"/>
      <c r="X6920" s="49"/>
      <c r="Y6920" s="35"/>
      <c r="Z6920" s="35"/>
      <c r="AA6920" s="35"/>
      <c r="AB6920" s="35"/>
      <c r="AC6920" s="35"/>
      <c r="AD6920" s="35"/>
      <c r="AE6920" s="35"/>
      <c r="AF6920" s="35"/>
      <c r="AG6920" s="35"/>
      <c r="AH6920" s="35"/>
      <c r="AI6920" s="35"/>
      <c r="AJ6920" s="35"/>
      <c r="AK6920" s="35"/>
      <c r="AL6920" s="35"/>
    </row>
    <row r="6921">
      <c r="A6921" s="133"/>
      <c r="B6921" s="157" t="s">
        <v>31715</v>
      </c>
      <c r="C6921" s="158"/>
      <c r="D6921" s="159"/>
      <c r="E6921" s="57" t="s">
        <v>14776</v>
      </c>
      <c r="F6921" s="22" t="s">
        <v>1386</v>
      </c>
      <c r="G6921" s="57">
        <v>2012.0</v>
      </c>
      <c r="H6921" s="57" t="s">
        <v>658</v>
      </c>
      <c r="I6921" s="134" t="s">
        <v>32241</v>
      </c>
      <c r="J6921" s="23" t="s">
        <v>3289</v>
      </c>
      <c r="K6921" s="325"/>
      <c r="L6921" s="43"/>
      <c r="M6921" s="44"/>
      <c r="N6921" s="44"/>
      <c r="O6921" s="44"/>
      <c r="P6921" s="44"/>
      <c r="Q6921" s="44"/>
      <c r="R6921" s="44"/>
      <c r="S6921" s="44"/>
      <c r="T6921" s="45"/>
      <c r="U6921" s="312" t="str">
        <f>HYPERLINK("https://www.ncbi.nlm.nih.gov/pubmed/23140266","PubMed")</f>
        <v>PubMed</v>
      </c>
      <c r="V6921" s="136"/>
      <c r="W6921" s="156"/>
      <c r="X6921" s="156"/>
      <c r="Y6921" s="35"/>
      <c r="Z6921" s="35"/>
      <c r="AA6921" s="35"/>
      <c r="AB6921" s="35"/>
      <c r="AC6921" s="35"/>
      <c r="AD6921" s="35"/>
      <c r="AE6921" s="35"/>
      <c r="AF6921" s="35"/>
      <c r="AG6921" s="35"/>
      <c r="AH6921" s="35"/>
      <c r="AI6921" s="35"/>
      <c r="AJ6921" s="35"/>
      <c r="AK6921" s="35"/>
      <c r="AL6921" s="35"/>
    </row>
    <row r="6922">
      <c r="A6922" s="133"/>
      <c r="B6922" s="157" t="s">
        <v>31715</v>
      </c>
      <c r="C6922" s="158"/>
      <c r="D6922" s="159"/>
      <c r="E6922" s="57" t="s">
        <v>32242</v>
      </c>
      <c r="F6922" s="22" t="s">
        <v>1386</v>
      </c>
      <c r="G6922" s="57">
        <v>2011.0</v>
      </c>
      <c r="H6922" s="57" t="s">
        <v>31913</v>
      </c>
      <c r="I6922" s="134" t="s">
        <v>32243</v>
      </c>
      <c r="J6922" s="23" t="s">
        <v>31</v>
      </c>
      <c r="K6922" s="325"/>
      <c r="L6922" s="36">
        <v>636.0</v>
      </c>
      <c r="M6922" s="36"/>
      <c r="N6922" s="36"/>
      <c r="O6922" s="36"/>
      <c r="P6922" s="37" t="s">
        <v>432</v>
      </c>
      <c r="Q6922" s="36"/>
      <c r="R6922" s="36"/>
      <c r="S6922" s="36"/>
      <c r="T6922" s="102" t="s">
        <v>32244</v>
      </c>
      <c r="U6922" s="312" t="str">
        <f>HYPERLINK("https://www.ncbi.nlm.nih.gov/pubmed/21373882","PubMed")</f>
        <v>PubMed</v>
      </c>
      <c r="V6922" s="136"/>
      <c r="W6922" s="156"/>
      <c r="X6922" s="156"/>
      <c r="Y6922" s="35"/>
      <c r="Z6922" s="35"/>
      <c r="AA6922" s="35"/>
      <c r="AB6922" s="35"/>
      <c r="AC6922" s="35"/>
      <c r="AD6922" s="35"/>
      <c r="AE6922" s="35"/>
      <c r="AF6922" s="35"/>
      <c r="AG6922" s="35"/>
      <c r="AH6922" s="35"/>
      <c r="AI6922" s="35"/>
      <c r="AJ6922" s="35"/>
      <c r="AK6922" s="35"/>
      <c r="AL6922" s="35"/>
    </row>
    <row r="6923">
      <c r="A6923" s="133"/>
      <c r="B6923" s="157" t="s">
        <v>31715</v>
      </c>
      <c r="C6923" s="158"/>
      <c r="D6923" s="159"/>
      <c r="E6923" s="57" t="s">
        <v>32245</v>
      </c>
      <c r="F6923" s="22" t="s">
        <v>1386</v>
      </c>
      <c r="G6923" s="57">
        <v>2010.0</v>
      </c>
      <c r="H6923" s="57" t="s">
        <v>91</v>
      </c>
      <c r="I6923" s="134" t="s">
        <v>32246</v>
      </c>
      <c r="J6923" s="23" t="s">
        <v>31</v>
      </c>
      <c r="K6923" s="325"/>
      <c r="L6923" s="36">
        <v>636.0</v>
      </c>
      <c r="M6923" s="36"/>
      <c r="N6923" s="36"/>
      <c r="O6923" s="36"/>
      <c r="P6923" s="37" t="s">
        <v>432</v>
      </c>
      <c r="Q6923" s="36"/>
      <c r="R6923" s="36"/>
      <c r="S6923" s="36"/>
      <c r="T6923" s="54" t="s">
        <v>32247</v>
      </c>
      <c r="U6923" s="312" t="str">
        <f>HYPERLINK("https://www.ncbi.nlm.nih.gov/pubmed/19172344","PubMed")</f>
        <v>PubMed</v>
      </c>
      <c r="V6923" s="136"/>
      <c r="W6923" s="156"/>
      <c r="X6923" s="156"/>
      <c r="Y6923" s="35"/>
      <c r="Z6923" s="35"/>
      <c r="AA6923" s="35"/>
      <c r="AB6923" s="35"/>
      <c r="AC6923" s="35"/>
      <c r="AD6923" s="35"/>
      <c r="AE6923" s="35"/>
      <c r="AF6923" s="35"/>
      <c r="AG6923" s="35"/>
      <c r="AH6923" s="35"/>
      <c r="AI6923" s="35"/>
      <c r="AJ6923" s="35"/>
      <c r="AK6923" s="35"/>
      <c r="AL6923" s="35"/>
    </row>
    <row r="6924">
      <c r="A6924" s="133"/>
      <c r="B6924" s="157" t="s">
        <v>31715</v>
      </c>
      <c r="C6924" s="158"/>
      <c r="D6924" s="159"/>
      <c r="E6924" s="57" t="s">
        <v>32245</v>
      </c>
      <c r="F6924" s="22" t="s">
        <v>1386</v>
      </c>
      <c r="G6924" s="57">
        <v>2008.0</v>
      </c>
      <c r="H6924" s="57" t="s">
        <v>91</v>
      </c>
      <c r="I6924" s="134" t="s">
        <v>32248</v>
      </c>
      <c r="J6924" s="23" t="s">
        <v>31</v>
      </c>
      <c r="K6924" s="23"/>
      <c r="L6924" s="36">
        <v>635.0</v>
      </c>
      <c r="M6924" s="36">
        <v>50.0</v>
      </c>
      <c r="N6924" s="36" t="s">
        <v>31915</v>
      </c>
      <c r="O6924" s="36"/>
      <c r="P6924" s="37" t="s">
        <v>432</v>
      </c>
      <c r="Q6924" s="36"/>
      <c r="R6924" s="36"/>
      <c r="S6924" s="36"/>
      <c r="T6924" s="83" t="s">
        <v>32249</v>
      </c>
      <c r="U6924" s="312" t="str">
        <f>HYPERLINK("https://www.ncbi.nlm.nih.gov/pubmed/17713825","PubMed")</f>
        <v>PubMed</v>
      </c>
      <c r="V6924" s="139"/>
      <c r="W6924" s="49"/>
      <c r="X6924" s="49"/>
      <c r="Y6924" s="35"/>
      <c r="Z6924" s="35"/>
      <c r="AA6924" s="35"/>
      <c r="AB6924" s="35"/>
      <c r="AC6924" s="35"/>
      <c r="AD6924" s="35"/>
      <c r="AE6924" s="35"/>
      <c r="AF6924" s="35"/>
      <c r="AG6924" s="35"/>
      <c r="AH6924" s="35"/>
      <c r="AI6924" s="35"/>
      <c r="AJ6924" s="35"/>
      <c r="AK6924" s="35"/>
      <c r="AL6924" s="35"/>
    </row>
    <row r="6925">
      <c r="A6925" s="133"/>
      <c r="B6925" s="157" t="s">
        <v>31715</v>
      </c>
      <c r="C6925" s="158"/>
      <c r="D6925" s="159"/>
      <c r="E6925" s="57" t="s">
        <v>22897</v>
      </c>
      <c r="F6925" s="22" t="s">
        <v>41</v>
      </c>
      <c r="G6925" s="57">
        <v>2008.0</v>
      </c>
      <c r="H6925" s="57" t="s">
        <v>53</v>
      </c>
      <c r="I6925" s="134" t="s">
        <v>32250</v>
      </c>
      <c r="J6925" s="23" t="s">
        <v>31</v>
      </c>
      <c r="K6925" s="23"/>
      <c r="L6925" s="36">
        <v>660.0</v>
      </c>
      <c r="M6925" s="36" t="s">
        <v>16511</v>
      </c>
      <c r="N6925" s="36"/>
      <c r="O6925" s="36"/>
      <c r="P6925" s="37"/>
      <c r="Q6925" s="36"/>
      <c r="R6925" s="36" t="s">
        <v>13512</v>
      </c>
      <c r="S6925" s="36"/>
      <c r="T6925" s="83" t="s">
        <v>32251</v>
      </c>
      <c r="U6925" s="312" t="str">
        <f>HYPERLINK("https://www.ncbi.nlm.nih.gov/pubmed/18649378","PubMed")</f>
        <v>PubMed</v>
      </c>
      <c r="V6925" s="139"/>
      <c r="W6925" s="49"/>
      <c r="X6925" s="49"/>
      <c r="Y6925" s="35"/>
      <c r="Z6925" s="35"/>
      <c r="AA6925" s="35"/>
      <c r="AB6925" s="35"/>
      <c r="AC6925" s="35"/>
      <c r="AD6925" s="35"/>
      <c r="AE6925" s="35"/>
      <c r="AF6925" s="35"/>
      <c r="AG6925" s="35"/>
      <c r="AH6925" s="35"/>
      <c r="AI6925" s="35"/>
      <c r="AJ6925" s="35"/>
      <c r="AK6925" s="35"/>
      <c r="AL6925" s="35"/>
    </row>
    <row r="6926">
      <c r="A6926" s="133"/>
      <c r="B6926" s="157" t="s">
        <v>31715</v>
      </c>
      <c r="C6926" s="158"/>
      <c r="D6926" s="159"/>
      <c r="E6926" s="57" t="s">
        <v>11896</v>
      </c>
      <c r="F6926" s="325"/>
      <c r="G6926" s="57">
        <v>2007.0</v>
      </c>
      <c r="H6926" s="57" t="s">
        <v>53</v>
      </c>
      <c r="I6926" s="134" t="s">
        <v>32252</v>
      </c>
      <c r="J6926" s="23" t="s">
        <v>31</v>
      </c>
      <c r="K6926" s="23" t="s">
        <v>32253</v>
      </c>
      <c r="L6926" s="36"/>
      <c r="M6926" s="36"/>
      <c r="N6926" s="36"/>
      <c r="O6926" s="36"/>
      <c r="P6926" s="37" t="s">
        <v>1352</v>
      </c>
      <c r="Q6926" s="36"/>
      <c r="R6926" s="36"/>
      <c r="S6926" s="36"/>
      <c r="T6926" s="83" t="s">
        <v>32254</v>
      </c>
      <c r="U6926" s="326" t="s">
        <v>61</v>
      </c>
      <c r="V6926" s="139"/>
      <c r="W6926" s="49"/>
      <c r="X6926" s="49"/>
      <c r="Y6926" s="35"/>
      <c r="Z6926" s="35"/>
      <c r="AA6926" s="35"/>
      <c r="AB6926" s="35"/>
      <c r="AC6926" s="35"/>
      <c r="AD6926" s="35"/>
      <c r="AE6926" s="35"/>
      <c r="AF6926" s="35"/>
      <c r="AG6926" s="35"/>
      <c r="AH6926" s="35"/>
      <c r="AI6926" s="35"/>
      <c r="AJ6926" s="35"/>
      <c r="AK6926" s="35"/>
      <c r="AL6926" s="35"/>
    </row>
    <row r="6927">
      <c r="A6927" s="133"/>
      <c r="B6927" s="157" t="s">
        <v>32255</v>
      </c>
      <c r="C6927" s="158"/>
      <c r="D6927" s="159"/>
      <c r="E6927" s="57" t="s">
        <v>20942</v>
      </c>
      <c r="F6927" s="22" t="s">
        <v>41</v>
      </c>
      <c r="G6927" s="57">
        <v>2011.0</v>
      </c>
      <c r="H6927" s="57" t="s">
        <v>658</v>
      </c>
      <c r="I6927" s="134" t="s">
        <v>32256</v>
      </c>
      <c r="J6927" s="22" t="s">
        <v>2273</v>
      </c>
      <c r="K6927" s="23"/>
      <c r="L6927" s="36">
        <v>660.0</v>
      </c>
      <c r="M6927" s="36" t="s">
        <v>32257</v>
      </c>
      <c r="N6927" s="36" t="s">
        <v>32258</v>
      </c>
      <c r="O6927" s="36" t="s">
        <v>2922</v>
      </c>
      <c r="P6927" s="37" t="s">
        <v>6531</v>
      </c>
      <c r="Q6927" s="36" t="s">
        <v>32259</v>
      </c>
      <c r="R6927" s="36" t="s">
        <v>32260</v>
      </c>
      <c r="S6927" s="36">
        <v>10.0</v>
      </c>
      <c r="T6927" s="83" t="s">
        <v>32261</v>
      </c>
      <c r="U6927" s="312" t="str">
        <f>HYPERLINK("https://www.ncbi.nlm.nih.gov/pubmed/20973736","PubMed")</f>
        <v>PubMed</v>
      </c>
      <c r="V6927" s="139"/>
      <c r="W6927" s="49"/>
      <c r="X6927" s="49"/>
      <c r="Y6927" s="35"/>
      <c r="Z6927" s="35"/>
      <c r="AA6927" s="35"/>
      <c r="AB6927" s="35"/>
      <c r="AC6927" s="35"/>
      <c r="AD6927" s="35"/>
      <c r="AE6927" s="35"/>
      <c r="AF6927" s="35"/>
      <c r="AG6927" s="35"/>
      <c r="AH6927" s="35"/>
      <c r="AI6927" s="35"/>
      <c r="AJ6927" s="35"/>
      <c r="AK6927" s="35"/>
      <c r="AL6927" s="35"/>
    </row>
    <row r="6928">
      <c r="A6928" s="39"/>
      <c r="B6928" s="75" t="s">
        <v>32262</v>
      </c>
      <c r="C6928" s="77" t="s">
        <v>32263</v>
      </c>
      <c r="D6928" s="159"/>
      <c r="E6928" s="57" t="s">
        <v>32264</v>
      </c>
      <c r="F6928" s="22" t="s">
        <v>32265</v>
      </c>
      <c r="G6928" s="57">
        <v>2023.0</v>
      </c>
      <c r="H6928" s="57" t="s">
        <v>32266</v>
      </c>
      <c r="I6928" s="134" t="s">
        <v>32267</v>
      </c>
      <c r="J6928" s="23" t="s">
        <v>32268</v>
      </c>
      <c r="K6928" s="23" t="s">
        <v>32269</v>
      </c>
      <c r="L6928" s="412" t="s">
        <v>13472</v>
      </c>
      <c r="M6928" s="412" t="s">
        <v>32270</v>
      </c>
      <c r="N6928" s="412" t="s">
        <v>32271</v>
      </c>
      <c r="O6928" s="412" t="s">
        <v>32272</v>
      </c>
      <c r="P6928" s="412" t="s">
        <v>32273</v>
      </c>
      <c r="Q6928" s="412" t="s">
        <v>32274</v>
      </c>
      <c r="R6928" s="412" t="s">
        <v>32275</v>
      </c>
      <c r="S6928" s="412" t="s">
        <v>32276</v>
      </c>
      <c r="T6928" s="103" t="s">
        <v>32277</v>
      </c>
      <c r="U6928" s="255" t="s">
        <v>61</v>
      </c>
      <c r="V6928" s="139"/>
      <c r="W6928" s="49"/>
      <c r="X6928" s="49"/>
      <c r="Y6928" s="35"/>
      <c r="Z6928" s="35"/>
      <c r="AA6928" s="35"/>
      <c r="AB6928" s="35"/>
      <c r="AC6928" s="35"/>
      <c r="AD6928" s="35"/>
      <c r="AE6928" s="35"/>
      <c r="AF6928" s="35"/>
      <c r="AG6928" s="35"/>
      <c r="AH6928" s="35"/>
      <c r="AI6928" s="35"/>
      <c r="AJ6928" s="35"/>
      <c r="AK6928" s="35"/>
      <c r="AL6928" s="35"/>
    </row>
    <row r="6929">
      <c r="A6929" s="39"/>
      <c r="B6929" s="157" t="s">
        <v>32262</v>
      </c>
      <c r="C6929" s="158" t="s">
        <v>32263</v>
      </c>
      <c r="D6929" s="159"/>
      <c r="E6929" s="57" t="s">
        <v>1481</v>
      </c>
      <c r="F6929" s="22" t="s">
        <v>6118</v>
      </c>
      <c r="G6929" s="57">
        <v>2022.0</v>
      </c>
      <c r="H6929" s="57" t="s">
        <v>566</v>
      </c>
      <c r="I6929" s="134" t="s">
        <v>32278</v>
      </c>
      <c r="J6929" s="23" t="s">
        <v>32279</v>
      </c>
      <c r="K6929" s="23"/>
      <c r="L6929" s="412" t="s">
        <v>13472</v>
      </c>
      <c r="M6929" s="412" t="s">
        <v>32270</v>
      </c>
      <c r="N6929" s="412" t="s">
        <v>32271</v>
      </c>
      <c r="O6929" s="412" t="s">
        <v>32272</v>
      </c>
      <c r="P6929" s="412" t="s">
        <v>32273</v>
      </c>
      <c r="Q6929" s="412" t="s">
        <v>32274</v>
      </c>
      <c r="R6929" s="412" t="s">
        <v>32275</v>
      </c>
      <c r="S6929" s="412" t="s">
        <v>32276</v>
      </c>
      <c r="T6929" s="247" t="s">
        <v>32280</v>
      </c>
      <c r="U6929" s="255" t="s">
        <v>61</v>
      </c>
      <c r="V6929" s="139"/>
      <c r="W6929" s="49"/>
      <c r="X6929" s="49"/>
      <c r="Y6929" s="35"/>
      <c r="Z6929" s="35"/>
      <c r="AA6929" s="35"/>
      <c r="AB6929" s="35"/>
      <c r="AC6929" s="35"/>
      <c r="AD6929" s="35"/>
      <c r="AE6929" s="35"/>
      <c r="AF6929" s="35"/>
      <c r="AG6929" s="35"/>
      <c r="AH6929" s="35"/>
      <c r="AI6929" s="35"/>
      <c r="AJ6929" s="35"/>
      <c r="AK6929" s="35"/>
      <c r="AL6929" s="35"/>
    </row>
    <row r="6930">
      <c r="A6930" s="39"/>
      <c r="B6930" s="157" t="s">
        <v>32262</v>
      </c>
      <c r="C6930" s="158" t="s">
        <v>3887</v>
      </c>
      <c r="D6930" s="159"/>
      <c r="E6930" s="57" t="s">
        <v>32281</v>
      </c>
      <c r="F6930" s="22" t="s">
        <v>32282</v>
      </c>
      <c r="G6930" s="57">
        <v>2018.0</v>
      </c>
      <c r="H6930" s="57" t="s">
        <v>15946</v>
      </c>
      <c r="I6930" s="134" t="s">
        <v>32283</v>
      </c>
      <c r="J6930" s="23" t="s">
        <v>3887</v>
      </c>
      <c r="K6930" s="23"/>
      <c r="L6930" s="105" t="s">
        <v>32284</v>
      </c>
      <c r="M6930" s="44"/>
      <c r="N6930" s="44"/>
      <c r="O6930" s="44"/>
      <c r="P6930" s="44"/>
      <c r="Q6930" s="44"/>
      <c r="R6930" s="44"/>
      <c r="S6930" s="44"/>
      <c r="T6930" s="45"/>
      <c r="U6930" s="248" t="s">
        <v>61</v>
      </c>
      <c r="V6930" s="139"/>
      <c r="W6930" s="49"/>
      <c r="X6930" s="49"/>
      <c r="Y6930" s="35"/>
      <c r="Z6930" s="35"/>
      <c r="AA6930" s="35"/>
      <c r="AB6930" s="35"/>
      <c r="AC6930" s="35"/>
      <c r="AD6930" s="35"/>
      <c r="AE6930" s="35"/>
      <c r="AF6930" s="35"/>
      <c r="AG6930" s="35"/>
      <c r="AH6930" s="35"/>
      <c r="AI6930" s="35"/>
      <c r="AJ6930" s="35"/>
      <c r="AK6930" s="35"/>
      <c r="AL6930" s="35"/>
    </row>
    <row r="6931">
      <c r="A6931" s="39"/>
      <c r="B6931" s="157" t="s">
        <v>32262</v>
      </c>
      <c r="C6931" s="158" t="s">
        <v>32285</v>
      </c>
      <c r="D6931" s="159"/>
      <c r="E6931" s="57" t="s">
        <v>32286</v>
      </c>
      <c r="F6931" s="22" t="s">
        <v>2152</v>
      </c>
      <c r="G6931" s="57">
        <v>2024.0</v>
      </c>
      <c r="H6931" s="57" t="s">
        <v>32287</v>
      </c>
      <c r="I6931" s="134" t="s">
        <v>32288</v>
      </c>
      <c r="J6931" s="23" t="s">
        <v>32289</v>
      </c>
      <c r="K6931" s="23"/>
      <c r="L6931" s="413" t="s">
        <v>13472</v>
      </c>
      <c r="M6931" s="413" t="s">
        <v>32270</v>
      </c>
      <c r="N6931" s="413" t="s">
        <v>32271</v>
      </c>
      <c r="O6931" s="413" t="s">
        <v>32272</v>
      </c>
      <c r="P6931" s="413" t="s">
        <v>32273</v>
      </c>
      <c r="Q6931" s="413" t="s">
        <v>32274</v>
      </c>
      <c r="R6931" s="413" t="s">
        <v>32275</v>
      </c>
      <c r="S6931" s="413" t="s">
        <v>32276</v>
      </c>
      <c r="T6931" s="237" t="s">
        <v>32290</v>
      </c>
      <c r="U6931" s="255" t="s">
        <v>61</v>
      </c>
      <c r="V6931" s="139"/>
      <c r="W6931" s="49"/>
      <c r="X6931" s="49"/>
      <c r="Y6931" s="35"/>
      <c r="Z6931" s="35"/>
      <c r="AA6931" s="35"/>
      <c r="AB6931" s="35"/>
      <c r="AC6931" s="35"/>
      <c r="AD6931" s="35"/>
      <c r="AE6931" s="35"/>
      <c r="AF6931" s="35"/>
      <c r="AG6931" s="35"/>
      <c r="AH6931" s="35"/>
      <c r="AI6931" s="35"/>
      <c r="AJ6931" s="35"/>
      <c r="AK6931" s="35"/>
      <c r="AL6931" s="35"/>
    </row>
    <row r="6932">
      <c r="A6932" s="39"/>
      <c r="B6932" s="157" t="s">
        <v>32262</v>
      </c>
      <c r="C6932" s="158" t="s">
        <v>32291</v>
      </c>
      <c r="D6932" s="159"/>
      <c r="E6932" s="57" t="s">
        <v>32292</v>
      </c>
      <c r="F6932" s="22" t="s">
        <v>32293</v>
      </c>
      <c r="G6932" s="57">
        <v>2023.0</v>
      </c>
      <c r="H6932" s="57" t="s">
        <v>32294</v>
      </c>
      <c r="I6932" s="134" t="s">
        <v>32295</v>
      </c>
      <c r="J6932" s="23" t="s">
        <v>32289</v>
      </c>
      <c r="K6932" s="23"/>
      <c r="L6932" s="412" t="s">
        <v>13472</v>
      </c>
      <c r="M6932" s="412" t="s">
        <v>32270</v>
      </c>
      <c r="N6932" s="412" t="s">
        <v>32271</v>
      </c>
      <c r="O6932" s="412" t="s">
        <v>32272</v>
      </c>
      <c r="P6932" s="412" t="s">
        <v>32273</v>
      </c>
      <c r="Q6932" s="412" t="s">
        <v>32274</v>
      </c>
      <c r="R6932" s="412" t="s">
        <v>32275</v>
      </c>
      <c r="S6932" s="412" t="s">
        <v>32276</v>
      </c>
      <c r="T6932" s="237" t="s">
        <v>32296</v>
      </c>
      <c r="U6932" s="255" t="s">
        <v>32297</v>
      </c>
      <c r="V6932" s="139"/>
      <c r="W6932" s="49"/>
      <c r="X6932" s="49"/>
      <c r="Y6932" s="35"/>
      <c r="Z6932" s="35"/>
      <c r="AA6932" s="35"/>
      <c r="AB6932" s="35"/>
      <c r="AC6932" s="35"/>
      <c r="AD6932" s="35"/>
      <c r="AE6932" s="35"/>
      <c r="AF6932" s="35"/>
      <c r="AG6932" s="35"/>
      <c r="AH6932" s="35"/>
      <c r="AI6932" s="35"/>
      <c r="AJ6932" s="35"/>
      <c r="AK6932" s="35"/>
      <c r="AL6932" s="35"/>
    </row>
    <row r="6933">
      <c r="A6933" s="39"/>
      <c r="B6933" s="157" t="s">
        <v>32262</v>
      </c>
      <c r="C6933" s="158" t="s">
        <v>32298</v>
      </c>
      <c r="D6933" s="159"/>
      <c r="E6933" s="57" t="s">
        <v>32299</v>
      </c>
      <c r="F6933" s="22" t="s">
        <v>5157</v>
      </c>
      <c r="G6933" s="57">
        <v>2023.0</v>
      </c>
      <c r="H6933" s="57" t="s">
        <v>32300</v>
      </c>
      <c r="I6933" s="134" t="s">
        <v>32301</v>
      </c>
      <c r="J6933" s="23" t="s">
        <v>32302</v>
      </c>
      <c r="K6933" s="23"/>
      <c r="L6933" s="195" t="s">
        <v>32303</v>
      </c>
      <c r="M6933" s="44"/>
      <c r="N6933" s="44"/>
      <c r="O6933" s="44"/>
      <c r="P6933" s="44"/>
      <c r="Q6933" s="44"/>
      <c r="R6933" s="44"/>
      <c r="S6933" s="44"/>
      <c r="T6933" s="45"/>
      <c r="U6933" s="255" t="s">
        <v>61</v>
      </c>
      <c r="V6933" s="139"/>
      <c r="W6933" s="49"/>
      <c r="X6933" s="49"/>
      <c r="Y6933" s="35"/>
      <c r="Z6933" s="35"/>
      <c r="AA6933" s="35"/>
      <c r="AB6933" s="35"/>
      <c r="AC6933" s="35"/>
      <c r="AD6933" s="35"/>
      <c r="AE6933" s="35"/>
      <c r="AF6933" s="35"/>
      <c r="AG6933" s="35"/>
      <c r="AH6933" s="35"/>
      <c r="AI6933" s="35"/>
      <c r="AJ6933" s="35"/>
      <c r="AK6933" s="35"/>
      <c r="AL6933" s="35"/>
    </row>
    <row r="6934">
      <c r="A6934" s="39"/>
      <c r="B6934" s="157" t="s">
        <v>32262</v>
      </c>
      <c r="C6934" s="158" t="s">
        <v>32298</v>
      </c>
      <c r="D6934" s="159"/>
      <c r="E6934" s="57" t="s">
        <v>32304</v>
      </c>
      <c r="F6934" s="22" t="s">
        <v>32305</v>
      </c>
      <c r="G6934" s="57">
        <v>2021.0</v>
      </c>
      <c r="H6934" s="57" t="s">
        <v>32306</v>
      </c>
      <c r="I6934" s="134" t="s">
        <v>32307</v>
      </c>
      <c r="J6934" s="23" t="s">
        <v>32308</v>
      </c>
      <c r="K6934" s="23"/>
      <c r="L6934" s="105" t="s">
        <v>32309</v>
      </c>
      <c r="M6934" s="44"/>
      <c r="N6934" s="44"/>
      <c r="O6934" s="44"/>
      <c r="P6934" s="44"/>
      <c r="Q6934" s="44"/>
      <c r="R6934" s="44"/>
      <c r="S6934" s="44"/>
      <c r="T6934" s="45"/>
      <c r="U6934" s="248" t="s">
        <v>61</v>
      </c>
      <c r="V6934" s="139"/>
      <c r="W6934" s="49"/>
      <c r="X6934" s="49"/>
      <c r="Y6934" s="35"/>
      <c r="Z6934" s="35"/>
      <c r="AA6934" s="35"/>
      <c r="AB6934" s="35"/>
      <c r="AC6934" s="35"/>
      <c r="AD6934" s="35"/>
      <c r="AE6934" s="35"/>
      <c r="AF6934" s="35"/>
      <c r="AG6934" s="35"/>
      <c r="AH6934" s="35"/>
      <c r="AI6934" s="35"/>
      <c r="AJ6934" s="35"/>
      <c r="AK6934" s="35"/>
      <c r="AL6934" s="35"/>
    </row>
    <row r="6935">
      <c r="A6935" s="39"/>
      <c r="B6935" s="157" t="s">
        <v>32262</v>
      </c>
      <c r="C6935" s="158" t="s">
        <v>32298</v>
      </c>
      <c r="D6935" s="159"/>
      <c r="E6935" s="57" t="s">
        <v>32310</v>
      </c>
      <c r="F6935" s="22" t="s">
        <v>2492</v>
      </c>
      <c r="G6935" s="57">
        <v>2020.0</v>
      </c>
      <c r="H6935" s="57" t="s">
        <v>18933</v>
      </c>
      <c r="I6935" s="134" t="s">
        <v>32311</v>
      </c>
      <c r="J6935" s="22" t="s">
        <v>125</v>
      </c>
      <c r="K6935" s="23"/>
      <c r="L6935" s="105" t="s">
        <v>32312</v>
      </c>
      <c r="M6935" s="44"/>
      <c r="N6935" s="44"/>
      <c r="O6935" s="44"/>
      <c r="P6935" s="44"/>
      <c r="Q6935" s="44"/>
      <c r="R6935" s="44"/>
      <c r="S6935" s="44"/>
      <c r="T6935" s="45"/>
      <c r="U6935" s="248" t="s">
        <v>61</v>
      </c>
      <c r="V6935" s="139"/>
      <c r="W6935" s="49"/>
      <c r="X6935" s="49"/>
      <c r="Y6935" s="35"/>
      <c r="Z6935" s="35"/>
      <c r="AA6935" s="35"/>
      <c r="AB6935" s="35"/>
      <c r="AC6935" s="35"/>
      <c r="AD6935" s="35"/>
      <c r="AE6935" s="35"/>
      <c r="AF6935" s="35"/>
      <c r="AG6935" s="35"/>
      <c r="AH6935" s="35"/>
      <c r="AI6935" s="35"/>
      <c r="AJ6935" s="35"/>
      <c r="AK6935" s="35"/>
      <c r="AL6935" s="35"/>
    </row>
    <row r="6936">
      <c r="A6936" s="39"/>
      <c r="B6936" s="157" t="s">
        <v>32262</v>
      </c>
      <c r="C6936" s="158" t="s">
        <v>32298</v>
      </c>
      <c r="D6936" s="159"/>
      <c r="E6936" s="57" t="s">
        <v>32310</v>
      </c>
      <c r="F6936" s="22" t="s">
        <v>2492</v>
      </c>
      <c r="G6936" s="57">
        <v>2018.0</v>
      </c>
      <c r="H6936" s="57" t="s">
        <v>18933</v>
      </c>
      <c r="I6936" s="134" t="s">
        <v>32313</v>
      </c>
      <c r="J6936" s="22" t="s">
        <v>125</v>
      </c>
      <c r="K6936" s="23"/>
      <c r="L6936" s="105" t="s">
        <v>32314</v>
      </c>
      <c r="M6936" s="44"/>
      <c r="N6936" s="44"/>
      <c r="O6936" s="44"/>
      <c r="P6936" s="44"/>
      <c r="Q6936" s="44"/>
      <c r="R6936" s="44"/>
      <c r="S6936" s="44"/>
      <c r="T6936" s="45"/>
      <c r="U6936" s="248" t="s">
        <v>61</v>
      </c>
      <c r="V6936" s="139"/>
      <c r="W6936" s="49"/>
      <c r="X6936" s="49"/>
      <c r="Y6936" s="35"/>
      <c r="Z6936" s="35"/>
      <c r="AA6936" s="35"/>
      <c r="AB6936" s="35"/>
      <c r="AC6936" s="35"/>
      <c r="AD6936" s="35"/>
      <c r="AE6936" s="35"/>
      <c r="AF6936" s="35"/>
      <c r="AG6936" s="35"/>
      <c r="AH6936" s="35"/>
      <c r="AI6936" s="35"/>
      <c r="AJ6936" s="35"/>
      <c r="AK6936" s="35"/>
      <c r="AL6936" s="35"/>
    </row>
    <row r="6937">
      <c r="A6937" s="39"/>
      <c r="B6937" s="157" t="s">
        <v>32262</v>
      </c>
      <c r="C6937" s="158" t="s">
        <v>32298</v>
      </c>
      <c r="D6937" s="159"/>
      <c r="E6937" s="57" t="s">
        <v>32315</v>
      </c>
      <c r="F6937" s="22" t="s">
        <v>32316</v>
      </c>
      <c r="G6937" s="57">
        <v>2017.0</v>
      </c>
      <c r="H6937" s="57" t="s">
        <v>32317</v>
      </c>
      <c r="I6937" s="134" t="s">
        <v>32318</v>
      </c>
      <c r="J6937" s="22" t="s">
        <v>125</v>
      </c>
      <c r="K6937" s="23"/>
      <c r="L6937" s="105" t="s">
        <v>32319</v>
      </c>
      <c r="M6937" s="44"/>
      <c r="N6937" s="44"/>
      <c r="O6937" s="44"/>
      <c r="P6937" s="44"/>
      <c r="Q6937" s="44"/>
      <c r="R6937" s="44"/>
      <c r="S6937" s="44"/>
      <c r="T6937" s="45"/>
      <c r="U6937" s="248" t="s">
        <v>61</v>
      </c>
      <c r="V6937" s="139"/>
      <c r="W6937" s="49"/>
      <c r="X6937" s="49"/>
      <c r="Y6937" s="35"/>
      <c r="Z6937" s="35"/>
      <c r="AA6937" s="35"/>
      <c r="AB6937" s="35"/>
      <c r="AC6937" s="35"/>
      <c r="AD6937" s="35"/>
      <c r="AE6937" s="35"/>
      <c r="AF6937" s="35"/>
      <c r="AG6937" s="35"/>
      <c r="AH6937" s="35"/>
      <c r="AI6937" s="35"/>
      <c r="AJ6937" s="35"/>
      <c r="AK6937" s="35"/>
      <c r="AL6937" s="35"/>
    </row>
    <row r="6938">
      <c r="A6938" s="18" t="s">
        <v>2</v>
      </c>
      <c r="B6938" s="157" t="s">
        <v>32262</v>
      </c>
      <c r="C6938" s="158" t="s">
        <v>32298</v>
      </c>
      <c r="D6938" s="159"/>
      <c r="E6938" s="57" t="s">
        <v>32320</v>
      </c>
      <c r="F6938" s="22" t="s">
        <v>1862</v>
      </c>
      <c r="G6938" s="57">
        <v>2017.0</v>
      </c>
      <c r="H6938" s="57" t="s">
        <v>3950</v>
      </c>
      <c r="I6938" s="134" t="s">
        <v>32321</v>
      </c>
      <c r="J6938" s="22" t="s">
        <v>125</v>
      </c>
      <c r="K6938" s="23"/>
      <c r="L6938" s="105" t="s">
        <v>32322</v>
      </c>
      <c r="M6938" s="44"/>
      <c r="N6938" s="44"/>
      <c r="O6938" s="44"/>
      <c r="P6938" s="44"/>
      <c r="Q6938" s="44"/>
      <c r="R6938" s="44"/>
      <c r="S6938" s="44"/>
      <c r="T6938" s="45"/>
      <c r="U6938" s="248" t="s">
        <v>61</v>
      </c>
      <c r="V6938" s="139"/>
      <c r="W6938" s="49"/>
      <c r="X6938" s="49"/>
      <c r="Y6938" s="35"/>
      <c r="Z6938" s="35"/>
      <c r="AA6938" s="35"/>
      <c r="AB6938" s="35"/>
      <c r="AC6938" s="35"/>
      <c r="AD6938" s="35"/>
      <c r="AE6938" s="35"/>
      <c r="AF6938" s="35"/>
      <c r="AG6938" s="35"/>
      <c r="AH6938" s="35"/>
      <c r="AI6938" s="35"/>
      <c r="AJ6938" s="35"/>
      <c r="AK6938" s="35"/>
      <c r="AL6938" s="35"/>
    </row>
    <row r="6939">
      <c r="A6939" s="39"/>
      <c r="B6939" s="157" t="s">
        <v>32262</v>
      </c>
      <c r="C6939" s="158" t="s">
        <v>32298</v>
      </c>
      <c r="D6939" s="159"/>
      <c r="E6939" s="57" t="s">
        <v>32323</v>
      </c>
      <c r="F6939" s="22" t="s">
        <v>4436</v>
      </c>
      <c r="G6939" s="57">
        <v>2016.0</v>
      </c>
      <c r="H6939" s="57" t="s">
        <v>32324</v>
      </c>
      <c r="I6939" s="134" t="s">
        <v>32325</v>
      </c>
      <c r="J6939" s="23" t="s">
        <v>32326</v>
      </c>
      <c r="K6939" s="23"/>
      <c r="L6939" s="105" t="s">
        <v>32327</v>
      </c>
      <c r="M6939" s="44"/>
      <c r="N6939" s="44"/>
      <c r="O6939" s="44"/>
      <c r="P6939" s="44"/>
      <c r="Q6939" s="44"/>
      <c r="R6939" s="44"/>
      <c r="S6939" s="44"/>
      <c r="T6939" s="45"/>
      <c r="U6939" s="248" t="s">
        <v>61</v>
      </c>
      <c r="V6939" s="139"/>
      <c r="W6939" s="49"/>
      <c r="X6939" s="49"/>
      <c r="Y6939" s="35"/>
      <c r="Z6939" s="35"/>
      <c r="AA6939" s="35"/>
      <c r="AB6939" s="35"/>
      <c r="AC6939" s="35"/>
      <c r="AD6939" s="35"/>
      <c r="AE6939" s="35"/>
      <c r="AF6939" s="35"/>
      <c r="AG6939" s="35"/>
      <c r="AH6939" s="35"/>
      <c r="AI6939" s="35"/>
      <c r="AJ6939" s="35"/>
      <c r="AK6939" s="35"/>
      <c r="AL6939" s="35"/>
    </row>
    <row r="6940">
      <c r="A6940" s="39"/>
      <c r="B6940" s="157" t="s">
        <v>32262</v>
      </c>
      <c r="C6940" s="158" t="s">
        <v>32298</v>
      </c>
      <c r="D6940" s="159"/>
      <c r="E6940" s="57" t="s">
        <v>32310</v>
      </c>
      <c r="F6940" s="22" t="s">
        <v>2492</v>
      </c>
      <c r="G6940" s="57">
        <v>2016.0</v>
      </c>
      <c r="H6940" s="57" t="s">
        <v>18933</v>
      </c>
      <c r="I6940" s="134" t="s">
        <v>32328</v>
      </c>
      <c r="J6940" s="22" t="s">
        <v>125</v>
      </c>
      <c r="K6940" s="23"/>
      <c r="L6940" s="105" t="s">
        <v>32329</v>
      </c>
      <c r="M6940" s="44"/>
      <c r="N6940" s="44"/>
      <c r="O6940" s="44"/>
      <c r="P6940" s="44"/>
      <c r="Q6940" s="44"/>
      <c r="R6940" s="44"/>
      <c r="S6940" s="44"/>
      <c r="T6940" s="45"/>
      <c r="U6940" s="248" t="s">
        <v>61</v>
      </c>
      <c r="V6940" s="139"/>
      <c r="W6940" s="49"/>
      <c r="X6940" s="49"/>
      <c r="Y6940" s="35"/>
      <c r="Z6940" s="35"/>
      <c r="AA6940" s="35"/>
      <c r="AB6940" s="35"/>
      <c r="AC6940" s="35"/>
      <c r="AD6940" s="35"/>
      <c r="AE6940" s="35"/>
      <c r="AF6940" s="35"/>
      <c r="AG6940" s="35"/>
      <c r="AH6940" s="35"/>
      <c r="AI6940" s="35"/>
      <c r="AJ6940" s="35"/>
      <c r="AK6940" s="35"/>
      <c r="AL6940" s="35"/>
    </row>
    <row r="6941">
      <c r="A6941" s="39"/>
      <c r="B6941" s="157" t="s">
        <v>32262</v>
      </c>
      <c r="C6941" s="158" t="s">
        <v>32298</v>
      </c>
      <c r="D6941" s="159"/>
      <c r="E6941" s="57" t="s">
        <v>32330</v>
      </c>
      <c r="F6941" s="22" t="s">
        <v>4606</v>
      </c>
      <c r="G6941" s="57">
        <v>2015.0</v>
      </c>
      <c r="H6941" s="57" t="s">
        <v>32324</v>
      </c>
      <c r="I6941" s="134" t="s">
        <v>32331</v>
      </c>
      <c r="J6941" s="23" t="s">
        <v>32326</v>
      </c>
      <c r="K6941" s="23"/>
      <c r="L6941" s="412" t="s">
        <v>13472</v>
      </c>
      <c r="M6941" s="412" t="s">
        <v>32270</v>
      </c>
      <c r="N6941" s="412" t="s">
        <v>32271</v>
      </c>
      <c r="O6941" s="412" t="s">
        <v>32272</v>
      </c>
      <c r="P6941" s="412" t="s">
        <v>32273</v>
      </c>
      <c r="Q6941" s="412" t="s">
        <v>32274</v>
      </c>
      <c r="R6941" s="412" t="s">
        <v>32275</v>
      </c>
      <c r="S6941" s="412" t="s">
        <v>32276</v>
      </c>
      <c r="T6941" s="137" t="s">
        <v>32332</v>
      </c>
      <c r="U6941" s="248" t="s">
        <v>61</v>
      </c>
      <c r="V6941" s="139"/>
      <c r="W6941" s="49"/>
      <c r="X6941" s="49"/>
      <c r="Y6941" s="35"/>
      <c r="Z6941" s="35"/>
      <c r="AA6941" s="35"/>
      <c r="AB6941" s="35"/>
      <c r="AC6941" s="35"/>
      <c r="AD6941" s="35"/>
      <c r="AE6941" s="35"/>
      <c r="AF6941" s="35"/>
      <c r="AG6941" s="35"/>
      <c r="AH6941" s="35"/>
      <c r="AI6941" s="35"/>
      <c r="AJ6941" s="35"/>
      <c r="AK6941" s="35"/>
      <c r="AL6941" s="35"/>
    </row>
    <row r="6942">
      <c r="A6942" s="39"/>
      <c r="B6942" s="157" t="s">
        <v>32262</v>
      </c>
      <c r="C6942" s="158" t="s">
        <v>32298</v>
      </c>
      <c r="D6942" s="159"/>
      <c r="E6942" s="57" t="s">
        <v>32333</v>
      </c>
      <c r="F6942" s="22" t="s">
        <v>4606</v>
      </c>
      <c r="G6942" s="57">
        <v>2015.0</v>
      </c>
      <c r="H6942" s="57" t="s">
        <v>627</v>
      </c>
      <c r="I6942" s="134" t="s">
        <v>32334</v>
      </c>
      <c r="J6942" s="23" t="s">
        <v>32326</v>
      </c>
      <c r="K6942" s="23"/>
      <c r="L6942" s="412" t="s">
        <v>13472</v>
      </c>
      <c r="M6942" s="412" t="s">
        <v>32270</v>
      </c>
      <c r="N6942" s="412" t="s">
        <v>32271</v>
      </c>
      <c r="O6942" s="412" t="s">
        <v>32272</v>
      </c>
      <c r="P6942" s="412" t="s">
        <v>32273</v>
      </c>
      <c r="Q6942" s="412" t="s">
        <v>32274</v>
      </c>
      <c r="R6942" s="412" t="s">
        <v>32275</v>
      </c>
      <c r="S6942" s="412" t="s">
        <v>32276</v>
      </c>
      <c r="T6942" s="137" t="s">
        <v>32335</v>
      </c>
      <c r="U6942" s="248" t="s">
        <v>61</v>
      </c>
      <c r="V6942" s="139"/>
      <c r="W6942" s="49"/>
      <c r="X6942" s="49"/>
      <c r="Y6942" s="35"/>
      <c r="Z6942" s="35"/>
      <c r="AA6942" s="35"/>
      <c r="AB6942" s="35"/>
      <c r="AC6942" s="35"/>
      <c r="AD6942" s="35"/>
      <c r="AE6942" s="35"/>
      <c r="AF6942" s="35"/>
      <c r="AG6942" s="35"/>
      <c r="AH6942" s="35"/>
      <c r="AI6942" s="35"/>
      <c r="AJ6942" s="35"/>
      <c r="AK6942" s="35"/>
      <c r="AL6942" s="35"/>
    </row>
    <row r="6943">
      <c r="A6943" s="39"/>
      <c r="B6943" s="157" t="s">
        <v>32262</v>
      </c>
      <c r="C6943" s="158" t="s">
        <v>32298</v>
      </c>
      <c r="D6943" s="159"/>
      <c r="E6943" s="57" t="s">
        <v>32310</v>
      </c>
      <c r="F6943" s="22" t="s">
        <v>2492</v>
      </c>
      <c r="G6943" s="57">
        <v>2014.0</v>
      </c>
      <c r="H6943" s="57" t="s">
        <v>2398</v>
      </c>
      <c r="I6943" s="134" t="s">
        <v>32336</v>
      </c>
      <c r="J6943" s="22" t="s">
        <v>125</v>
      </c>
      <c r="K6943" s="23"/>
      <c r="L6943" s="105" t="s">
        <v>32337</v>
      </c>
      <c r="M6943" s="44"/>
      <c r="N6943" s="44"/>
      <c r="O6943" s="44"/>
      <c r="P6943" s="44"/>
      <c r="Q6943" s="44"/>
      <c r="R6943" s="44"/>
      <c r="S6943" s="44"/>
      <c r="T6943" s="45"/>
      <c r="U6943" s="248" t="s">
        <v>61</v>
      </c>
      <c r="V6943" s="139"/>
      <c r="W6943" s="49"/>
      <c r="X6943" s="49"/>
      <c r="Y6943" s="35"/>
      <c r="Z6943" s="35"/>
      <c r="AA6943" s="35"/>
      <c r="AB6943" s="35"/>
      <c r="AC6943" s="35"/>
      <c r="AD6943" s="35"/>
      <c r="AE6943" s="35"/>
      <c r="AF6943" s="35"/>
      <c r="AG6943" s="35"/>
      <c r="AH6943" s="35"/>
      <c r="AI6943" s="35"/>
      <c r="AJ6943" s="35"/>
      <c r="AK6943" s="35"/>
      <c r="AL6943" s="35"/>
    </row>
    <row r="6944">
      <c r="A6944" s="39"/>
      <c r="B6944" s="157" t="s">
        <v>32262</v>
      </c>
      <c r="C6944" s="158" t="s">
        <v>32298</v>
      </c>
      <c r="D6944" s="159"/>
      <c r="E6944" s="57" t="s">
        <v>32310</v>
      </c>
      <c r="F6944" s="22" t="s">
        <v>2492</v>
      </c>
      <c r="G6944" s="57">
        <v>2012.0</v>
      </c>
      <c r="H6944" s="57" t="s">
        <v>32338</v>
      </c>
      <c r="I6944" s="134" t="s">
        <v>32339</v>
      </c>
      <c r="J6944" s="22" t="s">
        <v>125</v>
      </c>
      <c r="K6944" s="23"/>
      <c r="L6944" s="105" t="s">
        <v>32340</v>
      </c>
      <c r="M6944" s="44"/>
      <c r="N6944" s="44"/>
      <c r="O6944" s="44"/>
      <c r="P6944" s="44"/>
      <c r="Q6944" s="44"/>
      <c r="R6944" s="44"/>
      <c r="S6944" s="44"/>
      <c r="T6944" s="45"/>
      <c r="U6944" s="248" t="s">
        <v>61</v>
      </c>
      <c r="V6944" s="139"/>
      <c r="W6944" s="49"/>
      <c r="X6944" s="49"/>
      <c r="Y6944" s="35"/>
      <c r="Z6944" s="35"/>
      <c r="AA6944" s="35"/>
      <c r="AB6944" s="35"/>
      <c r="AC6944" s="35"/>
      <c r="AD6944" s="35"/>
      <c r="AE6944" s="35"/>
      <c r="AF6944" s="35"/>
      <c r="AG6944" s="35"/>
      <c r="AH6944" s="35"/>
      <c r="AI6944" s="35"/>
      <c r="AJ6944" s="35"/>
      <c r="AK6944" s="35"/>
      <c r="AL6944" s="35"/>
    </row>
    <row r="6945">
      <c r="A6945" s="39"/>
      <c r="B6945" s="157" t="s">
        <v>32262</v>
      </c>
      <c r="C6945" s="158" t="s">
        <v>32298</v>
      </c>
      <c r="D6945" s="159"/>
      <c r="E6945" s="57" t="s">
        <v>32330</v>
      </c>
      <c r="F6945" s="22" t="s">
        <v>4606</v>
      </c>
      <c r="G6945" s="57">
        <v>2010.0</v>
      </c>
      <c r="H6945" s="57" t="s">
        <v>32341</v>
      </c>
      <c r="I6945" s="134" t="s">
        <v>32342</v>
      </c>
      <c r="J6945" s="23" t="s">
        <v>32326</v>
      </c>
      <c r="K6945" s="23"/>
      <c r="L6945" s="412" t="s">
        <v>13472</v>
      </c>
      <c r="M6945" s="412" t="s">
        <v>32270</v>
      </c>
      <c r="N6945" s="412" t="s">
        <v>32271</v>
      </c>
      <c r="O6945" s="412" t="s">
        <v>32272</v>
      </c>
      <c r="P6945" s="412" t="s">
        <v>32273</v>
      </c>
      <c r="Q6945" s="412" t="s">
        <v>32274</v>
      </c>
      <c r="R6945" s="412" t="s">
        <v>32275</v>
      </c>
      <c r="S6945" s="412" t="s">
        <v>32276</v>
      </c>
      <c r="T6945" s="137" t="s">
        <v>32343</v>
      </c>
      <c r="U6945" s="248" t="s">
        <v>61</v>
      </c>
      <c r="V6945" s="139"/>
      <c r="W6945" s="49"/>
      <c r="X6945" s="49"/>
      <c r="Y6945" s="35"/>
      <c r="Z6945" s="35"/>
      <c r="AA6945" s="35"/>
      <c r="AB6945" s="35"/>
      <c r="AC6945" s="35"/>
      <c r="AD6945" s="35"/>
      <c r="AE6945" s="35"/>
      <c r="AF6945" s="35"/>
      <c r="AG6945" s="35"/>
      <c r="AH6945" s="35"/>
      <c r="AI6945" s="35"/>
      <c r="AJ6945" s="35"/>
      <c r="AK6945" s="35"/>
      <c r="AL6945" s="35"/>
    </row>
    <row r="6946">
      <c r="A6946" s="39"/>
      <c r="B6946" s="157" t="s">
        <v>32262</v>
      </c>
      <c r="C6946" s="158" t="s">
        <v>32298</v>
      </c>
      <c r="D6946" s="159"/>
      <c r="E6946" s="57" t="s">
        <v>32330</v>
      </c>
      <c r="F6946" s="22" t="s">
        <v>4606</v>
      </c>
      <c r="G6946" s="57">
        <v>2010.0</v>
      </c>
      <c r="H6946" s="57" t="s">
        <v>32344</v>
      </c>
      <c r="I6946" s="134" t="s">
        <v>32345</v>
      </c>
      <c r="J6946" s="23" t="s">
        <v>32326</v>
      </c>
      <c r="K6946" s="23"/>
      <c r="L6946" s="412" t="s">
        <v>13472</v>
      </c>
      <c r="M6946" s="412" t="s">
        <v>32270</v>
      </c>
      <c r="N6946" s="412" t="s">
        <v>32271</v>
      </c>
      <c r="O6946" s="412" t="s">
        <v>32272</v>
      </c>
      <c r="P6946" s="412" t="s">
        <v>32273</v>
      </c>
      <c r="Q6946" s="412" t="s">
        <v>32274</v>
      </c>
      <c r="R6946" s="412" t="s">
        <v>32275</v>
      </c>
      <c r="S6946" s="412" t="s">
        <v>32276</v>
      </c>
      <c r="T6946" s="137" t="s">
        <v>32346</v>
      </c>
      <c r="U6946" s="248" t="s">
        <v>61</v>
      </c>
      <c r="V6946" s="139"/>
      <c r="W6946" s="49"/>
      <c r="X6946" s="49"/>
      <c r="Y6946" s="35"/>
      <c r="Z6946" s="35"/>
      <c r="AA6946" s="35"/>
      <c r="AB6946" s="35"/>
      <c r="AC6946" s="35"/>
      <c r="AD6946" s="35"/>
      <c r="AE6946" s="35"/>
      <c r="AF6946" s="35"/>
      <c r="AG6946" s="35"/>
      <c r="AH6946" s="35"/>
      <c r="AI6946" s="35"/>
      <c r="AJ6946" s="35"/>
      <c r="AK6946" s="35"/>
      <c r="AL6946" s="35"/>
    </row>
    <row r="6947">
      <c r="A6947" s="39"/>
      <c r="B6947" s="157" t="s">
        <v>32262</v>
      </c>
      <c r="C6947" s="158" t="s">
        <v>32298</v>
      </c>
      <c r="D6947" s="159"/>
      <c r="E6947" s="57" t="s">
        <v>32330</v>
      </c>
      <c r="F6947" s="22" t="s">
        <v>4606</v>
      </c>
      <c r="G6947" s="57">
        <v>2008.0</v>
      </c>
      <c r="H6947" s="57" t="s">
        <v>32347</v>
      </c>
      <c r="I6947" s="134" t="s">
        <v>32348</v>
      </c>
      <c r="J6947" s="23" t="s">
        <v>32326</v>
      </c>
      <c r="K6947" s="23"/>
      <c r="L6947" s="412" t="s">
        <v>13472</v>
      </c>
      <c r="M6947" s="412" t="s">
        <v>32270</v>
      </c>
      <c r="N6947" s="412" t="s">
        <v>32271</v>
      </c>
      <c r="O6947" s="412" t="s">
        <v>32272</v>
      </c>
      <c r="P6947" s="412" t="s">
        <v>32273</v>
      </c>
      <c r="Q6947" s="412" t="s">
        <v>32274</v>
      </c>
      <c r="R6947" s="412" t="s">
        <v>32275</v>
      </c>
      <c r="S6947" s="412" t="s">
        <v>32276</v>
      </c>
      <c r="T6947" s="137" t="s">
        <v>32349</v>
      </c>
      <c r="U6947" s="248" t="s">
        <v>61</v>
      </c>
      <c r="V6947" s="139"/>
      <c r="W6947" s="49"/>
      <c r="X6947" s="49"/>
      <c r="Y6947" s="35"/>
      <c r="Z6947" s="35"/>
      <c r="AA6947" s="35"/>
      <c r="AB6947" s="35"/>
      <c r="AC6947" s="35"/>
      <c r="AD6947" s="35"/>
      <c r="AE6947" s="35"/>
      <c r="AF6947" s="35"/>
      <c r="AG6947" s="35"/>
      <c r="AH6947" s="35"/>
      <c r="AI6947" s="35"/>
      <c r="AJ6947" s="35"/>
      <c r="AK6947" s="35"/>
      <c r="AL6947" s="35"/>
    </row>
    <row r="6948">
      <c r="A6948" s="39"/>
      <c r="B6948" s="157" t="s">
        <v>32262</v>
      </c>
      <c r="C6948" s="158" t="s">
        <v>32298</v>
      </c>
      <c r="D6948" s="159"/>
      <c r="E6948" s="57" t="s">
        <v>32330</v>
      </c>
      <c r="F6948" s="22" t="s">
        <v>4606</v>
      </c>
      <c r="G6948" s="57">
        <v>2008.0</v>
      </c>
      <c r="H6948" s="57" t="s">
        <v>32350</v>
      </c>
      <c r="I6948" s="134" t="s">
        <v>32351</v>
      </c>
      <c r="J6948" s="23" t="s">
        <v>32326</v>
      </c>
      <c r="K6948" s="23"/>
      <c r="L6948" s="412" t="s">
        <v>13472</v>
      </c>
      <c r="M6948" s="412" t="s">
        <v>32270</v>
      </c>
      <c r="N6948" s="412" t="s">
        <v>32271</v>
      </c>
      <c r="O6948" s="412" t="s">
        <v>32272</v>
      </c>
      <c r="P6948" s="412" t="s">
        <v>32273</v>
      </c>
      <c r="Q6948" s="412" t="s">
        <v>32274</v>
      </c>
      <c r="R6948" s="412" t="s">
        <v>32275</v>
      </c>
      <c r="S6948" s="412" t="s">
        <v>32276</v>
      </c>
      <c r="T6948" s="137" t="s">
        <v>32352</v>
      </c>
      <c r="U6948" s="248" t="s">
        <v>61</v>
      </c>
      <c r="V6948" s="139"/>
      <c r="W6948" s="49"/>
      <c r="X6948" s="49"/>
      <c r="Y6948" s="35"/>
      <c r="Z6948" s="35"/>
      <c r="AA6948" s="35"/>
      <c r="AB6948" s="35"/>
      <c r="AC6948" s="35"/>
      <c r="AD6948" s="35"/>
      <c r="AE6948" s="35"/>
      <c r="AF6948" s="35"/>
      <c r="AG6948" s="35"/>
      <c r="AH6948" s="35"/>
      <c r="AI6948" s="35"/>
      <c r="AJ6948" s="35"/>
      <c r="AK6948" s="35"/>
      <c r="AL6948" s="35"/>
    </row>
    <row r="6949">
      <c r="A6949" s="39"/>
      <c r="B6949" s="75" t="s">
        <v>32262</v>
      </c>
      <c r="C6949" s="77" t="s">
        <v>32298</v>
      </c>
      <c r="D6949" s="159"/>
      <c r="E6949" s="57" t="s">
        <v>32353</v>
      </c>
      <c r="F6949" s="22" t="s">
        <v>1258</v>
      </c>
      <c r="G6949" s="57">
        <v>2007.0</v>
      </c>
      <c r="H6949" s="57" t="s">
        <v>32354</v>
      </c>
      <c r="I6949" s="134" t="s">
        <v>32355</v>
      </c>
      <c r="J6949" s="23" t="s">
        <v>32356</v>
      </c>
      <c r="K6949" s="23"/>
      <c r="L6949" s="412" t="s">
        <v>13472</v>
      </c>
      <c r="M6949" s="412" t="s">
        <v>32270</v>
      </c>
      <c r="N6949" s="412" t="s">
        <v>32271</v>
      </c>
      <c r="O6949" s="412" t="s">
        <v>32272</v>
      </c>
      <c r="P6949" s="412" t="s">
        <v>32273</v>
      </c>
      <c r="Q6949" s="412" t="s">
        <v>32274</v>
      </c>
      <c r="R6949" s="412" t="s">
        <v>32275</v>
      </c>
      <c r="S6949" s="412" t="s">
        <v>32276</v>
      </c>
      <c r="T6949" s="137" t="s">
        <v>32357</v>
      </c>
      <c r="U6949" s="248" t="s">
        <v>61</v>
      </c>
      <c r="V6949" s="139"/>
      <c r="W6949" s="49"/>
      <c r="X6949" s="49"/>
      <c r="Y6949" s="35"/>
      <c r="Z6949" s="35"/>
      <c r="AA6949" s="35"/>
      <c r="AB6949" s="35"/>
      <c r="AC6949" s="35"/>
      <c r="AD6949" s="35"/>
      <c r="AE6949" s="35"/>
      <c r="AF6949" s="35"/>
      <c r="AG6949" s="35"/>
      <c r="AH6949" s="35"/>
      <c r="AI6949" s="35"/>
      <c r="AJ6949" s="35"/>
      <c r="AK6949" s="35"/>
      <c r="AL6949" s="35"/>
    </row>
    <row r="6950">
      <c r="A6950" s="39"/>
      <c r="B6950" s="157" t="s">
        <v>32262</v>
      </c>
      <c r="C6950" s="158" t="s">
        <v>32298</v>
      </c>
      <c r="D6950" s="159"/>
      <c r="E6950" s="57" t="s">
        <v>32330</v>
      </c>
      <c r="F6950" s="22" t="s">
        <v>4606</v>
      </c>
      <c r="G6950" s="57">
        <v>2007.0</v>
      </c>
      <c r="H6950" s="57" t="s">
        <v>32358</v>
      </c>
      <c r="I6950" s="134" t="s">
        <v>32359</v>
      </c>
      <c r="J6950" s="23" t="s">
        <v>32326</v>
      </c>
      <c r="K6950" s="23"/>
      <c r="L6950" s="412" t="s">
        <v>13472</v>
      </c>
      <c r="M6950" s="412" t="s">
        <v>32270</v>
      </c>
      <c r="N6950" s="412" t="s">
        <v>32271</v>
      </c>
      <c r="O6950" s="412" t="s">
        <v>32272</v>
      </c>
      <c r="P6950" s="412" t="s">
        <v>32273</v>
      </c>
      <c r="Q6950" s="412" t="s">
        <v>32274</v>
      </c>
      <c r="R6950" s="412" t="s">
        <v>32275</v>
      </c>
      <c r="S6950" s="412" t="s">
        <v>32276</v>
      </c>
      <c r="T6950" s="137" t="s">
        <v>32360</v>
      </c>
      <c r="U6950" s="248" t="s">
        <v>61</v>
      </c>
      <c r="V6950" s="139"/>
      <c r="W6950" s="49"/>
      <c r="X6950" s="49"/>
      <c r="Y6950" s="35"/>
      <c r="Z6950" s="35"/>
      <c r="AA6950" s="35"/>
      <c r="AB6950" s="35"/>
      <c r="AC6950" s="35"/>
      <c r="AD6950" s="35"/>
      <c r="AE6950" s="35"/>
      <c r="AF6950" s="35"/>
      <c r="AG6950" s="35"/>
      <c r="AH6950" s="35"/>
      <c r="AI6950" s="35"/>
      <c r="AJ6950" s="35"/>
      <c r="AK6950" s="35"/>
      <c r="AL6950" s="35"/>
    </row>
    <row r="6951">
      <c r="A6951" s="39"/>
      <c r="B6951" s="157" t="s">
        <v>32262</v>
      </c>
      <c r="C6951" s="158" t="s">
        <v>32298</v>
      </c>
      <c r="D6951" s="159"/>
      <c r="E6951" s="57" t="s">
        <v>32361</v>
      </c>
      <c r="F6951" s="22" t="s">
        <v>2492</v>
      </c>
      <c r="G6951" s="57">
        <v>2006.0</v>
      </c>
      <c r="H6951" s="57" t="s">
        <v>18933</v>
      </c>
      <c r="I6951" s="134" t="s">
        <v>32362</v>
      </c>
      <c r="J6951" s="23" t="s">
        <v>32326</v>
      </c>
      <c r="K6951" s="23"/>
      <c r="L6951" s="105" t="s">
        <v>32363</v>
      </c>
      <c r="M6951" s="44"/>
      <c r="N6951" s="44"/>
      <c r="O6951" s="44"/>
      <c r="P6951" s="44"/>
      <c r="Q6951" s="44"/>
      <c r="R6951" s="44"/>
      <c r="S6951" s="44"/>
      <c r="T6951" s="45"/>
      <c r="U6951" s="248" t="s">
        <v>61</v>
      </c>
      <c r="V6951" s="139"/>
      <c r="W6951" s="49"/>
      <c r="X6951" s="49"/>
      <c r="Y6951" s="35"/>
      <c r="Z6951" s="35"/>
      <c r="AA6951" s="35"/>
      <c r="AB6951" s="35"/>
      <c r="AC6951" s="35"/>
      <c r="AD6951" s="35"/>
      <c r="AE6951" s="35"/>
      <c r="AF6951" s="35"/>
      <c r="AG6951" s="35"/>
      <c r="AH6951" s="35"/>
      <c r="AI6951" s="35"/>
      <c r="AJ6951" s="35"/>
      <c r="AK6951" s="35"/>
      <c r="AL6951" s="35"/>
    </row>
    <row r="6952">
      <c r="A6952" s="39"/>
      <c r="B6952" s="75" t="s">
        <v>32262</v>
      </c>
      <c r="C6952" s="158" t="s">
        <v>32364</v>
      </c>
      <c r="D6952" s="159"/>
      <c r="E6952" s="57" t="s">
        <v>307</v>
      </c>
      <c r="F6952" s="22" t="s">
        <v>32365</v>
      </c>
      <c r="G6952" s="57">
        <v>2023.0</v>
      </c>
      <c r="H6952" s="57" t="s">
        <v>32366</v>
      </c>
      <c r="I6952" s="134" t="s">
        <v>32367</v>
      </c>
      <c r="J6952" s="23" t="s">
        <v>32289</v>
      </c>
      <c r="K6952" s="23"/>
      <c r="L6952" s="412" t="s">
        <v>13472</v>
      </c>
      <c r="M6952" s="412" t="s">
        <v>32270</v>
      </c>
      <c r="N6952" s="412" t="s">
        <v>32271</v>
      </c>
      <c r="O6952" s="412" t="s">
        <v>32272</v>
      </c>
      <c r="P6952" s="412" t="s">
        <v>32273</v>
      </c>
      <c r="Q6952" s="412" t="s">
        <v>32274</v>
      </c>
      <c r="R6952" s="412" t="s">
        <v>32275</v>
      </c>
      <c r="S6952" s="412" t="s">
        <v>32276</v>
      </c>
      <c r="T6952" s="137" t="s">
        <v>32368</v>
      </c>
      <c r="U6952" s="255" t="s">
        <v>61</v>
      </c>
      <c r="V6952" s="139"/>
      <c r="W6952" s="49"/>
      <c r="X6952" s="49"/>
      <c r="Y6952" s="35"/>
      <c r="Z6952" s="35"/>
      <c r="AA6952" s="35"/>
      <c r="AB6952" s="35"/>
      <c r="AC6952" s="35"/>
      <c r="AD6952" s="35"/>
      <c r="AE6952" s="35"/>
      <c r="AF6952" s="35"/>
      <c r="AG6952" s="35"/>
      <c r="AH6952" s="35"/>
      <c r="AI6952" s="35"/>
      <c r="AJ6952" s="35"/>
      <c r="AK6952" s="35"/>
      <c r="AL6952" s="35"/>
    </row>
    <row r="6953">
      <c r="A6953" s="39"/>
      <c r="B6953" s="75" t="s">
        <v>32262</v>
      </c>
      <c r="C6953" s="158" t="s">
        <v>32364</v>
      </c>
      <c r="D6953" s="159"/>
      <c r="E6953" s="57" t="s">
        <v>32369</v>
      </c>
      <c r="F6953" s="22" t="s">
        <v>5371</v>
      </c>
      <c r="G6953" s="57">
        <v>2020.0</v>
      </c>
      <c r="H6953" s="57" t="s">
        <v>32370</v>
      </c>
      <c r="I6953" s="134" t="s">
        <v>32371</v>
      </c>
      <c r="J6953" s="23" t="s">
        <v>32289</v>
      </c>
      <c r="K6953" s="23" t="s">
        <v>32372</v>
      </c>
      <c r="L6953" s="412" t="s">
        <v>13472</v>
      </c>
      <c r="M6953" s="412" t="s">
        <v>32270</v>
      </c>
      <c r="N6953" s="412" t="s">
        <v>32271</v>
      </c>
      <c r="O6953" s="412" t="s">
        <v>32272</v>
      </c>
      <c r="P6953" s="412" t="s">
        <v>32273</v>
      </c>
      <c r="Q6953" s="412" t="s">
        <v>32274</v>
      </c>
      <c r="R6953" s="412" t="s">
        <v>32275</v>
      </c>
      <c r="S6953" s="412" t="s">
        <v>32276</v>
      </c>
      <c r="T6953" s="137" t="s">
        <v>32373</v>
      </c>
      <c r="U6953" s="248" t="s">
        <v>61</v>
      </c>
      <c r="V6953" s="139"/>
      <c r="W6953" s="49"/>
      <c r="X6953" s="49"/>
      <c r="Y6953" s="35"/>
      <c r="Z6953" s="35"/>
      <c r="AA6953" s="35"/>
      <c r="AB6953" s="35"/>
      <c r="AC6953" s="35"/>
      <c r="AD6953" s="35"/>
      <c r="AE6953" s="35"/>
      <c r="AF6953" s="35"/>
      <c r="AG6953" s="35"/>
      <c r="AH6953" s="35"/>
      <c r="AI6953" s="35"/>
      <c r="AJ6953" s="35"/>
      <c r="AK6953" s="35"/>
      <c r="AL6953" s="35"/>
    </row>
    <row r="6954">
      <c r="A6954" s="39"/>
      <c r="B6954" s="75" t="s">
        <v>32262</v>
      </c>
      <c r="C6954" s="77" t="s">
        <v>32364</v>
      </c>
      <c r="D6954" s="159"/>
      <c r="E6954" s="57" t="s">
        <v>32374</v>
      </c>
      <c r="F6954" s="22" t="s">
        <v>32375</v>
      </c>
      <c r="G6954" s="57">
        <v>2020.0</v>
      </c>
      <c r="H6954" s="57" t="s">
        <v>32370</v>
      </c>
      <c r="I6954" s="134" t="s">
        <v>32376</v>
      </c>
      <c r="J6954" s="23" t="s">
        <v>32356</v>
      </c>
      <c r="K6954" s="23"/>
      <c r="L6954" s="412" t="s">
        <v>13472</v>
      </c>
      <c r="M6954" s="412" t="s">
        <v>32270</v>
      </c>
      <c r="N6954" s="412" t="s">
        <v>32271</v>
      </c>
      <c r="O6954" s="412" t="s">
        <v>32272</v>
      </c>
      <c r="P6954" s="412" t="s">
        <v>32273</v>
      </c>
      <c r="Q6954" s="412" t="s">
        <v>32274</v>
      </c>
      <c r="R6954" s="412" t="s">
        <v>32275</v>
      </c>
      <c r="S6954" s="412" t="s">
        <v>32276</v>
      </c>
      <c r="T6954" s="54" t="s">
        <v>32377</v>
      </c>
      <c r="U6954" s="248" t="s">
        <v>61</v>
      </c>
      <c r="V6954" s="139"/>
      <c r="W6954" s="49"/>
      <c r="X6954" s="49"/>
      <c r="Y6954" s="35"/>
      <c r="Z6954" s="35"/>
      <c r="AA6954" s="35"/>
      <c r="AB6954" s="35"/>
      <c r="AC6954" s="35"/>
      <c r="AD6954" s="35"/>
      <c r="AE6954" s="35"/>
      <c r="AF6954" s="35"/>
      <c r="AG6954" s="35"/>
      <c r="AH6954" s="35"/>
      <c r="AI6954" s="35"/>
      <c r="AJ6954" s="35"/>
      <c r="AK6954" s="35"/>
      <c r="AL6954" s="35"/>
    </row>
    <row r="6955">
      <c r="A6955" s="39"/>
      <c r="B6955" s="75" t="s">
        <v>32262</v>
      </c>
      <c r="C6955" s="77" t="s">
        <v>32364</v>
      </c>
      <c r="D6955" s="159"/>
      <c r="E6955" s="57" t="s">
        <v>32378</v>
      </c>
      <c r="F6955" s="22" t="s">
        <v>4645</v>
      </c>
      <c r="G6955" s="57">
        <v>2017.0</v>
      </c>
      <c r="H6955" s="57" t="s">
        <v>32379</v>
      </c>
      <c r="I6955" s="134" t="s">
        <v>32380</v>
      </c>
      <c r="J6955" s="23" t="s">
        <v>32356</v>
      </c>
      <c r="K6955" s="23"/>
      <c r="L6955" s="412" t="s">
        <v>13472</v>
      </c>
      <c r="M6955" s="412" t="s">
        <v>32270</v>
      </c>
      <c r="N6955" s="412" t="s">
        <v>32271</v>
      </c>
      <c r="O6955" s="412" t="s">
        <v>32272</v>
      </c>
      <c r="P6955" s="412" t="s">
        <v>32273</v>
      </c>
      <c r="Q6955" s="412" t="s">
        <v>32274</v>
      </c>
      <c r="R6955" s="412" t="s">
        <v>32275</v>
      </c>
      <c r="S6955" s="412" t="s">
        <v>32276</v>
      </c>
      <c r="T6955" s="54" t="s">
        <v>32381</v>
      </c>
      <c r="U6955" s="248" t="s">
        <v>61</v>
      </c>
      <c r="V6955" s="139"/>
      <c r="W6955" s="49"/>
      <c r="X6955" s="49"/>
      <c r="Y6955" s="35"/>
      <c r="Z6955" s="35"/>
      <c r="AA6955" s="35"/>
      <c r="AB6955" s="35"/>
      <c r="AC6955" s="35"/>
      <c r="AD6955" s="35"/>
      <c r="AE6955" s="35"/>
      <c r="AF6955" s="35"/>
      <c r="AG6955" s="35"/>
      <c r="AH6955" s="35"/>
      <c r="AI6955" s="35"/>
      <c r="AJ6955" s="35"/>
      <c r="AK6955" s="35"/>
      <c r="AL6955" s="35"/>
    </row>
    <row r="6956">
      <c r="A6956" s="39"/>
      <c r="B6956" s="75" t="s">
        <v>32262</v>
      </c>
      <c r="C6956" s="77" t="s">
        <v>32364</v>
      </c>
      <c r="D6956" s="159"/>
      <c r="E6956" s="57" t="s">
        <v>32378</v>
      </c>
      <c r="F6956" s="22" t="s">
        <v>4645</v>
      </c>
      <c r="G6956" s="57">
        <v>2017.0</v>
      </c>
      <c r="H6956" s="57" t="s">
        <v>32382</v>
      </c>
      <c r="I6956" s="134" t="s">
        <v>32383</v>
      </c>
      <c r="J6956" s="23" t="s">
        <v>32356</v>
      </c>
      <c r="K6956" s="23"/>
      <c r="L6956" s="412" t="s">
        <v>13472</v>
      </c>
      <c r="M6956" s="412" t="s">
        <v>32270</v>
      </c>
      <c r="N6956" s="412" t="s">
        <v>32271</v>
      </c>
      <c r="O6956" s="412" t="s">
        <v>32272</v>
      </c>
      <c r="P6956" s="412" t="s">
        <v>32273</v>
      </c>
      <c r="Q6956" s="412" t="s">
        <v>32274</v>
      </c>
      <c r="R6956" s="412" t="s">
        <v>32275</v>
      </c>
      <c r="S6956" s="412" t="s">
        <v>32276</v>
      </c>
      <c r="T6956" s="54" t="s">
        <v>32384</v>
      </c>
      <c r="U6956" s="248" t="s">
        <v>61</v>
      </c>
      <c r="V6956" s="139"/>
      <c r="W6956" s="49"/>
      <c r="X6956" s="49"/>
      <c r="Y6956" s="35"/>
      <c r="Z6956" s="35"/>
      <c r="AA6956" s="35"/>
      <c r="AB6956" s="35"/>
      <c r="AC6956" s="35"/>
      <c r="AD6956" s="35"/>
      <c r="AE6956" s="35"/>
      <c r="AF6956" s="35"/>
      <c r="AG6956" s="35"/>
      <c r="AH6956" s="35"/>
      <c r="AI6956" s="35"/>
      <c r="AJ6956" s="35"/>
      <c r="AK6956" s="35"/>
      <c r="AL6956" s="35"/>
    </row>
    <row r="6957">
      <c r="A6957" s="39"/>
      <c r="B6957" s="75" t="s">
        <v>32262</v>
      </c>
      <c r="C6957" s="76" t="s">
        <v>32385</v>
      </c>
      <c r="D6957" s="159"/>
      <c r="E6957" s="57" t="s">
        <v>8523</v>
      </c>
      <c r="F6957" s="22" t="s">
        <v>5157</v>
      </c>
      <c r="G6957" s="57">
        <v>2021.0</v>
      </c>
      <c r="H6957" s="57" t="s">
        <v>3028</v>
      </c>
      <c r="I6957" s="134" t="s">
        <v>32386</v>
      </c>
      <c r="J6957" s="23" t="s">
        <v>32356</v>
      </c>
      <c r="K6957" s="23"/>
      <c r="L6957" s="412" t="s">
        <v>13472</v>
      </c>
      <c r="M6957" s="412" t="s">
        <v>32270</v>
      </c>
      <c r="N6957" s="412" t="s">
        <v>32271</v>
      </c>
      <c r="O6957" s="412" t="s">
        <v>32272</v>
      </c>
      <c r="P6957" s="412" t="s">
        <v>32273</v>
      </c>
      <c r="Q6957" s="412" t="s">
        <v>32274</v>
      </c>
      <c r="R6957" s="412" t="s">
        <v>32275</v>
      </c>
      <c r="S6957" s="412" t="s">
        <v>32276</v>
      </c>
      <c r="T6957" s="54" t="s">
        <v>32387</v>
      </c>
      <c r="U6957" s="248" t="s">
        <v>61</v>
      </c>
      <c r="V6957" s="139"/>
      <c r="W6957" s="49"/>
      <c r="X6957" s="49"/>
      <c r="Y6957" s="35"/>
      <c r="Z6957" s="35"/>
      <c r="AA6957" s="35"/>
      <c r="AB6957" s="35"/>
      <c r="AC6957" s="35"/>
      <c r="AD6957" s="35"/>
      <c r="AE6957" s="35"/>
      <c r="AF6957" s="35"/>
      <c r="AG6957" s="35"/>
      <c r="AH6957" s="35"/>
      <c r="AI6957" s="35"/>
      <c r="AJ6957" s="35"/>
      <c r="AK6957" s="35"/>
      <c r="AL6957" s="35"/>
    </row>
    <row r="6958">
      <c r="A6958" s="39"/>
      <c r="B6958" s="75" t="s">
        <v>32262</v>
      </c>
      <c r="C6958" s="76" t="s">
        <v>32388</v>
      </c>
      <c r="D6958" s="159"/>
      <c r="E6958" s="57" t="s">
        <v>4286</v>
      </c>
      <c r="F6958" s="22" t="s">
        <v>18872</v>
      </c>
      <c r="G6958" s="57">
        <v>2022.0</v>
      </c>
      <c r="H6958" s="57" t="s">
        <v>32389</v>
      </c>
      <c r="I6958" s="134" t="s">
        <v>32390</v>
      </c>
      <c r="J6958" s="23" t="s">
        <v>32289</v>
      </c>
      <c r="K6958" s="23"/>
      <c r="L6958" s="412" t="s">
        <v>13472</v>
      </c>
      <c r="M6958" s="412" t="s">
        <v>32270</v>
      </c>
      <c r="N6958" s="412" t="s">
        <v>32271</v>
      </c>
      <c r="O6958" s="412" t="s">
        <v>32272</v>
      </c>
      <c r="P6958" s="412" t="s">
        <v>32273</v>
      </c>
      <c r="Q6958" s="412" t="s">
        <v>32274</v>
      </c>
      <c r="R6958" s="412" t="s">
        <v>32275</v>
      </c>
      <c r="S6958" s="412" t="s">
        <v>32276</v>
      </c>
      <c r="T6958" s="54" t="s">
        <v>32391</v>
      </c>
      <c r="U6958" s="255" t="s">
        <v>61</v>
      </c>
      <c r="V6958" s="139"/>
      <c r="W6958" s="49"/>
      <c r="X6958" s="49"/>
      <c r="Y6958" s="35"/>
      <c r="Z6958" s="35"/>
      <c r="AA6958" s="35"/>
      <c r="AB6958" s="35"/>
      <c r="AC6958" s="35"/>
      <c r="AD6958" s="35"/>
      <c r="AE6958" s="35"/>
      <c r="AF6958" s="35"/>
      <c r="AG6958" s="35"/>
      <c r="AH6958" s="35"/>
      <c r="AI6958" s="35"/>
      <c r="AJ6958" s="35"/>
      <c r="AK6958" s="35"/>
      <c r="AL6958" s="35"/>
    </row>
    <row r="6959">
      <c r="A6959" s="39"/>
      <c r="B6959" s="75" t="s">
        <v>32262</v>
      </c>
      <c r="C6959" s="76" t="s">
        <v>32388</v>
      </c>
      <c r="D6959" s="159"/>
      <c r="E6959" s="57" t="s">
        <v>32392</v>
      </c>
      <c r="F6959" s="22" t="s">
        <v>20874</v>
      </c>
      <c r="G6959" s="57">
        <v>2022.0</v>
      </c>
      <c r="H6959" s="57" t="s">
        <v>2181</v>
      </c>
      <c r="I6959" s="134" t="s">
        <v>32393</v>
      </c>
      <c r="J6959" s="23" t="s">
        <v>32356</v>
      </c>
      <c r="K6959" s="23"/>
      <c r="L6959" s="412" t="s">
        <v>13472</v>
      </c>
      <c r="M6959" s="412" t="s">
        <v>32270</v>
      </c>
      <c r="N6959" s="412" t="s">
        <v>32271</v>
      </c>
      <c r="O6959" s="412" t="s">
        <v>32272</v>
      </c>
      <c r="P6959" s="412" t="s">
        <v>32273</v>
      </c>
      <c r="Q6959" s="412" t="s">
        <v>32274</v>
      </c>
      <c r="R6959" s="412" t="s">
        <v>32275</v>
      </c>
      <c r="S6959" s="412" t="s">
        <v>32276</v>
      </c>
      <c r="T6959" s="54" t="s">
        <v>32394</v>
      </c>
      <c r="U6959" s="255" t="s">
        <v>61</v>
      </c>
      <c r="V6959" s="139"/>
      <c r="W6959" s="49"/>
      <c r="X6959" s="49"/>
      <c r="Y6959" s="35"/>
      <c r="Z6959" s="35"/>
      <c r="AA6959" s="35"/>
      <c r="AB6959" s="35"/>
      <c r="AC6959" s="35"/>
      <c r="AD6959" s="35"/>
      <c r="AE6959" s="35"/>
      <c r="AF6959" s="35"/>
      <c r="AG6959" s="35"/>
      <c r="AH6959" s="35"/>
      <c r="AI6959" s="35"/>
      <c r="AJ6959" s="35"/>
      <c r="AK6959" s="35"/>
      <c r="AL6959" s="35"/>
    </row>
    <row r="6960">
      <c r="A6960" s="39"/>
      <c r="B6960" s="75" t="s">
        <v>32262</v>
      </c>
      <c r="C6960" s="76" t="s">
        <v>32395</v>
      </c>
      <c r="D6960" s="159"/>
      <c r="E6960" s="57" t="s">
        <v>32396</v>
      </c>
      <c r="F6960" s="22" t="s">
        <v>27867</v>
      </c>
      <c r="G6960" s="57">
        <v>2020.0</v>
      </c>
      <c r="H6960" s="57" t="s">
        <v>32397</v>
      </c>
      <c r="I6960" s="134" t="s">
        <v>32398</v>
      </c>
      <c r="J6960" s="23" t="s">
        <v>32308</v>
      </c>
      <c r="K6960" s="23"/>
      <c r="L6960" s="412" t="s">
        <v>13472</v>
      </c>
      <c r="M6960" s="412" t="s">
        <v>32270</v>
      </c>
      <c r="N6960" s="412" t="s">
        <v>32271</v>
      </c>
      <c r="O6960" s="412" t="s">
        <v>32272</v>
      </c>
      <c r="P6960" s="412" t="s">
        <v>32273</v>
      </c>
      <c r="Q6960" s="412" t="s">
        <v>32274</v>
      </c>
      <c r="R6960" s="412" t="s">
        <v>32275</v>
      </c>
      <c r="S6960" s="412" t="s">
        <v>32276</v>
      </c>
      <c r="T6960" s="54" t="s">
        <v>32399</v>
      </c>
      <c r="U6960" s="248" t="s">
        <v>61</v>
      </c>
      <c r="V6960" s="139"/>
      <c r="W6960" s="49"/>
      <c r="X6960" s="49"/>
      <c r="Y6960" s="35"/>
      <c r="Z6960" s="35"/>
      <c r="AA6960" s="35"/>
      <c r="AB6960" s="35"/>
      <c r="AC6960" s="35"/>
      <c r="AD6960" s="35"/>
      <c r="AE6960" s="35"/>
      <c r="AF6960" s="35"/>
      <c r="AG6960" s="35"/>
      <c r="AH6960" s="35"/>
      <c r="AI6960" s="35"/>
      <c r="AJ6960" s="35"/>
      <c r="AK6960" s="35"/>
      <c r="AL6960" s="35"/>
    </row>
    <row r="6961">
      <c r="A6961" s="39"/>
      <c r="B6961" s="75" t="s">
        <v>32262</v>
      </c>
      <c r="C6961" s="76" t="s">
        <v>32400</v>
      </c>
      <c r="D6961" s="159"/>
      <c r="E6961" s="57" t="s">
        <v>32401</v>
      </c>
      <c r="F6961" s="22" t="s">
        <v>32375</v>
      </c>
      <c r="G6961" s="57">
        <v>2019.0</v>
      </c>
      <c r="H6961" s="57" t="s">
        <v>2181</v>
      </c>
      <c r="I6961" s="134" t="s">
        <v>32402</v>
      </c>
      <c r="J6961" s="23" t="s">
        <v>32289</v>
      </c>
      <c r="K6961" s="23"/>
      <c r="L6961" s="412" t="s">
        <v>13472</v>
      </c>
      <c r="M6961" s="412" t="s">
        <v>32270</v>
      </c>
      <c r="N6961" s="412" t="s">
        <v>32271</v>
      </c>
      <c r="O6961" s="412" t="s">
        <v>32272</v>
      </c>
      <c r="P6961" s="412" t="s">
        <v>32273</v>
      </c>
      <c r="Q6961" s="412" t="s">
        <v>32274</v>
      </c>
      <c r="R6961" s="412" t="s">
        <v>32275</v>
      </c>
      <c r="S6961" s="412" t="s">
        <v>32276</v>
      </c>
      <c r="T6961" s="54" t="s">
        <v>32403</v>
      </c>
      <c r="U6961" s="248" t="s">
        <v>61</v>
      </c>
      <c r="V6961" s="139"/>
      <c r="W6961" s="49"/>
      <c r="X6961" s="49"/>
      <c r="Y6961" s="35"/>
      <c r="Z6961" s="35"/>
      <c r="AA6961" s="35"/>
      <c r="AB6961" s="35"/>
      <c r="AC6961" s="35"/>
      <c r="AD6961" s="35"/>
      <c r="AE6961" s="35"/>
      <c r="AF6961" s="35"/>
      <c r="AG6961" s="35"/>
      <c r="AH6961" s="35"/>
      <c r="AI6961" s="35"/>
      <c r="AJ6961" s="35"/>
      <c r="AK6961" s="35"/>
      <c r="AL6961" s="35"/>
    </row>
    <row r="6962">
      <c r="A6962" s="39"/>
      <c r="B6962" s="75" t="s">
        <v>32262</v>
      </c>
      <c r="C6962" s="76" t="s">
        <v>32404</v>
      </c>
      <c r="D6962" s="159"/>
      <c r="E6962" s="57" t="s">
        <v>32405</v>
      </c>
      <c r="F6962" s="22" t="s">
        <v>32406</v>
      </c>
      <c r="G6962" s="57">
        <v>2021.0</v>
      </c>
      <c r="H6962" s="57" t="s">
        <v>8063</v>
      </c>
      <c r="I6962" s="134" t="s">
        <v>32407</v>
      </c>
      <c r="J6962" s="23" t="s">
        <v>32356</v>
      </c>
      <c r="K6962" s="23"/>
      <c r="L6962" s="412" t="s">
        <v>13472</v>
      </c>
      <c r="M6962" s="412" t="s">
        <v>32270</v>
      </c>
      <c r="N6962" s="412" t="s">
        <v>32271</v>
      </c>
      <c r="O6962" s="412" t="s">
        <v>32272</v>
      </c>
      <c r="P6962" s="412" t="s">
        <v>32273</v>
      </c>
      <c r="Q6962" s="412" t="s">
        <v>32274</v>
      </c>
      <c r="R6962" s="412" t="s">
        <v>32275</v>
      </c>
      <c r="S6962" s="412" t="s">
        <v>32276</v>
      </c>
      <c r="T6962" s="54" t="s">
        <v>32408</v>
      </c>
      <c r="U6962" s="248" t="s">
        <v>61</v>
      </c>
      <c r="V6962" s="139"/>
      <c r="W6962" s="49"/>
      <c r="X6962" s="49"/>
      <c r="Y6962" s="35"/>
      <c r="Z6962" s="35"/>
      <c r="AA6962" s="35"/>
      <c r="AB6962" s="35"/>
      <c r="AC6962" s="35"/>
      <c r="AD6962" s="35"/>
      <c r="AE6962" s="35"/>
      <c r="AF6962" s="35"/>
      <c r="AG6962" s="35"/>
      <c r="AH6962" s="35"/>
      <c r="AI6962" s="35"/>
      <c r="AJ6962" s="35"/>
      <c r="AK6962" s="35"/>
      <c r="AL6962" s="35"/>
    </row>
    <row r="6963">
      <c r="A6963" s="39"/>
      <c r="B6963" s="75" t="s">
        <v>32262</v>
      </c>
      <c r="C6963" s="76" t="s">
        <v>32409</v>
      </c>
      <c r="D6963" s="159"/>
      <c r="E6963" s="57" t="s">
        <v>32410</v>
      </c>
      <c r="F6963" s="22" t="s">
        <v>32411</v>
      </c>
      <c r="G6963" s="57">
        <v>2023.0</v>
      </c>
      <c r="H6963" s="57" t="s">
        <v>32412</v>
      </c>
      <c r="I6963" s="134" t="s">
        <v>32413</v>
      </c>
      <c r="J6963" s="23" t="s">
        <v>32289</v>
      </c>
      <c r="K6963" s="23"/>
      <c r="L6963" s="412" t="s">
        <v>13472</v>
      </c>
      <c r="M6963" s="412" t="s">
        <v>32270</v>
      </c>
      <c r="N6963" s="412" t="s">
        <v>32271</v>
      </c>
      <c r="O6963" s="412" t="s">
        <v>32272</v>
      </c>
      <c r="P6963" s="412" t="s">
        <v>32273</v>
      </c>
      <c r="Q6963" s="412" t="s">
        <v>32274</v>
      </c>
      <c r="R6963" s="412" t="s">
        <v>32275</v>
      </c>
      <c r="S6963" s="412" t="s">
        <v>32276</v>
      </c>
      <c r="T6963" s="54" t="s">
        <v>32414</v>
      </c>
      <c r="U6963" s="255" t="s">
        <v>61</v>
      </c>
      <c r="V6963" s="139"/>
      <c r="W6963" s="49"/>
      <c r="X6963" s="49"/>
      <c r="Y6963" s="35"/>
      <c r="Z6963" s="35"/>
      <c r="AA6963" s="35"/>
      <c r="AB6963" s="35"/>
      <c r="AC6963" s="35"/>
      <c r="AD6963" s="35"/>
      <c r="AE6963" s="35"/>
      <c r="AF6963" s="35"/>
      <c r="AG6963" s="35"/>
      <c r="AH6963" s="35"/>
      <c r="AI6963" s="35"/>
      <c r="AJ6963" s="35"/>
      <c r="AK6963" s="35"/>
      <c r="AL6963" s="35"/>
    </row>
    <row r="6964">
      <c r="A6964" s="39"/>
      <c r="B6964" s="75" t="s">
        <v>32262</v>
      </c>
      <c r="C6964" s="76" t="s">
        <v>32415</v>
      </c>
      <c r="D6964" s="159"/>
      <c r="E6964" s="57" t="s">
        <v>2850</v>
      </c>
      <c r="F6964" s="22" t="s">
        <v>41</v>
      </c>
      <c r="G6964" s="57">
        <v>2023.0</v>
      </c>
      <c r="H6964" s="57" t="s">
        <v>32416</v>
      </c>
      <c r="I6964" s="134" t="s">
        <v>32417</v>
      </c>
      <c r="J6964" s="23" t="s">
        <v>32289</v>
      </c>
      <c r="K6964" s="23"/>
      <c r="L6964" s="412" t="s">
        <v>13472</v>
      </c>
      <c r="M6964" s="412" t="s">
        <v>32270</v>
      </c>
      <c r="N6964" s="412" t="s">
        <v>32271</v>
      </c>
      <c r="O6964" s="412" t="s">
        <v>32272</v>
      </c>
      <c r="P6964" s="412" t="s">
        <v>32273</v>
      </c>
      <c r="Q6964" s="412" t="s">
        <v>32274</v>
      </c>
      <c r="R6964" s="412" t="s">
        <v>32275</v>
      </c>
      <c r="S6964" s="412" t="s">
        <v>32276</v>
      </c>
      <c r="T6964" s="54" t="s">
        <v>32418</v>
      </c>
      <c r="U6964" s="255" t="s">
        <v>61</v>
      </c>
      <c r="V6964" s="139"/>
      <c r="W6964" s="49"/>
      <c r="X6964" s="49"/>
      <c r="Y6964" s="35"/>
      <c r="Z6964" s="35"/>
      <c r="AA6964" s="35"/>
      <c r="AB6964" s="35"/>
      <c r="AC6964" s="35"/>
      <c r="AD6964" s="35"/>
      <c r="AE6964" s="35"/>
      <c r="AF6964" s="35"/>
      <c r="AG6964" s="35"/>
      <c r="AH6964" s="35"/>
      <c r="AI6964" s="35"/>
      <c r="AJ6964" s="35"/>
      <c r="AK6964" s="35"/>
      <c r="AL6964" s="35"/>
    </row>
    <row r="6965">
      <c r="A6965" s="39"/>
      <c r="B6965" s="75" t="s">
        <v>32262</v>
      </c>
      <c r="C6965" s="77" t="s">
        <v>32419</v>
      </c>
      <c r="D6965" s="159"/>
      <c r="E6965" s="57" t="s">
        <v>32420</v>
      </c>
      <c r="F6965" s="57" t="s">
        <v>32421</v>
      </c>
      <c r="G6965" s="57">
        <v>2024.0</v>
      </c>
      <c r="H6965" s="57" t="s">
        <v>32422</v>
      </c>
      <c r="I6965" s="134" t="s">
        <v>32423</v>
      </c>
      <c r="J6965" s="23" t="s">
        <v>32326</v>
      </c>
      <c r="K6965" s="23"/>
      <c r="L6965" s="412" t="s">
        <v>13472</v>
      </c>
      <c r="M6965" s="412" t="s">
        <v>32270</v>
      </c>
      <c r="N6965" s="412" t="s">
        <v>32271</v>
      </c>
      <c r="O6965" s="412" t="s">
        <v>32272</v>
      </c>
      <c r="P6965" s="412" t="s">
        <v>32273</v>
      </c>
      <c r="Q6965" s="412" t="s">
        <v>32274</v>
      </c>
      <c r="R6965" s="412" t="s">
        <v>32275</v>
      </c>
      <c r="S6965" s="412" t="s">
        <v>32276</v>
      </c>
      <c r="T6965" s="54" t="s">
        <v>32424</v>
      </c>
      <c r="U6965" s="255" t="s">
        <v>61</v>
      </c>
      <c r="V6965" s="139"/>
      <c r="W6965" s="49"/>
      <c r="X6965" s="49"/>
      <c r="Y6965" s="35"/>
      <c r="Z6965" s="35"/>
      <c r="AA6965" s="35"/>
      <c r="AB6965" s="35"/>
      <c r="AC6965" s="35"/>
      <c r="AD6965" s="35"/>
      <c r="AE6965" s="35"/>
      <c r="AF6965" s="35"/>
      <c r="AG6965" s="35"/>
      <c r="AH6965" s="35"/>
      <c r="AI6965" s="35"/>
      <c r="AJ6965" s="35"/>
      <c r="AK6965" s="35"/>
      <c r="AL6965" s="35"/>
    </row>
    <row r="6966">
      <c r="A6966" s="39"/>
      <c r="B6966" s="75" t="s">
        <v>32262</v>
      </c>
      <c r="C6966" s="77" t="s">
        <v>32419</v>
      </c>
      <c r="D6966" s="159"/>
      <c r="E6966" s="57" t="s">
        <v>2195</v>
      </c>
      <c r="F6966" s="57" t="s">
        <v>224</v>
      </c>
      <c r="G6966" s="57">
        <v>2022.0</v>
      </c>
      <c r="H6966" s="57" t="s">
        <v>1701</v>
      </c>
      <c r="I6966" s="134" t="s">
        <v>32425</v>
      </c>
      <c r="J6966" s="23" t="s">
        <v>32289</v>
      </c>
      <c r="K6966" s="23"/>
      <c r="L6966" s="412" t="s">
        <v>13472</v>
      </c>
      <c r="M6966" s="412" t="s">
        <v>32270</v>
      </c>
      <c r="N6966" s="412" t="s">
        <v>32271</v>
      </c>
      <c r="O6966" s="412" t="s">
        <v>32272</v>
      </c>
      <c r="P6966" s="412" t="s">
        <v>32273</v>
      </c>
      <c r="Q6966" s="412" t="s">
        <v>32274</v>
      </c>
      <c r="R6966" s="412" t="s">
        <v>32275</v>
      </c>
      <c r="S6966" s="412" t="s">
        <v>32276</v>
      </c>
      <c r="T6966" s="54" t="s">
        <v>32426</v>
      </c>
      <c r="U6966" s="248" t="s">
        <v>61</v>
      </c>
      <c r="V6966" s="139"/>
      <c r="W6966" s="49"/>
      <c r="X6966" s="49"/>
      <c r="Y6966" s="35"/>
      <c r="Z6966" s="35"/>
      <c r="AA6966" s="35"/>
      <c r="AB6966" s="35"/>
      <c r="AC6966" s="35"/>
      <c r="AD6966" s="35"/>
      <c r="AE6966" s="35"/>
      <c r="AF6966" s="35"/>
      <c r="AG6966" s="35"/>
      <c r="AH6966" s="35"/>
      <c r="AI6966" s="35"/>
      <c r="AJ6966" s="35"/>
      <c r="AK6966" s="35"/>
      <c r="AL6966" s="35"/>
    </row>
    <row r="6967">
      <c r="A6967" s="39"/>
      <c r="B6967" s="75" t="s">
        <v>32262</v>
      </c>
      <c r="C6967" s="77" t="s">
        <v>32419</v>
      </c>
      <c r="D6967" s="159"/>
      <c r="E6967" s="57" t="s">
        <v>1767</v>
      </c>
      <c r="F6967" s="22" t="s">
        <v>2175</v>
      </c>
      <c r="G6967" s="57">
        <v>2020.0</v>
      </c>
      <c r="H6967" s="57" t="s">
        <v>32287</v>
      </c>
      <c r="I6967" s="134" t="s">
        <v>32427</v>
      </c>
      <c r="J6967" s="23" t="s">
        <v>32326</v>
      </c>
      <c r="K6967" s="23"/>
      <c r="L6967" s="412" t="s">
        <v>13472</v>
      </c>
      <c r="M6967" s="412" t="s">
        <v>32270</v>
      </c>
      <c r="N6967" s="412" t="s">
        <v>32271</v>
      </c>
      <c r="O6967" s="412" t="s">
        <v>32272</v>
      </c>
      <c r="P6967" s="412" t="s">
        <v>32273</v>
      </c>
      <c r="Q6967" s="412" t="s">
        <v>32274</v>
      </c>
      <c r="R6967" s="412" t="s">
        <v>32275</v>
      </c>
      <c r="S6967" s="412" t="s">
        <v>32276</v>
      </c>
      <c r="T6967" s="54" t="s">
        <v>32428</v>
      </c>
      <c r="U6967" s="248" t="s">
        <v>61</v>
      </c>
      <c r="V6967" s="139"/>
      <c r="W6967" s="49"/>
      <c r="X6967" s="49"/>
      <c r="Y6967" s="35"/>
      <c r="Z6967" s="35"/>
      <c r="AA6967" s="35"/>
      <c r="AB6967" s="35"/>
      <c r="AC6967" s="35"/>
      <c r="AD6967" s="35"/>
      <c r="AE6967" s="35"/>
      <c r="AF6967" s="35"/>
      <c r="AG6967" s="35"/>
      <c r="AH6967" s="35"/>
      <c r="AI6967" s="35"/>
      <c r="AJ6967" s="35"/>
      <c r="AK6967" s="35"/>
      <c r="AL6967" s="35"/>
    </row>
    <row r="6968">
      <c r="A6968" s="39"/>
      <c r="B6968" s="75" t="s">
        <v>32262</v>
      </c>
      <c r="C6968" s="77" t="s">
        <v>32419</v>
      </c>
      <c r="D6968" s="159"/>
      <c r="E6968" s="57" t="s">
        <v>32429</v>
      </c>
      <c r="F6968" s="22" t="s">
        <v>32430</v>
      </c>
      <c r="G6968" s="57">
        <v>2020.0</v>
      </c>
      <c r="H6968" s="57" t="s">
        <v>32431</v>
      </c>
      <c r="I6968" s="134" t="s">
        <v>32432</v>
      </c>
      <c r="J6968" s="23" t="s">
        <v>32326</v>
      </c>
      <c r="K6968" s="23"/>
      <c r="L6968" s="412" t="s">
        <v>13472</v>
      </c>
      <c r="M6968" s="412" t="s">
        <v>32270</v>
      </c>
      <c r="N6968" s="412" t="s">
        <v>32271</v>
      </c>
      <c r="O6968" s="412" t="s">
        <v>32272</v>
      </c>
      <c r="P6968" s="412" t="s">
        <v>32273</v>
      </c>
      <c r="Q6968" s="412" t="s">
        <v>32274</v>
      </c>
      <c r="R6968" s="412" t="s">
        <v>32275</v>
      </c>
      <c r="S6968" s="412" t="s">
        <v>32276</v>
      </c>
      <c r="T6968" s="54" t="s">
        <v>32433</v>
      </c>
      <c r="U6968" s="248" t="s">
        <v>61</v>
      </c>
      <c r="V6968" s="139"/>
      <c r="W6968" s="49"/>
      <c r="X6968" s="49"/>
      <c r="Y6968" s="35"/>
      <c r="Z6968" s="35"/>
      <c r="AA6968" s="35"/>
      <c r="AB6968" s="35"/>
      <c r="AC6968" s="35"/>
      <c r="AD6968" s="35"/>
      <c r="AE6968" s="35"/>
      <c r="AF6968" s="35"/>
      <c r="AG6968" s="35"/>
      <c r="AH6968" s="35"/>
      <c r="AI6968" s="35"/>
      <c r="AJ6968" s="35"/>
      <c r="AK6968" s="35"/>
      <c r="AL6968" s="35"/>
    </row>
    <row r="6969">
      <c r="A6969" s="39"/>
      <c r="B6969" s="157" t="s">
        <v>32262</v>
      </c>
      <c r="C6969" s="158" t="s">
        <v>32419</v>
      </c>
      <c r="D6969" s="159"/>
      <c r="E6969" s="57" t="s">
        <v>32434</v>
      </c>
      <c r="F6969" s="22" t="s">
        <v>2161</v>
      </c>
      <c r="G6969" s="57">
        <v>2009.0</v>
      </c>
      <c r="H6969" s="57" t="s">
        <v>32435</v>
      </c>
      <c r="I6969" s="134" t="s">
        <v>32436</v>
      </c>
      <c r="J6969" s="23" t="s">
        <v>32326</v>
      </c>
      <c r="K6969" s="23"/>
      <c r="L6969" s="412" t="s">
        <v>13472</v>
      </c>
      <c r="M6969" s="412" t="s">
        <v>32270</v>
      </c>
      <c r="N6969" s="412" t="s">
        <v>32271</v>
      </c>
      <c r="O6969" s="412" t="s">
        <v>32272</v>
      </c>
      <c r="P6969" s="412" t="s">
        <v>32273</v>
      </c>
      <c r="Q6969" s="412" t="s">
        <v>32274</v>
      </c>
      <c r="R6969" s="412" t="s">
        <v>32275</v>
      </c>
      <c r="S6969" s="412" t="s">
        <v>32276</v>
      </c>
      <c r="T6969" s="54" t="s">
        <v>32437</v>
      </c>
      <c r="U6969" s="248" t="s">
        <v>61</v>
      </c>
      <c r="V6969" s="139"/>
      <c r="W6969" s="49"/>
      <c r="X6969" s="49"/>
      <c r="Y6969" s="35"/>
      <c r="Z6969" s="35"/>
      <c r="AA6969" s="35"/>
      <c r="AB6969" s="35"/>
      <c r="AC6969" s="35"/>
      <c r="AD6969" s="35"/>
      <c r="AE6969" s="35"/>
      <c r="AF6969" s="35"/>
      <c r="AG6969" s="35"/>
      <c r="AH6969" s="35"/>
      <c r="AI6969" s="35"/>
      <c r="AJ6969" s="35"/>
      <c r="AK6969" s="35"/>
      <c r="AL6969" s="35"/>
    </row>
    <row r="6970">
      <c r="A6970" s="39"/>
      <c r="B6970" s="157" t="s">
        <v>32262</v>
      </c>
      <c r="C6970" s="158" t="s">
        <v>32438</v>
      </c>
      <c r="D6970" s="159"/>
      <c r="E6970" s="57" t="s">
        <v>32439</v>
      </c>
      <c r="F6970" s="22" t="s">
        <v>17514</v>
      </c>
      <c r="G6970" s="57">
        <v>1996.0</v>
      </c>
      <c r="H6970" s="57" t="s">
        <v>32440</v>
      </c>
      <c r="I6970" s="134" t="s">
        <v>32441</v>
      </c>
      <c r="J6970" s="23" t="s">
        <v>32326</v>
      </c>
      <c r="K6970" s="23"/>
      <c r="L6970" s="412" t="s">
        <v>32272</v>
      </c>
      <c r="M6970" s="412" t="s">
        <v>16</v>
      </c>
      <c r="N6970" s="412" t="s">
        <v>32276</v>
      </c>
      <c r="O6970" s="412" t="s">
        <v>32273</v>
      </c>
      <c r="P6970" s="412" t="s">
        <v>32276</v>
      </c>
      <c r="Q6970" s="412" t="s">
        <v>32270</v>
      </c>
      <c r="R6970" s="412" t="s">
        <v>32442</v>
      </c>
      <c r="S6970" s="412" t="s">
        <v>32443</v>
      </c>
      <c r="T6970" s="54" t="s">
        <v>32444</v>
      </c>
      <c r="U6970" s="248" t="s">
        <v>61</v>
      </c>
      <c r="V6970" s="139"/>
      <c r="W6970" s="49"/>
      <c r="X6970" s="49"/>
      <c r="Y6970" s="35"/>
      <c r="Z6970" s="35"/>
      <c r="AA6970" s="35"/>
      <c r="AB6970" s="35"/>
      <c r="AC6970" s="35"/>
      <c r="AD6970" s="35"/>
      <c r="AE6970" s="35"/>
      <c r="AF6970" s="35"/>
      <c r="AG6970" s="35"/>
      <c r="AH6970" s="35"/>
      <c r="AI6970" s="35"/>
      <c r="AJ6970" s="35"/>
      <c r="AK6970" s="35"/>
      <c r="AL6970" s="35"/>
    </row>
    <row r="6971">
      <c r="A6971" s="39"/>
      <c r="B6971" s="157" t="s">
        <v>32262</v>
      </c>
      <c r="C6971" s="158" t="s">
        <v>32445</v>
      </c>
      <c r="D6971" s="159"/>
      <c r="E6971" s="57" t="s">
        <v>2668</v>
      </c>
      <c r="F6971" s="22" t="s">
        <v>299</v>
      </c>
      <c r="G6971" s="57">
        <v>2019.0</v>
      </c>
      <c r="H6971" s="57" t="s">
        <v>2181</v>
      </c>
      <c r="I6971" s="134" t="s">
        <v>32446</v>
      </c>
      <c r="J6971" s="23" t="s">
        <v>32356</v>
      </c>
      <c r="K6971" s="23"/>
      <c r="L6971" s="412" t="s">
        <v>13472</v>
      </c>
      <c r="M6971" s="412" t="s">
        <v>32270</v>
      </c>
      <c r="N6971" s="412" t="s">
        <v>32271</v>
      </c>
      <c r="O6971" s="412" t="s">
        <v>32272</v>
      </c>
      <c r="P6971" s="412" t="s">
        <v>32273</v>
      </c>
      <c r="Q6971" s="412" t="s">
        <v>32274</v>
      </c>
      <c r="R6971" s="412" t="s">
        <v>32275</v>
      </c>
      <c r="S6971" s="412" t="s">
        <v>32276</v>
      </c>
      <c r="T6971" s="54" t="s">
        <v>32447</v>
      </c>
      <c r="U6971" s="248" t="s">
        <v>61</v>
      </c>
      <c r="V6971" s="139"/>
      <c r="W6971" s="49"/>
      <c r="X6971" s="49"/>
      <c r="Y6971" s="35"/>
      <c r="Z6971" s="35"/>
      <c r="AA6971" s="35"/>
      <c r="AB6971" s="35"/>
      <c r="AC6971" s="35"/>
      <c r="AD6971" s="35"/>
      <c r="AE6971" s="35"/>
      <c r="AF6971" s="35"/>
      <c r="AG6971" s="35"/>
      <c r="AH6971" s="35"/>
      <c r="AI6971" s="35"/>
      <c r="AJ6971" s="35"/>
      <c r="AK6971" s="35"/>
      <c r="AL6971" s="35"/>
    </row>
    <row r="6972">
      <c r="A6972" s="39"/>
      <c r="B6972" s="157" t="s">
        <v>32262</v>
      </c>
      <c r="C6972" s="158" t="s">
        <v>32448</v>
      </c>
      <c r="D6972" s="159"/>
      <c r="E6972" s="57" t="s">
        <v>626</v>
      </c>
      <c r="F6972" s="22" t="s">
        <v>4209</v>
      </c>
      <c r="G6972" s="57">
        <v>2023.0</v>
      </c>
      <c r="H6972" s="57" t="s">
        <v>32449</v>
      </c>
      <c r="I6972" s="134" t="s">
        <v>32450</v>
      </c>
      <c r="J6972" s="23" t="s">
        <v>32289</v>
      </c>
      <c r="K6972" s="23"/>
      <c r="L6972" s="412" t="s">
        <v>13472</v>
      </c>
      <c r="M6972" s="412" t="s">
        <v>32270</v>
      </c>
      <c r="N6972" s="412" t="s">
        <v>32271</v>
      </c>
      <c r="O6972" s="412" t="s">
        <v>32272</v>
      </c>
      <c r="P6972" s="412" t="s">
        <v>32273</v>
      </c>
      <c r="Q6972" s="412" t="s">
        <v>32274</v>
      </c>
      <c r="R6972" s="412" t="s">
        <v>32275</v>
      </c>
      <c r="S6972" s="412" t="s">
        <v>32276</v>
      </c>
      <c r="T6972" s="54" t="s">
        <v>32451</v>
      </c>
      <c r="U6972" s="255" t="s">
        <v>32452</v>
      </c>
      <c r="V6972" s="139"/>
      <c r="W6972" s="49"/>
      <c r="X6972" s="49"/>
      <c r="Y6972" s="35"/>
      <c r="Z6972" s="35"/>
      <c r="AA6972" s="35"/>
      <c r="AB6972" s="35"/>
      <c r="AC6972" s="35"/>
      <c r="AD6972" s="35"/>
      <c r="AE6972" s="35"/>
      <c r="AF6972" s="35"/>
      <c r="AG6972" s="35"/>
      <c r="AH6972" s="35"/>
      <c r="AI6972" s="35"/>
      <c r="AJ6972" s="35"/>
      <c r="AK6972" s="35"/>
      <c r="AL6972" s="35"/>
    </row>
    <row r="6973" ht="28.5" customHeight="1">
      <c r="A6973" s="39"/>
      <c r="B6973" s="157" t="s">
        <v>32262</v>
      </c>
      <c r="C6973" s="158" t="s">
        <v>32453</v>
      </c>
      <c r="D6973" s="159"/>
      <c r="E6973" s="57" t="s">
        <v>32454</v>
      </c>
      <c r="F6973" s="22" t="s">
        <v>4697</v>
      </c>
      <c r="G6973" s="57">
        <v>2024.0</v>
      </c>
      <c r="H6973" s="57" t="s">
        <v>32455</v>
      </c>
      <c r="I6973" s="134" t="s">
        <v>32456</v>
      </c>
      <c r="J6973" s="23" t="s">
        <v>32457</v>
      </c>
      <c r="K6973" s="23"/>
      <c r="L6973" s="412" t="s">
        <v>13472</v>
      </c>
      <c r="M6973" s="412" t="s">
        <v>32270</v>
      </c>
      <c r="N6973" s="412" t="s">
        <v>32271</v>
      </c>
      <c r="O6973" s="412" t="s">
        <v>32272</v>
      </c>
      <c r="P6973" s="412" t="s">
        <v>32273</v>
      </c>
      <c r="Q6973" s="412" t="s">
        <v>32274</v>
      </c>
      <c r="R6973" s="412" t="s">
        <v>32275</v>
      </c>
      <c r="S6973" s="412" t="s">
        <v>32276</v>
      </c>
      <c r="T6973" s="102" t="s">
        <v>32458</v>
      </c>
      <c r="U6973" s="255" t="s">
        <v>61</v>
      </c>
      <c r="V6973" s="139"/>
      <c r="W6973" s="49"/>
      <c r="X6973" s="49"/>
      <c r="Y6973" s="35"/>
      <c r="Z6973" s="35"/>
      <c r="AA6973" s="35"/>
      <c r="AB6973" s="35"/>
      <c r="AC6973" s="35"/>
      <c r="AD6973" s="35"/>
      <c r="AE6973" s="35"/>
      <c r="AF6973" s="35"/>
      <c r="AG6973" s="35"/>
      <c r="AH6973" s="35"/>
      <c r="AI6973" s="35"/>
      <c r="AJ6973" s="35"/>
      <c r="AK6973" s="35"/>
      <c r="AL6973" s="35"/>
    </row>
    <row r="6974">
      <c r="A6974" s="39"/>
      <c r="B6974" s="157" t="s">
        <v>32262</v>
      </c>
      <c r="C6974" s="158" t="s">
        <v>32453</v>
      </c>
      <c r="D6974" s="159"/>
      <c r="E6974" s="57" t="s">
        <v>32459</v>
      </c>
      <c r="F6974" s="22" t="s">
        <v>32460</v>
      </c>
      <c r="G6974" s="57">
        <v>2020.0</v>
      </c>
      <c r="H6974" s="57" t="s">
        <v>32461</v>
      </c>
      <c r="I6974" s="134" t="s">
        <v>32462</v>
      </c>
      <c r="J6974" s="23" t="s">
        <v>32289</v>
      </c>
      <c r="K6974" s="23"/>
      <c r="L6974" s="412" t="s">
        <v>13472</v>
      </c>
      <c r="M6974" s="412" t="s">
        <v>32270</v>
      </c>
      <c r="N6974" s="412" t="s">
        <v>32271</v>
      </c>
      <c r="O6974" s="412" t="s">
        <v>32272</v>
      </c>
      <c r="P6974" s="412" t="s">
        <v>32273</v>
      </c>
      <c r="Q6974" s="412" t="s">
        <v>32274</v>
      </c>
      <c r="R6974" s="412" t="s">
        <v>32275</v>
      </c>
      <c r="S6974" s="412" t="s">
        <v>32276</v>
      </c>
      <c r="T6974" s="54" t="s">
        <v>32463</v>
      </c>
      <c r="U6974" s="248" t="s">
        <v>61</v>
      </c>
      <c r="V6974" s="139"/>
      <c r="W6974" s="49"/>
      <c r="X6974" s="49"/>
      <c r="Y6974" s="35"/>
      <c r="Z6974" s="35"/>
      <c r="AA6974" s="35"/>
      <c r="AB6974" s="35"/>
      <c r="AC6974" s="35"/>
      <c r="AD6974" s="35"/>
      <c r="AE6974" s="35"/>
      <c r="AF6974" s="35"/>
      <c r="AG6974" s="35"/>
      <c r="AH6974" s="35"/>
      <c r="AI6974" s="35"/>
      <c r="AJ6974" s="35"/>
      <c r="AK6974" s="35"/>
      <c r="AL6974" s="35"/>
    </row>
    <row r="6975">
      <c r="A6975" s="39"/>
      <c r="B6975" s="157" t="s">
        <v>32262</v>
      </c>
      <c r="C6975" s="158" t="s">
        <v>32453</v>
      </c>
      <c r="D6975" s="159"/>
      <c r="E6975" s="57" t="s">
        <v>32464</v>
      </c>
      <c r="F6975" s="22" t="s">
        <v>32460</v>
      </c>
      <c r="G6975" s="57">
        <v>2019.0</v>
      </c>
      <c r="H6975" s="57" t="s">
        <v>32465</v>
      </c>
      <c r="I6975" s="134" t="s">
        <v>32466</v>
      </c>
      <c r="J6975" s="23" t="s">
        <v>32289</v>
      </c>
      <c r="K6975" s="23"/>
      <c r="L6975" s="412" t="s">
        <v>13472</v>
      </c>
      <c r="M6975" s="412" t="s">
        <v>32270</v>
      </c>
      <c r="N6975" s="412" t="s">
        <v>32271</v>
      </c>
      <c r="O6975" s="412" t="s">
        <v>32272</v>
      </c>
      <c r="P6975" s="412" t="s">
        <v>32273</v>
      </c>
      <c r="Q6975" s="412" t="s">
        <v>32274</v>
      </c>
      <c r="R6975" s="412" t="s">
        <v>32275</v>
      </c>
      <c r="S6975" s="412" t="s">
        <v>32276</v>
      </c>
      <c r="T6975" s="54" t="s">
        <v>32467</v>
      </c>
      <c r="U6975" s="248" t="s">
        <v>61</v>
      </c>
      <c r="V6975" s="139"/>
      <c r="W6975" s="49"/>
      <c r="X6975" s="49"/>
      <c r="Y6975" s="35"/>
      <c r="Z6975" s="35"/>
      <c r="AA6975" s="35"/>
      <c r="AB6975" s="35"/>
      <c r="AC6975" s="35"/>
      <c r="AD6975" s="35"/>
      <c r="AE6975" s="35"/>
      <c r="AF6975" s="35"/>
      <c r="AG6975" s="35"/>
      <c r="AH6975" s="35"/>
      <c r="AI6975" s="35"/>
      <c r="AJ6975" s="35"/>
      <c r="AK6975" s="35"/>
      <c r="AL6975" s="35"/>
    </row>
    <row r="6976">
      <c r="A6976" s="39"/>
      <c r="B6976" s="157" t="s">
        <v>32262</v>
      </c>
      <c r="C6976" s="158" t="s">
        <v>32468</v>
      </c>
      <c r="D6976" s="159"/>
      <c r="E6976" s="57" t="s">
        <v>32469</v>
      </c>
      <c r="F6976" s="22" t="s">
        <v>2492</v>
      </c>
      <c r="G6976" s="57">
        <v>2017.0</v>
      </c>
      <c r="H6976" s="57" t="s">
        <v>32324</v>
      </c>
      <c r="I6976" s="134" t="s">
        <v>32470</v>
      </c>
      <c r="J6976" s="22" t="s">
        <v>125</v>
      </c>
      <c r="K6976" s="23"/>
      <c r="L6976" s="173" t="s">
        <v>32471</v>
      </c>
      <c r="U6976" s="248" t="s">
        <v>61</v>
      </c>
      <c r="V6976" s="139"/>
      <c r="W6976" s="49"/>
      <c r="X6976" s="49"/>
      <c r="Y6976" s="35"/>
      <c r="Z6976" s="35"/>
      <c r="AA6976" s="35"/>
      <c r="AB6976" s="35"/>
      <c r="AC6976" s="35"/>
      <c r="AD6976" s="35"/>
      <c r="AE6976" s="35"/>
      <c r="AF6976" s="35"/>
      <c r="AG6976" s="35"/>
      <c r="AH6976" s="35"/>
      <c r="AI6976" s="35"/>
      <c r="AJ6976" s="35"/>
      <c r="AK6976" s="35"/>
      <c r="AL6976" s="35"/>
    </row>
    <row r="6977">
      <c r="A6977" s="39"/>
      <c r="B6977" s="157" t="s">
        <v>32262</v>
      </c>
      <c r="C6977" s="158" t="s">
        <v>32468</v>
      </c>
      <c r="D6977" s="159"/>
      <c r="E6977" s="57" t="s">
        <v>32472</v>
      </c>
      <c r="F6977" s="22" t="s">
        <v>26204</v>
      </c>
      <c r="G6977" s="57">
        <v>2014.0</v>
      </c>
      <c r="H6977" s="57" t="s">
        <v>32473</v>
      </c>
      <c r="I6977" s="134" t="s">
        <v>32474</v>
      </c>
      <c r="J6977" s="23" t="s">
        <v>32289</v>
      </c>
      <c r="K6977" s="23"/>
      <c r="L6977" s="412" t="s">
        <v>13472</v>
      </c>
      <c r="M6977" s="412" t="s">
        <v>32270</v>
      </c>
      <c r="N6977" s="412" t="s">
        <v>32271</v>
      </c>
      <c r="O6977" s="412" t="s">
        <v>32272</v>
      </c>
      <c r="P6977" s="412" t="s">
        <v>32273</v>
      </c>
      <c r="Q6977" s="412" t="s">
        <v>32274</v>
      </c>
      <c r="R6977" s="412" t="s">
        <v>32275</v>
      </c>
      <c r="S6977" s="412" t="s">
        <v>32276</v>
      </c>
      <c r="T6977" s="54" t="s">
        <v>32475</v>
      </c>
      <c r="U6977" s="248" t="s">
        <v>61</v>
      </c>
      <c r="V6977" s="139"/>
      <c r="W6977" s="49"/>
      <c r="X6977" s="49"/>
      <c r="Y6977" s="35"/>
      <c r="Z6977" s="35"/>
      <c r="AA6977" s="35"/>
      <c r="AB6977" s="35"/>
      <c r="AC6977" s="35"/>
      <c r="AD6977" s="35"/>
      <c r="AE6977" s="35"/>
      <c r="AF6977" s="35"/>
      <c r="AG6977" s="35"/>
      <c r="AH6977" s="35"/>
      <c r="AI6977" s="35"/>
      <c r="AJ6977" s="35"/>
      <c r="AK6977" s="35"/>
      <c r="AL6977" s="35"/>
    </row>
    <row r="6978">
      <c r="A6978" s="39"/>
      <c r="B6978" s="157" t="s">
        <v>32262</v>
      </c>
      <c r="C6978" s="158" t="s">
        <v>32476</v>
      </c>
      <c r="D6978" s="159"/>
      <c r="E6978" s="57" t="s">
        <v>32477</v>
      </c>
      <c r="F6978" s="22" t="s">
        <v>26204</v>
      </c>
      <c r="G6978" s="57">
        <v>2020.0</v>
      </c>
      <c r="H6978" s="57" t="s">
        <v>32478</v>
      </c>
      <c r="I6978" s="134" t="s">
        <v>32479</v>
      </c>
      <c r="J6978" s="23" t="s">
        <v>32480</v>
      </c>
      <c r="K6978" s="23"/>
      <c r="L6978" s="412" t="s">
        <v>13472</v>
      </c>
      <c r="M6978" s="412" t="s">
        <v>32270</v>
      </c>
      <c r="N6978" s="412" t="s">
        <v>32271</v>
      </c>
      <c r="O6978" s="412" t="s">
        <v>32272</v>
      </c>
      <c r="P6978" s="412" t="s">
        <v>32273</v>
      </c>
      <c r="Q6978" s="412" t="s">
        <v>32274</v>
      </c>
      <c r="R6978" s="412" t="s">
        <v>32275</v>
      </c>
      <c r="S6978" s="412" t="s">
        <v>32276</v>
      </c>
      <c r="T6978" s="54" t="s">
        <v>32481</v>
      </c>
      <c r="U6978" s="248" t="s">
        <v>61</v>
      </c>
      <c r="V6978" s="139"/>
      <c r="W6978" s="49"/>
      <c r="X6978" s="49"/>
      <c r="Y6978" s="35"/>
      <c r="Z6978" s="35"/>
      <c r="AA6978" s="35"/>
      <c r="AB6978" s="35"/>
      <c r="AC6978" s="35"/>
      <c r="AD6978" s="35"/>
      <c r="AE6978" s="35"/>
      <c r="AF6978" s="35"/>
      <c r="AG6978" s="35"/>
      <c r="AH6978" s="35"/>
      <c r="AI6978" s="35"/>
      <c r="AJ6978" s="35"/>
      <c r="AK6978" s="35"/>
      <c r="AL6978" s="35"/>
    </row>
    <row r="6979">
      <c r="A6979" s="39"/>
      <c r="B6979" s="157" t="s">
        <v>32262</v>
      </c>
      <c r="C6979" s="158" t="s">
        <v>32476</v>
      </c>
      <c r="D6979" s="159"/>
      <c r="E6979" s="57" t="s">
        <v>32482</v>
      </c>
      <c r="F6979" s="22" t="s">
        <v>5157</v>
      </c>
      <c r="G6979" s="57">
        <v>2019.0</v>
      </c>
      <c r="H6979" s="57" t="s">
        <v>32483</v>
      </c>
      <c r="I6979" s="134" t="s">
        <v>32484</v>
      </c>
      <c r="J6979" s="23" t="s">
        <v>32485</v>
      </c>
      <c r="K6979" s="23"/>
      <c r="L6979" s="412" t="s">
        <v>13472</v>
      </c>
      <c r="M6979" s="412" t="s">
        <v>32270</v>
      </c>
      <c r="N6979" s="412" t="s">
        <v>32271</v>
      </c>
      <c r="O6979" s="412" t="s">
        <v>32272</v>
      </c>
      <c r="P6979" s="412" t="s">
        <v>32273</v>
      </c>
      <c r="Q6979" s="412" t="s">
        <v>32274</v>
      </c>
      <c r="R6979" s="412" t="s">
        <v>32275</v>
      </c>
      <c r="S6979" s="412" t="s">
        <v>32276</v>
      </c>
      <c r="T6979" s="54" t="s">
        <v>32486</v>
      </c>
      <c r="U6979" s="248" t="s">
        <v>61</v>
      </c>
      <c r="V6979" s="139"/>
      <c r="W6979" s="49"/>
      <c r="X6979" s="49"/>
      <c r="Y6979" s="35"/>
      <c r="Z6979" s="35"/>
      <c r="AA6979" s="35"/>
      <c r="AB6979" s="35"/>
      <c r="AC6979" s="35"/>
      <c r="AD6979" s="35"/>
      <c r="AE6979" s="35"/>
      <c r="AF6979" s="35"/>
      <c r="AG6979" s="35"/>
      <c r="AH6979" s="35"/>
      <c r="AI6979" s="35"/>
      <c r="AJ6979" s="35"/>
      <c r="AK6979" s="35"/>
      <c r="AL6979" s="35"/>
    </row>
    <row r="6980">
      <c r="A6980" s="39"/>
      <c r="B6980" s="157" t="s">
        <v>32262</v>
      </c>
      <c r="C6980" s="158" t="s">
        <v>32476</v>
      </c>
      <c r="D6980" s="159"/>
      <c r="E6980" s="57" t="s">
        <v>32487</v>
      </c>
      <c r="F6980" s="22" t="s">
        <v>5326</v>
      </c>
      <c r="G6980" s="57">
        <v>2019.0</v>
      </c>
      <c r="H6980" s="57" t="s">
        <v>32488</v>
      </c>
      <c r="I6980" s="134" t="s">
        <v>32489</v>
      </c>
      <c r="J6980" s="23" t="s">
        <v>32480</v>
      </c>
      <c r="K6980" s="23"/>
      <c r="L6980" s="412" t="s">
        <v>13472</v>
      </c>
      <c r="M6980" s="412" t="s">
        <v>32270</v>
      </c>
      <c r="N6980" s="412" t="s">
        <v>32271</v>
      </c>
      <c r="O6980" s="412" t="s">
        <v>32272</v>
      </c>
      <c r="P6980" s="412" t="s">
        <v>32273</v>
      </c>
      <c r="Q6980" s="412" t="s">
        <v>32274</v>
      </c>
      <c r="R6980" s="412" t="s">
        <v>32275</v>
      </c>
      <c r="S6980" s="412" t="s">
        <v>32276</v>
      </c>
      <c r="T6980" s="54" t="s">
        <v>32490</v>
      </c>
      <c r="U6980" s="248" t="s">
        <v>61</v>
      </c>
      <c r="V6980" s="139"/>
      <c r="W6980" s="49"/>
      <c r="X6980" s="49"/>
      <c r="Y6980" s="35"/>
      <c r="Z6980" s="35"/>
      <c r="AA6980" s="35"/>
      <c r="AB6980" s="35"/>
      <c r="AC6980" s="35"/>
      <c r="AD6980" s="35"/>
      <c r="AE6980" s="35"/>
      <c r="AF6980" s="35"/>
      <c r="AG6980" s="35"/>
      <c r="AH6980" s="35"/>
      <c r="AI6980" s="35"/>
      <c r="AJ6980" s="35"/>
      <c r="AK6980" s="35"/>
      <c r="AL6980" s="35"/>
    </row>
    <row r="6981">
      <c r="A6981" s="39"/>
      <c r="B6981" s="157" t="s">
        <v>32262</v>
      </c>
      <c r="C6981" s="158" t="s">
        <v>32476</v>
      </c>
      <c r="D6981" s="159"/>
      <c r="E6981" s="57" t="s">
        <v>32491</v>
      </c>
      <c r="F6981" s="22" t="s">
        <v>32492</v>
      </c>
      <c r="G6981" s="57">
        <v>2018.0</v>
      </c>
      <c r="H6981" s="57" t="s">
        <v>15946</v>
      </c>
      <c r="I6981" s="134" t="s">
        <v>32493</v>
      </c>
      <c r="J6981" s="22" t="s">
        <v>125</v>
      </c>
      <c r="K6981" s="23"/>
      <c r="L6981" s="105" t="s">
        <v>32494</v>
      </c>
      <c r="M6981" s="44"/>
      <c r="N6981" s="44"/>
      <c r="O6981" s="44"/>
      <c r="P6981" s="44"/>
      <c r="Q6981" s="44"/>
      <c r="R6981" s="44"/>
      <c r="S6981" s="44"/>
      <c r="T6981" s="45"/>
      <c r="U6981" s="248" t="s">
        <v>61</v>
      </c>
      <c r="V6981" s="139"/>
      <c r="W6981" s="49"/>
      <c r="X6981" s="49"/>
      <c r="Y6981" s="35"/>
      <c r="Z6981" s="35"/>
      <c r="AA6981" s="35"/>
      <c r="AB6981" s="35"/>
      <c r="AC6981" s="35"/>
      <c r="AD6981" s="35"/>
      <c r="AE6981" s="35"/>
      <c r="AF6981" s="35"/>
      <c r="AG6981" s="35"/>
      <c r="AH6981" s="35"/>
      <c r="AI6981" s="35"/>
      <c r="AJ6981" s="35"/>
      <c r="AK6981" s="35"/>
      <c r="AL6981" s="35"/>
    </row>
    <row r="6982">
      <c r="A6982" s="39"/>
      <c r="B6982" s="157" t="s">
        <v>32262</v>
      </c>
      <c r="C6982" s="158" t="s">
        <v>32476</v>
      </c>
      <c r="D6982" s="159"/>
      <c r="E6982" s="57" t="s">
        <v>32482</v>
      </c>
      <c r="F6982" s="22" t="s">
        <v>10401</v>
      </c>
      <c r="G6982" s="57">
        <v>2018.0</v>
      </c>
      <c r="H6982" s="57" t="s">
        <v>2139</v>
      </c>
      <c r="I6982" s="134" t="s">
        <v>32495</v>
      </c>
      <c r="J6982" s="23" t="s">
        <v>32289</v>
      </c>
      <c r="K6982" s="23"/>
      <c r="L6982" s="412" t="s">
        <v>13472</v>
      </c>
      <c r="M6982" s="412" t="s">
        <v>32270</v>
      </c>
      <c r="N6982" s="412" t="s">
        <v>32271</v>
      </c>
      <c r="O6982" s="412" t="s">
        <v>32272</v>
      </c>
      <c r="P6982" s="412" t="s">
        <v>32273</v>
      </c>
      <c r="Q6982" s="412" t="s">
        <v>32274</v>
      </c>
      <c r="R6982" s="412" t="s">
        <v>32275</v>
      </c>
      <c r="S6982" s="412" t="s">
        <v>32276</v>
      </c>
      <c r="T6982" s="54" t="s">
        <v>32496</v>
      </c>
      <c r="U6982" s="248" t="s">
        <v>61</v>
      </c>
      <c r="V6982" s="139"/>
      <c r="W6982" s="49"/>
      <c r="X6982" s="49"/>
      <c r="Y6982" s="35"/>
      <c r="Z6982" s="35"/>
      <c r="AA6982" s="35"/>
      <c r="AB6982" s="35"/>
      <c r="AC6982" s="35"/>
      <c r="AD6982" s="35"/>
      <c r="AE6982" s="35"/>
      <c r="AF6982" s="35"/>
      <c r="AG6982" s="35"/>
      <c r="AH6982" s="35"/>
      <c r="AI6982" s="35"/>
      <c r="AJ6982" s="35"/>
      <c r="AK6982" s="35"/>
      <c r="AL6982" s="35"/>
    </row>
    <row r="6983">
      <c r="A6983" s="39"/>
      <c r="B6983" s="157" t="s">
        <v>32262</v>
      </c>
      <c r="C6983" s="158" t="s">
        <v>32476</v>
      </c>
      <c r="D6983" s="159"/>
      <c r="E6983" s="57" t="s">
        <v>32497</v>
      </c>
      <c r="F6983" s="22" t="s">
        <v>20741</v>
      </c>
      <c r="G6983" s="57">
        <v>2017.0</v>
      </c>
      <c r="H6983" s="57" t="s">
        <v>3950</v>
      </c>
      <c r="I6983" s="134" t="s">
        <v>32498</v>
      </c>
      <c r="J6983" s="22" t="s">
        <v>125</v>
      </c>
      <c r="K6983" s="23"/>
      <c r="L6983" s="105" t="s">
        <v>32499</v>
      </c>
      <c r="M6983" s="44"/>
      <c r="N6983" s="44"/>
      <c r="O6983" s="44"/>
      <c r="P6983" s="44"/>
      <c r="Q6983" s="44"/>
      <c r="R6983" s="44"/>
      <c r="S6983" s="44"/>
      <c r="T6983" s="45"/>
      <c r="U6983" s="248" t="s">
        <v>61</v>
      </c>
      <c r="V6983" s="139"/>
      <c r="W6983" s="49"/>
      <c r="X6983" s="49"/>
      <c r="Y6983" s="35"/>
      <c r="Z6983" s="35"/>
      <c r="AA6983" s="35"/>
      <c r="AB6983" s="35"/>
      <c r="AC6983" s="35"/>
      <c r="AD6983" s="35"/>
      <c r="AE6983" s="35"/>
      <c r="AF6983" s="35"/>
      <c r="AG6983" s="35"/>
      <c r="AH6983" s="35"/>
      <c r="AI6983" s="35"/>
      <c r="AJ6983" s="35"/>
      <c r="AK6983" s="35"/>
      <c r="AL6983" s="35"/>
    </row>
    <row r="6984">
      <c r="A6984" s="39"/>
      <c r="B6984" s="157" t="s">
        <v>32262</v>
      </c>
      <c r="C6984" s="158" t="s">
        <v>32476</v>
      </c>
      <c r="D6984" s="159"/>
      <c r="E6984" s="57" t="s">
        <v>626</v>
      </c>
      <c r="F6984" s="22" t="s">
        <v>20741</v>
      </c>
      <c r="G6984" s="57">
        <v>2016.0</v>
      </c>
      <c r="H6984" s="57" t="s">
        <v>32324</v>
      </c>
      <c r="I6984" s="134" t="s">
        <v>32500</v>
      </c>
      <c r="J6984" s="23" t="s">
        <v>44</v>
      </c>
      <c r="K6984" s="23"/>
      <c r="L6984" s="412" t="s">
        <v>13472</v>
      </c>
      <c r="M6984" s="412" t="s">
        <v>32270</v>
      </c>
      <c r="N6984" s="412" t="s">
        <v>32271</v>
      </c>
      <c r="O6984" s="412" t="s">
        <v>32272</v>
      </c>
      <c r="P6984" s="412" t="s">
        <v>32273</v>
      </c>
      <c r="Q6984" s="412" t="s">
        <v>32274</v>
      </c>
      <c r="R6984" s="412" t="s">
        <v>32275</v>
      </c>
      <c r="S6984" s="412" t="s">
        <v>32276</v>
      </c>
      <c r="T6984" s="54" t="s">
        <v>32501</v>
      </c>
      <c r="U6984" s="248" t="s">
        <v>61</v>
      </c>
      <c r="V6984" s="139"/>
      <c r="W6984" s="49"/>
      <c r="X6984" s="49"/>
      <c r="Y6984" s="35"/>
      <c r="Z6984" s="35"/>
      <c r="AA6984" s="35"/>
      <c r="AB6984" s="35"/>
      <c r="AC6984" s="35"/>
      <c r="AD6984" s="35"/>
      <c r="AE6984" s="35"/>
      <c r="AF6984" s="35"/>
      <c r="AG6984" s="35"/>
      <c r="AH6984" s="35"/>
      <c r="AI6984" s="35"/>
      <c r="AJ6984" s="35"/>
      <c r="AK6984" s="35"/>
      <c r="AL6984" s="35"/>
    </row>
    <row r="6985">
      <c r="A6985" s="39"/>
      <c r="B6985" s="157" t="s">
        <v>32262</v>
      </c>
      <c r="C6985" s="158" t="s">
        <v>32476</v>
      </c>
      <c r="D6985" s="159"/>
      <c r="E6985" s="57" t="s">
        <v>32502</v>
      </c>
      <c r="F6985" s="22" t="s">
        <v>9927</v>
      </c>
      <c r="G6985" s="57">
        <v>2015.0</v>
      </c>
      <c r="H6985" s="57" t="s">
        <v>32503</v>
      </c>
      <c r="I6985" s="134" t="s">
        <v>32504</v>
      </c>
      <c r="J6985" s="22" t="s">
        <v>125</v>
      </c>
      <c r="K6985" s="23"/>
      <c r="L6985" s="105" t="s">
        <v>32505</v>
      </c>
      <c r="M6985" s="44"/>
      <c r="N6985" s="44"/>
      <c r="O6985" s="44"/>
      <c r="P6985" s="44"/>
      <c r="Q6985" s="44"/>
      <c r="R6985" s="44"/>
      <c r="S6985" s="44"/>
      <c r="T6985" s="45"/>
      <c r="U6985" s="248" t="s">
        <v>61</v>
      </c>
      <c r="V6985" s="139"/>
      <c r="W6985" s="49"/>
      <c r="X6985" s="49"/>
      <c r="Y6985" s="35"/>
      <c r="Z6985" s="35"/>
      <c r="AA6985" s="35"/>
      <c r="AB6985" s="35"/>
      <c r="AC6985" s="35"/>
      <c r="AD6985" s="35"/>
      <c r="AE6985" s="35"/>
      <c r="AF6985" s="35"/>
      <c r="AG6985" s="35"/>
      <c r="AH6985" s="35"/>
      <c r="AI6985" s="35"/>
      <c r="AJ6985" s="35"/>
      <c r="AK6985" s="35"/>
      <c r="AL6985" s="35"/>
    </row>
    <row r="6986">
      <c r="A6986" s="39"/>
      <c r="B6986" s="157" t="s">
        <v>32262</v>
      </c>
      <c r="C6986" s="158" t="s">
        <v>32476</v>
      </c>
      <c r="D6986" s="159"/>
      <c r="E6986" s="57" t="s">
        <v>32506</v>
      </c>
      <c r="F6986" s="22" t="s">
        <v>5157</v>
      </c>
      <c r="G6986" s="57">
        <v>2015.0</v>
      </c>
      <c r="H6986" s="57" t="s">
        <v>3984</v>
      </c>
      <c r="I6986" s="134" t="s">
        <v>32507</v>
      </c>
      <c r="J6986" s="23" t="s">
        <v>32289</v>
      </c>
      <c r="K6986" s="23"/>
      <c r="L6986" s="412" t="s">
        <v>13472</v>
      </c>
      <c r="M6986" s="412" t="s">
        <v>32270</v>
      </c>
      <c r="N6986" s="412" t="s">
        <v>32271</v>
      </c>
      <c r="O6986" s="412" t="s">
        <v>32272</v>
      </c>
      <c r="P6986" s="412" t="s">
        <v>32273</v>
      </c>
      <c r="Q6986" s="412" t="s">
        <v>32274</v>
      </c>
      <c r="R6986" s="412" t="s">
        <v>32275</v>
      </c>
      <c r="S6986" s="412" t="s">
        <v>32276</v>
      </c>
      <c r="T6986" s="54" t="s">
        <v>32508</v>
      </c>
      <c r="U6986" s="248" t="s">
        <v>61</v>
      </c>
      <c r="V6986" s="139"/>
      <c r="W6986" s="49"/>
      <c r="X6986" s="49"/>
      <c r="Y6986" s="35"/>
      <c r="Z6986" s="35"/>
      <c r="AA6986" s="35"/>
      <c r="AB6986" s="35"/>
      <c r="AC6986" s="35"/>
      <c r="AD6986" s="35"/>
      <c r="AE6986" s="35"/>
      <c r="AF6986" s="35"/>
      <c r="AG6986" s="35"/>
      <c r="AH6986" s="35"/>
      <c r="AI6986" s="35"/>
      <c r="AJ6986" s="35"/>
      <c r="AK6986" s="35"/>
      <c r="AL6986" s="35"/>
    </row>
    <row r="6987">
      <c r="A6987" s="39"/>
      <c r="B6987" s="157" t="s">
        <v>32262</v>
      </c>
      <c r="C6987" s="158" t="s">
        <v>32476</v>
      </c>
      <c r="D6987" s="159"/>
      <c r="E6987" s="57" t="s">
        <v>32509</v>
      </c>
      <c r="F6987" s="22" t="s">
        <v>17514</v>
      </c>
      <c r="G6987" s="57">
        <v>2014.0</v>
      </c>
      <c r="H6987" s="57" t="s">
        <v>32510</v>
      </c>
      <c r="I6987" s="134" t="s">
        <v>32511</v>
      </c>
      <c r="J6987" s="23" t="s">
        <v>32289</v>
      </c>
      <c r="K6987" s="23"/>
      <c r="L6987" s="412" t="s">
        <v>13472</v>
      </c>
      <c r="M6987" s="412" t="s">
        <v>32270</v>
      </c>
      <c r="N6987" s="412" t="s">
        <v>32271</v>
      </c>
      <c r="O6987" s="412" t="s">
        <v>32272</v>
      </c>
      <c r="P6987" s="412" t="s">
        <v>32273</v>
      </c>
      <c r="Q6987" s="412" t="s">
        <v>32274</v>
      </c>
      <c r="R6987" s="412" t="s">
        <v>32275</v>
      </c>
      <c r="S6987" s="412" t="s">
        <v>32276</v>
      </c>
      <c r="T6987" s="54" t="s">
        <v>32512</v>
      </c>
      <c r="U6987" s="248" t="s">
        <v>61</v>
      </c>
      <c r="V6987" s="139"/>
      <c r="W6987" s="49"/>
      <c r="X6987" s="49"/>
      <c r="Y6987" s="35"/>
      <c r="Z6987" s="35"/>
      <c r="AA6987" s="35"/>
      <c r="AB6987" s="35"/>
      <c r="AC6987" s="35"/>
      <c r="AD6987" s="35"/>
      <c r="AE6987" s="35"/>
      <c r="AF6987" s="35"/>
      <c r="AG6987" s="35"/>
      <c r="AH6987" s="35"/>
      <c r="AI6987" s="35"/>
      <c r="AJ6987" s="35"/>
      <c r="AK6987" s="35"/>
      <c r="AL6987" s="35"/>
    </row>
    <row r="6988">
      <c r="A6988" s="39"/>
      <c r="B6988" s="157" t="s">
        <v>32262</v>
      </c>
      <c r="C6988" s="158" t="s">
        <v>32476</v>
      </c>
      <c r="D6988" s="159"/>
      <c r="E6988" s="57" t="s">
        <v>32513</v>
      </c>
      <c r="F6988" s="22" t="s">
        <v>1465</v>
      </c>
      <c r="G6988" s="57">
        <v>2014.0</v>
      </c>
      <c r="H6988" s="57" t="s">
        <v>32514</v>
      </c>
      <c r="I6988" s="134" t="s">
        <v>32515</v>
      </c>
      <c r="J6988" s="23" t="s">
        <v>32480</v>
      </c>
      <c r="K6988" s="23"/>
      <c r="L6988" s="412" t="s">
        <v>13472</v>
      </c>
      <c r="M6988" s="412" t="s">
        <v>32270</v>
      </c>
      <c r="N6988" s="412" t="s">
        <v>32271</v>
      </c>
      <c r="O6988" s="412" t="s">
        <v>32272</v>
      </c>
      <c r="P6988" s="412" t="s">
        <v>32273</v>
      </c>
      <c r="Q6988" s="412" t="s">
        <v>32274</v>
      </c>
      <c r="R6988" s="412" t="s">
        <v>32275</v>
      </c>
      <c r="S6988" s="412" t="s">
        <v>32276</v>
      </c>
      <c r="T6988" s="54" t="s">
        <v>32516</v>
      </c>
      <c r="U6988" s="248" t="s">
        <v>61</v>
      </c>
      <c r="V6988" s="139"/>
      <c r="W6988" s="49"/>
      <c r="X6988" s="49"/>
      <c r="Y6988" s="35"/>
      <c r="Z6988" s="35"/>
      <c r="AA6988" s="35"/>
      <c r="AB6988" s="35"/>
      <c r="AC6988" s="35"/>
      <c r="AD6988" s="35"/>
      <c r="AE6988" s="35"/>
      <c r="AF6988" s="35"/>
      <c r="AG6988" s="35"/>
      <c r="AH6988" s="35"/>
      <c r="AI6988" s="35"/>
      <c r="AJ6988" s="35"/>
      <c r="AK6988" s="35"/>
      <c r="AL6988" s="35"/>
    </row>
    <row r="6989">
      <c r="A6989" s="39"/>
      <c r="B6989" s="75" t="s">
        <v>32262</v>
      </c>
      <c r="C6989" s="77" t="s">
        <v>32476</v>
      </c>
      <c r="D6989" s="159"/>
      <c r="E6989" s="57" t="s">
        <v>32517</v>
      </c>
      <c r="F6989" s="22" t="s">
        <v>8199</v>
      </c>
      <c r="G6989" s="57">
        <v>2013.0</v>
      </c>
      <c r="H6989" s="57" t="s">
        <v>32483</v>
      </c>
      <c r="I6989" s="134" t="s">
        <v>32518</v>
      </c>
      <c r="J6989" s="23" t="s">
        <v>32480</v>
      </c>
      <c r="K6989" s="23"/>
      <c r="L6989" s="412" t="s">
        <v>13472</v>
      </c>
      <c r="M6989" s="412" t="s">
        <v>32270</v>
      </c>
      <c r="N6989" s="412" t="s">
        <v>32271</v>
      </c>
      <c r="O6989" s="412" t="s">
        <v>32272</v>
      </c>
      <c r="P6989" s="412" t="s">
        <v>32273</v>
      </c>
      <c r="Q6989" s="412" t="s">
        <v>32274</v>
      </c>
      <c r="R6989" s="412" t="s">
        <v>32275</v>
      </c>
      <c r="S6989" s="412" t="s">
        <v>32276</v>
      </c>
      <c r="T6989" s="54" t="s">
        <v>32519</v>
      </c>
      <c r="U6989" s="248" t="s">
        <v>61</v>
      </c>
      <c r="V6989" s="139"/>
      <c r="W6989" s="49"/>
      <c r="X6989" s="49"/>
      <c r="Y6989" s="35"/>
      <c r="Z6989" s="35"/>
      <c r="AA6989" s="35"/>
      <c r="AB6989" s="35"/>
      <c r="AC6989" s="35"/>
      <c r="AD6989" s="35"/>
      <c r="AE6989" s="35"/>
      <c r="AF6989" s="35"/>
      <c r="AG6989" s="35"/>
      <c r="AH6989" s="35"/>
      <c r="AI6989" s="35"/>
      <c r="AJ6989" s="35"/>
      <c r="AK6989" s="35"/>
      <c r="AL6989" s="35"/>
    </row>
    <row r="6990">
      <c r="A6990" s="39"/>
      <c r="B6990" s="75" t="s">
        <v>32262</v>
      </c>
      <c r="C6990" s="77" t="s">
        <v>32476</v>
      </c>
      <c r="D6990" s="159"/>
      <c r="E6990" s="57" t="s">
        <v>32482</v>
      </c>
      <c r="F6990" s="22" t="s">
        <v>10401</v>
      </c>
      <c r="G6990" s="57">
        <v>2011.0</v>
      </c>
      <c r="H6990" s="57" t="s">
        <v>32483</v>
      </c>
      <c r="I6990" s="134" t="s">
        <v>32520</v>
      </c>
      <c r="J6990" s="23" t="s">
        <v>32485</v>
      </c>
      <c r="K6990" s="23"/>
      <c r="L6990" s="412" t="s">
        <v>13472</v>
      </c>
      <c r="M6990" s="412" t="s">
        <v>32270</v>
      </c>
      <c r="N6990" s="412" t="s">
        <v>32271</v>
      </c>
      <c r="O6990" s="412" t="s">
        <v>32272</v>
      </c>
      <c r="P6990" s="412" t="s">
        <v>32273</v>
      </c>
      <c r="Q6990" s="412" t="s">
        <v>32274</v>
      </c>
      <c r="R6990" s="412" t="s">
        <v>32275</v>
      </c>
      <c r="S6990" s="412" t="s">
        <v>32276</v>
      </c>
      <c r="T6990" s="54" t="s">
        <v>32521</v>
      </c>
      <c r="U6990" s="248" t="s">
        <v>61</v>
      </c>
      <c r="V6990" s="139"/>
      <c r="W6990" s="49"/>
      <c r="X6990" s="49"/>
      <c r="Y6990" s="35"/>
      <c r="Z6990" s="35"/>
      <c r="AA6990" s="35"/>
      <c r="AB6990" s="35"/>
      <c r="AC6990" s="35"/>
      <c r="AD6990" s="35"/>
      <c r="AE6990" s="35"/>
      <c r="AF6990" s="35"/>
      <c r="AG6990" s="35"/>
      <c r="AH6990" s="35"/>
      <c r="AI6990" s="35"/>
      <c r="AJ6990" s="35"/>
      <c r="AK6990" s="35"/>
      <c r="AL6990" s="35"/>
    </row>
    <row r="6991">
      <c r="A6991" s="39"/>
      <c r="B6991" s="75" t="s">
        <v>32262</v>
      </c>
      <c r="C6991" s="77" t="s">
        <v>32476</v>
      </c>
      <c r="D6991" s="159"/>
      <c r="E6991" s="57" t="s">
        <v>32522</v>
      </c>
      <c r="F6991" s="22" t="s">
        <v>28982</v>
      </c>
      <c r="G6991" s="57">
        <v>2008.0</v>
      </c>
      <c r="H6991" s="57" t="s">
        <v>32341</v>
      </c>
      <c r="I6991" s="134" t="s">
        <v>32523</v>
      </c>
      <c r="J6991" s="23" t="s">
        <v>32289</v>
      </c>
      <c r="K6991" s="23"/>
      <c r="L6991" s="412" t="s">
        <v>13472</v>
      </c>
      <c r="M6991" s="412" t="s">
        <v>32270</v>
      </c>
      <c r="N6991" s="412" t="s">
        <v>32271</v>
      </c>
      <c r="O6991" s="412" t="s">
        <v>32272</v>
      </c>
      <c r="P6991" s="412" t="s">
        <v>32273</v>
      </c>
      <c r="Q6991" s="412" t="s">
        <v>32274</v>
      </c>
      <c r="R6991" s="412" t="s">
        <v>32275</v>
      </c>
      <c r="S6991" s="412" t="s">
        <v>32276</v>
      </c>
      <c r="T6991" s="54" t="s">
        <v>32524</v>
      </c>
      <c r="U6991" s="248" t="s">
        <v>61</v>
      </c>
      <c r="V6991" s="139"/>
      <c r="W6991" s="49"/>
      <c r="X6991" s="49"/>
      <c r="Y6991" s="35"/>
      <c r="Z6991" s="35"/>
      <c r="AA6991" s="35"/>
      <c r="AB6991" s="35"/>
      <c r="AC6991" s="35"/>
      <c r="AD6991" s="35"/>
      <c r="AE6991" s="35"/>
      <c r="AF6991" s="35"/>
      <c r="AG6991" s="35"/>
      <c r="AH6991" s="35"/>
      <c r="AI6991" s="35"/>
      <c r="AJ6991" s="35"/>
      <c r="AK6991" s="35"/>
      <c r="AL6991" s="35"/>
    </row>
    <row r="6992">
      <c r="A6992" s="39"/>
      <c r="B6992" s="157" t="s">
        <v>32262</v>
      </c>
      <c r="C6992" s="158" t="s">
        <v>32525</v>
      </c>
      <c r="D6992" s="159"/>
      <c r="E6992" s="57" t="s">
        <v>32310</v>
      </c>
      <c r="F6992" s="22" t="s">
        <v>2492</v>
      </c>
      <c r="G6992" s="57">
        <v>2011.0</v>
      </c>
      <c r="H6992" s="57" t="s">
        <v>32435</v>
      </c>
      <c r="I6992" s="134" t="s">
        <v>32526</v>
      </c>
      <c r="J6992" s="22" t="s">
        <v>125</v>
      </c>
      <c r="K6992" s="23"/>
      <c r="L6992" s="105" t="s">
        <v>32527</v>
      </c>
      <c r="M6992" s="44"/>
      <c r="N6992" s="44"/>
      <c r="O6992" s="44"/>
      <c r="P6992" s="44"/>
      <c r="Q6992" s="44"/>
      <c r="R6992" s="44"/>
      <c r="S6992" s="44"/>
      <c r="T6992" s="45"/>
      <c r="U6992" s="248" t="s">
        <v>61</v>
      </c>
      <c r="V6992" s="139"/>
      <c r="W6992" s="49"/>
      <c r="X6992" s="49"/>
      <c r="Y6992" s="35"/>
      <c r="Z6992" s="35"/>
      <c r="AA6992" s="35"/>
      <c r="AB6992" s="35"/>
      <c r="AC6992" s="35"/>
      <c r="AD6992" s="35"/>
      <c r="AE6992" s="35"/>
      <c r="AF6992" s="35"/>
      <c r="AG6992" s="35"/>
      <c r="AH6992" s="35"/>
      <c r="AI6992" s="35"/>
      <c r="AJ6992" s="35"/>
      <c r="AK6992" s="35"/>
      <c r="AL6992" s="35"/>
    </row>
    <row r="6993">
      <c r="A6993" s="39"/>
      <c r="B6993" s="157" t="s">
        <v>32262</v>
      </c>
      <c r="C6993" s="158" t="s">
        <v>32528</v>
      </c>
      <c r="D6993" s="159"/>
      <c r="E6993" s="57" t="s">
        <v>216</v>
      </c>
      <c r="F6993" s="22" t="s">
        <v>4296</v>
      </c>
      <c r="G6993" s="57">
        <v>2023.0</v>
      </c>
      <c r="H6993" s="57" t="s">
        <v>32287</v>
      </c>
      <c r="I6993" s="134" t="s">
        <v>32529</v>
      </c>
      <c r="J6993" s="23" t="s">
        <v>32530</v>
      </c>
      <c r="K6993" s="23"/>
      <c r="L6993" s="412" t="s">
        <v>13472</v>
      </c>
      <c r="M6993" s="412" t="s">
        <v>32270</v>
      </c>
      <c r="N6993" s="412" t="s">
        <v>32271</v>
      </c>
      <c r="O6993" s="412" t="s">
        <v>32272</v>
      </c>
      <c r="P6993" s="412" t="s">
        <v>32273</v>
      </c>
      <c r="Q6993" s="412" t="s">
        <v>32274</v>
      </c>
      <c r="R6993" s="412" t="s">
        <v>32275</v>
      </c>
      <c r="S6993" s="412" t="s">
        <v>32276</v>
      </c>
      <c r="T6993" s="54" t="s">
        <v>32531</v>
      </c>
      <c r="U6993" s="255" t="s">
        <v>61</v>
      </c>
      <c r="V6993" s="139"/>
      <c r="W6993" s="49"/>
      <c r="X6993" s="49"/>
      <c r="Y6993" s="35"/>
      <c r="Z6993" s="35"/>
      <c r="AA6993" s="35"/>
      <c r="AB6993" s="35"/>
      <c r="AC6993" s="35"/>
      <c r="AD6993" s="35"/>
      <c r="AE6993" s="35"/>
      <c r="AF6993" s="35"/>
      <c r="AG6993" s="35"/>
      <c r="AH6993" s="35"/>
      <c r="AI6993" s="35"/>
      <c r="AJ6993" s="35"/>
      <c r="AK6993" s="35"/>
      <c r="AL6993" s="35"/>
    </row>
    <row r="6994">
      <c r="A6994" s="39"/>
      <c r="B6994" s="157" t="s">
        <v>32262</v>
      </c>
      <c r="C6994" s="158" t="s">
        <v>32532</v>
      </c>
      <c r="D6994" s="159"/>
      <c r="E6994" s="57" t="s">
        <v>32533</v>
      </c>
      <c r="F6994" s="22" t="s">
        <v>3427</v>
      </c>
      <c r="G6994" s="57">
        <v>2022.0</v>
      </c>
      <c r="H6994" s="57" t="s">
        <v>22542</v>
      </c>
      <c r="I6994" s="134" t="s">
        <v>32534</v>
      </c>
      <c r="J6994" s="23" t="s">
        <v>32480</v>
      </c>
      <c r="K6994" s="23"/>
      <c r="L6994" s="412" t="s">
        <v>13472</v>
      </c>
      <c r="M6994" s="412" t="s">
        <v>32270</v>
      </c>
      <c r="N6994" s="412" t="s">
        <v>32271</v>
      </c>
      <c r="O6994" s="412" t="s">
        <v>32272</v>
      </c>
      <c r="P6994" s="412" t="s">
        <v>32273</v>
      </c>
      <c r="Q6994" s="412" t="s">
        <v>32274</v>
      </c>
      <c r="R6994" s="412" t="s">
        <v>32275</v>
      </c>
      <c r="S6994" s="412" t="s">
        <v>32276</v>
      </c>
      <c r="T6994" s="102" t="s">
        <v>32535</v>
      </c>
      <c r="U6994" s="248" t="s">
        <v>61</v>
      </c>
      <c r="V6994" s="139"/>
      <c r="W6994" s="49"/>
      <c r="X6994" s="49"/>
      <c r="Y6994" s="35"/>
      <c r="Z6994" s="35"/>
      <c r="AA6994" s="35"/>
      <c r="AB6994" s="35"/>
      <c r="AC6994" s="35"/>
      <c r="AD6994" s="35"/>
      <c r="AE6994" s="35"/>
      <c r="AF6994" s="35"/>
      <c r="AG6994" s="35"/>
      <c r="AH6994" s="35"/>
      <c r="AI6994" s="35"/>
      <c r="AJ6994" s="35"/>
      <c r="AK6994" s="35"/>
      <c r="AL6994" s="35"/>
    </row>
    <row r="6995">
      <c r="A6995" s="39"/>
      <c r="B6995" s="157" t="s">
        <v>32262</v>
      </c>
      <c r="C6995" s="158" t="s">
        <v>32532</v>
      </c>
      <c r="D6995" s="159"/>
      <c r="E6995" s="57" t="s">
        <v>32536</v>
      </c>
      <c r="F6995" s="22" t="s">
        <v>15815</v>
      </c>
      <c r="G6995" s="57">
        <v>2019.0</v>
      </c>
      <c r="H6995" s="57" t="s">
        <v>32537</v>
      </c>
      <c r="I6995" s="134" t="s">
        <v>32538</v>
      </c>
      <c r="J6995" s="23" t="s">
        <v>32539</v>
      </c>
      <c r="K6995" s="23"/>
      <c r="L6995" s="412" t="s">
        <v>13472</v>
      </c>
      <c r="M6995" s="412" t="s">
        <v>32270</v>
      </c>
      <c r="N6995" s="412" t="s">
        <v>32271</v>
      </c>
      <c r="O6995" s="412" t="s">
        <v>32272</v>
      </c>
      <c r="P6995" s="412" t="s">
        <v>32273</v>
      </c>
      <c r="Q6995" s="412" t="s">
        <v>32274</v>
      </c>
      <c r="R6995" s="412" t="s">
        <v>32275</v>
      </c>
      <c r="S6995" s="412" t="s">
        <v>32276</v>
      </c>
      <c r="T6995" s="103" t="s">
        <v>32540</v>
      </c>
      <c r="U6995" s="248" t="s">
        <v>61</v>
      </c>
      <c r="V6995" s="139"/>
      <c r="W6995" s="49"/>
      <c r="X6995" s="49"/>
      <c r="Y6995" s="35"/>
      <c r="Z6995" s="35"/>
      <c r="AA6995" s="35"/>
      <c r="AB6995" s="35"/>
      <c r="AC6995" s="35"/>
      <c r="AD6995" s="35"/>
      <c r="AE6995" s="35"/>
      <c r="AF6995" s="35"/>
      <c r="AG6995" s="35"/>
      <c r="AH6995" s="35"/>
      <c r="AI6995" s="35"/>
      <c r="AJ6995" s="35"/>
      <c r="AK6995" s="35"/>
      <c r="AL6995" s="35"/>
    </row>
    <row r="6996">
      <c r="A6996" s="39"/>
      <c r="B6996" s="157" t="s">
        <v>32262</v>
      </c>
      <c r="C6996" s="158" t="s">
        <v>32532</v>
      </c>
      <c r="D6996" s="159"/>
      <c r="E6996" s="57" t="s">
        <v>32541</v>
      </c>
      <c r="F6996" s="22" t="s">
        <v>7318</v>
      </c>
      <c r="G6996" s="57">
        <v>2011.0</v>
      </c>
      <c r="H6996" s="57" t="s">
        <v>22471</v>
      </c>
      <c r="I6996" s="134" t="s">
        <v>32542</v>
      </c>
      <c r="J6996" s="23" t="s">
        <v>32480</v>
      </c>
      <c r="K6996" s="23"/>
      <c r="L6996" s="412" t="s">
        <v>13472</v>
      </c>
      <c r="M6996" s="412" t="s">
        <v>32270</v>
      </c>
      <c r="N6996" s="412" t="s">
        <v>32271</v>
      </c>
      <c r="O6996" s="412" t="s">
        <v>32272</v>
      </c>
      <c r="P6996" s="412" t="s">
        <v>32273</v>
      </c>
      <c r="Q6996" s="412" t="s">
        <v>32274</v>
      </c>
      <c r="R6996" s="412" t="s">
        <v>32275</v>
      </c>
      <c r="S6996" s="412" t="s">
        <v>32276</v>
      </c>
      <c r="T6996" s="54" t="s">
        <v>32543</v>
      </c>
      <c r="U6996" s="248" t="s">
        <v>61</v>
      </c>
      <c r="V6996" s="139"/>
      <c r="W6996" s="49"/>
      <c r="X6996" s="49"/>
      <c r="Y6996" s="35"/>
      <c r="Z6996" s="35"/>
      <c r="AA6996" s="35"/>
      <c r="AB6996" s="35"/>
      <c r="AC6996" s="35"/>
      <c r="AD6996" s="35"/>
      <c r="AE6996" s="35"/>
      <c r="AF6996" s="35"/>
      <c r="AG6996" s="35"/>
      <c r="AH6996" s="35"/>
      <c r="AI6996" s="35"/>
      <c r="AJ6996" s="35"/>
      <c r="AK6996" s="35"/>
      <c r="AL6996" s="35"/>
    </row>
    <row r="6997">
      <c r="A6997" s="39"/>
      <c r="B6997" s="157" t="s">
        <v>32262</v>
      </c>
      <c r="C6997" s="158" t="s">
        <v>32532</v>
      </c>
      <c r="D6997" s="159"/>
      <c r="E6997" s="57" t="s">
        <v>32544</v>
      </c>
      <c r="F6997" s="22" t="s">
        <v>4588</v>
      </c>
      <c r="G6997" s="57">
        <v>2005.0</v>
      </c>
      <c r="H6997" s="57" t="s">
        <v>23243</v>
      </c>
      <c r="I6997" s="134" t="s">
        <v>32545</v>
      </c>
      <c r="J6997" s="23" t="s">
        <v>32289</v>
      </c>
      <c r="K6997" s="23"/>
      <c r="L6997" s="412" t="s">
        <v>13472</v>
      </c>
      <c r="M6997" s="412" t="s">
        <v>32270</v>
      </c>
      <c r="N6997" s="412" t="s">
        <v>32271</v>
      </c>
      <c r="O6997" s="412" t="s">
        <v>32272</v>
      </c>
      <c r="P6997" s="412" t="s">
        <v>32273</v>
      </c>
      <c r="Q6997" s="412" t="s">
        <v>32274</v>
      </c>
      <c r="R6997" s="412" t="s">
        <v>32275</v>
      </c>
      <c r="S6997" s="412" t="s">
        <v>32276</v>
      </c>
      <c r="T6997" s="54" t="s">
        <v>32546</v>
      </c>
      <c r="U6997" s="248" t="s">
        <v>61</v>
      </c>
      <c r="V6997" s="139"/>
      <c r="W6997" s="49"/>
      <c r="X6997" s="49"/>
      <c r="Y6997" s="35"/>
      <c r="Z6997" s="35"/>
      <c r="AA6997" s="35"/>
      <c r="AB6997" s="35"/>
      <c r="AC6997" s="35"/>
      <c r="AD6997" s="35"/>
      <c r="AE6997" s="35"/>
      <c r="AF6997" s="35"/>
      <c r="AG6997" s="35"/>
      <c r="AH6997" s="35"/>
      <c r="AI6997" s="35"/>
      <c r="AJ6997" s="35"/>
      <c r="AK6997" s="35"/>
      <c r="AL6997" s="35"/>
    </row>
    <row r="6998">
      <c r="A6998" s="39"/>
      <c r="B6998" s="157" t="s">
        <v>32262</v>
      </c>
      <c r="C6998" s="158" t="s">
        <v>32532</v>
      </c>
      <c r="D6998" s="159"/>
      <c r="E6998" s="57" t="s">
        <v>32323</v>
      </c>
      <c r="F6998" s="22" t="s">
        <v>4436</v>
      </c>
      <c r="G6998" s="57">
        <v>1990.0</v>
      </c>
      <c r="H6998" s="57" t="s">
        <v>32547</v>
      </c>
      <c r="I6998" s="134" t="s">
        <v>32548</v>
      </c>
      <c r="J6998" s="23" t="s">
        <v>32530</v>
      </c>
      <c r="K6998" s="23"/>
      <c r="L6998" s="412"/>
      <c r="M6998" s="412"/>
      <c r="N6998" s="412"/>
      <c r="O6998" s="412"/>
      <c r="P6998" s="412"/>
      <c r="Q6998" s="412"/>
      <c r="R6998" s="412"/>
      <c r="S6998" s="412"/>
      <c r="T6998" s="54" t="s">
        <v>32549</v>
      </c>
      <c r="U6998" s="255" t="s">
        <v>61</v>
      </c>
      <c r="V6998" s="139"/>
      <c r="W6998" s="49"/>
      <c r="X6998" s="49"/>
      <c r="Y6998" s="35"/>
      <c r="Z6998" s="35"/>
      <c r="AA6998" s="35"/>
      <c r="AB6998" s="35"/>
      <c r="AC6998" s="35"/>
      <c r="AD6998" s="35"/>
      <c r="AE6998" s="35"/>
      <c r="AF6998" s="35"/>
      <c r="AG6998" s="35"/>
      <c r="AH6998" s="35"/>
      <c r="AI6998" s="35"/>
      <c r="AJ6998" s="35"/>
      <c r="AK6998" s="35"/>
      <c r="AL6998" s="35"/>
    </row>
    <row r="6999">
      <c r="A6999" s="39"/>
      <c r="B6999" s="157" t="s">
        <v>32262</v>
      </c>
      <c r="C6999" s="158" t="s">
        <v>32550</v>
      </c>
      <c r="D6999" s="159"/>
      <c r="E6999" s="57" t="s">
        <v>32330</v>
      </c>
      <c r="F6999" s="22" t="s">
        <v>4606</v>
      </c>
      <c r="G6999" s="57">
        <v>2008.0</v>
      </c>
      <c r="H6999" s="57" t="s">
        <v>9646</v>
      </c>
      <c r="I6999" s="134" t="s">
        <v>32551</v>
      </c>
      <c r="J6999" s="23" t="s">
        <v>32326</v>
      </c>
      <c r="K6999" s="23"/>
      <c r="L6999" s="412" t="s">
        <v>13472</v>
      </c>
      <c r="M6999" s="412" t="s">
        <v>32270</v>
      </c>
      <c r="N6999" s="412" t="s">
        <v>32271</v>
      </c>
      <c r="O6999" s="412" t="s">
        <v>32272</v>
      </c>
      <c r="P6999" s="412" t="s">
        <v>32273</v>
      </c>
      <c r="Q6999" s="412" t="s">
        <v>32274</v>
      </c>
      <c r="R6999" s="412" t="s">
        <v>32275</v>
      </c>
      <c r="S6999" s="412" t="s">
        <v>32276</v>
      </c>
      <c r="T6999" s="54" t="s">
        <v>32552</v>
      </c>
      <c r="U6999" s="248" t="s">
        <v>61</v>
      </c>
      <c r="V6999" s="139"/>
      <c r="W6999" s="49"/>
      <c r="X6999" s="49"/>
      <c r="Y6999" s="35"/>
      <c r="Z6999" s="35"/>
      <c r="AA6999" s="35"/>
      <c r="AB6999" s="35"/>
      <c r="AC6999" s="35"/>
      <c r="AD6999" s="35"/>
      <c r="AE6999" s="35"/>
      <c r="AF6999" s="35"/>
      <c r="AG6999" s="35"/>
      <c r="AH6999" s="35"/>
      <c r="AI6999" s="35"/>
      <c r="AJ6999" s="35"/>
      <c r="AK6999" s="35"/>
      <c r="AL6999" s="35"/>
    </row>
    <row r="7000">
      <c r="A7000" s="39"/>
      <c r="B7000" s="157" t="s">
        <v>32262</v>
      </c>
      <c r="C7000" s="158" t="s">
        <v>32553</v>
      </c>
      <c r="D7000" s="159"/>
      <c r="E7000" s="57" t="s">
        <v>32554</v>
      </c>
      <c r="F7000" s="22" t="s">
        <v>5157</v>
      </c>
      <c r="G7000" s="57">
        <v>2014.0</v>
      </c>
      <c r="H7000" s="57" t="s">
        <v>32555</v>
      </c>
      <c r="I7000" s="134" t="s">
        <v>32556</v>
      </c>
      <c r="J7000" s="23" t="s">
        <v>649</v>
      </c>
      <c r="K7000" s="23"/>
      <c r="L7000" s="105" t="s">
        <v>32557</v>
      </c>
      <c r="M7000" s="44"/>
      <c r="N7000" s="44"/>
      <c r="O7000" s="44"/>
      <c r="P7000" s="44"/>
      <c r="Q7000" s="44"/>
      <c r="R7000" s="44"/>
      <c r="S7000" s="44"/>
      <c r="T7000" s="45"/>
      <c r="U7000" s="248" t="s">
        <v>61</v>
      </c>
      <c r="V7000" s="139"/>
      <c r="W7000" s="49"/>
      <c r="X7000" s="49"/>
      <c r="Y7000" s="35"/>
      <c r="Z7000" s="35"/>
      <c r="AA7000" s="35"/>
      <c r="AB7000" s="35"/>
      <c r="AC7000" s="35"/>
      <c r="AD7000" s="35"/>
      <c r="AE7000" s="35"/>
      <c r="AF7000" s="35"/>
      <c r="AG7000" s="35"/>
      <c r="AH7000" s="35"/>
      <c r="AI7000" s="35"/>
      <c r="AJ7000" s="35"/>
      <c r="AK7000" s="35"/>
      <c r="AL7000" s="35"/>
    </row>
    <row r="7001">
      <c r="A7001" s="39"/>
      <c r="B7001" s="157" t="s">
        <v>32262</v>
      </c>
      <c r="C7001" s="158" t="s">
        <v>32553</v>
      </c>
      <c r="D7001" s="159"/>
      <c r="E7001" s="57" t="s">
        <v>32472</v>
      </c>
      <c r="F7001" s="22" t="s">
        <v>26204</v>
      </c>
      <c r="G7001" s="57">
        <v>2010.0</v>
      </c>
      <c r="H7001" s="57" t="s">
        <v>32558</v>
      </c>
      <c r="I7001" s="134" t="s">
        <v>32559</v>
      </c>
      <c r="J7001" s="23" t="s">
        <v>32560</v>
      </c>
      <c r="K7001" s="23"/>
      <c r="L7001" s="412" t="s">
        <v>13472</v>
      </c>
      <c r="M7001" s="412" t="s">
        <v>32270</v>
      </c>
      <c r="N7001" s="412" t="s">
        <v>32271</v>
      </c>
      <c r="O7001" s="412" t="s">
        <v>32272</v>
      </c>
      <c r="P7001" s="412" t="s">
        <v>32273</v>
      </c>
      <c r="Q7001" s="412" t="s">
        <v>32274</v>
      </c>
      <c r="R7001" s="412" t="s">
        <v>32275</v>
      </c>
      <c r="S7001" s="412" t="s">
        <v>32276</v>
      </c>
      <c r="T7001" s="54" t="s">
        <v>32561</v>
      </c>
      <c r="U7001" s="248" t="s">
        <v>61</v>
      </c>
      <c r="V7001" s="139"/>
      <c r="W7001" s="49"/>
      <c r="X7001" s="49"/>
      <c r="Y7001" s="35"/>
      <c r="Z7001" s="35"/>
      <c r="AA7001" s="35"/>
      <c r="AB7001" s="35"/>
      <c r="AC7001" s="35"/>
      <c r="AD7001" s="35"/>
      <c r="AE7001" s="35"/>
      <c r="AF7001" s="35"/>
      <c r="AG7001" s="35"/>
      <c r="AH7001" s="35"/>
      <c r="AI7001" s="35"/>
      <c r="AJ7001" s="35"/>
      <c r="AK7001" s="35"/>
      <c r="AL7001" s="35"/>
    </row>
    <row r="7002">
      <c r="A7002" s="39"/>
      <c r="B7002" s="157" t="s">
        <v>32262</v>
      </c>
      <c r="C7002" s="158" t="s">
        <v>12517</v>
      </c>
      <c r="D7002" s="159"/>
      <c r="E7002" s="57" t="s">
        <v>16961</v>
      </c>
      <c r="F7002" s="22" t="s">
        <v>494</v>
      </c>
      <c r="G7002" s="57">
        <v>2021.0</v>
      </c>
      <c r="H7002" s="57" t="s">
        <v>15946</v>
      </c>
      <c r="I7002" s="134" t="s">
        <v>32562</v>
      </c>
      <c r="J7002" s="23" t="s">
        <v>2036</v>
      </c>
      <c r="K7002" s="23"/>
      <c r="L7002" s="173" t="s">
        <v>32563</v>
      </c>
      <c r="U7002" s="255" t="s">
        <v>61</v>
      </c>
      <c r="V7002" s="139"/>
      <c r="W7002" s="49"/>
      <c r="X7002" s="49"/>
      <c r="Y7002" s="35"/>
      <c r="Z7002" s="35"/>
      <c r="AA7002" s="35"/>
      <c r="AB7002" s="35"/>
      <c r="AC7002" s="35"/>
      <c r="AD7002" s="35"/>
      <c r="AE7002" s="35"/>
      <c r="AF7002" s="35"/>
      <c r="AG7002" s="35"/>
      <c r="AH7002" s="35"/>
      <c r="AI7002" s="35"/>
      <c r="AJ7002" s="35"/>
      <c r="AK7002" s="35"/>
      <c r="AL7002" s="35"/>
    </row>
    <row r="7003">
      <c r="A7003" s="39"/>
      <c r="B7003" s="157" t="s">
        <v>32262</v>
      </c>
      <c r="C7003" s="158" t="s">
        <v>12517</v>
      </c>
      <c r="D7003" s="159"/>
      <c r="E7003" s="57" t="s">
        <v>32564</v>
      </c>
      <c r="F7003" s="22" t="s">
        <v>20254</v>
      </c>
      <c r="G7003" s="57">
        <v>2021.0</v>
      </c>
      <c r="H7003" s="57" t="s">
        <v>32565</v>
      </c>
      <c r="I7003" s="134" t="s">
        <v>32566</v>
      </c>
      <c r="J7003" s="23" t="s">
        <v>2157</v>
      </c>
      <c r="K7003" s="23"/>
      <c r="L7003" s="173" t="s">
        <v>32567</v>
      </c>
      <c r="U7003" s="248" t="s">
        <v>61</v>
      </c>
      <c r="V7003" s="139"/>
      <c r="W7003" s="49"/>
      <c r="X7003" s="49"/>
      <c r="Y7003" s="35"/>
      <c r="Z7003" s="35"/>
      <c r="AA7003" s="35"/>
      <c r="AB7003" s="35"/>
      <c r="AC7003" s="35"/>
      <c r="AD7003" s="35"/>
      <c r="AE7003" s="35"/>
      <c r="AF7003" s="35"/>
      <c r="AG7003" s="35"/>
      <c r="AH7003" s="35"/>
      <c r="AI7003" s="35"/>
      <c r="AJ7003" s="35"/>
      <c r="AK7003" s="35"/>
      <c r="AL7003" s="35"/>
    </row>
    <row r="7004">
      <c r="A7004" s="39"/>
      <c r="B7004" s="157" t="s">
        <v>32262</v>
      </c>
      <c r="C7004" s="158" t="s">
        <v>32568</v>
      </c>
      <c r="D7004" s="159"/>
      <c r="E7004" s="57" t="s">
        <v>32569</v>
      </c>
      <c r="F7004" s="22" t="s">
        <v>32570</v>
      </c>
      <c r="G7004" s="57">
        <v>2020.0</v>
      </c>
      <c r="H7004" s="57" t="s">
        <v>383</v>
      </c>
      <c r="I7004" s="134" t="s">
        <v>32571</v>
      </c>
      <c r="J7004" s="22" t="s">
        <v>30359</v>
      </c>
      <c r="K7004" s="23"/>
      <c r="L7004" s="412" t="s">
        <v>13472</v>
      </c>
      <c r="M7004" s="412" t="s">
        <v>32270</v>
      </c>
      <c r="N7004" s="412" t="s">
        <v>32271</v>
      </c>
      <c r="O7004" s="412" t="s">
        <v>32272</v>
      </c>
      <c r="P7004" s="412" t="s">
        <v>32273</v>
      </c>
      <c r="Q7004" s="412" t="s">
        <v>32274</v>
      </c>
      <c r="R7004" s="412" t="s">
        <v>32275</v>
      </c>
      <c r="S7004" s="412" t="s">
        <v>32276</v>
      </c>
      <c r="T7004" s="102" t="s">
        <v>32572</v>
      </c>
      <c r="U7004" s="248" t="s">
        <v>61</v>
      </c>
      <c r="V7004" s="139"/>
      <c r="W7004" s="49"/>
      <c r="X7004" s="49"/>
      <c r="Y7004" s="35"/>
      <c r="Z7004" s="35"/>
      <c r="AA7004" s="35"/>
      <c r="AB7004" s="35"/>
      <c r="AC7004" s="35"/>
      <c r="AD7004" s="35"/>
      <c r="AE7004" s="35"/>
      <c r="AF7004" s="35"/>
      <c r="AG7004" s="35"/>
      <c r="AH7004" s="35"/>
      <c r="AI7004" s="35"/>
      <c r="AJ7004" s="35"/>
      <c r="AK7004" s="35"/>
      <c r="AL7004" s="35"/>
    </row>
    <row r="7005">
      <c r="A7005" s="39"/>
      <c r="B7005" s="157" t="s">
        <v>32262</v>
      </c>
      <c r="C7005" s="158" t="s">
        <v>32573</v>
      </c>
      <c r="D7005" s="159"/>
      <c r="E7005" s="57" t="s">
        <v>32574</v>
      </c>
      <c r="F7005" s="22" t="s">
        <v>14699</v>
      </c>
      <c r="G7005" s="57">
        <v>2005.0</v>
      </c>
      <c r="H7005" s="57" t="s">
        <v>32575</v>
      </c>
      <c r="I7005" s="134" t="s">
        <v>32576</v>
      </c>
      <c r="J7005" s="22" t="s">
        <v>30359</v>
      </c>
      <c r="K7005" s="23"/>
      <c r="L7005" s="412" t="s">
        <v>13472</v>
      </c>
      <c r="M7005" s="412" t="s">
        <v>32270</v>
      </c>
      <c r="N7005" s="412" t="s">
        <v>32271</v>
      </c>
      <c r="O7005" s="412" t="s">
        <v>32272</v>
      </c>
      <c r="P7005" s="412" t="s">
        <v>32273</v>
      </c>
      <c r="Q7005" s="412" t="s">
        <v>32274</v>
      </c>
      <c r="R7005" s="412" t="s">
        <v>32275</v>
      </c>
      <c r="S7005" s="412" t="s">
        <v>32276</v>
      </c>
      <c r="T7005" s="54" t="s">
        <v>32577</v>
      </c>
      <c r="U7005" s="255" t="s">
        <v>61</v>
      </c>
      <c r="V7005" s="139"/>
      <c r="W7005" s="49"/>
      <c r="X7005" s="49"/>
      <c r="Y7005" s="35"/>
      <c r="Z7005" s="35"/>
      <c r="AA7005" s="35"/>
      <c r="AB7005" s="35"/>
      <c r="AC7005" s="35"/>
      <c r="AD7005" s="35"/>
      <c r="AE7005" s="35"/>
      <c r="AF7005" s="35"/>
      <c r="AG7005" s="35"/>
      <c r="AH7005" s="35"/>
      <c r="AI7005" s="35"/>
      <c r="AJ7005" s="35"/>
      <c r="AK7005" s="35"/>
      <c r="AL7005" s="35"/>
    </row>
    <row r="7006">
      <c r="A7006" s="39"/>
      <c r="B7006" s="157" t="s">
        <v>32262</v>
      </c>
      <c r="C7006" s="158" t="s">
        <v>6367</v>
      </c>
      <c r="D7006" s="159"/>
      <c r="E7006" s="57" t="s">
        <v>32578</v>
      </c>
      <c r="F7006" s="22" t="s">
        <v>2407</v>
      </c>
      <c r="G7006" s="57">
        <v>2017.0</v>
      </c>
      <c r="H7006" s="57" t="s">
        <v>32579</v>
      </c>
      <c r="I7006" s="134" t="s">
        <v>32580</v>
      </c>
      <c r="J7006" s="23" t="s">
        <v>202</v>
      </c>
      <c r="K7006" s="23" t="s">
        <v>32581</v>
      </c>
      <c r="L7006" s="105" t="s">
        <v>32582</v>
      </c>
      <c r="M7006" s="44"/>
      <c r="N7006" s="44"/>
      <c r="O7006" s="44"/>
      <c r="P7006" s="44"/>
      <c r="Q7006" s="44"/>
      <c r="R7006" s="44"/>
      <c r="S7006" s="44"/>
      <c r="T7006" s="45"/>
      <c r="U7006" s="248" t="s">
        <v>61</v>
      </c>
      <c r="V7006" s="139"/>
      <c r="W7006" s="49"/>
      <c r="X7006" s="49"/>
      <c r="Y7006" s="35"/>
      <c r="Z7006" s="35"/>
      <c r="AA7006" s="35"/>
      <c r="AB7006" s="35"/>
      <c r="AC7006" s="35"/>
      <c r="AD7006" s="35"/>
      <c r="AE7006" s="35"/>
      <c r="AF7006" s="35"/>
      <c r="AG7006" s="35"/>
      <c r="AH7006" s="35"/>
      <c r="AI7006" s="35"/>
      <c r="AJ7006" s="35"/>
      <c r="AK7006" s="35"/>
      <c r="AL7006" s="35"/>
    </row>
    <row r="7007">
      <c r="A7007" s="39"/>
      <c r="B7007" s="157" t="s">
        <v>32262</v>
      </c>
      <c r="C7007" s="158" t="s">
        <v>7918</v>
      </c>
      <c r="D7007" s="159"/>
      <c r="E7007" s="57" t="s">
        <v>32583</v>
      </c>
      <c r="F7007" s="22" t="s">
        <v>5371</v>
      </c>
      <c r="G7007" s="57">
        <v>2019.0</v>
      </c>
      <c r="H7007" s="57" t="s">
        <v>32584</v>
      </c>
      <c r="I7007" s="134" t="s">
        <v>32585</v>
      </c>
      <c r="J7007" s="23" t="s">
        <v>22</v>
      </c>
      <c r="K7007" s="23" t="s">
        <v>32586</v>
      </c>
      <c r="L7007" s="105" t="s">
        <v>32587</v>
      </c>
      <c r="M7007" s="44"/>
      <c r="N7007" s="44"/>
      <c r="O7007" s="44"/>
      <c r="P7007" s="44"/>
      <c r="Q7007" s="44"/>
      <c r="R7007" s="44"/>
      <c r="S7007" s="44"/>
      <c r="T7007" s="45"/>
      <c r="U7007" s="248" t="s">
        <v>61</v>
      </c>
      <c r="V7007" s="139"/>
      <c r="W7007" s="49"/>
      <c r="X7007" s="49"/>
      <c r="Y7007" s="35"/>
      <c r="Z7007" s="35"/>
      <c r="AA7007" s="35"/>
      <c r="AB7007" s="35"/>
      <c r="AC7007" s="35"/>
      <c r="AD7007" s="35"/>
      <c r="AE7007" s="35"/>
      <c r="AF7007" s="35"/>
      <c r="AG7007" s="35"/>
      <c r="AH7007" s="35"/>
      <c r="AI7007" s="35"/>
      <c r="AJ7007" s="35"/>
      <c r="AK7007" s="35"/>
      <c r="AL7007" s="35"/>
    </row>
    <row r="7008">
      <c r="A7008" s="1" t="s">
        <v>2</v>
      </c>
      <c r="B7008" s="157" t="s">
        <v>32262</v>
      </c>
      <c r="C7008" s="158" t="s">
        <v>32588</v>
      </c>
      <c r="D7008" s="159"/>
      <c r="E7008" s="57" t="s">
        <v>32589</v>
      </c>
      <c r="F7008" s="22" t="s">
        <v>2052</v>
      </c>
      <c r="G7008" s="57">
        <v>2021.0</v>
      </c>
      <c r="H7008" s="57" t="s">
        <v>15946</v>
      </c>
      <c r="I7008" s="134" t="s">
        <v>32590</v>
      </c>
      <c r="J7008" s="23" t="s">
        <v>32591</v>
      </c>
      <c r="K7008" s="23"/>
      <c r="L7008" s="412" t="s">
        <v>13472</v>
      </c>
      <c r="M7008" s="412" t="s">
        <v>32270</v>
      </c>
      <c r="N7008" s="412" t="s">
        <v>32271</v>
      </c>
      <c r="O7008" s="412" t="s">
        <v>32272</v>
      </c>
      <c r="P7008" s="412" t="s">
        <v>32273</v>
      </c>
      <c r="Q7008" s="412" t="s">
        <v>32274</v>
      </c>
      <c r="R7008" s="412" t="s">
        <v>32275</v>
      </c>
      <c r="S7008" s="412" t="s">
        <v>32276</v>
      </c>
      <c r="T7008" s="54" t="s">
        <v>32592</v>
      </c>
      <c r="U7008" s="248" t="s">
        <v>61</v>
      </c>
      <c r="V7008" s="139"/>
      <c r="W7008" s="49"/>
      <c r="X7008" s="49"/>
      <c r="Y7008" s="35"/>
      <c r="Z7008" s="35"/>
      <c r="AA7008" s="35"/>
      <c r="AB7008" s="35"/>
      <c r="AC7008" s="35"/>
      <c r="AD7008" s="35"/>
      <c r="AE7008" s="35"/>
      <c r="AF7008" s="35"/>
      <c r="AG7008" s="35"/>
      <c r="AH7008" s="35"/>
      <c r="AI7008" s="35"/>
      <c r="AJ7008" s="35"/>
      <c r="AK7008" s="35"/>
      <c r="AL7008" s="35"/>
    </row>
    <row r="7009">
      <c r="A7009" s="39"/>
      <c r="B7009" s="75" t="s">
        <v>32262</v>
      </c>
      <c r="C7009" s="77" t="s">
        <v>32593</v>
      </c>
      <c r="D7009" s="159"/>
      <c r="E7009" s="57" t="s">
        <v>32583</v>
      </c>
      <c r="F7009" s="22" t="s">
        <v>5371</v>
      </c>
      <c r="G7009" s="57">
        <v>2024.0</v>
      </c>
      <c r="H7009" s="57" t="s">
        <v>5032</v>
      </c>
      <c r="I7009" s="134" t="s">
        <v>32594</v>
      </c>
      <c r="J7009" s="22" t="s">
        <v>125</v>
      </c>
      <c r="K7009" s="23" t="s">
        <v>5315</v>
      </c>
      <c r="L7009" s="105" t="s">
        <v>32595</v>
      </c>
      <c r="M7009" s="44"/>
      <c r="N7009" s="44"/>
      <c r="O7009" s="44"/>
      <c r="P7009" s="44"/>
      <c r="Q7009" s="44"/>
      <c r="R7009" s="44"/>
      <c r="S7009" s="44"/>
      <c r="T7009" s="45"/>
      <c r="U7009" s="255" t="s">
        <v>61</v>
      </c>
      <c r="V7009" s="139"/>
      <c r="W7009" s="49"/>
      <c r="X7009" s="49"/>
      <c r="Y7009" s="35"/>
      <c r="Z7009" s="35"/>
      <c r="AA7009" s="35"/>
      <c r="AB7009" s="35"/>
      <c r="AC7009" s="35"/>
      <c r="AD7009" s="35"/>
      <c r="AE7009" s="35"/>
      <c r="AF7009" s="35"/>
      <c r="AG7009" s="35"/>
      <c r="AH7009" s="35"/>
      <c r="AI7009" s="35"/>
      <c r="AJ7009" s="35"/>
      <c r="AK7009" s="35"/>
      <c r="AL7009" s="35"/>
    </row>
    <row r="7010">
      <c r="A7010" s="39"/>
      <c r="B7010" s="75" t="s">
        <v>32262</v>
      </c>
      <c r="C7010" s="77" t="s">
        <v>32593</v>
      </c>
      <c r="D7010" s="159"/>
      <c r="E7010" s="57" t="s">
        <v>32596</v>
      </c>
      <c r="F7010" s="22" t="s">
        <v>647</v>
      </c>
      <c r="G7010" s="57">
        <v>2024.0</v>
      </c>
      <c r="H7010" s="57" t="s">
        <v>32597</v>
      </c>
      <c r="I7010" s="134" t="s">
        <v>32598</v>
      </c>
      <c r="J7010" s="22" t="s">
        <v>32599</v>
      </c>
      <c r="K7010" s="23"/>
      <c r="L7010" s="105" t="s">
        <v>32600</v>
      </c>
      <c r="M7010" s="44"/>
      <c r="N7010" s="44"/>
      <c r="O7010" s="44"/>
      <c r="P7010" s="44"/>
      <c r="Q7010" s="44"/>
      <c r="R7010" s="44"/>
      <c r="S7010" s="44"/>
      <c r="T7010" s="45"/>
      <c r="U7010" s="255" t="s">
        <v>61</v>
      </c>
      <c r="V7010" s="139"/>
      <c r="W7010" s="49"/>
      <c r="X7010" s="49"/>
      <c r="Y7010" s="35"/>
      <c r="Z7010" s="35"/>
      <c r="AA7010" s="35"/>
      <c r="AB7010" s="35"/>
      <c r="AC7010" s="35"/>
      <c r="AD7010" s="35"/>
      <c r="AE7010" s="35"/>
      <c r="AF7010" s="35"/>
      <c r="AG7010" s="35"/>
      <c r="AH7010" s="35"/>
      <c r="AI7010" s="35"/>
      <c r="AJ7010" s="35"/>
      <c r="AK7010" s="35"/>
      <c r="AL7010" s="35"/>
    </row>
    <row r="7011">
      <c r="A7011" s="39"/>
      <c r="B7011" s="75" t="s">
        <v>32262</v>
      </c>
      <c r="C7011" s="77" t="s">
        <v>32593</v>
      </c>
      <c r="D7011" s="159"/>
      <c r="E7011" s="57" t="s">
        <v>32596</v>
      </c>
      <c r="F7011" s="22" t="s">
        <v>647</v>
      </c>
      <c r="G7011" s="57">
        <v>2023.0</v>
      </c>
      <c r="H7011" s="57" t="s">
        <v>3950</v>
      </c>
      <c r="I7011" s="134" t="s">
        <v>32601</v>
      </c>
      <c r="J7011" s="22" t="s">
        <v>125</v>
      </c>
      <c r="K7011" s="23"/>
      <c r="L7011" s="105" t="s">
        <v>32602</v>
      </c>
      <c r="M7011" s="44"/>
      <c r="N7011" s="44"/>
      <c r="O7011" s="44"/>
      <c r="P7011" s="44"/>
      <c r="Q7011" s="44"/>
      <c r="R7011" s="44"/>
      <c r="S7011" s="44"/>
      <c r="T7011" s="45"/>
      <c r="U7011" s="255" t="s">
        <v>61</v>
      </c>
      <c r="V7011" s="139"/>
      <c r="W7011" s="49"/>
      <c r="X7011" s="49"/>
      <c r="Y7011" s="35"/>
      <c r="Z7011" s="35"/>
      <c r="AA7011" s="35"/>
      <c r="AB7011" s="35"/>
      <c r="AC7011" s="35"/>
      <c r="AD7011" s="35"/>
      <c r="AE7011" s="35"/>
      <c r="AF7011" s="35"/>
      <c r="AG7011" s="35"/>
      <c r="AH7011" s="35"/>
      <c r="AI7011" s="35"/>
      <c r="AJ7011" s="35"/>
      <c r="AK7011" s="35"/>
      <c r="AL7011" s="35"/>
    </row>
    <row r="7012">
      <c r="A7012" s="39"/>
      <c r="B7012" s="157" t="s">
        <v>32262</v>
      </c>
      <c r="C7012" s="158" t="s">
        <v>32593</v>
      </c>
      <c r="D7012" s="159"/>
      <c r="E7012" s="57" t="s">
        <v>32472</v>
      </c>
      <c r="F7012" s="22" t="s">
        <v>26204</v>
      </c>
      <c r="G7012" s="57">
        <v>2022.0</v>
      </c>
      <c r="H7012" s="57" t="s">
        <v>18933</v>
      </c>
      <c r="I7012" s="134" t="s">
        <v>32603</v>
      </c>
      <c r="J7012" s="22" t="s">
        <v>125</v>
      </c>
      <c r="K7012" s="23"/>
      <c r="L7012" s="105" t="s">
        <v>32604</v>
      </c>
      <c r="M7012" s="44"/>
      <c r="N7012" s="44"/>
      <c r="O7012" s="44"/>
      <c r="P7012" s="44"/>
      <c r="Q7012" s="44"/>
      <c r="R7012" s="44"/>
      <c r="S7012" s="44"/>
      <c r="T7012" s="45"/>
      <c r="U7012" s="255" t="s">
        <v>61</v>
      </c>
      <c r="V7012" s="139"/>
      <c r="W7012" s="49"/>
      <c r="X7012" s="49"/>
      <c r="Y7012" s="35"/>
      <c r="Z7012" s="35"/>
      <c r="AA7012" s="35"/>
      <c r="AB7012" s="35"/>
      <c r="AC7012" s="35"/>
      <c r="AD7012" s="35"/>
      <c r="AE7012" s="35"/>
      <c r="AF7012" s="35"/>
      <c r="AG7012" s="35"/>
      <c r="AH7012" s="35"/>
      <c r="AI7012" s="35"/>
      <c r="AJ7012" s="35"/>
      <c r="AK7012" s="35"/>
      <c r="AL7012" s="35"/>
    </row>
    <row r="7013">
      <c r="A7013" s="39"/>
      <c r="B7013" s="157" t="s">
        <v>32262</v>
      </c>
      <c r="C7013" s="158" t="s">
        <v>32593</v>
      </c>
      <c r="D7013" s="159"/>
      <c r="E7013" s="57" t="s">
        <v>32605</v>
      </c>
      <c r="F7013" s="22" t="s">
        <v>5303</v>
      </c>
      <c r="G7013" s="57">
        <v>2021.0</v>
      </c>
      <c r="H7013" s="57" t="s">
        <v>32324</v>
      </c>
      <c r="I7013" s="134" t="s">
        <v>32606</v>
      </c>
      <c r="J7013" s="22" t="s">
        <v>125</v>
      </c>
      <c r="K7013" s="23"/>
      <c r="L7013" s="105" t="s">
        <v>32607</v>
      </c>
      <c r="M7013" s="44"/>
      <c r="N7013" s="44"/>
      <c r="O7013" s="44"/>
      <c r="P7013" s="44"/>
      <c r="Q7013" s="44"/>
      <c r="R7013" s="44"/>
      <c r="S7013" s="44"/>
      <c r="T7013" s="45"/>
      <c r="U7013" s="248" t="s">
        <v>61</v>
      </c>
      <c r="V7013" s="139"/>
      <c r="W7013" s="49"/>
      <c r="X7013" s="49"/>
      <c r="Y7013" s="35"/>
      <c r="Z7013" s="35"/>
      <c r="AA7013" s="35"/>
      <c r="AB7013" s="35"/>
      <c r="AC7013" s="35"/>
      <c r="AD7013" s="35"/>
      <c r="AE7013" s="35"/>
      <c r="AF7013" s="35"/>
      <c r="AG7013" s="35"/>
      <c r="AH7013" s="35"/>
      <c r="AI7013" s="35"/>
      <c r="AJ7013" s="35"/>
      <c r="AK7013" s="35"/>
      <c r="AL7013" s="35"/>
    </row>
    <row r="7014">
      <c r="A7014" s="39"/>
      <c r="B7014" s="157" t="s">
        <v>32262</v>
      </c>
      <c r="C7014" s="158" t="s">
        <v>32593</v>
      </c>
      <c r="D7014" s="159"/>
      <c r="E7014" s="57" t="s">
        <v>32608</v>
      </c>
      <c r="F7014" s="22" t="s">
        <v>41</v>
      </c>
      <c r="G7014" s="57">
        <v>2021.0</v>
      </c>
      <c r="H7014" s="57" t="s">
        <v>15368</v>
      </c>
      <c r="I7014" s="134" t="s">
        <v>32609</v>
      </c>
      <c r="J7014" s="22" t="s">
        <v>125</v>
      </c>
      <c r="K7014" s="23"/>
      <c r="L7014" s="105" t="s">
        <v>32610</v>
      </c>
      <c r="M7014" s="44"/>
      <c r="N7014" s="44"/>
      <c r="O7014" s="44"/>
      <c r="P7014" s="44"/>
      <c r="Q7014" s="44"/>
      <c r="R7014" s="44"/>
      <c r="S7014" s="44"/>
      <c r="T7014" s="45"/>
      <c r="U7014" s="248" t="s">
        <v>8353</v>
      </c>
      <c r="V7014" s="139"/>
      <c r="W7014" s="49"/>
      <c r="X7014" s="49"/>
      <c r="Y7014" s="35"/>
      <c r="Z7014" s="35"/>
      <c r="AA7014" s="35"/>
      <c r="AB7014" s="35"/>
      <c r="AC7014" s="35"/>
      <c r="AD7014" s="35"/>
      <c r="AE7014" s="35"/>
      <c r="AF7014" s="35"/>
      <c r="AG7014" s="35"/>
      <c r="AH7014" s="35"/>
      <c r="AI7014" s="35"/>
      <c r="AJ7014" s="35"/>
      <c r="AK7014" s="35"/>
      <c r="AL7014" s="35"/>
    </row>
    <row r="7015">
      <c r="A7015" s="39"/>
      <c r="B7015" s="157" t="s">
        <v>32262</v>
      </c>
      <c r="C7015" s="158" t="s">
        <v>32593</v>
      </c>
      <c r="D7015" s="159"/>
      <c r="E7015" s="57" t="s">
        <v>32611</v>
      </c>
      <c r="F7015" s="22" t="s">
        <v>26204</v>
      </c>
      <c r="G7015" s="57">
        <v>2020.0</v>
      </c>
      <c r="H7015" s="57" t="s">
        <v>2398</v>
      </c>
      <c r="I7015" s="134" t="s">
        <v>32612</v>
      </c>
      <c r="J7015" s="22" t="s">
        <v>125</v>
      </c>
      <c r="K7015" s="23"/>
      <c r="L7015" s="105" t="s">
        <v>32613</v>
      </c>
      <c r="M7015" s="44"/>
      <c r="N7015" s="44"/>
      <c r="O7015" s="44"/>
      <c r="P7015" s="44"/>
      <c r="Q7015" s="44"/>
      <c r="R7015" s="44"/>
      <c r="S7015" s="44"/>
      <c r="T7015" s="45"/>
      <c r="U7015" s="248" t="s">
        <v>61</v>
      </c>
      <c r="V7015" s="139"/>
      <c r="W7015" s="49"/>
      <c r="X7015" s="49"/>
      <c r="Y7015" s="35"/>
      <c r="Z7015" s="35"/>
      <c r="AA7015" s="35"/>
      <c r="AB7015" s="35"/>
      <c r="AC7015" s="35"/>
      <c r="AD7015" s="35"/>
      <c r="AE7015" s="35"/>
      <c r="AF7015" s="35"/>
      <c r="AG7015" s="35"/>
      <c r="AH7015" s="35"/>
      <c r="AI7015" s="35"/>
      <c r="AJ7015" s="35"/>
      <c r="AK7015" s="35"/>
      <c r="AL7015" s="35"/>
    </row>
    <row r="7016">
      <c r="A7016" s="39"/>
      <c r="B7016" s="157" t="s">
        <v>32262</v>
      </c>
      <c r="C7016" s="158" t="s">
        <v>32593</v>
      </c>
      <c r="D7016" s="159"/>
      <c r="E7016" s="57" t="s">
        <v>32614</v>
      </c>
      <c r="F7016" s="22" t="s">
        <v>32615</v>
      </c>
      <c r="G7016" s="57">
        <v>2020.0</v>
      </c>
      <c r="H7016" s="57" t="s">
        <v>32616</v>
      </c>
      <c r="I7016" s="134" t="s">
        <v>32617</v>
      </c>
      <c r="J7016" s="22" t="s">
        <v>125</v>
      </c>
      <c r="K7016" s="23"/>
      <c r="L7016" s="105" t="s">
        <v>32618</v>
      </c>
      <c r="M7016" s="44"/>
      <c r="N7016" s="44"/>
      <c r="O7016" s="44"/>
      <c r="P7016" s="44"/>
      <c r="Q7016" s="44"/>
      <c r="R7016" s="44"/>
      <c r="S7016" s="44"/>
      <c r="T7016" s="45"/>
      <c r="U7016" s="248" t="s">
        <v>61</v>
      </c>
      <c r="V7016" s="139"/>
      <c r="W7016" s="49"/>
      <c r="X7016" s="49"/>
      <c r="Y7016" s="35"/>
      <c r="Z7016" s="35"/>
      <c r="AA7016" s="35"/>
      <c r="AB7016" s="35"/>
      <c r="AC7016" s="35"/>
      <c r="AD7016" s="35"/>
      <c r="AE7016" s="35"/>
      <c r="AF7016" s="35"/>
      <c r="AG7016" s="35"/>
      <c r="AH7016" s="35"/>
      <c r="AI7016" s="35"/>
      <c r="AJ7016" s="35"/>
      <c r="AK7016" s="35"/>
      <c r="AL7016" s="35"/>
    </row>
    <row r="7017">
      <c r="A7017" s="39"/>
      <c r="B7017" s="157" t="s">
        <v>32262</v>
      </c>
      <c r="C7017" s="158" t="s">
        <v>32593</v>
      </c>
      <c r="D7017" s="159"/>
      <c r="E7017" s="57" t="s">
        <v>32619</v>
      </c>
      <c r="F7017" s="22" t="s">
        <v>32620</v>
      </c>
      <c r="G7017" s="57">
        <v>2020.0</v>
      </c>
      <c r="H7017" s="57" t="s">
        <v>15946</v>
      </c>
      <c r="I7017" s="134" t="s">
        <v>32621</v>
      </c>
      <c r="J7017" s="22" t="s">
        <v>125</v>
      </c>
      <c r="K7017" s="23"/>
      <c r="L7017" s="105" t="s">
        <v>32622</v>
      </c>
      <c r="M7017" s="44"/>
      <c r="N7017" s="44"/>
      <c r="O7017" s="44"/>
      <c r="P7017" s="44"/>
      <c r="Q7017" s="44"/>
      <c r="R7017" s="44"/>
      <c r="S7017" s="44"/>
      <c r="T7017" s="45"/>
      <c r="U7017" s="248" t="s">
        <v>61</v>
      </c>
      <c r="V7017" s="139"/>
      <c r="W7017" s="49"/>
      <c r="X7017" s="49"/>
      <c r="Y7017" s="35"/>
      <c r="Z7017" s="35"/>
      <c r="AA7017" s="35"/>
      <c r="AB7017" s="35"/>
      <c r="AC7017" s="35"/>
      <c r="AD7017" s="35"/>
      <c r="AE7017" s="35"/>
      <c r="AF7017" s="35"/>
      <c r="AG7017" s="35"/>
      <c r="AH7017" s="35"/>
      <c r="AI7017" s="35"/>
      <c r="AJ7017" s="35"/>
      <c r="AK7017" s="35"/>
      <c r="AL7017" s="35"/>
    </row>
    <row r="7018">
      <c r="A7018" s="39" t="s">
        <v>2</v>
      </c>
      <c r="B7018" s="157" t="s">
        <v>32262</v>
      </c>
      <c r="C7018" s="158" t="s">
        <v>32593</v>
      </c>
      <c r="D7018" s="159"/>
      <c r="E7018" s="57" t="s">
        <v>20873</v>
      </c>
      <c r="F7018" s="22" t="s">
        <v>32623</v>
      </c>
      <c r="G7018" s="57">
        <v>2020.0</v>
      </c>
      <c r="H7018" s="57" t="s">
        <v>2247</v>
      </c>
      <c r="I7018" s="134" t="s">
        <v>32624</v>
      </c>
      <c r="J7018" s="22" t="s">
        <v>125</v>
      </c>
      <c r="K7018" s="23"/>
      <c r="L7018" s="105" t="s">
        <v>32625</v>
      </c>
      <c r="M7018" s="44"/>
      <c r="N7018" s="44"/>
      <c r="O7018" s="44"/>
      <c r="P7018" s="44"/>
      <c r="Q7018" s="44"/>
      <c r="R7018" s="44"/>
      <c r="S7018" s="44"/>
      <c r="T7018" s="45"/>
      <c r="U7018" s="248" t="s">
        <v>61</v>
      </c>
      <c r="V7018" s="139"/>
      <c r="W7018" s="49"/>
      <c r="X7018" s="49"/>
      <c r="Y7018" s="35"/>
      <c r="Z7018" s="35"/>
      <c r="AA7018" s="35"/>
      <c r="AB7018" s="35"/>
      <c r="AC7018" s="35"/>
      <c r="AD7018" s="35"/>
      <c r="AE7018" s="35"/>
      <c r="AF7018" s="35"/>
      <c r="AG7018" s="35"/>
      <c r="AH7018" s="35"/>
      <c r="AI7018" s="35"/>
      <c r="AJ7018" s="35"/>
      <c r="AK7018" s="35"/>
      <c r="AL7018" s="35"/>
    </row>
    <row r="7019">
      <c r="A7019" s="39"/>
      <c r="B7019" s="157" t="s">
        <v>32262</v>
      </c>
      <c r="C7019" s="158" t="s">
        <v>32593</v>
      </c>
      <c r="D7019" s="159"/>
      <c r="E7019" s="57" t="s">
        <v>32626</v>
      </c>
      <c r="F7019" s="22" t="s">
        <v>15724</v>
      </c>
      <c r="G7019" s="57">
        <v>2020.0</v>
      </c>
      <c r="H7019" s="57" t="s">
        <v>32627</v>
      </c>
      <c r="I7019" s="134" t="s">
        <v>32628</v>
      </c>
      <c r="J7019" s="22" t="s">
        <v>125</v>
      </c>
      <c r="K7019" s="23"/>
      <c r="L7019" s="105" t="s">
        <v>32629</v>
      </c>
      <c r="M7019" s="44"/>
      <c r="N7019" s="44"/>
      <c r="O7019" s="44"/>
      <c r="P7019" s="44"/>
      <c r="Q7019" s="44"/>
      <c r="R7019" s="44"/>
      <c r="S7019" s="44"/>
      <c r="T7019" s="45"/>
      <c r="U7019" s="248" t="s">
        <v>61</v>
      </c>
      <c r="V7019" s="139"/>
      <c r="W7019" s="49"/>
      <c r="X7019" s="49"/>
      <c r="Y7019" s="35"/>
      <c r="Z7019" s="35"/>
      <c r="AA7019" s="35"/>
      <c r="AB7019" s="35"/>
      <c r="AC7019" s="35"/>
      <c r="AD7019" s="35"/>
      <c r="AE7019" s="35"/>
      <c r="AF7019" s="35"/>
      <c r="AG7019" s="35"/>
      <c r="AH7019" s="35"/>
      <c r="AI7019" s="35"/>
      <c r="AJ7019" s="35"/>
      <c r="AK7019" s="35"/>
      <c r="AL7019" s="35"/>
    </row>
    <row r="7020">
      <c r="A7020" s="39"/>
      <c r="B7020" s="157" t="s">
        <v>32262</v>
      </c>
      <c r="C7020" s="158" t="s">
        <v>32593</v>
      </c>
      <c r="D7020" s="159"/>
      <c r="E7020" s="57" t="s">
        <v>32630</v>
      </c>
      <c r="F7020" s="22" t="s">
        <v>5429</v>
      </c>
      <c r="G7020" s="57">
        <v>2020.0</v>
      </c>
      <c r="H7020" s="57" t="s">
        <v>15946</v>
      </c>
      <c r="I7020" s="134" t="s">
        <v>32631</v>
      </c>
      <c r="J7020" s="22" t="s">
        <v>125</v>
      </c>
      <c r="K7020" s="23"/>
      <c r="L7020" s="105" t="s">
        <v>32632</v>
      </c>
      <c r="M7020" s="44"/>
      <c r="N7020" s="44"/>
      <c r="O7020" s="44"/>
      <c r="P7020" s="44"/>
      <c r="Q7020" s="44"/>
      <c r="R7020" s="44"/>
      <c r="S7020" s="44"/>
      <c r="T7020" s="45"/>
      <c r="U7020" s="248" t="s">
        <v>61</v>
      </c>
      <c r="V7020" s="139"/>
      <c r="W7020" s="49"/>
      <c r="X7020" s="49"/>
      <c r="Y7020" s="35"/>
      <c r="Z7020" s="35"/>
      <c r="AA7020" s="35"/>
      <c r="AB7020" s="35"/>
      <c r="AC7020" s="35"/>
      <c r="AD7020" s="35"/>
      <c r="AE7020" s="35"/>
      <c r="AF7020" s="35"/>
      <c r="AG7020" s="35"/>
      <c r="AH7020" s="35"/>
      <c r="AI7020" s="35"/>
      <c r="AJ7020" s="35"/>
      <c r="AK7020" s="35"/>
      <c r="AL7020" s="35"/>
    </row>
    <row r="7021">
      <c r="A7021" s="18" t="s">
        <v>2</v>
      </c>
      <c r="B7021" s="157" t="s">
        <v>32262</v>
      </c>
      <c r="C7021" s="158" t="s">
        <v>32593</v>
      </c>
      <c r="D7021" s="159"/>
      <c r="E7021" s="57" t="s">
        <v>32502</v>
      </c>
      <c r="F7021" s="22" t="s">
        <v>15724</v>
      </c>
      <c r="G7021" s="57">
        <v>2019.0</v>
      </c>
      <c r="H7021" s="57" t="s">
        <v>3950</v>
      </c>
      <c r="I7021" s="134" t="s">
        <v>32633</v>
      </c>
      <c r="J7021" s="23" t="s">
        <v>29578</v>
      </c>
      <c r="K7021" s="23"/>
      <c r="L7021" s="105" t="s">
        <v>32634</v>
      </c>
      <c r="M7021" s="44"/>
      <c r="N7021" s="44"/>
      <c r="O7021" s="44"/>
      <c r="P7021" s="44"/>
      <c r="Q7021" s="44"/>
      <c r="R7021" s="44"/>
      <c r="S7021" s="44"/>
      <c r="T7021" s="45"/>
      <c r="U7021" s="248" t="s">
        <v>61</v>
      </c>
      <c r="V7021" s="139"/>
      <c r="W7021" s="49"/>
      <c r="X7021" s="49"/>
      <c r="Y7021" s="35"/>
      <c r="Z7021" s="35"/>
      <c r="AA7021" s="35"/>
      <c r="AB7021" s="35"/>
      <c r="AC7021" s="35"/>
      <c r="AD7021" s="35"/>
      <c r="AE7021" s="35"/>
      <c r="AF7021" s="35"/>
      <c r="AG7021" s="35"/>
      <c r="AH7021" s="35"/>
      <c r="AI7021" s="35"/>
      <c r="AJ7021" s="35"/>
      <c r="AK7021" s="35"/>
      <c r="AL7021" s="35"/>
    </row>
    <row r="7022">
      <c r="A7022" s="39"/>
      <c r="B7022" s="157" t="s">
        <v>32262</v>
      </c>
      <c r="C7022" s="158" t="s">
        <v>32593</v>
      </c>
      <c r="D7022" s="159"/>
      <c r="E7022" s="57" t="s">
        <v>32635</v>
      </c>
      <c r="F7022" s="22" t="s">
        <v>32636</v>
      </c>
      <c r="G7022" s="57">
        <v>2019.0</v>
      </c>
      <c r="H7022" s="57" t="s">
        <v>7050</v>
      </c>
      <c r="I7022" s="134" t="s">
        <v>32637</v>
      </c>
      <c r="J7022" s="22" t="s">
        <v>125</v>
      </c>
      <c r="K7022" s="23"/>
      <c r="L7022" s="105" t="s">
        <v>32638</v>
      </c>
      <c r="M7022" s="44"/>
      <c r="N7022" s="44"/>
      <c r="O7022" s="44"/>
      <c r="P7022" s="44"/>
      <c r="Q7022" s="44"/>
      <c r="R7022" s="44"/>
      <c r="S7022" s="44"/>
      <c r="T7022" s="45"/>
      <c r="U7022" s="248" t="s">
        <v>61</v>
      </c>
      <c r="V7022" s="139"/>
      <c r="W7022" s="49"/>
      <c r="X7022" s="49"/>
      <c r="Y7022" s="35"/>
      <c r="Z7022" s="35"/>
      <c r="AA7022" s="35"/>
      <c r="AB7022" s="35"/>
      <c r="AC7022" s="35"/>
      <c r="AD7022" s="35"/>
      <c r="AE7022" s="35"/>
      <c r="AF7022" s="35"/>
      <c r="AG7022" s="35"/>
      <c r="AH7022" s="35"/>
      <c r="AI7022" s="35"/>
      <c r="AJ7022" s="35"/>
      <c r="AK7022" s="35"/>
      <c r="AL7022" s="35"/>
    </row>
    <row r="7023">
      <c r="A7023" s="39"/>
      <c r="B7023" s="157" t="s">
        <v>32262</v>
      </c>
      <c r="C7023" s="158" t="s">
        <v>32593</v>
      </c>
      <c r="D7023" s="159"/>
      <c r="E7023" s="57" t="s">
        <v>32639</v>
      </c>
      <c r="F7023" s="22" t="s">
        <v>32640</v>
      </c>
      <c r="G7023" s="57">
        <v>2019.0</v>
      </c>
      <c r="H7023" s="57" t="s">
        <v>3902</v>
      </c>
      <c r="I7023" s="134" t="s">
        <v>32641</v>
      </c>
      <c r="J7023" s="22" t="s">
        <v>125</v>
      </c>
      <c r="K7023" s="23"/>
      <c r="L7023" s="105" t="s">
        <v>32642</v>
      </c>
      <c r="M7023" s="44"/>
      <c r="N7023" s="44"/>
      <c r="O7023" s="44"/>
      <c r="P7023" s="44"/>
      <c r="Q7023" s="44"/>
      <c r="R7023" s="44"/>
      <c r="S7023" s="44"/>
      <c r="T7023" s="45"/>
      <c r="U7023" s="248" t="s">
        <v>61</v>
      </c>
      <c r="V7023" s="139"/>
      <c r="W7023" s="49"/>
      <c r="X7023" s="49"/>
      <c r="Y7023" s="35"/>
      <c r="Z7023" s="35"/>
      <c r="AA7023" s="35"/>
      <c r="AB7023" s="35"/>
      <c r="AC7023" s="35"/>
      <c r="AD7023" s="35"/>
      <c r="AE7023" s="35"/>
      <c r="AF7023" s="35"/>
      <c r="AG7023" s="35"/>
      <c r="AH7023" s="35"/>
      <c r="AI7023" s="35"/>
      <c r="AJ7023" s="35"/>
      <c r="AK7023" s="35"/>
      <c r="AL7023" s="35"/>
    </row>
    <row r="7024">
      <c r="A7024" s="18" t="s">
        <v>2</v>
      </c>
      <c r="B7024" s="157" t="s">
        <v>32262</v>
      </c>
      <c r="C7024" s="158" t="s">
        <v>32593</v>
      </c>
      <c r="D7024" s="159"/>
      <c r="E7024" s="57" t="s">
        <v>32643</v>
      </c>
      <c r="F7024" s="22" t="s">
        <v>2876</v>
      </c>
      <c r="G7024" s="57">
        <v>2018.0</v>
      </c>
      <c r="H7024" s="57" t="s">
        <v>32324</v>
      </c>
      <c r="I7024" s="134" t="s">
        <v>32644</v>
      </c>
      <c r="J7024" s="22" t="s">
        <v>125</v>
      </c>
      <c r="K7024" s="23"/>
      <c r="L7024" s="105" t="s">
        <v>32645</v>
      </c>
      <c r="M7024" s="44"/>
      <c r="N7024" s="44"/>
      <c r="O7024" s="44"/>
      <c r="P7024" s="44"/>
      <c r="Q7024" s="44"/>
      <c r="R7024" s="44"/>
      <c r="S7024" s="44"/>
      <c r="T7024" s="45"/>
      <c r="U7024" s="248" t="s">
        <v>61</v>
      </c>
      <c r="V7024" s="139"/>
      <c r="W7024" s="49"/>
      <c r="X7024" s="49"/>
      <c r="Y7024" s="35"/>
      <c r="Z7024" s="35"/>
      <c r="AA7024" s="35"/>
      <c r="AB7024" s="35"/>
      <c r="AC7024" s="35"/>
      <c r="AD7024" s="35"/>
      <c r="AE7024" s="35"/>
      <c r="AF7024" s="35"/>
      <c r="AG7024" s="35"/>
      <c r="AH7024" s="35"/>
      <c r="AI7024" s="35"/>
      <c r="AJ7024" s="35"/>
      <c r="AK7024" s="35"/>
      <c r="AL7024" s="35"/>
    </row>
    <row r="7025">
      <c r="A7025" s="39"/>
      <c r="B7025" s="157" t="s">
        <v>32262</v>
      </c>
      <c r="C7025" s="158" t="s">
        <v>32593</v>
      </c>
      <c r="D7025" s="159"/>
      <c r="E7025" s="57" t="s">
        <v>32646</v>
      </c>
      <c r="F7025" s="22" t="s">
        <v>32647</v>
      </c>
      <c r="G7025" s="57">
        <v>2017.0</v>
      </c>
      <c r="H7025" s="57" t="s">
        <v>32648</v>
      </c>
      <c r="I7025" s="134" t="s">
        <v>32649</v>
      </c>
      <c r="J7025" s="22" t="s">
        <v>125</v>
      </c>
      <c r="K7025" s="23"/>
      <c r="L7025" s="105" t="s">
        <v>32650</v>
      </c>
      <c r="M7025" s="44"/>
      <c r="N7025" s="44"/>
      <c r="O7025" s="44"/>
      <c r="P7025" s="44"/>
      <c r="Q7025" s="44"/>
      <c r="R7025" s="44"/>
      <c r="S7025" s="44"/>
      <c r="T7025" s="45"/>
      <c r="U7025" s="248" t="s">
        <v>61</v>
      </c>
      <c r="V7025" s="139"/>
      <c r="W7025" s="49"/>
      <c r="X7025" s="49"/>
      <c r="Y7025" s="35"/>
      <c r="Z7025" s="35"/>
      <c r="AA7025" s="35"/>
      <c r="AB7025" s="35"/>
      <c r="AC7025" s="35"/>
      <c r="AD7025" s="35"/>
      <c r="AE7025" s="35"/>
      <c r="AF7025" s="35"/>
      <c r="AG7025" s="35"/>
      <c r="AH7025" s="35"/>
      <c r="AI7025" s="35"/>
      <c r="AJ7025" s="35"/>
      <c r="AK7025" s="35"/>
      <c r="AL7025" s="35"/>
    </row>
    <row r="7026">
      <c r="A7026" s="18"/>
      <c r="B7026" s="157" t="s">
        <v>32262</v>
      </c>
      <c r="C7026" s="158" t="s">
        <v>32593</v>
      </c>
      <c r="D7026" s="159"/>
      <c r="E7026" s="57" t="s">
        <v>32651</v>
      </c>
      <c r="F7026" s="22" t="s">
        <v>15724</v>
      </c>
      <c r="G7026" s="57">
        <v>2016.0</v>
      </c>
      <c r="H7026" s="57" t="s">
        <v>15946</v>
      </c>
      <c r="I7026" s="134" t="s">
        <v>32652</v>
      </c>
      <c r="J7026" s="22" t="s">
        <v>125</v>
      </c>
      <c r="K7026" s="23"/>
      <c r="L7026" s="105" t="s">
        <v>32653</v>
      </c>
      <c r="M7026" s="44"/>
      <c r="N7026" s="44"/>
      <c r="O7026" s="44"/>
      <c r="P7026" s="44"/>
      <c r="Q7026" s="44"/>
      <c r="R7026" s="44"/>
      <c r="S7026" s="44"/>
      <c r="T7026" s="45"/>
      <c r="U7026" s="248"/>
      <c r="V7026" s="139"/>
      <c r="W7026" s="49"/>
      <c r="X7026" s="49"/>
      <c r="Y7026" s="35"/>
      <c r="Z7026" s="35"/>
      <c r="AA7026" s="35"/>
      <c r="AB7026" s="35"/>
      <c r="AC7026" s="35"/>
      <c r="AD7026" s="35"/>
      <c r="AE7026" s="35"/>
      <c r="AF7026" s="35"/>
      <c r="AG7026" s="35"/>
      <c r="AH7026" s="35"/>
      <c r="AI7026" s="35"/>
      <c r="AJ7026" s="35"/>
      <c r="AK7026" s="35"/>
      <c r="AL7026" s="35"/>
    </row>
    <row r="7027">
      <c r="A7027" s="18" t="s">
        <v>2</v>
      </c>
      <c r="B7027" s="157" t="s">
        <v>32262</v>
      </c>
      <c r="C7027" s="158" t="s">
        <v>32593</v>
      </c>
      <c r="D7027" s="159"/>
      <c r="E7027" s="57" t="s">
        <v>32583</v>
      </c>
      <c r="F7027" s="22" t="s">
        <v>5371</v>
      </c>
      <c r="G7027" s="57">
        <v>2016.0</v>
      </c>
      <c r="H7027" s="57" t="s">
        <v>32654</v>
      </c>
      <c r="I7027" s="134" t="s">
        <v>32655</v>
      </c>
      <c r="J7027" s="22" t="s">
        <v>125</v>
      </c>
      <c r="K7027" s="23"/>
      <c r="L7027" s="105" t="s">
        <v>32656</v>
      </c>
      <c r="M7027" s="44"/>
      <c r="N7027" s="44"/>
      <c r="O7027" s="44"/>
      <c r="P7027" s="44"/>
      <c r="Q7027" s="44"/>
      <c r="R7027" s="44"/>
      <c r="S7027" s="44"/>
      <c r="T7027" s="45"/>
      <c r="U7027" s="248" t="s">
        <v>61</v>
      </c>
      <c r="V7027" s="139"/>
      <c r="W7027" s="49"/>
      <c r="X7027" s="49"/>
      <c r="Y7027" s="35"/>
      <c r="Z7027" s="35"/>
      <c r="AA7027" s="35"/>
      <c r="AB7027" s="35"/>
      <c r="AC7027" s="35"/>
      <c r="AD7027" s="35"/>
      <c r="AE7027" s="35"/>
      <c r="AF7027" s="35"/>
      <c r="AG7027" s="35"/>
      <c r="AH7027" s="35"/>
      <c r="AI7027" s="35"/>
      <c r="AJ7027" s="35"/>
      <c r="AK7027" s="35"/>
      <c r="AL7027" s="35"/>
    </row>
    <row r="7028">
      <c r="A7028" s="39"/>
      <c r="B7028" s="157" t="s">
        <v>32262</v>
      </c>
      <c r="C7028" s="158" t="s">
        <v>32593</v>
      </c>
      <c r="D7028" s="159"/>
      <c r="E7028" s="57" t="s">
        <v>32310</v>
      </c>
      <c r="F7028" s="22" t="s">
        <v>2492</v>
      </c>
      <c r="G7028" s="57">
        <v>2016.0</v>
      </c>
      <c r="H7028" s="57" t="s">
        <v>32435</v>
      </c>
      <c r="I7028" s="134" t="s">
        <v>32657</v>
      </c>
      <c r="J7028" s="22" t="s">
        <v>125</v>
      </c>
      <c r="K7028" s="23"/>
      <c r="L7028" s="105" t="s">
        <v>32658</v>
      </c>
      <c r="M7028" s="44"/>
      <c r="N7028" s="44"/>
      <c r="O7028" s="44"/>
      <c r="P7028" s="44"/>
      <c r="Q7028" s="44"/>
      <c r="R7028" s="44"/>
      <c r="S7028" s="44"/>
      <c r="T7028" s="45"/>
      <c r="U7028" s="248" t="str">
        <f>HYPERLINK("https://pubmed.ncbi.nlm.nih.gov/27195055/","PubMed")</f>
        <v>PubMed</v>
      </c>
      <c r="V7028" s="139"/>
      <c r="W7028" s="49"/>
      <c r="X7028" s="49"/>
      <c r="Y7028" s="35"/>
      <c r="Z7028" s="35"/>
      <c r="AA7028" s="35"/>
      <c r="AB7028" s="35"/>
      <c r="AC7028" s="35"/>
      <c r="AD7028" s="35"/>
      <c r="AE7028" s="35"/>
      <c r="AF7028" s="35"/>
      <c r="AG7028" s="35"/>
      <c r="AH7028" s="35"/>
      <c r="AI7028" s="35"/>
      <c r="AJ7028" s="35"/>
      <c r="AK7028" s="35"/>
      <c r="AL7028" s="35"/>
    </row>
    <row r="7029">
      <c r="A7029" s="39"/>
      <c r="B7029" s="157" t="s">
        <v>32262</v>
      </c>
      <c r="C7029" s="158" t="s">
        <v>32593</v>
      </c>
      <c r="D7029" s="159"/>
      <c r="E7029" s="57" t="s">
        <v>32659</v>
      </c>
      <c r="F7029" s="22" t="s">
        <v>32282</v>
      </c>
      <c r="G7029" s="57">
        <v>2016.0</v>
      </c>
      <c r="H7029" s="57" t="s">
        <v>32435</v>
      </c>
      <c r="I7029" s="134" t="s">
        <v>32660</v>
      </c>
      <c r="J7029" s="22" t="s">
        <v>125</v>
      </c>
      <c r="K7029" s="23"/>
      <c r="L7029" s="105" t="s">
        <v>32661</v>
      </c>
      <c r="M7029" s="44"/>
      <c r="N7029" s="44"/>
      <c r="O7029" s="44"/>
      <c r="P7029" s="44"/>
      <c r="Q7029" s="44"/>
      <c r="R7029" s="44"/>
      <c r="S7029" s="44"/>
      <c r="T7029" s="45"/>
      <c r="U7029" s="248" t="s">
        <v>61</v>
      </c>
      <c r="V7029" s="139"/>
      <c r="W7029" s="49"/>
      <c r="X7029" s="49"/>
      <c r="Y7029" s="35"/>
      <c r="Z7029" s="35"/>
      <c r="AA7029" s="35"/>
      <c r="AB7029" s="35"/>
      <c r="AC7029" s="35"/>
      <c r="AD7029" s="35"/>
      <c r="AE7029" s="35"/>
      <c r="AF7029" s="35"/>
      <c r="AG7029" s="35"/>
      <c r="AH7029" s="35"/>
      <c r="AI7029" s="35"/>
      <c r="AJ7029" s="35"/>
      <c r="AK7029" s="35"/>
      <c r="AL7029" s="35"/>
    </row>
    <row r="7030">
      <c r="A7030" s="39"/>
      <c r="B7030" s="157" t="s">
        <v>32262</v>
      </c>
      <c r="C7030" s="158" t="s">
        <v>32593</v>
      </c>
      <c r="D7030" s="159"/>
      <c r="E7030" s="57" t="s">
        <v>32662</v>
      </c>
      <c r="F7030" s="22" t="s">
        <v>32663</v>
      </c>
      <c r="G7030" s="57">
        <v>2016.0</v>
      </c>
      <c r="H7030" s="57" t="s">
        <v>15357</v>
      </c>
      <c r="I7030" s="134" t="s">
        <v>32664</v>
      </c>
      <c r="J7030" s="22" t="s">
        <v>125</v>
      </c>
      <c r="K7030" s="23"/>
      <c r="L7030" s="105" t="s">
        <v>32665</v>
      </c>
      <c r="M7030" s="44"/>
      <c r="N7030" s="44"/>
      <c r="O7030" s="44"/>
      <c r="P7030" s="44"/>
      <c r="Q7030" s="44"/>
      <c r="R7030" s="44"/>
      <c r="S7030" s="44"/>
      <c r="T7030" s="45"/>
      <c r="U7030" s="248" t="s">
        <v>61</v>
      </c>
      <c r="V7030" s="139"/>
      <c r="W7030" s="49"/>
      <c r="X7030" s="49"/>
      <c r="Y7030" s="35"/>
      <c r="Z7030" s="35"/>
      <c r="AA7030" s="35"/>
      <c r="AB7030" s="35"/>
      <c r="AC7030" s="35"/>
      <c r="AD7030" s="35"/>
      <c r="AE7030" s="35"/>
      <c r="AF7030" s="35"/>
      <c r="AG7030" s="35"/>
      <c r="AH7030" s="35"/>
      <c r="AI7030" s="35"/>
      <c r="AJ7030" s="35"/>
      <c r="AK7030" s="35"/>
      <c r="AL7030" s="35"/>
    </row>
    <row r="7031">
      <c r="A7031" s="39"/>
      <c r="B7031" s="157" t="s">
        <v>32262</v>
      </c>
      <c r="C7031" s="158" t="s">
        <v>32593</v>
      </c>
      <c r="D7031" s="159"/>
      <c r="E7031" s="57" t="s">
        <v>32666</v>
      </c>
      <c r="F7031" s="22" t="s">
        <v>30418</v>
      </c>
      <c r="G7031" s="57">
        <v>2016.0</v>
      </c>
      <c r="H7031" s="57" t="s">
        <v>960</v>
      </c>
      <c r="I7031" s="134" t="s">
        <v>32667</v>
      </c>
      <c r="J7031" s="22" t="s">
        <v>125</v>
      </c>
      <c r="K7031" s="23"/>
      <c r="L7031" s="105" t="s">
        <v>32668</v>
      </c>
      <c r="M7031" s="44"/>
      <c r="N7031" s="44"/>
      <c r="O7031" s="44"/>
      <c r="P7031" s="44"/>
      <c r="Q7031" s="44"/>
      <c r="R7031" s="44"/>
      <c r="S7031" s="44"/>
      <c r="T7031" s="45"/>
      <c r="U7031" s="248" t="s">
        <v>61</v>
      </c>
      <c r="V7031" s="139"/>
      <c r="W7031" s="49"/>
      <c r="X7031" s="49"/>
      <c r="Y7031" s="35"/>
      <c r="Z7031" s="35"/>
      <c r="AA7031" s="35"/>
      <c r="AB7031" s="35"/>
      <c r="AC7031" s="35"/>
      <c r="AD7031" s="35"/>
      <c r="AE7031" s="35"/>
      <c r="AF7031" s="35"/>
      <c r="AG7031" s="35"/>
      <c r="AH7031" s="35"/>
      <c r="AI7031" s="35"/>
      <c r="AJ7031" s="35"/>
      <c r="AK7031" s="35"/>
      <c r="AL7031" s="35"/>
    </row>
    <row r="7032">
      <c r="A7032" s="39"/>
      <c r="B7032" s="157" t="s">
        <v>32262</v>
      </c>
      <c r="C7032" s="158" t="s">
        <v>32593</v>
      </c>
      <c r="D7032" s="159"/>
      <c r="E7032" s="57" t="s">
        <v>32669</v>
      </c>
      <c r="F7032" s="22" t="s">
        <v>32670</v>
      </c>
      <c r="G7032" s="57">
        <v>2015.0</v>
      </c>
      <c r="H7032" s="57" t="s">
        <v>32671</v>
      </c>
      <c r="I7032" s="134" t="s">
        <v>32672</v>
      </c>
      <c r="J7032" s="22" t="s">
        <v>125</v>
      </c>
      <c r="K7032" s="23"/>
      <c r="L7032" s="105" t="s">
        <v>32673</v>
      </c>
      <c r="M7032" s="44"/>
      <c r="N7032" s="44"/>
      <c r="O7032" s="44"/>
      <c r="P7032" s="44"/>
      <c r="Q7032" s="44"/>
      <c r="R7032" s="44"/>
      <c r="S7032" s="44"/>
      <c r="T7032" s="45"/>
      <c r="U7032" s="248" t="s">
        <v>61</v>
      </c>
      <c r="V7032" s="139"/>
      <c r="W7032" s="49"/>
      <c r="X7032" s="49"/>
      <c r="Y7032" s="35"/>
      <c r="Z7032" s="35"/>
      <c r="AA7032" s="35"/>
      <c r="AB7032" s="35"/>
      <c r="AC7032" s="35"/>
      <c r="AD7032" s="35"/>
      <c r="AE7032" s="35"/>
      <c r="AF7032" s="35"/>
      <c r="AG7032" s="35"/>
      <c r="AH7032" s="35"/>
      <c r="AI7032" s="35"/>
      <c r="AJ7032" s="35"/>
      <c r="AK7032" s="35"/>
      <c r="AL7032" s="35"/>
    </row>
    <row r="7033">
      <c r="A7033" s="39"/>
      <c r="B7033" s="157" t="s">
        <v>32262</v>
      </c>
      <c r="C7033" s="158" t="s">
        <v>32593</v>
      </c>
      <c r="D7033" s="159"/>
      <c r="E7033" s="57" t="s">
        <v>32626</v>
      </c>
      <c r="F7033" s="22" t="s">
        <v>32674</v>
      </c>
      <c r="G7033" s="57">
        <v>2015.0</v>
      </c>
      <c r="H7033" s="57" t="s">
        <v>32397</v>
      </c>
      <c r="I7033" s="134" t="s">
        <v>32675</v>
      </c>
      <c r="J7033" s="22" t="s">
        <v>125</v>
      </c>
      <c r="K7033" s="23"/>
      <c r="L7033" s="105" t="s">
        <v>32676</v>
      </c>
      <c r="M7033" s="44"/>
      <c r="N7033" s="44"/>
      <c r="O7033" s="44"/>
      <c r="P7033" s="44"/>
      <c r="Q7033" s="44"/>
      <c r="R7033" s="44"/>
      <c r="S7033" s="44"/>
      <c r="T7033" s="45"/>
      <c r="U7033" s="248" t="s">
        <v>61</v>
      </c>
      <c r="V7033" s="139"/>
      <c r="W7033" s="49"/>
      <c r="X7033" s="49"/>
      <c r="Y7033" s="35"/>
      <c r="Z7033" s="35"/>
      <c r="AA7033" s="35"/>
      <c r="AB7033" s="35"/>
      <c r="AC7033" s="35"/>
      <c r="AD7033" s="35"/>
      <c r="AE7033" s="35"/>
      <c r="AF7033" s="35"/>
      <c r="AG7033" s="35"/>
      <c r="AH7033" s="35"/>
      <c r="AI7033" s="35"/>
      <c r="AJ7033" s="35"/>
      <c r="AK7033" s="35"/>
      <c r="AL7033" s="35"/>
    </row>
    <row r="7034">
      <c r="A7034" s="39"/>
      <c r="B7034" s="157" t="s">
        <v>32262</v>
      </c>
      <c r="C7034" s="158" t="s">
        <v>32593</v>
      </c>
      <c r="D7034" s="159"/>
      <c r="E7034" s="57" t="s">
        <v>32677</v>
      </c>
      <c r="F7034" s="22" t="s">
        <v>1773</v>
      </c>
      <c r="G7034" s="57">
        <v>2008.0</v>
      </c>
      <c r="H7034" s="57" t="s">
        <v>32678</v>
      </c>
      <c r="I7034" s="134" t="s">
        <v>32679</v>
      </c>
      <c r="J7034" s="23" t="s">
        <v>10220</v>
      </c>
      <c r="K7034" s="23"/>
      <c r="L7034" s="105"/>
      <c r="M7034" s="44"/>
      <c r="N7034" s="44"/>
      <c r="O7034" s="44"/>
      <c r="P7034" s="44"/>
      <c r="Q7034" s="44"/>
      <c r="R7034" s="44"/>
      <c r="S7034" s="44"/>
      <c r="T7034" s="45"/>
      <c r="U7034" s="248" t="s">
        <v>61</v>
      </c>
      <c r="V7034" s="139"/>
      <c r="W7034" s="49"/>
      <c r="X7034" s="49"/>
      <c r="Y7034" s="35"/>
      <c r="Z7034" s="35"/>
      <c r="AA7034" s="35"/>
      <c r="AB7034" s="35"/>
      <c r="AC7034" s="35"/>
      <c r="AD7034" s="35"/>
      <c r="AE7034" s="35"/>
      <c r="AF7034" s="35"/>
      <c r="AG7034" s="35"/>
      <c r="AH7034" s="35"/>
      <c r="AI7034" s="35"/>
      <c r="AJ7034" s="35"/>
      <c r="AK7034" s="35"/>
      <c r="AL7034" s="35"/>
    </row>
    <row r="7035">
      <c r="A7035" s="39"/>
      <c r="B7035" s="157" t="s">
        <v>32262</v>
      </c>
      <c r="C7035" s="158" t="s">
        <v>32593</v>
      </c>
      <c r="D7035" s="159"/>
      <c r="E7035" s="57" t="s">
        <v>32680</v>
      </c>
      <c r="F7035" s="22" t="s">
        <v>9927</v>
      </c>
      <c r="G7035" s="57">
        <v>2006.0</v>
      </c>
      <c r="H7035" s="57" t="s">
        <v>314</v>
      </c>
      <c r="I7035" s="134" t="s">
        <v>32681</v>
      </c>
      <c r="J7035" s="22" t="s">
        <v>125</v>
      </c>
      <c r="K7035" s="23"/>
      <c r="L7035" s="105" t="s">
        <v>32682</v>
      </c>
      <c r="M7035" s="44"/>
      <c r="N7035" s="44"/>
      <c r="O7035" s="44"/>
      <c r="P7035" s="44"/>
      <c r="Q7035" s="44"/>
      <c r="R7035" s="44"/>
      <c r="S7035" s="44"/>
      <c r="T7035" s="45"/>
      <c r="U7035" s="248"/>
      <c r="V7035" s="139"/>
      <c r="W7035" s="49"/>
      <c r="X7035" s="49"/>
      <c r="Y7035" s="35"/>
      <c r="Z7035" s="35"/>
      <c r="AA7035" s="35"/>
      <c r="AB7035" s="35"/>
      <c r="AC7035" s="35"/>
      <c r="AD7035" s="35"/>
      <c r="AE7035" s="35"/>
      <c r="AF7035" s="35"/>
      <c r="AG7035" s="35"/>
      <c r="AH7035" s="35"/>
      <c r="AI7035" s="35"/>
      <c r="AJ7035" s="35"/>
      <c r="AK7035" s="35"/>
      <c r="AL7035" s="35"/>
    </row>
    <row r="7036">
      <c r="A7036" s="39"/>
      <c r="B7036" s="157" t="s">
        <v>32262</v>
      </c>
      <c r="C7036" s="158" t="s">
        <v>32683</v>
      </c>
      <c r="D7036" s="159"/>
      <c r="E7036" s="57" t="s">
        <v>32684</v>
      </c>
      <c r="F7036" s="22" t="s">
        <v>15724</v>
      </c>
      <c r="G7036" s="57">
        <v>2019.0</v>
      </c>
      <c r="H7036" s="57" t="s">
        <v>32685</v>
      </c>
      <c r="I7036" s="134" t="s">
        <v>32686</v>
      </c>
      <c r="J7036" s="22" t="s">
        <v>125</v>
      </c>
      <c r="K7036" s="23"/>
      <c r="L7036" s="105" t="s">
        <v>32687</v>
      </c>
      <c r="M7036" s="44"/>
      <c r="N7036" s="44"/>
      <c r="O7036" s="44"/>
      <c r="P7036" s="44"/>
      <c r="Q7036" s="44"/>
      <c r="R7036" s="44"/>
      <c r="S7036" s="44"/>
      <c r="T7036" s="45"/>
      <c r="U7036" s="248" t="s">
        <v>61</v>
      </c>
      <c r="V7036" s="139"/>
      <c r="W7036" s="49"/>
      <c r="X7036" s="49"/>
      <c r="Y7036" s="35"/>
      <c r="Z7036" s="35"/>
      <c r="AA7036" s="35"/>
      <c r="AB7036" s="35"/>
      <c r="AC7036" s="35"/>
      <c r="AD7036" s="35"/>
      <c r="AE7036" s="35"/>
      <c r="AF7036" s="35"/>
      <c r="AG7036" s="35"/>
      <c r="AH7036" s="35"/>
      <c r="AI7036" s="35"/>
      <c r="AJ7036" s="35"/>
      <c r="AK7036" s="35"/>
      <c r="AL7036" s="35"/>
    </row>
    <row r="7037">
      <c r="A7037" s="39"/>
      <c r="B7037" s="157" t="s">
        <v>32262</v>
      </c>
      <c r="C7037" s="158" t="s">
        <v>32683</v>
      </c>
      <c r="D7037" s="159"/>
      <c r="E7037" s="57" t="s">
        <v>32502</v>
      </c>
      <c r="F7037" s="22" t="s">
        <v>9927</v>
      </c>
      <c r="G7037" s="57">
        <v>2018.0</v>
      </c>
      <c r="H7037" s="57" t="s">
        <v>3950</v>
      </c>
      <c r="I7037" s="134" t="s">
        <v>32688</v>
      </c>
      <c r="J7037" s="22" t="s">
        <v>125</v>
      </c>
      <c r="K7037" s="23"/>
      <c r="L7037" s="195" t="s">
        <v>32689</v>
      </c>
      <c r="M7037" s="44"/>
      <c r="N7037" s="44"/>
      <c r="O7037" s="44"/>
      <c r="P7037" s="44"/>
      <c r="Q7037" s="44"/>
      <c r="R7037" s="44"/>
      <c r="S7037" s="44"/>
      <c r="T7037" s="45"/>
      <c r="U7037" s="248" t="s">
        <v>61</v>
      </c>
      <c r="V7037" s="139"/>
      <c r="W7037" s="49"/>
      <c r="X7037" s="49"/>
      <c r="Y7037" s="35"/>
      <c r="Z7037" s="35"/>
      <c r="AA7037" s="35"/>
      <c r="AB7037" s="35"/>
      <c r="AC7037" s="35"/>
      <c r="AD7037" s="35"/>
      <c r="AE7037" s="35"/>
      <c r="AF7037" s="35"/>
      <c r="AG7037" s="35"/>
      <c r="AH7037" s="35"/>
      <c r="AI7037" s="35"/>
      <c r="AJ7037" s="35"/>
      <c r="AK7037" s="35"/>
      <c r="AL7037" s="35"/>
    </row>
    <row r="7038">
      <c r="A7038" s="39"/>
      <c r="B7038" s="157" t="s">
        <v>32262</v>
      </c>
      <c r="C7038" s="158" t="s">
        <v>32683</v>
      </c>
      <c r="D7038" s="159"/>
      <c r="E7038" s="57" t="s">
        <v>32626</v>
      </c>
      <c r="F7038" s="22" t="s">
        <v>15724</v>
      </c>
      <c r="G7038" s="57">
        <v>2017.0</v>
      </c>
      <c r="H7038" s="57" t="s">
        <v>3950</v>
      </c>
      <c r="I7038" s="134" t="s">
        <v>32690</v>
      </c>
      <c r="J7038" s="22" t="s">
        <v>125</v>
      </c>
      <c r="K7038" s="23"/>
      <c r="L7038" s="105" t="s">
        <v>32691</v>
      </c>
      <c r="M7038" s="44"/>
      <c r="N7038" s="44"/>
      <c r="O7038" s="44"/>
      <c r="P7038" s="44"/>
      <c r="Q7038" s="44"/>
      <c r="R7038" s="44"/>
      <c r="S7038" s="44"/>
      <c r="T7038" s="45"/>
      <c r="U7038" s="248" t="s">
        <v>61</v>
      </c>
      <c r="V7038" s="139"/>
      <c r="W7038" s="49"/>
      <c r="X7038" s="49"/>
      <c r="Y7038" s="35"/>
      <c r="Z7038" s="35"/>
      <c r="AA7038" s="35"/>
      <c r="AB7038" s="35"/>
      <c r="AC7038" s="35"/>
      <c r="AD7038" s="35"/>
      <c r="AE7038" s="35"/>
      <c r="AF7038" s="35"/>
      <c r="AG7038" s="35"/>
      <c r="AH7038" s="35"/>
      <c r="AI7038" s="35"/>
      <c r="AJ7038" s="35"/>
      <c r="AK7038" s="35"/>
      <c r="AL7038" s="35"/>
    </row>
    <row r="7039">
      <c r="A7039" s="39"/>
      <c r="B7039" s="157" t="s">
        <v>32262</v>
      </c>
      <c r="C7039" s="158" t="s">
        <v>32683</v>
      </c>
      <c r="D7039" s="159"/>
      <c r="E7039" s="57" t="s">
        <v>32692</v>
      </c>
      <c r="F7039" s="22" t="s">
        <v>32693</v>
      </c>
      <c r="G7039" s="57">
        <v>2017.0</v>
      </c>
      <c r="H7039" s="57" t="s">
        <v>3950</v>
      </c>
      <c r="I7039" s="134" t="s">
        <v>32694</v>
      </c>
      <c r="J7039" s="22" t="s">
        <v>125</v>
      </c>
      <c r="K7039" s="23" t="s">
        <v>18675</v>
      </c>
      <c r="L7039" s="105" t="s">
        <v>32695</v>
      </c>
      <c r="M7039" s="44"/>
      <c r="N7039" s="44"/>
      <c r="O7039" s="44"/>
      <c r="P7039" s="44"/>
      <c r="Q7039" s="44"/>
      <c r="R7039" s="44"/>
      <c r="S7039" s="44"/>
      <c r="T7039" s="45"/>
      <c r="U7039" s="248" t="s">
        <v>61</v>
      </c>
      <c r="V7039" s="139"/>
      <c r="W7039" s="49"/>
      <c r="X7039" s="49"/>
      <c r="Y7039" s="35"/>
      <c r="Z7039" s="35"/>
      <c r="AA7039" s="35"/>
      <c r="AB7039" s="35"/>
      <c r="AC7039" s="35"/>
      <c r="AD7039" s="35"/>
      <c r="AE7039" s="35"/>
      <c r="AF7039" s="35"/>
      <c r="AG7039" s="35"/>
      <c r="AH7039" s="35"/>
      <c r="AI7039" s="35"/>
      <c r="AJ7039" s="35"/>
      <c r="AK7039" s="35"/>
      <c r="AL7039" s="35"/>
    </row>
    <row r="7040">
      <c r="A7040" s="39"/>
      <c r="B7040" s="157" t="s">
        <v>32262</v>
      </c>
      <c r="C7040" s="158" t="s">
        <v>32683</v>
      </c>
      <c r="D7040" s="159"/>
      <c r="E7040" s="57" t="s">
        <v>32696</v>
      </c>
      <c r="F7040" s="22" t="s">
        <v>32375</v>
      </c>
      <c r="G7040" s="57">
        <v>2015.0</v>
      </c>
      <c r="H7040" s="57" t="s">
        <v>29672</v>
      </c>
      <c r="I7040" s="134" t="s">
        <v>32697</v>
      </c>
      <c r="J7040" s="22" t="s">
        <v>125</v>
      </c>
      <c r="K7040" s="23"/>
      <c r="L7040" s="105" t="s">
        <v>32698</v>
      </c>
      <c r="M7040" s="44"/>
      <c r="N7040" s="44"/>
      <c r="O7040" s="44"/>
      <c r="P7040" s="44"/>
      <c r="Q7040" s="44"/>
      <c r="R7040" s="44"/>
      <c r="S7040" s="44"/>
      <c r="T7040" s="45"/>
      <c r="U7040" s="248" t="s">
        <v>61</v>
      </c>
      <c r="V7040" s="139"/>
      <c r="W7040" s="49"/>
      <c r="X7040" s="49"/>
      <c r="Y7040" s="35"/>
      <c r="Z7040" s="35"/>
      <c r="AA7040" s="35"/>
      <c r="AB7040" s="35"/>
      <c r="AC7040" s="35"/>
      <c r="AD7040" s="35"/>
      <c r="AE7040" s="35"/>
      <c r="AF7040" s="35"/>
      <c r="AG7040" s="35"/>
      <c r="AH7040" s="35"/>
      <c r="AI7040" s="35"/>
      <c r="AJ7040" s="35"/>
      <c r="AK7040" s="35"/>
      <c r="AL7040" s="35"/>
    </row>
    <row r="7041">
      <c r="A7041" s="39"/>
      <c r="B7041" s="157" t="s">
        <v>32262</v>
      </c>
      <c r="C7041" s="158" t="s">
        <v>32683</v>
      </c>
      <c r="D7041" s="159"/>
      <c r="E7041" s="57" t="s">
        <v>32699</v>
      </c>
      <c r="F7041" s="22" t="s">
        <v>5223</v>
      </c>
      <c r="G7041" s="57">
        <v>2013.0</v>
      </c>
      <c r="H7041" s="57" t="s">
        <v>32700</v>
      </c>
      <c r="I7041" s="134" t="s">
        <v>32701</v>
      </c>
      <c r="J7041" s="22" t="s">
        <v>125</v>
      </c>
      <c r="K7041" s="23"/>
      <c r="L7041" s="195" t="s">
        <v>32702</v>
      </c>
      <c r="M7041" s="44"/>
      <c r="N7041" s="44"/>
      <c r="O7041" s="44"/>
      <c r="P7041" s="44"/>
      <c r="Q7041" s="44"/>
      <c r="R7041" s="44"/>
      <c r="S7041" s="44"/>
      <c r="T7041" s="45"/>
      <c r="U7041" s="248" t="s">
        <v>61</v>
      </c>
      <c r="V7041" s="139"/>
      <c r="W7041" s="49"/>
      <c r="X7041" s="49"/>
      <c r="Y7041" s="35"/>
      <c r="Z7041" s="35"/>
      <c r="AA7041" s="35"/>
      <c r="AB7041" s="35"/>
      <c r="AC7041" s="35"/>
      <c r="AD7041" s="35"/>
      <c r="AE7041" s="35"/>
      <c r="AF7041" s="35"/>
      <c r="AG7041" s="35"/>
      <c r="AH7041" s="35"/>
      <c r="AI7041" s="35"/>
      <c r="AJ7041" s="35"/>
      <c r="AK7041" s="35"/>
      <c r="AL7041" s="35"/>
    </row>
    <row r="7042">
      <c r="A7042" s="39"/>
      <c r="B7042" s="157" t="s">
        <v>32262</v>
      </c>
      <c r="C7042" s="158" t="s">
        <v>32683</v>
      </c>
      <c r="D7042" s="159"/>
      <c r="E7042" s="57" t="s">
        <v>32703</v>
      </c>
      <c r="F7042" s="22" t="s">
        <v>15724</v>
      </c>
      <c r="G7042" s="57">
        <v>2013.0</v>
      </c>
      <c r="H7042" s="57" t="s">
        <v>32704</v>
      </c>
      <c r="I7042" s="134" t="s">
        <v>32705</v>
      </c>
      <c r="J7042" s="22" t="s">
        <v>125</v>
      </c>
      <c r="K7042" s="23"/>
      <c r="L7042" s="105" t="s">
        <v>32706</v>
      </c>
      <c r="M7042" s="44"/>
      <c r="N7042" s="44"/>
      <c r="O7042" s="44"/>
      <c r="P7042" s="44"/>
      <c r="Q7042" s="44"/>
      <c r="R7042" s="44"/>
      <c r="S7042" s="44"/>
      <c r="T7042" s="45"/>
      <c r="U7042" s="248" t="s">
        <v>61</v>
      </c>
      <c r="V7042" s="139"/>
      <c r="W7042" s="49"/>
      <c r="X7042" s="49"/>
      <c r="Y7042" s="35"/>
      <c r="Z7042" s="35"/>
      <c r="AA7042" s="35"/>
      <c r="AB7042" s="35"/>
      <c r="AC7042" s="35"/>
      <c r="AD7042" s="35"/>
      <c r="AE7042" s="35"/>
      <c r="AF7042" s="35"/>
      <c r="AG7042" s="35"/>
      <c r="AH7042" s="35"/>
      <c r="AI7042" s="35"/>
      <c r="AJ7042" s="35"/>
      <c r="AK7042" s="35"/>
      <c r="AL7042" s="35"/>
    </row>
    <row r="7043">
      <c r="A7043" s="39"/>
      <c r="B7043" s="157" t="s">
        <v>32262</v>
      </c>
      <c r="C7043" s="158" t="s">
        <v>32683</v>
      </c>
      <c r="D7043" s="159"/>
      <c r="E7043" s="57" t="s">
        <v>32707</v>
      </c>
      <c r="F7043" s="22" t="s">
        <v>1258</v>
      </c>
      <c r="G7043" s="57">
        <v>2012.0</v>
      </c>
      <c r="H7043" s="57" t="s">
        <v>32435</v>
      </c>
      <c r="I7043" s="134" t="s">
        <v>32708</v>
      </c>
      <c r="J7043" s="22" t="s">
        <v>125</v>
      </c>
      <c r="K7043" s="23"/>
      <c r="L7043" s="105" t="s">
        <v>32709</v>
      </c>
      <c r="M7043" s="44"/>
      <c r="N7043" s="44"/>
      <c r="O7043" s="44"/>
      <c r="P7043" s="44"/>
      <c r="Q7043" s="44"/>
      <c r="R7043" s="44"/>
      <c r="S7043" s="44"/>
      <c r="T7043" s="45"/>
      <c r="U7043" s="248" t="s">
        <v>61</v>
      </c>
      <c r="V7043" s="139"/>
      <c r="W7043" s="49"/>
      <c r="X7043" s="49"/>
      <c r="Y7043" s="35"/>
      <c r="Z7043" s="35"/>
      <c r="AA7043" s="35"/>
      <c r="AB7043" s="35"/>
      <c r="AC7043" s="35"/>
      <c r="AD7043" s="35"/>
      <c r="AE7043" s="35"/>
      <c r="AF7043" s="35"/>
      <c r="AG7043" s="35"/>
      <c r="AH7043" s="35"/>
      <c r="AI7043" s="35"/>
      <c r="AJ7043" s="35"/>
      <c r="AK7043" s="35"/>
      <c r="AL7043" s="35"/>
    </row>
    <row r="7044">
      <c r="A7044" s="39"/>
      <c r="B7044" s="157" t="s">
        <v>32262</v>
      </c>
      <c r="C7044" s="158" t="s">
        <v>32683</v>
      </c>
      <c r="D7044" s="159"/>
      <c r="E7044" s="57" t="s">
        <v>32710</v>
      </c>
      <c r="F7044" s="22" t="s">
        <v>2161</v>
      </c>
      <c r="G7044" s="57">
        <v>2011.0</v>
      </c>
      <c r="H7044" s="57" t="s">
        <v>32711</v>
      </c>
      <c r="I7044" s="134" t="s">
        <v>32712</v>
      </c>
      <c r="J7044" s="22" t="s">
        <v>125</v>
      </c>
      <c r="K7044" s="23"/>
      <c r="L7044" s="241" t="s">
        <v>32713</v>
      </c>
      <c r="M7044" s="44"/>
      <c r="N7044" s="44"/>
      <c r="O7044" s="44"/>
      <c r="P7044" s="44"/>
      <c r="Q7044" s="44"/>
      <c r="R7044" s="44"/>
      <c r="S7044" s="44"/>
      <c r="T7044" s="45"/>
      <c r="U7044" s="248" t="s">
        <v>61</v>
      </c>
      <c r="V7044" s="139"/>
      <c r="W7044" s="49"/>
      <c r="X7044" s="49"/>
      <c r="Y7044" s="35"/>
      <c r="Z7044" s="35"/>
      <c r="AA7044" s="35"/>
      <c r="AB7044" s="35"/>
      <c r="AC7044" s="35"/>
      <c r="AD7044" s="35"/>
      <c r="AE7044" s="35"/>
      <c r="AF7044" s="35"/>
      <c r="AG7044" s="35"/>
      <c r="AH7044" s="35"/>
      <c r="AI7044" s="35"/>
      <c r="AJ7044" s="35"/>
      <c r="AK7044" s="35"/>
      <c r="AL7044" s="35"/>
    </row>
    <row r="7045">
      <c r="A7045" s="39"/>
      <c r="B7045" s="157" t="s">
        <v>32262</v>
      </c>
      <c r="C7045" s="158" t="s">
        <v>32683</v>
      </c>
      <c r="D7045" s="159"/>
      <c r="E7045" s="57" t="s">
        <v>32710</v>
      </c>
      <c r="F7045" s="22" t="s">
        <v>2161</v>
      </c>
      <c r="G7045" s="57">
        <v>2011.0</v>
      </c>
      <c r="H7045" s="57" t="s">
        <v>32711</v>
      </c>
      <c r="I7045" s="134" t="s">
        <v>32714</v>
      </c>
      <c r="J7045" s="22" t="s">
        <v>125</v>
      </c>
      <c r="K7045" s="23"/>
      <c r="L7045" s="241" t="s">
        <v>32715</v>
      </c>
      <c r="M7045" s="44"/>
      <c r="N7045" s="44"/>
      <c r="O7045" s="44"/>
      <c r="P7045" s="44"/>
      <c r="Q7045" s="44"/>
      <c r="R7045" s="44"/>
      <c r="S7045" s="44"/>
      <c r="T7045" s="45"/>
      <c r="U7045" s="248" t="s">
        <v>61</v>
      </c>
      <c r="V7045" s="139"/>
      <c r="W7045" s="49"/>
      <c r="X7045" s="49"/>
      <c r="Y7045" s="35"/>
      <c r="Z7045" s="35"/>
      <c r="AA7045" s="35"/>
      <c r="AB7045" s="35"/>
      <c r="AC7045" s="35"/>
      <c r="AD7045" s="35"/>
      <c r="AE7045" s="35"/>
      <c r="AF7045" s="35"/>
      <c r="AG7045" s="35"/>
      <c r="AH7045" s="35"/>
      <c r="AI7045" s="35"/>
      <c r="AJ7045" s="35"/>
      <c r="AK7045" s="35"/>
      <c r="AL7045" s="35"/>
    </row>
    <row r="7046">
      <c r="A7046" s="39"/>
      <c r="B7046" s="157" t="s">
        <v>32262</v>
      </c>
      <c r="C7046" s="158" t="s">
        <v>32683</v>
      </c>
      <c r="D7046" s="159"/>
      <c r="E7046" s="57" t="s">
        <v>32502</v>
      </c>
      <c r="F7046" s="22" t="s">
        <v>9927</v>
      </c>
      <c r="G7046" s="57">
        <v>2006.0</v>
      </c>
      <c r="H7046" s="57" t="s">
        <v>32716</v>
      </c>
      <c r="I7046" s="134" t="s">
        <v>32717</v>
      </c>
      <c r="J7046" s="22" t="s">
        <v>125</v>
      </c>
      <c r="K7046" s="23"/>
      <c r="L7046" s="105" t="s">
        <v>32718</v>
      </c>
      <c r="M7046" s="44"/>
      <c r="N7046" s="44"/>
      <c r="O7046" s="44"/>
      <c r="P7046" s="44"/>
      <c r="Q7046" s="44"/>
      <c r="R7046" s="44"/>
      <c r="S7046" s="44"/>
      <c r="T7046" s="45"/>
      <c r="U7046" s="248" t="s">
        <v>61</v>
      </c>
      <c r="V7046" s="139"/>
      <c r="W7046" s="49"/>
      <c r="X7046" s="49"/>
      <c r="Y7046" s="35"/>
      <c r="Z7046" s="35"/>
      <c r="AA7046" s="35"/>
      <c r="AB7046" s="35"/>
      <c r="AC7046" s="35"/>
      <c r="AD7046" s="35"/>
      <c r="AE7046" s="35"/>
      <c r="AF7046" s="35"/>
      <c r="AG7046" s="35"/>
      <c r="AH7046" s="35"/>
      <c r="AI7046" s="35"/>
      <c r="AJ7046" s="35"/>
      <c r="AK7046" s="35"/>
      <c r="AL7046" s="35"/>
    </row>
    <row r="7047">
      <c r="A7047" s="39"/>
      <c r="B7047" s="157" t="s">
        <v>32262</v>
      </c>
      <c r="C7047" s="158" t="s">
        <v>32683</v>
      </c>
      <c r="D7047" s="159"/>
      <c r="E7047" s="57" t="s">
        <v>32719</v>
      </c>
      <c r="F7047" s="22" t="s">
        <v>32720</v>
      </c>
      <c r="G7047" s="57">
        <v>2006.0</v>
      </c>
      <c r="H7047" s="57" t="s">
        <v>314</v>
      </c>
      <c r="I7047" s="134" t="s">
        <v>32721</v>
      </c>
      <c r="J7047" s="22" t="s">
        <v>125</v>
      </c>
      <c r="K7047" s="23"/>
      <c r="L7047" s="105" t="s">
        <v>32722</v>
      </c>
      <c r="M7047" s="44"/>
      <c r="N7047" s="44"/>
      <c r="O7047" s="44"/>
      <c r="P7047" s="44"/>
      <c r="Q7047" s="44"/>
      <c r="R7047" s="44"/>
      <c r="S7047" s="44"/>
      <c r="T7047" s="45"/>
      <c r="U7047" s="248" t="s">
        <v>61</v>
      </c>
      <c r="V7047" s="139"/>
      <c r="W7047" s="49"/>
      <c r="X7047" s="49"/>
      <c r="Y7047" s="35"/>
      <c r="Z7047" s="35"/>
      <c r="AA7047" s="35"/>
      <c r="AB7047" s="35"/>
      <c r="AC7047" s="35"/>
      <c r="AD7047" s="35"/>
      <c r="AE7047" s="35"/>
      <c r="AF7047" s="35"/>
      <c r="AG7047" s="35"/>
      <c r="AH7047" s="35"/>
      <c r="AI7047" s="35"/>
      <c r="AJ7047" s="35"/>
      <c r="AK7047" s="35"/>
      <c r="AL7047" s="35"/>
    </row>
    <row r="7048">
      <c r="A7048" s="39"/>
      <c r="B7048" s="157" t="s">
        <v>32262</v>
      </c>
      <c r="C7048" s="158" t="s">
        <v>32723</v>
      </c>
      <c r="D7048" s="159"/>
      <c r="E7048" s="57" t="s">
        <v>32724</v>
      </c>
      <c r="F7048" s="22" t="s">
        <v>15115</v>
      </c>
      <c r="G7048" s="57">
        <v>2020.0</v>
      </c>
      <c r="H7048" s="57" t="s">
        <v>7861</v>
      </c>
      <c r="I7048" s="134" t="s">
        <v>32725</v>
      </c>
      <c r="J7048" s="23" t="s">
        <v>32726</v>
      </c>
      <c r="K7048" s="23"/>
      <c r="L7048" s="414" t="s">
        <v>32262</v>
      </c>
      <c r="M7048" s="44"/>
      <c r="N7048" s="44"/>
      <c r="O7048" s="44"/>
      <c r="P7048" s="44"/>
      <c r="Q7048" s="44"/>
      <c r="R7048" s="44"/>
      <c r="S7048" s="45"/>
      <c r="T7048" s="272" t="s">
        <v>32727</v>
      </c>
      <c r="U7048" s="248" t="s">
        <v>61</v>
      </c>
      <c r="V7048" s="139"/>
      <c r="W7048" s="49"/>
      <c r="X7048" s="49"/>
      <c r="Y7048" s="35"/>
      <c r="Z7048" s="35"/>
      <c r="AA7048" s="35"/>
      <c r="AB7048" s="35"/>
      <c r="AC7048" s="35"/>
      <c r="AD7048" s="35"/>
      <c r="AE7048" s="35"/>
      <c r="AF7048" s="35"/>
      <c r="AG7048" s="35"/>
      <c r="AH7048" s="35"/>
      <c r="AI7048" s="35"/>
      <c r="AJ7048" s="35"/>
      <c r="AK7048" s="35"/>
      <c r="AL7048" s="35"/>
    </row>
    <row r="7049">
      <c r="A7049" s="39"/>
      <c r="B7049" s="157" t="s">
        <v>32262</v>
      </c>
      <c r="C7049" s="158" t="s">
        <v>32728</v>
      </c>
      <c r="D7049" s="159"/>
      <c r="E7049" s="57" t="s">
        <v>32626</v>
      </c>
      <c r="F7049" s="22" t="s">
        <v>15724</v>
      </c>
      <c r="G7049" s="57">
        <v>2019.0</v>
      </c>
      <c r="H7049" s="57" t="s">
        <v>32704</v>
      </c>
      <c r="I7049" s="134" t="s">
        <v>32729</v>
      </c>
      <c r="J7049" s="23" t="s">
        <v>649</v>
      </c>
      <c r="K7049" s="23"/>
      <c r="L7049" s="105" t="s">
        <v>32730</v>
      </c>
      <c r="M7049" s="44"/>
      <c r="N7049" s="44"/>
      <c r="O7049" s="44"/>
      <c r="P7049" s="44"/>
      <c r="Q7049" s="44"/>
      <c r="R7049" s="44"/>
      <c r="S7049" s="44"/>
      <c r="T7049" s="45"/>
      <c r="U7049" s="248" t="s">
        <v>61</v>
      </c>
      <c r="V7049" s="139"/>
      <c r="W7049" s="49"/>
      <c r="X7049" s="49"/>
      <c r="Y7049" s="35"/>
      <c r="Z7049" s="35"/>
      <c r="AA7049" s="35"/>
      <c r="AB7049" s="35"/>
      <c r="AC7049" s="35"/>
      <c r="AD7049" s="35"/>
      <c r="AE7049" s="35"/>
      <c r="AF7049" s="35"/>
      <c r="AG7049" s="35"/>
      <c r="AH7049" s="35"/>
      <c r="AI7049" s="35"/>
      <c r="AJ7049" s="35"/>
      <c r="AK7049" s="35"/>
      <c r="AL7049" s="35"/>
    </row>
    <row r="7050">
      <c r="A7050" s="39"/>
      <c r="B7050" s="157" t="s">
        <v>32262</v>
      </c>
      <c r="C7050" s="158" t="s">
        <v>32728</v>
      </c>
      <c r="D7050" s="159"/>
      <c r="E7050" s="57" t="s">
        <v>32731</v>
      </c>
      <c r="F7050" s="22" t="s">
        <v>32732</v>
      </c>
      <c r="G7050" s="57">
        <v>2019.0</v>
      </c>
      <c r="H7050" s="57" t="s">
        <v>32324</v>
      </c>
      <c r="I7050" s="134" t="s">
        <v>32733</v>
      </c>
      <c r="J7050" s="23" t="s">
        <v>649</v>
      </c>
      <c r="K7050" s="23"/>
      <c r="L7050" s="105" t="s">
        <v>32734</v>
      </c>
      <c r="M7050" s="44"/>
      <c r="N7050" s="44"/>
      <c r="O7050" s="44"/>
      <c r="P7050" s="44"/>
      <c r="Q7050" s="44"/>
      <c r="R7050" s="44"/>
      <c r="S7050" s="44"/>
      <c r="T7050" s="45"/>
      <c r="U7050" s="248" t="s">
        <v>61</v>
      </c>
      <c r="V7050" s="139"/>
      <c r="W7050" s="49"/>
      <c r="X7050" s="49"/>
      <c r="Y7050" s="35"/>
      <c r="Z7050" s="35"/>
      <c r="AA7050" s="35"/>
      <c r="AB7050" s="35"/>
      <c r="AC7050" s="35"/>
      <c r="AD7050" s="35"/>
      <c r="AE7050" s="35"/>
      <c r="AF7050" s="35"/>
      <c r="AG7050" s="35"/>
      <c r="AH7050" s="35"/>
      <c r="AI7050" s="35"/>
      <c r="AJ7050" s="35"/>
      <c r="AK7050" s="35"/>
      <c r="AL7050" s="35"/>
    </row>
    <row r="7051">
      <c r="A7051" s="39"/>
      <c r="B7051" s="157" t="s">
        <v>32262</v>
      </c>
      <c r="C7051" s="158" t="s">
        <v>32735</v>
      </c>
      <c r="D7051" s="159"/>
      <c r="E7051" s="57" t="s">
        <v>6140</v>
      </c>
      <c r="F7051" s="22" t="s">
        <v>2105</v>
      </c>
      <c r="G7051" s="57">
        <v>2022.0</v>
      </c>
      <c r="H7051" s="57" t="s">
        <v>4975</v>
      </c>
      <c r="I7051" s="134" t="s">
        <v>32736</v>
      </c>
      <c r="J7051" s="23" t="s">
        <v>31</v>
      </c>
      <c r="K7051" s="23"/>
      <c r="L7051" s="414" t="s">
        <v>32737</v>
      </c>
      <c r="M7051" s="44"/>
      <c r="N7051" s="44"/>
      <c r="O7051" s="44"/>
      <c r="P7051" s="44"/>
      <c r="Q7051" s="44"/>
      <c r="R7051" s="44"/>
      <c r="S7051" s="45"/>
      <c r="T7051" s="54" t="s">
        <v>32738</v>
      </c>
      <c r="U7051" s="255" t="s">
        <v>61</v>
      </c>
      <c r="V7051" s="139"/>
      <c r="W7051" s="49"/>
      <c r="X7051" s="49"/>
      <c r="Y7051" s="35"/>
      <c r="Z7051" s="35"/>
      <c r="AA7051" s="35"/>
      <c r="AB7051" s="35"/>
      <c r="AC7051" s="35"/>
      <c r="AD7051" s="35"/>
      <c r="AE7051" s="35"/>
      <c r="AF7051" s="35"/>
      <c r="AG7051" s="35"/>
      <c r="AH7051" s="35"/>
      <c r="AI7051" s="35"/>
      <c r="AJ7051" s="35"/>
      <c r="AK7051" s="35"/>
      <c r="AL7051" s="35"/>
    </row>
    <row r="7052">
      <c r="A7052" s="39"/>
      <c r="B7052" s="157" t="s">
        <v>32262</v>
      </c>
      <c r="C7052" s="158" t="s">
        <v>32735</v>
      </c>
      <c r="D7052" s="159"/>
      <c r="E7052" s="57" t="s">
        <v>32739</v>
      </c>
      <c r="F7052" s="22" t="s">
        <v>32740</v>
      </c>
      <c r="G7052" s="57">
        <v>2020.0</v>
      </c>
      <c r="H7052" s="57" t="s">
        <v>32741</v>
      </c>
      <c r="I7052" s="134" t="s">
        <v>32742</v>
      </c>
      <c r="J7052" s="23" t="s">
        <v>31</v>
      </c>
      <c r="K7052" s="23"/>
      <c r="L7052" s="414" t="s">
        <v>32737</v>
      </c>
      <c r="M7052" s="44"/>
      <c r="N7052" s="44"/>
      <c r="O7052" s="44"/>
      <c r="P7052" s="44"/>
      <c r="Q7052" s="44"/>
      <c r="R7052" s="44"/>
      <c r="S7052" s="45"/>
      <c r="T7052" s="54" t="s">
        <v>32743</v>
      </c>
      <c r="U7052" s="248" t="s">
        <v>61</v>
      </c>
      <c r="V7052" s="139"/>
      <c r="W7052" s="49"/>
      <c r="X7052" s="49"/>
      <c r="Y7052" s="35"/>
      <c r="Z7052" s="35"/>
      <c r="AA7052" s="35"/>
      <c r="AB7052" s="35"/>
      <c r="AC7052" s="35"/>
      <c r="AD7052" s="35"/>
      <c r="AE7052" s="35"/>
      <c r="AF7052" s="35"/>
      <c r="AG7052" s="35"/>
      <c r="AH7052" s="35"/>
      <c r="AI7052" s="35"/>
      <c r="AJ7052" s="35"/>
      <c r="AK7052" s="35"/>
      <c r="AL7052" s="35"/>
    </row>
    <row r="7053">
      <c r="A7053" s="39"/>
      <c r="B7053" s="157" t="s">
        <v>32262</v>
      </c>
      <c r="C7053" s="158" t="s">
        <v>32735</v>
      </c>
      <c r="D7053" s="159"/>
      <c r="E7053" s="57" t="s">
        <v>32744</v>
      </c>
      <c r="F7053" s="22" t="s">
        <v>32740</v>
      </c>
      <c r="G7053" s="57">
        <v>2020.0</v>
      </c>
      <c r="H7053" s="57" t="s">
        <v>32741</v>
      </c>
      <c r="I7053" s="134" t="s">
        <v>32745</v>
      </c>
      <c r="J7053" s="23" t="s">
        <v>31</v>
      </c>
      <c r="K7053" s="23"/>
      <c r="L7053" s="414" t="s">
        <v>32737</v>
      </c>
      <c r="M7053" s="44"/>
      <c r="N7053" s="44"/>
      <c r="O7053" s="44"/>
      <c r="P7053" s="44"/>
      <c r="Q7053" s="44"/>
      <c r="R7053" s="44"/>
      <c r="S7053" s="45"/>
      <c r="T7053" s="54" t="s">
        <v>32746</v>
      </c>
      <c r="U7053" s="248" t="s">
        <v>61</v>
      </c>
      <c r="V7053" s="139"/>
      <c r="W7053" s="49"/>
      <c r="X7053" s="49"/>
      <c r="Y7053" s="35"/>
      <c r="Z7053" s="35"/>
      <c r="AA7053" s="35"/>
      <c r="AB7053" s="35"/>
      <c r="AC7053" s="35"/>
      <c r="AD7053" s="35"/>
      <c r="AE7053" s="35"/>
      <c r="AF7053" s="35"/>
      <c r="AG7053" s="35"/>
      <c r="AH7053" s="35"/>
      <c r="AI7053" s="35"/>
      <c r="AJ7053" s="35"/>
      <c r="AK7053" s="35"/>
      <c r="AL7053" s="35"/>
    </row>
    <row r="7054">
      <c r="A7054" s="1" t="s">
        <v>2</v>
      </c>
      <c r="B7054" s="157" t="s">
        <v>32262</v>
      </c>
      <c r="C7054" s="158" t="s">
        <v>32747</v>
      </c>
      <c r="D7054" s="159"/>
      <c r="E7054" s="57" t="s">
        <v>32748</v>
      </c>
      <c r="F7054" s="22" t="s">
        <v>32749</v>
      </c>
      <c r="G7054" s="57">
        <v>2024.0</v>
      </c>
      <c r="H7054" s="57" t="s">
        <v>3950</v>
      </c>
      <c r="I7054" s="134" t="s">
        <v>32750</v>
      </c>
      <c r="J7054" s="23" t="s">
        <v>3053</v>
      </c>
      <c r="K7054" s="23"/>
      <c r="L7054" s="414" t="s">
        <v>32751</v>
      </c>
      <c r="M7054" s="44"/>
      <c r="N7054" s="44"/>
      <c r="O7054" s="44"/>
      <c r="P7054" s="44"/>
      <c r="Q7054" s="44"/>
      <c r="R7054" s="44"/>
      <c r="S7054" s="45"/>
      <c r="T7054" s="54" t="s">
        <v>32752</v>
      </c>
      <c r="U7054" s="255" t="s">
        <v>61</v>
      </c>
      <c r="V7054" s="139"/>
      <c r="W7054" s="49"/>
      <c r="X7054" s="49"/>
      <c r="Y7054" s="35"/>
      <c r="Z7054" s="35"/>
      <c r="AA7054" s="35"/>
      <c r="AB7054" s="35"/>
      <c r="AC7054" s="35"/>
      <c r="AD7054" s="35"/>
      <c r="AE7054" s="35"/>
      <c r="AF7054" s="35"/>
      <c r="AG7054" s="35"/>
      <c r="AH7054" s="35"/>
      <c r="AI7054" s="35"/>
      <c r="AJ7054" s="35"/>
      <c r="AK7054" s="35"/>
      <c r="AL7054" s="35"/>
    </row>
    <row r="7055">
      <c r="A7055" s="1" t="s">
        <v>2</v>
      </c>
      <c r="B7055" s="157" t="s">
        <v>32262</v>
      </c>
      <c r="C7055" s="158" t="s">
        <v>32747</v>
      </c>
      <c r="D7055" s="159"/>
      <c r="E7055" s="57" t="s">
        <v>32753</v>
      </c>
      <c r="F7055" s="22" t="s">
        <v>32754</v>
      </c>
      <c r="G7055" s="57">
        <v>2023.0</v>
      </c>
      <c r="H7055" s="57" t="s">
        <v>2181</v>
      </c>
      <c r="I7055" s="134" t="s">
        <v>32755</v>
      </c>
      <c r="J7055" s="23" t="s">
        <v>31</v>
      </c>
      <c r="K7055" s="23"/>
      <c r="L7055" s="414" t="s">
        <v>32756</v>
      </c>
      <c r="M7055" s="44"/>
      <c r="N7055" s="44"/>
      <c r="O7055" s="44"/>
      <c r="P7055" s="44"/>
      <c r="Q7055" s="44"/>
      <c r="R7055" s="44"/>
      <c r="S7055" s="45"/>
      <c r="T7055" s="54" t="s">
        <v>32757</v>
      </c>
      <c r="U7055" s="255" t="s">
        <v>61</v>
      </c>
      <c r="V7055" s="139"/>
      <c r="W7055" s="49"/>
      <c r="X7055" s="49"/>
      <c r="Y7055" s="35"/>
      <c r="Z7055" s="35"/>
      <c r="AA7055" s="35"/>
      <c r="AB7055" s="35"/>
      <c r="AC7055" s="35"/>
      <c r="AD7055" s="35"/>
      <c r="AE7055" s="35"/>
      <c r="AF7055" s="35"/>
      <c r="AG7055" s="35"/>
      <c r="AH7055" s="35"/>
      <c r="AI7055" s="35"/>
      <c r="AJ7055" s="35"/>
      <c r="AK7055" s="35"/>
      <c r="AL7055" s="35"/>
    </row>
    <row r="7056">
      <c r="A7056" s="39"/>
      <c r="B7056" s="157" t="s">
        <v>32262</v>
      </c>
      <c r="C7056" s="158" t="s">
        <v>32747</v>
      </c>
      <c r="D7056" s="159"/>
      <c r="E7056" s="57" t="s">
        <v>32758</v>
      </c>
      <c r="F7056" s="22" t="s">
        <v>32759</v>
      </c>
      <c r="G7056" s="57">
        <v>2023.0</v>
      </c>
      <c r="H7056" s="57" t="s">
        <v>5032</v>
      </c>
      <c r="I7056" s="134" t="s">
        <v>32760</v>
      </c>
      <c r="J7056" s="23" t="s">
        <v>31</v>
      </c>
      <c r="K7056" s="23"/>
      <c r="L7056" s="414" t="s">
        <v>32761</v>
      </c>
      <c r="M7056" s="44"/>
      <c r="N7056" s="44"/>
      <c r="O7056" s="44"/>
      <c r="P7056" s="44"/>
      <c r="Q7056" s="44"/>
      <c r="R7056" s="44"/>
      <c r="S7056" s="45"/>
      <c r="T7056" s="54" t="s">
        <v>32762</v>
      </c>
      <c r="U7056" s="255" t="s">
        <v>61</v>
      </c>
      <c r="V7056" s="139"/>
      <c r="W7056" s="49"/>
      <c r="X7056" s="49"/>
      <c r="Y7056" s="35"/>
      <c r="Z7056" s="35"/>
      <c r="AA7056" s="35"/>
      <c r="AB7056" s="35"/>
      <c r="AC7056" s="35"/>
      <c r="AD7056" s="35"/>
      <c r="AE7056" s="35"/>
      <c r="AF7056" s="35"/>
      <c r="AG7056" s="35"/>
      <c r="AH7056" s="35"/>
      <c r="AI7056" s="35"/>
      <c r="AJ7056" s="35"/>
      <c r="AK7056" s="35"/>
      <c r="AL7056" s="35"/>
    </row>
    <row r="7057">
      <c r="A7057" s="39"/>
      <c r="B7057" s="157" t="s">
        <v>32262</v>
      </c>
      <c r="C7057" s="158" t="s">
        <v>32747</v>
      </c>
      <c r="D7057" s="159"/>
      <c r="E7057" s="57" t="s">
        <v>32763</v>
      </c>
      <c r="F7057" s="22" t="s">
        <v>15724</v>
      </c>
      <c r="G7057" s="57">
        <v>2020.0</v>
      </c>
      <c r="H7057" s="57" t="s">
        <v>9646</v>
      </c>
      <c r="I7057" s="134" t="s">
        <v>32764</v>
      </c>
      <c r="J7057" s="23" t="s">
        <v>44</v>
      </c>
      <c r="K7057" s="23"/>
      <c r="L7057" s="414" t="s">
        <v>32761</v>
      </c>
      <c r="M7057" s="44"/>
      <c r="N7057" s="44"/>
      <c r="O7057" s="44"/>
      <c r="P7057" s="44"/>
      <c r="Q7057" s="44"/>
      <c r="R7057" s="44"/>
      <c r="S7057" s="45"/>
      <c r="T7057" s="54" t="s">
        <v>32765</v>
      </c>
      <c r="U7057" s="248" t="s">
        <v>61</v>
      </c>
      <c r="V7057" s="139"/>
      <c r="W7057" s="49"/>
      <c r="X7057" s="49"/>
      <c r="Y7057" s="35"/>
      <c r="Z7057" s="35"/>
      <c r="AA7057" s="35"/>
      <c r="AB7057" s="35"/>
      <c r="AC7057" s="35"/>
      <c r="AD7057" s="35"/>
      <c r="AE7057" s="35"/>
      <c r="AF7057" s="35"/>
      <c r="AG7057" s="35"/>
      <c r="AH7057" s="35"/>
      <c r="AI7057" s="35"/>
      <c r="AJ7057" s="35"/>
      <c r="AK7057" s="35"/>
      <c r="AL7057" s="35"/>
    </row>
    <row r="7058">
      <c r="A7058" s="39"/>
      <c r="B7058" s="157" t="s">
        <v>32262</v>
      </c>
      <c r="C7058" s="158" t="s">
        <v>32747</v>
      </c>
      <c r="D7058" s="159"/>
      <c r="E7058" s="57" t="s">
        <v>32766</v>
      </c>
      <c r="F7058" s="22" t="s">
        <v>20741</v>
      </c>
      <c r="G7058" s="57">
        <v>2019.0</v>
      </c>
      <c r="H7058" s="57" t="s">
        <v>9978</v>
      </c>
      <c r="I7058" s="134" t="s">
        <v>32767</v>
      </c>
      <c r="J7058" s="23" t="s">
        <v>44</v>
      </c>
      <c r="K7058" s="23"/>
      <c r="L7058" s="414" t="s">
        <v>32761</v>
      </c>
      <c r="M7058" s="44"/>
      <c r="N7058" s="44"/>
      <c r="O7058" s="44"/>
      <c r="P7058" s="44"/>
      <c r="Q7058" s="44"/>
      <c r="R7058" s="44"/>
      <c r="S7058" s="45"/>
      <c r="T7058" s="54" t="s">
        <v>32768</v>
      </c>
      <c r="U7058" s="248" t="s">
        <v>61</v>
      </c>
      <c r="V7058" s="139"/>
      <c r="W7058" s="49"/>
      <c r="X7058" s="49"/>
      <c r="Y7058" s="35"/>
      <c r="Z7058" s="35"/>
      <c r="AA7058" s="35"/>
      <c r="AB7058" s="35"/>
      <c r="AC7058" s="35"/>
      <c r="AD7058" s="35"/>
      <c r="AE7058" s="35"/>
      <c r="AF7058" s="35"/>
      <c r="AG7058" s="35"/>
      <c r="AH7058" s="35"/>
      <c r="AI7058" s="35"/>
      <c r="AJ7058" s="35"/>
      <c r="AK7058" s="35"/>
      <c r="AL7058" s="35"/>
    </row>
    <row r="7059">
      <c r="A7059" s="39"/>
      <c r="B7059" s="157" t="s">
        <v>32262</v>
      </c>
      <c r="C7059" s="158" t="s">
        <v>32747</v>
      </c>
      <c r="D7059" s="159"/>
      <c r="E7059" s="57" t="s">
        <v>32769</v>
      </c>
      <c r="F7059" s="22" t="s">
        <v>1862</v>
      </c>
      <c r="G7059" s="57">
        <v>2019.0</v>
      </c>
      <c r="H7059" s="57" t="s">
        <v>32461</v>
      </c>
      <c r="I7059" s="134" t="s">
        <v>32770</v>
      </c>
      <c r="J7059" s="23" t="s">
        <v>44</v>
      </c>
      <c r="K7059" s="23"/>
      <c r="L7059" s="414" t="s">
        <v>32761</v>
      </c>
      <c r="M7059" s="44"/>
      <c r="N7059" s="44"/>
      <c r="O7059" s="44"/>
      <c r="P7059" s="44"/>
      <c r="Q7059" s="44"/>
      <c r="R7059" s="44"/>
      <c r="S7059" s="45"/>
      <c r="T7059" s="54" t="s">
        <v>32771</v>
      </c>
      <c r="U7059" s="248" t="s">
        <v>61</v>
      </c>
      <c r="V7059" s="139"/>
      <c r="W7059" s="49"/>
      <c r="X7059" s="49"/>
      <c r="Y7059" s="35"/>
      <c r="Z7059" s="35"/>
      <c r="AA7059" s="35"/>
      <c r="AB7059" s="35"/>
      <c r="AC7059" s="35"/>
      <c r="AD7059" s="35"/>
      <c r="AE7059" s="35"/>
      <c r="AF7059" s="35"/>
      <c r="AG7059" s="35"/>
      <c r="AH7059" s="35"/>
      <c r="AI7059" s="35"/>
      <c r="AJ7059" s="35"/>
      <c r="AK7059" s="35"/>
      <c r="AL7059" s="35"/>
    </row>
    <row r="7060">
      <c r="A7060" s="39"/>
      <c r="B7060" s="157" t="s">
        <v>32262</v>
      </c>
      <c r="C7060" s="158" t="s">
        <v>32747</v>
      </c>
      <c r="D7060" s="159"/>
      <c r="E7060" s="57" t="s">
        <v>18610</v>
      </c>
      <c r="F7060" s="22" t="s">
        <v>15724</v>
      </c>
      <c r="G7060" s="57">
        <v>2019.0</v>
      </c>
      <c r="H7060" s="57" t="s">
        <v>11178</v>
      </c>
      <c r="I7060" s="134" t="s">
        <v>32772</v>
      </c>
      <c r="J7060" s="23" t="s">
        <v>44</v>
      </c>
      <c r="K7060" s="23"/>
      <c r="L7060" s="414" t="s">
        <v>32761</v>
      </c>
      <c r="M7060" s="44"/>
      <c r="N7060" s="44"/>
      <c r="O7060" s="44"/>
      <c r="P7060" s="44"/>
      <c r="Q7060" s="44"/>
      <c r="R7060" s="44"/>
      <c r="S7060" s="45"/>
      <c r="T7060" s="54" t="s">
        <v>32773</v>
      </c>
      <c r="U7060" s="248" t="s">
        <v>61</v>
      </c>
      <c r="V7060" s="139"/>
      <c r="W7060" s="49"/>
      <c r="X7060" s="49"/>
      <c r="Y7060" s="35"/>
      <c r="Z7060" s="35"/>
      <c r="AA7060" s="35"/>
      <c r="AB7060" s="35"/>
      <c r="AC7060" s="35"/>
      <c r="AD7060" s="35"/>
      <c r="AE7060" s="35"/>
      <c r="AF7060" s="35"/>
      <c r="AG7060" s="35"/>
      <c r="AH7060" s="35"/>
      <c r="AI7060" s="35"/>
      <c r="AJ7060" s="35"/>
      <c r="AK7060" s="35"/>
      <c r="AL7060" s="35"/>
    </row>
    <row r="7061">
      <c r="A7061" s="1"/>
      <c r="B7061" s="157" t="s">
        <v>32262</v>
      </c>
      <c r="C7061" s="158" t="s">
        <v>32747</v>
      </c>
      <c r="D7061" s="159"/>
      <c r="E7061" s="57" t="s">
        <v>32684</v>
      </c>
      <c r="F7061" s="22" t="s">
        <v>2698</v>
      </c>
      <c r="G7061" s="57">
        <v>2018.0</v>
      </c>
      <c r="H7061" s="57" t="s">
        <v>32774</v>
      </c>
      <c r="I7061" s="134" t="s">
        <v>32775</v>
      </c>
      <c r="J7061" s="23" t="s">
        <v>3053</v>
      </c>
      <c r="K7061" s="23"/>
      <c r="L7061" s="414" t="s">
        <v>32761</v>
      </c>
      <c r="M7061" s="44"/>
      <c r="N7061" s="44"/>
      <c r="O7061" s="44"/>
      <c r="P7061" s="44"/>
      <c r="Q7061" s="44"/>
      <c r="R7061" s="44"/>
      <c r="S7061" s="45"/>
      <c r="T7061" s="54" t="s">
        <v>32776</v>
      </c>
      <c r="U7061" s="255" t="s">
        <v>61</v>
      </c>
      <c r="V7061" s="139"/>
      <c r="W7061" s="49"/>
      <c r="X7061" s="49"/>
      <c r="Y7061" s="35"/>
      <c r="Z7061" s="35"/>
      <c r="AA7061" s="35"/>
      <c r="AB7061" s="35"/>
      <c r="AC7061" s="35"/>
      <c r="AD7061" s="35"/>
      <c r="AE7061" s="35"/>
      <c r="AF7061" s="35"/>
      <c r="AG7061" s="35"/>
      <c r="AH7061" s="35"/>
      <c r="AI7061" s="35"/>
      <c r="AJ7061" s="35"/>
      <c r="AK7061" s="35"/>
      <c r="AL7061" s="35"/>
    </row>
    <row r="7062">
      <c r="A7062" s="1" t="s">
        <v>2</v>
      </c>
      <c r="B7062" s="157" t="s">
        <v>32262</v>
      </c>
      <c r="C7062" s="158" t="s">
        <v>32747</v>
      </c>
      <c r="D7062" s="159"/>
      <c r="E7062" s="57" t="s">
        <v>1921</v>
      </c>
      <c r="F7062" s="22" t="s">
        <v>4296</v>
      </c>
      <c r="G7062" s="57">
        <v>2018.0</v>
      </c>
      <c r="H7062" s="57" t="s">
        <v>32777</v>
      </c>
      <c r="I7062" s="134" t="s">
        <v>32778</v>
      </c>
      <c r="J7062" s="23" t="s">
        <v>44</v>
      </c>
      <c r="K7062" s="23"/>
      <c r="L7062" s="414" t="s">
        <v>32761</v>
      </c>
      <c r="M7062" s="44"/>
      <c r="N7062" s="44"/>
      <c r="O7062" s="44"/>
      <c r="P7062" s="44"/>
      <c r="Q7062" s="44"/>
      <c r="R7062" s="44"/>
      <c r="S7062" s="45"/>
      <c r="T7062" s="54" t="s">
        <v>32779</v>
      </c>
      <c r="U7062" s="248" t="s">
        <v>61</v>
      </c>
      <c r="V7062" s="139"/>
      <c r="W7062" s="49"/>
      <c r="X7062" s="49"/>
      <c r="Y7062" s="35"/>
      <c r="Z7062" s="35"/>
      <c r="AA7062" s="35"/>
      <c r="AB7062" s="35"/>
      <c r="AC7062" s="35"/>
      <c r="AD7062" s="35"/>
      <c r="AE7062" s="35"/>
      <c r="AF7062" s="35"/>
      <c r="AG7062" s="35"/>
      <c r="AH7062" s="35"/>
      <c r="AI7062" s="35"/>
      <c r="AJ7062" s="35"/>
      <c r="AK7062" s="35"/>
      <c r="AL7062" s="35"/>
    </row>
    <row r="7063">
      <c r="A7063" s="39"/>
      <c r="B7063" s="157" t="s">
        <v>32262</v>
      </c>
      <c r="C7063" s="158" t="s">
        <v>32747</v>
      </c>
      <c r="D7063" s="159"/>
      <c r="E7063" s="57" t="s">
        <v>32780</v>
      </c>
      <c r="F7063" s="22" t="s">
        <v>32781</v>
      </c>
      <c r="G7063" s="57">
        <v>2018.0</v>
      </c>
      <c r="H7063" s="57" t="s">
        <v>16603</v>
      </c>
      <c r="I7063" s="134" t="s">
        <v>32782</v>
      </c>
      <c r="J7063" s="23" t="s">
        <v>3053</v>
      </c>
      <c r="K7063" s="23"/>
      <c r="L7063" s="414" t="s">
        <v>32761</v>
      </c>
      <c r="M7063" s="44"/>
      <c r="N7063" s="44"/>
      <c r="O7063" s="44"/>
      <c r="P7063" s="44"/>
      <c r="Q7063" s="44"/>
      <c r="R7063" s="44"/>
      <c r="S7063" s="45"/>
      <c r="T7063" s="102" t="s">
        <v>32783</v>
      </c>
      <c r="U7063" s="248" t="s">
        <v>61</v>
      </c>
      <c r="V7063" s="139"/>
      <c r="W7063" s="49"/>
      <c r="X7063" s="49"/>
      <c r="Y7063" s="35"/>
      <c r="Z7063" s="35"/>
      <c r="AA7063" s="35"/>
      <c r="AB7063" s="35"/>
      <c r="AC7063" s="35"/>
      <c r="AD7063" s="35"/>
      <c r="AE7063" s="35"/>
      <c r="AF7063" s="35"/>
      <c r="AG7063" s="35"/>
      <c r="AH7063" s="35"/>
      <c r="AI7063" s="35"/>
      <c r="AJ7063" s="35"/>
      <c r="AK7063" s="35"/>
      <c r="AL7063" s="35"/>
    </row>
    <row r="7064">
      <c r="A7064" s="39"/>
      <c r="B7064" s="157" t="s">
        <v>32262</v>
      </c>
      <c r="C7064" s="158" t="s">
        <v>32747</v>
      </c>
      <c r="D7064" s="159"/>
      <c r="E7064" s="57" t="s">
        <v>32784</v>
      </c>
      <c r="F7064" s="22" t="s">
        <v>14223</v>
      </c>
      <c r="G7064" s="57">
        <v>2018.0</v>
      </c>
      <c r="H7064" s="57" t="s">
        <v>32785</v>
      </c>
      <c r="I7064" s="134" t="s">
        <v>32786</v>
      </c>
      <c r="J7064" s="23" t="s">
        <v>55</v>
      </c>
      <c r="K7064" s="23" t="s">
        <v>31017</v>
      </c>
      <c r="L7064" s="414" t="s">
        <v>32761</v>
      </c>
      <c r="M7064" s="44"/>
      <c r="N7064" s="44"/>
      <c r="O7064" s="44"/>
      <c r="P7064" s="44"/>
      <c r="Q7064" s="44"/>
      <c r="R7064" s="44"/>
      <c r="S7064" s="45"/>
      <c r="T7064" s="54" t="s">
        <v>32787</v>
      </c>
      <c r="U7064" s="248" t="s">
        <v>61</v>
      </c>
      <c r="V7064" s="139"/>
      <c r="W7064" s="49"/>
      <c r="X7064" s="49"/>
      <c r="Y7064" s="35"/>
      <c r="Z7064" s="35"/>
      <c r="AA7064" s="35"/>
      <c r="AB7064" s="35"/>
      <c r="AC7064" s="35"/>
      <c r="AD7064" s="35"/>
      <c r="AE7064" s="35"/>
      <c r="AF7064" s="35"/>
      <c r="AG7064" s="35"/>
      <c r="AH7064" s="35"/>
      <c r="AI7064" s="35"/>
      <c r="AJ7064" s="35"/>
      <c r="AK7064" s="35"/>
      <c r="AL7064" s="35"/>
    </row>
    <row r="7065">
      <c r="A7065" s="39"/>
      <c r="B7065" s="157" t="s">
        <v>32262</v>
      </c>
      <c r="C7065" s="158" t="s">
        <v>32747</v>
      </c>
      <c r="D7065" s="159"/>
      <c r="E7065" s="57" t="s">
        <v>32788</v>
      </c>
      <c r="F7065" s="22" t="s">
        <v>2052</v>
      </c>
      <c r="G7065" s="57">
        <v>2017.0</v>
      </c>
      <c r="H7065" s="57" t="s">
        <v>32579</v>
      </c>
      <c r="I7065" s="134" t="s">
        <v>32789</v>
      </c>
      <c r="J7065" s="22" t="s">
        <v>3053</v>
      </c>
      <c r="K7065" s="23"/>
      <c r="L7065" s="414" t="s">
        <v>32761</v>
      </c>
      <c r="M7065" s="44"/>
      <c r="N7065" s="44"/>
      <c r="O7065" s="44"/>
      <c r="P7065" s="44"/>
      <c r="Q7065" s="44"/>
      <c r="R7065" s="44"/>
      <c r="S7065" s="45"/>
      <c r="T7065" s="54" t="s">
        <v>32790</v>
      </c>
      <c r="U7065" s="248" t="s">
        <v>61</v>
      </c>
      <c r="V7065" s="139"/>
      <c r="W7065" s="49"/>
      <c r="X7065" s="49"/>
      <c r="Y7065" s="35"/>
      <c r="Z7065" s="35"/>
      <c r="AA7065" s="35"/>
      <c r="AB7065" s="35"/>
      <c r="AC7065" s="35"/>
      <c r="AD7065" s="35"/>
      <c r="AE7065" s="35"/>
      <c r="AF7065" s="35"/>
      <c r="AG7065" s="35"/>
      <c r="AH7065" s="35"/>
      <c r="AI7065" s="35"/>
      <c r="AJ7065" s="35"/>
      <c r="AK7065" s="35"/>
      <c r="AL7065" s="35"/>
    </row>
    <row r="7066">
      <c r="A7066" s="39"/>
      <c r="B7066" s="157" t="s">
        <v>32262</v>
      </c>
      <c r="C7066" s="158" t="s">
        <v>32747</v>
      </c>
      <c r="D7066" s="159"/>
      <c r="E7066" s="57" t="s">
        <v>32651</v>
      </c>
      <c r="F7066" s="22" t="s">
        <v>15724</v>
      </c>
      <c r="G7066" s="57">
        <v>2017.0</v>
      </c>
      <c r="H7066" s="57" t="s">
        <v>32791</v>
      </c>
      <c r="I7066" s="134" t="s">
        <v>32792</v>
      </c>
      <c r="J7066" s="23" t="s">
        <v>44</v>
      </c>
      <c r="K7066" s="23"/>
      <c r="L7066" s="414" t="s">
        <v>32761</v>
      </c>
      <c r="M7066" s="44"/>
      <c r="N7066" s="44"/>
      <c r="O7066" s="44"/>
      <c r="P7066" s="44"/>
      <c r="Q7066" s="44"/>
      <c r="R7066" s="44"/>
      <c r="S7066" s="45"/>
      <c r="T7066" s="54" t="s">
        <v>32793</v>
      </c>
      <c r="U7066" s="248" t="s">
        <v>61</v>
      </c>
      <c r="V7066" s="139"/>
      <c r="W7066" s="49"/>
      <c r="X7066" s="49"/>
      <c r="Y7066" s="35"/>
      <c r="Z7066" s="35"/>
      <c r="AA7066" s="35"/>
      <c r="AB7066" s="35"/>
      <c r="AC7066" s="35"/>
      <c r="AD7066" s="35"/>
      <c r="AE7066" s="35"/>
      <c r="AF7066" s="35"/>
      <c r="AG7066" s="35"/>
      <c r="AH7066" s="35"/>
      <c r="AI7066" s="35"/>
      <c r="AJ7066" s="35"/>
      <c r="AK7066" s="35"/>
      <c r="AL7066" s="35"/>
    </row>
    <row r="7067">
      <c r="A7067" s="39"/>
      <c r="B7067" s="157" t="s">
        <v>32262</v>
      </c>
      <c r="C7067" s="158" t="s">
        <v>32747</v>
      </c>
      <c r="D7067" s="159"/>
      <c r="E7067" s="57" t="s">
        <v>626</v>
      </c>
      <c r="F7067" s="22" t="s">
        <v>20741</v>
      </c>
      <c r="G7067" s="57">
        <v>2015.0</v>
      </c>
      <c r="H7067" s="57" t="s">
        <v>231</v>
      </c>
      <c r="I7067" s="134" t="s">
        <v>32794</v>
      </c>
      <c r="J7067" s="23" t="s">
        <v>44</v>
      </c>
      <c r="K7067" s="23"/>
      <c r="L7067" s="414" t="s">
        <v>32761</v>
      </c>
      <c r="M7067" s="44"/>
      <c r="N7067" s="44"/>
      <c r="O7067" s="44"/>
      <c r="P7067" s="44"/>
      <c r="Q7067" s="44"/>
      <c r="R7067" s="44"/>
      <c r="S7067" s="45"/>
      <c r="T7067" s="54" t="s">
        <v>32795</v>
      </c>
      <c r="U7067" s="248" t="s">
        <v>61</v>
      </c>
      <c r="V7067" s="139"/>
      <c r="W7067" s="49"/>
      <c r="X7067" s="49"/>
      <c r="Y7067" s="35"/>
      <c r="Z7067" s="35"/>
      <c r="AA7067" s="35"/>
      <c r="AB7067" s="35"/>
      <c r="AC7067" s="35"/>
      <c r="AD7067" s="35"/>
      <c r="AE7067" s="35"/>
      <c r="AF7067" s="35"/>
      <c r="AG7067" s="35"/>
      <c r="AH7067" s="35"/>
      <c r="AI7067" s="35"/>
      <c r="AJ7067" s="35"/>
      <c r="AK7067" s="35"/>
      <c r="AL7067" s="35"/>
    </row>
    <row r="7068">
      <c r="A7068" s="39"/>
      <c r="B7068" s="157" t="s">
        <v>32262</v>
      </c>
      <c r="C7068" s="158" t="s">
        <v>32747</v>
      </c>
      <c r="D7068" s="159"/>
      <c r="E7068" s="57" t="s">
        <v>32796</v>
      </c>
      <c r="F7068" s="22" t="s">
        <v>32781</v>
      </c>
      <c r="G7068" s="57">
        <v>2015.0</v>
      </c>
      <c r="H7068" s="57" t="s">
        <v>5317</v>
      </c>
      <c r="I7068" s="134" t="s">
        <v>32797</v>
      </c>
      <c r="J7068" s="22" t="s">
        <v>3053</v>
      </c>
      <c r="K7068" s="23"/>
      <c r="L7068" s="414" t="s">
        <v>32761</v>
      </c>
      <c r="M7068" s="44"/>
      <c r="N7068" s="44"/>
      <c r="O7068" s="44"/>
      <c r="P7068" s="44"/>
      <c r="Q7068" s="44"/>
      <c r="R7068" s="44"/>
      <c r="S7068" s="45"/>
      <c r="T7068" s="103" t="s">
        <v>32798</v>
      </c>
      <c r="U7068" s="248" t="s">
        <v>61</v>
      </c>
      <c r="V7068" s="139"/>
      <c r="W7068" s="49"/>
      <c r="X7068" s="49"/>
      <c r="Y7068" s="35"/>
      <c r="Z7068" s="35"/>
      <c r="AA7068" s="35"/>
      <c r="AB7068" s="35"/>
      <c r="AC7068" s="35"/>
      <c r="AD7068" s="35"/>
      <c r="AE7068" s="35"/>
      <c r="AF7068" s="35"/>
      <c r="AG7068" s="35"/>
      <c r="AH7068" s="35"/>
      <c r="AI7068" s="35"/>
      <c r="AJ7068" s="35"/>
      <c r="AK7068" s="35"/>
      <c r="AL7068" s="35"/>
    </row>
    <row r="7069">
      <c r="A7069" s="39"/>
      <c r="B7069" s="157" t="s">
        <v>32262</v>
      </c>
      <c r="C7069" s="158" t="s">
        <v>32747</v>
      </c>
      <c r="D7069" s="159"/>
      <c r="E7069" s="57" t="s">
        <v>32799</v>
      </c>
      <c r="F7069" s="22" t="s">
        <v>32800</v>
      </c>
      <c r="G7069" s="57">
        <v>2014.0</v>
      </c>
      <c r="H7069" s="57" t="s">
        <v>4113</v>
      </c>
      <c r="I7069" s="134" t="s">
        <v>32801</v>
      </c>
      <c r="J7069" s="23" t="s">
        <v>32802</v>
      </c>
      <c r="K7069" s="23"/>
      <c r="L7069" s="414" t="s">
        <v>32761</v>
      </c>
      <c r="M7069" s="44"/>
      <c r="N7069" s="44"/>
      <c r="O7069" s="44"/>
      <c r="P7069" s="44"/>
      <c r="Q7069" s="44"/>
      <c r="R7069" s="44"/>
      <c r="S7069" s="45"/>
      <c r="T7069" s="54" t="s">
        <v>32803</v>
      </c>
      <c r="U7069" s="248" t="s">
        <v>61</v>
      </c>
      <c r="V7069" s="139"/>
      <c r="W7069" s="49"/>
      <c r="X7069" s="49"/>
      <c r="Y7069" s="35"/>
      <c r="Z7069" s="35"/>
      <c r="AA7069" s="35"/>
      <c r="AB7069" s="35"/>
      <c r="AC7069" s="35"/>
      <c r="AD7069" s="35"/>
      <c r="AE7069" s="35"/>
      <c r="AF7069" s="35"/>
      <c r="AG7069" s="35"/>
      <c r="AH7069" s="35"/>
      <c r="AI7069" s="35"/>
      <c r="AJ7069" s="35"/>
      <c r="AK7069" s="35"/>
      <c r="AL7069" s="35"/>
    </row>
    <row r="7070">
      <c r="A7070" s="39"/>
      <c r="B7070" s="157" t="s">
        <v>32262</v>
      </c>
      <c r="C7070" s="158" t="s">
        <v>32747</v>
      </c>
      <c r="D7070" s="159"/>
      <c r="E7070" s="57" t="s">
        <v>32804</v>
      </c>
      <c r="F7070" s="22" t="s">
        <v>15724</v>
      </c>
      <c r="G7070" s="57">
        <v>2014.0</v>
      </c>
      <c r="H7070" s="57" t="s">
        <v>9689</v>
      </c>
      <c r="I7070" s="134" t="s">
        <v>32805</v>
      </c>
      <c r="J7070" s="23" t="s">
        <v>44</v>
      </c>
      <c r="K7070" s="23" t="s">
        <v>32806</v>
      </c>
      <c r="L7070" s="414" t="s">
        <v>32761</v>
      </c>
      <c r="M7070" s="44"/>
      <c r="N7070" s="44"/>
      <c r="O7070" s="44"/>
      <c r="P7070" s="44"/>
      <c r="Q7070" s="44"/>
      <c r="R7070" s="44"/>
      <c r="S7070" s="45"/>
      <c r="T7070" s="54" t="s">
        <v>32807</v>
      </c>
      <c r="U7070" s="248" t="s">
        <v>61</v>
      </c>
      <c r="V7070" s="139"/>
      <c r="W7070" s="49"/>
      <c r="X7070" s="49"/>
      <c r="Y7070" s="35"/>
      <c r="Z7070" s="35"/>
      <c r="AA7070" s="35"/>
      <c r="AB7070" s="35"/>
      <c r="AC7070" s="35"/>
      <c r="AD7070" s="35"/>
      <c r="AE7070" s="35"/>
      <c r="AF7070" s="35"/>
      <c r="AG7070" s="35"/>
      <c r="AH7070" s="35"/>
      <c r="AI7070" s="35"/>
      <c r="AJ7070" s="35"/>
      <c r="AK7070" s="35"/>
      <c r="AL7070" s="35"/>
    </row>
    <row r="7071">
      <c r="A7071" s="39"/>
      <c r="B7071" s="157" t="s">
        <v>32262</v>
      </c>
      <c r="C7071" s="158" t="s">
        <v>32747</v>
      </c>
      <c r="D7071" s="159"/>
      <c r="E7071" s="57" t="s">
        <v>626</v>
      </c>
      <c r="F7071" s="22" t="s">
        <v>20741</v>
      </c>
      <c r="G7071" s="57">
        <v>2013.0</v>
      </c>
      <c r="H7071" s="57" t="s">
        <v>231</v>
      </c>
      <c r="I7071" s="134" t="s">
        <v>32808</v>
      </c>
      <c r="J7071" s="23" t="s">
        <v>44</v>
      </c>
      <c r="K7071" s="23"/>
      <c r="L7071" s="414" t="s">
        <v>32761</v>
      </c>
      <c r="M7071" s="44"/>
      <c r="N7071" s="44"/>
      <c r="O7071" s="44"/>
      <c r="P7071" s="44"/>
      <c r="Q7071" s="44"/>
      <c r="R7071" s="44"/>
      <c r="S7071" s="45"/>
      <c r="T7071" s="54" t="s">
        <v>32809</v>
      </c>
      <c r="U7071" s="248" t="s">
        <v>61</v>
      </c>
      <c r="V7071" s="139"/>
      <c r="W7071" s="49"/>
      <c r="X7071" s="49"/>
      <c r="Y7071" s="35"/>
      <c r="Z7071" s="35"/>
      <c r="AA7071" s="35"/>
      <c r="AB7071" s="35"/>
      <c r="AC7071" s="35"/>
      <c r="AD7071" s="35"/>
      <c r="AE7071" s="35"/>
      <c r="AF7071" s="35"/>
      <c r="AG7071" s="35"/>
      <c r="AH7071" s="35"/>
      <c r="AI7071" s="35"/>
      <c r="AJ7071" s="35"/>
      <c r="AK7071" s="35"/>
      <c r="AL7071" s="35"/>
    </row>
    <row r="7072">
      <c r="A7072" s="39"/>
      <c r="B7072" s="157" t="s">
        <v>32262</v>
      </c>
      <c r="C7072" s="158" t="s">
        <v>32747</v>
      </c>
      <c r="D7072" s="159"/>
      <c r="E7072" s="57" t="s">
        <v>32626</v>
      </c>
      <c r="F7072" s="22" t="s">
        <v>15724</v>
      </c>
      <c r="G7072" s="57">
        <v>2012.0</v>
      </c>
      <c r="H7072" s="57" t="s">
        <v>627</v>
      </c>
      <c r="I7072" s="134" t="s">
        <v>32810</v>
      </c>
      <c r="J7072" s="23" t="s">
        <v>44</v>
      </c>
      <c r="K7072" s="23"/>
      <c r="L7072" s="414" t="s">
        <v>32761</v>
      </c>
      <c r="M7072" s="44"/>
      <c r="N7072" s="44"/>
      <c r="O7072" s="44"/>
      <c r="P7072" s="44"/>
      <c r="Q7072" s="44"/>
      <c r="R7072" s="44"/>
      <c r="S7072" s="45"/>
      <c r="T7072" s="54" t="s">
        <v>32811</v>
      </c>
      <c r="U7072" s="248" t="s">
        <v>61</v>
      </c>
      <c r="V7072" s="139"/>
      <c r="W7072" s="49"/>
      <c r="X7072" s="49"/>
      <c r="Y7072" s="35"/>
      <c r="Z7072" s="35"/>
      <c r="AA7072" s="35"/>
      <c r="AB7072" s="35"/>
      <c r="AC7072" s="35"/>
      <c r="AD7072" s="35"/>
      <c r="AE7072" s="35"/>
      <c r="AF7072" s="35"/>
      <c r="AG7072" s="35"/>
      <c r="AH7072" s="35"/>
      <c r="AI7072" s="35"/>
      <c r="AJ7072" s="35"/>
      <c r="AK7072" s="35"/>
      <c r="AL7072" s="35"/>
    </row>
    <row r="7073">
      <c r="A7073" s="39"/>
      <c r="B7073" s="157" t="s">
        <v>32262</v>
      </c>
      <c r="C7073" s="158" t="s">
        <v>32747</v>
      </c>
      <c r="D7073" s="159"/>
      <c r="E7073" s="57" t="s">
        <v>32812</v>
      </c>
      <c r="F7073" s="22" t="s">
        <v>20741</v>
      </c>
      <c r="G7073" s="57">
        <v>2010.0</v>
      </c>
      <c r="H7073" s="57" t="s">
        <v>9978</v>
      </c>
      <c r="I7073" s="134" t="s">
        <v>32813</v>
      </c>
      <c r="J7073" s="23" t="s">
        <v>44</v>
      </c>
      <c r="K7073" s="23"/>
      <c r="L7073" s="414" t="s">
        <v>32761</v>
      </c>
      <c r="M7073" s="44"/>
      <c r="N7073" s="44"/>
      <c r="O7073" s="44"/>
      <c r="P7073" s="44"/>
      <c r="Q7073" s="44"/>
      <c r="R7073" s="44"/>
      <c r="S7073" s="45"/>
      <c r="T7073" s="54" t="s">
        <v>32814</v>
      </c>
      <c r="U7073" s="248" t="s">
        <v>61</v>
      </c>
      <c r="V7073" s="139"/>
      <c r="W7073" s="49"/>
      <c r="X7073" s="49"/>
      <c r="Y7073" s="35"/>
      <c r="Z7073" s="35"/>
      <c r="AA7073" s="35"/>
      <c r="AB7073" s="35"/>
      <c r="AC7073" s="35"/>
      <c r="AD7073" s="35"/>
      <c r="AE7073" s="35"/>
      <c r="AF7073" s="35"/>
      <c r="AG7073" s="35"/>
      <c r="AH7073" s="35"/>
      <c r="AI7073" s="35"/>
      <c r="AJ7073" s="35"/>
      <c r="AK7073" s="35"/>
      <c r="AL7073" s="35"/>
    </row>
    <row r="7074">
      <c r="A7074" s="39"/>
      <c r="B7074" s="157" t="s">
        <v>32262</v>
      </c>
      <c r="C7074" s="158" t="s">
        <v>32815</v>
      </c>
      <c r="D7074" s="159"/>
      <c r="E7074" s="57" t="s">
        <v>32816</v>
      </c>
      <c r="F7074" s="22" t="s">
        <v>32817</v>
      </c>
      <c r="G7074" s="57">
        <v>2018.0</v>
      </c>
      <c r="H7074" s="57" t="s">
        <v>2181</v>
      </c>
      <c r="I7074" s="134" t="s">
        <v>32818</v>
      </c>
      <c r="J7074" s="23" t="s">
        <v>32819</v>
      </c>
      <c r="K7074" s="23"/>
      <c r="L7074" s="414" t="s">
        <v>32761</v>
      </c>
      <c r="M7074" s="44"/>
      <c r="N7074" s="44"/>
      <c r="O7074" s="44"/>
      <c r="P7074" s="44"/>
      <c r="Q7074" s="44"/>
      <c r="R7074" s="44"/>
      <c r="S7074" s="45"/>
      <c r="T7074" s="103" t="s">
        <v>32820</v>
      </c>
      <c r="U7074" s="248" t="s">
        <v>61</v>
      </c>
      <c r="V7074" s="139"/>
      <c r="W7074" s="49"/>
      <c r="X7074" s="49"/>
      <c r="Y7074" s="35"/>
      <c r="Z7074" s="35"/>
      <c r="AA7074" s="35"/>
      <c r="AB7074" s="35"/>
      <c r="AC7074" s="35"/>
      <c r="AD7074" s="35"/>
      <c r="AE7074" s="35"/>
      <c r="AF7074" s="35"/>
      <c r="AG7074" s="35"/>
      <c r="AH7074" s="35"/>
      <c r="AI7074" s="35"/>
      <c r="AJ7074" s="35"/>
      <c r="AK7074" s="35"/>
      <c r="AL7074" s="35"/>
    </row>
    <row r="7075">
      <c r="A7075" s="39"/>
      <c r="B7075" s="157" t="s">
        <v>32262</v>
      </c>
      <c r="C7075" s="158" t="s">
        <v>32821</v>
      </c>
      <c r="D7075" s="159"/>
      <c r="E7075" s="57" t="s">
        <v>32822</v>
      </c>
      <c r="F7075" s="22" t="s">
        <v>32823</v>
      </c>
      <c r="G7075" s="57">
        <v>2021.0</v>
      </c>
      <c r="H7075" s="57" t="s">
        <v>32824</v>
      </c>
      <c r="I7075" s="134" t="s">
        <v>32825</v>
      </c>
      <c r="J7075" s="23" t="s">
        <v>32826</v>
      </c>
      <c r="K7075" s="23"/>
      <c r="L7075" s="412" t="s">
        <v>13472</v>
      </c>
      <c r="M7075" s="412" t="s">
        <v>32270</v>
      </c>
      <c r="N7075" s="412" t="s">
        <v>32271</v>
      </c>
      <c r="O7075" s="412" t="s">
        <v>32272</v>
      </c>
      <c r="P7075" s="412" t="s">
        <v>32273</v>
      </c>
      <c r="Q7075" s="412" t="s">
        <v>32274</v>
      </c>
      <c r="R7075" s="412" t="s">
        <v>32275</v>
      </c>
      <c r="S7075" s="412" t="s">
        <v>32276</v>
      </c>
      <c r="T7075" s="103" t="s">
        <v>32827</v>
      </c>
      <c r="U7075" s="248" t="s">
        <v>61</v>
      </c>
      <c r="V7075" s="139"/>
      <c r="W7075" s="49"/>
      <c r="X7075" s="49"/>
      <c r="Y7075" s="35"/>
      <c r="Z7075" s="35"/>
      <c r="AA7075" s="35"/>
      <c r="AB7075" s="35"/>
      <c r="AC7075" s="35"/>
      <c r="AD7075" s="35"/>
      <c r="AE7075" s="35"/>
      <c r="AF7075" s="35"/>
      <c r="AG7075" s="35"/>
      <c r="AH7075" s="35"/>
      <c r="AI7075" s="35"/>
      <c r="AJ7075" s="35"/>
      <c r="AK7075" s="35"/>
      <c r="AL7075" s="35"/>
    </row>
    <row r="7076">
      <c r="A7076" s="146"/>
      <c r="B7076" s="157" t="s">
        <v>10634</v>
      </c>
      <c r="C7076" s="158" t="s">
        <v>32828</v>
      </c>
      <c r="D7076" s="159"/>
      <c r="E7076" s="57" t="s">
        <v>32829</v>
      </c>
      <c r="F7076" s="22" t="s">
        <v>2346</v>
      </c>
      <c r="G7076" s="57">
        <v>2021.0</v>
      </c>
      <c r="H7076" s="57" t="s">
        <v>30636</v>
      </c>
      <c r="I7076" s="134" t="s">
        <v>32830</v>
      </c>
      <c r="J7076" s="23" t="s">
        <v>30341</v>
      </c>
      <c r="K7076" s="23"/>
      <c r="L7076" s="36">
        <v>630.0</v>
      </c>
      <c r="M7076" s="36">
        <v>8.0</v>
      </c>
      <c r="N7076" s="36"/>
      <c r="O7076" s="36"/>
      <c r="P7076" s="37"/>
      <c r="Q7076" s="36"/>
      <c r="R7076" s="36">
        <v>120.0</v>
      </c>
      <c r="S7076" s="36"/>
      <c r="T7076" s="83" t="s">
        <v>32831</v>
      </c>
      <c r="U7076" s="248" t="s">
        <v>61</v>
      </c>
      <c r="V7076" s="139"/>
      <c r="W7076" s="49"/>
      <c r="X7076" s="49"/>
      <c r="Y7076" s="35"/>
      <c r="Z7076" s="35"/>
      <c r="AA7076" s="35"/>
      <c r="AB7076" s="35"/>
      <c r="AC7076" s="35"/>
      <c r="AD7076" s="35"/>
      <c r="AE7076" s="35"/>
      <c r="AF7076" s="35"/>
      <c r="AG7076" s="35"/>
      <c r="AH7076" s="35"/>
      <c r="AI7076" s="35"/>
      <c r="AJ7076" s="35"/>
      <c r="AK7076" s="35"/>
      <c r="AL7076" s="35"/>
    </row>
    <row r="7077">
      <c r="A7077" s="18"/>
      <c r="B7077" s="157" t="s">
        <v>10634</v>
      </c>
      <c r="C7077" s="158" t="s">
        <v>32832</v>
      </c>
      <c r="D7077" s="159"/>
      <c r="E7077" s="23" t="s">
        <v>17063</v>
      </c>
      <c r="F7077" s="23" t="s">
        <v>797</v>
      </c>
      <c r="G7077" s="23">
        <v>2018.0</v>
      </c>
      <c r="H7077" s="23" t="s">
        <v>6902</v>
      </c>
      <c r="I7077" s="243" t="s">
        <v>32833</v>
      </c>
      <c r="J7077" s="23" t="s">
        <v>32834</v>
      </c>
      <c r="K7077" s="23"/>
      <c r="L7077" s="94" t="s">
        <v>32835</v>
      </c>
      <c r="M7077" s="94"/>
      <c r="N7077" s="94"/>
      <c r="O7077" s="94"/>
      <c r="P7077" s="94">
        <v>10.0</v>
      </c>
      <c r="Q7077" s="172"/>
      <c r="R7077" s="94"/>
      <c r="S7077" s="94"/>
      <c r="T7077" s="102" t="s">
        <v>32836</v>
      </c>
      <c r="U7077" s="135" t="str">
        <f>HYPERLINK("https://www.ncbi.nlm.nih.gov/pubmed/30483937","PubMed")</f>
        <v>PubMed</v>
      </c>
      <c r="V7077" s="30"/>
      <c r="W7077" s="49"/>
      <c r="X7077" s="49"/>
      <c r="Y7077" s="35"/>
      <c r="Z7077" s="35"/>
      <c r="AA7077" s="35"/>
      <c r="AB7077" s="35"/>
      <c r="AC7077" s="35"/>
      <c r="AD7077" s="35"/>
      <c r="AE7077" s="35"/>
      <c r="AF7077" s="35"/>
      <c r="AG7077" s="35"/>
      <c r="AH7077" s="35"/>
      <c r="AI7077" s="35"/>
      <c r="AJ7077" s="35"/>
      <c r="AK7077" s="35"/>
      <c r="AL7077" s="35"/>
    </row>
    <row r="7078">
      <c r="A7078" s="415"/>
      <c r="B7078" s="157" t="s">
        <v>10634</v>
      </c>
      <c r="C7078" s="158" t="s">
        <v>32832</v>
      </c>
      <c r="D7078" s="159"/>
      <c r="E7078" s="23" t="s">
        <v>32837</v>
      </c>
      <c r="F7078" s="23" t="s">
        <v>8756</v>
      </c>
      <c r="G7078" s="23">
        <v>2006.0</v>
      </c>
      <c r="H7078" s="23" t="s">
        <v>10545</v>
      </c>
      <c r="I7078" s="243" t="s">
        <v>32838</v>
      </c>
      <c r="J7078" s="22" t="s">
        <v>32839</v>
      </c>
      <c r="K7078" s="23" t="s">
        <v>32840</v>
      </c>
      <c r="L7078" s="52" t="s">
        <v>32841</v>
      </c>
      <c r="M7078" s="52"/>
      <c r="N7078" s="52"/>
      <c r="O7078" s="52"/>
      <c r="P7078" s="189"/>
      <c r="Q7078" s="52"/>
      <c r="R7078" s="52">
        <v>1200.0</v>
      </c>
      <c r="S7078" s="52" t="s">
        <v>32842</v>
      </c>
      <c r="T7078" s="54" t="s">
        <v>32843</v>
      </c>
      <c r="U7078" s="135" t="str">
        <f>HYPERLINK("https://www.ncbi.nlm.nih.gov/pubmed/16845694","PubMed")</f>
        <v>PubMed</v>
      </c>
      <c r="V7078" s="30"/>
      <c r="W7078" s="49"/>
      <c r="X7078" s="49"/>
      <c r="Y7078" s="35"/>
      <c r="Z7078" s="35"/>
      <c r="AA7078" s="35"/>
      <c r="AB7078" s="35"/>
      <c r="AC7078" s="35"/>
      <c r="AD7078" s="35"/>
      <c r="AE7078" s="35"/>
      <c r="AF7078" s="35"/>
      <c r="AG7078" s="35"/>
      <c r="AH7078" s="35"/>
      <c r="AI7078" s="35"/>
      <c r="AJ7078" s="35"/>
      <c r="AK7078" s="35"/>
      <c r="AL7078" s="35"/>
    </row>
    <row r="7079">
      <c r="A7079" s="18" t="s">
        <v>2</v>
      </c>
      <c r="B7079" s="157" t="s">
        <v>10634</v>
      </c>
      <c r="C7079" s="158" t="s">
        <v>32844</v>
      </c>
      <c r="D7079" s="159"/>
      <c r="E7079" s="23" t="s">
        <v>32845</v>
      </c>
      <c r="F7079" s="23" t="s">
        <v>41</v>
      </c>
      <c r="G7079" s="23">
        <v>2016.0</v>
      </c>
      <c r="H7079" s="23" t="s">
        <v>658</v>
      </c>
      <c r="I7079" s="243" t="s">
        <v>32846</v>
      </c>
      <c r="J7079" s="22" t="s">
        <v>32847</v>
      </c>
      <c r="K7079" s="23"/>
      <c r="L7079" s="94">
        <v>808.0</v>
      </c>
      <c r="M7079" s="94">
        <v>100.0</v>
      </c>
      <c r="N7079" s="94" t="s">
        <v>32848</v>
      </c>
      <c r="O7079" s="94" t="s">
        <v>25028</v>
      </c>
      <c r="P7079" s="94">
        <v>10.0</v>
      </c>
      <c r="Q7079" s="172" t="s">
        <v>32849</v>
      </c>
      <c r="R7079" s="94" t="s">
        <v>13402</v>
      </c>
      <c r="S7079" s="94" t="s">
        <v>19601</v>
      </c>
      <c r="T7079" s="54" t="s">
        <v>32850</v>
      </c>
      <c r="U7079" s="135" t="str">
        <f>HYPERLINK("https://www.ncbi.nlm.nih.gov/pubmed/27841968","PubMed")</f>
        <v>PubMed</v>
      </c>
      <c r="V7079" s="30" t="s">
        <v>32851</v>
      </c>
      <c r="W7079" s="49"/>
      <c r="X7079" s="49"/>
      <c r="Y7079" s="35"/>
      <c r="Z7079" s="35"/>
      <c r="AA7079" s="35"/>
      <c r="AB7079" s="35"/>
      <c r="AC7079" s="35"/>
      <c r="AD7079" s="35"/>
      <c r="AE7079" s="35"/>
      <c r="AF7079" s="35"/>
      <c r="AG7079" s="35"/>
      <c r="AH7079" s="35"/>
      <c r="AI7079" s="35"/>
      <c r="AJ7079" s="35"/>
      <c r="AK7079" s="35"/>
      <c r="AL7079" s="35"/>
    </row>
    <row r="7080">
      <c r="A7080" s="1"/>
      <c r="B7080" s="157" t="s">
        <v>10634</v>
      </c>
      <c r="C7080" s="158" t="s">
        <v>32852</v>
      </c>
      <c r="D7080" s="47"/>
      <c r="E7080" s="22" t="s">
        <v>32853</v>
      </c>
      <c r="F7080" s="23" t="s">
        <v>11047</v>
      </c>
      <c r="G7080" s="23">
        <v>2021.0</v>
      </c>
      <c r="H7080" s="22" t="s">
        <v>30382</v>
      </c>
      <c r="I7080" s="24" t="s">
        <v>32854</v>
      </c>
      <c r="J7080" s="23" t="s">
        <v>32855</v>
      </c>
      <c r="K7080" s="23"/>
      <c r="L7080" s="389" t="s">
        <v>32856</v>
      </c>
      <c r="M7080" s="44"/>
      <c r="N7080" s="44"/>
      <c r="O7080" s="44"/>
      <c r="P7080" s="44"/>
      <c r="Q7080" s="44"/>
      <c r="R7080" s="44"/>
      <c r="S7080" s="44"/>
      <c r="T7080" s="45"/>
      <c r="U7080" s="29" t="s">
        <v>61</v>
      </c>
      <c r="V7080" s="50"/>
      <c r="W7080" s="49"/>
      <c r="X7080" s="49"/>
      <c r="Y7080" s="35"/>
      <c r="Z7080" s="35"/>
      <c r="AA7080" s="35"/>
      <c r="AB7080" s="35"/>
      <c r="AC7080" s="35"/>
      <c r="AD7080" s="35"/>
      <c r="AE7080" s="35"/>
      <c r="AF7080" s="35"/>
      <c r="AG7080" s="35"/>
      <c r="AH7080" s="35"/>
      <c r="AI7080" s="35"/>
      <c r="AJ7080" s="35"/>
      <c r="AK7080" s="35"/>
      <c r="AL7080" s="35"/>
    </row>
    <row r="7081">
      <c r="A7081" s="1"/>
      <c r="B7081" s="157" t="s">
        <v>10634</v>
      </c>
      <c r="C7081" s="158" t="s">
        <v>32852</v>
      </c>
      <c r="D7081" s="47"/>
      <c r="E7081" s="22" t="s">
        <v>32857</v>
      </c>
      <c r="F7081" s="23" t="s">
        <v>32858</v>
      </c>
      <c r="G7081" s="23">
        <v>2019.0</v>
      </c>
      <c r="H7081" s="22" t="s">
        <v>28110</v>
      </c>
      <c r="I7081" s="24" t="s">
        <v>32859</v>
      </c>
      <c r="J7081" s="23" t="s">
        <v>32860</v>
      </c>
      <c r="K7081" s="23"/>
      <c r="L7081" s="43" t="s">
        <v>32861</v>
      </c>
      <c r="M7081" s="44"/>
      <c r="N7081" s="44"/>
      <c r="O7081" s="44"/>
      <c r="P7081" s="44"/>
      <c r="Q7081" s="44"/>
      <c r="R7081" s="44"/>
      <c r="S7081" s="44"/>
      <c r="T7081" s="45"/>
      <c r="U7081" s="38" t="str">
        <f>HYPERLINK("https://www.ncbi.nlm.nih.gov/pubmed/30671204","PubMed")</f>
        <v>PubMed</v>
      </c>
      <c r="V7081" s="50"/>
      <c r="W7081" s="49"/>
      <c r="X7081" s="49"/>
      <c r="Y7081" s="35"/>
      <c r="Z7081" s="35"/>
      <c r="AA7081" s="35"/>
      <c r="AB7081" s="35"/>
      <c r="AC7081" s="35"/>
      <c r="AD7081" s="35"/>
      <c r="AE7081" s="35"/>
      <c r="AF7081" s="35"/>
      <c r="AG7081" s="35"/>
      <c r="AH7081" s="35"/>
      <c r="AI7081" s="35"/>
      <c r="AJ7081" s="35"/>
      <c r="AK7081" s="35"/>
      <c r="AL7081" s="35"/>
    </row>
    <row r="7082">
      <c r="A7082" s="18"/>
      <c r="B7082" s="157" t="s">
        <v>10634</v>
      </c>
      <c r="C7082" s="158" t="s">
        <v>32852</v>
      </c>
      <c r="D7082" s="159"/>
      <c r="E7082" s="23" t="s">
        <v>32862</v>
      </c>
      <c r="F7082" s="23" t="s">
        <v>332</v>
      </c>
      <c r="G7082" s="23">
        <v>2018.0</v>
      </c>
      <c r="H7082" s="23" t="s">
        <v>91</v>
      </c>
      <c r="I7082" s="243" t="s">
        <v>32863</v>
      </c>
      <c r="J7082" s="22" t="s">
        <v>16430</v>
      </c>
      <c r="K7082" s="23" t="s">
        <v>32864</v>
      </c>
      <c r="L7082" s="94">
        <v>660.0</v>
      </c>
      <c r="M7082" s="94">
        <v>40.0</v>
      </c>
      <c r="N7082" s="94" t="s">
        <v>892</v>
      </c>
      <c r="O7082" s="93">
        <v>45018.0</v>
      </c>
      <c r="P7082" s="94">
        <v>6.0</v>
      </c>
      <c r="Q7082" s="94" t="s">
        <v>901</v>
      </c>
      <c r="R7082" s="94" t="s">
        <v>12591</v>
      </c>
      <c r="S7082" s="94" t="s">
        <v>4905</v>
      </c>
      <c r="T7082" s="54" t="s">
        <v>32865</v>
      </c>
      <c r="U7082" s="135" t="str">
        <f>HYPERLINK("https://www.ncbi.nlm.nih.gov/pubmed/30547261","PubMed")</f>
        <v>PubMed</v>
      </c>
      <c r="V7082" s="30" t="s">
        <v>32866</v>
      </c>
      <c r="W7082" s="49"/>
      <c r="X7082" s="49"/>
      <c r="Y7082" s="35"/>
      <c r="Z7082" s="35"/>
      <c r="AA7082" s="35"/>
      <c r="AB7082" s="35"/>
      <c r="AC7082" s="35"/>
      <c r="AD7082" s="35"/>
      <c r="AE7082" s="35"/>
      <c r="AF7082" s="35"/>
      <c r="AG7082" s="35"/>
      <c r="AH7082" s="35"/>
      <c r="AI7082" s="35"/>
      <c r="AJ7082" s="35"/>
      <c r="AK7082" s="35"/>
      <c r="AL7082" s="35"/>
    </row>
    <row r="7083">
      <c r="A7083" s="18"/>
      <c r="B7083" s="157" t="s">
        <v>10634</v>
      </c>
      <c r="C7083" s="158" t="s">
        <v>32852</v>
      </c>
      <c r="D7083" s="159"/>
      <c r="E7083" s="23" t="s">
        <v>32867</v>
      </c>
      <c r="F7083" s="23" t="s">
        <v>24122</v>
      </c>
      <c r="G7083" s="23">
        <v>2018.0</v>
      </c>
      <c r="H7083" s="23" t="s">
        <v>658</v>
      </c>
      <c r="I7083" s="243" t="s">
        <v>32868</v>
      </c>
      <c r="J7083" s="22" t="s">
        <v>32869</v>
      </c>
      <c r="K7083" s="23"/>
      <c r="L7083" s="94">
        <v>660.0</v>
      </c>
      <c r="M7083" s="94">
        <v>40.0</v>
      </c>
      <c r="N7083" s="95" t="s">
        <v>32870</v>
      </c>
      <c r="O7083" s="94" t="s">
        <v>11820</v>
      </c>
      <c r="P7083" s="94">
        <v>6.0</v>
      </c>
      <c r="Q7083" s="94" t="s">
        <v>19867</v>
      </c>
      <c r="R7083" s="94" t="s">
        <v>32871</v>
      </c>
      <c r="S7083" s="94" t="s">
        <v>7612</v>
      </c>
      <c r="T7083" s="54" t="s">
        <v>32872</v>
      </c>
      <c r="U7083" s="135" t="str">
        <f>HYPERLINK("https://www.ncbi.nlm.nih.gov/pubmed/29023185","PubMed")</f>
        <v>PubMed</v>
      </c>
      <c r="V7083" s="30"/>
      <c r="W7083" s="49"/>
      <c r="X7083" s="49"/>
      <c r="Y7083" s="35"/>
      <c r="Z7083" s="35"/>
      <c r="AA7083" s="35"/>
      <c r="AB7083" s="35"/>
      <c r="AC7083" s="35"/>
      <c r="AD7083" s="35"/>
      <c r="AE7083" s="35"/>
      <c r="AF7083" s="35"/>
      <c r="AG7083" s="35"/>
      <c r="AH7083" s="35"/>
      <c r="AI7083" s="35"/>
      <c r="AJ7083" s="35"/>
      <c r="AK7083" s="35"/>
      <c r="AL7083" s="35"/>
    </row>
    <row r="7084">
      <c r="A7084" s="18"/>
      <c r="B7084" s="157" t="s">
        <v>10634</v>
      </c>
      <c r="C7084" s="158" t="s">
        <v>32852</v>
      </c>
      <c r="D7084" s="159"/>
      <c r="E7084" s="23" t="s">
        <v>32873</v>
      </c>
      <c r="F7084" s="23" t="s">
        <v>24122</v>
      </c>
      <c r="G7084" s="23" t="s">
        <v>90</v>
      </c>
      <c r="H7084" s="23" t="s">
        <v>91</v>
      </c>
      <c r="I7084" s="243" t="s">
        <v>32874</v>
      </c>
      <c r="J7084" s="22" t="s">
        <v>32869</v>
      </c>
      <c r="K7084" s="23" t="s">
        <v>157</v>
      </c>
      <c r="L7084" s="94" t="s">
        <v>32875</v>
      </c>
      <c r="M7084" s="94">
        <v>70.0</v>
      </c>
      <c r="N7084" s="94" t="s">
        <v>16586</v>
      </c>
      <c r="O7084" s="94"/>
      <c r="P7084" s="94">
        <v>6.0</v>
      </c>
      <c r="Q7084" s="94" t="s">
        <v>32876</v>
      </c>
      <c r="R7084" s="94" t="s">
        <v>32877</v>
      </c>
      <c r="S7084" s="94" t="s">
        <v>7612</v>
      </c>
      <c r="T7084" s="54" t="s">
        <v>32878</v>
      </c>
      <c r="U7084" s="135" t="str">
        <f>HYPERLINK("https://www.ncbi.nlm.nih.gov/pubmed/29027034","PubMed")</f>
        <v>PubMed</v>
      </c>
      <c r="V7084" s="30"/>
      <c r="W7084" s="49"/>
      <c r="X7084" s="49"/>
      <c r="Y7084" s="35"/>
      <c r="Z7084" s="35"/>
      <c r="AA7084" s="35"/>
      <c r="AB7084" s="35"/>
      <c r="AC7084" s="35"/>
      <c r="AD7084" s="35"/>
      <c r="AE7084" s="35"/>
      <c r="AF7084" s="35"/>
      <c r="AG7084" s="35"/>
      <c r="AH7084" s="35"/>
      <c r="AI7084" s="35"/>
      <c r="AJ7084" s="35"/>
      <c r="AK7084" s="35"/>
      <c r="AL7084" s="35"/>
    </row>
    <row r="7085">
      <c r="A7085" s="18"/>
      <c r="B7085" s="157" t="s">
        <v>10634</v>
      </c>
      <c r="C7085" s="158" t="s">
        <v>32852</v>
      </c>
      <c r="D7085" s="159"/>
      <c r="E7085" s="23" t="s">
        <v>714</v>
      </c>
      <c r="F7085" s="23" t="s">
        <v>41</v>
      </c>
      <c r="G7085" s="23">
        <v>2017.0</v>
      </c>
      <c r="H7085" s="23" t="s">
        <v>32879</v>
      </c>
      <c r="I7085" s="243" t="s">
        <v>32880</v>
      </c>
      <c r="J7085" s="23" t="s">
        <v>32881</v>
      </c>
      <c r="K7085" s="23"/>
      <c r="L7085" s="94">
        <v>660.0</v>
      </c>
      <c r="M7085" s="94">
        <v>40.0</v>
      </c>
      <c r="N7085" s="94" t="s">
        <v>892</v>
      </c>
      <c r="O7085" s="94" t="s">
        <v>32882</v>
      </c>
      <c r="P7085" s="95" t="s">
        <v>32883</v>
      </c>
      <c r="Q7085" s="94" t="s">
        <v>32884</v>
      </c>
      <c r="R7085" s="94" t="s">
        <v>32885</v>
      </c>
      <c r="S7085" s="94" t="s">
        <v>23315</v>
      </c>
      <c r="T7085" s="54" t="s">
        <v>32886</v>
      </c>
      <c r="U7085" s="135" t="str">
        <f>HYPERLINK("https://www.ncbi.nlm.nih.gov/pubmed/28074796","PubMed")</f>
        <v>PubMed</v>
      </c>
      <c r="V7085" s="30" t="s">
        <v>32887</v>
      </c>
      <c r="W7085" s="49"/>
      <c r="X7085" s="49"/>
      <c r="Y7085" s="35"/>
      <c r="Z7085" s="35"/>
      <c r="AA7085" s="35"/>
      <c r="AB7085" s="35"/>
      <c r="AC7085" s="35"/>
      <c r="AD7085" s="35"/>
      <c r="AE7085" s="35"/>
      <c r="AF7085" s="35"/>
      <c r="AG7085" s="35"/>
      <c r="AH7085" s="35"/>
      <c r="AI7085" s="35"/>
      <c r="AJ7085" s="35"/>
      <c r="AK7085" s="35"/>
      <c r="AL7085" s="35"/>
    </row>
    <row r="7086">
      <c r="A7086" s="18"/>
      <c r="B7086" s="157" t="s">
        <v>10634</v>
      </c>
      <c r="C7086" s="158" t="s">
        <v>32852</v>
      </c>
      <c r="D7086" s="159"/>
      <c r="E7086" s="23" t="s">
        <v>14885</v>
      </c>
      <c r="F7086" s="23" t="s">
        <v>41</v>
      </c>
      <c r="G7086" s="23">
        <v>2017.0</v>
      </c>
      <c r="H7086" s="23" t="s">
        <v>658</v>
      </c>
      <c r="I7086" s="243" t="s">
        <v>32888</v>
      </c>
      <c r="J7086" s="22" t="s">
        <v>32889</v>
      </c>
      <c r="K7086" s="23" t="s">
        <v>22503</v>
      </c>
      <c r="L7086" s="94" t="s">
        <v>32890</v>
      </c>
      <c r="M7086" s="94"/>
      <c r="N7086" s="94"/>
      <c r="O7086" s="94"/>
      <c r="P7086" s="94" t="s">
        <v>32891</v>
      </c>
      <c r="Q7086" s="172"/>
      <c r="R7086" s="94"/>
      <c r="S7086" s="94" t="s">
        <v>23315</v>
      </c>
      <c r="T7086" s="54" t="s">
        <v>32892</v>
      </c>
      <c r="U7086" s="135" t="str">
        <f>HYPERLINK("https://www.ncbi.nlm.nih.gov/pubmed/27564925","PubMed")</f>
        <v>PubMed</v>
      </c>
      <c r="V7086" s="30" t="s">
        <v>32893</v>
      </c>
      <c r="W7086" s="49"/>
      <c r="X7086" s="49"/>
      <c r="Y7086" s="35"/>
      <c r="Z7086" s="35"/>
      <c r="AA7086" s="35"/>
      <c r="AB7086" s="35"/>
      <c r="AC7086" s="35"/>
      <c r="AD7086" s="35"/>
      <c r="AE7086" s="35"/>
      <c r="AF7086" s="35"/>
      <c r="AG7086" s="35"/>
      <c r="AH7086" s="35"/>
      <c r="AI7086" s="35"/>
      <c r="AJ7086" s="35"/>
      <c r="AK7086" s="35"/>
      <c r="AL7086" s="35"/>
    </row>
    <row r="7087">
      <c r="A7087" s="18"/>
      <c r="B7087" s="157" t="s">
        <v>10634</v>
      </c>
      <c r="C7087" s="158" t="s">
        <v>32852</v>
      </c>
      <c r="D7087" s="159"/>
      <c r="E7087" s="23" t="s">
        <v>14885</v>
      </c>
      <c r="F7087" s="23" t="s">
        <v>41</v>
      </c>
      <c r="G7087" s="23">
        <v>2016.0</v>
      </c>
      <c r="H7087" s="23" t="s">
        <v>658</v>
      </c>
      <c r="I7087" s="243" t="s">
        <v>32894</v>
      </c>
      <c r="J7087" s="22" t="s">
        <v>32895</v>
      </c>
      <c r="K7087" s="23" t="s">
        <v>922</v>
      </c>
      <c r="L7087" s="94" t="s">
        <v>32896</v>
      </c>
      <c r="M7087" s="94" t="s">
        <v>32897</v>
      </c>
      <c r="N7087" s="94" t="s">
        <v>32898</v>
      </c>
      <c r="O7087" s="94" t="s">
        <v>32899</v>
      </c>
      <c r="P7087" s="94" t="s">
        <v>32900</v>
      </c>
      <c r="Q7087" s="94" t="s">
        <v>32901</v>
      </c>
      <c r="R7087" s="94" t="s">
        <v>32902</v>
      </c>
      <c r="S7087" s="94" t="s">
        <v>23315</v>
      </c>
      <c r="T7087" s="54" t="s">
        <v>32903</v>
      </c>
      <c r="U7087" s="135" t="str">
        <f>HYPERLINK("https://www.ncbi.nlm.nih.gov/pubmed/27081873","PubMed")</f>
        <v>PubMed</v>
      </c>
      <c r="V7087" s="30" t="s">
        <v>32904</v>
      </c>
      <c r="W7087" s="49"/>
      <c r="X7087" s="49"/>
      <c r="Y7087" s="35"/>
      <c r="Z7087" s="35"/>
      <c r="AA7087" s="35"/>
      <c r="AB7087" s="35"/>
      <c r="AC7087" s="35"/>
      <c r="AD7087" s="35"/>
      <c r="AE7087" s="35"/>
      <c r="AF7087" s="35"/>
      <c r="AG7087" s="35"/>
      <c r="AH7087" s="35"/>
      <c r="AI7087" s="35"/>
      <c r="AJ7087" s="35"/>
      <c r="AK7087" s="35"/>
      <c r="AL7087" s="35"/>
    </row>
    <row r="7088">
      <c r="A7088" s="18"/>
      <c r="B7088" s="157" t="s">
        <v>10634</v>
      </c>
      <c r="C7088" s="158" t="s">
        <v>32852</v>
      </c>
      <c r="D7088" s="159"/>
      <c r="E7088" s="23" t="s">
        <v>714</v>
      </c>
      <c r="F7088" s="23" t="s">
        <v>41</v>
      </c>
      <c r="G7088" s="23">
        <v>2016.0</v>
      </c>
      <c r="H7088" s="23" t="s">
        <v>91</v>
      </c>
      <c r="I7088" s="243" t="s">
        <v>32905</v>
      </c>
      <c r="J7088" s="22" t="s">
        <v>32906</v>
      </c>
      <c r="K7088" s="23"/>
      <c r="L7088" s="94">
        <v>660.0</v>
      </c>
      <c r="M7088" s="94">
        <v>40.0</v>
      </c>
      <c r="N7088" s="94" t="s">
        <v>892</v>
      </c>
      <c r="O7088" s="94" t="s">
        <v>32882</v>
      </c>
      <c r="P7088" s="95" t="s">
        <v>32883</v>
      </c>
      <c r="Q7088" s="94" t="s">
        <v>32884</v>
      </c>
      <c r="R7088" s="94" t="s">
        <v>32885</v>
      </c>
      <c r="S7088" s="94" t="s">
        <v>23315</v>
      </c>
      <c r="T7088" s="54" t="s">
        <v>32907</v>
      </c>
      <c r="U7088" s="135" t="str">
        <f>HYPERLINK("https://www.ncbi.nlm.nih.gov/pubmed/27649961","PubMed")</f>
        <v>PubMed</v>
      </c>
      <c r="V7088" s="30"/>
      <c r="W7088" s="49"/>
      <c r="X7088" s="49"/>
      <c r="Y7088" s="35"/>
      <c r="Z7088" s="35"/>
      <c r="AA7088" s="35"/>
      <c r="AB7088" s="35"/>
      <c r="AC7088" s="35"/>
      <c r="AD7088" s="35"/>
      <c r="AE7088" s="35"/>
      <c r="AF7088" s="35"/>
      <c r="AG7088" s="35"/>
      <c r="AH7088" s="35"/>
      <c r="AI7088" s="35"/>
      <c r="AJ7088" s="35"/>
      <c r="AK7088" s="35"/>
      <c r="AL7088" s="35"/>
    </row>
    <row r="7089">
      <c r="A7089" s="18"/>
      <c r="B7089" s="157" t="s">
        <v>10634</v>
      </c>
      <c r="C7089" s="158" t="s">
        <v>32852</v>
      </c>
      <c r="D7089" s="159"/>
      <c r="E7089" s="23" t="s">
        <v>32908</v>
      </c>
      <c r="F7089" s="23" t="s">
        <v>6233</v>
      </c>
      <c r="G7089" s="23">
        <v>2015.0</v>
      </c>
      <c r="H7089" s="23" t="s">
        <v>32879</v>
      </c>
      <c r="I7089" s="243" t="s">
        <v>32909</v>
      </c>
      <c r="J7089" s="23" t="s">
        <v>3053</v>
      </c>
      <c r="K7089" s="23" t="s">
        <v>32910</v>
      </c>
      <c r="L7089" s="94">
        <v>980.0</v>
      </c>
      <c r="M7089" s="94">
        <v>10000.0</v>
      </c>
      <c r="N7089" s="94"/>
      <c r="O7089" s="94">
        <v>1500.0</v>
      </c>
      <c r="P7089" s="95" t="s">
        <v>95</v>
      </c>
      <c r="Q7089" s="172" t="s">
        <v>32911</v>
      </c>
      <c r="R7089" s="94">
        <v>150.0</v>
      </c>
      <c r="S7089" s="416">
        <v>42767.0</v>
      </c>
      <c r="T7089" s="54" t="s">
        <v>32912</v>
      </c>
      <c r="U7089" s="135" t="str">
        <f>HYPERLINK("https://www.ncbi.nlm.nih.gov/pubmed/26139735","PubMed")</f>
        <v>PubMed</v>
      </c>
      <c r="V7089" s="30"/>
      <c r="W7089" s="49"/>
      <c r="X7089" s="49"/>
      <c r="Y7089" s="35"/>
      <c r="Z7089" s="35"/>
      <c r="AA7089" s="35"/>
      <c r="AB7089" s="35"/>
      <c r="AC7089" s="35"/>
      <c r="AD7089" s="35"/>
      <c r="AE7089" s="35"/>
      <c r="AF7089" s="35"/>
      <c r="AG7089" s="35"/>
      <c r="AH7089" s="35"/>
      <c r="AI7089" s="35"/>
      <c r="AJ7089" s="35"/>
      <c r="AK7089" s="35"/>
      <c r="AL7089" s="35"/>
    </row>
    <row r="7090">
      <c r="A7090" s="18"/>
      <c r="B7090" s="157" t="s">
        <v>10634</v>
      </c>
      <c r="C7090" s="158" t="s">
        <v>32852</v>
      </c>
      <c r="D7090" s="159"/>
      <c r="E7090" s="23" t="s">
        <v>388</v>
      </c>
      <c r="F7090" s="23" t="s">
        <v>41</v>
      </c>
      <c r="G7090" s="23">
        <v>2014.0</v>
      </c>
      <c r="H7090" s="23" t="s">
        <v>91</v>
      </c>
      <c r="I7090" s="243" t="s">
        <v>32913</v>
      </c>
      <c r="J7090" s="22" t="s">
        <v>32881</v>
      </c>
      <c r="K7090" s="23" t="s">
        <v>157</v>
      </c>
      <c r="L7090" s="94">
        <v>640.0</v>
      </c>
      <c r="M7090" s="94">
        <v>70.0</v>
      </c>
      <c r="N7090" s="94" t="s">
        <v>16586</v>
      </c>
      <c r="O7090" s="94"/>
      <c r="P7090" s="94" t="s">
        <v>32914</v>
      </c>
      <c r="Q7090" s="172" t="s">
        <v>32876</v>
      </c>
      <c r="R7090" s="94" t="s">
        <v>32877</v>
      </c>
      <c r="S7090" s="94" t="s">
        <v>23315</v>
      </c>
      <c r="T7090" s="54" t="s">
        <v>32915</v>
      </c>
      <c r="U7090" s="135" t="str">
        <f>HYPERLINK("https://www.ncbi.nlm.nih.gov/pubmed/24337350","PubMed")</f>
        <v>PubMed</v>
      </c>
      <c r="V7090" s="30"/>
      <c r="W7090" s="49"/>
      <c r="X7090" s="49"/>
      <c r="Y7090" s="35"/>
      <c r="Z7090" s="35"/>
      <c r="AA7090" s="35"/>
      <c r="AB7090" s="35"/>
      <c r="AC7090" s="35"/>
      <c r="AD7090" s="35"/>
      <c r="AE7090" s="35"/>
      <c r="AF7090" s="35"/>
      <c r="AG7090" s="35"/>
      <c r="AH7090" s="35"/>
      <c r="AI7090" s="35"/>
      <c r="AJ7090" s="35"/>
      <c r="AK7090" s="35"/>
      <c r="AL7090" s="35"/>
    </row>
    <row r="7091">
      <c r="A7091" s="146"/>
      <c r="B7091" s="157" t="s">
        <v>10634</v>
      </c>
      <c r="C7091" s="158" t="s">
        <v>32852</v>
      </c>
      <c r="D7091" s="159"/>
      <c r="E7091" s="57" t="s">
        <v>992</v>
      </c>
      <c r="F7091" s="22" t="s">
        <v>41</v>
      </c>
      <c r="G7091" s="57">
        <v>2014.0</v>
      </c>
      <c r="H7091" s="57" t="s">
        <v>658</v>
      </c>
      <c r="I7091" s="134" t="s">
        <v>32916</v>
      </c>
      <c r="J7091" s="22" t="s">
        <v>32917</v>
      </c>
      <c r="K7091" s="23"/>
      <c r="L7091" s="36">
        <v>780.0</v>
      </c>
      <c r="M7091" s="36">
        <v>25.0</v>
      </c>
      <c r="N7091" s="36" t="s">
        <v>26895</v>
      </c>
      <c r="O7091" s="36" t="s">
        <v>14021</v>
      </c>
      <c r="P7091" s="37" t="s">
        <v>32918</v>
      </c>
      <c r="Q7091" s="36" t="s">
        <v>830</v>
      </c>
      <c r="R7091" s="36">
        <v>30.0</v>
      </c>
      <c r="S7091" s="36" t="s">
        <v>32919</v>
      </c>
      <c r="T7091" s="83" t="s">
        <v>32920</v>
      </c>
      <c r="U7091" s="312" t="str">
        <f>HYPERLINK("https://www.ncbi.nlm.nih.gov/pubmed/24841340","PubMed")</f>
        <v>PubMed</v>
      </c>
      <c r="V7091" s="136" t="s">
        <v>32921</v>
      </c>
      <c r="W7091" s="49"/>
      <c r="X7091" s="49"/>
      <c r="Y7091" s="35"/>
      <c r="Z7091" s="35"/>
      <c r="AA7091" s="35"/>
      <c r="AB7091" s="35"/>
      <c r="AC7091" s="35"/>
      <c r="AD7091" s="35"/>
      <c r="AE7091" s="35"/>
      <c r="AF7091" s="35"/>
      <c r="AG7091" s="35"/>
      <c r="AH7091" s="35"/>
      <c r="AI7091" s="35"/>
      <c r="AJ7091" s="35"/>
      <c r="AK7091" s="35"/>
      <c r="AL7091" s="35"/>
    </row>
    <row r="7092">
      <c r="A7092" s="18"/>
      <c r="B7092" s="157" t="s">
        <v>10634</v>
      </c>
      <c r="C7092" s="158" t="s">
        <v>32852</v>
      </c>
      <c r="D7092" s="159"/>
      <c r="E7092" s="23" t="s">
        <v>32922</v>
      </c>
      <c r="F7092" s="23" t="s">
        <v>3511</v>
      </c>
      <c r="G7092" s="23">
        <v>2013.0</v>
      </c>
      <c r="H7092" s="23" t="s">
        <v>22950</v>
      </c>
      <c r="I7092" s="243" t="s">
        <v>32923</v>
      </c>
      <c r="J7092" s="22" t="s">
        <v>2273</v>
      </c>
      <c r="K7092" s="23" t="s">
        <v>32924</v>
      </c>
      <c r="L7092" s="94" t="s">
        <v>32925</v>
      </c>
      <c r="M7092" s="94"/>
      <c r="N7092" s="94" t="s">
        <v>3911</v>
      </c>
      <c r="O7092" s="94"/>
      <c r="P7092" s="94" t="s">
        <v>32926</v>
      </c>
      <c r="Q7092" s="172"/>
      <c r="R7092" s="94"/>
      <c r="S7092" s="94"/>
      <c r="T7092" s="54" t="s">
        <v>32927</v>
      </c>
      <c r="U7092" s="135" t="str">
        <f>HYPERLINK("https://www.ncbi.nlm.nih.gov/pubmed/23766600","PubMed")</f>
        <v>PubMed</v>
      </c>
      <c r="V7092" s="30"/>
      <c r="W7092" s="49"/>
      <c r="X7092" s="49"/>
      <c r="Y7092" s="35"/>
      <c r="Z7092" s="35"/>
      <c r="AA7092" s="35"/>
      <c r="AB7092" s="35"/>
      <c r="AC7092" s="35"/>
      <c r="AD7092" s="35"/>
      <c r="AE7092" s="35"/>
      <c r="AF7092" s="35"/>
      <c r="AG7092" s="35"/>
      <c r="AH7092" s="35"/>
      <c r="AI7092" s="35"/>
      <c r="AJ7092" s="35"/>
      <c r="AK7092" s="35"/>
      <c r="AL7092" s="35"/>
    </row>
    <row r="7093">
      <c r="A7093" s="18"/>
      <c r="B7093" s="157" t="s">
        <v>10634</v>
      </c>
      <c r="C7093" s="158" t="s">
        <v>32852</v>
      </c>
      <c r="D7093" s="159"/>
      <c r="E7093" s="23" t="s">
        <v>992</v>
      </c>
      <c r="F7093" s="23" t="s">
        <v>41</v>
      </c>
      <c r="G7093" s="23">
        <v>2009.0</v>
      </c>
      <c r="H7093" s="23" t="s">
        <v>32928</v>
      </c>
      <c r="I7093" s="243" t="s">
        <v>32929</v>
      </c>
      <c r="J7093" s="22" t="s">
        <v>2273</v>
      </c>
      <c r="K7093" s="23"/>
      <c r="L7093" s="94">
        <v>685.0</v>
      </c>
      <c r="M7093" s="94">
        <v>20.0</v>
      </c>
      <c r="N7093" s="94"/>
      <c r="O7093" s="416"/>
      <c r="P7093" s="93">
        <v>45050.0</v>
      </c>
      <c r="Q7093" s="36"/>
      <c r="R7093" s="94"/>
      <c r="S7093" s="94"/>
      <c r="T7093" s="54" t="s">
        <v>32930</v>
      </c>
      <c r="U7093" s="135" t="str">
        <f>HYPERLINK("https://www.ncbi.nlm.nih.gov/pubmed/19504026","PubMed")</f>
        <v>PubMed</v>
      </c>
      <c r="V7093" s="30"/>
      <c r="W7093" s="49"/>
      <c r="X7093" s="49"/>
      <c r="Y7093" s="35"/>
      <c r="Z7093" s="35"/>
      <c r="AA7093" s="35"/>
      <c r="AB7093" s="35"/>
      <c r="AC7093" s="35"/>
      <c r="AD7093" s="35"/>
      <c r="AE7093" s="35"/>
      <c r="AF7093" s="35"/>
      <c r="AG7093" s="35"/>
      <c r="AH7093" s="35"/>
      <c r="AI7093" s="35"/>
      <c r="AJ7093" s="35"/>
      <c r="AK7093" s="35"/>
      <c r="AL7093" s="35"/>
    </row>
    <row r="7094">
      <c r="A7094" s="1"/>
      <c r="B7094" s="157" t="s">
        <v>10634</v>
      </c>
      <c r="C7094" s="158" t="s">
        <v>32931</v>
      </c>
      <c r="D7094" s="47"/>
      <c r="E7094" s="22" t="s">
        <v>32932</v>
      </c>
      <c r="F7094" s="23" t="s">
        <v>41</v>
      </c>
      <c r="G7094" s="23">
        <v>2021.0</v>
      </c>
      <c r="H7094" s="22" t="s">
        <v>91</v>
      </c>
      <c r="I7094" s="24" t="s">
        <v>32933</v>
      </c>
      <c r="J7094" s="23" t="s">
        <v>32934</v>
      </c>
      <c r="K7094" s="23" t="s">
        <v>157</v>
      </c>
      <c r="L7094" s="36">
        <v>660.0</v>
      </c>
      <c r="M7094" s="36"/>
      <c r="N7094" s="36" t="s">
        <v>32935</v>
      </c>
      <c r="O7094" s="36"/>
      <c r="P7094" s="37" t="s">
        <v>32936</v>
      </c>
      <c r="Q7094" s="36"/>
      <c r="R7094" s="36">
        <v>600.0</v>
      </c>
      <c r="S7094" s="36">
        <v>5.0</v>
      </c>
      <c r="T7094" s="42" t="s">
        <v>32937</v>
      </c>
      <c r="U7094" s="29" t="s">
        <v>61</v>
      </c>
      <c r="V7094" s="50"/>
      <c r="W7094" s="49"/>
      <c r="X7094" s="49"/>
      <c r="Y7094" s="35"/>
      <c r="Z7094" s="35"/>
      <c r="AA7094" s="35"/>
      <c r="AB7094" s="35"/>
      <c r="AC7094" s="35"/>
      <c r="AD7094" s="35"/>
      <c r="AE7094" s="35"/>
      <c r="AF7094" s="35"/>
      <c r="AG7094" s="35"/>
      <c r="AH7094" s="35"/>
      <c r="AI7094" s="35"/>
      <c r="AJ7094" s="35"/>
      <c r="AK7094" s="35"/>
      <c r="AL7094" s="35"/>
    </row>
    <row r="7095">
      <c r="A7095" s="1"/>
      <c r="B7095" s="157" t="s">
        <v>10634</v>
      </c>
      <c r="C7095" s="158" t="s">
        <v>32931</v>
      </c>
      <c r="D7095" s="47"/>
      <c r="E7095" s="22" t="s">
        <v>32938</v>
      </c>
      <c r="F7095" s="22" t="s">
        <v>32939</v>
      </c>
      <c r="G7095" s="23">
        <v>2018.0</v>
      </c>
      <c r="H7095" s="22" t="s">
        <v>32940</v>
      </c>
      <c r="I7095" s="24" t="s">
        <v>32941</v>
      </c>
      <c r="J7095" s="22" t="s">
        <v>23152</v>
      </c>
      <c r="K7095" s="22" t="s">
        <v>56</v>
      </c>
      <c r="L7095" s="36" t="s">
        <v>5966</v>
      </c>
      <c r="M7095" s="36"/>
      <c r="N7095" s="36"/>
      <c r="O7095" s="36"/>
      <c r="P7095" s="37"/>
      <c r="Q7095" s="36"/>
      <c r="R7095" s="36">
        <v>1800.0</v>
      </c>
      <c r="S7095" s="36" t="s">
        <v>32942</v>
      </c>
      <c r="T7095" s="28" t="s">
        <v>32943</v>
      </c>
      <c r="U7095" s="29" t="s">
        <v>61</v>
      </c>
      <c r="V7095" s="30" t="s">
        <v>32944</v>
      </c>
      <c r="W7095" s="49"/>
      <c r="X7095" s="49"/>
      <c r="Y7095" s="35"/>
      <c r="Z7095" s="35"/>
      <c r="AA7095" s="35"/>
      <c r="AB7095" s="35"/>
      <c r="AC7095" s="35"/>
      <c r="AD7095" s="35"/>
      <c r="AE7095" s="35"/>
      <c r="AF7095" s="35"/>
      <c r="AG7095" s="35"/>
      <c r="AH7095" s="35"/>
      <c r="AI7095" s="35"/>
      <c r="AJ7095" s="35"/>
      <c r="AK7095" s="35"/>
      <c r="AL7095" s="35"/>
    </row>
    <row r="7096">
      <c r="A7096" s="18" t="s">
        <v>2</v>
      </c>
      <c r="B7096" s="157" t="s">
        <v>10634</v>
      </c>
      <c r="C7096" s="158" t="s">
        <v>32931</v>
      </c>
      <c r="D7096" s="159"/>
      <c r="E7096" s="23" t="s">
        <v>32945</v>
      </c>
      <c r="F7096" s="23" t="s">
        <v>283</v>
      </c>
      <c r="G7096" s="23">
        <v>2002.0</v>
      </c>
      <c r="H7096" s="23" t="s">
        <v>32946</v>
      </c>
      <c r="I7096" s="243" t="s">
        <v>32947</v>
      </c>
      <c r="J7096" s="22" t="s">
        <v>32948</v>
      </c>
      <c r="K7096" s="23" t="s">
        <v>32949</v>
      </c>
      <c r="L7096" s="94" t="s">
        <v>8957</v>
      </c>
      <c r="M7096" s="94" t="s">
        <v>58</v>
      </c>
      <c r="N7096" s="94" t="s">
        <v>3587</v>
      </c>
      <c r="O7096" s="94" t="s">
        <v>58</v>
      </c>
      <c r="P7096" s="94" t="s">
        <v>32950</v>
      </c>
      <c r="Q7096" s="172" t="s">
        <v>58</v>
      </c>
      <c r="R7096" s="94">
        <v>360.0</v>
      </c>
      <c r="S7096" s="94" t="s">
        <v>17862</v>
      </c>
      <c r="T7096" s="54" t="s">
        <v>32951</v>
      </c>
      <c r="U7096" s="135" t="str">
        <f>HYPERLINK("https://link.springer.com/article/10.1007/s00238-001-0305-0","Springer")</f>
        <v>Springer</v>
      </c>
      <c r="V7096" s="30" t="s">
        <v>32952</v>
      </c>
      <c r="W7096" s="49"/>
      <c r="X7096" s="49"/>
      <c r="Y7096" s="35"/>
      <c r="Z7096" s="35"/>
      <c r="AA7096" s="35"/>
      <c r="AB7096" s="35"/>
      <c r="AC7096" s="35"/>
      <c r="AD7096" s="35"/>
      <c r="AE7096" s="35"/>
      <c r="AF7096" s="35"/>
      <c r="AG7096" s="35"/>
      <c r="AH7096" s="35"/>
      <c r="AI7096" s="35"/>
      <c r="AJ7096" s="35"/>
      <c r="AK7096" s="35"/>
      <c r="AL7096" s="35"/>
    </row>
    <row r="7097">
      <c r="A7097" s="18"/>
      <c r="B7097" s="157" t="s">
        <v>10634</v>
      </c>
      <c r="C7097" s="158" t="s">
        <v>32931</v>
      </c>
      <c r="D7097" s="159"/>
      <c r="E7097" s="23" t="s">
        <v>32953</v>
      </c>
      <c r="F7097" s="23" t="s">
        <v>1398</v>
      </c>
      <c r="G7097" s="23">
        <v>1988.0</v>
      </c>
      <c r="H7097" s="23" t="s">
        <v>14398</v>
      </c>
      <c r="I7097" s="243" t="s">
        <v>32954</v>
      </c>
      <c r="J7097" s="23" t="s">
        <v>32955</v>
      </c>
      <c r="K7097" s="23"/>
      <c r="L7097" s="94">
        <v>830.0</v>
      </c>
      <c r="M7097" s="94">
        <v>60.0</v>
      </c>
      <c r="N7097" s="94"/>
      <c r="O7097" s="94"/>
      <c r="P7097" s="94" t="s">
        <v>4694</v>
      </c>
      <c r="Q7097" s="172"/>
      <c r="R7097" s="94"/>
      <c r="S7097" s="94"/>
      <c r="T7097" s="54" t="s">
        <v>32956</v>
      </c>
      <c r="U7097" s="138" t="s">
        <v>61</v>
      </c>
      <c r="V7097" s="30" t="s">
        <v>32957</v>
      </c>
      <c r="W7097" s="49"/>
      <c r="X7097" s="49"/>
      <c r="Y7097" s="35"/>
      <c r="Z7097" s="35"/>
      <c r="AA7097" s="35"/>
      <c r="AB7097" s="35"/>
      <c r="AC7097" s="35"/>
      <c r="AD7097" s="35"/>
      <c r="AE7097" s="35"/>
      <c r="AF7097" s="35"/>
      <c r="AG7097" s="35"/>
      <c r="AH7097" s="35"/>
      <c r="AI7097" s="35"/>
      <c r="AJ7097" s="35"/>
      <c r="AK7097" s="35"/>
      <c r="AL7097" s="35"/>
    </row>
    <row r="7098">
      <c r="A7098" s="1"/>
      <c r="B7098" s="157" t="s">
        <v>10634</v>
      </c>
      <c r="C7098" s="20" t="s">
        <v>32958</v>
      </c>
      <c r="D7098" s="47"/>
      <c r="E7098" s="22" t="s">
        <v>689</v>
      </c>
      <c r="F7098" s="22" t="s">
        <v>32959</v>
      </c>
      <c r="G7098" s="23" t="s">
        <v>16943</v>
      </c>
      <c r="H7098" s="22" t="s">
        <v>91</v>
      </c>
      <c r="I7098" s="24" t="s">
        <v>32960</v>
      </c>
      <c r="J7098" s="22" t="s">
        <v>55</v>
      </c>
      <c r="K7098" s="22" t="s">
        <v>32961</v>
      </c>
      <c r="L7098" s="36">
        <v>660.0</v>
      </c>
      <c r="M7098" s="36"/>
      <c r="N7098" s="36"/>
      <c r="O7098" s="36"/>
      <c r="P7098" s="37" t="s">
        <v>32962</v>
      </c>
      <c r="Q7098" s="36"/>
      <c r="R7098" s="36"/>
      <c r="S7098" s="36"/>
      <c r="T7098" s="28" t="s">
        <v>32963</v>
      </c>
      <c r="U7098" s="153" t="str">
        <f>HYPERLINK("https://www.ncbi.nlm.nih.gov/pubmed/32062713","PubMed")</f>
        <v>PubMed</v>
      </c>
      <c r="V7098" s="30"/>
      <c r="W7098" s="49"/>
      <c r="X7098" s="49"/>
      <c r="Y7098" s="35"/>
      <c r="Z7098" s="35"/>
      <c r="AA7098" s="35"/>
      <c r="AB7098" s="35"/>
      <c r="AC7098" s="35"/>
      <c r="AD7098" s="35"/>
      <c r="AE7098" s="35"/>
      <c r="AF7098" s="35"/>
      <c r="AG7098" s="35"/>
      <c r="AH7098" s="35"/>
      <c r="AI7098" s="35"/>
      <c r="AJ7098" s="35"/>
      <c r="AK7098" s="35"/>
      <c r="AL7098" s="35"/>
    </row>
    <row r="7099">
      <c r="A7099" s="1"/>
      <c r="B7099" s="157" t="s">
        <v>10634</v>
      </c>
      <c r="C7099" s="20" t="s">
        <v>32958</v>
      </c>
      <c r="D7099" s="47"/>
      <c r="E7099" s="22" t="s">
        <v>9731</v>
      </c>
      <c r="F7099" s="23" t="s">
        <v>41</v>
      </c>
      <c r="G7099" s="23">
        <v>2019.0</v>
      </c>
      <c r="H7099" s="22" t="s">
        <v>91</v>
      </c>
      <c r="I7099" s="24" t="s">
        <v>32964</v>
      </c>
      <c r="J7099" s="23" t="s">
        <v>55</v>
      </c>
      <c r="K7099" s="23" t="s">
        <v>32961</v>
      </c>
      <c r="L7099" s="36">
        <v>660.0</v>
      </c>
      <c r="M7099" s="36">
        <v>40.0</v>
      </c>
      <c r="N7099" s="36"/>
      <c r="O7099" s="129">
        <v>43557.0</v>
      </c>
      <c r="P7099" s="37"/>
      <c r="Q7099" s="36"/>
      <c r="R7099" s="36">
        <v>60.0</v>
      </c>
      <c r="S7099" s="36"/>
      <c r="T7099" s="28" t="s">
        <v>32965</v>
      </c>
      <c r="U7099" s="38" t="str">
        <f>HYPERLINK("https://www.ncbi.nlm.nih.gov/pubmed/31833005","PubMed")</f>
        <v>PubMed</v>
      </c>
      <c r="V7099" s="50"/>
      <c r="W7099" s="49"/>
      <c r="X7099" s="49"/>
      <c r="Y7099" s="35"/>
      <c r="Z7099" s="35"/>
      <c r="AA7099" s="35"/>
      <c r="AB7099" s="35"/>
      <c r="AC7099" s="35"/>
      <c r="AD7099" s="35"/>
      <c r="AE7099" s="35"/>
      <c r="AF7099" s="35"/>
      <c r="AG7099" s="35"/>
      <c r="AH7099" s="35"/>
      <c r="AI7099" s="35"/>
      <c r="AJ7099" s="35"/>
      <c r="AK7099" s="35"/>
      <c r="AL7099" s="35"/>
    </row>
    <row r="7100">
      <c r="A7100" s="1"/>
      <c r="B7100" s="157" t="s">
        <v>10634</v>
      </c>
      <c r="C7100" s="20" t="s">
        <v>32958</v>
      </c>
      <c r="D7100" s="47"/>
      <c r="E7100" s="22" t="s">
        <v>10573</v>
      </c>
      <c r="F7100" s="23" t="s">
        <v>358</v>
      </c>
      <c r="G7100" s="23" t="s">
        <v>76</v>
      </c>
      <c r="H7100" s="22" t="s">
        <v>53</v>
      </c>
      <c r="I7100" s="24" t="s">
        <v>32966</v>
      </c>
      <c r="J7100" s="23" t="s">
        <v>55</v>
      </c>
      <c r="K7100" s="23" t="s">
        <v>32967</v>
      </c>
      <c r="L7100" s="36" t="s">
        <v>5858</v>
      </c>
      <c r="M7100" s="36"/>
      <c r="N7100" s="36"/>
      <c r="O7100" s="36"/>
      <c r="P7100" s="37"/>
      <c r="Q7100" s="36"/>
      <c r="R7100" s="36"/>
      <c r="S7100" s="36"/>
      <c r="T7100" s="28" t="s">
        <v>32968</v>
      </c>
      <c r="U7100" s="38" t="str">
        <f>HYPERLINK("https://www.ncbi.nlm.nih.gov/pubmed/31493338","PubMed")</f>
        <v>PubMed</v>
      </c>
      <c r="V7100" s="50"/>
      <c r="W7100" s="49"/>
      <c r="X7100" s="49"/>
      <c r="Y7100" s="35"/>
      <c r="Z7100" s="35"/>
      <c r="AA7100" s="35"/>
      <c r="AB7100" s="35"/>
      <c r="AC7100" s="35"/>
      <c r="AD7100" s="35"/>
      <c r="AE7100" s="35"/>
      <c r="AF7100" s="35"/>
      <c r="AG7100" s="35"/>
      <c r="AH7100" s="35"/>
      <c r="AI7100" s="35"/>
      <c r="AJ7100" s="35"/>
      <c r="AK7100" s="35"/>
      <c r="AL7100" s="35"/>
    </row>
    <row r="7101">
      <c r="A7101" s="146"/>
      <c r="B7101" s="157" t="s">
        <v>10634</v>
      </c>
      <c r="C7101" s="158" t="s">
        <v>32969</v>
      </c>
      <c r="D7101" s="159"/>
      <c r="E7101" s="57" t="s">
        <v>17005</v>
      </c>
      <c r="F7101" s="22" t="s">
        <v>41</v>
      </c>
      <c r="G7101" s="57">
        <v>2010.0</v>
      </c>
      <c r="H7101" s="57" t="s">
        <v>658</v>
      </c>
      <c r="I7101" s="134" t="s">
        <v>32970</v>
      </c>
      <c r="J7101" s="23" t="s">
        <v>32971</v>
      </c>
      <c r="K7101" s="23"/>
      <c r="L7101" s="36">
        <v>830.0</v>
      </c>
      <c r="M7101" s="36">
        <v>40.0</v>
      </c>
      <c r="N7101" s="36"/>
      <c r="O7101" s="36" t="s">
        <v>32972</v>
      </c>
      <c r="P7101" s="37" t="s">
        <v>2934</v>
      </c>
      <c r="Q7101" s="36" t="s">
        <v>22639</v>
      </c>
      <c r="R7101" s="36" t="s">
        <v>32973</v>
      </c>
      <c r="S7101" s="36" t="s">
        <v>20078</v>
      </c>
      <c r="T7101" s="83" t="s">
        <v>32974</v>
      </c>
      <c r="U7101" s="248" t="str">
        <f>HYPERLINK("https://www.ncbi.nlm.nih.gov/pubmed/19821701","PubMed")</f>
        <v>PubMed</v>
      </c>
      <c r="V7101" s="139"/>
      <c r="W7101" s="49"/>
      <c r="X7101" s="49"/>
      <c r="Y7101" s="35"/>
      <c r="Z7101" s="35"/>
      <c r="AA7101" s="35"/>
      <c r="AB7101" s="35"/>
      <c r="AC7101" s="35"/>
      <c r="AD7101" s="35"/>
      <c r="AE7101" s="35"/>
      <c r="AF7101" s="35"/>
      <c r="AG7101" s="35"/>
      <c r="AH7101" s="35"/>
      <c r="AI7101" s="35"/>
      <c r="AJ7101" s="35"/>
      <c r="AK7101" s="35"/>
      <c r="AL7101" s="35"/>
    </row>
    <row r="7102">
      <c r="A7102" s="18"/>
      <c r="B7102" s="157" t="s">
        <v>10634</v>
      </c>
      <c r="C7102" s="158" t="s">
        <v>32975</v>
      </c>
      <c r="D7102" s="159"/>
      <c r="E7102" s="57" t="s">
        <v>32976</v>
      </c>
      <c r="F7102" s="22" t="s">
        <v>323</v>
      </c>
      <c r="G7102" s="57">
        <v>2022.0</v>
      </c>
      <c r="H7102" s="57" t="s">
        <v>32977</v>
      </c>
      <c r="I7102" s="134" t="s">
        <v>32978</v>
      </c>
      <c r="J7102" s="23" t="s">
        <v>32979</v>
      </c>
      <c r="K7102" s="23" t="s">
        <v>32980</v>
      </c>
      <c r="L7102" s="36" t="s">
        <v>32981</v>
      </c>
      <c r="M7102" s="36">
        <v>500.0</v>
      </c>
      <c r="N7102" s="36" t="s">
        <v>32982</v>
      </c>
      <c r="O7102" s="36" t="s">
        <v>32983</v>
      </c>
      <c r="P7102" s="37"/>
      <c r="Q7102" s="36"/>
      <c r="R7102" s="36" t="s">
        <v>32984</v>
      </c>
      <c r="S7102" s="36" t="s">
        <v>6403</v>
      </c>
      <c r="T7102" s="83" t="s">
        <v>32985</v>
      </c>
      <c r="U7102" s="255" t="s">
        <v>61</v>
      </c>
      <c r="V7102" s="136"/>
      <c r="W7102" s="49"/>
      <c r="X7102" s="49"/>
      <c r="Y7102" s="35"/>
      <c r="Z7102" s="35"/>
      <c r="AA7102" s="35"/>
      <c r="AB7102" s="35"/>
      <c r="AC7102" s="35"/>
      <c r="AD7102" s="35"/>
      <c r="AE7102" s="35"/>
      <c r="AF7102" s="35"/>
      <c r="AG7102" s="35"/>
      <c r="AH7102" s="35"/>
      <c r="AI7102" s="35"/>
      <c r="AJ7102" s="35"/>
      <c r="AK7102" s="35"/>
      <c r="AL7102" s="35"/>
    </row>
    <row r="7103">
      <c r="A7103" s="18" t="s">
        <v>181</v>
      </c>
      <c r="B7103" s="157" t="s">
        <v>10634</v>
      </c>
      <c r="C7103" s="158" t="s">
        <v>32975</v>
      </c>
      <c r="D7103" s="159"/>
      <c r="E7103" s="57" t="s">
        <v>223</v>
      </c>
      <c r="F7103" s="22" t="s">
        <v>206</v>
      </c>
      <c r="G7103" s="57">
        <v>2022.0</v>
      </c>
      <c r="H7103" s="57" t="s">
        <v>27763</v>
      </c>
      <c r="I7103" s="134" t="s">
        <v>32986</v>
      </c>
      <c r="J7103" s="23" t="s">
        <v>32987</v>
      </c>
      <c r="K7103" s="23" t="s">
        <v>2686</v>
      </c>
      <c r="L7103" s="36">
        <v>808.0</v>
      </c>
      <c r="M7103" s="36">
        <v>300.0</v>
      </c>
      <c r="N7103" s="36"/>
      <c r="O7103" s="36" t="s">
        <v>32988</v>
      </c>
      <c r="P7103" s="37"/>
      <c r="Q7103" s="36"/>
      <c r="R7103" s="36" t="s">
        <v>32989</v>
      </c>
      <c r="S7103" s="36"/>
      <c r="T7103" s="83" t="s">
        <v>32990</v>
      </c>
      <c r="U7103" s="248" t="s">
        <v>61</v>
      </c>
      <c r="V7103" s="136" t="s">
        <v>32991</v>
      </c>
      <c r="W7103" s="49"/>
      <c r="X7103" s="49"/>
      <c r="Y7103" s="35"/>
      <c r="Z7103" s="35"/>
      <c r="AA7103" s="35"/>
      <c r="AB7103" s="35"/>
      <c r="AC7103" s="35"/>
      <c r="AD7103" s="35"/>
      <c r="AE7103" s="35"/>
      <c r="AF7103" s="35"/>
      <c r="AG7103" s="35"/>
      <c r="AH7103" s="35"/>
      <c r="AI7103" s="35"/>
      <c r="AJ7103" s="35"/>
      <c r="AK7103" s="35"/>
      <c r="AL7103" s="35"/>
    </row>
    <row r="7104">
      <c r="A7104" s="146"/>
      <c r="B7104" s="157" t="s">
        <v>10634</v>
      </c>
      <c r="C7104" s="158" t="s">
        <v>32975</v>
      </c>
      <c r="D7104" s="159"/>
      <c r="E7104" s="57" t="s">
        <v>23439</v>
      </c>
      <c r="F7104" s="22" t="s">
        <v>41</v>
      </c>
      <c r="G7104" s="57">
        <v>2021.0</v>
      </c>
      <c r="H7104" s="57" t="s">
        <v>32992</v>
      </c>
      <c r="I7104" s="134" t="s">
        <v>32993</v>
      </c>
      <c r="J7104" s="23" t="s">
        <v>29165</v>
      </c>
      <c r="K7104" s="23"/>
      <c r="L7104" s="36">
        <v>850.0</v>
      </c>
      <c r="M7104" s="36"/>
      <c r="N7104" s="36"/>
      <c r="O7104" s="36"/>
      <c r="P7104" s="37"/>
      <c r="Q7104" s="36"/>
      <c r="R7104" s="36"/>
      <c r="S7104" s="36"/>
      <c r="T7104" s="84" t="s">
        <v>32994</v>
      </c>
      <c r="U7104" s="248" t="s">
        <v>61</v>
      </c>
      <c r="V7104" s="139"/>
      <c r="W7104" s="49"/>
      <c r="X7104" s="49"/>
      <c r="Y7104" s="35"/>
      <c r="Z7104" s="35"/>
      <c r="AA7104" s="35"/>
      <c r="AB7104" s="35"/>
      <c r="AC7104" s="35"/>
      <c r="AD7104" s="35"/>
      <c r="AE7104" s="35"/>
      <c r="AF7104" s="35"/>
      <c r="AG7104" s="35"/>
      <c r="AH7104" s="35"/>
      <c r="AI7104" s="35"/>
      <c r="AJ7104" s="35"/>
      <c r="AK7104" s="35"/>
      <c r="AL7104" s="35"/>
    </row>
    <row r="7105">
      <c r="A7105" s="146"/>
      <c r="B7105" s="157" t="s">
        <v>10634</v>
      </c>
      <c r="C7105" s="158" t="s">
        <v>32975</v>
      </c>
      <c r="D7105" s="159"/>
      <c r="E7105" s="57" t="s">
        <v>13241</v>
      </c>
      <c r="F7105" s="22" t="s">
        <v>530</v>
      </c>
      <c r="G7105" s="57">
        <v>2020.0</v>
      </c>
      <c r="H7105" s="57" t="s">
        <v>77</v>
      </c>
      <c r="I7105" s="134" t="s">
        <v>32995</v>
      </c>
      <c r="J7105" s="23" t="s">
        <v>2141</v>
      </c>
      <c r="K7105" s="23" t="s">
        <v>157</v>
      </c>
      <c r="L7105" s="168" t="s">
        <v>32996</v>
      </c>
      <c r="M7105" s="168"/>
      <c r="N7105" s="168"/>
      <c r="O7105" s="168"/>
      <c r="P7105" s="169"/>
      <c r="Q7105" s="168"/>
      <c r="R7105" s="168"/>
      <c r="S7105" s="168"/>
      <c r="T7105" s="314" t="s">
        <v>32997</v>
      </c>
      <c r="U7105" s="248" t="str">
        <f>HYPERLINK("https://www.ncbi.nlm.nih.gov/pubmed/32186975","PubMed")</f>
        <v>PubMed</v>
      </c>
      <c r="V7105" s="139"/>
      <c r="W7105" s="49"/>
      <c r="X7105" s="49"/>
      <c r="Y7105" s="35"/>
      <c r="Z7105" s="35"/>
      <c r="AA7105" s="35"/>
      <c r="AB7105" s="35"/>
      <c r="AC7105" s="35"/>
      <c r="AD7105" s="35"/>
      <c r="AE7105" s="35"/>
      <c r="AF7105" s="35"/>
      <c r="AG7105" s="35"/>
      <c r="AH7105" s="35"/>
      <c r="AI7105" s="35"/>
      <c r="AJ7105" s="35"/>
      <c r="AK7105" s="35"/>
      <c r="AL7105" s="35"/>
    </row>
    <row r="7106">
      <c r="A7106" s="18"/>
      <c r="B7106" s="157" t="s">
        <v>10634</v>
      </c>
      <c r="C7106" s="158" t="s">
        <v>32998</v>
      </c>
      <c r="D7106" s="159"/>
      <c r="E7106" s="23" t="s">
        <v>32999</v>
      </c>
      <c r="F7106" s="23" t="s">
        <v>6963</v>
      </c>
      <c r="G7106" s="23">
        <v>2020.0</v>
      </c>
      <c r="H7106" s="23" t="s">
        <v>5489</v>
      </c>
      <c r="I7106" s="243" t="s">
        <v>33000</v>
      </c>
      <c r="J7106" s="23" t="s">
        <v>33001</v>
      </c>
      <c r="K7106" s="23" t="s">
        <v>157</v>
      </c>
      <c r="L7106" s="94">
        <v>633.0</v>
      </c>
      <c r="M7106" s="94"/>
      <c r="N7106" s="94" t="s">
        <v>7877</v>
      </c>
      <c r="O7106" s="416"/>
      <c r="P7106" s="94">
        <v>126.0</v>
      </c>
      <c r="Q7106" s="36"/>
      <c r="R7106" s="94">
        <v>1200.0</v>
      </c>
      <c r="S7106" s="94" t="s">
        <v>8418</v>
      </c>
      <c r="T7106" s="103" t="s">
        <v>33002</v>
      </c>
      <c r="U7106" s="138" t="s">
        <v>61</v>
      </c>
      <c r="V7106" s="30" t="s">
        <v>7982</v>
      </c>
      <c r="W7106" s="49"/>
      <c r="X7106" s="49"/>
      <c r="Y7106" s="35"/>
      <c r="Z7106" s="35"/>
      <c r="AA7106" s="35"/>
      <c r="AB7106" s="35"/>
      <c r="AC7106" s="35"/>
      <c r="AD7106" s="35"/>
      <c r="AE7106" s="35"/>
      <c r="AF7106" s="35"/>
      <c r="AG7106" s="35"/>
      <c r="AH7106" s="35"/>
      <c r="AI7106" s="35"/>
      <c r="AJ7106" s="35"/>
      <c r="AK7106" s="35"/>
      <c r="AL7106" s="35"/>
    </row>
    <row r="7107">
      <c r="A7107" s="18"/>
      <c r="B7107" s="157" t="s">
        <v>10634</v>
      </c>
      <c r="C7107" s="158" t="s">
        <v>33003</v>
      </c>
      <c r="D7107" s="159"/>
      <c r="E7107" s="23" t="s">
        <v>992</v>
      </c>
      <c r="F7107" s="23" t="s">
        <v>41</v>
      </c>
      <c r="G7107" s="23">
        <v>2010.0</v>
      </c>
      <c r="H7107" s="23" t="s">
        <v>16555</v>
      </c>
      <c r="I7107" s="243" t="s">
        <v>33004</v>
      </c>
      <c r="J7107" s="23" t="s">
        <v>33005</v>
      </c>
      <c r="K7107" s="23"/>
      <c r="L7107" s="94">
        <v>685.0</v>
      </c>
      <c r="M7107" s="94">
        <v>21.0</v>
      </c>
      <c r="N7107" s="94"/>
      <c r="O7107" s="416">
        <v>43012.0</v>
      </c>
      <c r="P7107" s="94"/>
      <c r="Q7107" s="36"/>
      <c r="R7107" s="94"/>
      <c r="S7107" s="94"/>
      <c r="T7107" s="54" t="s">
        <v>33006</v>
      </c>
      <c r="U7107" s="138" t="s">
        <v>61</v>
      </c>
      <c r="V7107" s="30"/>
      <c r="W7107" s="49"/>
      <c r="X7107" s="49"/>
      <c r="Y7107" s="35"/>
      <c r="Z7107" s="35"/>
      <c r="AA7107" s="35"/>
      <c r="AB7107" s="35"/>
      <c r="AC7107" s="35"/>
      <c r="AD7107" s="35"/>
      <c r="AE7107" s="35"/>
      <c r="AF7107" s="35"/>
      <c r="AG7107" s="35"/>
      <c r="AH7107" s="35"/>
      <c r="AI7107" s="35"/>
      <c r="AJ7107" s="35"/>
      <c r="AK7107" s="35"/>
      <c r="AL7107" s="35"/>
    </row>
    <row r="7108">
      <c r="A7108" s="18"/>
      <c r="B7108" s="157" t="s">
        <v>10634</v>
      </c>
      <c r="C7108" s="158" t="s">
        <v>33003</v>
      </c>
      <c r="D7108" s="159"/>
      <c r="E7108" s="23" t="s">
        <v>992</v>
      </c>
      <c r="F7108" s="23" t="s">
        <v>41</v>
      </c>
      <c r="G7108" s="23">
        <v>2010.0</v>
      </c>
      <c r="H7108" s="23" t="s">
        <v>33007</v>
      </c>
      <c r="I7108" s="243" t="s">
        <v>33008</v>
      </c>
      <c r="J7108" s="23" t="s">
        <v>33009</v>
      </c>
      <c r="K7108" s="23"/>
      <c r="L7108" s="94">
        <v>685.0</v>
      </c>
      <c r="M7108" s="94">
        <v>21.0</v>
      </c>
      <c r="N7108" s="94"/>
      <c r="O7108" s="416">
        <v>43012.0</v>
      </c>
      <c r="P7108" s="94"/>
      <c r="Q7108" s="36"/>
      <c r="R7108" s="94"/>
      <c r="S7108" s="94"/>
      <c r="T7108" s="54" t="s">
        <v>33010</v>
      </c>
      <c r="U7108" s="135" t="str">
        <f>HYPERLINK("https://www.ncbi.nlm.nih.gov/pubmed/21160232","PubMed")</f>
        <v>PubMed</v>
      </c>
      <c r="V7108" s="30"/>
      <c r="W7108" s="49"/>
      <c r="X7108" s="49"/>
      <c r="Y7108" s="35"/>
      <c r="Z7108" s="35"/>
      <c r="AA7108" s="35"/>
      <c r="AB7108" s="35"/>
      <c r="AC7108" s="35"/>
      <c r="AD7108" s="35"/>
      <c r="AE7108" s="35"/>
      <c r="AF7108" s="35"/>
      <c r="AG7108" s="35"/>
      <c r="AH7108" s="35"/>
      <c r="AI7108" s="35"/>
      <c r="AJ7108" s="35"/>
      <c r="AK7108" s="35"/>
      <c r="AL7108" s="35"/>
    </row>
    <row r="7109">
      <c r="A7109" s="1"/>
      <c r="B7109" s="157" t="s">
        <v>10634</v>
      </c>
      <c r="C7109" s="20" t="s">
        <v>33011</v>
      </c>
      <c r="D7109" s="47"/>
      <c r="E7109" s="22" t="s">
        <v>33012</v>
      </c>
      <c r="F7109" s="22" t="s">
        <v>9419</v>
      </c>
      <c r="G7109" s="23">
        <v>2015.0</v>
      </c>
      <c r="H7109" s="22" t="s">
        <v>658</v>
      </c>
      <c r="I7109" s="24" t="s">
        <v>33013</v>
      </c>
      <c r="J7109" s="22" t="s">
        <v>649</v>
      </c>
      <c r="K7109" s="22"/>
      <c r="L7109" s="105" t="s">
        <v>33014</v>
      </c>
      <c r="M7109" s="44"/>
      <c r="N7109" s="44"/>
      <c r="O7109" s="44"/>
      <c r="P7109" s="44"/>
      <c r="Q7109" s="44"/>
      <c r="R7109" s="44"/>
      <c r="S7109" s="44"/>
      <c r="T7109" s="45"/>
      <c r="U7109" s="38" t="str">
        <f>HYPERLINK("https://www.ncbi.nlm.nih.gov/pubmed/25954831","PubMed")</f>
        <v>PubMed</v>
      </c>
      <c r="V7109" s="30"/>
      <c r="W7109" s="49"/>
      <c r="X7109" s="49"/>
      <c r="Y7109" s="35"/>
      <c r="Z7109" s="35"/>
      <c r="AA7109" s="35"/>
      <c r="AB7109" s="35"/>
      <c r="AC7109" s="35"/>
      <c r="AD7109" s="35"/>
      <c r="AE7109" s="35"/>
      <c r="AF7109" s="35"/>
      <c r="AG7109" s="35"/>
      <c r="AH7109" s="35"/>
      <c r="AI7109" s="35"/>
      <c r="AJ7109" s="35"/>
      <c r="AK7109" s="35"/>
      <c r="AL7109" s="35"/>
    </row>
    <row r="7110">
      <c r="A7110" s="18"/>
      <c r="B7110" s="19" t="s">
        <v>10634</v>
      </c>
      <c r="C7110" s="76" t="s">
        <v>33015</v>
      </c>
      <c r="D7110" s="47"/>
      <c r="E7110" s="22" t="s">
        <v>1507</v>
      </c>
      <c r="F7110" s="22" t="s">
        <v>41</v>
      </c>
      <c r="G7110" s="23">
        <v>2024.0</v>
      </c>
      <c r="H7110" s="22" t="s">
        <v>91</v>
      </c>
      <c r="I7110" s="24" t="s">
        <v>33016</v>
      </c>
      <c r="J7110" s="22" t="s">
        <v>533</v>
      </c>
      <c r="K7110" s="22"/>
      <c r="L7110" s="173" t="s">
        <v>33017</v>
      </c>
      <c r="U7110" s="38" t="s">
        <v>61</v>
      </c>
      <c r="V7110" s="50"/>
      <c r="W7110" s="49"/>
      <c r="X7110" s="49"/>
      <c r="Y7110" s="35"/>
      <c r="Z7110" s="35"/>
      <c r="AA7110" s="35"/>
      <c r="AB7110" s="35"/>
      <c r="AC7110" s="35"/>
      <c r="AD7110" s="35"/>
      <c r="AE7110" s="35"/>
      <c r="AF7110" s="35"/>
      <c r="AG7110" s="35"/>
      <c r="AH7110" s="35"/>
      <c r="AI7110" s="35"/>
      <c r="AJ7110" s="35"/>
      <c r="AK7110" s="35"/>
      <c r="AL7110" s="35"/>
    </row>
    <row r="7111">
      <c r="A7111" s="18"/>
      <c r="B7111" s="19" t="s">
        <v>10634</v>
      </c>
      <c r="C7111" s="76" t="s">
        <v>33015</v>
      </c>
      <c r="D7111" s="47"/>
      <c r="E7111" s="22" t="s">
        <v>33018</v>
      </c>
      <c r="F7111" s="22" t="s">
        <v>41</v>
      </c>
      <c r="G7111" s="23">
        <v>2022.0</v>
      </c>
      <c r="H7111" s="22" t="s">
        <v>91</v>
      </c>
      <c r="I7111" s="24" t="s">
        <v>33019</v>
      </c>
      <c r="J7111" s="22" t="s">
        <v>55</v>
      </c>
      <c r="K7111" s="22"/>
      <c r="L7111" s="52">
        <v>660.0</v>
      </c>
      <c r="M7111" s="52"/>
      <c r="N7111" s="52"/>
      <c r="O7111" s="52" t="s">
        <v>33020</v>
      </c>
      <c r="P7111" s="189"/>
      <c r="Q7111" s="52"/>
      <c r="R7111" s="52"/>
      <c r="S7111" s="52"/>
      <c r="T7111" s="28" t="s">
        <v>33021</v>
      </c>
      <c r="U7111" s="29" t="s">
        <v>61</v>
      </c>
      <c r="V7111" s="50"/>
      <c r="W7111" s="49"/>
      <c r="X7111" s="49"/>
      <c r="Y7111" s="35"/>
      <c r="Z7111" s="35"/>
      <c r="AA7111" s="35"/>
      <c r="AB7111" s="35"/>
      <c r="AC7111" s="35"/>
      <c r="AD7111" s="35"/>
      <c r="AE7111" s="35"/>
      <c r="AF7111" s="35"/>
      <c r="AG7111" s="35"/>
      <c r="AH7111" s="35"/>
      <c r="AI7111" s="35"/>
      <c r="AJ7111" s="35"/>
      <c r="AK7111" s="35"/>
      <c r="AL7111" s="35"/>
    </row>
    <row r="7112">
      <c r="A7112" s="18"/>
      <c r="B7112" s="19" t="s">
        <v>10634</v>
      </c>
      <c r="C7112" s="76" t="s">
        <v>33015</v>
      </c>
      <c r="D7112" s="47"/>
      <c r="E7112" s="22" t="s">
        <v>28109</v>
      </c>
      <c r="F7112" s="22" t="s">
        <v>33022</v>
      </c>
      <c r="G7112" s="23">
        <v>2021.0</v>
      </c>
      <c r="H7112" s="22" t="s">
        <v>91</v>
      </c>
      <c r="I7112" s="24" t="s">
        <v>33023</v>
      </c>
      <c r="J7112" s="22" t="s">
        <v>44</v>
      </c>
      <c r="K7112" s="22" t="s">
        <v>33024</v>
      </c>
      <c r="L7112" s="52" t="s">
        <v>943</v>
      </c>
      <c r="M7112" s="52"/>
      <c r="N7112" s="52"/>
      <c r="O7112" s="52"/>
      <c r="P7112" s="189"/>
      <c r="Q7112" s="52"/>
      <c r="R7112" s="52"/>
      <c r="S7112" s="52"/>
      <c r="T7112" s="28" t="s">
        <v>33025</v>
      </c>
      <c r="U7112" s="29" t="s">
        <v>61</v>
      </c>
      <c r="V7112" s="50"/>
      <c r="W7112" s="49"/>
      <c r="X7112" s="49"/>
      <c r="Y7112" s="35"/>
      <c r="Z7112" s="35"/>
      <c r="AA7112" s="35"/>
      <c r="AB7112" s="35"/>
      <c r="AC7112" s="35"/>
      <c r="AD7112" s="35"/>
      <c r="AE7112" s="35"/>
      <c r="AF7112" s="35"/>
      <c r="AG7112" s="35"/>
      <c r="AH7112" s="35"/>
      <c r="AI7112" s="35"/>
      <c r="AJ7112" s="35"/>
      <c r="AK7112" s="35"/>
      <c r="AL7112" s="35"/>
    </row>
    <row r="7113">
      <c r="A7113" s="18"/>
      <c r="B7113" s="19" t="s">
        <v>10634</v>
      </c>
      <c r="C7113" s="76" t="s">
        <v>33015</v>
      </c>
      <c r="D7113" s="47"/>
      <c r="E7113" s="22" t="s">
        <v>33026</v>
      </c>
      <c r="F7113" s="22" t="s">
        <v>2196</v>
      </c>
      <c r="G7113" s="23">
        <v>2020.0</v>
      </c>
      <c r="H7113" s="22" t="s">
        <v>31760</v>
      </c>
      <c r="I7113" s="24" t="s">
        <v>33027</v>
      </c>
      <c r="J7113" s="22" t="s">
        <v>55</v>
      </c>
      <c r="K7113" s="22" t="s">
        <v>33028</v>
      </c>
      <c r="L7113" s="52"/>
      <c r="M7113" s="52"/>
      <c r="N7113" s="52"/>
      <c r="O7113" s="52"/>
      <c r="P7113" s="189"/>
      <c r="Q7113" s="52"/>
      <c r="R7113" s="52"/>
      <c r="S7113" s="52"/>
      <c r="T7113" s="28" t="s">
        <v>33029</v>
      </c>
      <c r="U7113" s="29" t="s">
        <v>61</v>
      </c>
      <c r="V7113" s="50"/>
      <c r="W7113" s="49"/>
      <c r="X7113" s="49"/>
      <c r="Y7113" s="35"/>
      <c r="Z7113" s="35"/>
      <c r="AA7113" s="35"/>
      <c r="AB7113" s="35"/>
      <c r="AC7113" s="35"/>
      <c r="AD7113" s="35"/>
      <c r="AE7113" s="35"/>
      <c r="AF7113" s="35"/>
      <c r="AG7113" s="35"/>
      <c r="AH7113" s="35"/>
      <c r="AI7113" s="35"/>
      <c r="AJ7113" s="35"/>
      <c r="AK7113" s="35"/>
      <c r="AL7113" s="35"/>
    </row>
    <row r="7114">
      <c r="A7114" s="18"/>
      <c r="B7114" s="19" t="s">
        <v>10634</v>
      </c>
      <c r="C7114" s="76" t="s">
        <v>33015</v>
      </c>
      <c r="D7114" s="47"/>
      <c r="E7114" s="22" t="s">
        <v>5206</v>
      </c>
      <c r="F7114" s="22" t="s">
        <v>41</v>
      </c>
      <c r="G7114" s="23">
        <v>2019.0</v>
      </c>
      <c r="H7114" s="22" t="s">
        <v>207</v>
      </c>
      <c r="I7114" s="24" t="s">
        <v>33030</v>
      </c>
      <c r="J7114" s="22" t="s">
        <v>55</v>
      </c>
      <c r="K7114" s="22" t="s">
        <v>1240</v>
      </c>
      <c r="L7114" s="52">
        <v>660.0</v>
      </c>
      <c r="M7114" s="52"/>
      <c r="N7114" s="52"/>
      <c r="O7114" s="52" t="s">
        <v>33031</v>
      </c>
      <c r="P7114" s="189"/>
      <c r="Q7114" s="52"/>
      <c r="R7114" s="52"/>
      <c r="S7114" s="52"/>
      <c r="T7114" s="28" t="s">
        <v>33032</v>
      </c>
      <c r="U7114" s="38" t="str">
        <f>HYPERLINK("https://www.ncbi.nlm.nih.gov/pubmed/31715551","PubMed")</f>
        <v>PubMed</v>
      </c>
      <c r="V7114" s="50"/>
      <c r="W7114" s="49"/>
      <c r="X7114" s="49"/>
      <c r="Y7114" s="35"/>
      <c r="Z7114" s="35"/>
      <c r="AA7114" s="35"/>
      <c r="AB7114" s="35"/>
      <c r="AC7114" s="35"/>
      <c r="AD7114" s="35"/>
      <c r="AE7114" s="35"/>
      <c r="AF7114" s="35"/>
      <c r="AG7114" s="35"/>
      <c r="AH7114" s="35"/>
      <c r="AI7114" s="35"/>
      <c r="AJ7114" s="35"/>
      <c r="AK7114" s="35"/>
      <c r="AL7114" s="35"/>
    </row>
    <row r="7115">
      <c r="A7115" s="18" t="s">
        <v>181</v>
      </c>
      <c r="B7115" s="19" t="s">
        <v>10634</v>
      </c>
      <c r="C7115" s="76" t="s">
        <v>33015</v>
      </c>
      <c r="D7115" s="47"/>
      <c r="E7115" s="22" t="s">
        <v>507</v>
      </c>
      <c r="F7115" s="22" t="s">
        <v>52</v>
      </c>
      <c r="G7115" s="23" t="s">
        <v>76</v>
      </c>
      <c r="H7115" s="22" t="s">
        <v>53</v>
      </c>
      <c r="I7115" s="24" t="s">
        <v>33033</v>
      </c>
      <c r="J7115" s="22" t="s">
        <v>55</v>
      </c>
      <c r="K7115" s="22" t="s">
        <v>33034</v>
      </c>
      <c r="L7115" s="52" t="s">
        <v>1613</v>
      </c>
      <c r="M7115" s="52"/>
      <c r="N7115" s="52" t="s">
        <v>33035</v>
      </c>
      <c r="O7115" s="52"/>
      <c r="P7115" s="189"/>
      <c r="Q7115" s="52"/>
      <c r="R7115" s="52"/>
      <c r="S7115" s="52">
        <v>4.0</v>
      </c>
      <c r="T7115" s="28" t="s">
        <v>33036</v>
      </c>
      <c r="U7115" s="38" t="str">
        <f>HYPERLINK("https://www.ncbi.nlm.nih.gov/pubmed/30706950","PubMed")</f>
        <v>PubMed</v>
      </c>
      <c r="V7115" s="50"/>
      <c r="W7115" s="49"/>
      <c r="X7115" s="49"/>
      <c r="Y7115" s="35"/>
      <c r="Z7115" s="35"/>
      <c r="AA7115" s="35"/>
      <c r="AB7115" s="35"/>
      <c r="AC7115" s="35"/>
      <c r="AD7115" s="35"/>
      <c r="AE7115" s="35"/>
      <c r="AF7115" s="35"/>
      <c r="AG7115" s="35"/>
      <c r="AH7115" s="35"/>
      <c r="AI7115" s="35"/>
      <c r="AJ7115" s="35"/>
      <c r="AK7115" s="35"/>
      <c r="AL7115" s="35"/>
    </row>
    <row r="7116">
      <c r="A7116" s="1"/>
      <c r="B7116" s="19" t="s">
        <v>10634</v>
      </c>
      <c r="C7116" s="76" t="s">
        <v>33015</v>
      </c>
      <c r="D7116" s="47"/>
      <c r="E7116" s="22" t="s">
        <v>33037</v>
      </c>
      <c r="F7116" s="22" t="s">
        <v>274</v>
      </c>
      <c r="G7116" s="23">
        <v>2018.0</v>
      </c>
      <c r="H7116" s="22" t="s">
        <v>91</v>
      </c>
      <c r="I7116" s="24" t="s">
        <v>33038</v>
      </c>
      <c r="J7116" s="22" t="s">
        <v>55</v>
      </c>
      <c r="K7116" s="22"/>
      <c r="L7116" s="52">
        <v>660.0</v>
      </c>
      <c r="M7116" s="52">
        <v>50.0</v>
      </c>
      <c r="N7116" s="52"/>
      <c r="O7116" s="52"/>
      <c r="P7116" s="189"/>
      <c r="Q7116" s="52"/>
      <c r="R7116" s="52">
        <v>240.0</v>
      </c>
      <c r="S7116" s="52"/>
      <c r="T7116" s="42" t="s">
        <v>33039</v>
      </c>
      <c r="U7116" s="38" t="str">
        <f>HYPERLINK("https://www.ncbi.nlm.nih.gov/pubmed/30565200","PubMed")</f>
        <v>PubMed</v>
      </c>
      <c r="V7116" s="50"/>
      <c r="W7116" s="49"/>
      <c r="X7116" s="49"/>
      <c r="Y7116" s="35"/>
      <c r="Z7116" s="35"/>
      <c r="AA7116" s="35"/>
      <c r="AB7116" s="35"/>
      <c r="AC7116" s="35"/>
      <c r="AD7116" s="35"/>
      <c r="AE7116" s="35"/>
      <c r="AF7116" s="35"/>
      <c r="AG7116" s="35"/>
      <c r="AH7116" s="35"/>
      <c r="AI7116" s="35"/>
      <c r="AJ7116" s="35"/>
      <c r="AK7116" s="35"/>
      <c r="AL7116" s="35"/>
    </row>
    <row r="7117">
      <c r="A7117" s="1"/>
      <c r="B7117" s="19" t="s">
        <v>10634</v>
      </c>
      <c r="C7117" s="76" t="s">
        <v>33015</v>
      </c>
      <c r="D7117" s="47"/>
      <c r="E7117" s="22" t="s">
        <v>4286</v>
      </c>
      <c r="F7117" s="22" t="s">
        <v>224</v>
      </c>
      <c r="G7117" s="23">
        <v>2018.0</v>
      </c>
      <c r="H7117" s="22" t="s">
        <v>658</v>
      </c>
      <c r="I7117" s="24" t="s">
        <v>33040</v>
      </c>
      <c r="J7117" s="22" t="s">
        <v>55</v>
      </c>
      <c r="K7117" s="22"/>
      <c r="L7117" s="52">
        <v>810.0</v>
      </c>
      <c r="M7117" s="52"/>
      <c r="N7117" s="52"/>
      <c r="O7117" s="52"/>
      <c r="P7117" s="189" t="s">
        <v>33041</v>
      </c>
      <c r="Q7117" s="52"/>
      <c r="R7117" s="52"/>
      <c r="S7117" s="52"/>
      <c r="T7117" s="28" t="s">
        <v>33042</v>
      </c>
      <c r="U7117" s="38" t="str">
        <f>HYPERLINK("https://www.ncbi.nlm.nih.gov/pubmed/29882737","PubMed")</f>
        <v>PubMed</v>
      </c>
      <c r="V7117" s="50"/>
      <c r="W7117" s="49"/>
      <c r="X7117" s="49"/>
      <c r="Y7117" s="35"/>
      <c r="Z7117" s="35"/>
      <c r="AA7117" s="35"/>
      <c r="AB7117" s="35"/>
      <c r="AC7117" s="35"/>
      <c r="AD7117" s="35"/>
      <c r="AE7117" s="35"/>
      <c r="AF7117" s="35"/>
      <c r="AG7117" s="35"/>
      <c r="AH7117" s="35"/>
      <c r="AI7117" s="35"/>
      <c r="AJ7117" s="35"/>
      <c r="AK7117" s="35"/>
      <c r="AL7117" s="35"/>
    </row>
    <row r="7118">
      <c r="A7118" s="1"/>
      <c r="B7118" s="19" t="s">
        <v>10634</v>
      </c>
      <c r="C7118" s="76" t="s">
        <v>33015</v>
      </c>
      <c r="D7118" s="47"/>
      <c r="E7118" s="22" t="s">
        <v>33043</v>
      </c>
      <c r="F7118" s="22" t="s">
        <v>176</v>
      </c>
      <c r="G7118" s="23">
        <v>2017.0</v>
      </c>
      <c r="H7118" s="22" t="s">
        <v>177</v>
      </c>
      <c r="I7118" s="24" t="s">
        <v>33044</v>
      </c>
      <c r="J7118" s="22" t="s">
        <v>55</v>
      </c>
      <c r="K7118" s="22" t="s">
        <v>56</v>
      </c>
      <c r="L7118" s="52" t="s">
        <v>33045</v>
      </c>
      <c r="M7118" s="52"/>
      <c r="N7118" s="52"/>
      <c r="O7118" s="52"/>
      <c r="P7118" s="189" t="s">
        <v>480</v>
      </c>
      <c r="Q7118" s="52"/>
      <c r="R7118" s="52"/>
      <c r="S7118" s="52"/>
      <c r="T7118" s="42" t="s">
        <v>33046</v>
      </c>
      <c r="U7118" s="38" t="str">
        <f>HYPERLINK("https://www.ncbi.nlm.nih.gov/pubmed/29242740","PubMed")</f>
        <v>PubMed</v>
      </c>
      <c r="V7118" s="50"/>
      <c r="W7118" s="49"/>
      <c r="X7118" s="49"/>
      <c r="Y7118" s="35"/>
      <c r="Z7118" s="35"/>
      <c r="AA7118" s="35"/>
      <c r="AB7118" s="35"/>
      <c r="AC7118" s="35"/>
      <c r="AD7118" s="35"/>
      <c r="AE7118" s="35"/>
      <c r="AF7118" s="35"/>
      <c r="AG7118" s="35"/>
      <c r="AH7118" s="35"/>
      <c r="AI7118" s="35"/>
      <c r="AJ7118" s="35"/>
      <c r="AK7118" s="35"/>
      <c r="AL7118" s="35"/>
    </row>
    <row r="7119">
      <c r="A7119" s="1"/>
      <c r="B7119" s="19" t="s">
        <v>10634</v>
      </c>
      <c r="C7119" s="76" t="s">
        <v>33015</v>
      </c>
      <c r="D7119" s="47"/>
      <c r="E7119" s="22" t="s">
        <v>1535</v>
      </c>
      <c r="F7119" s="22" t="s">
        <v>1905</v>
      </c>
      <c r="G7119" s="23" t="s">
        <v>90</v>
      </c>
      <c r="H7119" s="22" t="s">
        <v>91</v>
      </c>
      <c r="I7119" s="24" t="s">
        <v>33047</v>
      </c>
      <c r="J7119" s="22" t="s">
        <v>44</v>
      </c>
      <c r="K7119" s="22" t="s">
        <v>157</v>
      </c>
      <c r="L7119" s="52">
        <v>850.0</v>
      </c>
      <c r="M7119" s="52"/>
      <c r="N7119" s="52" t="s">
        <v>1729</v>
      </c>
      <c r="O7119" s="52"/>
      <c r="P7119" s="189" t="s">
        <v>33048</v>
      </c>
      <c r="Q7119" s="52"/>
      <c r="R7119" s="52">
        <v>780.0</v>
      </c>
      <c r="S7119" s="52">
        <v>5.0</v>
      </c>
      <c r="T7119" s="28" t="s">
        <v>33049</v>
      </c>
      <c r="U7119" s="38" t="str">
        <f>HYPERLINK("https://www.ncbi.nlm.nih.gov/pubmed/28836013","PubMed")</f>
        <v>PubMed</v>
      </c>
      <c r="V7119" s="50"/>
      <c r="W7119" s="49"/>
      <c r="X7119" s="49"/>
      <c r="Y7119" s="35"/>
      <c r="Z7119" s="35"/>
      <c r="AA7119" s="35"/>
      <c r="AB7119" s="35"/>
      <c r="AC7119" s="35"/>
      <c r="AD7119" s="35"/>
      <c r="AE7119" s="35"/>
      <c r="AF7119" s="35"/>
      <c r="AG7119" s="35"/>
      <c r="AH7119" s="35"/>
      <c r="AI7119" s="35"/>
      <c r="AJ7119" s="35"/>
      <c r="AK7119" s="35"/>
      <c r="AL7119" s="35"/>
    </row>
    <row r="7120">
      <c r="A7120" s="1"/>
      <c r="B7120" s="19" t="s">
        <v>10634</v>
      </c>
      <c r="C7120" s="76" t="s">
        <v>33015</v>
      </c>
      <c r="D7120" s="47"/>
      <c r="E7120" s="22" t="s">
        <v>6140</v>
      </c>
      <c r="F7120" s="22" t="s">
        <v>1905</v>
      </c>
      <c r="G7120" s="23" t="s">
        <v>90</v>
      </c>
      <c r="H7120" s="22" t="s">
        <v>91</v>
      </c>
      <c r="I7120" s="24" t="s">
        <v>33050</v>
      </c>
      <c r="J7120" s="22" t="s">
        <v>44</v>
      </c>
      <c r="K7120" s="22" t="s">
        <v>6453</v>
      </c>
      <c r="L7120" s="52">
        <v>660.0</v>
      </c>
      <c r="M7120" s="52"/>
      <c r="N7120" s="52" t="s">
        <v>2554</v>
      </c>
      <c r="O7120" s="52"/>
      <c r="P7120" s="189" t="s">
        <v>82</v>
      </c>
      <c r="Q7120" s="52"/>
      <c r="R7120" s="52">
        <v>600.0</v>
      </c>
      <c r="S7120" s="52"/>
      <c r="T7120" s="28" t="s">
        <v>33051</v>
      </c>
      <c r="U7120" s="38" t="str">
        <f>HYPERLINK("https://www.ncbi.nlm.nih.gov/pubmed/28653257","PubMed")</f>
        <v>PubMed</v>
      </c>
      <c r="V7120" s="50"/>
      <c r="W7120" s="49"/>
      <c r="X7120" s="49"/>
      <c r="Y7120" s="35"/>
      <c r="Z7120" s="35"/>
      <c r="AA7120" s="35"/>
      <c r="AB7120" s="35"/>
      <c r="AC7120" s="35"/>
      <c r="AD7120" s="35"/>
      <c r="AE7120" s="35"/>
      <c r="AF7120" s="35"/>
      <c r="AG7120" s="35"/>
      <c r="AH7120" s="35"/>
      <c r="AI7120" s="35"/>
      <c r="AJ7120" s="35"/>
      <c r="AK7120" s="35"/>
      <c r="AL7120" s="35"/>
    </row>
    <row r="7121">
      <c r="A7121" s="1"/>
      <c r="B7121" s="19" t="s">
        <v>10634</v>
      </c>
      <c r="C7121" s="76" t="s">
        <v>33015</v>
      </c>
      <c r="D7121" s="47"/>
      <c r="E7121" s="22" t="s">
        <v>6140</v>
      </c>
      <c r="F7121" s="22" t="s">
        <v>1905</v>
      </c>
      <c r="G7121" s="23">
        <v>2016.0</v>
      </c>
      <c r="H7121" s="22" t="s">
        <v>33052</v>
      </c>
      <c r="I7121" s="24" t="s">
        <v>33053</v>
      </c>
      <c r="J7121" s="22" t="s">
        <v>44</v>
      </c>
      <c r="K7121" s="22" t="s">
        <v>6453</v>
      </c>
      <c r="L7121" s="52">
        <v>660.0</v>
      </c>
      <c r="M7121" s="52"/>
      <c r="N7121" s="52" t="s">
        <v>3911</v>
      </c>
      <c r="O7121" s="52"/>
      <c r="P7121" s="189" t="s">
        <v>480</v>
      </c>
      <c r="Q7121" s="52"/>
      <c r="R7121" s="52">
        <v>600.0</v>
      </c>
      <c r="S7121" s="52">
        <v>14.0</v>
      </c>
      <c r="T7121" s="28" t="s">
        <v>33054</v>
      </c>
      <c r="U7121" s="38" t="str">
        <f>HYPERLINK("https://www.ncbi.nlm.nih.gov/pubmed/27448834","PubMed")</f>
        <v>PubMed</v>
      </c>
      <c r="V7121" s="50"/>
      <c r="W7121" s="49"/>
      <c r="X7121" s="49"/>
      <c r="Y7121" s="35"/>
      <c r="Z7121" s="35"/>
      <c r="AA7121" s="35"/>
      <c r="AB7121" s="35"/>
      <c r="AC7121" s="35"/>
      <c r="AD7121" s="35"/>
      <c r="AE7121" s="35"/>
      <c r="AF7121" s="35"/>
      <c r="AG7121" s="35"/>
      <c r="AH7121" s="35"/>
      <c r="AI7121" s="35"/>
      <c r="AJ7121" s="35"/>
      <c r="AK7121" s="35"/>
      <c r="AL7121" s="35"/>
    </row>
    <row r="7122">
      <c r="A7122" s="1"/>
      <c r="B7122" s="19" t="s">
        <v>10634</v>
      </c>
      <c r="C7122" s="76" t="s">
        <v>33015</v>
      </c>
      <c r="D7122" s="47"/>
      <c r="E7122" s="22" t="s">
        <v>6140</v>
      </c>
      <c r="F7122" s="22" t="s">
        <v>1905</v>
      </c>
      <c r="G7122" s="23">
        <v>2015.0</v>
      </c>
      <c r="H7122" s="22" t="s">
        <v>6141</v>
      </c>
      <c r="I7122" s="24" t="s">
        <v>33055</v>
      </c>
      <c r="J7122" s="22" t="s">
        <v>44</v>
      </c>
      <c r="K7122" s="22" t="s">
        <v>157</v>
      </c>
      <c r="L7122" s="52">
        <v>660.0</v>
      </c>
      <c r="M7122" s="52"/>
      <c r="N7122" s="52" t="s">
        <v>3911</v>
      </c>
      <c r="O7122" s="52"/>
      <c r="P7122" s="189" t="s">
        <v>480</v>
      </c>
      <c r="Q7122" s="52"/>
      <c r="R7122" s="52">
        <v>600.0</v>
      </c>
      <c r="S7122" s="52">
        <v>20.0</v>
      </c>
      <c r="T7122" s="28" t="s">
        <v>33056</v>
      </c>
      <c r="U7122" s="38" t="str">
        <f>HYPERLINK("https://www.ncbi.nlm.nih.gov/pubmed/25659641","PubMed")</f>
        <v>PubMed</v>
      </c>
      <c r="V7122" s="50"/>
      <c r="W7122" s="49"/>
      <c r="X7122" s="49"/>
      <c r="Y7122" s="35"/>
      <c r="Z7122" s="35"/>
      <c r="AA7122" s="35"/>
      <c r="AB7122" s="35"/>
      <c r="AC7122" s="35"/>
      <c r="AD7122" s="35"/>
      <c r="AE7122" s="35"/>
      <c r="AF7122" s="35"/>
      <c r="AG7122" s="35"/>
      <c r="AH7122" s="35"/>
      <c r="AI7122" s="35"/>
      <c r="AJ7122" s="35"/>
      <c r="AK7122" s="35"/>
      <c r="AL7122" s="35"/>
    </row>
    <row r="7123">
      <c r="A7123" s="1"/>
      <c r="B7123" s="19" t="s">
        <v>10634</v>
      </c>
      <c r="C7123" s="76" t="s">
        <v>33015</v>
      </c>
      <c r="D7123" s="47"/>
      <c r="E7123" s="22" t="s">
        <v>31160</v>
      </c>
      <c r="F7123" s="22" t="s">
        <v>274</v>
      </c>
      <c r="G7123" s="23">
        <v>2013.0</v>
      </c>
      <c r="H7123" s="22" t="s">
        <v>207</v>
      </c>
      <c r="I7123" s="417" t="s">
        <v>33057</v>
      </c>
      <c r="J7123" s="22" t="s">
        <v>55</v>
      </c>
      <c r="K7123" s="22" t="s">
        <v>294</v>
      </c>
      <c r="L7123" s="52" t="s">
        <v>1804</v>
      </c>
      <c r="M7123" s="52"/>
      <c r="N7123" s="52"/>
      <c r="O7123" s="52"/>
      <c r="P7123" s="189" t="s">
        <v>33058</v>
      </c>
      <c r="Q7123" s="52"/>
      <c r="R7123" s="52"/>
      <c r="S7123" s="52">
        <v>8.0</v>
      </c>
      <c r="T7123" s="28" t="s">
        <v>33059</v>
      </c>
      <c r="U7123" s="38" t="str">
        <f>HYPERLINK("https://www.ncbi.nlm.nih.gov/pubmed/23831843","PubMed")</f>
        <v>PubMed</v>
      </c>
      <c r="V7123" s="50"/>
      <c r="W7123" s="49"/>
      <c r="X7123" s="49"/>
      <c r="Y7123" s="35"/>
      <c r="Z7123" s="35"/>
      <c r="AA7123" s="35"/>
      <c r="AB7123" s="35"/>
      <c r="AC7123" s="35"/>
      <c r="AD7123" s="35"/>
      <c r="AE7123" s="35"/>
      <c r="AF7123" s="35"/>
      <c r="AG7123" s="35"/>
      <c r="AH7123" s="35"/>
      <c r="AI7123" s="35"/>
      <c r="AJ7123" s="35"/>
      <c r="AK7123" s="35"/>
      <c r="AL7123" s="35"/>
    </row>
    <row r="7124">
      <c r="A7124" s="1"/>
      <c r="B7124" s="19" t="s">
        <v>10634</v>
      </c>
      <c r="C7124" s="76" t="s">
        <v>33015</v>
      </c>
      <c r="D7124" s="47"/>
      <c r="E7124" s="22" t="s">
        <v>33060</v>
      </c>
      <c r="F7124" s="22" t="s">
        <v>41</v>
      </c>
      <c r="G7124" s="23">
        <v>2012.0</v>
      </c>
      <c r="H7124" s="22" t="s">
        <v>91</v>
      </c>
      <c r="I7124" s="24" t="s">
        <v>33061</v>
      </c>
      <c r="J7124" s="22" t="s">
        <v>55</v>
      </c>
      <c r="K7124" s="22" t="s">
        <v>740</v>
      </c>
      <c r="L7124" s="52" t="s">
        <v>33062</v>
      </c>
      <c r="M7124" s="52"/>
      <c r="N7124" s="52"/>
      <c r="O7124" s="52" t="s">
        <v>33063</v>
      </c>
      <c r="P7124" s="189"/>
      <c r="Q7124" s="52"/>
      <c r="R7124" s="52"/>
      <c r="S7124" s="52">
        <v>5.0</v>
      </c>
      <c r="T7124" s="28" t="s">
        <v>33064</v>
      </c>
      <c r="U7124" s="38" t="str">
        <f>HYPERLINK("https://www.ncbi.nlm.nih.gov/pubmed/22207449","PubMed")</f>
        <v>PubMed</v>
      </c>
      <c r="V7124" s="50"/>
      <c r="W7124" s="49"/>
      <c r="X7124" s="49"/>
      <c r="Y7124" s="35"/>
      <c r="Z7124" s="35"/>
      <c r="AA7124" s="35"/>
      <c r="AB7124" s="35"/>
      <c r="AC7124" s="35"/>
      <c r="AD7124" s="35"/>
      <c r="AE7124" s="35"/>
      <c r="AF7124" s="35"/>
      <c r="AG7124" s="35"/>
      <c r="AH7124" s="35"/>
      <c r="AI7124" s="35"/>
      <c r="AJ7124" s="35"/>
      <c r="AK7124" s="35"/>
      <c r="AL7124" s="35"/>
    </row>
    <row r="7125">
      <c r="A7125" s="1"/>
      <c r="B7125" s="19" t="s">
        <v>10634</v>
      </c>
      <c r="C7125" s="76" t="s">
        <v>33015</v>
      </c>
      <c r="D7125" s="47"/>
      <c r="E7125" s="22" t="s">
        <v>20288</v>
      </c>
      <c r="F7125" s="22" t="s">
        <v>41</v>
      </c>
      <c r="G7125" s="23">
        <v>2012.0</v>
      </c>
      <c r="H7125" s="22" t="s">
        <v>658</v>
      </c>
      <c r="I7125" s="24" t="s">
        <v>33065</v>
      </c>
      <c r="J7125" s="22" t="s">
        <v>55</v>
      </c>
      <c r="K7125" s="22" t="s">
        <v>294</v>
      </c>
      <c r="L7125" s="52" t="s">
        <v>9939</v>
      </c>
      <c r="M7125" s="52"/>
      <c r="N7125" s="52"/>
      <c r="O7125" s="52" t="s">
        <v>33066</v>
      </c>
      <c r="P7125" s="189" t="s">
        <v>2659</v>
      </c>
      <c r="Q7125" s="52"/>
      <c r="R7125" s="52">
        <v>72.0</v>
      </c>
      <c r="S7125" s="52"/>
      <c r="T7125" s="28" t="s">
        <v>33067</v>
      </c>
      <c r="U7125" s="38" t="str">
        <f>HYPERLINK("https://www.ncbi.nlm.nih.gov/pubmed/22730913","PubMed")</f>
        <v>PubMed</v>
      </c>
      <c r="V7125" s="50"/>
      <c r="W7125" s="49"/>
      <c r="X7125" s="49"/>
      <c r="Y7125" s="35"/>
      <c r="Z7125" s="35"/>
      <c r="AA7125" s="35"/>
      <c r="AB7125" s="35"/>
      <c r="AC7125" s="35"/>
      <c r="AD7125" s="35"/>
      <c r="AE7125" s="35"/>
      <c r="AF7125" s="35"/>
      <c r="AG7125" s="35"/>
      <c r="AH7125" s="35"/>
      <c r="AI7125" s="35"/>
      <c r="AJ7125" s="35"/>
      <c r="AK7125" s="35"/>
      <c r="AL7125" s="35"/>
    </row>
    <row r="7126">
      <c r="A7126" s="1"/>
      <c r="B7126" s="19" t="s">
        <v>10634</v>
      </c>
      <c r="C7126" s="76" t="s">
        <v>33015</v>
      </c>
      <c r="D7126" s="47"/>
      <c r="E7126" s="22" t="s">
        <v>33068</v>
      </c>
      <c r="F7126" s="22" t="s">
        <v>41</v>
      </c>
      <c r="G7126" s="23">
        <v>2012.0</v>
      </c>
      <c r="H7126" s="22" t="s">
        <v>91</v>
      </c>
      <c r="I7126" s="24" t="s">
        <v>33069</v>
      </c>
      <c r="J7126" s="22" t="s">
        <v>55</v>
      </c>
      <c r="K7126" s="22" t="s">
        <v>1112</v>
      </c>
      <c r="L7126" s="52">
        <v>660.0</v>
      </c>
      <c r="M7126" s="52" t="s">
        <v>33070</v>
      </c>
      <c r="N7126" s="52" t="s">
        <v>33071</v>
      </c>
      <c r="O7126" s="52" t="s">
        <v>33072</v>
      </c>
      <c r="P7126" s="189" t="s">
        <v>33073</v>
      </c>
      <c r="Q7126" s="52" t="s">
        <v>280</v>
      </c>
      <c r="R7126" s="52"/>
      <c r="S7126" s="52"/>
      <c r="T7126" s="28" t="s">
        <v>33074</v>
      </c>
      <c r="U7126" s="38" t="str">
        <f>HYPERLINK("https://www.ncbi.nlm.nih.gov/pubmed/22016040","PubMed")</f>
        <v>PubMed</v>
      </c>
      <c r="V7126" s="50"/>
      <c r="W7126" s="49"/>
      <c r="X7126" s="49"/>
      <c r="Y7126" s="35"/>
      <c r="Z7126" s="35"/>
      <c r="AA7126" s="35"/>
      <c r="AB7126" s="35"/>
      <c r="AC7126" s="35"/>
      <c r="AD7126" s="35"/>
      <c r="AE7126" s="35"/>
      <c r="AF7126" s="35"/>
      <c r="AG7126" s="35"/>
      <c r="AH7126" s="35"/>
      <c r="AI7126" s="35"/>
      <c r="AJ7126" s="35"/>
      <c r="AK7126" s="35"/>
      <c r="AL7126" s="35"/>
    </row>
    <row r="7127">
      <c r="A7127" s="1"/>
      <c r="B7127" s="19" t="s">
        <v>10634</v>
      </c>
      <c r="C7127" s="76" t="s">
        <v>33015</v>
      </c>
      <c r="D7127" s="47"/>
      <c r="E7127" s="22" t="s">
        <v>17412</v>
      </c>
      <c r="F7127" s="22" t="s">
        <v>9002</v>
      </c>
      <c r="G7127" s="23">
        <v>2011.0</v>
      </c>
      <c r="H7127" s="22" t="s">
        <v>658</v>
      </c>
      <c r="I7127" s="24" t="s">
        <v>33075</v>
      </c>
      <c r="J7127" s="22" t="s">
        <v>55</v>
      </c>
      <c r="K7127" s="22"/>
      <c r="L7127" s="52">
        <v>830.0</v>
      </c>
      <c r="M7127" s="52">
        <v>30.0</v>
      </c>
      <c r="N7127" s="52" t="s">
        <v>33076</v>
      </c>
      <c r="O7127" s="52" t="s">
        <v>33066</v>
      </c>
      <c r="P7127" s="189" t="s">
        <v>2659</v>
      </c>
      <c r="Q7127" s="52" t="s">
        <v>809</v>
      </c>
      <c r="R7127" s="52">
        <v>84.0</v>
      </c>
      <c r="S7127" s="52">
        <v>5.0</v>
      </c>
      <c r="T7127" s="28" t="s">
        <v>33077</v>
      </c>
      <c r="U7127" s="38" t="str">
        <f>HYPERLINK("https://www.ncbi.nlm.nih.gov/pubmed/21456941","PubMed")</f>
        <v>PubMed</v>
      </c>
      <c r="V7127" s="50"/>
      <c r="W7127" s="49"/>
      <c r="X7127" s="49"/>
      <c r="Y7127" s="35"/>
      <c r="Z7127" s="35"/>
      <c r="AA7127" s="35"/>
      <c r="AB7127" s="35"/>
      <c r="AC7127" s="35"/>
      <c r="AD7127" s="35"/>
      <c r="AE7127" s="35"/>
      <c r="AF7127" s="35"/>
      <c r="AG7127" s="35"/>
      <c r="AH7127" s="35"/>
      <c r="AI7127" s="35"/>
      <c r="AJ7127" s="35"/>
      <c r="AK7127" s="35"/>
      <c r="AL7127" s="35"/>
    </row>
    <row r="7128">
      <c r="A7128" s="1"/>
      <c r="B7128" s="19" t="s">
        <v>10634</v>
      </c>
      <c r="C7128" s="76" t="s">
        <v>33015</v>
      </c>
      <c r="D7128" s="47"/>
      <c r="E7128" s="22" t="s">
        <v>7880</v>
      </c>
      <c r="F7128" s="22" t="s">
        <v>41</v>
      </c>
      <c r="G7128" s="23">
        <v>2010.0</v>
      </c>
      <c r="H7128" s="22" t="s">
        <v>658</v>
      </c>
      <c r="I7128" s="24" t="s">
        <v>33078</v>
      </c>
      <c r="J7128" s="22" t="s">
        <v>55</v>
      </c>
      <c r="K7128" s="22"/>
      <c r="L7128" s="52">
        <v>660.0</v>
      </c>
      <c r="M7128" s="52" t="s">
        <v>1838</v>
      </c>
      <c r="N7128" s="52"/>
      <c r="O7128" s="52"/>
      <c r="P7128" s="189" t="s">
        <v>17077</v>
      </c>
      <c r="Q7128" s="52"/>
      <c r="R7128" s="52"/>
      <c r="S7128" s="52">
        <v>5.0</v>
      </c>
      <c r="T7128" s="28" t="s">
        <v>33079</v>
      </c>
      <c r="U7128" s="38" t="str">
        <f>HYPERLINK("https://www.ncbi.nlm.nih.gov/pubmed/19764895","PubMed")</f>
        <v>PubMed</v>
      </c>
      <c r="V7128" s="50"/>
      <c r="W7128" s="49"/>
      <c r="X7128" s="49"/>
      <c r="Y7128" s="35"/>
      <c r="Z7128" s="35"/>
      <c r="AA7128" s="35"/>
      <c r="AB7128" s="35"/>
      <c r="AC7128" s="35"/>
      <c r="AD7128" s="35"/>
      <c r="AE7128" s="35"/>
      <c r="AF7128" s="35"/>
      <c r="AG7128" s="35"/>
      <c r="AH7128" s="35"/>
      <c r="AI7128" s="35"/>
      <c r="AJ7128" s="35"/>
      <c r="AK7128" s="35"/>
      <c r="AL7128" s="35"/>
    </row>
    <row r="7129">
      <c r="A7129" s="1"/>
      <c r="B7129" s="19" t="s">
        <v>10634</v>
      </c>
      <c r="C7129" s="76" t="s">
        <v>33015</v>
      </c>
      <c r="D7129" s="47"/>
      <c r="E7129" s="22" t="s">
        <v>20288</v>
      </c>
      <c r="F7129" s="22" t="s">
        <v>9002</v>
      </c>
      <c r="G7129" s="23">
        <v>2010.0</v>
      </c>
      <c r="H7129" s="22" t="s">
        <v>658</v>
      </c>
      <c r="I7129" s="24" t="s">
        <v>33080</v>
      </c>
      <c r="J7129" s="22" t="s">
        <v>55</v>
      </c>
      <c r="K7129" s="22" t="s">
        <v>294</v>
      </c>
      <c r="L7129" s="36" t="s">
        <v>9939</v>
      </c>
      <c r="M7129" s="36"/>
      <c r="N7129" s="36"/>
      <c r="O7129" s="36"/>
      <c r="P7129" s="37" t="s">
        <v>2659</v>
      </c>
      <c r="Q7129" s="36"/>
      <c r="R7129" s="36"/>
      <c r="S7129" s="36"/>
      <c r="T7129" s="28" t="s">
        <v>33081</v>
      </c>
      <c r="U7129" s="38" t="str">
        <f>HYPERLINK("https://www.ncbi.nlm.nih.gov/pubmed/19877823","PubMed")</f>
        <v>PubMed</v>
      </c>
      <c r="V7129" s="50"/>
      <c r="W7129" s="49"/>
      <c r="X7129" s="49"/>
      <c r="Y7129" s="35"/>
      <c r="Z7129" s="35"/>
      <c r="AA7129" s="35"/>
      <c r="AB7129" s="35"/>
      <c r="AC7129" s="35"/>
      <c r="AD7129" s="35"/>
      <c r="AE7129" s="35"/>
      <c r="AF7129" s="35"/>
      <c r="AG7129" s="35"/>
      <c r="AH7129" s="35"/>
      <c r="AI7129" s="35"/>
      <c r="AJ7129" s="35"/>
      <c r="AK7129" s="35"/>
      <c r="AL7129" s="35"/>
    </row>
    <row r="7130">
      <c r="A7130" s="1"/>
      <c r="B7130" s="19" t="s">
        <v>10634</v>
      </c>
      <c r="C7130" s="76" t="s">
        <v>33015</v>
      </c>
      <c r="D7130" s="47"/>
      <c r="E7130" s="22" t="s">
        <v>450</v>
      </c>
      <c r="F7130" s="22" t="s">
        <v>183</v>
      </c>
      <c r="G7130" s="23">
        <v>2010.0</v>
      </c>
      <c r="H7130" s="22" t="s">
        <v>658</v>
      </c>
      <c r="I7130" s="24" t="s">
        <v>33082</v>
      </c>
      <c r="J7130" s="22" t="s">
        <v>55</v>
      </c>
      <c r="K7130" s="22" t="s">
        <v>33083</v>
      </c>
      <c r="L7130" s="36" t="s">
        <v>33084</v>
      </c>
      <c r="M7130" s="36"/>
      <c r="N7130" s="36"/>
      <c r="O7130" s="36"/>
      <c r="P7130" s="37" t="s">
        <v>33085</v>
      </c>
      <c r="Q7130" s="36"/>
      <c r="R7130" s="36"/>
      <c r="S7130" s="36"/>
      <c r="T7130" s="42" t="s">
        <v>33086</v>
      </c>
      <c r="U7130" s="38" t="str">
        <f>HYPERLINK("https://www.ncbi.nlm.nih.gov/pubmed/19831497","PubMed")</f>
        <v>PubMed</v>
      </c>
      <c r="V7130" s="50"/>
      <c r="W7130" s="49"/>
      <c r="X7130" s="49"/>
      <c r="Y7130" s="35"/>
      <c r="Z7130" s="35"/>
      <c r="AA7130" s="35"/>
      <c r="AB7130" s="35"/>
      <c r="AC7130" s="35"/>
      <c r="AD7130" s="35"/>
      <c r="AE7130" s="35"/>
      <c r="AF7130" s="35"/>
      <c r="AG7130" s="35"/>
      <c r="AH7130" s="35"/>
      <c r="AI7130" s="35"/>
      <c r="AJ7130" s="35"/>
      <c r="AK7130" s="35"/>
      <c r="AL7130" s="35"/>
    </row>
    <row r="7131">
      <c r="A7131" s="1"/>
      <c r="B7131" s="19" t="s">
        <v>10634</v>
      </c>
      <c r="C7131" s="76" t="s">
        <v>33015</v>
      </c>
      <c r="D7131" s="47"/>
      <c r="E7131" s="22" t="s">
        <v>2011</v>
      </c>
      <c r="F7131" s="22" t="s">
        <v>274</v>
      </c>
      <c r="G7131" s="23">
        <v>2009.0</v>
      </c>
      <c r="H7131" s="22" t="s">
        <v>91</v>
      </c>
      <c r="I7131" s="24" t="s">
        <v>33087</v>
      </c>
      <c r="J7131" s="22" t="s">
        <v>55</v>
      </c>
      <c r="K7131" s="22" t="s">
        <v>1112</v>
      </c>
      <c r="L7131" s="36">
        <v>670.0</v>
      </c>
      <c r="M7131" s="36"/>
      <c r="N7131" s="36"/>
      <c r="O7131" s="36"/>
      <c r="P7131" s="37" t="s">
        <v>33088</v>
      </c>
      <c r="Q7131" s="36"/>
      <c r="R7131" s="36"/>
      <c r="S7131" s="36"/>
      <c r="T7131" s="28" t="s">
        <v>33089</v>
      </c>
      <c r="U7131" s="38" t="str">
        <f>HYPERLINK("https://www.ncbi.nlm.nih.gov/pubmed/18351431","PubMed")</f>
        <v>PubMed</v>
      </c>
      <c r="V7131" s="50"/>
      <c r="W7131" s="49"/>
      <c r="X7131" s="49"/>
      <c r="Y7131" s="35"/>
      <c r="Z7131" s="35"/>
      <c r="AA7131" s="35"/>
      <c r="AB7131" s="35"/>
      <c r="AC7131" s="35"/>
      <c r="AD7131" s="35"/>
      <c r="AE7131" s="35"/>
      <c r="AF7131" s="35"/>
      <c r="AG7131" s="35"/>
      <c r="AH7131" s="35"/>
      <c r="AI7131" s="35"/>
      <c r="AJ7131" s="35"/>
      <c r="AK7131" s="35"/>
      <c r="AL7131" s="35"/>
    </row>
    <row r="7132">
      <c r="A7132" s="1"/>
      <c r="B7132" s="19" t="s">
        <v>10634</v>
      </c>
      <c r="C7132" s="76" t="s">
        <v>33015</v>
      </c>
      <c r="D7132" s="47"/>
      <c r="E7132" s="22" t="s">
        <v>20288</v>
      </c>
      <c r="F7132" s="22" t="s">
        <v>41</v>
      </c>
      <c r="G7132" s="23">
        <v>2009.0</v>
      </c>
      <c r="H7132" s="22" t="s">
        <v>658</v>
      </c>
      <c r="I7132" s="24" t="s">
        <v>33090</v>
      </c>
      <c r="J7132" s="22" t="s">
        <v>55</v>
      </c>
      <c r="K7132" s="22"/>
      <c r="L7132" s="36">
        <v>830.0</v>
      </c>
      <c r="M7132" s="36">
        <v>30.0</v>
      </c>
      <c r="N7132" s="36"/>
      <c r="O7132" s="36"/>
      <c r="P7132" s="37" t="s">
        <v>2659</v>
      </c>
      <c r="Q7132" s="36" t="s">
        <v>14936</v>
      </c>
      <c r="R7132" s="36"/>
      <c r="S7132" s="36"/>
      <c r="T7132" s="28" t="s">
        <v>33091</v>
      </c>
      <c r="U7132" s="38" t="str">
        <f>HYPERLINK("https://www.ncbi.nlm.nih.gov/pubmed/19025409","PubMed")</f>
        <v>PubMed</v>
      </c>
      <c r="V7132" s="50"/>
      <c r="W7132" s="49"/>
      <c r="X7132" s="49"/>
      <c r="Y7132" s="35"/>
      <c r="Z7132" s="35"/>
      <c r="AA7132" s="35"/>
      <c r="AB7132" s="35"/>
      <c r="AC7132" s="35"/>
      <c r="AD7132" s="35"/>
      <c r="AE7132" s="35"/>
      <c r="AF7132" s="35"/>
      <c r="AG7132" s="35"/>
      <c r="AH7132" s="35"/>
      <c r="AI7132" s="35"/>
      <c r="AJ7132" s="35"/>
      <c r="AK7132" s="35"/>
      <c r="AL7132" s="35"/>
    </row>
    <row r="7133">
      <c r="A7133" s="1"/>
      <c r="B7133" s="19" t="s">
        <v>10634</v>
      </c>
      <c r="C7133" s="76" t="s">
        <v>33015</v>
      </c>
      <c r="D7133" s="47"/>
      <c r="E7133" s="22" t="s">
        <v>31160</v>
      </c>
      <c r="F7133" s="22" t="s">
        <v>274</v>
      </c>
      <c r="G7133" s="23">
        <v>2009.0</v>
      </c>
      <c r="H7133" s="22" t="s">
        <v>658</v>
      </c>
      <c r="I7133" s="24" t="s">
        <v>33092</v>
      </c>
      <c r="J7133" s="22" t="s">
        <v>55</v>
      </c>
      <c r="K7133" s="22" t="s">
        <v>294</v>
      </c>
      <c r="L7133" s="36" t="s">
        <v>1804</v>
      </c>
      <c r="M7133" s="36"/>
      <c r="N7133" s="36"/>
      <c r="O7133" s="36"/>
      <c r="P7133" s="37" t="s">
        <v>33058</v>
      </c>
      <c r="Q7133" s="36"/>
      <c r="R7133" s="36"/>
      <c r="S7133" s="36"/>
      <c r="T7133" s="41" t="s">
        <v>33093</v>
      </c>
      <c r="U7133" s="38" t="str">
        <f>HYPERLINK("https://www.ncbi.nlm.nih.gov/pubmed/19803711","PubMed")</f>
        <v>PubMed</v>
      </c>
      <c r="V7133" s="50"/>
      <c r="W7133" s="49"/>
      <c r="X7133" s="49"/>
      <c r="Y7133" s="35"/>
      <c r="Z7133" s="35"/>
      <c r="AA7133" s="35"/>
      <c r="AB7133" s="35"/>
      <c r="AC7133" s="35"/>
      <c r="AD7133" s="35"/>
      <c r="AE7133" s="35"/>
      <c r="AF7133" s="35"/>
      <c r="AG7133" s="35"/>
      <c r="AH7133" s="35"/>
      <c r="AI7133" s="35"/>
      <c r="AJ7133" s="35"/>
      <c r="AK7133" s="35"/>
      <c r="AL7133" s="35"/>
    </row>
    <row r="7134">
      <c r="A7134" s="1"/>
      <c r="B7134" s="19" t="s">
        <v>10634</v>
      </c>
      <c r="C7134" s="76" t="s">
        <v>33015</v>
      </c>
      <c r="D7134" s="47"/>
      <c r="E7134" s="22" t="s">
        <v>33094</v>
      </c>
      <c r="F7134" s="22" t="s">
        <v>1603</v>
      </c>
      <c r="G7134" s="23">
        <v>2007.0</v>
      </c>
      <c r="H7134" s="22" t="s">
        <v>33095</v>
      </c>
      <c r="I7134" s="24" t="s">
        <v>33096</v>
      </c>
      <c r="J7134" s="22" t="s">
        <v>55</v>
      </c>
      <c r="K7134" s="22" t="s">
        <v>33097</v>
      </c>
      <c r="L7134" s="36" t="s">
        <v>33098</v>
      </c>
      <c r="M7134" s="36"/>
      <c r="N7134" s="36"/>
      <c r="O7134" s="36"/>
      <c r="P7134" s="37"/>
      <c r="Q7134" s="36"/>
      <c r="R7134" s="36"/>
      <c r="S7134" s="36"/>
      <c r="T7134" s="28" t="s">
        <v>33099</v>
      </c>
      <c r="U7134" s="29" t="s">
        <v>61</v>
      </c>
      <c r="V7134" s="50"/>
      <c r="W7134" s="49"/>
      <c r="X7134" s="49"/>
      <c r="Y7134" s="35"/>
      <c r="Z7134" s="35"/>
      <c r="AA7134" s="35"/>
      <c r="AB7134" s="35"/>
      <c r="AC7134" s="35"/>
      <c r="AD7134" s="35"/>
      <c r="AE7134" s="35"/>
      <c r="AF7134" s="35"/>
      <c r="AG7134" s="35"/>
      <c r="AH7134" s="35"/>
      <c r="AI7134" s="35"/>
      <c r="AJ7134" s="35"/>
      <c r="AK7134" s="35"/>
      <c r="AL7134" s="35"/>
    </row>
    <row r="7135">
      <c r="A7135" s="1"/>
      <c r="B7135" s="19" t="s">
        <v>10634</v>
      </c>
      <c r="C7135" s="76" t="s">
        <v>33015</v>
      </c>
      <c r="D7135" s="47"/>
      <c r="E7135" s="22" t="s">
        <v>20288</v>
      </c>
      <c r="F7135" s="22" t="s">
        <v>41</v>
      </c>
      <c r="G7135" s="23">
        <v>2006.0</v>
      </c>
      <c r="H7135" s="22" t="s">
        <v>309</v>
      </c>
      <c r="I7135" s="24" t="s">
        <v>33100</v>
      </c>
      <c r="J7135" s="22" t="s">
        <v>55</v>
      </c>
      <c r="K7135" s="22"/>
      <c r="L7135" s="36">
        <v>830.0</v>
      </c>
      <c r="M7135" s="36"/>
      <c r="N7135" s="36"/>
      <c r="O7135" s="36"/>
      <c r="P7135" s="37" t="s">
        <v>2659</v>
      </c>
      <c r="Q7135" s="36"/>
      <c r="R7135" s="36">
        <v>72.0</v>
      </c>
      <c r="S7135" s="36">
        <v>5.0</v>
      </c>
      <c r="T7135" s="28" t="s">
        <v>33101</v>
      </c>
      <c r="U7135" s="38" t="str">
        <f>HYPERLINK("https://www.ncbi.nlm.nih.gov/pubmed/16862348","PubMed")</f>
        <v>PubMed</v>
      </c>
      <c r="V7135" s="50"/>
      <c r="W7135" s="49"/>
      <c r="X7135" s="49"/>
      <c r="Y7135" s="35"/>
      <c r="Z7135" s="35"/>
      <c r="AA7135" s="35"/>
      <c r="AB7135" s="35"/>
      <c r="AC7135" s="35"/>
      <c r="AD7135" s="35"/>
      <c r="AE7135" s="35"/>
      <c r="AF7135" s="35"/>
      <c r="AG7135" s="35"/>
      <c r="AH7135" s="35"/>
      <c r="AI7135" s="35"/>
      <c r="AJ7135" s="35"/>
      <c r="AK7135" s="35"/>
      <c r="AL7135" s="35"/>
    </row>
    <row r="7136">
      <c r="A7136" s="1"/>
      <c r="B7136" s="19" t="s">
        <v>10634</v>
      </c>
      <c r="C7136" s="76" t="s">
        <v>33015</v>
      </c>
      <c r="D7136" s="47"/>
      <c r="E7136" s="22" t="s">
        <v>33102</v>
      </c>
      <c r="F7136" s="22" t="s">
        <v>41</v>
      </c>
      <c r="G7136" s="23">
        <v>2005.0</v>
      </c>
      <c r="H7136" s="22" t="s">
        <v>53</v>
      </c>
      <c r="I7136" s="24" t="s">
        <v>33103</v>
      </c>
      <c r="J7136" s="22" t="s">
        <v>55</v>
      </c>
      <c r="K7136" s="22"/>
      <c r="L7136" s="36">
        <v>633.0</v>
      </c>
      <c r="M7136" s="36"/>
      <c r="N7136" s="36"/>
      <c r="O7136" s="36"/>
      <c r="P7136" s="37" t="s">
        <v>969</v>
      </c>
      <c r="Q7136" s="36"/>
      <c r="R7136" s="36"/>
      <c r="S7136" s="36">
        <v>5.0</v>
      </c>
      <c r="T7136" s="28" t="s">
        <v>33104</v>
      </c>
      <c r="U7136" s="38" t="str">
        <f>HYPERLINK("https://www.ncbi.nlm.nih.gov/pubmed/15954113","PubMed")</f>
        <v>PubMed</v>
      </c>
      <c r="V7136" s="50"/>
      <c r="W7136" s="49"/>
      <c r="X7136" s="49"/>
      <c r="Y7136" s="35"/>
      <c r="Z7136" s="35"/>
      <c r="AA7136" s="35"/>
      <c r="AB7136" s="35"/>
      <c r="AC7136" s="35"/>
      <c r="AD7136" s="35"/>
      <c r="AE7136" s="35"/>
      <c r="AF7136" s="35"/>
      <c r="AG7136" s="35"/>
      <c r="AH7136" s="35"/>
      <c r="AI7136" s="35"/>
      <c r="AJ7136" s="35"/>
      <c r="AK7136" s="35"/>
      <c r="AL7136" s="35"/>
    </row>
    <row r="7137">
      <c r="A7137" s="146" t="s">
        <v>38</v>
      </c>
      <c r="B7137" s="19" t="s">
        <v>10634</v>
      </c>
      <c r="C7137" s="76" t="s">
        <v>33015</v>
      </c>
      <c r="D7137" s="47"/>
      <c r="E7137" s="22" t="s">
        <v>33105</v>
      </c>
      <c r="F7137" s="22" t="s">
        <v>33106</v>
      </c>
      <c r="G7137" s="23">
        <v>2002.0</v>
      </c>
      <c r="H7137" s="22" t="s">
        <v>91</v>
      </c>
      <c r="I7137" s="24" t="s">
        <v>33107</v>
      </c>
      <c r="J7137" s="22" t="s">
        <v>55</v>
      </c>
      <c r="K7137" s="22"/>
      <c r="L7137" s="36">
        <v>830.0</v>
      </c>
      <c r="M7137" s="36"/>
      <c r="N7137" s="129">
        <v>42873.0</v>
      </c>
      <c r="O7137" s="36"/>
      <c r="P7137" s="37" t="s">
        <v>33108</v>
      </c>
      <c r="Q7137" s="36"/>
      <c r="R7137" s="36"/>
      <c r="S7137" s="36"/>
      <c r="T7137" s="28" t="s">
        <v>33109</v>
      </c>
      <c r="U7137" s="38" t="str">
        <f>HYPERLINK("https://www.ncbi.nlm.nih.gov/pubmed/12181629","PubMed")</f>
        <v>PubMed</v>
      </c>
      <c r="V7137" s="50"/>
      <c r="W7137" s="34"/>
      <c r="X7137" s="49"/>
      <c r="Y7137" s="35"/>
      <c r="Z7137" s="35"/>
      <c r="AA7137" s="35"/>
      <c r="AB7137" s="35"/>
      <c r="AC7137" s="35"/>
      <c r="AD7137" s="35"/>
      <c r="AE7137" s="35"/>
      <c r="AF7137" s="35"/>
      <c r="AG7137" s="35"/>
      <c r="AH7137" s="35"/>
      <c r="AI7137" s="35"/>
      <c r="AJ7137" s="35"/>
      <c r="AK7137" s="35"/>
      <c r="AL7137" s="35"/>
    </row>
    <row r="7138">
      <c r="A7138" s="1"/>
      <c r="B7138" s="19" t="s">
        <v>10634</v>
      </c>
      <c r="C7138" s="76" t="s">
        <v>33015</v>
      </c>
      <c r="D7138" s="47"/>
      <c r="E7138" s="22" t="s">
        <v>33110</v>
      </c>
      <c r="F7138" s="22" t="s">
        <v>30680</v>
      </c>
      <c r="G7138" s="23">
        <v>2000.0</v>
      </c>
      <c r="H7138" s="22" t="s">
        <v>33111</v>
      </c>
      <c r="I7138" s="24" t="s">
        <v>33112</v>
      </c>
      <c r="J7138" s="22" t="s">
        <v>55</v>
      </c>
      <c r="K7138" s="22"/>
      <c r="L7138" s="36">
        <v>633.0</v>
      </c>
      <c r="M7138" s="36"/>
      <c r="N7138" s="36"/>
      <c r="O7138" s="36"/>
      <c r="P7138" s="37" t="s">
        <v>33113</v>
      </c>
      <c r="Q7138" s="36"/>
      <c r="R7138" s="36"/>
      <c r="S7138" s="36"/>
      <c r="T7138" s="28" t="s">
        <v>33114</v>
      </c>
      <c r="U7138" s="38" t="str">
        <f>HYPERLINK("https://www.ncbi.nlm.nih.gov/pubmed/10657451","PubMed")</f>
        <v>PubMed</v>
      </c>
      <c r="V7138" s="50"/>
      <c r="W7138" s="130" t="str">
        <f>HYPERLINK("https://www.ncbi.nlm.nih.gov/pubmed/10927694","Comment")</f>
        <v>Comment</v>
      </c>
      <c r="X7138" s="49"/>
      <c r="Y7138" s="35"/>
      <c r="Z7138" s="35"/>
      <c r="AA7138" s="35"/>
      <c r="AB7138" s="35"/>
      <c r="AC7138" s="35"/>
      <c r="AD7138" s="35"/>
      <c r="AE7138" s="35"/>
      <c r="AF7138" s="35"/>
      <c r="AG7138" s="35"/>
      <c r="AH7138" s="35"/>
      <c r="AI7138" s="35"/>
      <c r="AJ7138" s="35"/>
      <c r="AK7138" s="35"/>
      <c r="AL7138" s="35"/>
    </row>
    <row r="7139">
      <c r="A7139" s="146" t="s">
        <v>38</v>
      </c>
      <c r="B7139" s="19" t="s">
        <v>10634</v>
      </c>
      <c r="C7139" s="76" t="s">
        <v>33015</v>
      </c>
      <c r="D7139" s="47"/>
      <c r="E7139" s="22" t="s">
        <v>33115</v>
      </c>
      <c r="F7139" s="22" t="s">
        <v>1398</v>
      </c>
      <c r="G7139" s="23">
        <v>1996.0</v>
      </c>
      <c r="H7139" s="22" t="s">
        <v>292</v>
      </c>
      <c r="I7139" s="24" t="s">
        <v>33116</v>
      </c>
      <c r="J7139" s="22" t="s">
        <v>55</v>
      </c>
      <c r="K7139" s="22"/>
      <c r="L7139" s="36">
        <v>830.0</v>
      </c>
      <c r="M7139" s="36">
        <v>60.0</v>
      </c>
      <c r="N7139" s="36"/>
      <c r="O7139" s="36"/>
      <c r="P7139" s="37" t="s">
        <v>2659</v>
      </c>
      <c r="Q7139" s="36"/>
      <c r="R7139" s="36"/>
      <c r="S7139" s="36"/>
      <c r="T7139" s="28" t="s">
        <v>33117</v>
      </c>
      <c r="U7139" s="38" t="str">
        <f>HYPERLINK("https://www.jstage.jst.go.jp/article/islsm/8/4/8_4_241/_article/-char/en","J-STAGE")</f>
        <v>J-STAGE</v>
      </c>
      <c r="V7139" s="50"/>
      <c r="W7139" s="49"/>
      <c r="X7139" s="49"/>
      <c r="Y7139" s="35"/>
      <c r="Z7139" s="35"/>
      <c r="AA7139" s="35"/>
      <c r="AB7139" s="35"/>
      <c r="AC7139" s="35"/>
      <c r="AD7139" s="35"/>
      <c r="AE7139" s="35"/>
      <c r="AF7139" s="35"/>
      <c r="AG7139" s="35"/>
      <c r="AH7139" s="35"/>
      <c r="AI7139" s="35"/>
      <c r="AJ7139" s="35"/>
      <c r="AK7139" s="35"/>
      <c r="AL7139" s="35"/>
    </row>
    <row r="7140">
      <c r="A7140" s="1"/>
      <c r="B7140" s="19" t="s">
        <v>10634</v>
      </c>
      <c r="C7140" s="76" t="s">
        <v>33015</v>
      </c>
      <c r="D7140" s="47"/>
      <c r="E7140" s="22" t="s">
        <v>33118</v>
      </c>
      <c r="F7140" s="22" t="s">
        <v>33119</v>
      </c>
      <c r="G7140" s="23">
        <v>1992.0</v>
      </c>
      <c r="H7140" s="22" t="s">
        <v>129</v>
      </c>
      <c r="I7140" s="24" t="s">
        <v>33120</v>
      </c>
      <c r="J7140" s="22" t="s">
        <v>33121</v>
      </c>
      <c r="K7140" s="22"/>
      <c r="L7140" s="36"/>
      <c r="M7140" s="36"/>
      <c r="N7140" s="36"/>
      <c r="O7140" s="36"/>
      <c r="P7140" s="37"/>
      <c r="Q7140" s="36"/>
      <c r="R7140" s="36"/>
      <c r="S7140" s="36"/>
      <c r="T7140" s="28" t="s">
        <v>33122</v>
      </c>
      <c r="U7140" s="38" t="str">
        <f>HYPERLINK("https://www.ncbi.nlm.nih.gov/pubmed/1732900","PubMed")</f>
        <v>PubMed</v>
      </c>
      <c r="V7140" s="50"/>
      <c r="W7140" s="49"/>
      <c r="X7140" s="49"/>
      <c r="Y7140" s="35"/>
      <c r="Z7140" s="35"/>
      <c r="AA7140" s="35"/>
      <c r="AB7140" s="35"/>
      <c r="AC7140" s="35"/>
      <c r="AD7140" s="35"/>
      <c r="AE7140" s="35"/>
      <c r="AF7140" s="35"/>
      <c r="AG7140" s="35"/>
      <c r="AH7140" s="35"/>
      <c r="AI7140" s="35"/>
      <c r="AJ7140" s="35"/>
      <c r="AK7140" s="35"/>
      <c r="AL7140" s="35"/>
    </row>
    <row r="7141">
      <c r="A7141" s="1"/>
      <c r="B7141" s="19" t="s">
        <v>10634</v>
      </c>
      <c r="C7141" s="76" t="s">
        <v>33015</v>
      </c>
      <c r="D7141" s="47"/>
      <c r="E7141" s="22" t="s">
        <v>33123</v>
      </c>
      <c r="F7141" s="22" t="s">
        <v>1416</v>
      </c>
      <c r="G7141" s="23">
        <v>1985.0</v>
      </c>
      <c r="H7141" s="22" t="s">
        <v>31760</v>
      </c>
      <c r="I7141" s="24" t="s">
        <v>33124</v>
      </c>
      <c r="J7141" s="22" t="s">
        <v>55</v>
      </c>
      <c r="K7141" s="22"/>
      <c r="L7141" s="36">
        <v>830.0</v>
      </c>
      <c r="M7141" s="36">
        <v>15.0</v>
      </c>
      <c r="N7141" s="36"/>
      <c r="O7141" s="36"/>
      <c r="P7141" s="37"/>
      <c r="Q7141" s="36"/>
      <c r="R7141" s="36">
        <v>300.0</v>
      </c>
      <c r="S7141" s="36">
        <v>5.0</v>
      </c>
      <c r="T7141" s="28" t="s">
        <v>33125</v>
      </c>
      <c r="U7141" s="38" t="str">
        <f>HYPERLINK("https://www.ncbi.nlm.nih.gov/pubmed/3994272","PubMed")</f>
        <v>PubMed</v>
      </c>
      <c r="V7141" s="50"/>
      <c r="W7141" s="49"/>
      <c r="X7141" s="49"/>
      <c r="Y7141" s="35"/>
      <c r="Z7141" s="35"/>
      <c r="AA7141" s="35"/>
      <c r="AB7141" s="35"/>
      <c r="AC7141" s="35"/>
      <c r="AD7141" s="35"/>
      <c r="AE7141" s="35"/>
      <c r="AF7141" s="35"/>
      <c r="AG7141" s="35"/>
      <c r="AH7141" s="35"/>
      <c r="AI7141" s="35"/>
      <c r="AJ7141" s="35"/>
      <c r="AK7141" s="35"/>
      <c r="AL7141" s="35"/>
    </row>
    <row r="7142">
      <c r="A7142" s="146"/>
      <c r="B7142" s="157" t="s">
        <v>10634</v>
      </c>
      <c r="C7142" s="158" t="s">
        <v>33126</v>
      </c>
      <c r="D7142" s="159"/>
      <c r="E7142" s="57" t="s">
        <v>21882</v>
      </c>
      <c r="F7142" s="22" t="s">
        <v>358</v>
      </c>
      <c r="G7142" s="57" t="s">
        <v>90</v>
      </c>
      <c r="H7142" s="57" t="s">
        <v>91</v>
      </c>
      <c r="I7142" s="134" t="s">
        <v>33127</v>
      </c>
      <c r="J7142" s="23" t="s">
        <v>55</v>
      </c>
      <c r="K7142" s="23" t="s">
        <v>33128</v>
      </c>
      <c r="L7142" s="36">
        <v>660.0</v>
      </c>
      <c r="M7142" s="36">
        <v>30.0</v>
      </c>
      <c r="N7142" s="36" t="s">
        <v>6258</v>
      </c>
      <c r="O7142" s="36" t="s">
        <v>33129</v>
      </c>
      <c r="P7142" s="37" t="s">
        <v>33130</v>
      </c>
      <c r="Q7142" s="36" t="s">
        <v>280</v>
      </c>
      <c r="R7142" s="36" t="s">
        <v>33131</v>
      </c>
      <c r="S7142" s="36">
        <v>3.0</v>
      </c>
      <c r="T7142" s="83" t="s">
        <v>33132</v>
      </c>
      <c r="U7142" s="248" t="str">
        <f>HYPERLINK("https://www.ncbi.nlm.nih.gov/pubmed/28155011","PubMed")</f>
        <v>PubMed</v>
      </c>
      <c r="V7142" s="139"/>
      <c r="W7142" s="49"/>
      <c r="X7142" s="49"/>
      <c r="Y7142" s="35"/>
      <c r="Z7142" s="35"/>
      <c r="AA7142" s="35"/>
      <c r="AB7142" s="35"/>
      <c r="AC7142" s="35"/>
      <c r="AD7142" s="35"/>
      <c r="AE7142" s="35"/>
      <c r="AF7142" s="35"/>
      <c r="AG7142" s="35"/>
      <c r="AH7142" s="35"/>
      <c r="AI7142" s="35"/>
      <c r="AJ7142" s="35"/>
      <c r="AK7142" s="35"/>
      <c r="AL7142" s="35"/>
    </row>
    <row r="7143">
      <c r="A7143" s="146" t="s">
        <v>38</v>
      </c>
      <c r="B7143" s="157" t="s">
        <v>10634</v>
      </c>
      <c r="C7143" s="158" t="s">
        <v>33126</v>
      </c>
      <c r="D7143" s="159"/>
      <c r="E7143" s="57" t="s">
        <v>17412</v>
      </c>
      <c r="F7143" s="22" t="s">
        <v>358</v>
      </c>
      <c r="G7143" s="57" t="s">
        <v>11799</v>
      </c>
      <c r="H7143" s="57" t="s">
        <v>91</v>
      </c>
      <c r="I7143" s="134" t="s">
        <v>33133</v>
      </c>
      <c r="J7143" s="23" t="s">
        <v>55</v>
      </c>
      <c r="K7143" s="23"/>
      <c r="L7143" s="36" t="s">
        <v>943</v>
      </c>
      <c r="M7143" s="36">
        <v>60.0</v>
      </c>
      <c r="N7143" s="36"/>
      <c r="O7143" s="129">
        <v>42616.0</v>
      </c>
      <c r="P7143" s="37" t="s">
        <v>21983</v>
      </c>
      <c r="Q7143" s="36" t="s">
        <v>280</v>
      </c>
      <c r="R7143" s="36">
        <v>65.0</v>
      </c>
      <c r="S7143" s="36"/>
      <c r="T7143" s="83" t="s">
        <v>33134</v>
      </c>
      <c r="U7143" s="248" t="str">
        <f>HYPERLINK("https://www.ncbi.nlm.nih.gov/pubmed/27913969","PubMed")</f>
        <v>PubMed</v>
      </c>
      <c r="V7143" s="139"/>
      <c r="W7143" s="49"/>
      <c r="X7143" s="49"/>
      <c r="Y7143" s="35"/>
      <c r="Z7143" s="35"/>
      <c r="AA7143" s="35"/>
      <c r="AB7143" s="35"/>
      <c r="AC7143" s="35"/>
      <c r="AD7143" s="35"/>
      <c r="AE7143" s="35"/>
      <c r="AF7143" s="35"/>
      <c r="AG7143" s="35"/>
      <c r="AH7143" s="35"/>
      <c r="AI7143" s="35"/>
      <c r="AJ7143" s="35"/>
      <c r="AK7143" s="35"/>
      <c r="AL7143" s="35"/>
    </row>
    <row r="7144">
      <c r="A7144" s="146"/>
      <c r="B7144" s="157" t="s">
        <v>10634</v>
      </c>
      <c r="C7144" s="158" t="s">
        <v>33126</v>
      </c>
      <c r="D7144" s="159"/>
      <c r="E7144" s="57" t="s">
        <v>33102</v>
      </c>
      <c r="F7144" s="22" t="s">
        <v>530</v>
      </c>
      <c r="G7144" s="57">
        <v>2013.0</v>
      </c>
      <c r="H7144" s="57" t="s">
        <v>91</v>
      </c>
      <c r="I7144" s="134" t="s">
        <v>33135</v>
      </c>
      <c r="J7144" s="23" t="s">
        <v>55</v>
      </c>
      <c r="K7144" s="23" t="s">
        <v>1112</v>
      </c>
      <c r="L7144" s="36">
        <v>670.0</v>
      </c>
      <c r="M7144" s="36">
        <v>30.0</v>
      </c>
      <c r="N7144" s="36"/>
      <c r="O7144" s="129"/>
      <c r="P7144" s="37"/>
      <c r="Q7144" s="36" t="s">
        <v>14936</v>
      </c>
      <c r="R7144" s="36"/>
      <c r="S7144" s="36"/>
      <c r="T7144" s="83" t="s">
        <v>33136</v>
      </c>
      <c r="U7144" s="248" t="str">
        <f>HYPERLINK("https://www.ncbi.nlm.nih.gov/pubmed/22722809","PubMed")</f>
        <v>PubMed</v>
      </c>
      <c r="V7144" s="139"/>
      <c r="W7144" s="49"/>
      <c r="X7144" s="49"/>
      <c r="Y7144" s="35"/>
      <c r="Z7144" s="35"/>
      <c r="AA7144" s="35"/>
      <c r="AB7144" s="35"/>
      <c r="AC7144" s="35"/>
      <c r="AD7144" s="35"/>
      <c r="AE7144" s="35"/>
      <c r="AF7144" s="35"/>
      <c r="AG7144" s="35"/>
      <c r="AH7144" s="35"/>
      <c r="AI7144" s="35"/>
      <c r="AJ7144" s="35"/>
      <c r="AK7144" s="35"/>
      <c r="AL7144" s="35"/>
    </row>
    <row r="7145">
      <c r="A7145" s="146"/>
      <c r="B7145" s="157" t="s">
        <v>10634</v>
      </c>
      <c r="C7145" s="158" t="s">
        <v>33126</v>
      </c>
      <c r="D7145" s="159"/>
      <c r="E7145" s="57" t="s">
        <v>33102</v>
      </c>
      <c r="F7145" s="22" t="s">
        <v>41</v>
      </c>
      <c r="G7145" s="57">
        <v>2009.0</v>
      </c>
      <c r="H7145" s="57" t="s">
        <v>658</v>
      </c>
      <c r="I7145" s="134" t="s">
        <v>33137</v>
      </c>
      <c r="J7145" s="23" t="s">
        <v>55</v>
      </c>
      <c r="K7145" s="23"/>
      <c r="L7145" s="36">
        <v>670.0</v>
      </c>
      <c r="M7145" s="36"/>
      <c r="N7145" s="36"/>
      <c r="O7145" s="129"/>
      <c r="P7145" s="37"/>
      <c r="Q7145" s="36"/>
      <c r="R7145" s="36"/>
      <c r="S7145" s="36"/>
      <c r="T7145" s="83" t="s">
        <v>33138</v>
      </c>
      <c r="U7145" s="248" t="str">
        <f>HYPERLINK("https://www.ncbi.nlm.nih.gov/pubmed/18785847","PubMed")</f>
        <v>PubMed</v>
      </c>
      <c r="V7145" s="139"/>
      <c r="W7145" s="49"/>
      <c r="X7145" s="49"/>
      <c r="Y7145" s="35"/>
      <c r="Z7145" s="35"/>
      <c r="AA7145" s="35"/>
      <c r="AB7145" s="35"/>
      <c r="AC7145" s="35"/>
      <c r="AD7145" s="35"/>
      <c r="AE7145" s="35"/>
      <c r="AF7145" s="35"/>
      <c r="AG7145" s="35"/>
      <c r="AH7145" s="35"/>
      <c r="AI7145" s="35"/>
      <c r="AJ7145" s="35"/>
      <c r="AK7145" s="35"/>
      <c r="AL7145" s="35"/>
    </row>
    <row r="7146">
      <c r="A7146" s="146"/>
      <c r="B7146" s="157" t="s">
        <v>10634</v>
      </c>
      <c r="C7146" s="158" t="s">
        <v>33139</v>
      </c>
      <c r="D7146" s="159"/>
      <c r="E7146" s="57" t="s">
        <v>33140</v>
      </c>
      <c r="F7146" s="22" t="s">
        <v>323</v>
      </c>
      <c r="G7146" s="57">
        <v>2020.0</v>
      </c>
      <c r="H7146" s="57" t="s">
        <v>6902</v>
      </c>
      <c r="I7146" s="134" t="s">
        <v>33141</v>
      </c>
      <c r="J7146" s="22" t="s">
        <v>33142</v>
      </c>
      <c r="K7146" s="23"/>
      <c r="L7146" s="36" t="s">
        <v>33143</v>
      </c>
      <c r="M7146" s="36"/>
      <c r="N7146" s="36"/>
      <c r="O7146" s="129"/>
      <c r="P7146" s="37"/>
      <c r="Q7146" s="36"/>
      <c r="R7146" s="36" t="s">
        <v>33144</v>
      </c>
      <c r="S7146" s="36">
        <v>1.0</v>
      </c>
      <c r="T7146" s="84" t="s">
        <v>33145</v>
      </c>
      <c r="U7146" s="248" t="s">
        <v>61</v>
      </c>
      <c r="V7146" s="136" t="s">
        <v>33146</v>
      </c>
      <c r="W7146" s="49"/>
      <c r="X7146" s="49"/>
      <c r="Y7146" s="35"/>
      <c r="Z7146" s="35"/>
      <c r="AA7146" s="35"/>
      <c r="AB7146" s="35"/>
      <c r="AC7146" s="35"/>
      <c r="AD7146" s="35"/>
      <c r="AE7146" s="35"/>
      <c r="AF7146" s="35"/>
      <c r="AG7146" s="35"/>
      <c r="AH7146" s="35"/>
      <c r="AI7146" s="35"/>
      <c r="AJ7146" s="35"/>
      <c r="AK7146" s="35"/>
      <c r="AL7146" s="35"/>
    </row>
    <row r="7147">
      <c r="A7147" s="146"/>
      <c r="B7147" s="157" t="s">
        <v>33147</v>
      </c>
      <c r="C7147" s="158" t="s">
        <v>33148</v>
      </c>
      <c r="D7147" s="159"/>
      <c r="E7147" s="57" t="s">
        <v>2482</v>
      </c>
      <c r="F7147" s="22" t="s">
        <v>1386</v>
      </c>
      <c r="G7147" s="57">
        <v>2022.0</v>
      </c>
      <c r="H7147" s="57" t="s">
        <v>77</v>
      </c>
      <c r="I7147" s="134" t="s">
        <v>33149</v>
      </c>
      <c r="J7147" s="22" t="s">
        <v>202</v>
      </c>
      <c r="K7147" s="23"/>
      <c r="L7147" s="43"/>
      <c r="M7147" s="44"/>
      <c r="N7147" s="44"/>
      <c r="O7147" s="44"/>
      <c r="P7147" s="44"/>
      <c r="Q7147" s="44"/>
      <c r="R7147" s="44"/>
      <c r="S7147" s="44"/>
      <c r="T7147" s="45"/>
      <c r="U7147" s="248" t="s">
        <v>61</v>
      </c>
      <c r="V7147" s="136"/>
      <c r="W7147" s="49"/>
      <c r="X7147" s="49"/>
      <c r="Y7147" s="35"/>
      <c r="Z7147" s="35"/>
      <c r="AA7147" s="35"/>
      <c r="AB7147" s="35"/>
      <c r="AC7147" s="35"/>
      <c r="AD7147" s="35"/>
      <c r="AE7147" s="35"/>
      <c r="AF7147" s="35"/>
      <c r="AG7147" s="35"/>
      <c r="AH7147" s="35"/>
      <c r="AI7147" s="35"/>
      <c r="AJ7147" s="35"/>
      <c r="AK7147" s="35"/>
      <c r="AL7147" s="35"/>
    </row>
    <row r="7148">
      <c r="A7148" s="146"/>
      <c r="B7148" s="157" t="s">
        <v>33147</v>
      </c>
      <c r="C7148" s="158" t="s">
        <v>33148</v>
      </c>
      <c r="D7148" s="159"/>
      <c r="E7148" s="57" t="s">
        <v>33150</v>
      </c>
      <c r="F7148" s="22" t="s">
        <v>2407</v>
      </c>
      <c r="G7148" s="57">
        <v>2021.0</v>
      </c>
      <c r="H7148" s="57" t="s">
        <v>2139</v>
      </c>
      <c r="I7148" s="134" t="s">
        <v>33151</v>
      </c>
      <c r="J7148" s="22" t="s">
        <v>33152</v>
      </c>
      <c r="K7148" s="23" t="s">
        <v>157</v>
      </c>
      <c r="L7148" s="36" t="s">
        <v>33153</v>
      </c>
      <c r="M7148" s="36"/>
      <c r="N7148" s="36"/>
      <c r="O7148" s="129"/>
      <c r="P7148" s="37"/>
      <c r="Q7148" s="36"/>
      <c r="R7148" s="36"/>
      <c r="S7148" s="36" t="s">
        <v>33154</v>
      </c>
      <c r="T7148" s="84" t="s">
        <v>33155</v>
      </c>
      <c r="U7148" s="248" t="s">
        <v>61</v>
      </c>
      <c r="V7148" s="136" t="s">
        <v>33156</v>
      </c>
      <c r="W7148" s="49"/>
      <c r="X7148" s="49"/>
      <c r="Y7148" s="35"/>
      <c r="Z7148" s="35"/>
      <c r="AA7148" s="35"/>
      <c r="AB7148" s="35"/>
      <c r="AC7148" s="35"/>
      <c r="AD7148" s="35"/>
      <c r="AE7148" s="35"/>
      <c r="AF7148" s="35"/>
      <c r="AG7148" s="35"/>
      <c r="AH7148" s="35"/>
      <c r="AI7148" s="35"/>
      <c r="AJ7148" s="35"/>
      <c r="AK7148" s="35"/>
      <c r="AL7148" s="35"/>
    </row>
    <row r="7149">
      <c r="A7149" s="146"/>
      <c r="B7149" s="157" t="s">
        <v>33147</v>
      </c>
      <c r="C7149" s="158" t="s">
        <v>33148</v>
      </c>
      <c r="D7149" s="159"/>
      <c r="E7149" s="57" t="s">
        <v>2491</v>
      </c>
      <c r="F7149" s="22" t="s">
        <v>2492</v>
      </c>
      <c r="G7149" s="57" t="s">
        <v>76</v>
      </c>
      <c r="H7149" s="57" t="s">
        <v>33157</v>
      </c>
      <c r="I7149" s="134" t="s">
        <v>33158</v>
      </c>
      <c r="J7149" s="22" t="s">
        <v>33159</v>
      </c>
      <c r="K7149" s="23" t="s">
        <v>157</v>
      </c>
      <c r="L7149" s="36">
        <v>810.0</v>
      </c>
      <c r="M7149" s="36"/>
      <c r="N7149" s="36" t="s">
        <v>33160</v>
      </c>
      <c r="O7149" s="129"/>
      <c r="P7149" s="37"/>
      <c r="Q7149" s="36"/>
      <c r="R7149" s="36"/>
      <c r="S7149" s="36"/>
      <c r="T7149" s="83" t="s">
        <v>33161</v>
      </c>
      <c r="U7149" s="248" t="s">
        <v>61</v>
      </c>
      <c r="V7149" s="136" t="s">
        <v>33162</v>
      </c>
      <c r="W7149" s="49"/>
      <c r="X7149" s="49"/>
      <c r="Y7149" s="35"/>
      <c r="Z7149" s="35"/>
      <c r="AA7149" s="35"/>
      <c r="AB7149" s="35"/>
      <c r="AC7149" s="35"/>
      <c r="AD7149" s="35"/>
      <c r="AE7149" s="35"/>
      <c r="AF7149" s="35"/>
      <c r="AG7149" s="35"/>
      <c r="AH7149" s="35"/>
      <c r="AI7149" s="35"/>
      <c r="AJ7149" s="35"/>
      <c r="AK7149" s="35"/>
      <c r="AL7149" s="35"/>
    </row>
    <row r="7150">
      <c r="A7150" s="146"/>
      <c r="B7150" s="19" t="s">
        <v>2158</v>
      </c>
      <c r="C7150" s="158" t="s">
        <v>2073</v>
      </c>
      <c r="D7150" s="159"/>
      <c r="E7150" s="57" t="s">
        <v>33163</v>
      </c>
      <c r="F7150" s="22" t="s">
        <v>1862</v>
      </c>
      <c r="G7150" s="57">
        <v>2019.0</v>
      </c>
      <c r="H7150" s="57" t="s">
        <v>2225</v>
      </c>
      <c r="I7150" s="134" t="s">
        <v>33164</v>
      </c>
      <c r="J7150" s="23" t="s">
        <v>2882</v>
      </c>
      <c r="K7150" s="23"/>
      <c r="L7150" s="43"/>
      <c r="M7150" s="44"/>
      <c r="N7150" s="44"/>
      <c r="O7150" s="44"/>
      <c r="P7150" s="44"/>
      <c r="Q7150" s="44"/>
      <c r="R7150" s="44"/>
      <c r="S7150" s="44"/>
      <c r="T7150" s="45"/>
      <c r="U7150" s="312" t="str">
        <f>HYPERLINK("https://www.ncbi.nlm.nih.gov/pubmed/31397343","PubMed")</f>
        <v>PubMed</v>
      </c>
      <c r="V7150" s="139"/>
      <c r="W7150" s="49"/>
      <c r="X7150" s="49"/>
      <c r="Y7150" s="35"/>
      <c r="Z7150" s="35"/>
      <c r="AA7150" s="35"/>
      <c r="AB7150" s="35"/>
      <c r="AC7150" s="35"/>
      <c r="AD7150" s="35"/>
      <c r="AE7150" s="35"/>
      <c r="AF7150" s="35"/>
      <c r="AG7150" s="35"/>
      <c r="AH7150" s="35"/>
      <c r="AI7150" s="35"/>
      <c r="AJ7150" s="35"/>
      <c r="AK7150" s="35"/>
      <c r="AL7150" s="35"/>
    </row>
    <row r="7151">
      <c r="A7151" s="146"/>
      <c r="B7151" s="19" t="s">
        <v>2158</v>
      </c>
      <c r="C7151" s="158" t="s">
        <v>33165</v>
      </c>
      <c r="D7151" s="159"/>
      <c r="E7151" s="57" t="s">
        <v>17234</v>
      </c>
      <c r="F7151" s="22" t="s">
        <v>291</v>
      </c>
      <c r="G7151" s="57">
        <v>2019.0</v>
      </c>
      <c r="H7151" s="57" t="s">
        <v>77</v>
      </c>
      <c r="I7151" s="134" t="s">
        <v>33166</v>
      </c>
      <c r="J7151" s="23" t="s">
        <v>3289</v>
      </c>
      <c r="K7151" s="23"/>
      <c r="L7151" s="43" t="s">
        <v>33167</v>
      </c>
      <c r="M7151" s="44"/>
      <c r="N7151" s="44"/>
      <c r="O7151" s="44"/>
      <c r="P7151" s="44"/>
      <c r="Q7151" s="44"/>
      <c r="R7151" s="44"/>
      <c r="S7151" s="44"/>
      <c r="T7151" s="45"/>
      <c r="U7151" s="312" t="str">
        <f>HYPERLINK("https://www.ncbi.nlm.nih.gov/pubmed/31050935","PubMed")</f>
        <v>PubMed</v>
      </c>
      <c r="V7151" s="139"/>
      <c r="W7151" s="49"/>
      <c r="X7151" s="49"/>
      <c r="Y7151" s="35"/>
      <c r="Z7151" s="35"/>
      <c r="AA7151" s="35"/>
      <c r="AB7151" s="35"/>
      <c r="AC7151" s="35"/>
      <c r="AD7151" s="35"/>
      <c r="AE7151" s="35"/>
      <c r="AF7151" s="35"/>
      <c r="AG7151" s="35"/>
      <c r="AH7151" s="35"/>
      <c r="AI7151" s="35"/>
      <c r="AJ7151" s="35"/>
      <c r="AK7151" s="35"/>
      <c r="AL7151" s="35"/>
    </row>
    <row r="7152">
      <c r="A7152" s="146"/>
      <c r="B7152" s="19" t="s">
        <v>2158</v>
      </c>
      <c r="C7152" s="158" t="s">
        <v>9300</v>
      </c>
      <c r="D7152" s="159"/>
      <c r="E7152" s="57" t="s">
        <v>20602</v>
      </c>
      <c r="F7152" s="22" t="s">
        <v>274</v>
      </c>
      <c r="G7152" s="57">
        <v>2021.0</v>
      </c>
      <c r="H7152" s="57" t="s">
        <v>383</v>
      </c>
      <c r="I7152" s="134" t="s">
        <v>33168</v>
      </c>
      <c r="J7152" s="23" t="s">
        <v>33169</v>
      </c>
      <c r="K7152" s="23" t="s">
        <v>33170</v>
      </c>
      <c r="L7152" s="94">
        <v>660.0</v>
      </c>
      <c r="M7152" s="94">
        <v>100.0</v>
      </c>
      <c r="N7152" s="94"/>
      <c r="O7152" s="94"/>
      <c r="P7152" s="94"/>
      <c r="Q7152" s="94"/>
      <c r="R7152" s="94">
        <v>1800.0</v>
      </c>
      <c r="S7152" s="94"/>
      <c r="T7152" s="137" t="s">
        <v>33171</v>
      </c>
      <c r="U7152" s="248" t="s">
        <v>8353</v>
      </c>
      <c r="V7152" s="139"/>
      <c r="W7152" s="49"/>
      <c r="X7152" s="49"/>
      <c r="Y7152" s="35"/>
      <c r="Z7152" s="35"/>
      <c r="AA7152" s="35"/>
      <c r="AB7152" s="35"/>
      <c r="AC7152" s="35"/>
      <c r="AD7152" s="35"/>
      <c r="AE7152" s="35"/>
      <c r="AF7152" s="35"/>
      <c r="AG7152" s="35"/>
      <c r="AH7152" s="35"/>
      <c r="AI7152" s="35"/>
      <c r="AJ7152" s="35"/>
      <c r="AK7152" s="35"/>
      <c r="AL7152" s="35"/>
    </row>
    <row r="7153">
      <c r="A7153" s="146"/>
      <c r="B7153" s="19" t="s">
        <v>2158</v>
      </c>
      <c r="C7153" s="158" t="s">
        <v>33172</v>
      </c>
      <c r="D7153" s="159"/>
      <c r="E7153" s="57" t="s">
        <v>33173</v>
      </c>
      <c r="F7153" s="22" t="s">
        <v>33174</v>
      </c>
      <c r="G7153" s="57">
        <v>2022.0</v>
      </c>
      <c r="H7153" s="57" t="s">
        <v>584</v>
      </c>
      <c r="I7153" s="134" t="s">
        <v>33175</v>
      </c>
      <c r="J7153" s="23" t="s">
        <v>33176</v>
      </c>
      <c r="K7153" s="23"/>
      <c r="L7153" s="94">
        <v>633.0</v>
      </c>
      <c r="M7153" s="94"/>
      <c r="N7153" s="94"/>
      <c r="O7153" s="94"/>
      <c r="P7153" s="94" t="s">
        <v>5658</v>
      </c>
      <c r="Q7153" s="94"/>
      <c r="R7153" s="94"/>
      <c r="S7153" s="94"/>
      <c r="T7153" s="137" t="s">
        <v>33177</v>
      </c>
      <c r="U7153" s="248" t="s">
        <v>61</v>
      </c>
      <c r="V7153" s="139"/>
      <c r="W7153" s="49"/>
      <c r="X7153" s="49"/>
      <c r="Y7153" s="35"/>
      <c r="Z7153" s="35"/>
      <c r="AA7153" s="35"/>
      <c r="AB7153" s="35"/>
      <c r="AC7153" s="35"/>
      <c r="AD7153" s="35"/>
      <c r="AE7153" s="35"/>
      <c r="AF7153" s="35"/>
      <c r="AG7153" s="35"/>
      <c r="AH7153" s="35"/>
      <c r="AI7153" s="35"/>
      <c r="AJ7153" s="35"/>
      <c r="AK7153" s="35"/>
      <c r="AL7153" s="35"/>
    </row>
    <row r="7154">
      <c r="A7154" s="40" t="s">
        <v>2</v>
      </c>
      <c r="B7154" s="19" t="s">
        <v>2158</v>
      </c>
      <c r="C7154" s="20"/>
      <c r="D7154" s="47"/>
      <c r="E7154" s="22" t="s">
        <v>17016</v>
      </c>
      <c r="F7154" s="22"/>
      <c r="G7154" s="23">
        <v>2023.0</v>
      </c>
      <c r="H7154" s="22" t="s">
        <v>91</v>
      </c>
      <c r="I7154" s="24" t="s">
        <v>33178</v>
      </c>
      <c r="J7154" s="22" t="s">
        <v>666</v>
      </c>
      <c r="K7154" s="22"/>
      <c r="L7154" s="171" t="s">
        <v>33179</v>
      </c>
      <c r="M7154" s="44"/>
      <c r="N7154" s="44"/>
      <c r="O7154" s="44"/>
      <c r="P7154" s="44"/>
      <c r="Q7154" s="44"/>
      <c r="R7154" s="44"/>
      <c r="S7154" s="44"/>
      <c r="T7154" s="45"/>
      <c r="U7154" s="38" t="s">
        <v>61</v>
      </c>
      <c r="V7154" s="50"/>
      <c r="W7154" s="49"/>
      <c r="X7154" s="49"/>
      <c r="Y7154" s="35"/>
      <c r="Z7154" s="35"/>
      <c r="AA7154" s="35"/>
      <c r="AB7154" s="35"/>
      <c r="AC7154" s="35"/>
      <c r="AD7154" s="35"/>
      <c r="AE7154" s="35"/>
      <c r="AF7154" s="35"/>
      <c r="AG7154" s="35"/>
      <c r="AH7154" s="35"/>
      <c r="AI7154" s="35"/>
      <c r="AJ7154" s="35"/>
      <c r="AK7154" s="35"/>
      <c r="AL7154" s="35"/>
    </row>
    <row r="7155">
      <c r="A7155" s="1"/>
      <c r="B7155" s="19" t="s">
        <v>2158</v>
      </c>
      <c r="C7155" s="20"/>
      <c r="D7155" s="47"/>
      <c r="E7155" s="22" t="s">
        <v>3991</v>
      </c>
      <c r="F7155" s="22" t="s">
        <v>2698</v>
      </c>
      <c r="G7155" s="23">
        <v>2015.0</v>
      </c>
      <c r="H7155" s="22" t="s">
        <v>2225</v>
      </c>
      <c r="I7155" s="24" t="s">
        <v>33180</v>
      </c>
      <c r="J7155" s="22" t="s">
        <v>2882</v>
      </c>
      <c r="K7155" s="22" t="s">
        <v>33181</v>
      </c>
      <c r="L7155" s="171" t="s">
        <v>33182</v>
      </c>
      <c r="M7155" s="44"/>
      <c r="N7155" s="44"/>
      <c r="O7155" s="44"/>
      <c r="P7155" s="44"/>
      <c r="Q7155" s="44"/>
      <c r="R7155" s="44"/>
      <c r="S7155" s="44"/>
      <c r="T7155" s="45"/>
      <c r="U7155" s="38" t="str">
        <f>HYPERLINK("https://www.ncbi.nlm.nih.gov/pubmed/25878572","PubMed")</f>
        <v>PubMed</v>
      </c>
      <c r="V7155" s="50"/>
      <c r="W7155" s="49"/>
      <c r="X7155" s="49"/>
      <c r="Y7155" s="35"/>
      <c r="Z7155" s="35"/>
      <c r="AA7155" s="35"/>
      <c r="AB7155" s="35"/>
      <c r="AC7155" s="35"/>
      <c r="AD7155" s="35"/>
      <c r="AE7155" s="35"/>
      <c r="AF7155" s="35"/>
      <c r="AG7155" s="35"/>
      <c r="AH7155" s="35"/>
      <c r="AI7155" s="35"/>
      <c r="AJ7155" s="35"/>
      <c r="AK7155" s="35"/>
      <c r="AL7155" s="35"/>
    </row>
    <row r="7156">
      <c r="A7156" s="1"/>
      <c r="B7156" s="19" t="s">
        <v>2158</v>
      </c>
      <c r="C7156" s="20"/>
      <c r="D7156" s="47"/>
      <c r="E7156" s="22" t="s">
        <v>14885</v>
      </c>
      <c r="F7156" s="22" t="s">
        <v>183</v>
      </c>
      <c r="G7156" s="23">
        <v>2014.0</v>
      </c>
      <c r="H7156" s="22" t="s">
        <v>91</v>
      </c>
      <c r="I7156" s="24" t="s">
        <v>33183</v>
      </c>
      <c r="J7156" s="22" t="s">
        <v>55</v>
      </c>
      <c r="K7156" s="22" t="s">
        <v>33184</v>
      </c>
      <c r="L7156" s="36">
        <v>670.0</v>
      </c>
      <c r="M7156" s="36">
        <v>9.0</v>
      </c>
      <c r="N7156" s="36" t="s">
        <v>16655</v>
      </c>
      <c r="O7156" s="36"/>
      <c r="P7156" s="37"/>
      <c r="Q7156" s="36" t="s">
        <v>280</v>
      </c>
      <c r="R7156" s="36"/>
      <c r="S7156" s="36"/>
      <c r="T7156" s="28" t="s">
        <v>33185</v>
      </c>
      <c r="U7156" s="38" t="str">
        <f>HYPERLINK("https://www.ncbi.nlm.nih.gov/pubmed/23873594","PubMed")</f>
        <v>PubMed</v>
      </c>
      <c r="V7156" s="30"/>
      <c r="W7156" s="49"/>
      <c r="X7156" s="49"/>
      <c r="Y7156" s="35"/>
      <c r="Z7156" s="35"/>
      <c r="AA7156" s="35"/>
      <c r="AB7156" s="35"/>
      <c r="AC7156" s="35"/>
      <c r="AD7156" s="35"/>
      <c r="AE7156" s="35"/>
      <c r="AF7156" s="35"/>
      <c r="AG7156" s="35"/>
      <c r="AH7156" s="35"/>
      <c r="AI7156" s="35"/>
      <c r="AJ7156" s="35"/>
      <c r="AK7156" s="35"/>
      <c r="AL7156" s="35"/>
    </row>
    <row r="7157">
      <c r="A7157" s="1"/>
      <c r="B7157" s="75" t="s">
        <v>33186</v>
      </c>
      <c r="C7157" s="77" t="s">
        <v>29785</v>
      </c>
      <c r="D7157" s="47"/>
      <c r="E7157" s="22" t="s">
        <v>33187</v>
      </c>
      <c r="F7157" s="22" t="s">
        <v>6233</v>
      </c>
      <c r="G7157" s="23">
        <v>2024.0</v>
      </c>
      <c r="H7157" s="22" t="s">
        <v>2375</v>
      </c>
      <c r="I7157" s="24" t="s">
        <v>33188</v>
      </c>
      <c r="J7157" s="22" t="s">
        <v>33189</v>
      </c>
      <c r="K7157" s="22"/>
      <c r="L7157" s="36">
        <v>820.0</v>
      </c>
      <c r="M7157" s="36"/>
      <c r="N7157" s="36"/>
      <c r="O7157" s="36">
        <v>8.0</v>
      </c>
      <c r="P7157" s="37"/>
      <c r="Q7157" s="36" t="s">
        <v>33190</v>
      </c>
      <c r="R7157" s="36">
        <v>120.0</v>
      </c>
      <c r="S7157" s="36" t="s">
        <v>33191</v>
      </c>
      <c r="T7157" s="41" t="s">
        <v>33192</v>
      </c>
      <c r="U7157" s="38" t="s">
        <v>61</v>
      </c>
      <c r="V7157" s="30"/>
      <c r="W7157" s="49"/>
      <c r="X7157" s="49"/>
      <c r="Y7157" s="35"/>
      <c r="Z7157" s="35"/>
      <c r="AA7157" s="35"/>
      <c r="AB7157" s="35"/>
      <c r="AC7157" s="35"/>
      <c r="AD7157" s="35"/>
      <c r="AE7157" s="35"/>
      <c r="AF7157" s="35"/>
      <c r="AG7157" s="35"/>
      <c r="AH7157" s="35"/>
      <c r="AI7157" s="35"/>
      <c r="AJ7157" s="35"/>
      <c r="AK7157" s="35"/>
      <c r="AL7157" s="35"/>
    </row>
    <row r="7158">
      <c r="A7158" s="1"/>
      <c r="B7158" s="75" t="s">
        <v>33186</v>
      </c>
      <c r="C7158" s="77" t="s">
        <v>29785</v>
      </c>
      <c r="D7158" s="47"/>
      <c r="E7158" s="22" t="s">
        <v>33193</v>
      </c>
      <c r="F7158" s="22" t="s">
        <v>2962</v>
      </c>
      <c r="G7158" s="23">
        <v>2022.0</v>
      </c>
      <c r="H7158" s="22" t="s">
        <v>33194</v>
      </c>
      <c r="I7158" s="24" t="s">
        <v>33195</v>
      </c>
      <c r="J7158" s="22" t="s">
        <v>4847</v>
      </c>
      <c r="K7158" s="22"/>
      <c r="L7158" s="168"/>
      <c r="M7158" s="168"/>
      <c r="N7158" s="168"/>
      <c r="O7158" s="168"/>
      <c r="P7158" s="169"/>
      <c r="Q7158" s="168"/>
      <c r="R7158" s="168"/>
      <c r="S7158" s="168"/>
      <c r="T7158" s="185"/>
      <c r="U7158" s="38" t="s">
        <v>61</v>
      </c>
      <c r="V7158" s="30"/>
      <c r="W7158" s="49"/>
      <c r="X7158" s="49"/>
      <c r="Y7158" s="35"/>
      <c r="Z7158" s="35"/>
      <c r="AA7158" s="35"/>
      <c r="AB7158" s="35"/>
      <c r="AC7158" s="35"/>
      <c r="AD7158" s="35"/>
      <c r="AE7158" s="35"/>
      <c r="AF7158" s="35"/>
      <c r="AG7158" s="35"/>
      <c r="AH7158" s="35"/>
      <c r="AI7158" s="35"/>
      <c r="AJ7158" s="35"/>
      <c r="AK7158" s="35"/>
      <c r="AL7158" s="35"/>
    </row>
    <row r="7159">
      <c r="A7159" s="1"/>
      <c r="B7159" s="75" t="s">
        <v>33186</v>
      </c>
      <c r="C7159" s="77" t="s">
        <v>29785</v>
      </c>
      <c r="D7159" s="47"/>
      <c r="E7159" s="22" t="s">
        <v>388</v>
      </c>
      <c r="F7159" s="22" t="s">
        <v>41</v>
      </c>
      <c r="G7159" s="23">
        <v>2022.0</v>
      </c>
      <c r="H7159" s="22" t="s">
        <v>33196</v>
      </c>
      <c r="I7159" s="24" t="s">
        <v>33197</v>
      </c>
      <c r="J7159" s="22" t="s">
        <v>33198</v>
      </c>
      <c r="K7159" s="22"/>
      <c r="L7159" s="36" t="s">
        <v>33199</v>
      </c>
      <c r="M7159" s="36"/>
      <c r="N7159" s="36"/>
      <c r="O7159" s="36">
        <v>168.0</v>
      </c>
      <c r="P7159" s="37"/>
      <c r="Q7159" s="36"/>
      <c r="R7159" s="36">
        <v>270.0</v>
      </c>
      <c r="S7159" s="36" t="s">
        <v>8494</v>
      </c>
      <c r="T7159" s="42" t="s">
        <v>33200</v>
      </c>
      <c r="U7159" s="38" t="s">
        <v>61</v>
      </c>
      <c r="V7159" s="30"/>
      <c r="W7159" s="49"/>
      <c r="X7159" s="49"/>
      <c r="Y7159" s="35"/>
      <c r="Z7159" s="35"/>
      <c r="AA7159" s="35"/>
      <c r="AB7159" s="35"/>
      <c r="AC7159" s="35"/>
      <c r="AD7159" s="35"/>
      <c r="AE7159" s="35"/>
      <c r="AF7159" s="35"/>
      <c r="AG7159" s="35"/>
      <c r="AH7159" s="35"/>
      <c r="AI7159" s="35"/>
      <c r="AJ7159" s="35"/>
      <c r="AK7159" s="35"/>
      <c r="AL7159" s="35"/>
    </row>
    <row r="7160">
      <c r="A7160" s="40" t="s">
        <v>33201</v>
      </c>
      <c r="B7160" s="75" t="s">
        <v>33186</v>
      </c>
      <c r="C7160" s="76" t="s">
        <v>33202</v>
      </c>
      <c r="D7160" s="47"/>
      <c r="E7160" s="22" t="s">
        <v>88</v>
      </c>
      <c r="F7160" s="22" t="s">
        <v>1034</v>
      </c>
      <c r="G7160" s="23">
        <v>2022.0</v>
      </c>
      <c r="H7160" s="22" t="s">
        <v>309</v>
      </c>
      <c r="I7160" s="24" t="s">
        <v>33203</v>
      </c>
      <c r="J7160" s="22" t="s">
        <v>44</v>
      </c>
      <c r="K7160" s="22" t="s">
        <v>33204</v>
      </c>
      <c r="L7160" s="36" t="s">
        <v>33205</v>
      </c>
      <c r="M7160" s="36" t="s">
        <v>33206</v>
      </c>
      <c r="N7160" s="36"/>
      <c r="O7160" s="36">
        <v>3.0</v>
      </c>
      <c r="P7160" s="37" t="s">
        <v>33207</v>
      </c>
      <c r="Q7160" s="36" t="s">
        <v>17520</v>
      </c>
      <c r="R7160" s="36" t="s">
        <v>33208</v>
      </c>
      <c r="S7160" s="36"/>
      <c r="T7160" s="42" t="s">
        <v>33209</v>
      </c>
      <c r="U7160" s="29" t="s">
        <v>61</v>
      </c>
      <c r="V7160" s="30"/>
      <c r="W7160" s="49"/>
      <c r="X7160" s="49"/>
      <c r="Y7160" s="35"/>
      <c r="Z7160" s="35"/>
      <c r="AA7160" s="35"/>
      <c r="AB7160" s="35"/>
      <c r="AC7160" s="35"/>
      <c r="AD7160" s="35"/>
      <c r="AE7160" s="35"/>
      <c r="AF7160" s="35"/>
      <c r="AG7160" s="35"/>
      <c r="AH7160" s="35"/>
      <c r="AI7160" s="35"/>
      <c r="AJ7160" s="35"/>
      <c r="AK7160" s="35"/>
      <c r="AL7160" s="35"/>
    </row>
    <row r="7161">
      <c r="A7161" s="1"/>
      <c r="B7161" s="75" t="s">
        <v>33186</v>
      </c>
      <c r="C7161" s="77" t="s">
        <v>29785</v>
      </c>
      <c r="D7161" s="47"/>
      <c r="E7161" s="22" t="s">
        <v>33210</v>
      </c>
      <c r="F7161" s="22" t="s">
        <v>33211</v>
      </c>
      <c r="G7161" s="23">
        <v>2021.0</v>
      </c>
      <c r="H7161" s="22" t="s">
        <v>91</v>
      </c>
      <c r="I7161" s="24" t="s">
        <v>33212</v>
      </c>
      <c r="J7161" s="22" t="s">
        <v>55</v>
      </c>
      <c r="K7161" s="22"/>
      <c r="L7161" s="36">
        <v>660.0</v>
      </c>
      <c r="M7161" s="36">
        <v>40.0</v>
      </c>
      <c r="N7161" s="36"/>
      <c r="O7161" s="36" t="s">
        <v>33213</v>
      </c>
      <c r="P7161" s="37"/>
      <c r="Q7161" s="36"/>
      <c r="R7161" s="36"/>
      <c r="S7161" s="36"/>
      <c r="T7161" s="28" t="s">
        <v>33214</v>
      </c>
      <c r="U7161" s="29" t="s">
        <v>61</v>
      </c>
      <c r="V7161" s="30"/>
      <c r="W7161" s="49"/>
      <c r="X7161" s="49"/>
      <c r="Y7161" s="35"/>
      <c r="Z7161" s="35"/>
      <c r="AA7161" s="35"/>
      <c r="AB7161" s="35"/>
      <c r="AC7161" s="35"/>
      <c r="AD7161" s="35"/>
      <c r="AE7161" s="35"/>
      <c r="AF7161" s="35"/>
      <c r="AG7161" s="35"/>
      <c r="AH7161" s="35"/>
      <c r="AI7161" s="35"/>
      <c r="AJ7161" s="35"/>
      <c r="AK7161" s="35"/>
      <c r="AL7161" s="35"/>
    </row>
    <row r="7162">
      <c r="A7162" s="1"/>
      <c r="B7162" s="19" t="s">
        <v>33186</v>
      </c>
      <c r="C7162" s="20" t="s">
        <v>29785</v>
      </c>
      <c r="D7162" s="47"/>
      <c r="E7162" s="22" t="s">
        <v>33215</v>
      </c>
      <c r="F7162" s="22" t="s">
        <v>41</v>
      </c>
      <c r="G7162" s="23">
        <v>2021.0</v>
      </c>
      <c r="H7162" s="22" t="s">
        <v>1253</v>
      </c>
      <c r="I7162" s="24" t="s">
        <v>33216</v>
      </c>
      <c r="J7162" s="22" t="s">
        <v>55</v>
      </c>
      <c r="K7162" s="22"/>
      <c r="L7162" s="36">
        <v>780.0</v>
      </c>
      <c r="M7162" s="36">
        <v>80.0</v>
      </c>
      <c r="N7162" s="36"/>
      <c r="O7162" s="36"/>
      <c r="P7162" s="37"/>
      <c r="Q7162" s="36"/>
      <c r="R7162" s="36"/>
      <c r="S7162" s="36" t="s">
        <v>33217</v>
      </c>
      <c r="T7162" s="28" t="s">
        <v>33218</v>
      </c>
      <c r="U7162" s="29" t="s">
        <v>61</v>
      </c>
      <c r="V7162" s="30"/>
      <c r="W7162" s="49"/>
      <c r="X7162" s="49"/>
      <c r="Y7162" s="35"/>
      <c r="Z7162" s="35"/>
      <c r="AA7162" s="35"/>
      <c r="AB7162" s="35"/>
      <c r="AC7162" s="35"/>
      <c r="AD7162" s="35"/>
      <c r="AE7162" s="35"/>
      <c r="AF7162" s="35"/>
      <c r="AG7162" s="35"/>
      <c r="AH7162" s="35"/>
      <c r="AI7162" s="35"/>
      <c r="AJ7162" s="35"/>
      <c r="AK7162" s="35"/>
      <c r="AL7162" s="35"/>
    </row>
    <row r="7163">
      <c r="A7163" s="1"/>
      <c r="B7163" s="19" t="s">
        <v>33186</v>
      </c>
      <c r="C7163" s="20" t="s">
        <v>29785</v>
      </c>
      <c r="D7163" s="47"/>
      <c r="E7163" s="22" t="s">
        <v>33219</v>
      </c>
      <c r="F7163" s="22" t="s">
        <v>33220</v>
      </c>
      <c r="G7163" s="23">
        <v>2020.0</v>
      </c>
      <c r="H7163" s="22" t="s">
        <v>91</v>
      </c>
      <c r="I7163" s="24" t="s">
        <v>33221</v>
      </c>
      <c r="J7163" s="22" t="s">
        <v>55</v>
      </c>
      <c r="K7163" s="22" t="s">
        <v>157</v>
      </c>
      <c r="L7163" s="36">
        <v>630.0</v>
      </c>
      <c r="M7163" s="36"/>
      <c r="N7163" s="36"/>
      <c r="O7163" s="36"/>
      <c r="P7163" s="37"/>
      <c r="Q7163" s="36"/>
      <c r="R7163" s="36"/>
      <c r="S7163" s="36"/>
      <c r="T7163" s="28" t="s">
        <v>33222</v>
      </c>
      <c r="U7163" s="29" t="s">
        <v>61</v>
      </c>
      <c r="V7163" s="30"/>
      <c r="W7163" s="49"/>
      <c r="X7163" s="49"/>
      <c r="Y7163" s="35"/>
      <c r="Z7163" s="35"/>
      <c r="AA7163" s="35"/>
      <c r="AB7163" s="35"/>
      <c r="AC7163" s="35"/>
      <c r="AD7163" s="35"/>
      <c r="AE7163" s="35"/>
      <c r="AF7163" s="35"/>
      <c r="AG7163" s="35"/>
      <c r="AH7163" s="35"/>
      <c r="AI7163" s="35"/>
      <c r="AJ7163" s="35"/>
      <c r="AK7163" s="35"/>
      <c r="AL7163" s="35"/>
    </row>
    <row r="7164">
      <c r="A7164" s="1"/>
      <c r="B7164" s="19" t="s">
        <v>33186</v>
      </c>
      <c r="C7164" s="20" t="s">
        <v>29785</v>
      </c>
      <c r="D7164" s="47"/>
      <c r="E7164" s="22" t="s">
        <v>825</v>
      </c>
      <c r="F7164" s="22" t="s">
        <v>24122</v>
      </c>
      <c r="G7164" s="23">
        <v>2020.0</v>
      </c>
      <c r="H7164" s="22" t="s">
        <v>309</v>
      </c>
      <c r="I7164" s="24" t="s">
        <v>33223</v>
      </c>
      <c r="J7164" s="22" t="s">
        <v>55</v>
      </c>
      <c r="K7164" s="22" t="s">
        <v>157</v>
      </c>
      <c r="L7164" s="36">
        <v>660.0</v>
      </c>
      <c r="M7164" s="36"/>
      <c r="N7164" s="36"/>
      <c r="O7164" s="36"/>
      <c r="P7164" s="37"/>
      <c r="Q7164" s="36"/>
      <c r="R7164" s="36"/>
      <c r="S7164" s="36"/>
      <c r="T7164" s="42" t="s">
        <v>33224</v>
      </c>
      <c r="U7164" s="29" t="s">
        <v>61</v>
      </c>
      <c r="V7164" s="30"/>
      <c r="W7164" s="49"/>
      <c r="X7164" s="49"/>
      <c r="Y7164" s="35"/>
      <c r="Z7164" s="35"/>
      <c r="AA7164" s="35"/>
      <c r="AB7164" s="35"/>
      <c r="AC7164" s="35"/>
      <c r="AD7164" s="35"/>
      <c r="AE7164" s="35"/>
      <c r="AF7164" s="35"/>
      <c r="AG7164" s="35"/>
      <c r="AH7164" s="35"/>
      <c r="AI7164" s="35"/>
      <c r="AJ7164" s="35"/>
      <c r="AK7164" s="35"/>
      <c r="AL7164" s="35"/>
    </row>
    <row r="7165">
      <c r="A7165" s="1"/>
      <c r="B7165" s="19" t="s">
        <v>33186</v>
      </c>
      <c r="C7165" s="20" t="s">
        <v>29785</v>
      </c>
      <c r="D7165" s="47"/>
      <c r="E7165" s="22" t="s">
        <v>33225</v>
      </c>
      <c r="F7165" s="22" t="s">
        <v>400</v>
      </c>
      <c r="G7165" s="23">
        <v>2020.0</v>
      </c>
      <c r="H7165" s="22" t="s">
        <v>13257</v>
      </c>
      <c r="I7165" s="24" t="s">
        <v>33226</v>
      </c>
      <c r="J7165" s="22" t="s">
        <v>1078</v>
      </c>
      <c r="K7165" s="22"/>
      <c r="L7165" s="241" t="s">
        <v>33227</v>
      </c>
      <c r="M7165" s="44"/>
      <c r="N7165" s="44"/>
      <c r="O7165" s="44"/>
      <c r="P7165" s="44"/>
      <c r="Q7165" s="44"/>
      <c r="R7165" s="44"/>
      <c r="S7165" s="44"/>
      <c r="T7165" s="45"/>
      <c r="U7165" s="38" t="str">
        <f>HYPERLINK("https://www.ncbi.nlm.nih.gov/pubmed/32204620","PubMed")</f>
        <v>PubMed</v>
      </c>
      <c r="V7165" s="30"/>
      <c r="W7165" s="49"/>
      <c r="X7165" s="49"/>
      <c r="Y7165" s="35"/>
      <c r="Z7165" s="35"/>
      <c r="AA7165" s="35"/>
      <c r="AB7165" s="35"/>
      <c r="AC7165" s="35"/>
      <c r="AD7165" s="35"/>
      <c r="AE7165" s="35"/>
      <c r="AF7165" s="35"/>
      <c r="AG7165" s="35"/>
      <c r="AH7165" s="35"/>
      <c r="AI7165" s="35"/>
      <c r="AJ7165" s="35"/>
      <c r="AK7165" s="35"/>
      <c r="AL7165" s="35"/>
    </row>
    <row r="7166">
      <c r="A7166" s="1"/>
      <c r="B7166" s="19" t="s">
        <v>33186</v>
      </c>
      <c r="C7166" s="20" t="s">
        <v>29785</v>
      </c>
      <c r="D7166" s="47"/>
      <c r="E7166" s="22" t="s">
        <v>33228</v>
      </c>
      <c r="F7166" s="22" t="s">
        <v>24122</v>
      </c>
      <c r="G7166" s="23">
        <v>2020.0</v>
      </c>
      <c r="H7166" s="22" t="s">
        <v>4975</v>
      </c>
      <c r="I7166" s="24" t="s">
        <v>33229</v>
      </c>
      <c r="J7166" s="22" t="s">
        <v>666</v>
      </c>
      <c r="K7166" s="22"/>
      <c r="L7166" s="105" t="s">
        <v>33230</v>
      </c>
      <c r="M7166" s="44"/>
      <c r="N7166" s="44"/>
      <c r="O7166" s="44"/>
      <c r="P7166" s="44"/>
      <c r="Q7166" s="44"/>
      <c r="R7166" s="44"/>
      <c r="S7166" s="44"/>
      <c r="T7166" s="45"/>
      <c r="U7166" s="38" t="str">
        <f>HYPERLINK("https://www.ncbi.nlm.nih.gov/pubmed/32191817","PubMed")</f>
        <v>PubMed</v>
      </c>
      <c r="V7166" s="30"/>
      <c r="W7166" s="49"/>
      <c r="X7166" s="49"/>
      <c r="Y7166" s="35"/>
      <c r="Z7166" s="35"/>
      <c r="AA7166" s="35"/>
      <c r="AB7166" s="35"/>
      <c r="AC7166" s="35"/>
      <c r="AD7166" s="35"/>
      <c r="AE7166" s="35"/>
      <c r="AF7166" s="35"/>
      <c r="AG7166" s="35"/>
      <c r="AH7166" s="35"/>
      <c r="AI7166" s="35"/>
      <c r="AJ7166" s="35"/>
      <c r="AK7166" s="35"/>
      <c r="AL7166" s="35"/>
    </row>
    <row r="7167">
      <c r="A7167" s="1"/>
      <c r="B7167" s="19" t="s">
        <v>33186</v>
      </c>
      <c r="C7167" s="20" t="s">
        <v>29785</v>
      </c>
      <c r="D7167" s="47"/>
      <c r="E7167" s="22" t="s">
        <v>33231</v>
      </c>
      <c r="F7167" s="22" t="s">
        <v>33232</v>
      </c>
      <c r="G7167" s="23">
        <v>2019.0</v>
      </c>
      <c r="H7167" s="22" t="s">
        <v>33233</v>
      </c>
      <c r="I7167" s="24" t="s">
        <v>33234</v>
      </c>
      <c r="J7167" s="22" t="s">
        <v>44</v>
      </c>
      <c r="K7167" s="22"/>
      <c r="L7167" s="36" t="s">
        <v>33235</v>
      </c>
      <c r="M7167" s="36"/>
      <c r="N7167" s="36" t="s">
        <v>33236</v>
      </c>
      <c r="O7167" s="36"/>
      <c r="P7167" s="37"/>
      <c r="Q7167" s="36"/>
      <c r="R7167" s="36"/>
      <c r="S7167" s="36"/>
      <c r="T7167" s="42" t="s">
        <v>33237</v>
      </c>
      <c r="U7167" s="38" t="str">
        <f>HYPERLINK("https://www.ncbi.nlm.nih.gov/pubmed/31965620","PubMed")</f>
        <v>PubMed</v>
      </c>
      <c r="V7167" s="30"/>
      <c r="W7167" s="49"/>
      <c r="X7167" s="49"/>
      <c r="Y7167" s="35"/>
      <c r="Z7167" s="35"/>
      <c r="AA7167" s="35"/>
      <c r="AB7167" s="35"/>
      <c r="AC7167" s="35"/>
      <c r="AD7167" s="35"/>
      <c r="AE7167" s="35"/>
      <c r="AF7167" s="35"/>
      <c r="AG7167" s="35"/>
      <c r="AH7167" s="35"/>
      <c r="AI7167" s="35"/>
      <c r="AJ7167" s="35"/>
      <c r="AK7167" s="35"/>
      <c r="AL7167" s="35"/>
    </row>
    <row r="7168">
      <c r="A7168" s="1"/>
      <c r="B7168" s="19" t="s">
        <v>33186</v>
      </c>
      <c r="C7168" s="20" t="s">
        <v>29785</v>
      </c>
      <c r="D7168" s="47"/>
      <c r="E7168" s="22" t="s">
        <v>33238</v>
      </c>
      <c r="F7168" s="22" t="s">
        <v>33232</v>
      </c>
      <c r="G7168" s="23">
        <v>2019.0</v>
      </c>
      <c r="H7168" s="22" t="s">
        <v>33239</v>
      </c>
      <c r="I7168" s="24" t="s">
        <v>33240</v>
      </c>
      <c r="J7168" s="22" t="s">
        <v>33241</v>
      </c>
      <c r="K7168" s="22" t="s">
        <v>33242</v>
      </c>
      <c r="L7168" s="36" t="s">
        <v>2914</v>
      </c>
      <c r="M7168" s="36">
        <v>5.0</v>
      </c>
      <c r="N7168" s="36"/>
      <c r="O7168" s="36">
        <v>450.0</v>
      </c>
      <c r="P7168" s="37" t="s">
        <v>3213</v>
      </c>
      <c r="Q7168" s="36" t="s">
        <v>33243</v>
      </c>
      <c r="R7168" s="36">
        <v>90.0</v>
      </c>
      <c r="S7168" s="36"/>
      <c r="T7168" s="42" t="s">
        <v>33244</v>
      </c>
      <c r="U7168" s="38" t="str">
        <f>HYPERLINK("https://www.ncbi.nlm.nih.gov/pubmed/31742249","PubMed")</f>
        <v>PubMed</v>
      </c>
      <c r="V7168" s="30"/>
      <c r="W7168" s="49"/>
      <c r="X7168" s="49"/>
      <c r="Y7168" s="35"/>
      <c r="Z7168" s="35"/>
      <c r="AA7168" s="35"/>
      <c r="AB7168" s="35"/>
      <c r="AC7168" s="35"/>
      <c r="AD7168" s="35"/>
      <c r="AE7168" s="35"/>
      <c r="AF7168" s="35"/>
      <c r="AG7168" s="35"/>
      <c r="AH7168" s="35"/>
      <c r="AI7168" s="35"/>
      <c r="AJ7168" s="35"/>
      <c r="AK7168" s="35"/>
      <c r="AL7168" s="35"/>
    </row>
    <row r="7169">
      <c r="A7169" s="1"/>
      <c r="B7169" s="19" t="s">
        <v>33186</v>
      </c>
      <c r="C7169" s="20" t="s">
        <v>29785</v>
      </c>
      <c r="D7169" s="47"/>
      <c r="E7169" s="22" t="s">
        <v>33245</v>
      </c>
      <c r="F7169" s="22" t="s">
        <v>41</v>
      </c>
      <c r="G7169" s="23">
        <v>2019.0</v>
      </c>
      <c r="H7169" s="22" t="s">
        <v>77</v>
      </c>
      <c r="I7169" s="24" t="s">
        <v>33246</v>
      </c>
      <c r="J7169" s="22" t="s">
        <v>55</v>
      </c>
      <c r="K7169" s="22"/>
      <c r="L7169" s="36">
        <v>780.0</v>
      </c>
      <c r="M7169" s="36">
        <v>70.0</v>
      </c>
      <c r="N7169" s="36"/>
      <c r="O7169" s="36"/>
      <c r="P7169" s="37" t="s">
        <v>829</v>
      </c>
      <c r="Q7169" s="36"/>
      <c r="R7169" s="36" t="s">
        <v>33247</v>
      </c>
      <c r="S7169" s="36" t="s">
        <v>17038</v>
      </c>
      <c r="T7169" s="28" t="s">
        <v>33248</v>
      </c>
      <c r="U7169" s="38" t="str">
        <f>HYPERLINK("https://www.ncbi.nlm.nih.gov/pubmed/31184972","PubMed")</f>
        <v>PubMed</v>
      </c>
      <c r="V7169" s="30"/>
      <c r="W7169" s="49"/>
      <c r="X7169" s="49"/>
      <c r="Y7169" s="35"/>
      <c r="Z7169" s="35"/>
      <c r="AA7169" s="35"/>
      <c r="AB7169" s="35"/>
      <c r="AC7169" s="35"/>
      <c r="AD7169" s="35"/>
      <c r="AE7169" s="35"/>
      <c r="AF7169" s="35"/>
      <c r="AG7169" s="35"/>
      <c r="AH7169" s="35"/>
      <c r="AI7169" s="35"/>
      <c r="AJ7169" s="35"/>
      <c r="AK7169" s="35"/>
      <c r="AL7169" s="35"/>
    </row>
    <row r="7170">
      <c r="A7170" s="1"/>
      <c r="B7170" s="19" t="s">
        <v>33186</v>
      </c>
      <c r="C7170" s="20" t="s">
        <v>29785</v>
      </c>
      <c r="D7170" s="47"/>
      <c r="E7170" s="22" t="s">
        <v>825</v>
      </c>
      <c r="F7170" s="22" t="s">
        <v>24122</v>
      </c>
      <c r="G7170" s="23">
        <v>2019.0</v>
      </c>
      <c r="H7170" s="22" t="s">
        <v>11554</v>
      </c>
      <c r="I7170" s="24" t="s">
        <v>33249</v>
      </c>
      <c r="J7170" s="22" t="s">
        <v>125</v>
      </c>
      <c r="K7170" s="22" t="s">
        <v>157</v>
      </c>
      <c r="L7170" s="43" t="s">
        <v>33250</v>
      </c>
      <c r="M7170" s="44"/>
      <c r="N7170" s="44"/>
      <c r="O7170" s="44"/>
      <c r="P7170" s="44"/>
      <c r="Q7170" s="44"/>
      <c r="R7170" s="44"/>
      <c r="S7170" s="44"/>
      <c r="T7170" s="45"/>
      <c r="U7170" s="38" t="str">
        <f>HYPERLINK("https://www.ncbi.nlm.nih.gov/pubmed/30853864","PubMed")</f>
        <v>PubMed</v>
      </c>
      <c r="V7170" s="30"/>
      <c r="W7170" s="49"/>
      <c r="X7170" s="49"/>
      <c r="Y7170" s="35"/>
      <c r="Z7170" s="35"/>
      <c r="AA7170" s="35"/>
      <c r="AB7170" s="35"/>
      <c r="AC7170" s="35"/>
      <c r="AD7170" s="35"/>
      <c r="AE7170" s="35"/>
      <c r="AF7170" s="35"/>
      <c r="AG7170" s="35"/>
      <c r="AH7170" s="35"/>
      <c r="AI7170" s="35"/>
      <c r="AJ7170" s="35"/>
      <c r="AK7170" s="35"/>
      <c r="AL7170" s="35"/>
    </row>
    <row r="7171">
      <c r="A7171" s="1"/>
      <c r="B7171" s="19" t="s">
        <v>33186</v>
      </c>
      <c r="C7171" s="20" t="s">
        <v>29785</v>
      </c>
      <c r="D7171" s="47"/>
      <c r="E7171" s="22" t="s">
        <v>33251</v>
      </c>
      <c r="F7171" s="22" t="s">
        <v>237</v>
      </c>
      <c r="G7171" s="23">
        <v>2019.0</v>
      </c>
      <c r="H7171" s="22" t="s">
        <v>19036</v>
      </c>
      <c r="I7171" s="24" t="s">
        <v>33252</v>
      </c>
      <c r="J7171" s="22" t="s">
        <v>55</v>
      </c>
      <c r="K7171" s="22"/>
      <c r="L7171" s="36">
        <v>808.0</v>
      </c>
      <c r="M7171" s="36">
        <v>40.0</v>
      </c>
      <c r="N7171" s="36"/>
      <c r="O7171" s="129">
        <v>43525.0</v>
      </c>
      <c r="P7171" s="37" t="s">
        <v>1529</v>
      </c>
      <c r="Q7171" s="36"/>
      <c r="R7171" s="36">
        <v>70.0</v>
      </c>
      <c r="S7171" s="36">
        <v>6.0</v>
      </c>
      <c r="T7171" s="42" t="s">
        <v>33253</v>
      </c>
      <c r="U7171" s="38" t="str">
        <f>HYPERLINK("https://www.ncbi.nlm.nih.gov/pubmed/30734394","PubMed")</f>
        <v>PubMed</v>
      </c>
      <c r="V7171" s="30"/>
      <c r="W7171" s="49"/>
      <c r="X7171" s="49"/>
      <c r="Y7171" s="35"/>
      <c r="Z7171" s="35"/>
      <c r="AA7171" s="35"/>
      <c r="AB7171" s="35"/>
      <c r="AC7171" s="35"/>
      <c r="AD7171" s="35"/>
      <c r="AE7171" s="35"/>
      <c r="AF7171" s="35"/>
      <c r="AG7171" s="35"/>
      <c r="AH7171" s="35"/>
      <c r="AI7171" s="35"/>
      <c r="AJ7171" s="35"/>
      <c r="AK7171" s="35"/>
      <c r="AL7171" s="35"/>
    </row>
    <row r="7172">
      <c r="A7172" s="1"/>
      <c r="B7172" s="19" t="s">
        <v>33186</v>
      </c>
      <c r="C7172" s="20" t="s">
        <v>29785</v>
      </c>
      <c r="D7172" s="47"/>
      <c r="E7172" s="22" t="s">
        <v>388</v>
      </c>
      <c r="F7172" s="22" t="s">
        <v>33254</v>
      </c>
      <c r="G7172" s="23">
        <v>2019.0</v>
      </c>
      <c r="H7172" s="22" t="s">
        <v>627</v>
      </c>
      <c r="I7172" s="24" t="s">
        <v>33255</v>
      </c>
      <c r="J7172" s="22" t="s">
        <v>55</v>
      </c>
      <c r="K7172" s="22" t="s">
        <v>9689</v>
      </c>
      <c r="L7172" s="36">
        <v>660.0</v>
      </c>
      <c r="M7172" s="36">
        <v>10.0</v>
      </c>
      <c r="N7172" s="36">
        <v>250.0</v>
      </c>
      <c r="O7172" s="36" t="s">
        <v>22293</v>
      </c>
      <c r="P7172" s="37" t="s">
        <v>254</v>
      </c>
      <c r="Q7172" s="36" t="s">
        <v>1453</v>
      </c>
      <c r="R7172" s="36">
        <v>16.0</v>
      </c>
      <c r="S7172" s="36"/>
      <c r="T7172" s="28" t="s">
        <v>33256</v>
      </c>
      <c r="U7172" s="38" t="str">
        <f>HYPERLINK("https://www.ncbi.nlm.nih.gov/pubmed/30716140","PubMed")</f>
        <v>PubMed</v>
      </c>
      <c r="V7172" s="30"/>
      <c r="W7172" s="49"/>
      <c r="X7172" s="49"/>
      <c r="Y7172" s="35"/>
      <c r="Z7172" s="35"/>
      <c r="AA7172" s="35"/>
      <c r="AB7172" s="35"/>
      <c r="AC7172" s="35"/>
      <c r="AD7172" s="35"/>
      <c r="AE7172" s="35"/>
      <c r="AF7172" s="35"/>
      <c r="AG7172" s="35"/>
      <c r="AH7172" s="35"/>
      <c r="AI7172" s="35"/>
      <c r="AJ7172" s="35"/>
      <c r="AK7172" s="35"/>
      <c r="AL7172" s="35"/>
    </row>
    <row r="7173">
      <c r="A7173" s="1"/>
      <c r="B7173" s="19" t="s">
        <v>33186</v>
      </c>
      <c r="C7173" s="20" t="s">
        <v>29785</v>
      </c>
      <c r="D7173" s="47"/>
      <c r="E7173" s="22" t="s">
        <v>28383</v>
      </c>
      <c r="F7173" s="22" t="s">
        <v>16233</v>
      </c>
      <c r="G7173" s="23">
        <v>2017.0</v>
      </c>
      <c r="H7173" s="22" t="s">
        <v>658</v>
      </c>
      <c r="I7173" s="24" t="s">
        <v>33257</v>
      </c>
      <c r="J7173" s="22" t="s">
        <v>55</v>
      </c>
      <c r="K7173" s="22" t="s">
        <v>33258</v>
      </c>
      <c r="L7173" s="36">
        <v>810.0</v>
      </c>
      <c r="M7173" s="36">
        <v>100.0</v>
      </c>
      <c r="N7173" s="36"/>
      <c r="O7173" s="36">
        <v>3.0</v>
      </c>
      <c r="P7173" s="37"/>
      <c r="Q7173" s="36"/>
      <c r="R7173" s="36"/>
      <c r="S7173" s="36"/>
      <c r="T7173" s="28" t="s">
        <v>33259</v>
      </c>
      <c r="U7173" s="38" t="s">
        <v>61</v>
      </c>
      <c r="V7173" s="30"/>
      <c r="W7173" s="49"/>
      <c r="X7173" s="49"/>
      <c r="Y7173" s="35"/>
      <c r="Z7173" s="35"/>
      <c r="AA7173" s="35"/>
      <c r="AB7173" s="35"/>
      <c r="AC7173" s="35"/>
      <c r="AD7173" s="35"/>
      <c r="AE7173" s="35"/>
      <c r="AF7173" s="35"/>
      <c r="AG7173" s="35"/>
      <c r="AH7173" s="35"/>
      <c r="AI7173" s="35"/>
      <c r="AJ7173" s="35"/>
      <c r="AK7173" s="35"/>
      <c r="AL7173" s="35"/>
    </row>
    <row r="7174">
      <c r="A7174" s="1"/>
      <c r="B7174" s="19" t="s">
        <v>33186</v>
      </c>
      <c r="C7174" s="20" t="s">
        <v>29785</v>
      </c>
      <c r="D7174" s="47"/>
      <c r="E7174" s="22" t="s">
        <v>13542</v>
      </c>
      <c r="F7174" s="22" t="s">
        <v>52</v>
      </c>
      <c r="G7174" s="23">
        <v>2017.0</v>
      </c>
      <c r="H7174" s="22" t="s">
        <v>658</v>
      </c>
      <c r="I7174" s="24" t="s">
        <v>33260</v>
      </c>
      <c r="J7174" s="22" t="s">
        <v>202</v>
      </c>
      <c r="K7174" s="22"/>
      <c r="L7174" s="43"/>
      <c r="M7174" s="44"/>
      <c r="N7174" s="44"/>
      <c r="O7174" s="44"/>
      <c r="P7174" s="44"/>
      <c r="Q7174" s="44"/>
      <c r="R7174" s="44"/>
      <c r="S7174" s="44"/>
      <c r="T7174" s="45"/>
      <c r="U7174" s="38" t="str">
        <f>HYPERLINK("https://www.ncbi.nlm.nih.gov/pubmed/29023220","PubMed")</f>
        <v>PubMed</v>
      </c>
      <c r="V7174" s="30"/>
      <c r="W7174" s="49"/>
      <c r="X7174" s="49"/>
      <c r="Y7174" s="35"/>
      <c r="Z7174" s="35"/>
      <c r="AA7174" s="35"/>
      <c r="AB7174" s="35"/>
      <c r="AC7174" s="35"/>
      <c r="AD7174" s="35"/>
      <c r="AE7174" s="35"/>
      <c r="AF7174" s="35"/>
      <c r="AG7174" s="35"/>
      <c r="AH7174" s="35"/>
      <c r="AI7174" s="35"/>
      <c r="AJ7174" s="35"/>
      <c r="AK7174" s="35"/>
      <c r="AL7174" s="35"/>
    </row>
    <row r="7175">
      <c r="A7175" s="1"/>
      <c r="B7175" s="19" t="s">
        <v>33186</v>
      </c>
      <c r="C7175" s="20" t="s">
        <v>29785</v>
      </c>
      <c r="D7175" s="47"/>
      <c r="E7175" s="22" t="s">
        <v>16618</v>
      </c>
      <c r="F7175" s="22" t="s">
        <v>41</v>
      </c>
      <c r="G7175" s="23">
        <v>2017.0</v>
      </c>
      <c r="H7175" s="22" t="s">
        <v>169</v>
      </c>
      <c r="I7175" s="24" t="s">
        <v>33261</v>
      </c>
      <c r="J7175" s="22" t="s">
        <v>55</v>
      </c>
      <c r="K7175" s="22" t="s">
        <v>33262</v>
      </c>
      <c r="L7175" s="36">
        <v>808.0</v>
      </c>
      <c r="M7175" s="36">
        <v>50.0</v>
      </c>
      <c r="N7175" s="36" t="s">
        <v>3824</v>
      </c>
      <c r="O7175" s="36" t="s">
        <v>33263</v>
      </c>
      <c r="P7175" s="37" t="s">
        <v>33264</v>
      </c>
      <c r="Q7175" s="36" t="s">
        <v>280</v>
      </c>
      <c r="R7175" s="36" t="s">
        <v>33265</v>
      </c>
      <c r="S7175" s="36">
        <v>1.0</v>
      </c>
      <c r="T7175" s="28" t="s">
        <v>33266</v>
      </c>
      <c r="U7175" s="38" t="str">
        <f>HYPERLINK("https://www.ncbi.nlm.nih.gov/pubmed/28557593","PubMed")</f>
        <v>PubMed</v>
      </c>
      <c r="V7175" s="30"/>
      <c r="W7175" s="49"/>
      <c r="X7175" s="49"/>
      <c r="Y7175" s="35"/>
      <c r="Z7175" s="35"/>
      <c r="AA7175" s="35"/>
      <c r="AB7175" s="35"/>
      <c r="AC7175" s="35"/>
      <c r="AD7175" s="35"/>
      <c r="AE7175" s="35"/>
      <c r="AF7175" s="35"/>
      <c r="AG7175" s="35"/>
      <c r="AH7175" s="35"/>
      <c r="AI7175" s="35"/>
      <c r="AJ7175" s="35"/>
      <c r="AK7175" s="35"/>
      <c r="AL7175" s="35"/>
    </row>
    <row r="7176">
      <c r="A7176" s="1"/>
      <c r="B7176" s="19" t="s">
        <v>33186</v>
      </c>
      <c r="C7176" s="20" t="s">
        <v>29785</v>
      </c>
      <c r="D7176" s="47"/>
      <c r="E7176" s="22" t="s">
        <v>29778</v>
      </c>
      <c r="F7176" s="22" t="s">
        <v>23054</v>
      </c>
      <c r="G7176" s="23">
        <v>2017.0</v>
      </c>
      <c r="H7176" s="22" t="s">
        <v>658</v>
      </c>
      <c r="I7176" s="24" t="s">
        <v>33267</v>
      </c>
      <c r="J7176" s="22" t="s">
        <v>55</v>
      </c>
      <c r="K7176" s="22" t="s">
        <v>33268</v>
      </c>
      <c r="L7176" s="36"/>
      <c r="M7176" s="36"/>
      <c r="N7176" s="36"/>
      <c r="O7176" s="36"/>
      <c r="P7176" s="37"/>
      <c r="Q7176" s="36"/>
      <c r="R7176" s="36"/>
      <c r="S7176" s="36"/>
      <c r="T7176" s="28" t="s">
        <v>33269</v>
      </c>
      <c r="U7176" s="38" t="str">
        <f>HYPERLINK("https://www.ncbi.nlm.nih.gov/pubmed/27627685","PubMed")</f>
        <v>PubMed</v>
      </c>
      <c r="V7176" s="30"/>
      <c r="W7176" s="49"/>
      <c r="X7176" s="49"/>
      <c r="Y7176" s="35"/>
      <c r="Z7176" s="35"/>
      <c r="AA7176" s="35"/>
      <c r="AB7176" s="35"/>
      <c r="AC7176" s="35"/>
      <c r="AD7176" s="35"/>
      <c r="AE7176" s="35"/>
      <c r="AF7176" s="35"/>
      <c r="AG7176" s="35"/>
      <c r="AH7176" s="35"/>
      <c r="AI7176" s="35"/>
      <c r="AJ7176" s="35"/>
      <c r="AK7176" s="35"/>
      <c r="AL7176" s="35"/>
    </row>
    <row r="7177">
      <c r="A7177" s="1"/>
      <c r="B7177" s="19" t="s">
        <v>33186</v>
      </c>
      <c r="C7177" s="20" t="s">
        <v>29785</v>
      </c>
      <c r="D7177" s="47"/>
      <c r="E7177" s="22" t="s">
        <v>33270</v>
      </c>
      <c r="F7177" s="22" t="s">
        <v>2065</v>
      </c>
      <c r="G7177" s="23">
        <v>2016.0</v>
      </c>
      <c r="H7177" s="22" t="s">
        <v>91</v>
      </c>
      <c r="I7177" s="24" t="s">
        <v>33271</v>
      </c>
      <c r="J7177" s="22" t="s">
        <v>33272</v>
      </c>
      <c r="K7177" s="22" t="s">
        <v>33273</v>
      </c>
      <c r="L7177" s="36" t="s">
        <v>33274</v>
      </c>
      <c r="M7177" s="36">
        <v>5000.0</v>
      </c>
      <c r="N7177" s="36"/>
      <c r="O7177" s="36">
        <v>450.0</v>
      </c>
      <c r="P7177" s="37" t="s">
        <v>3213</v>
      </c>
      <c r="Q7177" s="36"/>
      <c r="R7177" s="36">
        <v>90.0</v>
      </c>
      <c r="S7177" s="36" t="s">
        <v>33275</v>
      </c>
      <c r="T7177" s="42" t="s">
        <v>33276</v>
      </c>
      <c r="U7177" s="38" t="str">
        <f>HYPERLINK("http://www.ncbi.nlm.nih.gov/pubmed/26610637","PubMed")</f>
        <v>PubMed</v>
      </c>
      <c r="V7177" s="30" t="s">
        <v>33277</v>
      </c>
      <c r="W7177" s="49"/>
      <c r="X7177" s="49"/>
      <c r="Y7177" s="35"/>
      <c r="Z7177" s="35"/>
      <c r="AA7177" s="35"/>
      <c r="AB7177" s="35"/>
      <c r="AC7177" s="35"/>
      <c r="AD7177" s="35"/>
      <c r="AE7177" s="35"/>
      <c r="AF7177" s="35"/>
      <c r="AG7177" s="35"/>
      <c r="AH7177" s="35"/>
      <c r="AI7177" s="35"/>
      <c r="AJ7177" s="35"/>
      <c r="AK7177" s="35"/>
      <c r="AL7177" s="35"/>
    </row>
    <row r="7178">
      <c r="A7178" s="1"/>
      <c r="B7178" s="19" t="s">
        <v>33186</v>
      </c>
      <c r="C7178" s="20" t="s">
        <v>29785</v>
      </c>
      <c r="D7178" s="47"/>
      <c r="E7178" s="22" t="s">
        <v>33278</v>
      </c>
      <c r="F7178" s="22" t="s">
        <v>33279</v>
      </c>
      <c r="G7178" s="23">
        <v>2016.0</v>
      </c>
      <c r="H7178" s="22" t="s">
        <v>147</v>
      </c>
      <c r="I7178" s="24" t="s">
        <v>33280</v>
      </c>
      <c r="J7178" s="22" t="s">
        <v>33281</v>
      </c>
      <c r="K7178" s="22"/>
      <c r="L7178" s="36">
        <v>980.0</v>
      </c>
      <c r="M7178" s="36" t="s">
        <v>58</v>
      </c>
      <c r="N7178" s="36" t="s">
        <v>58</v>
      </c>
      <c r="O7178" s="36" t="s">
        <v>33282</v>
      </c>
      <c r="P7178" s="37" t="s">
        <v>58</v>
      </c>
      <c r="Q7178" s="36" t="s">
        <v>33283</v>
      </c>
      <c r="R7178" s="36" t="s">
        <v>58</v>
      </c>
      <c r="S7178" s="36" t="s">
        <v>33284</v>
      </c>
      <c r="T7178" s="42" t="s">
        <v>33285</v>
      </c>
      <c r="U7178" s="38" t="str">
        <f>HYPERLINK("https://www.ncbi.nlm.nih.gov/pubmed/27330704","PubMed")</f>
        <v>PubMed</v>
      </c>
      <c r="V7178" s="30" t="s">
        <v>33286</v>
      </c>
      <c r="W7178" s="49"/>
      <c r="X7178" s="49"/>
      <c r="Y7178" s="35"/>
      <c r="Z7178" s="35"/>
      <c r="AA7178" s="35"/>
      <c r="AB7178" s="35"/>
      <c r="AC7178" s="35"/>
      <c r="AD7178" s="35"/>
      <c r="AE7178" s="35"/>
      <c r="AF7178" s="35"/>
      <c r="AG7178" s="35"/>
      <c r="AH7178" s="35"/>
      <c r="AI7178" s="35"/>
      <c r="AJ7178" s="35"/>
      <c r="AK7178" s="35"/>
      <c r="AL7178" s="35"/>
    </row>
    <row r="7179">
      <c r="A7179" s="1"/>
      <c r="B7179" s="19" t="s">
        <v>33186</v>
      </c>
      <c r="C7179" s="20" t="s">
        <v>29785</v>
      </c>
      <c r="D7179" s="47"/>
      <c r="E7179" s="22" t="s">
        <v>33287</v>
      </c>
      <c r="F7179" s="22" t="s">
        <v>12293</v>
      </c>
      <c r="G7179" s="23">
        <v>2016.0</v>
      </c>
      <c r="H7179" s="22" t="s">
        <v>91</v>
      </c>
      <c r="I7179" s="24" t="s">
        <v>33288</v>
      </c>
      <c r="J7179" s="22" t="s">
        <v>55</v>
      </c>
      <c r="K7179" s="22"/>
      <c r="L7179" s="36">
        <v>830.0</v>
      </c>
      <c r="M7179" s="36">
        <v>40.0</v>
      </c>
      <c r="N7179" s="129"/>
      <c r="O7179" s="36"/>
      <c r="P7179" s="37" t="s">
        <v>254</v>
      </c>
      <c r="Q7179" s="36" t="s">
        <v>27695</v>
      </c>
      <c r="R7179" s="36" t="s">
        <v>33289</v>
      </c>
      <c r="S7179" s="36"/>
      <c r="T7179" s="28" t="s">
        <v>33290</v>
      </c>
      <c r="U7179" s="38" t="str">
        <f>HYPERLINK("https://www.ncbi.nlm.nih.gov/pubmed/26984348","PubMed")</f>
        <v>PubMed</v>
      </c>
      <c r="V7179" s="30"/>
      <c r="W7179" s="49"/>
      <c r="X7179" s="49"/>
      <c r="Y7179" s="35"/>
      <c r="Z7179" s="35"/>
      <c r="AA7179" s="35"/>
      <c r="AB7179" s="35"/>
      <c r="AC7179" s="35"/>
      <c r="AD7179" s="35"/>
      <c r="AE7179" s="35"/>
      <c r="AF7179" s="35"/>
      <c r="AG7179" s="35"/>
      <c r="AH7179" s="35"/>
      <c r="AI7179" s="35"/>
      <c r="AJ7179" s="35"/>
      <c r="AK7179" s="35"/>
      <c r="AL7179" s="35"/>
    </row>
    <row r="7180">
      <c r="A7180" s="1"/>
      <c r="B7180" s="19" t="s">
        <v>33186</v>
      </c>
      <c r="C7180" s="20" t="s">
        <v>29785</v>
      </c>
      <c r="D7180" s="47"/>
      <c r="E7180" s="22" t="s">
        <v>850</v>
      </c>
      <c r="F7180" s="22" t="s">
        <v>41</v>
      </c>
      <c r="G7180" s="23">
        <v>2016.0</v>
      </c>
      <c r="H7180" s="22" t="s">
        <v>91</v>
      </c>
      <c r="I7180" s="24" t="s">
        <v>33291</v>
      </c>
      <c r="J7180" s="22" t="s">
        <v>55</v>
      </c>
      <c r="K7180" s="22" t="s">
        <v>33292</v>
      </c>
      <c r="L7180" s="36">
        <v>830.0</v>
      </c>
      <c r="M7180" s="36">
        <v>50.0</v>
      </c>
      <c r="N7180" s="129">
        <v>42583.0</v>
      </c>
      <c r="O7180" s="36" t="s">
        <v>13462</v>
      </c>
      <c r="P7180" s="37" t="s">
        <v>3556</v>
      </c>
      <c r="Q7180" s="36" t="s">
        <v>280</v>
      </c>
      <c r="R7180" s="36" t="s">
        <v>11781</v>
      </c>
      <c r="S7180" s="36" t="s">
        <v>1121</v>
      </c>
      <c r="T7180" s="42" t="s">
        <v>33293</v>
      </c>
      <c r="U7180" s="38" t="str">
        <f>HYPERLINK("https://www.ncbi.nlm.nih.gov/pubmed/27624782","PubMed")</f>
        <v>PubMed</v>
      </c>
      <c r="V7180" s="30"/>
      <c r="W7180" s="49"/>
      <c r="X7180" s="49"/>
      <c r="Y7180" s="35"/>
      <c r="Z7180" s="35"/>
      <c r="AA7180" s="35"/>
      <c r="AB7180" s="35"/>
      <c r="AC7180" s="35"/>
      <c r="AD7180" s="35"/>
      <c r="AE7180" s="35"/>
      <c r="AF7180" s="35"/>
      <c r="AG7180" s="35"/>
      <c r="AH7180" s="35"/>
      <c r="AI7180" s="35"/>
      <c r="AJ7180" s="35"/>
      <c r="AK7180" s="35"/>
      <c r="AL7180" s="35"/>
    </row>
    <row r="7181">
      <c r="A7181" s="1"/>
      <c r="B7181" s="19" t="s">
        <v>33186</v>
      </c>
      <c r="C7181" s="20" t="s">
        <v>29785</v>
      </c>
      <c r="D7181" s="47"/>
      <c r="E7181" s="22" t="s">
        <v>33294</v>
      </c>
      <c r="F7181" s="22" t="s">
        <v>41</v>
      </c>
      <c r="G7181" s="23">
        <v>2016.0</v>
      </c>
      <c r="H7181" s="22" t="s">
        <v>91</v>
      </c>
      <c r="I7181" s="24" t="s">
        <v>33295</v>
      </c>
      <c r="J7181" s="22" t="s">
        <v>55</v>
      </c>
      <c r="K7181" s="22" t="s">
        <v>157</v>
      </c>
      <c r="L7181" s="36">
        <v>945.0</v>
      </c>
      <c r="M7181" s="36">
        <v>32.0</v>
      </c>
      <c r="N7181" s="36"/>
      <c r="O7181" s="36" t="s">
        <v>18299</v>
      </c>
      <c r="P7181" s="37" t="s">
        <v>33296</v>
      </c>
      <c r="Q7181" s="275" t="s">
        <v>675</v>
      </c>
      <c r="R7181" s="36" t="s">
        <v>33297</v>
      </c>
      <c r="S7181" s="36"/>
      <c r="T7181" s="28" t="s">
        <v>33298</v>
      </c>
      <c r="U7181" s="38" t="str">
        <f>HYPERLINK("https://www.ncbi.nlm.nih.gov/pubmed/26507001","PubMed")</f>
        <v>PubMed</v>
      </c>
      <c r="V7181" s="30"/>
      <c r="W7181" s="49"/>
      <c r="X7181" s="49"/>
      <c r="Y7181" s="35"/>
      <c r="Z7181" s="35"/>
      <c r="AA7181" s="35"/>
      <c r="AB7181" s="35"/>
      <c r="AC7181" s="35"/>
      <c r="AD7181" s="35"/>
      <c r="AE7181" s="35"/>
      <c r="AF7181" s="35"/>
      <c r="AG7181" s="35"/>
      <c r="AH7181" s="35"/>
      <c r="AI7181" s="35"/>
      <c r="AJ7181" s="35"/>
      <c r="AK7181" s="35"/>
      <c r="AL7181" s="35"/>
    </row>
    <row r="7182">
      <c r="A7182" s="1"/>
      <c r="B7182" s="19" t="s">
        <v>33186</v>
      </c>
      <c r="C7182" s="20" t="s">
        <v>29785</v>
      </c>
      <c r="D7182" s="47"/>
      <c r="E7182" s="22" t="s">
        <v>9001</v>
      </c>
      <c r="F7182" s="22" t="s">
        <v>41</v>
      </c>
      <c r="G7182" s="23">
        <v>2016.0</v>
      </c>
      <c r="H7182" s="22" t="s">
        <v>658</v>
      </c>
      <c r="I7182" s="24" t="s">
        <v>33299</v>
      </c>
      <c r="J7182" s="22" t="s">
        <v>55</v>
      </c>
      <c r="K7182" s="22" t="s">
        <v>33268</v>
      </c>
      <c r="L7182" s="36">
        <v>780.0</v>
      </c>
      <c r="M7182" s="36">
        <v>70.0</v>
      </c>
      <c r="N7182" s="36" t="s">
        <v>827</v>
      </c>
      <c r="O7182" s="36" t="s">
        <v>828</v>
      </c>
      <c r="P7182" s="37" t="s">
        <v>829</v>
      </c>
      <c r="Q7182" s="36" t="s">
        <v>830</v>
      </c>
      <c r="R7182" s="36">
        <v>10.0</v>
      </c>
      <c r="S7182" s="36" t="s">
        <v>17038</v>
      </c>
      <c r="T7182" s="42" t="s">
        <v>33300</v>
      </c>
      <c r="U7182" s="38" t="str">
        <f>HYPERLINK("https://www.ncbi.nlm.nih.gov/pubmed/27228125","PubMed")</f>
        <v>PubMed</v>
      </c>
      <c r="V7182" s="30"/>
      <c r="W7182" s="49"/>
      <c r="X7182" s="49"/>
      <c r="Y7182" s="35"/>
      <c r="Z7182" s="35"/>
      <c r="AA7182" s="35"/>
      <c r="AB7182" s="35"/>
      <c r="AC7182" s="35"/>
      <c r="AD7182" s="35"/>
      <c r="AE7182" s="35"/>
      <c r="AF7182" s="35"/>
      <c r="AG7182" s="35"/>
      <c r="AH7182" s="35"/>
      <c r="AI7182" s="35"/>
      <c r="AJ7182" s="35"/>
      <c r="AK7182" s="35"/>
      <c r="AL7182" s="35"/>
    </row>
    <row r="7183">
      <c r="A7183" s="1"/>
      <c r="B7183" s="19" t="s">
        <v>33186</v>
      </c>
      <c r="C7183" s="20" t="s">
        <v>29785</v>
      </c>
      <c r="D7183" s="47"/>
      <c r="E7183" s="22" t="s">
        <v>1812</v>
      </c>
      <c r="F7183" s="22" t="s">
        <v>24122</v>
      </c>
      <c r="G7183" s="23">
        <v>2015.0</v>
      </c>
      <c r="H7183" s="22" t="s">
        <v>941</v>
      </c>
      <c r="I7183" s="24" t="s">
        <v>33301</v>
      </c>
      <c r="J7183" s="22" t="s">
        <v>649</v>
      </c>
      <c r="K7183" s="22"/>
      <c r="L7183" s="43" t="s">
        <v>33302</v>
      </c>
      <c r="M7183" s="44"/>
      <c r="N7183" s="44"/>
      <c r="O7183" s="44"/>
      <c r="P7183" s="44"/>
      <c r="Q7183" s="44"/>
      <c r="R7183" s="44"/>
      <c r="S7183" s="44"/>
      <c r="T7183" s="45"/>
      <c r="U7183" s="38" t="str">
        <f>HYPERLINK("https://www.ncbi.nlm.nih.gov/pubmed/26327796","PubMed")</f>
        <v>PubMed</v>
      </c>
      <c r="V7183" s="30"/>
      <c r="W7183" s="49"/>
      <c r="X7183" s="49"/>
      <c r="Y7183" s="35"/>
      <c r="Z7183" s="35"/>
      <c r="AA7183" s="35"/>
      <c r="AB7183" s="35"/>
      <c r="AC7183" s="35"/>
      <c r="AD7183" s="35"/>
      <c r="AE7183" s="35"/>
      <c r="AF7183" s="35"/>
      <c r="AG7183" s="35"/>
      <c r="AH7183" s="35"/>
      <c r="AI7183" s="35"/>
      <c r="AJ7183" s="35"/>
      <c r="AK7183" s="35"/>
      <c r="AL7183" s="35"/>
    </row>
    <row r="7184">
      <c r="A7184" s="1"/>
      <c r="B7184" s="19" t="s">
        <v>33186</v>
      </c>
      <c r="C7184" s="20" t="s">
        <v>29785</v>
      </c>
      <c r="D7184" s="47"/>
      <c r="E7184" s="22" t="s">
        <v>33303</v>
      </c>
      <c r="F7184" s="22" t="s">
        <v>24122</v>
      </c>
      <c r="G7184" s="23">
        <v>2015.0</v>
      </c>
      <c r="H7184" s="22" t="s">
        <v>91</v>
      </c>
      <c r="I7184" s="24" t="s">
        <v>33304</v>
      </c>
      <c r="J7184" s="22" t="s">
        <v>55</v>
      </c>
      <c r="K7184" s="22" t="s">
        <v>33305</v>
      </c>
      <c r="L7184" s="36" t="s">
        <v>33306</v>
      </c>
      <c r="M7184" s="36"/>
      <c r="N7184" s="36"/>
      <c r="O7184" s="36"/>
      <c r="P7184" s="37" t="s">
        <v>944</v>
      </c>
      <c r="Q7184" s="36"/>
      <c r="R7184" s="36"/>
      <c r="S7184" s="36"/>
      <c r="T7184" s="28" t="s">
        <v>33307</v>
      </c>
      <c r="U7184" s="38" t="str">
        <f>HYPERLINK("https://www.ncbi.nlm.nih.gov/pubmed/26100003","PubMed")</f>
        <v>PubMed</v>
      </c>
      <c r="V7184" s="30"/>
      <c r="W7184" s="49"/>
      <c r="X7184" s="49"/>
      <c r="Y7184" s="35"/>
      <c r="Z7184" s="35"/>
      <c r="AA7184" s="35"/>
      <c r="AB7184" s="35"/>
      <c r="AC7184" s="35"/>
      <c r="AD7184" s="35"/>
      <c r="AE7184" s="35"/>
      <c r="AF7184" s="35"/>
      <c r="AG7184" s="35"/>
      <c r="AH7184" s="35"/>
      <c r="AI7184" s="35"/>
      <c r="AJ7184" s="35"/>
      <c r="AK7184" s="35"/>
      <c r="AL7184" s="35"/>
    </row>
    <row r="7185">
      <c r="A7185" s="1"/>
      <c r="B7185" s="19" t="s">
        <v>33186</v>
      </c>
      <c r="C7185" s="20" t="s">
        <v>29785</v>
      </c>
      <c r="D7185" s="47"/>
      <c r="E7185" s="22" t="s">
        <v>33308</v>
      </c>
      <c r="F7185" s="22" t="s">
        <v>41</v>
      </c>
      <c r="G7185" s="23">
        <v>2015.0</v>
      </c>
      <c r="H7185" s="22" t="s">
        <v>91</v>
      </c>
      <c r="I7185" s="24" t="s">
        <v>33309</v>
      </c>
      <c r="J7185" s="22" t="s">
        <v>55</v>
      </c>
      <c r="K7185" s="22" t="s">
        <v>33310</v>
      </c>
      <c r="L7185" s="36">
        <v>660.0</v>
      </c>
      <c r="M7185" s="36">
        <v>100.0</v>
      </c>
      <c r="N7185" s="36"/>
      <c r="O7185" s="36" t="s">
        <v>1352</v>
      </c>
      <c r="P7185" s="37"/>
      <c r="Q7185" s="36"/>
      <c r="R7185" s="36"/>
      <c r="S7185" s="36"/>
      <c r="T7185" s="28" t="s">
        <v>33311</v>
      </c>
      <c r="U7185" s="38" t="str">
        <f>HYPERLINK("https://www.ncbi.nlm.nih.gov/pubmed/25380666","PubMed")</f>
        <v>PubMed</v>
      </c>
      <c r="V7185" s="30"/>
      <c r="W7185" s="49"/>
      <c r="X7185" s="49"/>
      <c r="Y7185" s="35"/>
      <c r="Z7185" s="35"/>
      <c r="AA7185" s="35"/>
      <c r="AB7185" s="35"/>
      <c r="AC7185" s="35"/>
      <c r="AD7185" s="35"/>
      <c r="AE7185" s="35"/>
      <c r="AF7185" s="35"/>
      <c r="AG7185" s="35"/>
      <c r="AH7185" s="35"/>
      <c r="AI7185" s="35"/>
      <c r="AJ7185" s="35"/>
      <c r="AK7185" s="35"/>
      <c r="AL7185" s="35"/>
    </row>
    <row r="7186">
      <c r="A7186" s="1"/>
      <c r="B7186" s="19" t="s">
        <v>33186</v>
      </c>
      <c r="C7186" s="20" t="s">
        <v>29785</v>
      </c>
      <c r="D7186" s="47"/>
      <c r="E7186" s="22" t="s">
        <v>7700</v>
      </c>
      <c r="F7186" s="22" t="s">
        <v>41</v>
      </c>
      <c r="G7186" s="23">
        <v>2015.0</v>
      </c>
      <c r="H7186" s="22" t="s">
        <v>658</v>
      </c>
      <c r="I7186" s="24" t="s">
        <v>33312</v>
      </c>
      <c r="J7186" s="22" t="s">
        <v>55</v>
      </c>
      <c r="K7186" s="22" t="s">
        <v>33313</v>
      </c>
      <c r="L7186" s="36" t="s">
        <v>943</v>
      </c>
      <c r="M7186" s="36">
        <v>60.0</v>
      </c>
      <c r="N7186" s="36" t="s">
        <v>18810</v>
      </c>
      <c r="O7186" s="129">
        <v>42370.0</v>
      </c>
      <c r="P7186" s="37" t="s">
        <v>2746</v>
      </c>
      <c r="Q7186" s="36"/>
      <c r="R7186" s="129">
        <v>42539.0</v>
      </c>
      <c r="S7186" s="36"/>
      <c r="T7186" s="336" t="s">
        <v>33314</v>
      </c>
      <c r="U7186" s="38" t="str">
        <f>HYPERLINK("https://www.ncbi.nlm.nih.gov/pubmed/26666977","PubMed")</f>
        <v>PubMed</v>
      </c>
      <c r="V7186" s="30"/>
      <c r="W7186" s="49"/>
      <c r="X7186" s="49"/>
      <c r="Y7186" s="35"/>
      <c r="Z7186" s="35"/>
      <c r="AA7186" s="35"/>
      <c r="AB7186" s="35"/>
      <c r="AC7186" s="35"/>
      <c r="AD7186" s="35"/>
      <c r="AE7186" s="35"/>
      <c r="AF7186" s="35"/>
      <c r="AG7186" s="35"/>
      <c r="AH7186" s="35"/>
      <c r="AI7186" s="35"/>
      <c r="AJ7186" s="35"/>
      <c r="AK7186" s="35"/>
      <c r="AL7186" s="35"/>
    </row>
    <row r="7187">
      <c r="A7187" s="1"/>
      <c r="B7187" s="19" t="s">
        <v>33186</v>
      </c>
      <c r="C7187" s="20" t="s">
        <v>29785</v>
      </c>
      <c r="D7187" s="47"/>
      <c r="E7187" s="22" t="s">
        <v>9001</v>
      </c>
      <c r="F7187" s="22" t="s">
        <v>41</v>
      </c>
      <c r="G7187" s="23">
        <v>2015.0</v>
      </c>
      <c r="H7187" s="22" t="s">
        <v>91</v>
      </c>
      <c r="I7187" s="24" t="s">
        <v>33315</v>
      </c>
      <c r="J7187" s="22" t="s">
        <v>55</v>
      </c>
      <c r="K7187" s="22" t="s">
        <v>33268</v>
      </c>
      <c r="L7187" s="36">
        <v>780.0</v>
      </c>
      <c r="M7187" s="36">
        <v>70.0</v>
      </c>
      <c r="N7187" s="36"/>
      <c r="O7187" s="36"/>
      <c r="P7187" s="37" t="s">
        <v>829</v>
      </c>
      <c r="Q7187" s="36"/>
      <c r="R7187" s="36">
        <v>10.0</v>
      </c>
      <c r="S7187" s="36" t="s">
        <v>17038</v>
      </c>
      <c r="T7187" s="28" t="s">
        <v>33316</v>
      </c>
      <c r="U7187" s="38" t="str">
        <f>HYPERLINK("https://www.ncbi.nlm.nih.gov/pubmed/25070591","PubMed")</f>
        <v>PubMed</v>
      </c>
      <c r="V7187" s="30"/>
      <c r="W7187" s="49"/>
      <c r="X7187" s="49"/>
      <c r="Y7187" s="35"/>
      <c r="Z7187" s="35"/>
      <c r="AA7187" s="35"/>
      <c r="AB7187" s="35"/>
      <c r="AC7187" s="35"/>
      <c r="AD7187" s="35"/>
      <c r="AE7187" s="35"/>
      <c r="AF7187" s="35"/>
      <c r="AG7187" s="35"/>
      <c r="AH7187" s="35"/>
      <c r="AI7187" s="35"/>
      <c r="AJ7187" s="35"/>
      <c r="AK7187" s="35"/>
      <c r="AL7187" s="35"/>
    </row>
    <row r="7188">
      <c r="A7188" s="1"/>
      <c r="B7188" s="19" t="s">
        <v>33186</v>
      </c>
      <c r="C7188" s="20" t="s">
        <v>29785</v>
      </c>
      <c r="D7188" s="47"/>
      <c r="E7188" s="22" t="s">
        <v>1507</v>
      </c>
      <c r="F7188" s="22" t="s">
        <v>25549</v>
      </c>
      <c r="G7188" s="23">
        <v>2015.0</v>
      </c>
      <c r="H7188" s="22" t="s">
        <v>13641</v>
      </c>
      <c r="I7188" s="24" t="s">
        <v>33317</v>
      </c>
      <c r="J7188" s="22" t="s">
        <v>33318</v>
      </c>
      <c r="K7188" s="22" t="s">
        <v>33319</v>
      </c>
      <c r="L7188" s="36" t="s">
        <v>33320</v>
      </c>
      <c r="M7188" s="36"/>
      <c r="N7188" s="36"/>
      <c r="O7188" s="36" t="s">
        <v>33321</v>
      </c>
      <c r="P7188" s="37"/>
      <c r="Q7188" s="36"/>
      <c r="R7188" s="36"/>
      <c r="S7188" s="36">
        <v>1.0</v>
      </c>
      <c r="T7188" s="336" t="s">
        <v>33322</v>
      </c>
      <c r="U7188" s="38" t="str">
        <f>HYPERLINK("https://www.ncbi.nlm.nih.gov/pubmed/26039223","PubMed")</f>
        <v>PubMed</v>
      </c>
      <c r="V7188" s="30" t="s">
        <v>33323</v>
      </c>
      <c r="W7188" s="49"/>
      <c r="X7188" s="49"/>
      <c r="Y7188" s="35"/>
      <c r="Z7188" s="35"/>
      <c r="AA7188" s="35"/>
      <c r="AB7188" s="35"/>
      <c r="AC7188" s="35"/>
      <c r="AD7188" s="35"/>
      <c r="AE7188" s="35"/>
      <c r="AF7188" s="35"/>
      <c r="AG7188" s="35"/>
      <c r="AH7188" s="35"/>
      <c r="AI7188" s="35"/>
      <c r="AJ7188" s="35"/>
      <c r="AK7188" s="35"/>
      <c r="AL7188" s="35"/>
    </row>
    <row r="7189">
      <c r="A7189" s="1"/>
      <c r="B7189" s="19" t="s">
        <v>33186</v>
      </c>
      <c r="C7189" s="20" t="s">
        <v>29785</v>
      </c>
      <c r="D7189" s="47"/>
      <c r="E7189" s="22" t="s">
        <v>33324</v>
      </c>
      <c r="F7189" s="22" t="s">
        <v>323</v>
      </c>
      <c r="G7189" s="23">
        <v>2015.0</v>
      </c>
      <c r="H7189" s="22" t="s">
        <v>91</v>
      </c>
      <c r="I7189" s="24" t="s">
        <v>33325</v>
      </c>
      <c r="J7189" s="22" t="s">
        <v>253</v>
      </c>
      <c r="K7189" s="22" t="s">
        <v>33326</v>
      </c>
      <c r="L7189" s="36">
        <v>650.0</v>
      </c>
      <c r="M7189" s="36">
        <v>30.0</v>
      </c>
      <c r="N7189" s="36"/>
      <c r="O7189" s="36"/>
      <c r="P7189" s="37" t="s">
        <v>16955</v>
      </c>
      <c r="Q7189" s="36" t="s">
        <v>675</v>
      </c>
      <c r="R7189" s="36"/>
      <c r="S7189" s="36">
        <v>15.0</v>
      </c>
      <c r="T7189" s="28" t="s">
        <v>33327</v>
      </c>
      <c r="U7189" s="38" t="str">
        <f>HYPERLINK("https://www.ncbi.nlm.nih.gov/pubmed/25759233","PubMed")</f>
        <v>PubMed</v>
      </c>
      <c r="V7189" s="30" t="s">
        <v>33328</v>
      </c>
      <c r="W7189" s="49"/>
      <c r="X7189" s="49"/>
      <c r="Y7189" s="35"/>
      <c r="Z7189" s="35"/>
      <c r="AA7189" s="35"/>
      <c r="AB7189" s="35"/>
      <c r="AC7189" s="35"/>
      <c r="AD7189" s="35"/>
      <c r="AE7189" s="35"/>
      <c r="AF7189" s="35"/>
      <c r="AG7189" s="35"/>
      <c r="AH7189" s="35"/>
      <c r="AI7189" s="35"/>
      <c r="AJ7189" s="35"/>
      <c r="AK7189" s="35"/>
      <c r="AL7189" s="35"/>
    </row>
    <row r="7190">
      <c r="A7190" s="1"/>
      <c r="B7190" s="19" t="s">
        <v>33186</v>
      </c>
      <c r="C7190" s="20" t="s">
        <v>29785</v>
      </c>
      <c r="D7190" s="47"/>
      <c r="E7190" s="22" t="s">
        <v>33303</v>
      </c>
      <c r="F7190" s="22" t="s">
        <v>510</v>
      </c>
      <c r="G7190" s="23">
        <v>2014.0</v>
      </c>
      <c r="H7190" s="22" t="s">
        <v>91</v>
      </c>
      <c r="I7190" s="24" t="s">
        <v>33329</v>
      </c>
      <c r="J7190" s="22" t="s">
        <v>55</v>
      </c>
      <c r="K7190" s="22" t="s">
        <v>33330</v>
      </c>
      <c r="L7190" s="36">
        <v>640.0</v>
      </c>
      <c r="M7190" s="36">
        <v>30.0</v>
      </c>
      <c r="N7190" s="36"/>
      <c r="O7190" s="36"/>
      <c r="P7190" s="37" t="s">
        <v>254</v>
      </c>
      <c r="Q7190" s="36" t="s">
        <v>840</v>
      </c>
      <c r="R7190" s="36">
        <v>120.0</v>
      </c>
      <c r="S7190" s="36" t="s">
        <v>13822</v>
      </c>
      <c r="T7190" s="28" t="s">
        <v>33331</v>
      </c>
      <c r="U7190" s="38" t="str">
        <f>HYPERLINK("https://www.ncbi.nlm.nih.gov/pubmed/23660737","PubMed")</f>
        <v>PubMed</v>
      </c>
      <c r="V7190" s="30"/>
      <c r="W7190" s="34"/>
      <c r="X7190" s="34"/>
      <c r="Y7190" s="35"/>
      <c r="Z7190" s="35"/>
      <c r="AA7190" s="35"/>
      <c r="AB7190" s="35"/>
      <c r="AC7190" s="35"/>
      <c r="AD7190" s="35"/>
      <c r="AE7190" s="35"/>
      <c r="AF7190" s="35"/>
      <c r="AG7190" s="35"/>
      <c r="AH7190" s="35"/>
      <c r="AI7190" s="35"/>
      <c r="AJ7190" s="35"/>
      <c r="AK7190" s="35"/>
      <c r="AL7190" s="35"/>
    </row>
    <row r="7191">
      <c r="A7191" s="1"/>
      <c r="B7191" s="19" t="s">
        <v>33186</v>
      </c>
      <c r="C7191" s="20" t="s">
        <v>29785</v>
      </c>
      <c r="D7191" s="47"/>
      <c r="E7191" s="22" t="s">
        <v>33332</v>
      </c>
      <c r="F7191" s="22" t="s">
        <v>33333</v>
      </c>
      <c r="G7191" s="23">
        <v>2014.0</v>
      </c>
      <c r="H7191" s="22" t="s">
        <v>91</v>
      </c>
      <c r="I7191" s="24" t="s">
        <v>33334</v>
      </c>
      <c r="J7191" s="22" t="s">
        <v>55</v>
      </c>
      <c r="K7191" s="22" t="s">
        <v>157</v>
      </c>
      <c r="L7191" s="36">
        <v>880.0</v>
      </c>
      <c r="M7191" s="36">
        <v>22.0</v>
      </c>
      <c r="N7191" s="36"/>
      <c r="O7191" s="36"/>
      <c r="P7191" s="37"/>
      <c r="Q7191" s="36" t="s">
        <v>840</v>
      </c>
      <c r="R7191" s="36">
        <v>170.0</v>
      </c>
      <c r="S7191" s="36" t="s">
        <v>13822</v>
      </c>
      <c r="T7191" s="28" t="s">
        <v>33335</v>
      </c>
      <c r="U7191" s="38" t="str">
        <f>HYPERLINK("https://www.ncbi.nlm.nih.gov/pubmed/23404386","PubMed")</f>
        <v>PubMed</v>
      </c>
      <c r="V7191" s="30"/>
      <c r="W7191" s="34"/>
      <c r="X7191" s="34"/>
      <c r="Y7191" s="35"/>
      <c r="Z7191" s="35"/>
      <c r="AA7191" s="35"/>
      <c r="AB7191" s="35"/>
      <c r="AC7191" s="35"/>
      <c r="AD7191" s="35"/>
      <c r="AE7191" s="35"/>
      <c r="AF7191" s="35"/>
      <c r="AG7191" s="35"/>
      <c r="AH7191" s="35"/>
      <c r="AI7191" s="35"/>
      <c r="AJ7191" s="35"/>
      <c r="AK7191" s="35"/>
      <c r="AL7191" s="35"/>
    </row>
    <row r="7192">
      <c r="A7192" s="1"/>
      <c r="B7192" s="19" t="s">
        <v>33186</v>
      </c>
      <c r="C7192" s="20" t="s">
        <v>29785</v>
      </c>
      <c r="D7192" s="47"/>
      <c r="E7192" s="22" t="s">
        <v>33102</v>
      </c>
      <c r="F7192" s="22" t="s">
        <v>41</v>
      </c>
      <c r="G7192" s="23">
        <v>2014.0</v>
      </c>
      <c r="H7192" s="22" t="s">
        <v>658</v>
      </c>
      <c r="I7192" s="24" t="s">
        <v>33336</v>
      </c>
      <c r="J7192" s="22" t="s">
        <v>55</v>
      </c>
      <c r="K7192" s="22" t="s">
        <v>33337</v>
      </c>
      <c r="L7192" s="36">
        <v>830.0</v>
      </c>
      <c r="M7192" s="36">
        <v>80.0</v>
      </c>
      <c r="N7192" s="129">
        <v>42584.0</v>
      </c>
      <c r="O7192" s="129">
        <v>42705.0</v>
      </c>
      <c r="P7192" s="37" t="s">
        <v>2746</v>
      </c>
      <c r="Q7192" s="36" t="s">
        <v>280</v>
      </c>
      <c r="R7192" s="36">
        <v>14.0</v>
      </c>
      <c r="S7192" s="183">
        <v>42430.0</v>
      </c>
      <c r="T7192" s="28" t="s">
        <v>33338</v>
      </c>
      <c r="U7192" s="38" t="str">
        <f>HYPERLINK("https://www.ncbi.nlm.nih.gov/pubmed/24456187","PubMed")</f>
        <v>PubMed</v>
      </c>
      <c r="V7192" s="30"/>
      <c r="W7192" s="49"/>
      <c r="X7192" s="49"/>
      <c r="Y7192" s="35"/>
      <c r="Z7192" s="35"/>
      <c r="AA7192" s="35"/>
      <c r="AB7192" s="35"/>
      <c r="AC7192" s="35"/>
      <c r="AD7192" s="35"/>
      <c r="AE7192" s="35"/>
      <c r="AF7192" s="35"/>
      <c r="AG7192" s="35"/>
      <c r="AH7192" s="35"/>
      <c r="AI7192" s="35"/>
      <c r="AJ7192" s="35"/>
      <c r="AK7192" s="35"/>
      <c r="AL7192" s="35"/>
    </row>
    <row r="7193">
      <c r="A7193" s="1" t="s">
        <v>2</v>
      </c>
      <c r="B7193" s="19" t="s">
        <v>33186</v>
      </c>
      <c r="C7193" s="20" t="s">
        <v>29785</v>
      </c>
      <c r="D7193" s="47"/>
      <c r="E7193" s="22" t="s">
        <v>33339</v>
      </c>
      <c r="F7193" s="22" t="s">
        <v>41</v>
      </c>
      <c r="G7193" s="23">
        <v>2014.0</v>
      </c>
      <c r="H7193" s="22" t="s">
        <v>33340</v>
      </c>
      <c r="I7193" s="24" t="s">
        <v>33341</v>
      </c>
      <c r="J7193" s="22" t="s">
        <v>55</v>
      </c>
      <c r="K7193" s="22" t="s">
        <v>33342</v>
      </c>
      <c r="L7193" s="36">
        <v>810.0</v>
      </c>
      <c r="M7193" s="36">
        <v>100.0</v>
      </c>
      <c r="N7193" s="36"/>
      <c r="O7193" s="36" t="s">
        <v>1352</v>
      </c>
      <c r="P7193" s="37"/>
      <c r="Q7193" s="36" t="s">
        <v>280</v>
      </c>
      <c r="R7193" s="36" t="s">
        <v>33343</v>
      </c>
      <c r="S7193" s="36"/>
      <c r="T7193" s="28" t="s">
        <v>33344</v>
      </c>
      <c r="U7193" s="38" t="str">
        <f>HYPERLINK("https://www.ncbi.nlm.nih.gov/pubmed/24126100","PubMed")</f>
        <v>PubMed</v>
      </c>
      <c r="V7193" s="30"/>
      <c r="W7193" s="49"/>
      <c r="X7193" s="49"/>
      <c r="Y7193" s="35"/>
      <c r="Z7193" s="35"/>
      <c r="AA7193" s="35"/>
      <c r="AB7193" s="35"/>
      <c r="AC7193" s="35"/>
      <c r="AD7193" s="35"/>
      <c r="AE7193" s="35"/>
      <c r="AF7193" s="35"/>
      <c r="AG7193" s="35"/>
      <c r="AH7193" s="35"/>
      <c r="AI7193" s="35"/>
      <c r="AJ7193" s="35"/>
      <c r="AK7193" s="35"/>
      <c r="AL7193" s="35"/>
    </row>
    <row r="7194">
      <c r="A7194" s="1"/>
      <c r="B7194" s="19" t="s">
        <v>33186</v>
      </c>
      <c r="C7194" s="20" t="s">
        <v>29785</v>
      </c>
      <c r="D7194" s="47"/>
      <c r="E7194" s="22" t="s">
        <v>33345</v>
      </c>
      <c r="F7194" s="22" t="s">
        <v>41</v>
      </c>
      <c r="G7194" s="23">
        <v>2014.0</v>
      </c>
      <c r="H7194" s="22" t="s">
        <v>91</v>
      </c>
      <c r="I7194" s="24" t="s">
        <v>33346</v>
      </c>
      <c r="J7194" s="22" t="s">
        <v>55</v>
      </c>
      <c r="K7194" s="22" t="s">
        <v>33347</v>
      </c>
      <c r="L7194" s="36">
        <v>830.0</v>
      </c>
      <c r="M7194" s="36">
        <v>40.0</v>
      </c>
      <c r="N7194" s="36" t="s">
        <v>3054</v>
      </c>
      <c r="O7194" s="36"/>
      <c r="P7194" s="37" t="s">
        <v>254</v>
      </c>
      <c r="Q7194" s="36"/>
      <c r="R7194" s="36"/>
      <c r="S7194" s="36"/>
      <c r="T7194" s="28" t="s">
        <v>33348</v>
      </c>
      <c r="U7194" s="38" t="str">
        <f>HYPERLINK("https://www.ncbi.nlm.nih.gov/pubmed/23982719","PubMed")</f>
        <v>PubMed</v>
      </c>
      <c r="V7194" s="30"/>
      <c r="W7194" s="34"/>
      <c r="X7194" s="34"/>
      <c r="Y7194" s="35"/>
      <c r="Z7194" s="35"/>
      <c r="AA7194" s="35"/>
      <c r="AB7194" s="35"/>
      <c r="AC7194" s="35"/>
      <c r="AD7194" s="35"/>
      <c r="AE7194" s="35"/>
      <c r="AF7194" s="35"/>
      <c r="AG7194" s="35"/>
      <c r="AH7194" s="35"/>
      <c r="AI7194" s="35"/>
      <c r="AJ7194" s="35"/>
      <c r="AK7194" s="35"/>
      <c r="AL7194" s="35"/>
    </row>
    <row r="7195">
      <c r="A7195" s="1"/>
      <c r="B7195" s="19" t="s">
        <v>33186</v>
      </c>
      <c r="C7195" s="20" t="s">
        <v>29785</v>
      </c>
      <c r="D7195" s="47"/>
      <c r="E7195" s="22" t="s">
        <v>9001</v>
      </c>
      <c r="F7195" s="22" t="s">
        <v>41</v>
      </c>
      <c r="G7195" s="23">
        <v>2014.0</v>
      </c>
      <c r="H7195" s="22" t="s">
        <v>658</v>
      </c>
      <c r="I7195" s="24" t="s">
        <v>33349</v>
      </c>
      <c r="J7195" s="22" t="s">
        <v>55</v>
      </c>
      <c r="K7195" s="22" t="s">
        <v>33350</v>
      </c>
      <c r="L7195" s="36">
        <v>780.0</v>
      </c>
      <c r="M7195" s="36">
        <v>70.0</v>
      </c>
      <c r="N7195" s="36"/>
      <c r="O7195" s="36"/>
      <c r="P7195" s="37" t="s">
        <v>829</v>
      </c>
      <c r="Q7195" s="36"/>
      <c r="R7195" s="36">
        <v>10.0</v>
      </c>
      <c r="S7195" s="36" t="s">
        <v>17038</v>
      </c>
      <c r="T7195" s="28" t="s">
        <v>33351</v>
      </c>
      <c r="U7195" s="38" t="str">
        <f>HYPERLINK("https://www.ncbi.nlm.nih.gov/pubmed/24831690","PubMed")</f>
        <v>PubMed</v>
      </c>
      <c r="V7195" s="30"/>
      <c r="W7195" s="49"/>
      <c r="X7195" s="49"/>
      <c r="Y7195" s="35"/>
      <c r="Z7195" s="35"/>
      <c r="AA7195" s="35"/>
      <c r="AB7195" s="35"/>
      <c r="AC7195" s="35"/>
      <c r="AD7195" s="35"/>
      <c r="AE7195" s="35"/>
      <c r="AF7195" s="35"/>
      <c r="AG7195" s="35"/>
      <c r="AH7195" s="35"/>
      <c r="AI7195" s="35"/>
      <c r="AJ7195" s="35"/>
      <c r="AK7195" s="35"/>
      <c r="AL7195" s="35"/>
    </row>
    <row r="7196">
      <c r="A7196" s="1"/>
      <c r="B7196" s="19" t="s">
        <v>33186</v>
      </c>
      <c r="C7196" s="20" t="s">
        <v>29785</v>
      </c>
      <c r="D7196" s="47"/>
      <c r="E7196" s="22" t="s">
        <v>33352</v>
      </c>
      <c r="F7196" s="22" t="s">
        <v>323</v>
      </c>
      <c r="G7196" s="23">
        <v>2014.0</v>
      </c>
      <c r="H7196" s="22" t="s">
        <v>91</v>
      </c>
      <c r="I7196" s="24" t="s">
        <v>33353</v>
      </c>
      <c r="J7196" s="22" t="s">
        <v>55</v>
      </c>
      <c r="K7196" s="22" t="s">
        <v>33354</v>
      </c>
      <c r="L7196" s="36">
        <v>633.0</v>
      </c>
      <c r="M7196" s="129">
        <v>43138.0</v>
      </c>
      <c r="N7196" s="129">
        <v>43191.0</v>
      </c>
      <c r="O7196" s="36" t="s">
        <v>6876</v>
      </c>
      <c r="P7196" s="37" t="s">
        <v>33113</v>
      </c>
      <c r="Q7196" s="36" t="s">
        <v>33355</v>
      </c>
      <c r="R7196" s="36" t="s">
        <v>33356</v>
      </c>
      <c r="S7196" s="36">
        <v>1.0</v>
      </c>
      <c r="T7196" s="28" t="s">
        <v>33357</v>
      </c>
      <c r="U7196" s="38" t="str">
        <f>HYPERLINK("https://www.ncbi.nlm.nih.gov/pubmed/24622817","PubMed")</f>
        <v>PubMed</v>
      </c>
      <c r="V7196" s="30"/>
      <c r="W7196" s="49"/>
      <c r="X7196" s="49"/>
      <c r="Y7196" s="35"/>
      <c r="Z7196" s="35"/>
      <c r="AA7196" s="35"/>
      <c r="AB7196" s="35"/>
      <c r="AC7196" s="35"/>
      <c r="AD7196" s="35"/>
      <c r="AE7196" s="35"/>
      <c r="AF7196" s="35"/>
      <c r="AG7196" s="35"/>
      <c r="AH7196" s="35"/>
      <c r="AI7196" s="35"/>
      <c r="AJ7196" s="35"/>
      <c r="AK7196" s="35"/>
      <c r="AL7196" s="35"/>
    </row>
    <row r="7197">
      <c r="A7197" s="1"/>
      <c r="B7197" s="19" t="s">
        <v>33186</v>
      </c>
      <c r="C7197" s="20" t="s">
        <v>29785</v>
      </c>
      <c r="D7197" s="47"/>
      <c r="E7197" s="22" t="s">
        <v>4422</v>
      </c>
      <c r="F7197" s="22" t="s">
        <v>41</v>
      </c>
      <c r="G7197" s="23">
        <v>2014.0</v>
      </c>
      <c r="H7197" s="22" t="s">
        <v>91</v>
      </c>
      <c r="I7197" s="24" t="s">
        <v>33358</v>
      </c>
      <c r="J7197" s="22" t="s">
        <v>55</v>
      </c>
      <c r="K7197" s="22" t="s">
        <v>33359</v>
      </c>
      <c r="L7197" s="36">
        <v>830.0</v>
      </c>
      <c r="M7197" s="36">
        <v>50.0</v>
      </c>
      <c r="N7197" s="36"/>
      <c r="O7197" s="36">
        <v>6.0</v>
      </c>
      <c r="P7197" s="37"/>
      <c r="Q7197" s="36" t="s">
        <v>280</v>
      </c>
      <c r="R7197" s="36">
        <v>120.0</v>
      </c>
      <c r="S7197" s="36" t="s">
        <v>13822</v>
      </c>
      <c r="T7197" s="28" t="s">
        <v>33360</v>
      </c>
      <c r="U7197" s="38" t="str">
        <f>HYPERLINK("https://www.ncbi.nlm.nih.gov/pubmed/24186775","PubMed")</f>
        <v>PubMed</v>
      </c>
      <c r="V7197" s="30"/>
      <c r="W7197" s="49"/>
      <c r="X7197" s="49"/>
      <c r="Y7197" s="35"/>
      <c r="Z7197" s="35"/>
      <c r="AA7197" s="35"/>
      <c r="AB7197" s="35"/>
      <c r="AC7197" s="35"/>
      <c r="AD7197" s="35"/>
      <c r="AE7197" s="35"/>
      <c r="AF7197" s="35"/>
      <c r="AG7197" s="35"/>
      <c r="AH7197" s="35"/>
      <c r="AI7197" s="35"/>
      <c r="AJ7197" s="35"/>
      <c r="AK7197" s="35"/>
      <c r="AL7197" s="35"/>
    </row>
    <row r="7198">
      <c r="A7198" s="1"/>
      <c r="B7198" s="19" t="s">
        <v>33186</v>
      </c>
      <c r="C7198" s="20" t="s">
        <v>29785</v>
      </c>
      <c r="D7198" s="47"/>
      <c r="E7198" s="22" t="s">
        <v>33361</v>
      </c>
      <c r="F7198" s="22" t="s">
        <v>30713</v>
      </c>
      <c r="G7198" s="23">
        <v>2013.0</v>
      </c>
      <c r="H7198" s="22" t="s">
        <v>91</v>
      </c>
      <c r="I7198" s="24" t="s">
        <v>33362</v>
      </c>
      <c r="J7198" s="22" t="s">
        <v>55</v>
      </c>
      <c r="K7198" s="22" t="s">
        <v>33363</v>
      </c>
      <c r="L7198" s="36">
        <v>633.0</v>
      </c>
      <c r="M7198" s="129">
        <v>42407.0</v>
      </c>
      <c r="N7198" s="129">
        <v>42461.0</v>
      </c>
      <c r="O7198" s="36"/>
      <c r="P7198" s="37" t="s">
        <v>33364</v>
      </c>
      <c r="Q7198" s="36" t="s">
        <v>33365</v>
      </c>
      <c r="R7198" s="36"/>
      <c r="S7198" s="36"/>
      <c r="T7198" s="28" t="s">
        <v>33366</v>
      </c>
      <c r="U7198" s="38" t="str">
        <f>HYPERLINK("https://www.ncbi.nlm.nih.gov/pubmed/22370620","PubMed")</f>
        <v>PubMed</v>
      </c>
      <c r="V7198" s="30"/>
      <c r="W7198" s="34"/>
      <c r="X7198" s="34"/>
      <c r="Y7198" s="35"/>
      <c r="Z7198" s="35"/>
      <c r="AA7198" s="35"/>
      <c r="AB7198" s="35"/>
      <c r="AC7198" s="35"/>
      <c r="AD7198" s="35"/>
      <c r="AE7198" s="35"/>
      <c r="AF7198" s="35"/>
      <c r="AG7198" s="35"/>
      <c r="AH7198" s="35"/>
      <c r="AI7198" s="35"/>
      <c r="AJ7198" s="35"/>
      <c r="AK7198" s="35"/>
      <c r="AL7198" s="35"/>
    </row>
    <row r="7199">
      <c r="A7199" s="1"/>
      <c r="B7199" s="19" t="s">
        <v>33186</v>
      </c>
      <c r="C7199" s="20" t="s">
        <v>29785</v>
      </c>
      <c r="D7199" s="47"/>
      <c r="E7199" s="22" t="s">
        <v>114</v>
      </c>
      <c r="F7199" s="22" t="s">
        <v>510</v>
      </c>
      <c r="G7199" s="23">
        <v>2013.0</v>
      </c>
      <c r="H7199" s="22" t="s">
        <v>91</v>
      </c>
      <c r="I7199" s="24" t="s">
        <v>33367</v>
      </c>
      <c r="J7199" s="22" t="s">
        <v>55</v>
      </c>
      <c r="K7199" s="22" t="s">
        <v>294</v>
      </c>
      <c r="L7199" s="36" t="s">
        <v>943</v>
      </c>
      <c r="M7199" s="129"/>
      <c r="N7199" s="36" t="s">
        <v>2259</v>
      </c>
      <c r="O7199" s="36" t="s">
        <v>267</v>
      </c>
      <c r="P7199" s="37" t="s">
        <v>33368</v>
      </c>
      <c r="Q7199" s="36"/>
      <c r="R7199" s="36" t="s">
        <v>33369</v>
      </c>
      <c r="S7199" s="36"/>
      <c r="T7199" s="28" t="s">
        <v>33370</v>
      </c>
      <c r="U7199" s="38" t="str">
        <f>HYPERLINK("https://www.ncbi.nlm.nih.gov/pubmed/23307438","PubMed")</f>
        <v>PubMed</v>
      </c>
      <c r="V7199" s="30"/>
      <c r="W7199" s="34"/>
      <c r="X7199" s="34"/>
      <c r="Y7199" s="35"/>
      <c r="Z7199" s="35"/>
      <c r="AA7199" s="35"/>
      <c r="AB7199" s="35"/>
      <c r="AC7199" s="35"/>
      <c r="AD7199" s="35"/>
      <c r="AE7199" s="35"/>
      <c r="AF7199" s="35"/>
      <c r="AG7199" s="35"/>
      <c r="AH7199" s="35"/>
      <c r="AI7199" s="35"/>
      <c r="AJ7199" s="35"/>
      <c r="AK7199" s="35"/>
      <c r="AL7199" s="35"/>
    </row>
    <row r="7200">
      <c r="A7200" s="1"/>
      <c r="B7200" s="19" t="s">
        <v>33186</v>
      </c>
      <c r="C7200" s="20" t="s">
        <v>29785</v>
      </c>
      <c r="D7200" s="47"/>
      <c r="E7200" s="22" t="s">
        <v>33345</v>
      </c>
      <c r="F7200" s="22" t="s">
        <v>41</v>
      </c>
      <c r="G7200" s="23">
        <v>2013.0</v>
      </c>
      <c r="H7200" s="22" t="s">
        <v>91</v>
      </c>
      <c r="I7200" s="24" t="s">
        <v>33371</v>
      </c>
      <c r="J7200" s="22" t="s">
        <v>55</v>
      </c>
      <c r="K7200" s="22" t="s">
        <v>33372</v>
      </c>
      <c r="L7200" s="36">
        <v>830.0</v>
      </c>
      <c r="M7200" s="36">
        <v>40.0</v>
      </c>
      <c r="N7200" s="36"/>
      <c r="O7200" s="36"/>
      <c r="P7200" s="37" t="s">
        <v>254</v>
      </c>
      <c r="Q7200" s="418"/>
      <c r="R7200" s="36" t="s">
        <v>33373</v>
      </c>
      <c r="S7200" s="36" t="s">
        <v>33374</v>
      </c>
      <c r="T7200" s="28" t="s">
        <v>33375</v>
      </c>
      <c r="U7200" s="38" t="str">
        <f>HYPERLINK("https://www.ncbi.nlm.nih.gov/pubmed/23179310","PubMed")</f>
        <v>PubMed</v>
      </c>
      <c r="V7200" s="30"/>
      <c r="W7200" s="34"/>
      <c r="X7200" s="34"/>
      <c r="Y7200" s="35"/>
      <c r="Z7200" s="35"/>
      <c r="AA7200" s="35"/>
      <c r="AB7200" s="35"/>
      <c r="AC7200" s="35"/>
      <c r="AD7200" s="35"/>
      <c r="AE7200" s="35"/>
      <c r="AF7200" s="35"/>
      <c r="AG7200" s="35"/>
      <c r="AH7200" s="35"/>
      <c r="AI7200" s="35"/>
      <c r="AJ7200" s="35"/>
      <c r="AK7200" s="35"/>
      <c r="AL7200" s="35"/>
    </row>
    <row r="7201">
      <c r="A7201" s="1"/>
      <c r="B7201" s="19" t="s">
        <v>33186</v>
      </c>
      <c r="C7201" s="20" t="s">
        <v>29785</v>
      </c>
      <c r="D7201" s="47"/>
      <c r="E7201" s="22" t="s">
        <v>4422</v>
      </c>
      <c r="F7201" s="22" t="s">
        <v>41</v>
      </c>
      <c r="G7201" s="23">
        <v>2013.0</v>
      </c>
      <c r="H7201" s="22" t="s">
        <v>91</v>
      </c>
      <c r="I7201" s="24" t="s">
        <v>33376</v>
      </c>
      <c r="J7201" s="22" t="s">
        <v>55</v>
      </c>
      <c r="K7201" s="22"/>
      <c r="L7201" s="36">
        <v>780.0</v>
      </c>
      <c r="M7201" s="36">
        <v>22.0</v>
      </c>
      <c r="N7201" s="36" t="s">
        <v>33377</v>
      </c>
      <c r="O7201" s="36" t="s">
        <v>33378</v>
      </c>
      <c r="P7201" s="37" t="s">
        <v>704</v>
      </c>
      <c r="Q7201" s="418"/>
      <c r="R7201" s="36"/>
      <c r="S7201" s="36"/>
      <c r="T7201" s="28" t="s">
        <v>33379</v>
      </c>
      <c r="U7201" s="38" t="str">
        <f>HYPERLINK("https://www.ncbi.nlm.nih.gov/pubmed/22926534","PubMed")</f>
        <v>PubMed</v>
      </c>
      <c r="V7201" s="30"/>
      <c r="W7201" s="34"/>
      <c r="X7201" s="34"/>
      <c r="Y7201" s="35"/>
      <c r="Z7201" s="35"/>
      <c r="AA7201" s="35"/>
      <c r="AB7201" s="35"/>
      <c r="AC7201" s="35"/>
      <c r="AD7201" s="35"/>
      <c r="AE7201" s="35"/>
      <c r="AF7201" s="35"/>
      <c r="AG7201" s="35"/>
      <c r="AH7201" s="35"/>
      <c r="AI7201" s="35"/>
      <c r="AJ7201" s="35"/>
      <c r="AK7201" s="35"/>
      <c r="AL7201" s="35"/>
    </row>
    <row r="7202">
      <c r="A7202" s="1"/>
      <c r="B7202" s="19" t="s">
        <v>33186</v>
      </c>
      <c r="C7202" s="20" t="s">
        <v>29785</v>
      </c>
      <c r="D7202" s="47"/>
      <c r="E7202" s="22" t="s">
        <v>33270</v>
      </c>
      <c r="F7202" s="22" t="s">
        <v>2065</v>
      </c>
      <c r="G7202" s="23">
        <v>2012.0</v>
      </c>
      <c r="H7202" s="22" t="s">
        <v>4783</v>
      </c>
      <c r="I7202" s="24" t="s">
        <v>33380</v>
      </c>
      <c r="J7202" s="22" t="s">
        <v>33381</v>
      </c>
      <c r="K7202" s="22"/>
      <c r="L7202" s="36">
        <v>810.0</v>
      </c>
      <c r="M7202" s="36">
        <v>100.0</v>
      </c>
      <c r="N7202" s="36" t="s">
        <v>33382</v>
      </c>
      <c r="O7202" s="36" t="s">
        <v>33383</v>
      </c>
      <c r="P7202" s="37"/>
      <c r="Q7202" s="36" t="s">
        <v>809</v>
      </c>
      <c r="R7202" s="36">
        <v>180.0</v>
      </c>
      <c r="S7202" s="36" t="s">
        <v>4905</v>
      </c>
      <c r="T7202" s="419" t="s">
        <v>33384</v>
      </c>
      <c r="U7202" s="38" t="str">
        <f>HYPERLINK("https://www.ncbi.nlm.nih.gov/pubmed/22541305","PubMed")</f>
        <v>PubMed</v>
      </c>
      <c r="V7202" s="30"/>
      <c r="W7202" s="130" t="str">
        <f>HYPERLINK("https://www.ncbi.nlm.nih.gov/pubmed/23351679","PubMed")</f>
        <v>PubMed</v>
      </c>
      <c r="X7202" s="130" t="str">
        <f>HYPERLINK("https://www.ncbi.nlm.nih.gov/pubmed/23351678","PubMed")</f>
        <v>PubMed</v>
      </c>
      <c r="Y7202" s="35"/>
      <c r="Z7202" s="35"/>
      <c r="AA7202" s="35"/>
      <c r="AB7202" s="35"/>
      <c r="AC7202" s="35"/>
      <c r="AD7202" s="35"/>
      <c r="AE7202" s="35"/>
      <c r="AF7202" s="35"/>
      <c r="AG7202" s="35"/>
      <c r="AH7202" s="35"/>
      <c r="AI7202" s="35"/>
      <c r="AJ7202" s="35"/>
      <c r="AK7202" s="35"/>
      <c r="AL7202" s="35"/>
    </row>
    <row r="7203">
      <c r="A7203" s="1"/>
      <c r="B7203" s="19" t="s">
        <v>33186</v>
      </c>
      <c r="C7203" s="20" t="s">
        <v>29785</v>
      </c>
      <c r="D7203" s="47"/>
      <c r="E7203" s="22" t="s">
        <v>33385</v>
      </c>
      <c r="F7203" s="22" t="s">
        <v>9514</v>
      </c>
      <c r="G7203" s="23">
        <v>2012.0</v>
      </c>
      <c r="H7203" s="22" t="s">
        <v>16330</v>
      </c>
      <c r="I7203" s="24" t="s">
        <v>33386</v>
      </c>
      <c r="J7203" s="22" t="s">
        <v>649</v>
      </c>
      <c r="K7203" s="22"/>
      <c r="L7203" s="171" t="s">
        <v>33387</v>
      </c>
      <c r="M7203" s="44"/>
      <c r="N7203" s="44"/>
      <c r="O7203" s="44"/>
      <c r="P7203" s="44"/>
      <c r="Q7203" s="44"/>
      <c r="R7203" s="44"/>
      <c r="S7203" s="44"/>
      <c r="T7203" s="45"/>
      <c r="U7203" s="38" t="str">
        <f>HYPERLINK("https://www.ncbi.nlm.nih.gov/pubmed/23006143","PubMed")</f>
        <v>PubMed</v>
      </c>
      <c r="V7203" s="30"/>
      <c r="W7203" s="34"/>
      <c r="X7203" s="34"/>
      <c r="Y7203" s="35"/>
      <c r="Z7203" s="35"/>
      <c r="AA7203" s="35"/>
      <c r="AB7203" s="35"/>
      <c r="AC7203" s="35"/>
      <c r="AD7203" s="35"/>
      <c r="AE7203" s="35"/>
      <c r="AF7203" s="35"/>
      <c r="AG7203" s="35"/>
      <c r="AH7203" s="35"/>
      <c r="AI7203" s="35"/>
      <c r="AJ7203" s="35"/>
      <c r="AK7203" s="35"/>
      <c r="AL7203" s="35"/>
    </row>
    <row r="7204">
      <c r="A7204" s="1"/>
      <c r="B7204" s="19" t="s">
        <v>33186</v>
      </c>
      <c r="C7204" s="20" t="s">
        <v>29785</v>
      </c>
      <c r="D7204" s="47"/>
      <c r="E7204" s="22" t="s">
        <v>33388</v>
      </c>
      <c r="F7204" s="22" t="s">
        <v>33389</v>
      </c>
      <c r="G7204" s="23">
        <v>2012.0</v>
      </c>
      <c r="H7204" s="22" t="s">
        <v>658</v>
      </c>
      <c r="I7204" s="24" t="s">
        <v>33390</v>
      </c>
      <c r="J7204" s="22" t="s">
        <v>55</v>
      </c>
      <c r="K7204" s="22" t="s">
        <v>33391</v>
      </c>
      <c r="L7204" s="36">
        <v>660.0</v>
      </c>
      <c r="M7204" s="129">
        <v>42590.0</v>
      </c>
      <c r="N7204" s="36"/>
      <c r="O7204" s="36" t="s">
        <v>33392</v>
      </c>
      <c r="P7204" s="37" t="s">
        <v>4832</v>
      </c>
      <c r="Q7204" s="36" t="s">
        <v>1264</v>
      </c>
      <c r="R7204" s="36">
        <v>50.0</v>
      </c>
      <c r="S7204" s="36"/>
      <c r="T7204" s="42" t="s">
        <v>33393</v>
      </c>
      <c r="U7204" s="38" t="str">
        <f>HYPERLINK("https://www.ncbi.nlm.nih.gov/pubmed/22235970","PubMed")</f>
        <v>PubMed</v>
      </c>
      <c r="V7204" s="30"/>
      <c r="W7204" s="34"/>
      <c r="X7204" s="34"/>
      <c r="Y7204" s="35"/>
      <c r="Z7204" s="35"/>
      <c r="AA7204" s="35"/>
      <c r="AB7204" s="35"/>
      <c r="AC7204" s="35"/>
      <c r="AD7204" s="35"/>
      <c r="AE7204" s="35"/>
      <c r="AF7204" s="35"/>
      <c r="AG7204" s="35"/>
      <c r="AH7204" s="35"/>
      <c r="AI7204" s="35"/>
      <c r="AJ7204" s="35"/>
      <c r="AK7204" s="35"/>
      <c r="AL7204" s="35"/>
    </row>
    <row r="7205">
      <c r="A7205" s="1"/>
      <c r="B7205" s="19" t="s">
        <v>33186</v>
      </c>
      <c r="C7205" s="20" t="s">
        <v>29785</v>
      </c>
      <c r="D7205" s="47"/>
      <c r="E7205" s="22" t="s">
        <v>33339</v>
      </c>
      <c r="F7205" s="22" t="s">
        <v>41</v>
      </c>
      <c r="G7205" s="23">
        <v>2012.0</v>
      </c>
      <c r="H7205" s="22" t="s">
        <v>33233</v>
      </c>
      <c r="I7205" s="24" t="s">
        <v>33394</v>
      </c>
      <c r="J7205" s="22" t="s">
        <v>55</v>
      </c>
      <c r="K7205" s="22" t="s">
        <v>33342</v>
      </c>
      <c r="L7205" s="36">
        <v>810.0</v>
      </c>
      <c r="M7205" s="36">
        <v>100.0</v>
      </c>
      <c r="N7205" s="36" t="s">
        <v>278</v>
      </c>
      <c r="O7205" s="36" t="s">
        <v>1352</v>
      </c>
      <c r="P7205" s="37" t="s">
        <v>33395</v>
      </c>
      <c r="Q7205" s="36" t="s">
        <v>280</v>
      </c>
      <c r="R7205" s="36" t="s">
        <v>33343</v>
      </c>
      <c r="S7205" s="36">
        <v>1.0</v>
      </c>
      <c r="T7205" s="28" t="s">
        <v>33396</v>
      </c>
      <c r="U7205" s="38" t="str">
        <f>HYPERLINK("https://www.ncbi.nlm.nih.gov/pubmed/22674405","PubMed")</f>
        <v>PubMed</v>
      </c>
      <c r="V7205" s="30"/>
      <c r="W7205" s="34"/>
      <c r="X7205" s="34"/>
      <c r="Y7205" s="35"/>
      <c r="Z7205" s="35"/>
      <c r="AA7205" s="35"/>
      <c r="AB7205" s="35"/>
      <c r="AC7205" s="35"/>
      <c r="AD7205" s="35"/>
      <c r="AE7205" s="35"/>
      <c r="AF7205" s="35"/>
      <c r="AG7205" s="35"/>
      <c r="AH7205" s="35"/>
      <c r="AI7205" s="35"/>
      <c r="AJ7205" s="35"/>
      <c r="AK7205" s="35"/>
      <c r="AL7205" s="35"/>
    </row>
    <row r="7206">
      <c r="A7206" s="1"/>
      <c r="B7206" s="19" t="s">
        <v>33186</v>
      </c>
      <c r="C7206" s="20" t="s">
        <v>29785</v>
      </c>
      <c r="D7206" s="47"/>
      <c r="E7206" s="22" t="s">
        <v>33397</v>
      </c>
      <c r="F7206" s="22" t="s">
        <v>1034</v>
      </c>
      <c r="G7206" s="23">
        <v>2012.0</v>
      </c>
      <c r="H7206" s="22" t="s">
        <v>91</v>
      </c>
      <c r="I7206" s="24" t="s">
        <v>33398</v>
      </c>
      <c r="J7206" s="22" t="s">
        <v>55</v>
      </c>
      <c r="K7206" s="22" t="s">
        <v>33372</v>
      </c>
      <c r="L7206" s="36">
        <v>660.0</v>
      </c>
      <c r="M7206" s="36">
        <v>100.0</v>
      </c>
      <c r="N7206" s="36" t="s">
        <v>278</v>
      </c>
      <c r="O7206" s="36">
        <v>6.0</v>
      </c>
      <c r="P7206" s="37" t="s">
        <v>33399</v>
      </c>
      <c r="Q7206" s="36" t="s">
        <v>280</v>
      </c>
      <c r="R7206" s="36">
        <v>60.0</v>
      </c>
      <c r="S7206" s="36" t="s">
        <v>1352</v>
      </c>
      <c r="T7206" s="28" t="s">
        <v>33400</v>
      </c>
      <c r="U7206" s="38" t="str">
        <f>HYPERLINK("https://www.ncbi.nlm.nih.gov/pubmed/22621670","PubMed")</f>
        <v>PubMed</v>
      </c>
      <c r="V7206" s="30"/>
      <c r="W7206" s="34"/>
      <c r="X7206" s="34"/>
      <c r="Y7206" s="35"/>
      <c r="Z7206" s="35"/>
      <c r="AA7206" s="35"/>
      <c r="AB7206" s="35"/>
      <c r="AC7206" s="35"/>
      <c r="AD7206" s="35"/>
      <c r="AE7206" s="35"/>
      <c r="AF7206" s="35"/>
      <c r="AG7206" s="35"/>
      <c r="AH7206" s="35"/>
      <c r="AI7206" s="35"/>
      <c r="AJ7206" s="35"/>
      <c r="AK7206" s="35"/>
      <c r="AL7206" s="35"/>
    </row>
    <row r="7207">
      <c r="A7207" s="1"/>
      <c r="B7207" s="19" t="s">
        <v>33186</v>
      </c>
      <c r="C7207" s="20" t="s">
        <v>29785</v>
      </c>
      <c r="D7207" s="47"/>
      <c r="E7207" s="22" t="s">
        <v>29802</v>
      </c>
      <c r="F7207" s="22" t="s">
        <v>23054</v>
      </c>
      <c r="G7207" s="23">
        <v>2012.0</v>
      </c>
      <c r="H7207" s="22" t="s">
        <v>91</v>
      </c>
      <c r="I7207" s="24" t="s">
        <v>33401</v>
      </c>
      <c r="J7207" s="22" t="s">
        <v>55</v>
      </c>
      <c r="K7207" s="22" t="s">
        <v>33402</v>
      </c>
      <c r="L7207" s="36">
        <v>904.0</v>
      </c>
      <c r="M7207" s="36">
        <v>60.0</v>
      </c>
      <c r="N7207" s="36" t="s">
        <v>33403</v>
      </c>
      <c r="O7207" s="36">
        <v>3.0</v>
      </c>
      <c r="P7207" s="37"/>
      <c r="Q7207" s="36" t="s">
        <v>12927</v>
      </c>
      <c r="R7207" s="36">
        <v>50.0</v>
      </c>
      <c r="S7207" s="36">
        <v>2.0</v>
      </c>
      <c r="T7207" s="41" t="s">
        <v>33404</v>
      </c>
      <c r="U7207" s="38" t="str">
        <f>HYPERLINK("https://www.ncbi.nlm.nih.gov/pubmed/21547473","PubMed")</f>
        <v>PubMed</v>
      </c>
      <c r="V7207" s="30"/>
      <c r="W7207" s="34"/>
      <c r="X7207" s="34"/>
      <c r="Y7207" s="35"/>
      <c r="Z7207" s="35"/>
      <c r="AA7207" s="35"/>
      <c r="AB7207" s="35"/>
      <c r="AC7207" s="35"/>
      <c r="AD7207" s="35"/>
      <c r="AE7207" s="35"/>
      <c r="AF7207" s="35"/>
      <c r="AG7207" s="35"/>
      <c r="AH7207" s="35"/>
      <c r="AI7207" s="35"/>
      <c r="AJ7207" s="35"/>
      <c r="AK7207" s="35"/>
      <c r="AL7207" s="35"/>
    </row>
    <row r="7208">
      <c r="A7208" s="1"/>
      <c r="B7208" s="19" t="s">
        <v>33186</v>
      </c>
      <c r="C7208" s="20" t="s">
        <v>29785</v>
      </c>
      <c r="D7208" s="47"/>
      <c r="E7208" s="22" t="s">
        <v>8469</v>
      </c>
      <c r="F7208" s="22" t="s">
        <v>510</v>
      </c>
      <c r="G7208" s="23">
        <v>2011.0</v>
      </c>
      <c r="H7208" s="22" t="s">
        <v>91</v>
      </c>
      <c r="I7208" s="24" t="s">
        <v>33405</v>
      </c>
      <c r="J7208" s="22" t="s">
        <v>55</v>
      </c>
      <c r="K7208" s="22" t="s">
        <v>33310</v>
      </c>
      <c r="L7208" s="36">
        <v>780.0</v>
      </c>
      <c r="M7208" s="36"/>
      <c r="N7208" s="36"/>
      <c r="O7208" s="36"/>
      <c r="P7208" s="37" t="s">
        <v>2860</v>
      </c>
      <c r="Q7208" s="36"/>
      <c r="R7208" s="36"/>
      <c r="S7208" s="36" t="s">
        <v>27334</v>
      </c>
      <c r="T7208" s="28" t="s">
        <v>33406</v>
      </c>
      <c r="U7208" s="38" t="str">
        <f>HYPERLINK("https://www.ncbi.nlm.nih.gov/pubmed/20737183","PubMed")</f>
        <v>PubMed</v>
      </c>
      <c r="V7208" s="30"/>
      <c r="W7208" s="34"/>
      <c r="X7208" s="34"/>
      <c r="Y7208" s="35"/>
      <c r="Z7208" s="35"/>
      <c r="AA7208" s="35"/>
      <c r="AB7208" s="35"/>
      <c r="AC7208" s="35"/>
      <c r="AD7208" s="35"/>
      <c r="AE7208" s="35"/>
      <c r="AF7208" s="35"/>
      <c r="AG7208" s="35"/>
      <c r="AH7208" s="35"/>
      <c r="AI7208" s="35"/>
      <c r="AJ7208" s="35"/>
      <c r="AK7208" s="35"/>
      <c r="AL7208" s="35"/>
    </row>
    <row r="7209">
      <c r="A7209" s="1"/>
      <c r="B7209" s="19" t="s">
        <v>33186</v>
      </c>
      <c r="C7209" s="20" t="s">
        <v>29785</v>
      </c>
      <c r="D7209" s="47"/>
      <c r="E7209" s="22" t="s">
        <v>8908</v>
      </c>
      <c r="F7209" s="22" t="s">
        <v>41</v>
      </c>
      <c r="G7209" s="23">
        <v>2011.0</v>
      </c>
      <c r="H7209" s="22" t="s">
        <v>658</v>
      </c>
      <c r="I7209" s="24" t="s">
        <v>33407</v>
      </c>
      <c r="J7209" s="22" t="s">
        <v>55</v>
      </c>
      <c r="K7209" s="22" t="s">
        <v>33408</v>
      </c>
      <c r="L7209" s="36">
        <v>830.0</v>
      </c>
      <c r="M7209" s="36" t="s">
        <v>33409</v>
      </c>
      <c r="N7209" s="36" t="s">
        <v>33410</v>
      </c>
      <c r="O7209" s="36" t="s">
        <v>718</v>
      </c>
      <c r="P7209" s="37" t="s">
        <v>480</v>
      </c>
      <c r="Q7209" s="36" t="s">
        <v>280</v>
      </c>
      <c r="R7209" s="36" t="s">
        <v>33411</v>
      </c>
      <c r="S7209" s="36">
        <v>5.0</v>
      </c>
      <c r="T7209" s="42" t="s">
        <v>33412</v>
      </c>
      <c r="U7209" s="38" t="str">
        <f>HYPERLINK("https://www.ncbi.nlm.nih.gov/pubmed/21668375","PubMed")</f>
        <v>PubMed</v>
      </c>
      <c r="V7209" s="30"/>
      <c r="W7209" s="34"/>
      <c r="X7209" s="34"/>
      <c r="Y7209" s="35"/>
      <c r="Z7209" s="35"/>
      <c r="AA7209" s="35"/>
      <c r="AB7209" s="35"/>
      <c r="AC7209" s="35"/>
      <c r="AD7209" s="35"/>
      <c r="AE7209" s="35"/>
      <c r="AF7209" s="35"/>
      <c r="AG7209" s="35"/>
      <c r="AH7209" s="35"/>
      <c r="AI7209" s="35"/>
      <c r="AJ7209" s="35"/>
      <c r="AK7209" s="35"/>
      <c r="AL7209" s="35"/>
    </row>
    <row r="7210">
      <c r="A7210" s="1"/>
      <c r="B7210" s="19" t="s">
        <v>33186</v>
      </c>
      <c r="C7210" s="20" t="s">
        <v>29785</v>
      </c>
      <c r="D7210" s="47"/>
      <c r="E7210" s="22" t="s">
        <v>33339</v>
      </c>
      <c r="F7210" s="22" t="s">
        <v>41</v>
      </c>
      <c r="G7210" s="23">
        <v>2011.0</v>
      </c>
      <c r="H7210" s="22" t="s">
        <v>4975</v>
      </c>
      <c r="I7210" s="24" t="s">
        <v>33413</v>
      </c>
      <c r="J7210" s="22" t="s">
        <v>55</v>
      </c>
      <c r="K7210" s="22" t="s">
        <v>33414</v>
      </c>
      <c r="L7210" s="36">
        <v>810.0</v>
      </c>
      <c r="M7210" s="36">
        <v>100.0</v>
      </c>
      <c r="N7210" s="36"/>
      <c r="O7210" s="36" t="s">
        <v>33415</v>
      </c>
      <c r="P7210" s="37"/>
      <c r="Q7210" s="36"/>
      <c r="R7210" s="36" t="s">
        <v>5063</v>
      </c>
      <c r="S7210" s="36"/>
      <c r="T7210" s="42" t="s">
        <v>33416</v>
      </c>
      <c r="U7210" s="38" t="str">
        <f>HYPERLINK("https://www.ncbi.nlm.nih.gov/pubmed/21910734","PubMed")</f>
        <v>PubMed</v>
      </c>
      <c r="V7210" s="30"/>
      <c r="W7210" s="34"/>
      <c r="X7210" s="34"/>
      <c r="Y7210" s="35"/>
      <c r="Z7210" s="35"/>
      <c r="AA7210" s="35"/>
      <c r="AB7210" s="35"/>
      <c r="AC7210" s="35"/>
      <c r="AD7210" s="35"/>
      <c r="AE7210" s="35"/>
      <c r="AF7210" s="35"/>
      <c r="AG7210" s="35"/>
      <c r="AH7210" s="35"/>
      <c r="AI7210" s="35"/>
      <c r="AJ7210" s="35"/>
      <c r="AK7210" s="35"/>
      <c r="AL7210" s="35"/>
    </row>
    <row r="7211">
      <c r="A7211" s="1"/>
      <c r="B7211" s="19" t="s">
        <v>33186</v>
      </c>
      <c r="C7211" s="20" t="s">
        <v>29785</v>
      </c>
      <c r="D7211" s="47"/>
      <c r="E7211" s="22" t="s">
        <v>33332</v>
      </c>
      <c r="F7211" s="22" t="s">
        <v>41</v>
      </c>
      <c r="G7211" s="23">
        <v>2010.0</v>
      </c>
      <c r="H7211" s="22" t="s">
        <v>53</v>
      </c>
      <c r="I7211" s="24" t="s">
        <v>33417</v>
      </c>
      <c r="J7211" s="22" t="s">
        <v>55</v>
      </c>
      <c r="K7211" s="22" t="s">
        <v>157</v>
      </c>
      <c r="L7211" s="36">
        <v>880.0</v>
      </c>
      <c r="M7211" s="36">
        <v>22.0</v>
      </c>
      <c r="N7211" s="36"/>
      <c r="O7211" s="36"/>
      <c r="P7211" s="37" t="s">
        <v>704</v>
      </c>
      <c r="Q7211" s="36" t="s">
        <v>840</v>
      </c>
      <c r="R7211" s="36">
        <v>170.0</v>
      </c>
      <c r="S7211" s="36" t="s">
        <v>33418</v>
      </c>
      <c r="T7211" s="28" t="s">
        <v>33419</v>
      </c>
      <c r="U7211" s="38" t="str">
        <f>HYPERLINK("https://www.ncbi.nlm.nih.gov/pubmed/20662032","PubMed")</f>
        <v>PubMed</v>
      </c>
      <c r="V7211" s="30"/>
      <c r="W7211" s="34"/>
      <c r="X7211" s="34"/>
      <c r="Y7211" s="35"/>
      <c r="Z7211" s="35"/>
      <c r="AA7211" s="35"/>
      <c r="AB7211" s="35"/>
      <c r="AC7211" s="35"/>
      <c r="AD7211" s="35"/>
      <c r="AE7211" s="35"/>
      <c r="AF7211" s="35"/>
      <c r="AG7211" s="35"/>
      <c r="AH7211" s="35"/>
      <c r="AI7211" s="35"/>
      <c r="AJ7211" s="35"/>
      <c r="AK7211" s="35"/>
      <c r="AL7211" s="35"/>
    </row>
    <row r="7212">
      <c r="A7212" s="1"/>
      <c r="B7212" s="19" t="s">
        <v>33186</v>
      </c>
      <c r="C7212" s="20" t="s">
        <v>29785</v>
      </c>
      <c r="D7212" s="47"/>
      <c r="E7212" s="22" t="s">
        <v>33420</v>
      </c>
      <c r="F7212" s="22" t="s">
        <v>41</v>
      </c>
      <c r="G7212" s="23">
        <v>2010.0</v>
      </c>
      <c r="H7212" s="22" t="s">
        <v>53</v>
      </c>
      <c r="I7212" s="24" t="s">
        <v>33421</v>
      </c>
      <c r="J7212" s="22" t="s">
        <v>55</v>
      </c>
      <c r="K7212" s="22"/>
      <c r="L7212" s="36">
        <v>830.0</v>
      </c>
      <c r="M7212" s="36">
        <v>40.0</v>
      </c>
      <c r="N7212" s="129">
        <v>42461.0</v>
      </c>
      <c r="O7212" s="36" t="s">
        <v>1814</v>
      </c>
      <c r="P7212" s="37"/>
      <c r="Q7212" s="36" t="s">
        <v>280</v>
      </c>
      <c r="R7212" s="36">
        <v>3.0</v>
      </c>
      <c r="S7212" s="36">
        <v>5.0</v>
      </c>
      <c r="T7212" s="28" t="s">
        <v>33422</v>
      </c>
      <c r="U7212" s="38" t="str">
        <f>HYPERLINK("https://www.ncbi.nlm.nih.gov/pubmed/20662033","PubMed")</f>
        <v>PubMed</v>
      </c>
      <c r="V7212" s="30"/>
      <c r="W7212" s="34"/>
      <c r="X7212" s="34"/>
      <c r="Y7212" s="35"/>
      <c r="Z7212" s="35"/>
      <c r="AA7212" s="35"/>
      <c r="AB7212" s="35"/>
      <c r="AC7212" s="35"/>
      <c r="AD7212" s="35"/>
      <c r="AE7212" s="35"/>
      <c r="AF7212" s="35"/>
      <c r="AG7212" s="35"/>
      <c r="AH7212" s="35"/>
      <c r="AI7212" s="35"/>
      <c r="AJ7212" s="35"/>
      <c r="AK7212" s="35"/>
      <c r="AL7212" s="35"/>
    </row>
    <row r="7213">
      <c r="A7213" s="1"/>
      <c r="B7213" s="19" t="s">
        <v>33186</v>
      </c>
      <c r="C7213" s="20" t="s">
        <v>29785</v>
      </c>
      <c r="D7213" s="47"/>
      <c r="E7213" s="22" t="s">
        <v>33423</v>
      </c>
      <c r="F7213" s="22" t="s">
        <v>274</v>
      </c>
      <c r="G7213" s="23">
        <v>2009.0</v>
      </c>
      <c r="H7213" s="22" t="s">
        <v>967</v>
      </c>
      <c r="I7213" s="24" t="s">
        <v>33424</v>
      </c>
      <c r="J7213" s="22" t="s">
        <v>55</v>
      </c>
      <c r="K7213" s="22" t="s">
        <v>33425</v>
      </c>
      <c r="L7213" s="36" t="s">
        <v>33426</v>
      </c>
      <c r="M7213" s="36"/>
      <c r="N7213" s="420"/>
      <c r="O7213" s="36"/>
      <c r="P7213" s="37"/>
      <c r="Q7213" s="36"/>
      <c r="R7213" s="36"/>
      <c r="S7213" s="36"/>
      <c r="T7213" s="28" t="s">
        <v>33427</v>
      </c>
      <c r="U7213" s="38" t="str">
        <f>HYPERLINK("https://link.springer.com/article/10.1134/S1054660X09170022","Springer")</f>
        <v>Springer</v>
      </c>
      <c r="V7213" s="30"/>
      <c r="W7213" s="34"/>
      <c r="X7213" s="34"/>
      <c r="Y7213" s="35"/>
      <c r="Z7213" s="35"/>
      <c r="AA7213" s="35"/>
      <c r="AB7213" s="35"/>
      <c r="AC7213" s="35"/>
      <c r="AD7213" s="35"/>
      <c r="AE7213" s="35"/>
      <c r="AF7213" s="35"/>
      <c r="AG7213" s="35"/>
      <c r="AH7213" s="35"/>
      <c r="AI7213" s="35"/>
      <c r="AJ7213" s="35"/>
      <c r="AK7213" s="35"/>
      <c r="AL7213" s="35"/>
    </row>
    <row r="7214">
      <c r="A7214" s="1"/>
      <c r="B7214" s="19" t="s">
        <v>33186</v>
      </c>
      <c r="C7214" s="20" t="s">
        <v>29785</v>
      </c>
      <c r="D7214" s="47"/>
      <c r="E7214" s="22" t="s">
        <v>856</v>
      </c>
      <c r="F7214" s="22" t="s">
        <v>41</v>
      </c>
      <c r="G7214" s="23">
        <v>2009.0</v>
      </c>
      <c r="H7214" s="22" t="s">
        <v>53</v>
      </c>
      <c r="I7214" s="24" t="s">
        <v>33428</v>
      </c>
      <c r="J7214" s="22" t="s">
        <v>55</v>
      </c>
      <c r="K7214" s="22"/>
      <c r="L7214" s="36">
        <v>830.0</v>
      </c>
      <c r="M7214" s="36">
        <v>40.0</v>
      </c>
      <c r="N7214" s="420">
        <v>42461.0</v>
      </c>
      <c r="O7214" s="36" t="s">
        <v>1814</v>
      </c>
      <c r="P7214" s="37" t="s">
        <v>254</v>
      </c>
      <c r="Q7214" s="36" t="s">
        <v>280</v>
      </c>
      <c r="R7214" s="36">
        <v>3.0</v>
      </c>
      <c r="S7214" s="36" t="s">
        <v>33429</v>
      </c>
      <c r="T7214" s="28" t="s">
        <v>33430</v>
      </c>
      <c r="U7214" s="38" t="str">
        <f>HYPERLINK("https://www.ncbi.nlm.nih.gov/pubmed/19347936","PubMed")</f>
        <v>PubMed</v>
      </c>
      <c r="V7214" s="30"/>
      <c r="W7214" s="34"/>
      <c r="X7214" s="34"/>
      <c r="Y7214" s="35"/>
      <c r="Z7214" s="35"/>
      <c r="AA7214" s="35"/>
      <c r="AB7214" s="35"/>
      <c r="AC7214" s="35"/>
      <c r="AD7214" s="35"/>
      <c r="AE7214" s="35"/>
      <c r="AF7214" s="35"/>
      <c r="AG7214" s="35"/>
      <c r="AH7214" s="35"/>
      <c r="AI7214" s="35"/>
      <c r="AJ7214" s="35"/>
      <c r="AK7214" s="35"/>
      <c r="AL7214" s="35"/>
    </row>
    <row r="7215">
      <c r="A7215" s="1"/>
      <c r="B7215" s="19" t="s">
        <v>33186</v>
      </c>
      <c r="C7215" s="20" t="s">
        <v>29785</v>
      </c>
      <c r="D7215" s="47"/>
      <c r="E7215" s="22" t="s">
        <v>2195</v>
      </c>
      <c r="F7215" s="22" t="s">
        <v>33431</v>
      </c>
      <c r="G7215" s="23">
        <v>2009.0</v>
      </c>
      <c r="H7215" s="22" t="s">
        <v>33233</v>
      </c>
      <c r="I7215" s="24" t="s">
        <v>33432</v>
      </c>
      <c r="J7215" s="22" t="s">
        <v>31</v>
      </c>
      <c r="K7215" s="421"/>
      <c r="L7215" s="245" t="s">
        <v>33433</v>
      </c>
      <c r="M7215" s="245">
        <v>40.0</v>
      </c>
      <c r="N7215" s="245"/>
      <c r="O7215" s="245"/>
      <c r="P7215" s="244" t="s">
        <v>103</v>
      </c>
      <c r="Q7215" s="245"/>
      <c r="R7215" s="245" t="s">
        <v>33434</v>
      </c>
      <c r="S7215" s="245">
        <v>1.0</v>
      </c>
      <c r="T7215" s="28" t="s">
        <v>33435</v>
      </c>
      <c r="U7215" s="38" t="str">
        <f>HYPERLINK("https://www.ncbi.nlm.nih.gov/pubmed/18991342","PubMed")</f>
        <v>PubMed</v>
      </c>
      <c r="V7215" s="30"/>
      <c r="W7215" s="34"/>
      <c r="X7215" s="34"/>
      <c r="Y7215" s="35"/>
      <c r="Z7215" s="35"/>
      <c r="AA7215" s="35"/>
      <c r="AB7215" s="35"/>
      <c r="AC7215" s="35"/>
      <c r="AD7215" s="35"/>
      <c r="AE7215" s="35"/>
      <c r="AF7215" s="35"/>
      <c r="AG7215" s="35"/>
      <c r="AH7215" s="35"/>
      <c r="AI7215" s="35"/>
      <c r="AJ7215" s="35"/>
      <c r="AK7215" s="35"/>
      <c r="AL7215" s="35"/>
    </row>
    <row r="7216">
      <c r="A7216" s="1"/>
      <c r="B7216" s="19" t="s">
        <v>33186</v>
      </c>
      <c r="C7216" s="20" t="s">
        <v>29785</v>
      </c>
      <c r="D7216" s="47"/>
      <c r="E7216" s="22" t="s">
        <v>4422</v>
      </c>
      <c r="F7216" s="22" t="s">
        <v>41</v>
      </c>
      <c r="G7216" s="23">
        <v>2009.0</v>
      </c>
      <c r="H7216" s="22" t="s">
        <v>91</v>
      </c>
      <c r="I7216" s="24" t="s">
        <v>33436</v>
      </c>
      <c r="J7216" s="22" t="s">
        <v>55</v>
      </c>
      <c r="K7216" s="421" t="s">
        <v>157</v>
      </c>
      <c r="L7216" s="245">
        <v>640.0</v>
      </c>
      <c r="M7216" s="245">
        <v>100.0</v>
      </c>
      <c r="N7216" s="245"/>
      <c r="O7216" s="245"/>
      <c r="P7216" s="244" t="s">
        <v>287</v>
      </c>
      <c r="Q7216" s="245" t="s">
        <v>840</v>
      </c>
      <c r="R7216" s="245">
        <v>120.0</v>
      </c>
      <c r="S7216" s="245" t="s">
        <v>12904</v>
      </c>
      <c r="T7216" s="28" t="s">
        <v>33437</v>
      </c>
      <c r="U7216" s="38" t="str">
        <f>HYPERLINK("https://www.ncbi.nlm.nih.gov/pubmed/18795398","PubMed")</f>
        <v>PubMed</v>
      </c>
      <c r="V7216" s="30"/>
      <c r="W7216" s="34"/>
      <c r="X7216" s="34"/>
      <c r="Y7216" s="35"/>
      <c r="Z7216" s="35"/>
      <c r="AA7216" s="35"/>
      <c r="AB7216" s="35"/>
      <c r="AC7216" s="35"/>
      <c r="AD7216" s="35"/>
      <c r="AE7216" s="35"/>
      <c r="AF7216" s="35"/>
      <c r="AG7216" s="35"/>
      <c r="AH7216" s="35"/>
      <c r="AI7216" s="35"/>
      <c r="AJ7216" s="35"/>
      <c r="AK7216" s="35"/>
      <c r="AL7216" s="35"/>
    </row>
    <row r="7217">
      <c r="A7217" s="1"/>
      <c r="B7217" s="19" t="s">
        <v>33186</v>
      </c>
      <c r="C7217" s="20" t="s">
        <v>29785</v>
      </c>
      <c r="D7217" s="47"/>
      <c r="E7217" s="22" t="s">
        <v>33270</v>
      </c>
      <c r="F7217" s="22" t="s">
        <v>2065</v>
      </c>
      <c r="G7217" s="23">
        <v>2008.0</v>
      </c>
      <c r="H7217" s="22" t="s">
        <v>658</v>
      </c>
      <c r="I7217" s="24" t="s">
        <v>33438</v>
      </c>
      <c r="J7217" s="22" t="s">
        <v>33439</v>
      </c>
      <c r="K7217" s="421"/>
      <c r="L7217" s="245">
        <v>810.0</v>
      </c>
      <c r="M7217" s="245">
        <v>100.0</v>
      </c>
      <c r="N7217" s="245" t="s">
        <v>33440</v>
      </c>
      <c r="O7217" s="245">
        <v>18.0</v>
      </c>
      <c r="P7217" s="244"/>
      <c r="Q7217" s="36" t="s">
        <v>33441</v>
      </c>
      <c r="R7217" s="245"/>
      <c r="S7217" s="245" t="s">
        <v>4905</v>
      </c>
      <c r="T7217" s="41" t="s">
        <v>33442</v>
      </c>
      <c r="U7217" s="38" t="str">
        <f>HYPERLINK("https://www.ncbi.nlm.nih.gov/pubmed/18248158","PubMed")</f>
        <v>PubMed</v>
      </c>
      <c r="V7217" s="30" t="s">
        <v>33443</v>
      </c>
      <c r="W7217" s="34"/>
      <c r="X7217" s="34"/>
      <c r="Y7217" s="35"/>
      <c r="Z7217" s="35"/>
      <c r="AA7217" s="35"/>
      <c r="AB7217" s="35"/>
      <c r="AC7217" s="35"/>
      <c r="AD7217" s="35"/>
      <c r="AE7217" s="35"/>
      <c r="AF7217" s="35"/>
      <c r="AG7217" s="35"/>
      <c r="AH7217" s="35"/>
      <c r="AI7217" s="35"/>
      <c r="AJ7217" s="35"/>
      <c r="AK7217" s="35"/>
      <c r="AL7217" s="35"/>
    </row>
    <row r="7218">
      <c r="A7218" s="1" t="s">
        <v>2</v>
      </c>
      <c r="B7218" s="19" t="s">
        <v>33186</v>
      </c>
      <c r="C7218" s="20" t="s">
        <v>29785</v>
      </c>
      <c r="D7218" s="47"/>
      <c r="E7218" s="22" t="s">
        <v>33444</v>
      </c>
      <c r="F7218" s="22" t="s">
        <v>23054</v>
      </c>
      <c r="G7218" s="23">
        <v>2008.0</v>
      </c>
      <c r="H7218" s="22" t="s">
        <v>33445</v>
      </c>
      <c r="I7218" s="24" t="s">
        <v>33446</v>
      </c>
      <c r="J7218" s="22" t="s">
        <v>33447</v>
      </c>
      <c r="K7218" s="421"/>
      <c r="L7218" s="245">
        <v>820.0</v>
      </c>
      <c r="M7218" s="245">
        <v>30.0</v>
      </c>
      <c r="N7218" s="245" t="s">
        <v>8949</v>
      </c>
      <c r="O7218" s="420">
        <v>42465.0</v>
      </c>
      <c r="P7218" s="244"/>
      <c r="Q7218" s="245" t="s">
        <v>840</v>
      </c>
      <c r="R7218" s="245">
        <v>180.0</v>
      </c>
      <c r="S7218" s="245" t="s">
        <v>12874</v>
      </c>
      <c r="T7218" s="28" t="s">
        <v>33448</v>
      </c>
      <c r="U7218" s="38" t="str">
        <f>HYPERLINK("https://www.ncbi.nlm.nih.gov/pubmed/18272794","PubMed")</f>
        <v>PubMed</v>
      </c>
      <c r="V7218" s="30"/>
      <c r="W7218" s="34"/>
      <c r="X7218" s="34"/>
      <c r="Y7218" s="35"/>
      <c r="Z7218" s="35"/>
      <c r="AA7218" s="35"/>
      <c r="AB7218" s="35"/>
      <c r="AC7218" s="35"/>
      <c r="AD7218" s="35"/>
      <c r="AE7218" s="35"/>
      <c r="AF7218" s="35"/>
      <c r="AG7218" s="35"/>
      <c r="AH7218" s="35"/>
      <c r="AI7218" s="35"/>
      <c r="AJ7218" s="35"/>
      <c r="AK7218" s="35"/>
      <c r="AL7218" s="35"/>
    </row>
    <row r="7219">
      <c r="A7219" s="1" t="s">
        <v>33449</v>
      </c>
      <c r="B7219" s="19" t="s">
        <v>33186</v>
      </c>
      <c r="C7219" s="20" t="s">
        <v>29785</v>
      </c>
      <c r="D7219" s="47"/>
      <c r="E7219" s="22" t="s">
        <v>33450</v>
      </c>
      <c r="F7219" s="22" t="s">
        <v>33451</v>
      </c>
      <c r="G7219" s="23">
        <v>2007.0</v>
      </c>
      <c r="H7219" s="22" t="s">
        <v>91</v>
      </c>
      <c r="I7219" s="24" t="s">
        <v>33452</v>
      </c>
      <c r="J7219" s="22" t="s">
        <v>33453</v>
      </c>
      <c r="K7219" s="421"/>
      <c r="L7219" s="245">
        <v>633.0</v>
      </c>
      <c r="M7219" s="245"/>
      <c r="N7219" s="245"/>
      <c r="O7219" s="245"/>
      <c r="P7219" s="244" t="s">
        <v>2555</v>
      </c>
      <c r="Q7219" s="245"/>
      <c r="R7219" s="245"/>
      <c r="S7219" s="245"/>
      <c r="T7219" s="28" t="s">
        <v>33454</v>
      </c>
      <c r="U7219" s="38" t="str">
        <f>HYPERLINK("https://www.ncbi.nlm.nih.gov/pubmed/17160585","PubMed")</f>
        <v>PubMed</v>
      </c>
      <c r="V7219" s="30"/>
      <c r="W7219" s="34"/>
      <c r="X7219" s="34"/>
      <c r="Y7219" s="35"/>
      <c r="Z7219" s="35"/>
      <c r="AA7219" s="35"/>
      <c r="AB7219" s="35"/>
      <c r="AC7219" s="35"/>
      <c r="AD7219" s="35"/>
      <c r="AE7219" s="35"/>
      <c r="AF7219" s="35"/>
      <c r="AG7219" s="35"/>
      <c r="AH7219" s="35"/>
      <c r="AI7219" s="35"/>
      <c r="AJ7219" s="35"/>
      <c r="AK7219" s="35"/>
      <c r="AL7219" s="35"/>
    </row>
    <row r="7220">
      <c r="A7220" s="1"/>
      <c r="B7220" s="19" t="s">
        <v>33186</v>
      </c>
      <c r="C7220" s="20" t="s">
        <v>29785</v>
      </c>
      <c r="D7220" s="47"/>
      <c r="E7220" s="22" t="s">
        <v>13667</v>
      </c>
      <c r="F7220" s="22" t="s">
        <v>1465</v>
      </c>
      <c r="G7220" s="23">
        <v>2006.0</v>
      </c>
      <c r="H7220" s="22" t="s">
        <v>33455</v>
      </c>
      <c r="I7220" s="24" t="s">
        <v>33456</v>
      </c>
      <c r="J7220" s="22" t="s">
        <v>33457</v>
      </c>
      <c r="K7220" s="421"/>
      <c r="L7220" s="245">
        <v>904.0</v>
      </c>
      <c r="M7220" s="245" t="s">
        <v>58</v>
      </c>
      <c r="N7220" s="245" t="s">
        <v>211</v>
      </c>
      <c r="O7220" s="420">
        <v>45021.0</v>
      </c>
      <c r="P7220" s="244" t="s">
        <v>58</v>
      </c>
      <c r="Q7220" s="36" t="s">
        <v>33458</v>
      </c>
      <c r="R7220" s="245">
        <v>180.0</v>
      </c>
      <c r="S7220" s="245">
        <v>1.0</v>
      </c>
      <c r="T7220" s="42" t="s">
        <v>33459</v>
      </c>
      <c r="U7220" s="38" t="str">
        <f>HYPERLINK("https://www.ncbi.nlm.nih.gov/pubmed/16371497","PubMed")</f>
        <v>PubMed</v>
      </c>
      <c r="V7220" s="30" t="s">
        <v>33460</v>
      </c>
      <c r="W7220" s="34"/>
      <c r="X7220" s="34"/>
      <c r="Y7220" s="35"/>
      <c r="Z7220" s="35"/>
      <c r="AA7220" s="35"/>
      <c r="AB7220" s="35"/>
      <c r="AC7220" s="35"/>
      <c r="AD7220" s="35"/>
      <c r="AE7220" s="35"/>
      <c r="AF7220" s="35"/>
      <c r="AG7220" s="35"/>
      <c r="AH7220" s="35"/>
      <c r="AI7220" s="35"/>
      <c r="AJ7220" s="35"/>
      <c r="AK7220" s="35"/>
      <c r="AL7220" s="35"/>
    </row>
    <row r="7221">
      <c r="A7221" s="1"/>
      <c r="B7221" s="19" t="s">
        <v>33186</v>
      </c>
      <c r="C7221" s="20" t="s">
        <v>29785</v>
      </c>
      <c r="D7221" s="47"/>
      <c r="E7221" s="22" t="s">
        <v>33461</v>
      </c>
      <c r="F7221" s="22" t="s">
        <v>1518</v>
      </c>
      <c r="G7221" s="23">
        <v>2006.0</v>
      </c>
      <c r="H7221" s="22" t="s">
        <v>658</v>
      </c>
      <c r="I7221" s="24" t="s">
        <v>33462</v>
      </c>
      <c r="J7221" s="22" t="s">
        <v>44</v>
      </c>
      <c r="K7221" s="421" t="s">
        <v>33372</v>
      </c>
      <c r="L7221" s="245" t="s">
        <v>33463</v>
      </c>
      <c r="M7221" s="245"/>
      <c r="N7221" s="245"/>
      <c r="O7221" s="245"/>
      <c r="P7221" s="244" t="s">
        <v>33464</v>
      </c>
      <c r="Q7221" s="245"/>
      <c r="R7221" s="245"/>
      <c r="S7221" s="245"/>
      <c r="T7221" s="28" t="s">
        <v>33465</v>
      </c>
      <c r="U7221" s="38" t="str">
        <f>HYPERLINK("https://www.ncbi.nlm.nih.gov/pubmed/17199477","PubMed")</f>
        <v>PubMed</v>
      </c>
      <c r="V7221" s="30"/>
      <c r="W7221" s="34"/>
      <c r="X7221" s="34"/>
      <c r="Y7221" s="35"/>
      <c r="Z7221" s="35"/>
      <c r="AA7221" s="35"/>
      <c r="AB7221" s="35"/>
      <c r="AC7221" s="35"/>
      <c r="AD7221" s="35"/>
      <c r="AE7221" s="35"/>
      <c r="AF7221" s="35"/>
      <c r="AG7221" s="35"/>
      <c r="AH7221" s="35"/>
      <c r="AI7221" s="35"/>
      <c r="AJ7221" s="35"/>
      <c r="AK7221" s="35"/>
      <c r="AL7221" s="35"/>
    </row>
    <row r="7222">
      <c r="A7222" s="1"/>
      <c r="B7222" s="19" t="s">
        <v>33186</v>
      </c>
      <c r="C7222" s="20" t="s">
        <v>29785</v>
      </c>
      <c r="D7222" s="47"/>
      <c r="E7222" s="22" t="s">
        <v>33466</v>
      </c>
      <c r="F7222" s="22" t="s">
        <v>41</v>
      </c>
      <c r="G7222" s="23">
        <v>2005.0</v>
      </c>
      <c r="H7222" s="22" t="s">
        <v>658</v>
      </c>
      <c r="I7222" s="24" t="s">
        <v>33467</v>
      </c>
      <c r="J7222" s="22" t="s">
        <v>55</v>
      </c>
      <c r="K7222" s="421"/>
      <c r="L7222" s="245">
        <v>660.0</v>
      </c>
      <c r="M7222" s="245" t="s">
        <v>5667</v>
      </c>
      <c r="N7222" s="245"/>
      <c r="O7222" s="245"/>
      <c r="P7222" s="244" t="s">
        <v>33468</v>
      </c>
      <c r="Q7222" s="245" t="s">
        <v>1773</v>
      </c>
      <c r="R7222" s="245">
        <v>10.0</v>
      </c>
      <c r="S7222" s="245"/>
      <c r="T7222" s="28" t="s">
        <v>33469</v>
      </c>
      <c r="U7222" s="38" t="str">
        <f>HYPERLINK("https://www.ncbi.nlm.nih.gov/pubmed/16262576","PubMed")</f>
        <v>PubMed</v>
      </c>
      <c r="V7222" s="30"/>
      <c r="W7222" s="34"/>
      <c r="X7222" s="34"/>
      <c r="Y7222" s="35"/>
      <c r="Z7222" s="35"/>
      <c r="AA7222" s="35"/>
      <c r="AB7222" s="35"/>
      <c r="AC7222" s="35"/>
      <c r="AD7222" s="35"/>
      <c r="AE7222" s="35"/>
      <c r="AF7222" s="35"/>
      <c r="AG7222" s="35"/>
      <c r="AH7222" s="35"/>
      <c r="AI7222" s="35"/>
      <c r="AJ7222" s="35"/>
      <c r="AK7222" s="35"/>
      <c r="AL7222" s="35"/>
    </row>
    <row r="7223">
      <c r="A7223" s="1"/>
      <c r="B7223" s="19" t="s">
        <v>33186</v>
      </c>
      <c r="C7223" s="20" t="s">
        <v>29785</v>
      </c>
      <c r="D7223" s="47"/>
      <c r="E7223" s="22" t="s">
        <v>33470</v>
      </c>
      <c r="F7223" s="22" t="s">
        <v>33471</v>
      </c>
      <c r="G7223" s="23">
        <v>2005.0</v>
      </c>
      <c r="H7223" s="22" t="s">
        <v>53</v>
      </c>
      <c r="I7223" s="24" t="s">
        <v>33472</v>
      </c>
      <c r="J7223" s="22" t="s">
        <v>55</v>
      </c>
      <c r="K7223" s="421"/>
      <c r="L7223" s="245">
        <v>904.0</v>
      </c>
      <c r="M7223" s="245">
        <v>45.0</v>
      </c>
      <c r="N7223" s="245"/>
      <c r="O7223" s="245"/>
      <c r="P7223" s="244" t="s">
        <v>432</v>
      </c>
      <c r="Q7223" s="245" t="s">
        <v>1773</v>
      </c>
      <c r="R7223" s="245">
        <v>35.0</v>
      </c>
      <c r="S7223" s="245"/>
      <c r="T7223" s="28" t="s">
        <v>33473</v>
      </c>
      <c r="U7223" s="38" t="str">
        <f>HYPERLINK("https://www.ncbi.nlm.nih.gov/pubmed/16196040","PubMed")</f>
        <v>PubMed</v>
      </c>
      <c r="V7223" s="30"/>
      <c r="W7223" s="34"/>
      <c r="X7223" s="34"/>
      <c r="Y7223" s="35"/>
      <c r="Z7223" s="35"/>
      <c r="AA7223" s="35"/>
      <c r="AB7223" s="35"/>
      <c r="AC7223" s="35"/>
      <c r="AD7223" s="35"/>
      <c r="AE7223" s="35"/>
      <c r="AF7223" s="35"/>
      <c r="AG7223" s="35"/>
      <c r="AH7223" s="35"/>
      <c r="AI7223" s="35"/>
      <c r="AJ7223" s="35"/>
      <c r="AK7223" s="35"/>
      <c r="AL7223" s="35"/>
    </row>
    <row r="7224">
      <c r="A7224" s="1"/>
      <c r="B7224" s="19" t="s">
        <v>33186</v>
      </c>
      <c r="C7224" s="20" t="s">
        <v>29785</v>
      </c>
      <c r="D7224" s="47"/>
      <c r="E7224" s="22" t="s">
        <v>22149</v>
      </c>
      <c r="F7224" s="22" t="s">
        <v>33474</v>
      </c>
      <c r="G7224" s="23">
        <v>2004.0</v>
      </c>
      <c r="H7224" s="22" t="s">
        <v>53</v>
      </c>
      <c r="I7224" s="24" t="s">
        <v>33475</v>
      </c>
      <c r="J7224" s="22" t="s">
        <v>55</v>
      </c>
      <c r="K7224" s="421" t="s">
        <v>33476</v>
      </c>
      <c r="L7224" s="245">
        <v>904.0</v>
      </c>
      <c r="M7224" s="245">
        <v>6.0</v>
      </c>
      <c r="N7224" s="245"/>
      <c r="O7224" s="245"/>
      <c r="P7224" s="244" t="s">
        <v>2555</v>
      </c>
      <c r="Q7224" s="245"/>
      <c r="R7224" s="245">
        <v>1.0</v>
      </c>
      <c r="S7224" s="245"/>
      <c r="T7224" s="28" t="s">
        <v>33477</v>
      </c>
      <c r="U7224" s="38" t="str">
        <f>HYPERLINK("https://www.ncbi.nlm.nih.gov/pubmed/15278933","PubMed")</f>
        <v>PubMed</v>
      </c>
      <c r="V7224" s="30"/>
      <c r="W7224" s="34"/>
      <c r="X7224" s="34"/>
      <c r="Y7224" s="35"/>
      <c r="Z7224" s="35"/>
      <c r="AA7224" s="35"/>
      <c r="AB7224" s="35"/>
      <c r="AC7224" s="35"/>
      <c r="AD7224" s="35"/>
      <c r="AE7224" s="35"/>
      <c r="AF7224" s="35"/>
      <c r="AG7224" s="35"/>
      <c r="AH7224" s="35"/>
      <c r="AI7224" s="35"/>
      <c r="AJ7224" s="35"/>
      <c r="AK7224" s="35"/>
      <c r="AL7224" s="35"/>
    </row>
    <row r="7225">
      <c r="A7225" s="1"/>
      <c r="B7225" s="19" t="s">
        <v>33186</v>
      </c>
      <c r="C7225" s="20" t="s">
        <v>29785</v>
      </c>
      <c r="D7225" s="47"/>
      <c r="E7225" s="22" t="s">
        <v>33478</v>
      </c>
      <c r="F7225" s="22" t="s">
        <v>9138</v>
      </c>
      <c r="G7225" s="23">
        <v>2000.0</v>
      </c>
      <c r="H7225" s="22" t="s">
        <v>292</v>
      </c>
      <c r="I7225" s="24" t="s">
        <v>33479</v>
      </c>
      <c r="J7225" s="22" t="s">
        <v>253</v>
      </c>
      <c r="K7225" s="421" t="s">
        <v>294</v>
      </c>
      <c r="L7225" s="245" t="s">
        <v>33480</v>
      </c>
      <c r="M7225" s="245"/>
      <c r="N7225" s="245"/>
      <c r="O7225" s="245"/>
      <c r="P7225" s="244"/>
      <c r="Q7225" s="245"/>
      <c r="R7225" s="245"/>
      <c r="S7225" s="245"/>
      <c r="T7225" s="28" t="s">
        <v>33481</v>
      </c>
      <c r="U7225" s="38" t="str">
        <f>HYPERLINK("https://www.jstage.jst.go.jp/article/islsm/12/1/12_1_22/_article","J-STAGE")</f>
        <v>J-STAGE</v>
      </c>
      <c r="V7225" s="30"/>
      <c r="W7225" s="34"/>
      <c r="X7225" s="34"/>
      <c r="Y7225" s="35"/>
      <c r="Z7225" s="35"/>
      <c r="AA7225" s="35"/>
      <c r="AB7225" s="35"/>
      <c r="AC7225" s="35"/>
      <c r="AD7225" s="35"/>
      <c r="AE7225" s="35"/>
      <c r="AF7225" s="35"/>
      <c r="AG7225" s="35"/>
      <c r="AH7225" s="35"/>
      <c r="AI7225" s="35"/>
      <c r="AJ7225" s="35"/>
      <c r="AK7225" s="35"/>
      <c r="AL7225" s="35"/>
    </row>
    <row r="7226">
      <c r="A7226" s="1"/>
      <c r="B7226" s="19" t="s">
        <v>33186</v>
      </c>
      <c r="C7226" s="20" t="s">
        <v>29785</v>
      </c>
      <c r="D7226" s="47"/>
      <c r="E7226" s="22" t="s">
        <v>33482</v>
      </c>
      <c r="F7226" s="22" t="s">
        <v>4149</v>
      </c>
      <c r="G7226" s="23">
        <v>1999.0</v>
      </c>
      <c r="H7226" s="22" t="s">
        <v>292</v>
      </c>
      <c r="I7226" s="24" t="s">
        <v>33483</v>
      </c>
      <c r="J7226" s="22" t="s">
        <v>29165</v>
      </c>
      <c r="K7226" s="421" t="s">
        <v>33484</v>
      </c>
      <c r="L7226" s="411" t="s">
        <v>33485</v>
      </c>
      <c r="M7226" s="411"/>
      <c r="N7226" s="411"/>
      <c r="O7226" s="411"/>
      <c r="P7226" s="410"/>
      <c r="Q7226" s="411"/>
      <c r="R7226" s="411"/>
      <c r="S7226" s="411"/>
      <c r="T7226" s="28" t="s">
        <v>33486</v>
      </c>
      <c r="U7226" s="38" t="str">
        <f>HYPERLINK("https://www.jstage.jst.go.jp/article/islsm/11/3/11_3_144/_article/-char/en","J-STAGE")</f>
        <v>J-STAGE</v>
      </c>
      <c r="V7226" s="30"/>
      <c r="W7226" s="34"/>
      <c r="X7226" s="34"/>
      <c r="Y7226" s="35"/>
      <c r="Z7226" s="35"/>
      <c r="AA7226" s="35"/>
      <c r="AB7226" s="35"/>
      <c r="AC7226" s="35"/>
      <c r="AD7226" s="35"/>
      <c r="AE7226" s="35"/>
      <c r="AF7226" s="35"/>
      <c r="AG7226" s="35"/>
      <c r="AH7226" s="35"/>
      <c r="AI7226" s="35"/>
      <c r="AJ7226" s="35"/>
      <c r="AK7226" s="35"/>
      <c r="AL7226" s="35"/>
    </row>
    <row r="7227">
      <c r="A7227" s="1"/>
      <c r="B7227" s="19" t="s">
        <v>33186</v>
      </c>
      <c r="C7227" s="20" t="s">
        <v>29785</v>
      </c>
      <c r="D7227" s="47"/>
      <c r="E7227" s="22" t="s">
        <v>33487</v>
      </c>
      <c r="F7227" s="22" t="s">
        <v>9138</v>
      </c>
      <c r="G7227" s="23">
        <v>1997.0</v>
      </c>
      <c r="H7227" s="22" t="s">
        <v>6606</v>
      </c>
      <c r="I7227" s="24" t="s">
        <v>33488</v>
      </c>
      <c r="J7227" s="22" t="s">
        <v>253</v>
      </c>
      <c r="K7227" s="421"/>
      <c r="L7227" s="245" t="s">
        <v>28032</v>
      </c>
      <c r="M7227" s="245"/>
      <c r="N7227" s="245"/>
      <c r="O7227" s="245"/>
      <c r="P7227" s="244" t="s">
        <v>254</v>
      </c>
      <c r="Q7227" s="245"/>
      <c r="R7227" s="245">
        <v>90.0</v>
      </c>
      <c r="S7227" s="245"/>
      <c r="T7227" s="28" t="s">
        <v>33489</v>
      </c>
      <c r="U7227" s="38" t="str">
        <f>HYPERLINK("https://www.ncbi.nlm.nih.gov/pubmed/9267188","PubMed")</f>
        <v>PubMed</v>
      </c>
      <c r="V7227" s="30"/>
      <c r="W7227" s="34"/>
      <c r="X7227" s="34"/>
      <c r="Y7227" s="35"/>
      <c r="Z7227" s="35"/>
      <c r="AA7227" s="35"/>
      <c r="AB7227" s="35"/>
      <c r="AC7227" s="35"/>
      <c r="AD7227" s="35"/>
      <c r="AE7227" s="35"/>
      <c r="AF7227" s="35"/>
      <c r="AG7227" s="35"/>
      <c r="AH7227" s="35"/>
      <c r="AI7227" s="35"/>
      <c r="AJ7227" s="35"/>
      <c r="AK7227" s="35"/>
      <c r="AL7227" s="35"/>
    </row>
    <row r="7228">
      <c r="A7228" s="1"/>
      <c r="B7228" s="19" t="s">
        <v>33186</v>
      </c>
      <c r="C7228" s="20" t="s">
        <v>29785</v>
      </c>
      <c r="D7228" s="47"/>
      <c r="E7228" s="22" t="s">
        <v>33490</v>
      </c>
      <c r="F7228" s="22" t="s">
        <v>33491</v>
      </c>
      <c r="G7228" s="23">
        <v>1994.0</v>
      </c>
      <c r="H7228" s="22" t="s">
        <v>28269</v>
      </c>
      <c r="I7228" s="24" t="s">
        <v>33492</v>
      </c>
      <c r="J7228" s="22" t="s">
        <v>33493</v>
      </c>
      <c r="K7228" s="421"/>
      <c r="L7228" s="245"/>
      <c r="M7228" s="245"/>
      <c r="N7228" s="245"/>
      <c r="O7228" s="245"/>
      <c r="P7228" s="244"/>
      <c r="Q7228" s="245"/>
      <c r="R7228" s="245"/>
      <c r="S7228" s="245"/>
      <c r="T7228" s="41" t="s">
        <v>33494</v>
      </c>
      <c r="U7228" s="29" t="s">
        <v>61</v>
      </c>
      <c r="V7228" s="30"/>
      <c r="W7228" s="34"/>
      <c r="X7228" s="34"/>
      <c r="Y7228" s="35"/>
      <c r="Z7228" s="35"/>
      <c r="AA7228" s="35"/>
      <c r="AB7228" s="35"/>
      <c r="AC7228" s="35"/>
      <c r="AD7228" s="35"/>
      <c r="AE7228" s="35"/>
      <c r="AF7228" s="35"/>
      <c r="AG7228" s="35"/>
      <c r="AH7228" s="35"/>
      <c r="AI7228" s="35"/>
      <c r="AJ7228" s="35"/>
      <c r="AK7228" s="35"/>
      <c r="AL7228" s="35"/>
    </row>
    <row r="7229">
      <c r="A7229" s="1"/>
      <c r="B7229" s="19" t="s">
        <v>33186</v>
      </c>
      <c r="C7229" s="20" t="s">
        <v>2392</v>
      </c>
      <c r="D7229" s="47"/>
      <c r="E7229" s="22" t="s">
        <v>31733</v>
      </c>
      <c r="F7229" s="22" t="s">
        <v>2702</v>
      </c>
      <c r="G7229" s="23">
        <v>2024.0</v>
      </c>
      <c r="H7229" s="22" t="s">
        <v>21300</v>
      </c>
      <c r="I7229" s="24" t="s">
        <v>33495</v>
      </c>
      <c r="J7229" s="22" t="s">
        <v>125</v>
      </c>
      <c r="K7229" s="22"/>
      <c r="L7229" s="105" t="s">
        <v>33496</v>
      </c>
      <c r="M7229" s="44"/>
      <c r="N7229" s="44"/>
      <c r="O7229" s="44"/>
      <c r="P7229" s="44"/>
      <c r="Q7229" s="44"/>
      <c r="R7229" s="44"/>
      <c r="S7229" s="44"/>
      <c r="T7229" s="45"/>
      <c r="U7229" s="38" t="s">
        <v>61</v>
      </c>
      <c r="V7229" s="30"/>
      <c r="W7229" s="49"/>
      <c r="X7229" s="49"/>
      <c r="Y7229" s="35"/>
      <c r="Z7229" s="35"/>
      <c r="AA7229" s="35"/>
      <c r="AB7229" s="35"/>
      <c r="AC7229" s="35"/>
      <c r="AD7229" s="35"/>
      <c r="AE7229" s="35"/>
      <c r="AF7229" s="35"/>
      <c r="AG7229" s="35"/>
      <c r="AH7229" s="35"/>
      <c r="AI7229" s="35"/>
      <c r="AJ7229" s="35"/>
      <c r="AK7229" s="35"/>
      <c r="AL7229" s="35"/>
    </row>
    <row r="7230">
      <c r="A7230" s="1"/>
      <c r="B7230" s="19" t="s">
        <v>33186</v>
      </c>
      <c r="C7230" s="20" t="s">
        <v>2392</v>
      </c>
      <c r="D7230" s="47"/>
      <c r="E7230" s="22" t="s">
        <v>3827</v>
      </c>
      <c r="F7230" s="22" t="s">
        <v>2250</v>
      </c>
      <c r="G7230" s="23">
        <v>2022.0</v>
      </c>
      <c r="H7230" s="22" t="s">
        <v>33497</v>
      </c>
      <c r="I7230" s="24" t="s">
        <v>33498</v>
      </c>
      <c r="J7230" s="22" t="s">
        <v>33499</v>
      </c>
      <c r="K7230" s="22"/>
      <c r="L7230" s="105" t="s">
        <v>33500</v>
      </c>
      <c r="M7230" s="44"/>
      <c r="N7230" s="44"/>
      <c r="O7230" s="44"/>
      <c r="P7230" s="44"/>
      <c r="Q7230" s="44"/>
      <c r="R7230" s="44"/>
      <c r="S7230" s="44"/>
      <c r="T7230" s="45"/>
      <c r="U7230" s="38" t="s">
        <v>61</v>
      </c>
      <c r="V7230" s="30"/>
      <c r="W7230" s="49"/>
      <c r="X7230" s="49"/>
      <c r="Y7230" s="35"/>
      <c r="Z7230" s="35"/>
      <c r="AA7230" s="35"/>
      <c r="AB7230" s="35"/>
      <c r="AC7230" s="35"/>
      <c r="AD7230" s="35"/>
      <c r="AE7230" s="35"/>
      <c r="AF7230" s="35"/>
      <c r="AG7230" s="35"/>
      <c r="AH7230" s="35"/>
      <c r="AI7230" s="35"/>
      <c r="AJ7230" s="35"/>
      <c r="AK7230" s="35"/>
      <c r="AL7230" s="35"/>
    </row>
    <row r="7231">
      <c r="A7231" s="1"/>
      <c r="B7231" s="19" t="s">
        <v>33186</v>
      </c>
      <c r="C7231" s="20" t="s">
        <v>2392</v>
      </c>
      <c r="D7231" s="47"/>
      <c r="E7231" s="22" t="s">
        <v>33501</v>
      </c>
      <c r="F7231" s="22" t="s">
        <v>33502</v>
      </c>
      <c r="G7231" s="23" t="s">
        <v>2499</v>
      </c>
      <c r="H7231" s="22" t="s">
        <v>91</v>
      </c>
      <c r="I7231" s="24" t="s">
        <v>33503</v>
      </c>
      <c r="J7231" s="22" t="s">
        <v>31</v>
      </c>
      <c r="K7231" s="22" t="s">
        <v>33504</v>
      </c>
      <c r="L7231" s="36" t="s">
        <v>2513</v>
      </c>
      <c r="M7231" s="36">
        <v>1200.0</v>
      </c>
      <c r="N7231" s="36"/>
      <c r="O7231" s="36"/>
      <c r="P7231" s="37" t="s">
        <v>33505</v>
      </c>
      <c r="Q7231" s="36" t="s">
        <v>33506</v>
      </c>
      <c r="R7231" s="36"/>
      <c r="S7231" s="36"/>
      <c r="T7231" s="41" t="s">
        <v>33507</v>
      </c>
      <c r="U7231" s="38" t="str">
        <f>HYPERLINK("https://www.ncbi.nlm.nih.gov/pubmed/30317401","PubMed")</f>
        <v>PubMed</v>
      </c>
      <c r="V7231" s="30"/>
      <c r="W7231" s="49"/>
      <c r="X7231" s="49"/>
      <c r="Y7231" s="35"/>
      <c r="Z7231" s="35"/>
      <c r="AA7231" s="35"/>
      <c r="AB7231" s="35"/>
      <c r="AC7231" s="35"/>
      <c r="AD7231" s="35"/>
      <c r="AE7231" s="35"/>
      <c r="AF7231" s="35"/>
      <c r="AG7231" s="35"/>
      <c r="AH7231" s="35"/>
      <c r="AI7231" s="35"/>
      <c r="AJ7231" s="35"/>
      <c r="AK7231" s="35"/>
      <c r="AL7231" s="35"/>
    </row>
    <row r="7232">
      <c r="A7232" s="1"/>
      <c r="B7232" s="19" t="s">
        <v>33186</v>
      </c>
      <c r="C7232" s="20" t="s">
        <v>2392</v>
      </c>
      <c r="D7232" s="47"/>
      <c r="E7232" s="22" t="s">
        <v>2195</v>
      </c>
      <c r="F7232" s="22" t="s">
        <v>25549</v>
      </c>
      <c r="G7232" s="23">
        <v>2015.0</v>
      </c>
      <c r="H7232" s="22" t="s">
        <v>91</v>
      </c>
      <c r="I7232" s="24" t="s">
        <v>33508</v>
      </c>
      <c r="J7232" s="22" t="s">
        <v>31</v>
      </c>
      <c r="K7232" s="22" t="s">
        <v>33509</v>
      </c>
      <c r="L7232" s="36"/>
      <c r="M7232" s="36"/>
      <c r="N7232" s="36"/>
      <c r="O7232" s="36"/>
      <c r="P7232" s="37"/>
      <c r="Q7232" s="36"/>
      <c r="R7232" s="36"/>
      <c r="S7232" s="36"/>
      <c r="T7232" s="28" t="s">
        <v>33510</v>
      </c>
      <c r="U7232" s="38" t="str">
        <f>HYPERLINK("https://www.ncbi.nlm.nih.gov/pubmed/25231827","PubMed")</f>
        <v>PubMed</v>
      </c>
      <c r="V7232" s="30"/>
      <c r="W7232" s="49"/>
      <c r="X7232" s="49"/>
      <c r="Y7232" s="35"/>
      <c r="Z7232" s="35"/>
      <c r="AA7232" s="35"/>
      <c r="AB7232" s="35"/>
      <c r="AC7232" s="35"/>
      <c r="AD7232" s="35"/>
      <c r="AE7232" s="35"/>
      <c r="AF7232" s="35"/>
      <c r="AG7232" s="35"/>
      <c r="AH7232" s="35"/>
      <c r="AI7232" s="35"/>
      <c r="AJ7232" s="35"/>
      <c r="AK7232" s="35"/>
      <c r="AL7232" s="35"/>
    </row>
    <row r="7233">
      <c r="A7233" s="1"/>
      <c r="B7233" s="19" t="s">
        <v>33186</v>
      </c>
      <c r="C7233" s="20" t="s">
        <v>2392</v>
      </c>
      <c r="D7233" s="47"/>
      <c r="E7233" s="22" t="s">
        <v>3457</v>
      </c>
      <c r="F7233" s="22" t="s">
        <v>33511</v>
      </c>
      <c r="G7233" s="23">
        <v>2014.0</v>
      </c>
      <c r="H7233" s="22" t="s">
        <v>91</v>
      </c>
      <c r="I7233" s="24" t="s">
        <v>33512</v>
      </c>
      <c r="J7233" s="22" t="s">
        <v>31</v>
      </c>
      <c r="K7233" s="22" t="s">
        <v>33513</v>
      </c>
      <c r="L7233" s="36"/>
      <c r="M7233" s="36"/>
      <c r="N7233" s="36"/>
      <c r="O7233" s="36"/>
      <c r="P7233" s="37"/>
      <c r="Q7233" s="36"/>
      <c r="R7233" s="36"/>
      <c r="S7233" s="36"/>
      <c r="T7233" s="28" t="s">
        <v>33514</v>
      </c>
      <c r="U7233" s="38" t="str">
        <f>HYPERLINK("https://www.ncbi.nlm.nih.gov/pubmed/24510281","PubMed")</f>
        <v>PubMed</v>
      </c>
      <c r="V7233" s="30"/>
      <c r="W7233" s="49"/>
      <c r="X7233" s="49"/>
      <c r="Y7233" s="35"/>
      <c r="Z7233" s="35"/>
      <c r="AA7233" s="35"/>
      <c r="AB7233" s="35"/>
      <c r="AC7233" s="35"/>
      <c r="AD7233" s="35"/>
      <c r="AE7233" s="35"/>
      <c r="AF7233" s="35"/>
      <c r="AG7233" s="35"/>
      <c r="AH7233" s="35"/>
      <c r="AI7233" s="35"/>
      <c r="AJ7233" s="35"/>
      <c r="AK7233" s="35"/>
      <c r="AL7233" s="35"/>
    </row>
    <row r="7234">
      <c r="A7234" s="1"/>
      <c r="B7234" s="19" t="s">
        <v>33186</v>
      </c>
      <c r="C7234" s="20" t="s">
        <v>2392</v>
      </c>
      <c r="D7234" s="47"/>
      <c r="E7234" s="22" t="s">
        <v>3457</v>
      </c>
      <c r="F7234" s="22" t="s">
        <v>33511</v>
      </c>
      <c r="G7234" s="23">
        <v>2012.0</v>
      </c>
      <c r="H7234" s="22" t="s">
        <v>627</v>
      </c>
      <c r="I7234" s="24" t="s">
        <v>33515</v>
      </c>
      <c r="J7234" s="22" t="s">
        <v>31</v>
      </c>
      <c r="K7234" s="22" t="s">
        <v>33516</v>
      </c>
      <c r="L7234" s="36">
        <v>660.0</v>
      </c>
      <c r="M7234" s="36"/>
      <c r="N7234" s="36"/>
      <c r="O7234" s="36"/>
      <c r="P7234" s="37" t="s">
        <v>33517</v>
      </c>
      <c r="Q7234" s="36"/>
      <c r="R7234" s="36"/>
      <c r="S7234" s="36"/>
      <c r="T7234" s="28" t="s">
        <v>33518</v>
      </c>
      <c r="U7234" s="38" t="str">
        <f>HYPERLINK("https://www.ncbi.nlm.nih.gov/pubmed/22666495","PubMed")</f>
        <v>PubMed</v>
      </c>
      <c r="V7234" s="30"/>
      <c r="W7234" s="49"/>
      <c r="X7234" s="49"/>
      <c r="Y7234" s="35"/>
      <c r="Z7234" s="35"/>
      <c r="AA7234" s="35"/>
      <c r="AB7234" s="35"/>
      <c r="AC7234" s="35"/>
      <c r="AD7234" s="35"/>
      <c r="AE7234" s="35"/>
      <c r="AF7234" s="35"/>
      <c r="AG7234" s="35"/>
      <c r="AH7234" s="35"/>
      <c r="AI7234" s="35"/>
      <c r="AJ7234" s="35"/>
      <c r="AK7234" s="35"/>
      <c r="AL7234" s="35"/>
    </row>
    <row r="7235">
      <c r="A7235" s="1"/>
      <c r="B7235" s="19" t="s">
        <v>33186</v>
      </c>
      <c r="C7235" s="20" t="s">
        <v>33519</v>
      </c>
      <c r="D7235" s="47"/>
      <c r="E7235" s="22" t="s">
        <v>33520</v>
      </c>
      <c r="F7235" s="22" t="s">
        <v>2214</v>
      </c>
      <c r="G7235" s="23">
        <v>2023.0</v>
      </c>
      <c r="H7235" s="22" t="s">
        <v>91</v>
      </c>
      <c r="I7235" s="24" t="s">
        <v>33521</v>
      </c>
      <c r="J7235" s="22" t="s">
        <v>33522</v>
      </c>
      <c r="K7235" s="22"/>
      <c r="L7235" s="36">
        <v>1064.0</v>
      </c>
      <c r="M7235" s="36" t="s">
        <v>58</v>
      </c>
      <c r="N7235" s="36" t="s">
        <v>58</v>
      </c>
      <c r="O7235" s="36" t="s">
        <v>33523</v>
      </c>
      <c r="P7235" s="37" t="s">
        <v>33524</v>
      </c>
      <c r="Q7235" s="36" t="s">
        <v>33525</v>
      </c>
      <c r="R7235" s="36" t="s">
        <v>58</v>
      </c>
      <c r="S7235" s="36" t="s">
        <v>8476</v>
      </c>
      <c r="T7235" s="103" t="s">
        <v>33526</v>
      </c>
      <c r="U7235" s="38" t="s">
        <v>61</v>
      </c>
      <c r="V7235" s="30"/>
      <c r="W7235" s="49"/>
      <c r="X7235" s="49"/>
      <c r="Y7235" s="35"/>
      <c r="Z7235" s="35"/>
      <c r="AA7235" s="35"/>
      <c r="AB7235" s="35"/>
      <c r="AC7235" s="35"/>
      <c r="AD7235" s="35"/>
      <c r="AE7235" s="35"/>
      <c r="AF7235" s="35"/>
      <c r="AG7235" s="35"/>
      <c r="AH7235" s="35"/>
      <c r="AI7235" s="35"/>
      <c r="AJ7235" s="35"/>
      <c r="AK7235" s="35"/>
      <c r="AL7235" s="35"/>
    </row>
    <row r="7236">
      <c r="A7236" s="1"/>
      <c r="B7236" s="19" t="s">
        <v>33186</v>
      </c>
      <c r="C7236" s="20" t="s">
        <v>33519</v>
      </c>
      <c r="D7236" s="47"/>
      <c r="E7236" s="22" t="s">
        <v>5096</v>
      </c>
      <c r="F7236" s="22" t="s">
        <v>6233</v>
      </c>
      <c r="G7236" s="23">
        <v>2015.0</v>
      </c>
      <c r="H7236" s="22" t="s">
        <v>4751</v>
      </c>
      <c r="I7236" s="24" t="s">
        <v>33527</v>
      </c>
      <c r="J7236" s="22" t="s">
        <v>33528</v>
      </c>
      <c r="K7236" s="22" t="s">
        <v>33529</v>
      </c>
      <c r="L7236" s="36">
        <v>830.0</v>
      </c>
      <c r="M7236" s="36" t="s">
        <v>33530</v>
      </c>
      <c r="N7236" s="36"/>
      <c r="O7236" s="36"/>
      <c r="P7236" s="37" t="s">
        <v>969</v>
      </c>
      <c r="Q7236" s="36" t="s">
        <v>33531</v>
      </c>
      <c r="R7236" s="36">
        <v>100.0</v>
      </c>
      <c r="S7236" s="36" t="s">
        <v>434</v>
      </c>
      <c r="T7236" s="102" t="s">
        <v>33532</v>
      </c>
      <c r="U7236" s="38" t="str">
        <f>HYPERLINK("https://www.ncbi.nlm.nih.gov/pubmed/26538761","PubMed")</f>
        <v>PubMed</v>
      </c>
      <c r="V7236" s="30" t="s">
        <v>33533</v>
      </c>
      <c r="W7236" s="49"/>
      <c r="X7236" s="49"/>
      <c r="Y7236" s="35"/>
      <c r="Z7236" s="35"/>
      <c r="AA7236" s="35"/>
      <c r="AB7236" s="35"/>
      <c r="AC7236" s="35"/>
      <c r="AD7236" s="35"/>
      <c r="AE7236" s="35"/>
      <c r="AF7236" s="35"/>
      <c r="AG7236" s="35"/>
      <c r="AH7236" s="35"/>
      <c r="AI7236" s="35"/>
      <c r="AJ7236" s="35"/>
      <c r="AK7236" s="35"/>
      <c r="AL7236" s="35"/>
    </row>
    <row r="7237">
      <c r="A7237" s="1"/>
      <c r="B7237" s="19" t="s">
        <v>33186</v>
      </c>
      <c r="C7237" s="20" t="s">
        <v>33534</v>
      </c>
      <c r="D7237" s="47"/>
      <c r="E7237" s="22" t="s">
        <v>33535</v>
      </c>
      <c r="F7237" s="22" t="s">
        <v>323</v>
      </c>
      <c r="G7237" s="23">
        <v>2018.0</v>
      </c>
      <c r="H7237" s="22" t="s">
        <v>658</v>
      </c>
      <c r="I7237" s="24" t="s">
        <v>33536</v>
      </c>
      <c r="J7237" s="22" t="s">
        <v>33537</v>
      </c>
      <c r="K7237" s="22"/>
      <c r="L7237" s="36" t="s">
        <v>33538</v>
      </c>
      <c r="M7237" s="36"/>
      <c r="N7237" s="36" t="s">
        <v>33539</v>
      </c>
      <c r="O7237" s="36"/>
      <c r="P7237" s="37" t="s">
        <v>33540</v>
      </c>
      <c r="Q7237" s="36" t="s">
        <v>33541</v>
      </c>
      <c r="R7237" s="36" t="s">
        <v>33542</v>
      </c>
      <c r="S7237" s="36" t="s">
        <v>33543</v>
      </c>
      <c r="T7237" s="54" t="s">
        <v>33544</v>
      </c>
      <c r="U7237" s="38" t="str">
        <f>HYPERLINK("https://www.ncbi.nlm.nih.gov/pubmed/30300099","PubMed")</f>
        <v>PubMed</v>
      </c>
      <c r="V7237" s="30" t="s">
        <v>33545</v>
      </c>
      <c r="W7237" s="49"/>
      <c r="X7237" s="49"/>
      <c r="Y7237" s="35"/>
      <c r="Z7237" s="35"/>
      <c r="AA7237" s="35"/>
      <c r="AB7237" s="35"/>
      <c r="AC7237" s="35"/>
      <c r="AD7237" s="35"/>
      <c r="AE7237" s="35"/>
      <c r="AF7237" s="35"/>
      <c r="AG7237" s="35"/>
      <c r="AH7237" s="35"/>
      <c r="AI7237" s="35"/>
      <c r="AJ7237" s="35"/>
      <c r="AK7237" s="35"/>
      <c r="AL7237" s="35"/>
    </row>
    <row r="7238">
      <c r="A7238" s="1"/>
      <c r="B7238" s="19" t="s">
        <v>33186</v>
      </c>
      <c r="C7238" s="20" t="s">
        <v>33534</v>
      </c>
      <c r="D7238" s="47"/>
      <c r="E7238" s="22" t="s">
        <v>33546</v>
      </c>
      <c r="F7238" s="22" t="s">
        <v>490</v>
      </c>
      <c r="G7238" s="23">
        <v>2015.0</v>
      </c>
      <c r="H7238" s="22" t="s">
        <v>91</v>
      </c>
      <c r="I7238" s="24" t="s">
        <v>33547</v>
      </c>
      <c r="J7238" s="22" t="s">
        <v>522</v>
      </c>
      <c r="K7238" s="22" t="s">
        <v>157</v>
      </c>
      <c r="L7238" s="36">
        <v>890.0</v>
      </c>
      <c r="M7238" s="36"/>
      <c r="N7238" s="36"/>
      <c r="O7238" s="36"/>
      <c r="P7238" s="37"/>
      <c r="Q7238" s="36"/>
      <c r="R7238" s="36"/>
      <c r="S7238" s="36"/>
      <c r="T7238" s="54" t="s">
        <v>33548</v>
      </c>
      <c r="U7238" s="38" t="str">
        <f>HYPERLINK("https://www.ncbi.nlm.nih.gov/pubmed/25150020","PubMed")</f>
        <v>PubMed</v>
      </c>
      <c r="V7238" s="30"/>
      <c r="W7238" s="49"/>
      <c r="X7238" s="49"/>
      <c r="Y7238" s="35"/>
      <c r="Z7238" s="35"/>
      <c r="AA7238" s="35"/>
      <c r="AB7238" s="35"/>
      <c r="AC7238" s="35"/>
      <c r="AD7238" s="35"/>
      <c r="AE7238" s="35"/>
      <c r="AF7238" s="35"/>
      <c r="AG7238" s="35"/>
      <c r="AH7238" s="35"/>
      <c r="AI7238" s="35"/>
      <c r="AJ7238" s="35"/>
      <c r="AK7238" s="35"/>
      <c r="AL7238" s="35"/>
    </row>
    <row r="7239">
      <c r="A7239" s="1"/>
      <c r="B7239" s="19" t="s">
        <v>33186</v>
      </c>
      <c r="C7239" s="20" t="s">
        <v>33534</v>
      </c>
      <c r="D7239" s="47"/>
      <c r="E7239" s="22" t="s">
        <v>33549</v>
      </c>
      <c r="F7239" s="22" t="s">
        <v>22315</v>
      </c>
      <c r="G7239" s="23">
        <v>2015.0</v>
      </c>
      <c r="H7239" s="22" t="s">
        <v>658</v>
      </c>
      <c r="I7239" s="24" t="s">
        <v>33550</v>
      </c>
      <c r="J7239" s="22" t="s">
        <v>522</v>
      </c>
      <c r="K7239" s="22" t="s">
        <v>33551</v>
      </c>
      <c r="L7239" s="36" t="s">
        <v>8245</v>
      </c>
      <c r="M7239" s="36" t="s">
        <v>33552</v>
      </c>
      <c r="N7239" s="36"/>
      <c r="O7239" s="36"/>
      <c r="P7239" s="37" t="s">
        <v>33553</v>
      </c>
      <c r="Q7239" s="36" t="s">
        <v>33554</v>
      </c>
      <c r="R7239" s="36"/>
      <c r="S7239" s="36"/>
      <c r="T7239" s="137" t="s">
        <v>33555</v>
      </c>
      <c r="U7239" s="38" t="str">
        <f>HYPERLINK("https://www.ncbi.nlm.nih.gov/pubmed/25751667","PubMed")</f>
        <v>PubMed</v>
      </c>
      <c r="V7239" s="30"/>
      <c r="W7239" s="49"/>
      <c r="X7239" s="49"/>
      <c r="Y7239" s="35"/>
      <c r="Z7239" s="35"/>
      <c r="AA7239" s="35"/>
      <c r="AB7239" s="35"/>
      <c r="AC7239" s="35"/>
      <c r="AD7239" s="35"/>
      <c r="AE7239" s="35"/>
      <c r="AF7239" s="35"/>
      <c r="AG7239" s="35"/>
      <c r="AH7239" s="35"/>
      <c r="AI7239" s="35"/>
      <c r="AJ7239" s="35"/>
      <c r="AK7239" s="35"/>
      <c r="AL7239" s="35"/>
    </row>
    <row r="7240">
      <c r="A7240" s="1"/>
      <c r="B7240" s="19" t="s">
        <v>33186</v>
      </c>
      <c r="C7240" s="20" t="s">
        <v>33534</v>
      </c>
      <c r="D7240" s="47"/>
      <c r="E7240" s="22" t="s">
        <v>33556</v>
      </c>
      <c r="F7240" s="22" t="s">
        <v>4763</v>
      </c>
      <c r="G7240" s="23">
        <v>2004.0</v>
      </c>
      <c r="H7240" s="22" t="s">
        <v>1289</v>
      </c>
      <c r="I7240" s="24" t="s">
        <v>33557</v>
      </c>
      <c r="J7240" s="22" t="s">
        <v>33558</v>
      </c>
      <c r="K7240" s="22" t="s">
        <v>26525</v>
      </c>
      <c r="L7240" s="36">
        <v>904.0</v>
      </c>
      <c r="M7240" s="36"/>
      <c r="N7240" s="36"/>
      <c r="O7240" s="36"/>
      <c r="P7240" s="37"/>
      <c r="Q7240" s="36"/>
      <c r="R7240" s="36"/>
      <c r="S7240" s="36" t="s">
        <v>1514</v>
      </c>
      <c r="T7240" s="42" t="s">
        <v>33559</v>
      </c>
      <c r="U7240" s="38" t="str">
        <f>HYPERLINK("https://www.ncbi.nlm.nih.gov/pubmed/15165384","PubMed")</f>
        <v>PubMed</v>
      </c>
      <c r="V7240" s="30" t="s">
        <v>33560</v>
      </c>
      <c r="W7240" s="49"/>
      <c r="X7240" s="49"/>
      <c r="Y7240" s="35"/>
      <c r="Z7240" s="35"/>
      <c r="AA7240" s="35"/>
      <c r="AB7240" s="35"/>
      <c r="AC7240" s="35"/>
      <c r="AD7240" s="35"/>
      <c r="AE7240" s="35"/>
      <c r="AF7240" s="35"/>
      <c r="AG7240" s="35"/>
      <c r="AH7240" s="35"/>
      <c r="AI7240" s="35"/>
      <c r="AJ7240" s="35"/>
      <c r="AK7240" s="35"/>
      <c r="AL7240" s="35"/>
    </row>
    <row r="7241">
      <c r="A7241" s="1"/>
      <c r="B7241" s="19" t="s">
        <v>33186</v>
      </c>
      <c r="C7241" s="20" t="s">
        <v>7020</v>
      </c>
      <c r="D7241" s="47"/>
      <c r="E7241" s="22" t="s">
        <v>33561</v>
      </c>
      <c r="F7241" s="22" t="s">
        <v>7017</v>
      </c>
      <c r="G7241" s="23">
        <v>2016.0</v>
      </c>
      <c r="H7241" s="22" t="s">
        <v>16297</v>
      </c>
      <c r="I7241" s="24" t="s">
        <v>33562</v>
      </c>
      <c r="J7241" s="22" t="s">
        <v>125</v>
      </c>
      <c r="K7241" s="22" t="s">
        <v>33563</v>
      </c>
      <c r="L7241" s="241" t="s">
        <v>33564</v>
      </c>
      <c r="M7241" s="44"/>
      <c r="N7241" s="44"/>
      <c r="O7241" s="44"/>
      <c r="P7241" s="44"/>
      <c r="Q7241" s="44"/>
      <c r="R7241" s="44"/>
      <c r="S7241" s="44"/>
      <c r="T7241" s="45"/>
      <c r="U7241" s="38" t="str">
        <f>HYPERLINK("https://www.ncbi.nlm.nih.gov/pubmed/25559198","PubMed")</f>
        <v>PubMed</v>
      </c>
      <c r="V7241" s="30"/>
      <c r="W7241" s="49"/>
      <c r="X7241" s="49"/>
      <c r="Y7241" s="35"/>
      <c r="Z7241" s="35"/>
      <c r="AA7241" s="35"/>
      <c r="AB7241" s="35"/>
      <c r="AC7241" s="35"/>
      <c r="AD7241" s="35"/>
      <c r="AE7241" s="35"/>
      <c r="AF7241" s="35"/>
      <c r="AG7241" s="35"/>
      <c r="AH7241" s="35"/>
      <c r="AI7241" s="35"/>
      <c r="AJ7241" s="35"/>
      <c r="AK7241" s="35"/>
      <c r="AL7241" s="35"/>
    </row>
    <row r="7242">
      <c r="A7242" s="1"/>
      <c r="B7242" s="19" t="s">
        <v>33186</v>
      </c>
      <c r="C7242" s="20" t="s">
        <v>33565</v>
      </c>
      <c r="D7242" s="47"/>
      <c r="E7242" s="22" t="s">
        <v>216</v>
      </c>
      <c r="F7242" s="22" t="s">
        <v>22556</v>
      </c>
      <c r="G7242" s="23">
        <v>2014.0</v>
      </c>
      <c r="H7242" s="22" t="s">
        <v>1000</v>
      </c>
      <c r="I7242" s="24" t="s">
        <v>33566</v>
      </c>
      <c r="J7242" s="22" t="s">
        <v>33567</v>
      </c>
      <c r="K7242" s="22"/>
      <c r="L7242" s="319">
        <v>810.0</v>
      </c>
      <c r="M7242" s="319">
        <v>200.0</v>
      </c>
      <c r="N7242" s="319" t="s">
        <v>33568</v>
      </c>
      <c r="O7242" s="422"/>
      <c r="P7242" s="423"/>
      <c r="Q7242" s="319" t="s">
        <v>33569</v>
      </c>
      <c r="R7242" s="226"/>
      <c r="S7242" s="319" t="s">
        <v>33570</v>
      </c>
      <c r="T7242" s="54" t="s">
        <v>33571</v>
      </c>
      <c r="U7242" s="38" t="str">
        <f>HYPERLINK("https://www.hindawi.com/journals/ijp/2014/785386/","Hindawi")</f>
        <v>Hindawi</v>
      </c>
      <c r="V7242" s="30"/>
      <c r="W7242" s="49"/>
      <c r="X7242" s="49"/>
      <c r="Y7242" s="35"/>
      <c r="Z7242" s="35"/>
      <c r="AA7242" s="35"/>
      <c r="AB7242" s="35"/>
      <c r="AC7242" s="35"/>
      <c r="AD7242" s="35"/>
      <c r="AE7242" s="35"/>
      <c r="AF7242" s="35"/>
      <c r="AG7242" s="35"/>
      <c r="AH7242" s="35"/>
      <c r="AI7242" s="35"/>
      <c r="AJ7242" s="35"/>
      <c r="AK7242" s="35"/>
      <c r="AL7242" s="35"/>
    </row>
    <row r="7243">
      <c r="A7243" s="1"/>
      <c r="B7243" s="19" t="s">
        <v>33186</v>
      </c>
      <c r="C7243" s="20" t="s">
        <v>2036</v>
      </c>
      <c r="D7243" s="47"/>
      <c r="E7243" s="22" t="s">
        <v>10106</v>
      </c>
      <c r="F7243" s="22" t="s">
        <v>1370</v>
      </c>
      <c r="G7243" s="23">
        <v>2023.0</v>
      </c>
      <c r="H7243" s="22" t="s">
        <v>5923</v>
      </c>
      <c r="I7243" s="24" t="s">
        <v>33572</v>
      </c>
      <c r="J7243" s="22" t="s">
        <v>33573</v>
      </c>
      <c r="K7243" s="22"/>
      <c r="L7243" s="370" t="s">
        <v>33574</v>
      </c>
      <c r="M7243" s="44"/>
      <c r="N7243" s="44"/>
      <c r="O7243" s="44"/>
      <c r="P7243" s="44"/>
      <c r="Q7243" s="44"/>
      <c r="R7243" s="44"/>
      <c r="S7243" s="44"/>
      <c r="T7243" s="45"/>
      <c r="U7243" s="38" t="s">
        <v>61</v>
      </c>
      <c r="V7243" s="30"/>
      <c r="W7243" s="49"/>
      <c r="X7243" s="49"/>
      <c r="Y7243" s="35"/>
      <c r="Z7243" s="35"/>
      <c r="AA7243" s="35"/>
      <c r="AB7243" s="35"/>
      <c r="AC7243" s="35"/>
      <c r="AD7243" s="35"/>
      <c r="AE7243" s="35"/>
      <c r="AF7243" s="35"/>
      <c r="AG7243" s="35"/>
      <c r="AH7243" s="35"/>
      <c r="AI7243" s="35"/>
      <c r="AJ7243" s="35"/>
      <c r="AK7243" s="35"/>
      <c r="AL7243" s="35"/>
    </row>
    <row r="7244">
      <c r="A7244" s="1"/>
      <c r="B7244" s="19" t="s">
        <v>33186</v>
      </c>
      <c r="C7244" s="20" t="s">
        <v>2036</v>
      </c>
      <c r="D7244" s="47"/>
      <c r="E7244" s="22" t="s">
        <v>33575</v>
      </c>
      <c r="F7244" s="22" t="s">
        <v>10060</v>
      </c>
      <c r="G7244" s="23">
        <v>2022.0</v>
      </c>
      <c r="H7244" s="22" t="s">
        <v>452</v>
      </c>
      <c r="I7244" s="24" t="s">
        <v>33576</v>
      </c>
      <c r="J7244" s="22" t="s">
        <v>125</v>
      </c>
      <c r="K7244" s="22"/>
      <c r="L7244" s="370" t="s">
        <v>33577</v>
      </c>
      <c r="M7244" s="44"/>
      <c r="N7244" s="44"/>
      <c r="O7244" s="44"/>
      <c r="P7244" s="44"/>
      <c r="Q7244" s="44"/>
      <c r="R7244" s="44"/>
      <c r="S7244" s="44"/>
      <c r="T7244" s="45"/>
      <c r="U7244" s="29" t="s">
        <v>61</v>
      </c>
      <c r="V7244" s="30"/>
      <c r="W7244" s="49"/>
      <c r="X7244" s="49"/>
      <c r="Y7244" s="35"/>
      <c r="Z7244" s="35"/>
      <c r="AA7244" s="35"/>
      <c r="AB7244" s="35"/>
      <c r="AC7244" s="35"/>
      <c r="AD7244" s="35"/>
      <c r="AE7244" s="35"/>
      <c r="AF7244" s="35"/>
      <c r="AG7244" s="35"/>
      <c r="AH7244" s="35"/>
      <c r="AI7244" s="35"/>
      <c r="AJ7244" s="35"/>
      <c r="AK7244" s="35"/>
      <c r="AL7244" s="35"/>
    </row>
    <row r="7245">
      <c r="A7245" s="1"/>
      <c r="B7245" s="19" t="s">
        <v>33186</v>
      </c>
      <c r="C7245" s="20" t="s">
        <v>29230</v>
      </c>
      <c r="D7245" s="47"/>
      <c r="E7245" s="22" t="s">
        <v>29778</v>
      </c>
      <c r="F7245" s="22" t="s">
        <v>1465</v>
      </c>
      <c r="G7245" s="23">
        <v>2015.0</v>
      </c>
      <c r="H7245" s="22" t="s">
        <v>13426</v>
      </c>
      <c r="I7245" s="24" t="s">
        <v>33578</v>
      </c>
      <c r="J7245" s="22" t="s">
        <v>1078</v>
      </c>
      <c r="K7245" s="22" t="s">
        <v>33579</v>
      </c>
      <c r="L7245" s="105" t="s">
        <v>33580</v>
      </c>
      <c r="M7245" s="44"/>
      <c r="N7245" s="44"/>
      <c r="O7245" s="44"/>
      <c r="P7245" s="44"/>
      <c r="Q7245" s="44"/>
      <c r="R7245" s="44"/>
      <c r="S7245" s="44"/>
      <c r="T7245" s="45"/>
      <c r="U7245" s="38" t="str">
        <f>HYPERLINK("https://www.ncbi.nlm.nih.gov/pubmed/25450903","PubMed")</f>
        <v>PubMed</v>
      </c>
      <c r="V7245" s="30"/>
      <c r="W7245" s="49"/>
      <c r="X7245" s="49"/>
      <c r="Y7245" s="35"/>
      <c r="Z7245" s="35"/>
      <c r="AA7245" s="35"/>
      <c r="AB7245" s="35"/>
      <c r="AC7245" s="35"/>
      <c r="AD7245" s="35"/>
      <c r="AE7245" s="35"/>
      <c r="AF7245" s="35"/>
      <c r="AG7245" s="35"/>
      <c r="AH7245" s="35"/>
      <c r="AI7245" s="35"/>
      <c r="AJ7245" s="35"/>
      <c r="AK7245" s="35"/>
      <c r="AL7245" s="35"/>
    </row>
    <row r="7246">
      <c r="A7246" s="1"/>
      <c r="B7246" s="19" t="s">
        <v>33186</v>
      </c>
      <c r="C7246" s="20" t="s">
        <v>33581</v>
      </c>
      <c r="D7246" s="424"/>
      <c r="E7246" s="113" t="s">
        <v>33582</v>
      </c>
      <c r="F7246" s="113" t="s">
        <v>33583</v>
      </c>
      <c r="G7246" s="355">
        <v>1997.0</v>
      </c>
      <c r="H7246" s="113" t="s">
        <v>292</v>
      </c>
      <c r="I7246" s="114" t="s">
        <v>33584</v>
      </c>
      <c r="J7246" s="22" t="s">
        <v>33585</v>
      </c>
      <c r="K7246" s="22" t="s">
        <v>33586</v>
      </c>
      <c r="L7246" s="319">
        <v>904.0</v>
      </c>
      <c r="M7246" s="319">
        <v>8.0</v>
      </c>
      <c r="N7246" s="226"/>
      <c r="O7246" s="422"/>
      <c r="P7246" s="423" t="s">
        <v>33587</v>
      </c>
      <c r="Q7246" s="226"/>
      <c r="R7246" s="226"/>
      <c r="S7246" s="319" t="s">
        <v>33588</v>
      </c>
      <c r="T7246" s="425" t="s">
        <v>33589</v>
      </c>
      <c r="U7246" s="426" t="str">
        <f>HYPERLINK("https://www.jstage.jst.go.jp/article/islsm/14/0_Pilot_Issue_2/14_0_Pilot_Issue_2_0_79/_article/-char/ja/","J-STAGE")</f>
        <v>J-STAGE</v>
      </c>
      <c r="V7246" s="30"/>
      <c r="W7246" s="49"/>
      <c r="X7246" s="49"/>
      <c r="Y7246" s="35"/>
      <c r="Z7246" s="35"/>
      <c r="AA7246" s="35"/>
      <c r="AB7246" s="35"/>
      <c r="AC7246" s="35"/>
      <c r="AD7246" s="35"/>
      <c r="AE7246" s="35"/>
      <c r="AF7246" s="35"/>
      <c r="AG7246" s="35"/>
      <c r="AH7246" s="35"/>
      <c r="AI7246" s="35"/>
      <c r="AJ7246" s="35"/>
      <c r="AK7246" s="35"/>
      <c r="AL7246" s="35"/>
    </row>
    <row r="7247">
      <c r="A7247" s="1"/>
      <c r="B7247" s="19" t="s">
        <v>33186</v>
      </c>
      <c r="C7247" s="20" t="s">
        <v>33563</v>
      </c>
      <c r="D7247" s="424"/>
      <c r="E7247" s="113" t="s">
        <v>33501</v>
      </c>
      <c r="F7247" s="113" t="s">
        <v>33502</v>
      </c>
      <c r="G7247" s="355">
        <v>2022.0</v>
      </c>
      <c r="H7247" s="113" t="s">
        <v>77</v>
      </c>
      <c r="I7247" s="114" t="s">
        <v>33590</v>
      </c>
      <c r="J7247" s="22" t="s">
        <v>666</v>
      </c>
      <c r="K7247" s="22"/>
      <c r="L7247" s="427" t="s">
        <v>33591</v>
      </c>
      <c r="M7247" s="44"/>
      <c r="N7247" s="44"/>
      <c r="O7247" s="44"/>
      <c r="P7247" s="44"/>
      <c r="Q7247" s="44"/>
      <c r="R7247" s="44"/>
      <c r="S7247" s="44"/>
      <c r="T7247" s="45"/>
      <c r="U7247" s="426" t="s">
        <v>61</v>
      </c>
      <c r="V7247" s="30"/>
      <c r="W7247" s="49"/>
      <c r="X7247" s="49"/>
      <c r="Y7247" s="35"/>
      <c r="Z7247" s="35"/>
      <c r="AA7247" s="35"/>
      <c r="AB7247" s="35"/>
      <c r="AC7247" s="35"/>
      <c r="AD7247" s="35"/>
      <c r="AE7247" s="35"/>
      <c r="AF7247" s="35"/>
      <c r="AG7247" s="35"/>
      <c r="AH7247" s="35"/>
      <c r="AI7247" s="35"/>
      <c r="AJ7247" s="35"/>
      <c r="AK7247" s="35"/>
      <c r="AL7247" s="35"/>
    </row>
    <row r="7248">
      <c r="A7248" s="1"/>
      <c r="B7248" s="19" t="s">
        <v>33186</v>
      </c>
      <c r="C7248" s="20" t="s">
        <v>33563</v>
      </c>
      <c r="D7248" s="424"/>
      <c r="E7248" s="113" t="s">
        <v>5156</v>
      </c>
      <c r="F7248" s="113" t="s">
        <v>5157</v>
      </c>
      <c r="G7248" s="355">
        <v>2021.0</v>
      </c>
      <c r="H7248" s="113" t="s">
        <v>15835</v>
      </c>
      <c r="I7248" s="114" t="s">
        <v>33592</v>
      </c>
      <c r="J7248" s="113" t="s">
        <v>1078</v>
      </c>
      <c r="K7248" s="22"/>
      <c r="L7248" s="427" t="s">
        <v>33593</v>
      </c>
      <c r="M7248" s="44"/>
      <c r="N7248" s="44"/>
      <c r="O7248" s="44"/>
      <c r="P7248" s="44"/>
      <c r="Q7248" s="44"/>
      <c r="R7248" s="44"/>
      <c r="S7248" s="44"/>
      <c r="T7248" s="45"/>
      <c r="U7248" s="426" t="s">
        <v>61</v>
      </c>
      <c r="V7248" s="30"/>
      <c r="W7248" s="49"/>
      <c r="X7248" s="49"/>
      <c r="Y7248" s="35"/>
      <c r="Z7248" s="35"/>
      <c r="AA7248" s="35"/>
      <c r="AB7248" s="35"/>
      <c r="AC7248" s="35"/>
      <c r="AD7248" s="35"/>
      <c r="AE7248" s="35"/>
      <c r="AF7248" s="35"/>
      <c r="AG7248" s="35"/>
      <c r="AH7248" s="35"/>
      <c r="AI7248" s="35"/>
      <c r="AJ7248" s="35"/>
      <c r="AK7248" s="35"/>
      <c r="AL7248" s="35"/>
    </row>
    <row r="7249">
      <c r="A7249" s="1"/>
      <c r="B7249" s="19" t="s">
        <v>33186</v>
      </c>
      <c r="C7249" s="20" t="s">
        <v>33563</v>
      </c>
      <c r="D7249" s="424"/>
      <c r="E7249" s="113" t="s">
        <v>33594</v>
      </c>
      <c r="F7249" s="113" t="s">
        <v>115</v>
      </c>
      <c r="G7249" s="355">
        <v>2020.0</v>
      </c>
      <c r="H7249" s="113" t="s">
        <v>33595</v>
      </c>
      <c r="I7249" s="114" t="s">
        <v>33596</v>
      </c>
      <c r="J7249" s="113" t="s">
        <v>33597</v>
      </c>
      <c r="K7249" s="22"/>
      <c r="L7249" s="428" t="s">
        <v>33598</v>
      </c>
      <c r="M7249" s="44"/>
      <c r="N7249" s="44"/>
      <c r="O7249" s="44"/>
      <c r="P7249" s="44"/>
      <c r="Q7249" s="44"/>
      <c r="R7249" s="44"/>
      <c r="S7249" s="44"/>
      <c r="T7249" s="45"/>
      <c r="U7249" s="426" t="s">
        <v>61</v>
      </c>
      <c r="V7249" s="30"/>
      <c r="W7249" s="49"/>
      <c r="X7249" s="49"/>
      <c r="Y7249" s="35"/>
      <c r="Z7249" s="35"/>
      <c r="AA7249" s="35"/>
      <c r="AB7249" s="35"/>
      <c r="AC7249" s="35"/>
      <c r="AD7249" s="35"/>
      <c r="AE7249" s="35"/>
      <c r="AF7249" s="35"/>
      <c r="AG7249" s="35"/>
      <c r="AH7249" s="35"/>
      <c r="AI7249" s="35"/>
      <c r="AJ7249" s="35"/>
      <c r="AK7249" s="35"/>
      <c r="AL7249" s="35"/>
    </row>
    <row r="7250">
      <c r="A7250" s="18"/>
      <c r="B7250" s="19" t="s">
        <v>33186</v>
      </c>
      <c r="C7250" s="20" t="s">
        <v>33599</v>
      </c>
      <c r="D7250" s="424"/>
      <c r="E7250" s="113" t="s">
        <v>20332</v>
      </c>
      <c r="F7250" s="113" t="s">
        <v>814</v>
      </c>
      <c r="G7250" s="355">
        <v>2022.0</v>
      </c>
      <c r="H7250" s="113" t="s">
        <v>91</v>
      </c>
      <c r="I7250" s="114" t="s">
        <v>33600</v>
      </c>
      <c r="J7250" s="22" t="s">
        <v>33601</v>
      </c>
      <c r="K7250" s="22"/>
      <c r="L7250" s="319" t="s">
        <v>58</v>
      </c>
      <c r="M7250" s="319" t="s">
        <v>33602</v>
      </c>
      <c r="N7250" s="226"/>
      <c r="O7250" s="422"/>
      <c r="P7250" s="423"/>
      <c r="Q7250" s="319" t="s">
        <v>33603</v>
      </c>
      <c r="R7250" s="319" t="s">
        <v>33604</v>
      </c>
      <c r="S7250" s="319" t="s">
        <v>7986</v>
      </c>
      <c r="T7250" s="425" t="s">
        <v>33605</v>
      </c>
      <c r="U7250" s="117" t="s">
        <v>61</v>
      </c>
      <c r="V7250" s="30" t="s">
        <v>33606</v>
      </c>
      <c r="W7250" s="49"/>
      <c r="X7250" s="49"/>
      <c r="Y7250" s="35"/>
      <c r="Z7250" s="35"/>
      <c r="AA7250" s="35"/>
      <c r="AB7250" s="35"/>
      <c r="AC7250" s="35"/>
      <c r="AD7250" s="35"/>
      <c r="AE7250" s="35"/>
      <c r="AF7250" s="35"/>
      <c r="AG7250" s="35"/>
      <c r="AH7250" s="35"/>
      <c r="AI7250" s="35"/>
      <c r="AJ7250" s="35"/>
      <c r="AK7250" s="35"/>
      <c r="AL7250" s="35"/>
    </row>
    <row r="7251">
      <c r="A7251" s="18"/>
      <c r="B7251" s="19" t="s">
        <v>33186</v>
      </c>
      <c r="C7251" s="20" t="s">
        <v>33599</v>
      </c>
      <c r="D7251" s="424"/>
      <c r="E7251" s="113" t="s">
        <v>33607</v>
      </c>
      <c r="F7251" s="113" t="s">
        <v>11512</v>
      </c>
      <c r="G7251" s="355">
        <v>2020.0</v>
      </c>
      <c r="H7251" s="113" t="s">
        <v>33608</v>
      </c>
      <c r="I7251" s="114" t="s">
        <v>33609</v>
      </c>
      <c r="J7251" s="22" t="s">
        <v>33610</v>
      </c>
      <c r="K7251" s="22" t="s">
        <v>28393</v>
      </c>
      <c r="L7251" s="319">
        <v>905.0</v>
      </c>
      <c r="M7251" s="319"/>
      <c r="N7251" s="226"/>
      <c r="O7251" s="422"/>
      <c r="P7251" s="423"/>
      <c r="Q7251" s="319"/>
      <c r="R7251" s="319">
        <v>300.0</v>
      </c>
      <c r="S7251" s="319" t="s">
        <v>33611</v>
      </c>
      <c r="T7251" s="429" t="s">
        <v>33612</v>
      </c>
      <c r="U7251" s="426" t="s">
        <v>61</v>
      </c>
      <c r="V7251" s="30"/>
      <c r="W7251" s="49"/>
      <c r="X7251" s="49"/>
      <c r="Y7251" s="35"/>
      <c r="Z7251" s="35"/>
      <c r="AA7251" s="35"/>
      <c r="AB7251" s="35"/>
      <c r="AC7251" s="35"/>
      <c r="AD7251" s="35"/>
      <c r="AE7251" s="35"/>
      <c r="AF7251" s="35"/>
      <c r="AG7251" s="35"/>
      <c r="AH7251" s="35"/>
      <c r="AI7251" s="35"/>
      <c r="AJ7251" s="35"/>
      <c r="AK7251" s="35"/>
      <c r="AL7251" s="35"/>
    </row>
    <row r="7252">
      <c r="A7252" s="18" t="s">
        <v>38</v>
      </c>
      <c r="B7252" s="19" t="s">
        <v>33186</v>
      </c>
      <c r="C7252" s="20" t="s">
        <v>33599</v>
      </c>
      <c r="D7252" s="424"/>
      <c r="E7252" s="113" t="s">
        <v>33613</v>
      </c>
      <c r="F7252" s="113" t="s">
        <v>605</v>
      </c>
      <c r="G7252" s="355">
        <v>2019.0</v>
      </c>
      <c r="H7252" s="113" t="s">
        <v>77</v>
      </c>
      <c r="I7252" s="114" t="s">
        <v>33614</v>
      </c>
      <c r="J7252" s="22" t="s">
        <v>33615</v>
      </c>
      <c r="K7252" s="22"/>
      <c r="L7252" s="319">
        <v>904.0</v>
      </c>
      <c r="M7252" s="319">
        <v>40.0</v>
      </c>
      <c r="N7252" s="226"/>
      <c r="O7252" s="422"/>
      <c r="P7252" s="423" t="s">
        <v>6551</v>
      </c>
      <c r="Q7252" s="319" t="s">
        <v>33616</v>
      </c>
      <c r="R7252" s="319">
        <v>60.0</v>
      </c>
      <c r="S7252" s="319" t="s">
        <v>4905</v>
      </c>
      <c r="T7252" s="425" t="s">
        <v>33617</v>
      </c>
      <c r="U7252" s="426" t="str">
        <f>HYPERLINK("https://www.ncbi.nlm.nih.gov/pubmed/31084562","PubMed")</f>
        <v>PubMed</v>
      </c>
      <c r="V7252" s="30"/>
      <c r="W7252" s="49"/>
      <c r="X7252" s="49"/>
      <c r="Y7252" s="35"/>
      <c r="Z7252" s="35"/>
      <c r="AA7252" s="35"/>
      <c r="AB7252" s="35"/>
      <c r="AC7252" s="35"/>
      <c r="AD7252" s="35"/>
      <c r="AE7252" s="35"/>
      <c r="AF7252" s="35"/>
      <c r="AG7252" s="35"/>
      <c r="AH7252" s="35"/>
      <c r="AI7252" s="35"/>
      <c r="AJ7252" s="35"/>
      <c r="AK7252" s="35"/>
      <c r="AL7252" s="35"/>
    </row>
    <row r="7253">
      <c r="A7253" s="18"/>
      <c r="B7253" s="19" t="s">
        <v>33186</v>
      </c>
      <c r="C7253" s="20" t="s">
        <v>33599</v>
      </c>
      <c r="D7253" s="424"/>
      <c r="E7253" s="113" t="s">
        <v>33618</v>
      </c>
      <c r="F7253" s="113" t="s">
        <v>1617</v>
      </c>
      <c r="G7253" s="355">
        <v>2018.0</v>
      </c>
      <c r="H7253" s="113" t="s">
        <v>292</v>
      </c>
      <c r="I7253" s="114" t="s">
        <v>33619</v>
      </c>
      <c r="J7253" s="22" t="s">
        <v>125</v>
      </c>
      <c r="K7253" s="22"/>
      <c r="L7253" s="430" t="s">
        <v>33620</v>
      </c>
      <c r="M7253" s="431"/>
      <c r="N7253" s="431"/>
      <c r="O7253" s="431"/>
      <c r="P7253" s="431"/>
      <c r="Q7253" s="431"/>
      <c r="R7253" s="431"/>
      <c r="S7253" s="431"/>
      <c r="T7253" s="431"/>
      <c r="U7253" s="426" t="str">
        <f>HYPERLINK("https://www.ncbi.nlm.nih.gov/pubmed/32158063","PubMed")</f>
        <v>PubMed</v>
      </c>
      <c r="V7253" s="30"/>
      <c r="W7253" s="49"/>
      <c r="X7253" s="49"/>
      <c r="Y7253" s="35"/>
      <c r="Z7253" s="35"/>
      <c r="AA7253" s="35"/>
      <c r="AB7253" s="35"/>
      <c r="AC7253" s="35"/>
      <c r="AD7253" s="35"/>
      <c r="AE7253" s="35"/>
      <c r="AF7253" s="35"/>
      <c r="AG7253" s="35"/>
      <c r="AH7253" s="35"/>
      <c r="AI7253" s="35"/>
      <c r="AJ7253" s="35"/>
      <c r="AK7253" s="35"/>
      <c r="AL7253" s="35"/>
    </row>
    <row r="7254">
      <c r="A7254" s="1"/>
      <c r="B7254" s="19" t="s">
        <v>33186</v>
      </c>
      <c r="C7254" s="20" t="s">
        <v>33599</v>
      </c>
      <c r="D7254" s="424"/>
      <c r="E7254" s="113" t="s">
        <v>33621</v>
      </c>
      <c r="F7254" s="113" t="s">
        <v>605</v>
      </c>
      <c r="G7254" s="355">
        <v>2018.0</v>
      </c>
      <c r="H7254" s="113" t="s">
        <v>4676</v>
      </c>
      <c r="I7254" s="114" t="s">
        <v>33622</v>
      </c>
      <c r="J7254" s="22" t="s">
        <v>33623</v>
      </c>
      <c r="K7254" s="22" t="s">
        <v>33624</v>
      </c>
      <c r="L7254" s="319">
        <v>904.0</v>
      </c>
      <c r="M7254" s="319" t="s">
        <v>33625</v>
      </c>
      <c r="N7254" s="319" t="s">
        <v>58</v>
      </c>
      <c r="O7254" s="423" t="s">
        <v>58</v>
      </c>
      <c r="P7254" s="423" t="s">
        <v>58</v>
      </c>
      <c r="Q7254" s="319" t="s">
        <v>58</v>
      </c>
      <c r="R7254" s="319" t="s">
        <v>33626</v>
      </c>
      <c r="S7254" s="319" t="s">
        <v>4708</v>
      </c>
      <c r="T7254" s="425" t="s">
        <v>33627</v>
      </c>
      <c r="U7254" s="426" t="str">
        <f>HYPERLINK("https://www.ncbi.nlm.nih.gov/pubmed/29452929","PubMed")</f>
        <v>PubMed</v>
      </c>
      <c r="V7254" s="30" t="s">
        <v>33628</v>
      </c>
      <c r="W7254" s="49"/>
      <c r="X7254" s="49"/>
      <c r="Y7254" s="35"/>
      <c r="Z7254" s="35"/>
      <c r="AA7254" s="35"/>
      <c r="AB7254" s="35"/>
      <c r="AC7254" s="35"/>
      <c r="AD7254" s="35"/>
      <c r="AE7254" s="35"/>
      <c r="AF7254" s="35"/>
      <c r="AG7254" s="35"/>
      <c r="AH7254" s="35"/>
      <c r="AI7254" s="35"/>
      <c r="AJ7254" s="35"/>
      <c r="AK7254" s="35"/>
      <c r="AL7254" s="35"/>
    </row>
    <row r="7255">
      <c r="A7255" s="1"/>
      <c r="B7255" s="19" t="s">
        <v>33186</v>
      </c>
      <c r="C7255" s="20" t="s">
        <v>33599</v>
      </c>
      <c r="D7255" s="424"/>
      <c r="E7255" s="113" t="s">
        <v>33629</v>
      </c>
      <c r="F7255" s="113" t="s">
        <v>13162</v>
      </c>
      <c r="G7255" s="355">
        <v>2016.0</v>
      </c>
      <c r="H7255" s="113" t="s">
        <v>4705</v>
      </c>
      <c r="I7255" s="114" t="s">
        <v>33630</v>
      </c>
      <c r="J7255" s="22" t="s">
        <v>33631</v>
      </c>
      <c r="K7255" s="22"/>
      <c r="L7255" s="319" t="s">
        <v>58</v>
      </c>
      <c r="M7255" s="319" t="s">
        <v>58</v>
      </c>
      <c r="N7255" s="319" t="s">
        <v>58</v>
      </c>
      <c r="O7255" s="319" t="s">
        <v>58</v>
      </c>
      <c r="P7255" s="423" t="s">
        <v>33632</v>
      </c>
      <c r="Q7255" s="319" t="s">
        <v>58</v>
      </c>
      <c r="R7255" s="319">
        <v>75.0</v>
      </c>
      <c r="S7255" s="319" t="s">
        <v>1514</v>
      </c>
      <c r="T7255" s="425" t="s">
        <v>33633</v>
      </c>
      <c r="U7255" s="426" t="str">
        <f>HYPERLINK("https://www.ncbi.nlm.nih.gov/pubmed/29900938","PubMed")</f>
        <v>PubMed</v>
      </c>
      <c r="V7255" s="30"/>
      <c r="W7255" s="49"/>
      <c r="X7255" s="49"/>
      <c r="Y7255" s="35"/>
      <c r="Z7255" s="35"/>
      <c r="AA7255" s="35"/>
      <c r="AB7255" s="35"/>
      <c r="AC7255" s="35"/>
      <c r="AD7255" s="35"/>
      <c r="AE7255" s="35"/>
      <c r="AF7255" s="35"/>
      <c r="AG7255" s="35"/>
      <c r="AH7255" s="35"/>
      <c r="AI7255" s="35"/>
      <c r="AJ7255" s="35"/>
      <c r="AK7255" s="35"/>
      <c r="AL7255" s="35"/>
    </row>
    <row r="7256">
      <c r="A7256" s="1"/>
      <c r="B7256" s="19" t="s">
        <v>33186</v>
      </c>
      <c r="C7256" s="20" t="s">
        <v>33599</v>
      </c>
      <c r="D7256" s="424"/>
      <c r="E7256" s="113" t="s">
        <v>33634</v>
      </c>
      <c r="F7256" s="113" t="s">
        <v>13162</v>
      </c>
      <c r="G7256" s="355">
        <v>2016.0</v>
      </c>
      <c r="H7256" s="113" t="s">
        <v>91</v>
      </c>
      <c r="I7256" s="114" t="s">
        <v>33635</v>
      </c>
      <c r="J7256" s="113" t="s">
        <v>29165</v>
      </c>
      <c r="K7256" s="22"/>
      <c r="L7256" s="319">
        <v>1064.0</v>
      </c>
      <c r="M7256" s="319">
        <v>4000.0</v>
      </c>
      <c r="N7256" s="226"/>
      <c r="O7256" s="423" t="s">
        <v>33636</v>
      </c>
      <c r="P7256" s="423" t="s">
        <v>279</v>
      </c>
      <c r="Q7256" s="319" t="s">
        <v>29313</v>
      </c>
      <c r="R7256" s="319">
        <v>750.0</v>
      </c>
      <c r="S7256" s="319"/>
      <c r="T7256" s="425" t="s">
        <v>33637</v>
      </c>
      <c r="U7256" s="426" t="s">
        <v>61</v>
      </c>
      <c r="V7256" s="30"/>
      <c r="W7256" s="49"/>
      <c r="X7256" s="49"/>
      <c r="Y7256" s="35"/>
      <c r="Z7256" s="35"/>
      <c r="AA7256" s="35"/>
      <c r="AB7256" s="35"/>
      <c r="AC7256" s="35"/>
      <c r="AD7256" s="35"/>
      <c r="AE7256" s="35"/>
      <c r="AF7256" s="35"/>
      <c r="AG7256" s="35"/>
      <c r="AH7256" s="35"/>
      <c r="AI7256" s="35"/>
      <c r="AJ7256" s="35"/>
      <c r="AK7256" s="35"/>
      <c r="AL7256" s="35"/>
    </row>
    <row r="7257">
      <c r="A7257" s="1"/>
      <c r="B7257" s="19" t="s">
        <v>33186</v>
      </c>
      <c r="C7257" s="20" t="s">
        <v>33599</v>
      </c>
      <c r="D7257" s="424"/>
      <c r="E7257" s="113" t="s">
        <v>28809</v>
      </c>
      <c r="F7257" s="113" t="s">
        <v>4887</v>
      </c>
      <c r="G7257" s="355">
        <v>2015.0</v>
      </c>
      <c r="H7257" s="113" t="s">
        <v>91</v>
      </c>
      <c r="I7257" s="114" t="s">
        <v>33638</v>
      </c>
      <c r="J7257" s="22" t="s">
        <v>33639</v>
      </c>
      <c r="K7257" s="22" t="s">
        <v>33640</v>
      </c>
      <c r="L7257" s="319">
        <v>1064.0</v>
      </c>
      <c r="M7257" s="319"/>
      <c r="N7257" s="226"/>
      <c r="O7257" s="319" t="s">
        <v>33641</v>
      </c>
      <c r="P7257" s="423"/>
      <c r="Q7257" s="319" t="s">
        <v>28814</v>
      </c>
      <c r="R7257" s="319"/>
      <c r="S7257" s="319" t="s">
        <v>4708</v>
      </c>
      <c r="T7257" s="425" t="s">
        <v>33642</v>
      </c>
      <c r="U7257" s="426" t="str">
        <f>HYPERLINK("https://www.ncbi.nlm.nih.gov/pubmed/25614134","PubMed")</f>
        <v>PubMed</v>
      </c>
      <c r="V7257" s="30" t="s">
        <v>28420</v>
      </c>
      <c r="W7257" s="49"/>
      <c r="X7257" s="49"/>
      <c r="Y7257" s="35"/>
      <c r="Z7257" s="35"/>
      <c r="AA7257" s="35"/>
      <c r="AB7257" s="35"/>
      <c r="AC7257" s="35"/>
      <c r="AD7257" s="35"/>
      <c r="AE7257" s="35"/>
      <c r="AF7257" s="35"/>
      <c r="AG7257" s="35"/>
      <c r="AH7257" s="35"/>
      <c r="AI7257" s="35"/>
      <c r="AJ7257" s="35"/>
      <c r="AK7257" s="35"/>
      <c r="AL7257" s="35"/>
    </row>
    <row r="7258">
      <c r="A7258" s="1"/>
      <c r="B7258" s="19" t="s">
        <v>33186</v>
      </c>
      <c r="C7258" s="20" t="s">
        <v>33599</v>
      </c>
      <c r="D7258" s="424"/>
      <c r="E7258" s="113" t="s">
        <v>1234</v>
      </c>
      <c r="F7258" s="113" t="s">
        <v>30082</v>
      </c>
      <c r="G7258" s="355">
        <v>2015.0</v>
      </c>
      <c r="H7258" s="113" t="s">
        <v>3012</v>
      </c>
      <c r="I7258" s="114" t="s">
        <v>33643</v>
      </c>
      <c r="J7258" s="113" t="s">
        <v>1078</v>
      </c>
      <c r="K7258" s="432"/>
      <c r="L7258" s="433" t="s">
        <v>33644</v>
      </c>
      <c r="M7258" s="44"/>
      <c r="N7258" s="44"/>
      <c r="O7258" s="44"/>
      <c r="P7258" s="44"/>
      <c r="Q7258" s="44"/>
      <c r="R7258" s="44"/>
      <c r="S7258" s="44"/>
      <c r="T7258" s="45"/>
      <c r="U7258" s="434" t="str">
        <f>HYPERLINK("https://www.ncbi.nlm.nih.gov/pubmed/26303397","PubMed")</f>
        <v>PubMed</v>
      </c>
      <c r="V7258" s="30"/>
      <c r="W7258" s="49"/>
      <c r="X7258" s="49"/>
      <c r="Y7258" s="35"/>
      <c r="Z7258" s="35"/>
      <c r="AA7258" s="35"/>
      <c r="AB7258" s="35"/>
      <c r="AC7258" s="35"/>
      <c r="AD7258" s="35"/>
      <c r="AE7258" s="35"/>
      <c r="AF7258" s="35"/>
      <c r="AG7258" s="35"/>
      <c r="AH7258" s="35"/>
      <c r="AI7258" s="35"/>
      <c r="AJ7258" s="35"/>
      <c r="AK7258" s="35"/>
      <c r="AL7258" s="35"/>
    </row>
    <row r="7259">
      <c r="A7259" s="1"/>
      <c r="B7259" s="19" t="s">
        <v>33186</v>
      </c>
      <c r="C7259" s="20" t="s">
        <v>33599</v>
      </c>
      <c r="D7259" s="424"/>
      <c r="E7259" s="113" t="s">
        <v>33645</v>
      </c>
      <c r="F7259" s="113" t="s">
        <v>5227</v>
      </c>
      <c r="G7259" s="355">
        <v>2014.0</v>
      </c>
      <c r="H7259" s="113" t="s">
        <v>33646</v>
      </c>
      <c r="I7259" s="114" t="s">
        <v>33647</v>
      </c>
      <c r="J7259" s="113" t="s">
        <v>33648</v>
      </c>
      <c r="K7259" s="432"/>
      <c r="L7259" s="433" t="s">
        <v>33649</v>
      </c>
      <c r="M7259" s="44"/>
      <c r="N7259" s="44"/>
      <c r="O7259" s="44"/>
      <c r="P7259" s="44"/>
      <c r="Q7259" s="44"/>
      <c r="R7259" s="44"/>
      <c r="S7259" s="44"/>
      <c r="T7259" s="45"/>
      <c r="U7259" s="434" t="str">
        <f>HYPERLINK("https://www.ncbi.nlm.nih.gov/pubmed/25414603","PubMed")</f>
        <v>PubMed</v>
      </c>
      <c r="V7259" s="30"/>
      <c r="W7259" s="49"/>
      <c r="X7259" s="49"/>
      <c r="Y7259" s="35"/>
      <c r="Z7259" s="35"/>
      <c r="AA7259" s="35"/>
      <c r="AB7259" s="35"/>
      <c r="AC7259" s="35"/>
      <c r="AD7259" s="35"/>
      <c r="AE7259" s="35"/>
      <c r="AF7259" s="35"/>
      <c r="AG7259" s="35"/>
      <c r="AH7259" s="35"/>
      <c r="AI7259" s="35"/>
      <c r="AJ7259" s="35"/>
      <c r="AK7259" s="35"/>
      <c r="AL7259" s="35"/>
    </row>
    <row r="7260">
      <c r="A7260" s="191" t="s">
        <v>181</v>
      </c>
      <c r="B7260" s="75" t="s">
        <v>33186</v>
      </c>
      <c r="C7260" s="77" t="s">
        <v>33599</v>
      </c>
      <c r="D7260" s="424"/>
      <c r="E7260" s="113" t="s">
        <v>33650</v>
      </c>
      <c r="F7260" s="113" t="s">
        <v>33651</v>
      </c>
      <c r="G7260" s="355">
        <v>2014.0</v>
      </c>
      <c r="H7260" s="113" t="s">
        <v>4751</v>
      </c>
      <c r="I7260" s="114" t="s">
        <v>33652</v>
      </c>
      <c r="J7260" s="22" t="s">
        <v>33653</v>
      </c>
      <c r="K7260" s="225" t="s">
        <v>33654</v>
      </c>
      <c r="L7260" s="319">
        <v>904.0</v>
      </c>
      <c r="M7260" s="319" t="s">
        <v>58</v>
      </c>
      <c r="N7260" s="319" t="s">
        <v>58</v>
      </c>
      <c r="O7260" s="435" t="s">
        <v>58</v>
      </c>
      <c r="P7260" s="423" t="s">
        <v>58</v>
      </c>
      <c r="Q7260" s="319" t="s">
        <v>58</v>
      </c>
      <c r="R7260" s="319" t="s">
        <v>33655</v>
      </c>
      <c r="S7260" s="319" t="s">
        <v>33656</v>
      </c>
      <c r="T7260" s="429" t="s">
        <v>33657</v>
      </c>
      <c r="U7260" s="426" t="s">
        <v>61</v>
      </c>
      <c r="V7260" s="30"/>
      <c r="W7260" s="49"/>
      <c r="X7260" s="49"/>
      <c r="Y7260" s="35"/>
      <c r="Z7260" s="35"/>
      <c r="AA7260" s="35"/>
      <c r="AB7260" s="35"/>
      <c r="AC7260" s="35"/>
      <c r="AD7260" s="35"/>
      <c r="AE7260" s="35"/>
      <c r="AF7260" s="35"/>
      <c r="AG7260" s="35"/>
      <c r="AH7260" s="35"/>
      <c r="AI7260" s="35"/>
      <c r="AJ7260" s="35"/>
      <c r="AK7260" s="35"/>
      <c r="AL7260" s="35"/>
    </row>
    <row r="7261">
      <c r="A7261" s="1"/>
      <c r="B7261" s="19" t="s">
        <v>33186</v>
      </c>
      <c r="C7261" s="20" t="s">
        <v>33599</v>
      </c>
      <c r="D7261" s="424"/>
      <c r="E7261" s="115" t="s">
        <v>9851</v>
      </c>
      <c r="F7261" s="115" t="s">
        <v>33658</v>
      </c>
      <c r="G7261" s="356">
        <v>2013.0</v>
      </c>
      <c r="H7261" s="115" t="s">
        <v>53</v>
      </c>
      <c r="I7261" s="120" t="s">
        <v>33659</v>
      </c>
      <c r="J7261" s="22" t="s">
        <v>33660</v>
      </c>
      <c r="K7261" s="436"/>
      <c r="L7261" s="319" t="s">
        <v>33274</v>
      </c>
      <c r="M7261" s="226">
        <v>10000.0</v>
      </c>
      <c r="N7261" s="226" t="s">
        <v>4431</v>
      </c>
      <c r="O7261" s="422"/>
      <c r="P7261" s="227" t="s">
        <v>33661</v>
      </c>
      <c r="Q7261" s="226" t="s">
        <v>33662</v>
      </c>
      <c r="R7261" s="226">
        <v>300.0</v>
      </c>
      <c r="S7261" s="319" t="s">
        <v>33663</v>
      </c>
      <c r="T7261" s="425" t="s">
        <v>33664</v>
      </c>
      <c r="U7261" s="123" t="str">
        <f>HYPERLINK("https://www.ncbi.nlm.nih.gov/pubmed/23733499","PubMed")</f>
        <v>PubMed</v>
      </c>
      <c r="V7261" s="30"/>
      <c r="W7261" s="49"/>
      <c r="X7261" s="49"/>
      <c r="Y7261" s="35"/>
      <c r="Z7261" s="35"/>
      <c r="AA7261" s="35"/>
      <c r="AB7261" s="35"/>
      <c r="AC7261" s="35"/>
      <c r="AD7261" s="35"/>
      <c r="AE7261" s="35"/>
      <c r="AF7261" s="35"/>
      <c r="AG7261" s="35"/>
      <c r="AH7261" s="35"/>
      <c r="AI7261" s="35"/>
      <c r="AJ7261" s="35"/>
      <c r="AK7261" s="35"/>
      <c r="AL7261" s="35"/>
    </row>
    <row r="7262">
      <c r="A7262" s="1"/>
      <c r="B7262" s="19" t="s">
        <v>33186</v>
      </c>
      <c r="C7262" s="20" t="s">
        <v>33599</v>
      </c>
      <c r="D7262" s="424"/>
      <c r="E7262" s="113" t="s">
        <v>33665</v>
      </c>
      <c r="F7262" s="113" t="s">
        <v>4763</v>
      </c>
      <c r="G7262" s="355">
        <v>2010.0</v>
      </c>
      <c r="H7262" s="113" t="s">
        <v>658</v>
      </c>
      <c r="I7262" s="114" t="s">
        <v>33666</v>
      </c>
      <c r="J7262" s="22" t="s">
        <v>33667</v>
      </c>
      <c r="K7262" s="436"/>
      <c r="L7262" s="437">
        <v>905.0</v>
      </c>
      <c r="M7262" s="437" t="s">
        <v>58</v>
      </c>
      <c r="N7262" s="437" t="s">
        <v>58</v>
      </c>
      <c r="O7262" s="437" t="s">
        <v>58</v>
      </c>
      <c r="P7262" s="438" t="s">
        <v>2555</v>
      </c>
      <c r="Q7262" s="437" t="s">
        <v>58</v>
      </c>
      <c r="R7262" s="437">
        <v>120.0</v>
      </c>
      <c r="S7262" s="437" t="s">
        <v>4708</v>
      </c>
      <c r="T7262" s="429" t="s">
        <v>33668</v>
      </c>
      <c r="U7262" s="434" t="str">
        <f>HYPERLINK("https://www.ncbi.nlm.nih.gov/pubmed/19877824","PubMed")</f>
        <v>PubMed</v>
      </c>
      <c r="V7262" s="30" t="s">
        <v>33669</v>
      </c>
      <c r="W7262" s="49"/>
      <c r="X7262" s="49"/>
      <c r="Y7262" s="35"/>
      <c r="Z7262" s="35"/>
      <c r="AA7262" s="35"/>
      <c r="AB7262" s="35"/>
      <c r="AC7262" s="35"/>
      <c r="AD7262" s="35"/>
      <c r="AE7262" s="35"/>
      <c r="AF7262" s="35"/>
      <c r="AG7262" s="35"/>
      <c r="AH7262" s="35"/>
      <c r="AI7262" s="35"/>
      <c r="AJ7262" s="35"/>
      <c r="AK7262" s="35"/>
      <c r="AL7262" s="35"/>
    </row>
    <row r="7263">
      <c r="A7263" s="1" t="s">
        <v>2</v>
      </c>
      <c r="B7263" s="19" t="s">
        <v>33186</v>
      </c>
      <c r="C7263" s="20" t="s">
        <v>33599</v>
      </c>
      <c r="D7263" s="424"/>
      <c r="E7263" s="113" t="s">
        <v>1507</v>
      </c>
      <c r="F7263" s="113" t="s">
        <v>33670</v>
      </c>
      <c r="G7263" s="355">
        <v>2010.0</v>
      </c>
      <c r="H7263" s="113" t="s">
        <v>658</v>
      </c>
      <c r="I7263" s="114" t="s">
        <v>33671</v>
      </c>
      <c r="J7263" s="113" t="s">
        <v>649</v>
      </c>
      <c r="K7263" s="436"/>
      <c r="L7263" s="439" t="s">
        <v>33672</v>
      </c>
      <c r="M7263" s="431"/>
      <c r="N7263" s="431"/>
      <c r="O7263" s="431"/>
      <c r="P7263" s="431"/>
      <c r="Q7263" s="431"/>
      <c r="R7263" s="431"/>
      <c r="S7263" s="431"/>
      <c r="T7263" s="440"/>
      <c r="U7263" s="434" t="str">
        <f>HYPERLINK("https://www.ncbi.nlm.nih.gov/pubmed/19874256","PubMed")</f>
        <v>PubMed</v>
      </c>
      <c r="V7263" s="30"/>
      <c r="W7263" s="49"/>
      <c r="X7263" s="49"/>
      <c r="Y7263" s="35"/>
      <c r="Z7263" s="35"/>
      <c r="AA7263" s="35"/>
      <c r="AB7263" s="35"/>
      <c r="AC7263" s="35"/>
      <c r="AD7263" s="35"/>
      <c r="AE7263" s="35"/>
      <c r="AF7263" s="35"/>
      <c r="AG7263" s="35"/>
      <c r="AH7263" s="35"/>
      <c r="AI7263" s="35"/>
      <c r="AJ7263" s="35"/>
      <c r="AK7263" s="35"/>
      <c r="AL7263" s="35"/>
    </row>
    <row r="7264">
      <c r="A7264" s="1"/>
      <c r="B7264" s="19" t="s">
        <v>33186</v>
      </c>
      <c r="C7264" s="20" t="s">
        <v>33599</v>
      </c>
      <c r="D7264" s="424"/>
      <c r="E7264" s="113" t="s">
        <v>4900</v>
      </c>
      <c r="F7264" s="113" t="s">
        <v>1617</v>
      </c>
      <c r="G7264" s="355">
        <v>2009.0</v>
      </c>
      <c r="H7264" s="113" t="s">
        <v>658</v>
      </c>
      <c r="I7264" s="114" t="s">
        <v>33673</v>
      </c>
      <c r="J7264" s="22" t="s">
        <v>33674</v>
      </c>
      <c r="K7264" s="225" t="s">
        <v>33675</v>
      </c>
      <c r="L7264" s="437" t="s">
        <v>33676</v>
      </c>
      <c r="M7264" s="441"/>
      <c r="N7264" s="437" t="s">
        <v>33677</v>
      </c>
      <c r="O7264" s="437" t="s">
        <v>33678</v>
      </c>
      <c r="P7264" s="437" t="s">
        <v>33679</v>
      </c>
      <c r="Q7264" s="437" t="s">
        <v>22095</v>
      </c>
      <c r="R7264" s="437" t="s">
        <v>33680</v>
      </c>
      <c r="S7264" s="437" t="s">
        <v>4905</v>
      </c>
      <c r="T7264" s="425" t="s">
        <v>33681</v>
      </c>
      <c r="U7264" s="434" t="str">
        <f>HYPERLINK("https://www.ncbi.nlm.nih.gov/pubmed/19473072","PubMed")</f>
        <v>PubMed</v>
      </c>
      <c r="V7264" s="30" t="s">
        <v>33682</v>
      </c>
      <c r="W7264" s="49"/>
      <c r="X7264" s="49"/>
      <c r="Y7264" s="35"/>
      <c r="Z7264" s="35"/>
      <c r="AA7264" s="35"/>
      <c r="AB7264" s="35"/>
      <c r="AC7264" s="35"/>
      <c r="AD7264" s="35"/>
      <c r="AE7264" s="35"/>
      <c r="AF7264" s="35"/>
      <c r="AG7264" s="35"/>
      <c r="AH7264" s="35"/>
      <c r="AI7264" s="35"/>
      <c r="AJ7264" s="35"/>
      <c r="AK7264" s="35"/>
      <c r="AL7264" s="35"/>
    </row>
    <row r="7265">
      <c r="A7265" s="1"/>
      <c r="B7265" s="19" t="s">
        <v>33186</v>
      </c>
      <c r="C7265" s="20" t="s">
        <v>33599</v>
      </c>
      <c r="D7265" s="424"/>
      <c r="E7265" s="113" t="s">
        <v>13667</v>
      </c>
      <c r="F7265" s="113" t="s">
        <v>1465</v>
      </c>
      <c r="G7265" s="355">
        <v>2008.0</v>
      </c>
      <c r="H7265" s="113" t="s">
        <v>3012</v>
      </c>
      <c r="I7265" s="114" t="s">
        <v>33683</v>
      </c>
      <c r="J7265" s="113" t="s">
        <v>1078</v>
      </c>
      <c r="K7265" s="436"/>
      <c r="L7265" s="439" t="s">
        <v>33684</v>
      </c>
      <c r="M7265" s="431"/>
      <c r="N7265" s="431"/>
      <c r="O7265" s="431"/>
      <c r="P7265" s="431"/>
      <c r="Q7265" s="431"/>
      <c r="R7265" s="431"/>
      <c r="S7265" s="431"/>
      <c r="T7265" s="440"/>
      <c r="U7265" s="434" t="str">
        <f>HYPERLINK("https://www.ncbi.nlm.nih.gov/pubmed/18510742","PubMed")</f>
        <v>PubMed</v>
      </c>
      <c r="V7265" s="30"/>
      <c r="W7265" s="49"/>
      <c r="X7265" s="49"/>
      <c r="Y7265" s="35"/>
      <c r="Z7265" s="35"/>
      <c r="AA7265" s="35"/>
      <c r="AB7265" s="35"/>
      <c r="AC7265" s="35"/>
      <c r="AD7265" s="35"/>
      <c r="AE7265" s="35"/>
      <c r="AF7265" s="35"/>
      <c r="AG7265" s="35"/>
      <c r="AH7265" s="35"/>
      <c r="AI7265" s="35"/>
      <c r="AJ7265" s="35"/>
      <c r="AK7265" s="35"/>
      <c r="AL7265" s="35"/>
    </row>
    <row r="7266">
      <c r="A7266" s="1"/>
      <c r="B7266" s="19" t="s">
        <v>33186</v>
      </c>
      <c r="C7266" s="20" t="s">
        <v>33599</v>
      </c>
      <c r="D7266" s="424"/>
      <c r="E7266" s="113" t="s">
        <v>33685</v>
      </c>
      <c r="F7266" s="113" t="s">
        <v>52</v>
      </c>
      <c r="G7266" s="355">
        <v>2008.0</v>
      </c>
      <c r="H7266" s="113" t="s">
        <v>4676</v>
      </c>
      <c r="I7266" s="114" t="s">
        <v>33686</v>
      </c>
      <c r="J7266" s="22" t="s">
        <v>33687</v>
      </c>
      <c r="K7266" s="436"/>
      <c r="L7266" s="442">
        <v>633.0</v>
      </c>
      <c r="M7266" s="442">
        <v>10.0</v>
      </c>
      <c r="N7266" s="442" t="s">
        <v>58</v>
      </c>
      <c r="O7266" s="442" t="s">
        <v>58</v>
      </c>
      <c r="P7266" s="443" t="s">
        <v>58</v>
      </c>
      <c r="Q7266" s="442" t="s">
        <v>58</v>
      </c>
      <c r="R7266" s="442">
        <v>600.0</v>
      </c>
      <c r="S7266" s="442" t="s">
        <v>1514</v>
      </c>
      <c r="T7266" s="425" t="s">
        <v>33688</v>
      </c>
      <c r="U7266" s="434" t="str">
        <f>HYPERLINK("https://www.ncbi.nlm.nih.gov/pubmed/18215753","PubMed")</f>
        <v>PubMed</v>
      </c>
      <c r="V7266" s="30"/>
      <c r="W7266" s="49"/>
      <c r="X7266" s="49"/>
      <c r="Y7266" s="35"/>
      <c r="Z7266" s="35"/>
      <c r="AA7266" s="35"/>
      <c r="AB7266" s="35"/>
      <c r="AC7266" s="35"/>
      <c r="AD7266" s="35"/>
      <c r="AE7266" s="35"/>
      <c r="AF7266" s="35"/>
      <c r="AG7266" s="35"/>
      <c r="AH7266" s="35"/>
      <c r="AI7266" s="35"/>
      <c r="AJ7266" s="35"/>
      <c r="AK7266" s="35"/>
      <c r="AL7266" s="35"/>
    </row>
    <row r="7267">
      <c r="A7267" s="1"/>
      <c r="B7267" s="19" t="s">
        <v>33186</v>
      </c>
      <c r="C7267" s="20" t="s">
        <v>33599</v>
      </c>
      <c r="D7267" s="424"/>
      <c r="E7267" s="113" t="s">
        <v>33689</v>
      </c>
      <c r="F7267" s="113" t="s">
        <v>1465</v>
      </c>
      <c r="G7267" s="355">
        <v>2007.0</v>
      </c>
      <c r="H7267" s="113" t="s">
        <v>658</v>
      </c>
      <c r="I7267" s="114" t="s">
        <v>33690</v>
      </c>
      <c r="J7267" s="113" t="s">
        <v>8962</v>
      </c>
      <c r="K7267" s="436"/>
      <c r="L7267" s="444" t="s">
        <v>33691</v>
      </c>
      <c r="M7267" s="431"/>
      <c r="N7267" s="431"/>
      <c r="O7267" s="431"/>
      <c r="P7267" s="431"/>
      <c r="Q7267" s="431"/>
      <c r="R7267" s="431"/>
      <c r="S7267" s="431"/>
      <c r="T7267" s="440"/>
      <c r="U7267" s="434" t="str">
        <f>HYPERLINK("https://www.ncbi.nlm.nih.gov/pubmed/18158757","PubMed")</f>
        <v>PubMed</v>
      </c>
      <c r="V7267" s="30"/>
      <c r="W7267" s="49"/>
      <c r="X7267" s="49"/>
      <c r="Y7267" s="35"/>
      <c r="Z7267" s="35"/>
      <c r="AA7267" s="35"/>
      <c r="AB7267" s="35"/>
      <c r="AC7267" s="35"/>
      <c r="AD7267" s="35"/>
      <c r="AE7267" s="35"/>
      <c r="AF7267" s="35"/>
      <c r="AG7267" s="35"/>
      <c r="AH7267" s="35"/>
      <c r="AI7267" s="35"/>
      <c r="AJ7267" s="35"/>
      <c r="AK7267" s="35"/>
      <c r="AL7267" s="35"/>
    </row>
    <row r="7268">
      <c r="A7268" s="1"/>
      <c r="B7268" s="19" t="s">
        <v>33186</v>
      </c>
      <c r="C7268" s="20" t="s">
        <v>33599</v>
      </c>
      <c r="D7268" s="424"/>
      <c r="E7268" s="113" t="s">
        <v>4886</v>
      </c>
      <c r="F7268" s="113" t="s">
        <v>4887</v>
      </c>
      <c r="G7268" s="355">
        <v>2007.0</v>
      </c>
      <c r="H7268" s="113" t="s">
        <v>658</v>
      </c>
      <c r="I7268" s="114" t="s">
        <v>4888</v>
      </c>
      <c r="J7268" s="22" t="s">
        <v>33692</v>
      </c>
      <c r="K7268" s="436"/>
      <c r="L7268" s="36">
        <v>830.0</v>
      </c>
      <c r="M7268" s="36">
        <v>450.0</v>
      </c>
      <c r="N7268" s="36" t="s">
        <v>1468</v>
      </c>
      <c r="O7268" s="36" t="s">
        <v>33693</v>
      </c>
      <c r="P7268" s="37"/>
      <c r="Q7268" s="36" t="s">
        <v>7690</v>
      </c>
      <c r="R7268" s="36">
        <v>120.0</v>
      </c>
      <c r="S7268" s="442" t="s">
        <v>1514</v>
      </c>
      <c r="T7268" s="429" t="s">
        <v>33694</v>
      </c>
      <c r="U7268" s="434" t="str">
        <f>HYPERLINK("https://www.ncbi.nlm.nih.gov/pubmed/17352635","PubMed")</f>
        <v>PubMed</v>
      </c>
      <c r="V7268" s="30"/>
      <c r="W7268" s="49"/>
      <c r="X7268" s="49"/>
      <c r="Y7268" s="35"/>
      <c r="Z7268" s="35"/>
      <c r="AA7268" s="35"/>
      <c r="AB7268" s="35"/>
      <c r="AC7268" s="35"/>
      <c r="AD7268" s="35"/>
      <c r="AE7268" s="35"/>
      <c r="AF7268" s="35"/>
      <c r="AG7268" s="35"/>
      <c r="AH7268" s="35"/>
      <c r="AI7268" s="35"/>
      <c r="AJ7268" s="35"/>
      <c r="AK7268" s="35"/>
      <c r="AL7268" s="35"/>
    </row>
    <row r="7269">
      <c r="A7269" s="1"/>
      <c r="B7269" s="19" t="s">
        <v>33186</v>
      </c>
      <c r="C7269" s="20" t="s">
        <v>33599</v>
      </c>
      <c r="D7269" s="424"/>
      <c r="E7269" s="113" t="s">
        <v>33695</v>
      </c>
      <c r="F7269" s="113" t="s">
        <v>1370</v>
      </c>
      <c r="G7269" s="355">
        <v>2007.0</v>
      </c>
      <c r="H7269" s="113" t="s">
        <v>658</v>
      </c>
      <c r="I7269" s="114" t="s">
        <v>33696</v>
      </c>
      <c r="J7269" s="22" t="s">
        <v>33697</v>
      </c>
      <c r="K7269" s="436"/>
      <c r="L7269" s="442">
        <v>904.0</v>
      </c>
      <c r="M7269" s="442">
        <v>25.0</v>
      </c>
      <c r="N7269" s="442" t="s">
        <v>58</v>
      </c>
      <c r="O7269" s="442" t="s">
        <v>33698</v>
      </c>
      <c r="P7269" s="443" t="s">
        <v>6551</v>
      </c>
      <c r="Q7269" s="442" t="s">
        <v>4567</v>
      </c>
      <c r="R7269" s="442" t="s">
        <v>33699</v>
      </c>
      <c r="S7269" s="442" t="s">
        <v>8476</v>
      </c>
      <c r="T7269" s="425" t="s">
        <v>33700</v>
      </c>
      <c r="U7269" s="434" t="str">
        <f>HYPERLINK("https://www.ncbi.nlm.nih.gov/pubmed/17508839","PubMed")</f>
        <v>PubMed</v>
      </c>
      <c r="V7269" s="30" t="s">
        <v>33701</v>
      </c>
      <c r="W7269" s="49"/>
      <c r="X7269" s="49"/>
      <c r="Y7269" s="35"/>
      <c r="Z7269" s="35"/>
      <c r="AA7269" s="35"/>
      <c r="AB7269" s="35"/>
      <c r="AC7269" s="35"/>
      <c r="AD7269" s="35"/>
      <c r="AE7269" s="35"/>
      <c r="AF7269" s="35"/>
      <c r="AG7269" s="35"/>
      <c r="AH7269" s="35"/>
      <c r="AI7269" s="35"/>
      <c r="AJ7269" s="35"/>
      <c r="AK7269" s="35"/>
      <c r="AL7269" s="35"/>
    </row>
    <row r="7270">
      <c r="A7270" s="1"/>
      <c r="B7270" s="19" t="s">
        <v>33186</v>
      </c>
      <c r="C7270" s="20" t="s">
        <v>33599</v>
      </c>
      <c r="D7270" s="424"/>
      <c r="E7270" s="113" t="s">
        <v>17508</v>
      </c>
      <c r="F7270" s="113" t="s">
        <v>29402</v>
      </c>
      <c r="G7270" s="355">
        <v>2007.0</v>
      </c>
      <c r="H7270" s="113" t="s">
        <v>658</v>
      </c>
      <c r="I7270" s="114" t="s">
        <v>33702</v>
      </c>
      <c r="J7270" s="22" t="s">
        <v>33703</v>
      </c>
      <c r="K7270" s="225" t="s">
        <v>33704</v>
      </c>
      <c r="L7270" s="442">
        <v>904.0</v>
      </c>
      <c r="M7270" s="442">
        <v>40.0</v>
      </c>
      <c r="N7270" s="442" t="s">
        <v>58</v>
      </c>
      <c r="O7270" s="442" t="s">
        <v>58</v>
      </c>
      <c r="P7270" s="443" t="s">
        <v>33705</v>
      </c>
      <c r="Q7270" s="442" t="s">
        <v>840</v>
      </c>
      <c r="R7270" s="442" t="s">
        <v>33706</v>
      </c>
      <c r="S7270" s="442" t="s">
        <v>12874</v>
      </c>
      <c r="T7270" s="425" t="s">
        <v>33707</v>
      </c>
      <c r="U7270" s="434" t="str">
        <f>HYPERLINK("https://www.ncbi.nlm.nih.gov/pubmed/17603862","PubMed")</f>
        <v>PubMed</v>
      </c>
      <c r="V7270" s="30" t="s">
        <v>33708</v>
      </c>
      <c r="W7270" s="49"/>
      <c r="X7270" s="49"/>
      <c r="Y7270" s="35"/>
      <c r="Z7270" s="35"/>
      <c r="AA7270" s="35"/>
      <c r="AB7270" s="35"/>
      <c r="AC7270" s="35"/>
      <c r="AD7270" s="35"/>
      <c r="AE7270" s="35"/>
      <c r="AF7270" s="35"/>
      <c r="AG7270" s="35"/>
      <c r="AH7270" s="35"/>
      <c r="AI7270" s="35"/>
      <c r="AJ7270" s="35"/>
      <c r="AK7270" s="35"/>
      <c r="AL7270" s="35"/>
    </row>
    <row r="7271">
      <c r="A7271" s="1"/>
      <c r="B7271" s="19" t="s">
        <v>33186</v>
      </c>
      <c r="C7271" s="20" t="s">
        <v>33599</v>
      </c>
      <c r="D7271" s="424"/>
      <c r="E7271" s="113" t="s">
        <v>27530</v>
      </c>
      <c r="F7271" s="113" t="s">
        <v>1465</v>
      </c>
      <c r="G7271" s="355">
        <v>2007.0</v>
      </c>
      <c r="H7271" s="113" t="s">
        <v>13143</v>
      </c>
      <c r="I7271" s="114" t="s">
        <v>33709</v>
      </c>
      <c r="J7271" s="113" t="s">
        <v>8962</v>
      </c>
      <c r="K7271" s="436"/>
      <c r="L7271" s="444" t="s">
        <v>33710</v>
      </c>
      <c r="M7271" s="431"/>
      <c r="N7271" s="431"/>
      <c r="O7271" s="431"/>
      <c r="P7271" s="431"/>
      <c r="Q7271" s="431"/>
      <c r="R7271" s="431"/>
      <c r="S7271" s="431"/>
      <c r="T7271" s="440"/>
      <c r="U7271" s="434" t="str">
        <f>HYPERLINK("https://www.ncbi.nlm.nih.gov/pubmed/17272683","PubMed")</f>
        <v>PubMed</v>
      </c>
      <c r="V7271" s="30"/>
      <c r="W7271" s="49"/>
      <c r="X7271" s="49"/>
      <c r="Y7271" s="35"/>
      <c r="Z7271" s="35"/>
      <c r="AA7271" s="35"/>
      <c r="AB7271" s="35"/>
      <c r="AC7271" s="35"/>
      <c r="AD7271" s="35"/>
      <c r="AE7271" s="35"/>
      <c r="AF7271" s="35"/>
      <c r="AG7271" s="35"/>
      <c r="AH7271" s="35"/>
      <c r="AI7271" s="35"/>
      <c r="AJ7271" s="35"/>
      <c r="AK7271" s="35"/>
      <c r="AL7271" s="35"/>
    </row>
    <row r="7272">
      <c r="A7272" s="1"/>
      <c r="B7272" s="19" t="s">
        <v>33186</v>
      </c>
      <c r="C7272" s="20" t="s">
        <v>33599</v>
      </c>
      <c r="D7272" s="424"/>
      <c r="E7272" s="113" t="s">
        <v>4768</v>
      </c>
      <c r="F7272" s="113" t="s">
        <v>4901</v>
      </c>
      <c r="G7272" s="355">
        <v>2006.0</v>
      </c>
      <c r="H7272" s="113" t="s">
        <v>13257</v>
      </c>
      <c r="I7272" s="114" t="s">
        <v>33711</v>
      </c>
      <c r="J7272" s="22" t="s">
        <v>33712</v>
      </c>
      <c r="K7272" s="225" t="s">
        <v>33713</v>
      </c>
      <c r="L7272" s="442" t="s">
        <v>4772</v>
      </c>
      <c r="M7272" s="442" t="s">
        <v>58</v>
      </c>
      <c r="N7272" s="442" t="s">
        <v>3587</v>
      </c>
      <c r="O7272" s="442" t="s">
        <v>58</v>
      </c>
      <c r="P7272" s="443" t="s">
        <v>6551</v>
      </c>
      <c r="Q7272" s="442" t="s">
        <v>58</v>
      </c>
      <c r="R7272" s="442" t="s">
        <v>33714</v>
      </c>
      <c r="S7272" s="442" t="s">
        <v>4905</v>
      </c>
      <c r="T7272" s="425" t="s">
        <v>33715</v>
      </c>
      <c r="U7272" s="434" t="str">
        <f>HYPERLINK("https://www.ncbi.nlm.nih.gov/pubmed/16502745","PubMed")</f>
        <v>PubMed</v>
      </c>
      <c r="V7272" s="30"/>
      <c r="W7272" s="49"/>
      <c r="X7272" s="49"/>
      <c r="Y7272" s="35"/>
      <c r="Z7272" s="35"/>
      <c r="AA7272" s="35"/>
      <c r="AB7272" s="35"/>
      <c r="AC7272" s="35"/>
      <c r="AD7272" s="35"/>
      <c r="AE7272" s="35"/>
      <c r="AF7272" s="35"/>
      <c r="AG7272" s="35"/>
      <c r="AH7272" s="35"/>
      <c r="AI7272" s="35"/>
      <c r="AJ7272" s="35"/>
      <c r="AK7272" s="35"/>
      <c r="AL7272" s="35"/>
    </row>
    <row r="7273">
      <c r="A7273" s="1"/>
      <c r="B7273" s="19" t="s">
        <v>33186</v>
      </c>
      <c r="C7273" s="20" t="s">
        <v>33599</v>
      </c>
      <c r="D7273" s="424"/>
      <c r="E7273" s="113" t="s">
        <v>33716</v>
      </c>
      <c r="F7273" s="113" t="s">
        <v>7318</v>
      </c>
      <c r="G7273" s="355">
        <v>2005.0</v>
      </c>
      <c r="H7273" s="113" t="s">
        <v>658</v>
      </c>
      <c r="I7273" s="114" t="s">
        <v>33717</v>
      </c>
      <c r="J7273" s="113" t="s">
        <v>649</v>
      </c>
      <c r="K7273" s="436"/>
      <c r="L7273" s="444" t="s">
        <v>33718</v>
      </c>
      <c r="M7273" s="431"/>
      <c r="N7273" s="431"/>
      <c r="O7273" s="431"/>
      <c r="P7273" s="431"/>
      <c r="Q7273" s="431"/>
      <c r="R7273" s="431"/>
      <c r="S7273" s="431"/>
      <c r="T7273" s="440"/>
      <c r="U7273" s="434" t="str">
        <f>HYPERLINK("https://www.ncbi.nlm.nih.gov/pubmed/16144488","PubMed")</f>
        <v>PubMed</v>
      </c>
      <c r="V7273" s="30"/>
      <c r="W7273" s="130" t="str">
        <f>HYPERLINK("https://www.ncbi.nlm.nih.gov/pubmed/16503792","Comment")</f>
        <v>Comment</v>
      </c>
      <c r="X7273" s="49"/>
      <c r="Y7273" s="35"/>
      <c r="Z7273" s="35"/>
      <c r="AA7273" s="35"/>
      <c r="AB7273" s="35"/>
      <c r="AC7273" s="35"/>
      <c r="AD7273" s="35"/>
      <c r="AE7273" s="35"/>
      <c r="AF7273" s="35"/>
      <c r="AG7273" s="35"/>
      <c r="AH7273" s="35"/>
      <c r="AI7273" s="35"/>
      <c r="AJ7273" s="35"/>
      <c r="AK7273" s="35"/>
      <c r="AL7273" s="35"/>
    </row>
    <row r="7274">
      <c r="A7274" s="1"/>
      <c r="B7274" s="19" t="s">
        <v>33186</v>
      </c>
      <c r="C7274" s="20" t="s">
        <v>33599</v>
      </c>
      <c r="D7274" s="424"/>
      <c r="E7274" s="113" t="s">
        <v>13745</v>
      </c>
      <c r="F7274" s="113" t="s">
        <v>5649</v>
      </c>
      <c r="G7274" s="355">
        <v>2000.0</v>
      </c>
      <c r="H7274" s="113" t="s">
        <v>4783</v>
      </c>
      <c r="I7274" s="114" t="s">
        <v>33719</v>
      </c>
      <c r="J7274" s="22" t="s">
        <v>33720</v>
      </c>
      <c r="K7274" s="436"/>
      <c r="L7274" s="36">
        <v>1060.0</v>
      </c>
      <c r="M7274" s="36" t="s">
        <v>58</v>
      </c>
      <c r="N7274" s="36" t="s">
        <v>33721</v>
      </c>
      <c r="O7274" s="36" t="s">
        <v>58</v>
      </c>
      <c r="P7274" s="37" t="s">
        <v>33722</v>
      </c>
      <c r="Q7274" s="36" t="s">
        <v>33723</v>
      </c>
      <c r="R7274" s="36" t="s">
        <v>33724</v>
      </c>
      <c r="S7274" s="36" t="s">
        <v>4905</v>
      </c>
      <c r="T7274" s="445" t="s">
        <v>33725</v>
      </c>
      <c r="U7274" s="434" t="str">
        <f>HYPERLINK("https://www.ncbi.nlm.nih.gov/pubmed/11083356","PubMed")</f>
        <v>PubMed</v>
      </c>
      <c r="V7274" s="30"/>
      <c r="W7274" s="49"/>
      <c r="X7274" s="49"/>
      <c r="Y7274" s="35"/>
      <c r="Z7274" s="35"/>
      <c r="AA7274" s="35"/>
      <c r="AB7274" s="35"/>
      <c r="AC7274" s="35"/>
      <c r="AD7274" s="35"/>
      <c r="AE7274" s="35"/>
      <c r="AF7274" s="35"/>
      <c r="AG7274" s="35"/>
      <c r="AH7274" s="35"/>
      <c r="AI7274" s="35"/>
      <c r="AJ7274" s="35"/>
      <c r="AK7274" s="35"/>
      <c r="AL7274" s="35"/>
    </row>
    <row r="7275">
      <c r="A7275" s="1"/>
      <c r="B7275" s="19" t="s">
        <v>33186</v>
      </c>
      <c r="C7275" s="20" t="s">
        <v>33599</v>
      </c>
      <c r="D7275" s="424"/>
      <c r="E7275" s="115" t="s">
        <v>33726</v>
      </c>
      <c r="F7275" s="115" t="s">
        <v>33727</v>
      </c>
      <c r="G7275" s="356">
        <v>1998.0</v>
      </c>
      <c r="H7275" s="115" t="s">
        <v>1289</v>
      </c>
      <c r="I7275" s="120" t="s">
        <v>33728</v>
      </c>
      <c r="J7275" s="113" t="s">
        <v>33729</v>
      </c>
      <c r="K7275" s="22" t="s">
        <v>33730</v>
      </c>
      <c r="L7275" s="437" t="s">
        <v>33731</v>
      </c>
      <c r="M7275" s="446"/>
      <c r="N7275" s="446"/>
      <c r="O7275" s="446"/>
      <c r="P7275" s="447"/>
      <c r="Q7275" s="446"/>
      <c r="R7275" s="446"/>
      <c r="S7275" s="446"/>
      <c r="T7275" s="448" t="s">
        <v>33732</v>
      </c>
      <c r="U7275" s="123" t="str">
        <f>HYPERLINK("http://www.ncbi.nlm.nih.gov/pubmed/9743652","PubMed")</f>
        <v>PubMed</v>
      </c>
      <c r="V7275" s="30"/>
      <c r="W7275" s="49"/>
      <c r="X7275" s="49"/>
      <c r="Y7275" s="35"/>
      <c r="Z7275" s="35"/>
      <c r="AA7275" s="35"/>
      <c r="AB7275" s="35"/>
      <c r="AC7275" s="35"/>
      <c r="AD7275" s="35"/>
      <c r="AE7275" s="35"/>
      <c r="AF7275" s="35"/>
      <c r="AG7275" s="35"/>
      <c r="AH7275" s="35"/>
      <c r="AI7275" s="35"/>
      <c r="AJ7275" s="35"/>
      <c r="AK7275" s="35"/>
      <c r="AL7275" s="35"/>
    </row>
    <row r="7276">
      <c r="A7276" s="1"/>
      <c r="B7276" s="19" t="s">
        <v>33186</v>
      </c>
      <c r="C7276" s="20" t="s">
        <v>33599</v>
      </c>
      <c r="D7276" s="424"/>
      <c r="E7276" s="113" t="s">
        <v>33733</v>
      </c>
      <c r="F7276" s="113" t="s">
        <v>33734</v>
      </c>
      <c r="G7276" s="355">
        <v>1996.0</v>
      </c>
      <c r="H7276" s="113" t="s">
        <v>13257</v>
      </c>
      <c r="I7276" s="114" t="s">
        <v>33735</v>
      </c>
      <c r="J7276" s="22" t="s">
        <v>33736</v>
      </c>
      <c r="K7276" s="432"/>
      <c r="L7276" s="441"/>
      <c r="M7276" s="446"/>
      <c r="N7276" s="446"/>
      <c r="O7276" s="446"/>
      <c r="P7276" s="447"/>
      <c r="Q7276" s="446"/>
      <c r="R7276" s="446"/>
      <c r="S7276" s="446"/>
      <c r="T7276" s="449" t="s">
        <v>33737</v>
      </c>
      <c r="U7276" s="426" t="str">
        <f>HYPERLINK("http://journals.sagepub.com/doi/abs/10.1177/026921559601000103","SAGE")</f>
        <v>SAGE</v>
      </c>
      <c r="V7276" s="30" t="s">
        <v>174</v>
      </c>
      <c r="W7276" s="49"/>
      <c r="X7276" s="49"/>
      <c r="Y7276" s="35"/>
      <c r="Z7276" s="35"/>
      <c r="AA7276" s="35"/>
      <c r="AB7276" s="35"/>
      <c r="AC7276" s="35"/>
      <c r="AD7276" s="35"/>
      <c r="AE7276" s="35"/>
      <c r="AF7276" s="35"/>
      <c r="AG7276" s="35"/>
      <c r="AH7276" s="35"/>
      <c r="AI7276" s="35"/>
      <c r="AJ7276" s="35"/>
      <c r="AK7276" s="35"/>
      <c r="AL7276" s="35"/>
    </row>
    <row r="7277">
      <c r="A7277" s="1"/>
      <c r="B7277" s="19" t="s">
        <v>33186</v>
      </c>
      <c r="C7277" s="20" t="s">
        <v>33599</v>
      </c>
      <c r="D7277" s="424"/>
      <c r="E7277" s="113" t="s">
        <v>33738</v>
      </c>
      <c r="F7277" s="113" t="s">
        <v>7531</v>
      </c>
      <c r="G7277" s="355">
        <v>1994.0</v>
      </c>
      <c r="H7277" s="113" t="s">
        <v>13862</v>
      </c>
      <c r="I7277" s="114" t="s">
        <v>33739</v>
      </c>
      <c r="J7277" s="22" t="s">
        <v>33740</v>
      </c>
      <c r="K7277" s="22"/>
      <c r="L7277" s="437">
        <v>830.0</v>
      </c>
      <c r="M7277" s="442">
        <v>30.0</v>
      </c>
      <c r="N7277" s="446"/>
      <c r="O7277" s="442" t="s">
        <v>33741</v>
      </c>
      <c r="P7277" s="447"/>
      <c r="Q7277" s="442"/>
      <c r="R7277" s="446"/>
      <c r="S7277" s="442" t="s">
        <v>2099</v>
      </c>
      <c r="T7277" s="445" t="s">
        <v>33742</v>
      </c>
      <c r="U7277" s="426" t="str">
        <f>HYPERLINK("https://www.ncbi.nlm.nih.gov/pubmed/7973480","PubMed")</f>
        <v>PubMed</v>
      </c>
      <c r="V7277" s="30"/>
      <c r="W7277" s="49"/>
      <c r="X7277" s="49"/>
      <c r="Y7277" s="35"/>
      <c r="Z7277" s="35"/>
      <c r="AA7277" s="35"/>
      <c r="AB7277" s="35"/>
      <c r="AC7277" s="35"/>
      <c r="AD7277" s="35"/>
      <c r="AE7277" s="35"/>
      <c r="AF7277" s="35"/>
      <c r="AG7277" s="35"/>
      <c r="AH7277" s="35"/>
      <c r="AI7277" s="35"/>
      <c r="AJ7277" s="35"/>
      <c r="AK7277" s="35"/>
      <c r="AL7277" s="35"/>
    </row>
    <row r="7278">
      <c r="A7278" s="1"/>
      <c r="B7278" s="19" t="s">
        <v>33186</v>
      </c>
      <c r="C7278" s="20" t="s">
        <v>33599</v>
      </c>
      <c r="D7278" s="424"/>
      <c r="E7278" s="113" t="s">
        <v>33743</v>
      </c>
      <c r="F7278" s="113" t="s">
        <v>33744</v>
      </c>
      <c r="G7278" s="355">
        <v>1992.0</v>
      </c>
      <c r="H7278" s="113" t="s">
        <v>13722</v>
      </c>
      <c r="I7278" s="114" t="s">
        <v>33745</v>
      </c>
      <c r="J7278" s="22" t="s">
        <v>33746</v>
      </c>
      <c r="K7278" s="22"/>
      <c r="L7278" s="437">
        <v>904.0</v>
      </c>
      <c r="M7278" s="442" t="s">
        <v>33747</v>
      </c>
      <c r="N7278" s="437" t="s">
        <v>58</v>
      </c>
      <c r="O7278" s="442" t="s">
        <v>58</v>
      </c>
      <c r="P7278" s="437" t="s">
        <v>2070</v>
      </c>
      <c r="Q7278" s="442" t="s">
        <v>58</v>
      </c>
      <c r="R7278" s="442">
        <v>600.0</v>
      </c>
      <c r="S7278" s="442" t="s">
        <v>33748</v>
      </c>
      <c r="T7278" s="449" t="s">
        <v>33749</v>
      </c>
      <c r="U7278" s="426" t="str">
        <f>HYPERLINK("https://www.ncbi.nlm.nih.gov/pubmed/1604260","PubMed")</f>
        <v>PubMed</v>
      </c>
      <c r="V7278" s="30" t="s">
        <v>33750</v>
      </c>
      <c r="W7278" s="49"/>
      <c r="X7278" s="49"/>
      <c r="Y7278" s="35"/>
      <c r="Z7278" s="35"/>
      <c r="AA7278" s="35"/>
      <c r="AB7278" s="35"/>
      <c r="AC7278" s="35"/>
      <c r="AD7278" s="35"/>
      <c r="AE7278" s="35"/>
      <c r="AF7278" s="35"/>
      <c r="AG7278" s="35"/>
      <c r="AH7278" s="35"/>
      <c r="AI7278" s="35"/>
      <c r="AJ7278" s="35"/>
      <c r="AK7278" s="35"/>
      <c r="AL7278" s="35"/>
    </row>
    <row r="7279">
      <c r="A7279" s="1"/>
      <c r="B7279" s="19" t="s">
        <v>33186</v>
      </c>
      <c r="C7279" s="20" t="s">
        <v>33599</v>
      </c>
      <c r="D7279" s="424"/>
      <c r="E7279" s="113" t="s">
        <v>33743</v>
      </c>
      <c r="F7279" s="113" t="s">
        <v>33744</v>
      </c>
      <c r="G7279" s="355">
        <v>1992.0</v>
      </c>
      <c r="H7279" s="113" t="s">
        <v>4733</v>
      </c>
      <c r="I7279" s="114" t="s">
        <v>33751</v>
      </c>
      <c r="J7279" s="113" t="s">
        <v>33752</v>
      </c>
      <c r="K7279" s="22" t="s">
        <v>33753</v>
      </c>
      <c r="L7279" s="437" t="s">
        <v>28032</v>
      </c>
      <c r="M7279" s="36"/>
      <c r="N7279" s="437" t="s">
        <v>33754</v>
      </c>
      <c r="O7279" s="129"/>
      <c r="P7279" s="437" t="s">
        <v>2070</v>
      </c>
      <c r="Q7279" s="36"/>
      <c r="R7279" s="446"/>
      <c r="S7279" s="442" t="s">
        <v>33748</v>
      </c>
      <c r="T7279" s="450" t="s">
        <v>33755</v>
      </c>
      <c r="U7279" s="426" t="str">
        <f>HYPERLINK("https://www.sciencedirect.com/science/article/pii/S0031940610614812","ScienceDirect")</f>
        <v>ScienceDirect</v>
      </c>
      <c r="V7279" s="30" t="s">
        <v>33750</v>
      </c>
      <c r="W7279" s="49"/>
      <c r="X7279" s="49"/>
      <c r="Y7279" s="35"/>
      <c r="Z7279" s="35"/>
      <c r="AA7279" s="35"/>
      <c r="AB7279" s="35"/>
      <c r="AC7279" s="35"/>
      <c r="AD7279" s="35"/>
      <c r="AE7279" s="35"/>
      <c r="AF7279" s="35"/>
      <c r="AG7279" s="35"/>
      <c r="AH7279" s="35"/>
      <c r="AI7279" s="35"/>
      <c r="AJ7279" s="35"/>
      <c r="AK7279" s="35"/>
      <c r="AL7279" s="35"/>
    </row>
    <row r="7280">
      <c r="A7280" s="1"/>
      <c r="B7280" s="19" t="s">
        <v>33186</v>
      </c>
      <c r="C7280" s="20" t="s">
        <v>33599</v>
      </c>
      <c r="D7280" s="424"/>
      <c r="E7280" s="113" t="s">
        <v>33756</v>
      </c>
      <c r="F7280" s="113" t="s">
        <v>26204</v>
      </c>
      <c r="G7280" s="355">
        <v>1991.0</v>
      </c>
      <c r="H7280" s="113" t="s">
        <v>4783</v>
      </c>
      <c r="I7280" s="114" t="s">
        <v>33757</v>
      </c>
      <c r="J7280" s="113" t="s">
        <v>33758</v>
      </c>
      <c r="K7280" s="22"/>
      <c r="L7280" s="437">
        <v>904.0</v>
      </c>
      <c r="M7280" s="442" t="s">
        <v>33759</v>
      </c>
      <c r="N7280" s="446"/>
      <c r="O7280" s="451"/>
      <c r="P7280" s="447"/>
      <c r="Q7280" s="442"/>
      <c r="R7280" s="446"/>
      <c r="S7280" s="442">
        <v>10.0</v>
      </c>
      <c r="T7280" s="445" t="s">
        <v>33760</v>
      </c>
      <c r="U7280" s="426" t="str">
        <f>HYPERLINK("https://www.ncbi.nlm.nih.gov/pubmed/1953322","PubMed")</f>
        <v>PubMed</v>
      </c>
      <c r="V7280" s="30"/>
      <c r="W7280" s="49"/>
      <c r="X7280" s="49"/>
      <c r="Y7280" s="35"/>
      <c r="Z7280" s="35"/>
      <c r="AA7280" s="35"/>
      <c r="AB7280" s="35"/>
      <c r="AC7280" s="35"/>
      <c r="AD7280" s="35"/>
      <c r="AE7280" s="35"/>
      <c r="AF7280" s="35"/>
      <c r="AG7280" s="35"/>
      <c r="AH7280" s="35"/>
      <c r="AI7280" s="35"/>
      <c r="AJ7280" s="35"/>
      <c r="AK7280" s="35"/>
      <c r="AL7280" s="35"/>
    </row>
    <row r="7281">
      <c r="A7281" s="1"/>
      <c r="B7281" s="19" t="s">
        <v>33186</v>
      </c>
      <c r="C7281" s="20" t="s">
        <v>33599</v>
      </c>
      <c r="D7281" s="424"/>
      <c r="E7281" s="113" t="s">
        <v>33756</v>
      </c>
      <c r="F7281" s="113" t="s">
        <v>26204</v>
      </c>
      <c r="G7281" s="355">
        <v>1991.0</v>
      </c>
      <c r="H7281" s="113" t="s">
        <v>17870</v>
      </c>
      <c r="I7281" s="114" t="s">
        <v>33761</v>
      </c>
      <c r="J7281" s="22" t="s">
        <v>33762</v>
      </c>
      <c r="K7281" s="22"/>
      <c r="L7281" s="437">
        <v>904.0</v>
      </c>
      <c r="M7281" s="36">
        <v>12.0</v>
      </c>
      <c r="N7281" s="446"/>
      <c r="O7281" s="36" t="s">
        <v>33763</v>
      </c>
      <c r="P7281" s="447"/>
      <c r="Q7281" s="36" t="s">
        <v>33764</v>
      </c>
      <c r="R7281" s="446"/>
      <c r="S7281" s="442" t="s">
        <v>33765</v>
      </c>
      <c r="T7281" s="450" t="s">
        <v>33766</v>
      </c>
      <c r="U7281" s="426" t="str">
        <f>HYPERLINK("https://www.ncbi.nlm.nih.gov/pubmed/2030299","PubMed")</f>
        <v>PubMed</v>
      </c>
      <c r="V7281" s="30" t="s">
        <v>33767</v>
      </c>
      <c r="W7281" s="49"/>
      <c r="X7281" s="49"/>
      <c r="Y7281" s="35"/>
      <c r="Z7281" s="35"/>
      <c r="AA7281" s="35"/>
      <c r="AB7281" s="35"/>
      <c r="AC7281" s="35"/>
      <c r="AD7281" s="35"/>
      <c r="AE7281" s="35"/>
      <c r="AF7281" s="35"/>
      <c r="AG7281" s="35"/>
      <c r="AH7281" s="35"/>
      <c r="AI7281" s="35"/>
      <c r="AJ7281" s="35"/>
      <c r="AK7281" s="35"/>
      <c r="AL7281" s="35"/>
    </row>
    <row r="7282">
      <c r="A7282" s="1"/>
      <c r="B7282" s="19" t="s">
        <v>33186</v>
      </c>
      <c r="C7282" s="20" t="s">
        <v>33599</v>
      </c>
      <c r="D7282" s="424"/>
      <c r="E7282" s="113" t="s">
        <v>33756</v>
      </c>
      <c r="F7282" s="113" t="s">
        <v>26204</v>
      </c>
      <c r="G7282" s="355">
        <v>1990.0</v>
      </c>
      <c r="H7282" s="113" t="s">
        <v>7020</v>
      </c>
      <c r="I7282" s="114" t="s">
        <v>33768</v>
      </c>
      <c r="J7282" s="22" t="s">
        <v>33762</v>
      </c>
      <c r="K7282" s="22" t="s">
        <v>33769</v>
      </c>
      <c r="L7282" s="437">
        <v>904.0</v>
      </c>
      <c r="M7282" s="36">
        <v>12.0</v>
      </c>
      <c r="N7282" s="446"/>
      <c r="O7282" s="129" t="s">
        <v>33770</v>
      </c>
      <c r="P7282" s="447"/>
      <c r="Q7282" s="446"/>
      <c r="R7282" s="446"/>
      <c r="S7282" s="442" t="s">
        <v>33765</v>
      </c>
      <c r="T7282" s="445" t="s">
        <v>33771</v>
      </c>
      <c r="U7282" s="426" t="str">
        <f>HYPERLINK("https://www.ncbi.nlm.nih.gov/pubmed/2087335","PubMed")</f>
        <v>PubMed</v>
      </c>
      <c r="V7282" s="30" t="s">
        <v>33772</v>
      </c>
      <c r="W7282" s="49"/>
      <c r="X7282" s="49"/>
      <c r="Y7282" s="35"/>
      <c r="Z7282" s="35"/>
      <c r="AA7282" s="35"/>
      <c r="AB7282" s="35"/>
      <c r="AC7282" s="35"/>
      <c r="AD7282" s="35"/>
      <c r="AE7282" s="35"/>
      <c r="AF7282" s="35"/>
      <c r="AG7282" s="35"/>
      <c r="AH7282" s="35"/>
      <c r="AI7282" s="35"/>
      <c r="AJ7282" s="35"/>
      <c r="AK7282" s="35"/>
      <c r="AL7282" s="35"/>
    </row>
    <row r="7283">
      <c r="A7283" s="191" t="s">
        <v>181</v>
      </c>
      <c r="B7283" s="19" t="s">
        <v>33186</v>
      </c>
      <c r="C7283" s="20" t="s">
        <v>33599</v>
      </c>
      <c r="D7283" s="21"/>
      <c r="E7283" s="22" t="s">
        <v>29142</v>
      </c>
      <c r="F7283" s="22" t="s">
        <v>14371</v>
      </c>
      <c r="G7283" s="23">
        <v>1987.0</v>
      </c>
      <c r="H7283" s="22" t="s">
        <v>13722</v>
      </c>
      <c r="I7283" s="24" t="s">
        <v>33773</v>
      </c>
      <c r="J7283" s="22" t="s">
        <v>3053</v>
      </c>
      <c r="K7283" s="22" t="s">
        <v>33774</v>
      </c>
      <c r="L7283" s="36" t="s">
        <v>33775</v>
      </c>
      <c r="M7283" s="36" t="s">
        <v>33776</v>
      </c>
      <c r="N7283" s="36"/>
      <c r="O7283" s="36" t="s">
        <v>33777</v>
      </c>
      <c r="P7283" s="37"/>
      <c r="Q7283" s="36"/>
      <c r="R7283" s="36"/>
      <c r="S7283" s="36"/>
      <c r="T7283" s="41" t="s">
        <v>33778</v>
      </c>
      <c r="U7283" s="38" t="str">
        <f>HYPERLINK("https://www.ncbi.nlm.nih.gov/pubmed/3441775","PubMed")</f>
        <v>PubMed</v>
      </c>
      <c r="V7283" s="30"/>
      <c r="W7283" s="49"/>
      <c r="X7283" s="49"/>
      <c r="Y7283" s="35"/>
      <c r="Z7283" s="35"/>
      <c r="AA7283" s="35"/>
      <c r="AB7283" s="35"/>
      <c r="AC7283" s="35"/>
      <c r="AD7283" s="35"/>
      <c r="AE7283" s="35"/>
      <c r="AF7283" s="35"/>
      <c r="AG7283" s="35"/>
      <c r="AH7283" s="35"/>
      <c r="AI7283" s="35"/>
      <c r="AJ7283" s="35"/>
      <c r="AK7283" s="35"/>
      <c r="AL7283" s="35"/>
    </row>
    <row r="7284">
      <c r="A7284" s="191"/>
      <c r="B7284" s="19" t="s">
        <v>33186</v>
      </c>
      <c r="C7284" s="20" t="s">
        <v>33779</v>
      </c>
      <c r="D7284" s="21"/>
      <c r="E7284" s="22" t="s">
        <v>4595</v>
      </c>
      <c r="F7284" s="22" t="s">
        <v>1622</v>
      </c>
      <c r="G7284" s="23">
        <v>2023.0</v>
      </c>
      <c r="H7284" s="22" t="s">
        <v>33780</v>
      </c>
      <c r="I7284" s="24" t="s">
        <v>33781</v>
      </c>
      <c r="J7284" s="22" t="s">
        <v>33782</v>
      </c>
      <c r="K7284" s="22" t="s">
        <v>157</v>
      </c>
      <c r="L7284" s="442" t="s">
        <v>33783</v>
      </c>
      <c r="M7284" s="36" t="s">
        <v>58</v>
      </c>
      <c r="N7284" s="442" t="s">
        <v>58</v>
      </c>
      <c r="O7284" s="36" t="s">
        <v>58</v>
      </c>
      <c r="P7284" s="443" t="s">
        <v>58</v>
      </c>
      <c r="Q7284" s="442" t="s">
        <v>58</v>
      </c>
      <c r="R7284" s="442">
        <v>1200.0</v>
      </c>
      <c r="S7284" s="36" t="s">
        <v>2099</v>
      </c>
      <c r="T7284" s="28" t="s">
        <v>33784</v>
      </c>
      <c r="U7284" s="38" t="s">
        <v>61</v>
      </c>
      <c r="V7284" s="30" t="s">
        <v>33785</v>
      </c>
      <c r="W7284" s="49"/>
      <c r="X7284" s="49"/>
      <c r="Y7284" s="35"/>
      <c r="Z7284" s="35"/>
      <c r="AA7284" s="35"/>
      <c r="AB7284" s="35"/>
      <c r="AC7284" s="35"/>
      <c r="AD7284" s="35"/>
      <c r="AE7284" s="35"/>
      <c r="AF7284" s="35"/>
      <c r="AG7284" s="35"/>
      <c r="AH7284" s="35"/>
      <c r="AI7284" s="35"/>
      <c r="AJ7284" s="35"/>
      <c r="AK7284" s="35"/>
      <c r="AL7284" s="35"/>
    </row>
    <row r="7285">
      <c r="A7285" s="1"/>
      <c r="B7285" s="19" t="s">
        <v>33186</v>
      </c>
      <c r="C7285" s="20" t="s">
        <v>33786</v>
      </c>
      <c r="D7285" s="424"/>
      <c r="E7285" s="113" t="s">
        <v>33787</v>
      </c>
      <c r="F7285" s="113"/>
      <c r="G7285" s="355">
        <v>2021.0</v>
      </c>
      <c r="H7285" s="113" t="s">
        <v>4718</v>
      </c>
      <c r="I7285" s="114" t="s">
        <v>33788</v>
      </c>
      <c r="J7285" s="22" t="s">
        <v>33789</v>
      </c>
      <c r="K7285" s="22"/>
      <c r="L7285" s="437">
        <v>850.0</v>
      </c>
      <c r="M7285" s="36">
        <v>100.0</v>
      </c>
      <c r="N7285" s="36" t="s">
        <v>58</v>
      </c>
      <c r="O7285" s="36" t="s">
        <v>58</v>
      </c>
      <c r="P7285" s="443" t="s">
        <v>33790</v>
      </c>
      <c r="Q7285" s="36" t="s">
        <v>58</v>
      </c>
      <c r="R7285" s="442" t="s">
        <v>33791</v>
      </c>
      <c r="S7285" s="36" t="s">
        <v>33792</v>
      </c>
      <c r="T7285" s="450" t="s">
        <v>33793</v>
      </c>
      <c r="U7285" s="426" t="s">
        <v>61</v>
      </c>
      <c r="V7285" s="30" t="s">
        <v>33794</v>
      </c>
      <c r="W7285" s="49"/>
      <c r="X7285" s="49"/>
      <c r="Y7285" s="35"/>
      <c r="Z7285" s="35"/>
      <c r="AA7285" s="35"/>
      <c r="AB7285" s="35"/>
      <c r="AC7285" s="35"/>
      <c r="AD7285" s="35"/>
      <c r="AE7285" s="35"/>
      <c r="AF7285" s="35"/>
      <c r="AG7285" s="35"/>
      <c r="AH7285" s="35"/>
      <c r="AI7285" s="35"/>
      <c r="AJ7285" s="35"/>
      <c r="AK7285" s="35"/>
      <c r="AL7285" s="35"/>
    </row>
    <row r="7286">
      <c r="A7286" s="1"/>
      <c r="B7286" s="19" t="s">
        <v>33186</v>
      </c>
      <c r="C7286" s="20"/>
      <c r="D7286" s="47"/>
      <c r="E7286" s="22" t="s">
        <v>33795</v>
      </c>
      <c r="F7286" s="22" t="s">
        <v>41</v>
      </c>
      <c r="G7286" s="23">
        <v>2014.0</v>
      </c>
      <c r="H7286" s="22" t="s">
        <v>658</v>
      </c>
      <c r="I7286" s="24" t="s">
        <v>33796</v>
      </c>
      <c r="J7286" s="22" t="s">
        <v>3289</v>
      </c>
      <c r="K7286" s="22"/>
      <c r="L7286" s="171" t="s">
        <v>33797</v>
      </c>
      <c r="M7286" s="44"/>
      <c r="N7286" s="44"/>
      <c r="O7286" s="44"/>
      <c r="P7286" s="44"/>
      <c r="Q7286" s="44"/>
      <c r="R7286" s="44"/>
      <c r="S7286" s="44"/>
      <c r="T7286" s="45"/>
      <c r="U7286" s="38" t="str">
        <f>HYPERLINK("https://www.ncbi.nlm.nih.gov/pubmed/24992270","PubMed")</f>
        <v>PubMed</v>
      </c>
      <c r="V7286" s="30"/>
      <c r="W7286" s="34"/>
      <c r="X7286" s="34"/>
      <c r="Y7286" s="35"/>
      <c r="Z7286" s="35"/>
      <c r="AA7286" s="35"/>
      <c r="AB7286" s="35"/>
      <c r="AC7286" s="35"/>
      <c r="AD7286" s="35"/>
      <c r="AE7286" s="35"/>
      <c r="AF7286" s="35"/>
      <c r="AG7286" s="35"/>
      <c r="AH7286" s="35"/>
      <c r="AI7286" s="35"/>
      <c r="AJ7286" s="35"/>
      <c r="AK7286" s="35"/>
      <c r="AL7286" s="35"/>
    </row>
    <row r="7287">
      <c r="A7287" s="1"/>
      <c r="B7287" s="19" t="s">
        <v>33186</v>
      </c>
      <c r="C7287" s="20"/>
      <c r="D7287" s="47"/>
      <c r="E7287" s="22" t="s">
        <v>13667</v>
      </c>
      <c r="F7287" s="22"/>
      <c r="G7287" s="23">
        <v>2001.0</v>
      </c>
      <c r="H7287" s="22" t="s">
        <v>33798</v>
      </c>
      <c r="I7287" s="24" t="s">
        <v>33799</v>
      </c>
      <c r="J7287" s="22" t="s">
        <v>649</v>
      </c>
      <c r="K7287" s="22"/>
      <c r="L7287" s="43" t="s">
        <v>33800</v>
      </c>
      <c r="M7287" s="44"/>
      <c r="N7287" s="44"/>
      <c r="O7287" s="44"/>
      <c r="P7287" s="44"/>
      <c r="Q7287" s="44"/>
      <c r="R7287" s="44"/>
      <c r="S7287" s="44"/>
      <c r="T7287" s="45"/>
      <c r="U7287" s="38" t="str">
        <f>HYPERLINK("https://www.tandfonline.com/doi/abs/10.1179/ptr.2001.6.2.91","T&amp;F")</f>
        <v>T&amp;F</v>
      </c>
      <c r="V7287" s="30"/>
      <c r="W7287" s="49"/>
      <c r="X7287" s="49"/>
      <c r="Y7287" s="35"/>
      <c r="Z7287" s="35"/>
      <c r="AA7287" s="35"/>
      <c r="AB7287" s="35"/>
      <c r="AC7287" s="35"/>
      <c r="AD7287" s="35"/>
      <c r="AE7287" s="35"/>
      <c r="AF7287" s="35"/>
      <c r="AG7287" s="35"/>
      <c r="AH7287" s="35"/>
      <c r="AI7287" s="35"/>
      <c r="AJ7287" s="35"/>
      <c r="AK7287" s="35"/>
      <c r="AL7287" s="35"/>
    </row>
    <row r="7288">
      <c r="A7288" s="1"/>
      <c r="B7288" s="19" t="s">
        <v>33186</v>
      </c>
      <c r="C7288" s="20"/>
      <c r="D7288" s="47"/>
      <c r="E7288" s="22" t="s">
        <v>3457</v>
      </c>
      <c r="F7288" s="22" t="s">
        <v>33511</v>
      </c>
      <c r="G7288" s="23">
        <v>2012.0</v>
      </c>
      <c r="H7288" s="22" t="s">
        <v>627</v>
      </c>
      <c r="I7288" s="24" t="s">
        <v>33515</v>
      </c>
      <c r="J7288" s="22" t="s">
        <v>31</v>
      </c>
      <c r="K7288" s="22" t="s">
        <v>33516</v>
      </c>
      <c r="L7288" s="36"/>
      <c r="M7288" s="36"/>
      <c r="N7288" s="36"/>
      <c r="O7288" s="36"/>
      <c r="P7288" s="37"/>
      <c r="Q7288" s="36"/>
      <c r="R7288" s="36"/>
      <c r="S7288" s="36"/>
      <c r="T7288" s="28" t="s">
        <v>33518</v>
      </c>
      <c r="U7288" s="38" t="str">
        <f>HYPERLINK("https://www.ncbi.nlm.nih.gov/pubmed/22666495","PubMed")</f>
        <v>PubMed</v>
      </c>
      <c r="V7288" s="30"/>
      <c r="W7288" s="49"/>
      <c r="X7288" s="49"/>
      <c r="Y7288" s="35"/>
      <c r="Z7288" s="35"/>
      <c r="AA7288" s="35"/>
      <c r="AB7288" s="35"/>
      <c r="AC7288" s="35"/>
      <c r="AD7288" s="35"/>
      <c r="AE7288" s="35"/>
      <c r="AF7288" s="35"/>
      <c r="AG7288" s="35"/>
      <c r="AH7288" s="35"/>
      <c r="AI7288" s="35"/>
      <c r="AJ7288" s="35"/>
      <c r="AK7288" s="35"/>
      <c r="AL7288" s="35"/>
    </row>
    <row r="7289">
      <c r="A7289" s="1"/>
      <c r="B7289" s="19" t="s">
        <v>33186</v>
      </c>
      <c r="C7289" s="20"/>
      <c r="D7289" s="47"/>
      <c r="E7289" s="22" t="s">
        <v>33270</v>
      </c>
      <c r="F7289" s="22" t="s">
        <v>2065</v>
      </c>
      <c r="G7289" s="23">
        <v>2010.0</v>
      </c>
      <c r="H7289" s="22" t="s">
        <v>658</v>
      </c>
      <c r="I7289" s="24" t="s">
        <v>33801</v>
      </c>
      <c r="J7289" s="22" t="s">
        <v>1078</v>
      </c>
      <c r="K7289" s="22" t="s">
        <v>33802</v>
      </c>
      <c r="L7289" s="171" t="s">
        <v>33803</v>
      </c>
      <c r="M7289" s="44"/>
      <c r="N7289" s="44"/>
      <c r="O7289" s="44"/>
      <c r="P7289" s="44"/>
      <c r="Q7289" s="44"/>
      <c r="R7289" s="44"/>
      <c r="S7289" s="44"/>
      <c r="T7289" s="45"/>
      <c r="U7289" s="38" t="str">
        <f>HYPERLINK("https://www.ncbi.nlm.nih.gov/pubmed/19708800","PubMed")</f>
        <v>PubMed</v>
      </c>
      <c r="V7289" s="30"/>
      <c r="W7289" s="34"/>
      <c r="X7289" s="34"/>
      <c r="Y7289" s="35"/>
      <c r="Z7289" s="35"/>
      <c r="AA7289" s="35"/>
      <c r="AB7289" s="35"/>
      <c r="AC7289" s="35"/>
      <c r="AD7289" s="35"/>
      <c r="AE7289" s="35"/>
      <c r="AF7289" s="35"/>
      <c r="AG7289" s="35"/>
      <c r="AH7289" s="35"/>
      <c r="AI7289" s="35"/>
      <c r="AJ7289" s="35"/>
      <c r="AK7289" s="35"/>
      <c r="AL7289" s="35"/>
    </row>
    <row r="7290">
      <c r="A7290" s="1"/>
      <c r="B7290" s="19" t="s">
        <v>33186</v>
      </c>
      <c r="C7290" s="20"/>
      <c r="D7290" s="47"/>
      <c r="E7290" s="22" t="s">
        <v>33804</v>
      </c>
      <c r="F7290" s="22" t="s">
        <v>11629</v>
      </c>
      <c r="G7290" s="23">
        <v>1992.0</v>
      </c>
      <c r="H7290" s="22" t="s">
        <v>292</v>
      </c>
      <c r="I7290" s="24" t="s">
        <v>33805</v>
      </c>
      <c r="J7290" s="22" t="s">
        <v>125</v>
      </c>
      <c r="K7290" s="22"/>
      <c r="L7290" s="171" t="s">
        <v>33806</v>
      </c>
      <c r="M7290" s="44"/>
      <c r="N7290" s="44"/>
      <c r="O7290" s="44"/>
      <c r="P7290" s="44"/>
      <c r="Q7290" s="44"/>
      <c r="R7290" s="44"/>
      <c r="S7290" s="44"/>
      <c r="T7290" s="45"/>
      <c r="U7290" s="38" t="str">
        <f>HYPERLINK("https://www.jstage.jst.go.jp/article/islsm/4/3/4_92-OR-12/_article/-char/en","J-STAGE")</f>
        <v>J-STAGE</v>
      </c>
      <c r="V7290" s="30"/>
      <c r="W7290" s="34"/>
      <c r="X7290" s="34"/>
      <c r="Y7290" s="35"/>
      <c r="Z7290" s="35"/>
      <c r="AA7290" s="35"/>
      <c r="AB7290" s="35"/>
      <c r="AC7290" s="35"/>
      <c r="AD7290" s="35"/>
      <c r="AE7290" s="35"/>
      <c r="AF7290" s="35"/>
      <c r="AG7290" s="35"/>
      <c r="AH7290" s="35"/>
      <c r="AI7290" s="35"/>
      <c r="AJ7290" s="35"/>
      <c r="AK7290" s="35"/>
      <c r="AL7290" s="35"/>
    </row>
    <row r="7291">
      <c r="A7291" s="146"/>
      <c r="B7291" s="157" t="s">
        <v>33807</v>
      </c>
      <c r="C7291" s="158" t="s">
        <v>33808</v>
      </c>
      <c r="D7291" s="159"/>
      <c r="E7291" s="57" t="s">
        <v>33809</v>
      </c>
      <c r="F7291" s="23" t="s">
        <v>32007</v>
      </c>
      <c r="G7291" s="57">
        <v>2019.0</v>
      </c>
      <c r="H7291" s="57" t="s">
        <v>91</v>
      </c>
      <c r="I7291" s="134" t="s">
        <v>33810</v>
      </c>
      <c r="J7291" s="23" t="s">
        <v>55</v>
      </c>
      <c r="K7291" s="23" t="s">
        <v>33811</v>
      </c>
      <c r="L7291" s="36">
        <v>780.0</v>
      </c>
      <c r="M7291" s="36"/>
      <c r="N7291" s="36"/>
      <c r="O7291" s="129"/>
      <c r="P7291" s="37"/>
      <c r="Q7291" s="36"/>
      <c r="R7291" s="36"/>
      <c r="S7291" s="36"/>
      <c r="T7291" s="84" t="s">
        <v>33812</v>
      </c>
      <c r="U7291" s="250" t="str">
        <f>HYPERLINK("https://www.ncbi.nlm.nih.gov/pubmed/31062187","PubMed")</f>
        <v>PubMed</v>
      </c>
      <c r="V7291" s="30"/>
      <c r="W7291" s="49"/>
      <c r="X7291" s="49"/>
      <c r="Y7291" s="35"/>
      <c r="Z7291" s="35"/>
      <c r="AA7291" s="35"/>
      <c r="AB7291" s="35"/>
      <c r="AC7291" s="35"/>
      <c r="AD7291" s="35"/>
      <c r="AE7291" s="35"/>
      <c r="AF7291" s="35"/>
      <c r="AG7291" s="35"/>
      <c r="AH7291" s="35"/>
      <c r="AI7291" s="35"/>
      <c r="AJ7291" s="35"/>
      <c r="AK7291" s="35"/>
      <c r="AL7291" s="35"/>
    </row>
    <row r="7292">
      <c r="A7292" s="146"/>
      <c r="B7292" s="157" t="s">
        <v>33807</v>
      </c>
      <c r="C7292" s="158" t="s">
        <v>33808</v>
      </c>
      <c r="D7292" s="159"/>
      <c r="E7292" s="57" t="s">
        <v>33813</v>
      </c>
      <c r="F7292" s="23" t="s">
        <v>1943</v>
      </c>
      <c r="G7292" s="57">
        <v>2015.0</v>
      </c>
      <c r="H7292" s="57" t="s">
        <v>4975</v>
      </c>
      <c r="I7292" s="134" t="s">
        <v>33814</v>
      </c>
      <c r="J7292" s="23" t="s">
        <v>55</v>
      </c>
      <c r="K7292" s="23" t="s">
        <v>27156</v>
      </c>
      <c r="L7292" s="36">
        <v>633.0</v>
      </c>
      <c r="M7292" s="36">
        <v>12.0</v>
      </c>
      <c r="N7292" s="36" t="s">
        <v>33815</v>
      </c>
      <c r="O7292" s="129">
        <v>42461.0</v>
      </c>
      <c r="P7292" s="37" t="s">
        <v>33816</v>
      </c>
      <c r="Q7292" s="36" t="s">
        <v>33817</v>
      </c>
      <c r="R7292" s="36">
        <v>120.0</v>
      </c>
      <c r="S7292" s="36">
        <v>6.0</v>
      </c>
      <c r="T7292" s="84" t="s">
        <v>33818</v>
      </c>
      <c r="U7292" s="250" t="str">
        <f>HYPERLINK("https://www.ncbi.nlm.nih.gov/pubmed/25975382","PubMed")</f>
        <v>PubMed</v>
      </c>
      <c r="V7292" s="30"/>
      <c r="W7292" s="49"/>
      <c r="X7292" s="49"/>
      <c r="Y7292" s="35"/>
      <c r="Z7292" s="35"/>
      <c r="AA7292" s="35"/>
      <c r="AB7292" s="35"/>
      <c r="AC7292" s="35"/>
      <c r="AD7292" s="35"/>
      <c r="AE7292" s="35"/>
      <c r="AF7292" s="35"/>
      <c r="AG7292" s="35"/>
      <c r="AH7292" s="35"/>
      <c r="AI7292" s="35"/>
      <c r="AJ7292" s="35"/>
      <c r="AK7292" s="35"/>
      <c r="AL7292" s="35"/>
    </row>
    <row r="7293">
      <c r="A7293" s="146" t="s">
        <v>38</v>
      </c>
      <c r="B7293" s="157" t="s">
        <v>33807</v>
      </c>
      <c r="C7293" s="158" t="s">
        <v>33808</v>
      </c>
      <c r="D7293" s="159"/>
      <c r="E7293" s="57" t="s">
        <v>1234</v>
      </c>
      <c r="F7293" s="23" t="s">
        <v>797</v>
      </c>
      <c r="G7293" s="57">
        <v>2014.0</v>
      </c>
      <c r="H7293" s="57" t="s">
        <v>658</v>
      </c>
      <c r="I7293" s="134" t="s">
        <v>33819</v>
      </c>
      <c r="J7293" s="23" t="s">
        <v>253</v>
      </c>
      <c r="K7293" s="23"/>
      <c r="L7293" s="36">
        <v>830.0</v>
      </c>
      <c r="M7293" s="36">
        <v>50.0</v>
      </c>
      <c r="N7293" s="36"/>
      <c r="O7293" s="36"/>
      <c r="P7293" s="37" t="s">
        <v>760</v>
      </c>
      <c r="Q7293" s="36"/>
      <c r="R7293" s="36"/>
      <c r="S7293" s="36"/>
      <c r="T7293" s="84" t="s">
        <v>33820</v>
      </c>
      <c r="U7293" s="250" t="str">
        <f>HYPERLINK("https://www.ncbi.nlm.nih.gov/pubmed/25265487","PubMed")</f>
        <v>PubMed</v>
      </c>
      <c r="V7293" s="30"/>
      <c r="W7293" s="49"/>
      <c r="X7293" s="49"/>
      <c r="Y7293" s="35"/>
      <c r="Z7293" s="35"/>
      <c r="AA7293" s="35"/>
      <c r="AB7293" s="35"/>
      <c r="AC7293" s="35"/>
      <c r="AD7293" s="35"/>
      <c r="AE7293" s="35"/>
      <c r="AF7293" s="35"/>
      <c r="AG7293" s="35"/>
      <c r="AH7293" s="35"/>
      <c r="AI7293" s="35"/>
      <c r="AJ7293" s="35"/>
      <c r="AK7293" s="35"/>
      <c r="AL7293" s="35"/>
    </row>
    <row r="7294">
      <c r="A7294" s="133"/>
      <c r="B7294" s="157" t="s">
        <v>33807</v>
      </c>
      <c r="C7294" s="158" t="s">
        <v>33808</v>
      </c>
      <c r="D7294" s="159"/>
      <c r="E7294" s="57" t="s">
        <v>33821</v>
      </c>
      <c r="F7294" s="23" t="s">
        <v>797</v>
      </c>
      <c r="G7294" s="57">
        <v>2013.0</v>
      </c>
      <c r="H7294" s="57" t="s">
        <v>284</v>
      </c>
      <c r="I7294" s="134" t="s">
        <v>33822</v>
      </c>
      <c r="J7294" s="23" t="s">
        <v>253</v>
      </c>
      <c r="K7294" s="23" t="s">
        <v>2158</v>
      </c>
      <c r="L7294" s="36">
        <v>830.0</v>
      </c>
      <c r="M7294" s="36">
        <v>40.0</v>
      </c>
      <c r="N7294" s="36"/>
      <c r="O7294" s="36"/>
      <c r="P7294" s="37" t="s">
        <v>82</v>
      </c>
      <c r="Q7294" s="36"/>
      <c r="R7294" s="36"/>
      <c r="S7294" s="36"/>
      <c r="T7294" s="82" t="s">
        <v>33823</v>
      </c>
      <c r="U7294" s="250" t="str">
        <f>HYPERLINK("https://www.ncbi.nlm.nih.gov/pubmed/22819694","PubMed")</f>
        <v>PubMed</v>
      </c>
      <c r="V7294" s="30"/>
      <c r="W7294" s="49"/>
      <c r="X7294" s="49"/>
      <c r="Y7294" s="35"/>
      <c r="Z7294" s="35"/>
      <c r="AA7294" s="35"/>
      <c r="AB7294" s="35"/>
      <c r="AC7294" s="35"/>
      <c r="AD7294" s="35"/>
      <c r="AE7294" s="35"/>
      <c r="AF7294" s="35"/>
      <c r="AG7294" s="35"/>
      <c r="AH7294" s="35"/>
      <c r="AI7294" s="35"/>
      <c r="AJ7294" s="35"/>
      <c r="AK7294" s="35"/>
      <c r="AL7294" s="35"/>
    </row>
    <row r="7295">
      <c r="A7295" s="133"/>
      <c r="B7295" s="157" t="s">
        <v>33807</v>
      </c>
      <c r="C7295" s="158" t="s">
        <v>33808</v>
      </c>
      <c r="D7295" s="159"/>
      <c r="E7295" s="57" t="s">
        <v>5572</v>
      </c>
      <c r="F7295" s="23" t="s">
        <v>41</v>
      </c>
      <c r="G7295" s="57">
        <v>2005.0</v>
      </c>
      <c r="H7295" s="57" t="s">
        <v>658</v>
      </c>
      <c r="I7295" s="134" t="s">
        <v>33824</v>
      </c>
      <c r="J7295" s="23" t="s">
        <v>44</v>
      </c>
      <c r="K7295" s="23"/>
      <c r="L7295" s="36">
        <v>780.0</v>
      </c>
      <c r="M7295" s="36">
        <v>30.0</v>
      </c>
      <c r="N7295" s="36"/>
      <c r="O7295" s="36"/>
      <c r="P7295" s="37" t="s">
        <v>254</v>
      </c>
      <c r="Q7295" s="36" t="s">
        <v>17520</v>
      </c>
      <c r="R7295" s="36">
        <v>133.0</v>
      </c>
      <c r="S7295" s="36">
        <v>3.0</v>
      </c>
      <c r="T7295" s="84" t="s">
        <v>33825</v>
      </c>
      <c r="U7295" s="250" t="str">
        <f>HYPERLINK("https://www.ncbi.nlm.nih.gov/pubmed/16356148","PubMed")</f>
        <v>PubMed</v>
      </c>
      <c r="V7295" s="30"/>
      <c r="W7295" s="49"/>
      <c r="X7295" s="49"/>
      <c r="Y7295" s="35"/>
      <c r="Z7295" s="35"/>
      <c r="AA7295" s="35"/>
      <c r="AB7295" s="35"/>
      <c r="AC7295" s="35"/>
      <c r="AD7295" s="35"/>
      <c r="AE7295" s="35"/>
      <c r="AF7295" s="35"/>
      <c r="AG7295" s="35"/>
      <c r="AH7295" s="35"/>
      <c r="AI7295" s="35"/>
      <c r="AJ7295" s="35"/>
      <c r="AK7295" s="35"/>
      <c r="AL7295" s="35"/>
    </row>
    <row r="7296">
      <c r="A7296" s="133"/>
      <c r="B7296" s="157" t="s">
        <v>33807</v>
      </c>
      <c r="C7296" s="158" t="s">
        <v>33826</v>
      </c>
      <c r="D7296" s="159"/>
      <c r="E7296" s="57" t="s">
        <v>21385</v>
      </c>
      <c r="F7296" s="23" t="s">
        <v>605</v>
      </c>
      <c r="G7296" s="57">
        <v>2024.0</v>
      </c>
      <c r="H7296" s="57" t="s">
        <v>17123</v>
      </c>
      <c r="I7296" s="134" t="s">
        <v>33827</v>
      </c>
      <c r="J7296" s="22" t="s">
        <v>33828</v>
      </c>
      <c r="K7296" s="23"/>
      <c r="L7296" s="36"/>
      <c r="M7296" s="36"/>
      <c r="N7296" s="36"/>
      <c r="O7296" s="36"/>
      <c r="P7296" s="37"/>
      <c r="Q7296" s="36"/>
      <c r="R7296" s="36"/>
      <c r="S7296" s="36" t="s">
        <v>4387</v>
      </c>
      <c r="T7296" s="84" t="s">
        <v>33829</v>
      </c>
      <c r="U7296" s="255" t="s">
        <v>61</v>
      </c>
      <c r="V7296" s="30"/>
      <c r="W7296" s="49"/>
      <c r="X7296" s="49"/>
      <c r="Y7296" s="35"/>
      <c r="Z7296" s="35"/>
      <c r="AA7296" s="35"/>
      <c r="AB7296" s="35"/>
      <c r="AC7296" s="35"/>
      <c r="AD7296" s="35"/>
      <c r="AE7296" s="35"/>
      <c r="AF7296" s="35"/>
      <c r="AG7296" s="35"/>
      <c r="AH7296" s="35"/>
      <c r="AI7296" s="35"/>
      <c r="AJ7296" s="35"/>
      <c r="AK7296" s="35"/>
      <c r="AL7296" s="35"/>
    </row>
    <row r="7297">
      <c r="A7297" s="133"/>
      <c r="B7297" s="157" t="s">
        <v>33807</v>
      </c>
      <c r="C7297" s="158" t="s">
        <v>33826</v>
      </c>
      <c r="D7297" s="159"/>
      <c r="E7297" s="57" t="s">
        <v>33830</v>
      </c>
      <c r="F7297" s="23" t="s">
        <v>33831</v>
      </c>
      <c r="G7297" s="57">
        <v>2023.0</v>
      </c>
      <c r="H7297" s="57" t="s">
        <v>3940</v>
      </c>
      <c r="I7297" s="134" t="s">
        <v>33832</v>
      </c>
      <c r="J7297" s="23" t="s">
        <v>33833</v>
      </c>
      <c r="K7297" s="23"/>
      <c r="L7297" s="36">
        <v>820.0</v>
      </c>
      <c r="M7297" s="36">
        <v>200.0</v>
      </c>
      <c r="N7297" s="36" t="s">
        <v>58</v>
      </c>
      <c r="O7297" s="36" t="s">
        <v>58</v>
      </c>
      <c r="P7297" s="37" t="s">
        <v>2400</v>
      </c>
      <c r="Q7297" s="36" t="s">
        <v>58</v>
      </c>
      <c r="R7297" s="36" t="s">
        <v>33834</v>
      </c>
      <c r="S7297" s="36" t="s">
        <v>4387</v>
      </c>
      <c r="T7297" s="83" t="s">
        <v>33835</v>
      </c>
      <c r="U7297" s="255" t="s">
        <v>2453</v>
      </c>
      <c r="V7297" s="30" t="s">
        <v>33836</v>
      </c>
      <c r="W7297" s="49"/>
      <c r="X7297" s="49"/>
      <c r="Y7297" s="35"/>
      <c r="Z7297" s="35"/>
      <c r="AA7297" s="35"/>
      <c r="AB7297" s="35"/>
      <c r="AC7297" s="35"/>
      <c r="AD7297" s="35"/>
      <c r="AE7297" s="35"/>
      <c r="AF7297" s="35"/>
      <c r="AG7297" s="35"/>
      <c r="AH7297" s="35"/>
      <c r="AI7297" s="35"/>
      <c r="AJ7297" s="35"/>
      <c r="AK7297" s="35"/>
      <c r="AL7297" s="35"/>
    </row>
    <row r="7298">
      <c r="A7298" s="133"/>
      <c r="B7298" s="157" t="s">
        <v>33807</v>
      </c>
      <c r="C7298" s="158" t="s">
        <v>33826</v>
      </c>
      <c r="D7298" s="159"/>
      <c r="E7298" s="57" t="s">
        <v>3815</v>
      </c>
      <c r="F7298" s="23" t="s">
        <v>323</v>
      </c>
      <c r="G7298" s="57">
        <v>2022.0</v>
      </c>
      <c r="H7298" s="57" t="s">
        <v>147</v>
      </c>
      <c r="I7298" s="134" t="s">
        <v>33837</v>
      </c>
      <c r="J7298" s="22" t="s">
        <v>125</v>
      </c>
      <c r="K7298" s="23"/>
      <c r="L7298" s="105" t="s">
        <v>33838</v>
      </c>
      <c r="M7298" s="44"/>
      <c r="N7298" s="44"/>
      <c r="O7298" s="44"/>
      <c r="P7298" s="44"/>
      <c r="Q7298" s="44"/>
      <c r="R7298" s="44"/>
      <c r="S7298" s="44"/>
      <c r="T7298" s="45"/>
      <c r="U7298" s="255" t="s">
        <v>61</v>
      </c>
      <c r="V7298" s="30"/>
      <c r="W7298" s="49"/>
      <c r="X7298" s="49"/>
      <c r="Y7298" s="35"/>
      <c r="Z7298" s="35"/>
      <c r="AA7298" s="35"/>
      <c r="AB7298" s="35"/>
      <c r="AC7298" s="35"/>
      <c r="AD7298" s="35"/>
      <c r="AE7298" s="35"/>
      <c r="AF7298" s="35"/>
      <c r="AG7298" s="35"/>
      <c r="AH7298" s="35"/>
      <c r="AI7298" s="35"/>
      <c r="AJ7298" s="35"/>
      <c r="AK7298" s="35"/>
      <c r="AL7298" s="35"/>
    </row>
    <row r="7299">
      <c r="A7299" s="133"/>
      <c r="B7299" s="157" t="s">
        <v>33807</v>
      </c>
      <c r="C7299" s="158" t="s">
        <v>33826</v>
      </c>
      <c r="D7299" s="159"/>
      <c r="E7299" s="57" t="s">
        <v>33839</v>
      </c>
      <c r="F7299" s="23" t="s">
        <v>1905</v>
      </c>
      <c r="G7299" s="57">
        <v>2021.0</v>
      </c>
      <c r="H7299" s="57" t="s">
        <v>9811</v>
      </c>
      <c r="I7299" s="134" t="s">
        <v>33840</v>
      </c>
      <c r="J7299" s="23" t="s">
        <v>44</v>
      </c>
      <c r="K7299" s="23"/>
      <c r="L7299" s="36">
        <v>632.0</v>
      </c>
      <c r="M7299" s="36"/>
      <c r="N7299" s="36"/>
      <c r="O7299" s="37"/>
      <c r="P7299" s="37" t="s">
        <v>624</v>
      </c>
      <c r="Q7299" s="36"/>
      <c r="R7299" s="36"/>
      <c r="S7299" s="36"/>
      <c r="T7299" s="82" t="s">
        <v>33841</v>
      </c>
      <c r="U7299" s="248" t="s">
        <v>61</v>
      </c>
      <c r="V7299" s="30"/>
      <c r="W7299" s="49"/>
      <c r="X7299" s="49"/>
      <c r="Y7299" s="35"/>
      <c r="Z7299" s="35"/>
      <c r="AA7299" s="35"/>
      <c r="AB7299" s="35"/>
      <c r="AC7299" s="35"/>
      <c r="AD7299" s="35"/>
      <c r="AE7299" s="35"/>
      <c r="AF7299" s="35"/>
      <c r="AG7299" s="35"/>
      <c r="AH7299" s="35"/>
      <c r="AI7299" s="35"/>
      <c r="AJ7299" s="35"/>
      <c r="AK7299" s="35"/>
      <c r="AL7299" s="35"/>
    </row>
    <row r="7300">
      <c r="A7300" s="55" t="s">
        <v>181</v>
      </c>
      <c r="B7300" s="157" t="s">
        <v>33807</v>
      </c>
      <c r="C7300" s="158" t="s">
        <v>33826</v>
      </c>
      <c r="D7300" s="159"/>
      <c r="E7300" s="57" t="s">
        <v>33842</v>
      </c>
      <c r="F7300" s="23" t="s">
        <v>605</v>
      </c>
      <c r="G7300" s="57">
        <v>2020.0</v>
      </c>
      <c r="H7300" s="57" t="s">
        <v>77</v>
      </c>
      <c r="I7300" s="134" t="s">
        <v>33843</v>
      </c>
      <c r="J7300" s="22" t="s">
        <v>33844</v>
      </c>
      <c r="K7300" s="23"/>
      <c r="L7300" s="36">
        <v>850.0</v>
      </c>
      <c r="M7300" s="36" t="s">
        <v>58</v>
      </c>
      <c r="N7300" s="36" t="s">
        <v>13352</v>
      </c>
      <c r="O7300" s="37" t="s">
        <v>33845</v>
      </c>
      <c r="P7300" s="37" t="s">
        <v>33846</v>
      </c>
      <c r="Q7300" s="36" t="s">
        <v>33847</v>
      </c>
      <c r="R7300" s="36" t="s">
        <v>33848</v>
      </c>
      <c r="S7300" s="36" t="s">
        <v>33849</v>
      </c>
      <c r="T7300" s="83" t="s">
        <v>33850</v>
      </c>
      <c r="U7300" s="255" t="str">
        <f>HYPERLINK("https://www.ncbi.nlm.nih.gov/pubmed/32186976","PubMed")</f>
        <v>PubMed</v>
      </c>
      <c r="V7300" s="30" t="s">
        <v>33851</v>
      </c>
      <c r="W7300" s="49"/>
      <c r="X7300" s="49"/>
      <c r="Y7300" s="35"/>
      <c r="Z7300" s="35"/>
      <c r="AA7300" s="35"/>
      <c r="AB7300" s="35"/>
      <c r="AC7300" s="35"/>
      <c r="AD7300" s="35"/>
      <c r="AE7300" s="35"/>
      <c r="AF7300" s="35"/>
      <c r="AG7300" s="35"/>
      <c r="AH7300" s="35"/>
      <c r="AI7300" s="35"/>
      <c r="AJ7300" s="35"/>
      <c r="AK7300" s="35"/>
      <c r="AL7300" s="35"/>
    </row>
    <row r="7301">
      <c r="A7301" s="133"/>
      <c r="B7301" s="157" t="s">
        <v>33807</v>
      </c>
      <c r="C7301" s="158" t="s">
        <v>33826</v>
      </c>
      <c r="D7301" s="159"/>
      <c r="E7301" s="57" t="s">
        <v>33852</v>
      </c>
      <c r="F7301" s="23" t="s">
        <v>41</v>
      </c>
      <c r="G7301" s="57">
        <v>2018.0</v>
      </c>
      <c r="H7301" s="57" t="s">
        <v>33853</v>
      </c>
      <c r="I7301" s="134" t="s">
        <v>33854</v>
      </c>
      <c r="J7301" s="23" t="s">
        <v>33855</v>
      </c>
      <c r="K7301" s="23" t="s">
        <v>33856</v>
      </c>
      <c r="L7301" s="36">
        <v>830.0</v>
      </c>
      <c r="M7301" s="36">
        <v>50.0</v>
      </c>
      <c r="N7301" s="36" t="s">
        <v>33857</v>
      </c>
      <c r="O7301" s="36" t="s">
        <v>33858</v>
      </c>
      <c r="P7301" s="37" t="s">
        <v>33859</v>
      </c>
      <c r="Q7301" s="36" t="s">
        <v>33860</v>
      </c>
      <c r="R7301" s="36" t="s">
        <v>13099</v>
      </c>
      <c r="S7301" s="36" t="s">
        <v>7333</v>
      </c>
      <c r="T7301" s="83" t="s">
        <v>33861</v>
      </c>
      <c r="U7301" s="255" t="str">
        <f>HYPERLINK("https://www.ncbi.nlm.nih.gov/pubmed/30532779","PubMed")</f>
        <v>PubMed</v>
      </c>
      <c r="V7301" s="30"/>
      <c r="W7301" s="49"/>
      <c r="X7301" s="49"/>
      <c r="Y7301" s="35"/>
      <c r="Z7301" s="35"/>
      <c r="AA7301" s="35"/>
      <c r="AB7301" s="35"/>
      <c r="AC7301" s="35"/>
      <c r="AD7301" s="35"/>
      <c r="AE7301" s="35"/>
      <c r="AF7301" s="35"/>
      <c r="AG7301" s="35"/>
      <c r="AH7301" s="35"/>
      <c r="AI7301" s="35"/>
      <c r="AJ7301" s="35"/>
      <c r="AK7301" s="35"/>
      <c r="AL7301" s="35"/>
    </row>
    <row r="7302">
      <c r="A7302" s="133"/>
      <c r="B7302" s="157" t="s">
        <v>33807</v>
      </c>
      <c r="C7302" s="158" t="s">
        <v>33826</v>
      </c>
      <c r="D7302" s="159"/>
      <c r="E7302" s="57" t="s">
        <v>33852</v>
      </c>
      <c r="F7302" s="23" t="s">
        <v>41</v>
      </c>
      <c r="G7302" s="57">
        <v>2014.0</v>
      </c>
      <c r="H7302" s="57" t="s">
        <v>658</v>
      </c>
      <c r="I7302" s="134" t="s">
        <v>33862</v>
      </c>
      <c r="J7302" s="22" t="s">
        <v>33863</v>
      </c>
      <c r="K7302" s="23" t="s">
        <v>33856</v>
      </c>
      <c r="L7302" s="36">
        <v>830.0</v>
      </c>
      <c r="M7302" s="36">
        <v>50.0</v>
      </c>
      <c r="N7302" s="36" t="s">
        <v>33857</v>
      </c>
      <c r="O7302" s="36" t="s">
        <v>33858</v>
      </c>
      <c r="P7302" s="37" t="s">
        <v>33859</v>
      </c>
      <c r="Q7302" s="36" t="s">
        <v>33860</v>
      </c>
      <c r="R7302" s="36" t="s">
        <v>13099</v>
      </c>
      <c r="S7302" s="36" t="s">
        <v>7333</v>
      </c>
      <c r="T7302" s="83" t="s">
        <v>33864</v>
      </c>
      <c r="U7302" s="255" t="str">
        <f>HYPERLINK("https://www.ncbi.nlm.nih.gov/pubmed/25101534","PubMed")</f>
        <v>PubMed</v>
      </c>
      <c r="V7302" s="30"/>
      <c r="W7302" s="49"/>
      <c r="X7302" s="49"/>
      <c r="Y7302" s="35"/>
      <c r="Z7302" s="35"/>
      <c r="AA7302" s="35"/>
      <c r="AB7302" s="35"/>
      <c r="AC7302" s="35"/>
      <c r="AD7302" s="35"/>
      <c r="AE7302" s="35"/>
      <c r="AF7302" s="35"/>
      <c r="AG7302" s="35"/>
      <c r="AH7302" s="35"/>
      <c r="AI7302" s="35"/>
      <c r="AJ7302" s="35"/>
      <c r="AK7302" s="35"/>
      <c r="AL7302" s="35"/>
    </row>
    <row r="7303">
      <c r="A7303" s="133" t="s">
        <v>2</v>
      </c>
      <c r="B7303" s="157" t="s">
        <v>33807</v>
      </c>
      <c r="C7303" s="158" t="s">
        <v>33826</v>
      </c>
      <c r="D7303" s="159"/>
      <c r="E7303" s="57" t="s">
        <v>33852</v>
      </c>
      <c r="F7303" s="23" t="s">
        <v>41</v>
      </c>
      <c r="G7303" s="57">
        <v>2013.0</v>
      </c>
      <c r="H7303" s="57" t="s">
        <v>91</v>
      </c>
      <c r="I7303" s="134" t="s">
        <v>33865</v>
      </c>
      <c r="J7303" s="22" t="s">
        <v>33866</v>
      </c>
      <c r="K7303" s="23" t="s">
        <v>33856</v>
      </c>
      <c r="L7303" s="36">
        <v>830.0</v>
      </c>
      <c r="M7303" s="36">
        <v>50.0</v>
      </c>
      <c r="N7303" s="36" t="s">
        <v>33857</v>
      </c>
      <c r="O7303" s="36" t="s">
        <v>33858</v>
      </c>
      <c r="P7303" s="37" t="s">
        <v>33859</v>
      </c>
      <c r="Q7303" s="36" t="s">
        <v>33860</v>
      </c>
      <c r="R7303" s="36" t="s">
        <v>13099</v>
      </c>
      <c r="S7303" s="36" t="s">
        <v>7333</v>
      </c>
      <c r="T7303" s="83" t="s">
        <v>33867</v>
      </c>
      <c r="U7303" s="265" t="s">
        <v>61</v>
      </c>
      <c r="V7303" s="30" t="s">
        <v>33868</v>
      </c>
      <c r="W7303" s="49"/>
      <c r="X7303" s="49"/>
      <c r="Y7303" s="35"/>
      <c r="Z7303" s="35"/>
      <c r="AA7303" s="35"/>
      <c r="AB7303" s="35"/>
      <c r="AC7303" s="35"/>
      <c r="AD7303" s="35"/>
      <c r="AE7303" s="35"/>
      <c r="AF7303" s="35"/>
      <c r="AG7303" s="35"/>
      <c r="AH7303" s="35"/>
      <c r="AI7303" s="35"/>
      <c r="AJ7303" s="35"/>
      <c r="AK7303" s="35"/>
      <c r="AL7303" s="35"/>
    </row>
    <row r="7304">
      <c r="A7304" s="133"/>
      <c r="B7304" s="157" t="s">
        <v>33807</v>
      </c>
      <c r="C7304" s="158" t="s">
        <v>33826</v>
      </c>
      <c r="D7304" s="159"/>
      <c r="E7304" s="57" t="s">
        <v>33852</v>
      </c>
      <c r="F7304" s="23" t="s">
        <v>41</v>
      </c>
      <c r="G7304" s="57">
        <v>2012.0</v>
      </c>
      <c r="H7304" s="57" t="s">
        <v>33869</v>
      </c>
      <c r="I7304" s="134" t="s">
        <v>33870</v>
      </c>
      <c r="J7304" s="22" t="s">
        <v>33871</v>
      </c>
      <c r="K7304" s="23" t="s">
        <v>33856</v>
      </c>
      <c r="L7304" s="36">
        <v>830.0</v>
      </c>
      <c r="M7304" s="36">
        <v>50.0</v>
      </c>
      <c r="N7304" s="36" t="s">
        <v>33857</v>
      </c>
      <c r="O7304" s="36" t="s">
        <v>33858</v>
      </c>
      <c r="P7304" s="37" t="s">
        <v>33859</v>
      </c>
      <c r="Q7304" s="36" t="s">
        <v>33860</v>
      </c>
      <c r="R7304" s="36" t="s">
        <v>13099</v>
      </c>
      <c r="S7304" s="36" t="s">
        <v>7333</v>
      </c>
      <c r="T7304" s="83" t="s">
        <v>33872</v>
      </c>
      <c r="U7304" s="265" t="s">
        <v>61</v>
      </c>
      <c r="V7304" s="50"/>
      <c r="W7304" s="49"/>
      <c r="X7304" s="49"/>
      <c r="Y7304" s="35"/>
      <c r="Z7304" s="35"/>
      <c r="AA7304" s="35"/>
      <c r="AB7304" s="35"/>
      <c r="AC7304" s="35"/>
      <c r="AD7304" s="35"/>
      <c r="AE7304" s="35"/>
      <c r="AF7304" s="35"/>
      <c r="AG7304" s="35"/>
      <c r="AH7304" s="35"/>
      <c r="AI7304" s="35"/>
      <c r="AJ7304" s="35"/>
      <c r="AK7304" s="35"/>
      <c r="AL7304" s="35"/>
    </row>
    <row r="7305">
      <c r="A7305" s="133"/>
      <c r="B7305" s="157" t="s">
        <v>33807</v>
      </c>
      <c r="C7305" s="158" t="s">
        <v>33826</v>
      </c>
      <c r="D7305" s="159"/>
      <c r="E7305" s="57" t="s">
        <v>33852</v>
      </c>
      <c r="F7305" s="23" t="s">
        <v>41</v>
      </c>
      <c r="G7305" s="57">
        <v>2010.0</v>
      </c>
      <c r="H7305" s="57" t="s">
        <v>53</v>
      </c>
      <c r="I7305" s="134" t="s">
        <v>33873</v>
      </c>
      <c r="J7305" s="23" t="s">
        <v>33874</v>
      </c>
      <c r="K7305" s="23" t="s">
        <v>33856</v>
      </c>
      <c r="L7305" s="36">
        <v>830.0</v>
      </c>
      <c r="M7305" s="36">
        <v>50.0</v>
      </c>
      <c r="N7305" s="36"/>
      <c r="O7305" s="36" t="s">
        <v>33875</v>
      </c>
      <c r="P7305" s="37" t="s">
        <v>33876</v>
      </c>
      <c r="Q7305" s="36" t="s">
        <v>33877</v>
      </c>
      <c r="R7305" s="36" t="s">
        <v>13379</v>
      </c>
      <c r="S7305" s="36">
        <v>10.0</v>
      </c>
      <c r="T7305" s="83" t="s">
        <v>33878</v>
      </c>
      <c r="U7305" s="265" t="s">
        <v>61</v>
      </c>
      <c r="V7305" s="50"/>
      <c r="W7305" s="49"/>
      <c r="X7305" s="49"/>
      <c r="Y7305" s="35"/>
      <c r="Z7305" s="35"/>
      <c r="AA7305" s="35"/>
      <c r="AB7305" s="35"/>
      <c r="AC7305" s="35"/>
      <c r="AD7305" s="35"/>
      <c r="AE7305" s="35"/>
      <c r="AF7305" s="35"/>
      <c r="AG7305" s="35"/>
      <c r="AH7305" s="35"/>
      <c r="AI7305" s="35"/>
      <c r="AJ7305" s="35"/>
      <c r="AK7305" s="35"/>
      <c r="AL7305" s="35"/>
    </row>
    <row r="7306">
      <c r="A7306" s="133"/>
      <c r="B7306" s="157" t="s">
        <v>33807</v>
      </c>
      <c r="C7306" s="158" t="s">
        <v>33879</v>
      </c>
      <c r="D7306" s="159"/>
      <c r="E7306" s="57" t="s">
        <v>5058</v>
      </c>
      <c r="F7306" s="23" t="s">
        <v>33880</v>
      </c>
      <c r="G7306" s="57">
        <v>2020.0</v>
      </c>
      <c r="H7306" s="57" t="s">
        <v>77</v>
      </c>
      <c r="I7306" s="134" t="s">
        <v>33881</v>
      </c>
      <c r="J7306" s="23" t="s">
        <v>253</v>
      </c>
      <c r="K7306" s="23" t="s">
        <v>33882</v>
      </c>
      <c r="L7306" s="36">
        <v>830.0</v>
      </c>
      <c r="M7306" s="36">
        <v>50.0</v>
      </c>
      <c r="N7306" s="36"/>
      <c r="O7306" s="36"/>
      <c r="P7306" s="37"/>
      <c r="Q7306" s="36"/>
      <c r="R7306" s="36"/>
      <c r="S7306" s="36"/>
      <c r="T7306" s="83" t="s">
        <v>33883</v>
      </c>
      <c r="U7306" s="248" t="s">
        <v>61</v>
      </c>
      <c r="V7306" s="50"/>
      <c r="W7306" s="49"/>
      <c r="X7306" s="49"/>
      <c r="Y7306" s="35"/>
      <c r="Z7306" s="35"/>
      <c r="AA7306" s="35"/>
      <c r="AB7306" s="35"/>
      <c r="AC7306" s="35"/>
      <c r="AD7306" s="35"/>
      <c r="AE7306" s="35"/>
      <c r="AF7306" s="35"/>
      <c r="AG7306" s="35"/>
      <c r="AH7306" s="35"/>
      <c r="AI7306" s="35"/>
      <c r="AJ7306" s="35"/>
      <c r="AK7306" s="35"/>
      <c r="AL7306" s="35"/>
    </row>
    <row r="7307">
      <c r="A7307" s="133"/>
      <c r="B7307" s="157" t="s">
        <v>33807</v>
      </c>
      <c r="C7307" s="158" t="s">
        <v>33879</v>
      </c>
      <c r="D7307" s="159"/>
      <c r="E7307" s="57" t="s">
        <v>33884</v>
      </c>
      <c r="F7307" s="23" t="s">
        <v>7869</v>
      </c>
      <c r="G7307" s="57">
        <v>1999.0</v>
      </c>
      <c r="H7307" s="57" t="s">
        <v>1253</v>
      </c>
      <c r="I7307" s="134" t="s">
        <v>33885</v>
      </c>
      <c r="J7307" s="23" t="s">
        <v>55</v>
      </c>
      <c r="K7307" s="23"/>
      <c r="L7307" s="36">
        <v>904.0</v>
      </c>
      <c r="M7307" s="36"/>
      <c r="N7307" s="36"/>
      <c r="O7307" s="36"/>
      <c r="P7307" s="37" t="s">
        <v>33886</v>
      </c>
      <c r="Q7307" s="36" t="s">
        <v>33887</v>
      </c>
      <c r="R7307" s="36">
        <v>150.0</v>
      </c>
      <c r="S7307" s="36">
        <v>15.0</v>
      </c>
      <c r="T7307" s="84" t="s">
        <v>33888</v>
      </c>
      <c r="U7307" s="250" t="str">
        <f>HYPERLINK("https://www.ncbi.nlm.nih.gov/pubmed/10506922","PubMed")</f>
        <v>PubMed</v>
      </c>
      <c r="V7307" s="50"/>
      <c r="W7307" s="49"/>
      <c r="X7307" s="49"/>
      <c r="Y7307" s="35"/>
      <c r="Z7307" s="35"/>
      <c r="AA7307" s="35"/>
      <c r="AB7307" s="35"/>
      <c r="AC7307" s="35"/>
      <c r="AD7307" s="35"/>
      <c r="AE7307" s="35"/>
      <c r="AF7307" s="35"/>
      <c r="AG7307" s="35"/>
      <c r="AH7307" s="35"/>
      <c r="AI7307" s="35"/>
      <c r="AJ7307" s="35"/>
      <c r="AK7307" s="35"/>
      <c r="AL7307" s="35"/>
    </row>
    <row r="7308">
      <c r="A7308" s="133"/>
      <c r="B7308" s="157" t="s">
        <v>33807</v>
      </c>
      <c r="C7308" s="158" t="s">
        <v>33879</v>
      </c>
      <c r="D7308" s="159"/>
      <c r="E7308" s="57" t="s">
        <v>33889</v>
      </c>
      <c r="F7308" s="23" t="s">
        <v>9748</v>
      </c>
      <c r="G7308" s="57">
        <v>1991.0</v>
      </c>
      <c r="H7308" s="57" t="s">
        <v>721</v>
      </c>
      <c r="I7308" s="134" t="s">
        <v>33890</v>
      </c>
      <c r="J7308" s="23" t="s">
        <v>55</v>
      </c>
      <c r="K7308" s="23"/>
      <c r="L7308" s="36">
        <v>633.0</v>
      </c>
      <c r="M7308" s="129">
        <v>42861.0</v>
      </c>
      <c r="N7308" s="36"/>
      <c r="O7308" s="36"/>
      <c r="P7308" s="37" t="s">
        <v>432</v>
      </c>
      <c r="Q7308" s="36"/>
      <c r="R7308" s="36">
        <v>75.0</v>
      </c>
      <c r="S7308" s="36">
        <v>15.0</v>
      </c>
      <c r="T7308" s="84" t="s">
        <v>33891</v>
      </c>
      <c r="U7308" s="250" t="str">
        <f>HYPERLINK("https://www.ncbi.nlm.nih.gov/pubmed/1883738","PubMed")</f>
        <v>PubMed</v>
      </c>
      <c r="V7308" s="50"/>
      <c r="W7308" s="49"/>
      <c r="X7308" s="49"/>
      <c r="Y7308" s="35"/>
      <c r="Z7308" s="35"/>
      <c r="AA7308" s="35"/>
      <c r="AB7308" s="35"/>
      <c r="AC7308" s="35"/>
      <c r="AD7308" s="35"/>
      <c r="AE7308" s="35"/>
      <c r="AF7308" s="35"/>
      <c r="AG7308" s="35"/>
      <c r="AH7308" s="35"/>
      <c r="AI7308" s="35"/>
      <c r="AJ7308" s="35"/>
      <c r="AK7308" s="35"/>
      <c r="AL7308" s="35"/>
    </row>
    <row r="7309">
      <c r="A7309" s="133"/>
      <c r="B7309" s="157" t="s">
        <v>33807</v>
      </c>
      <c r="C7309" s="158" t="s">
        <v>33892</v>
      </c>
      <c r="D7309" s="159"/>
      <c r="E7309" s="57" t="s">
        <v>33893</v>
      </c>
      <c r="F7309" s="23" t="s">
        <v>1337</v>
      </c>
      <c r="G7309" s="57">
        <v>1991.0</v>
      </c>
      <c r="H7309" s="57" t="s">
        <v>292</v>
      </c>
      <c r="I7309" s="134" t="s">
        <v>33894</v>
      </c>
      <c r="J7309" s="23" t="s">
        <v>55</v>
      </c>
      <c r="K7309" s="23"/>
      <c r="L7309" s="36">
        <v>904.0</v>
      </c>
      <c r="M7309" s="129"/>
      <c r="N7309" s="36"/>
      <c r="O7309" s="36"/>
      <c r="P7309" s="37" t="s">
        <v>33895</v>
      </c>
      <c r="Q7309" s="36"/>
      <c r="R7309" s="36"/>
      <c r="S7309" s="36"/>
      <c r="T7309" s="84" t="s">
        <v>33896</v>
      </c>
      <c r="U7309" s="250" t="str">
        <f>HYPERLINK("https://www.jstage.jst.go.jp/article/islsm/3/3/3_91-OR-18/_article/-char/en","J-STAGE")</f>
        <v>J-STAGE</v>
      </c>
      <c r="V7309" s="50"/>
      <c r="W7309" s="49"/>
      <c r="X7309" s="49"/>
      <c r="Y7309" s="35"/>
      <c r="Z7309" s="35"/>
      <c r="AA7309" s="35"/>
      <c r="AB7309" s="35"/>
      <c r="AC7309" s="35"/>
      <c r="AD7309" s="35"/>
      <c r="AE7309" s="35"/>
      <c r="AF7309" s="35"/>
      <c r="AG7309" s="35"/>
      <c r="AH7309" s="35"/>
      <c r="AI7309" s="35"/>
      <c r="AJ7309" s="35"/>
      <c r="AK7309" s="35"/>
      <c r="AL7309" s="35"/>
    </row>
    <row r="7310">
      <c r="A7310" s="133"/>
      <c r="B7310" s="157" t="s">
        <v>33807</v>
      </c>
      <c r="C7310" s="158" t="s">
        <v>33897</v>
      </c>
      <c r="D7310" s="159"/>
      <c r="E7310" s="57" t="s">
        <v>12090</v>
      </c>
      <c r="F7310" s="23" t="s">
        <v>1905</v>
      </c>
      <c r="G7310" s="57">
        <v>2021.0</v>
      </c>
      <c r="H7310" s="57" t="s">
        <v>77</v>
      </c>
      <c r="I7310" s="134" t="s">
        <v>33898</v>
      </c>
      <c r="J7310" s="23" t="s">
        <v>209</v>
      </c>
      <c r="K7310" s="23" t="s">
        <v>157</v>
      </c>
      <c r="L7310" s="36">
        <v>850.0</v>
      </c>
      <c r="M7310" s="129"/>
      <c r="N7310" s="36"/>
      <c r="O7310" s="36"/>
      <c r="P7310" s="37" t="s">
        <v>279</v>
      </c>
      <c r="Q7310" s="36"/>
      <c r="R7310" s="36"/>
      <c r="S7310" s="36"/>
      <c r="T7310" s="83" t="s">
        <v>33899</v>
      </c>
      <c r="U7310" s="248" t="s">
        <v>61</v>
      </c>
      <c r="V7310" s="50"/>
      <c r="W7310" s="49"/>
      <c r="X7310" s="49"/>
      <c r="Y7310" s="35"/>
      <c r="Z7310" s="35"/>
      <c r="AA7310" s="35"/>
      <c r="AB7310" s="35"/>
      <c r="AC7310" s="35"/>
      <c r="AD7310" s="35"/>
      <c r="AE7310" s="35"/>
      <c r="AF7310" s="35"/>
      <c r="AG7310" s="35"/>
      <c r="AH7310" s="35"/>
      <c r="AI7310" s="35"/>
      <c r="AJ7310" s="35"/>
      <c r="AK7310" s="35"/>
      <c r="AL7310" s="35"/>
    </row>
    <row r="7311">
      <c r="A7311" s="133"/>
      <c r="B7311" s="157" t="s">
        <v>33807</v>
      </c>
      <c r="C7311" s="158" t="s">
        <v>6783</v>
      </c>
      <c r="D7311" s="159"/>
      <c r="E7311" s="57" t="s">
        <v>493</v>
      </c>
      <c r="F7311" s="23" t="s">
        <v>299</v>
      </c>
      <c r="G7311" s="57">
        <v>2021.0</v>
      </c>
      <c r="H7311" s="57" t="s">
        <v>3963</v>
      </c>
      <c r="I7311" s="134" t="s">
        <v>33900</v>
      </c>
      <c r="J7311" s="22" t="s">
        <v>33901</v>
      </c>
      <c r="K7311" s="23" t="s">
        <v>33902</v>
      </c>
      <c r="L7311" s="36" t="s">
        <v>158</v>
      </c>
      <c r="M7311" s="36" t="s">
        <v>58</v>
      </c>
      <c r="N7311" s="36" t="s">
        <v>1018</v>
      </c>
      <c r="O7311" s="36" t="s">
        <v>58</v>
      </c>
      <c r="P7311" s="37" t="s">
        <v>58</v>
      </c>
      <c r="Q7311" s="36" t="s">
        <v>58</v>
      </c>
      <c r="R7311" s="36">
        <v>540.0</v>
      </c>
      <c r="S7311" s="36" t="s">
        <v>33903</v>
      </c>
      <c r="T7311" s="83" t="s">
        <v>33904</v>
      </c>
      <c r="U7311" s="248" t="s">
        <v>61</v>
      </c>
      <c r="V7311" s="30" t="s">
        <v>33905</v>
      </c>
      <c r="W7311" s="49"/>
      <c r="X7311" s="49"/>
      <c r="Y7311" s="35"/>
      <c r="Z7311" s="35"/>
      <c r="AA7311" s="35"/>
      <c r="AB7311" s="35"/>
      <c r="AC7311" s="35"/>
      <c r="AD7311" s="35"/>
      <c r="AE7311" s="35"/>
      <c r="AF7311" s="35"/>
      <c r="AG7311" s="35"/>
      <c r="AH7311" s="35"/>
      <c r="AI7311" s="35"/>
      <c r="AJ7311" s="35"/>
      <c r="AK7311" s="35"/>
      <c r="AL7311" s="35"/>
    </row>
    <row r="7312">
      <c r="A7312" s="40"/>
      <c r="B7312" s="19" t="s">
        <v>12008</v>
      </c>
      <c r="C7312" s="20" t="s">
        <v>33906</v>
      </c>
      <c r="D7312" s="159"/>
      <c r="E7312" s="57" t="s">
        <v>33907</v>
      </c>
      <c r="F7312" s="23" t="s">
        <v>2346</v>
      </c>
      <c r="G7312" s="57">
        <v>2020.0</v>
      </c>
      <c r="H7312" s="22" t="s">
        <v>4975</v>
      </c>
      <c r="I7312" s="134" t="s">
        <v>33908</v>
      </c>
      <c r="J7312" s="23" t="s">
        <v>33909</v>
      </c>
      <c r="K7312" s="23"/>
      <c r="L7312" s="36">
        <v>633.0</v>
      </c>
      <c r="M7312" s="36"/>
      <c r="N7312" s="36"/>
      <c r="O7312" s="36"/>
      <c r="P7312" s="37"/>
      <c r="Q7312" s="36"/>
      <c r="R7312" s="36"/>
      <c r="S7312" s="36"/>
      <c r="T7312" s="84" t="s">
        <v>33910</v>
      </c>
      <c r="U7312" s="250" t="str">
        <f>HYPERLINK("https://www.ncbi.nlm.nih.gov/pubmed/32119122","PubMed")</f>
        <v>PubMed</v>
      </c>
      <c r="V7312" s="50"/>
      <c r="W7312" s="49"/>
      <c r="X7312" s="49"/>
      <c r="Y7312" s="35"/>
      <c r="Z7312" s="35"/>
      <c r="AA7312" s="35"/>
      <c r="AB7312" s="35"/>
      <c r="AC7312" s="35"/>
      <c r="AD7312" s="35"/>
      <c r="AE7312" s="35"/>
      <c r="AF7312" s="35"/>
      <c r="AG7312" s="35"/>
      <c r="AH7312" s="35"/>
      <c r="AI7312" s="35"/>
      <c r="AJ7312" s="35"/>
      <c r="AK7312" s="35"/>
      <c r="AL7312" s="35"/>
    </row>
    <row r="7313">
      <c r="A7313" s="40"/>
      <c r="B7313" s="19" t="s">
        <v>12008</v>
      </c>
      <c r="C7313" s="20" t="s">
        <v>33911</v>
      </c>
      <c r="D7313" s="159"/>
      <c r="E7313" s="57" t="s">
        <v>3827</v>
      </c>
      <c r="F7313" s="23" t="s">
        <v>33912</v>
      </c>
      <c r="G7313" s="57">
        <v>2024.0</v>
      </c>
      <c r="H7313" s="22" t="s">
        <v>91</v>
      </c>
      <c r="I7313" s="134" t="s">
        <v>33913</v>
      </c>
      <c r="J7313" s="23" t="s">
        <v>44</v>
      </c>
      <c r="K7313" s="23" t="s">
        <v>5406</v>
      </c>
      <c r="L7313" s="36" t="s">
        <v>24845</v>
      </c>
      <c r="M7313" s="36">
        <v>100.0</v>
      </c>
      <c r="N7313" s="36"/>
      <c r="O7313" s="36" t="s">
        <v>24541</v>
      </c>
      <c r="P7313" s="37" t="s">
        <v>95</v>
      </c>
      <c r="Q7313" s="36"/>
      <c r="R7313" s="36"/>
      <c r="S7313" s="36" t="s">
        <v>33914</v>
      </c>
      <c r="T7313" s="83" t="s">
        <v>33915</v>
      </c>
      <c r="U7313" s="255" t="s">
        <v>61</v>
      </c>
      <c r="V7313" s="30"/>
      <c r="W7313" s="49"/>
      <c r="X7313" s="49"/>
      <c r="Y7313" s="35"/>
      <c r="Z7313" s="35"/>
      <c r="AA7313" s="35"/>
      <c r="AB7313" s="35"/>
      <c r="AC7313" s="35"/>
      <c r="AD7313" s="35"/>
      <c r="AE7313" s="35"/>
      <c r="AF7313" s="35"/>
      <c r="AG7313" s="35"/>
      <c r="AH7313" s="35"/>
      <c r="AI7313" s="35"/>
      <c r="AJ7313" s="35"/>
      <c r="AK7313" s="35"/>
      <c r="AL7313" s="35"/>
    </row>
    <row r="7314">
      <c r="A7314" s="40"/>
      <c r="B7314" s="19" t="s">
        <v>12008</v>
      </c>
      <c r="C7314" s="20" t="s">
        <v>5686</v>
      </c>
      <c r="D7314" s="159"/>
      <c r="E7314" s="57" t="s">
        <v>88</v>
      </c>
      <c r="F7314" s="23" t="s">
        <v>41</v>
      </c>
      <c r="G7314" s="57">
        <v>2024.0</v>
      </c>
      <c r="H7314" s="22" t="s">
        <v>28521</v>
      </c>
      <c r="I7314" s="134" t="s">
        <v>33916</v>
      </c>
      <c r="J7314" s="23" t="s">
        <v>31</v>
      </c>
      <c r="K7314" s="23"/>
      <c r="L7314" s="36">
        <v>660.0</v>
      </c>
      <c r="M7314" s="36"/>
      <c r="N7314" s="36"/>
      <c r="O7314" s="36"/>
      <c r="P7314" s="37"/>
      <c r="Q7314" s="36"/>
      <c r="R7314" s="36"/>
      <c r="S7314" s="36"/>
      <c r="T7314" s="83" t="s">
        <v>33917</v>
      </c>
      <c r="U7314" s="255" t="s">
        <v>61</v>
      </c>
      <c r="V7314" s="30"/>
      <c r="W7314" s="49"/>
      <c r="X7314" s="49"/>
      <c r="Y7314" s="35"/>
      <c r="Z7314" s="35"/>
      <c r="AA7314" s="35"/>
      <c r="AB7314" s="35"/>
      <c r="AC7314" s="35"/>
      <c r="AD7314" s="35"/>
      <c r="AE7314" s="35"/>
      <c r="AF7314" s="35"/>
      <c r="AG7314" s="35"/>
      <c r="AH7314" s="35"/>
      <c r="AI7314" s="35"/>
      <c r="AJ7314" s="35"/>
      <c r="AK7314" s="35"/>
      <c r="AL7314" s="35"/>
    </row>
    <row r="7315">
      <c r="A7315" s="40"/>
      <c r="B7315" s="19" t="s">
        <v>12008</v>
      </c>
      <c r="C7315" s="20" t="s">
        <v>5686</v>
      </c>
      <c r="D7315" s="159"/>
      <c r="E7315" s="57" t="s">
        <v>17005</v>
      </c>
      <c r="F7315" s="23" t="s">
        <v>21142</v>
      </c>
      <c r="G7315" s="57">
        <v>2023.0</v>
      </c>
      <c r="H7315" s="22" t="s">
        <v>33918</v>
      </c>
      <c r="I7315" s="134" t="s">
        <v>33919</v>
      </c>
      <c r="J7315" s="23" t="s">
        <v>33920</v>
      </c>
      <c r="K7315" s="23"/>
      <c r="L7315" s="36" t="s">
        <v>33921</v>
      </c>
      <c r="M7315" s="36"/>
      <c r="N7315" s="36"/>
      <c r="O7315" s="36"/>
      <c r="P7315" s="37" t="s">
        <v>254</v>
      </c>
      <c r="Q7315" s="36"/>
      <c r="R7315" s="36" t="s">
        <v>13099</v>
      </c>
      <c r="S7315" s="36"/>
      <c r="T7315" s="83" t="s">
        <v>33922</v>
      </c>
      <c r="U7315" s="255" t="s">
        <v>61</v>
      </c>
      <c r="V7315" s="30"/>
      <c r="W7315" s="49"/>
      <c r="X7315" s="49"/>
      <c r="Y7315" s="35"/>
      <c r="Z7315" s="35"/>
      <c r="AA7315" s="35"/>
      <c r="AB7315" s="35"/>
      <c r="AC7315" s="35"/>
      <c r="AD7315" s="35"/>
      <c r="AE7315" s="35"/>
      <c r="AF7315" s="35"/>
      <c r="AG7315" s="35"/>
      <c r="AH7315" s="35"/>
      <c r="AI7315" s="35"/>
      <c r="AJ7315" s="35"/>
      <c r="AK7315" s="35"/>
      <c r="AL7315" s="35"/>
    </row>
    <row r="7316">
      <c r="A7316" s="40"/>
      <c r="B7316" s="19" t="s">
        <v>12008</v>
      </c>
      <c r="C7316" s="20" t="s">
        <v>5686</v>
      </c>
      <c r="D7316" s="159"/>
      <c r="E7316" s="57" t="s">
        <v>7700</v>
      </c>
      <c r="F7316" s="23" t="s">
        <v>12205</v>
      </c>
      <c r="G7316" s="57">
        <v>2023.0</v>
      </c>
      <c r="H7316" s="22" t="s">
        <v>91</v>
      </c>
      <c r="I7316" s="134" t="s">
        <v>33923</v>
      </c>
      <c r="J7316" s="23" t="s">
        <v>44</v>
      </c>
      <c r="K7316" s="23" t="s">
        <v>31019</v>
      </c>
      <c r="L7316" s="36">
        <v>945.0</v>
      </c>
      <c r="M7316" s="36">
        <v>120.0</v>
      </c>
      <c r="N7316" s="36" t="s">
        <v>58</v>
      </c>
      <c r="O7316" s="36" t="s">
        <v>33924</v>
      </c>
      <c r="P7316" s="37" t="s">
        <v>969</v>
      </c>
      <c r="Q7316" s="36" t="s">
        <v>33925</v>
      </c>
      <c r="R7316" s="36">
        <v>30.0</v>
      </c>
      <c r="S7316" s="36">
        <v>1.0</v>
      </c>
      <c r="T7316" s="83" t="s">
        <v>33926</v>
      </c>
      <c r="U7316" s="255" t="s">
        <v>61</v>
      </c>
      <c r="V7316" s="30" t="s">
        <v>33927</v>
      </c>
      <c r="W7316" s="49"/>
      <c r="X7316" s="49"/>
      <c r="Y7316" s="35"/>
      <c r="Z7316" s="35"/>
      <c r="AA7316" s="35"/>
      <c r="AB7316" s="35"/>
      <c r="AC7316" s="35"/>
      <c r="AD7316" s="35"/>
      <c r="AE7316" s="35"/>
      <c r="AF7316" s="35"/>
      <c r="AG7316" s="35"/>
      <c r="AH7316" s="35"/>
      <c r="AI7316" s="35"/>
      <c r="AJ7316" s="35"/>
      <c r="AK7316" s="35"/>
      <c r="AL7316" s="35"/>
    </row>
    <row r="7317">
      <c r="A7317" s="40"/>
      <c r="B7317" s="19" t="s">
        <v>12008</v>
      </c>
      <c r="C7317" s="20" t="s">
        <v>5686</v>
      </c>
      <c r="D7317" s="159"/>
      <c r="E7317" s="57" t="s">
        <v>3827</v>
      </c>
      <c r="F7317" s="23" t="s">
        <v>33912</v>
      </c>
      <c r="G7317" s="57">
        <v>2023.0</v>
      </c>
      <c r="H7317" s="22" t="s">
        <v>5684</v>
      </c>
      <c r="I7317" s="134" t="s">
        <v>33928</v>
      </c>
      <c r="J7317" s="23" t="s">
        <v>44</v>
      </c>
      <c r="K7317" s="23" t="s">
        <v>294</v>
      </c>
      <c r="L7317" s="36" t="s">
        <v>24845</v>
      </c>
      <c r="M7317" s="36">
        <v>100.0</v>
      </c>
      <c r="N7317" s="36">
        <v>1.0</v>
      </c>
      <c r="O7317" s="36" t="s">
        <v>58</v>
      </c>
      <c r="P7317" s="37" t="s">
        <v>95</v>
      </c>
      <c r="Q7317" s="36" t="s">
        <v>1476</v>
      </c>
      <c r="R7317" s="36" t="s">
        <v>132</v>
      </c>
      <c r="S7317" s="36" t="s">
        <v>33929</v>
      </c>
      <c r="T7317" s="83" t="s">
        <v>33930</v>
      </c>
      <c r="U7317" s="255" t="s">
        <v>61</v>
      </c>
      <c r="V7317" s="50"/>
      <c r="W7317" s="49"/>
      <c r="X7317" s="49"/>
      <c r="Y7317" s="35"/>
      <c r="Z7317" s="35"/>
      <c r="AA7317" s="35"/>
      <c r="AB7317" s="35"/>
      <c r="AC7317" s="35"/>
      <c r="AD7317" s="35"/>
      <c r="AE7317" s="35"/>
      <c r="AF7317" s="35"/>
      <c r="AG7317" s="35"/>
      <c r="AH7317" s="35"/>
      <c r="AI7317" s="35"/>
      <c r="AJ7317" s="35"/>
      <c r="AK7317" s="35"/>
      <c r="AL7317" s="35"/>
    </row>
    <row r="7318">
      <c r="A7318" s="40"/>
      <c r="B7318" s="19" t="s">
        <v>12008</v>
      </c>
      <c r="C7318" s="20" t="s">
        <v>5686</v>
      </c>
      <c r="D7318" s="159"/>
      <c r="E7318" s="57" t="s">
        <v>1304</v>
      </c>
      <c r="F7318" s="23" t="s">
        <v>41</v>
      </c>
      <c r="G7318" s="57">
        <v>2022.0</v>
      </c>
      <c r="H7318" s="22" t="s">
        <v>5684</v>
      </c>
      <c r="I7318" s="134" t="s">
        <v>33931</v>
      </c>
      <c r="J7318" s="23" t="s">
        <v>44</v>
      </c>
      <c r="K7318" s="23"/>
      <c r="L7318" s="36">
        <v>660.0</v>
      </c>
      <c r="M7318" s="36">
        <v>100.0</v>
      </c>
      <c r="N7318" s="36" t="s">
        <v>18811</v>
      </c>
      <c r="O7318" s="129"/>
      <c r="P7318" s="37" t="s">
        <v>254</v>
      </c>
      <c r="Q7318" s="36" t="s">
        <v>419</v>
      </c>
      <c r="R7318" s="36">
        <v>40.0</v>
      </c>
      <c r="S7318" s="36">
        <v>1.0</v>
      </c>
      <c r="T7318" s="83" t="s">
        <v>33932</v>
      </c>
      <c r="U7318" s="255" t="s">
        <v>61</v>
      </c>
      <c r="V7318" s="50"/>
      <c r="W7318" s="49"/>
      <c r="X7318" s="49"/>
      <c r="Y7318" s="35"/>
      <c r="Z7318" s="35"/>
      <c r="AA7318" s="35"/>
      <c r="AB7318" s="35"/>
      <c r="AC7318" s="35"/>
      <c r="AD7318" s="35"/>
      <c r="AE7318" s="35"/>
      <c r="AF7318" s="35"/>
      <c r="AG7318" s="35"/>
      <c r="AH7318" s="35"/>
      <c r="AI7318" s="35"/>
      <c r="AJ7318" s="35"/>
      <c r="AK7318" s="35"/>
      <c r="AL7318" s="35"/>
    </row>
    <row r="7319">
      <c r="A7319" s="40"/>
      <c r="B7319" s="19" t="s">
        <v>12008</v>
      </c>
      <c r="C7319" s="20" t="s">
        <v>5686</v>
      </c>
      <c r="D7319" s="159"/>
      <c r="E7319" s="57" t="s">
        <v>16578</v>
      </c>
      <c r="F7319" s="23" t="s">
        <v>12205</v>
      </c>
      <c r="G7319" s="57">
        <v>2022.0</v>
      </c>
      <c r="H7319" s="22" t="s">
        <v>960</v>
      </c>
      <c r="I7319" s="134" t="s">
        <v>33933</v>
      </c>
      <c r="J7319" s="23" t="s">
        <v>31</v>
      </c>
      <c r="K7319" s="23" t="s">
        <v>157</v>
      </c>
      <c r="L7319" s="36">
        <v>945.0</v>
      </c>
      <c r="M7319" s="36">
        <v>120.0</v>
      </c>
      <c r="N7319" s="36"/>
      <c r="O7319" s="129">
        <v>44715.0</v>
      </c>
      <c r="P7319" s="37" t="s">
        <v>969</v>
      </c>
      <c r="Q7319" s="36" t="s">
        <v>2992</v>
      </c>
      <c r="R7319" s="36">
        <v>30.0</v>
      </c>
      <c r="S7319" s="36">
        <v>1.0</v>
      </c>
      <c r="T7319" s="83" t="s">
        <v>33934</v>
      </c>
      <c r="U7319" s="255" t="s">
        <v>61</v>
      </c>
      <c r="V7319" s="50"/>
      <c r="W7319" s="49"/>
      <c r="X7319" s="49"/>
      <c r="Y7319" s="35"/>
      <c r="Z7319" s="35"/>
      <c r="AA7319" s="35"/>
      <c r="AB7319" s="35"/>
      <c r="AC7319" s="35"/>
      <c r="AD7319" s="35"/>
      <c r="AE7319" s="35"/>
      <c r="AF7319" s="35"/>
      <c r="AG7319" s="35"/>
      <c r="AH7319" s="35"/>
      <c r="AI7319" s="35"/>
      <c r="AJ7319" s="35"/>
      <c r="AK7319" s="35"/>
      <c r="AL7319" s="35"/>
    </row>
    <row r="7320">
      <c r="A7320" s="40"/>
      <c r="B7320" s="19" t="s">
        <v>12008</v>
      </c>
      <c r="C7320" s="20" t="s">
        <v>5686</v>
      </c>
      <c r="D7320" s="159"/>
      <c r="E7320" s="57" t="s">
        <v>9028</v>
      </c>
      <c r="F7320" s="23" t="s">
        <v>1034</v>
      </c>
      <c r="G7320" s="57">
        <v>2021.0</v>
      </c>
      <c r="H7320" s="22" t="s">
        <v>3950</v>
      </c>
      <c r="I7320" s="134" t="s">
        <v>33935</v>
      </c>
      <c r="J7320" s="23" t="s">
        <v>55</v>
      </c>
      <c r="K7320" s="23"/>
      <c r="L7320" s="36">
        <v>904.0</v>
      </c>
      <c r="M7320" s="36">
        <v>35.0</v>
      </c>
      <c r="N7320" s="36" t="s">
        <v>6712</v>
      </c>
      <c r="O7320" s="36" t="s">
        <v>1439</v>
      </c>
      <c r="P7320" s="37" t="s">
        <v>254</v>
      </c>
      <c r="Q7320" s="36" t="s">
        <v>33936</v>
      </c>
      <c r="R7320" s="36">
        <v>18.0</v>
      </c>
      <c r="S7320" s="36"/>
      <c r="T7320" s="83" t="s">
        <v>33937</v>
      </c>
      <c r="U7320" s="248" t="s">
        <v>61</v>
      </c>
      <c r="V7320" s="50"/>
      <c r="W7320" s="49"/>
      <c r="X7320" s="49"/>
      <c r="Y7320" s="35"/>
      <c r="Z7320" s="35"/>
      <c r="AA7320" s="35"/>
      <c r="AB7320" s="35"/>
      <c r="AC7320" s="35"/>
      <c r="AD7320" s="35"/>
      <c r="AE7320" s="35"/>
      <c r="AF7320" s="35"/>
      <c r="AG7320" s="35"/>
      <c r="AH7320" s="35"/>
      <c r="AI7320" s="35"/>
      <c r="AJ7320" s="35"/>
      <c r="AK7320" s="35"/>
      <c r="AL7320" s="35"/>
    </row>
    <row r="7321">
      <c r="A7321" s="40"/>
      <c r="B7321" s="19" t="s">
        <v>12008</v>
      </c>
      <c r="C7321" s="20" t="s">
        <v>5686</v>
      </c>
      <c r="D7321" s="159"/>
      <c r="E7321" s="57" t="s">
        <v>3309</v>
      </c>
      <c r="F7321" s="23" t="s">
        <v>237</v>
      </c>
      <c r="G7321" s="57">
        <v>2021.0</v>
      </c>
      <c r="H7321" s="22" t="s">
        <v>3950</v>
      </c>
      <c r="I7321" s="134" t="s">
        <v>33938</v>
      </c>
      <c r="J7321" s="23" t="s">
        <v>44</v>
      </c>
      <c r="K7321" s="23"/>
      <c r="L7321" s="36">
        <v>904.0</v>
      </c>
      <c r="M7321" s="36"/>
      <c r="N7321" s="36"/>
      <c r="O7321" s="36"/>
      <c r="P7321" s="37"/>
      <c r="Q7321" s="36"/>
      <c r="R7321" s="36"/>
      <c r="S7321" s="36"/>
      <c r="T7321" s="83" t="s">
        <v>33939</v>
      </c>
      <c r="U7321" s="248" t="s">
        <v>61</v>
      </c>
      <c r="V7321" s="50"/>
      <c r="W7321" s="49"/>
      <c r="X7321" s="49"/>
      <c r="Y7321" s="35"/>
      <c r="Z7321" s="35"/>
      <c r="AA7321" s="35"/>
      <c r="AB7321" s="35"/>
      <c r="AC7321" s="35"/>
      <c r="AD7321" s="35"/>
      <c r="AE7321" s="35"/>
      <c r="AF7321" s="35"/>
      <c r="AG7321" s="35"/>
      <c r="AH7321" s="35"/>
      <c r="AI7321" s="35"/>
      <c r="AJ7321" s="35"/>
      <c r="AK7321" s="35"/>
      <c r="AL7321" s="35"/>
    </row>
    <row r="7322">
      <c r="A7322" s="40"/>
      <c r="B7322" s="19" t="s">
        <v>12008</v>
      </c>
      <c r="C7322" s="20" t="s">
        <v>5686</v>
      </c>
      <c r="D7322" s="159"/>
      <c r="E7322" s="57" t="s">
        <v>33940</v>
      </c>
      <c r="F7322" s="23" t="s">
        <v>183</v>
      </c>
      <c r="G7322" s="57">
        <v>2021.0</v>
      </c>
      <c r="H7322" s="22" t="s">
        <v>207</v>
      </c>
      <c r="I7322" s="134" t="s">
        <v>33941</v>
      </c>
      <c r="J7322" s="23" t="s">
        <v>44</v>
      </c>
      <c r="K7322" s="23"/>
      <c r="L7322" s="36" t="s">
        <v>1750</v>
      </c>
      <c r="M7322" s="36" t="s">
        <v>33942</v>
      </c>
      <c r="N7322" s="36" t="s">
        <v>33943</v>
      </c>
      <c r="O7322" s="36" t="s">
        <v>33944</v>
      </c>
      <c r="P7322" s="37" t="s">
        <v>33945</v>
      </c>
      <c r="Q7322" s="36"/>
      <c r="R7322" s="36" t="s">
        <v>33946</v>
      </c>
      <c r="S7322" s="36"/>
      <c r="T7322" s="83" t="s">
        <v>33947</v>
      </c>
      <c r="U7322" s="248" t="s">
        <v>61</v>
      </c>
      <c r="V7322" s="50"/>
      <c r="W7322" s="49"/>
      <c r="X7322" s="49"/>
      <c r="Y7322" s="35"/>
      <c r="Z7322" s="35"/>
      <c r="AA7322" s="35"/>
      <c r="AB7322" s="35"/>
      <c r="AC7322" s="35"/>
      <c r="AD7322" s="35"/>
      <c r="AE7322" s="35"/>
      <c r="AF7322" s="35"/>
      <c r="AG7322" s="35"/>
      <c r="AH7322" s="35"/>
      <c r="AI7322" s="35"/>
      <c r="AJ7322" s="35"/>
      <c r="AK7322" s="35"/>
      <c r="AL7322" s="35"/>
    </row>
    <row r="7323">
      <c r="A7323" s="40"/>
      <c r="B7323" s="19" t="s">
        <v>12008</v>
      </c>
      <c r="C7323" s="20" t="s">
        <v>5686</v>
      </c>
      <c r="D7323" s="159"/>
      <c r="E7323" s="57" t="s">
        <v>444</v>
      </c>
      <c r="F7323" s="23" t="s">
        <v>12205</v>
      </c>
      <c r="G7323" s="57">
        <v>2021.0</v>
      </c>
      <c r="H7323" s="22" t="s">
        <v>33948</v>
      </c>
      <c r="I7323" s="134" t="s">
        <v>33949</v>
      </c>
      <c r="J7323" s="23" t="s">
        <v>31</v>
      </c>
      <c r="K7323" s="23" t="s">
        <v>157</v>
      </c>
      <c r="L7323" s="36">
        <v>945.0</v>
      </c>
      <c r="M7323" s="36">
        <v>120.0</v>
      </c>
      <c r="N7323" s="36" t="s">
        <v>58</v>
      </c>
      <c r="O7323" s="36" t="s">
        <v>33950</v>
      </c>
      <c r="P7323" s="37" t="s">
        <v>969</v>
      </c>
      <c r="Q7323" s="36" t="s">
        <v>33925</v>
      </c>
      <c r="R7323" s="36">
        <v>30.0</v>
      </c>
      <c r="S7323" s="36">
        <v>1.0</v>
      </c>
      <c r="T7323" s="83" t="s">
        <v>33951</v>
      </c>
      <c r="U7323" s="248" t="s">
        <v>61</v>
      </c>
      <c r="V7323" s="30" t="s">
        <v>33952</v>
      </c>
      <c r="W7323" s="49"/>
      <c r="X7323" s="49"/>
      <c r="Y7323" s="35"/>
      <c r="Z7323" s="35"/>
      <c r="AA7323" s="35"/>
      <c r="AB7323" s="35"/>
      <c r="AC7323" s="35"/>
      <c r="AD7323" s="35"/>
      <c r="AE7323" s="35"/>
      <c r="AF7323" s="35"/>
      <c r="AG7323" s="35"/>
      <c r="AH7323" s="35"/>
      <c r="AI7323" s="35"/>
      <c r="AJ7323" s="35"/>
      <c r="AK7323" s="35"/>
      <c r="AL7323" s="35"/>
    </row>
    <row r="7324">
      <c r="A7324" s="40"/>
      <c r="B7324" s="19" t="s">
        <v>12008</v>
      </c>
      <c r="C7324" s="20" t="s">
        <v>5686</v>
      </c>
      <c r="D7324" s="159"/>
      <c r="E7324" s="57" t="s">
        <v>33953</v>
      </c>
      <c r="F7324" s="23" t="s">
        <v>41</v>
      </c>
      <c r="G7324" s="57">
        <v>2019.0</v>
      </c>
      <c r="H7324" s="22" t="s">
        <v>91</v>
      </c>
      <c r="I7324" s="134" t="s">
        <v>33954</v>
      </c>
      <c r="J7324" s="23" t="s">
        <v>31</v>
      </c>
      <c r="K7324" s="23"/>
      <c r="L7324" s="36">
        <v>660.0</v>
      </c>
      <c r="M7324" s="36">
        <v>10.0</v>
      </c>
      <c r="N7324" s="36"/>
      <c r="O7324" s="36"/>
      <c r="P7324" s="37" t="s">
        <v>33955</v>
      </c>
      <c r="Q7324" s="36" t="s">
        <v>31000</v>
      </c>
      <c r="R7324" s="36">
        <v>20.0</v>
      </c>
      <c r="S7324" s="36"/>
      <c r="T7324" s="83" t="s">
        <v>33956</v>
      </c>
      <c r="U7324" s="250" t="str">
        <f>HYPERLINK("https://www.ncbi.nlm.nih.gov/pubmed/31754908","PubMed")</f>
        <v>PubMed</v>
      </c>
      <c r="V7324" s="50"/>
      <c r="W7324" s="49"/>
      <c r="X7324" s="49"/>
      <c r="Y7324" s="35"/>
      <c r="Z7324" s="35"/>
      <c r="AA7324" s="35"/>
      <c r="AB7324" s="35"/>
      <c r="AC7324" s="35"/>
      <c r="AD7324" s="35"/>
      <c r="AE7324" s="35"/>
      <c r="AF7324" s="35"/>
      <c r="AG7324" s="35"/>
      <c r="AH7324" s="35"/>
      <c r="AI7324" s="35"/>
      <c r="AJ7324" s="35"/>
      <c r="AK7324" s="35"/>
      <c r="AL7324" s="35"/>
    </row>
    <row r="7325">
      <c r="A7325" s="40"/>
      <c r="B7325" s="19" t="s">
        <v>12008</v>
      </c>
      <c r="C7325" s="20" t="s">
        <v>5686</v>
      </c>
      <c r="D7325" s="159"/>
      <c r="E7325" s="57" t="s">
        <v>33957</v>
      </c>
      <c r="F7325" s="23" t="s">
        <v>12205</v>
      </c>
      <c r="G7325" s="57">
        <v>2019.0</v>
      </c>
      <c r="H7325" s="22" t="s">
        <v>5684</v>
      </c>
      <c r="I7325" s="134" t="s">
        <v>33958</v>
      </c>
      <c r="J7325" s="23" t="s">
        <v>31</v>
      </c>
      <c r="K7325" s="23" t="s">
        <v>157</v>
      </c>
      <c r="L7325" s="36">
        <v>945.0</v>
      </c>
      <c r="M7325" s="36">
        <v>120.0</v>
      </c>
      <c r="N7325" s="36"/>
      <c r="O7325" s="36" t="s">
        <v>33741</v>
      </c>
      <c r="P7325" s="37" t="s">
        <v>969</v>
      </c>
      <c r="Q7325" s="36" t="s">
        <v>33925</v>
      </c>
      <c r="R7325" s="36">
        <v>30.0</v>
      </c>
      <c r="S7325" s="36"/>
      <c r="T7325" s="83" t="s">
        <v>33959</v>
      </c>
      <c r="U7325" s="250" t="str">
        <f>HYPERLINK("https://www.ncbi.nlm.nih.gov/pubmed/31693915","PubMed")</f>
        <v>PubMed</v>
      </c>
      <c r="V7325" s="50"/>
      <c r="W7325" s="49"/>
      <c r="X7325" s="49"/>
      <c r="Y7325" s="35"/>
      <c r="Z7325" s="35"/>
      <c r="AA7325" s="35"/>
      <c r="AB7325" s="35"/>
      <c r="AC7325" s="35"/>
      <c r="AD7325" s="35"/>
      <c r="AE7325" s="35"/>
      <c r="AF7325" s="35"/>
      <c r="AG7325" s="35"/>
      <c r="AH7325" s="35"/>
      <c r="AI7325" s="35"/>
      <c r="AJ7325" s="35"/>
      <c r="AK7325" s="35"/>
      <c r="AL7325" s="35"/>
    </row>
    <row r="7326">
      <c r="A7326" s="40" t="s">
        <v>2</v>
      </c>
      <c r="B7326" s="19" t="s">
        <v>12008</v>
      </c>
      <c r="C7326" s="20" t="s">
        <v>5686</v>
      </c>
      <c r="D7326" s="159"/>
      <c r="E7326" s="57" t="s">
        <v>10615</v>
      </c>
      <c r="F7326" s="23" t="s">
        <v>41</v>
      </c>
      <c r="G7326" s="57">
        <v>2018.0</v>
      </c>
      <c r="H7326" s="22" t="s">
        <v>5684</v>
      </c>
      <c r="I7326" s="134" t="s">
        <v>33960</v>
      </c>
      <c r="J7326" s="23" t="s">
        <v>44</v>
      </c>
      <c r="K7326" s="23" t="s">
        <v>1684</v>
      </c>
      <c r="L7326" s="36" t="s">
        <v>28528</v>
      </c>
      <c r="M7326" s="36" t="s">
        <v>28529</v>
      </c>
      <c r="N7326" s="36"/>
      <c r="O7326" s="36"/>
      <c r="P7326" s="37" t="s">
        <v>944</v>
      </c>
      <c r="Q7326" s="36" t="s">
        <v>2992</v>
      </c>
      <c r="R7326" s="36" t="s">
        <v>33961</v>
      </c>
      <c r="S7326" s="36" t="s">
        <v>17077</v>
      </c>
      <c r="T7326" s="83" t="s">
        <v>33962</v>
      </c>
      <c r="U7326" s="250" t="str">
        <f>HYPERLINK("https://www.ncbi.nlm.nih.gov/pubmed/30081063","PubMed")</f>
        <v>PubMed</v>
      </c>
      <c r="V7326" s="50"/>
      <c r="W7326" s="49"/>
      <c r="X7326" s="49"/>
      <c r="Y7326" s="35"/>
      <c r="Z7326" s="35"/>
      <c r="AA7326" s="35"/>
      <c r="AB7326" s="35"/>
      <c r="AC7326" s="35"/>
      <c r="AD7326" s="35"/>
      <c r="AE7326" s="35"/>
      <c r="AF7326" s="35"/>
      <c r="AG7326" s="35"/>
      <c r="AH7326" s="35"/>
      <c r="AI7326" s="35"/>
      <c r="AJ7326" s="35"/>
      <c r="AK7326" s="35"/>
      <c r="AL7326" s="35"/>
    </row>
    <row r="7327">
      <c r="A7327" s="1"/>
      <c r="B7327" s="19" t="s">
        <v>12008</v>
      </c>
      <c r="C7327" s="20" t="s">
        <v>5686</v>
      </c>
      <c r="D7327" s="21"/>
      <c r="E7327" s="22" t="s">
        <v>88</v>
      </c>
      <c r="F7327" s="22" t="s">
        <v>400</v>
      </c>
      <c r="G7327" s="23">
        <v>2018.0</v>
      </c>
      <c r="H7327" s="22" t="s">
        <v>5684</v>
      </c>
      <c r="I7327" s="24" t="s">
        <v>33963</v>
      </c>
      <c r="J7327" s="22" t="s">
        <v>666</v>
      </c>
      <c r="K7327" s="22"/>
      <c r="L7327" s="43" t="s">
        <v>33964</v>
      </c>
      <c r="M7327" s="44"/>
      <c r="N7327" s="44"/>
      <c r="O7327" s="44"/>
      <c r="P7327" s="44"/>
      <c r="Q7327" s="44"/>
      <c r="R7327" s="44"/>
      <c r="S7327" s="44"/>
      <c r="T7327" s="45"/>
      <c r="U7327" s="38" t="str">
        <f>HYPERLINK("https://www.ncbi.nlm.nih.gov/pubmed/30025889","PubMed")</f>
        <v>PubMed</v>
      </c>
      <c r="V7327" s="30"/>
      <c r="W7327" s="49"/>
      <c r="X7327" s="49"/>
      <c r="Y7327" s="35"/>
      <c r="Z7327" s="35"/>
      <c r="AA7327" s="35"/>
      <c r="AB7327" s="35"/>
      <c r="AC7327" s="35"/>
      <c r="AD7327" s="35"/>
      <c r="AE7327" s="35"/>
      <c r="AF7327" s="35"/>
      <c r="AG7327" s="35"/>
      <c r="AH7327" s="35"/>
      <c r="AI7327" s="35"/>
      <c r="AJ7327" s="35"/>
      <c r="AK7327" s="35"/>
      <c r="AL7327" s="35"/>
    </row>
    <row r="7328">
      <c r="A7328" s="1"/>
      <c r="B7328" s="19" t="s">
        <v>12008</v>
      </c>
      <c r="C7328" s="20" t="s">
        <v>5686</v>
      </c>
      <c r="D7328" s="21"/>
      <c r="E7328" s="22" t="s">
        <v>3309</v>
      </c>
      <c r="F7328" s="22" t="s">
        <v>237</v>
      </c>
      <c r="G7328" s="23" t="s">
        <v>90</v>
      </c>
      <c r="H7328" s="22" t="s">
        <v>91</v>
      </c>
      <c r="I7328" s="24" t="s">
        <v>33965</v>
      </c>
      <c r="J7328" s="22" t="s">
        <v>44</v>
      </c>
      <c r="K7328" s="22"/>
      <c r="L7328" s="36">
        <v>904.0</v>
      </c>
      <c r="M7328" s="36"/>
      <c r="N7328" s="36"/>
      <c r="O7328" s="36"/>
      <c r="P7328" s="37" t="s">
        <v>254</v>
      </c>
      <c r="Q7328" s="36"/>
      <c r="R7328" s="36"/>
      <c r="S7328" s="36">
        <v>4.0</v>
      </c>
      <c r="T7328" s="28" t="s">
        <v>33966</v>
      </c>
      <c r="U7328" s="38" t="str">
        <f>HYPERLINK("https://www.ncbi.nlm.nih.gov/pubmed/29181643","PubMed")</f>
        <v>PubMed</v>
      </c>
      <c r="V7328" s="30"/>
      <c r="W7328" s="49"/>
      <c r="X7328" s="49"/>
      <c r="Y7328" s="35"/>
      <c r="Z7328" s="35"/>
      <c r="AA7328" s="35"/>
      <c r="AB7328" s="35"/>
      <c r="AC7328" s="35"/>
      <c r="AD7328" s="35"/>
      <c r="AE7328" s="35"/>
      <c r="AF7328" s="35"/>
      <c r="AG7328" s="35"/>
      <c r="AH7328" s="35"/>
      <c r="AI7328" s="35"/>
      <c r="AJ7328" s="35"/>
      <c r="AK7328" s="35"/>
      <c r="AL7328" s="35"/>
    </row>
    <row r="7329">
      <c r="A7329" s="1"/>
      <c r="B7329" s="19" t="s">
        <v>12008</v>
      </c>
      <c r="C7329" s="20" t="s">
        <v>5686</v>
      </c>
      <c r="D7329" s="21"/>
      <c r="E7329" s="22" t="s">
        <v>450</v>
      </c>
      <c r="F7329" s="22" t="s">
        <v>41</v>
      </c>
      <c r="G7329" s="23">
        <v>2017.0</v>
      </c>
      <c r="H7329" s="22" t="s">
        <v>33967</v>
      </c>
      <c r="I7329" s="24" t="s">
        <v>33968</v>
      </c>
      <c r="J7329" s="22" t="s">
        <v>33969</v>
      </c>
      <c r="K7329" s="22" t="s">
        <v>33970</v>
      </c>
      <c r="L7329" s="36">
        <v>685.0</v>
      </c>
      <c r="M7329" s="36"/>
      <c r="N7329" s="36"/>
      <c r="O7329" s="36"/>
      <c r="P7329" s="37" t="s">
        <v>15926</v>
      </c>
      <c r="Q7329" s="36"/>
      <c r="R7329" s="36"/>
      <c r="S7329" s="36"/>
      <c r="T7329" s="28" t="s">
        <v>33971</v>
      </c>
      <c r="U7329" s="38" t="str">
        <f>HYPERLINK("https://www.ncbi.nlm.nih.gov/pubmed/29037876","PubMed")</f>
        <v>PubMed</v>
      </c>
      <c r="V7329" s="30"/>
      <c r="W7329" s="49"/>
      <c r="X7329" s="49"/>
      <c r="Y7329" s="35"/>
      <c r="Z7329" s="35"/>
      <c r="AA7329" s="35"/>
      <c r="AB7329" s="35"/>
      <c r="AC7329" s="35"/>
      <c r="AD7329" s="35"/>
      <c r="AE7329" s="35"/>
      <c r="AF7329" s="35"/>
      <c r="AG7329" s="35"/>
      <c r="AH7329" s="35"/>
      <c r="AI7329" s="35"/>
      <c r="AJ7329" s="35"/>
      <c r="AK7329" s="35"/>
      <c r="AL7329" s="35"/>
    </row>
    <row r="7330">
      <c r="A7330" s="1" t="s">
        <v>181</v>
      </c>
      <c r="B7330" s="19" t="s">
        <v>12008</v>
      </c>
      <c r="C7330" s="20" t="s">
        <v>5686</v>
      </c>
      <c r="D7330" s="21"/>
      <c r="E7330" s="22" t="s">
        <v>9028</v>
      </c>
      <c r="F7330" s="22" t="s">
        <v>1034</v>
      </c>
      <c r="G7330" s="23" t="s">
        <v>90</v>
      </c>
      <c r="H7330" s="22" t="s">
        <v>91</v>
      </c>
      <c r="I7330" s="24" t="s">
        <v>33972</v>
      </c>
      <c r="J7330" s="22" t="s">
        <v>44</v>
      </c>
      <c r="K7330" s="22" t="s">
        <v>294</v>
      </c>
      <c r="L7330" s="36" t="s">
        <v>33480</v>
      </c>
      <c r="M7330" s="36" t="s">
        <v>33973</v>
      </c>
      <c r="N7330" s="36"/>
      <c r="O7330" s="36" t="s">
        <v>33974</v>
      </c>
      <c r="P7330" s="37" t="s">
        <v>22700</v>
      </c>
      <c r="Q7330" s="36" t="s">
        <v>33975</v>
      </c>
      <c r="R7330" s="36" t="s">
        <v>33976</v>
      </c>
      <c r="S7330" s="36"/>
      <c r="T7330" s="28" t="s">
        <v>33977</v>
      </c>
      <c r="U7330" s="38" t="str">
        <f>HYPERLINK("https://www.ncbi.nlm.nih.gov/pubmed/28612300","PubMed")</f>
        <v>PubMed</v>
      </c>
      <c r="V7330" s="30" t="s">
        <v>33978</v>
      </c>
      <c r="W7330" s="49"/>
      <c r="X7330" s="49"/>
      <c r="Y7330" s="35"/>
      <c r="Z7330" s="35"/>
      <c r="AA7330" s="35"/>
      <c r="AB7330" s="35"/>
      <c r="AC7330" s="35"/>
      <c r="AD7330" s="35"/>
      <c r="AE7330" s="35"/>
      <c r="AF7330" s="35"/>
      <c r="AG7330" s="35"/>
      <c r="AH7330" s="35"/>
      <c r="AI7330" s="35"/>
      <c r="AJ7330" s="35"/>
      <c r="AK7330" s="35"/>
      <c r="AL7330" s="35"/>
    </row>
    <row r="7331">
      <c r="A7331" s="1"/>
      <c r="B7331" s="19" t="s">
        <v>12008</v>
      </c>
      <c r="C7331" s="20" t="s">
        <v>5686</v>
      </c>
      <c r="D7331" s="21"/>
      <c r="E7331" s="22" t="s">
        <v>21764</v>
      </c>
      <c r="F7331" s="22" t="s">
        <v>41</v>
      </c>
      <c r="G7331" s="23">
        <v>2016.0</v>
      </c>
      <c r="H7331" s="22" t="s">
        <v>91</v>
      </c>
      <c r="I7331" s="24" t="s">
        <v>33979</v>
      </c>
      <c r="J7331" s="22" t="s">
        <v>31</v>
      </c>
      <c r="K7331" s="22"/>
      <c r="L7331" s="36" t="s">
        <v>1750</v>
      </c>
      <c r="M7331" s="36"/>
      <c r="N7331" s="36"/>
      <c r="O7331" s="36"/>
      <c r="P7331" s="37" t="s">
        <v>33980</v>
      </c>
      <c r="Q7331" s="36"/>
      <c r="R7331" s="36" t="s">
        <v>1208</v>
      </c>
      <c r="S7331" s="36"/>
      <c r="T7331" s="28" t="s">
        <v>33981</v>
      </c>
      <c r="U7331" s="38" t="str">
        <f>HYPERLINK("https://www.ncbi.nlm.nih.gov/pubmed/27147074","PubMed")</f>
        <v>PubMed</v>
      </c>
      <c r="V7331" s="30"/>
      <c r="W7331" s="49"/>
      <c r="X7331" s="49"/>
      <c r="Y7331" s="35"/>
      <c r="Z7331" s="35"/>
      <c r="AA7331" s="35"/>
      <c r="AB7331" s="35"/>
      <c r="AC7331" s="35"/>
      <c r="AD7331" s="35"/>
      <c r="AE7331" s="35"/>
      <c r="AF7331" s="35"/>
      <c r="AG7331" s="35"/>
      <c r="AH7331" s="35"/>
      <c r="AI7331" s="35"/>
      <c r="AJ7331" s="35"/>
      <c r="AK7331" s="35"/>
      <c r="AL7331" s="35"/>
    </row>
    <row r="7332">
      <c r="A7332" s="1"/>
      <c r="B7332" s="19" t="s">
        <v>12008</v>
      </c>
      <c r="C7332" s="20" t="s">
        <v>5686</v>
      </c>
      <c r="D7332" s="21"/>
      <c r="E7332" s="22" t="s">
        <v>3309</v>
      </c>
      <c r="F7332" s="22" t="s">
        <v>41</v>
      </c>
      <c r="G7332" s="23">
        <v>2016.0</v>
      </c>
      <c r="H7332" s="22" t="s">
        <v>627</v>
      </c>
      <c r="I7332" s="24" t="s">
        <v>33982</v>
      </c>
      <c r="J7332" s="22" t="s">
        <v>44</v>
      </c>
      <c r="K7332" s="22"/>
      <c r="L7332" s="36">
        <v>904.0</v>
      </c>
      <c r="M7332" s="36"/>
      <c r="N7332" s="36"/>
      <c r="O7332" s="36"/>
      <c r="P7332" s="37" t="s">
        <v>254</v>
      </c>
      <c r="Q7332" s="36"/>
      <c r="R7332" s="36"/>
      <c r="S7332" s="36">
        <v>4.0</v>
      </c>
      <c r="T7332" s="28" t="s">
        <v>33983</v>
      </c>
      <c r="U7332" s="38" t="str">
        <f>HYPERLINK("https://www.ncbi.nlm.nih.gov/pubmed/27392016","PubMed")</f>
        <v>PubMed</v>
      </c>
      <c r="V7332" s="30"/>
      <c r="W7332" s="49"/>
      <c r="X7332" s="49"/>
      <c r="Y7332" s="35"/>
      <c r="Z7332" s="35"/>
      <c r="AA7332" s="35"/>
      <c r="AB7332" s="35"/>
      <c r="AC7332" s="35"/>
      <c r="AD7332" s="35"/>
      <c r="AE7332" s="35"/>
      <c r="AF7332" s="35"/>
      <c r="AG7332" s="35"/>
      <c r="AH7332" s="35"/>
      <c r="AI7332" s="35"/>
      <c r="AJ7332" s="35"/>
      <c r="AK7332" s="35"/>
      <c r="AL7332" s="35"/>
    </row>
    <row r="7333">
      <c r="A7333" s="1"/>
      <c r="B7333" s="19" t="s">
        <v>12008</v>
      </c>
      <c r="C7333" s="20" t="s">
        <v>5686</v>
      </c>
      <c r="D7333" s="21"/>
      <c r="E7333" s="22" t="s">
        <v>88</v>
      </c>
      <c r="F7333" s="22" t="s">
        <v>41</v>
      </c>
      <c r="G7333" s="23">
        <v>2016.0</v>
      </c>
      <c r="H7333" s="22" t="s">
        <v>627</v>
      </c>
      <c r="I7333" s="24" t="s">
        <v>33984</v>
      </c>
      <c r="J7333" s="22" t="s">
        <v>31</v>
      </c>
      <c r="K7333" s="22" t="s">
        <v>294</v>
      </c>
      <c r="L7333" s="36" t="s">
        <v>1206</v>
      </c>
      <c r="M7333" s="36"/>
      <c r="N7333" s="36"/>
      <c r="O7333" s="36"/>
      <c r="P7333" s="37"/>
      <c r="Q7333" s="36"/>
      <c r="R7333" s="36"/>
      <c r="S7333" s="36"/>
      <c r="T7333" s="28" t="s">
        <v>33985</v>
      </c>
      <c r="U7333" s="38" t="str">
        <f>HYPERLINK("https://www.ncbi.nlm.nih.gov/pubmed/27058357","PubMed")</f>
        <v>PubMed</v>
      </c>
      <c r="V7333" s="30"/>
      <c r="W7333" s="49"/>
      <c r="X7333" s="49"/>
      <c r="Y7333" s="35"/>
      <c r="Z7333" s="35"/>
      <c r="AA7333" s="35"/>
      <c r="AB7333" s="35"/>
      <c r="AC7333" s="35"/>
      <c r="AD7333" s="35"/>
      <c r="AE7333" s="35"/>
      <c r="AF7333" s="35"/>
      <c r="AG7333" s="35"/>
      <c r="AH7333" s="35"/>
      <c r="AI7333" s="35"/>
      <c r="AJ7333" s="35"/>
      <c r="AK7333" s="35"/>
      <c r="AL7333" s="35"/>
    </row>
    <row r="7334">
      <c r="A7334" s="1"/>
      <c r="B7334" s="19" t="s">
        <v>12008</v>
      </c>
      <c r="C7334" s="20" t="s">
        <v>5686</v>
      </c>
      <c r="D7334" s="21"/>
      <c r="E7334" s="22" t="s">
        <v>28520</v>
      </c>
      <c r="F7334" s="22" t="s">
        <v>41</v>
      </c>
      <c r="G7334" s="23">
        <v>2014.0</v>
      </c>
      <c r="H7334" s="22" t="s">
        <v>3950</v>
      </c>
      <c r="I7334" s="24" t="s">
        <v>33986</v>
      </c>
      <c r="J7334" s="22" t="s">
        <v>44</v>
      </c>
      <c r="K7334" s="22" t="s">
        <v>33987</v>
      </c>
      <c r="L7334" s="36" t="s">
        <v>33988</v>
      </c>
      <c r="M7334" s="36"/>
      <c r="N7334" s="36"/>
      <c r="O7334" s="36"/>
      <c r="P7334" s="37" t="s">
        <v>33989</v>
      </c>
      <c r="Q7334" s="36"/>
      <c r="R7334" s="36" t="s">
        <v>33990</v>
      </c>
      <c r="S7334" s="36" t="s">
        <v>33991</v>
      </c>
      <c r="T7334" s="28" t="s">
        <v>33992</v>
      </c>
      <c r="U7334" s="38" t="str">
        <f>HYPERLINK("https://www.ncbi.nlm.nih.gov/pubmed/25232894","PubMed")</f>
        <v>PubMed</v>
      </c>
      <c r="V7334" s="30"/>
      <c r="W7334" s="49"/>
      <c r="X7334" s="49"/>
      <c r="Y7334" s="35"/>
      <c r="Z7334" s="35"/>
      <c r="AA7334" s="35"/>
      <c r="AB7334" s="35"/>
      <c r="AC7334" s="35"/>
      <c r="AD7334" s="35"/>
      <c r="AE7334" s="35"/>
      <c r="AF7334" s="35"/>
      <c r="AG7334" s="35"/>
      <c r="AH7334" s="35"/>
      <c r="AI7334" s="35"/>
      <c r="AJ7334" s="35"/>
      <c r="AK7334" s="35"/>
      <c r="AL7334" s="35"/>
    </row>
    <row r="7335">
      <c r="A7335" s="1"/>
      <c r="B7335" s="19" t="s">
        <v>12008</v>
      </c>
      <c r="C7335" s="20" t="s">
        <v>5686</v>
      </c>
      <c r="D7335" s="21"/>
      <c r="E7335" s="22" t="s">
        <v>33993</v>
      </c>
      <c r="F7335" s="22" t="s">
        <v>33994</v>
      </c>
      <c r="G7335" s="23">
        <v>2013.0</v>
      </c>
      <c r="H7335" s="22" t="s">
        <v>3950</v>
      </c>
      <c r="I7335" s="24" t="s">
        <v>33995</v>
      </c>
      <c r="J7335" s="22" t="s">
        <v>44</v>
      </c>
      <c r="K7335" s="22"/>
      <c r="L7335" s="36"/>
      <c r="M7335" s="36"/>
      <c r="N7335" s="36"/>
      <c r="O7335" s="36"/>
      <c r="P7335" s="37"/>
      <c r="Q7335" s="36"/>
      <c r="R7335" s="36"/>
      <c r="S7335" s="36"/>
      <c r="T7335" s="28" t="s">
        <v>33996</v>
      </c>
      <c r="U7335" s="38" t="str">
        <f>HYPERLINK("https://www.ncbi.nlm.nih.gov/pubmed/23995306","PubMed")</f>
        <v>PubMed</v>
      </c>
      <c r="V7335" s="30"/>
      <c r="W7335" s="49"/>
      <c r="X7335" s="49"/>
      <c r="Y7335" s="35"/>
      <c r="Z7335" s="35"/>
      <c r="AA7335" s="35"/>
      <c r="AB7335" s="35"/>
      <c r="AC7335" s="35"/>
      <c r="AD7335" s="35"/>
      <c r="AE7335" s="35"/>
      <c r="AF7335" s="35"/>
      <c r="AG7335" s="35"/>
      <c r="AH7335" s="35"/>
      <c r="AI7335" s="35"/>
      <c r="AJ7335" s="35"/>
      <c r="AK7335" s="35"/>
      <c r="AL7335" s="35"/>
    </row>
    <row r="7336">
      <c r="A7336" s="1"/>
      <c r="B7336" s="19" t="s">
        <v>12008</v>
      </c>
      <c r="C7336" s="20" t="s">
        <v>5686</v>
      </c>
      <c r="D7336" s="21"/>
      <c r="E7336" s="22" t="s">
        <v>28520</v>
      </c>
      <c r="F7336" s="22" t="s">
        <v>41</v>
      </c>
      <c r="G7336" s="23">
        <v>2012.0</v>
      </c>
      <c r="H7336" s="22" t="s">
        <v>91</v>
      </c>
      <c r="I7336" s="24" t="s">
        <v>33997</v>
      </c>
      <c r="J7336" s="22" t="s">
        <v>44</v>
      </c>
      <c r="K7336" s="22" t="s">
        <v>1347</v>
      </c>
      <c r="L7336" s="36" t="s">
        <v>33998</v>
      </c>
      <c r="M7336" s="36"/>
      <c r="N7336" s="36"/>
      <c r="O7336" s="36"/>
      <c r="P7336" s="37" t="s">
        <v>6095</v>
      </c>
      <c r="Q7336" s="36"/>
      <c r="R7336" s="36"/>
      <c r="S7336" s="36"/>
      <c r="T7336" s="28" t="s">
        <v>33999</v>
      </c>
      <c r="U7336" s="38" t="str">
        <f>HYPERLINK("https://www.ncbi.nlm.nih.gov/pubmed/21484453","PubMed")</f>
        <v>PubMed</v>
      </c>
      <c r="V7336" s="30"/>
      <c r="W7336" s="49"/>
      <c r="X7336" s="49"/>
      <c r="Y7336" s="35"/>
      <c r="Z7336" s="35"/>
      <c r="AA7336" s="35"/>
      <c r="AB7336" s="35"/>
      <c r="AC7336" s="35"/>
      <c r="AD7336" s="35"/>
      <c r="AE7336" s="35"/>
      <c r="AF7336" s="35"/>
      <c r="AG7336" s="35"/>
      <c r="AH7336" s="35"/>
      <c r="AI7336" s="35"/>
      <c r="AJ7336" s="35"/>
      <c r="AK7336" s="35"/>
      <c r="AL7336" s="35"/>
    </row>
    <row r="7337">
      <c r="A7337" s="1"/>
      <c r="B7337" s="19" t="s">
        <v>12008</v>
      </c>
      <c r="C7337" s="20" t="s">
        <v>5686</v>
      </c>
      <c r="D7337" s="21"/>
      <c r="E7337" s="22" t="s">
        <v>9028</v>
      </c>
      <c r="F7337" s="22" t="s">
        <v>237</v>
      </c>
      <c r="G7337" s="23">
        <v>2011.0</v>
      </c>
      <c r="H7337" s="22" t="s">
        <v>4975</v>
      </c>
      <c r="I7337" s="24" t="s">
        <v>34000</v>
      </c>
      <c r="J7337" s="22" t="s">
        <v>44</v>
      </c>
      <c r="K7337" s="22" t="s">
        <v>294</v>
      </c>
      <c r="L7337" s="36" t="s">
        <v>5640</v>
      </c>
      <c r="M7337" s="36"/>
      <c r="N7337" s="36"/>
      <c r="O7337" s="36"/>
      <c r="P7337" s="37" t="s">
        <v>254</v>
      </c>
      <c r="Q7337" s="36"/>
      <c r="R7337" s="36"/>
      <c r="S7337" s="36">
        <v>22.0</v>
      </c>
      <c r="T7337" s="28" t="s">
        <v>34001</v>
      </c>
      <c r="U7337" s="38" t="str">
        <f>HYPERLINK("https://www.ncbi.nlm.nih.gov/pubmed/21166811","PubMed")</f>
        <v>PubMed</v>
      </c>
      <c r="V7337" s="30"/>
      <c r="W7337" s="49"/>
      <c r="X7337" s="49"/>
      <c r="Y7337" s="35"/>
      <c r="Z7337" s="35"/>
      <c r="AA7337" s="35"/>
      <c r="AB7337" s="35"/>
      <c r="AC7337" s="35"/>
      <c r="AD7337" s="35"/>
      <c r="AE7337" s="35"/>
      <c r="AF7337" s="35"/>
      <c r="AG7337" s="35"/>
      <c r="AH7337" s="35"/>
      <c r="AI7337" s="35"/>
      <c r="AJ7337" s="35"/>
      <c r="AK7337" s="35"/>
      <c r="AL7337" s="35"/>
    </row>
    <row r="7338">
      <c r="A7338" s="1"/>
      <c r="B7338" s="19" t="s">
        <v>12008</v>
      </c>
      <c r="C7338" s="20" t="s">
        <v>5686</v>
      </c>
      <c r="D7338" s="21"/>
      <c r="E7338" s="22" t="s">
        <v>34002</v>
      </c>
      <c r="F7338" s="22" t="s">
        <v>41</v>
      </c>
      <c r="G7338" s="23">
        <v>2009.0</v>
      </c>
      <c r="H7338" s="22" t="s">
        <v>3950</v>
      </c>
      <c r="I7338" s="24" t="s">
        <v>34003</v>
      </c>
      <c r="J7338" s="22" t="s">
        <v>34004</v>
      </c>
      <c r="K7338" s="22" t="s">
        <v>34005</v>
      </c>
      <c r="L7338" s="36">
        <v>685.0</v>
      </c>
      <c r="M7338" s="36">
        <v>29.0</v>
      </c>
      <c r="N7338" s="36"/>
      <c r="O7338" s="36"/>
      <c r="P7338" s="37" t="s">
        <v>20995</v>
      </c>
      <c r="Q7338" s="36" t="s">
        <v>34006</v>
      </c>
      <c r="R7338" s="36">
        <v>29.0</v>
      </c>
      <c r="S7338" s="36" t="s">
        <v>1307</v>
      </c>
      <c r="T7338" s="28" t="s">
        <v>34007</v>
      </c>
      <c r="U7338" s="38" t="str">
        <f>HYPERLINK("https://www.ncbi.nlm.nih.gov/pubmed/18643907","PubMed")</f>
        <v>PubMed</v>
      </c>
      <c r="V7338" s="30"/>
      <c r="W7338" s="49"/>
      <c r="X7338" s="49"/>
      <c r="Y7338" s="35"/>
      <c r="Z7338" s="35"/>
      <c r="AA7338" s="35"/>
      <c r="AB7338" s="35"/>
      <c r="AC7338" s="35"/>
      <c r="AD7338" s="35"/>
      <c r="AE7338" s="35"/>
      <c r="AF7338" s="35"/>
      <c r="AG7338" s="35"/>
      <c r="AH7338" s="35"/>
      <c r="AI7338" s="35"/>
      <c r="AJ7338" s="35"/>
      <c r="AK7338" s="35"/>
      <c r="AL7338" s="35"/>
    </row>
    <row r="7339">
      <c r="A7339" s="1"/>
      <c r="B7339" s="19" t="s">
        <v>12008</v>
      </c>
      <c r="C7339" s="20" t="s">
        <v>5686</v>
      </c>
      <c r="D7339" s="21"/>
      <c r="E7339" s="22" t="s">
        <v>114</v>
      </c>
      <c r="F7339" s="22" t="s">
        <v>41</v>
      </c>
      <c r="G7339" s="23">
        <v>2009.0</v>
      </c>
      <c r="H7339" s="22" t="s">
        <v>658</v>
      </c>
      <c r="I7339" s="24" t="s">
        <v>34008</v>
      </c>
      <c r="J7339" s="22" t="s">
        <v>44</v>
      </c>
      <c r="K7339" s="22" t="s">
        <v>34009</v>
      </c>
      <c r="L7339" s="36">
        <v>685.0</v>
      </c>
      <c r="M7339" s="36"/>
      <c r="N7339" s="36"/>
      <c r="O7339" s="36"/>
      <c r="P7339" s="37" t="s">
        <v>20995</v>
      </c>
      <c r="Q7339" s="36"/>
      <c r="R7339" s="36">
        <v>29.0</v>
      </c>
      <c r="S7339" s="36" t="s">
        <v>17142</v>
      </c>
      <c r="T7339" s="28" t="s">
        <v>34010</v>
      </c>
      <c r="U7339" s="38" t="str">
        <f>HYPERLINK("https://www.ncbi.nlm.nih.gov/pubmed/19530909","PubMed")</f>
        <v>PubMed</v>
      </c>
      <c r="V7339" s="30"/>
      <c r="W7339" s="49"/>
      <c r="X7339" s="49"/>
      <c r="Y7339" s="35"/>
      <c r="Z7339" s="35"/>
      <c r="AA7339" s="35"/>
      <c r="AB7339" s="35"/>
      <c r="AC7339" s="35"/>
      <c r="AD7339" s="35"/>
      <c r="AE7339" s="35"/>
      <c r="AF7339" s="35"/>
      <c r="AG7339" s="35"/>
      <c r="AH7339" s="35"/>
      <c r="AI7339" s="35"/>
      <c r="AJ7339" s="35"/>
      <c r="AK7339" s="35"/>
      <c r="AL7339" s="35"/>
    </row>
    <row r="7340">
      <c r="A7340" s="1"/>
      <c r="B7340" s="19" t="s">
        <v>12008</v>
      </c>
      <c r="C7340" s="20" t="s">
        <v>5686</v>
      </c>
      <c r="D7340" s="21"/>
      <c r="E7340" s="22" t="s">
        <v>114</v>
      </c>
      <c r="F7340" s="22" t="s">
        <v>41</v>
      </c>
      <c r="G7340" s="23">
        <v>2008.0</v>
      </c>
      <c r="H7340" s="22" t="s">
        <v>5684</v>
      </c>
      <c r="I7340" s="24" t="s">
        <v>34011</v>
      </c>
      <c r="J7340" s="22" t="s">
        <v>44</v>
      </c>
      <c r="K7340" s="22" t="s">
        <v>9329</v>
      </c>
      <c r="L7340" s="36">
        <v>685.0</v>
      </c>
      <c r="M7340" s="36">
        <v>29.0</v>
      </c>
      <c r="N7340" s="36"/>
      <c r="O7340" s="36"/>
      <c r="P7340" s="37" t="s">
        <v>20995</v>
      </c>
      <c r="Q7340" s="36"/>
      <c r="R7340" s="36">
        <v>29.0</v>
      </c>
      <c r="S7340" s="36"/>
      <c r="T7340" s="98" t="s">
        <v>34012</v>
      </c>
      <c r="U7340" s="38" t="str">
        <f>HYPERLINK("https://www.ncbi.nlm.nih.gov/pubmed/18439641","PubMed")</f>
        <v>PubMed</v>
      </c>
      <c r="V7340" s="30" t="s">
        <v>174</v>
      </c>
      <c r="W7340" s="49"/>
      <c r="X7340" s="49"/>
      <c r="Y7340" s="35"/>
      <c r="Z7340" s="35"/>
      <c r="AA7340" s="35"/>
      <c r="AB7340" s="35"/>
      <c r="AC7340" s="35"/>
      <c r="AD7340" s="35"/>
      <c r="AE7340" s="35"/>
      <c r="AF7340" s="35"/>
      <c r="AG7340" s="35"/>
      <c r="AH7340" s="35"/>
      <c r="AI7340" s="35"/>
      <c r="AJ7340" s="35"/>
      <c r="AK7340" s="35"/>
      <c r="AL7340" s="35"/>
    </row>
    <row r="7341">
      <c r="A7341" s="1"/>
      <c r="B7341" s="19" t="s">
        <v>12008</v>
      </c>
      <c r="C7341" s="20" t="s">
        <v>5686</v>
      </c>
      <c r="D7341" s="21"/>
      <c r="E7341" s="22" t="s">
        <v>9028</v>
      </c>
      <c r="F7341" s="22" t="s">
        <v>41</v>
      </c>
      <c r="G7341" s="23">
        <v>2003.0</v>
      </c>
      <c r="H7341" s="22" t="s">
        <v>53</v>
      </c>
      <c r="I7341" s="24" t="s">
        <v>34013</v>
      </c>
      <c r="J7341" s="22" t="s">
        <v>44</v>
      </c>
      <c r="K7341" s="22" t="s">
        <v>34005</v>
      </c>
      <c r="L7341" s="36">
        <v>904.0</v>
      </c>
      <c r="M7341" s="36"/>
      <c r="N7341" s="36"/>
      <c r="O7341" s="36" t="s">
        <v>1439</v>
      </c>
      <c r="P7341" s="37" t="s">
        <v>254</v>
      </c>
      <c r="Q7341" s="36" t="s">
        <v>34014</v>
      </c>
      <c r="R7341" s="36">
        <v>62.0</v>
      </c>
      <c r="S7341" s="36" t="s">
        <v>34015</v>
      </c>
      <c r="T7341" s="28" t="s">
        <v>34016</v>
      </c>
      <c r="U7341" s="38" t="str">
        <f>HYPERLINK("https://www.ncbi.nlm.nih.gov/pubmed/14677163","PubMed")</f>
        <v>PubMed</v>
      </c>
      <c r="V7341" s="30"/>
      <c r="W7341" s="49"/>
      <c r="X7341" s="49"/>
      <c r="Y7341" s="35"/>
      <c r="Z7341" s="35"/>
      <c r="AA7341" s="35"/>
      <c r="AB7341" s="35"/>
      <c r="AC7341" s="35"/>
      <c r="AD7341" s="35"/>
      <c r="AE7341" s="35"/>
      <c r="AF7341" s="35"/>
      <c r="AG7341" s="35"/>
      <c r="AH7341" s="35"/>
      <c r="AI7341" s="35"/>
      <c r="AJ7341" s="35"/>
      <c r="AK7341" s="35"/>
      <c r="AL7341" s="35"/>
    </row>
    <row r="7342">
      <c r="A7342" s="1"/>
      <c r="B7342" s="19" t="s">
        <v>12008</v>
      </c>
      <c r="C7342" s="20" t="s">
        <v>34017</v>
      </c>
      <c r="D7342" s="21"/>
      <c r="E7342" s="22" t="s">
        <v>388</v>
      </c>
      <c r="F7342" s="22" t="s">
        <v>5059</v>
      </c>
      <c r="G7342" s="23">
        <v>2024.0</v>
      </c>
      <c r="H7342" s="22" t="s">
        <v>34018</v>
      </c>
      <c r="I7342" s="24" t="s">
        <v>34019</v>
      </c>
      <c r="J7342" s="22" t="s">
        <v>253</v>
      </c>
      <c r="K7342" s="22" t="s">
        <v>34020</v>
      </c>
      <c r="L7342" s="36"/>
      <c r="M7342" s="36"/>
      <c r="N7342" s="36"/>
      <c r="O7342" s="36"/>
      <c r="P7342" s="37"/>
      <c r="Q7342" s="36"/>
      <c r="R7342" s="36"/>
      <c r="S7342" s="36"/>
      <c r="T7342" s="28" t="s">
        <v>34021</v>
      </c>
      <c r="U7342" s="38" t="s">
        <v>61</v>
      </c>
      <c r="V7342" s="30"/>
      <c r="W7342" s="49"/>
      <c r="X7342" s="49"/>
      <c r="Y7342" s="35"/>
      <c r="Z7342" s="35"/>
      <c r="AA7342" s="35"/>
      <c r="AB7342" s="35"/>
      <c r="AC7342" s="35"/>
      <c r="AD7342" s="35"/>
      <c r="AE7342" s="35"/>
      <c r="AF7342" s="35"/>
      <c r="AG7342" s="35"/>
      <c r="AH7342" s="35"/>
      <c r="AI7342" s="35"/>
      <c r="AJ7342" s="35"/>
      <c r="AK7342" s="35"/>
      <c r="AL7342" s="35"/>
    </row>
    <row r="7343">
      <c r="A7343" s="1"/>
      <c r="B7343" s="19" t="s">
        <v>12008</v>
      </c>
      <c r="C7343" s="20" t="s">
        <v>34022</v>
      </c>
      <c r="D7343" s="21"/>
      <c r="E7343" s="22" t="s">
        <v>34023</v>
      </c>
      <c r="F7343" s="22" t="s">
        <v>6406</v>
      </c>
      <c r="G7343" s="23">
        <v>2020.0</v>
      </c>
      <c r="H7343" s="22" t="s">
        <v>24937</v>
      </c>
      <c r="I7343" s="24" t="s">
        <v>34024</v>
      </c>
      <c r="J7343" s="22" t="s">
        <v>34025</v>
      </c>
      <c r="K7343" s="22" t="s">
        <v>1112</v>
      </c>
      <c r="L7343" s="36">
        <v>810.0</v>
      </c>
      <c r="M7343" s="36" t="s">
        <v>6252</v>
      </c>
      <c r="N7343" s="36"/>
      <c r="O7343" s="36"/>
      <c r="P7343" s="37"/>
      <c r="Q7343" s="36"/>
      <c r="R7343" s="36"/>
      <c r="S7343" s="36"/>
      <c r="T7343" s="28" t="s">
        <v>34026</v>
      </c>
      <c r="U7343" s="38" t="str">
        <f>HYPERLINK("https://www.ncbi.nlm.nih.gov/pubmed/31839946","PubMed")</f>
        <v>PubMed</v>
      </c>
      <c r="V7343" s="30"/>
      <c r="W7343" s="49"/>
      <c r="X7343" s="49"/>
      <c r="Y7343" s="35"/>
      <c r="Z7343" s="35"/>
      <c r="AA7343" s="35"/>
      <c r="AB7343" s="35"/>
      <c r="AC7343" s="35"/>
      <c r="AD7343" s="35"/>
      <c r="AE7343" s="35"/>
      <c r="AF7343" s="35"/>
      <c r="AG7343" s="35"/>
      <c r="AH7343" s="35"/>
      <c r="AI7343" s="35"/>
      <c r="AJ7343" s="35"/>
      <c r="AK7343" s="35"/>
      <c r="AL7343" s="35"/>
    </row>
    <row r="7344">
      <c r="A7344" s="242" t="s">
        <v>38</v>
      </c>
      <c r="B7344" s="19" t="s">
        <v>34027</v>
      </c>
      <c r="C7344" s="20" t="s">
        <v>34028</v>
      </c>
      <c r="D7344" s="21"/>
      <c r="E7344" s="22" t="s">
        <v>34029</v>
      </c>
      <c r="F7344" s="22" t="s">
        <v>34030</v>
      </c>
      <c r="G7344" s="23">
        <v>2013.0</v>
      </c>
      <c r="H7344" s="22" t="s">
        <v>34031</v>
      </c>
      <c r="I7344" s="24" t="s">
        <v>34032</v>
      </c>
      <c r="J7344" s="22" t="s">
        <v>34033</v>
      </c>
      <c r="K7344" s="22"/>
      <c r="L7344" s="36"/>
      <c r="M7344" s="36"/>
      <c r="N7344" s="36"/>
      <c r="O7344" s="36"/>
      <c r="P7344" s="37"/>
      <c r="Q7344" s="36"/>
      <c r="R7344" s="36"/>
      <c r="S7344" s="36"/>
      <c r="T7344" s="28" t="s">
        <v>34034</v>
      </c>
      <c r="U7344" s="38" t="str">
        <f>HYPERLINK("https://www.ncbi.nlm.nih.gov/pubmed/23958710","PubMed")</f>
        <v>PubMed</v>
      </c>
      <c r="V7344" s="30"/>
      <c r="W7344" s="49"/>
      <c r="X7344" s="49"/>
      <c r="Y7344" s="35"/>
      <c r="Z7344" s="35"/>
      <c r="AA7344" s="35"/>
      <c r="AB7344" s="35"/>
      <c r="AC7344" s="35"/>
      <c r="AD7344" s="35"/>
      <c r="AE7344" s="35"/>
      <c r="AF7344" s="35"/>
      <c r="AG7344" s="35"/>
      <c r="AH7344" s="35"/>
      <c r="AI7344" s="35"/>
      <c r="AJ7344" s="35"/>
      <c r="AK7344" s="35"/>
      <c r="AL7344" s="35"/>
    </row>
    <row r="7345">
      <c r="A7345" s="1"/>
      <c r="B7345" s="19" t="s">
        <v>34035</v>
      </c>
      <c r="C7345" s="20"/>
      <c r="D7345" s="47"/>
      <c r="E7345" s="22" t="s">
        <v>33219</v>
      </c>
      <c r="F7345" s="22" t="s">
        <v>34036</v>
      </c>
      <c r="G7345" s="23">
        <v>2019.0</v>
      </c>
      <c r="H7345" s="22" t="s">
        <v>3048</v>
      </c>
      <c r="I7345" s="24" t="s">
        <v>34037</v>
      </c>
      <c r="J7345" s="22" t="s">
        <v>34038</v>
      </c>
      <c r="K7345" s="22"/>
      <c r="L7345" s="167"/>
      <c r="M7345" s="44"/>
      <c r="N7345" s="44"/>
      <c r="O7345" s="44"/>
      <c r="P7345" s="44"/>
      <c r="Q7345" s="44"/>
      <c r="R7345" s="44"/>
      <c r="S7345" s="44"/>
      <c r="T7345" s="45"/>
      <c r="U7345" s="38" t="str">
        <f>HYPERLINK("https://www.ncbi.nlm.nih.gov/pubmed/30875856","PubMed")</f>
        <v>PubMed</v>
      </c>
      <c r="V7345" s="50"/>
      <c r="W7345" s="49"/>
      <c r="X7345" s="49"/>
      <c r="Y7345" s="35"/>
      <c r="Z7345" s="35"/>
      <c r="AA7345" s="35"/>
      <c r="AB7345" s="35"/>
      <c r="AC7345" s="35"/>
      <c r="AD7345" s="35"/>
      <c r="AE7345" s="35"/>
      <c r="AF7345" s="35"/>
      <c r="AG7345" s="35"/>
      <c r="AH7345" s="35"/>
      <c r="AI7345" s="35"/>
      <c r="AJ7345" s="35"/>
      <c r="AK7345" s="35"/>
      <c r="AL7345" s="35"/>
    </row>
    <row r="7346">
      <c r="A7346" s="1"/>
      <c r="B7346" s="19" t="s">
        <v>34035</v>
      </c>
      <c r="C7346" s="20"/>
      <c r="D7346" s="47"/>
      <c r="E7346" s="22" t="s">
        <v>34039</v>
      </c>
      <c r="F7346" s="22" t="s">
        <v>1392</v>
      </c>
      <c r="G7346" s="23">
        <v>2015.0</v>
      </c>
      <c r="H7346" s="22" t="s">
        <v>21507</v>
      </c>
      <c r="I7346" s="24" t="s">
        <v>34040</v>
      </c>
      <c r="J7346" s="22" t="s">
        <v>34041</v>
      </c>
      <c r="K7346" s="22"/>
      <c r="L7346" s="167"/>
      <c r="M7346" s="44"/>
      <c r="N7346" s="44"/>
      <c r="O7346" s="44"/>
      <c r="P7346" s="44"/>
      <c r="Q7346" s="44"/>
      <c r="R7346" s="44"/>
      <c r="S7346" s="44"/>
      <c r="T7346" s="45"/>
      <c r="U7346" s="38" t="str">
        <f>HYPERLINK("http://www.ncbi.nlm.nih.gov/pubmed/26276452","PubMed")</f>
        <v>PubMed</v>
      </c>
      <c r="V7346" s="50"/>
      <c r="W7346" s="49"/>
      <c r="X7346" s="49"/>
      <c r="Y7346" s="35"/>
      <c r="Z7346" s="35"/>
      <c r="AA7346" s="35"/>
      <c r="AB7346" s="35"/>
      <c r="AC7346" s="35"/>
      <c r="AD7346" s="35"/>
      <c r="AE7346" s="35"/>
      <c r="AF7346" s="35"/>
      <c r="AG7346" s="35"/>
      <c r="AH7346" s="35"/>
      <c r="AI7346" s="35"/>
      <c r="AJ7346" s="35"/>
      <c r="AK7346" s="35"/>
      <c r="AL7346" s="35"/>
    </row>
    <row r="7347">
      <c r="A7347" s="1"/>
      <c r="B7347" s="19" t="s">
        <v>34035</v>
      </c>
      <c r="C7347" s="20"/>
      <c r="D7347" s="47"/>
      <c r="E7347" s="22" t="s">
        <v>13712</v>
      </c>
      <c r="F7347" s="22" t="s">
        <v>34042</v>
      </c>
      <c r="G7347" s="23">
        <v>2011.0</v>
      </c>
      <c r="H7347" s="22" t="s">
        <v>91</v>
      </c>
      <c r="I7347" s="24" t="s">
        <v>34043</v>
      </c>
      <c r="J7347" s="22" t="s">
        <v>125</v>
      </c>
      <c r="K7347" s="22"/>
      <c r="L7347" s="28" t="s">
        <v>34044</v>
      </c>
      <c r="U7347" s="38" t="str">
        <f>HYPERLINK("https://www.ncbi.nlm.nih.gov/pubmed/20852910","PubMed")</f>
        <v>PubMed</v>
      </c>
      <c r="V7347" s="50"/>
      <c r="W7347" s="49"/>
      <c r="X7347" s="49"/>
      <c r="Y7347" s="35"/>
      <c r="Z7347" s="35"/>
      <c r="AA7347" s="35"/>
      <c r="AB7347" s="35"/>
      <c r="AC7347" s="35"/>
      <c r="AD7347" s="35"/>
      <c r="AE7347" s="35"/>
      <c r="AF7347" s="35"/>
      <c r="AG7347" s="35"/>
      <c r="AH7347" s="35"/>
      <c r="AI7347" s="35"/>
      <c r="AJ7347" s="35"/>
      <c r="AK7347" s="35"/>
      <c r="AL7347" s="35"/>
    </row>
    <row r="7348">
      <c r="A7348" s="1"/>
      <c r="B7348" s="19" t="s">
        <v>34045</v>
      </c>
      <c r="C7348" s="20"/>
      <c r="D7348" s="47"/>
      <c r="E7348" s="22" t="s">
        <v>34046</v>
      </c>
      <c r="F7348" s="22" t="s">
        <v>4943</v>
      </c>
      <c r="G7348" s="23">
        <v>2024.0</v>
      </c>
      <c r="H7348" s="22" t="s">
        <v>34047</v>
      </c>
      <c r="I7348" s="24" t="s">
        <v>34048</v>
      </c>
      <c r="J7348" s="22" t="s">
        <v>31</v>
      </c>
      <c r="K7348" s="22"/>
      <c r="L7348" s="136"/>
      <c r="M7348" s="136"/>
      <c r="N7348" s="136"/>
      <c r="O7348" s="136"/>
      <c r="P7348" s="136"/>
      <c r="Q7348" s="136"/>
      <c r="R7348" s="136"/>
      <c r="S7348" s="136"/>
      <c r="T7348" s="54" t="s">
        <v>34049</v>
      </c>
      <c r="U7348" s="38" t="s">
        <v>61</v>
      </c>
      <c r="V7348" s="50"/>
      <c r="W7348" s="49"/>
      <c r="X7348" s="49"/>
      <c r="Y7348" s="35"/>
      <c r="Z7348" s="35"/>
      <c r="AA7348" s="35"/>
      <c r="AB7348" s="35"/>
      <c r="AC7348" s="35"/>
      <c r="AD7348" s="35"/>
      <c r="AE7348" s="35"/>
      <c r="AF7348" s="35"/>
      <c r="AG7348" s="35"/>
      <c r="AH7348" s="35"/>
      <c r="AI7348" s="35"/>
      <c r="AJ7348" s="35"/>
      <c r="AK7348" s="35"/>
      <c r="AL7348" s="35"/>
    </row>
    <row r="7349">
      <c r="A7349" s="1"/>
      <c r="B7349" s="19" t="s">
        <v>34045</v>
      </c>
      <c r="C7349" s="20"/>
      <c r="D7349" s="47"/>
      <c r="E7349" s="22" t="s">
        <v>22545</v>
      </c>
      <c r="F7349" s="22" t="s">
        <v>540</v>
      </c>
      <c r="G7349" s="23">
        <v>2019.0</v>
      </c>
      <c r="H7349" s="22" t="s">
        <v>77</v>
      </c>
      <c r="I7349" s="24" t="s">
        <v>34050</v>
      </c>
      <c r="J7349" s="22" t="s">
        <v>125</v>
      </c>
      <c r="K7349" s="22" t="s">
        <v>34051</v>
      </c>
      <c r="L7349" s="173" t="s">
        <v>34052</v>
      </c>
      <c r="U7349" s="38" t="str">
        <f>HYPERLINK("https://www.ncbi.nlm.nih.gov/pubmed/31329512","PubMed")</f>
        <v>PubMed</v>
      </c>
      <c r="V7349" s="50"/>
      <c r="W7349" s="49"/>
      <c r="X7349" s="49"/>
      <c r="Y7349" s="35"/>
      <c r="Z7349" s="35"/>
      <c r="AA7349" s="35"/>
      <c r="AB7349" s="35"/>
      <c r="AC7349" s="35"/>
      <c r="AD7349" s="35"/>
      <c r="AE7349" s="35"/>
      <c r="AF7349" s="35"/>
      <c r="AG7349" s="35"/>
      <c r="AH7349" s="35"/>
      <c r="AI7349" s="35"/>
      <c r="AJ7349" s="35"/>
      <c r="AK7349" s="35"/>
      <c r="AL7349" s="35"/>
    </row>
    <row r="7350">
      <c r="A7350" s="1"/>
      <c r="B7350" s="19" t="s">
        <v>34045</v>
      </c>
      <c r="C7350" s="20"/>
      <c r="D7350" s="47"/>
      <c r="E7350" s="22" t="s">
        <v>34053</v>
      </c>
      <c r="F7350" s="22" t="s">
        <v>41</v>
      </c>
      <c r="G7350" s="23">
        <v>2016.0</v>
      </c>
      <c r="H7350" s="22" t="s">
        <v>42</v>
      </c>
      <c r="I7350" s="24" t="s">
        <v>34054</v>
      </c>
      <c r="J7350" s="22" t="s">
        <v>31</v>
      </c>
      <c r="K7350" s="22"/>
      <c r="L7350" s="36"/>
      <c r="M7350" s="36"/>
      <c r="N7350" s="36"/>
      <c r="O7350" s="36"/>
      <c r="P7350" s="37"/>
      <c r="Q7350" s="36"/>
      <c r="R7350" s="36"/>
      <c r="S7350" s="36"/>
      <c r="T7350" s="42" t="s">
        <v>34055</v>
      </c>
      <c r="U7350" s="38" t="str">
        <f>HYPERLINK("https://www.ncbi.nlm.nih.gov/pubmed/27089455","PubMed")</f>
        <v>PubMed</v>
      </c>
      <c r="V7350" s="50"/>
      <c r="W7350" s="49"/>
      <c r="X7350" s="49"/>
      <c r="Y7350" s="35"/>
      <c r="Z7350" s="35"/>
      <c r="AA7350" s="35"/>
      <c r="AB7350" s="35"/>
      <c r="AC7350" s="35"/>
      <c r="AD7350" s="35"/>
      <c r="AE7350" s="35"/>
      <c r="AF7350" s="35"/>
      <c r="AG7350" s="35"/>
      <c r="AH7350" s="35"/>
      <c r="AI7350" s="35"/>
      <c r="AJ7350" s="35"/>
      <c r="AK7350" s="35"/>
      <c r="AL7350" s="35"/>
    </row>
    <row r="7351">
      <c r="A7351" s="1"/>
      <c r="B7351" s="19" t="s">
        <v>34045</v>
      </c>
      <c r="C7351" s="20"/>
      <c r="D7351" s="47"/>
      <c r="E7351" s="22" t="s">
        <v>34056</v>
      </c>
      <c r="F7351" s="22" t="s">
        <v>6571</v>
      </c>
      <c r="G7351" s="23">
        <v>2014.0</v>
      </c>
      <c r="H7351" s="22" t="s">
        <v>53</v>
      </c>
      <c r="I7351" s="24" t="s">
        <v>34057</v>
      </c>
      <c r="J7351" s="22"/>
      <c r="K7351" s="22"/>
      <c r="L7351" s="36">
        <v>1470.0</v>
      </c>
      <c r="M7351" s="36"/>
      <c r="N7351" s="36"/>
      <c r="O7351" s="36"/>
      <c r="P7351" s="37"/>
      <c r="Q7351" s="36"/>
      <c r="R7351" s="36"/>
      <c r="S7351" s="36"/>
      <c r="T7351" s="50"/>
      <c r="U7351" s="38" t="str">
        <f>HYPERLINK("https://www.ncbi.nlm.nih.gov/pubmed/24839034","PubMed")</f>
        <v>PubMed</v>
      </c>
      <c r="V7351" s="50"/>
      <c r="W7351" s="49"/>
      <c r="X7351" s="49"/>
      <c r="Y7351" s="35"/>
      <c r="Z7351" s="35"/>
      <c r="AA7351" s="35"/>
      <c r="AB7351" s="35"/>
      <c r="AC7351" s="35"/>
      <c r="AD7351" s="35"/>
      <c r="AE7351" s="35"/>
      <c r="AF7351" s="35"/>
      <c r="AG7351" s="35"/>
      <c r="AH7351" s="35"/>
      <c r="AI7351" s="35"/>
      <c r="AJ7351" s="35"/>
      <c r="AK7351" s="35"/>
      <c r="AL7351" s="35"/>
    </row>
    <row r="7352">
      <c r="A7352" s="1"/>
      <c r="B7352" s="19" t="s">
        <v>34045</v>
      </c>
      <c r="C7352" s="20" t="s">
        <v>34058</v>
      </c>
      <c r="D7352" s="47"/>
      <c r="E7352" s="22" t="s">
        <v>216</v>
      </c>
      <c r="F7352" s="22" t="s">
        <v>65</v>
      </c>
      <c r="G7352" s="23">
        <v>2014.0</v>
      </c>
      <c r="H7352" s="22" t="s">
        <v>1000</v>
      </c>
      <c r="I7352" s="24" t="s">
        <v>34059</v>
      </c>
      <c r="J7352" s="22" t="s">
        <v>125</v>
      </c>
      <c r="K7352" s="22"/>
      <c r="L7352" s="195" t="s">
        <v>34060</v>
      </c>
      <c r="M7352" s="44"/>
      <c r="N7352" s="44"/>
      <c r="O7352" s="44"/>
      <c r="P7352" s="44"/>
      <c r="Q7352" s="44"/>
      <c r="R7352" s="44"/>
      <c r="S7352" s="44"/>
      <c r="T7352" s="45"/>
      <c r="U7352" s="38" t="str">
        <f>HYPERLINK("https://www.hindawi.com/journals/ijp/2014/904304/","Hindawi")</f>
        <v>Hindawi</v>
      </c>
      <c r="V7352" s="50"/>
      <c r="W7352" s="49"/>
      <c r="X7352" s="49"/>
      <c r="Y7352" s="35"/>
      <c r="Z7352" s="35"/>
      <c r="AA7352" s="35"/>
      <c r="AB7352" s="35"/>
      <c r="AC7352" s="35"/>
      <c r="AD7352" s="35"/>
      <c r="AE7352" s="35"/>
      <c r="AF7352" s="35"/>
      <c r="AG7352" s="35"/>
      <c r="AH7352" s="35"/>
      <c r="AI7352" s="35"/>
      <c r="AJ7352" s="35"/>
      <c r="AK7352" s="35"/>
      <c r="AL7352" s="35"/>
    </row>
    <row r="7353">
      <c r="A7353" s="1"/>
      <c r="B7353" s="19" t="s">
        <v>34045</v>
      </c>
      <c r="C7353" s="20" t="s">
        <v>34058</v>
      </c>
      <c r="D7353" s="47"/>
      <c r="E7353" s="22" t="s">
        <v>216</v>
      </c>
      <c r="F7353" s="22" t="s">
        <v>65</v>
      </c>
      <c r="G7353" s="23">
        <v>2012.0</v>
      </c>
      <c r="H7353" s="22" t="s">
        <v>1000</v>
      </c>
      <c r="I7353" s="24" t="s">
        <v>34061</v>
      </c>
      <c r="J7353" s="22" t="s">
        <v>125</v>
      </c>
      <c r="K7353" s="22"/>
      <c r="L7353" s="195" t="s">
        <v>34062</v>
      </c>
      <c r="M7353" s="44"/>
      <c r="N7353" s="44"/>
      <c r="O7353" s="44"/>
      <c r="P7353" s="44"/>
      <c r="Q7353" s="44"/>
      <c r="R7353" s="44"/>
      <c r="S7353" s="44"/>
      <c r="T7353" s="45"/>
      <c r="U7353" s="38" t="str">
        <f>HYPERLINK("https://www.hindawi.com/journals/ijp/2012/628649/","Hindawi")</f>
        <v>Hindawi</v>
      </c>
      <c r="V7353" s="50"/>
      <c r="W7353" s="49"/>
      <c r="X7353" s="49"/>
      <c r="Y7353" s="35"/>
      <c r="Z7353" s="35"/>
      <c r="AA7353" s="35"/>
      <c r="AB7353" s="35"/>
      <c r="AC7353" s="35"/>
      <c r="AD7353" s="35"/>
      <c r="AE7353" s="35"/>
      <c r="AF7353" s="35"/>
      <c r="AG7353" s="35"/>
      <c r="AH7353" s="35"/>
      <c r="AI7353" s="35"/>
      <c r="AJ7353" s="35"/>
      <c r="AK7353" s="35"/>
      <c r="AL7353" s="35"/>
    </row>
    <row r="7354">
      <c r="A7354" s="1"/>
      <c r="B7354" s="19" t="s">
        <v>34045</v>
      </c>
      <c r="C7354" s="20" t="s">
        <v>34063</v>
      </c>
      <c r="D7354" s="47"/>
      <c r="E7354" s="22" t="s">
        <v>6729</v>
      </c>
      <c r="F7354" s="22" t="s">
        <v>2076</v>
      </c>
      <c r="G7354" s="23">
        <v>2018.0</v>
      </c>
      <c r="H7354" s="22" t="s">
        <v>11365</v>
      </c>
      <c r="I7354" s="24" t="s">
        <v>34064</v>
      </c>
      <c r="J7354" s="22" t="s">
        <v>31</v>
      </c>
      <c r="K7354" s="22"/>
      <c r="L7354" s="36" t="s">
        <v>4973</v>
      </c>
      <c r="M7354" s="36"/>
      <c r="N7354" s="36"/>
      <c r="O7354" s="36"/>
      <c r="P7354" s="37"/>
      <c r="Q7354" s="36"/>
      <c r="R7354" s="36"/>
      <c r="S7354" s="36"/>
      <c r="T7354" s="102" t="s">
        <v>34065</v>
      </c>
      <c r="U7354" s="38" t="str">
        <f>HYPERLINK("https://www.ncbi.nlm.nih.gov/pubmed/29575876","PubMed")</f>
        <v>PubMed</v>
      </c>
      <c r="V7354" s="50"/>
      <c r="W7354" s="49"/>
      <c r="X7354" s="49"/>
      <c r="Y7354" s="35"/>
      <c r="Z7354" s="35"/>
      <c r="AA7354" s="35"/>
      <c r="AB7354" s="35"/>
      <c r="AC7354" s="35"/>
      <c r="AD7354" s="35"/>
      <c r="AE7354" s="35"/>
      <c r="AF7354" s="35"/>
      <c r="AG7354" s="35"/>
      <c r="AH7354" s="35"/>
      <c r="AI7354" s="35"/>
      <c r="AJ7354" s="35"/>
      <c r="AK7354" s="35"/>
      <c r="AL7354" s="35"/>
    </row>
    <row r="7355">
      <c r="A7355" s="1"/>
      <c r="B7355" s="19" t="s">
        <v>34045</v>
      </c>
      <c r="C7355" s="20" t="s">
        <v>34066</v>
      </c>
      <c r="D7355" s="47"/>
      <c r="E7355" s="22" t="s">
        <v>3827</v>
      </c>
      <c r="F7355" s="22" t="s">
        <v>1450</v>
      </c>
      <c r="G7355" s="23">
        <v>2010.0</v>
      </c>
      <c r="H7355" s="22" t="s">
        <v>658</v>
      </c>
      <c r="I7355" s="24" t="s">
        <v>34067</v>
      </c>
      <c r="J7355" s="22" t="s">
        <v>125</v>
      </c>
      <c r="K7355" s="22"/>
      <c r="L7355" s="105" t="s">
        <v>34068</v>
      </c>
      <c r="M7355" s="44"/>
      <c r="N7355" s="44"/>
      <c r="O7355" s="44"/>
      <c r="P7355" s="44"/>
      <c r="Q7355" s="44"/>
      <c r="R7355" s="44"/>
      <c r="S7355" s="44"/>
      <c r="T7355" s="45"/>
      <c r="U7355" s="38" t="str">
        <f>HYPERLINK("https://www.ncbi.nlm.nih.gov/pubmed/19764898","PubMed")</f>
        <v>PubMed</v>
      </c>
      <c r="V7355" s="50"/>
      <c r="W7355" s="49"/>
      <c r="X7355" s="49"/>
      <c r="Y7355" s="35"/>
      <c r="Z7355" s="35"/>
      <c r="AA7355" s="35"/>
      <c r="AB7355" s="35"/>
      <c r="AC7355" s="35"/>
      <c r="AD7355" s="35"/>
      <c r="AE7355" s="35"/>
      <c r="AF7355" s="35"/>
      <c r="AG7355" s="35"/>
      <c r="AH7355" s="35"/>
      <c r="AI7355" s="35"/>
      <c r="AJ7355" s="35"/>
      <c r="AK7355" s="35"/>
      <c r="AL7355" s="35"/>
    </row>
    <row r="7356">
      <c r="A7356" s="1"/>
      <c r="B7356" s="19" t="s">
        <v>34045</v>
      </c>
      <c r="C7356" s="20" t="s">
        <v>34066</v>
      </c>
      <c r="D7356" s="47"/>
      <c r="E7356" s="22" t="s">
        <v>12714</v>
      </c>
      <c r="F7356" s="22" t="s">
        <v>16725</v>
      </c>
      <c r="G7356" s="23">
        <v>2004.0</v>
      </c>
      <c r="H7356" s="22" t="s">
        <v>658</v>
      </c>
      <c r="I7356" s="24" t="s">
        <v>34069</v>
      </c>
      <c r="J7356" s="22" t="s">
        <v>1078</v>
      </c>
      <c r="K7356" s="22"/>
      <c r="L7356" s="105" t="s">
        <v>34070</v>
      </c>
      <c r="M7356" s="44"/>
      <c r="N7356" s="44"/>
      <c r="O7356" s="44"/>
      <c r="P7356" s="44"/>
      <c r="Q7356" s="44"/>
      <c r="R7356" s="44"/>
      <c r="S7356" s="44"/>
      <c r="T7356" s="45"/>
      <c r="U7356" s="38" t="str">
        <f>HYPERLINK("https://www.ncbi.nlm.nih.gov/pubmed/15345176","PubMed")</f>
        <v>PubMed</v>
      </c>
      <c r="V7356" s="50"/>
      <c r="W7356" s="49"/>
      <c r="X7356" s="49"/>
      <c r="Y7356" s="35"/>
      <c r="Z7356" s="35"/>
      <c r="AA7356" s="35"/>
      <c r="AB7356" s="35"/>
      <c r="AC7356" s="35"/>
      <c r="AD7356" s="35"/>
      <c r="AE7356" s="35"/>
      <c r="AF7356" s="35"/>
      <c r="AG7356" s="35"/>
      <c r="AH7356" s="35"/>
      <c r="AI7356" s="35"/>
      <c r="AJ7356" s="35"/>
      <c r="AK7356" s="35"/>
      <c r="AL7356" s="35"/>
    </row>
    <row r="7357">
      <c r="A7357" s="1"/>
      <c r="B7357" s="19" t="s">
        <v>34071</v>
      </c>
      <c r="C7357" s="20" t="s">
        <v>34072</v>
      </c>
      <c r="D7357" s="47"/>
      <c r="E7357" s="22" t="s">
        <v>17601</v>
      </c>
      <c r="F7357" s="22" t="s">
        <v>1508</v>
      </c>
      <c r="G7357" s="23">
        <v>2022.0</v>
      </c>
      <c r="H7357" s="22" t="s">
        <v>14079</v>
      </c>
      <c r="I7357" s="24" t="s">
        <v>34073</v>
      </c>
      <c r="J7357" s="22" t="s">
        <v>1078</v>
      </c>
      <c r="K7357" s="22"/>
      <c r="L7357" s="167" t="s">
        <v>34074</v>
      </c>
      <c r="M7357" s="44"/>
      <c r="N7357" s="44"/>
      <c r="O7357" s="44"/>
      <c r="P7357" s="44"/>
      <c r="Q7357" s="44"/>
      <c r="R7357" s="44"/>
      <c r="S7357" s="44"/>
      <c r="T7357" s="45"/>
      <c r="U7357" s="38" t="s">
        <v>61</v>
      </c>
      <c r="V7357" s="50"/>
      <c r="W7357" s="49"/>
      <c r="X7357" s="49"/>
      <c r="Y7357" s="35"/>
      <c r="Z7357" s="35"/>
      <c r="AA7357" s="35"/>
      <c r="AB7357" s="35"/>
      <c r="AC7357" s="35"/>
      <c r="AD7357" s="35"/>
      <c r="AE7357" s="35"/>
      <c r="AF7357" s="35"/>
      <c r="AG7357" s="35"/>
      <c r="AH7357" s="35"/>
      <c r="AI7357" s="35"/>
      <c r="AJ7357" s="35"/>
      <c r="AK7357" s="35"/>
      <c r="AL7357" s="35"/>
    </row>
    <row r="7358">
      <c r="A7358" s="1"/>
      <c r="B7358" s="19" t="s">
        <v>34071</v>
      </c>
      <c r="C7358" s="20" t="s">
        <v>34075</v>
      </c>
      <c r="D7358" s="47"/>
      <c r="E7358" s="22" t="s">
        <v>3256</v>
      </c>
      <c r="F7358" s="22" t="s">
        <v>299</v>
      </c>
      <c r="G7358" s="23">
        <v>2022.0</v>
      </c>
      <c r="H7358" s="22" t="s">
        <v>30748</v>
      </c>
      <c r="I7358" s="24" t="s">
        <v>34076</v>
      </c>
      <c r="J7358" s="22" t="s">
        <v>34077</v>
      </c>
      <c r="K7358" s="22" t="s">
        <v>157</v>
      </c>
      <c r="L7358" s="36">
        <v>610.0</v>
      </c>
      <c r="M7358" s="36" t="s">
        <v>58</v>
      </c>
      <c r="N7358" s="36" t="s">
        <v>30286</v>
      </c>
      <c r="O7358" s="36" t="s">
        <v>58</v>
      </c>
      <c r="P7358" s="37" t="s">
        <v>58</v>
      </c>
      <c r="Q7358" s="36" t="s">
        <v>58</v>
      </c>
      <c r="R7358" s="36">
        <v>1200.0</v>
      </c>
      <c r="S7358" s="36" t="s">
        <v>34078</v>
      </c>
      <c r="T7358" s="28" t="s">
        <v>34079</v>
      </c>
      <c r="U7358" s="29" t="s">
        <v>61</v>
      </c>
      <c r="V7358" s="30" t="s">
        <v>34080</v>
      </c>
      <c r="W7358" s="49"/>
      <c r="X7358" s="49"/>
      <c r="Y7358" s="35"/>
      <c r="Z7358" s="35"/>
      <c r="AA7358" s="35"/>
      <c r="AB7358" s="35"/>
      <c r="AC7358" s="35"/>
      <c r="AD7358" s="35"/>
      <c r="AE7358" s="35"/>
      <c r="AF7358" s="35"/>
      <c r="AG7358" s="35"/>
      <c r="AH7358" s="35"/>
      <c r="AI7358" s="35"/>
      <c r="AJ7358" s="35"/>
      <c r="AK7358" s="35"/>
      <c r="AL7358" s="35"/>
    </row>
    <row r="7359">
      <c r="A7359" s="1"/>
      <c r="B7359" s="19" t="s">
        <v>34071</v>
      </c>
      <c r="C7359" s="20" t="s">
        <v>34081</v>
      </c>
      <c r="D7359" s="47"/>
      <c r="E7359" s="22" t="s">
        <v>3827</v>
      </c>
      <c r="F7359" s="22" t="s">
        <v>510</v>
      </c>
      <c r="G7359" s="23">
        <v>2023.0</v>
      </c>
      <c r="H7359" s="22" t="s">
        <v>91</v>
      </c>
      <c r="I7359" s="24" t="s">
        <v>34082</v>
      </c>
      <c r="J7359" s="22" t="s">
        <v>34083</v>
      </c>
      <c r="K7359" s="22" t="s">
        <v>19911</v>
      </c>
      <c r="L7359" s="36">
        <v>808.0</v>
      </c>
      <c r="M7359" s="37" t="s">
        <v>777</v>
      </c>
      <c r="N7359" s="37"/>
      <c r="O7359" s="36" t="s">
        <v>34084</v>
      </c>
      <c r="P7359" s="37" t="s">
        <v>17070</v>
      </c>
      <c r="Q7359" s="36"/>
      <c r="R7359" s="36" t="s">
        <v>34085</v>
      </c>
      <c r="S7359" s="36" t="s">
        <v>11820</v>
      </c>
      <c r="T7359" s="41" t="s">
        <v>34086</v>
      </c>
      <c r="U7359" s="38" t="s">
        <v>61</v>
      </c>
      <c r="V7359" s="50"/>
      <c r="W7359" s="49"/>
      <c r="X7359" s="49"/>
      <c r="Y7359" s="35"/>
      <c r="Z7359" s="35"/>
      <c r="AA7359" s="35"/>
      <c r="AB7359" s="35"/>
      <c r="AC7359" s="35"/>
      <c r="AD7359" s="35"/>
      <c r="AE7359" s="35"/>
      <c r="AF7359" s="35"/>
      <c r="AG7359" s="35"/>
      <c r="AH7359" s="35"/>
      <c r="AI7359" s="35"/>
      <c r="AJ7359" s="35"/>
      <c r="AK7359" s="35"/>
      <c r="AL7359" s="35"/>
    </row>
    <row r="7360">
      <c r="A7360" s="1"/>
      <c r="B7360" s="19" t="s">
        <v>34071</v>
      </c>
      <c r="C7360" s="20" t="s">
        <v>34081</v>
      </c>
      <c r="D7360" s="47"/>
      <c r="E7360" s="22" t="s">
        <v>12621</v>
      </c>
      <c r="F7360" s="22" t="s">
        <v>41</v>
      </c>
      <c r="G7360" s="23">
        <v>2023.0</v>
      </c>
      <c r="H7360" s="22" t="s">
        <v>3963</v>
      </c>
      <c r="I7360" s="24" t="s">
        <v>34087</v>
      </c>
      <c r="J7360" s="22" t="s">
        <v>34088</v>
      </c>
      <c r="K7360" s="22" t="s">
        <v>34089</v>
      </c>
      <c r="L7360" s="36" t="s">
        <v>194</v>
      </c>
      <c r="M7360" s="37" t="s">
        <v>4694</v>
      </c>
      <c r="N7360" s="37" t="s">
        <v>4694</v>
      </c>
      <c r="O7360" s="36" t="s">
        <v>34090</v>
      </c>
      <c r="P7360" s="37" t="s">
        <v>4694</v>
      </c>
      <c r="Q7360" s="36" t="s">
        <v>13420</v>
      </c>
      <c r="R7360" s="36" t="s">
        <v>34091</v>
      </c>
      <c r="S7360" s="36" t="s">
        <v>8494</v>
      </c>
      <c r="T7360" s="41" t="s">
        <v>34092</v>
      </c>
      <c r="U7360" s="38" t="s">
        <v>61</v>
      </c>
      <c r="V7360" s="50"/>
      <c r="W7360" s="49"/>
      <c r="X7360" s="49"/>
      <c r="Y7360" s="35"/>
      <c r="Z7360" s="35"/>
      <c r="AA7360" s="35"/>
      <c r="AB7360" s="35"/>
      <c r="AC7360" s="35"/>
      <c r="AD7360" s="35"/>
      <c r="AE7360" s="35"/>
      <c r="AF7360" s="35"/>
      <c r="AG7360" s="35"/>
      <c r="AH7360" s="35"/>
      <c r="AI7360" s="35"/>
      <c r="AJ7360" s="35"/>
      <c r="AK7360" s="35"/>
      <c r="AL7360" s="35"/>
    </row>
    <row r="7361">
      <c r="A7361" s="1"/>
      <c r="B7361" s="19" t="s">
        <v>34071</v>
      </c>
      <c r="C7361" s="20" t="s">
        <v>34093</v>
      </c>
      <c r="D7361" s="47"/>
      <c r="E7361" s="22" t="s">
        <v>17953</v>
      </c>
      <c r="F7361" s="22" t="s">
        <v>11086</v>
      </c>
      <c r="G7361" s="23">
        <v>2011.0</v>
      </c>
      <c r="H7361" s="22" t="s">
        <v>34094</v>
      </c>
      <c r="I7361" s="24" t="s">
        <v>34095</v>
      </c>
      <c r="J7361" s="22" t="s">
        <v>55</v>
      </c>
      <c r="K7361" s="22"/>
      <c r="L7361" s="36">
        <v>830.0</v>
      </c>
      <c r="M7361" s="36" t="s">
        <v>34096</v>
      </c>
      <c r="N7361" s="36"/>
      <c r="O7361" s="36"/>
      <c r="P7361" s="37"/>
      <c r="Q7361" s="36" t="s">
        <v>34097</v>
      </c>
      <c r="R7361" s="36"/>
      <c r="S7361" s="36"/>
      <c r="T7361" s="42" t="s">
        <v>34098</v>
      </c>
      <c r="U7361" s="38" t="str">
        <f>HYPERLINK("https://www.ncbi.nlm.nih.gov/pubmed/26676389","PubMed")</f>
        <v>PubMed</v>
      </c>
      <c r="V7361" s="50"/>
      <c r="W7361" s="49"/>
      <c r="X7361" s="49"/>
      <c r="Y7361" s="35"/>
      <c r="Z7361" s="35"/>
      <c r="AA7361" s="35"/>
      <c r="AB7361" s="35"/>
      <c r="AC7361" s="35"/>
      <c r="AD7361" s="35"/>
      <c r="AE7361" s="35"/>
      <c r="AF7361" s="35"/>
      <c r="AG7361" s="35"/>
      <c r="AH7361" s="35"/>
      <c r="AI7361" s="35"/>
      <c r="AJ7361" s="35"/>
      <c r="AK7361" s="35"/>
      <c r="AL7361" s="35"/>
    </row>
    <row r="7362">
      <c r="A7362" s="1" t="s">
        <v>34099</v>
      </c>
      <c r="B7362" s="19" t="s">
        <v>34100</v>
      </c>
      <c r="C7362" s="20"/>
      <c r="D7362" s="47"/>
      <c r="E7362" s="22" t="s">
        <v>2316</v>
      </c>
      <c r="F7362" s="22" t="s">
        <v>1862</v>
      </c>
      <c r="G7362" s="23">
        <v>2015.0</v>
      </c>
      <c r="H7362" s="22" t="s">
        <v>3211</v>
      </c>
      <c r="I7362" s="24" t="s">
        <v>34101</v>
      </c>
      <c r="J7362" s="22" t="s">
        <v>44</v>
      </c>
      <c r="K7362" s="22"/>
      <c r="L7362" s="36">
        <v>670.0</v>
      </c>
      <c r="M7362" s="36"/>
      <c r="N7362" s="36"/>
      <c r="O7362" s="36"/>
      <c r="P7362" s="37"/>
      <c r="Q7362" s="36"/>
      <c r="R7362" s="36">
        <v>90.0</v>
      </c>
      <c r="S7362" s="36">
        <v>5.0</v>
      </c>
      <c r="T7362" s="28" t="s">
        <v>34102</v>
      </c>
      <c r="U7362" s="38" t="str">
        <f>HYPERLINK("https://www.ncbi.nlm.nih.gov/pubmed/25868009","PubMed")</f>
        <v>PubMed</v>
      </c>
      <c r="V7362" s="30"/>
      <c r="W7362" s="49"/>
      <c r="X7362" s="49"/>
      <c r="Y7362" s="35"/>
      <c r="Z7362" s="35"/>
      <c r="AA7362" s="35"/>
      <c r="AB7362" s="35"/>
      <c r="AC7362" s="35"/>
      <c r="AD7362" s="35"/>
      <c r="AE7362" s="35"/>
      <c r="AF7362" s="35"/>
      <c r="AG7362" s="35"/>
      <c r="AH7362" s="35"/>
      <c r="AI7362" s="35"/>
      <c r="AJ7362" s="35"/>
      <c r="AK7362" s="35"/>
      <c r="AL7362" s="35"/>
    </row>
    <row r="7363">
      <c r="A7363" s="39" t="s">
        <v>38</v>
      </c>
      <c r="B7363" s="19" t="s">
        <v>34103</v>
      </c>
      <c r="C7363" s="158" t="s">
        <v>34104</v>
      </c>
      <c r="D7363" s="159"/>
      <c r="E7363" s="23" t="s">
        <v>34105</v>
      </c>
      <c r="F7363" s="23" t="s">
        <v>510</v>
      </c>
      <c r="G7363" s="23" t="s">
        <v>90</v>
      </c>
      <c r="H7363" s="23" t="s">
        <v>91</v>
      </c>
      <c r="I7363" s="243" t="s">
        <v>34106</v>
      </c>
      <c r="J7363" s="23" t="s">
        <v>34107</v>
      </c>
      <c r="K7363" s="23" t="s">
        <v>34108</v>
      </c>
      <c r="L7363" s="94">
        <v>640.0</v>
      </c>
      <c r="M7363" s="94">
        <v>300.0</v>
      </c>
      <c r="N7363" s="94"/>
      <c r="P7363" s="94" t="s">
        <v>24004</v>
      </c>
      <c r="Q7363" s="172" t="s">
        <v>34109</v>
      </c>
      <c r="R7363" s="94">
        <v>60.0</v>
      </c>
      <c r="S7363" s="94">
        <v>3.0</v>
      </c>
      <c r="T7363" s="54" t="s">
        <v>34110</v>
      </c>
      <c r="U7363" s="135" t="str">
        <f>HYPERLINK("https://www.ncbi.nlm.nih.gov/pubmed/28717890","PubMed")</f>
        <v>PubMed</v>
      </c>
      <c r="V7363" s="30"/>
      <c r="W7363" s="49"/>
      <c r="X7363" s="49"/>
      <c r="Y7363" s="35"/>
      <c r="Z7363" s="35"/>
      <c r="AA7363" s="35"/>
      <c r="AB7363" s="35"/>
      <c r="AC7363" s="35"/>
      <c r="AD7363" s="35"/>
      <c r="AE7363" s="35"/>
      <c r="AF7363" s="35"/>
      <c r="AG7363" s="35"/>
      <c r="AH7363" s="35"/>
      <c r="AI7363" s="35"/>
      <c r="AJ7363" s="35"/>
      <c r="AK7363" s="35"/>
      <c r="AL7363" s="35"/>
    </row>
    <row r="7364">
      <c r="A7364" s="1"/>
      <c r="B7364" s="19" t="s">
        <v>34103</v>
      </c>
      <c r="C7364" s="158" t="s">
        <v>34111</v>
      </c>
      <c r="D7364" s="47"/>
      <c r="E7364" s="22" t="s">
        <v>34112</v>
      </c>
      <c r="F7364" s="22" t="s">
        <v>7796</v>
      </c>
      <c r="G7364" s="23">
        <v>1996.0</v>
      </c>
      <c r="H7364" s="22" t="s">
        <v>34113</v>
      </c>
      <c r="I7364" s="24" t="s">
        <v>34114</v>
      </c>
      <c r="J7364" s="22" t="s">
        <v>30187</v>
      </c>
      <c r="K7364" s="22"/>
      <c r="L7364" s="36"/>
      <c r="M7364" s="129"/>
      <c r="N7364" s="36"/>
      <c r="O7364" s="36"/>
      <c r="P7364" s="37"/>
      <c r="Q7364" s="36"/>
      <c r="R7364" s="36"/>
      <c r="S7364" s="36"/>
      <c r="T7364" s="28" t="s">
        <v>34115</v>
      </c>
      <c r="U7364" s="38" t="str">
        <f>HYPERLINK("https://www.ncbi.nlm.nih.gov/pubmed/8885468","PubMed")</f>
        <v>PubMed</v>
      </c>
      <c r="V7364" s="50"/>
      <c r="W7364" s="49"/>
      <c r="X7364" s="49"/>
      <c r="Y7364" s="35"/>
      <c r="Z7364" s="35"/>
      <c r="AA7364" s="35"/>
      <c r="AB7364" s="35"/>
      <c r="AC7364" s="35"/>
      <c r="AD7364" s="35"/>
      <c r="AE7364" s="35"/>
      <c r="AF7364" s="35"/>
      <c r="AG7364" s="35"/>
      <c r="AH7364" s="35"/>
      <c r="AI7364" s="35"/>
      <c r="AJ7364" s="35"/>
      <c r="AK7364" s="35"/>
      <c r="AL7364" s="35"/>
    </row>
    <row r="7365">
      <c r="A7365" s="1"/>
      <c r="B7365" s="19" t="s">
        <v>34103</v>
      </c>
      <c r="C7365" s="158" t="s">
        <v>34111</v>
      </c>
      <c r="D7365" s="47"/>
      <c r="E7365" s="22" t="s">
        <v>34112</v>
      </c>
      <c r="F7365" s="22" t="s">
        <v>7796</v>
      </c>
      <c r="G7365" s="23">
        <v>1995.0</v>
      </c>
      <c r="H7365" s="22" t="s">
        <v>292</v>
      </c>
      <c r="I7365" s="24" t="s">
        <v>34116</v>
      </c>
      <c r="J7365" s="22" t="s">
        <v>30187</v>
      </c>
      <c r="K7365" s="22" t="s">
        <v>1112</v>
      </c>
      <c r="L7365" s="36">
        <v>633.0</v>
      </c>
      <c r="M7365" s="129"/>
      <c r="N7365" s="36"/>
      <c r="O7365" s="36"/>
      <c r="P7365" s="37" t="s">
        <v>34117</v>
      </c>
      <c r="Q7365" s="36"/>
      <c r="R7365" s="36" t="s">
        <v>34118</v>
      </c>
      <c r="S7365" s="36"/>
      <c r="T7365" s="28" t="s">
        <v>34119</v>
      </c>
      <c r="U7365" s="38" t="str">
        <f>HYPERLINK("https://www.jstage.jst.go.jp/article/islsm/7/2/7_95-OR-12/_article/-char/en","J-STAGE")</f>
        <v>J-STAGE</v>
      </c>
      <c r="V7365" s="50"/>
      <c r="W7365" s="49"/>
      <c r="X7365" s="49"/>
      <c r="Y7365" s="35"/>
      <c r="Z7365" s="35"/>
      <c r="AA7365" s="35"/>
      <c r="AB7365" s="35"/>
      <c r="AC7365" s="35"/>
      <c r="AD7365" s="35"/>
      <c r="AE7365" s="35"/>
      <c r="AF7365" s="35"/>
      <c r="AG7365" s="35"/>
      <c r="AH7365" s="35"/>
      <c r="AI7365" s="35"/>
      <c r="AJ7365" s="35"/>
      <c r="AK7365" s="35"/>
      <c r="AL7365" s="35"/>
    </row>
    <row r="7366">
      <c r="A7366" s="1"/>
      <c r="B7366" s="19" t="s">
        <v>34103</v>
      </c>
      <c r="C7366" s="158" t="s">
        <v>34111</v>
      </c>
      <c r="D7366" s="47"/>
      <c r="E7366" s="22" t="s">
        <v>34112</v>
      </c>
      <c r="F7366" s="22" t="s">
        <v>7796</v>
      </c>
      <c r="G7366" s="23">
        <v>1994.0</v>
      </c>
      <c r="H7366" s="22" t="s">
        <v>292</v>
      </c>
      <c r="I7366" s="24" t="s">
        <v>34120</v>
      </c>
      <c r="J7366" s="22" t="s">
        <v>30187</v>
      </c>
      <c r="K7366" s="22" t="s">
        <v>1112</v>
      </c>
      <c r="L7366" s="36">
        <v>633.0</v>
      </c>
      <c r="M7366" s="129"/>
      <c r="N7366" s="36"/>
      <c r="O7366" s="36"/>
      <c r="P7366" s="37" t="s">
        <v>34117</v>
      </c>
      <c r="Q7366" s="36"/>
      <c r="R7366" s="36" t="s">
        <v>34118</v>
      </c>
      <c r="S7366" s="36"/>
      <c r="T7366" s="28" t="s">
        <v>34121</v>
      </c>
      <c r="U7366" s="38" t="str">
        <f>HYPERLINK("https://www.jstage.jst.go.jp/article/islsm/6/2/6_94-OR-05/_article/-char/en","J-STAGE")</f>
        <v>J-STAGE</v>
      </c>
      <c r="V7366" s="50"/>
      <c r="W7366" s="49"/>
      <c r="X7366" s="49"/>
      <c r="Y7366" s="35"/>
      <c r="Z7366" s="35"/>
      <c r="AA7366" s="35"/>
      <c r="AB7366" s="35"/>
      <c r="AC7366" s="35"/>
      <c r="AD7366" s="35"/>
      <c r="AE7366" s="35"/>
      <c r="AF7366" s="35"/>
      <c r="AG7366" s="35"/>
      <c r="AH7366" s="35"/>
      <c r="AI7366" s="35"/>
      <c r="AJ7366" s="35"/>
      <c r="AK7366" s="35"/>
      <c r="AL7366" s="35"/>
    </row>
    <row r="7367">
      <c r="A7367" s="18"/>
      <c r="B7367" s="19" t="s">
        <v>34103</v>
      </c>
      <c r="C7367" s="20" t="s">
        <v>34122</v>
      </c>
      <c r="D7367" s="47"/>
      <c r="E7367" s="22" t="s">
        <v>109</v>
      </c>
      <c r="F7367" s="22" t="s">
        <v>41</v>
      </c>
      <c r="G7367" s="23">
        <v>2024.0</v>
      </c>
      <c r="H7367" s="22" t="s">
        <v>627</v>
      </c>
      <c r="I7367" s="24" t="s">
        <v>34123</v>
      </c>
      <c r="J7367" s="22" t="s">
        <v>2141</v>
      </c>
      <c r="K7367" s="22"/>
      <c r="L7367" s="216"/>
      <c r="M7367" s="394"/>
      <c r="N7367" s="394"/>
      <c r="O7367" s="394"/>
      <c r="P7367" s="394"/>
      <c r="Q7367" s="394"/>
      <c r="R7367" s="394"/>
      <c r="S7367" s="394"/>
      <c r="T7367" s="214"/>
      <c r="U7367" s="38" t="s">
        <v>61</v>
      </c>
      <c r="V7367" s="30"/>
      <c r="W7367" s="49"/>
      <c r="X7367" s="49"/>
      <c r="Y7367" s="35"/>
      <c r="Z7367" s="35"/>
      <c r="AA7367" s="35"/>
      <c r="AB7367" s="35"/>
      <c r="AC7367" s="35"/>
      <c r="AD7367" s="35"/>
      <c r="AE7367" s="35"/>
      <c r="AF7367" s="35"/>
      <c r="AG7367" s="35"/>
      <c r="AH7367" s="35"/>
      <c r="AI7367" s="35"/>
      <c r="AJ7367" s="35"/>
      <c r="AK7367" s="35"/>
      <c r="AL7367" s="35"/>
    </row>
    <row r="7368">
      <c r="A7368" s="18"/>
      <c r="B7368" s="19" t="s">
        <v>34103</v>
      </c>
      <c r="C7368" s="20" t="s">
        <v>34124</v>
      </c>
      <c r="D7368" s="47"/>
      <c r="E7368" s="22" t="s">
        <v>2333</v>
      </c>
      <c r="F7368" s="22" t="s">
        <v>2334</v>
      </c>
      <c r="G7368" s="23">
        <v>2024.0</v>
      </c>
      <c r="H7368" s="22" t="s">
        <v>2335</v>
      </c>
      <c r="I7368" s="24" t="s">
        <v>34125</v>
      </c>
      <c r="J7368" s="22" t="s">
        <v>34126</v>
      </c>
      <c r="K7368" s="22"/>
      <c r="L7368" s="236"/>
      <c r="M7368" s="246"/>
      <c r="N7368" s="246"/>
      <c r="O7368" s="246"/>
      <c r="P7368" s="246"/>
      <c r="Q7368" s="246"/>
      <c r="R7368" s="246"/>
      <c r="S7368" s="246"/>
      <c r="T7368" s="54" t="s">
        <v>34127</v>
      </c>
      <c r="U7368" s="38" t="s">
        <v>61</v>
      </c>
      <c r="V7368" s="30"/>
      <c r="W7368" s="49"/>
      <c r="X7368" s="49"/>
      <c r="Y7368" s="35"/>
      <c r="Z7368" s="35"/>
      <c r="AA7368" s="35"/>
      <c r="AB7368" s="35"/>
      <c r="AC7368" s="35"/>
      <c r="AD7368" s="35"/>
      <c r="AE7368" s="35"/>
      <c r="AF7368" s="35"/>
      <c r="AG7368" s="35"/>
      <c r="AH7368" s="35"/>
      <c r="AI7368" s="35"/>
      <c r="AJ7368" s="35"/>
      <c r="AK7368" s="35"/>
      <c r="AL7368" s="35"/>
    </row>
    <row r="7369">
      <c r="A7369" s="18"/>
      <c r="B7369" s="19" t="s">
        <v>34103</v>
      </c>
      <c r="C7369" s="20" t="s">
        <v>34128</v>
      </c>
      <c r="D7369" s="47"/>
      <c r="E7369" s="22" t="s">
        <v>34129</v>
      </c>
      <c r="F7369" s="22" t="s">
        <v>1392</v>
      </c>
      <c r="G7369" s="23">
        <v>2024.0</v>
      </c>
      <c r="H7369" s="22" t="s">
        <v>30516</v>
      </c>
      <c r="I7369" s="24" t="s">
        <v>34130</v>
      </c>
      <c r="J7369" s="22" t="s">
        <v>34131</v>
      </c>
      <c r="K7369" s="22"/>
      <c r="L7369" s="236"/>
      <c r="M7369" s="246"/>
      <c r="N7369" s="246"/>
      <c r="O7369" s="246"/>
      <c r="P7369" s="246"/>
      <c r="Q7369" s="246"/>
      <c r="R7369" s="246"/>
      <c r="S7369" s="246"/>
      <c r="T7369" s="102" t="s">
        <v>34132</v>
      </c>
      <c r="U7369" s="38" t="s">
        <v>61</v>
      </c>
      <c r="V7369" s="30" t="s">
        <v>34133</v>
      </c>
      <c r="W7369" s="49"/>
      <c r="X7369" s="49"/>
      <c r="Y7369" s="35"/>
      <c r="Z7369" s="35"/>
      <c r="AA7369" s="35"/>
      <c r="AB7369" s="35"/>
      <c r="AC7369" s="35"/>
      <c r="AD7369" s="35"/>
      <c r="AE7369" s="35"/>
      <c r="AF7369" s="35"/>
      <c r="AG7369" s="35"/>
      <c r="AH7369" s="35"/>
      <c r="AI7369" s="35"/>
      <c r="AJ7369" s="35"/>
      <c r="AK7369" s="35"/>
      <c r="AL7369" s="35"/>
    </row>
    <row r="7370">
      <c r="A7370" s="18"/>
      <c r="B7370" s="19" t="s">
        <v>34103</v>
      </c>
      <c r="C7370" s="20" t="s">
        <v>34128</v>
      </c>
      <c r="D7370" s="47"/>
      <c r="E7370" s="22" t="s">
        <v>34134</v>
      </c>
      <c r="F7370" s="22" t="s">
        <v>34135</v>
      </c>
      <c r="G7370" s="23">
        <v>2021.0</v>
      </c>
      <c r="H7370" s="22" t="s">
        <v>7388</v>
      </c>
      <c r="I7370" s="24" t="s">
        <v>34136</v>
      </c>
      <c r="J7370" s="22" t="s">
        <v>34137</v>
      </c>
      <c r="K7370" s="22"/>
      <c r="L7370" s="236" t="s">
        <v>34138</v>
      </c>
      <c r="M7370" s="246"/>
      <c r="N7370" s="246"/>
      <c r="O7370" s="246"/>
      <c r="P7370" s="246" t="s">
        <v>34139</v>
      </c>
      <c r="Q7370" s="246"/>
      <c r="R7370" s="246"/>
      <c r="S7370" s="246"/>
      <c r="T7370" s="452" t="s">
        <v>34140</v>
      </c>
      <c r="U7370" s="29" t="s">
        <v>61</v>
      </c>
      <c r="V7370" s="30"/>
      <c r="W7370" s="49"/>
      <c r="X7370" s="49"/>
      <c r="Y7370" s="35"/>
      <c r="Z7370" s="35"/>
      <c r="AA7370" s="35"/>
      <c r="AB7370" s="35"/>
      <c r="AC7370" s="35"/>
      <c r="AD7370" s="35"/>
      <c r="AE7370" s="35"/>
      <c r="AF7370" s="35"/>
      <c r="AG7370" s="35"/>
      <c r="AH7370" s="35"/>
      <c r="AI7370" s="35"/>
      <c r="AJ7370" s="35"/>
      <c r="AK7370" s="35"/>
      <c r="AL7370" s="35"/>
    </row>
    <row r="7371">
      <c r="A7371" s="18"/>
      <c r="B7371" s="19" t="s">
        <v>34103</v>
      </c>
      <c r="C7371" s="20" t="s">
        <v>34128</v>
      </c>
      <c r="D7371" s="47"/>
      <c r="E7371" s="22" t="s">
        <v>34141</v>
      </c>
      <c r="F7371" s="22" t="s">
        <v>15303</v>
      </c>
      <c r="G7371" s="23">
        <v>2016.0</v>
      </c>
      <c r="H7371" s="22" t="s">
        <v>29892</v>
      </c>
      <c r="I7371" s="24" t="s">
        <v>34142</v>
      </c>
      <c r="J7371" s="22" t="s">
        <v>2049</v>
      </c>
      <c r="K7371" s="22" t="s">
        <v>34143</v>
      </c>
      <c r="L7371" s="36">
        <v>808.0</v>
      </c>
      <c r="M7371" s="36">
        <v>250.0</v>
      </c>
      <c r="N7371" s="36"/>
      <c r="O7371" s="36"/>
      <c r="P7371" s="37"/>
      <c r="Q7371" s="36"/>
      <c r="R7371" s="36"/>
      <c r="S7371" s="36"/>
      <c r="T7371" s="54" t="s">
        <v>34144</v>
      </c>
      <c r="U7371" s="38" t="str">
        <f>HYPERLINK("https://www.ncbi.nlm.nih.gov/pubmed/27651678","PubMed")</f>
        <v>PubMed</v>
      </c>
      <c r="V7371" s="30" t="s">
        <v>34145</v>
      </c>
      <c r="W7371" s="49"/>
      <c r="X7371" s="49"/>
      <c r="Y7371" s="35"/>
      <c r="Z7371" s="35"/>
      <c r="AA7371" s="35"/>
      <c r="AB7371" s="35"/>
      <c r="AC7371" s="35"/>
      <c r="AD7371" s="35"/>
      <c r="AE7371" s="35"/>
      <c r="AF7371" s="35"/>
      <c r="AG7371" s="35"/>
      <c r="AH7371" s="35"/>
      <c r="AI7371" s="35"/>
      <c r="AJ7371" s="35"/>
      <c r="AK7371" s="35"/>
      <c r="AL7371" s="35"/>
    </row>
    <row r="7372">
      <c r="A7372" s="18"/>
      <c r="B7372" s="19" t="s">
        <v>34103</v>
      </c>
      <c r="C7372" s="20" t="s">
        <v>34146</v>
      </c>
      <c r="D7372" s="47"/>
      <c r="E7372" s="22" t="s">
        <v>34141</v>
      </c>
      <c r="F7372" s="22" t="s">
        <v>34147</v>
      </c>
      <c r="G7372" s="23">
        <v>2022.0</v>
      </c>
      <c r="H7372" s="22" t="s">
        <v>34148</v>
      </c>
      <c r="I7372" s="24" t="s">
        <v>34149</v>
      </c>
      <c r="J7372" s="22" t="s">
        <v>125</v>
      </c>
      <c r="K7372" s="22"/>
      <c r="L7372" s="195" t="s">
        <v>34150</v>
      </c>
      <c r="M7372" s="44"/>
      <c r="N7372" s="44"/>
      <c r="O7372" s="44"/>
      <c r="P7372" s="44"/>
      <c r="Q7372" s="44"/>
      <c r="R7372" s="44"/>
      <c r="S7372" s="44"/>
      <c r="T7372" s="44"/>
      <c r="U7372" s="38" t="s">
        <v>61</v>
      </c>
      <c r="V7372" s="30"/>
      <c r="W7372" s="49"/>
      <c r="X7372" s="49"/>
      <c r="Y7372" s="35"/>
      <c r="Z7372" s="35"/>
      <c r="AA7372" s="35"/>
      <c r="AB7372" s="35"/>
      <c r="AC7372" s="35"/>
      <c r="AD7372" s="35"/>
      <c r="AE7372" s="35"/>
      <c r="AF7372" s="35"/>
      <c r="AG7372" s="35"/>
      <c r="AH7372" s="35"/>
      <c r="AI7372" s="35"/>
      <c r="AJ7372" s="35"/>
      <c r="AK7372" s="35"/>
      <c r="AL7372" s="35"/>
    </row>
    <row r="7373">
      <c r="A7373" s="18"/>
      <c r="B7373" s="19" t="s">
        <v>34103</v>
      </c>
      <c r="C7373" s="20" t="s">
        <v>34151</v>
      </c>
      <c r="D7373" s="47"/>
      <c r="E7373" s="22" t="s">
        <v>543</v>
      </c>
      <c r="F7373" s="22" t="s">
        <v>32636</v>
      </c>
      <c r="G7373" s="23">
        <v>2021.0</v>
      </c>
      <c r="H7373" s="22" t="s">
        <v>91</v>
      </c>
      <c r="I7373" s="24" t="s">
        <v>34152</v>
      </c>
      <c r="J7373" s="22" t="s">
        <v>2049</v>
      </c>
      <c r="K7373" s="22"/>
      <c r="L7373" s="236" t="s">
        <v>15791</v>
      </c>
      <c r="M7373" s="246" t="s">
        <v>34153</v>
      </c>
      <c r="N7373" s="246"/>
      <c r="O7373" s="246">
        <v>4320.0</v>
      </c>
      <c r="P7373" s="246"/>
      <c r="Q7373" s="246" t="s">
        <v>34154</v>
      </c>
      <c r="R7373" s="246">
        <v>360.0</v>
      </c>
      <c r="S7373" s="246"/>
      <c r="T7373" s="104" t="s">
        <v>34155</v>
      </c>
      <c r="U7373" s="29" t="s">
        <v>61</v>
      </c>
      <c r="V7373" s="30"/>
      <c r="W7373" s="49"/>
      <c r="X7373" s="49"/>
      <c r="Y7373" s="35"/>
      <c r="Z7373" s="35"/>
      <c r="AA7373" s="35"/>
      <c r="AB7373" s="35"/>
      <c r="AC7373" s="35"/>
      <c r="AD7373" s="35"/>
      <c r="AE7373" s="35"/>
      <c r="AF7373" s="35"/>
      <c r="AG7373" s="35"/>
      <c r="AH7373" s="35"/>
      <c r="AI7373" s="35"/>
      <c r="AJ7373" s="35"/>
      <c r="AK7373" s="35"/>
      <c r="AL7373" s="35"/>
    </row>
    <row r="7374">
      <c r="A7374" s="18"/>
      <c r="B7374" s="19" t="s">
        <v>34103</v>
      </c>
      <c r="C7374" s="20" t="s">
        <v>34156</v>
      </c>
      <c r="D7374" s="47"/>
      <c r="E7374" s="22" t="s">
        <v>9731</v>
      </c>
      <c r="F7374" s="22" t="s">
        <v>34157</v>
      </c>
      <c r="G7374" s="23">
        <v>2023.0</v>
      </c>
      <c r="H7374" s="22" t="s">
        <v>34158</v>
      </c>
      <c r="I7374" s="24" t="s">
        <v>34159</v>
      </c>
      <c r="J7374" s="22" t="s">
        <v>34160</v>
      </c>
      <c r="K7374" s="22" t="s">
        <v>34161</v>
      </c>
      <c r="L7374" s="236" t="s">
        <v>194</v>
      </c>
      <c r="M7374" s="246"/>
      <c r="N7374" s="246"/>
      <c r="O7374" s="246"/>
      <c r="P7374" s="246"/>
      <c r="Q7374" s="246"/>
      <c r="R7374" s="246"/>
      <c r="S7374" s="246" t="s">
        <v>34162</v>
      </c>
      <c r="T7374" s="104" t="s">
        <v>34163</v>
      </c>
      <c r="U7374" s="38" t="s">
        <v>61</v>
      </c>
      <c r="V7374" s="30"/>
      <c r="W7374" s="49"/>
      <c r="X7374" s="49"/>
      <c r="Y7374" s="35"/>
      <c r="Z7374" s="35"/>
      <c r="AA7374" s="35"/>
      <c r="AB7374" s="35"/>
      <c r="AC7374" s="35"/>
      <c r="AD7374" s="35"/>
      <c r="AE7374" s="35"/>
      <c r="AF7374" s="35"/>
      <c r="AG7374" s="35"/>
      <c r="AH7374" s="35"/>
      <c r="AI7374" s="35"/>
      <c r="AJ7374" s="35"/>
      <c r="AK7374" s="35"/>
      <c r="AL7374" s="35"/>
    </row>
    <row r="7375">
      <c r="A7375" s="18"/>
      <c r="B7375" s="19" t="s">
        <v>34103</v>
      </c>
      <c r="C7375" s="20" t="s">
        <v>34164</v>
      </c>
      <c r="D7375" s="47"/>
      <c r="E7375" s="22" t="s">
        <v>34165</v>
      </c>
      <c r="F7375" s="22" t="s">
        <v>34166</v>
      </c>
      <c r="G7375" s="23">
        <v>2022.0</v>
      </c>
      <c r="H7375" s="22" t="s">
        <v>34167</v>
      </c>
      <c r="I7375" s="24" t="s">
        <v>34168</v>
      </c>
      <c r="J7375" s="22" t="s">
        <v>2049</v>
      </c>
      <c r="K7375" s="22" t="s">
        <v>8417</v>
      </c>
      <c r="L7375" s="236" t="s">
        <v>34169</v>
      </c>
      <c r="M7375" s="246"/>
      <c r="N7375" s="246" t="s">
        <v>34170</v>
      </c>
      <c r="O7375" s="246"/>
      <c r="P7375" s="246"/>
      <c r="Q7375" s="246"/>
      <c r="R7375" s="246">
        <v>120.0</v>
      </c>
      <c r="S7375" s="246"/>
      <c r="T7375" s="104" t="s">
        <v>34171</v>
      </c>
      <c r="U7375" s="38" t="s">
        <v>61</v>
      </c>
      <c r="V7375" s="30"/>
      <c r="W7375" s="49"/>
      <c r="X7375" s="49"/>
      <c r="Y7375" s="35"/>
      <c r="Z7375" s="35"/>
      <c r="AA7375" s="35"/>
      <c r="AB7375" s="35"/>
      <c r="AC7375" s="35"/>
      <c r="AD7375" s="35"/>
      <c r="AE7375" s="35"/>
      <c r="AF7375" s="35"/>
      <c r="AG7375" s="35"/>
      <c r="AH7375" s="35"/>
      <c r="AI7375" s="35"/>
      <c r="AJ7375" s="35"/>
      <c r="AK7375" s="35"/>
      <c r="AL7375" s="35"/>
    </row>
    <row r="7376">
      <c r="A7376" s="18"/>
      <c r="B7376" s="19" t="s">
        <v>34103</v>
      </c>
      <c r="C7376" s="20" t="s">
        <v>34172</v>
      </c>
      <c r="D7376" s="47"/>
      <c r="E7376" s="22" t="s">
        <v>25516</v>
      </c>
      <c r="F7376" s="22" t="s">
        <v>23201</v>
      </c>
      <c r="G7376" s="23">
        <v>2023.0</v>
      </c>
      <c r="H7376" s="22" t="s">
        <v>77</v>
      </c>
      <c r="I7376" s="24" t="s">
        <v>34173</v>
      </c>
      <c r="J7376" s="22" t="s">
        <v>34174</v>
      </c>
      <c r="K7376" s="22"/>
      <c r="L7376" s="236">
        <v>650.0</v>
      </c>
      <c r="M7376" s="246">
        <v>100.0</v>
      </c>
      <c r="N7376" s="246" t="s">
        <v>1175</v>
      </c>
      <c r="O7376" s="246"/>
      <c r="P7376" s="246">
        <v>20.0</v>
      </c>
      <c r="Q7376" s="246"/>
      <c r="R7376" s="246">
        <v>100.0</v>
      </c>
      <c r="S7376" s="246"/>
      <c r="T7376" s="452" t="s">
        <v>34175</v>
      </c>
      <c r="U7376" s="38" t="s">
        <v>61</v>
      </c>
      <c r="V7376" s="30"/>
      <c r="W7376" s="49"/>
      <c r="X7376" s="49"/>
      <c r="Y7376" s="35"/>
      <c r="Z7376" s="35"/>
      <c r="AA7376" s="35"/>
      <c r="AB7376" s="35"/>
      <c r="AC7376" s="35"/>
      <c r="AD7376" s="35"/>
      <c r="AE7376" s="35"/>
      <c r="AF7376" s="35"/>
      <c r="AG7376" s="35"/>
      <c r="AH7376" s="35"/>
      <c r="AI7376" s="35"/>
      <c r="AJ7376" s="35"/>
      <c r="AK7376" s="35"/>
      <c r="AL7376" s="35"/>
    </row>
    <row r="7377">
      <c r="A7377" s="18"/>
      <c r="B7377" s="19" t="s">
        <v>34103</v>
      </c>
      <c r="C7377" s="20" t="s">
        <v>34172</v>
      </c>
      <c r="D7377" s="47"/>
      <c r="E7377" s="22" t="s">
        <v>543</v>
      </c>
      <c r="F7377" s="22" t="s">
        <v>32636</v>
      </c>
      <c r="G7377" s="23">
        <v>2023.0</v>
      </c>
      <c r="H7377" s="22" t="s">
        <v>34176</v>
      </c>
      <c r="I7377" s="24" t="s">
        <v>34177</v>
      </c>
      <c r="J7377" s="22" t="s">
        <v>34178</v>
      </c>
      <c r="K7377" s="22"/>
      <c r="L7377" s="236"/>
      <c r="M7377" s="246"/>
      <c r="N7377" s="246"/>
      <c r="O7377" s="246"/>
      <c r="P7377" s="246"/>
      <c r="Q7377" s="246"/>
      <c r="R7377" s="246"/>
      <c r="S7377" s="246">
        <v>1.0</v>
      </c>
      <c r="T7377" s="104" t="s">
        <v>34179</v>
      </c>
      <c r="U7377" s="38" t="s">
        <v>61</v>
      </c>
      <c r="V7377" s="30" t="s">
        <v>174</v>
      </c>
      <c r="W7377" s="49"/>
      <c r="X7377" s="49"/>
      <c r="Y7377" s="35"/>
      <c r="Z7377" s="35"/>
      <c r="AA7377" s="35"/>
      <c r="AB7377" s="35"/>
      <c r="AC7377" s="35"/>
      <c r="AD7377" s="35"/>
      <c r="AE7377" s="35"/>
      <c r="AF7377" s="35"/>
      <c r="AG7377" s="35"/>
      <c r="AH7377" s="35"/>
      <c r="AI7377" s="35"/>
      <c r="AJ7377" s="35"/>
      <c r="AK7377" s="35"/>
      <c r="AL7377" s="35"/>
    </row>
    <row r="7378">
      <c r="A7378" s="18"/>
      <c r="B7378" s="19" t="s">
        <v>34103</v>
      </c>
      <c r="C7378" s="20" t="s">
        <v>34180</v>
      </c>
      <c r="D7378" s="47"/>
      <c r="E7378" s="22" t="s">
        <v>543</v>
      </c>
      <c r="F7378" s="22" t="s">
        <v>32636</v>
      </c>
      <c r="G7378" s="23">
        <v>2023.0</v>
      </c>
      <c r="H7378" s="22" t="s">
        <v>30516</v>
      </c>
      <c r="I7378" s="24" t="s">
        <v>34181</v>
      </c>
      <c r="J7378" s="22" t="s">
        <v>34182</v>
      </c>
      <c r="K7378" s="22" t="s">
        <v>34183</v>
      </c>
      <c r="L7378" s="236">
        <v>980.0</v>
      </c>
      <c r="M7378" s="246">
        <v>13000.0</v>
      </c>
      <c r="N7378" s="453">
        <v>45079.0</v>
      </c>
      <c r="O7378" s="246">
        <v>5250.0</v>
      </c>
      <c r="P7378" s="246">
        <v>15.0</v>
      </c>
      <c r="Q7378" s="246" t="s">
        <v>34184</v>
      </c>
      <c r="R7378" s="246">
        <v>404.0</v>
      </c>
      <c r="S7378" s="246" t="s">
        <v>34185</v>
      </c>
      <c r="T7378" s="104" t="s">
        <v>34186</v>
      </c>
      <c r="U7378" s="38" t="s">
        <v>61</v>
      </c>
      <c r="V7378" s="30"/>
      <c r="W7378" s="49"/>
      <c r="X7378" s="49"/>
      <c r="Y7378" s="35"/>
      <c r="Z7378" s="35"/>
      <c r="AA7378" s="35"/>
      <c r="AB7378" s="35"/>
      <c r="AC7378" s="35"/>
      <c r="AD7378" s="35"/>
      <c r="AE7378" s="35"/>
      <c r="AF7378" s="35"/>
      <c r="AG7378" s="35"/>
      <c r="AH7378" s="35"/>
      <c r="AI7378" s="35"/>
      <c r="AJ7378" s="35"/>
      <c r="AK7378" s="35"/>
      <c r="AL7378" s="35"/>
    </row>
    <row r="7379">
      <c r="A7379" s="18"/>
      <c r="B7379" s="19" t="s">
        <v>34103</v>
      </c>
      <c r="C7379" s="20" t="s">
        <v>34180</v>
      </c>
      <c r="D7379" s="47"/>
      <c r="E7379" s="22" t="s">
        <v>13320</v>
      </c>
      <c r="F7379" s="22" t="s">
        <v>34187</v>
      </c>
      <c r="G7379" s="23">
        <v>2022.0</v>
      </c>
      <c r="H7379" s="22" t="s">
        <v>34158</v>
      </c>
      <c r="I7379" s="24" t="s">
        <v>34188</v>
      </c>
      <c r="J7379" s="22" t="s">
        <v>34189</v>
      </c>
      <c r="K7379" s="22"/>
      <c r="L7379" s="236"/>
      <c r="M7379" s="246"/>
      <c r="N7379" s="246"/>
      <c r="O7379" s="246"/>
      <c r="P7379" s="246"/>
      <c r="Q7379" s="246"/>
      <c r="R7379" s="246"/>
      <c r="S7379" s="246"/>
      <c r="T7379" s="104" t="s">
        <v>34190</v>
      </c>
      <c r="U7379" s="38" t="s">
        <v>61</v>
      </c>
      <c r="V7379" s="30"/>
      <c r="W7379" s="49"/>
      <c r="X7379" s="49"/>
      <c r="Y7379" s="35"/>
      <c r="Z7379" s="35"/>
      <c r="AA7379" s="35"/>
      <c r="AB7379" s="35"/>
      <c r="AC7379" s="35"/>
      <c r="AD7379" s="35"/>
      <c r="AE7379" s="35"/>
      <c r="AF7379" s="35"/>
      <c r="AG7379" s="35"/>
      <c r="AH7379" s="35"/>
      <c r="AI7379" s="35"/>
      <c r="AJ7379" s="35"/>
      <c r="AK7379" s="35"/>
      <c r="AL7379" s="35"/>
    </row>
    <row r="7380">
      <c r="A7380" s="18"/>
      <c r="B7380" s="19" t="s">
        <v>34103</v>
      </c>
      <c r="C7380" s="20" t="s">
        <v>34180</v>
      </c>
      <c r="D7380" s="47"/>
      <c r="E7380" s="22" t="s">
        <v>543</v>
      </c>
      <c r="F7380" s="22" t="s">
        <v>32636</v>
      </c>
      <c r="G7380" s="23">
        <v>2022.0</v>
      </c>
      <c r="H7380" s="22" t="s">
        <v>2047</v>
      </c>
      <c r="I7380" s="24" t="s">
        <v>34191</v>
      </c>
      <c r="J7380" s="22" t="s">
        <v>34192</v>
      </c>
      <c r="K7380" s="22" t="s">
        <v>34193</v>
      </c>
      <c r="L7380" s="94" t="s">
        <v>34194</v>
      </c>
      <c r="M7380" s="94"/>
      <c r="N7380" s="94"/>
      <c r="O7380" s="94"/>
      <c r="P7380" s="94"/>
      <c r="Q7380" s="94"/>
      <c r="R7380" s="94"/>
      <c r="S7380" s="94"/>
      <c r="T7380" s="104" t="s">
        <v>34195</v>
      </c>
      <c r="U7380" s="38" t="s">
        <v>61</v>
      </c>
      <c r="V7380" s="30"/>
      <c r="W7380" s="49"/>
      <c r="X7380" s="49"/>
      <c r="Y7380" s="35"/>
      <c r="Z7380" s="35"/>
      <c r="AA7380" s="35"/>
      <c r="AB7380" s="35"/>
      <c r="AC7380" s="35"/>
      <c r="AD7380" s="35"/>
      <c r="AE7380" s="35"/>
      <c r="AF7380" s="35"/>
      <c r="AG7380" s="35"/>
      <c r="AH7380" s="35"/>
      <c r="AI7380" s="35"/>
      <c r="AJ7380" s="35"/>
      <c r="AK7380" s="35"/>
      <c r="AL7380" s="35"/>
    </row>
    <row r="7381">
      <c r="A7381" s="18"/>
      <c r="B7381" s="19" t="s">
        <v>34103</v>
      </c>
      <c r="C7381" s="20" t="s">
        <v>34180</v>
      </c>
      <c r="D7381" s="47"/>
      <c r="E7381" s="22" t="s">
        <v>34196</v>
      </c>
      <c r="F7381" s="22" t="s">
        <v>2574</v>
      </c>
      <c r="G7381" s="23">
        <v>2020.0</v>
      </c>
      <c r="H7381" s="22" t="s">
        <v>34197</v>
      </c>
      <c r="I7381" s="24" t="s">
        <v>34198</v>
      </c>
      <c r="J7381" s="22" t="s">
        <v>8446</v>
      </c>
      <c r="K7381" s="22"/>
      <c r="L7381" s="43" t="s">
        <v>34199</v>
      </c>
      <c r="M7381" s="44"/>
      <c r="N7381" s="44"/>
      <c r="O7381" s="44"/>
      <c r="P7381" s="44"/>
      <c r="Q7381" s="44"/>
      <c r="R7381" s="44"/>
      <c r="S7381" s="44"/>
      <c r="T7381" s="45"/>
      <c r="U7381" s="38" t="str">
        <f>HYPERLINK("https://www.ncbi.nlm.nih.gov/pubmed/32182110","PubMed")</f>
        <v>PubMed</v>
      </c>
      <c r="V7381" s="30"/>
      <c r="W7381" s="49"/>
      <c r="X7381" s="49"/>
      <c r="Y7381" s="35"/>
      <c r="Z7381" s="35"/>
      <c r="AA7381" s="35"/>
      <c r="AB7381" s="35"/>
      <c r="AC7381" s="35"/>
      <c r="AD7381" s="35"/>
      <c r="AE7381" s="35"/>
      <c r="AF7381" s="35"/>
      <c r="AG7381" s="35"/>
      <c r="AH7381" s="35"/>
      <c r="AI7381" s="35"/>
      <c r="AJ7381" s="35"/>
      <c r="AK7381" s="35"/>
      <c r="AL7381" s="35"/>
    </row>
    <row r="7382">
      <c r="A7382" s="18"/>
      <c r="B7382" s="19" t="s">
        <v>34103</v>
      </c>
      <c r="C7382" s="20" t="s">
        <v>34200</v>
      </c>
      <c r="D7382" s="47"/>
      <c r="E7382" s="22" t="s">
        <v>34201</v>
      </c>
      <c r="F7382" s="22" t="s">
        <v>4253</v>
      </c>
      <c r="G7382" s="23">
        <v>2023.0</v>
      </c>
      <c r="H7382" s="22" t="s">
        <v>7388</v>
      </c>
      <c r="I7382" s="24" t="s">
        <v>34202</v>
      </c>
      <c r="J7382" s="22" t="s">
        <v>21527</v>
      </c>
      <c r="K7382" s="22"/>
      <c r="L7382" s="236"/>
      <c r="M7382" s="246"/>
      <c r="N7382" s="246"/>
      <c r="O7382" s="246"/>
      <c r="P7382" s="246"/>
      <c r="Q7382" s="246"/>
      <c r="R7382" s="246"/>
      <c r="S7382" s="246"/>
      <c r="T7382" s="104" t="s">
        <v>34203</v>
      </c>
      <c r="U7382" s="38" t="s">
        <v>61</v>
      </c>
      <c r="V7382" s="30"/>
      <c r="W7382" s="49"/>
      <c r="X7382" s="49"/>
      <c r="Y7382" s="35"/>
      <c r="Z7382" s="35"/>
      <c r="AA7382" s="35"/>
      <c r="AB7382" s="35"/>
      <c r="AC7382" s="35"/>
      <c r="AD7382" s="35"/>
      <c r="AE7382" s="35"/>
      <c r="AF7382" s="35"/>
      <c r="AG7382" s="35"/>
      <c r="AH7382" s="35"/>
      <c r="AI7382" s="35"/>
      <c r="AJ7382" s="35"/>
      <c r="AK7382" s="35"/>
      <c r="AL7382" s="35"/>
    </row>
    <row r="7383">
      <c r="A7383" s="18"/>
      <c r="B7383" s="19" t="s">
        <v>34103</v>
      </c>
      <c r="C7383" s="20" t="s">
        <v>34204</v>
      </c>
      <c r="D7383" s="47"/>
      <c r="E7383" s="22" t="s">
        <v>34205</v>
      </c>
      <c r="F7383" s="22" t="s">
        <v>19477</v>
      </c>
      <c r="G7383" s="23">
        <v>2021.0</v>
      </c>
      <c r="H7383" s="22" t="s">
        <v>29892</v>
      </c>
      <c r="I7383" s="24" t="s">
        <v>34206</v>
      </c>
      <c r="J7383" s="22" t="s">
        <v>34207</v>
      </c>
      <c r="K7383" s="22"/>
      <c r="L7383" s="236" t="s">
        <v>34208</v>
      </c>
      <c r="M7383" s="246"/>
      <c r="N7383" s="246"/>
      <c r="O7383" s="246"/>
      <c r="P7383" s="246"/>
      <c r="Q7383" s="246"/>
      <c r="R7383" s="246"/>
      <c r="S7383" s="246"/>
      <c r="T7383" s="104" t="s">
        <v>34209</v>
      </c>
      <c r="U7383" s="29" t="s">
        <v>61</v>
      </c>
      <c r="V7383" s="30"/>
      <c r="W7383" s="49"/>
      <c r="X7383" s="49"/>
      <c r="Y7383" s="35"/>
      <c r="Z7383" s="35"/>
      <c r="AA7383" s="35"/>
      <c r="AB7383" s="35"/>
      <c r="AC7383" s="35"/>
      <c r="AD7383" s="35"/>
      <c r="AE7383" s="35"/>
      <c r="AF7383" s="35"/>
      <c r="AG7383" s="35"/>
      <c r="AH7383" s="35"/>
      <c r="AI7383" s="35"/>
      <c r="AJ7383" s="35"/>
      <c r="AK7383" s="35"/>
      <c r="AL7383" s="35"/>
    </row>
    <row r="7384">
      <c r="A7384" s="18"/>
      <c r="B7384" s="19" t="s">
        <v>34103</v>
      </c>
      <c r="C7384" s="20" t="s">
        <v>34204</v>
      </c>
      <c r="D7384" s="47"/>
      <c r="E7384" s="22" t="s">
        <v>34210</v>
      </c>
      <c r="F7384" s="22" t="s">
        <v>3885</v>
      </c>
      <c r="G7384" s="23">
        <v>2021.0</v>
      </c>
      <c r="H7384" s="22" t="s">
        <v>147</v>
      </c>
      <c r="I7384" s="24" t="s">
        <v>34211</v>
      </c>
      <c r="J7384" s="22" t="s">
        <v>34212</v>
      </c>
      <c r="K7384" s="22" t="s">
        <v>1848</v>
      </c>
      <c r="L7384" s="292" t="s">
        <v>34213</v>
      </c>
      <c r="M7384" s="367"/>
      <c r="N7384" s="367"/>
      <c r="O7384" s="367"/>
      <c r="P7384" s="454" t="s">
        <v>34214</v>
      </c>
      <c r="Q7384" s="367"/>
      <c r="R7384" s="367"/>
      <c r="S7384" s="367"/>
      <c r="T7384" s="102" t="s">
        <v>34215</v>
      </c>
      <c r="U7384" s="29" t="s">
        <v>61</v>
      </c>
      <c r="V7384" s="30"/>
      <c r="W7384" s="49"/>
      <c r="X7384" s="49"/>
      <c r="Y7384" s="35"/>
      <c r="Z7384" s="35"/>
      <c r="AA7384" s="35"/>
      <c r="AB7384" s="35"/>
      <c r="AC7384" s="35"/>
      <c r="AD7384" s="35"/>
      <c r="AE7384" s="35"/>
      <c r="AF7384" s="35"/>
      <c r="AG7384" s="35"/>
      <c r="AH7384" s="35"/>
      <c r="AI7384" s="35"/>
      <c r="AJ7384" s="35"/>
      <c r="AK7384" s="35"/>
      <c r="AL7384" s="35"/>
    </row>
    <row r="7385">
      <c r="A7385" s="18"/>
      <c r="B7385" s="19" t="s">
        <v>34103</v>
      </c>
      <c r="C7385" s="20" t="s">
        <v>34204</v>
      </c>
      <c r="D7385" s="47"/>
      <c r="E7385" s="22" t="s">
        <v>34216</v>
      </c>
      <c r="F7385" s="22" t="s">
        <v>34166</v>
      </c>
      <c r="G7385" s="23">
        <v>2020.0</v>
      </c>
      <c r="H7385" s="22" t="s">
        <v>2060</v>
      </c>
      <c r="I7385" s="24" t="s">
        <v>34217</v>
      </c>
      <c r="J7385" s="22" t="s">
        <v>34218</v>
      </c>
      <c r="K7385" s="22" t="s">
        <v>34219</v>
      </c>
      <c r="L7385" s="292"/>
      <c r="M7385" s="367"/>
      <c r="N7385" s="367"/>
      <c r="O7385" s="367"/>
      <c r="P7385" s="454"/>
      <c r="Q7385" s="367"/>
      <c r="R7385" s="367"/>
      <c r="S7385" s="367"/>
      <c r="T7385" s="54" t="s">
        <v>34220</v>
      </c>
      <c r="U7385" s="38" t="s">
        <v>61</v>
      </c>
      <c r="V7385" s="30"/>
      <c r="W7385" s="49"/>
      <c r="X7385" s="49"/>
      <c r="Y7385" s="35"/>
      <c r="Z7385" s="35"/>
      <c r="AA7385" s="35"/>
      <c r="AB7385" s="35"/>
      <c r="AC7385" s="35"/>
      <c r="AD7385" s="35"/>
      <c r="AE7385" s="35"/>
      <c r="AF7385" s="35"/>
      <c r="AG7385" s="35"/>
      <c r="AH7385" s="35"/>
      <c r="AI7385" s="35"/>
      <c r="AJ7385" s="35"/>
      <c r="AK7385" s="35"/>
      <c r="AL7385" s="35"/>
    </row>
    <row r="7386">
      <c r="A7386" s="18"/>
      <c r="B7386" s="19" t="s">
        <v>34103</v>
      </c>
      <c r="C7386" s="20" t="s">
        <v>34204</v>
      </c>
      <c r="D7386" s="47"/>
      <c r="E7386" s="22" t="s">
        <v>34221</v>
      </c>
      <c r="F7386" s="22" t="s">
        <v>34222</v>
      </c>
      <c r="G7386" s="23">
        <v>2019.0</v>
      </c>
      <c r="H7386" s="22" t="s">
        <v>34167</v>
      </c>
      <c r="I7386" s="24" t="s">
        <v>34223</v>
      </c>
      <c r="J7386" s="22" t="s">
        <v>2049</v>
      </c>
      <c r="K7386" s="22"/>
      <c r="L7386" s="36" t="s">
        <v>34224</v>
      </c>
      <c r="M7386" s="36"/>
      <c r="N7386" s="36"/>
      <c r="O7386" s="36"/>
      <c r="P7386" s="37">
        <v>8.0</v>
      </c>
      <c r="Q7386" s="36"/>
      <c r="R7386" s="36"/>
      <c r="S7386" s="36">
        <v>7.0</v>
      </c>
      <c r="T7386" s="173" t="s">
        <v>34225</v>
      </c>
      <c r="U7386" s="38" t="str">
        <f>HYPERLINK("https://www.ncbi.nlm.nih.gov/pmc/articles/PMC6362418/","PubMed")</f>
        <v>PubMed</v>
      </c>
      <c r="V7386" s="30"/>
      <c r="W7386" s="49"/>
      <c r="X7386" s="49"/>
      <c r="Y7386" s="35"/>
      <c r="Z7386" s="35"/>
      <c r="AA7386" s="35"/>
      <c r="AB7386" s="35"/>
      <c r="AC7386" s="35"/>
      <c r="AD7386" s="35"/>
      <c r="AE7386" s="35"/>
      <c r="AF7386" s="35"/>
      <c r="AG7386" s="35"/>
      <c r="AH7386" s="35"/>
      <c r="AI7386" s="35"/>
      <c r="AJ7386" s="35"/>
      <c r="AK7386" s="35"/>
      <c r="AL7386" s="35"/>
    </row>
    <row r="7387">
      <c r="A7387" s="18"/>
      <c r="B7387" s="19" t="s">
        <v>34103</v>
      </c>
      <c r="C7387" s="20" t="s">
        <v>34204</v>
      </c>
      <c r="D7387" s="47"/>
      <c r="E7387" s="22" t="s">
        <v>34226</v>
      </c>
      <c r="F7387" s="22" t="s">
        <v>34227</v>
      </c>
      <c r="G7387" s="23">
        <v>2015.0</v>
      </c>
      <c r="H7387" s="22" t="s">
        <v>2060</v>
      </c>
      <c r="I7387" s="24" t="s">
        <v>34228</v>
      </c>
      <c r="J7387" s="22" t="s">
        <v>34229</v>
      </c>
      <c r="K7387" s="22" t="s">
        <v>34230</v>
      </c>
      <c r="L7387" s="236">
        <v>635.0</v>
      </c>
      <c r="M7387" s="246">
        <v>15.0</v>
      </c>
      <c r="N7387" s="246"/>
      <c r="O7387" s="246"/>
      <c r="P7387" s="246" t="s">
        <v>34231</v>
      </c>
      <c r="Q7387" s="246"/>
      <c r="R7387" s="246"/>
      <c r="S7387" s="246"/>
      <c r="T7387" s="455" t="s">
        <v>34232</v>
      </c>
      <c r="U7387" s="29" t="s">
        <v>61</v>
      </c>
      <c r="V7387" s="30"/>
      <c r="W7387" s="49"/>
      <c r="X7387" s="49"/>
      <c r="Y7387" s="35"/>
      <c r="Z7387" s="35"/>
      <c r="AA7387" s="35"/>
      <c r="AB7387" s="35"/>
      <c r="AC7387" s="35"/>
      <c r="AD7387" s="35"/>
      <c r="AE7387" s="35"/>
      <c r="AF7387" s="35"/>
      <c r="AG7387" s="35"/>
      <c r="AH7387" s="35"/>
      <c r="AI7387" s="35"/>
      <c r="AJ7387" s="35"/>
      <c r="AK7387" s="35"/>
      <c r="AL7387" s="35"/>
    </row>
    <row r="7388">
      <c r="A7388" s="18"/>
      <c r="B7388" s="19" t="s">
        <v>34103</v>
      </c>
      <c r="C7388" s="20" t="s">
        <v>34204</v>
      </c>
      <c r="D7388" s="47"/>
      <c r="E7388" s="22" t="s">
        <v>34233</v>
      </c>
      <c r="F7388" s="22" t="s">
        <v>5031</v>
      </c>
      <c r="G7388" s="23">
        <v>1999.0</v>
      </c>
      <c r="H7388" s="22" t="s">
        <v>2060</v>
      </c>
      <c r="I7388" s="24" t="s">
        <v>34234</v>
      </c>
      <c r="J7388" s="22" t="s">
        <v>21527</v>
      </c>
      <c r="K7388" s="22"/>
      <c r="L7388" s="236">
        <v>630.0</v>
      </c>
      <c r="M7388" s="246"/>
      <c r="N7388" s="246"/>
      <c r="O7388" s="246"/>
      <c r="P7388" s="246"/>
      <c r="Q7388" s="246"/>
      <c r="R7388" s="246"/>
      <c r="S7388" s="246">
        <v>4.0</v>
      </c>
      <c r="T7388" s="455" t="s">
        <v>34235</v>
      </c>
      <c r="U7388" s="29" t="s">
        <v>61</v>
      </c>
      <c r="V7388" s="30"/>
      <c r="W7388" s="49"/>
      <c r="X7388" s="49"/>
      <c r="Y7388" s="35"/>
      <c r="Z7388" s="35"/>
      <c r="AA7388" s="35"/>
      <c r="AB7388" s="35"/>
      <c r="AC7388" s="35"/>
      <c r="AD7388" s="35"/>
      <c r="AE7388" s="35"/>
      <c r="AF7388" s="35"/>
      <c r="AG7388" s="35"/>
      <c r="AH7388" s="35"/>
      <c r="AI7388" s="35"/>
      <c r="AJ7388" s="35"/>
      <c r="AK7388" s="35"/>
      <c r="AL7388" s="35"/>
    </row>
    <row r="7389">
      <c r="A7389" s="18" t="s">
        <v>38</v>
      </c>
      <c r="B7389" s="19" t="s">
        <v>34103</v>
      </c>
      <c r="C7389" s="20" t="s">
        <v>34236</v>
      </c>
      <c r="D7389" s="47"/>
      <c r="E7389" s="22" t="s">
        <v>34237</v>
      </c>
      <c r="F7389" s="22" t="s">
        <v>34238</v>
      </c>
      <c r="G7389" s="23">
        <v>2019.0</v>
      </c>
      <c r="H7389" s="22" t="s">
        <v>34239</v>
      </c>
      <c r="I7389" s="24" t="s">
        <v>34240</v>
      </c>
      <c r="J7389" s="22" t="s">
        <v>125</v>
      </c>
      <c r="K7389" s="22"/>
      <c r="L7389" s="43" t="s">
        <v>34241</v>
      </c>
      <c r="M7389" s="44"/>
      <c r="N7389" s="44"/>
      <c r="O7389" s="44"/>
      <c r="P7389" s="44"/>
      <c r="Q7389" s="44"/>
      <c r="R7389" s="44"/>
      <c r="S7389" s="44"/>
      <c r="T7389" s="45"/>
      <c r="U7389" s="38" t="str">
        <f>HYPERLINK("https://www.ncbi.nlm.nih.gov/pubmed/31395325","PubMed")</f>
        <v>PubMed</v>
      </c>
      <c r="V7389" s="30"/>
      <c r="W7389" s="49"/>
      <c r="X7389" s="49"/>
      <c r="Y7389" s="35"/>
      <c r="Z7389" s="35"/>
      <c r="AA7389" s="35"/>
      <c r="AB7389" s="35"/>
      <c r="AC7389" s="35"/>
      <c r="AD7389" s="35"/>
      <c r="AE7389" s="35"/>
      <c r="AF7389" s="35"/>
      <c r="AG7389" s="35"/>
      <c r="AH7389" s="35"/>
      <c r="AI7389" s="35"/>
      <c r="AJ7389" s="35"/>
      <c r="AK7389" s="35"/>
      <c r="AL7389" s="35"/>
    </row>
    <row r="7390">
      <c r="A7390" s="18"/>
      <c r="B7390" s="19" t="s">
        <v>34103</v>
      </c>
      <c r="C7390" s="20" t="s">
        <v>34242</v>
      </c>
      <c r="D7390" s="47"/>
      <c r="E7390" s="22" t="s">
        <v>34243</v>
      </c>
      <c r="F7390" s="22" t="s">
        <v>6634</v>
      </c>
      <c r="G7390" s="23">
        <v>2023.0</v>
      </c>
      <c r="H7390" s="22" t="s">
        <v>29108</v>
      </c>
      <c r="I7390" s="24" t="s">
        <v>34244</v>
      </c>
      <c r="J7390" s="22" t="s">
        <v>29110</v>
      </c>
      <c r="K7390" s="22"/>
      <c r="L7390" s="36"/>
      <c r="M7390" s="36"/>
      <c r="N7390" s="36"/>
      <c r="O7390" s="36"/>
      <c r="P7390" s="36"/>
      <c r="Q7390" s="36"/>
      <c r="R7390" s="36"/>
      <c r="S7390" s="36" t="s">
        <v>20909</v>
      </c>
      <c r="T7390" s="363" t="s">
        <v>34245</v>
      </c>
      <c r="U7390" s="38" t="s">
        <v>61</v>
      </c>
      <c r="V7390" s="30" t="s">
        <v>174</v>
      </c>
      <c r="W7390" s="49"/>
      <c r="X7390" s="49"/>
      <c r="Y7390" s="35"/>
      <c r="Z7390" s="35"/>
      <c r="AA7390" s="35"/>
      <c r="AB7390" s="35"/>
      <c r="AC7390" s="35"/>
      <c r="AD7390" s="35"/>
      <c r="AE7390" s="35"/>
      <c r="AF7390" s="35"/>
      <c r="AG7390" s="35"/>
      <c r="AH7390" s="35"/>
      <c r="AI7390" s="35"/>
      <c r="AJ7390" s="35"/>
      <c r="AK7390" s="35"/>
      <c r="AL7390" s="35"/>
    </row>
    <row r="7391">
      <c r="A7391" s="18"/>
      <c r="B7391" s="19" t="s">
        <v>34103</v>
      </c>
      <c r="C7391" s="20" t="s">
        <v>34246</v>
      </c>
      <c r="D7391" s="47"/>
      <c r="E7391" s="22" t="s">
        <v>34243</v>
      </c>
      <c r="F7391" s="22" t="s">
        <v>6634</v>
      </c>
      <c r="G7391" s="23">
        <v>2020.0</v>
      </c>
      <c r="H7391" s="22" t="s">
        <v>30516</v>
      </c>
      <c r="I7391" s="24" t="s">
        <v>34247</v>
      </c>
      <c r="J7391" s="22" t="s">
        <v>29110</v>
      </c>
      <c r="K7391" s="22"/>
      <c r="L7391" s="36" t="s">
        <v>34248</v>
      </c>
      <c r="M7391" s="36"/>
      <c r="N7391" s="36"/>
      <c r="O7391" s="36"/>
      <c r="P7391" s="36"/>
      <c r="Q7391" s="36"/>
      <c r="R7391" s="36"/>
      <c r="S7391" s="36"/>
      <c r="T7391" s="363" t="s">
        <v>34249</v>
      </c>
      <c r="U7391" s="29" t="s">
        <v>61</v>
      </c>
      <c r="V7391" s="30"/>
      <c r="W7391" s="49"/>
      <c r="X7391" s="49"/>
      <c r="Y7391" s="35"/>
      <c r="Z7391" s="35"/>
      <c r="AA7391" s="35"/>
      <c r="AB7391" s="35"/>
      <c r="AC7391" s="35"/>
      <c r="AD7391" s="35"/>
      <c r="AE7391" s="35"/>
      <c r="AF7391" s="35"/>
      <c r="AG7391" s="35"/>
      <c r="AH7391" s="35"/>
      <c r="AI7391" s="35"/>
      <c r="AJ7391" s="35"/>
      <c r="AK7391" s="35"/>
      <c r="AL7391" s="35"/>
    </row>
    <row r="7392">
      <c r="A7392" s="18"/>
      <c r="B7392" s="19" t="s">
        <v>34103</v>
      </c>
      <c r="C7392" s="20" t="s">
        <v>34246</v>
      </c>
      <c r="D7392" s="47"/>
      <c r="E7392" s="22" t="s">
        <v>34250</v>
      </c>
      <c r="F7392" s="22" t="s">
        <v>34251</v>
      </c>
      <c r="G7392" s="23">
        <v>2020.0</v>
      </c>
      <c r="H7392" s="22" t="s">
        <v>29108</v>
      </c>
      <c r="I7392" s="24" t="s">
        <v>34252</v>
      </c>
      <c r="J7392" s="22" t="s">
        <v>34253</v>
      </c>
      <c r="K7392" s="22"/>
      <c r="L7392" s="36" t="s">
        <v>34254</v>
      </c>
      <c r="M7392" s="36"/>
      <c r="N7392" s="36"/>
      <c r="O7392" s="36"/>
      <c r="P7392" s="37"/>
      <c r="Q7392" s="36"/>
      <c r="R7392" s="36"/>
      <c r="S7392" s="36"/>
      <c r="T7392" s="54" t="s">
        <v>34255</v>
      </c>
      <c r="U7392" s="38" t="str">
        <f>HYPERLINK("https://www.ncbi.nlm.nih.gov/pubmed/32067669","PubMed")</f>
        <v>PubMed</v>
      </c>
      <c r="V7392" s="30"/>
      <c r="W7392" s="49"/>
      <c r="X7392" s="49"/>
      <c r="Y7392" s="35"/>
      <c r="Z7392" s="35"/>
      <c r="AA7392" s="35"/>
      <c r="AB7392" s="35"/>
      <c r="AC7392" s="35"/>
      <c r="AD7392" s="35"/>
      <c r="AE7392" s="35"/>
      <c r="AF7392" s="35"/>
      <c r="AG7392" s="35"/>
      <c r="AH7392" s="35"/>
      <c r="AI7392" s="35"/>
      <c r="AJ7392" s="35"/>
      <c r="AK7392" s="35"/>
      <c r="AL7392" s="35"/>
    </row>
    <row r="7393">
      <c r="A7393" s="18"/>
      <c r="B7393" s="19" t="s">
        <v>34103</v>
      </c>
      <c r="C7393" s="20" t="s">
        <v>34256</v>
      </c>
      <c r="D7393" s="47"/>
      <c r="E7393" s="22" t="s">
        <v>34257</v>
      </c>
      <c r="F7393" s="22" t="s">
        <v>18524</v>
      </c>
      <c r="G7393" s="23">
        <v>2020.0</v>
      </c>
      <c r="H7393" s="22" t="s">
        <v>29108</v>
      </c>
      <c r="I7393" s="24" t="s">
        <v>34258</v>
      </c>
      <c r="J7393" s="22" t="s">
        <v>29110</v>
      </c>
      <c r="K7393" s="22"/>
      <c r="L7393" s="36">
        <v>810.0</v>
      </c>
      <c r="M7393" s="36"/>
      <c r="N7393" s="36"/>
      <c r="O7393" s="36"/>
      <c r="P7393" s="37"/>
      <c r="Q7393" s="36"/>
      <c r="R7393" s="36"/>
      <c r="S7393" s="36"/>
      <c r="T7393" s="102" t="s">
        <v>34259</v>
      </c>
      <c r="U7393" s="38" t="str">
        <f>HYPERLINK("https://www.ncbi.nlm.nih.gov/pubmed/32067657","PubMed")</f>
        <v>PubMed</v>
      </c>
      <c r="V7393" s="30"/>
      <c r="W7393" s="49"/>
      <c r="X7393" s="49"/>
      <c r="Y7393" s="35"/>
      <c r="Z7393" s="35"/>
      <c r="AA7393" s="35"/>
      <c r="AB7393" s="35"/>
      <c r="AC7393" s="35"/>
      <c r="AD7393" s="35"/>
      <c r="AE7393" s="35"/>
      <c r="AF7393" s="35"/>
      <c r="AG7393" s="35"/>
      <c r="AH7393" s="35"/>
      <c r="AI7393" s="35"/>
      <c r="AJ7393" s="35"/>
      <c r="AK7393" s="35"/>
      <c r="AL7393" s="35"/>
    </row>
    <row r="7394">
      <c r="A7394" s="18"/>
      <c r="B7394" s="19" t="s">
        <v>34103</v>
      </c>
      <c r="C7394" s="20" t="s">
        <v>34260</v>
      </c>
      <c r="D7394" s="47"/>
      <c r="E7394" s="22" t="s">
        <v>34261</v>
      </c>
      <c r="F7394" s="22" t="s">
        <v>34262</v>
      </c>
      <c r="G7394" s="23">
        <v>2018.0</v>
      </c>
      <c r="H7394" s="22" t="s">
        <v>34263</v>
      </c>
      <c r="I7394" s="24" t="s">
        <v>34264</v>
      </c>
      <c r="J7394" s="22" t="s">
        <v>29110</v>
      </c>
      <c r="K7394" s="22"/>
      <c r="L7394" s="36" t="s">
        <v>34265</v>
      </c>
      <c r="M7394" s="36"/>
      <c r="N7394" s="36"/>
      <c r="O7394" s="36"/>
      <c r="P7394" s="37"/>
      <c r="Q7394" s="36"/>
      <c r="R7394" s="36"/>
      <c r="S7394" s="36"/>
      <c r="T7394" s="54" t="s">
        <v>34266</v>
      </c>
      <c r="U7394" s="38" t="str">
        <f>HYPERLINK("https://www.ncbi.nlm.nih.gov/pubmed/22488283","PubMed")</f>
        <v>PubMed</v>
      </c>
      <c r="V7394" s="30"/>
      <c r="W7394" s="49"/>
      <c r="X7394" s="49"/>
      <c r="Y7394" s="35"/>
      <c r="Z7394" s="35"/>
      <c r="AA7394" s="35"/>
      <c r="AB7394" s="35"/>
      <c r="AC7394" s="35"/>
      <c r="AD7394" s="35"/>
      <c r="AE7394" s="35"/>
      <c r="AF7394" s="35"/>
      <c r="AG7394" s="35"/>
      <c r="AH7394" s="35"/>
      <c r="AI7394" s="35"/>
      <c r="AJ7394" s="35"/>
      <c r="AK7394" s="35"/>
      <c r="AL7394" s="35"/>
    </row>
    <row r="7395">
      <c r="A7395" s="18"/>
      <c r="B7395" s="19" t="s">
        <v>34103</v>
      </c>
      <c r="C7395" s="20" t="s">
        <v>34267</v>
      </c>
      <c r="D7395" s="47"/>
      <c r="E7395" s="22" t="s">
        <v>34268</v>
      </c>
      <c r="F7395" s="22" t="s">
        <v>31504</v>
      </c>
      <c r="G7395" s="23">
        <v>2020.0</v>
      </c>
      <c r="H7395" s="22" t="s">
        <v>34269</v>
      </c>
      <c r="I7395" s="24" t="s">
        <v>34270</v>
      </c>
      <c r="J7395" s="22" t="s">
        <v>29110</v>
      </c>
      <c r="K7395" s="22" t="s">
        <v>34271</v>
      </c>
      <c r="L7395" s="36" t="s">
        <v>31506</v>
      </c>
      <c r="M7395" s="36"/>
      <c r="N7395" s="36" t="s">
        <v>34272</v>
      </c>
      <c r="O7395" s="36"/>
      <c r="P7395" s="37"/>
      <c r="Q7395" s="36"/>
      <c r="R7395" s="36" t="s">
        <v>34273</v>
      </c>
      <c r="S7395" s="36"/>
      <c r="T7395" s="103" t="s">
        <v>34274</v>
      </c>
      <c r="U7395" s="38" t="str">
        <f>HYPERLINK("https://www.ncbi.nlm.nih.gov/pubmed/32285517","PubMed")</f>
        <v>PubMed</v>
      </c>
      <c r="V7395" s="30"/>
      <c r="W7395" s="49"/>
      <c r="X7395" s="49"/>
      <c r="Y7395" s="35"/>
      <c r="Z7395" s="35"/>
      <c r="AA7395" s="35"/>
      <c r="AB7395" s="35"/>
      <c r="AC7395" s="35"/>
      <c r="AD7395" s="35"/>
      <c r="AE7395" s="35"/>
      <c r="AF7395" s="35"/>
      <c r="AG7395" s="35"/>
      <c r="AH7395" s="35"/>
      <c r="AI7395" s="35"/>
      <c r="AJ7395" s="35"/>
      <c r="AK7395" s="35"/>
      <c r="AL7395" s="35"/>
    </row>
    <row r="7396">
      <c r="A7396" s="18" t="s">
        <v>38</v>
      </c>
      <c r="B7396" s="19" t="s">
        <v>34103</v>
      </c>
      <c r="C7396" s="20" t="s">
        <v>34267</v>
      </c>
      <c r="D7396" s="47"/>
      <c r="E7396" s="22" t="s">
        <v>34275</v>
      </c>
      <c r="F7396" s="22" t="s">
        <v>34276</v>
      </c>
      <c r="G7396" s="23">
        <v>2018.0</v>
      </c>
      <c r="H7396" s="22" t="s">
        <v>34277</v>
      </c>
      <c r="I7396" s="24" t="s">
        <v>34278</v>
      </c>
      <c r="J7396" s="22" t="s">
        <v>125</v>
      </c>
      <c r="K7396" s="22"/>
      <c r="L7396" s="43" t="s">
        <v>34279</v>
      </c>
      <c r="M7396" s="44"/>
      <c r="N7396" s="44"/>
      <c r="O7396" s="44"/>
      <c r="P7396" s="44"/>
      <c r="Q7396" s="44"/>
      <c r="R7396" s="44"/>
      <c r="S7396" s="44"/>
      <c r="T7396" s="45"/>
      <c r="U7396" s="38" t="str">
        <f>HYPERLINK("https://www.ncbi.nlm.nih.gov/pubmed/30447771","PubMed")</f>
        <v>PubMed</v>
      </c>
      <c r="V7396" s="30"/>
      <c r="W7396" s="49"/>
      <c r="X7396" s="49"/>
      <c r="Y7396" s="35"/>
      <c r="Z7396" s="35"/>
      <c r="AA7396" s="35"/>
      <c r="AB7396" s="35"/>
      <c r="AC7396" s="35"/>
      <c r="AD7396" s="35"/>
      <c r="AE7396" s="35"/>
      <c r="AF7396" s="35"/>
      <c r="AG7396" s="35"/>
      <c r="AH7396" s="35"/>
      <c r="AI7396" s="35"/>
      <c r="AJ7396" s="35"/>
      <c r="AK7396" s="35"/>
      <c r="AL7396" s="35"/>
    </row>
    <row r="7397">
      <c r="A7397" s="18"/>
      <c r="B7397" s="19" t="s">
        <v>34103</v>
      </c>
      <c r="C7397" s="20" t="s">
        <v>34280</v>
      </c>
      <c r="D7397" s="47"/>
      <c r="E7397" s="22" t="s">
        <v>7831</v>
      </c>
      <c r="F7397" s="22" t="s">
        <v>7832</v>
      </c>
      <c r="G7397" s="23">
        <v>1991.0</v>
      </c>
      <c r="H7397" s="22" t="s">
        <v>292</v>
      </c>
      <c r="I7397" s="24" t="s">
        <v>34281</v>
      </c>
      <c r="J7397" s="22" t="s">
        <v>29110</v>
      </c>
      <c r="K7397" s="22"/>
      <c r="L7397" s="36">
        <v>904.0</v>
      </c>
      <c r="M7397" s="36"/>
      <c r="N7397" s="36"/>
      <c r="O7397" s="36"/>
      <c r="P7397" s="37"/>
      <c r="Q7397" s="36"/>
      <c r="R7397" s="36"/>
      <c r="S7397" s="36"/>
      <c r="T7397" s="54" t="s">
        <v>34282</v>
      </c>
      <c r="U7397" s="38" t="str">
        <f>HYPERLINK("https://www.jstage.jst.go.jp/article/islsm/3/2/3_91-OR-12/_article/-char/en","J-STAGE")</f>
        <v>J-STAGE</v>
      </c>
      <c r="V7397" s="30"/>
      <c r="W7397" s="49"/>
      <c r="X7397" s="49"/>
      <c r="Y7397" s="35"/>
      <c r="Z7397" s="35"/>
      <c r="AA7397" s="35"/>
      <c r="AB7397" s="35"/>
      <c r="AC7397" s="35"/>
      <c r="AD7397" s="35"/>
      <c r="AE7397" s="35"/>
      <c r="AF7397" s="35"/>
      <c r="AG7397" s="35"/>
      <c r="AH7397" s="35"/>
      <c r="AI7397" s="35"/>
      <c r="AJ7397" s="35"/>
      <c r="AK7397" s="35"/>
      <c r="AL7397" s="35"/>
    </row>
    <row r="7398">
      <c r="A7398" s="18"/>
      <c r="B7398" s="19" t="s">
        <v>34103</v>
      </c>
      <c r="C7398" s="20" t="s">
        <v>34280</v>
      </c>
      <c r="D7398" s="47"/>
      <c r="E7398" s="22" t="s">
        <v>13272</v>
      </c>
      <c r="F7398" s="22" t="s">
        <v>7796</v>
      </c>
      <c r="G7398" s="23">
        <v>1989.0</v>
      </c>
      <c r="H7398" s="22" t="s">
        <v>292</v>
      </c>
      <c r="I7398" s="24" t="s">
        <v>34283</v>
      </c>
      <c r="J7398" s="22" t="s">
        <v>29110</v>
      </c>
      <c r="K7398" s="22" t="s">
        <v>2686</v>
      </c>
      <c r="L7398" s="36">
        <v>790.0</v>
      </c>
      <c r="M7398" s="36">
        <v>10.0</v>
      </c>
      <c r="N7398" s="36"/>
      <c r="O7398" s="36"/>
      <c r="P7398" s="37"/>
      <c r="Q7398" s="36"/>
      <c r="R7398" s="36"/>
      <c r="S7398" s="36"/>
      <c r="T7398" s="54" t="s">
        <v>34284</v>
      </c>
      <c r="U7398" s="38" t="str">
        <f>HYPERLINK("https://www.jstage.jst.go.jp/article/islsm/1/1/1_89-OR-04/_article/-char/en","J-STAGE")</f>
        <v>J-STAGE</v>
      </c>
      <c r="V7398" s="30"/>
      <c r="W7398" s="49"/>
      <c r="X7398" s="49"/>
      <c r="Y7398" s="35"/>
      <c r="Z7398" s="35"/>
      <c r="AA7398" s="35"/>
      <c r="AB7398" s="35"/>
      <c r="AC7398" s="35"/>
      <c r="AD7398" s="35"/>
      <c r="AE7398" s="35"/>
      <c r="AF7398" s="35"/>
      <c r="AG7398" s="35"/>
      <c r="AH7398" s="35"/>
      <c r="AI7398" s="35"/>
      <c r="AJ7398" s="35"/>
      <c r="AK7398" s="35"/>
      <c r="AL7398" s="35"/>
    </row>
    <row r="7399">
      <c r="A7399" s="18"/>
      <c r="B7399" s="19" t="s">
        <v>34103</v>
      </c>
      <c r="C7399" s="20" t="s">
        <v>34285</v>
      </c>
      <c r="D7399" s="47"/>
      <c r="E7399" s="22" t="s">
        <v>34286</v>
      </c>
      <c r="F7399" s="22" t="s">
        <v>34287</v>
      </c>
      <c r="G7399" s="23">
        <v>2019.0</v>
      </c>
      <c r="H7399" s="22" t="s">
        <v>30242</v>
      </c>
      <c r="I7399" s="24" t="s">
        <v>34288</v>
      </c>
      <c r="J7399" s="22" t="s">
        <v>9041</v>
      </c>
      <c r="K7399" s="22"/>
      <c r="L7399" s="36"/>
      <c r="M7399" s="36"/>
      <c r="N7399" s="36"/>
      <c r="O7399" s="36"/>
      <c r="P7399" s="37"/>
      <c r="Q7399" s="36"/>
      <c r="R7399" s="36"/>
      <c r="S7399" s="36"/>
      <c r="T7399" s="54" t="s">
        <v>34289</v>
      </c>
      <c r="U7399" s="38" t="str">
        <f>HYPERLINK("https://www.ncbi.nlm.nih.gov/pubmed/30690610","PubMed")</f>
        <v>PubMed</v>
      </c>
      <c r="V7399" s="30"/>
      <c r="W7399" s="49"/>
      <c r="X7399" s="49"/>
      <c r="Y7399" s="35"/>
      <c r="Z7399" s="35"/>
      <c r="AA7399" s="35"/>
      <c r="AB7399" s="35"/>
      <c r="AC7399" s="35"/>
      <c r="AD7399" s="35"/>
      <c r="AE7399" s="35"/>
      <c r="AF7399" s="35"/>
      <c r="AG7399" s="35"/>
      <c r="AH7399" s="35"/>
      <c r="AI7399" s="35"/>
      <c r="AJ7399" s="35"/>
      <c r="AK7399" s="35"/>
      <c r="AL7399" s="35"/>
    </row>
    <row r="7400">
      <c r="A7400" s="18"/>
      <c r="B7400" s="19" t="s">
        <v>34103</v>
      </c>
      <c r="C7400" s="20" t="s">
        <v>2036</v>
      </c>
      <c r="D7400" s="47"/>
      <c r="E7400" s="22" t="s">
        <v>34290</v>
      </c>
      <c r="F7400" s="22" t="s">
        <v>34291</v>
      </c>
      <c r="G7400" s="23">
        <v>2023.0</v>
      </c>
      <c r="H7400" s="22" t="s">
        <v>34292</v>
      </c>
      <c r="I7400" s="24" t="s">
        <v>34293</v>
      </c>
      <c r="J7400" s="22" t="s">
        <v>125</v>
      </c>
      <c r="K7400" s="22"/>
      <c r="L7400" s="53" t="s">
        <v>34294</v>
      </c>
      <c r="U7400" s="38" t="s">
        <v>61</v>
      </c>
      <c r="V7400" s="30" t="s">
        <v>174</v>
      </c>
      <c r="W7400" s="49"/>
      <c r="X7400" s="49"/>
      <c r="Y7400" s="35"/>
      <c r="Z7400" s="35"/>
      <c r="AA7400" s="35"/>
      <c r="AB7400" s="35"/>
      <c r="AC7400" s="35"/>
      <c r="AD7400" s="35"/>
      <c r="AE7400" s="35"/>
      <c r="AF7400" s="35"/>
      <c r="AG7400" s="35"/>
      <c r="AH7400" s="35"/>
      <c r="AI7400" s="35"/>
      <c r="AJ7400" s="35"/>
      <c r="AK7400" s="35"/>
      <c r="AL7400" s="35"/>
    </row>
    <row r="7401">
      <c r="A7401" s="18"/>
      <c r="B7401" s="19" t="s">
        <v>34103</v>
      </c>
      <c r="C7401" s="20" t="s">
        <v>2036</v>
      </c>
      <c r="D7401" s="47"/>
      <c r="E7401" s="22" t="s">
        <v>34295</v>
      </c>
      <c r="F7401" s="22" t="s">
        <v>34296</v>
      </c>
      <c r="G7401" s="23">
        <v>2023.0</v>
      </c>
      <c r="H7401" s="22" t="s">
        <v>30516</v>
      </c>
      <c r="I7401" s="24" t="s">
        <v>34297</v>
      </c>
      <c r="J7401" s="22" t="s">
        <v>649</v>
      </c>
      <c r="K7401" s="22"/>
      <c r="L7401" s="53" t="s">
        <v>34298</v>
      </c>
      <c r="U7401" s="38" t="s">
        <v>61</v>
      </c>
      <c r="V7401" s="30"/>
      <c r="W7401" s="49"/>
      <c r="X7401" s="49"/>
      <c r="Y7401" s="35"/>
      <c r="Z7401" s="35"/>
      <c r="AA7401" s="35"/>
      <c r="AB7401" s="35"/>
      <c r="AC7401" s="35"/>
      <c r="AD7401" s="35"/>
      <c r="AE7401" s="35"/>
      <c r="AF7401" s="35"/>
      <c r="AG7401" s="35"/>
      <c r="AH7401" s="35"/>
      <c r="AI7401" s="35"/>
      <c r="AJ7401" s="35"/>
      <c r="AK7401" s="35"/>
      <c r="AL7401" s="35"/>
    </row>
    <row r="7402">
      <c r="A7402" s="18"/>
      <c r="B7402" s="19" t="s">
        <v>34103</v>
      </c>
      <c r="C7402" s="20" t="s">
        <v>2036</v>
      </c>
      <c r="D7402" s="47"/>
      <c r="E7402" s="22" t="s">
        <v>34165</v>
      </c>
      <c r="F7402" s="22" t="s">
        <v>9325</v>
      </c>
      <c r="G7402" s="23">
        <v>2021.0</v>
      </c>
      <c r="H7402" s="22" t="s">
        <v>34148</v>
      </c>
      <c r="I7402" s="24" t="s">
        <v>34299</v>
      </c>
      <c r="J7402" s="22" t="s">
        <v>125</v>
      </c>
      <c r="K7402" s="22"/>
      <c r="L7402" s="105" t="s">
        <v>34300</v>
      </c>
      <c r="M7402" s="44"/>
      <c r="N7402" s="44"/>
      <c r="O7402" s="44"/>
      <c r="P7402" s="44"/>
      <c r="Q7402" s="44"/>
      <c r="R7402" s="44"/>
      <c r="S7402" s="44"/>
      <c r="T7402" s="45"/>
      <c r="U7402" s="29" t="s">
        <v>61</v>
      </c>
      <c r="V7402" s="30"/>
      <c r="W7402" s="49"/>
      <c r="X7402" s="49"/>
      <c r="Y7402" s="35"/>
      <c r="Z7402" s="35"/>
      <c r="AA7402" s="35"/>
      <c r="AB7402" s="35"/>
      <c r="AC7402" s="35"/>
      <c r="AD7402" s="35"/>
      <c r="AE7402" s="35"/>
      <c r="AF7402" s="35"/>
      <c r="AG7402" s="35"/>
      <c r="AH7402" s="35"/>
      <c r="AI7402" s="35"/>
      <c r="AJ7402" s="35"/>
      <c r="AK7402" s="35"/>
      <c r="AL7402" s="35"/>
    </row>
    <row r="7403">
      <c r="A7403" s="18"/>
      <c r="B7403" s="19" t="s">
        <v>34103</v>
      </c>
      <c r="C7403" s="20" t="s">
        <v>2036</v>
      </c>
      <c r="D7403" s="47"/>
      <c r="E7403" s="22" t="s">
        <v>34301</v>
      </c>
      <c r="F7403" s="22" t="s">
        <v>6349</v>
      </c>
      <c r="G7403" s="23">
        <v>2018.0</v>
      </c>
      <c r="H7403" s="22" t="s">
        <v>34302</v>
      </c>
      <c r="I7403" s="24" t="s">
        <v>34303</v>
      </c>
      <c r="J7403" s="22" t="s">
        <v>125</v>
      </c>
      <c r="K7403" s="22"/>
      <c r="L7403" s="105" t="s">
        <v>34304</v>
      </c>
      <c r="M7403" s="44"/>
      <c r="N7403" s="44"/>
      <c r="O7403" s="44"/>
      <c r="P7403" s="44"/>
      <c r="Q7403" s="44"/>
      <c r="R7403" s="44"/>
      <c r="S7403" s="44"/>
      <c r="T7403" s="45"/>
      <c r="U7403" s="38" t="str">
        <f>HYPERLINK("https://www.ncbi.nlm.nih.gov/pubmed/30243364","PubMed")</f>
        <v>PubMed</v>
      </c>
      <c r="V7403" s="30"/>
      <c r="W7403" s="49"/>
      <c r="X7403" s="49"/>
      <c r="Y7403" s="35"/>
      <c r="Z7403" s="35"/>
      <c r="AA7403" s="35"/>
      <c r="AB7403" s="35"/>
      <c r="AC7403" s="35"/>
      <c r="AD7403" s="35"/>
      <c r="AE7403" s="35"/>
      <c r="AF7403" s="35"/>
      <c r="AG7403" s="35"/>
      <c r="AH7403" s="35"/>
      <c r="AI7403" s="35"/>
      <c r="AJ7403" s="35"/>
      <c r="AK7403" s="35"/>
      <c r="AL7403" s="35"/>
    </row>
    <row r="7404">
      <c r="A7404" s="18" t="s">
        <v>38</v>
      </c>
      <c r="B7404" s="19" t="s">
        <v>34103</v>
      </c>
      <c r="C7404" s="20" t="s">
        <v>2036</v>
      </c>
      <c r="D7404" s="47"/>
      <c r="E7404" s="22" t="s">
        <v>34305</v>
      </c>
      <c r="F7404" s="22" t="s">
        <v>33232</v>
      </c>
      <c r="G7404" s="23">
        <v>2015.0</v>
      </c>
      <c r="H7404" s="22" t="s">
        <v>34292</v>
      </c>
      <c r="I7404" s="24" t="s">
        <v>34306</v>
      </c>
      <c r="J7404" s="22" t="s">
        <v>125</v>
      </c>
      <c r="K7404" s="22"/>
      <c r="L7404" s="105" t="s">
        <v>34307</v>
      </c>
      <c r="M7404" s="44"/>
      <c r="N7404" s="44"/>
      <c r="O7404" s="44"/>
      <c r="P7404" s="44"/>
      <c r="Q7404" s="44"/>
      <c r="R7404" s="44"/>
      <c r="S7404" s="44"/>
      <c r="T7404" s="45"/>
      <c r="U7404" s="38" t="str">
        <f>HYPERLINK("https://www.ncbi.nlm.nih.gov/pubmed/25432681","PubMed")</f>
        <v>PubMed</v>
      </c>
      <c r="V7404" s="30"/>
      <c r="W7404" s="49"/>
      <c r="X7404" s="49"/>
      <c r="Y7404" s="35"/>
      <c r="Z7404" s="35"/>
      <c r="AA7404" s="35"/>
      <c r="AB7404" s="35"/>
      <c r="AC7404" s="35"/>
      <c r="AD7404" s="35"/>
      <c r="AE7404" s="35"/>
      <c r="AF7404" s="35"/>
      <c r="AG7404" s="35"/>
      <c r="AH7404" s="35"/>
      <c r="AI7404" s="35"/>
      <c r="AJ7404" s="35"/>
      <c r="AK7404" s="35"/>
      <c r="AL7404" s="35"/>
    </row>
    <row r="7405">
      <c r="A7405" s="18"/>
      <c r="B7405" s="19" t="s">
        <v>34103</v>
      </c>
      <c r="C7405" s="20" t="s">
        <v>2036</v>
      </c>
      <c r="D7405" s="47"/>
      <c r="E7405" s="22" t="s">
        <v>34308</v>
      </c>
      <c r="F7405" s="22" t="s">
        <v>34309</v>
      </c>
      <c r="G7405" s="23">
        <v>2014.0</v>
      </c>
      <c r="H7405" s="22" t="s">
        <v>658</v>
      </c>
      <c r="I7405" s="24" t="s">
        <v>34310</v>
      </c>
      <c r="J7405" s="22" t="s">
        <v>3289</v>
      </c>
      <c r="K7405" s="22"/>
      <c r="L7405" s="105" t="s">
        <v>34311</v>
      </c>
      <c r="M7405" s="44"/>
      <c r="N7405" s="44"/>
      <c r="O7405" s="44"/>
      <c r="P7405" s="44"/>
      <c r="Q7405" s="44"/>
      <c r="R7405" s="44"/>
      <c r="S7405" s="44"/>
      <c r="T7405" s="45"/>
      <c r="U7405" s="38" t="str">
        <f>HYPERLINK("https://www.ncbi.nlm.nih.gov/pubmed/24359266","PubMed")</f>
        <v>PubMed</v>
      </c>
      <c r="V7405" s="30"/>
      <c r="W7405" s="49"/>
      <c r="X7405" s="49"/>
      <c r="Y7405" s="35"/>
      <c r="Z7405" s="35"/>
      <c r="AA7405" s="35"/>
      <c r="AB7405" s="35"/>
      <c r="AC7405" s="35"/>
      <c r="AD7405" s="35"/>
      <c r="AE7405" s="35"/>
      <c r="AF7405" s="35"/>
      <c r="AG7405" s="35"/>
      <c r="AH7405" s="35"/>
      <c r="AI7405" s="35"/>
      <c r="AJ7405" s="35"/>
      <c r="AK7405" s="35"/>
      <c r="AL7405" s="35"/>
    </row>
    <row r="7406">
      <c r="A7406" s="18"/>
      <c r="B7406" s="19" t="s">
        <v>34103</v>
      </c>
      <c r="C7406" s="20" t="s">
        <v>2036</v>
      </c>
      <c r="D7406" s="47"/>
      <c r="E7406" s="22" t="s">
        <v>28971</v>
      </c>
      <c r="F7406" s="22" t="s">
        <v>34312</v>
      </c>
      <c r="G7406" s="23">
        <v>2014.0</v>
      </c>
      <c r="H7406" s="22" t="s">
        <v>34302</v>
      </c>
      <c r="I7406" s="24" t="s">
        <v>34313</v>
      </c>
      <c r="J7406" s="22" t="s">
        <v>34314</v>
      </c>
      <c r="K7406" s="22"/>
      <c r="L7406" s="105" t="s">
        <v>34315</v>
      </c>
      <c r="M7406" s="44"/>
      <c r="N7406" s="44"/>
      <c r="O7406" s="44"/>
      <c r="P7406" s="44"/>
      <c r="Q7406" s="44"/>
      <c r="R7406" s="44"/>
      <c r="S7406" s="44"/>
      <c r="T7406" s="45"/>
      <c r="U7406" s="38" t="str">
        <f>HYPERLINK("https://www.ncbi.nlm.nih.gov/pubmed/25454376","PubMed")</f>
        <v>PubMed</v>
      </c>
      <c r="V7406" s="30"/>
      <c r="W7406" s="49"/>
      <c r="X7406" s="49"/>
      <c r="Y7406" s="35"/>
      <c r="Z7406" s="35"/>
      <c r="AA7406" s="35"/>
      <c r="AB7406" s="35"/>
      <c r="AC7406" s="35"/>
      <c r="AD7406" s="35"/>
      <c r="AE7406" s="35"/>
      <c r="AF7406" s="35"/>
      <c r="AG7406" s="35"/>
      <c r="AH7406" s="35"/>
      <c r="AI7406" s="35"/>
      <c r="AJ7406" s="35"/>
      <c r="AK7406" s="35"/>
      <c r="AL7406" s="35"/>
    </row>
    <row r="7407">
      <c r="A7407" s="18"/>
      <c r="B7407" s="19" t="s">
        <v>34316</v>
      </c>
      <c r="C7407" s="20" t="s">
        <v>34317</v>
      </c>
      <c r="D7407" s="47"/>
      <c r="E7407" s="22" t="s">
        <v>34318</v>
      </c>
      <c r="F7407" s="22" t="s">
        <v>400</v>
      </c>
      <c r="G7407" s="23">
        <v>2023.0</v>
      </c>
      <c r="H7407" s="22" t="s">
        <v>34319</v>
      </c>
      <c r="I7407" s="24" t="s">
        <v>34320</v>
      </c>
      <c r="J7407" s="22" t="s">
        <v>34321</v>
      </c>
      <c r="K7407" s="22"/>
      <c r="L7407" s="168"/>
      <c r="M7407" s="168"/>
      <c r="N7407" s="168"/>
      <c r="O7407" s="168"/>
      <c r="P7407" s="169"/>
      <c r="Q7407" s="168"/>
      <c r="R7407" s="168"/>
      <c r="S7407" s="168"/>
      <c r="T7407" s="28" t="s">
        <v>34322</v>
      </c>
      <c r="U7407" s="38" t="s">
        <v>61</v>
      </c>
      <c r="V7407" s="30"/>
      <c r="W7407" s="49"/>
      <c r="X7407" s="49"/>
      <c r="Y7407" s="35"/>
      <c r="Z7407" s="35"/>
      <c r="AA7407" s="35"/>
      <c r="AB7407" s="35"/>
      <c r="AC7407" s="35"/>
      <c r="AD7407" s="35"/>
      <c r="AE7407" s="35"/>
      <c r="AF7407" s="35"/>
      <c r="AG7407" s="35"/>
      <c r="AH7407" s="35"/>
      <c r="AI7407" s="35"/>
      <c r="AJ7407" s="35"/>
      <c r="AK7407" s="35"/>
      <c r="AL7407" s="35"/>
    </row>
    <row r="7408">
      <c r="A7408" s="18" t="s">
        <v>38</v>
      </c>
      <c r="B7408" s="19" t="s">
        <v>34316</v>
      </c>
      <c r="C7408" s="20" t="s">
        <v>34317</v>
      </c>
      <c r="D7408" s="47"/>
      <c r="E7408" s="22" t="s">
        <v>34323</v>
      </c>
      <c r="F7408" s="22" t="s">
        <v>2407</v>
      </c>
      <c r="G7408" s="23">
        <v>2016.0</v>
      </c>
      <c r="H7408" s="22" t="s">
        <v>34324</v>
      </c>
      <c r="I7408" s="24" t="s">
        <v>34325</v>
      </c>
      <c r="J7408" s="22" t="s">
        <v>34326</v>
      </c>
      <c r="K7408" s="22" t="s">
        <v>34327</v>
      </c>
      <c r="L7408" s="36" t="s">
        <v>34328</v>
      </c>
      <c r="M7408" s="36" t="s">
        <v>58</v>
      </c>
      <c r="N7408" s="36" t="s">
        <v>34329</v>
      </c>
      <c r="O7408" s="36" t="s">
        <v>58</v>
      </c>
      <c r="P7408" s="37" t="s">
        <v>58</v>
      </c>
      <c r="Q7408" s="36" t="s">
        <v>58</v>
      </c>
      <c r="R7408" s="36">
        <v>1200.0</v>
      </c>
      <c r="S7408" s="36">
        <v>1.0</v>
      </c>
      <c r="T7408" s="28" t="s">
        <v>34330</v>
      </c>
      <c r="U7408" s="38" t="str">
        <f>HYPERLINK("https://www.ncbi.nlm.nih.gov/pubmed/27839705","PubMed")</f>
        <v>PubMed</v>
      </c>
      <c r="V7408" s="30" t="s">
        <v>34331</v>
      </c>
      <c r="W7408" s="49"/>
      <c r="X7408" s="49"/>
      <c r="Y7408" s="35"/>
      <c r="Z7408" s="35"/>
      <c r="AA7408" s="35"/>
      <c r="AB7408" s="35"/>
      <c r="AC7408" s="35"/>
      <c r="AD7408" s="35"/>
      <c r="AE7408" s="35"/>
      <c r="AF7408" s="35"/>
      <c r="AG7408" s="35"/>
      <c r="AH7408" s="35"/>
      <c r="AI7408" s="35"/>
      <c r="AJ7408" s="35"/>
      <c r="AK7408" s="35"/>
      <c r="AL7408" s="35"/>
    </row>
    <row r="7409">
      <c r="A7409" s="1"/>
      <c r="B7409" s="19" t="s">
        <v>34316</v>
      </c>
      <c r="C7409" s="20" t="s">
        <v>34332</v>
      </c>
      <c r="D7409" s="47"/>
      <c r="E7409" s="22" t="s">
        <v>5878</v>
      </c>
      <c r="F7409" s="22" t="s">
        <v>2196</v>
      </c>
      <c r="G7409" s="23">
        <v>2019.0</v>
      </c>
      <c r="H7409" s="22" t="s">
        <v>77</v>
      </c>
      <c r="I7409" s="24" t="s">
        <v>34333</v>
      </c>
      <c r="J7409" s="22" t="s">
        <v>34334</v>
      </c>
      <c r="K7409" s="22"/>
      <c r="L7409" s="36">
        <v>635.0</v>
      </c>
      <c r="M7409" s="36"/>
      <c r="N7409" s="36"/>
      <c r="O7409" s="36"/>
      <c r="P7409" s="37" t="s">
        <v>70</v>
      </c>
      <c r="Q7409" s="36"/>
      <c r="R7409" s="36"/>
      <c r="S7409" s="36"/>
      <c r="T7409" s="28" t="s">
        <v>34335</v>
      </c>
      <c r="U7409" s="38" t="str">
        <f>HYPERLINK("https://www.ncbi.nlm.nih.gov/pubmed/31503536","PubMed")</f>
        <v>PubMed</v>
      </c>
      <c r="V7409" s="50"/>
      <c r="W7409" s="49"/>
      <c r="X7409" s="49"/>
      <c r="Y7409" s="35"/>
      <c r="Z7409" s="35"/>
      <c r="AA7409" s="35"/>
      <c r="AB7409" s="35"/>
      <c r="AC7409" s="35"/>
      <c r="AD7409" s="35"/>
      <c r="AE7409" s="35"/>
      <c r="AF7409" s="35"/>
      <c r="AG7409" s="35"/>
      <c r="AH7409" s="35"/>
      <c r="AI7409" s="35"/>
      <c r="AJ7409" s="35"/>
      <c r="AK7409" s="35"/>
      <c r="AL7409" s="35"/>
    </row>
    <row r="7410">
      <c r="A7410" s="1"/>
      <c r="B7410" s="19" t="s">
        <v>34316</v>
      </c>
      <c r="C7410" s="20" t="s">
        <v>34336</v>
      </c>
      <c r="D7410" s="47"/>
      <c r="E7410" s="22" t="s">
        <v>34337</v>
      </c>
      <c r="F7410" s="22" t="s">
        <v>41</v>
      </c>
      <c r="G7410" s="23">
        <v>2022.0</v>
      </c>
      <c r="H7410" s="22" t="s">
        <v>16973</v>
      </c>
      <c r="I7410" s="24" t="s">
        <v>34338</v>
      </c>
      <c r="J7410" s="22" t="s">
        <v>125</v>
      </c>
      <c r="K7410" s="22"/>
      <c r="L7410" s="195" t="s">
        <v>34339</v>
      </c>
      <c r="M7410" s="44"/>
      <c r="N7410" s="44"/>
      <c r="O7410" s="44"/>
      <c r="P7410" s="44"/>
      <c r="Q7410" s="44"/>
      <c r="R7410" s="44"/>
      <c r="S7410" s="44"/>
      <c r="T7410" s="45"/>
      <c r="U7410" s="38" t="s">
        <v>61</v>
      </c>
      <c r="V7410" s="50"/>
      <c r="W7410" s="49"/>
      <c r="X7410" s="49"/>
      <c r="Y7410" s="35"/>
      <c r="Z7410" s="35"/>
      <c r="AA7410" s="35"/>
      <c r="AB7410" s="35"/>
      <c r="AC7410" s="35"/>
      <c r="AD7410" s="35"/>
      <c r="AE7410" s="35"/>
      <c r="AF7410" s="35"/>
      <c r="AG7410" s="35"/>
      <c r="AH7410" s="35"/>
      <c r="AI7410" s="35"/>
      <c r="AJ7410" s="35"/>
      <c r="AK7410" s="35"/>
      <c r="AL7410" s="35"/>
    </row>
    <row r="7411">
      <c r="A7411" s="18" t="s">
        <v>38</v>
      </c>
      <c r="B7411" s="19" t="s">
        <v>34340</v>
      </c>
      <c r="C7411" s="20" t="s">
        <v>34341</v>
      </c>
      <c r="D7411" s="47"/>
      <c r="E7411" s="22" t="s">
        <v>8831</v>
      </c>
      <c r="F7411" s="22" t="s">
        <v>7973</v>
      </c>
      <c r="G7411" s="23">
        <v>2006.0</v>
      </c>
      <c r="H7411" s="22" t="s">
        <v>658</v>
      </c>
      <c r="I7411" s="24" t="s">
        <v>34342</v>
      </c>
      <c r="J7411" s="22" t="s">
        <v>34343</v>
      </c>
      <c r="K7411" s="22" t="s">
        <v>34344</v>
      </c>
      <c r="L7411" s="36">
        <v>633.0</v>
      </c>
      <c r="M7411" s="36"/>
      <c r="N7411" s="36"/>
      <c r="O7411" s="36"/>
      <c r="P7411" s="37" t="s">
        <v>6478</v>
      </c>
      <c r="Q7411" s="36"/>
      <c r="R7411" s="36">
        <v>1200.0</v>
      </c>
      <c r="S7411" s="36" t="s">
        <v>7773</v>
      </c>
      <c r="T7411" s="28" t="s">
        <v>34345</v>
      </c>
      <c r="U7411" s="38" t="str">
        <f>HYPERLINK("https://www.ncbi.nlm.nih.gov/pubmed/16942430","PubMed")</f>
        <v>PubMed</v>
      </c>
      <c r="V7411" s="30" t="s">
        <v>34346</v>
      </c>
      <c r="W7411" s="49"/>
      <c r="X7411" s="49"/>
      <c r="Y7411" s="35"/>
      <c r="Z7411" s="35"/>
      <c r="AA7411" s="35"/>
      <c r="AB7411" s="35"/>
      <c r="AC7411" s="35"/>
      <c r="AD7411" s="35"/>
      <c r="AE7411" s="35"/>
      <c r="AF7411" s="35"/>
      <c r="AG7411" s="35"/>
      <c r="AH7411" s="35"/>
      <c r="AI7411" s="35"/>
      <c r="AJ7411" s="35"/>
      <c r="AK7411" s="35"/>
      <c r="AL7411" s="35"/>
    </row>
    <row r="7412">
      <c r="A7412" s="18" t="s">
        <v>38</v>
      </c>
      <c r="B7412" s="19" t="s">
        <v>34347</v>
      </c>
      <c r="C7412" s="20" t="s">
        <v>6900</v>
      </c>
      <c r="D7412" s="47"/>
      <c r="E7412" s="22" t="s">
        <v>34348</v>
      </c>
      <c r="F7412" s="22" t="s">
        <v>2604</v>
      </c>
      <c r="G7412" s="23">
        <v>2006.0</v>
      </c>
      <c r="H7412" s="22" t="s">
        <v>7928</v>
      </c>
      <c r="I7412" s="24" t="s">
        <v>34349</v>
      </c>
      <c r="J7412" s="22" t="s">
        <v>7005</v>
      </c>
      <c r="K7412" s="22" t="s">
        <v>34350</v>
      </c>
      <c r="L7412" s="36" t="s">
        <v>34351</v>
      </c>
      <c r="M7412" s="36" t="s">
        <v>58</v>
      </c>
      <c r="N7412" s="36" t="s">
        <v>58</v>
      </c>
      <c r="O7412" s="36" t="s">
        <v>58</v>
      </c>
      <c r="P7412" s="37" t="s">
        <v>58</v>
      </c>
      <c r="Q7412" s="36" t="s">
        <v>58</v>
      </c>
      <c r="R7412" s="36" t="s">
        <v>58</v>
      </c>
      <c r="S7412" s="36" t="s">
        <v>4905</v>
      </c>
      <c r="T7412" s="28" t="s">
        <v>34352</v>
      </c>
      <c r="U7412" s="38" t="str">
        <f>HYPERLINK("http://www.ncbi.nlm.nih.gov/pubmed/19675696","PubMed")</f>
        <v>PubMed</v>
      </c>
      <c r="V7412" s="30" t="s">
        <v>34353</v>
      </c>
      <c r="W7412" s="49"/>
      <c r="X7412" s="49"/>
      <c r="Y7412" s="35"/>
      <c r="Z7412" s="35"/>
      <c r="AA7412" s="35"/>
      <c r="AB7412" s="35"/>
      <c r="AC7412" s="35"/>
      <c r="AD7412" s="35"/>
      <c r="AE7412" s="35"/>
      <c r="AF7412" s="35"/>
      <c r="AG7412" s="35"/>
      <c r="AH7412" s="35"/>
      <c r="AI7412" s="35"/>
      <c r="AJ7412" s="35"/>
      <c r="AK7412" s="35"/>
      <c r="AL7412" s="35"/>
    </row>
    <row r="7413">
      <c r="A7413" s="18"/>
      <c r="B7413" s="19" t="s">
        <v>34347</v>
      </c>
      <c r="C7413" s="20" t="s">
        <v>29977</v>
      </c>
      <c r="D7413" s="47"/>
      <c r="E7413" s="22" t="s">
        <v>7618</v>
      </c>
      <c r="F7413" s="22" t="s">
        <v>2750</v>
      </c>
      <c r="G7413" s="23">
        <v>2023.0</v>
      </c>
      <c r="H7413" s="22" t="s">
        <v>29571</v>
      </c>
      <c r="I7413" s="24" t="s">
        <v>34354</v>
      </c>
      <c r="J7413" s="22" t="s">
        <v>3053</v>
      </c>
      <c r="K7413" s="22" t="s">
        <v>56</v>
      </c>
      <c r="L7413" s="36" t="s">
        <v>32841</v>
      </c>
      <c r="M7413" s="36"/>
      <c r="N7413" s="36" t="s">
        <v>34355</v>
      </c>
      <c r="O7413" s="36"/>
      <c r="P7413" s="37"/>
      <c r="Q7413" s="36"/>
      <c r="R7413" s="36"/>
      <c r="S7413" s="36"/>
      <c r="T7413" s="28" t="s">
        <v>34356</v>
      </c>
      <c r="U7413" s="38" t="s">
        <v>61</v>
      </c>
      <c r="V7413" s="30"/>
      <c r="W7413" s="49"/>
      <c r="X7413" s="49"/>
      <c r="Y7413" s="35"/>
      <c r="Z7413" s="35"/>
      <c r="AA7413" s="35"/>
      <c r="AB7413" s="35"/>
      <c r="AC7413" s="35"/>
      <c r="AD7413" s="35"/>
      <c r="AE7413" s="35"/>
      <c r="AF7413" s="35"/>
      <c r="AG7413" s="35"/>
      <c r="AH7413" s="35"/>
      <c r="AI7413" s="35"/>
      <c r="AJ7413" s="35"/>
      <c r="AK7413" s="35"/>
      <c r="AL7413" s="35"/>
    </row>
    <row r="7414">
      <c r="A7414" s="18"/>
      <c r="B7414" s="19" t="s">
        <v>34347</v>
      </c>
      <c r="C7414" s="20" t="s">
        <v>34357</v>
      </c>
      <c r="D7414" s="47"/>
      <c r="E7414" s="22" t="s">
        <v>34358</v>
      </c>
      <c r="F7414" s="22" t="s">
        <v>25113</v>
      </c>
      <c r="G7414" s="23">
        <v>2022.0</v>
      </c>
      <c r="H7414" s="22" t="s">
        <v>2398</v>
      </c>
      <c r="I7414" s="24" t="s">
        <v>34359</v>
      </c>
      <c r="J7414" s="22" t="s">
        <v>34360</v>
      </c>
      <c r="K7414" s="22" t="s">
        <v>56</v>
      </c>
      <c r="L7414" s="36"/>
      <c r="M7414" s="36"/>
      <c r="N7414" s="36"/>
      <c r="O7414" s="36"/>
      <c r="P7414" s="37"/>
      <c r="Q7414" s="36"/>
      <c r="R7414" s="36"/>
      <c r="S7414" s="36"/>
      <c r="T7414" s="28" t="s">
        <v>34361</v>
      </c>
      <c r="U7414" s="38" t="s">
        <v>61</v>
      </c>
      <c r="V7414" s="30"/>
      <c r="W7414" s="49"/>
      <c r="X7414" s="49"/>
      <c r="Y7414" s="35"/>
      <c r="Z7414" s="35"/>
      <c r="AA7414" s="35"/>
      <c r="AB7414" s="35"/>
      <c r="AC7414" s="35"/>
      <c r="AD7414" s="35"/>
      <c r="AE7414" s="35"/>
      <c r="AF7414" s="35"/>
      <c r="AG7414" s="35"/>
      <c r="AH7414" s="35"/>
      <c r="AI7414" s="35"/>
      <c r="AJ7414" s="35"/>
      <c r="AK7414" s="35"/>
      <c r="AL7414" s="35"/>
    </row>
    <row r="7415">
      <c r="A7415" s="1"/>
      <c r="B7415" s="19" t="s">
        <v>34347</v>
      </c>
      <c r="C7415" s="20" t="s">
        <v>6113</v>
      </c>
      <c r="D7415" s="47"/>
      <c r="E7415" s="22" t="s">
        <v>34362</v>
      </c>
      <c r="F7415" s="22" t="s">
        <v>4125</v>
      </c>
      <c r="G7415" s="23">
        <v>2013.0</v>
      </c>
      <c r="H7415" s="22" t="s">
        <v>34363</v>
      </c>
      <c r="I7415" s="24" t="s">
        <v>34364</v>
      </c>
      <c r="J7415" s="22" t="s">
        <v>3053</v>
      </c>
      <c r="K7415" s="22" t="s">
        <v>56</v>
      </c>
      <c r="L7415" s="36"/>
      <c r="M7415" s="36"/>
      <c r="N7415" s="36"/>
      <c r="O7415" s="36"/>
      <c r="P7415" s="37"/>
      <c r="Q7415" s="36"/>
      <c r="R7415" s="36"/>
      <c r="S7415" s="36"/>
      <c r="T7415" s="98" t="s">
        <v>34365</v>
      </c>
      <c r="U7415" s="38" t="str">
        <f>HYPERLINK("http://www.ncbi.nlm.nih.gov/pubmed/24169161","PubMed")</f>
        <v>PubMed</v>
      </c>
      <c r="V7415" s="30" t="s">
        <v>34366</v>
      </c>
      <c r="W7415" s="49"/>
      <c r="X7415" s="49"/>
      <c r="Y7415" s="35"/>
      <c r="Z7415" s="35"/>
      <c r="AA7415" s="35"/>
      <c r="AB7415" s="35"/>
      <c r="AC7415" s="35"/>
      <c r="AD7415" s="35"/>
      <c r="AE7415" s="35"/>
      <c r="AF7415" s="35"/>
      <c r="AG7415" s="35"/>
      <c r="AH7415" s="35"/>
      <c r="AI7415" s="35"/>
      <c r="AJ7415" s="35"/>
      <c r="AK7415" s="35"/>
      <c r="AL7415" s="35"/>
    </row>
    <row r="7416">
      <c r="A7416" s="1"/>
      <c r="B7416" s="19" t="s">
        <v>29727</v>
      </c>
      <c r="C7416" s="20" t="s">
        <v>34367</v>
      </c>
      <c r="D7416" s="47"/>
      <c r="E7416" s="22" t="s">
        <v>34368</v>
      </c>
      <c r="F7416" s="22" t="s">
        <v>34369</v>
      </c>
      <c r="G7416" s="23">
        <v>2021.0</v>
      </c>
      <c r="H7416" s="22" t="s">
        <v>147</v>
      </c>
      <c r="I7416" s="24" t="s">
        <v>34370</v>
      </c>
      <c r="J7416" s="22" t="s">
        <v>1078</v>
      </c>
      <c r="K7416" s="22"/>
      <c r="L7416" s="132" t="s">
        <v>34371</v>
      </c>
      <c r="U7416" s="29" t="s">
        <v>61</v>
      </c>
      <c r="V7416" s="30"/>
      <c r="W7416" s="49"/>
      <c r="X7416" s="49"/>
      <c r="Y7416" s="35"/>
      <c r="Z7416" s="35"/>
      <c r="AA7416" s="35"/>
      <c r="AB7416" s="35"/>
      <c r="AC7416" s="35"/>
      <c r="AD7416" s="35"/>
      <c r="AE7416" s="35"/>
      <c r="AF7416" s="35"/>
      <c r="AG7416" s="35"/>
      <c r="AH7416" s="35"/>
      <c r="AI7416" s="35"/>
      <c r="AJ7416" s="35"/>
      <c r="AK7416" s="35"/>
      <c r="AL7416" s="35"/>
    </row>
    <row r="7417">
      <c r="A7417" s="1" t="s">
        <v>2</v>
      </c>
      <c r="B7417" s="19" t="s">
        <v>29727</v>
      </c>
      <c r="C7417" s="20" t="s">
        <v>34372</v>
      </c>
      <c r="D7417" s="47"/>
      <c r="E7417" s="22" t="s">
        <v>34373</v>
      </c>
      <c r="F7417" s="22" t="s">
        <v>2407</v>
      </c>
      <c r="G7417" s="23">
        <v>2022.0</v>
      </c>
      <c r="H7417" s="22" t="s">
        <v>9189</v>
      </c>
      <c r="I7417" s="24" t="s">
        <v>34374</v>
      </c>
      <c r="J7417" s="22" t="s">
        <v>125</v>
      </c>
      <c r="K7417" s="22" t="s">
        <v>12342</v>
      </c>
      <c r="L7417" s="132" t="s">
        <v>34375</v>
      </c>
      <c r="U7417" s="38" t="s">
        <v>61</v>
      </c>
      <c r="V7417" s="30"/>
      <c r="W7417" s="49"/>
      <c r="X7417" s="49"/>
      <c r="Y7417" s="35"/>
      <c r="Z7417" s="35"/>
      <c r="AA7417" s="35"/>
      <c r="AB7417" s="35"/>
      <c r="AC7417" s="35"/>
      <c r="AD7417" s="35"/>
      <c r="AE7417" s="35"/>
      <c r="AF7417" s="35"/>
      <c r="AG7417" s="35"/>
      <c r="AH7417" s="35"/>
      <c r="AI7417" s="35"/>
      <c r="AJ7417" s="35"/>
      <c r="AK7417" s="35"/>
      <c r="AL7417" s="35"/>
    </row>
    <row r="7418">
      <c r="A7418" s="1" t="s">
        <v>2</v>
      </c>
      <c r="B7418" s="19" t="s">
        <v>29727</v>
      </c>
      <c r="C7418" s="20" t="s">
        <v>34372</v>
      </c>
      <c r="D7418" s="47"/>
      <c r="E7418" s="22" t="s">
        <v>34376</v>
      </c>
      <c r="F7418" s="22" t="s">
        <v>34377</v>
      </c>
      <c r="G7418" s="23">
        <v>2019.0</v>
      </c>
      <c r="H7418" s="22" t="s">
        <v>34378</v>
      </c>
      <c r="I7418" s="24" t="s">
        <v>34379</v>
      </c>
      <c r="J7418" s="22" t="s">
        <v>125</v>
      </c>
      <c r="K7418" s="22"/>
      <c r="L7418" s="132" t="s">
        <v>34380</v>
      </c>
      <c r="U7418" s="38" t="s">
        <v>61</v>
      </c>
      <c r="V7418" s="30"/>
      <c r="W7418" s="49"/>
      <c r="X7418" s="49"/>
      <c r="Y7418" s="35"/>
      <c r="Z7418" s="35"/>
      <c r="AA7418" s="35"/>
      <c r="AB7418" s="35"/>
      <c r="AC7418" s="35"/>
      <c r="AD7418" s="35"/>
      <c r="AE7418" s="35"/>
      <c r="AF7418" s="35"/>
      <c r="AG7418" s="35"/>
      <c r="AH7418" s="35"/>
      <c r="AI7418" s="35"/>
      <c r="AJ7418" s="35"/>
      <c r="AK7418" s="35"/>
      <c r="AL7418" s="35"/>
    </row>
    <row r="7419">
      <c r="A7419" s="1" t="s">
        <v>2</v>
      </c>
      <c r="B7419" s="19" t="s">
        <v>29727</v>
      </c>
      <c r="C7419" s="20" t="s">
        <v>34372</v>
      </c>
      <c r="D7419" s="47"/>
      <c r="E7419" s="22" t="s">
        <v>6264</v>
      </c>
      <c r="F7419" s="22" t="s">
        <v>2407</v>
      </c>
      <c r="G7419" s="23">
        <v>2013.0</v>
      </c>
      <c r="H7419" s="22" t="s">
        <v>34381</v>
      </c>
      <c r="I7419" s="24" t="s">
        <v>34382</v>
      </c>
      <c r="J7419" s="22" t="s">
        <v>125</v>
      </c>
      <c r="K7419" s="22"/>
      <c r="L7419" s="132" t="s">
        <v>34383</v>
      </c>
      <c r="U7419" s="38" t="s">
        <v>61</v>
      </c>
      <c r="V7419" s="30"/>
      <c r="W7419" s="49"/>
      <c r="X7419" s="49"/>
      <c r="Y7419" s="35"/>
      <c r="Z7419" s="35"/>
      <c r="AA7419" s="35"/>
      <c r="AB7419" s="35"/>
      <c r="AC7419" s="35"/>
      <c r="AD7419" s="35"/>
      <c r="AE7419" s="35"/>
      <c r="AF7419" s="35"/>
      <c r="AG7419" s="35"/>
      <c r="AH7419" s="35"/>
      <c r="AI7419" s="35"/>
      <c r="AJ7419" s="35"/>
      <c r="AK7419" s="35"/>
      <c r="AL7419" s="35"/>
    </row>
    <row r="7420">
      <c r="A7420" s="1"/>
      <c r="B7420" s="19" t="s">
        <v>29727</v>
      </c>
      <c r="C7420" s="20" t="s">
        <v>34384</v>
      </c>
      <c r="D7420" s="47"/>
      <c r="E7420" s="22" t="s">
        <v>7656</v>
      </c>
      <c r="F7420" s="22" t="s">
        <v>41</v>
      </c>
      <c r="G7420" s="23">
        <v>2023.0</v>
      </c>
      <c r="H7420" s="22" t="s">
        <v>34385</v>
      </c>
      <c r="I7420" s="24" t="s">
        <v>34386</v>
      </c>
      <c r="J7420" s="22" t="s">
        <v>1776</v>
      </c>
      <c r="K7420" s="22" t="s">
        <v>1725</v>
      </c>
      <c r="L7420" s="52" t="s">
        <v>34387</v>
      </c>
      <c r="M7420" s="52"/>
      <c r="N7420" s="52"/>
      <c r="O7420" s="52"/>
      <c r="P7420" s="189"/>
      <c r="Q7420" s="52"/>
      <c r="R7420" s="52"/>
      <c r="S7420" s="52"/>
      <c r="T7420" s="28" t="s">
        <v>34388</v>
      </c>
      <c r="U7420" s="38" t="s">
        <v>61</v>
      </c>
      <c r="V7420" s="30"/>
      <c r="W7420" s="49"/>
      <c r="X7420" s="49"/>
      <c r="Y7420" s="35"/>
      <c r="Z7420" s="35"/>
      <c r="AA7420" s="35"/>
      <c r="AB7420" s="35"/>
      <c r="AC7420" s="35"/>
      <c r="AD7420" s="35"/>
      <c r="AE7420" s="35"/>
      <c r="AF7420" s="35"/>
      <c r="AG7420" s="35"/>
      <c r="AH7420" s="35"/>
      <c r="AI7420" s="35"/>
      <c r="AJ7420" s="35"/>
      <c r="AK7420" s="35"/>
      <c r="AL7420" s="35"/>
    </row>
    <row r="7421">
      <c r="A7421" s="1"/>
      <c r="B7421" s="19" t="s">
        <v>29727</v>
      </c>
      <c r="C7421" s="20" t="s">
        <v>34384</v>
      </c>
      <c r="D7421" s="47"/>
      <c r="E7421" s="22" t="s">
        <v>34389</v>
      </c>
      <c r="F7421" s="22" t="s">
        <v>34390</v>
      </c>
      <c r="G7421" s="23">
        <v>2022.0</v>
      </c>
      <c r="H7421" s="22" t="s">
        <v>7886</v>
      </c>
      <c r="I7421" s="24" t="s">
        <v>34391</v>
      </c>
      <c r="J7421" s="22" t="s">
        <v>125</v>
      </c>
      <c r="K7421" s="22"/>
      <c r="L7421" s="188" t="s">
        <v>34392</v>
      </c>
      <c r="U7421" s="38" t="s">
        <v>61</v>
      </c>
      <c r="V7421" s="30"/>
      <c r="W7421" s="49"/>
      <c r="X7421" s="49"/>
      <c r="Y7421" s="35"/>
      <c r="Z7421" s="35"/>
      <c r="AA7421" s="35"/>
      <c r="AB7421" s="35"/>
      <c r="AC7421" s="35"/>
      <c r="AD7421" s="35"/>
      <c r="AE7421" s="35"/>
      <c r="AF7421" s="35"/>
      <c r="AG7421" s="35"/>
      <c r="AH7421" s="35"/>
      <c r="AI7421" s="35"/>
      <c r="AJ7421" s="35"/>
      <c r="AK7421" s="35"/>
      <c r="AL7421" s="35"/>
    </row>
    <row r="7422">
      <c r="A7422" s="1"/>
      <c r="B7422" s="19" t="s">
        <v>29727</v>
      </c>
      <c r="C7422" s="20" t="s">
        <v>34384</v>
      </c>
      <c r="D7422" s="47"/>
      <c r="E7422" s="22" t="s">
        <v>2755</v>
      </c>
      <c r="F7422" s="22" t="s">
        <v>34393</v>
      </c>
      <c r="G7422" s="23">
        <v>2023.0</v>
      </c>
      <c r="H7422" s="22" t="s">
        <v>627</v>
      </c>
      <c r="I7422" s="24" t="s">
        <v>34394</v>
      </c>
      <c r="J7422" s="22" t="s">
        <v>31</v>
      </c>
      <c r="K7422" s="22" t="s">
        <v>34395</v>
      </c>
      <c r="L7422" s="52">
        <v>470.0</v>
      </c>
      <c r="M7422" s="52"/>
      <c r="N7422" s="52"/>
      <c r="O7422" s="52"/>
      <c r="P7422" s="189" t="s">
        <v>1819</v>
      </c>
      <c r="Q7422" s="52"/>
      <c r="R7422" s="52"/>
      <c r="S7422" s="52"/>
      <c r="T7422" s="28" t="s">
        <v>34396</v>
      </c>
      <c r="U7422" s="38" t="s">
        <v>61</v>
      </c>
      <c r="V7422" s="30"/>
      <c r="W7422" s="49"/>
      <c r="X7422" s="49"/>
      <c r="Y7422" s="35"/>
      <c r="Z7422" s="35"/>
      <c r="AA7422" s="35"/>
      <c r="AB7422" s="35"/>
      <c r="AC7422" s="35"/>
      <c r="AD7422" s="35"/>
      <c r="AE7422" s="35"/>
      <c r="AF7422" s="35"/>
      <c r="AG7422" s="35"/>
      <c r="AH7422" s="35"/>
      <c r="AI7422" s="35"/>
      <c r="AJ7422" s="35"/>
      <c r="AK7422" s="35"/>
      <c r="AL7422" s="35"/>
    </row>
    <row r="7423">
      <c r="A7423" s="1"/>
      <c r="B7423" s="19" t="s">
        <v>29727</v>
      </c>
      <c r="C7423" s="20" t="s">
        <v>34384</v>
      </c>
      <c r="D7423" s="47"/>
      <c r="E7423" s="22" t="s">
        <v>34397</v>
      </c>
      <c r="F7423" s="22" t="s">
        <v>366</v>
      </c>
      <c r="G7423" s="23">
        <v>2022.0</v>
      </c>
      <c r="H7423" s="22" t="s">
        <v>26790</v>
      </c>
      <c r="I7423" s="24" t="s">
        <v>34398</v>
      </c>
      <c r="J7423" s="22" t="s">
        <v>31</v>
      </c>
      <c r="K7423" s="22"/>
      <c r="L7423" s="36">
        <v>405.0</v>
      </c>
      <c r="M7423" s="36"/>
      <c r="N7423" s="36"/>
      <c r="O7423" s="36"/>
      <c r="P7423" s="37"/>
      <c r="Q7423" s="36"/>
      <c r="R7423" s="36"/>
      <c r="S7423" s="36"/>
      <c r="T7423" s="28" t="s">
        <v>34399</v>
      </c>
      <c r="U7423" s="29" t="s">
        <v>61</v>
      </c>
      <c r="V7423" s="30"/>
      <c r="W7423" s="49"/>
      <c r="X7423" s="49"/>
      <c r="Y7423" s="35"/>
      <c r="Z7423" s="35"/>
      <c r="AA7423" s="35"/>
      <c r="AB7423" s="35"/>
      <c r="AC7423" s="35"/>
      <c r="AD7423" s="35"/>
      <c r="AE7423" s="35"/>
      <c r="AF7423" s="35"/>
      <c r="AG7423" s="35"/>
      <c r="AH7423" s="35"/>
      <c r="AI7423" s="35"/>
      <c r="AJ7423" s="35"/>
      <c r="AK7423" s="35"/>
      <c r="AL7423" s="35"/>
    </row>
    <row r="7424">
      <c r="A7424" s="1"/>
      <c r="B7424" s="19" t="s">
        <v>29727</v>
      </c>
      <c r="C7424" s="20" t="s">
        <v>34384</v>
      </c>
      <c r="D7424" s="47"/>
      <c r="E7424" s="22" t="s">
        <v>9973</v>
      </c>
      <c r="F7424" s="22" t="s">
        <v>8414</v>
      </c>
      <c r="G7424" s="23">
        <v>2022.0</v>
      </c>
      <c r="H7424" s="22" t="s">
        <v>42</v>
      </c>
      <c r="I7424" s="24" t="s">
        <v>34400</v>
      </c>
      <c r="J7424" s="22" t="s">
        <v>44</v>
      </c>
      <c r="K7424" s="22" t="s">
        <v>34401</v>
      </c>
      <c r="L7424" s="36">
        <v>420.0</v>
      </c>
      <c r="M7424" s="36"/>
      <c r="N7424" s="36"/>
      <c r="O7424" s="36"/>
      <c r="P7424" s="37"/>
      <c r="Q7424" s="36"/>
      <c r="R7424" s="36"/>
      <c r="S7424" s="36"/>
      <c r="T7424" s="41" t="s">
        <v>34402</v>
      </c>
      <c r="U7424" s="29"/>
      <c r="V7424" s="30"/>
      <c r="W7424" s="49"/>
      <c r="X7424" s="49"/>
      <c r="Y7424" s="35"/>
      <c r="Z7424" s="35"/>
      <c r="AA7424" s="35"/>
      <c r="AB7424" s="35"/>
      <c r="AC7424" s="35"/>
      <c r="AD7424" s="35"/>
      <c r="AE7424" s="35"/>
      <c r="AF7424" s="35"/>
      <c r="AG7424" s="35"/>
      <c r="AH7424" s="35"/>
      <c r="AI7424" s="35"/>
      <c r="AJ7424" s="35"/>
      <c r="AK7424" s="35"/>
      <c r="AL7424" s="35"/>
    </row>
    <row r="7425">
      <c r="A7425" s="1"/>
      <c r="B7425" s="19" t="s">
        <v>29727</v>
      </c>
      <c r="C7425" s="20" t="s">
        <v>34384</v>
      </c>
      <c r="D7425" s="47"/>
      <c r="E7425" s="22" t="s">
        <v>12819</v>
      </c>
      <c r="F7425" s="22" t="s">
        <v>8414</v>
      </c>
      <c r="G7425" s="23">
        <v>2021.0</v>
      </c>
      <c r="H7425" s="22" t="s">
        <v>627</v>
      </c>
      <c r="I7425" s="24" t="s">
        <v>34403</v>
      </c>
      <c r="J7425" s="22" t="s">
        <v>2823</v>
      </c>
      <c r="K7425" s="22" t="s">
        <v>34401</v>
      </c>
      <c r="L7425" s="36">
        <v>420.0</v>
      </c>
      <c r="M7425" s="36"/>
      <c r="N7425" s="36"/>
      <c r="O7425" s="36"/>
      <c r="P7425" s="37"/>
      <c r="Q7425" s="36"/>
      <c r="R7425" s="36"/>
      <c r="S7425" s="36"/>
      <c r="T7425" s="41" t="s">
        <v>34404</v>
      </c>
      <c r="U7425" s="29" t="s">
        <v>61</v>
      </c>
      <c r="V7425" s="30"/>
      <c r="W7425" s="49"/>
      <c r="X7425" s="49"/>
      <c r="Y7425" s="35"/>
      <c r="Z7425" s="35"/>
      <c r="AA7425" s="35"/>
      <c r="AB7425" s="35"/>
      <c r="AC7425" s="35"/>
      <c r="AD7425" s="35"/>
      <c r="AE7425" s="35"/>
      <c r="AF7425" s="35"/>
      <c r="AG7425" s="35"/>
      <c r="AH7425" s="35"/>
      <c r="AI7425" s="35"/>
      <c r="AJ7425" s="35"/>
      <c r="AK7425" s="35"/>
      <c r="AL7425" s="35"/>
    </row>
    <row r="7426">
      <c r="A7426" s="1"/>
      <c r="B7426" s="19" t="s">
        <v>29727</v>
      </c>
      <c r="C7426" s="20" t="s">
        <v>34384</v>
      </c>
      <c r="D7426" s="47"/>
      <c r="E7426" s="22" t="s">
        <v>27183</v>
      </c>
      <c r="F7426" s="22" t="s">
        <v>8340</v>
      </c>
      <c r="G7426" s="23">
        <v>2021.0</v>
      </c>
      <c r="H7426" s="22" t="s">
        <v>191</v>
      </c>
      <c r="I7426" s="24" t="s">
        <v>34405</v>
      </c>
      <c r="J7426" s="22" t="s">
        <v>31</v>
      </c>
      <c r="K7426" s="22" t="s">
        <v>34406</v>
      </c>
      <c r="L7426" s="36">
        <v>453.0</v>
      </c>
      <c r="M7426" s="36"/>
      <c r="N7426" s="36"/>
      <c r="O7426" s="36"/>
      <c r="P7426" s="37"/>
      <c r="Q7426" s="36"/>
      <c r="R7426" s="36"/>
      <c r="S7426" s="36"/>
      <c r="T7426" s="28" t="s">
        <v>34407</v>
      </c>
      <c r="U7426" s="29" t="s">
        <v>61</v>
      </c>
      <c r="V7426" s="30"/>
      <c r="W7426" s="49"/>
      <c r="X7426" s="49"/>
      <c r="Y7426" s="35"/>
      <c r="Z7426" s="35"/>
      <c r="AA7426" s="35"/>
      <c r="AB7426" s="35"/>
      <c r="AC7426" s="35"/>
      <c r="AD7426" s="35"/>
      <c r="AE7426" s="35"/>
      <c r="AF7426" s="35"/>
      <c r="AG7426" s="35"/>
      <c r="AH7426" s="35"/>
      <c r="AI7426" s="35"/>
      <c r="AJ7426" s="35"/>
      <c r="AK7426" s="35"/>
      <c r="AL7426" s="35"/>
    </row>
    <row r="7427">
      <c r="A7427" s="1"/>
      <c r="B7427" s="19" t="s">
        <v>29727</v>
      </c>
      <c r="C7427" s="20" t="s">
        <v>34384</v>
      </c>
      <c r="D7427" s="47"/>
      <c r="E7427" s="22" t="s">
        <v>2432</v>
      </c>
      <c r="F7427" s="22" t="s">
        <v>2312</v>
      </c>
      <c r="G7427" s="23">
        <v>2021.0</v>
      </c>
      <c r="H7427" s="22" t="s">
        <v>2012</v>
      </c>
      <c r="I7427" s="24" t="s">
        <v>34408</v>
      </c>
      <c r="J7427" s="22" t="s">
        <v>34409</v>
      </c>
      <c r="K7427" s="22" t="s">
        <v>6698</v>
      </c>
      <c r="L7427" s="36" t="s">
        <v>34410</v>
      </c>
      <c r="M7427" s="36"/>
      <c r="N7427" s="36"/>
      <c r="O7427" s="36"/>
      <c r="P7427" s="37"/>
      <c r="Q7427" s="36"/>
      <c r="R7427" s="36"/>
      <c r="S7427" s="36"/>
      <c r="T7427" s="28" t="s">
        <v>34411</v>
      </c>
      <c r="U7427" s="29" t="s">
        <v>61</v>
      </c>
      <c r="V7427" s="30"/>
      <c r="W7427" s="49"/>
      <c r="X7427" s="49"/>
      <c r="Y7427" s="35"/>
      <c r="Z7427" s="35"/>
      <c r="AA7427" s="35"/>
      <c r="AB7427" s="35"/>
      <c r="AC7427" s="35"/>
      <c r="AD7427" s="35"/>
      <c r="AE7427" s="35"/>
      <c r="AF7427" s="35"/>
      <c r="AG7427" s="35"/>
      <c r="AH7427" s="35"/>
      <c r="AI7427" s="35"/>
      <c r="AJ7427" s="35"/>
      <c r="AK7427" s="35"/>
      <c r="AL7427" s="35"/>
    </row>
    <row r="7428">
      <c r="A7428" s="207"/>
      <c r="B7428" s="19" t="s">
        <v>29727</v>
      </c>
      <c r="C7428" s="20" t="s">
        <v>34384</v>
      </c>
      <c r="D7428" s="21"/>
      <c r="E7428" s="22" t="s">
        <v>34412</v>
      </c>
      <c r="F7428" s="22" t="s">
        <v>7425</v>
      </c>
      <c r="G7428" s="23">
        <v>2020.0</v>
      </c>
      <c r="H7428" s="22" t="s">
        <v>207</v>
      </c>
      <c r="I7428" s="24" t="s">
        <v>34413</v>
      </c>
      <c r="J7428" s="22" t="s">
        <v>31762</v>
      </c>
      <c r="K7428" s="22" t="s">
        <v>34414</v>
      </c>
      <c r="L7428" s="36" t="s">
        <v>34415</v>
      </c>
      <c r="M7428" s="36"/>
      <c r="N7428" s="36"/>
      <c r="O7428" s="36"/>
      <c r="P7428" s="37"/>
      <c r="Q7428" s="36"/>
      <c r="R7428" s="36"/>
      <c r="S7428" s="36"/>
      <c r="T7428" s="42" t="s">
        <v>34416</v>
      </c>
      <c r="U7428" s="29" t="s">
        <v>61</v>
      </c>
      <c r="V7428" s="50"/>
      <c r="W7428" s="49"/>
      <c r="X7428" s="49"/>
      <c r="Y7428" s="35"/>
      <c r="Z7428" s="35"/>
      <c r="AA7428" s="35"/>
      <c r="AB7428" s="35"/>
      <c r="AC7428" s="35"/>
      <c r="AD7428" s="35"/>
      <c r="AE7428" s="35"/>
      <c r="AF7428" s="35"/>
      <c r="AG7428" s="35"/>
      <c r="AH7428" s="35"/>
      <c r="AI7428" s="35"/>
      <c r="AJ7428" s="35"/>
      <c r="AK7428" s="35"/>
      <c r="AL7428" s="35"/>
    </row>
    <row r="7429">
      <c r="A7429" s="207"/>
      <c r="B7429" s="19" t="s">
        <v>29727</v>
      </c>
      <c r="C7429" s="20" t="s">
        <v>34384</v>
      </c>
      <c r="D7429" s="21"/>
      <c r="E7429" s="22" t="s">
        <v>3035</v>
      </c>
      <c r="F7429" s="22" t="s">
        <v>224</v>
      </c>
      <c r="G7429" s="23">
        <v>2020.0</v>
      </c>
      <c r="H7429" s="22" t="s">
        <v>207</v>
      </c>
      <c r="I7429" s="24" t="s">
        <v>34417</v>
      </c>
      <c r="J7429" s="22" t="s">
        <v>31</v>
      </c>
      <c r="K7429" s="354" t="s">
        <v>1725</v>
      </c>
      <c r="L7429" s="36">
        <v>450.0</v>
      </c>
      <c r="M7429" s="36"/>
      <c r="N7429" s="36"/>
      <c r="O7429" s="36"/>
      <c r="P7429" s="37"/>
      <c r="Q7429" s="36"/>
      <c r="R7429" s="36"/>
      <c r="S7429" s="36"/>
      <c r="T7429" s="28" t="s">
        <v>34418</v>
      </c>
      <c r="U7429" s="29" t="s">
        <v>61</v>
      </c>
      <c r="V7429" s="50"/>
      <c r="W7429" s="49"/>
      <c r="X7429" s="49"/>
      <c r="Y7429" s="35"/>
      <c r="Z7429" s="35"/>
      <c r="AA7429" s="35"/>
      <c r="AB7429" s="35"/>
      <c r="AC7429" s="35"/>
      <c r="AD7429" s="35"/>
      <c r="AE7429" s="35"/>
      <c r="AF7429" s="35"/>
      <c r="AG7429" s="35"/>
      <c r="AH7429" s="35"/>
      <c r="AI7429" s="35"/>
      <c r="AJ7429" s="35"/>
      <c r="AK7429" s="35"/>
      <c r="AL7429" s="35"/>
    </row>
    <row r="7430">
      <c r="A7430" s="207"/>
      <c r="B7430" s="19" t="s">
        <v>29727</v>
      </c>
      <c r="C7430" s="20" t="s">
        <v>34384</v>
      </c>
      <c r="D7430" s="21"/>
      <c r="E7430" s="22" t="s">
        <v>34419</v>
      </c>
      <c r="F7430" s="22" t="s">
        <v>11142</v>
      </c>
      <c r="G7430" s="23">
        <v>2018.0</v>
      </c>
      <c r="H7430" s="22" t="s">
        <v>53</v>
      </c>
      <c r="I7430" s="24" t="s">
        <v>34420</v>
      </c>
      <c r="J7430" s="22" t="s">
        <v>34421</v>
      </c>
      <c r="K7430" s="22" t="s">
        <v>34422</v>
      </c>
      <c r="L7430" s="36" t="s">
        <v>34423</v>
      </c>
      <c r="M7430" s="36"/>
      <c r="N7430" s="36"/>
      <c r="O7430" s="36"/>
      <c r="P7430" s="37" t="s">
        <v>34424</v>
      </c>
      <c r="Q7430" s="36"/>
      <c r="R7430" s="36"/>
      <c r="S7430" s="36"/>
      <c r="T7430" s="42" t="s">
        <v>34425</v>
      </c>
      <c r="U7430" s="38" t="str">
        <f>HYPERLINK("https://www.ncbi.nlm.nih.gov/pubmed/30168605","PubMed")</f>
        <v>PubMed</v>
      </c>
      <c r="V7430" s="50"/>
      <c r="W7430" s="49"/>
      <c r="X7430" s="49"/>
      <c r="Y7430" s="35"/>
      <c r="Z7430" s="35"/>
      <c r="AA7430" s="35"/>
      <c r="AB7430" s="35"/>
      <c r="AC7430" s="35"/>
      <c r="AD7430" s="35"/>
      <c r="AE7430" s="35"/>
      <c r="AF7430" s="35"/>
      <c r="AG7430" s="35"/>
      <c r="AH7430" s="35"/>
      <c r="AI7430" s="35"/>
      <c r="AJ7430" s="35"/>
      <c r="AK7430" s="35"/>
      <c r="AL7430" s="35"/>
    </row>
    <row r="7431">
      <c r="A7431" s="207"/>
      <c r="B7431" s="19" t="s">
        <v>29727</v>
      </c>
      <c r="C7431" s="20" t="s">
        <v>34384</v>
      </c>
      <c r="D7431" s="21"/>
      <c r="E7431" s="22" t="s">
        <v>626</v>
      </c>
      <c r="F7431" s="22" t="s">
        <v>224</v>
      </c>
      <c r="G7431" s="23">
        <v>2016.0</v>
      </c>
      <c r="H7431" s="22" t="s">
        <v>2181</v>
      </c>
      <c r="I7431" s="24" t="s">
        <v>34426</v>
      </c>
      <c r="J7431" s="22" t="s">
        <v>31</v>
      </c>
      <c r="K7431" s="22" t="s">
        <v>34427</v>
      </c>
      <c r="L7431" s="36" t="s">
        <v>34428</v>
      </c>
      <c r="M7431" s="36"/>
      <c r="N7431" s="36" t="s">
        <v>2379</v>
      </c>
      <c r="O7431" s="36"/>
      <c r="P7431" s="37"/>
      <c r="Q7431" s="36"/>
      <c r="R7431" s="36"/>
      <c r="S7431" s="36"/>
      <c r="T7431" s="28" t="s">
        <v>34429</v>
      </c>
      <c r="U7431" s="38" t="str">
        <f>HYPERLINK("https://www.ncbi.nlm.nih.gov/pubmed/27650508","PubMed")</f>
        <v>PubMed</v>
      </c>
      <c r="V7431" s="50"/>
      <c r="W7431" s="49"/>
      <c r="X7431" s="49"/>
      <c r="Y7431" s="35"/>
      <c r="Z7431" s="35"/>
      <c r="AA7431" s="35"/>
      <c r="AB7431" s="35"/>
      <c r="AC7431" s="35"/>
      <c r="AD7431" s="35"/>
      <c r="AE7431" s="35"/>
      <c r="AF7431" s="35"/>
      <c r="AG7431" s="35"/>
      <c r="AH7431" s="35"/>
      <c r="AI7431" s="35"/>
      <c r="AJ7431" s="35"/>
      <c r="AK7431" s="35"/>
      <c r="AL7431" s="35"/>
    </row>
    <row r="7432">
      <c r="A7432" s="207"/>
      <c r="B7432" s="19" t="s">
        <v>29727</v>
      </c>
      <c r="C7432" s="20" t="s">
        <v>34384</v>
      </c>
      <c r="D7432" s="21"/>
      <c r="E7432" s="22" t="s">
        <v>9633</v>
      </c>
      <c r="F7432" s="22" t="s">
        <v>8340</v>
      </c>
      <c r="G7432" s="23">
        <v>2016.0</v>
      </c>
      <c r="H7432" s="22" t="s">
        <v>2181</v>
      </c>
      <c r="I7432" s="24" t="s">
        <v>34430</v>
      </c>
      <c r="J7432" s="22" t="s">
        <v>31</v>
      </c>
      <c r="K7432" s="22" t="s">
        <v>1725</v>
      </c>
      <c r="L7432" s="36">
        <v>453.0</v>
      </c>
      <c r="M7432" s="36"/>
      <c r="N7432" s="36"/>
      <c r="O7432" s="36"/>
      <c r="P7432" s="37" t="s">
        <v>34431</v>
      </c>
      <c r="Q7432" s="36"/>
      <c r="R7432" s="36"/>
      <c r="S7432" s="36"/>
      <c r="T7432" s="28"/>
      <c r="U7432" s="38" t="str">
        <f>HYPERLINK("https://www.ncbi.nlm.nih.gov/pubmed/27669902","PubMed")</f>
        <v>PubMed</v>
      </c>
      <c r="V7432" s="50"/>
      <c r="W7432" s="49"/>
      <c r="X7432" s="49"/>
      <c r="Y7432" s="35"/>
      <c r="Z7432" s="35"/>
      <c r="AA7432" s="35"/>
      <c r="AB7432" s="35"/>
      <c r="AC7432" s="35"/>
      <c r="AD7432" s="35"/>
      <c r="AE7432" s="35"/>
      <c r="AF7432" s="35"/>
      <c r="AG7432" s="35"/>
      <c r="AH7432" s="35"/>
      <c r="AI7432" s="35"/>
      <c r="AJ7432" s="35"/>
      <c r="AK7432" s="35"/>
      <c r="AL7432" s="35"/>
    </row>
    <row r="7433">
      <c r="A7433" s="207"/>
      <c r="B7433" s="19" t="s">
        <v>29727</v>
      </c>
      <c r="C7433" s="20" t="s">
        <v>34384</v>
      </c>
      <c r="D7433" s="21"/>
      <c r="E7433" s="22" t="s">
        <v>14985</v>
      </c>
      <c r="F7433" s="22" t="s">
        <v>2346</v>
      </c>
      <c r="G7433" s="23">
        <v>2015.0</v>
      </c>
      <c r="H7433" s="22" t="s">
        <v>91</v>
      </c>
      <c r="I7433" s="24" t="s">
        <v>34432</v>
      </c>
      <c r="J7433" s="22" t="s">
        <v>31</v>
      </c>
      <c r="K7433" s="22" t="s">
        <v>34433</v>
      </c>
      <c r="L7433" s="36" t="s">
        <v>14995</v>
      </c>
      <c r="M7433" s="36"/>
      <c r="N7433" s="36"/>
      <c r="O7433" s="36"/>
      <c r="P7433" s="37" t="s">
        <v>31826</v>
      </c>
      <c r="Q7433" s="36"/>
      <c r="R7433" s="36"/>
      <c r="S7433" s="36"/>
      <c r="T7433" s="42" t="s">
        <v>34434</v>
      </c>
      <c r="U7433" s="38" t="str">
        <f>HYPERLINK("https://www.ncbi.nlm.nih.gov/pubmed/25118663","PubMed")</f>
        <v>PubMed</v>
      </c>
      <c r="V7433" s="50"/>
      <c r="W7433" s="49"/>
      <c r="X7433" s="49"/>
      <c r="Y7433" s="35"/>
      <c r="Z7433" s="35"/>
      <c r="AA7433" s="35"/>
      <c r="AB7433" s="35"/>
      <c r="AC7433" s="35"/>
      <c r="AD7433" s="35"/>
      <c r="AE7433" s="35"/>
      <c r="AF7433" s="35"/>
      <c r="AG7433" s="35"/>
      <c r="AH7433" s="35"/>
      <c r="AI7433" s="35"/>
      <c r="AJ7433" s="35"/>
      <c r="AK7433" s="35"/>
      <c r="AL7433" s="35"/>
    </row>
    <row r="7434">
      <c r="A7434" s="207"/>
      <c r="B7434" s="19" t="s">
        <v>29727</v>
      </c>
      <c r="C7434" s="20" t="s">
        <v>34384</v>
      </c>
      <c r="D7434" s="21"/>
      <c r="E7434" s="22" t="s">
        <v>34435</v>
      </c>
      <c r="F7434" s="22" t="s">
        <v>1773</v>
      </c>
      <c r="G7434" s="23">
        <v>2015.0</v>
      </c>
      <c r="H7434" s="22" t="s">
        <v>1025</v>
      </c>
      <c r="I7434" s="24" t="s">
        <v>34436</v>
      </c>
      <c r="J7434" s="22" t="s">
        <v>31</v>
      </c>
      <c r="K7434" s="22" t="s">
        <v>34437</v>
      </c>
      <c r="L7434" s="36">
        <v>520.0</v>
      </c>
      <c r="M7434" s="36"/>
      <c r="N7434" s="36" t="s">
        <v>414</v>
      </c>
      <c r="O7434" s="36"/>
      <c r="P7434" s="37"/>
      <c r="Q7434" s="36"/>
      <c r="R7434" s="36"/>
      <c r="S7434" s="36"/>
      <c r="T7434" s="28" t="s">
        <v>34438</v>
      </c>
      <c r="U7434" s="38" t="str">
        <f>HYPERLINK("https://www.ncbi.nlm.nih.gov/pubmed/25652701","PubMed")</f>
        <v>PubMed</v>
      </c>
      <c r="V7434" s="50"/>
      <c r="W7434" s="49"/>
      <c r="X7434" s="49"/>
      <c r="Y7434" s="35"/>
      <c r="Z7434" s="35"/>
      <c r="AA7434" s="35"/>
      <c r="AB7434" s="35"/>
      <c r="AC7434" s="35"/>
      <c r="AD7434" s="35"/>
      <c r="AE7434" s="35"/>
      <c r="AF7434" s="35"/>
      <c r="AG7434" s="35"/>
      <c r="AH7434" s="35"/>
      <c r="AI7434" s="35"/>
      <c r="AJ7434" s="35"/>
      <c r="AK7434" s="35"/>
      <c r="AL7434" s="35"/>
    </row>
    <row r="7435">
      <c r="A7435" s="207"/>
      <c r="B7435" s="19" t="s">
        <v>29727</v>
      </c>
      <c r="C7435" s="20" t="s">
        <v>34384</v>
      </c>
      <c r="D7435" s="21"/>
      <c r="E7435" s="22" t="s">
        <v>11321</v>
      </c>
      <c r="F7435" s="22" t="s">
        <v>6785</v>
      </c>
      <c r="G7435" s="23">
        <v>2012.0</v>
      </c>
      <c r="H7435" s="22" t="s">
        <v>5130</v>
      </c>
      <c r="I7435" s="24" t="s">
        <v>34439</v>
      </c>
      <c r="J7435" s="22" t="s">
        <v>44</v>
      </c>
      <c r="K7435" s="22" t="s">
        <v>34440</v>
      </c>
      <c r="L7435" s="36" t="s">
        <v>34441</v>
      </c>
      <c r="M7435" s="36"/>
      <c r="N7435" s="36"/>
      <c r="O7435" s="36"/>
      <c r="P7435" s="37"/>
      <c r="Q7435" s="36"/>
      <c r="R7435" s="36"/>
      <c r="S7435" s="36"/>
      <c r="T7435" s="42" t="s">
        <v>34442</v>
      </c>
      <c r="U7435" s="38" t="str">
        <f>HYPERLINK("https://www.ncbi.nlm.nih.gov/pubmed/22380691","PubMed")</f>
        <v>PubMed</v>
      </c>
      <c r="V7435" s="50"/>
      <c r="W7435" s="49"/>
      <c r="X7435" s="49"/>
      <c r="Y7435" s="35"/>
      <c r="Z7435" s="35"/>
      <c r="AA7435" s="35"/>
      <c r="AB7435" s="35"/>
      <c r="AC7435" s="35"/>
      <c r="AD7435" s="35"/>
      <c r="AE7435" s="35"/>
      <c r="AF7435" s="35"/>
      <c r="AG7435" s="35"/>
      <c r="AH7435" s="35"/>
      <c r="AI7435" s="35"/>
      <c r="AJ7435" s="35"/>
      <c r="AK7435" s="35"/>
      <c r="AL7435" s="35"/>
    </row>
    <row r="7436">
      <c r="A7436" s="207"/>
      <c r="B7436" s="19" t="s">
        <v>29727</v>
      </c>
      <c r="C7436" s="20" t="s">
        <v>34384</v>
      </c>
      <c r="D7436" s="21"/>
      <c r="E7436" s="22" t="s">
        <v>4057</v>
      </c>
      <c r="F7436" s="22" t="s">
        <v>2196</v>
      </c>
      <c r="G7436" s="23">
        <v>2012.0</v>
      </c>
      <c r="H7436" s="22" t="s">
        <v>300</v>
      </c>
      <c r="I7436" s="24" t="s">
        <v>34443</v>
      </c>
      <c r="J7436" s="22" t="s">
        <v>34444</v>
      </c>
      <c r="K7436" s="22" t="s">
        <v>34445</v>
      </c>
      <c r="L7436" s="36" t="s">
        <v>34446</v>
      </c>
      <c r="M7436" s="36"/>
      <c r="N7436" s="36"/>
      <c r="O7436" s="36"/>
      <c r="P7436" s="37"/>
      <c r="Q7436" s="36"/>
      <c r="R7436" s="36"/>
      <c r="S7436" s="36"/>
      <c r="T7436" s="28" t="s">
        <v>34447</v>
      </c>
      <c r="U7436" s="38" t="str">
        <f>HYPERLINK("https://www.ncbi.nlm.nih.gov/pubmed/23365602","PubMed")</f>
        <v>PubMed</v>
      </c>
      <c r="V7436" s="50"/>
      <c r="W7436" s="49"/>
      <c r="X7436" s="49"/>
      <c r="Y7436" s="35"/>
      <c r="Z7436" s="35"/>
      <c r="AA7436" s="35"/>
      <c r="AB7436" s="35"/>
      <c r="AC7436" s="35"/>
      <c r="AD7436" s="35"/>
      <c r="AE7436" s="35"/>
      <c r="AF7436" s="35"/>
      <c r="AG7436" s="35"/>
      <c r="AH7436" s="35"/>
      <c r="AI7436" s="35"/>
      <c r="AJ7436" s="35"/>
      <c r="AK7436" s="35"/>
      <c r="AL7436" s="35"/>
    </row>
    <row r="7437">
      <c r="A7437" s="207"/>
      <c r="B7437" s="19" t="s">
        <v>29727</v>
      </c>
      <c r="C7437" s="20" t="s">
        <v>34384</v>
      </c>
      <c r="D7437" s="21"/>
      <c r="E7437" s="22" t="s">
        <v>34448</v>
      </c>
      <c r="F7437" s="22" t="s">
        <v>6330</v>
      </c>
      <c r="G7437" s="23">
        <v>2011.0</v>
      </c>
      <c r="H7437" s="22" t="s">
        <v>207</v>
      </c>
      <c r="I7437" s="24" t="s">
        <v>34449</v>
      </c>
      <c r="J7437" s="22" t="s">
        <v>31</v>
      </c>
      <c r="K7437" s="22" t="s">
        <v>34450</v>
      </c>
      <c r="L7437" s="36">
        <v>515.0</v>
      </c>
      <c r="M7437" s="36"/>
      <c r="N7437" s="36"/>
      <c r="O7437" s="36"/>
      <c r="P7437" s="37"/>
      <c r="Q7437" s="36"/>
      <c r="R7437" s="36"/>
      <c r="S7437" s="36"/>
      <c r="T7437" s="28" t="s">
        <v>34451</v>
      </c>
      <c r="U7437" s="38" t="str">
        <f>HYPERLINK("https://www.ncbi.nlm.nih.gov/pubmed/20934350","PubMed")</f>
        <v>PubMed</v>
      </c>
      <c r="V7437" s="50"/>
      <c r="W7437" s="49"/>
      <c r="X7437" s="49"/>
      <c r="Y7437" s="35"/>
      <c r="Z7437" s="35"/>
      <c r="AA7437" s="35"/>
      <c r="AB7437" s="35"/>
      <c r="AC7437" s="35"/>
      <c r="AD7437" s="35"/>
      <c r="AE7437" s="35"/>
      <c r="AF7437" s="35"/>
      <c r="AG7437" s="35"/>
      <c r="AH7437" s="35"/>
      <c r="AI7437" s="35"/>
      <c r="AJ7437" s="35"/>
      <c r="AK7437" s="35"/>
      <c r="AL7437" s="35"/>
    </row>
    <row r="7438">
      <c r="A7438" s="207"/>
      <c r="B7438" s="75" t="s">
        <v>29727</v>
      </c>
      <c r="C7438" s="77" t="s">
        <v>34384</v>
      </c>
      <c r="D7438" s="21"/>
      <c r="E7438" s="22" t="s">
        <v>8154</v>
      </c>
      <c r="F7438" s="22" t="s">
        <v>8597</v>
      </c>
      <c r="G7438" s="23">
        <v>2010.0</v>
      </c>
      <c r="H7438" s="22" t="s">
        <v>3292</v>
      </c>
      <c r="I7438" s="24" t="s">
        <v>34452</v>
      </c>
      <c r="J7438" s="22" t="s">
        <v>34453</v>
      </c>
      <c r="K7438" s="22" t="s">
        <v>1725</v>
      </c>
      <c r="L7438" s="36">
        <v>420.0</v>
      </c>
      <c r="M7438" s="36"/>
      <c r="N7438" s="36"/>
      <c r="O7438" s="36"/>
      <c r="P7438" s="37" t="s">
        <v>287</v>
      </c>
      <c r="Q7438" s="36"/>
      <c r="R7438" s="36"/>
      <c r="S7438" s="36" t="s">
        <v>3125</v>
      </c>
      <c r="T7438" s="28" t="s">
        <v>34454</v>
      </c>
      <c r="U7438" s="38" t="s">
        <v>61</v>
      </c>
      <c r="V7438" s="50"/>
      <c r="W7438" s="49"/>
      <c r="X7438" s="49"/>
      <c r="Y7438" s="35"/>
      <c r="Z7438" s="35"/>
      <c r="AA7438" s="35"/>
      <c r="AB7438" s="35"/>
      <c r="AC7438" s="35"/>
      <c r="AD7438" s="35"/>
      <c r="AE7438" s="35"/>
      <c r="AF7438" s="35"/>
      <c r="AG7438" s="35"/>
      <c r="AH7438" s="35"/>
      <c r="AI7438" s="35"/>
      <c r="AJ7438" s="35"/>
      <c r="AK7438" s="35"/>
      <c r="AL7438" s="35"/>
    </row>
    <row r="7439">
      <c r="A7439" s="207"/>
      <c r="B7439" s="75" t="s">
        <v>29727</v>
      </c>
      <c r="C7439" s="77" t="s">
        <v>34384</v>
      </c>
      <c r="D7439" s="21"/>
      <c r="E7439" s="22" t="s">
        <v>34448</v>
      </c>
      <c r="F7439" s="22" t="s">
        <v>6330</v>
      </c>
      <c r="G7439" s="23">
        <v>2009.0</v>
      </c>
      <c r="H7439" s="22" t="s">
        <v>32067</v>
      </c>
      <c r="I7439" s="24" t="s">
        <v>34455</v>
      </c>
      <c r="J7439" s="22" t="s">
        <v>31</v>
      </c>
      <c r="K7439" s="22" t="s">
        <v>34450</v>
      </c>
      <c r="L7439" s="36">
        <v>527.0</v>
      </c>
      <c r="M7439" s="36"/>
      <c r="N7439" s="36"/>
      <c r="O7439" s="36"/>
      <c r="P7439" s="37"/>
      <c r="Q7439" s="36"/>
      <c r="R7439" s="36"/>
      <c r="S7439" s="36"/>
      <c r="T7439" s="28" t="s">
        <v>34456</v>
      </c>
      <c r="U7439" s="38" t="str">
        <f>HYPERLINK("https://www.ncbi.nlm.nih.gov/pubmed/19669578","PubMed")</f>
        <v>PubMed</v>
      </c>
      <c r="V7439" s="50"/>
      <c r="W7439" s="49"/>
      <c r="X7439" s="49"/>
      <c r="Y7439" s="35"/>
      <c r="Z7439" s="35"/>
      <c r="AA7439" s="35"/>
      <c r="AB7439" s="35"/>
      <c r="AC7439" s="35"/>
      <c r="AD7439" s="35"/>
      <c r="AE7439" s="35"/>
      <c r="AF7439" s="35"/>
      <c r="AG7439" s="35"/>
      <c r="AH7439" s="35"/>
      <c r="AI7439" s="35"/>
      <c r="AJ7439" s="35"/>
      <c r="AK7439" s="35"/>
      <c r="AL7439" s="35"/>
    </row>
    <row r="7440">
      <c r="A7440" s="207"/>
      <c r="B7440" s="19" t="s">
        <v>29727</v>
      </c>
      <c r="C7440" s="20" t="s">
        <v>34384</v>
      </c>
      <c r="D7440" s="21"/>
      <c r="E7440" s="22" t="s">
        <v>2338</v>
      </c>
      <c r="F7440" s="22" t="s">
        <v>2196</v>
      </c>
      <c r="G7440" s="23">
        <v>2007.0</v>
      </c>
      <c r="H7440" s="22" t="s">
        <v>4975</v>
      </c>
      <c r="I7440" s="24" t="s">
        <v>34457</v>
      </c>
      <c r="J7440" s="22" t="s">
        <v>31</v>
      </c>
      <c r="K7440" s="22" t="s">
        <v>34458</v>
      </c>
      <c r="L7440" s="36" t="s">
        <v>34459</v>
      </c>
      <c r="M7440" s="36"/>
      <c r="N7440" s="36"/>
      <c r="O7440" s="36"/>
      <c r="P7440" s="37"/>
      <c r="Q7440" s="36"/>
      <c r="R7440" s="36"/>
      <c r="S7440" s="36"/>
      <c r="T7440" s="28" t="s">
        <v>34460</v>
      </c>
      <c r="U7440" s="38" t="str">
        <f>HYPERLINK("https://www.ncbi.nlm.nih.gov/pubmed/17645673","PubMed")</f>
        <v>PubMed</v>
      </c>
      <c r="V7440" s="50"/>
      <c r="W7440" s="49"/>
      <c r="X7440" s="49"/>
      <c r="Y7440" s="35"/>
      <c r="Z7440" s="35"/>
      <c r="AA7440" s="35"/>
      <c r="AB7440" s="35"/>
      <c r="AC7440" s="35"/>
      <c r="AD7440" s="35"/>
      <c r="AE7440" s="35"/>
      <c r="AF7440" s="35"/>
      <c r="AG7440" s="35"/>
      <c r="AH7440" s="35"/>
      <c r="AI7440" s="35"/>
      <c r="AJ7440" s="35"/>
      <c r="AK7440" s="35"/>
      <c r="AL7440" s="35"/>
    </row>
    <row r="7441">
      <c r="A7441" s="207"/>
      <c r="B7441" s="19" t="s">
        <v>29727</v>
      </c>
      <c r="C7441" s="20" t="s">
        <v>34384</v>
      </c>
      <c r="D7441" s="21"/>
      <c r="E7441" s="22" t="s">
        <v>15059</v>
      </c>
      <c r="F7441" s="22" t="s">
        <v>15060</v>
      </c>
      <c r="G7441" s="23">
        <v>2006.0</v>
      </c>
      <c r="H7441" s="22" t="s">
        <v>6297</v>
      </c>
      <c r="I7441" s="24" t="s">
        <v>34461</v>
      </c>
      <c r="J7441" s="22" t="s">
        <v>31</v>
      </c>
      <c r="K7441" s="22" t="s">
        <v>34462</v>
      </c>
      <c r="L7441" s="36">
        <v>532.0</v>
      </c>
      <c r="M7441" s="36">
        <v>30.0</v>
      </c>
      <c r="N7441" s="36"/>
      <c r="O7441" s="36"/>
      <c r="P7441" s="37"/>
      <c r="Q7441" s="36"/>
      <c r="R7441" s="36"/>
      <c r="S7441" s="36"/>
      <c r="T7441" s="28" t="s">
        <v>34463</v>
      </c>
      <c r="U7441" s="38" t="str">
        <f>HYPERLINK("https://www.ncbi.nlm.nih.gov/pubmed/15910177","PubMed")</f>
        <v>PubMed</v>
      </c>
      <c r="V7441" s="50"/>
      <c r="W7441" s="49"/>
      <c r="X7441" s="49"/>
      <c r="Y7441" s="35"/>
      <c r="Z7441" s="35"/>
      <c r="AA7441" s="35"/>
      <c r="AB7441" s="35"/>
      <c r="AC7441" s="35"/>
      <c r="AD7441" s="35"/>
      <c r="AE7441" s="35"/>
      <c r="AF7441" s="35"/>
      <c r="AG7441" s="35"/>
      <c r="AH7441" s="35"/>
      <c r="AI7441" s="35"/>
      <c r="AJ7441" s="35"/>
      <c r="AK7441" s="35"/>
      <c r="AL7441" s="35"/>
    </row>
    <row r="7442">
      <c r="A7442" s="207"/>
      <c r="B7442" s="19" t="s">
        <v>29727</v>
      </c>
      <c r="C7442" s="20" t="s">
        <v>34384</v>
      </c>
      <c r="D7442" s="21"/>
      <c r="E7442" s="22" t="s">
        <v>34464</v>
      </c>
      <c r="F7442" s="22" t="s">
        <v>4999</v>
      </c>
      <c r="G7442" s="23">
        <v>2006.0</v>
      </c>
      <c r="H7442" s="22" t="s">
        <v>7267</v>
      </c>
      <c r="I7442" s="24" t="s">
        <v>34465</v>
      </c>
      <c r="J7442" s="22" t="s">
        <v>31</v>
      </c>
      <c r="K7442" s="22" t="s">
        <v>34466</v>
      </c>
      <c r="L7442" s="36" t="s">
        <v>34467</v>
      </c>
      <c r="M7442" s="36"/>
      <c r="N7442" s="36"/>
      <c r="O7442" s="36"/>
      <c r="P7442" s="37" t="s">
        <v>34468</v>
      </c>
      <c r="Q7442" s="36"/>
      <c r="R7442" s="36"/>
      <c r="S7442" s="36"/>
      <c r="T7442" s="28" t="s">
        <v>34469</v>
      </c>
      <c r="U7442" s="38" t="str">
        <f>HYPERLINK("https://www.ncbi.nlm.nih.gov/pubmed/16865864","PubMed")</f>
        <v>PubMed</v>
      </c>
      <c r="V7442" s="50"/>
      <c r="W7442" s="49"/>
      <c r="X7442" s="49"/>
      <c r="Y7442" s="35"/>
      <c r="Z7442" s="35"/>
      <c r="AA7442" s="35"/>
      <c r="AB7442" s="35"/>
      <c r="AC7442" s="35"/>
      <c r="AD7442" s="35"/>
      <c r="AE7442" s="35"/>
      <c r="AF7442" s="35"/>
      <c r="AG7442" s="35"/>
      <c r="AH7442" s="35"/>
      <c r="AI7442" s="35"/>
      <c r="AJ7442" s="35"/>
      <c r="AK7442" s="35"/>
      <c r="AL7442" s="35"/>
    </row>
    <row r="7443">
      <c r="A7443" s="207"/>
      <c r="B7443" s="19" t="s">
        <v>29727</v>
      </c>
      <c r="C7443" s="20" t="s">
        <v>34384</v>
      </c>
      <c r="D7443" s="21"/>
      <c r="E7443" s="22" t="s">
        <v>5597</v>
      </c>
      <c r="F7443" s="22" t="s">
        <v>283</v>
      </c>
      <c r="G7443" s="23">
        <v>2005.0</v>
      </c>
      <c r="H7443" s="22" t="s">
        <v>658</v>
      </c>
      <c r="I7443" s="24" t="s">
        <v>34470</v>
      </c>
      <c r="J7443" s="22" t="s">
        <v>31</v>
      </c>
      <c r="K7443" s="22" t="s">
        <v>34471</v>
      </c>
      <c r="L7443" s="36">
        <v>570.0</v>
      </c>
      <c r="M7443" s="36">
        <v>10.0</v>
      </c>
      <c r="N7443" s="36"/>
      <c r="O7443" s="36"/>
      <c r="P7443" s="37"/>
      <c r="Q7443" s="36"/>
      <c r="R7443" s="36"/>
      <c r="S7443" s="36"/>
      <c r="T7443" s="28" t="s">
        <v>34472</v>
      </c>
      <c r="U7443" s="38" t="str">
        <f>HYPERLINK("https://www.ncbi.nlm.nih.gov/pubmed/15910180","PubMed")</f>
        <v>PubMed</v>
      </c>
      <c r="V7443" s="50"/>
      <c r="W7443" s="49"/>
      <c r="X7443" s="49"/>
      <c r="Y7443" s="35"/>
      <c r="Z7443" s="35"/>
      <c r="AA7443" s="35"/>
      <c r="AB7443" s="35"/>
      <c r="AC7443" s="35"/>
      <c r="AD7443" s="35"/>
      <c r="AE7443" s="35"/>
      <c r="AF7443" s="35"/>
      <c r="AG7443" s="35"/>
      <c r="AH7443" s="35"/>
      <c r="AI7443" s="35"/>
      <c r="AJ7443" s="35"/>
      <c r="AK7443" s="35"/>
      <c r="AL7443" s="35"/>
    </row>
    <row r="7444">
      <c r="A7444" s="207"/>
      <c r="B7444" s="19" t="s">
        <v>29727</v>
      </c>
      <c r="C7444" s="20" t="s">
        <v>19654</v>
      </c>
      <c r="D7444" s="21"/>
      <c r="E7444" s="22" t="s">
        <v>21921</v>
      </c>
      <c r="F7444" s="22" t="s">
        <v>6785</v>
      </c>
      <c r="G7444" s="23">
        <v>2023.0</v>
      </c>
      <c r="H7444" s="22" t="s">
        <v>34473</v>
      </c>
      <c r="I7444" s="24" t="s">
        <v>34474</v>
      </c>
      <c r="J7444" s="22" t="s">
        <v>125</v>
      </c>
      <c r="K7444" s="22"/>
      <c r="L7444" s="216"/>
      <c r="M7444" s="44"/>
      <c r="N7444" s="44"/>
      <c r="O7444" s="44"/>
      <c r="P7444" s="44"/>
      <c r="Q7444" s="44"/>
      <c r="R7444" s="44"/>
      <c r="S7444" s="44"/>
      <c r="T7444" s="45"/>
      <c r="U7444" s="38" t="s">
        <v>61</v>
      </c>
      <c r="V7444" s="50"/>
      <c r="W7444" s="49"/>
      <c r="X7444" s="49"/>
      <c r="Y7444" s="35"/>
      <c r="Z7444" s="35"/>
      <c r="AA7444" s="35"/>
      <c r="AB7444" s="35"/>
      <c r="AC7444" s="35"/>
      <c r="AD7444" s="35"/>
      <c r="AE7444" s="35"/>
      <c r="AF7444" s="35"/>
      <c r="AG7444" s="35"/>
      <c r="AH7444" s="35"/>
      <c r="AI7444" s="35"/>
      <c r="AJ7444" s="35"/>
      <c r="AK7444" s="35"/>
      <c r="AL7444" s="35"/>
    </row>
    <row r="7445">
      <c r="A7445" s="207"/>
      <c r="B7445" s="19" t="s">
        <v>29727</v>
      </c>
      <c r="C7445" s="20" t="s">
        <v>19654</v>
      </c>
      <c r="D7445" s="21"/>
      <c r="E7445" s="22" t="s">
        <v>34475</v>
      </c>
      <c r="F7445" s="22" t="s">
        <v>1398</v>
      </c>
      <c r="G7445" s="23">
        <v>2017.0</v>
      </c>
      <c r="H7445" s="22" t="s">
        <v>627</v>
      </c>
      <c r="I7445" s="24" t="s">
        <v>34476</v>
      </c>
      <c r="J7445" s="22" t="s">
        <v>31</v>
      </c>
      <c r="K7445" s="22"/>
      <c r="L7445" s="168">
        <v>10600.0</v>
      </c>
      <c r="M7445" s="168"/>
      <c r="N7445" s="168"/>
      <c r="O7445" s="168"/>
      <c r="P7445" s="169" t="s">
        <v>34477</v>
      </c>
      <c r="Q7445" s="168"/>
      <c r="R7445" s="168"/>
      <c r="S7445" s="168"/>
      <c r="T7445" s="28" t="s">
        <v>34478</v>
      </c>
      <c r="U7445" s="38" t="str">
        <f>HYPERLINK("https://www.ncbi.nlm.nih.gov/pubmed/28045948","PubMed")</f>
        <v>PubMed</v>
      </c>
      <c r="V7445" s="50"/>
      <c r="W7445" s="49"/>
      <c r="X7445" s="49"/>
      <c r="Y7445" s="35"/>
      <c r="Z7445" s="35"/>
      <c r="AA7445" s="35"/>
      <c r="AB7445" s="35"/>
      <c r="AC7445" s="35"/>
      <c r="AD7445" s="35"/>
      <c r="AE7445" s="35"/>
      <c r="AF7445" s="35"/>
      <c r="AG7445" s="35"/>
      <c r="AH7445" s="35"/>
      <c r="AI7445" s="35"/>
      <c r="AJ7445" s="35"/>
      <c r="AK7445" s="35"/>
      <c r="AL7445" s="35"/>
    </row>
    <row r="7446">
      <c r="A7446" s="207"/>
      <c r="B7446" s="19" t="s">
        <v>29727</v>
      </c>
      <c r="C7446" s="20" t="s">
        <v>19654</v>
      </c>
      <c r="D7446" s="21"/>
      <c r="E7446" s="22" t="s">
        <v>34479</v>
      </c>
      <c r="F7446" s="22" t="s">
        <v>2705</v>
      </c>
      <c r="G7446" s="23">
        <v>2009.0</v>
      </c>
      <c r="H7446" s="22" t="s">
        <v>7056</v>
      </c>
      <c r="I7446" s="24" t="s">
        <v>34480</v>
      </c>
      <c r="J7446" s="22" t="s">
        <v>34481</v>
      </c>
      <c r="K7446" s="22"/>
      <c r="L7446" s="168">
        <v>10600.0</v>
      </c>
      <c r="M7446" s="168"/>
      <c r="N7446" s="168"/>
      <c r="O7446" s="168"/>
      <c r="P7446" s="169" t="s">
        <v>34482</v>
      </c>
      <c r="Q7446" s="168"/>
      <c r="R7446" s="168"/>
      <c r="S7446" s="168"/>
      <c r="T7446" s="28" t="s">
        <v>34483</v>
      </c>
      <c r="U7446" s="38" t="str">
        <f>HYPERLINK("https://www.ncbi.nlm.nih.gov/pubmed/19891690","PubMed")</f>
        <v>PubMed</v>
      </c>
      <c r="V7446" s="50"/>
      <c r="W7446" s="49"/>
      <c r="X7446" s="49"/>
      <c r="Y7446" s="35"/>
      <c r="Z7446" s="35"/>
      <c r="AA7446" s="35"/>
      <c r="AB7446" s="35"/>
      <c r="AC7446" s="35"/>
      <c r="AD7446" s="35"/>
      <c r="AE7446" s="35"/>
      <c r="AF7446" s="35"/>
      <c r="AG7446" s="35"/>
      <c r="AH7446" s="35"/>
      <c r="AI7446" s="35"/>
      <c r="AJ7446" s="35"/>
      <c r="AK7446" s="35"/>
      <c r="AL7446" s="35"/>
    </row>
    <row r="7447">
      <c r="A7447" s="207"/>
      <c r="B7447" s="19" t="s">
        <v>29727</v>
      </c>
      <c r="C7447" s="20" t="s">
        <v>374</v>
      </c>
      <c r="D7447" s="21"/>
      <c r="E7447" s="22" t="s">
        <v>88</v>
      </c>
      <c r="F7447" s="22" t="s">
        <v>237</v>
      </c>
      <c r="G7447" s="23">
        <v>2022.0</v>
      </c>
      <c r="H7447" s="22" t="s">
        <v>91</v>
      </c>
      <c r="I7447" s="24" t="s">
        <v>34484</v>
      </c>
      <c r="J7447" s="22" t="s">
        <v>34485</v>
      </c>
      <c r="K7447" s="22"/>
      <c r="L7447" s="168" t="s">
        <v>34486</v>
      </c>
      <c r="M7447" s="168"/>
      <c r="N7447" s="168"/>
      <c r="O7447" s="168"/>
      <c r="P7447" s="169"/>
      <c r="Q7447" s="168"/>
      <c r="R7447" s="168"/>
      <c r="S7447" s="168"/>
      <c r="T7447" s="28" t="s">
        <v>34487</v>
      </c>
      <c r="U7447" s="38" t="s">
        <v>61</v>
      </c>
      <c r="V7447" s="50"/>
      <c r="W7447" s="49"/>
      <c r="X7447" s="49"/>
      <c r="Y7447" s="35"/>
      <c r="Z7447" s="35"/>
      <c r="AA7447" s="35"/>
      <c r="AB7447" s="35"/>
      <c r="AC7447" s="35"/>
      <c r="AD7447" s="35"/>
      <c r="AE7447" s="35"/>
      <c r="AF7447" s="35"/>
      <c r="AG7447" s="35"/>
      <c r="AH7447" s="35"/>
      <c r="AI7447" s="35"/>
      <c r="AJ7447" s="35"/>
      <c r="AK7447" s="35"/>
      <c r="AL7447" s="35"/>
    </row>
    <row r="7448">
      <c r="A7448" s="207"/>
      <c r="B7448" s="19" t="s">
        <v>29727</v>
      </c>
      <c r="C7448" s="20" t="s">
        <v>374</v>
      </c>
      <c r="D7448" s="21"/>
      <c r="E7448" s="22" t="s">
        <v>88</v>
      </c>
      <c r="F7448" s="22" t="s">
        <v>237</v>
      </c>
      <c r="G7448" s="23">
        <v>2022.0</v>
      </c>
      <c r="H7448" s="22" t="s">
        <v>91</v>
      </c>
      <c r="I7448" s="24" t="s">
        <v>34488</v>
      </c>
      <c r="J7448" s="22" t="s">
        <v>34489</v>
      </c>
      <c r="K7448" s="22"/>
      <c r="L7448" s="168"/>
      <c r="M7448" s="168"/>
      <c r="N7448" s="168"/>
      <c r="O7448" s="168"/>
      <c r="P7448" s="169"/>
      <c r="Q7448" s="168"/>
      <c r="R7448" s="168"/>
      <c r="S7448" s="168"/>
      <c r="T7448" s="28" t="s">
        <v>34490</v>
      </c>
      <c r="U7448" s="29" t="s">
        <v>61</v>
      </c>
      <c r="V7448" s="50"/>
      <c r="W7448" s="49"/>
      <c r="X7448" s="49"/>
      <c r="Y7448" s="35"/>
      <c r="Z7448" s="35"/>
      <c r="AA7448" s="35"/>
      <c r="AB7448" s="35"/>
      <c r="AC7448" s="35"/>
      <c r="AD7448" s="35"/>
      <c r="AE7448" s="35"/>
      <c r="AF7448" s="35"/>
      <c r="AG7448" s="35"/>
      <c r="AH7448" s="35"/>
      <c r="AI7448" s="35"/>
      <c r="AJ7448" s="35"/>
      <c r="AK7448" s="35"/>
      <c r="AL7448" s="35"/>
    </row>
    <row r="7449">
      <c r="A7449" s="207"/>
      <c r="B7449" s="19" t="s">
        <v>29727</v>
      </c>
      <c r="C7449" s="20" t="s">
        <v>374</v>
      </c>
      <c r="D7449" s="21"/>
      <c r="E7449" s="22" t="s">
        <v>34491</v>
      </c>
      <c r="F7449" s="22" t="s">
        <v>34492</v>
      </c>
      <c r="G7449" s="23">
        <v>2021.0</v>
      </c>
      <c r="H7449" s="22" t="s">
        <v>627</v>
      </c>
      <c r="I7449" s="24" t="s">
        <v>34493</v>
      </c>
      <c r="J7449" s="22" t="s">
        <v>44</v>
      </c>
      <c r="K7449" s="22"/>
      <c r="L7449" s="168" t="s">
        <v>34486</v>
      </c>
      <c r="M7449" s="168"/>
      <c r="N7449" s="168"/>
      <c r="O7449" s="168"/>
      <c r="P7449" s="169"/>
      <c r="Q7449" s="168"/>
      <c r="R7449" s="168"/>
      <c r="S7449" s="168"/>
      <c r="T7449" s="42" t="s">
        <v>34494</v>
      </c>
      <c r="U7449" s="29" t="s">
        <v>61</v>
      </c>
      <c r="V7449" s="50"/>
      <c r="W7449" s="49"/>
      <c r="X7449" s="49"/>
      <c r="Y7449" s="35"/>
      <c r="Z7449" s="35"/>
      <c r="AA7449" s="35"/>
      <c r="AB7449" s="35"/>
      <c r="AC7449" s="35"/>
      <c r="AD7449" s="35"/>
      <c r="AE7449" s="35"/>
      <c r="AF7449" s="35"/>
      <c r="AG7449" s="35"/>
      <c r="AH7449" s="35"/>
      <c r="AI7449" s="35"/>
      <c r="AJ7449" s="35"/>
      <c r="AK7449" s="35"/>
      <c r="AL7449" s="35"/>
    </row>
    <row r="7450">
      <c r="A7450" s="207"/>
      <c r="B7450" s="19" t="s">
        <v>29727</v>
      </c>
      <c r="C7450" s="20" t="s">
        <v>374</v>
      </c>
      <c r="D7450" s="21"/>
      <c r="E7450" s="22" t="s">
        <v>34495</v>
      </c>
      <c r="F7450" s="22" t="s">
        <v>3767</v>
      </c>
      <c r="G7450" s="23">
        <v>2021.0</v>
      </c>
      <c r="H7450" s="22" t="s">
        <v>2181</v>
      </c>
      <c r="I7450" s="24" t="s">
        <v>34496</v>
      </c>
      <c r="J7450" s="22" t="s">
        <v>55</v>
      </c>
      <c r="K7450" s="22"/>
      <c r="L7450" s="168" t="s">
        <v>34497</v>
      </c>
      <c r="M7450" s="168"/>
      <c r="N7450" s="168"/>
      <c r="O7450" s="168"/>
      <c r="P7450" s="169"/>
      <c r="Q7450" s="168"/>
      <c r="R7450" s="168"/>
      <c r="S7450" s="168"/>
      <c r="T7450" s="28" t="s">
        <v>34498</v>
      </c>
      <c r="U7450" s="29" t="s">
        <v>61</v>
      </c>
      <c r="V7450" s="50"/>
      <c r="W7450" s="49"/>
      <c r="X7450" s="49"/>
      <c r="Y7450" s="35"/>
      <c r="Z7450" s="35"/>
      <c r="AA7450" s="35"/>
      <c r="AB7450" s="35"/>
      <c r="AC7450" s="35"/>
      <c r="AD7450" s="35"/>
      <c r="AE7450" s="35"/>
      <c r="AF7450" s="35"/>
      <c r="AG7450" s="35"/>
      <c r="AH7450" s="35"/>
      <c r="AI7450" s="35"/>
      <c r="AJ7450" s="35"/>
      <c r="AK7450" s="35"/>
      <c r="AL7450" s="35"/>
    </row>
    <row r="7451">
      <c r="A7451" s="207"/>
      <c r="B7451" s="19" t="s">
        <v>29727</v>
      </c>
      <c r="C7451" s="20" t="s">
        <v>374</v>
      </c>
      <c r="D7451" s="21"/>
      <c r="E7451" s="22" t="s">
        <v>34499</v>
      </c>
      <c r="F7451" s="22" t="s">
        <v>510</v>
      </c>
      <c r="G7451" s="23">
        <v>2020.0</v>
      </c>
      <c r="H7451" s="22" t="s">
        <v>77</v>
      </c>
      <c r="I7451" s="24" t="s">
        <v>34500</v>
      </c>
      <c r="J7451" s="22" t="s">
        <v>34501</v>
      </c>
      <c r="K7451" s="22"/>
      <c r="L7451" s="168" t="s">
        <v>34502</v>
      </c>
      <c r="M7451" s="168"/>
      <c r="N7451" s="168"/>
      <c r="O7451" s="168"/>
      <c r="P7451" s="169"/>
      <c r="Q7451" s="168"/>
      <c r="R7451" s="168" t="s">
        <v>34503</v>
      </c>
      <c r="S7451" s="168" t="s">
        <v>34504</v>
      </c>
      <c r="T7451" s="28" t="s">
        <v>34505</v>
      </c>
      <c r="U7451" s="38" t="str">
        <f>HYPERLINK("https://www.ncbi.nlm.nih.gov/pubmed/31935168","PubMed")</f>
        <v>PubMed</v>
      </c>
      <c r="V7451" s="50"/>
      <c r="W7451" s="49"/>
      <c r="X7451" s="49"/>
      <c r="Y7451" s="35"/>
      <c r="Z7451" s="35"/>
      <c r="AA7451" s="35"/>
      <c r="AB7451" s="35"/>
      <c r="AC7451" s="35"/>
      <c r="AD7451" s="35"/>
      <c r="AE7451" s="35"/>
      <c r="AF7451" s="35"/>
      <c r="AG7451" s="35"/>
      <c r="AH7451" s="35"/>
      <c r="AI7451" s="35"/>
      <c r="AJ7451" s="35"/>
      <c r="AK7451" s="35"/>
      <c r="AL7451" s="35"/>
    </row>
    <row r="7452">
      <c r="A7452" s="207"/>
      <c r="B7452" s="19" t="s">
        <v>29727</v>
      </c>
      <c r="C7452" s="20" t="s">
        <v>374</v>
      </c>
      <c r="D7452" s="21"/>
      <c r="E7452" s="22" t="s">
        <v>5096</v>
      </c>
      <c r="F7452" s="22" t="s">
        <v>34506</v>
      </c>
      <c r="G7452" s="23">
        <v>2019.0</v>
      </c>
      <c r="H7452" s="22" t="s">
        <v>4482</v>
      </c>
      <c r="I7452" s="24" t="s">
        <v>34507</v>
      </c>
      <c r="J7452" s="22" t="s">
        <v>125</v>
      </c>
      <c r="K7452" s="22"/>
      <c r="L7452" s="43" t="s">
        <v>34508</v>
      </c>
      <c r="M7452" s="44"/>
      <c r="N7452" s="44"/>
      <c r="O7452" s="44"/>
      <c r="P7452" s="44"/>
      <c r="Q7452" s="44"/>
      <c r="R7452" s="44"/>
      <c r="S7452" s="44"/>
      <c r="T7452" s="45"/>
      <c r="U7452" s="38" t="str">
        <f>HYPERLINK("https://www.sciencedirect.com/science/article/pii/S0197018618305503#bib62","ScienceDirect")</f>
        <v>ScienceDirect</v>
      </c>
      <c r="V7452" s="50"/>
      <c r="W7452" s="49"/>
      <c r="X7452" s="49"/>
      <c r="Y7452" s="35"/>
      <c r="Z7452" s="35"/>
      <c r="AA7452" s="35"/>
      <c r="AB7452" s="35"/>
      <c r="AC7452" s="35"/>
      <c r="AD7452" s="35"/>
      <c r="AE7452" s="35"/>
      <c r="AF7452" s="35"/>
      <c r="AG7452" s="35"/>
      <c r="AH7452" s="35"/>
      <c r="AI7452" s="35"/>
      <c r="AJ7452" s="35"/>
      <c r="AK7452" s="35"/>
      <c r="AL7452" s="35"/>
    </row>
    <row r="7453">
      <c r="A7453" s="207"/>
      <c r="B7453" s="19" t="s">
        <v>29727</v>
      </c>
      <c r="C7453" s="20" t="s">
        <v>374</v>
      </c>
      <c r="D7453" s="21"/>
      <c r="E7453" s="22" t="s">
        <v>2195</v>
      </c>
      <c r="F7453" s="22" t="s">
        <v>206</v>
      </c>
      <c r="G7453" s="23">
        <v>2017.0</v>
      </c>
      <c r="H7453" s="22" t="s">
        <v>2181</v>
      </c>
      <c r="I7453" s="24" t="s">
        <v>34509</v>
      </c>
      <c r="J7453" s="22" t="s">
        <v>209</v>
      </c>
      <c r="K7453" s="22"/>
      <c r="L7453" s="168"/>
      <c r="M7453" s="168"/>
      <c r="N7453" s="168"/>
      <c r="O7453" s="168"/>
      <c r="P7453" s="169"/>
      <c r="Q7453" s="168"/>
      <c r="R7453" s="168"/>
      <c r="S7453" s="168"/>
      <c r="T7453" s="28" t="s">
        <v>34510</v>
      </c>
      <c r="U7453" s="38" t="str">
        <f>HYPERLINK("https://www.ncbi.nlm.nih.gov/pubmed/28071754","PubMed")</f>
        <v>PubMed</v>
      </c>
      <c r="V7453" s="50"/>
      <c r="W7453" s="49"/>
      <c r="X7453" s="49"/>
      <c r="Y7453" s="35"/>
      <c r="Z7453" s="35"/>
      <c r="AA7453" s="35"/>
      <c r="AB7453" s="35"/>
      <c r="AC7453" s="35"/>
      <c r="AD7453" s="35"/>
      <c r="AE7453" s="35"/>
      <c r="AF7453" s="35"/>
      <c r="AG7453" s="35"/>
      <c r="AH7453" s="35"/>
      <c r="AI7453" s="35"/>
      <c r="AJ7453" s="35"/>
      <c r="AK7453" s="35"/>
      <c r="AL7453" s="35"/>
    </row>
    <row r="7454">
      <c r="A7454" s="207"/>
      <c r="B7454" s="19" t="s">
        <v>29727</v>
      </c>
      <c r="C7454" s="20" t="s">
        <v>374</v>
      </c>
      <c r="D7454" s="21"/>
      <c r="E7454" s="22" t="s">
        <v>1694</v>
      </c>
      <c r="F7454" s="22" t="s">
        <v>34511</v>
      </c>
      <c r="G7454" s="23">
        <v>2017.0</v>
      </c>
      <c r="H7454" s="22" t="s">
        <v>2181</v>
      </c>
      <c r="I7454" s="24" t="s">
        <v>34512</v>
      </c>
      <c r="J7454" s="22" t="s">
        <v>31</v>
      </c>
      <c r="K7454" s="22"/>
      <c r="L7454" s="168" t="s">
        <v>34513</v>
      </c>
      <c r="M7454" s="168"/>
      <c r="N7454" s="168"/>
      <c r="O7454" s="168"/>
      <c r="P7454" s="169"/>
      <c r="Q7454" s="168"/>
      <c r="R7454" s="168"/>
      <c r="S7454" s="168"/>
      <c r="T7454" s="28" t="s">
        <v>34514</v>
      </c>
      <c r="U7454" s="38" t="str">
        <f>HYPERLINK("https://www.ncbi.nlm.nih.gov/pubmed/29057951","PubMed")</f>
        <v>PubMed</v>
      </c>
      <c r="V7454" s="50"/>
      <c r="W7454" s="49"/>
      <c r="X7454" s="49"/>
      <c r="Y7454" s="35"/>
      <c r="Z7454" s="35"/>
      <c r="AA7454" s="35"/>
      <c r="AB7454" s="35"/>
      <c r="AC7454" s="35"/>
      <c r="AD7454" s="35"/>
      <c r="AE7454" s="35"/>
      <c r="AF7454" s="35"/>
      <c r="AG7454" s="35"/>
      <c r="AH7454" s="35"/>
      <c r="AI7454" s="35"/>
      <c r="AJ7454" s="35"/>
      <c r="AK7454" s="35"/>
      <c r="AL7454" s="35"/>
    </row>
    <row r="7455">
      <c r="A7455" s="207"/>
      <c r="B7455" s="19" t="s">
        <v>29727</v>
      </c>
      <c r="C7455" s="20" t="s">
        <v>374</v>
      </c>
      <c r="D7455" s="21"/>
      <c r="E7455" s="22" t="s">
        <v>34515</v>
      </c>
      <c r="F7455" s="22" t="s">
        <v>41</v>
      </c>
      <c r="G7455" s="23">
        <v>2016.0</v>
      </c>
      <c r="H7455" s="22" t="s">
        <v>34516</v>
      </c>
      <c r="I7455" s="24" t="s">
        <v>34517</v>
      </c>
      <c r="J7455" s="22" t="s">
        <v>34518</v>
      </c>
      <c r="K7455" s="22"/>
      <c r="L7455" s="168" t="s">
        <v>34519</v>
      </c>
      <c r="M7455" s="168"/>
      <c r="N7455" s="168"/>
      <c r="O7455" s="168"/>
      <c r="P7455" s="169"/>
      <c r="Q7455" s="168"/>
      <c r="R7455" s="168"/>
      <c r="S7455" s="168" t="s">
        <v>34520</v>
      </c>
      <c r="T7455" s="28" t="s">
        <v>34521</v>
      </c>
      <c r="U7455" s="38" t="str">
        <f>HYPERLINK("https://www.ncbi.nlm.nih.gov/pubmed/27601783","PubMed")</f>
        <v>PubMed</v>
      </c>
      <c r="V7455" s="50"/>
      <c r="W7455" s="49"/>
      <c r="X7455" s="49"/>
      <c r="Y7455" s="35"/>
      <c r="Z7455" s="35"/>
      <c r="AA7455" s="35"/>
      <c r="AB7455" s="35"/>
      <c r="AC7455" s="35"/>
      <c r="AD7455" s="35"/>
      <c r="AE7455" s="35"/>
      <c r="AF7455" s="35"/>
      <c r="AG7455" s="35"/>
      <c r="AH7455" s="35"/>
      <c r="AI7455" s="35"/>
      <c r="AJ7455" s="35"/>
      <c r="AK7455" s="35"/>
      <c r="AL7455" s="35"/>
    </row>
    <row r="7456">
      <c r="A7456" s="207"/>
      <c r="B7456" s="19" t="s">
        <v>29727</v>
      </c>
      <c r="C7456" s="20" t="s">
        <v>374</v>
      </c>
      <c r="D7456" s="21"/>
      <c r="E7456" s="22" t="s">
        <v>34522</v>
      </c>
      <c r="F7456" s="22" t="s">
        <v>34523</v>
      </c>
      <c r="G7456" s="23">
        <v>2016.0</v>
      </c>
      <c r="H7456" s="22" t="s">
        <v>91</v>
      </c>
      <c r="I7456" s="24" t="s">
        <v>34524</v>
      </c>
      <c r="J7456" s="22" t="s">
        <v>31</v>
      </c>
      <c r="K7456" s="22"/>
      <c r="L7456" s="168">
        <v>10600.0</v>
      </c>
      <c r="M7456" s="168"/>
      <c r="N7456" s="168"/>
      <c r="O7456" s="168"/>
      <c r="P7456" s="169"/>
      <c r="Q7456" s="168"/>
      <c r="R7456" s="168"/>
      <c r="S7456" s="168"/>
      <c r="T7456" s="28" t="s">
        <v>34525</v>
      </c>
      <c r="U7456" s="38" t="str">
        <f>HYPERLINK("https://www.ncbi.nlm.nih.gov/pubmed/27761667","PubMed")</f>
        <v>PubMed</v>
      </c>
      <c r="V7456" s="50"/>
      <c r="W7456" s="49"/>
      <c r="X7456" s="49"/>
      <c r="Y7456" s="35"/>
      <c r="Z7456" s="35"/>
      <c r="AA7456" s="35"/>
      <c r="AB7456" s="35"/>
      <c r="AC7456" s="35"/>
      <c r="AD7456" s="35"/>
      <c r="AE7456" s="35"/>
      <c r="AF7456" s="35"/>
      <c r="AG7456" s="35"/>
      <c r="AH7456" s="35"/>
      <c r="AI7456" s="35"/>
      <c r="AJ7456" s="35"/>
      <c r="AK7456" s="35"/>
      <c r="AL7456" s="35"/>
    </row>
    <row r="7457">
      <c r="A7457" s="207"/>
      <c r="B7457" s="19" t="s">
        <v>29727</v>
      </c>
      <c r="C7457" s="20" t="s">
        <v>374</v>
      </c>
      <c r="D7457" s="21"/>
      <c r="E7457" s="22" t="s">
        <v>34526</v>
      </c>
      <c r="F7457" s="22" t="s">
        <v>4296</v>
      </c>
      <c r="G7457" s="23">
        <v>2015.0</v>
      </c>
      <c r="H7457" s="22" t="s">
        <v>5480</v>
      </c>
      <c r="I7457" s="24" t="s">
        <v>34527</v>
      </c>
      <c r="J7457" s="22" t="s">
        <v>125</v>
      </c>
      <c r="K7457" s="22"/>
      <c r="L7457" s="43" t="s">
        <v>34528</v>
      </c>
      <c r="M7457" s="44"/>
      <c r="N7457" s="44"/>
      <c r="O7457" s="44"/>
      <c r="P7457" s="44"/>
      <c r="Q7457" s="44"/>
      <c r="R7457" s="44"/>
      <c r="S7457" s="44"/>
      <c r="T7457" s="45"/>
      <c r="U7457" s="38" t="str">
        <f>HYPERLINK("https://www.ncbi.nlm.nih.gov/pubmed/25716016","PubMed")</f>
        <v>PubMed</v>
      </c>
      <c r="V7457" s="50"/>
      <c r="W7457" s="49"/>
      <c r="X7457" s="49"/>
      <c r="Y7457" s="35"/>
      <c r="Z7457" s="35"/>
      <c r="AA7457" s="35"/>
      <c r="AB7457" s="35"/>
      <c r="AC7457" s="35"/>
      <c r="AD7457" s="35"/>
      <c r="AE7457" s="35"/>
      <c r="AF7457" s="35"/>
      <c r="AG7457" s="35"/>
      <c r="AH7457" s="35"/>
      <c r="AI7457" s="35"/>
      <c r="AJ7457" s="35"/>
      <c r="AK7457" s="35"/>
      <c r="AL7457" s="35"/>
    </row>
    <row r="7458">
      <c r="A7458" s="207"/>
      <c r="B7458" s="19" t="s">
        <v>29727</v>
      </c>
      <c r="C7458" s="20" t="s">
        <v>374</v>
      </c>
      <c r="D7458" s="21"/>
      <c r="E7458" s="22" t="s">
        <v>4403</v>
      </c>
      <c r="F7458" s="22" t="s">
        <v>206</v>
      </c>
      <c r="G7458" s="23">
        <v>2013.0</v>
      </c>
      <c r="H7458" s="22" t="s">
        <v>34529</v>
      </c>
      <c r="I7458" s="24" t="s">
        <v>34530</v>
      </c>
      <c r="J7458" s="22" t="s">
        <v>34531</v>
      </c>
      <c r="K7458" s="22"/>
      <c r="L7458" s="168"/>
      <c r="M7458" s="168"/>
      <c r="N7458" s="168"/>
      <c r="O7458" s="168"/>
      <c r="P7458" s="169"/>
      <c r="Q7458" s="168"/>
      <c r="R7458" s="168"/>
      <c r="S7458" s="168"/>
      <c r="T7458" s="28" t="s">
        <v>34532</v>
      </c>
      <c r="U7458" s="38" t="str">
        <f>HYPERLINK("https://www.ncbi.nlm.nih.gov/pubmed/24119468","PubMed")</f>
        <v>PubMed</v>
      </c>
      <c r="V7458" s="50"/>
      <c r="W7458" s="49"/>
      <c r="X7458" s="49"/>
      <c r="Y7458" s="35"/>
      <c r="Z7458" s="35"/>
      <c r="AA7458" s="35"/>
      <c r="AB7458" s="35"/>
      <c r="AC7458" s="35"/>
      <c r="AD7458" s="35"/>
      <c r="AE7458" s="35"/>
      <c r="AF7458" s="35"/>
      <c r="AG7458" s="35"/>
      <c r="AH7458" s="35"/>
      <c r="AI7458" s="35"/>
      <c r="AJ7458" s="35"/>
      <c r="AK7458" s="35"/>
      <c r="AL7458" s="35"/>
    </row>
    <row r="7459">
      <c r="A7459" s="207"/>
      <c r="B7459" s="19" t="s">
        <v>29727</v>
      </c>
      <c r="C7459" s="20" t="s">
        <v>374</v>
      </c>
      <c r="D7459" s="21"/>
      <c r="E7459" s="22" t="s">
        <v>34533</v>
      </c>
      <c r="F7459" s="22" t="s">
        <v>2407</v>
      </c>
      <c r="G7459" s="23">
        <v>2012.0</v>
      </c>
      <c r="H7459" s="22" t="s">
        <v>34534</v>
      </c>
      <c r="I7459" s="24" t="s">
        <v>34535</v>
      </c>
      <c r="J7459" s="22" t="s">
        <v>125</v>
      </c>
      <c r="K7459" s="22"/>
      <c r="L7459" s="43" t="s">
        <v>34536</v>
      </c>
      <c r="M7459" s="44"/>
      <c r="N7459" s="44"/>
      <c r="O7459" s="44"/>
      <c r="P7459" s="44"/>
      <c r="Q7459" s="44"/>
      <c r="R7459" s="44"/>
      <c r="S7459" s="44"/>
      <c r="T7459" s="45"/>
      <c r="U7459" s="38" t="str">
        <f>HYPERLINK("https://www.ncbi.nlm.nih.gov/pubmed/23833705","PubMed")</f>
        <v>PubMed</v>
      </c>
      <c r="V7459" s="50"/>
      <c r="W7459" s="49"/>
      <c r="X7459" s="49"/>
      <c r="Y7459" s="35"/>
      <c r="Z7459" s="35"/>
      <c r="AA7459" s="35"/>
      <c r="AB7459" s="35"/>
      <c r="AC7459" s="35"/>
      <c r="AD7459" s="35"/>
      <c r="AE7459" s="35"/>
      <c r="AF7459" s="35"/>
      <c r="AG7459" s="35"/>
      <c r="AH7459" s="35"/>
      <c r="AI7459" s="35"/>
      <c r="AJ7459" s="35"/>
      <c r="AK7459" s="35"/>
      <c r="AL7459" s="35"/>
    </row>
    <row r="7460">
      <c r="A7460" s="207"/>
      <c r="B7460" s="19" t="s">
        <v>29727</v>
      </c>
      <c r="C7460" s="20" t="s">
        <v>374</v>
      </c>
      <c r="D7460" s="21"/>
      <c r="E7460" s="22" t="s">
        <v>223</v>
      </c>
      <c r="F7460" s="22" t="s">
        <v>206</v>
      </c>
      <c r="G7460" s="23">
        <v>2012.0</v>
      </c>
      <c r="H7460" s="22" t="s">
        <v>34537</v>
      </c>
      <c r="I7460" s="24" t="s">
        <v>34538</v>
      </c>
      <c r="J7460" s="22" t="s">
        <v>44</v>
      </c>
      <c r="K7460" s="22" t="s">
        <v>34539</v>
      </c>
      <c r="L7460" s="168"/>
      <c r="M7460" s="168"/>
      <c r="N7460" s="168"/>
      <c r="O7460" s="168"/>
      <c r="P7460" s="169"/>
      <c r="Q7460" s="168"/>
      <c r="R7460" s="168"/>
      <c r="S7460" s="168"/>
      <c r="T7460" s="28" t="s">
        <v>34540</v>
      </c>
      <c r="U7460" s="38" t="str">
        <f>HYPERLINK("https://www.ncbi.nlm.nih.gov/pubmed/22894755","PubMed")</f>
        <v>PubMed</v>
      </c>
      <c r="V7460" s="50"/>
      <c r="W7460" s="49"/>
      <c r="X7460" s="49"/>
      <c r="Y7460" s="35"/>
      <c r="Z7460" s="35"/>
      <c r="AA7460" s="35"/>
      <c r="AB7460" s="35"/>
      <c r="AC7460" s="35"/>
      <c r="AD7460" s="35"/>
      <c r="AE7460" s="35"/>
      <c r="AF7460" s="35"/>
      <c r="AG7460" s="35"/>
      <c r="AH7460" s="35"/>
      <c r="AI7460" s="35"/>
      <c r="AJ7460" s="35"/>
      <c r="AK7460" s="35"/>
      <c r="AL7460" s="35"/>
    </row>
    <row r="7461">
      <c r="A7461" s="18" t="s">
        <v>2</v>
      </c>
      <c r="B7461" s="19" t="s">
        <v>29727</v>
      </c>
      <c r="C7461" s="20" t="s">
        <v>374</v>
      </c>
      <c r="D7461" s="21"/>
      <c r="E7461" s="22" t="s">
        <v>34541</v>
      </c>
      <c r="F7461" s="22" t="s">
        <v>2105</v>
      </c>
      <c r="G7461" s="23">
        <v>2012.0</v>
      </c>
      <c r="H7461" s="22" t="s">
        <v>3667</v>
      </c>
      <c r="I7461" s="24" t="s">
        <v>34542</v>
      </c>
      <c r="J7461" s="22" t="s">
        <v>31</v>
      </c>
      <c r="K7461" s="22"/>
      <c r="L7461" s="168" t="s">
        <v>34543</v>
      </c>
      <c r="M7461" s="168"/>
      <c r="N7461" s="168"/>
      <c r="O7461" s="168"/>
      <c r="P7461" s="169"/>
      <c r="Q7461" s="168"/>
      <c r="R7461" s="168"/>
      <c r="S7461" s="168"/>
      <c r="T7461" s="28" t="s">
        <v>34544</v>
      </c>
      <c r="U7461" s="38" t="str">
        <f>HYPERLINK("https://www.ncbi.nlm.nih.gov/pubmed/22415827","PubMed")</f>
        <v>PubMed</v>
      </c>
      <c r="V7461" s="50"/>
      <c r="W7461" s="49"/>
      <c r="X7461" s="49"/>
      <c r="Y7461" s="35"/>
      <c r="Z7461" s="35"/>
      <c r="AA7461" s="35"/>
      <c r="AB7461" s="35"/>
      <c r="AC7461" s="35"/>
      <c r="AD7461" s="35"/>
      <c r="AE7461" s="35"/>
      <c r="AF7461" s="35"/>
      <c r="AG7461" s="35"/>
      <c r="AH7461" s="35"/>
      <c r="AI7461" s="35"/>
      <c r="AJ7461" s="35"/>
      <c r="AK7461" s="35"/>
      <c r="AL7461" s="35"/>
    </row>
    <row r="7462">
      <c r="A7462" s="207"/>
      <c r="B7462" s="19" t="s">
        <v>29727</v>
      </c>
      <c r="C7462" s="20" t="s">
        <v>374</v>
      </c>
      <c r="D7462" s="21"/>
      <c r="E7462" s="22" t="s">
        <v>5226</v>
      </c>
      <c r="F7462" s="22" t="s">
        <v>206</v>
      </c>
      <c r="G7462" s="23">
        <v>2006.0</v>
      </c>
      <c r="H7462" s="22" t="s">
        <v>3292</v>
      </c>
      <c r="I7462" s="24" t="s">
        <v>34545</v>
      </c>
      <c r="J7462" s="22" t="s">
        <v>55</v>
      </c>
      <c r="K7462" s="22"/>
      <c r="L7462" s="168"/>
      <c r="M7462" s="168"/>
      <c r="N7462" s="168"/>
      <c r="O7462" s="168"/>
      <c r="P7462" s="169"/>
      <c r="Q7462" s="168"/>
      <c r="R7462" s="168"/>
      <c r="S7462" s="168"/>
      <c r="T7462" s="28" t="s">
        <v>34546</v>
      </c>
      <c r="U7462" s="38" t="str">
        <f>HYPERLINK("https://www.ncbi.nlm.nih.gov/pubmed/16606412","PubMed")</f>
        <v>PubMed</v>
      </c>
      <c r="V7462" s="50"/>
      <c r="W7462" s="49"/>
      <c r="X7462" s="49"/>
      <c r="Y7462" s="35"/>
      <c r="Z7462" s="35"/>
      <c r="AA7462" s="35"/>
      <c r="AB7462" s="35"/>
      <c r="AC7462" s="35"/>
      <c r="AD7462" s="35"/>
      <c r="AE7462" s="35"/>
      <c r="AF7462" s="35"/>
      <c r="AG7462" s="35"/>
      <c r="AH7462" s="35"/>
      <c r="AI7462" s="35"/>
      <c r="AJ7462" s="35"/>
      <c r="AK7462" s="35"/>
      <c r="AL7462" s="35"/>
    </row>
    <row r="7463">
      <c r="A7463" s="207"/>
      <c r="B7463" s="19" t="s">
        <v>29727</v>
      </c>
      <c r="C7463" s="20" t="s">
        <v>374</v>
      </c>
      <c r="D7463" s="21"/>
      <c r="E7463" s="22" t="s">
        <v>493</v>
      </c>
      <c r="F7463" s="22" t="s">
        <v>299</v>
      </c>
      <c r="G7463" s="23">
        <v>2006.0</v>
      </c>
      <c r="H7463" s="22" t="s">
        <v>8623</v>
      </c>
      <c r="I7463" s="24" t="s">
        <v>34547</v>
      </c>
      <c r="J7463" s="22" t="s">
        <v>34548</v>
      </c>
      <c r="K7463" s="22"/>
      <c r="L7463" s="168" t="s">
        <v>34549</v>
      </c>
      <c r="M7463" s="168"/>
      <c r="N7463" s="168"/>
      <c r="O7463" s="168"/>
      <c r="P7463" s="169"/>
      <c r="Q7463" s="168"/>
      <c r="R7463" s="168"/>
      <c r="S7463" s="168" t="s">
        <v>34550</v>
      </c>
      <c r="T7463" s="28" t="s">
        <v>34551</v>
      </c>
      <c r="U7463" s="38" t="str">
        <f>HYPERLINK("https://www.ncbi.nlm.nih.gov/pubmed/16941737","PubMed")</f>
        <v>PubMed</v>
      </c>
      <c r="V7463" s="50"/>
      <c r="W7463" s="49"/>
      <c r="X7463" s="49"/>
      <c r="Y7463" s="35"/>
      <c r="Z7463" s="35"/>
      <c r="AA7463" s="35"/>
      <c r="AB7463" s="35"/>
      <c r="AC7463" s="35"/>
      <c r="AD7463" s="35"/>
      <c r="AE7463" s="35"/>
      <c r="AF7463" s="35"/>
      <c r="AG7463" s="35"/>
      <c r="AH7463" s="35"/>
      <c r="AI7463" s="35"/>
      <c r="AJ7463" s="35"/>
      <c r="AK7463" s="35"/>
      <c r="AL7463" s="35"/>
    </row>
    <row r="7464">
      <c r="A7464" s="207"/>
      <c r="B7464" s="19" t="s">
        <v>29727</v>
      </c>
      <c r="C7464" s="20" t="s">
        <v>374</v>
      </c>
      <c r="D7464" s="21"/>
      <c r="E7464" s="22" t="s">
        <v>34552</v>
      </c>
      <c r="F7464" s="22" t="s">
        <v>6785</v>
      </c>
      <c r="G7464" s="23">
        <v>2003.0</v>
      </c>
      <c r="H7464" s="22" t="s">
        <v>5480</v>
      </c>
      <c r="I7464" s="24" t="s">
        <v>34553</v>
      </c>
      <c r="J7464" s="22" t="s">
        <v>55</v>
      </c>
      <c r="K7464" s="22"/>
      <c r="L7464" s="168"/>
      <c r="M7464" s="168"/>
      <c r="N7464" s="168"/>
      <c r="O7464" s="168"/>
      <c r="P7464" s="169"/>
      <c r="Q7464" s="168"/>
      <c r="R7464" s="168"/>
      <c r="S7464" s="168"/>
      <c r="T7464" s="28" t="s">
        <v>34554</v>
      </c>
      <c r="U7464" s="38" t="str">
        <f>HYPERLINK("https://www.ncbi.nlm.nih.gov/pubmed/12773705","PubMed")</f>
        <v>PubMed</v>
      </c>
      <c r="V7464" s="50"/>
      <c r="W7464" s="49"/>
      <c r="X7464" s="49"/>
      <c r="Y7464" s="35"/>
      <c r="Z7464" s="35"/>
      <c r="AA7464" s="35"/>
      <c r="AB7464" s="35"/>
      <c r="AC7464" s="35"/>
      <c r="AD7464" s="35"/>
      <c r="AE7464" s="35"/>
      <c r="AF7464" s="35"/>
      <c r="AG7464" s="35"/>
      <c r="AH7464" s="35"/>
      <c r="AI7464" s="35"/>
      <c r="AJ7464" s="35"/>
      <c r="AK7464" s="35"/>
      <c r="AL7464" s="35"/>
    </row>
    <row r="7465">
      <c r="A7465" s="1"/>
      <c r="B7465" s="19" t="s">
        <v>29727</v>
      </c>
      <c r="C7465" s="20" t="s">
        <v>34555</v>
      </c>
      <c r="D7465" s="47"/>
      <c r="E7465" s="22" t="s">
        <v>2275</v>
      </c>
      <c r="F7465" s="22" t="s">
        <v>2312</v>
      </c>
      <c r="G7465" s="23">
        <v>2023.0</v>
      </c>
      <c r="H7465" s="22" t="s">
        <v>34556</v>
      </c>
      <c r="I7465" s="24" t="s">
        <v>34557</v>
      </c>
      <c r="J7465" s="22" t="s">
        <v>44</v>
      </c>
      <c r="K7465" s="22" t="s">
        <v>34558</v>
      </c>
      <c r="L7465" s="52"/>
      <c r="M7465" s="52"/>
      <c r="N7465" s="52"/>
      <c r="O7465" s="52"/>
      <c r="P7465" s="189"/>
      <c r="Q7465" s="52"/>
      <c r="R7465" s="52"/>
      <c r="S7465" s="52"/>
      <c r="T7465" s="28" t="s">
        <v>34559</v>
      </c>
      <c r="U7465" s="38" t="s">
        <v>61</v>
      </c>
      <c r="V7465" s="30"/>
      <c r="W7465" s="49"/>
      <c r="X7465" s="49"/>
      <c r="Y7465" s="35"/>
      <c r="Z7465" s="35"/>
      <c r="AA7465" s="35"/>
      <c r="AB7465" s="35"/>
      <c r="AC7465" s="35"/>
      <c r="AD7465" s="35"/>
      <c r="AE7465" s="35"/>
      <c r="AF7465" s="35"/>
      <c r="AG7465" s="35"/>
      <c r="AH7465" s="35"/>
      <c r="AI7465" s="35"/>
      <c r="AJ7465" s="35"/>
      <c r="AK7465" s="35"/>
      <c r="AL7465" s="35"/>
    </row>
    <row r="7466">
      <c r="A7466" s="1"/>
      <c r="B7466" s="19" t="s">
        <v>29727</v>
      </c>
      <c r="C7466" s="20" t="s">
        <v>34555</v>
      </c>
      <c r="D7466" s="47"/>
      <c r="E7466" s="22" t="s">
        <v>33150</v>
      </c>
      <c r="F7466" s="22" t="s">
        <v>3427</v>
      </c>
      <c r="G7466" s="23">
        <v>2022.0</v>
      </c>
      <c r="H7466" s="22" t="s">
        <v>28501</v>
      </c>
      <c r="I7466" s="24" t="s">
        <v>34560</v>
      </c>
      <c r="J7466" s="22" t="s">
        <v>55</v>
      </c>
      <c r="K7466" s="22" t="s">
        <v>34558</v>
      </c>
      <c r="L7466" s="52"/>
      <c r="M7466" s="52"/>
      <c r="N7466" s="52"/>
      <c r="O7466" s="52"/>
      <c r="P7466" s="189"/>
      <c r="Q7466" s="52"/>
      <c r="R7466" s="52"/>
      <c r="S7466" s="52"/>
      <c r="T7466" s="28" t="s">
        <v>34561</v>
      </c>
      <c r="U7466" s="38" t="s">
        <v>61</v>
      </c>
      <c r="V7466" s="30"/>
      <c r="W7466" s="49"/>
      <c r="X7466" s="49"/>
      <c r="Y7466" s="35"/>
      <c r="Z7466" s="35"/>
      <c r="AA7466" s="35"/>
      <c r="AB7466" s="35"/>
      <c r="AC7466" s="35"/>
      <c r="AD7466" s="35"/>
      <c r="AE7466" s="35"/>
      <c r="AF7466" s="35"/>
      <c r="AG7466" s="35"/>
      <c r="AH7466" s="35"/>
      <c r="AI7466" s="35"/>
      <c r="AJ7466" s="35"/>
      <c r="AK7466" s="35"/>
      <c r="AL7466" s="35"/>
    </row>
    <row r="7467">
      <c r="A7467" s="1"/>
      <c r="B7467" s="19" t="s">
        <v>29727</v>
      </c>
      <c r="C7467" s="20" t="s">
        <v>34555</v>
      </c>
      <c r="D7467" s="47"/>
      <c r="E7467" s="22" t="s">
        <v>33150</v>
      </c>
      <c r="F7467" s="22" t="s">
        <v>3427</v>
      </c>
      <c r="G7467" s="23">
        <v>2021.0</v>
      </c>
      <c r="H7467" s="22" t="s">
        <v>28501</v>
      </c>
      <c r="I7467" s="24" t="s">
        <v>34562</v>
      </c>
      <c r="J7467" s="22" t="s">
        <v>55</v>
      </c>
      <c r="K7467" s="22" t="s">
        <v>34558</v>
      </c>
      <c r="L7467" s="52"/>
      <c r="M7467" s="52"/>
      <c r="N7467" s="52"/>
      <c r="O7467" s="52"/>
      <c r="P7467" s="189"/>
      <c r="Q7467" s="52"/>
      <c r="R7467" s="52"/>
      <c r="S7467" s="52"/>
      <c r="T7467" s="28" t="s">
        <v>34563</v>
      </c>
      <c r="U7467" s="38" t="s">
        <v>61</v>
      </c>
      <c r="V7467" s="30"/>
      <c r="W7467" s="49"/>
      <c r="X7467" s="49"/>
      <c r="Y7467" s="35"/>
      <c r="Z7467" s="35"/>
      <c r="AA7467" s="35"/>
      <c r="AB7467" s="35"/>
      <c r="AC7467" s="35"/>
      <c r="AD7467" s="35"/>
      <c r="AE7467" s="35"/>
      <c r="AF7467" s="35"/>
      <c r="AG7467" s="35"/>
      <c r="AH7467" s="35"/>
      <c r="AI7467" s="35"/>
      <c r="AJ7467" s="35"/>
      <c r="AK7467" s="35"/>
      <c r="AL7467" s="35"/>
    </row>
    <row r="7468">
      <c r="A7468" s="1"/>
      <c r="B7468" s="19" t="s">
        <v>29727</v>
      </c>
      <c r="C7468" s="20" t="s">
        <v>34555</v>
      </c>
      <c r="D7468" s="47"/>
      <c r="E7468" s="22" t="s">
        <v>34564</v>
      </c>
      <c r="F7468" s="22" t="s">
        <v>3427</v>
      </c>
      <c r="G7468" s="23">
        <v>2017.0</v>
      </c>
      <c r="H7468" s="22" t="s">
        <v>7020</v>
      </c>
      <c r="I7468" s="24" t="s">
        <v>34565</v>
      </c>
      <c r="J7468" s="22" t="s">
        <v>55</v>
      </c>
      <c r="K7468" s="22" t="s">
        <v>34558</v>
      </c>
      <c r="L7468" s="52">
        <v>525.0</v>
      </c>
      <c r="M7468" s="52"/>
      <c r="N7468" s="52"/>
      <c r="O7468" s="52"/>
      <c r="P7468" s="189"/>
      <c r="Q7468" s="52"/>
      <c r="R7468" s="52" t="s">
        <v>34566</v>
      </c>
      <c r="S7468" s="52"/>
      <c r="T7468" s="28" t="s">
        <v>34567</v>
      </c>
      <c r="U7468" s="38" t="s">
        <v>61</v>
      </c>
      <c r="V7468" s="30"/>
      <c r="W7468" s="49"/>
      <c r="X7468" s="49"/>
      <c r="Y7468" s="35"/>
      <c r="Z7468" s="35"/>
      <c r="AA7468" s="35"/>
      <c r="AB7468" s="35"/>
      <c r="AC7468" s="35"/>
      <c r="AD7468" s="35"/>
      <c r="AE7468" s="35"/>
      <c r="AF7468" s="35"/>
      <c r="AG7468" s="35"/>
      <c r="AH7468" s="35"/>
      <c r="AI7468" s="35"/>
      <c r="AJ7468" s="35"/>
      <c r="AK7468" s="35"/>
      <c r="AL7468" s="35"/>
    </row>
    <row r="7469">
      <c r="A7469" s="1"/>
      <c r="B7469" s="19" t="s">
        <v>29727</v>
      </c>
      <c r="C7469" s="20" t="s">
        <v>34555</v>
      </c>
      <c r="D7469" s="47"/>
      <c r="E7469" s="22" t="s">
        <v>34568</v>
      </c>
      <c r="F7469" s="22" t="s">
        <v>2407</v>
      </c>
      <c r="G7469" s="23">
        <v>2016.0</v>
      </c>
      <c r="H7469" s="22" t="s">
        <v>2073</v>
      </c>
      <c r="I7469" s="24" t="s">
        <v>34569</v>
      </c>
      <c r="J7469" s="22" t="s">
        <v>34570</v>
      </c>
      <c r="K7469" s="22" t="s">
        <v>34558</v>
      </c>
      <c r="L7469" s="52"/>
      <c r="M7469" s="52"/>
      <c r="N7469" s="52"/>
      <c r="O7469" s="52"/>
      <c r="P7469" s="189"/>
      <c r="Q7469" s="52"/>
      <c r="R7469" s="52"/>
      <c r="S7469" s="52"/>
      <c r="T7469" s="28" t="s">
        <v>34571</v>
      </c>
      <c r="U7469" s="38" t="s">
        <v>61</v>
      </c>
      <c r="V7469" s="30"/>
      <c r="W7469" s="49"/>
      <c r="X7469" s="49"/>
      <c r="Y7469" s="35"/>
      <c r="Z7469" s="35"/>
      <c r="AA7469" s="35"/>
      <c r="AB7469" s="35"/>
      <c r="AC7469" s="35"/>
      <c r="AD7469" s="35"/>
      <c r="AE7469" s="35"/>
      <c r="AF7469" s="35"/>
      <c r="AG7469" s="35"/>
      <c r="AH7469" s="35"/>
      <c r="AI7469" s="35"/>
      <c r="AJ7469" s="35"/>
      <c r="AK7469" s="35"/>
      <c r="AL7469" s="35"/>
    </row>
    <row r="7470">
      <c r="A7470" s="1"/>
      <c r="B7470" s="19" t="s">
        <v>29727</v>
      </c>
      <c r="C7470" s="20" t="s">
        <v>34572</v>
      </c>
      <c r="D7470" s="47"/>
      <c r="E7470" s="22" t="s">
        <v>8316</v>
      </c>
      <c r="F7470" s="22" t="s">
        <v>4999</v>
      </c>
      <c r="G7470" s="23">
        <v>2022.0</v>
      </c>
      <c r="H7470" s="22" t="s">
        <v>7157</v>
      </c>
      <c r="I7470" s="24" t="s">
        <v>34573</v>
      </c>
      <c r="J7470" s="22" t="s">
        <v>125</v>
      </c>
      <c r="K7470" s="22"/>
      <c r="L7470" s="132" t="s">
        <v>34574</v>
      </c>
      <c r="U7470" s="38" t="s">
        <v>61</v>
      </c>
      <c r="V7470" s="30"/>
      <c r="W7470" s="49"/>
      <c r="X7470" s="49"/>
      <c r="Y7470" s="35"/>
      <c r="Z7470" s="35"/>
      <c r="AA7470" s="35"/>
      <c r="AB7470" s="35"/>
      <c r="AC7470" s="35"/>
      <c r="AD7470" s="35"/>
      <c r="AE7470" s="35"/>
      <c r="AF7470" s="35"/>
      <c r="AG7470" s="35"/>
      <c r="AH7470" s="35"/>
      <c r="AI7470" s="35"/>
      <c r="AJ7470" s="35"/>
      <c r="AK7470" s="35"/>
      <c r="AL7470" s="35"/>
    </row>
    <row r="7471">
      <c r="A7471" s="18" t="s">
        <v>2</v>
      </c>
      <c r="B7471" s="19" t="s">
        <v>29727</v>
      </c>
      <c r="C7471" s="20" t="s">
        <v>34575</v>
      </c>
      <c r="D7471" s="21"/>
      <c r="E7471" s="22" t="s">
        <v>34576</v>
      </c>
      <c r="F7471" s="22" t="s">
        <v>34577</v>
      </c>
      <c r="G7471" s="23">
        <v>2017.0</v>
      </c>
      <c r="H7471" s="22" t="s">
        <v>207</v>
      </c>
      <c r="I7471" s="24" t="s">
        <v>34578</v>
      </c>
      <c r="J7471" s="22" t="s">
        <v>125</v>
      </c>
      <c r="K7471" s="22"/>
      <c r="L7471" s="43" t="s">
        <v>34579</v>
      </c>
      <c r="M7471" s="44"/>
      <c r="N7471" s="44"/>
      <c r="O7471" s="44"/>
      <c r="P7471" s="44"/>
      <c r="Q7471" s="44"/>
      <c r="R7471" s="44"/>
      <c r="S7471" s="44"/>
      <c r="T7471" s="45"/>
      <c r="U7471" s="38" t="str">
        <f>HYPERLINK("https://www.ncbi.nlm.nih.gov/pubmed/28441605","PubMed")</f>
        <v>PubMed</v>
      </c>
      <c r="V7471" s="50"/>
      <c r="W7471" s="49"/>
      <c r="X7471" s="49"/>
      <c r="Y7471" s="35"/>
      <c r="Z7471" s="35"/>
      <c r="AA7471" s="35"/>
      <c r="AB7471" s="35"/>
      <c r="AC7471" s="35"/>
      <c r="AD7471" s="35"/>
      <c r="AE7471" s="35"/>
      <c r="AF7471" s="35"/>
      <c r="AG7471" s="35"/>
      <c r="AH7471" s="35"/>
      <c r="AI7471" s="35"/>
      <c r="AJ7471" s="35"/>
      <c r="AK7471" s="35"/>
      <c r="AL7471" s="35"/>
    </row>
    <row r="7472">
      <c r="A7472" s="18"/>
      <c r="B7472" s="19" t="s">
        <v>29727</v>
      </c>
      <c r="C7472" s="20" t="s">
        <v>34575</v>
      </c>
      <c r="D7472" s="21"/>
      <c r="E7472" s="22" t="s">
        <v>5269</v>
      </c>
      <c r="F7472" s="22" t="s">
        <v>5270</v>
      </c>
      <c r="G7472" s="23">
        <v>2003.0</v>
      </c>
      <c r="H7472" s="22" t="s">
        <v>3292</v>
      </c>
      <c r="I7472" s="24" t="s">
        <v>34580</v>
      </c>
      <c r="J7472" s="22" t="s">
        <v>125</v>
      </c>
      <c r="K7472" s="22"/>
      <c r="L7472" s="238" t="s">
        <v>34581</v>
      </c>
      <c r="M7472" s="44"/>
      <c r="N7472" s="44"/>
      <c r="O7472" s="44"/>
      <c r="P7472" s="44"/>
      <c r="Q7472" s="44"/>
      <c r="R7472" s="44"/>
      <c r="S7472" s="44"/>
      <c r="T7472" s="45"/>
      <c r="U7472" s="38" t="str">
        <f>HYPERLINK("https://www.ncbi.nlm.nih.gov/pubmed/14535893","PubMed")</f>
        <v>PubMed</v>
      </c>
      <c r="V7472" s="50"/>
      <c r="W7472" s="49"/>
      <c r="X7472" s="49"/>
      <c r="Y7472" s="35"/>
      <c r="Z7472" s="35"/>
      <c r="AA7472" s="35"/>
      <c r="AB7472" s="35"/>
      <c r="AC7472" s="35"/>
      <c r="AD7472" s="35"/>
      <c r="AE7472" s="35"/>
      <c r="AF7472" s="35"/>
      <c r="AG7472" s="35"/>
      <c r="AH7472" s="35"/>
      <c r="AI7472" s="35"/>
      <c r="AJ7472" s="35"/>
      <c r="AK7472" s="35"/>
      <c r="AL7472" s="35"/>
    </row>
    <row r="7473">
      <c r="A7473" s="40" t="s">
        <v>181</v>
      </c>
      <c r="B7473" s="19" t="s">
        <v>29727</v>
      </c>
      <c r="C7473" s="20" t="s">
        <v>34582</v>
      </c>
      <c r="D7473" s="21"/>
      <c r="E7473" s="22" t="s">
        <v>626</v>
      </c>
      <c r="F7473" s="22" t="s">
        <v>65</v>
      </c>
      <c r="G7473" s="23">
        <v>2019.0</v>
      </c>
      <c r="H7473" s="22" t="s">
        <v>546</v>
      </c>
      <c r="I7473" s="24" t="s">
        <v>34583</v>
      </c>
      <c r="J7473" s="22" t="s">
        <v>44</v>
      </c>
      <c r="K7473" s="22"/>
      <c r="L7473" s="36" t="s">
        <v>34584</v>
      </c>
      <c r="M7473" s="36"/>
      <c r="N7473" s="36"/>
      <c r="O7473" s="36"/>
      <c r="P7473" s="36"/>
      <c r="Q7473" s="36"/>
      <c r="R7473" s="36"/>
      <c r="S7473" s="36" t="s">
        <v>34585</v>
      </c>
      <c r="T7473" s="54" t="s">
        <v>34586</v>
      </c>
      <c r="U7473" s="38" t="str">
        <f>HYPERLINK("https://www.ncbi.nlm.nih.gov/pubmed/31831179","PubMed")</f>
        <v>PubMed</v>
      </c>
      <c r="V7473" s="50"/>
      <c r="W7473" s="49"/>
      <c r="X7473" s="49"/>
      <c r="Y7473" s="35"/>
      <c r="Z7473" s="35"/>
      <c r="AA7473" s="35"/>
      <c r="AB7473" s="35"/>
      <c r="AC7473" s="35"/>
      <c r="AD7473" s="35"/>
      <c r="AE7473" s="35"/>
      <c r="AF7473" s="35"/>
      <c r="AG7473" s="35"/>
      <c r="AH7473" s="35"/>
      <c r="AI7473" s="35"/>
      <c r="AJ7473" s="35"/>
      <c r="AK7473" s="35"/>
      <c r="AL7473" s="35"/>
    </row>
    <row r="7474">
      <c r="A7474" s="1"/>
      <c r="B7474" s="19" t="s">
        <v>34587</v>
      </c>
      <c r="C7474" s="20" t="s">
        <v>34588</v>
      </c>
      <c r="D7474" s="47"/>
      <c r="E7474" s="22" t="s">
        <v>5065</v>
      </c>
      <c r="F7474" s="22" t="s">
        <v>540</v>
      </c>
      <c r="G7474" s="23">
        <v>2018.0</v>
      </c>
      <c r="H7474" s="22" t="s">
        <v>34589</v>
      </c>
      <c r="I7474" s="24" t="s">
        <v>34590</v>
      </c>
      <c r="J7474" s="22" t="s">
        <v>34591</v>
      </c>
      <c r="K7474" s="22"/>
      <c r="L7474" s="36">
        <v>808.0</v>
      </c>
      <c r="M7474" s="36"/>
      <c r="N7474" s="36"/>
      <c r="O7474" s="36"/>
      <c r="P7474" s="37" t="s">
        <v>15675</v>
      </c>
      <c r="Q7474" s="36"/>
      <c r="R7474" s="36"/>
      <c r="S7474" s="36"/>
      <c r="T7474" s="28" t="s">
        <v>34592</v>
      </c>
      <c r="U7474" s="38" t="str">
        <f>HYPERLINK("https://www.ncbi.nlm.nih.gov/pubmed/29569873","PubMed")</f>
        <v>PubMed</v>
      </c>
      <c r="V7474" s="50"/>
      <c r="W7474" s="49"/>
      <c r="X7474" s="49"/>
      <c r="Y7474" s="35"/>
      <c r="Z7474" s="35"/>
      <c r="AA7474" s="35"/>
      <c r="AB7474" s="35"/>
      <c r="AC7474" s="35"/>
      <c r="AD7474" s="35"/>
      <c r="AE7474" s="35"/>
      <c r="AF7474" s="35"/>
      <c r="AG7474" s="35"/>
      <c r="AH7474" s="35"/>
      <c r="AI7474" s="35"/>
      <c r="AJ7474" s="35"/>
      <c r="AK7474" s="35"/>
      <c r="AL7474" s="35"/>
    </row>
    <row r="7475">
      <c r="A7475" s="1"/>
      <c r="B7475" s="19" t="s">
        <v>34587</v>
      </c>
      <c r="C7475" s="20" t="s">
        <v>34588</v>
      </c>
      <c r="D7475" s="47"/>
      <c r="E7475" s="22" t="s">
        <v>5065</v>
      </c>
      <c r="F7475" s="22" t="s">
        <v>540</v>
      </c>
      <c r="G7475" s="23">
        <v>2018.0</v>
      </c>
      <c r="H7475" s="22" t="s">
        <v>91</v>
      </c>
      <c r="I7475" s="24" t="s">
        <v>34593</v>
      </c>
      <c r="J7475" s="22" t="s">
        <v>34591</v>
      </c>
      <c r="K7475" s="22"/>
      <c r="L7475" s="36">
        <v>808.0</v>
      </c>
      <c r="M7475" s="36"/>
      <c r="N7475" s="36"/>
      <c r="O7475" s="36"/>
      <c r="P7475" s="37"/>
      <c r="Q7475" s="36"/>
      <c r="R7475" s="36"/>
      <c r="S7475" s="36"/>
      <c r="T7475" s="28" t="s">
        <v>34594</v>
      </c>
      <c r="U7475" s="38" t="str">
        <f>HYPERLINK("https://www.ncbi.nlm.nih.gov/pubmed/28063017","PubMed")</f>
        <v>PubMed</v>
      </c>
      <c r="V7475" s="50"/>
      <c r="W7475" s="49"/>
      <c r="X7475" s="49"/>
      <c r="Y7475" s="35"/>
      <c r="Z7475" s="35"/>
      <c r="AA7475" s="35"/>
      <c r="AB7475" s="35"/>
      <c r="AC7475" s="35"/>
      <c r="AD7475" s="35"/>
      <c r="AE7475" s="35"/>
      <c r="AF7475" s="35"/>
      <c r="AG7475" s="35"/>
      <c r="AH7475" s="35"/>
      <c r="AI7475" s="35"/>
      <c r="AJ7475" s="35"/>
      <c r="AK7475" s="35"/>
      <c r="AL7475" s="35"/>
    </row>
    <row r="7476">
      <c r="A7476" s="1"/>
      <c r="B7476" s="19" t="s">
        <v>34587</v>
      </c>
      <c r="C7476" s="20" t="s">
        <v>34595</v>
      </c>
      <c r="D7476" s="47"/>
      <c r="E7476" s="22" t="s">
        <v>34596</v>
      </c>
      <c r="F7476" s="22" t="s">
        <v>12965</v>
      </c>
      <c r="G7476" s="23">
        <v>2011.0</v>
      </c>
      <c r="H7476" s="22" t="s">
        <v>207</v>
      </c>
      <c r="I7476" s="24" t="s">
        <v>34597</v>
      </c>
      <c r="J7476" s="22" t="s">
        <v>34598</v>
      </c>
      <c r="K7476" s="22" t="s">
        <v>157</v>
      </c>
      <c r="L7476" s="36">
        <v>880.0</v>
      </c>
      <c r="M7476" s="36"/>
      <c r="N7476" s="36"/>
      <c r="O7476" s="36"/>
      <c r="P7476" s="37" t="s">
        <v>2554</v>
      </c>
      <c r="Q7476" s="36"/>
      <c r="R7476" s="36"/>
      <c r="S7476" s="36"/>
      <c r="T7476" s="28" t="s">
        <v>34599</v>
      </c>
      <c r="U7476" s="38" t="str">
        <f>HYPERLINK("https://www.ncbi.nlm.nih.gov/pubmed/21146998","PubMed")</f>
        <v>PubMed</v>
      </c>
      <c r="V7476" s="50"/>
      <c r="W7476" s="49"/>
      <c r="X7476" s="49"/>
      <c r="Y7476" s="35"/>
      <c r="Z7476" s="35"/>
      <c r="AA7476" s="35"/>
      <c r="AB7476" s="35"/>
      <c r="AC7476" s="35"/>
      <c r="AD7476" s="35"/>
      <c r="AE7476" s="35"/>
      <c r="AF7476" s="35"/>
      <c r="AG7476" s="35"/>
      <c r="AH7476" s="35"/>
      <c r="AI7476" s="35"/>
      <c r="AJ7476" s="35"/>
      <c r="AK7476" s="35"/>
      <c r="AL7476" s="35"/>
    </row>
    <row r="7477">
      <c r="A7477" s="1"/>
      <c r="B7477" s="19" t="s">
        <v>34587</v>
      </c>
      <c r="C7477" s="20" t="s">
        <v>34595</v>
      </c>
      <c r="D7477" s="47"/>
      <c r="E7477" s="22" t="s">
        <v>1059</v>
      </c>
      <c r="F7477" s="22" t="s">
        <v>510</v>
      </c>
      <c r="G7477" s="23">
        <v>2009.0</v>
      </c>
      <c r="H7477" s="22" t="s">
        <v>34600</v>
      </c>
      <c r="I7477" s="24" t="s">
        <v>34601</v>
      </c>
      <c r="J7477" s="22" t="s">
        <v>34598</v>
      </c>
      <c r="K7477" s="22"/>
      <c r="L7477" s="36">
        <v>660.0</v>
      </c>
      <c r="M7477" s="129">
        <v>42432.0</v>
      </c>
      <c r="N7477" s="36"/>
      <c r="O7477" s="36"/>
      <c r="P7477" s="37"/>
      <c r="Q7477" s="36"/>
      <c r="R7477" s="36" t="s">
        <v>34602</v>
      </c>
      <c r="S7477" s="36">
        <v>14.0</v>
      </c>
      <c r="T7477" s="28" t="s">
        <v>34603</v>
      </c>
      <c r="U7477" s="38" t="str">
        <f>HYPERLINK("https://www.ncbi.nlm.nih.gov/pubmed/19675934","PubMed")</f>
        <v>PubMed</v>
      </c>
      <c r="V7477" s="50"/>
      <c r="W7477" s="49"/>
      <c r="X7477" s="49"/>
      <c r="Y7477" s="35"/>
      <c r="Z7477" s="35"/>
      <c r="AA7477" s="35"/>
      <c r="AB7477" s="35"/>
      <c r="AC7477" s="35"/>
      <c r="AD7477" s="35"/>
      <c r="AE7477" s="35"/>
      <c r="AF7477" s="35"/>
      <c r="AG7477" s="35"/>
      <c r="AH7477" s="35"/>
      <c r="AI7477" s="35"/>
      <c r="AJ7477" s="35"/>
      <c r="AK7477" s="35"/>
      <c r="AL7477" s="35"/>
    </row>
    <row r="7478">
      <c r="A7478" s="1"/>
      <c r="B7478" s="19" t="s">
        <v>34587</v>
      </c>
      <c r="C7478" s="20" t="s">
        <v>34595</v>
      </c>
      <c r="D7478" s="47"/>
      <c r="E7478" s="22" t="s">
        <v>10573</v>
      </c>
      <c r="F7478" s="22" t="s">
        <v>510</v>
      </c>
      <c r="G7478" s="23">
        <v>2005.0</v>
      </c>
      <c r="H7478" s="22" t="s">
        <v>207</v>
      </c>
      <c r="I7478" s="24" t="s">
        <v>34604</v>
      </c>
      <c r="J7478" s="22" t="s">
        <v>34598</v>
      </c>
      <c r="K7478" s="22"/>
      <c r="L7478" s="36">
        <v>685.0</v>
      </c>
      <c r="M7478" s="36">
        <v>35.0</v>
      </c>
      <c r="N7478" s="36"/>
      <c r="O7478" s="36"/>
      <c r="P7478" s="37"/>
      <c r="Q7478" s="36"/>
      <c r="R7478" s="36"/>
      <c r="S7478" s="36"/>
      <c r="T7478" s="28" t="s">
        <v>34605</v>
      </c>
      <c r="U7478" s="38" t="str">
        <f>HYPERLINK("https://www.ncbi.nlm.nih.gov/pubmed/15967675","PubMed")</f>
        <v>PubMed</v>
      </c>
      <c r="V7478" s="50"/>
      <c r="W7478" s="49"/>
      <c r="X7478" s="49"/>
      <c r="Y7478" s="35"/>
      <c r="Z7478" s="35"/>
      <c r="AA7478" s="35"/>
      <c r="AB7478" s="35"/>
      <c r="AC7478" s="35"/>
      <c r="AD7478" s="35"/>
      <c r="AE7478" s="35"/>
      <c r="AF7478" s="35"/>
      <c r="AG7478" s="35"/>
      <c r="AH7478" s="35"/>
      <c r="AI7478" s="35"/>
      <c r="AJ7478" s="35"/>
      <c r="AK7478" s="35"/>
      <c r="AL7478" s="35"/>
    </row>
    <row r="7479">
      <c r="A7479" s="1"/>
      <c r="B7479" s="19" t="s">
        <v>34587</v>
      </c>
      <c r="C7479" s="20" t="s">
        <v>34606</v>
      </c>
      <c r="D7479" s="47"/>
      <c r="E7479" s="22" t="s">
        <v>34607</v>
      </c>
      <c r="F7479" s="22" t="s">
        <v>34608</v>
      </c>
      <c r="G7479" s="23">
        <v>2020.0</v>
      </c>
      <c r="H7479" s="22" t="s">
        <v>207</v>
      </c>
      <c r="I7479" s="24" t="s">
        <v>34609</v>
      </c>
      <c r="J7479" s="22" t="s">
        <v>34610</v>
      </c>
      <c r="K7479" s="22" t="s">
        <v>34611</v>
      </c>
      <c r="L7479" s="36" t="s">
        <v>34612</v>
      </c>
      <c r="M7479" s="36"/>
      <c r="N7479" s="36"/>
      <c r="O7479" s="36"/>
      <c r="P7479" s="37"/>
      <c r="Q7479" s="36"/>
      <c r="R7479" s="36"/>
      <c r="S7479" s="36"/>
      <c r="T7479" s="28" t="s">
        <v>34613</v>
      </c>
      <c r="U7479" s="38" t="str">
        <f>HYPERLINK("https://www.ncbi.nlm.nih.gov/pubmed/31830733","PubMed")</f>
        <v>PubMed</v>
      </c>
      <c r="V7479" s="50"/>
      <c r="W7479" s="49"/>
      <c r="X7479" s="49"/>
      <c r="Y7479" s="35"/>
      <c r="Z7479" s="35"/>
      <c r="AA7479" s="35"/>
      <c r="AB7479" s="35"/>
      <c r="AC7479" s="35"/>
      <c r="AD7479" s="35"/>
      <c r="AE7479" s="35"/>
      <c r="AF7479" s="35"/>
      <c r="AG7479" s="35"/>
      <c r="AH7479" s="35"/>
      <c r="AI7479" s="35"/>
      <c r="AJ7479" s="35"/>
      <c r="AK7479" s="35"/>
      <c r="AL7479" s="35"/>
    </row>
    <row r="7480">
      <c r="A7480" s="1"/>
      <c r="B7480" s="19" t="s">
        <v>34587</v>
      </c>
      <c r="C7480" s="20" t="s">
        <v>34614</v>
      </c>
      <c r="D7480" s="47"/>
      <c r="E7480" s="22" t="s">
        <v>34615</v>
      </c>
      <c r="F7480" s="22" t="s">
        <v>34616</v>
      </c>
      <c r="G7480" s="23">
        <v>2018.0</v>
      </c>
      <c r="H7480" s="22" t="s">
        <v>3667</v>
      </c>
      <c r="I7480" s="24" t="s">
        <v>34617</v>
      </c>
      <c r="J7480" s="22" t="s">
        <v>34618</v>
      </c>
      <c r="K7480" s="22"/>
      <c r="L7480" s="36" t="s">
        <v>34619</v>
      </c>
      <c r="M7480" s="36"/>
      <c r="N7480" s="36"/>
      <c r="O7480" s="36"/>
      <c r="P7480" s="37"/>
      <c r="Q7480" s="36"/>
      <c r="R7480" s="36"/>
      <c r="S7480" s="36"/>
      <c r="T7480" s="28" t="s">
        <v>34620</v>
      </c>
      <c r="U7480" s="38" t="str">
        <f>HYPERLINK("https://www.ncbi.nlm.nih.gov/pubmed/29500338","PubMed")</f>
        <v>PubMed</v>
      </c>
      <c r="V7480" s="50"/>
      <c r="W7480" s="49"/>
      <c r="X7480" s="49"/>
      <c r="Y7480" s="35"/>
      <c r="Z7480" s="35"/>
      <c r="AA7480" s="35"/>
      <c r="AB7480" s="35"/>
      <c r="AC7480" s="35"/>
      <c r="AD7480" s="35"/>
      <c r="AE7480" s="35"/>
      <c r="AF7480" s="35"/>
      <c r="AG7480" s="35"/>
      <c r="AH7480" s="35"/>
      <c r="AI7480" s="35"/>
      <c r="AJ7480" s="35"/>
      <c r="AK7480" s="35"/>
      <c r="AL7480" s="35"/>
    </row>
    <row r="7481">
      <c r="A7481" s="1"/>
      <c r="B7481" s="19" t="s">
        <v>34587</v>
      </c>
      <c r="C7481" s="20" t="s">
        <v>34614</v>
      </c>
      <c r="D7481" s="47"/>
      <c r="E7481" s="22" t="s">
        <v>34621</v>
      </c>
      <c r="F7481" s="22" t="s">
        <v>2579</v>
      </c>
      <c r="G7481" s="23">
        <v>2013.0</v>
      </c>
      <c r="H7481" s="22" t="s">
        <v>34622</v>
      </c>
      <c r="I7481" s="24" t="s">
        <v>34623</v>
      </c>
      <c r="J7481" s="22" t="s">
        <v>34618</v>
      </c>
      <c r="K7481" s="22"/>
      <c r="L7481" s="36">
        <v>1072.0</v>
      </c>
      <c r="M7481" s="36"/>
      <c r="N7481" s="36"/>
      <c r="O7481" s="36"/>
      <c r="P7481" s="37"/>
      <c r="Q7481" s="36"/>
      <c r="R7481" s="36"/>
      <c r="S7481" s="36"/>
      <c r="T7481" s="28" t="s">
        <v>34624</v>
      </c>
      <c r="U7481" s="38" t="str">
        <f>HYPERLINK("http://etheses.dur.ac.uk/7018/1/Thesis_FINAL.pdf?DDD1+","PDF")</f>
        <v>PDF</v>
      </c>
      <c r="V7481" s="50"/>
      <c r="W7481" s="49"/>
      <c r="X7481" s="49"/>
      <c r="Y7481" s="35"/>
      <c r="Z7481" s="35"/>
      <c r="AA7481" s="35"/>
      <c r="AB7481" s="35"/>
      <c r="AC7481" s="35"/>
      <c r="AD7481" s="35"/>
      <c r="AE7481" s="35"/>
      <c r="AF7481" s="35"/>
      <c r="AG7481" s="35"/>
      <c r="AH7481" s="35"/>
      <c r="AI7481" s="35"/>
      <c r="AJ7481" s="35"/>
      <c r="AK7481" s="35"/>
      <c r="AL7481" s="35"/>
    </row>
    <row r="7482">
      <c r="A7482" s="1"/>
      <c r="B7482" s="19" t="s">
        <v>6113</v>
      </c>
      <c r="C7482" s="158" t="s">
        <v>34625</v>
      </c>
      <c r="D7482" s="47"/>
      <c r="E7482" s="22" t="s">
        <v>8536</v>
      </c>
      <c r="F7482" s="22" t="s">
        <v>2705</v>
      </c>
      <c r="G7482" s="23">
        <v>2022.0</v>
      </c>
      <c r="H7482" s="22" t="s">
        <v>3523</v>
      </c>
      <c r="I7482" s="24" t="s">
        <v>34626</v>
      </c>
      <c r="J7482" s="23" t="s">
        <v>44</v>
      </c>
      <c r="K7482" s="23" t="s">
        <v>1725</v>
      </c>
      <c r="L7482" s="36">
        <v>420.0</v>
      </c>
      <c r="M7482" s="36"/>
      <c r="N7482" s="36" t="s">
        <v>34627</v>
      </c>
      <c r="O7482" s="36"/>
      <c r="P7482" s="37" t="s">
        <v>34628</v>
      </c>
      <c r="Q7482" s="36"/>
      <c r="R7482" s="36">
        <v>30.0</v>
      </c>
      <c r="S7482" s="36">
        <v>1.0</v>
      </c>
      <c r="T7482" s="28" t="s">
        <v>34629</v>
      </c>
      <c r="U7482" s="38" t="s">
        <v>61</v>
      </c>
      <c r="V7482" s="30"/>
      <c r="W7482" s="49"/>
      <c r="X7482" s="49"/>
      <c r="Y7482" s="35"/>
      <c r="Z7482" s="35"/>
      <c r="AA7482" s="35"/>
      <c r="AB7482" s="35"/>
      <c r="AC7482" s="35"/>
      <c r="AD7482" s="35"/>
      <c r="AE7482" s="35"/>
      <c r="AF7482" s="35"/>
      <c r="AG7482" s="35"/>
      <c r="AH7482" s="35"/>
      <c r="AI7482" s="35"/>
      <c r="AJ7482" s="35"/>
      <c r="AK7482" s="35"/>
      <c r="AL7482" s="35"/>
    </row>
    <row r="7483">
      <c r="A7483" s="1"/>
      <c r="B7483" s="19" t="s">
        <v>6113</v>
      </c>
      <c r="C7483" s="158" t="s">
        <v>34625</v>
      </c>
      <c r="D7483" s="47"/>
      <c r="E7483" s="22" t="s">
        <v>8536</v>
      </c>
      <c r="F7483" s="22" t="s">
        <v>2705</v>
      </c>
      <c r="G7483" s="23">
        <v>2021.0</v>
      </c>
      <c r="H7483" s="22" t="s">
        <v>3292</v>
      </c>
      <c r="I7483" s="24" t="s">
        <v>34630</v>
      </c>
      <c r="J7483" s="23" t="s">
        <v>44</v>
      </c>
      <c r="K7483" s="23" t="s">
        <v>157</v>
      </c>
      <c r="L7483" s="36">
        <v>420.0</v>
      </c>
      <c r="M7483" s="36"/>
      <c r="N7483" s="36"/>
      <c r="O7483" s="36"/>
      <c r="P7483" s="37" t="s">
        <v>34631</v>
      </c>
      <c r="Q7483" s="36"/>
      <c r="R7483" s="36"/>
      <c r="S7483" s="36"/>
      <c r="T7483" s="42" t="s">
        <v>34632</v>
      </c>
      <c r="U7483" s="38" t="s">
        <v>61</v>
      </c>
      <c r="V7483" s="30"/>
      <c r="W7483" s="49"/>
      <c r="X7483" s="49"/>
      <c r="Y7483" s="35"/>
      <c r="Z7483" s="35"/>
      <c r="AA7483" s="35"/>
      <c r="AB7483" s="35"/>
      <c r="AC7483" s="35"/>
      <c r="AD7483" s="35"/>
      <c r="AE7483" s="35"/>
      <c r="AF7483" s="35"/>
      <c r="AG7483" s="35"/>
      <c r="AH7483" s="35"/>
      <c r="AI7483" s="35"/>
      <c r="AJ7483" s="35"/>
      <c r="AK7483" s="35"/>
      <c r="AL7483" s="35"/>
    </row>
    <row r="7484">
      <c r="A7484" s="1"/>
      <c r="B7484" s="19" t="s">
        <v>6113</v>
      </c>
      <c r="C7484" s="158" t="s">
        <v>34625</v>
      </c>
      <c r="D7484" s="47"/>
      <c r="E7484" s="22" t="s">
        <v>34633</v>
      </c>
      <c r="F7484" s="22" t="s">
        <v>6605</v>
      </c>
      <c r="G7484" s="23">
        <v>2004.0</v>
      </c>
      <c r="H7484" s="22" t="s">
        <v>6350</v>
      </c>
      <c r="I7484" s="24" t="s">
        <v>34634</v>
      </c>
      <c r="J7484" s="22" t="s">
        <v>34635</v>
      </c>
      <c r="K7484" s="23" t="s">
        <v>34636</v>
      </c>
      <c r="L7484" s="36" t="s">
        <v>34637</v>
      </c>
      <c r="M7484" s="36"/>
      <c r="N7484" s="36" t="s">
        <v>7964</v>
      </c>
      <c r="O7484" s="36"/>
      <c r="P7484" s="37" t="s">
        <v>34638</v>
      </c>
      <c r="Q7484" s="36" t="s">
        <v>34639</v>
      </c>
      <c r="R7484" s="36">
        <v>125.0</v>
      </c>
      <c r="S7484" s="36" t="s">
        <v>10290</v>
      </c>
      <c r="T7484" s="28" t="s">
        <v>34640</v>
      </c>
      <c r="U7484" s="38" t="str">
        <f>HYPERLINK("https://www.ncbi.nlm.nih.gov/pubmed/15496990","PubMed")</f>
        <v>PubMed</v>
      </c>
      <c r="V7484" s="30" t="s">
        <v>34641</v>
      </c>
      <c r="W7484" s="49"/>
      <c r="X7484" s="49"/>
      <c r="Y7484" s="35"/>
      <c r="Z7484" s="35"/>
      <c r="AA7484" s="35"/>
      <c r="AB7484" s="35"/>
      <c r="AC7484" s="35"/>
      <c r="AD7484" s="35"/>
      <c r="AE7484" s="35"/>
      <c r="AF7484" s="35"/>
      <c r="AG7484" s="35"/>
      <c r="AH7484" s="35"/>
      <c r="AI7484" s="35"/>
      <c r="AJ7484" s="35"/>
      <c r="AK7484" s="35"/>
      <c r="AL7484" s="35"/>
    </row>
    <row r="7485">
      <c r="A7485" s="1"/>
      <c r="B7485" s="19" t="s">
        <v>6113</v>
      </c>
      <c r="C7485" s="158" t="s">
        <v>34642</v>
      </c>
      <c r="D7485" s="47"/>
      <c r="E7485" s="421" t="s">
        <v>33726</v>
      </c>
      <c r="F7485" s="22" t="s">
        <v>4125</v>
      </c>
      <c r="G7485" s="23">
        <v>2000.0</v>
      </c>
      <c r="H7485" s="22" t="s">
        <v>1289</v>
      </c>
      <c r="I7485" s="24" t="s">
        <v>34643</v>
      </c>
      <c r="J7485" s="22" t="s">
        <v>34644</v>
      </c>
      <c r="K7485" s="22"/>
      <c r="L7485" s="36" t="s">
        <v>34645</v>
      </c>
      <c r="M7485" s="36"/>
      <c r="N7485" s="36"/>
      <c r="O7485" s="36"/>
      <c r="P7485" s="37"/>
      <c r="Q7485" s="36"/>
      <c r="R7485" s="36"/>
      <c r="S7485" s="36" t="s">
        <v>34646</v>
      </c>
      <c r="T7485" s="28" t="s">
        <v>34647</v>
      </c>
      <c r="U7485" s="38" t="str">
        <f>HYPERLINK("https://www.ncbi.nlm.nih.gov/pubmed/11800105","PubMed")</f>
        <v>PubMed</v>
      </c>
      <c r="V7485" s="30" t="s">
        <v>34648</v>
      </c>
      <c r="W7485" s="49"/>
      <c r="X7485" s="49"/>
      <c r="Y7485" s="35"/>
      <c r="Z7485" s="35"/>
      <c r="AA7485" s="35"/>
      <c r="AB7485" s="35"/>
      <c r="AC7485" s="35"/>
      <c r="AD7485" s="35"/>
      <c r="AE7485" s="35"/>
      <c r="AF7485" s="35"/>
      <c r="AG7485" s="35"/>
      <c r="AH7485" s="35"/>
      <c r="AI7485" s="35"/>
      <c r="AJ7485" s="35"/>
      <c r="AK7485" s="35"/>
      <c r="AL7485" s="35"/>
    </row>
    <row r="7486">
      <c r="A7486" s="18"/>
      <c r="B7486" s="157" t="s">
        <v>6113</v>
      </c>
      <c r="C7486" s="158" t="s">
        <v>34649</v>
      </c>
      <c r="D7486" s="159"/>
      <c r="E7486" s="23" t="s">
        <v>34650</v>
      </c>
      <c r="F7486" s="23" t="s">
        <v>1773</v>
      </c>
      <c r="G7486" s="23">
        <v>1986.0</v>
      </c>
      <c r="H7486" s="22" t="s">
        <v>13641</v>
      </c>
      <c r="I7486" s="243" t="s">
        <v>34651</v>
      </c>
      <c r="J7486" s="23" t="s">
        <v>55</v>
      </c>
      <c r="K7486" s="23"/>
      <c r="L7486" s="94">
        <v>633.0</v>
      </c>
      <c r="M7486" s="94"/>
      <c r="N7486" s="94"/>
      <c r="O7486" s="94"/>
      <c r="P7486" s="94"/>
      <c r="Q7486" s="172"/>
      <c r="R7486" s="94"/>
      <c r="S7486" s="94"/>
      <c r="T7486" s="54" t="s">
        <v>34652</v>
      </c>
      <c r="U7486" s="135" t="str">
        <f>HYPERLINK("https://www.ncbi.nlm.nih.gov/pubmed/18802242","PubMed")</f>
        <v>PubMed</v>
      </c>
      <c r="V7486" s="30"/>
      <c r="W7486" s="49"/>
      <c r="X7486" s="49"/>
      <c r="Y7486" s="35"/>
      <c r="Z7486" s="35"/>
      <c r="AA7486" s="35"/>
      <c r="AB7486" s="35"/>
      <c r="AC7486" s="35"/>
      <c r="AD7486" s="35"/>
      <c r="AE7486" s="35"/>
      <c r="AF7486" s="35"/>
      <c r="AG7486" s="35"/>
      <c r="AH7486" s="35"/>
      <c r="AI7486" s="35"/>
      <c r="AJ7486" s="35"/>
      <c r="AK7486" s="35"/>
      <c r="AL7486" s="35"/>
    </row>
    <row r="7487">
      <c r="A7487" s="415"/>
      <c r="B7487" s="19" t="s">
        <v>6113</v>
      </c>
      <c r="C7487" s="158" t="s">
        <v>34653</v>
      </c>
      <c r="D7487" s="159"/>
      <c r="E7487" s="23" t="s">
        <v>6425</v>
      </c>
      <c r="F7487" s="23" t="s">
        <v>1603</v>
      </c>
      <c r="G7487" s="23">
        <v>1992.0</v>
      </c>
      <c r="H7487" s="23" t="s">
        <v>292</v>
      </c>
      <c r="I7487" s="243" t="s">
        <v>34654</v>
      </c>
      <c r="J7487" s="22" t="s">
        <v>34655</v>
      </c>
      <c r="K7487" s="23"/>
      <c r="L7487" s="52">
        <v>633.0</v>
      </c>
      <c r="M7487" s="52">
        <v>10.0</v>
      </c>
      <c r="N7487" s="52"/>
      <c r="O7487" s="52"/>
      <c r="P7487" s="189" t="s">
        <v>34656</v>
      </c>
      <c r="Q7487" s="52"/>
      <c r="R7487" s="52"/>
      <c r="S7487" s="52" t="s">
        <v>34657</v>
      </c>
      <c r="T7487" s="54" t="s">
        <v>34658</v>
      </c>
      <c r="U7487" s="135" t="str">
        <f>HYPERLINK("https://www.jstage.jst.go.jp/article/islsm/4/1/4_92-OR-01/_article/-char/en","J-STAGE")</f>
        <v>J-STAGE</v>
      </c>
      <c r="V7487" s="30"/>
      <c r="W7487" s="49"/>
      <c r="X7487" s="49"/>
      <c r="Y7487" s="35"/>
      <c r="Z7487" s="35"/>
      <c r="AA7487" s="35"/>
      <c r="AB7487" s="35"/>
      <c r="AC7487" s="35"/>
      <c r="AD7487" s="35"/>
      <c r="AE7487" s="35"/>
      <c r="AF7487" s="35"/>
      <c r="AG7487" s="35"/>
      <c r="AH7487" s="35"/>
      <c r="AI7487" s="35"/>
      <c r="AJ7487" s="35"/>
      <c r="AK7487" s="35"/>
      <c r="AL7487" s="35"/>
    </row>
    <row r="7488">
      <c r="A7488" s="40"/>
      <c r="B7488" s="157" t="s">
        <v>6113</v>
      </c>
      <c r="C7488" s="158" t="s">
        <v>34659</v>
      </c>
      <c r="D7488" s="159"/>
      <c r="E7488" s="23" t="s">
        <v>7545</v>
      </c>
      <c r="F7488" s="23" t="s">
        <v>1034</v>
      </c>
      <c r="G7488" s="23">
        <v>2023.0</v>
      </c>
      <c r="H7488" s="22" t="s">
        <v>7541</v>
      </c>
      <c r="I7488" s="243" t="s">
        <v>34660</v>
      </c>
      <c r="J7488" s="23" t="s">
        <v>2273</v>
      </c>
      <c r="K7488" s="23"/>
      <c r="L7488" s="52"/>
      <c r="M7488" s="52"/>
      <c r="N7488" s="52"/>
      <c r="O7488" s="52"/>
      <c r="P7488" s="189"/>
      <c r="Q7488" s="52"/>
      <c r="R7488" s="52"/>
      <c r="S7488" s="52" t="s">
        <v>3125</v>
      </c>
      <c r="T7488" s="54" t="s">
        <v>34661</v>
      </c>
      <c r="U7488" s="135" t="s">
        <v>61</v>
      </c>
      <c r="V7488" s="30"/>
      <c r="W7488" s="49"/>
      <c r="X7488" s="49"/>
      <c r="Y7488" s="35"/>
      <c r="Z7488" s="35"/>
      <c r="AA7488" s="35"/>
      <c r="AB7488" s="35"/>
      <c r="AC7488" s="35"/>
      <c r="AD7488" s="35"/>
      <c r="AE7488" s="35"/>
      <c r="AF7488" s="35"/>
      <c r="AG7488" s="35"/>
      <c r="AH7488" s="35"/>
      <c r="AI7488" s="35"/>
      <c r="AJ7488" s="35"/>
      <c r="AK7488" s="35"/>
      <c r="AL7488" s="35"/>
    </row>
    <row r="7489">
      <c r="A7489" s="40"/>
      <c r="B7489" s="157" t="s">
        <v>6113</v>
      </c>
      <c r="C7489" s="158" t="s">
        <v>34659</v>
      </c>
      <c r="D7489" s="159"/>
      <c r="E7489" s="23" t="s">
        <v>312</v>
      </c>
      <c r="F7489" s="23" t="s">
        <v>2196</v>
      </c>
      <c r="G7489" s="23">
        <v>2023.0</v>
      </c>
      <c r="H7489" s="22" t="s">
        <v>91</v>
      </c>
      <c r="I7489" s="243" t="s">
        <v>34662</v>
      </c>
      <c r="J7489" s="23" t="s">
        <v>34663</v>
      </c>
      <c r="K7489" s="23"/>
      <c r="L7489" s="52" t="s">
        <v>34664</v>
      </c>
      <c r="M7489" s="52" t="s">
        <v>58</v>
      </c>
      <c r="N7489" s="52" t="s">
        <v>58</v>
      </c>
      <c r="O7489" s="52" t="s">
        <v>58</v>
      </c>
      <c r="P7489" s="189" t="s">
        <v>2366</v>
      </c>
      <c r="Q7489" s="52" t="s">
        <v>34665</v>
      </c>
      <c r="R7489" s="52">
        <v>1200.0</v>
      </c>
      <c r="S7489" s="52" t="s">
        <v>34666</v>
      </c>
      <c r="T7489" s="54" t="s">
        <v>34667</v>
      </c>
      <c r="U7489" s="135" t="s">
        <v>61</v>
      </c>
      <c r="V7489" s="30" t="s">
        <v>34668</v>
      </c>
      <c r="W7489" s="49"/>
      <c r="X7489" s="49"/>
      <c r="Y7489" s="35"/>
      <c r="Z7489" s="35"/>
      <c r="AA7489" s="35"/>
      <c r="AB7489" s="35"/>
      <c r="AC7489" s="35"/>
      <c r="AD7489" s="35"/>
      <c r="AE7489" s="35"/>
      <c r="AF7489" s="35"/>
      <c r="AG7489" s="35"/>
      <c r="AH7489" s="35"/>
      <c r="AI7489" s="35"/>
      <c r="AJ7489" s="35"/>
      <c r="AK7489" s="35"/>
      <c r="AL7489" s="35"/>
    </row>
    <row r="7490">
      <c r="A7490" s="40"/>
      <c r="B7490" s="157" t="s">
        <v>6113</v>
      </c>
      <c r="C7490" s="158" t="s">
        <v>34659</v>
      </c>
      <c r="D7490" s="159"/>
      <c r="E7490" s="23" t="s">
        <v>34669</v>
      </c>
      <c r="F7490" s="23" t="s">
        <v>7049</v>
      </c>
      <c r="G7490" s="23">
        <v>2023.0</v>
      </c>
      <c r="H7490" s="22" t="s">
        <v>15828</v>
      </c>
      <c r="I7490" s="243" t="s">
        <v>34670</v>
      </c>
      <c r="J7490" s="23" t="s">
        <v>34671</v>
      </c>
      <c r="K7490" s="23" t="s">
        <v>34672</v>
      </c>
      <c r="L7490" s="52"/>
      <c r="M7490" s="52"/>
      <c r="N7490" s="52"/>
      <c r="O7490" s="52"/>
      <c r="P7490" s="189"/>
      <c r="Q7490" s="52"/>
      <c r="R7490" s="52"/>
      <c r="S7490" s="52" t="s">
        <v>1455</v>
      </c>
      <c r="T7490" s="54" t="s">
        <v>34673</v>
      </c>
      <c r="U7490" s="135" t="s">
        <v>61</v>
      </c>
      <c r="V7490" s="30"/>
      <c r="W7490" s="49"/>
      <c r="X7490" s="49"/>
      <c r="Y7490" s="35"/>
      <c r="Z7490" s="35"/>
      <c r="AA7490" s="35"/>
      <c r="AB7490" s="35"/>
      <c r="AC7490" s="35"/>
      <c r="AD7490" s="35"/>
      <c r="AE7490" s="35"/>
      <c r="AF7490" s="35"/>
      <c r="AG7490" s="35"/>
      <c r="AH7490" s="35"/>
      <c r="AI7490" s="35"/>
      <c r="AJ7490" s="35"/>
      <c r="AK7490" s="35"/>
      <c r="AL7490" s="35"/>
    </row>
    <row r="7491">
      <c r="A7491" s="40"/>
      <c r="B7491" s="157" t="s">
        <v>6113</v>
      </c>
      <c r="C7491" s="158" t="s">
        <v>34659</v>
      </c>
      <c r="D7491" s="159"/>
      <c r="E7491" s="23" t="s">
        <v>34674</v>
      </c>
      <c r="F7491" s="23" t="s">
        <v>26083</v>
      </c>
      <c r="G7491" s="23">
        <v>2022.0</v>
      </c>
      <c r="H7491" s="22" t="s">
        <v>2863</v>
      </c>
      <c r="I7491" s="243" t="s">
        <v>34675</v>
      </c>
      <c r="J7491" s="23" t="s">
        <v>2141</v>
      </c>
      <c r="K7491" s="23" t="s">
        <v>157</v>
      </c>
      <c r="L7491" s="197"/>
      <c r="M7491" s="197"/>
      <c r="N7491" s="197"/>
      <c r="O7491" s="203"/>
      <c r="P7491" s="197"/>
      <c r="Q7491" s="328"/>
      <c r="R7491" s="197"/>
      <c r="S7491" s="197"/>
      <c r="T7491" s="214" t="s">
        <v>34676</v>
      </c>
      <c r="U7491" s="138" t="s">
        <v>61</v>
      </c>
      <c r="V7491" s="30"/>
      <c r="W7491" s="49"/>
      <c r="X7491" s="49"/>
      <c r="Y7491" s="35"/>
      <c r="Z7491" s="35"/>
      <c r="AA7491" s="35"/>
      <c r="AB7491" s="35"/>
      <c r="AC7491" s="35"/>
      <c r="AD7491" s="35"/>
      <c r="AE7491" s="35"/>
      <c r="AF7491" s="35"/>
      <c r="AG7491" s="35"/>
      <c r="AH7491" s="35"/>
      <c r="AI7491" s="35"/>
      <c r="AJ7491" s="35"/>
      <c r="AK7491" s="35"/>
      <c r="AL7491" s="35"/>
    </row>
    <row r="7492">
      <c r="A7492" s="40"/>
      <c r="B7492" s="157" t="s">
        <v>6113</v>
      </c>
      <c r="C7492" s="158" t="s">
        <v>34659</v>
      </c>
      <c r="D7492" s="159"/>
      <c r="E7492" s="23" t="s">
        <v>9295</v>
      </c>
      <c r="F7492" s="23" t="s">
        <v>34677</v>
      </c>
      <c r="G7492" s="23">
        <v>2022.0</v>
      </c>
      <c r="H7492" s="22" t="s">
        <v>77</v>
      </c>
      <c r="I7492" s="243" t="s">
        <v>34678</v>
      </c>
      <c r="J7492" s="23" t="s">
        <v>34679</v>
      </c>
      <c r="K7492" s="23" t="s">
        <v>34680</v>
      </c>
      <c r="L7492" s="94">
        <v>650.0</v>
      </c>
      <c r="M7492" s="94">
        <v>150.0</v>
      </c>
      <c r="N7492" s="94"/>
      <c r="O7492" s="93">
        <v>44682.0</v>
      </c>
      <c r="P7492" s="94"/>
      <c r="Q7492" s="172" t="s">
        <v>34681</v>
      </c>
      <c r="R7492" s="94">
        <v>10.0</v>
      </c>
      <c r="S7492" s="94" t="s">
        <v>34682</v>
      </c>
      <c r="T7492" s="54" t="s">
        <v>34683</v>
      </c>
      <c r="U7492" s="138" t="s">
        <v>61</v>
      </c>
      <c r="V7492" s="30"/>
      <c r="W7492" s="49"/>
      <c r="X7492" s="49"/>
      <c r="Y7492" s="35"/>
      <c r="Z7492" s="35"/>
      <c r="AA7492" s="35"/>
      <c r="AB7492" s="35"/>
      <c r="AC7492" s="35"/>
      <c r="AD7492" s="35"/>
      <c r="AE7492" s="35"/>
      <c r="AF7492" s="35"/>
      <c r="AG7492" s="35"/>
      <c r="AH7492" s="35"/>
      <c r="AI7492" s="35"/>
      <c r="AJ7492" s="35"/>
      <c r="AK7492" s="35"/>
      <c r="AL7492" s="35"/>
    </row>
    <row r="7493">
      <c r="A7493" s="18"/>
      <c r="B7493" s="157" t="s">
        <v>6113</v>
      </c>
      <c r="C7493" s="158" t="s">
        <v>34659</v>
      </c>
      <c r="D7493" s="159"/>
      <c r="E7493" s="23" t="s">
        <v>34684</v>
      </c>
      <c r="F7493" s="23" t="s">
        <v>7115</v>
      </c>
      <c r="G7493" s="23">
        <v>2021.0</v>
      </c>
      <c r="H7493" s="22" t="s">
        <v>33157</v>
      </c>
      <c r="I7493" s="243" t="s">
        <v>34685</v>
      </c>
      <c r="J7493" s="23" t="s">
        <v>34686</v>
      </c>
      <c r="K7493" s="23" t="s">
        <v>34687</v>
      </c>
      <c r="L7493" s="94" t="s">
        <v>1446</v>
      </c>
      <c r="M7493" s="94"/>
      <c r="N7493" s="94"/>
      <c r="O7493" s="94"/>
      <c r="P7493" s="94"/>
      <c r="Q7493" s="172"/>
      <c r="R7493" s="94"/>
      <c r="S7493" s="94"/>
      <c r="T7493" s="54" t="s">
        <v>34688</v>
      </c>
      <c r="U7493" s="138" t="s">
        <v>61</v>
      </c>
      <c r="V7493" s="30"/>
      <c r="W7493" s="49"/>
      <c r="X7493" s="49"/>
      <c r="Y7493" s="35"/>
      <c r="Z7493" s="35"/>
      <c r="AA7493" s="35"/>
      <c r="AB7493" s="35"/>
      <c r="AC7493" s="35"/>
      <c r="AD7493" s="35"/>
      <c r="AE7493" s="35"/>
      <c r="AF7493" s="35"/>
      <c r="AG7493" s="35"/>
      <c r="AH7493" s="35"/>
      <c r="AI7493" s="35"/>
      <c r="AJ7493" s="35"/>
      <c r="AK7493" s="35"/>
      <c r="AL7493" s="35"/>
    </row>
    <row r="7494">
      <c r="A7494" s="18"/>
      <c r="B7494" s="157" t="s">
        <v>6113</v>
      </c>
      <c r="C7494" s="158" t="s">
        <v>34659</v>
      </c>
      <c r="D7494" s="159"/>
      <c r="E7494" s="23" t="s">
        <v>34689</v>
      </c>
      <c r="F7494" s="23" t="s">
        <v>323</v>
      </c>
      <c r="G7494" s="23">
        <v>2019.0</v>
      </c>
      <c r="H7494" s="22" t="s">
        <v>147</v>
      </c>
      <c r="I7494" s="243" t="s">
        <v>34690</v>
      </c>
      <c r="J7494" s="23" t="s">
        <v>29165</v>
      </c>
      <c r="K7494" s="23"/>
      <c r="L7494" s="94">
        <v>808.0</v>
      </c>
      <c r="M7494" s="94">
        <v>200.0</v>
      </c>
      <c r="N7494" s="94"/>
      <c r="O7494" s="94"/>
      <c r="P7494" s="94">
        <v>6.0</v>
      </c>
      <c r="Q7494" s="172"/>
      <c r="R7494" s="94"/>
      <c r="S7494" s="94">
        <v>10.0</v>
      </c>
      <c r="T7494" s="54" t="s">
        <v>34691</v>
      </c>
      <c r="U7494" s="135" t="str">
        <f>HYPERLINK("https://www.ncbi.nlm.nih.gov/pubmed/32021666","PubMed")</f>
        <v>PubMed</v>
      </c>
      <c r="V7494" s="30"/>
      <c r="W7494" s="49"/>
      <c r="X7494" s="49"/>
      <c r="Y7494" s="35"/>
      <c r="Z7494" s="35"/>
      <c r="AA7494" s="35"/>
      <c r="AB7494" s="35"/>
      <c r="AC7494" s="35"/>
      <c r="AD7494" s="35"/>
      <c r="AE7494" s="35"/>
      <c r="AF7494" s="35"/>
      <c r="AG7494" s="35"/>
      <c r="AH7494" s="35"/>
      <c r="AI7494" s="35"/>
      <c r="AJ7494" s="35"/>
      <c r="AK7494" s="35"/>
      <c r="AL7494" s="35"/>
    </row>
    <row r="7495">
      <c r="A7495" s="415"/>
      <c r="B7495" s="19" t="s">
        <v>6113</v>
      </c>
      <c r="C7495" s="158" t="s">
        <v>34659</v>
      </c>
      <c r="D7495" s="159"/>
      <c r="E7495" s="23" t="s">
        <v>9295</v>
      </c>
      <c r="F7495" s="23" t="s">
        <v>323</v>
      </c>
      <c r="G7495" s="23">
        <v>2019.0</v>
      </c>
      <c r="H7495" s="23" t="s">
        <v>147</v>
      </c>
      <c r="I7495" s="243" t="s">
        <v>34692</v>
      </c>
      <c r="J7495" s="22" t="s">
        <v>2273</v>
      </c>
      <c r="K7495" s="23"/>
      <c r="L7495" s="52" t="s">
        <v>34693</v>
      </c>
      <c r="M7495" s="52"/>
      <c r="N7495" s="52"/>
      <c r="O7495" s="52"/>
      <c r="P7495" s="189"/>
      <c r="Q7495" s="52"/>
      <c r="R7495" s="52"/>
      <c r="S7495" s="52">
        <v>25.0</v>
      </c>
      <c r="T7495" s="54" t="s">
        <v>34694</v>
      </c>
      <c r="U7495" s="135" t="str">
        <f>HYPERLINK("https://www.ncbi.nlm.nih.gov/pubmed/31875128","PubMed")</f>
        <v>PubMed</v>
      </c>
      <c r="V7495" s="30"/>
      <c r="W7495" s="49"/>
      <c r="X7495" s="49"/>
      <c r="Y7495" s="35"/>
      <c r="Z7495" s="35"/>
      <c r="AA7495" s="35"/>
      <c r="AB7495" s="35"/>
      <c r="AC7495" s="35"/>
      <c r="AD7495" s="35"/>
      <c r="AE7495" s="35"/>
      <c r="AF7495" s="35"/>
      <c r="AG7495" s="35"/>
      <c r="AH7495" s="35"/>
      <c r="AI7495" s="35"/>
      <c r="AJ7495" s="35"/>
      <c r="AK7495" s="35"/>
      <c r="AL7495" s="35"/>
    </row>
    <row r="7496">
      <c r="A7496" s="18"/>
      <c r="B7496" s="157" t="s">
        <v>6113</v>
      </c>
      <c r="C7496" s="158" t="s">
        <v>34659</v>
      </c>
      <c r="D7496" s="159"/>
      <c r="E7496" s="23" t="s">
        <v>34695</v>
      </c>
      <c r="F7496" s="23" t="s">
        <v>323</v>
      </c>
      <c r="G7496" s="23">
        <v>2018.0</v>
      </c>
      <c r="H7496" s="22" t="s">
        <v>91</v>
      </c>
      <c r="I7496" s="243" t="s">
        <v>34696</v>
      </c>
      <c r="J7496" s="23" t="s">
        <v>34697</v>
      </c>
      <c r="K7496" s="23" t="s">
        <v>34698</v>
      </c>
      <c r="L7496" s="94">
        <v>655.0</v>
      </c>
      <c r="M7496" s="94">
        <v>150.0</v>
      </c>
      <c r="N7496" s="94" t="s">
        <v>1468</v>
      </c>
      <c r="O7496" s="94" t="s">
        <v>58</v>
      </c>
      <c r="P7496" s="94">
        <v>2.0</v>
      </c>
      <c r="Q7496" s="94" t="s">
        <v>34699</v>
      </c>
      <c r="R7496" s="94" t="s">
        <v>58</v>
      </c>
      <c r="S7496" s="94" t="s">
        <v>25040</v>
      </c>
      <c r="T7496" s="54" t="s">
        <v>34700</v>
      </c>
      <c r="U7496" s="135" t="str">
        <f>HYPERLINK("https://www.ncbi.nlm.nih.gov/pubmed/29368069","PubMed")</f>
        <v>PubMed</v>
      </c>
      <c r="V7496" s="30" t="s">
        <v>34701</v>
      </c>
      <c r="W7496" s="49"/>
      <c r="X7496" s="49"/>
      <c r="Y7496" s="35"/>
      <c r="Z7496" s="35"/>
      <c r="AA7496" s="35"/>
      <c r="AB7496" s="35"/>
      <c r="AC7496" s="35"/>
      <c r="AD7496" s="35"/>
      <c r="AE7496" s="35"/>
      <c r="AF7496" s="35"/>
      <c r="AG7496" s="35"/>
      <c r="AH7496" s="35"/>
      <c r="AI7496" s="35"/>
      <c r="AJ7496" s="35"/>
      <c r="AK7496" s="35"/>
      <c r="AL7496" s="35"/>
    </row>
    <row r="7497">
      <c r="A7497" s="18"/>
      <c r="B7497" s="157" t="s">
        <v>6113</v>
      </c>
      <c r="C7497" s="158" t="s">
        <v>34659</v>
      </c>
      <c r="D7497" s="159"/>
      <c r="E7497" s="23" t="s">
        <v>9295</v>
      </c>
      <c r="F7497" s="23" t="s">
        <v>323</v>
      </c>
      <c r="G7497" s="23">
        <v>2018.0</v>
      </c>
      <c r="H7497" s="23" t="s">
        <v>147</v>
      </c>
      <c r="I7497" s="243" t="s">
        <v>34702</v>
      </c>
      <c r="J7497" s="22" t="s">
        <v>34703</v>
      </c>
      <c r="K7497" s="23" t="s">
        <v>34698</v>
      </c>
      <c r="L7497" s="94" t="s">
        <v>34704</v>
      </c>
      <c r="M7497" s="94" t="s">
        <v>34705</v>
      </c>
      <c r="N7497" s="94" t="s">
        <v>58</v>
      </c>
      <c r="O7497" s="94" t="s">
        <v>58</v>
      </c>
      <c r="P7497" s="94" t="s">
        <v>34706</v>
      </c>
      <c r="Q7497" s="94" t="s">
        <v>34707</v>
      </c>
      <c r="R7497" s="94" t="s">
        <v>58</v>
      </c>
      <c r="S7497" s="94" t="s">
        <v>35</v>
      </c>
      <c r="T7497" s="54" t="s">
        <v>34708</v>
      </c>
      <c r="U7497" s="135" t="str">
        <f>HYPERLINK("https://www.ncbi.nlm.nih.gov/pubmed/30026900","PubMed")</f>
        <v>PubMed</v>
      </c>
      <c r="V7497" s="30" t="s">
        <v>34709</v>
      </c>
      <c r="W7497" s="49"/>
      <c r="X7497" s="49"/>
      <c r="Y7497" s="35"/>
      <c r="Z7497" s="35"/>
      <c r="AA7497" s="35"/>
      <c r="AB7497" s="35"/>
      <c r="AC7497" s="35"/>
      <c r="AD7497" s="35"/>
      <c r="AE7497" s="35"/>
      <c r="AF7497" s="35"/>
      <c r="AG7497" s="35"/>
      <c r="AH7497" s="35"/>
      <c r="AI7497" s="35"/>
      <c r="AJ7497" s="35"/>
      <c r="AK7497" s="35"/>
      <c r="AL7497" s="35"/>
    </row>
    <row r="7498">
      <c r="A7498" s="111"/>
      <c r="B7498" s="157" t="s">
        <v>6113</v>
      </c>
      <c r="C7498" s="158" t="s">
        <v>34659</v>
      </c>
      <c r="D7498" s="112"/>
      <c r="E7498" s="115" t="s">
        <v>34710</v>
      </c>
      <c r="F7498" s="115" t="s">
        <v>332</v>
      </c>
      <c r="G7498" s="115">
        <v>2017.0</v>
      </c>
      <c r="H7498" s="115" t="s">
        <v>91</v>
      </c>
      <c r="I7498" s="120" t="s">
        <v>34711</v>
      </c>
      <c r="J7498" s="22" t="s">
        <v>34712</v>
      </c>
      <c r="K7498" s="225" t="s">
        <v>34713</v>
      </c>
      <c r="L7498" s="226">
        <v>1064.0</v>
      </c>
      <c r="M7498" s="319" t="s">
        <v>58</v>
      </c>
      <c r="N7498" s="319" t="s">
        <v>58</v>
      </c>
      <c r="O7498" s="226">
        <v>3000.0</v>
      </c>
      <c r="P7498" s="94" t="s">
        <v>4694</v>
      </c>
      <c r="Q7498" s="319" t="s">
        <v>34714</v>
      </c>
      <c r="R7498" s="319" t="s">
        <v>34715</v>
      </c>
      <c r="S7498" s="319" t="s">
        <v>3280</v>
      </c>
      <c r="T7498" s="122" t="s">
        <v>34716</v>
      </c>
      <c r="U7498" s="123" t="str">
        <f>HYPERLINK("https://www.ncbi.nlm.nih.gov/pubmed/28233071","PubMed")</f>
        <v>PubMed</v>
      </c>
      <c r="V7498" s="30" t="s">
        <v>34717</v>
      </c>
      <c r="W7498" s="228"/>
      <c r="X7498" s="228"/>
      <c r="Y7498" s="228"/>
      <c r="Z7498" s="228"/>
      <c r="AA7498" s="228"/>
      <c r="AB7498" s="228"/>
      <c r="AC7498" s="228"/>
      <c r="AD7498" s="228"/>
      <c r="AE7498" s="228"/>
      <c r="AF7498" s="228"/>
      <c r="AG7498" s="228"/>
      <c r="AH7498" s="228"/>
      <c r="AI7498" s="228"/>
      <c r="AJ7498" s="228"/>
      <c r="AK7498" s="228"/>
      <c r="AL7498" s="228"/>
    </row>
    <row r="7499">
      <c r="A7499" s="18"/>
      <c r="B7499" s="157" t="s">
        <v>6113</v>
      </c>
      <c r="C7499" s="158" t="s">
        <v>34659</v>
      </c>
      <c r="D7499" s="159"/>
      <c r="E7499" s="23" t="s">
        <v>388</v>
      </c>
      <c r="F7499" s="23" t="s">
        <v>24122</v>
      </c>
      <c r="G7499" s="23">
        <v>2017.0</v>
      </c>
      <c r="H7499" s="22" t="s">
        <v>91</v>
      </c>
      <c r="I7499" s="243" t="s">
        <v>34718</v>
      </c>
      <c r="J7499" s="22" t="s">
        <v>26562</v>
      </c>
      <c r="K7499" s="23" t="s">
        <v>9631</v>
      </c>
      <c r="L7499" s="94">
        <v>658.0</v>
      </c>
      <c r="M7499" s="94">
        <v>40.0</v>
      </c>
      <c r="N7499" s="94" t="s">
        <v>34719</v>
      </c>
      <c r="O7499" s="319" t="s">
        <v>34720</v>
      </c>
      <c r="P7499" s="94">
        <v>7.0</v>
      </c>
      <c r="Q7499" s="94" t="s">
        <v>34721</v>
      </c>
      <c r="R7499" s="94" t="s">
        <v>34722</v>
      </c>
      <c r="S7499" s="94" t="s">
        <v>34723</v>
      </c>
      <c r="T7499" s="54" t="s">
        <v>34724</v>
      </c>
      <c r="U7499" s="135" t="str">
        <f>HYPERLINK("https://www.ncbi.nlm.nih.gov/pubmed/29199384","PubMed")</f>
        <v>PubMed</v>
      </c>
      <c r="V7499" s="30" t="s">
        <v>34725</v>
      </c>
      <c r="W7499" s="49"/>
      <c r="X7499" s="49"/>
      <c r="Y7499" s="35"/>
      <c r="Z7499" s="35"/>
      <c r="AA7499" s="35"/>
      <c r="AB7499" s="35"/>
      <c r="AC7499" s="35"/>
      <c r="AD7499" s="35"/>
      <c r="AE7499" s="35"/>
      <c r="AF7499" s="35"/>
      <c r="AG7499" s="35"/>
      <c r="AH7499" s="35"/>
      <c r="AI7499" s="35"/>
      <c r="AJ7499" s="35"/>
      <c r="AK7499" s="35"/>
      <c r="AL7499" s="35"/>
    </row>
    <row r="7500">
      <c r="A7500" s="133" t="s">
        <v>2</v>
      </c>
      <c r="B7500" s="157" t="s">
        <v>6113</v>
      </c>
      <c r="C7500" s="158" t="s">
        <v>34659</v>
      </c>
      <c r="D7500" s="47"/>
      <c r="E7500" s="22" t="s">
        <v>34726</v>
      </c>
      <c r="F7500" s="22" t="s">
        <v>323</v>
      </c>
      <c r="G7500" s="23">
        <v>2016.0</v>
      </c>
      <c r="H7500" s="22" t="s">
        <v>91</v>
      </c>
      <c r="I7500" s="24" t="s">
        <v>34727</v>
      </c>
      <c r="J7500" s="22" t="s">
        <v>34728</v>
      </c>
      <c r="K7500" s="22" t="s">
        <v>34729</v>
      </c>
      <c r="L7500" s="36" t="s">
        <v>34730</v>
      </c>
      <c r="M7500" s="36"/>
      <c r="N7500" s="36"/>
      <c r="O7500" s="36" t="s">
        <v>4694</v>
      </c>
      <c r="P7500" s="37" t="s">
        <v>34731</v>
      </c>
      <c r="Q7500" s="36"/>
      <c r="R7500" s="36"/>
      <c r="S7500" s="36" t="s">
        <v>34732</v>
      </c>
      <c r="T7500" s="28" t="s">
        <v>34733</v>
      </c>
      <c r="U7500" s="38" t="str">
        <f>HYPERLINK("https://www.ncbi.nlm.nih.gov/pubmed/26868033","PubMed")</f>
        <v>PubMed</v>
      </c>
      <c r="V7500" s="30"/>
      <c r="W7500" s="49"/>
      <c r="X7500" s="49"/>
      <c r="Y7500" s="35"/>
      <c r="Z7500" s="35"/>
      <c r="AA7500" s="35"/>
      <c r="AB7500" s="35"/>
      <c r="AC7500" s="35"/>
      <c r="AD7500" s="35"/>
      <c r="AE7500" s="35"/>
      <c r="AF7500" s="35"/>
      <c r="AG7500" s="35"/>
      <c r="AH7500" s="35"/>
      <c r="AI7500" s="35"/>
      <c r="AJ7500" s="35"/>
      <c r="AK7500" s="35"/>
      <c r="AL7500" s="35"/>
    </row>
    <row r="7501">
      <c r="A7501" s="18"/>
      <c r="B7501" s="157" t="s">
        <v>6113</v>
      </c>
      <c r="C7501" s="158" t="s">
        <v>34659</v>
      </c>
      <c r="D7501" s="159"/>
      <c r="E7501" s="23" t="s">
        <v>32945</v>
      </c>
      <c r="F7501" s="23" t="s">
        <v>283</v>
      </c>
      <c r="G7501" s="23">
        <v>2002.0</v>
      </c>
      <c r="H7501" s="23" t="s">
        <v>53</v>
      </c>
      <c r="I7501" s="243" t="s">
        <v>34734</v>
      </c>
      <c r="J7501" s="23" t="s">
        <v>34735</v>
      </c>
      <c r="K7501" s="23" t="s">
        <v>32949</v>
      </c>
      <c r="L7501" s="94" t="s">
        <v>8957</v>
      </c>
      <c r="M7501" s="94" t="s">
        <v>58</v>
      </c>
      <c r="N7501" s="94" t="s">
        <v>3587</v>
      </c>
      <c r="O7501" s="94" t="s">
        <v>58</v>
      </c>
      <c r="P7501" s="93">
        <v>43192.0</v>
      </c>
      <c r="Q7501" s="172" t="s">
        <v>58</v>
      </c>
      <c r="R7501" s="94">
        <v>600.0</v>
      </c>
      <c r="S7501" s="94" t="s">
        <v>34736</v>
      </c>
      <c r="T7501" s="54" t="s">
        <v>34737</v>
      </c>
      <c r="U7501" s="135" t="str">
        <f>HYPERLINK("https://www.ncbi.nlm.nih.gov/pubmed/12372372","PubMed")</f>
        <v>PubMed</v>
      </c>
      <c r="V7501" s="30" t="s">
        <v>34738</v>
      </c>
      <c r="W7501" s="49"/>
      <c r="X7501" s="49"/>
      <c r="Y7501" s="35"/>
      <c r="Z7501" s="35"/>
      <c r="AA7501" s="35"/>
      <c r="AB7501" s="35"/>
      <c r="AC7501" s="35"/>
      <c r="AD7501" s="35"/>
      <c r="AE7501" s="35"/>
      <c r="AF7501" s="35"/>
      <c r="AG7501" s="35"/>
      <c r="AH7501" s="35"/>
      <c r="AI7501" s="35"/>
      <c r="AJ7501" s="35"/>
      <c r="AK7501" s="35"/>
      <c r="AL7501" s="35"/>
    </row>
    <row r="7502" ht="69.75" customHeight="1">
      <c r="A7502" s="18"/>
      <c r="B7502" s="157" t="s">
        <v>6113</v>
      </c>
      <c r="C7502" s="158" t="s">
        <v>34659</v>
      </c>
      <c r="D7502" s="159"/>
      <c r="E7502" s="23" t="s">
        <v>10556</v>
      </c>
      <c r="F7502" s="23"/>
      <c r="G7502" s="23">
        <v>1990.0</v>
      </c>
      <c r="H7502" s="23" t="s">
        <v>292</v>
      </c>
      <c r="I7502" s="243" t="s">
        <v>34739</v>
      </c>
      <c r="J7502" s="23" t="s">
        <v>34740</v>
      </c>
      <c r="K7502" s="23"/>
      <c r="L7502" s="94">
        <v>633.0</v>
      </c>
      <c r="M7502" s="94"/>
      <c r="N7502" s="94"/>
      <c r="O7502" s="94"/>
      <c r="P7502" s="94"/>
      <c r="Q7502" s="172"/>
      <c r="R7502" s="94"/>
      <c r="S7502" s="94" t="s">
        <v>34741</v>
      </c>
      <c r="T7502" s="54" t="s">
        <v>34742</v>
      </c>
      <c r="U7502" s="135" t="str">
        <f>HYPERLINK("https://www.jstage.jst.go.jp/article/islsm/2/4/2_90-SC-02/_article/-char/en","J-STAGE")</f>
        <v>J-STAGE</v>
      </c>
      <c r="V7502" s="30"/>
      <c r="W7502" s="49"/>
      <c r="X7502" s="49"/>
      <c r="Y7502" s="35"/>
      <c r="Z7502" s="35"/>
      <c r="AA7502" s="35"/>
      <c r="AB7502" s="35"/>
      <c r="AC7502" s="35"/>
      <c r="AD7502" s="35"/>
      <c r="AE7502" s="35"/>
      <c r="AF7502" s="35"/>
      <c r="AG7502" s="35"/>
      <c r="AH7502" s="35"/>
      <c r="AI7502" s="35"/>
      <c r="AJ7502" s="35"/>
      <c r="AK7502" s="35"/>
      <c r="AL7502" s="35"/>
    </row>
    <row r="7503">
      <c r="A7503" s="18"/>
      <c r="B7503" s="75" t="s">
        <v>6113</v>
      </c>
      <c r="C7503" s="77" t="s">
        <v>34743</v>
      </c>
      <c r="D7503" s="159"/>
      <c r="E7503" s="23" t="s">
        <v>34744</v>
      </c>
      <c r="F7503" s="23" t="s">
        <v>1603</v>
      </c>
      <c r="G7503" s="23">
        <v>2023.0</v>
      </c>
      <c r="H7503" s="23" t="s">
        <v>2181</v>
      </c>
      <c r="I7503" s="243" t="s">
        <v>34745</v>
      </c>
      <c r="J7503" s="23" t="s">
        <v>34746</v>
      </c>
      <c r="K7503" s="23"/>
      <c r="L7503" s="94">
        <v>635.0</v>
      </c>
      <c r="M7503" s="94"/>
      <c r="N7503" s="94"/>
      <c r="O7503" s="94"/>
      <c r="P7503" s="94"/>
      <c r="Q7503" s="172"/>
      <c r="R7503" s="94">
        <v>720.0</v>
      </c>
      <c r="S7503" s="94"/>
      <c r="T7503" s="102" t="s">
        <v>34747</v>
      </c>
      <c r="U7503" s="135" t="s">
        <v>61</v>
      </c>
      <c r="V7503" s="30"/>
      <c r="W7503" s="49"/>
      <c r="X7503" s="49"/>
      <c r="Y7503" s="35"/>
      <c r="Z7503" s="35"/>
      <c r="AA7503" s="35"/>
      <c r="AB7503" s="35"/>
      <c r="AC7503" s="35"/>
      <c r="AD7503" s="35"/>
      <c r="AE7503" s="35"/>
      <c r="AF7503" s="35"/>
      <c r="AG7503" s="35"/>
      <c r="AH7503" s="35"/>
      <c r="AI7503" s="35"/>
      <c r="AJ7503" s="35"/>
      <c r="AK7503" s="35"/>
      <c r="AL7503" s="35"/>
    </row>
    <row r="7504">
      <c r="A7504" s="18"/>
      <c r="B7504" s="75" t="s">
        <v>6113</v>
      </c>
      <c r="C7504" s="77" t="s">
        <v>34743</v>
      </c>
      <c r="D7504" s="159"/>
      <c r="E7504" s="23" t="s">
        <v>1457</v>
      </c>
      <c r="F7504" s="23" t="s">
        <v>21942</v>
      </c>
      <c r="G7504" s="23">
        <v>2023.0</v>
      </c>
      <c r="H7504" s="23" t="s">
        <v>91</v>
      </c>
      <c r="I7504" s="243" t="s">
        <v>34748</v>
      </c>
      <c r="J7504" s="23" t="s">
        <v>55</v>
      </c>
      <c r="K7504" s="23"/>
      <c r="L7504" s="94">
        <v>470.0</v>
      </c>
      <c r="M7504" s="94">
        <v>1000.0</v>
      </c>
      <c r="N7504" s="94" t="s">
        <v>33392</v>
      </c>
      <c r="O7504" s="94"/>
      <c r="P7504" s="94">
        <v>50.0</v>
      </c>
      <c r="Q7504" s="172"/>
      <c r="R7504" s="94"/>
      <c r="S7504" s="94" t="s">
        <v>3478</v>
      </c>
      <c r="T7504" s="102" t="s">
        <v>34749</v>
      </c>
      <c r="U7504" s="135" t="s">
        <v>61</v>
      </c>
      <c r="V7504" s="30"/>
      <c r="W7504" s="49"/>
      <c r="X7504" s="49"/>
      <c r="Y7504" s="35"/>
      <c r="Z7504" s="35"/>
      <c r="AA7504" s="35"/>
      <c r="AB7504" s="35"/>
      <c r="AC7504" s="35"/>
      <c r="AD7504" s="35"/>
      <c r="AE7504" s="35"/>
      <c r="AF7504" s="35"/>
      <c r="AG7504" s="35"/>
      <c r="AH7504" s="35"/>
      <c r="AI7504" s="35"/>
      <c r="AJ7504" s="35"/>
      <c r="AK7504" s="35"/>
      <c r="AL7504" s="35"/>
    </row>
    <row r="7505">
      <c r="A7505" s="18"/>
      <c r="B7505" s="157" t="s">
        <v>6113</v>
      </c>
      <c r="C7505" s="158" t="s">
        <v>34743</v>
      </c>
      <c r="D7505" s="159"/>
      <c r="E7505" s="23" t="s">
        <v>999</v>
      </c>
      <c r="F7505" s="23" t="s">
        <v>21765</v>
      </c>
      <c r="G7505" s="23">
        <v>2023.0</v>
      </c>
      <c r="H7505" s="23" t="s">
        <v>8523</v>
      </c>
      <c r="I7505" s="243" t="s">
        <v>34750</v>
      </c>
      <c r="J7505" s="23" t="s">
        <v>55</v>
      </c>
      <c r="K7505" s="23"/>
      <c r="L7505" s="94">
        <v>660.0</v>
      </c>
      <c r="M7505" s="94"/>
      <c r="N7505" s="94"/>
      <c r="O7505" s="94"/>
      <c r="P7505" s="94">
        <v>5.0</v>
      </c>
      <c r="Q7505" s="172"/>
      <c r="R7505" s="94"/>
      <c r="S7505" s="94"/>
      <c r="T7505" s="54" t="s">
        <v>34751</v>
      </c>
      <c r="U7505" s="135" t="s">
        <v>61</v>
      </c>
      <c r="V7505" s="30"/>
      <c r="W7505" s="49"/>
      <c r="X7505" s="49"/>
      <c r="Y7505" s="35"/>
      <c r="Z7505" s="35"/>
      <c r="AA7505" s="35"/>
      <c r="AB7505" s="35"/>
      <c r="AC7505" s="35"/>
      <c r="AD7505" s="35"/>
      <c r="AE7505" s="35"/>
      <c r="AF7505" s="35"/>
      <c r="AG7505" s="35"/>
      <c r="AH7505" s="35"/>
      <c r="AI7505" s="35"/>
      <c r="AJ7505" s="35"/>
      <c r="AK7505" s="35"/>
      <c r="AL7505" s="35"/>
    </row>
    <row r="7506">
      <c r="A7506" s="18"/>
      <c r="B7506" s="157" t="s">
        <v>6113</v>
      </c>
      <c r="C7506" s="158" t="s">
        <v>34743</v>
      </c>
      <c r="D7506" s="159"/>
      <c r="E7506" s="23" t="s">
        <v>12184</v>
      </c>
      <c r="F7506" s="23" t="s">
        <v>1154</v>
      </c>
      <c r="G7506" s="23">
        <v>2023.0</v>
      </c>
      <c r="H7506" s="23" t="s">
        <v>33967</v>
      </c>
      <c r="I7506" s="243" t="s">
        <v>34752</v>
      </c>
      <c r="J7506" s="23" t="s">
        <v>55</v>
      </c>
      <c r="K7506" s="23" t="s">
        <v>34753</v>
      </c>
      <c r="L7506" s="94"/>
      <c r="M7506" s="94"/>
      <c r="N7506" s="94"/>
      <c r="O7506" s="94"/>
      <c r="P7506" s="94"/>
      <c r="Q7506" s="172"/>
      <c r="R7506" s="94"/>
      <c r="S7506" s="94"/>
      <c r="T7506" s="54" t="s">
        <v>34754</v>
      </c>
      <c r="U7506" s="135" t="s">
        <v>61</v>
      </c>
      <c r="V7506" s="30" t="s">
        <v>174</v>
      </c>
      <c r="W7506" s="49"/>
      <c r="X7506" s="49"/>
      <c r="Y7506" s="35"/>
      <c r="Z7506" s="35"/>
      <c r="AA7506" s="35"/>
      <c r="AB7506" s="35"/>
      <c r="AC7506" s="35"/>
      <c r="AD7506" s="35"/>
      <c r="AE7506" s="35"/>
      <c r="AF7506" s="35"/>
      <c r="AG7506" s="35"/>
      <c r="AH7506" s="35"/>
      <c r="AI7506" s="35"/>
      <c r="AJ7506" s="35"/>
      <c r="AK7506" s="35"/>
      <c r="AL7506" s="35"/>
    </row>
    <row r="7507">
      <c r="A7507" s="18"/>
      <c r="B7507" s="157" t="s">
        <v>6113</v>
      </c>
      <c r="C7507" s="158" t="s">
        <v>34743</v>
      </c>
      <c r="D7507" s="159"/>
      <c r="E7507" s="23" t="s">
        <v>34755</v>
      </c>
      <c r="F7507" s="23" t="s">
        <v>34756</v>
      </c>
      <c r="G7507" s="23">
        <v>2023.0</v>
      </c>
      <c r="H7507" s="23" t="s">
        <v>207</v>
      </c>
      <c r="I7507" s="243" t="s">
        <v>34757</v>
      </c>
      <c r="J7507" s="23" t="s">
        <v>55</v>
      </c>
      <c r="K7507" s="23" t="s">
        <v>2319</v>
      </c>
      <c r="L7507" s="94" t="s">
        <v>34758</v>
      </c>
      <c r="M7507" s="94"/>
      <c r="N7507" s="94"/>
      <c r="O7507" s="94"/>
      <c r="P7507" s="94"/>
      <c r="Q7507" s="172"/>
      <c r="R7507" s="94"/>
      <c r="S7507" s="94"/>
      <c r="T7507" s="54" t="s">
        <v>34759</v>
      </c>
      <c r="U7507" s="135" t="s">
        <v>61</v>
      </c>
      <c r="V7507" s="30" t="s">
        <v>174</v>
      </c>
      <c r="W7507" s="49"/>
      <c r="X7507" s="49"/>
      <c r="Y7507" s="35"/>
      <c r="Z7507" s="35"/>
      <c r="AA7507" s="35"/>
      <c r="AB7507" s="35"/>
      <c r="AC7507" s="35"/>
      <c r="AD7507" s="35"/>
      <c r="AE7507" s="35"/>
      <c r="AF7507" s="35"/>
      <c r="AG7507" s="35"/>
      <c r="AH7507" s="35"/>
      <c r="AI7507" s="35"/>
      <c r="AJ7507" s="35"/>
      <c r="AK7507" s="35"/>
      <c r="AL7507" s="35"/>
    </row>
    <row r="7508" ht="69.75" customHeight="1">
      <c r="A7508" s="18"/>
      <c r="B7508" s="157" t="s">
        <v>6113</v>
      </c>
      <c r="C7508" s="158" t="s">
        <v>34743</v>
      </c>
      <c r="D7508" s="159"/>
      <c r="E7508" s="23" t="s">
        <v>34755</v>
      </c>
      <c r="F7508" s="23" t="s">
        <v>34760</v>
      </c>
      <c r="G7508" s="23">
        <v>2023.0</v>
      </c>
      <c r="H7508" s="23" t="s">
        <v>116</v>
      </c>
      <c r="I7508" s="243" t="s">
        <v>34761</v>
      </c>
      <c r="J7508" s="23" t="s">
        <v>55</v>
      </c>
      <c r="K7508" s="23" t="s">
        <v>34762</v>
      </c>
      <c r="L7508" s="94">
        <v>904.0</v>
      </c>
      <c r="M7508" s="94"/>
      <c r="N7508" s="94"/>
      <c r="O7508" s="94"/>
      <c r="P7508" s="94"/>
      <c r="Q7508" s="172"/>
      <c r="R7508" s="94"/>
      <c r="S7508" s="94"/>
      <c r="T7508" s="54" t="s">
        <v>34763</v>
      </c>
      <c r="U7508" s="135" t="s">
        <v>61</v>
      </c>
      <c r="V7508" s="30"/>
      <c r="W7508" s="49"/>
      <c r="X7508" s="49"/>
      <c r="Y7508" s="35"/>
      <c r="Z7508" s="35"/>
      <c r="AA7508" s="35"/>
      <c r="AB7508" s="35"/>
      <c r="AC7508" s="35"/>
      <c r="AD7508" s="35"/>
      <c r="AE7508" s="35"/>
      <c r="AF7508" s="35"/>
      <c r="AG7508" s="35"/>
      <c r="AH7508" s="35"/>
      <c r="AI7508" s="35"/>
      <c r="AJ7508" s="35"/>
      <c r="AK7508" s="35"/>
      <c r="AL7508" s="35"/>
    </row>
    <row r="7509" ht="69.75" customHeight="1">
      <c r="A7509" s="18"/>
      <c r="B7509" s="157" t="s">
        <v>6113</v>
      </c>
      <c r="C7509" s="158" t="s">
        <v>34743</v>
      </c>
      <c r="D7509" s="159"/>
      <c r="E7509" s="23" t="s">
        <v>23360</v>
      </c>
      <c r="F7509" s="23" t="s">
        <v>24122</v>
      </c>
      <c r="G7509" s="23">
        <v>2023.0</v>
      </c>
      <c r="H7509" s="23" t="s">
        <v>34764</v>
      </c>
      <c r="I7509" s="243" t="s">
        <v>34765</v>
      </c>
      <c r="J7509" s="23" t="s">
        <v>55</v>
      </c>
      <c r="K7509" s="23"/>
      <c r="L7509" s="94">
        <v>660.0</v>
      </c>
      <c r="M7509" s="94"/>
      <c r="N7509" s="94"/>
      <c r="O7509" s="94"/>
      <c r="P7509" s="94"/>
      <c r="Q7509" s="172"/>
      <c r="R7509" s="94"/>
      <c r="S7509" s="94"/>
      <c r="T7509" s="54" t="s">
        <v>34766</v>
      </c>
      <c r="U7509" s="135" t="s">
        <v>61</v>
      </c>
      <c r="V7509" s="30"/>
      <c r="W7509" s="49"/>
      <c r="X7509" s="49"/>
      <c r="Y7509" s="35"/>
      <c r="Z7509" s="35"/>
      <c r="AA7509" s="35"/>
      <c r="AB7509" s="35"/>
      <c r="AC7509" s="35"/>
      <c r="AD7509" s="35"/>
      <c r="AE7509" s="35"/>
      <c r="AF7509" s="35"/>
      <c r="AG7509" s="35"/>
      <c r="AH7509" s="35"/>
      <c r="AI7509" s="35"/>
      <c r="AJ7509" s="35"/>
      <c r="AK7509" s="35"/>
      <c r="AL7509" s="35"/>
    </row>
    <row r="7510" ht="69.75" customHeight="1">
      <c r="A7510" s="18"/>
      <c r="B7510" s="157" t="s">
        <v>6113</v>
      </c>
      <c r="C7510" s="158" t="s">
        <v>34743</v>
      </c>
      <c r="D7510" s="159"/>
      <c r="E7510" s="23" t="s">
        <v>1733</v>
      </c>
      <c r="F7510" s="23" t="s">
        <v>7177</v>
      </c>
      <c r="G7510" s="23">
        <v>2022.0</v>
      </c>
      <c r="H7510" s="23" t="s">
        <v>8523</v>
      </c>
      <c r="I7510" s="243" t="s">
        <v>34767</v>
      </c>
      <c r="J7510" s="23" t="s">
        <v>34768</v>
      </c>
      <c r="K7510" s="23"/>
      <c r="L7510" s="195" t="s">
        <v>34769</v>
      </c>
      <c r="M7510" s="44"/>
      <c r="N7510" s="44"/>
      <c r="O7510" s="44"/>
      <c r="P7510" s="44"/>
      <c r="Q7510" s="44"/>
      <c r="R7510" s="44"/>
      <c r="S7510" s="44"/>
      <c r="T7510" s="45"/>
      <c r="U7510" s="138" t="s">
        <v>61</v>
      </c>
      <c r="V7510" s="30"/>
      <c r="W7510" s="49"/>
      <c r="X7510" s="49"/>
      <c r="Y7510" s="35"/>
      <c r="Z7510" s="35"/>
      <c r="AA7510" s="35"/>
      <c r="AB7510" s="35"/>
      <c r="AC7510" s="35"/>
      <c r="AD7510" s="35"/>
      <c r="AE7510" s="35"/>
      <c r="AF7510" s="35"/>
      <c r="AG7510" s="35"/>
      <c r="AH7510" s="35"/>
      <c r="AI7510" s="35"/>
      <c r="AJ7510" s="35"/>
      <c r="AK7510" s="35"/>
      <c r="AL7510" s="35"/>
    </row>
    <row r="7511">
      <c r="A7511" s="40"/>
      <c r="B7511" s="157" t="s">
        <v>6113</v>
      </c>
      <c r="C7511" s="158" t="s">
        <v>34743</v>
      </c>
      <c r="D7511" s="159"/>
      <c r="E7511" s="23" t="s">
        <v>20942</v>
      </c>
      <c r="F7511" s="23" t="s">
        <v>21942</v>
      </c>
      <c r="G7511" s="23">
        <v>2022.0</v>
      </c>
      <c r="H7511" s="22" t="s">
        <v>91</v>
      </c>
      <c r="I7511" s="243" t="s">
        <v>34770</v>
      </c>
      <c r="J7511" s="23" t="s">
        <v>55</v>
      </c>
      <c r="K7511" s="23" t="s">
        <v>157</v>
      </c>
      <c r="L7511" s="94">
        <v>630.0</v>
      </c>
      <c r="M7511" s="94">
        <v>300.0</v>
      </c>
      <c r="N7511" s="94"/>
      <c r="O7511" s="94"/>
      <c r="P7511" s="94">
        <v>9.0</v>
      </c>
      <c r="Q7511" s="172"/>
      <c r="R7511" s="94">
        <v>30.0</v>
      </c>
      <c r="S7511" s="94"/>
      <c r="T7511" s="102" t="s">
        <v>34771</v>
      </c>
      <c r="U7511" s="138" t="s">
        <v>61</v>
      </c>
      <c r="V7511" s="30"/>
      <c r="W7511" s="49"/>
      <c r="X7511" s="49"/>
      <c r="Y7511" s="35"/>
      <c r="Z7511" s="35"/>
      <c r="AA7511" s="35"/>
      <c r="AB7511" s="35"/>
      <c r="AC7511" s="35"/>
      <c r="AD7511" s="35"/>
      <c r="AE7511" s="35"/>
      <c r="AF7511" s="35"/>
      <c r="AG7511" s="35"/>
      <c r="AH7511" s="35"/>
      <c r="AI7511" s="35"/>
      <c r="AJ7511" s="35"/>
      <c r="AK7511" s="35"/>
      <c r="AL7511" s="35"/>
    </row>
    <row r="7512">
      <c r="A7512" s="40"/>
      <c r="B7512" s="157" t="s">
        <v>6113</v>
      </c>
      <c r="C7512" s="158" t="s">
        <v>34743</v>
      </c>
      <c r="D7512" s="159"/>
      <c r="E7512" s="23" t="s">
        <v>34772</v>
      </c>
      <c r="F7512" s="23" t="s">
        <v>34756</v>
      </c>
      <c r="G7512" s="23">
        <v>2021.0</v>
      </c>
      <c r="H7512" s="22" t="s">
        <v>15237</v>
      </c>
      <c r="I7512" s="243" t="s">
        <v>34773</v>
      </c>
      <c r="J7512" s="23" t="s">
        <v>55</v>
      </c>
      <c r="K7512" s="23" t="s">
        <v>3361</v>
      </c>
      <c r="L7512" s="94"/>
      <c r="M7512" s="94"/>
      <c r="N7512" s="94"/>
      <c r="O7512" s="94"/>
      <c r="P7512" s="94"/>
      <c r="Q7512" s="172"/>
      <c r="R7512" s="94"/>
      <c r="S7512" s="94"/>
      <c r="T7512" s="54" t="s">
        <v>34774</v>
      </c>
      <c r="U7512" s="138" t="s">
        <v>8353</v>
      </c>
      <c r="V7512" s="30"/>
      <c r="W7512" s="49"/>
      <c r="X7512" s="49"/>
      <c r="Y7512" s="35"/>
      <c r="Z7512" s="35"/>
      <c r="AA7512" s="35"/>
      <c r="AB7512" s="35"/>
      <c r="AC7512" s="35"/>
      <c r="AD7512" s="35"/>
      <c r="AE7512" s="35"/>
      <c r="AF7512" s="35"/>
      <c r="AG7512" s="35"/>
      <c r="AH7512" s="35"/>
      <c r="AI7512" s="35"/>
      <c r="AJ7512" s="35"/>
      <c r="AK7512" s="35"/>
      <c r="AL7512" s="35"/>
    </row>
    <row r="7513">
      <c r="A7513" s="40" t="s">
        <v>2</v>
      </c>
      <c r="B7513" s="157" t="s">
        <v>6113</v>
      </c>
      <c r="C7513" s="158" t="s">
        <v>34743</v>
      </c>
      <c r="D7513" s="159"/>
      <c r="E7513" s="23" t="s">
        <v>12741</v>
      </c>
      <c r="F7513" s="23" t="s">
        <v>3441</v>
      </c>
      <c r="G7513" s="23">
        <v>2021.0</v>
      </c>
      <c r="H7513" s="22" t="s">
        <v>2181</v>
      </c>
      <c r="I7513" s="243" t="s">
        <v>34775</v>
      </c>
      <c r="J7513" s="23" t="s">
        <v>44</v>
      </c>
      <c r="K7513" s="23"/>
      <c r="L7513" s="94">
        <v>810.0</v>
      </c>
      <c r="M7513" s="94"/>
      <c r="N7513" s="94"/>
      <c r="O7513" s="94"/>
      <c r="P7513" s="94"/>
      <c r="Q7513" s="172"/>
      <c r="R7513" s="94"/>
      <c r="S7513" s="94"/>
      <c r="T7513" s="54" t="s">
        <v>34776</v>
      </c>
      <c r="U7513" s="138" t="s">
        <v>61</v>
      </c>
      <c r="V7513" s="30"/>
      <c r="W7513" s="49"/>
      <c r="X7513" s="49"/>
      <c r="Y7513" s="35"/>
      <c r="Z7513" s="35"/>
      <c r="AA7513" s="35"/>
      <c r="AB7513" s="35"/>
      <c r="AC7513" s="35"/>
      <c r="AD7513" s="35"/>
      <c r="AE7513" s="35"/>
      <c r="AF7513" s="35"/>
      <c r="AG7513" s="35"/>
      <c r="AH7513" s="35"/>
      <c r="AI7513" s="35"/>
      <c r="AJ7513" s="35"/>
      <c r="AK7513" s="35"/>
      <c r="AL7513" s="35"/>
    </row>
    <row r="7514">
      <c r="A7514" s="40"/>
      <c r="B7514" s="157" t="s">
        <v>6113</v>
      </c>
      <c r="C7514" s="158" t="s">
        <v>34743</v>
      </c>
      <c r="D7514" s="159"/>
      <c r="E7514" s="23" t="s">
        <v>34777</v>
      </c>
      <c r="F7514" s="23" t="s">
        <v>34756</v>
      </c>
      <c r="G7514" s="23">
        <v>2021.0</v>
      </c>
      <c r="H7514" s="22" t="s">
        <v>15237</v>
      </c>
      <c r="I7514" s="243" t="s">
        <v>34778</v>
      </c>
      <c r="J7514" s="23" t="s">
        <v>55</v>
      </c>
      <c r="K7514" s="23" t="s">
        <v>22503</v>
      </c>
      <c r="L7514" s="94" t="s">
        <v>34779</v>
      </c>
      <c r="M7514" s="94"/>
      <c r="N7514" s="94" t="s">
        <v>9237</v>
      </c>
      <c r="O7514" s="94"/>
      <c r="P7514" s="94" t="s">
        <v>34780</v>
      </c>
      <c r="Q7514" s="172"/>
      <c r="R7514" s="94"/>
      <c r="S7514" s="94"/>
      <c r="T7514" s="54" t="s">
        <v>34781</v>
      </c>
      <c r="U7514" s="138" t="s">
        <v>8353</v>
      </c>
      <c r="V7514" s="30"/>
      <c r="W7514" s="49"/>
      <c r="X7514" s="49"/>
      <c r="Y7514" s="35"/>
      <c r="Z7514" s="35"/>
      <c r="AA7514" s="35"/>
      <c r="AB7514" s="35"/>
      <c r="AC7514" s="35"/>
      <c r="AD7514" s="35"/>
      <c r="AE7514" s="35"/>
      <c r="AF7514" s="35"/>
      <c r="AG7514" s="35"/>
      <c r="AH7514" s="35"/>
      <c r="AI7514" s="35"/>
      <c r="AJ7514" s="35"/>
      <c r="AK7514" s="35"/>
      <c r="AL7514" s="35"/>
    </row>
    <row r="7515">
      <c r="A7515" s="18"/>
      <c r="B7515" s="157" t="s">
        <v>6113</v>
      </c>
      <c r="C7515" s="158" t="s">
        <v>34743</v>
      </c>
      <c r="D7515" s="159"/>
      <c r="E7515" s="23" t="s">
        <v>1733</v>
      </c>
      <c r="F7515" s="23" t="s">
        <v>7177</v>
      </c>
      <c r="G7515" s="23">
        <v>2021.0</v>
      </c>
      <c r="H7515" s="22" t="s">
        <v>77</v>
      </c>
      <c r="I7515" s="243" t="s">
        <v>34782</v>
      </c>
      <c r="J7515" s="23" t="s">
        <v>34768</v>
      </c>
      <c r="K7515" s="23"/>
      <c r="L7515" s="43" t="s">
        <v>34783</v>
      </c>
      <c r="M7515" s="44"/>
      <c r="N7515" s="44"/>
      <c r="O7515" s="44"/>
      <c r="P7515" s="44"/>
      <c r="Q7515" s="44"/>
      <c r="R7515" s="44"/>
      <c r="S7515" s="44"/>
      <c r="T7515" s="45"/>
      <c r="U7515" s="138" t="s">
        <v>61</v>
      </c>
      <c r="V7515" s="30"/>
      <c r="W7515" s="49"/>
      <c r="X7515" s="49"/>
      <c r="Y7515" s="35"/>
      <c r="Z7515" s="35"/>
      <c r="AA7515" s="35"/>
      <c r="AB7515" s="35"/>
      <c r="AC7515" s="35"/>
      <c r="AD7515" s="35"/>
      <c r="AE7515" s="35"/>
      <c r="AF7515" s="35"/>
      <c r="AG7515" s="35"/>
      <c r="AH7515" s="35"/>
      <c r="AI7515" s="35"/>
      <c r="AJ7515" s="35"/>
      <c r="AK7515" s="35"/>
      <c r="AL7515" s="35"/>
    </row>
    <row r="7516">
      <c r="A7516" s="18"/>
      <c r="B7516" s="157" t="s">
        <v>6113</v>
      </c>
      <c r="C7516" s="158" t="s">
        <v>34743</v>
      </c>
      <c r="D7516" s="159"/>
      <c r="E7516" s="23" t="s">
        <v>689</v>
      </c>
      <c r="F7516" s="23" t="s">
        <v>400</v>
      </c>
      <c r="G7516" s="23">
        <v>2021.0</v>
      </c>
      <c r="H7516" s="22" t="s">
        <v>12780</v>
      </c>
      <c r="I7516" s="243" t="s">
        <v>34784</v>
      </c>
      <c r="J7516" s="23" t="s">
        <v>55</v>
      </c>
      <c r="K7516" s="23" t="s">
        <v>34785</v>
      </c>
      <c r="L7516" s="94">
        <v>670.0</v>
      </c>
      <c r="M7516" s="94">
        <v>30.0</v>
      </c>
      <c r="N7516" s="94"/>
      <c r="O7516" s="94" t="s">
        <v>34786</v>
      </c>
      <c r="P7516" s="94" t="s">
        <v>34787</v>
      </c>
      <c r="Q7516" s="172"/>
      <c r="R7516" s="94" t="s">
        <v>34788</v>
      </c>
      <c r="S7516" s="94"/>
      <c r="T7516" s="54" t="s">
        <v>34789</v>
      </c>
      <c r="U7516" s="138" t="s">
        <v>61</v>
      </c>
      <c r="V7516" s="30"/>
      <c r="W7516" s="49"/>
      <c r="X7516" s="49"/>
      <c r="Y7516" s="35"/>
      <c r="Z7516" s="35"/>
      <c r="AA7516" s="35"/>
      <c r="AB7516" s="35"/>
      <c r="AC7516" s="35"/>
      <c r="AD7516" s="35"/>
      <c r="AE7516" s="35"/>
      <c r="AF7516" s="35"/>
      <c r="AG7516" s="35"/>
      <c r="AH7516" s="35"/>
      <c r="AI7516" s="35"/>
      <c r="AJ7516" s="35"/>
      <c r="AK7516" s="35"/>
      <c r="AL7516" s="35"/>
    </row>
    <row r="7517">
      <c r="A7517" s="18" t="s">
        <v>38</v>
      </c>
      <c r="B7517" s="157" t="s">
        <v>6113</v>
      </c>
      <c r="C7517" s="158" t="s">
        <v>34743</v>
      </c>
      <c r="D7517" s="159"/>
      <c r="E7517" s="23" t="s">
        <v>34772</v>
      </c>
      <c r="F7517" s="23" t="s">
        <v>34756</v>
      </c>
      <c r="G7517" s="23">
        <v>2020.0</v>
      </c>
      <c r="H7517" s="22" t="s">
        <v>3292</v>
      </c>
      <c r="I7517" s="243" t="s">
        <v>34790</v>
      </c>
      <c r="J7517" s="23" t="s">
        <v>55</v>
      </c>
      <c r="K7517" s="23"/>
      <c r="L7517" s="94">
        <v>904.0</v>
      </c>
      <c r="M7517" s="94"/>
      <c r="N7517" s="94"/>
      <c r="O7517" s="94"/>
      <c r="P7517" s="94" t="s">
        <v>267</v>
      </c>
      <c r="Q7517" s="172"/>
      <c r="R7517" s="94"/>
      <c r="S7517" s="94"/>
      <c r="T7517" s="54" t="s">
        <v>34791</v>
      </c>
      <c r="U7517" s="135" t="str">
        <f>HYPERLINK("https://www.ncbi.nlm.nih.gov/pubmed/32027411","PubMed")</f>
        <v>PubMed</v>
      </c>
      <c r="V7517" s="30"/>
      <c r="W7517" s="49"/>
      <c r="X7517" s="49"/>
      <c r="Y7517" s="35"/>
      <c r="Z7517" s="35"/>
      <c r="AA7517" s="35"/>
      <c r="AB7517" s="35"/>
      <c r="AC7517" s="35"/>
      <c r="AD7517" s="35"/>
      <c r="AE7517" s="35"/>
      <c r="AF7517" s="35"/>
      <c r="AG7517" s="35"/>
      <c r="AH7517" s="35"/>
      <c r="AI7517" s="35"/>
      <c r="AJ7517" s="35"/>
      <c r="AK7517" s="35"/>
      <c r="AL7517" s="35"/>
    </row>
    <row r="7518">
      <c r="A7518" s="18"/>
      <c r="B7518" s="157" t="s">
        <v>6113</v>
      </c>
      <c r="C7518" s="158" t="s">
        <v>34743</v>
      </c>
      <c r="D7518" s="159"/>
      <c r="E7518" s="23" t="s">
        <v>29044</v>
      </c>
      <c r="F7518" s="23" t="s">
        <v>41</v>
      </c>
      <c r="G7518" s="23">
        <v>2020.0</v>
      </c>
      <c r="H7518" s="22" t="s">
        <v>2015</v>
      </c>
      <c r="I7518" s="243" t="s">
        <v>34792</v>
      </c>
      <c r="J7518" s="23" t="s">
        <v>55</v>
      </c>
      <c r="K7518" s="23"/>
      <c r="L7518" s="94">
        <v>660.0</v>
      </c>
      <c r="M7518" s="94">
        <v>40.0</v>
      </c>
      <c r="N7518" s="94"/>
      <c r="O7518" s="94" t="s">
        <v>34793</v>
      </c>
      <c r="P7518" s="94">
        <v>70.0</v>
      </c>
      <c r="Q7518" s="172" t="s">
        <v>280</v>
      </c>
      <c r="R7518" s="94"/>
      <c r="S7518" s="94">
        <v>10.0</v>
      </c>
      <c r="T7518" s="54" t="s">
        <v>34794</v>
      </c>
      <c r="U7518" s="135" t="str">
        <f>HYPERLINK("https://www.ncbi.nlm.nih.gov/pubmed/32096323","PubMed")</f>
        <v>PubMed</v>
      </c>
      <c r="V7518" s="30"/>
      <c r="W7518" s="49"/>
      <c r="X7518" s="49"/>
      <c r="Y7518" s="35"/>
      <c r="Z7518" s="35"/>
      <c r="AA7518" s="35"/>
      <c r="AB7518" s="35"/>
      <c r="AC7518" s="35"/>
      <c r="AD7518" s="35"/>
      <c r="AE7518" s="35"/>
      <c r="AF7518" s="35"/>
      <c r="AG7518" s="35"/>
      <c r="AH7518" s="35"/>
      <c r="AI7518" s="35"/>
      <c r="AJ7518" s="35"/>
      <c r="AK7518" s="35"/>
      <c r="AL7518" s="35"/>
    </row>
    <row r="7519">
      <c r="A7519" s="18"/>
      <c r="B7519" s="157" t="s">
        <v>6113</v>
      </c>
      <c r="C7519" s="158" t="s">
        <v>34743</v>
      </c>
      <c r="D7519" s="159"/>
      <c r="E7519" s="23" t="s">
        <v>34795</v>
      </c>
      <c r="F7519" s="23" t="s">
        <v>41</v>
      </c>
      <c r="G7519" s="23">
        <v>2019.0</v>
      </c>
      <c r="H7519" s="22" t="s">
        <v>91</v>
      </c>
      <c r="I7519" s="243" t="s">
        <v>34796</v>
      </c>
      <c r="J7519" s="23" t="s">
        <v>3892</v>
      </c>
      <c r="K7519" s="23"/>
      <c r="L7519" s="43" t="s">
        <v>34797</v>
      </c>
      <c r="M7519" s="44"/>
      <c r="N7519" s="44"/>
      <c r="O7519" s="44"/>
      <c r="P7519" s="44"/>
      <c r="Q7519" s="44"/>
      <c r="R7519" s="44"/>
      <c r="S7519" s="44"/>
      <c r="T7519" s="45"/>
      <c r="U7519" s="135" t="str">
        <f>HYPERLINK("https://www.ncbi.nlm.nih.gov/pubmed/30229346","PubMed")</f>
        <v>PubMed</v>
      </c>
      <c r="V7519" s="30"/>
      <c r="W7519" s="49"/>
      <c r="X7519" s="49"/>
      <c r="Y7519" s="35"/>
      <c r="Z7519" s="35"/>
      <c r="AA7519" s="35"/>
      <c r="AB7519" s="35"/>
      <c r="AC7519" s="35"/>
      <c r="AD7519" s="35"/>
      <c r="AE7519" s="35"/>
      <c r="AF7519" s="35"/>
      <c r="AG7519" s="35"/>
      <c r="AH7519" s="35"/>
      <c r="AI7519" s="35"/>
      <c r="AJ7519" s="35"/>
      <c r="AK7519" s="35"/>
      <c r="AL7519" s="35"/>
    </row>
    <row r="7520">
      <c r="A7520" s="456"/>
      <c r="B7520" s="75" t="s">
        <v>6113</v>
      </c>
      <c r="C7520" s="158" t="s">
        <v>34743</v>
      </c>
      <c r="D7520" s="159"/>
      <c r="E7520" s="23" t="s">
        <v>34798</v>
      </c>
      <c r="F7520" s="23" t="s">
        <v>22786</v>
      </c>
      <c r="G7520" s="23">
        <v>2019.0</v>
      </c>
      <c r="H7520" s="23" t="s">
        <v>207</v>
      </c>
      <c r="I7520" s="243" t="s">
        <v>34799</v>
      </c>
      <c r="J7520" s="23" t="s">
        <v>55</v>
      </c>
      <c r="K7520" s="23"/>
      <c r="L7520" s="94">
        <v>660.0</v>
      </c>
      <c r="M7520" s="94" t="s">
        <v>19205</v>
      </c>
      <c r="N7520" s="94" t="s">
        <v>34800</v>
      </c>
      <c r="O7520" s="94" t="s">
        <v>1208</v>
      </c>
      <c r="P7520" s="94"/>
      <c r="Q7520" s="94" t="s">
        <v>280</v>
      </c>
      <c r="R7520" s="94"/>
      <c r="S7520" s="94"/>
      <c r="T7520" s="102" t="s">
        <v>34801</v>
      </c>
      <c r="U7520" s="135" t="str">
        <f>HYPERLINK("https://www.ncbi.nlm.nih.gov/pubmed/30999165","PubMed")</f>
        <v>PubMed</v>
      </c>
      <c r="V7520" s="30"/>
      <c r="W7520" s="49"/>
      <c r="X7520" s="49"/>
      <c r="Y7520" s="35"/>
      <c r="Z7520" s="35"/>
      <c r="AA7520" s="35"/>
      <c r="AB7520" s="35"/>
      <c r="AC7520" s="35"/>
      <c r="AD7520" s="35"/>
      <c r="AE7520" s="35"/>
      <c r="AF7520" s="35"/>
      <c r="AG7520" s="35"/>
      <c r="AH7520" s="35"/>
      <c r="AI7520" s="35"/>
      <c r="AJ7520" s="35"/>
      <c r="AK7520" s="35"/>
      <c r="AL7520" s="35"/>
    </row>
    <row r="7521">
      <c r="A7521" s="18"/>
      <c r="B7521" s="157" t="s">
        <v>6113</v>
      </c>
      <c r="C7521" s="158" t="s">
        <v>34743</v>
      </c>
      <c r="D7521" s="159"/>
      <c r="E7521" s="23" t="s">
        <v>20942</v>
      </c>
      <c r="F7521" s="23" t="s">
        <v>21942</v>
      </c>
      <c r="G7521" s="23">
        <v>2019.0</v>
      </c>
      <c r="H7521" s="22" t="s">
        <v>91</v>
      </c>
      <c r="I7521" s="243" t="s">
        <v>34802</v>
      </c>
      <c r="J7521" s="23" t="s">
        <v>55</v>
      </c>
      <c r="K7521" s="23" t="s">
        <v>34803</v>
      </c>
      <c r="L7521" s="94" t="s">
        <v>34804</v>
      </c>
      <c r="M7521" s="94"/>
      <c r="N7521" s="94"/>
      <c r="O7521" s="94"/>
      <c r="P7521" s="94"/>
      <c r="Q7521" s="172"/>
      <c r="R7521" s="94"/>
      <c r="S7521" s="94"/>
      <c r="T7521" s="54" t="s">
        <v>34805</v>
      </c>
      <c r="U7521" s="135" t="str">
        <f>HYPERLINK("https://www.ncbi.nlm.nih.gov/pubmed/30919284","PubMed")</f>
        <v>PubMed</v>
      </c>
      <c r="V7521" s="30"/>
      <c r="W7521" s="49"/>
      <c r="X7521" s="49"/>
      <c r="Y7521" s="35"/>
      <c r="Z7521" s="35"/>
      <c r="AA7521" s="35"/>
      <c r="AB7521" s="35"/>
      <c r="AC7521" s="35"/>
      <c r="AD7521" s="35"/>
      <c r="AE7521" s="35"/>
      <c r="AF7521" s="35"/>
      <c r="AG7521" s="35"/>
      <c r="AH7521" s="35"/>
      <c r="AI7521" s="35"/>
      <c r="AJ7521" s="35"/>
      <c r="AK7521" s="35"/>
      <c r="AL7521" s="35"/>
    </row>
    <row r="7522">
      <c r="A7522" s="18"/>
      <c r="B7522" s="157" t="s">
        <v>6113</v>
      </c>
      <c r="C7522" s="158" t="s">
        <v>34743</v>
      </c>
      <c r="D7522" s="159"/>
      <c r="E7522" s="23" t="s">
        <v>664</v>
      </c>
      <c r="F7522" s="23" t="s">
        <v>274</v>
      </c>
      <c r="G7522" s="23">
        <v>2018.0</v>
      </c>
      <c r="H7522" s="22" t="s">
        <v>34806</v>
      </c>
      <c r="I7522" s="243" t="s">
        <v>34807</v>
      </c>
      <c r="J7522" s="23" t="s">
        <v>55</v>
      </c>
      <c r="K7522" s="23"/>
      <c r="L7522" s="94">
        <v>660.0</v>
      </c>
      <c r="M7522" s="94">
        <v>100.0</v>
      </c>
      <c r="N7522" s="94"/>
      <c r="O7522" s="94" t="s">
        <v>34808</v>
      </c>
      <c r="P7522" s="94">
        <v>25.0</v>
      </c>
      <c r="Q7522" s="172"/>
      <c r="R7522" s="94"/>
      <c r="S7522" s="94"/>
      <c r="T7522" s="102" t="s">
        <v>34809</v>
      </c>
      <c r="U7522" s="135" t="str">
        <f>HYPERLINK("https://www.ncbi.nlm.nih.gov/pubmed/30318397","PubMed")</f>
        <v>PubMed</v>
      </c>
      <c r="V7522" s="30"/>
      <c r="W7522" s="49"/>
      <c r="X7522" s="49"/>
      <c r="Y7522" s="35"/>
      <c r="Z7522" s="35"/>
      <c r="AA7522" s="35"/>
      <c r="AB7522" s="35"/>
      <c r="AC7522" s="35"/>
      <c r="AD7522" s="35"/>
      <c r="AE7522" s="35"/>
      <c r="AF7522" s="35"/>
      <c r="AG7522" s="35"/>
      <c r="AH7522" s="35"/>
      <c r="AI7522" s="35"/>
      <c r="AJ7522" s="35"/>
      <c r="AK7522" s="35"/>
      <c r="AL7522" s="35"/>
    </row>
    <row r="7523">
      <c r="A7523" s="18"/>
      <c r="B7523" s="157" t="s">
        <v>6113</v>
      </c>
      <c r="C7523" s="158" t="s">
        <v>34743</v>
      </c>
      <c r="D7523" s="159"/>
      <c r="E7523" s="23" t="s">
        <v>34810</v>
      </c>
      <c r="F7523" s="23" t="s">
        <v>183</v>
      </c>
      <c r="G7523" s="23">
        <v>2018.0</v>
      </c>
      <c r="H7523" s="22" t="s">
        <v>207</v>
      </c>
      <c r="I7523" s="243" t="s">
        <v>34811</v>
      </c>
      <c r="J7523" s="23" t="s">
        <v>55</v>
      </c>
      <c r="K7523" s="23"/>
      <c r="L7523" s="94">
        <v>660.0</v>
      </c>
      <c r="M7523" s="94">
        <v>40.0</v>
      </c>
      <c r="N7523" s="94" t="s">
        <v>1975</v>
      </c>
      <c r="O7523" s="94"/>
      <c r="P7523" s="94">
        <v>5.0</v>
      </c>
      <c r="Q7523" s="94" t="s">
        <v>34812</v>
      </c>
      <c r="R7523" s="94">
        <v>125.0</v>
      </c>
      <c r="S7523" s="94"/>
      <c r="T7523" s="103" t="s">
        <v>34813</v>
      </c>
      <c r="U7523" s="138" t="s">
        <v>61</v>
      </c>
      <c r="V7523" s="30"/>
      <c r="W7523" s="49"/>
      <c r="X7523" s="49"/>
      <c r="Y7523" s="35"/>
      <c r="Z7523" s="35"/>
      <c r="AA7523" s="35"/>
      <c r="AB7523" s="35"/>
      <c r="AC7523" s="35"/>
      <c r="AD7523" s="35"/>
      <c r="AE7523" s="35"/>
      <c r="AF7523" s="35"/>
      <c r="AG7523" s="35"/>
      <c r="AH7523" s="35"/>
      <c r="AI7523" s="35"/>
      <c r="AJ7523" s="35"/>
      <c r="AK7523" s="35"/>
      <c r="AL7523" s="35"/>
    </row>
    <row r="7524">
      <c r="A7524" s="18"/>
      <c r="B7524" s="157" t="s">
        <v>6113</v>
      </c>
      <c r="C7524" s="158" t="s">
        <v>34743</v>
      </c>
      <c r="D7524" s="159"/>
      <c r="E7524" s="23" t="s">
        <v>34814</v>
      </c>
      <c r="F7524" s="23" t="s">
        <v>21942</v>
      </c>
      <c r="G7524" s="23">
        <v>2018.0</v>
      </c>
      <c r="H7524" s="22" t="s">
        <v>91</v>
      </c>
      <c r="I7524" s="243" t="s">
        <v>34815</v>
      </c>
      <c r="J7524" s="23" t="s">
        <v>55</v>
      </c>
      <c r="K7524" s="23" t="s">
        <v>2803</v>
      </c>
      <c r="L7524" s="94">
        <v>470.0</v>
      </c>
      <c r="M7524" s="94">
        <v>1000.0</v>
      </c>
      <c r="N7524" s="94"/>
      <c r="O7524" s="94"/>
      <c r="P7524" s="93">
        <v>43232.0</v>
      </c>
      <c r="Q7524" s="172"/>
      <c r="R7524" s="94">
        <v>28.0</v>
      </c>
      <c r="S7524" s="94"/>
      <c r="T7524" s="102" t="s">
        <v>34816</v>
      </c>
      <c r="U7524" s="135" t="str">
        <f>HYPERLINK("https://www.ncbi.nlm.nih.gov/pubmed/30276489","PubMed")</f>
        <v>PubMed</v>
      </c>
      <c r="V7524" s="30"/>
      <c r="W7524" s="49"/>
      <c r="X7524" s="49"/>
      <c r="Y7524" s="35"/>
      <c r="Z7524" s="35"/>
      <c r="AA7524" s="35"/>
      <c r="AB7524" s="35"/>
      <c r="AC7524" s="35"/>
      <c r="AD7524" s="35"/>
      <c r="AE7524" s="35"/>
      <c r="AF7524" s="35"/>
      <c r="AG7524" s="35"/>
      <c r="AH7524" s="35"/>
      <c r="AI7524" s="35"/>
      <c r="AJ7524" s="35"/>
      <c r="AK7524" s="35"/>
      <c r="AL7524" s="35"/>
    </row>
    <row r="7525">
      <c r="A7525" s="18"/>
      <c r="B7525" s="157" t="s">
        <v>6113</v>
      </c>
      <c r="C7525" s="158" t="s">
        <v>34743</v>
      </c>
      <c r="D7525" s="159"/>
      <c r="E7525" s="23" t="s">
        <v>8001</v>
      </c>
      <c r="F7525" s="23" t="s">
        <v>2196</v>
      </c>
      <c r="G7525" s="23">
        <v>2018.0</v>
      </c>
      <c r="H7525" s="22" t="s">
        <v>5130</v>
      </c>
      <c r="I7525" s="243" t="s">
        <v>34817</v>
      </c>
      <c r="J7525" s="23" t="s">
        <v>55</v>
      </c>
      <c r="K7525" s="23"/>
      <c r="L7525" s="94"/>
      <c r="M7525" s="94"/>
      <c r="N7525" s="94"/>
      <c r="O7525" s="94"/>
      <c r="P7525" s="94"/>
      <c r="Q7525" s="172"/>
      <c r="R7525" s="94"/>
      <c r="S7525" s="94"/>
      <c r="T7525" s="54" t="s">
        <v>34818</v>
      </c>
      <c r="U7525" s="135" t="str">
        <f>HYPERLINK("https://www.ncbi.nlm.nih.gov/pubmed/30118166","PubMed")</f>
        <v>PubMed</v>
      </c>
      <c r="V7525" s="30"/>
      <c r="W7525" s="49"/>
      <c r="X7525" s="49"/>
      <c r="Y7525" s="35"/>
      <c r="Z7525" s="35"/>
      <c r="AA7525" s="35"/>
      <c r="AB7525" s="35"/>
      <c r="AC7525" s="35"/>
      <c r="AD7525" s="35"/>
      <c r="AE7525" s="35"/>
      <c r="AF7525" s="35"/>
      <c r="AG7525" s="35"/>
      <c r="AH7525" s="35"/>
      <c r="AI7525" s="35"/>
      <c r="AJ7525" s="35"/>
      <c r="AK7525" s="35"/>
      <c r="AL7525" s="35"/>
    </row>
    <row r="7526">
      <c r="A7526" s="18"/>
      <c r="B7526" s="157" t="s">
        <v>6113</v>
      </c>
      <c r="C7526" s="158" t="s">
        <v>34743</v>
      </c>
      <c r="D7526" s="159"/>
      <c r="E7526" s="23" t="s">
        <v>34772</v>
      </c>
      <c r="F7526" s="23" t="s">
        <v>34756</v>
      </c>
      <c r="G7526" s="23">
        <v>2018.0</v>
      </c>
      <c r="H7526" s="22" t="s">
        <v>207</v>
      </c>
      <c r="I7526" s="243" t="s">
        <v>34819</v>
      </c>
      <c r="J7526" s="23" t="s">
        <v>55</v>
      </c>
      <c r="K7526" s="23" t="s">
        <v>34820</v>
      </c>
      <c r="L7526" s="94">
        <v>904.0</v>
      </c>
      <c r="M7526" s="94"/>
      <c r="N7526" s="94"/>
      <c r="O7526" s="94"/>
      <c r="P7526" s="94"/>
      <c r="Q7526" s="172"/>
      <c r="R7526" s="94"/>
      <c r="S7526" s="94"/>
      <c r="T7526" s="54" t="s">
        <v>34821</v>
      </c>
      <c r="U7526" s="135" t="str">
        <f>HYPERLINK("https://www.ncbi.nlm.nih.gov/pubmed/30048845","PubMed")</f>
        <v>PubMed</v>
      </c>
      <c r="V7526" s="30"/>
      <c r="W7526" s="49"/>
      <c r="X7526" s="49"/>
      <c r="Y7526" s="35"/>
      <c r="Z7526" s="35"/>
      <c r="AA7526" s="35"/>
      <c r="AB7526" s="35"/>
      <c r="AC7526" s="35"/>
      <c r="AD7526" s="35"/>
      <c r="AE7526" s="35"/>
      <c r="AF7526" s="35"/>
      <c r="AG7526" s="35"/>
      <c r="AH7526" s="35"/>
      <c r="AI7526" s="35"/>
      <c r="AJ7526" s="35"/>
      <c r="AK7526" s="35"/>
      <c r="AL7526" s="35"/>
    </row>
    <row r="7527">
      <c r="A7527" s="18"/>
      <c r="B7527" s="157" t="s">
        <v>6113</v>
      </c>
      <c r="C7527" s="158" t="s">
        <v>34743</v>
      </c>
      <c r="D7527" s="159"/>
      <c r="E7527" s="23" t="s">
        <v>664</v>
      </c>
      <c r="F7527" s="23" t="s">
        <v>41</v>
      </c>
      <c r="G7527" s="23">
        <v>2018.0</v>
      </c>
      <c r="H7527" s="22" t="s">
        <v>91</v>
      </c>
      <c r="I7527" s="243" t="s">
        <v>34822</v>
      </c>
      <c r="J7527" s="23" t="s">
        <v>3892</v>
      </c>
      <c r="K7527" s="23"/>
      <c r="L7527" s="43" t="s">
        <v>34823</v>
      </c>
      <c r="M7527" s="44"/>
      <c r="N7527" s="44"/>
      <c r="O7527" s="44"/>
      <c r="P7527" s="44"/>
      <c r="Q7527" s="44"/>
      <c r="R7527" s="44"/>
      <c r="S7527" s="44"/>
      <c r="T7527" s="45"/>
      <c r="U7527" s="135" t="str">
        <f>HYPERLINK("https://www.ncbi.nlm.nih.gov/pubmed/29730821","PubMed")</f>
        <v>PubMed</v>
      </c>
      <c r="V7527" s="30"/>
      <c r="W7527" s="49"/>
      <c r="X7527" s="49"/>
      <c r="Y7527" s="35"/>
      <c r="Z7527" s="35"/>
      <c r="AA7527" s="35"/>
      <c r="AB7527" s="35"/>
      <c r="AC7527" s="35"/>
      <c r="AD7527" s="35"/>
      <c r="AE7527" s="35"/>
      <c r="AF7527" s="35"/>
      <c r="AG7527" s="35"/>
      <c r="AH7527" s="35"/>
      <c r="AI7527" s="35"/>
      <c r="AJ7527" s="35"/>
      <c r="AK7527" s="35"/>
      <c r="AL7527" s="35"/>
    </row>
    <row r="7528">
      <c r="A7528" s="18"/>
      <c r="B7528" s="157" t="s">
        <v>6113</v>
      </c>
      <c r="C7528" s="158" t="s">
        <v>34743</v>
      </c>
      <c r="D7528" s="159"/>
      <c r="E7528" s="23" t="s">
        <v>34824</v>
      </c>
      <c r="F7528" s="23" t="s">
        <v>510</v>
      </c>
      <c r="G7528" s="23">
        <v>2018.0</v>
      </c>
      <c r="H7528" s="22" t="s">
        <v>91</v>
      </c>
      <c r="I7528" s="243" t="s">
        <v>34825</v>
      </c>
      <c r="J7528" s="23" t="s">
        <v>55</v>
      </c>
      <c r="K7528" s="23"/>
      <c r="L7528" s="94">
        <v>685.0</v>
      </c>
      <c r="M7528" s="94">
        <v>220.0</v>
      </c>
      <c r="N7528" s="94"/>
      <c r="O7528" s="94"/>
      <c r="P7528" s="93">
        <v>43224.0</v>
      </c>
      <c r="Q7528" s="172"/>
      <c r="R7528" s="94"/>
      <c r="S7528" s="94"/>
      <c r="T7528" s="54" t="s">
        <v>34826</v>
      </c>
      <c r="U7528" s="135" t="str">
        <f>HYPERLINK("https://www.ncbi.nlm.nih.gov/pubmed/29704068","PubMed")</f>
        <v>PubMed</v>
      </c>
      <c r="V7528" s="30"/>
      <c r="W7528" s="49"/>
      <c r="X7528" s="49"/>
      <c r="Y7528" s="35"/>
      <c r="Z7528" s="35"/>
      <c r="AA7528" s="35"/>
      <c r="AB7528" s="35"/>
      <c r="AC7528" s="35"/>
      <c r="AD7528" s="35"/>
      <c r="AE7528" s="35"/>
      <c r="AF7528" s="35"/>
      <c r="AG7528" s="35"/>
      <c r="AH7528" s="35"/>
      <c r="AI7528" s="35"/>
      <c r="AJ7528" s="35"/>
      <c r="AK7528" s="35"/>
      <c r="AL7528" s="35"/>
    </row>
    <row r="7529">
      <c r="A7529" s="18"/>
      <c r="B7529" s="157" t="s">
        <v>6113</v>
      </c>
      <c r="C7529" s="158" t="s">
        <v>34743</v>
      </c>
      <c r="D7529" s="159"/>
      <c r="E7529" s="23" t="s">
        <v>412</v>
      </c>
      <c r="F7529" s="23" t="s">
        <v>323</v>
      </c>
      <c r="G7529" s="23">
        <v>2018.0</v>
      </c>
      <c r="H7529" s="22" t="s">
        <v>169</v>
      </c>
      <c r="I7529" s="243" t="s">
        <v>34827</v>
      </c>
      <c r="J7529" s="23" t="s">
        <v>55</v>
      </c>
      <c r="K7529" s="23" t="s">
        <v>6698</v>
      </c>
      <c r="L7529" s="94" t="s">
        <v>34828</v>
      </c>
      <c r="M7529" s="94"/>
      <c r="N7529" s="94" t="s">
        <v>1175</v>
      </c>
      <c r="O7529" s="94"/>
      <c r="P7529" s="93">
        <v>45047.0</v>
      </c>
      <c r="Q7529" s="172"/>
      <c r="R7529" s="94"/>
      <c r="S7529" s="94"/>
      <c r="T7529" s="102" t="s">
        <v>34829</v>
      </c>
      <c r="U7529" s="135" t="s">
        <v>61</v>
      </c>
      <c r="V7529" s="30"/>
      <c r="W7529" s="49"/>
      <c r="X7529" s="49"/>
      <c r="Y7529" s="35"/>
      <c r="Z7529" s="35"/>
      <c r="AA7529" s="35"/>
      <c r="AB7529" s="35"/>
      <c r="AC7529" s="35"/>
      <c r="AD7529" s="35"/>
      <c r="AE7529" s="35"/>
      <c r="AF7529" s="35"/>
      <c r="AG7529" s="35"/>
      <c r="AH7529" s="35"/>
      <c r="AI7529" s="35"/>
      <c r="AJ7529" s="35"/>
      <c r="AK7529" s="35"/>
      <c r="AL7529" s="35"/>
    </row>
    <row r="7530">
      <c r="A7530" s="18"/>
      <c r="B7530" s="157" t="s">
        <v>6113</v>
      </c>
      <c r="C7530" s="158" t="s">
        <v>34743</v>
      </c>
      <c r="D7530" s="159"/>
      <c r="E7530" s="23" t="s">
        <v>34830</v>
      </c>
      <c r="F7530" s="23" t="s">
        <v>966</v>
      </c>
      <c r="G7530" s="23">
        <v>2017.0</v>
      </c>
      <c r="H7530" s="22" t="s">
        <v>8523</v>
      </c>
      <c r="I7530" s="243" t="s">
        <v>34831</v>
      </c>
      <c r="J7530" s="23" t="s">
        <v>55</v>
      </c>
      <c r="K7530" s="23" t="s">
        <v>1112</v>
      </c>
      <c r="L7530" s="94">
        <v>670.0</v>
      </c>
      <c r="M7530" s="94">
        <v>30.0</v>
      </c>
      <c r="N7530" s="94"/>
      <c r="O7530" s="94" t="s">
        <v>34832</v>
      </c>
      <c r="P7530" s="94" t="s">
        <v>34833</v>
      </c>
      <c r="Q7530" s="172" t="s">
        <v>34834</v>
      </c>
      <c r="R7530" s="94" t="s">
        <v>34835</v>
      </c>
      <c r="S7530" s="94" t="s">
        <v>34836</v>
      </c>
      <c r="T7530" s="54" t="s">
        <v>34837</v>
      </c>
      <c r="U7530" s="135" t="str">
        <f>HYPERLINK("https://www.ncbi.nlm.nih.gov/pubmed/28778761","PubMed")</f>
        <v>PubMed</v>
      </c>
      <c r="V7530" s="30"/>
      <c r="W7530" s="49"/>
      <c r="X7530" s="49"/>
      <c r="Y7530" s="35"/>
      <c r="Z7530" s="35"/>
      <c r="AA7530" s="35"/>
      <c r="AB7530" s="35"/>
      <c r="AC7530" s="35"/>
      <c r="AD7530" s="35"/>
      <c r="AE7530" s="35"/>
      <c r="AF7530" s="35"/>
      <c r="AG7530" s="35"/>
      <c r="AH7530" s="35"/>
      <c r="AI7530" s="35"/>
      <c r="AJ7530" s="35"/>
      <c r="AK7530" s="35"/>
      <c r="AL7530" s="35"/>
    </row>
    <row r="7531">
      <c r="A7531" s="18" t="s">
        <v>38</v>
      </c>
      <c r="B7531" s="157" t="s">
        <v>6113</v>
      </c>
      <c r="C7531" s="158" t="s">
        <v>34743</v>
      </c>
      <c r="D7531" s="159"/>
      <c r="E7531" s="23" t="s">
        <v>16618</v>
      </c>
      <c r="F7531" s="23" t="s">
        <v>41</v>
      </c>
      <c r="G7531" s="23">
        <v>2017.0</v>
      </c>
      <c r="H7531" s="22" t="s">
        <v>13152</v>
      </c>
      <c r="I7531" s="243" t="s">
        <v>34838</v>
      </c>
      <c r="J7531" s="23" t="s">
        <v>55</v>
      </c>
      <c r="K7531" s="23"/>
      <c r="L7531" s="94">
        <v>660.0</v>
      </c>
      <c r="M7531" s="94">
        <v>5.0</v>
      </c>
      <c r="N7531" s="94" t="s">
        <v>34839</v>
      </c>
      <c r="O7531" s="94"/>
      <c r="P7531" s="94">
        <v>1.0</v>
      </c>
      <c r="Q7531" s="172" t="s">
        <v>729</v>
      </c>
      <c r="R7531" s="94">
        <v>160.0</v>
      </c>
      <c r="S7531" s="94">
        <v>3.0</v>
      </c>
      <c r="T7531" s="54" t="s">
        <v>34840</v>
      </c>
      <c r="U7531" s="135" t="str">
        <f>HYPERLINK("https://www.ncbi.nlm.nih.gov/pubmed/28225874","PubMed")</f>
        <v>PubMed</v>
      </c>
      <c r="V7531" s="30"/>
      <c r="W7531" s="49"/>
      <c r="X7531" s="49"/>
      <c r="Y7531" s="35"/>
      <c r="Z7531" s="35"/>
      <c r="AA7531" s="35"/>
      <c r="AB7531" s="35"/>
      <c r="AC7531" s="35"/>
      <c r="AD7531" s="35"/>
      <c r="AE7531" s="35"/>
      <c r="AF7531" s="35"/>
      <c r="AG7531" s="35"/>
      <c r="AH7531" s="35"/>
      <c r="AI7531" s="35"/>
      <c r="AJ7531" s="35"/>
      <c r="AK7531" s="35"/>
      <c r="AL7531" s="35"/>
    </row>
    <row r="7532">
      <c r="A7532" s="1" t="s">
        <v>2</v>
      </c>
      <c r="B7532" s="157" t="s">
        <v>6113</v>
      </c>
      <c r="C7532" s="158" t="s">
        <v>34743</v>
      </c>
      <c r="D7532" s="159"/>
      <c r="E7532" s="23" t="s">
        <v>34772</v>
      </c>
      <c r="F7532" s="23" t="s">
        <v>34756</v>
      </c>
      <c r="G7532" s="23">
        <v>2016.0</v>
      </c>
      <c r="H7532" s="22" t="s">
        <v>207</v>
      </c>
      <c r="I7532" s="243" t="s">
        <v>34841</v>
      </c>
      <c r="J7532" s="23" t="s">
        <v>55</v>
      </c>
      <c r="K7532" s="23"/>
      <c r="L7532" s="94">
        <v>904.0</v>
      </c>
      <c r="M7532" s="94" t="s">
        <v>828</v>
      </c>
      <c r="N7532" s="94" t="s">
        <v>29557</v>
      </c>
      <c r="O7532" s="94" t="s">
        <v>431</v>
      </c>
      <c r="P7532" s="94" t="s">
        <v>33213</v>
      </c>
      <c r="Q7532" s="172" t="s">
        <v>16564</v>
      </c>
      <c r="R7532" s="94">
        <v>600.0</v>
      </c>
      <c r="S7532" s="94">
        <v>7.0</v>
      </c>
      <c r="T7532" s="54" t="s">
        <v>34842</v>
      </c>
      <c r="U7532" s="135" t="str">
        <f>HYPERLINK("https://www.ncbi.nlm.nih.gov/pubmed/27344636","PubMed")</f>
        <v>PubMed</v>
      </c>
      <c r="V7532" s="30"/>
      <c r="W7532" s="49"/>
      <c r="X7532" s="49"/>
      <c r="Y7532" s="35"/>
      <c r="Z7532" s="35"/>
      <c r="AA7532" s="35"/>
      <c r="AB7532" s="35"/>
      <c r="AC7532" s="35"/>
      <c r="AD7532" s="35"/>
      <c r="AE7532" s="35"/>
      <c r="AF7532" s="35"/>
      <c r="AG7532" s="35"/>
      <c r="AH7532" s="35"/>
      <c r="AI7532" s="35"/>
      <c r="AJ7532" s="35"/>
      <c r="AK7532" s="35"/>
      <c r="AL7532" s="35"/>
    </row>
    <row r="7533">
      <c r="A7533" s="18"/>
      <c r="B7533" s="157" t="s">
        <v>6113</v>
      </c>
      <c r="C7533" s="158" t="s">
        <v>34743</v>
      </c>
      <c r="D7533" s="159"/>
      <c r="E7533" s="23" t="s">
        <v>5058</v>
      </c>
      <c r="F7533" s="23" t="s">
        <v>5059</v>
      </c>
      <c r="G7533" s="23">
        <v>2016.0</v>
      </c>
      <c r="H7533" s="22" t="s">
        <v>39</v>
      </c>
      <c r="I7533" s="243" t="s">
        <v>34843</v>
      </c>
      <c r="J7533" s="23" t="s">
        <v>55</v>
      </c>
      <c r="K7533" s="23" t="s">
        <v>34844</v>
      </c>
      <c r="L7533" s="94" t="s">
        <v>34845</v>
      </c>
      <c r="M7533" s="94"/>
      <c r="N7533" s="94"/>
      <c r="O7533" s="94"/>
      <c r="P7533" s="94"/>
      <c r="Q7533" s="172"/>
      <c r="R7533" s="94"/>
      <c r="S7533" s="94"/>
      <c r="T7533" s="54" t="s">
        <v>34846</v>
      </c>
      <c r="U7533" s="135" t="str">
        <f>HYPERLINK("https://www.ncbi.nlm.nih.gov/pubmed/27206919","PubMed")</f>
        <v>PubMed</v>
      </c>
      <c r="V7533" s="30"/>
      <c r="W7533" s="49"/>
      <c r="X7533" s="49"/>
      <c r="Y7533" s="35"/>
      <c r="Z7533" s="35"/>
      <c r="AA7533" s="35"/>
      <c r="AB7533" s="35"/>
      <c r="AC7533" s="35"/>
      <c r="AD7533" s="35"/>
      <c r="AE7533" s="35"/>
      <c r="AF7533" s="35"/>
      <c r="AG7533" s="35"/>
      <c r="AH7533" s="35"/>
      <c r="AI7533" s="35"/>
      <c r="AJ7533" s="35"/>
      <c r="AK7533" s="35"/>
      <c r="AL7533" s="35"/>
    </row>
    <row r="7534">
      <c r="A7534" s="18" t="s">
        <v>2</v>
      </c>
      <c r="B7534" s="157" t="s">
        <v>6113</v>
      </c>
      <c r="C7534" s="158" t="s">
        <v>34743</v>
      </c>
      <c r="D7534" s="159"/>
      <c r="E7534" s="23" t="s">
        <v>34847</v>
      </c>
      <c r="F7534" s="23" t="s">
        <v>3511</v>
      </c>
      <c r="G7534" s="23">
        <v>2016.0</v>
      </c>
      <c r="H7534" s="22" t="s">
        <v>91</v>
      </c>
      <c r="I7534" s="243" t="s">
        <v>34848</v>
      </c>
      <c r="J7534" s="23" t="s">
        <v>44</v>
      </c>
      <c r="K7534" s="23" t="s">
        <v>34849</v>
      </c>
      <c r="L7534" s="94" t="s">
        <v>34850</v>
      </c>
      <c r="M7534" s="94">
        <v>15.0</v>
      </c>
      <c r="N7534" s="94" t="s">
        <v>19231</v>
      </c>
      <c r="O7534" s="94"/>
      <c r="P7534" s="94" t="s">
        <v>34851</v>
      </c>
      <c r="Q7534" s="172" t="s">
        <v>23738</v>
      </c>
      <c r="R7534" s="94"/>
      <c r="S7534" s="94"/>
      <c r="T7534" s="54" t="s">
        <v>34852</v>
      </c>
      <c r="U7534" s="135" t="str">
        <f>HYPERLINK("https://www.ncbi.nlm.nih.gov/pubmed/27495130","PubMed")</f>
        <v>PubMed</v>
      </c>
      <c r="V7534" s="30"/>
      <c r="W7534" s="49"/>
      <c r="X7534" s="49"/>
      <c r="Y7534" s="35"/>
      <c r="Z7534" s="35"/>
      <c r="AA7534" s="35"/>
      <c r="AB7534" s="35"/>
      <c r="AC7534" s="35"/>
      <c r="AD7534" s="35"/>
      <c r="AE7534" s="35"/>
      <c r="AF7534" s="35"/>
      <c r="AG7534" s="35"/>
      <c r="AH7534" s="35"/>
      <c r="AI7534" s="35"/>
      <c r="AJ7534" s="35"/>
      <c r="AK7534" s="35"/>
      <c r="AL7534" s="35"/>
    </row>
    <row r="7535">
      <c r="A7535" s="18"/>
      <c r="B7535" s="157" t="s">
        <v>6113</v>
      </c>
      <c r="C7535" s="158" t="s">
        <v>34743</v>
      </c>
      <c r="D7535" s="159"/>
      <c r="E7535" s="23" t="s">
        <v>664</v>
      </c>
      <c r="F7535" s="23" t="s">
        <v>274</v>
      </c>
      <c r="G7535" s="23">
        <v>2016.0</v>
      </c>
      <c r="H7535" s="23" t="s">
        <v>34853</v>
      </c>
      <c r="I7535" s="243" t="s">
        <v>34854</v>
      </c>
      <c r="J7535" s="23" t="s">
        <v>55</v>
      </c>
      <c r="K7535" s="23" t="s">
        <v>34855</v>
      </c>
      <c r="L7535" s="94">
        <v>660.0</v>
      </c>
      <c r="M7535" s="94"/>
      <c r="N7535" s="94"/>
      <c r="O7535" s="94" t="s">
        <v>5451</v>
      </c>
      <c r="P7535" s="94" t="s">
        <v>34856</v>
      </c>
      <c r="Q7535" s="172" t="s">
        <v>34857</v>
      </c>
      <c r="R7535" s="94"/>
      <c r="S7535" s="94">
        <v>5.0</v>
      </c>
      <c r="T7535" s="104" t="s">
        <v>34858</v>
      </c>
      <c r="U7535" s="135" t="str">
        <f>HYPERLINK("https://www.ncbi.nlm.nih.gov/pubmed/26853699","PubMed")</f>
        <v>PubMed</v>
      </c>
      <c r="V7535" s="30"/>
      <c r="W7535" s="49"/>
      <c r="X7535" s="49"/>
      <c r="Y7535" s="35"/>
      <c r="Z7535" s="35"/>
      <c r="AA7535" s="35"/>
      <c r="AB7535" s="35"/>
      <c r="AC7535" s="35"/>
      <c r="AD7535" s="35"/>
      <c r="AE7535" s="35"/>
      <c r="AF7535" s="35"/>
      <c r="AG7535" s="35"/>
      <c r="AH7535" s="35"/>
      <c r="AI7535" s="35"/>
      <c r="AJ7535" s="35"/>
      <c r="AK7535" s="35"/>
      <c r="AL7535" s="35"/>
    </row>
    <row r="7536">
      <c r="A7536" s="18"/>
      <c r="B7536" s="157" t="s">
        <v>6113</v>
      </c>
      <c r="C7536" s="158" t="s">
        <v>34743</v>
      </c>
      <c r="D7536" s="159"/>
      <c r="E7536" s="23" t="s">
        <v>5294</v>
      </c>
      <c r="F7536" s="23" t="s">
        <v>993</v>
      </c>
      <c r="G7536" s="23">
        <v>2015.0</v>
      </c>
      <c r="H7536" s="22" t="s">
        <v>91</v>
      </c>
      <c r="I7536" s="243" t="s">
        <v>34859</v>
      </c>
      <c r="J7536" s="23" t="s">
        <v>55</v>
      </c>
      <c r="K7536" s="23" t="s">
        <v>34860</v>
      </c>
      <c r="L7536" s="94">
        <v>660.0</v>
      </c>
      <c r="M7536" s="94">
        <v>100.0</v>
      </c>
      <c r="N7536" s="94"/>
      <c r="O7536" s="94"/>
      <c r="P7536" s="94">
        <v>20.0</v>
      </c>
      <c r="Q7536" s="172"/>
      <c r="R7536" s="94"/>
      <c r="S7536" s="94">
        <v>5.0</v>
      </c>
      <c r="T7536" s="54" t="s">
        <v>34861</v>
      </c>
      <c r="U7536" s="135" t="str">
        <f>HYPERLINK("https://www.ncbi.nlm.nih.gov/pubmed/25749659","PubMed")</f>
        <v>PubMed</v>
      </c>
      <c r="V7536" s="30"/>
      <c r="W7536" s="49"/>
      <c r="X7536" s="49"/>
      <c r="Y7536" s="35"/>
      <c r="Z7536" s="35"/>
      <c r="AA7536" s="35"/>
      <c r="AB7536" s="35"/>
      <c r="AC7536" s="35"/>
      <c r="AD7536" s="35"/>
      <c r="AE7536" s="35"/>
      <c r="AF7536" s="35"/>
      <c r="AG7536" s="35"/>
      <c r="AH7536" s="35"/>
      <c r="AI7536" s="35"/>
      <c r="AJ7536" s="35"/>
      <c r="AK7536" s="35"/>
      <c r="AL7536" s="35"/>
    </row>
    <row r="7537">
      <c r="A7537" s="18"/>
      <c r="B7537" s="157" t="s">
        <v>6113</v>
      </c>
      <c r="C7537" s="158" t="s">
        <v>34743</v>
      </c>
      <c r="D7537" s="159"/>
      <c r="E7537" s="23" t="s">
        <v>34862</v>
      </c>
      <c r="F7537" s="23" t="s">
        <v>21942</v>
      </c>
      <c r="G7537" s="23">
        <v>2015.0</v>
      </c>
      <c r="H7537" s="22" t="s">
        <v>91</v>
      </c>
      <c r="I7537" s="243" t="s">
        <v>34863</v>
      </c>
      <c r="J7537" s="23" t="s">
        <v>55</v>
      </c>
      <c r="K7537" s="23" t="s">
        <v>34864</v>
      </c>
      <c r="L7537" s="94" t="s">
        <v>1750</v>
      </c>
      <c r="M7537" s="94" t="s">
        <v>20867</v>
      </c>
      <c r="N7537" s="94"/>
      <c r="O7537" s="94"/>
      <c r="P7537" s="94" t="s">
        <v>1208</v>
      </c>
      <c r="Q7537" s="172"/>
      <c r="R7537" s="94" t="s">
        <v>1208</v>
      </c>
      <c r="S7537" s="94"/>
      <c r="T7537" s="54" t="s">
        <v>34865</v>
      </c>
      <c r="U7537" s="135" t="str">
        <f>HYPERLINK("https://www.ncbi.nlm.nih.gov/pubmed/25391372","PubMed")</f>
        <v>PubMed</v>
      </c>
      <c r="V7537" s="30"/>
      <c r="W7537" s="49"/>
      <c r="X7537" s="49"/>
      <c r="Y7537" s="35"/>
      <c r="Z7537" s="35"/>
      <c r="AA7537" s="35"/>
      <c r="AB7537" s="35"/>
      <c r="AC7537" s="35"/>
      <c r="AD7537" s="35"/>
      <c r="AE7537" s="35"/>
      <c r="AF7537" s="35"/>
      <c r="AG7537" s="35"/>
      <c r="AH7537" s="35"/>
      <c r="AI7537" s="35"/>
      <c r="AJ7537" s="35"/>
      <c r="AK7537" s="35"/>
      <c r="AL7537" s="35"/>
    </row>
    <row r="7538">
      <c r="A7538" s="18" t="s">
        <v>2</v>
      </c>
      <c r="B7538" s="157" t="s">
        <v>6113</v>
      </c>
      <c r="C7538" s="158" t="s">
        <v>34743</v>
      </c>
      <c r="D7538" s="159"/>
      <c r="E7538" s="23" t="s">
        <v>7486</v>
      </c>
      <c r="F7538" s="23" t="s">
        <v>34756</v>
      </c>
      <c r="G7538" s="23">
        <v>2015.0</v>
      </c>
      <c r="H7538" s="23" t="s">
        <v>42</v>
      </c>
      <c r="I7538" s="243" t="s">
        <v>34866</v>
      </c>
      <c r="J7538" s="23" t="s">
        <v>55</v>
      </c>
      <c r="K7538" s="23"/>
      <c r="L7538" s="94">
        <v>904.0</v>
      </c>
      <c r="M7538" s="94" t="s">
        <v>828</v>
      </c>
      <c r="N7538" s="94" t="s">
        <v>29557</v>
      </c>
      <c r="O7538" s="94" t="s">
        <v>431</v>
      </c>
      <c r="P7538" s="94" t="s">
        <v>267</v>
      </c>
      <c r="Q7538" s="172" t="s">
        <v>16564</v>
      </c>
      <c r="R7538" s="94">
        <v>600.0</v>
      </c>
      <c r="S7538" s="94" t="s">
        <v>34867</v>
      </c>
      <c r="T7538" s="54" t="s">
        <v>34868</v>
      </c>
      <c r="U7538" s="135" t="str">
        <f>HYPERLINK("https://www.ncbi.nlm.nih.gov/pubmed/25207838","PubMed")</f>
        <v>PubMed</v>
      </c>
      <c r="V7538" s="30"/>
      <c r="W7538" s="49"/>
      <c r="X7538" s="49"/>
      <c r="Y7538" s="35"/>
      <c r="Z7538" s="35"/>
      <c r="AA7538" s="35"/>
      <c r="AB7538" s="35"/>
      <c r="AC7538" s="35"/>
      <c r="AD7538" s="35"/>
      <c r="AE7538" s="35"/>
      <c r="AF7538" s="35"/>
      <c r="AG7538" s="35"/>
      <c r="AH7538" s="35"/>
      <c r="AI7538" s="35"/>
      <c r="AJ7538" s="35"/>
      <c r="AK7538" s="35"/>
      <c r="AL7538" s="35"/>
    </row>
    <row r="7539">
      <c r="A7539" s="18"/>
      <c r="B7539" s="157" t="s">
        <v>6113</v>
      </c>
      <c r="C7539" s="158" t="s">
        <v>34743</v>
      </c>
      <c r="D7539" s="159"/>
      <c r="E7539" s="23" t="s">
        <v>34869</v>
      </c>
      <c r="F7539" s="23" t="s">
        <v>966</v>
      </c>
      <c r="G7539" s="23">
        <v>2015.0</v>
      </c>
      <c r="H7539" s="23" t="s">
        <v>91</v>
      </c>
      <c r="I7539" s="243" t="s">
        <v>34870</v>
      </c>
      <c r="J7539" s="23" t="s">
        <v>55</v>
      </c>
      <c r="K7539" s="23" t="s">
        <v>34785</v>
      </c>
      <c r="L7539" s="94">
        <v>670.0</v>
      </c>
      <c r="M7539" s="94"/>
      <c r="N7539" s="94" t="s">
        <v>34871</v>
      </c>
      <c r="O7539" s="94"/>
      <c r="P7539" s="94" t="s">
        <v>34787</v>
      </c>
      <c r="Q7539" s="172"/>
      <c r="R7539" s="94"/>
      <c r="S7539" s="94"/>
      <c r="T7539" s="54" t="s">
        <v>34872</v>
      </c>
      <c r="U7539" s="135" t="str">
        <f>HYPERLINK("https://www.ncbi.nlm.nih.gov/pubmed/25600614","PubMed")</f>
        <v>PubMed</v>
      </c>
      <c r="V7539" s="30"/>
      <c r="W7539" s="49"/>
      <c r="X7539" s="49"/>
      <c r="Y7539" s="35"/>
      <c r="Z7539" s="35"/>
      <c r="AA7539" s="35"/>
      <c r="AB7539" s="35"/>
      <c r="AC7539" s="35"/>
      <c r="AD7539" s="35"/>
      <c r="AE7539" s="35"/>
      <c r="AF7539" s="35"/>
      <c r="AG7539" s="35"/>
      <c r="AH7539" s="35"/>
      <c r="AI7539" s="35"/>
      <c r="AJ7539" s="35"/>
      <c r="AK7539" s="35"/>
      <c r="AL7539" s="35"/>
    </row>
    <row r="7540">
      <c r="A7540" s="18"/>
      <c r="B7540" s="157" t="s">
        <v>6113</v>
      </c>
      <c r="C7540" s="158" t="s">
        <v>34743</v>
      </c>
      <c r="D7540" s="159"/>
      <c r="E7540" s="23" t="s">
        <v>5294</v>
      </c>
      <c r="F7540" s="23" t="s">
        <v>993</v>
      </c>
      <c r="G7540" s="23">
        <v>2014.0</v>
      </c>
      <c r="H7540" s="23" t="s">
        <v>91</v>
      </c>
      <c r="I7540" s="243" t="s">
        <v>34873</v>
      </c>
      <c r="J7540" s="23" t="s">
        <v>55</v>
      </c>
      <c r="K7540" s="23"/>
      <c r="L7540" s="94">
        <v>660.0</v>
      </c>
      <c r="M7540" s="94">
        <v>100.0</v>
      </c>
      <c r="N7540" s="94"/>
      <c r="O7540" s="94"/>
      <c r="P7540" s="94">
        <v>20.0</v>
      </c>
      <c r="Q7540" s="172"/>
      <c r="R7540" s="94"/>
      <c r="S7540" s="94"/>
      <c r="T7540" s="54" t="s">
        <v>34874</v>
      </c>
      <c r="U7540" s="135" t="str">
        <f>HYPERLINK("https://www.ncbi.nlm.nih.gov/pubmed/24930134","PubMed")</f>
        <v>PubMed</v>
      </c>
      <c r="V7540" s="30"/>
      <c r="W7540" s="49"/>
      <c r="X7540" s="49"/>
      <c r="Y7540" s="35"/>
      <c r="Z7540" s="35"/>
      <c r="AA7540" s="35"/>
      <c r="AB7540" s="35"/>
      <c r="AC7540" s="35"/>
      <c r="AD7540" s="35"/>
      <c r="AE7540" s="35"/>
      <c r="AF7540" s="35"/>
      <c r="AG7540" s="35"/>
      <c r="AH7540" s="35"/>
      <c r="AI7540" s="35"/>
      <c r="AJ7540" s="35"/>
      <c r="AK7540" s="35"/>
      <c r="AL7540" s="35"/>
    </row>
    <row r="7541">
      <c r="A7541" s="18"/>
      <c r="B7541" s="157" t="s">
        <v>6113</v>
      </c>
      <c r="C7541" s="158" t="s">
        <v>34743</v>
      </c>
      <c r="D7541" s="159"/>
      <c r="E7541" s="23" t="s">
        <v>34875</v>
      </c>
      <c r="F7541" s="23" t="s">
        <v>966</v>
      </c>
      <c r="G7541" s="23">
        <v>2014.0</v>
      </c>
      <c r="H7541" s="23" t="s">
        <v>967</v>
      </c>
      <c r="I7541" s="243" t="s">
        <v>34876</v>
      </c>
      <c r="J7541" s="23" t="s">
        <v>55</v>
      </c>
      <c r="K7541" s="23" t="s">
        <v>34860</v>
      </c>
      <c r="L7541" s="94">
        <v>670.0</v>
      </c>
      <c r="M7541" s="94">
        <v>30.0</v>
      </c>
      <c r="N7541" s="94"/>
      <c r="O7541" s="94" t="s">
        <v>12903</v>
      </c>
      <c r="P7541" s="94" t="s">
        <v>34877</v>
      </c>
      <c r="Q7541" s="94" t="s">
        <v>34878</v>
      </c>
      <c r="R7541" s="94"/>
      <c r="S7541" s="94"/>
      <c r="T7541" s="54" t="s">
        <v>34879</v>
      </c>
      <c r="U7541" s="135" t="str">
        <f>HYPERLINK("http://iopscience.iop.org/article/10.1088/1054-660X/25/2/025602/meta","IOP")</f>
        <v>IOP</v>
      </c>
      <c r="V7541" s="30"/>
      <c r="W7541" s="49"/>
      <c r="X7541" s="49"/>
      <c r="Y7541" s="35"/>
      <c r="Z7541" s="35"/>
      <c r="AA7541" s="35"/>
      <c r="AB7541" s="35"/>
      <c r="AC7541" s="35"/>
      <c r="AD7541" s="35"/>
      <c r="AE7541" s="35"/>
      <c r="AF7541" s="35"/>
      <c r="AG7541" s="35"/>
      <c r="AH7541" s="35"/>
      <c r="AI7541" s="35"/>
      <c r="AJ7541" s="35"/>
      <c r="AK7541" s="35"/>
      <c r="AL7541" s="35"/>
    </row>
    <row r="7542">
      <c r="A7542" s="18" t="s">
        <v>2</v>
      </c>
      <c r="B7542" s="157" t="s">
        <v>6113</v>
      </c>
      <c r="C7542" s="158" t="s">
        <v>34743</v>
      </c>
      <c r="D7542" s="159"/>
      <c r="E7542" s="23" t="s">
        <v>8908</v>
      </c>
      <c r="F7542" s="23" t="s">
        <v>24122</v>
      </c>
      <c r="G7542" s="23">
        <v>2014.0</v>
      </c>
      <c r="H7542" s="23" t="s">
        <v>91</v>
      </c>
      <c r="I7542" s="243" t="s">
        <v>34880</v>
      </c>
      <c r="J7542" s="23" t="s">
        <v>55</v>
      </c>
      <c r="K7542" s="23" t="s">
        <v>34881</v>
      </c>
      <c r="L7542" s="94">
        <v>640.0</v>
      </c>
      <c r="M7542" s="94">
        <v>110.0</v>
      </c>
      <c r="N7542" s="94"/>
      <c r="O7542" s="94"/>
      <c r="P7542" s="94">
        <v>16.0</v>
      </c>
      <c r="Q7542" s="172"/>
      <c r="R7542" s="94">
        <v>41.0</v>
      </c>
      <c r="S7542" s="94"/>
      <c r="T7542" s="54" t="s">
        <v>34882</v>
      </c>
      <c r="U7542" s="135" t="str">
        <f>HYPERLINK("https://www.ncbi.nlm.nih.gov/pubmed/23584731","PubMed")</f>
        <v>PubMed</v>
      </c>
      <c r="V7542" s="30"/>
      <c r="W7542" s="49"/>
      <c r="X7542" s="49"/>
      <c r="Y7542" s="35"/>
      <c r="Z7542" s="35"/>
      <c r="AA7542" s="35"/>
      <c r="AB7542" s="35"/>
      <c r="AC7542" s="35"/>
      <c r="AD7542" s="35"/>
      <c r="AE7542" s="35"/>
      <c r="AF7542" s="35"/>
      <c r="AG7542" s="35"/>
      <c r="AH7542" s="35"/>
      <c r="AI7542" s="35"/>
      <c r="AJ7542" s="35"/>
      <c r="AK7542" s="35"/>
      <c r="AL7542" s="35"/>
    </row>
    <row r="7543">
      <c r="A7543" s="18" t="s">
        <v>2</v>
      </c>
      <c r="B7543" s="157" t="s">
        <v>6113</v>
      </c>
      <c r="C7543" s="158" t="s">
        <v>34743</v>
      </c>
      <c r="D7543" s="159"/>
      <c r="E7543" s="23" t="s">
        <v>34883</v>
      </c>
      <c r="F7543" s="23" t="s">
        <v>34884</v>
      </c>
      <c r="G7543" s="23">
        <v>2014.0</v>
      </c>
      <c r="H7543" s="23" t="s">
        <v>91</v>
      </c>
      <c r="I7543" s="243" t="s">
        <v>34885</v>
      </c>
      <c r="J7543" s="23" t="s">
        <v>55</v>
      </c>
      <c r="K7543" s="23" t="s">
        <v>34886</v>
      </c>
      <c r="L7543" s="94">
        <v>660.0</v>
      </c>
      <c r="M7543" s="94">
        <v>35.0</v>
      </c>
      <c r="N7543" s="94" t="s">
        <v>34887</v>
      </c>
      <c r="O7543" s="94" t="s">
        <v>34888</v>
      </c>
      <c r="P7543" s="94" t="s">
        <v>34889</v>
      </c>
      <c r="Q7543" s="172" t="s">
        <v>18294</v>
      </c>
      <c r="R7543" s="94" t="s">
        <v>34890</v>
      </c>
      <c r="S7543" s="94">
        <v>8.0</v>
      </c>
      <c r="T7543" s="104" t="s">
        <v>34891</v>
      </c>
      <c r="U7543" s="135" t="str">
        <f>HYPERLINK("https://www.ncbi.nlm.nih.gov/pubmed/23677436","PubMed")</f>
        <v>PubMed</v>
      </c>
      <c r="V7543" s="30"/>
      <c r="W7543" s="49"/>
      <c r="X7543" s="49"/>
      <c r="Y7543" s="35"/>
      <c r="Z7543" s="35"/>
      <c r="AA7543" s="35"/>
      <c r="AB7543" s="35"/>
      <c r="AC7543" s="35"/>
      <c r="AD7543" s="35"/>
      <c r="AE7543" s="35"/>
      <c r="AF7543" s="35"/>
      <c r="AG7543" s="35"/>
      <c r="AH7543" s="35"/>
      <c r="AI7543" s="35"/>
      <c r="AJ7543" s="35"/>
      <c r="AK7543" s="35"/>
      <c r="AL7543" s="35"/>
    </row>
    <row r="7544">
      <c r="A7544" s="18"/>
      <c r="B7544" s="157" t="s">
        <v>6113</v>
      </c>
      <c r="C7544" s="158" t="s">
        <v>34743</v>
      </c>
      <c r="D7544" s="159"/>
      <c r="E7544" s="23" t="s">
        <v>34892</v>
      </c>
      <c r="F7544" s="23" t="s">
        <v>34893</v>
      </c>
      <c r="G7544" s="23">
        <v>2014.0</v>
      </c>
      <c r="H7544" s="23" t="s">
        <v>91</v>
      </c>
      <c r="I7544" s="243" t="s">
        <v>34894</v>
      </c>
      <c r="J7544" s="23" t="s">
        <v>55</v>
      </c>
      <c r="K7544" s="23" t="s">
        <v>34895</v>
      </c>
      <c r="L7544" s="94" t="s">
        <v>9939</v>
      </c>
      <c r="M7544" s="94" t="s">
        <v>34896</v>
      </c>
      <c r="N7544" s="94"/>
      <c r="O7544" s="94" t="s">
        <v>34897</v>
      </c>
      <c r="P7544" s="94" t="s">
        <v>34898</v>
      </c>
      <c r="Q7544" s="172" t="s">
        <v>34899</v>
      </c>
      <c r="R7544" s="94" t="s">
        <v>7199</v>
      </c>
      <c r="S7544" s="94" t="s">
        <v>34836</v>
      </c>
      <c r="T7544" s="54" t="s">
        <v>34900</v>
      </c>
      <c r="U7544" s="135" t="str">
        <f>HYPERLINK("https://www.ncbi.nlm.nih.gov/pubmed/24729046","PubMed")</f>
        <v>PubMed</v>
      </c>
      <c r="V7544" s="30"/>
      <c r="W7544" s="49"/>
      <c r="X7544" s="49"/>
      <c r="Y7544" s="35"/>
      <c r="Z7544" s="35"/>
      <c r="AA7544" s="35"/>
      <c r="AB7544" s="35"/>
      <c r="AC7544" s="35"/>
      <c r="AD7544" s="35"/>
      <c r="AE7544" s="35"/>
      <c r="AF7544" s="35"/>
      <c r="AG7544" s="35"/>
      <c r="AH7544" s="35"/>
      <c r="AI7544" s="35"/>
      <c r="AJ7544" s="35"/>
      <c r="AK7544" s="35"/>
      <c r="AL7544" s="35"/>
    </row>
    <row r="7545">
      <c r="A7545" s="18"/>
      <c r="B7545" s="157" t="s">
        <v>6113</v>
      </c>
      <c r="C7545" s="158" t="s">
        <v>34743</v>
      </c>
      <c r="D7545" s="159"/>
      <c r="E7545" s="23" t="s">
        <v>6865</v>
      </c>
      <c r="F7545" s="23" t="s">
        <v>21765</v>
      </c>
      <c r="G7545" s="23">
        <v>2013.0</v>
      </c>
      <c r="H7545" s="23" t="s">
        <v>91</v>
      </c>
      <c r="I7545" s="243" t="s">
        <v>34901</v>
      </c>
      <c r="J7545" s="23" t="s">
        <v>55</v>
      </c>
      <c r="K7545" s="23" t="s">
        <v>17156</v>
      </c>
      <c r="L7545" s="94">
        <v>660.0</v>
      </c>
      <c r="M7545" s="94">
        <v>20.0</v>
      </c>
      <c r="N7545" s="94"/>
      <c r="O7545" s="94"/>
      <c r="P7545" s="94" t="s">
        <v>4852</v>
      </c>
      <c r="Q7545" s="172" t="s">
        <v>9307</v>
      </c>
      <c r="R7545" s="94"/>
      <c r="S7545" s="94"/>
      <c r="T7545" s="54" t="s">
        <v>34902</v>
      </c>
      <c r="U7545" s="135" t="str">
        <f>HYPERLINK("https://www.ncbi.nlm.nih.gov/pubmed/23053250","PubMed")</f>
        <v>PubMed</v>
      </c>
      <c r="V7545" s="30"/>
      <c r="W7545" s="49"/>
      <c r="X7545" s="49"/>
      <c r="Y7545" s="35"/>
      <c r="Z7545" s="35"/>
      <c r="AA7545" s="35"/>
      <c r="AB7545" s="35"/>
      <c r="AC7545" s="35"/>
      <c r="AD7545" s="35"/>
      <c r="AE7545" s="35"/>
      <c r="AF7545" s="35"/>
      <c r="AG7545" s="35"/>
      <c r="AH7545" s="35"/>
      <c r="AI7545" s="35"/>
      <c r="AJ7545" s="35"/>
      <c r="AK7545" s="35"/>
      <c r="AL7545" s="35"/>
    </row>
    <row r="7546">
      <c r="A7546" s="18"/>
      <c r="B7546" s="157" t="s">
        <v>6113</v>
      </c>
      <c r="C7546" s="158" t="s">
        <v>34743</v>
      </c>
      <c r="D7546" s="159"/>
      <c r="E7546" s="23" t="s">
        <v>34903</v>
      </c>
      <c r="F7546" s="23" t="s">
        <v>299</v>
      </c>
      <c r="G7546" s="23">
        <v>2012.0</v>
      </c>
      <c r="H7546" s="23" t="s">
        <v>169</v>
      </c>
      <c r="I7546" s="243" t="s">
        <v>34904</v>
      </c>
      <c r="J7546" s="23" t="s">
        <v>34905</v>
      </c>
      <c r="K7546" s="23" t="s">
        <v>34906</v>
      </c>
      <c r="L7546" s="94">
        <v>830.0</v>
      </c>
      <c r="M7546" s="94"/>
      <c r="N7546" s="94"/>
      <c r="O7546" s="94"/>
      <c r="P7546" s="94"/>
      <c r="Q7546" s="172"/>
      <c r="R7546" s="94"/>
      <c r="S7546" s="94"/>
      <c r="T7546" s="54" t="s">
        <v>34907</v>
      </c>
      <c r="U7546" s="135" t="str">
        <f>HYPERLINK("https://www.ncbi.nlm.nih.gov/pubmed/22373006","PubMed")</f>
        <v>PubMed</v>
      </c>
      <c r="V7546" s="30"/>
      <c r="W7546" s="49"/>
      <c r="X7546" s="49"/>
      <c r="Y7546" s="35"/>
      <c r="Z7546" s="35"/>
      <c r="AA7546" s="35"/>
      <c r="AB7546" s="35"/>
      <c r="AC7546" s="35"/>
      <c r="AD7546" s="35"/>
      <c r="AE7546" s="35"/>
      <c r="AF7546" s="35"/>
      <c r="AG7546" s="35"/>
      <c r="AH7546" s="35"/>
      <c r="AI7546" s="35"/>
      <c r="AJ7546" s="35"/>
      <c r="AK7546" s="35"/>
      <c r="AL7546" s="35"/>
    </row>
    <row r="7547">
      <c r="A7547" s="18"/>
      <c r="B7547" s="157" t="s">
        <v>6113</v>
      </c>
      <c r="C7547" s="158" t="s">
        <v>34743</v>
      </c>
      <c r="D7547" s="159"/>
      <c r="E7547" s="23" t="s">
        <v>34883</v>
      </c>
      <c r="F7547" s="23" t="s">
        <v>34884</v>
      </c>
      <c r="G7547" s="23">
        <v>2011.0</v>
      </c>
      <c r="H7547" s="23" t="s">
        <v>169</v>
      </c>
      <c r="I7547" s="243" t="s">
        <v>34908</v>
      </c>
      <c r="J7547" s="23" t="s">
        <v>55</v>
      </c>
      <c r="K7547" s="23" t="s">
        <v>34881</v>
      </c>
      <c r="L7547" s="94">
        <v>640.0</v>
      </c>
      <c r="M7547" s="94">
        <v>30.0</v>
      </c>
      <c r="N7547" s="94"/>
      <c r="O7547" s="94"/>
      <c r="P7547" s="94">
        <v>4.0</v>
      </c>
      <c r="Q7547" s="172"/>
      <c r="R7547" s="94"/>
      <c r="S7547" s="94" t="s">
        <v>854</v>
      </c>
      <c r="T7547" s="54" t="s">
        <v>34909</v>
      </c>
      <c r="U7547" s="135" t="str">
        <f>HYPERLINK("https://www.ncbi.nlm.nih.gov/pubmed/21981305","PubMed")</f>
        <v>PubMed</v>
      </c>
      <c r="V7547" s="30"/>
      <c r="W7547" s="49"/>
      <c r="X7547" s="49"/>
      <c r="Y7547" s="35"/>
      <c r="Z7547" s="35"/>
      <c r="AA7547" s="35"/>
      <c r="AB7547" s="35"/>
      <c r="AC7547" s="35"/>
      <c r="AD7547" s="35"/>
      <c r="AE7547" s="35"/>
      <c r="AF7547" s="35"/>
      <c r="AG7547" s="35"/>
      <c r="AH7547" s="35"/>
      <c r="AI7547" s="35"/>
      <c r="AJ7547" s="35"/>
      <c r="AK7547" s="35"/>
      <c r="AL7547" s="35"/>
    </row>
    <row r="7548">
      <c r="A7548" s="18"/>
      <c r="B7548" s="157" t="s">
        <v>6113</v>
      </c>
      <c r="C7548" s="158" t="s">
        <v>34743</v>
      </c>
      <c r="D7548" s="159"/>
      <c r="E7548" s="23" t="s">
        <v>1211</v>
      </c>
      <c r="F7548" s="23" t="s">
        <v>41</v>
      </c>
      <c r="G7548" s="23">
        <v>2011.0</v>
      </c>
      <c r="H7548" s="23" t="s">
        <v>169</v>
      </c>
      <c r="I7548" s="243" t="s">
        <v>34910</v>
      </c>
      <c r="J7548" s="23" t="s">
        <v>55</v>
      </c>
      <c r="K7548" s="23" t="s">
        <v>34860</v>
      </c>
      <c r="L7548" s="94">
        <v>660.0</v>
      </c>
      <c r="M7548" s="94"/>
      <c r="N7548" s="94"/>
      <c r="O7548" s="94"/>
      <c r="P7548" s="94"/>
      <c r="Q7548" s="172"/>
      <c r="R7548" s="94"/>
      <c r="S7548" s="94"/>
      <c r="T7548" s="104" t="s">
        <v>34911</v>
      </c>
      <c r="U7548" s="135" t="str">
        <f>HYPERLINK("https://www.ncbi.nlm.nih.gov/pubmed/21774661","PubMed")</f>
        <v>PubMed</v>
      </c>
      <c r="V7548" s="30"/>
      <c r="W7548" s="49"/>
      <c r="X7548" s="49"/>
      <c r="Y7548" s="35"/>
      <c r="Z7548" s="35"/>
      <c r="AA7548" s="35"/>
      <c r="AB7548" s="35"/>
      <c r="AC7548" s="35"/>
      <c r="AD7548" s="35"/>
      <c r="AE7548" s="35"/>
      <c r="AF7548" s="35"/>
      <c r="AG7548" s="35"/>
      <c r="AH7548" s="35"/>
      <c r="AI7548" s="35"/>
      <c r="AJ7548" s="35"/>
      <c r="AK7548" s="35"/>
      <c r="AL7548" s="35"/>
    </row>
    <row r="7549">
      <c r="A7549" s="18"/>
      <c r="B7549" s="157" t="s">
        <v>6113</v>
      </c>
      <c r="C7549" s="158" t="s">
        <v>34743</v>
      </c>
      <c r="D7549" s="159"/>
      <c r="E7549" s="23" t="s">
        <v>34912</v>
      </c>
      <c r="F7549" s="23" t="s">
        <v>323</v>
      </c>
      <c r="G7549" s="23">
        <v>2011.0</v>
      </c>
      <c r="H7549" s="23" t="s">
        <v>658</v>
      </c>
      <c r="I7549" s="243" t="s">
        <v>34913</v>
      </c>
      <c r="J7549" s="23" t="s">
        <v>55</v>
      </c>
      <c r="K7549" s="23" t="s">
        <v>34914</v>
      </c>
      <c r="L7549" s="94">
        <v>890.0</v>
      </c>
      <c r="M7549" s="94">
        <v>1.0</v>
      </c>
      <c r="N7549" s="94"/>
      <c r="O7549" s="94"/>
      <c r="P7549" s="94" t="s">
        <v>34915</v>
      </c>
      <c r="Q7549" s="172" t="s">
        <v>675</v>
      </c>
      <c r="R7549" s="94">
        <v>856.0</v>
      </c>
      <c r="S7549" s="94"/>
      <c r="T7549" s="54" t="s">
        <v>34916</v>
      </c>
      <c r="U7549" s="135" t="str">
        <f>HYPERLINK("https://www.ncbi.nlm.nih.gov/pubmed/21456947","PubMed")</f>
        <v>PubMed</v>
      </c>
      <c r="V7549" s="30"/>
      <c r="W7549" s="49"/>
      <c r="X7549" s="49"/>
      <c r="Y7549" s="35"/>
      <c r="Z7549" s="35"/>
      <c r="AA7549" s="35"/>
      <c r="AB7549" s="35"/>
      <c r="AC7549" s="35"/>
      <c r="AD7549" s="35"/>
      <c r="AE7549" s="35"/>
      <c r="AF7549" s="35"/>
      <c r="AG7549" s="35"/>
      <c r="AH7549" s="35"/>
      <c r="AI7549" s="35"/>
      <c r="AJ7549" s="35"/>
      <c r="AK7549" s="35"/>
      <c r="AL7549" s="35"/>
    </row>
    <row r="7550">
      <c r="A7550" s="18"/>
      <c r="B7550" s="157" t="s">
        <v>6113</v>
      </c>
      <c r="C7550" s="158" t="s">
        <v>34743</v>
      </c>
      <c r="D7550" s="159"/>
      <c r="E7550" s="23" t="s">
        <v>467</v>
      </c>
      <c r="F7550" s="23" t="s">
        <v>765</v>
      </c>
      <c r="G7550" s="23">
        <v>2010.0</v>
      </c>
      <c r="H7550" s="23" t="s">
        <v>91</v>
      </c>
      <c r="I7550" s="243" t="s">
        <v>34917</v>
      </c>
      <c r="J7550" s="23" t="s">
        <v>55</v>
      </c>
      <c r="K7550" s="23" t="s">
        <v>34886</v>
      </c>
      <c r="L7550" s="94">
        <v>685.0</v>
      </c>
      <c r="M7550" s="94">
        <v>50.0</v>
      </c>
      <c r="N7550" s="94"/>
      <c r="O7550" s="94"/>
      <c r="P7550" s="93">
        <v>43224.0</v>
      </c>
      <c r="Q7550" s="172" t="s">
        <v>34918</v>
      </c>
      <c r="R7550" s="94"/>
      <c r="S7550" s="94"/>
      <c r="T7550" s="54" t="s">
        <v>34919</v>
      </c>
      <c r="U7550" s="135" t="str">
        <f>HYPERLINK("https://www.ncbi.nlm.nih.gov/pubmed/19533211","PubMed")</f>
        <v>PubMed</v>
      </c>
      <c r="V7550" s="30"/>
      <c r="W7550" s="49"/>
      <c r="X7550" s="49"/>
      <c r="Y7550" s="35"/>
      <c r="Z7550" s="35"/>
      <c r="AA7550" s="35"/>
      <c r="AB7550" s="35"/>
      <c r="AC7550" s="35"/>
      <c r="AD7550" s="35"/>
      <c r="AE7550" s="35"/>
      <c r="AF7550" s="35"/>
      <c r="AG7550" s="35"/>
      <c r="AH7550" s="35"/>
      <c r="AI7550" s="35"/>
      <c r="AJ7550" s="35"/>
      <c r="AK7550" s="35"/>
      <c r="AL7550" s="35"/>
    </row>
    <row r="7551">
      <c r="A7551" s="18"/>
      <c r="B7551" s="157" t="s">
        <v>6113</v>
      </c>
      <c r="C7551" s="158" t="s">
        <v>34743</v>
      </c>
      <c r="D7551" s="159"/>
      <c r="E7551" s="23" t="s">
        <v>4739</v>
      </c>
      <c r="F7551" s="23" t="s">
        <v>323</v>
      </c>
      <c r="G7551" s="23">
        <v>2010.0</v>
      </c>
      <c r="H7551" s="23" t="s">
        <v>658</v>
      </c>
      <c r="I7551" s="243" t="s">
        <v>34920</v>
      </c>
      <c r="J7551" s="23" t="s">
        <v>55</v>
      </c>
      <c r="K7551" s="23" t="s">
        <v>34860</v>
      </c>
      <c r="L7551" s="94">
        <v>890.0</v>
      </c>
      <c r="M7551" s="94" t="s">
        <v>34921</v>
      </c>
      <c r="N7551" s="94"/>
      <c r="O7551" s="94"/>
      <c r="P7551" s="94" t="s">
        <v>34922</v>
      </c>
      <c r="Q7551" s="172"/>
      <c r="R7551" s="94"/>
      <c r="S7551" s="94"/>
      <c r="T7551" s="54" t="s">
        <v>34923</v>
      </c>
      <c r="U7551" s="135" t="str">
        <f>HYPERLINK("https://www.ncbi.nlm.nih.gov/pubmed/20860542","PubMed")</f>
        <v>PubMed</v>
      </c>
      <c r="V7551" s="30"/>
      <c r="W7551" s="49"/>
      <c r="X7551" s="49"/>
      <c r="Y7551" s="35"/>
      <c r="Z7551" s="35"/>
      <c r="AA7551" s="35"/>
      <c r="AB7551" s="35"/>
      <c r="AC7551" s="35"/>
      <c r="AD7551" s="35"/>
      <c r="AE7551" s="35"/>
      <c r="AF7551" s="35"/>
      <c r="AG7551" s="35"/>
      <c r="AH7551" s="35"/>
      <c r="AI7551" s="35"/>
      <c r="AJ7551" s="35"/>
      <c r="AK7551" s="35"/>
      <c r="AL7551" s="35"/>
    </row>
    <row r="7552">
      <c r="A7552" s="18"/>
      <c r="B7552" s="157" t="s">
        <v>6113</v>
      </c>
      <c r="C7552" s="158" t="s">
        <v>34743</v>
      </c>
      <c r="D7552" s="159"/>
      <c r="E7552" s="23" t="s">
        <v>34924</v>
      </c>
      <c r="F7552" s="23" t="s">
        <v>8008</v>
      </c>
      <c r="G7552" s="23">
        <v>2009.0</v>
      </c>
      <c r="H7552" s="23" t="s">
        <v>658</v>
      </c>
      <c r="I7552" s="243" t="s">
        <v>34925</v>
      </c>
      <c r="J7552" s="23" t="s">
        <v>55</v>
      </c>
      <c r="K7552" s="23" t="s">
        <v>34926</v>
      </c>
      <c r="L7552" s="94" t="s">
        <v>34927</v>
      </c>
      <c r="M7552" s="94"/>
      <c r="N7552" s="94"/>
      <c r="O7552" s="94"/>
      <c r="P7552" s="94" t="s">
        <v>34928</v>
      </c>
      <c r="Q7552" s="172"/>
      <c r="R7552" s="94"/>
      <c r="S7552" s="94"/>
      <c r="T7552" s="54" t="s">
        <v>34929</v>
      </c>
      <c r="U7552" s="135" t="str">
        <f>HYPERLINK("https://www.ncbi.nlm.nih.gov/pubmed/18707242","PubMed")</f>
        <v>PubMed</v>
      </c>
      <c r="V7552" s="30"/>
      <c r="W7552" s="49"/>
      <c r="X7552" s="49"/>
      <c r="Y7552" s="35"/>
      <c r="Z7552" s="35"/>
      <c r="AA7552" s="35"/>
      <c r="AB7552" s="35"/>
      <c r="AC7552" s="35"/>
      <c r="AD7552" s="35"/>
      <c r="AE7552" s="35"/>
      <c r="AF7552" s="35"/>
      <c r="AG7552" s="35"/>
      <c r="AH7552" s="35"/>
      <c r="AI7552" s="35"/>
      <c r="AJ7552" s="35"/>
      <c r="AK7552" s="35"/>
      <c r="AL7552" s="35"/>
    </row>
    <row r="7553">
      <c r="A7553" s="18"/>
      <c r="B7553" s="157" t="s">
        <v>6113</v>
      </c>
      <c r="C7553" s="158" t="s">
        <v>34743</v>
      </c>
      <c r="D7553" s="159"/>
      <c r="E7553" s="23" t="s">
        <v>34930</v>
      </c>
      <c r="F7553" s="23" t="s">
        <v>323</v>
      </c>
      <c r="G7553" s="23">
        <v>2009.0</v>
      </c>
      <c r="H7553" s="23" t="s">
        <v>658</v>
      </c>
      <c r="I7553" s="243" t="s">
        <v>34931</v>
      </c>
      <c r="J7553" s="23" t="s">
        <v>55</v>
      </c>
      <c r="K7553" s="23" t="s">
        <v>34886</v>
      </c>
      <c r="L7553" s="94">
        <v>890.0</v>
      </c>
      <c r="M7553" s="94"/>
      <c r="N7553" s="94"/>
      <c r="O7553" s="94"/>
      <c r="P7553" s="94" t="s">
        <v>34932</v>
      </c>
      <c r="Q7553" s="172"/>
      <c r="R7553" s="94"/>
      <c r="S7553" s="94"/>
      <c r="T7553" s="104" t="s">
        <v>34933</v>
      </c>
      <c r="U7553" s="135" t="str">
        <f>HYPERLINK("https://www.ncbi.nlm.nih.gov/pubmed/19698004","PubMed")</f>
        <v>PubMed</v>
      </c>
      <c r="V7553" s="30"/>
      <c r="W7553" s="49"/>
      <c r="X7553" s="49"/>
      <c r="Y7553" s="35"/>
      <c r="Z7553" s="35"/>
      <c r="AA7553" s="35"/>
      <c r="AB7553" s="35"/>
      <c r="AC7553" s="35"/>
      <c r="AD7553" s="35"/>
      <c r="AE7553" s="35"/>
      <c r="AF7553" s="35"/>
      <c r="AG7553" s="35"/>
      <c r="AH7553" s="35"/>
      <c r="AI7553" s="35"/>
      <c r="AJ7553" s="35"/>
      <c r="AK7553" s="35"/>
      <c r="AL7553" s="35"/>
    </row>
    <row r="7554">
      <c r="A7554" s="18"/>
      <c r="B7554" s="157" t="s">
        <v>6113</v>
      </c>
      <c r="C7554" s="158" t="s">
        <v>34743</v>
      </c>
      <c r="D7554" s="159"/>
      <c r="E7554" s="23" t="s">
        <v>4739</v>
      </c>
      <c r="F7554" s="23" t="s">
        <v>323</v>
      </c>
      <c r="G7554" s="23">
        <v>2009.0</v>
      </c>
      <c r="H7554" s="23" t="s">
        <v>1873</v>
      </c>
      <c r="I7554" s="243" t="s">
        <v>34934</v>
      </c>
      <c r="J7554" s="23" t="s">
        <v>55</v>
      </c>
      <c r="K7554" s="23" t="s">
        <v>34886</v>
      </c>
      <c r="L7554" s="94">
        <v>890.0</v>
      </c>
      <c r="M7554" s="94" t="s">
        <v>34921</v>
      </c>
      <c r="N7554" s="94"/>
      <c r="O7554" s="94"/>
      <c r="P7554" s="94" t="s">
        <v>34922</v>
      </c>
      <c r="Q7554" s="172" t="s">
        <v>675</v>
      </c>
      <c r="R7554" s="94"/>
      <c r="S7554" s="94"/>
      <c r="T7554" s="54" t="s">
        <v>34935</v>
      </c>
      <c r="U7554" s="135" t="str">
        <f>HYPERLINK("https://www.ncbi.nlm.nih.gov/pubmed/19882488","PubMed")</f>
        <v>PubMed</v>
      </c>
      <c r="V7554" s="30"/>
      <c r="W7554" s="49"/>
      <c r="X7554" s="49"/>
      <c r="Y7554" s="35"/>
      <c r="Z7554" s="35"/>
      <c r="AA7554" s="35"/>
      <c r="AB7554" s="35"/>
      <c r="AC7554" s="35"/>
      <c r="AD7554" s="35"/>
      <c r="AE7554" s="35"/>
      <c r="AF7554" s="35"/>
      <c r="AG7554" s="35"/>
      <c r="AH7554" s="35"/>
      <c r="AI7554" s="35"/>
      <c r="AJ7554" s="35"/>
      <c r="AK7554" s="35"/>
      <c r="AL7554" s="35"/>
    </row>
    <row r="7555">
      <c r="A7555" s="18"/>
      <c r="B7555" s="157" t="s">
        <v>6113</v>
      </c>
      <c r="C7555" s="158" t="s">
        <v>34743</v>
      </c>
      <c r="D7555" s="159"/>
      <c r="E7555" s="23" t="s">
        <v>34930</v>
      </c>
      <c r="F7555" s="23" t="s">
        <v>323</v>
      </c>
      <c r="G7555" s="23">
        <v>2008.0</v>
      </c>
      <c r="H7555" s="23" t="s">
        <v>658</v>
      </c>
      <c r="I7555" s="243" t="s">
        <v>34936</v>
      </c>
      <c r="J7555" s="23" t="s">
        <v>55</v>
      </c>
      <c r="K7555" s="23"/>
      <c r="L7555" s="94">
        <v>633.0</v>
      </c>
      <c r="M7555" s="94">
        <v>10.0</v>
      </c>
      <c r="N7555" s="94"/>
      <c r="O7555" s="94"/>
      <c r="P7555" s="94" t="s">
        <v>2991</v>
      </c>
      <c r="Q7555" s="172" t="s">
        <v>14168</v>
      </c>
      <c r="R7555" s="94" t="s">
        <v>20211</v>
      </c>
      <c r="S7555" s="94"/>
      <c r="T7555" s="54" t="s">
        <v>34937</v>
      </c>
      <c r="U7555" s="135" t="str">
        <f>HYPERLINK("https://www.ncbi.nlm.nih.gov/pubmed/18248153","PubMed")</f>
        <v>PubMed</v>
      </c>
      <c r="V7555" s="30"/>
      <c r="W7555" s="130" t="str">
        <f>HYPERLINK("https://www.ncbi.nlm.nih.gov/pubmed/18687055","Comment")</f>
        <v>Comment</v>
      </c>
      <c r="X7555" s="49"/>
      <c r="Y7555" s="35"/>
      <c r="Z7555" s="35"/>
      <c r="AA7555" s="35"/>
      <c r="AB7555" s="35"/>
      <c r="AC7555" s="35"/>
      <c r="AD7555" s="35"/>
      <c r="AE7555" s="35"/>
      <c r="AF7555" s="35"/>
      <c r="AG7555" s="35"/>
      <c r="AH7555" s="35"/>
      <c r="AI7555" s="35"/>
      <c r="AJ7555" s="35"/>
      <c r="AK7555" s="35"/>
      <c r="AL7555" s="35"/>
    </row>
    <row r="7556">
      <c r="A7556" s="18"/>
      <c r="B7556" s="157" t="s">
        <v>6113</v>
      </c>
      <c r="C7556" s="158" t="s">
        <v>34743</v>
      </c>
      <c r="D7556" s="159"/>
      <c r="E7556" s="23" t="s">
        <v>856</v>
      </c>
      <c r="F7556" s="23" t="s">
        <v>183</v>
      </c>
      <c r="G7556" s="23">
        <v>2008.0</v>
      </c>
      <c r="H7556" s="23" t="s">
        <v>658</v>
      </c>
      <c r="I7556" s="243" t="s">
        <v>34938</v>
      </c>
      <c r="J7556" s="23" t="s">
        <v>55</v>
      </c>
      <c r="K7556" s="23" t="s">
        <v>34939</v>
      </c>
      <c r="L7556" s="94" t="s">
        <v>34940</v>
      </c>
      <c r="M7556" s="94" t="s">
        <v>34941</v>
      </c>
      <c r="N7556" s="94"/>
      <c r="O7556" s="94"/>
      <c r="P7556" s="94"/>
      <c r="Q7556" s="172"/>
      <c r="R7556" s="94"/>
      <c r="S7556" s="94"/>
      <c r="T7556" s="54" t="s">
        <v>34942</v>
      </c>
      <c r="U7556" s="135" t="str">
        <f>HYPERLINK("https://www.ncbi.nlm.nih.gov/pubmed/18647088","PubMed")</f>
        <v>PubMed</v>
      </c>
      <c r="V7556" s="30"/>
      <c r="W7556" s="49"/>
      <c r="X7556" s="49"/>
      <c r="Y7556" s="35"/>
      <c r="Z7556" s="35"/>
      <c r="AA7556" s="35"/>
      <c r="AB7556" s="35"/>
      <c r="AC7556" s="35"/>
      <c r="AD7556" s="35"/>
      <c r="AE7556" s="35"/>
      <c r="AF7556" s="35"/>
      <c r="AG7556" s="35"/>
      <c r="AH7556" s="35"/>
      <c r="AI7556" s="35"/>
      <c r="AJ7556" s="35"/>
      <c r="AK7556" s="35"/>
      <c r="AL7556" s="35"/>
    </row>
    <row r="7557">
      <c r="A7557" s="18"/>
      <c r="B7557" s="157" t="s">
        <v>6113</v>
      </c>
      <c r="C7557" s="158" t="s">
        <v>34743</v>
      </c>
      <c r="D7557" s="159"/>
      <c r="E7557" s="23" t="s">
        <v>13840</v>
      </c>
      <c r="F7557" s="23" t="s">
        <v>183</v>
      </c>
      <c r="G7557" s="23">
        <v>2008.0</v>
      </c>
      <c r="H7557" s="23" t="s">
        <v>658</v>
      </c>
      <c r="I7557" s="243" t="s">
        <v>34943</v>
      </c>
      <c r="J7557" s="23" t="s">
        <v>55</v>
      </c>
      <c r="K7557" s="23" t="s">
        <v>34944</v>
      </c>
      <c r="L7557" s="94" t="s">
        <v>1750</v>
      </c>
      <c r="M7557" s="94">
        <v>35.0</v>
      </c>
      <c r="N7557" s="94"/>
      <c r="O7557" s="94"/>
      <c r="P7557" s="94" t="s">
        <v>34945</v>
      </c>
      <c r="Q7557" s="172"/>
      <c r="R7557" s="94"/>
      <c r="S7557" s="94"/>
      <c r="T7557" s="54" t="s">
        <v>34946</v>
      </c>
      <c r="U7557" s="135" t="str">
        <f>HYPERLINK("https://www.ncbi.nlm.nih.gov/pubmed/18248161","PubMed")</f>
        <v>PubMed</v>
      </c>
      <c r="V7557" s="30"/>
      <c r="W7557" s="49"/>
      <c r="X7557" s="49"/>
      <c r="Y7557" s="35"/>
      <c r="Z7557" s="35"/>
      <c r="AA7557" s="35"/>
      <c r="AB7557" s="35"/>
      <c r="AC7557" s="35"/>
      <c r="AD7557" s="35"/>
      <c r="AE7557" s="35"/>
      <c r="AF7557" s="35"/>
      <c r="AG7557" s="35"/>
      <c r="AH7557" s="35"/>
      <c r="AI7557" s="35"/>
      <c r="AJ7557" s="35"/>
      <c r="AK7557" s="35"/>
      <c r="AL7557" s="35"/>
    </row>
    <row r="7558">
      <c r="A7558" s="18"/>
      <c r="B7558" s="157" t="s">
        <v>6113</v>
      </c>
      <c r="C7558" s="158" t="s">
        <v>34743</v>
      </c>
      <c r="D7558" s="159"/>
      <c r="E7558" s="23" t="s">
        <v>13840</v>
      </c>
      <c r="F7558" s="23" t="s">
        <v>183</v>
      </c>
      <c r="G7558" s="23">
        <v>2008.0</v>
      </c>
      <c r="H7558" s="23" t="s">
        <v>658</v>
      </c>
      <c r="I7558" s="243" t="s">
        <v>34947</v>
      </c>
      <c r="J7558" s="23" t="s">
        <v>55</v>
      </c>
      <c r="K7558" s="23" t="s">
        <v>34948</v>
      </c>
      <c r="L7558" s="94" t="s">
        <v>1750</v>
      </c>
      <c r="M7558" s="94" t="s">
        <v>20631</v>
      </c>
      <c r="N7558" s="94"/>
      <c r="O7558" s="94"/>
      <c r="P7558" s="94"/>
      <c r="Q7558" s="172"/>
      <c r="R7558" s="94"/>
      <c r="S7558" s="94"/>
      <c r="T7558" s="54" t="s">
        <v>34949</v>
      </c>
      <c r="U7558" s="135" t="str">
        <f>HYPERLINK("https://www.ncbi.nlm.nih.gov/pubmed/18338966","PubMed")</f>
        <v>PubMed</v>
      </c>
      <c r="V7558" s="30"/>
      <c r="W7558" s="49"/>
      <c r="X7558" s="49"/>
      <c r="Y7558" s="35"/>
      <c r="Z7558" s="35"/>
      <c r="AA7558" s="35"/>
      <c r="AB7558" s="35"/>
      <c r="AC7558" s="35"/>
      <c r="AD7558" s="35"/>
      <c r="AE7558" s="35"/>
      <c r="AF7558" s="35"/>
      <c r="AG7558" s="35"/>
      <c r="AH7558" s="35"/>
      <c r="AI7558" s="35"/>
      <c r="AJ7558" s="35"/>
      <c r="AK7558" s="35"/>
      <c r="AL7558" s="35"/>
    </row>
    <row r="7559">
      <c r="A7559" s="18"/>
      <c r="B7559" s="157" t="s">
        <v>6113</v>
      </c>
      <c r="C7559" s="158" t="s">
        <v>34743</v>
      </c>
      <c r="D7559" s="159"/>
      <c r="E7559" s="23" t="s">
        <v>1110</v>
      </c>
      <c r="F7559" s="23" t="s">
        <v>323</v>
      </c>
      <c r="G7559" s="23">
        <v>2008.0</v>
      </c>
      <c r="H7559" s="23" t="s">
        <v>1873</v>
      </c>
      <c r="I7559" s="243" t="s">
        <v>34950</v>
      </c>
      <c r="J7559" s="23" t="s">
        <v>55</v>
      </c>
      <c r="K7559" s="23" t="s">
        <v>34886</v>
      </c>
      <c r="L7559" s="94">
        <v>633.0</v>
      </c>
      <c r="M7559" s="94"/>
      <c r="N7559" s="94"/>
      <c r="O7559" s="94"/>
      <c r="P7559" s="94" t="s">
        <v>34951</v>
      </c>
      <c r="Q7559" s="172"/>
      <c r="R7559" s="94"/>
      <c r="S7559" s="94"/>
      <c r="T7559" s="54" t="s">
        <v>34952</v>
      </c>
      <c r="U7559" s="135" t="str">
        <f>HYPERLINK("https://www.ncbi.nlm.nih.gov/pubmed/19009479","PubMed")</f>
        <v>PubMed</v>
      </c>
      <c r="V7559" s="30"/>
      <c r="W7559" s="49"/>
      <c r="X7559" s="49"/>
      <c r="Y7559" s="35"/>
      <c r="Z7559" s="35"/>
      <c r="AA7559" s="35"/>
      <c r="AB7559" s="35"/>
      <c r="AC7559" s="35"/>
      <c r="AD7559" s="35"/>
      <c r="AE7559" s="35"/>
      <c r="AF7559" s="35"/>
      <c r="AG7559" s="35"/>
      <c r="AH7559" s="35"/>
      <c r="AI7559" s="35"/>
      <c r="AJ7559" s="35"/>
      <c r="AK7559" s="35"/>
      <c r="AL7559" s="35"/>
    </row>
    <row r="7560">
      <c r="A7560" s="18"/>
      <c r="B7560" s="157" t="s">
        <v>6113</v>
      </c>
      <c r="C7560" s="158" t="s">
        <v>34743</v>
      </c>
      <c r="D7560" s="159"/>
      <c r="E7560" s="23" t="s">
        <v>34953</v>
      </c>
      <c r="F7560" s="23" t="s">
        <v>12969</v>
      </c>
      <c r="G7560" s="23">
        <v>2007.0</v>
      </c>
      <c r="H7560" s="23" t="s">
        <v>15828</v>
      </c>
      <c r="I7560" s="243" t="s">
        <v>34954</v>
      </c>
      <c r="J7560" s="23" t="s">
        <v>55</v>
      </c>
      <c r="K7560" s="23" t="s">
        <v>34955</v>
      </c>
      <c r="L7560" s="94"/>
      <c r="M7560" s="94"/>
      <c r="N7560" s="94"/>
      <c r="O7560" s="94"/>
      <c r="P7560" s="94"/>
      <c r="Q7560" s="172"/>
      <c r="R7560" s="94"/>
      <c r="S7560" s="94"/>
      <c r="T7560" s="54" t="s">
        <v>34956</v>
      </c>
      <c r="U7560" s="135" t="str">
        <f>HYPERLINK("https://www.ncbi.nlm.nih.gov/pubmed/17351447","PubMed")</f>
        <v>PubMed</v>
      </c>
      <c r="V7560" s="30"/>
      <c r="W7560" s="49"/>
      <c r="X7560" s="49"/>
      <c r="Y7560" s="35"/>
      <c r="Z7560" s="35"/>
      <c r="AA7560" s="35"/>
      <c r="AB7560" s="35"/>
      <c r="AC7560" s="35"/>
      <c r="AD7560" s="35"/>
      <c r="AE7560" s="35"/>
      <c r="AF7560" s="35"/>
      <c r="AG7560" s="35"/>
      <c r="AH7560" s="35"/>
      <c r="AI7560" s="35"/>
      <c r="AJ7560" s="35"/>
      <c r="AK7560" s="35"/>
      <c r="AL7560" s="35"/>
    </row>
    <row r="7561">
      <c r="A7561" s="18"/>
      <c r="B7561" s="157" t="s">
        <v>6113</v>
      </c>
      <c r="C7561" s="158" t="s">
        <v>34743</v>
      </c>
      <c r="D7561" s="159"/>
      <c r="E7561" s="23" t="s">
        <v>1110</v>
      </c>
      <c r="F7561" s="23" t="s">
        <v>323</v>
      </c>
      <c r="G7561" s="23">
        <v>2006.0</v>
      </c>
      <c r="H7561" s="23" t="s">
        <v>207</v>
      </c>
      <c r="I7561" s="243" t="s">
        <v>34957</v>
      </c>
      <c r="J7561" s="23" t="s">
        <v>55</v>
      </c>
      <c r="K7561" s="23" t="s">
        <v>34886</v>
      </c>
      <c r="L7561" s="94">
        <v>633.0</v>
      </c>
      <c r="M7561" s="94"/>
      <c r="N7561" s="94"/>
      <c r="O7561" s="94"/>
      <c r="P7561" s="94" t="s">
        <v>2991</v>
      </c>
      <c r="Q7561" s="172"/>
      <c r="R7561" s="94"/>
      <c r="S7561" s="94"/>
      <c r="T7561" s="102" t="s">
        <v>34958</v>
      </c>
      <c r="U7561" s="135" t="str">
        <f>HYPERLINK("https://www.ncbi.nlm.nih.gov/pubmed/16455266","PubMed")</f>
        <v>PubMed</v>
      </c>
      <c r="V7561" s="30"/>
      <c r="W7561" s="49"/>
      <c r="X7561" s="49"/>
      <c r="Y7561" s="35"/>
      <c r="Z7561" s="35"/>
      <c r="AA7561" s="35"/>
      <c r="AB7561" s="35"/>
      <c r="AC7561" s="35"/>
      <c r="AD7561" s="35"/>
      <c r="AE7561" s="35"/>
      <c r="AF7561" s="35"/>
      <c r="AG7561" s="35"/>
      <c r="AH7561" s="35"/>
      <c r="AI7561" s="35"/>
      <c r="AJ7561" s="35"/>
      <c r="AK7561" s="35"/>
      <c r="AL7561" s="35"/>
    </row>
    <row r="7562">
      <c r="A7562" s="18"/>
      <c r="B7562" s="157" t="s">
        <v>6113</v>
      </c>
      <c r="C7562" s="158" t="s">
        <v>34743</v>
      </c>
      <c r="D7562" s="159"/>
      <c r="E7562" s="23" t="s">
        <v>1110</v>
      </c>
      <c r="F7562" s="23" t="s">
        <v>323</v>
      </c>
      <c r="G7562" s="23">
        <v>2005.0</v>
      </c>
      <c r="H7562" s="23" t="s">
        <v>207</v>
      </c>
      <c r="I7562" s="243" t="s">
        <v>34959</v>
      </c>
      <c r="J7562" s="23" t="s">
        <v>55</v>
      </c>
      <c r="K7562" s="23" t="s">
        <v>34960</v>
      </c>
      <c r="L7562" s="94">
        <v>633.0</v>
      </c>
      <c r="M7562" s="94">
        <v>10.0</v>
      </c>
      <c r="N7562" s="94"/>
      <c r="O7562" s="94"/>
      <c r="P7562" s="94" t="s">
        <v>2991</v>
      </c>
      <c r="Q7562" s="172"/>
      <c r="R7562" s="94" t="s">
        <v>20211</v>
      </c>
      <c r="S7562" s="94"/>
      <c r="T7562" s="54" t="s">
        <v>34961</v>
      </c>
      <c r="U7562" s="135" t="str">
        <f>HYPERLINK("https://www.ncbi.nlm.nih.gov/pubmed/15664505","PubMed")</f>
        <v>PubMed</v>
      </c>
      <c r="V7562" s="30"/>
      <c r="W7562" s="49"/>
      <c r="X7562" s="49"/>
      <c r="Y7562" s="35"/>
      <c r="Z7562" s="35"/>
      <c r="AA7562" s="35"/>
      <c r="AB7562" s="35"/>
      <c r="AC7562" s="35"/>
      <c r="AD7562" s="35"/>
      <c r="AE7562" s="35"/>
      <c r="AF7562" s="35"/>
      <c r="AG7562" s="35"/>
      <c r="AH7562" s="35"/>
      <c r="AI7562" s="35"/>
      <c r="AJ7562" s="35"/>
      <c r="AK7562" s="35"/>
      <c r="AL7562" s="35"/>
    </row>
    <row r="7563">
      <c r="A7563" s="18"/>
      <c r="B7563" s="157" t="s">
        <v>6113</v>
      </c>
      <c r="C7563" s="158" t="s">
        <v>34743</v>
      </c>
      <c r="D7563" s="159"/>
      <c r="E7563" s="23" t="s">
        <v>34962</v>
      </c>
      <c r="F7563" s="23" t="s">
        <v>8008</v>
      </c>
      <c r="G7563" s="23">
        <v>2005.0</v>
      </c>
      <c r="H7563" s="23" t="s">
        <v>658</v>
      </c>
      <c r="I7563" s="243" t="s">
        <v>34963</v>
      </c>
      <c r="J7563" s="23" t="s">
        <v>55</v>
      </c>
      <c r="K7563" s="23"/>
      <c r="L7563" s="94">
        <v>670.0</v>
      </c>
      <c r="M7563" s="94"/>
      <c r="N7563" s="94"/>
      <c r="O7563" s="94"/>
      <c r="P7563" s="94" t="s">
        <v>34964</v>
      </c>
      <c r="Q7563" s="172"/>
      <c r="R7563" s="94"/>
      <c r="S7563" s="94" t="s">
        <v>34965</v>
      </c>
      <c r="T7563" s="102" t="s">
        <v>34966</v>
      </c>
      <c r="U7563" s="135" t="str">
        <f>HYPERLINK("https://www.ncbi.nlm.nih.gov/pubmed/15954810","PubMed")</f>
        <v>PubMed</v>
      </c>
      <c r="V7563" s="30"/>
      <c r="W7563" s="49"/>
      <c r="X7563" s="49"/>
      <c r="Y7563" s="35"/>
      <c r="Z7563" s="35"/>
      <c r="AA7563" s="35"/>
      <c r="AB7563" s="35"/>
      <c r="AC7563" s="35"/>
      <c r="AD7563" s="35"/>
      <c r="AE7563" s="35"/>
      <c r="AF7563" s="35"/>
      <c r="AG7563" s="35"/>
      <c r="AH7563" s="35"/>
      <c r="AI7563" s="35"/>
      <c r="AJ7563" s="35"/>
      <c r="AK7563" s="35"/>
      <c r="AL7563" s="35"/>
    </row>
    <row r="7564">
      <c r="A7564" s="18"/>
      <c r="B7564" s="157" t="s">
        <v>6113</v>
      </c>
      <c r="C7564" s="158" t="s">
        <v>34743</v>
      </c>
      <c r="D7564" s="159"/>
      <c r="E7564" s="23" t="s">
        <v>999</v>
      </c>
      <c r="F7564" s="23" t="s">
        <v>41</v>
      </c>
      <c r="G7564" s="23">
        <v>2004.0</v>
      </c>
      <c r="H7564" s="23" t="s">
        <v>1289</v>
      </c>
      <c r="I7564" s="243" t="s">
        <v>34967</v>
      </c>
      <c r="J7564" s="23" t="s">
        <v>55</v>
      </c>
      <c r="K7564" s="23" t="s">
        <v>34968</v>
      </c>
      <c r="L7564" s="94">
        <v>633.0</v>
      </c>
      <c r="M7564" s="94"/>
      <c r="N7564" s="94"/>
      <c r="O7564" s="94"/>
      <c r="P7564" s="94" t="s">
        <v>6258</v>
      </c>
      <c r="Q7564" s="172"/>
      <c r="R7564" s="94"/>
      <c r="S7564" s="94"/>
      <c r="T7564" s="54" t="s">
        <v>34969</v>
      </c>
      <c r="U7564" s="135" t="str">
        <f>HYPERLINK("https://www.ncbi.nlm.nih.gov/pubmed/15117489","PubMed")</f>
        <v>PubMed</v>
      </c>
      <c r="V7564" s="30"/>
      <c r="W7564" s="49"/>
      <c r="X7564" s="49"/>
      <c r="Y7564" s="35"/>
      <c r="Z7564" s="35"/>
      <c r="AA7564" s="35"/>
      <c r="AB7564" s="35"/>
      <c r="AC7564" s="35"/>
      <c r="AD7564" s="35"/>
      <c r="AE7564" s="35"/>
      <c r="AF7564" s="35"/>
      <c r="AG7564" s="35"/>
      <c r="AH7564" s="35"/>
      <c r="AI7564" s="35"/>
      <c r="AJ7564" s="35"/>
      <c r="AK7564" s="35"/>
      <c r="AL7564" s="35"/>
    </row>
    <row r="7565">
      <c r="A7565" s="1"/>
      <c r="B7565" s="19" t="s">
        <v>6113</v>
      </c>
      <c r="C7565" s="158" t="s">
        <v>34743</v>
      </c>
      <c r="D7565" s="47"/>
      <c r="E7565" s="421" t="s">
        <v>999</v>
      </c>
      <c r="F7565" s="22" t="s">
        <v>41</v>
      </c>
      <c r="G7565" s="23">
        <v>2002.0</v>
      </c>
      <c r="H7565" s="22" t="s">
        <v>1289</v>
      </c>
      <c r="I7565" s="24" t="s">
        <v>34970</v>
      </c>
      <c r="J7565" s="22" t="s">
        <v>55</v>
      </c>
      <c r="K7565" s="22" t="s">
        <v>12235</v>
      </c>
      <c r="L7565" s="52">
        <v>1047.0</v>
      </c>
      <c r="M7565" s="52"/>
      <c r="N7565" s="52"/>
      <c r="O7565" s="52"/>
      <c r="P7565" s="189"/>
      <c r="Q7565" s="52"/>
      <c r="R7565" s="52"/>
      <c r="S7565" s="52"/>
      <c r="T7565" s="42" t="s">
        <v>34971</v>
      </c>
      <c r="U7565" s="38" t="str">
        <f>HYPERLINK("https://www.ncbi.nlm.nih.gov/pubmed/11902353","PubMed")</f>
        <v>PubMed</v>
      </c>
      <c r="V7565" s="50"/>
      <c r="W7565" s="49"/>
      <c r="X7565" s="49"/>
      <c r="Y7565" s="35"/>
      <c r="Z7565" s="35"/>
      <c r="AA7565" s="35"/>
      <c r="AB7565" s="35"/>
      <c r="AC7565" s="35"/>
      <c r="AD7565" s="35"/>
      <c r="AE7565" s="35"/>
      <c r="AF7565" s="35"/>
      <c r="AG7565" s="35"/>
      <c r="AH7565" s="35"/>
      <c r="AI7565" s="35"/>
      <c r="AJ7565" s="35"/>
      <c r="AK7565" s="35"/>
      <c r="AL7565" s="35"/>
    </row>
    <row r="7566">
      <c r="A7566" s="18"/>
      <c r="B7566" s="157" t="s">
        <v>6113</v>
      </c>
      <c r="C7566" s="158" t="s">
        <v>34743</v>
      </c>
      <c r="D7566" s="159"/>
      <c r="E7566" s="23" t="s">
        <v>34972</v>
      </c>
      <c r="F7566" s="23" t="s">
        <v>19117</v>
      </c>
      <c r="G7566" s="23">
        <v>2000.0</v>
      </c>
      <c r="H7566" s="23" t="s">
        <v>129</v>
      </c>
      <c r="I7566" s="243" t="s">
        <v>34973</v>
      </c>
      <c r="J7566" s="23" t="s">
        <v>55</v>
      </c>
      <c r="K7566" s="23"/>
      <c r="L7566" s="94">
        <v>670.0</v>
      </c>
      <c r="M7566" s="94">
        <v>250.0</v>
      </c>
      <c r="N7566" s="94"/>
      <c r="O7566" s="94"/>
      <c r="P7566" s="94">
        <v>2.0</v>
      </c>
      <c r="Q7566" s="172"/>
      <c r="R7566" s="94"/>
      <c r="S7566" s="94"/>
      <c r="T7566" s="103" t="s">
        <v>34974</v>
      </c>
      <c r="U7566" s="135" t="str">
        <f>HYPERLINK("https://www.ncbi.nlm.nih.gov/pubmed/10809091","PubMed")</f>
        <v>PubMed</v>
      </c>
      <c r="V7566" s="30"/>
      <c r="W7566" s="49"/>
      <c r="X7566" s="49"/>
      <c r="Y7566" s="35"/>
      <c r="Z7566" s="35"/>
      <c r="AA7566" s="35"/>
      <c r="AB7566" s="35"/>
      <c r="AC7566" s="35"/>
      <c r="AD7566" s="35"/>
      <c r="AE7566" s="35"/>
      <c r="AF7566" s="35"/>
      <c r="AG7566" s="35"/>
      <c r="AH7566" s="35"/>
      <c r="AI7566" s="35"/>
      <c r="AJ7566" s="35"/>
      <c r="AK7566" s="35"/>
      <c r="AL7566" s="35"/>
    </row>
    <row r="7567">
      <c r="A7567" s="18"/>
      <c r="B7567" s="157" t="s">
        <v>6113</v>
      </c>
      <c r="C7567" s="158" t="s">
        <v>34743</v>
      </c>
      <c r="D7567" s="159"/>
      <c r="E7567" s="23" t="s">
        <v>34972</v>
      </c>
      <c r="F7567" s="23" t="s">
        <v>19117</v>
      </c>
      <c r="G7567" s="23">
        <v>2000.0</v>
      </c>
      <c r="H7567" s="23" t="s">
        <v>53</v>
      </c>
      <c r="I7567" s="243" t="s">
        <v>34975</v>
      </c>
      <c r="J7567" s="23" t="s">
        <v>55</v>
      </c>
      <c r="K7567" s="23" t="s">
        <v>294</v>
      </c>
      <c r="L7567" s="94" t="s">
        <v>34976</v>
      </c>
      <c r="M7567" s="94"/>
      <c r="N7567" s="94"/>
      <c r="O7567" s="94"/>
      <c r="P7567" s="94"/>
      <c r="Q7567" s="172"/>
      <c r="R7567" s="94"/>
      <c r="S7567" s="94"/>
      <c r="T7567" s="103" t="s">
        <v>34977</v>
      </c>
      <c r="U7567" s="135" t="str">
        <f>HYPERLINK("https://www.ncbi.nlm.nih.gov/pubmed/10918291","PubMed")</f>
        <v>PubMed</v>
      </c>
      <c r="V7567" s="30"/>
      <c r="W7567" s="49"/>
      <c r="X7567" s="49"/>
      <c r="Y7567" s="35"/>
      <c r="Z7567" s="35"/>
      <c r="AA7567" s="35"/>
      <c r="AB7567" s="35"/>
      <c r="AC7567" s="35"/>
      <c r="AD7567" s="35"/>
      <c r="AE7567" s="35"/>
      <c r="AF7567" s="35"/>
      <c r="AG7567" s="35"/>
      <c r="AH7567" s="35"/>
      <c r="AI7567" s="35"/>
      <c r="AJ7567" s="35"/>
      <c r="AK7567" s="35"/>
      <c r="AL7567" s="35"/>
    </row>
    <row r="7568">
      <c r="A7568" s="18"/>
      <c r="B7568" s="157" t="s">
        <v>6113</v>
      </c>
      <c r="C7568" s="158" t="s">
        <v>34743</v>
      </c>
      <c r="D7568" s="159"/>
      <c r="E7568" s="23" t="s">
        <v>2316</v>
      </c>
      <c r="F7568" s="23"/>
      <c r="G7568" s="23">
        <v>1992.0</v>
      </c>
      <c r="H7568" s="23" t="s">
        <v>53</v>
      </c>
      <c r="I7568" s="243" t="s">
        <v>34978</v>
      </c>
      <c r="J7568" s="23" t="s">
        <v>44</v>
      </c>
      <c r="K7568" s="23" t="s">
        <v>34979</v>
      </c>
      <c r="L7568" s="94">
        <v>633.0</v>
      </c>
      <c r="M7568" s="94"/>
      <c r="N7568" s="94"/>
      <c r="O7568" s="94"/>
      <c r="P7568" s="94" t="s">
        <v>1729</v>
      </c>
      <c r="Q7568" s="172"/>
      <c r="R7568" s="94"/>
      <c r="S7568" s="94"/>
      <c r="T7568" s="54" t="s">
        <v>34980</v>
      </c>
      <c r="U7568" s="135" t="str">
        <f>HYPERLINK("https://www.ncbi.nlm.nih.gov/pubmed/1573968","PubMed")</f>
        <v>PubMed</v>
      </c>
      <c r="V7568" s="30"/>
      <c r="W7568" s="49"/>
      <c r="X7568" s="49"/>
      <c r="Y7568" s="35"/>
      <c r="Z7568" s="35"/>
      <c r="AA7568" s="35"/>
      <c r="AB7568" s="35"/>
      <c r="AC7568" s="35"/>
      <c r="AD7568" s="35"/>
      <c r="AE7568" s="35"/>
      <c r="AF7568" s="35"/>
      <c r="AG7568" s="35"/>
      <c r="AH7568" s="35"/>
      <c r="AI7568" s="35"/>
      <c r="AJ7568" s="35"/>
      <c r="AK7568" s="35"/>
      <c r="AL7568" s="35"/>
    </row>
    <row r="7569">
      <c r="A7569" s="457"/>
      <c r="B7569" s="19" t="s">
        <v>6113</v>
      </c>
      <c r="C7569" s="158" t="s">
        <v>34743</v>
      </c>
      <c r="D7569" s="47"/>
      <c r="E7569" s="22" t="s">
        <v>14525</v>
      </c>
      <c r="F7569" s="22" t="s">
        <v>13592</v>
      </c>
      <c r="G7569" s="23">
        <v>1971.0</v>
      </c>
      <c r="H7569" s="22" t="s">
        <v>34981</v>
      </c>
      <c r="I7569" s="24" t="s">
        <v>34982</v>
      </c>
      <c r="J7569" s="22" t="s">
        <v>44</v>
      </c>
      <c r="K7569" s="22"/>
      <c r="L7569" s="36">
        <v>694.0</v>
      </c>
      <c r="M7569" s="107"/>
      <c r="N7569" s="36"/>
      <c r="O7569" s="36"/>
      <c r="P7569" s="37" t="s">
        <v>34983</v>
      </c>
      <c r="Q7569" s="107"/>
      <c r="R7569" s="36"/>
      <c r="S7569" s="36"/>
      <c r="T7569" s="42" t="s">
        <v>34984</v>
      </c>
      <c r="U7569" s="38" t="str">
        <f>HYPERLINK("https://www.ncbi.nlm.nih.gov/pubmed/5098661","PubMed")</f>
        <v>PubMed</v>
      </c>
      <c r="V7569" s="50"/>
      <c r="W7569" s="49"/>
      <c r="X7569" s="49"/>
      <c r="Y7569" s="35"/>
      <c r="Z7569" s="35"/>
      <c r="AA7569" s="35"/>
      <c r="AB7569" s="35"/>
      <c r="AC7569" s="35"/>
      <c r="AD7569" s="35"/>
      <c r="AE7569" s="35"/>
      <c r="AF7569" s="35"/>
      <c r="AG7569" s="35"/>
      <c r="AH7569" s="35"/>
      <c r="AI7569" s="35"/>
      <c r="AJ7569" s="35"/>
      <c r="AK7569" s="35"/>
      <c r="AL7569" s="35"/>
    </row>
    <row r="7570">
      <c r="A7570" s="18"/>
      <c r="B7570" s="157" t="s">
        <v>6113</v>
      </c>
      <c r="C7570" s="158" t="s">
        <v>13012</v>
      </c>
      <c r="D7570" s="159"/>
      <c r="E7570" s="23" t="s">
        <v>34985</v>
      </c>
      <c r="F7570" s="23" t="s">
        <v>323</v>
      </c>
      <c r="G7570" s="23">
        <v>2009.0</v>
      </c>
      <c r="H7570" s="23" t="s">
        <v>91</v>
      </c>
      <c r="I7570" s="243" t="s">
        <v>34986</v>
      </c>
      <c r="J7570" s="23" t="s">
        <v>253</v>
      </c>
      <c r="K7570" s="23" t="s">
        <v>34987</v>
      </c>
      <c r="L7570" s="94" t="s">
        <v>11644</v>
      </c>
      <c r="M7570" s="94" t="s">
        <v>11645</v>
      </c>
      <c r="N7570" s="94"/>
      <c r="O7570" s="94"/>
      <c r="P7570" s="94" t="s">
        <v>34988</v>
      </c>
      <c r="Q7570" s="94" t="s">
        <v>17520</v>
      </c>
      <c r="R7570" s="94" t="s">
        <v>6214</v>
      </c>
      <c r="S7570" s="94"/>
      <c r="T7570" s="54" t="s">
        <v>34989</v>
      </c>
      <c r="U7570" s="135" t="str">
        <f>HYPERLINK("https://www.ncbi.nlm.nih.gov/pubmed/19050825","PubMed")</f>
        <v>PubMed</v>
      </c>
      <c r="V7570" s="30"/>
      <c r="W7570" s="49"/>
      <c r="X7570" s="49"/>
      <c r="Y7570" s="35"/>
      <c r="Z7570" s="35"/>
      <c r="AA7570" s="35"/>
      <c r="AB7570" s="35"/>
      <c r="AC7570" s="35"/>
      <c r="AD7570" s="35"/>
      <c r="AE7570" s="35"/>
      <c r="AF7570" s="35"/>
      <c r="AG7570" s="35"/>
      <c r="AH7570" s="35"/>
      <c r="AI7570" s="35"/>
      <c r="AJ7570" s="35"/>
      <c r="AK7570" s="35"/>
      <c r="AL7570" s="35"/>
    </row>
    <row r="7571">
      <c r="A7571" s="18"/>
      <c r="B7571" s="19" t="s">
        <v>6113</v>
      </c>
      <c r="C7571" s="158" t="s">
        <v>28091</v>
      </c>
      <c r="D7571" s="159"/>
      <c r="E7571" s="23" t="s">
        <v>21788</v>
      </c>
      <c r="F7571" s="23" t="s">
        <v>34990</v>
      </c>
      <c r="G7571" s="23">
        <v>2024.0</v>
      </c>
      <c r="H7571" s="23" t="s">
        <v>2375</v>
      </c>
      <c r="I7571" s="243" t="s">
        <v>34991</v>
      </c>
      <c r="J7571" s="23" t="s">
        <v>34992</v>
      </c>
      <c r="K7571" s="23"/>
      <c r="L7571" s="94" t="s">
        <v>34993</v>
      </c>
      <c r="M7571" s="94"/>
      <c r="N7571" s="94"/>
      <c r="O7571" s="94"/>
      <c r="P7571" s="94"/>
      <c r="Q7571" s="94"/>
      <c r="R7571" s="94"/>
      <c r="S7571" s="94"/>
      <c r="T7571" s="54" t="s">
        <v>34994</v>
      </c>
      <c r="U7571" s="135" t="s">
        <v>61</v>
      </c>
      <c r="V7571" s="30" t="s">
        <v>34995</v>
      </c>
      <c r="W7571" s="49"/>
      <c r="X7571" s="49"/>
      <c r="Y7571" s="35"/>
      <c r="Z7571" s="35"/>
      <c r="AA7571" s="35"/>
      <c r="AB7571" s="35"/>
      <c r="AC7571" s="35"/>
      <c r="AD7571" s="35"/>
      <c r="AE7571" s="35"/>
      <c r="AF7571" s="35"/>
      <c r="AG7571" s="35"/>
      <c r="AH7571" s="35"/>
      <c r="AI7571" s="35"/>
      <c r="AJ7571" s="35"/>
      <c r="AK7571" s="35"/>
      <c r="AL7571" s="35"/>
    </row>
    <row r="7572">
      <c r="A7572" s="18"/>
      <c r="B7572" s="19" t="s">
        <v>6113</v>
      </c>
      <c r="C7572" s="158" t="s">
        <v>28091</v>
      </c>
      <c r="D7572" s="159"/>
      <c r="E7572" s="23" t="s">
        <v>34996</v>
      </c>
      <c r="F7572" s="23" t="s">
        <v>34997</v>
      </c>
      <c r="G7572" s="23">
        <v>2024.0</v>
      </c>
      <c r="H7572" s="23" t="s">
        <v>34998</v>
      </c>
      <c r="I7572" s="243" t="s">
        <v>34999</v>
      </c>
      <c r="J7572" s="23" t="s">
        <v>55</v>
      </c>
      <c r="K7572" s="23"/>
      <c r="L7572" s="94"/>
      <c r="M7572" s="94"/>
      <c r="N7572" s="94"/>
      <c r="O7572" s="94"/>
      <c r="P7572" s="94"/>
      <c r="Q7572" s="94"/>
      <c r="R7572" s="94"/>
      <c r="S7572" s="94"/>
      <c r="T7572" s="102" t="s">
        <v>35000</v>
      </c>
      <c r="U7572" s="135" t="s">
        <v>61</v>
      </c>
      <c r="V7572" s="30" t="s">
        <v>174</v>
      </c>
      <c r="W7572" s="49"/>
      <c r="X7572" s="49"/>
      <c r="Y7572" s="35"/>
      <c r="Z7572" s="35"/>
      <c r="AA7572" s="35"/>
      <c r="AB7572" s="35"/>
      <c r="AC7572" s="35"/>
      <c r="AD7572" s="35"/>
      <c r="AE7572" s="35"/>
      <c r="AF7572" s="35"/>
      <c r="AG7572" s="35"/>
      <c r="AH7572" s="35"/>
      <c r="AI7572" s="35"/>
      <c r="AJ7572" s="35"/>
      <c r="AK7572" s="35"/>
      <c r="AL7572" s="35"/>
    </row>
    <row r="7573">
      <c r="A7573" s="18" t="s">
        <v>181</v>
      </c>
      <c r="B7573" s="19" t="s">
        <v>6113</v>
      </c>
      <c r="C7573" s="158" t="s">
        <v>28091</v>
      </c>
      <c r="D7573" s="159"/>
      <c r="E7573" s="23" t="s">
        <v>35001</v>
      </c>
      <c r="F7573" s="23" t="s">
        <v>4296</v>
      </c>
      <c r="G7573" s="23">
        <v>2023.0</v>
      </c>
      <c r="H7573" s="23" t="s">
        <v>2812</v>
      </c>
      <c r="I7573" s="243" t="s">
        <v>35002</v>
      </c>
      <c r="J7573" s="23" t="s">
        <v>35003</v>
      </c>
      <c r="K7573" s="23"/>
      <c r="L7573" s="94" t="s">
        <v>58</v>
      </c>
      <c r="M7573" s="94" t="s">
        <v>58</v>
      </c>
      <c r="N7573" s="94" t="s">
        <v>58</v>
      </c>
      <c r="O7573" s="94" t="s">
        <v>58</v>
      </c>
      <c r="P7573" s="94" t="s">
        <v>58</v>
      </c>
      <c r="Q7573" s="94" t="s">
        <v>58</v>
      </c>
      <c r="R7573" s="94" t="s">
        <v>58</v>
      </c>
      <c r="S7573" s="94"/>
      <c r="T7573" s="54" t="s">
        <v>35004</v>
      </c>
      <c r="U7573" s="135" t="s">
        <v>61</v>
      </c>
      <c r="V7573" s="30"/>
      <c r="W7573" s="49"/>
      <c r="X7573" s="49"/>
      <c r="Y7573" s="35"/>
      <c r="Z7573" s="35"/>
      <c r="AA7573" s="35"/>
      <c r="AB7573" s="35"/>
      <c r="AC7573" s="35"/>
      <c r="AD7573" s="35"/>
      <c r="AE7573" s="35"/>
      <c r="AF7573" s="35"/>
      <c r="AG7573" s="35"/>
      <c r="AH7573" s="35"/>
      <c r="AI7573" s="35"/>
      <c r="AJ7573" s="35"/>
      <c r="AK7573" s="35"/>
      <c r="AL7573" s="35"/>
    </row>
    <row r="7574">
      <c r="A7574" s="18"/>
      <c r="B7574" s="19" t="s">
        <v>6113</v>
      </c>
      <c r="C7574" s="158" t="s">
        <v>28091</v>
      </c>
      <c r="D7574" s="159"/>
      <c r="E7574" s="23" t="s">
        <v>35005</v>
      </c>
      <c r="F7574" s="23" t="s">
        <v>2635</v>
      </c>
      <c r="G7574" s="23">
        <v>2023.0</v>
      </c>
      <c r="H7574" s="23" t="s">
        <v>6024</v>
      </c>
      <c r="I7574" s="243" t="s">
        <v>35006</v>
      </c>
      <c r="J7574" s="23" t="s">
        <v>35007</v>
      </c>
      <c r="K7574" s="23" t="s">
        <v>1725</v>
      </c>
      <c r="L7574" s="94">
        <v>420.0</v>
      </c>
      <c r="M7574" s="94"/>
      <c r="N7574" s="94"/>
      <c r="O7574" s="94"/>
      <c r="P7574" s="416"/>
      <c r="Q7574" s="94"/>
      <c r="R7574" s="94"/>
      <c r="S7574" s="94" t="s">
        <v>8418</v>
      </c>
      <c r="T7574" s="54" t="s">
        <v>35008</v>
      </c>
      <c r="U7574" s="135" t="s">
        <v>61</v>
      </c>
      <c r="V7574" s="30" t="s">
        <v>35009</v>
      </c>
      <c r="W7574" s="49"/>
      <c r="X7574" s="49"/>
      <c r="Y7574" s="35"/>
      <c r="Z7574" s="35"/>
      <c r="AA7574" s="35"/>
      <c r="AB7574" s="35"/>
      <c r="AC7574" s="35"/>
      <c r="AD7574" s="35"/>
      <c r="AE7574" s="35"/>
      <c r="AF7574" s="35"/>
      <c r="AG7574" s="35"/>
      <c r="AH7574" s="35"/>
      <c r="AI7574" s="35"/>
      <c r="AJ7574" s="35"/>
      <c r="AK7574" s="35"/>
      <c r="AL7574" s="35"/>
    </row>
    <row r="7575">
      <c r="A7575" s="18"/>
      <c r="B7575" s="19" t="s">
        <v>6113</v>
      </c>
      <c r="C7575" s="158" t="s">
        <v>28091</v>
      </c>
      <c r="D7575" s="159"/>
      <c r="E7575" s="23" t="s">
        <v>1767</v>
      </c>
      <c r="F7575" s="23" t="s">
        <v>4491</v>
      </c>
      <c r="G7575" s="23">
        <v>2022.0</v>
      </c>
      <c r="H7575" s="23" t="s">
        <v>5130</v>
      </c>
      <c r="I7575" s="243" t="s">
        <v>35010</v>
      </c>
      <c r="J7575" s="23" t="s">
        <v>35011</v>
      </c>
      <c r="K7575" s="23"/>
      <c r="L7575" s="94">
        <v>810.0</v>
      </c>
      <c r="M7575" s="94"/>
      <c r="N7575" s="94"/>
      <c r="O7575" s="94"/>
      <c r="P7575" s="416"/>
      <c r="Q7575" s="94"/>
      <c r="R7575" s="94"/>
      <c r="S7575" s="94"/>
      <c r="T7575" s="54" t="s">
        <v>35012</v>
      </c>
      <c r="U7575" s="135" t="s">
        <v>61</v>
      </c>
      <c r="V7575" s="30" t="s">
        <v>174</v>
      </c>
      <c r="W7575" s="49"/>
      <c r="X7575" s="49"/>
      <c r="Y7575" s="35"/>
      <c r="Z7575" s="35"/>
      <c r="AA7575" s="35"/>
      <c r="AB7575" s="35"/>
      <c r="AC7575" s="35"/>
      <c r="AD7575" s="35"/>
      <c r="AE7575" s="35"/>
      <c r="AF7575" s="35"/>
      <c r="AG7575" s="35"/>
      <c r="AH7575" s="35"/>
      <c r="AI7575" s="35"/>
      <c r="AJ7575" s="35"/>
      <c r="AK7575" s="35"/>
      <c r="AL7575" s="35"/>
    </row>
    <row r="7576">
      <c r="A7576" s="18"/>
      <c r="B7576" s="19" t="s">
        <v>6113</v>
      </c>
      <c r="C7576" s="158" t="s">
        <v>28091</v>
      </c>
      <c r="D7576" s="159"/>
      <c r="E7576" s="23" t="s">
        <v>35013</v>
      </c>
      <c r="F7576" s="23" t="s">
        <v>9400</v>
      </c>
      <c r="G7576" s="23">
        <v>2022.0</v>
      </c>
      <c r="H7576" s="23" t="s">
        <v>348</v>
      </c>
      <c r="I7576" s="243" t="s">
        <v>35014</v>
      </c>
      <c r="J7576" s="23" t="s">
        <v>31</v>
      </c>
      <c r="K7576" s="23" t="s">
        <v>35015</v>
      </c>
      <c r="L7576" s="94" t="s">
        <v>35016</v>
      </c>
      <c r="M7576" s="94"/>
      <c r="N7576" s="94"/>
      <c r="O7576" s="94"/>
      <c r="P7576" s="416"/>
      <c r="Q7576" s="94"/>
      <c r="R7576" s="94"/>
      <c r="S7576" s="94"/>
      <c r="T7576" s="102" t="s">
        <v>35017</v>
      </c>
      <c r="U7576" s="135" t="s">
        <v>61</v>
      </c>
      <c r="V7576" s="30"/>
      <c r="W7576" s="49"/>
      <c r="X7576" s="49"/>
      <c r="Y7576" s="35"/>
      <c r="Z7576" s="35"/>
      <c r="AA7576" s="35"/>
      <c r="AB7576" s="35"/>
      <c r="AC7576" s="35"/>
      <c r="AD7576" s="35"/>
      <c r="AE7576" s="35"/>
      <c r="AF7576" s="35"/>
      <c r="AG7576" s="35"/>
      <c r="AH7576" s="35"/>
      <c r="AI7576" s="35"/>
      <c r="AJ7576" s="35"/>
      <c r="AK7576" s="35"/>
      <c r="AL7576" s="35"/>
    </row>
    <row r="7577">
      <c r="A7577" s="18"/>
      <c r="B7577" s="19" t="s">
        <v>6113</v>
      </c>
      <c r="C7577" s="158" t="s">
        <v>28091</v>
      </c>
      <c r="D7577" s="159"/>
      <c r="E7577" s="23" t="s">
        <v>2338</v>
      </c>
      <c r="F7577" s="23" t="s">
        <v>206</v>
      </c>
      <c r="G7577" s="23">
        <v>2022.0</v>
      </c>
      <c r="H7577" s="23" t="s">
        <v>2483</v>
      </c>
      <c r="I7577" s="243" t="s">
        <v>35018</v>
      </c>
      <c r="J7577" s="23" t="s">
        <v>35019</v>
      </c>
      <c r="K7577" s="23"/>
      <c r="L7577" s="94" t="s">
        <v>35020</v>
      </c>
      <c r="M7577" s="94">
        <v>400.0</v>
      </c>
      <c r="N7577" s="94" t="s">
        <v>3132</v>
      </c>
      <c r="O7577" s="94"/>
      <c r="P7577" s="416">
        <v>44775.0</v>
      </c>
      <c r="Q7577" s="94" t="s">
        <v>35021</v>
      </c>
      <c r="R7577" s="94"/>
      <c r="S7577" s="94" t="s">
        <v>2680</v>
      </c>
      <c r="T7577" s="54" t="s">
        <v>35022</v>
      </c>
      <c r="U7577" s="135" t="s">
        <v>2453</v>
      </c>
      <c r="V7577" s="30"/>
      <c r="W7577" s="49"/>
      <c r="X7577" s="49"/>
      <c r="Y7577" s="35"/>
      <c r="Z7577" s="35"/>
      <c r="AA7577" s="35"/>
      <c r="AB7577" s="35"/>
      <c r="AC7577" s="35"/>
      <c r="AD7577" s="35"/>
      <c r="AE7577" s="35"/>
      <c r="AF7577" s="35"/>
      <c r="AG7577" s="35"/>
      <c r="AH7577" s="35"/>
      <c r="AI7577" s="35"/>
      <c r="AJ7577" s="35"/>
      <c r="AK7577" s="35"/>
      <c r="AL7577" s="35"/>
    </row>
    <row r="7578">
      <c r="A7578" s="1"/>
      <c r="B7578" s="19" t="s">
        <v>6113</v>
      </c>
      <c r="C7578" s="158" t="s">
        <v>28091</v>
      </c>
      <c r="D7578" s="159"/>
      <c r="E7578" s="23" t="s">
        <v>673</v>
      </c>
      <c r="F7578" s="23" t="s">
        <v>323</v>
      </c>
      <c r="G7578" s="23">
        <v>2021.0</v>
      </c>
      <c r="H7578" s="23" t="s">
        <v>147</v>
      </c>
      <c r="I7578" s="243" t="s">
        <v>35023</v>
      </c>
      <c r="J7578" s="23" t="s">
        <v>55</v>
      </c>
      <c r="K7578" s="23" t="s">
        <v>35024</v>
      </c>
      <c r="L7578" s="94">
        <v>890.0</v>
      </c>
      <c r="M7578" s="458">
        <v>44409.0</v>
      </c>
      <c r="N7578" s="94" t="s">
        <v>1975</v>
      </c>
      <c r="O7578" s="94"/>
      <c r="P7578" s="94"/>
      <c r="Q7578" s="94" t="s">
        <v>501</v>
      </c>
      <c r="R7578" s="94" t="s">
        <v>35025</v>
      </c>
      <c r="S7578" s="94"/>
      <c r="T7578" s="102" t="s">
        <v>35026</v>
      </c>
      <c r="U7578" s="138" t="s">
        <v>61</v>
      </c>
      <c r="V7578" s="30"/>
      <c r="W7578" s="49"/>
      <c r="X7578" s="49"/>
      <c r="Y7578" s="35"/>
      <c r="Z7578" s="35"/>
      <c r="AA7578" s="35"/>
      <c r="AB7578" s="35"/>
      <c r="AC7578" s="35"/>
      <c r="AD7578" s="35"/>
      <c r="AE7578" s="35"/>
      <c r="AF7578" s="35"/>
      <c r="AG7578" s="35"/>
      <c r="AH7578" s="35"/>
      <c r="AI7578" s="35"/>
      <c r="AJ7578" s="35"/>
      <c r="AK7578" s="35"/>
      <c r="AL7578" s="35"/>
    </row>
    <row r="7579">
      <c r="A7579" s="415"/>
      <c r="B7579" s="19" t="s">
        <v>6113</v>
      </c>
      <c r="C7579" s="158" t="s">
        <v>28091</v>
      </c>
      <c r="D7579" s="159"/>
      <c r="E7579" s="23" t="s">
        <v>312</v>
      </c>
      <c r="F7579" s="23" t="s">
        <v>10761</v>
      </c>
      <c r="G7579" s="23">
        <v>2021.0</v>
      </c>
      <c r="H7579" s="23" t="s">
        <v>6911</v>
      </c>
      <c r="I7579" s="243" t="s">
        <v>35027</v>
      </c>
      <c r="J7579" s="23" t="s">
        <v>35028</v>
      </c>
      <c r="K7579" s="23"/>
      <c r="L7579" s="52">
        <v>1064.0</v>
      </c>
      <c r="M7579" s="52">
        <v>8000.0</v>
      </c>
      <c r="N7579" s="52" t="s">
        <v>58</v>
      </c>
      <c r="O7579" s="52" t="s">
        <v>58</v>
      </c>
      <c r="P7579" s="189" t="s">
        <v>6397</v>
      </c>
      <c r="Q7579" s="52" t="s">
        <v>501</v>
      </c>
      <c r="R7579" s="52" t="s">
        <v>35029</v>
      </c>
      <c r="S7579" s="52" t="s">
        <v>8476</v>
      </c>
      <c r="T7579" s="54" t="s">
        <v>35030</v>
      </c>
      <c r="U7579" s="138" t="s">
        <v>61</v>
      </c>
      <c r="V7579" s="30" t="s">
        <v>35031</v>
      </c>
      <c r="W7579" s="49"/>
      <c r="X7579" s="49"/>
      <c r="Y7579" s="35"/>
      <c r="Z7579" s="35"/>
      <c r="AA7579" s="35"/>
      <c r="AB7579" s="35"/>
      <c r="AC7579" s="35"/>
      <c r="AD7579" s="35"/>
      <c r="AE7579" s="35"/>
      <c r="AF7579" s="35"/>
      <c r="AG7579" s="35"/>
      <c r="AH7579" s="35"/>
      <c r="AI7579" s="35"/>
      <c r="AJ7579" s="35"/>
      <c r="AK7579" s="35"/>
      <c r="AL7579" s="35"/>
    </row>
    <row r="7580">
      <c r="A7580" s="415"/>
      <c r="B7580" s="19" t="s">
        <v>6113</v>
      </c>
      <c r="C7580" s="158" t="s">
        <v>28091</v>
      </c>
      <c r="D7580" s="159"/>
      <c r="E7580" s="23" t="s">
        <v>35032</v>
      </c>
      <c r="F7580" s="23" t="s">
        <v>2635</v>
      </c>
      <c r="G7580" s="23">
        <v>2021.0</v>
      </c>
      <c r="H7580" s="23" t="s">
        <v>35033</v>
      </c>
      <c r="I7580" s="243" t="s">
        <v>35034</v>
      </c>
      <c r="J7580" s="23" t="s">
        <v>35035</v>
      </c>
      <c r="K7580" s="23" t="s">
        <v>1725</v>
      </c>
      <c r="L7580" s="52">
        <v>420.0</v>
      </c>
      <c r="M7580" s="52"/>
      <c r="N7580" s="52"/>
      <c r="O7580" s="52"/>
      <c r="P7580" s="189"/>
      <c r="Q7580" s="52"/>
      <c r="R7580" s="52"/>
      <c r="S7580" s="52"/>
      <c r="T7580" s="54" t="s">
        <v>35036</v>
      </c>
      <c r="U7580" s="138" t="s">
        <v>61</v>
      </c>
      <c r="V7580" s="30" t="s">
        <v>35037</v>
      </c>
      <c r="W7580" s="49"/>
      <c r="X7580" s="49"/>
      <c r="Y7580" s="35"/>
      <c r="Z7580" s="35"/>
      <c r="AA7580" s="35"/>
      <c r="AB7580" s="35"/>
      <c r="AC7580" s="35"/>
      <c r="AD7580" s="35"/>
      <c r="AE7580" s="35"/>
      <c r="AF7580" s="35"/>
      <c r="AG7580" s="35"/>
      <c r="AH7580" s="35"/>
      <c r="AI7580" s="35"/>
      <c r="AJ7580" s="35"/>
      <c r="AK7580" s="35"/>
      <c r="AL7580" s="35"/>
    </row>
    <row r="7581">
      <c r="A7581" s="415"/>
      <c r="B7581" s="19" t="s">
        <v>6113</v>
      </c>
      <c r="C7581" s="158" t="s">
        <v>28091</v>
      </c>
      <c r="D7581" s="159"/>
      <c r="E7581" s="23" t="s">
        <v>34996</v>
      </c>
      <c r="F7581" s="23" t="s">
        <v>34997</v>
      </c>
      <c r="G7581" s="23">
        <v>2021.0</v>
      </c>
      <c r="H7581" s="23" t="s">
        <v>1000</v>
      </c>
      <c r="I7581" s="243" t="s">
        <v>35038</v>
      </c>
      <c r="J7581" s="23" t="s">
        <v>55</v>
      </c>
      <c r="K7581" s="23"/>
      <c r="L7581" s="52">
        <v>660.0</v>
      </c>
      <c r="M7581" s="52">
        <v>10.0</v>
      </c>
      <c r="N7581" s="52"/>
      <c r="O7581" s="52"/>
      <c r="P7581" s="189" t="s">
        <v>2555</v>
      </c>
      <c r="Q7581" s="52"/>
      <c r="R7581" s="52"/>
      <c r="S7581" s="52"/>
      <c r="T7581" s="54" t="s">
        <v>35039</v>
      </c>
      <c r="U7581" s="138" t="s">
        <v>6736</v>
      </c>
      <c r="V7581" s="30"/>
      <c r="W7581" s="49"/>
      <c r="X7581" s="49"/>
      <c r="Y7581" s="35"/>
      <c r="Z7581" s="35"/>
      <c r="AA7581" s="35"/>
      <c r="AB7581" s="35"/>
      <c r="AC7581" s="35"/>
      <c r="AD7581" s="35"/>
      <c r="AE7581" s="35"/>
      <c r="AF7581" s="35"/>
      <c r="AG7581" s="35"/>
      <c r="AH7581" s="35"/>
      <c r="AI7581" s="35"/>
      <c r="AJ7581" s="35"/>
      <c r="AK7581" s="35"/>
      <c r="AL7581" s="35"/>
    </row>
    <row r="7582">
      <c r="A7582" s="40"/>
      <c r="B7582" s="75" t="s">
        <v>6113</v>
      </c>
      <c r="C7582" s="158" t="s">
        <v>28091</v>
      </c>
      <c r="D7582" s="159"/>
      <c r="E7582" s="23" t="s">
        <v>1101</v>
      </c>
      <c r="F7582" s="23" t="s">
        <v>23440</v>
      </c>
      <c r="G7582" s="23">
        <v>2020.0</v>
      </c>
      <c r="H7582" s="23" t="s">
        <v>147</v>
      </c>
      <c r="I7582" s="243" t="s">
        <v>35040</v>
      </c>
      <c r="J7582" s="22" t="s">
        <v>2273</v>
      </c>
      <c r="K7582" s="23"/>
      <c r="L7582" s="94">
        <v>980.0</v>
      </c>
      <c r="M7582" s="94">
        <v>10000.0</v>
      </c>
      <c r="N7582" s="94"/>
      <c r="O7582" s="94"/>
      <c r="P7582" s="94" t="s">
        <v>17106</v>
      </c>
      <c r="Q7582" s="94" t="s">
        <v>35041</v>
      </c>
      <c r="R7582" s="94" t="s">
        <v>35042</v>
      </c>
      <c r="S7582" s="94" t="s">
        <v>13185</v>
      </c>
      <c r="T7582" s="54" t="s">
        <v>35043</v>
      </c>
      <c r="U7582" s="135" t="str">
        <f>HYPERLINK("https://www.ncbi.nlm.nih.gov/pubmed/32099637","PubMed")</f>
        <v>PubMed</v>
      </c>
      <c r="V7582" s="30" t="s">
        <v>35044</v>
      </c>
      <c r="W7582" s="49"/>
      <c r="X7582" s="49"/>
      <c r="Y7582" s="35"/>
      <c r="Z7582" s="35"/>
      <c r="AA7582" s="35"/>
      <c r="AB7582" s="35"/>
      <c r="AC7582" s="35"/>
      <c r="AD7582" s="35"/>
      <c r="AE7582" s="35"/>
      <c r="AF7582" s="35"/>
      <c r="AG7582" s="35"/>
      <c r="AH7582" s="35"/>
      <c r="AI7582" s="35"/>
      <c r="AJ7582" s="35"/>
      <c r="AK7582" s="35"/>
      <c r="AL7582" s="35"/>
    </row>
    <row r="7583">
      <c r="A7583" s="18"/>
      <c r="B7583" s="157" t="s">
        <v>6113</v>
      </c>
      <c r="C7583" s="158" t="s">
        <v>28091</v>
      </c>
      <c r="D7583" s="159"/>
      <c r="E7583" s="23" t="s">
        <v>35045</v>
      </c>
      <c r="F7583" s="23" t="s">
        <v>2028</v>
      </c>
      <c r="G7583" s="23">
        <v>2020.0</v>
      </c>
      <c r="H7583" s="23" t="s">
        <v>35046</v>
      </c>
      <c r="I7583" s="243" t="s">
        <v>35047</v>
      </c>
      <c r="J7583" s="22" t="s">
        <v>16605</v>
      </c>
      <c r="K7583" s="23" t="s">
        <v>157</v>
      </c>
      <c r="L7583" s="94" t="s">
        <v>35048</v>
      </c>
      <c r="M7583" s="94" t="s">
        <v>58</v>
      </c>
      <c r="N7583" s="94" t="s">
        <v>58</v>
      </c>
      <c r="O7583" s="94" t="s">
        <v>58</v>
      </c>
      <c r="P7583" s="94">
        <v>4.0</v>
      </c>
      <c r="Q7583" s="172" t="s">
        <v>58</v>
      </c>
      <c r="R7583" s="94">
        <v>480.0</v>
      </c>
      <c r="S7583" s="94" t="s">
        <v>6552</v>
      </c>
      <c r="T7583" s="102" t="s">
        <v>35049</v>
      </c>
      <c r="U7583" s="135" t="str">
        <f>HYPERLINK("https://www.ncbi.nlm.nih.gov/pubmed/32308074","PubMed")</f>
        <v>PubMed</v>
      </c>
      <c r="V7583" s="30" t="s">
        <v>35050</v>
      </c>
      <c r="W7583" s="49"/>
      <c r="X7583" s="49"/>
      <c r="Y7583" s="35"/>
      <c r="Z7583" s="35"/>
      <c r="AA7583" s="35"/>
      <c r="AB7583" s="35"/>
      <c r="AC7583" s="35"/>
      <c r="AD7583" s="35"/>
      <c r="AE7583" s="35"/>
      <c r="AF7583" s="35"/>
      <c r="AG7583" s="35"/>
      <c r="AH7583" s="35"/>
      <c r="AI7583" s="35"/>
      <c r="AJ7583" s="35"/>
      <c r="AK7583" s="35"/>
      <c r="AL7583" s="35"/>
    </row>
    <row r="7584">
      <c r="A7584" s="40"/>
      <c r="B7584" s="75" t="s">
        <v>6113</v>
      </c>
      <c r="C7584" s="158" t="s">
        <v>28091</v>
      </c>
      <c r="D7584" s="159"/>
      <c r="E7584" s="23" t="s">
        <v>35051</v>
      </c>
      <c r="F7584" s="23" t="s">
        <v>9444</v>
      </c>
      <c r="G7584" s="23">
        <v>2018.0</v>
      </c>
      <c r="H7584" s="23" t="s">
        <v>6024</v>
      </c>
      <c r="I7584" s="243" t="s">
        <v>35052</v>
      </c>
      <c r="J7584" s="22" t="s">
        <v>35053</v>
      </c>
      <c r="K7584" s="23" t="s">
        <v>35054</v>
      </c>
      <c r="L7584" s="94" t="s">
        <v>35055</v>
      </c>
      <c r="M7584" s="94"/>
      <c r="N7584" s="94"/>
      <c r="O7584" s="94"/>
      <c r="P7584" s="93"/>
      <c r="Q7584" s="94"/>
      <c r="R7584" s="94"/>
      <c r="S7584" s="94" t="s">
        <v>35056</v>
      </c>
      <c r="T7584" s="54" t="s">
        <v>35057</v>
      </c>
      <c r="U7584" s="135" t="str">
        <f>HYPERLINK("https://www.ncbi.nlm.nih.gov/pubmed/30398941","PubMed")</f>
        <v>PubMed</v>
      </c>
      <c r="V7584" s="30"/>
      <c r="W7584" s="49"/>
      <c r="X7584" s="49"/>
      <c r="Y7584" s="35"/>
      <c r="Z7584" s="35"/>
      <c r="AA7584" s="35"/>
      <c r="AB7584" s="35"/>
      <c r="AC7584" s="35"/>
      <c r="AD7584" s="35"/>
      <c r="AE7584" s="35"/>
      <c r="AF7584" s="35"/>
      <c r="AG7584" s="35"/>
      <c r="AH7584" s="35"/>
      <c r="AI7584" s="35"/>
      <c r="AJ7584" s="35"/>
      <c r="AK7584" s="35"/>
      <c r="AL7584" s="35"/>
    </row>
    <row r="7585">
      <c r="A7585" s="415"/>
      <c r="B7585" s="19" t="s">
        <v>6113</v>
      </c>
      <c r="C7585" s="158" t="s">
        <v>28091</v>
      </c>
      <c r="D7585" s="159"/>
      <c r="E7585" s="23" t="s">
        <v>35058</v>
      </c>
      <c r="F7585" s="23" t="s">
        <v>1392</v>
      </c>
      <c r="G7585" s="23">
        <v>2017.0</v>
      </c>
      <c r="H7585" s="23" t="s">
        <v>7511</v>
      </c>
      <c r="I7585" s="243" t="s">
        <v>35059</v>
      </c>
      <c r="J7585" s="22" t="s">
        <v>35060</v>
      </c>
      <c r="K7585" s="23" t="s">
        <v>56</v>
      </c>
      <c r="L7585" s="52" t="s">
        <v>4772</v>
      </c>
      <c r="M7585" s="52"/>
      <c r="N7585" s="52" t="s">
        <v>3587</v>
      </c>
      <c r="O7585" s="52"/>
      <c r="P7585" s="189"/>
      <c r="Q7585" s="52"/>
      <c r="R7585" s="52">
        <v>1200.0</v>
      </c>
      <c r="S7585" s="52" t="s">
        <v>8494</v>
      </c>
      <c r="T7585" s="54" t="s">
        <v>35061</v>
      </c>
      <c r="U7585" s="135" t="str">
        <f>HYPERLINK("https://www.ncbi.nlm.nih.gov/pubmed/28702985","PubMed")</f>
        <v>PubMed</v>
      </c>
      <c r="V7585" s="30" t="s">
        <v>35062</v>
      </c>
      <c r="W7585" s="49"/>
      <c r="X7585" s="49"/>
      <c r="Y7585" s="35"/>
      <c r="Z7585" s="35"/>
      <c r="AA7585" s="35"/>
      <c r="AB7585" s="35"/>
      <c r="AC7585" s="35"/>
      <c r="AD7585" s="35"/>
      <c r="AE7585" s="35"/>
      <c r="AF7585" s="35"/>
      <c r="AG7585" s="35"/>
      <c r="AH7585" s="35"/>
      <c r="AI7585" s="35"/>
      <c r="AJ7585" s="35"/>
      <c r="AK7585" s="35"/>
      <c r="AL7585" s="35"/>
    </row>
    <row r="7586">
      <c r="A7586" s="40"/>
      <c r="B7586" s="75" t="s">
        <v>6113</v>
      </c>
      <c r="C7586" s="158" t="s">
        <v>28091</v>
      </c>
      <c r="D7586" s="159"/>
      <c r="E7586" s="23" t="s">
        <v>35058</v>
      </c>
      <c r="F7586" s="23" t="s">
        <v>24338</v>
      </c>
      <c r="G7586" s="23">
        <v>2017.0</v>
      </c>
      <c r="H7586" s="23" t="s">
        <v>7511</v>
      </c>
      <c r="I7586" s="243" t="s">
        <v>35063</v>
      </c>
      <c r="J7586" s="22" t="s">
        <v>35064</v>
      </c>
      <c r="K7586" s="23"/>
      <c r="L7586" s="94"/>
      <c r="M7586" s="94"/>
      <c r="N7586" s="94"/>
      <c r="O7586" s="94"/>
      <c r="P7586" s="94"/>
      <c r="Q7586" s="94"/>
      <c r="R7586" s="94"/>
      <c r="S7586" s="94"/>
      <c r="T7586" s="54" t="s">
        <v>35065</v>
      </c>
      <c r="U7586" s="138" t="s">
        <v>61</v>
      </c>
      <c r="V7586" s="30"/>
      <c r="W7586" s="49"/>
      <c r="X7586" s="49"/>
      <c r="Y7586" s="35"/>
      <c r="Z7586" s="35"/>
      <c r="AA7586" s="35"/>
      <c r="AB7586" s="35"/>
      <c r="AC7586" s="35"/>
      <c r="AD7586" s="35"/>
      <c r="AE7586" s="35"/>
      <c r="AF7586" s="35"/>
      <c r="AG7586" s="35"/>
      <c r="AH7586" s="35"/>
      <c r="AI7586" s="35"/>
      <c r="AJ7586" s="35"/>
      <c r="AK7586" s="35"/>
      <c r="AL7586" s="35"/>
    </row>
    <row r="7587">
      <c r="A7587" s="415"/>
      <c r="B7587" s="19" t="s">
        <v>6113</v>
      </c>
      <c r="C7587" s="158" t="s">
        <v>28091</v>
      </c>
      <c r="D7587" s="159"/>
      <c r="E7587" s="23" t="s">
        <v>12679</v>
      </c>
      <c r="F7587" s="23" t="s">
        <v>2346</v>
      </c>
      <c r="G7587" s="23">
        <v>2017.0</v>
      </c>
      <c r="H7587" s="23" t="s">
        <v>147</v>
      </c>
      <c r="I7587" s="243" t="s">
        <v>35066</v>
      </c>
      <c r="J7587" s="23" t="s">
        <v>35067</v>
      </c>
      <c r="K7587" s="23" t="s">
        <v>35068</v>
      </c>
      <c r="L7587" s="52" t="s">
        <v>35069</v>
      </c>
      <c r="M7587" s="52"/>
      <c r="N7587" s="52"/>
      <c r="O7587" s="52"/>
      <c r="P7587" s="189"/>
      <c r="Q7587" s="52"/>
      <c r="R7587" s="52"/>
      <c r="S7587" s="52" t="s">
        <v>25897</v>
      </c>
      <c r="T7587" s="54" t="s">
        <v>35070</v>
      </c>
      <c r="U7587" s="135" t="str">
        <f>HYPERLINK("https://www.ncbi.nlm.nih.gov/pubmed/29123633","PubMed")</f>
        <v>PubMed</v>
      </c>
      <c r="V7587" s="30" t="s">
        <v>35071</v>
      </c>
      <c r="W7587" s="49"/>
      <c r="X7587" s="49"/>
      <c r="Y7587" s="35"/>
      <c r="Z7587" s="35"/>
      <c r="AA7587" s="35"/>
      <c r="AB7587" s="35"/>
      <c r="AC7587" s="35"/>
      <c r="AD7587" s="35"/>
      <c r="AE7587" s="35"/>
      <c r="AF7587" s="35"/>
      <c r="AG7587" s="35"/>
      <c r="AH7587" s="35"/>
      <c r="AI7587" s="35"/>
      <c r="AJ7587" s="35"/>
      <c r="AK7587" s="35"/>
      <c r="AL7587" s="35"/>
    </row>
    <row r="7588">
      <c r="A7588" s="415"/>
      <c r="B7588" s="19" t="s">
        <v>6113</v>
      </c>
      <c r="C7588" s="158" t="s">
        <v>28091</v>
      </c>
      <c r="D7588" s="159"/>
      <c r="E7588" s="23" t="s">
        <v>32922</v>
      </c>
      <c r="F7588" s="23" t="s">
        <v>3511</v>
      </c>
      <c r="G7588" s="23">
        <v>2014.0</v>
      </c>
      <c r="H7588" s="23" t="s">
        <v>35072</v>
      </c>
      <c r="I7588" s="243" t="s">
        <v>35073</v>
      </c>
      <c r="J7588" s="23" t="s">
        <v>35074</v>
      </c>
      <c r="K7588" s="23" t="s">
        <v>157</v>
      </c>
      <c r="L7588" s="52" t="s">
        <v>35075</v>
      </c>
      <c r="M7588" s="52"/>
      <c r="N7588" s="52"/>
      <c r="O7588" s="52"/>
      <c r="P7588" s="189"/>
      <c r="Q7588" s="52"/>
      <c r="R7588" s="52"/>
      <c r="S7588" s="52"/>
      <c r="T7588" s="54" t="s">
        <v>35076</v>
      </c>
      <c r="U7588" s="135" t="str">
        <f>HYPERLINK("https://www.ncbi.nlm.nih.gov/pubmed/25593435","PubMed")</f>
        <v>PubMed</v>
      </c>
      <c r="V7588" s="30"/>
      <c r="W7588" s="49"/>
      <c r="X7588" s="49"/>
      <c r="Y7588" s="35"/>
      <c r="Z7588" s="35"/>
      <c r="AA7588" s="35"/>
      <c r="AB7588" s="35"/>
      <c r="AC7588" s="35"/>
      <c r="AD7588" s="35"/>
      <c r="AE7588" s="35"/>
      <c r="AF7588" s="35"/>
      <c r="AG7588" s="35"/>
      <c r="AH7588" s="35"/>
      <c r="AI7588" s="35"/>
      <c r="AJ7588" s="35"/>
      <c r="AK7588" s="35"/>
      <c r="AL7588" s="35"/>
    </row>
    <row r="7589">
      <c r="A7589" s="415"/>
      <c r="B7589" s="19" t="s">
        <v>6113</v>
      </c>
      <c r="C7589" s="158" t="s">
        <v>28091</v>
      </c>
      <c r="D7589" s="159"/>
      <c r="E7589" s="23" t="s">
        <v>35077</v>
      </c>
      <c r="F7589" s="23" t="s">
        <v>34990</v>
      </c>
      <c r="G7589" s="23">
        <v>2012.0</v>
      </c>
      <c r="H7589" s="23" t="s">
        <v>35078</v>
      </c>
      <c r="I7589" s="243" t="s">
        <v>35079</v>
      </c>
      <c r="J7589" s="23" t="s">
        <v>2273</v>
      </c>
      <c r="K7589" s="23"/>
      <c r="L7589" s="52">
        <v>633.0</v>
      </c>
      <c r="M7589" s="52">
        <v>5.0</v>
      </c>
      <c r="N7589" s="52"/>
      <c r="O7589" s="52" t="s">
        <v>35080</v>
      </c>
      <c r="P7589" s="189"/>
      <c r="Q7589" s="52"/>
      <c r="R7589" s="52"/>
      <c r="S7589" s="52" t="s">
        <v>35081</v>
      </c>
      <c r="T7589" s="54" t="s">
        <v>35082</v>
      </c>
      <c r="U7589" s="138" t="s">
        <v>61</v>
      </c>
      <c r="V7589" s="30"/>
      <c r="W7589" s="49"/>
      <c r="X7589" s="49"/>
      <c r="Y7589" s="35"/>
      <c r="Z7589" s="35"/>
      <c r="AA7589" s="35"/>
      <c r="AB7589" s="35"/>
      <c r="AC7589" s="35"/>
      <c r="AD7589" s="35"/>
      <c r="AE7589" s="35"/>
      <c r="AF7589" s="35"/>
      <c r="AG7589" s="35"/>
      <c r="AH7589" s="35"/>
      <c r="AI7589" s="35"/>
      <c r="AJ7589" s="35"/>
      <c r="AK7589" s="35"/>
      <c r="AL7589" s="35"/>
    </row>
    <row r="7590">
      <c r="A7590" s="40" t="s">
        <v>2</v>
      </c>
      <c r="B7590" s="19" t="s">
        <v>6113</v>
      </c>
      <c r="C7590" s="158" t="s">
        <v>28091</v>
      </c>
      <c r="D7590" s="47"/>
      <c r="E7590" s="22" t="s">
        <v>35083</v>
      </c>
      <c r="F7590" s="22" t="s">
        <v>7449</v>
      </c>
      <c r="G7590" s="23">
        <v>2008.0</v>
      </c>
      <c r="H7590" s="22" t="s">
        <v>5489</v>
      </c>
      <c r="I7590" s="24" t="s">
        <v>35084</v>
      </c>
      <c r="J7590" s="22" t="s">
        <v>125</v>
      </c>
      <c r="K7590" s="22"/>
      <c r="L7590" s="41" t="s">
        <v>35085</v>
      </c>
      <c r="U7590" s="38" t="str">
        <f>HYPERLINK("https://www.ncbi.nlm.nih.gov/pubmed/18430176","PubMed")</f>
        <v>PubMed</v>
      </c>
      <c r="V7590" s="30"/>
      <c r="W7590" s="49"/>
      <c r="X7590" s="49"/>
      <c r="Y7590" s="35"/>
      <c r="Z7590" s="35"/>
      <c r="AA7590" s="35"/>
      <c r="AB7590" s="35"/>
      <c r="AC7590" s="35"/>
      <c r="AD7590" s="35"/>
      <c r="AE7590" s="35"/>
      <c r="AF7590" s="35"/>
      <c r="AG7590" s="35"/>
      <c r="AH7590" s="35"/>
      <c r="AI7590" s="35"/>
      <c r="AJ7590" s="35"/>
      <c r="AK7590" s="35"/>
      <c r="AL7590" s="35"/>
    </row>
    <row r="7591">
      <c r="A7591" s="1"/>
      <c r="B7591" s="19" t="s">
        <v>6113</v>
      </c>
      <c r="C7591" s="158" t="s">
        <v>28091</v>
      </c>
      <c r="D7591" s="47"/>
      <c r="E7591" s="22" t="s">
        <v>35086</v>
      </c>
      <c r="F7591" s="22" t="s">
        <v>35087</v>
      </c>
      <c r="G7591" s="23">
        <v>2008.0</v>
      </c>
      <c r="H7591" s="22" t="s">
        <v>21909</v>
      </c>
      <c r="I7591" s="24" t="s">
        <v>35088</v>
      </c>
      <c r="J7591" s="22" t="s">
        <v>35089</v>
      </c>
      <c r="K7591" s="22"/>
      <c r="L7591" s="36">
        <v>785.0</v>
      </c>
      <c r="M7591" s="36"/>
      <c r="N7591" s="36" t="s">
        <v>58</v>
      </c>
      <c r="O7591" s="36" t="s">
        <v>58</v>
      </c>
      <c r="P7591" s="37" t="s">
        <v>58</v>
      </c>
      <c r="Q7591" s="36" t="s">
        <v>58</v>
      </c>
      <c r="R7591" s="36"/>
      <c r="S7591" s="36" t="s">
        <v>35090</v>
      </c>
      <c r="T7591" s="98" t="s">
        <v>35091</v>
      </c>
      <c r="U7591" s="38" t="str">
        <f>HYPERLINK("https://www.ncbi.nlm.nih.gov/pubmed/18494640","PubMed")</f>
        <v>PubMed</v>
      </c>
      <c r="V7591" s="30"/>
      <c r="W7591" s="49"/>
      <c r="X7591" s="49"/>
      <c r="Y7591" s="35"/>
      <c r="Z7591" s="35"/>
      <c r="AA7591" s="35"/>
      <c r="AB7591" s="35"/>
      <c r="AC7591" s="35"/>
      <c r="AD7591" s="35"/>
      <c r="AE7591" s="35"/>
      <c r="AF7591" s="35"/>
      <c r="AG7591" s="35"/>
      <c r="AH7591" s="35"/>
      <c r="AI7591" s="35"/>
      <c r="AJ7591" s="35"/>
      <c r="AK7591" s="35"/>
      <c r="AL7591" s="35"/>
    </row>
    <row r="7592">
      <c r="A7592" s="40"/>
      <c r="B7592" s="19" t="s">
        <v>6113</v>
      </c>
      <c r="C7592" s="158" t="s">
        <v>28091</v>
      </c>
      <c r="D7592" s="47"/>
      <c r="E7592" s="22" t="s">
        <v>1425</v>
      </c>
      <c r="F7592" s="22" t="s">
        <v>1310</v>
      </c>
      <c r="G7592" s="23">
        <v>2007.0</v>
      </c>
      <c r="H7592" s="22" t="s">
        <v>292</v>
      </c>
      <c r="I7592" s="24" t="s">
        <v>35092</v>
      </c>
      <c r="J7592" s="22" t="s">
        <v>35093</v>
      </c>
      <c r="K7592" s="22" t="s">
        <v>35094</v>
      </c>
      <c r="L7592" s="94" t="s">
        <v>5367</v>
      </c>
      <c r="M7592" s="94"/>
      <c r="N7592" s="94" t="s">
        <v>1439</v>
      </c>
      <c r="O7592" s="94"/>
      <c r="P7592" s="94"/>
      <c r="Q7592" s="172"/>
      <c r="R7592" s="94">
        <v>300.0</v>
      </c>
      <c r="S7592" s="94" t="s">
        <v>35095</v>
      </c>
      <c r="T7592" s="54" t="s">
        <v>35096</v>
      </c>
      <c r="U7592" s="38" t="str">
        <f>HYPERLINK("https://www.jstage.jst.go.jp/article/islsm/16/1/16_1_7/_article/-char/ja/","J-STAGE")</f>
        <v>J-STAGE</v>
      </c>
      <c r="V7592" s="30"/>
      <c r="W7592" s="49"/>
      <c r="X7592" s="49"/>
      <c r="Y7592" s="35"/>
      <c r="Z7592" s="35"/>
      <c r="AA7592" s="35"/>
      <c r="AB7592" s="35"/>
      <c r="AC7592" s="35"/>
      <c r="AD7592" s="35"/>
      <c r="AE7592" s="35"/>
      <c r="AF7592" s="35"/>
      <c r="AG7592" s="35"/>
      <c r="AH7592" s="35"/>
      <c r="AI7592" s="35"/>
      <c r="AJ7592" s="35"/>
      <c r="AK7592" s="35"/>
      <c r="AL7592" s="35"/>
    </row>
    <row r="7593">
      <c r="A7593" s="40" t="s">
        <v>38</v>
      </c>
      <c r="B7593" s="19" t="s">
        <v>6113</v>
      </c>
      <c r="C7593" s="158" t="s">
        <v>28091</v>
      </c>
      <c r="D7593" s="47"/>
      <c r="E7593" s="22" t="s">
        <v>33105</v>
      </c>
      <c r="F7593" s="22" t="s">
        <v>1398</v>
      </c>
      <c r="G7593" s="23">
        <v>2004.0</v>
      </c>
      <c r="H7593" s="22" t="s">
        <v>169</v>
      </c>
      <c r="I7593" s="24" t="s">
        <v>35097</v>
      </c>
      <c r="J7593" s="22" t="s">
        <v>26562</v>
      </c>
      <c r="K7593" s="22"/>
      <c r="L7593" s="94">
        <v>830.0</v>
      </c>
      <c r="M7593" s="94">
        <v>1000.0</v>
      </c>
      <c r="N7593" s="94"/>
      <c r="O7593" s="94"/>
      <c r="P7593" s="94" t="s">
        <v>35098</v>
      </c>
      <c r="Q7593" s="172" t="s">
        <v>35099</v>
      </c>
      <c r="R7593" s="94"/>
      <c r="S7593" s="94"/>
      <c r="T7593" s="54" t="s">
        <v>35100</v>
      </c>
      <c r="U7593" s="38" t="str">
        <f>HYPERLINK("https://www.ncbi.nlm.nih.gov/pubmed/15204000","PubMed")</f>
        <v>PubMed</v>
      </c>
      <c r="V7593" s="30"/>
      <c r="W7593" s="49"/>
      <c r="X7593" s="49"/>
      <c r="Y7593" s="35"/>
      <c r="Z7593" s="35"/>
      <c r="AA7593" s="35"/>
      <c r="AB7593" s="35"/>
      <c r="AC7593" s="35"/>
      <c r="AD7593" s="35"/>
      <c r="AE7593" s="35"/>
      <c r="AF7593" s="35"/>
      <c r="AG7593" s="35"/>
      <c r="AH7593" s="35"/>
      <c r="AI7593" s="35"/>
      <c r="AJ7593" s="35"/>
      <c r="AK7593" s="35"/>
      <c r="AL7593" s="35"/>
    </row>
    <row r="7594">
      <c r="A7594" s="40"/>
      <c r="B7594" s="19" t="s">
        <v>6113</v>
      </c>
      <c r="C7594" s="158" t="s">
        <v>28091</v>
      </c>
      <c r="D7594" s="47"/>
      <c r="E7594" s="22" t="s">
        <v>6425</v>
      </c>
      <c r="F7594" s="22" t="s">
        <v>35101</v>
      </c>
      <c r="G7594" s="23">
        <v>1999.0</v>
      </c>
      <c r="H7594" s="22" t="s">
        <v>3292</v>
      </c>
      <c r="I7594" s="24" t="s">
        <v>35102</v>
      </c>
      <c r="J7594" s="22" t="s">
        <v>35103</v>
      </c>
      <c r="K7594" s="22"/>
      <c r="L7594" s="94">
        <v>633.0</v>
      </c>
      <c r="M7594" s="94">
        <v>30.0</v>
      </c>
      <c r="N7594" s="94"/>
      <c r="O7594" s="94"/>
      <c r="P7594" s="94">
        <v>30.0</v>
      </c>
      <c r="Q7594" s="172"/>
      <c r="R7594" s="94"/>
      <c r="S7594" s="94" t="s">
        <v>35104</v>
      </c>
      <c r="T7594" s="54" t="s">
        <v>35105</v>
      </c>
      <c r="U7594" s="38" t="str">
        <f>HYPERLINK("https://www.ncbi.nlm.nih.gov/pubmed/9990664","PubMed")</f>
        <v>PubMed</v>
      </c>
      <c r="V7594" s="30" t="s">
        <v>35106</v>
      </c>
      <c r="W7594" s="49"/>
      <c r="X7594" s="49"/>
      <c r="Y7594" s="35"/>
      <c r="Z7594" s="35"/>
      <c r="AA7594" s="35"/>
      <c r="AB7594" s="35"/>
      <c r="AC7594" s="35"/>
      <c r="AD7594" s="35"/>
      <c r="AE7594" s="35"/>
      <c r="AF7594" s="35"/>
      <c r="AG7594" s="35"/>
      <c r="AH7594" s="35"/>
      <c r="AI7594" s="35"/>
      <c r="AJ7594" s="35"/>
      <c r="AK7594" s="35"/>
      <c r="AL7594" s="35"/>
    </row>
    <row r="7595">
      <c r="A7595" s="40"/>
      <c r="B7595" s="19" t="s">
        <v>6113</v>
      </c>
      <c r="C7595" s="158" t="s">
        <v>28091</v>
      </c>
      <c r="D7595" s="47"/>
      <c r="E7595" s="22" t="s">
        <v>35107</v>
      </c>
      <c r="F7595" s="22" t="s">
        <v>1677</v>
      </c>
      <c r="G7595" s="23">
        <v>1992.0</v>
      </c>
      <c r="H7595" s="22" t="s">
        <v>27442</v>
      </c>
      <c r="I7595" s="24" t="s">
        <v>35108</v>
      </c>
      <c r="J7595" s="22" t="s">
        <v>35109</v>
      </c>
      <c r="K7595" s="22" t="s">
        <v>35110</v>
      </c>
      <c r="L7595" s="94" t="s">
        <v>21278</v>
      </c>
      <c r="M7595" s="94"/>
      <c r="N7595" s="94"/>
      <c r="O7595" s="94"/>
      <c r="P7595" s="94"/>
      <c r="Q7595" s="172"/>
      <c r="R7595" s="94"/>
      <c r="S7595" s="94"/>
      <c r="T7595" s="102" t="s">
        <v>35111</v>
      </c>
      <c r="U7595" s="38" t="str">
        <f>HYPERLINK("https://www.ncbi.nlm.nih.gov/pubmed/1437861","PubMed")</f>
        <v>PubMed</v>
      </c>
      <c r="V7595" s="30"/>
      <c r="W7595" s="49"/>
      <c r="X7595" s="49"/>
      <c r="Y7595" s="35"/>
      <c r="Z7595" s="35"/>
      <c r="AA7595" s="35"/>
      <c r="AB7595" s="35"/>
      <c r="AC7595" s="35"/>
      <c r="AD7595" s="35"/>
      <c r="AE7595" s="35"/>
      <c r="AF7595" s="35"/>
      <c r="AG7595" s="35"/>
      <c r="AH7595" s="35"/>
      <c r="AI7595" s="35"/>
      <c r="AJ7595" s="35"/>
      <c r="AK7595" s="35"/>
      <c r="AL7595" s="35"/>
    </row>
    <row r="7596">
      <c r="A7596" s="1"/>
      <c r="B7596" s="19" t="s">
        <v>6113</v>
      </c>
      <c r="C7596" s="20" t="s">
        <v>35112</v>
      </c>
      <c r="D7596" s="47"/>
      <c r="E7596" s="22" t="s">
        <v>35113</v>
      </c>
      <c r="F7596" s="22" t="s">
        <v>19901</v>
      </c>
      <c r="G7596" s="23">
        <v>2020.0</v>
      </c>
      <c r="H7596" s="22" t="s">
        <v>35114</v>
      </c>
      <c r="I7596" s="24" t="s">
        <v>35115</v>
      </c>
      <c r="J7596" s="22" t="s">
        <v>35116</v>
      </c>
      <c r="K7596" s="22"/>
      <c r="L7596" s="94">
        <v>630.0</v>
      </c>
      <c r="M7596" s="94"/>
      <c r="N7596" s="94"/>
      <c r="O7596" s="94"/>
      <c r="P7596" s="94">
        <v>60.0</v>
      </c>
      <c r="Q7596" s="52"/>
      <c r="R7596" s="94"/>
      <c r="S7596" s="94"/>
      <c r="T7596" s="459" t="s">
        <v>35117</v>
      </c>
      <c r="U7596" s="38" t="s">
        <v>61</v>
      </c>
      <c r="V7596" s="30" t="s">
        <v>35118</v>
      </c>
      <c r="W7596" s="31"/>
      <c r="X7596" s="31"/>
      <c r="Y7596" s="31"/>
      <c r="Z7596" s="32"/>
      <c r="AA7596" s="31"/>
      <c r="AB7596" s="31"/>
      <c r="AC7596" s="9"/>
      <c r="AD7596" s="31"/>
      <c r="AE7596" s="31"/>
      <c r="AF7596" s="33"/>
      <c r="AG7596" s="34"/>
      <c r="AH7596" s="31"/>
      <c r="AI7596" s="35"/>
      <c r="AJ7596" s="35"/>
      <c r="AK7596" s="35"/>
      <c r="AL7596" s="35"/>
    </row>
    <row r="7597">
      <c r="A7597" s="1"/>
      <c r="B7597" s="19" t="s">
        <v>6113</v>
      </c>
      <c r="C7597" s="20" t="s">
        <v>35112</v>
      </c>
      <c r="D7597" s="47"/>
      <c r="E7597" s="22" t="s">
        <v>15784</v>
      </c>
      <c r="F7597" s="22" t="s">
        <v>3492</v>
      </c>
      <c r="G7597" s="23">
        <v>2019.0</v>
      </c>
      <c r="H7597" s="22" t="s">
        <v>35114</v>
      </c>
      <c r="I7597" s="24" t="s">
        <v>35119</v>
      </c>
      <c r="J7597" s="22" t="s">
        <v>35120</v>
      </c>
      <c r="K7597" s="22"/>
      <c r="L7597" s="94">
        <v>630.0</v>
      </c>
      <c r="M7597" s="94"/>
      <c r="N7597" s="94"/>
      <c r="O7597" s="94"/>
      <c r="P7597" s="94">
        <v>60.0</v>
      </c>
      <c r="Q7597" s="52"/>
      <c r="R7597" s="94"/>
      <c r="S7597" s="94"/>
      <c r="T7597" s="459" t="s">
        <v>35121</v>
      </c>
      <c r="U7597" s="38" t="s">
        <v>61</v>
      </c>
      <c r="V7597" s="30" t="s">
        <v>35118</v>
      </c>
      <c r="W7597" s="31"/>
      <c r="X7597" s="31"/>
      <c r="Y7597" s="31"/>
      <c r="Z7597" s="32"/>
      <c r="AA7597" s="31"/>
      <c r="AB7597" s="31"/>
      <c r="AC7597" s="9"/>
      <c r="AD7597" s="31"/>
      <c r="AE7597" s="31"/>
      <c r="AF7597" s="33"/>
      <c r="AG7597" s="34"/>
      <c r="AH7597" s="31"/>
      <c r="AI7597" s="35"/>
      <c r="AJ7597" s="35"/>
      <c r="AK7597" s="35"/>
      <c r="AL7597" s="35"/>
    </row>
    <row r="7598">
      <c r="A7598" s="1"/>
      <c r="B7598" s="19" t="s">
        <v>6113</v>
      </c>
      <c r="C7598" s="20" t="s">
        <v>35112</v>
      </c>
      <c r="D7598" s="47"/>
      <c r="E7598" s="22" t="s">
        <v>33461</v>
      </c>
      <c r="F7598" s="22" t="s">
        <v>30205</v>
      </c>
      <c r="G7598" s="23">
        <v>2018.0</v>
      </c>
      <c r="H7598" s="22" t="s">
        <v>658</v>
      </c>
      <c r="I7598" s="24" t="s">
        <v>35122</v>
      </c>
      <c r="J7598" s="22" t="s">
        <v>35123</v>
      </c>
      <c r="K7598" s="22"/>
      <c r="L7598" s="94">
        <v>660.0</v>
      </c>
      <c r="M7598" s="94">
        <v>30.0</v>
      </c>
      <c r="N7598" s="94" t="s">
        <v>58</v>
      </c>
      <c r="O7598" s="94" t="s">
        <v>58</v>
      </c>
      <c r="P7598" s="94">
        <v>6.0</v>
      </c>
      <c r="Q7598" s="52" t="s">
        <v>35124</v>
      </c>
      <c r="R7598" s="94" t="s">
        <v>35125</v>
      </c>
      <c r="S7598" s="94" t="s">
        <v>17419</v>
      </c>
      <c r="T7598" s="459" t="s">
        <v>35126</v>
      </c>
      <c r="U7598" s="38" t="s">
        <v>61</v>
      </c>
      <c r="V7598" s="30" t="s">
        <v>35127</v>
      </c>
      <c r="W7598" s="31"/>
      <c r="X7598" s="31"/>
      <c r="Y7598" s="31"/>
      <c r="Z7598" s="32"/>
      <c r="AA7598" s="31"/>
      <c r="AB7598" s="31"/>
      <c r="AC7598" s="9"/>
      <c r="AD7598" s="31"/>
      <c r="AE7598" s="31"/>
      <c r="AF7598" s="33"/>
      <c r="AG7598" s="34"/>
      <c r="AH7598" s="31"/>
      <c r="AI7598" s="35"/>
      <c r="AJ7598" s="35"/>
      <c r="AK7598" s="35"/>
      <c r="AL7598" s="35"/>
    </row>
    <row r="7599">
      <c r="A7599" s="1" t="s">
        <v>2</v>
      </c>
      <c r="B7599" s="19" t="s">
        <v>6113</v>
      </c>
      <c r="C7599" s="20" t="s">
        <v>35112</v>
      </c>
      <c r="D7599" s="47"/>
      <c r="E7599" s="22" t="s">
        <v>35128</v>
      </c>
      <c r="F7599" s="22" t="s">
        <v>400</v>
      </c>
      <c r="G7599" s="23">
        <v>2014.0</v>
      </c>
      <c r="H7599" s="22" t="s">
        <v>1485</v>
      </c>
      <c r="I7599" s="24" t="s">
        <v>35129</v>
      </c>
      <c r="J7599" s="22" t="s">
        <v>35130</v>
      </c>
      <c r="K7599" s="22"/>
      <c r="L7599" s="94" t="s">
        <v>35131</v>
      </c>
      <c r="M7599" s="94"/>
      <c r="N7599" s="94"/>
      <c r="O7599" s="94"/>
      <c r="P7599" s="94"/>
      <c r="Q7599" s="172"/>
      <c r="R7599" s="94"/>
      <c r="S7599" s="94" t="s">
        <v>35132</v>
      </c>
      <c r="T7599" s="395" t="s">
        <v>35133</v>
      </c>
      <c r="U7599" s="38" t="s">
        <v>61</v>
      </c>
      <c r="V7599" s="30" t="s">
        <v>35134</v>
      </c>
      <c r="W7599" s="31"/>
      <c r="X7599" s="31"/>
      <c r="Y7599" s="31"/>
      <c r="Z7599" s="32"/>
      <c r="AA7599" s="31"/>
      <c r="AB7599" s="31"/>
      <c r="AC7599" s="9"/>
      <c r="AD7599" s="31"/>
      <c r="AE7599" s="31"/>
      <c r="AF7599" s="33"/>
      <c r="AG7599" s="34"/>
      <c r="AH7599" s="31"/>
      <c r="AI7599" s="35"/>
      <c r="AJ7599" s="35"/>
      <c r="AK7599" s="35"/>
      <c r="AL7599" s="35"/>
    </row>
    <row r="7600">
      <c r="A7600" s="149"/>
      <c r="B7600" s="19" t="s">
        <v>6113</v>
      </c>
      <c r="C7600" s="20" t="s">
        <v>35112</v>
      </c>
      <c r="D7600" s="47"/>
      <c r="E7600" s="22" t="s">
        <v>35135</v>
      </c>
      <c r="F7600" s="22" t="s">
        <v>13601</v>
      </c>
      <c r="G7600" s="23">
        <v>2013.0</v>
      </c>
      <c r="H7600" s="22" t="s">
        <v>6426</v>
      </c>
      <c r="I7600" s="24" t="s">
        <v>35136</v>
      </c>
      <c r="J7600" s="22" t="s">
        <v>35137</v>
      </c>
      <c r="K7600" s="22" t="s">
        <v>35138</v>
      </c>
      <c r="L7600" s="94" t="s">
        <v>35139</v>
      </c>
      <c r="M7600" s="94"/>
      <c r="N7600" s="94"/>
      <c r="O7600" s="94"/>
      <c r="P7600" s="94">
        <v>50.0</v>
      </c>
      <c r="Q7600" s="172"/>
      <c r="R7600" s="94"/>
      <c r="S7600" s="94">
        <v>1.0</v>
      </c>
      <c r="T7600" s="53" t="s">
        <v>35140</v>
      </c>
      <c r="U7600" s="38" t="s">
        <v>61</v>
      </c>
      <c r="V7600" s="30" t="s">
        <v>35141</v>
      </c>
      <c r="W7600" s="31"/>
      <c r="X7600" s="31"/>
      <c r="Y7600" s="31"/>
      <c r="Z7600" s="32"/>
      <c r="AA7600" s="31"/>
      <c r="AB7600" s="31"/>
      <c r="AC7600" s="9"/>
      <c r="AD7600" s="31"/>
      <c r="AE7600" s="31"/>
      <c r="AF7600" s="33"/>
      <c r="AG7600" s="34"/>
      <c r="AH7600" s="31"/>
      <c r="AI7600" s="35"/>
      <c r="AJ7600" s="35"/>
      <c r="AK7600" s="35"/>
      <c r="AL7600" s="35"/>
    </row>
    <row r="7601">
      <c r="A7601" s="149"/>
      <c r="B7601" s="19" t="s">
        <v>6113</v>
      </c>
      <c r="C7601" s="20" t="s">
        <v>35112</v>
      </c>
      <c r="D7601" s="47"/>
      <c r="E7601" s="22" t="s">
        <v>35142</v>
      </c>
      <c r="F7601" s="22" t="s">
        <v>2705</v>
      </c>
      <c r="G7601" s="23">
        <v>2013.0</v>
      </c>
      <c r="H7601" s="22" t="s">
        <v>17910</v>
      </c>
      <c r="I7601" s="24" t="s">
        <v>35143</v>
      </c>
      <c r="J7601" s="22" t="s">
        <v>35144</v>
      </c>
      <c r="K7601" s="22"/>
      <c r="L7601" s="94">
        <v>689.0</v>
      </c>
      <c r="M7601" s="94"/>
      <c r="N7601" s="94"/>
      <c r="O7601" s="94"/>
      <c r="P7601" s="94">
        <v>60.0</v>
      </c>
      <c r="Q7601" s="172"/>
      <c r="R7601" s="94">
        <v>500.0</v>
      </c>
      <c r="S7601" s="94">
        <v>1.0</v>
      </c>
      <c r="T7601" s="53" t="s">
        <v>35145</v>
      </c>
      <c r="U7601" s="38" t="s">
        <v>6709</v>
      </c>
      <c r="V7601" s="30" t="s">
        <v>35146</v>
      </c>
      <c r="W7601" s="31"/>
      <c r="X7601" s="31"/>
      <c r="Y7601" s="31"/>
      <c r="Z7601" s="32"/>
      <c r="AA7601" s="31"/>
      <c r="AB7601" s="31"/>
      <c r="AC7601" s="9"/>
      <c r="AD7601" s="31"/>
      <c r="AE7601" s="31"/>
      <c r="AF7601" s="33"/>
      <c r="AG7601" s="34"/>
      <c r="AH7601" s="31"/>
      <c r="AI7601" s="35"/>
      <c r="AJ7601" s="35"/>
      <c r="AK7601" s="35"/>
      <c r="AL7601" s="35"/>
    </row>
    <row r="7602">
      <c r="A7602" s="40"/>
      <c r="B7602" s="19" t="s">
        <v>6113</v>
      </c>
      <c r="C7602" s="20" t="s">
        <v>35147</v>
      </c>
      <c r="D7602" s="47"/>
      <c r="E7602" s="22" t="s">
        <v>2850</v>
      </c>
      <c r="F7602" s="22" t="s">
        <v>9336</v>
      </c>
      <c r="G7602" s="23">
        <v>2024.0</v>
      </c>
      <c r="H7602" s="22" t="s">
        <v>17926</v>
      </c>
      <c r="I7602" s="24" t="s">
        <v>35148</v>
      </c>
      <c r="J7602" s="22" t="s">
        <v>35149</v>
      </c>
      <c r="K7602" s="22"/>
      <c r="L7602" s="36">
        <v>904.0</v>
      </c>
      <c r="M7602" s="36"/>
      <c r="N7602" s="36"/>
      <c r="O7602" s="36"/>
      <c r="P7602" s="36" t="s">
        <v>35150</v>
      </c>
      <c r="Q7602" s="36"/>
      <c r="R7602" s="36"/>
      <c r="S7602" s="36" t="s">
        <v>8311</v>
      </c>
      <c r="T7602" s="54" t="s">
        <v>35151</v>
      </c>
      <c r="U7602" s="215"/>
      <c r="V7602" s="30" t="s">
        <v>174</v>
      </c>
      <c r="W7602" s="49"/>
      <c r="X7602" s="49"/>
      <c r="Y7602" s="35"/>
      <c r="Z7602" s="35"/>
      <c r="AA7602" s="35"/>
      <c r="AB7602" s="35"/>
      <c r="AC7602" s="35"/>
      <c r="AD7602" s="35"/>
      <c r="AE7602" s="35"/>
      <c r="AF7602" s="35"/>
      <c r="AG7602" s="35"/>
      <c r="AH7602" s="35"/>
      <c r="AI7602" s="35"/>
      <c r="AJ7602" s="35"/>
      <c r="AK7602" s="35"/>
      <c r="AL7602" s="35"/>
    </row>
    <row r="7603">
      <c r="A7603" s="40"/>
      <c r="B7603" s="19" t="s">
        <v>6113</v>
      </c>
      <c r="C7603" s="20" t="s">
        <v>35147</v>
      </c>
      <c r="D7603" s="47"/>
      <c r="E7603" s="22" t="s">
        <v>16445</v>
      </c>
      <c r="F7603" s="22" t="s">
        <v>9336</v>
      </c>
      <c r="G7603" s="23">
        <v>2024.0</v>
      </c>
      <c r="H7603" s="22" t="s">
        <v>35046</v>
      </c>
      <c r="I7603" s="24" t="s">
        <v>35152</v>
      </c>
      <c r="J7603" s="22" t="s">
        <v>2141</v>
      </c>
      <c r="K7603" s="22"/>
      <c r="L7603" s="168"/>
      <c r="M7603" s="168"/>
      <c r="N7603" s="168"/>
      <c r="O7603" s="168"/>
      <c r="P7603" s="168"/>
      <c r="Q7603" s="168"/>
      <c r="R7603" s="168"/>
      <c r="S7603" s="168"/>
      <c r="T7603" s="214"/>
      <c r="U7603" s="38" t="s">
        <v>61</v>
      </c>
      <c r="V7603" s="30"/>
      <c r="W7603" s="49"/>
      <c r="X7603" s="49"/>
      <c r="Y7603" s="35"/>
      <c r="Z7603" s="35"/>
      <c r="AA7603" s="35"/>
      <c r="AB7603" s="35"/>
      <c r="AC7603" s="35"/>
      <c r="AD7603" s="35"/>
      <c r="AE7603" s="35"/>
      <c r="AF7603" s="35"/>
      <c r="AG7603" s="35"/>
      <c r="AH7603" s="35"/>
      <c r="AI7603" s="35"/>
      <c r="AJ7603" s="35"/>
      <c r="AK7603" s="35"/>
      <c r="AL7603" s="35"/>
    </row>
    <row r="7604">
      <c r="A7604" s="40"/>
      <c r="B7604" s="19" t="s">
        <v>6113</v>
      </c>
      <c r="C7604" s="20" t="s">
        <v>35147</v>
      </c>
      <c r="D7604" s="47"/>
      <c r="E7604" s="22" t="s">
        <v>35153</v>
      </c>
      <c r="F7604" s="22" t="s">
        <v>35154</v>
      </c>
      <c r="G7604" s="23">
        <v>2024.0</v>
      </c>
      <c r="H7604" s="22" t="s">
        <v>12657</v>
      </c>
      <c r="I7604" s="24" t="s">
        <v>35155</v>
      </c>
      <c r="J7604" s="22" t="s">
        <v>35156</v>
      </c>
      <c r="K7604" s="22"/>
      <c r="L7604" s="94"/>
      <c r="M7604" s="94"/>
      <c r="N7604" s="94"/>
      <c r="O7604" s="94"/>
      <c r="P7604" s="94"/>
      <c r="Q7604" s="94"/>
      <c r="R7604" s="94"/>
      <c r="S7604" s="94"/>
      <c r="T7604" s="54" t="s">
        <v>35157</v>
      </c>
      <c r="U7604" s="38" t="s">
        <v>61</v>
      </c>
      <c r="V7604" s="30"/>
      <c r="W7604" s="49"/>
      <c r="X7604" s="49"/>
      <c r="Y7604" s="35"/>
      <c r="Z7604" s="35"/>
      <c r="AA7604" s="35"/>
      <c r="AB7604" s="35"/>
      <c r="AC7604" s="35"/>
      <c r="AD7604" s="35"/>
      <c r="AE7604" s="35"/>
      <c r="AF7604" s="35"/>
      <c r="AG7604" s="35"/>
      <c r="AH7604" s="35"/>
      <c r="AI7604" s="35"/>
      <c r="AJ7604" s="35"/>
      <c r="AK7604" s="35"/>
      <c r="AL7604" s="35"/>
    </row>
    <row r="7605">
      <c r="A7605" s="40"/>
      <c r="B7605" s="19" t="s">
        <v>6113</v>
      </c>
      <c r="C7605" s="20" t="s">
        <v>35147</v>
      </c>
      <c r="D7605" s="47"/>
      <c r="E7605" s="22" t="s">
        <v>1671</v>
      </c>
      <c r="F7605" s="22" t="s">
        <v>9336</v>
      </c>
      <c r="G7605" s="23">
        <v>2024.0</v>
      </c>
      <c r="H7605" s="22" t="s">
        <v>91</v>
      </c>
      <c r="I7605" s="24" t="s">
        <v>35158</v>
      </c>
      <c r="J7605" s="22" t="s">
        <v>35159</v>
      </c>
      <c r="K7605" s="22" t="s">
        <v>35160</v>
      </c>
      <c r="L7605" s="94">
        <v>904.0</v>
      </c>
      <c r="M7605" s="94"/>
      <c r="N7605" s="94"/>
      <c r="O7605" s="94"/>
      <c r="P7605" s="94"/>
      <c r="Q7605" s="94"/>
      <c r="R7605" s="94"/>
      <c r="S7605" s="94" t="s">
        <v>8311</v>
      </c>
      <c r="T7605" s="54" t="s">
        <v>35161</v>
      </c>
      <c r="U7605" s="38" t="s">
        <v>61</v>
      </c>
      <c r="V7605" s="30"/>
      <c r="W7605" s="49"/>
      <c r="X7605" s="49"/>
      <c r="Y7605" s="35"/>
      <c r="Z7605" s="35"/>
      <c r="AA7605" s="35"/>
      <c r="AB7605" s="35"/>
      <c r="AC7605" s="35"/>
      <c r="AD7605" s="35"/>
      <c r="AE7605" s="35"/>
      <c r="AF7605" s="35"/>
      <c r="AG7605" s="35"/>
      <c r="AH7605" s="35"/>
      <c r="AI7605" s="35"/>
      <c r="AJ7605" s="35"/>
      <c r="AK7605" s="35"/>
      <c r="AL7605" s="35"/>
    </row>
    <row r="7606">
      <c r="A7606" s="40"/>
      <c r="B7606" s="19" t="s">
        <v>6113</v>
      </c>
      <c r="C7606" s="20" t="s">
        <v>35147</v>
      </c>
      <c r="D7606" s="47"/>
      <c r="E7606" s="22" t="s">
        <v>35162</v>
      </c>
      <c r="F7606" s="22" t="s">
        <v>323</v>
      </c>
      <c r="G7606" s="23">
        <v>2024.0</v>
      </c>
      <c r="H7606" s="22" t="s">
        <v>77</v>
      </c>
      <c r="I7606" s="24" t="s">
        <v>35163</v>
      </c>
      <c r="J7606" s="22" t="s">
        <v>21807</v>
      </c>
      <c r="K7606" s="22"/>
      <c r="L7606" s="94">
        <v>904.0</v>
      </c>
      <c r="M7606" s="94"/>
      <c r="N7606" s="94"/>
      <c r="O7606" s="94"/>
      <c r="P7606" s="94">
        <v>2.0</v>
      </c>
      <c r="Q7606" s="94"/>
      <c r="R7606" s="94"/>
      <c r="S7606" s="94" t="s">
        <v>35164</v>
      </c>
      <c r="T7606" s="54" t="s">
        <v>35165</v>
      </c>
      <c r="U7606" s="38" t="s">
        <v>61</v>
      </c>
      <c r="V7606" s="30" t="s">
        <v>35166</v>
      </c>
      <c r="W7606" s="49"/>
      <c r="X7606" s="49"/>
      <c r="Y7606" s="35"/>
      <c r="Z7606" s="35"/>
      <c r="AA7606" s="35"/>
      <c r="AB7606" s="35"/>
      <c r="AC7606" s="35"/>
      <c r="AD7606" s="35"/>
      <c r="AE7606" s="35"/>
      <c r="AF7606" s="35"/>
      <c r="AG7606" s="35"/>
      <c r="AH7606" s="35"/>
      <c r="AI7606" s="35"/>
      <c r="AJ7606" s="35"/>
      <c r="AK7606" s="35"/>
      <c r="AL7606" s="35"/>
    </row>
    <row r="7607">
      <c r="A7607" s="149"/>
      <c r="B7607" s="19" t="s">
        <v>6113</v>
      </c>
      <c r="C7607" s="20" t="s">
        <v>35147</v>
      </c>
      <c r="D7607" s="47"/>
      <c r="E7607" s="22" t="s">
        <v>35167</v>
      </c>
      <c r="F7607" s="22" t="s">
        <v>323</v>
      </c>
      <c r="G7607" s="23">
        <v>2023.0</v>
      </c>
      <c r="H7607" s="22" t="s">
        <v>147</v>
      </c>
      <c r="I7607" s="24" t="s">
        <v>35168</v>
      </c>
      <c r="J7607" s="22" t="s">
        <v>125</v>
      </c>
      <c r="K7607" s="22"/>
      <c r="L7607" s="105" t="s">
        <v>35169</v>
      </c>
      <c r="M7607" s="44"/>
      <c r="N7607" s="44"/>
      <c r="O7607" s="44"/>
      <c r="P7607" s="44"/>
      <c r="Q7607" s="44"/>
      <c r="R7607" s="44"/>
      <c r="S7607" s="44"/>
      <c r="T7607" s="45"/>
      <c r="U7607" s="38" t="s">
        <v>61</v>
      </c>
      <c r="V7607" s="30"/>
      <c r="W7607" s="31"/>
      <c r="X7607" s="31"/>
      <c r="Y7607" s="31"/>
      <c r="Z7607" s="32"/>
      <c r="AA7607" s="31"/>
      <c r="AB7607" s="31"/>
      <c r="AC7607" s="9"/>
      <c r="AD7607" s="31"/>
      <c r="AE7607" s="31"/>
      <c r="AF7607" s="33"/>
      <c r="AG7607" s="34"/>
      <c r="AH7607" s="31"/>
      <c r="AI7607" s="35"/>
      <c r="AJ7607" s="35"/>
      <c r="AK7607" s="35"/>
      <c r="AL7607" s="35"/>
    </row>
    <row r="7608">
      <c r="A7608" s="149"/>
      <c r="B7608" s="19" t="s">
        <v>6113</v>
      </c>
      <c r="C7608" s="20" t="s">
        <v>35147</v>
      </c>
      <c r="D7608" s="47"/>
      <c r="E7608" s="22" t="s">
        <v>223</v>
      </c>
      <c r="F7608" s="22" t="s">
        <v>6018</v>
      </c>
      <c r="G7608" s="23">
        <v>2023.0</v>
      </c>
      <c r="H7608" s="22" t="s">
        <v>21909</v>
      </c>
      <c r="I7608" s="24" t="s">
        <v>35170</v>
      </c>
      <c r="J7608" s="22" t="s">
        <v>125</v>
      </c>
      <c r="K7608" s="22"/>
      <c r="L7608" s="195" t="s">
        <v>35171</v>
      </c>
      <c r="M7608" s="44"/>
      <c r="N7608" s="44"/>
      <c r="O7608" s="44"/>
      <c r="P7608" s="44"/>
      <c r="Q7608" s="44"/>
      <c r="R7608" s="44"/>
      <c r="S7608" s="44"/>
      <c r="T7608" s="45"/>
      <c r="U7608" s="38" t="s">
        <v>61</v>
      </c>
      <c r="V7608" s="30"/>
      <c r="W7608" s="31"/>
      <c r="X7608" s="31"/>
      <c r="Y7608" s="31"/>
      <c r="Z7608" s="32"/>
      <c r="AA7608" s="31"/>
      <c r="AB7608" s="31"/>
      <c r="AC7608" s="9"/>
      <c r="AD7608" s="31"/>
      <c r="AE7608" s="31"/>
      <c r="AF7608" s="33"/>
      <c r="AG7608" s="34"/>
      <c r="AH7608" s="31"/>
      <c r="AI7608" s="35"/>
      <c r="AJ7608" s="35"/>
      <c r="AK7608" s="35"/>
      <c r="AL7608" s="35"/>
    </row>
    <row r="7609">
      <c r="A7609" s="149"/>
      <c r="B7609" s="19" t="s">
        <v>6113</v>
      </c>
      <c r="C7609" s="20" t="s">
        <v>35147</v>
      </c>
      <c r="D7609" s="47"/>
      <c r="E7609" s="22" t="s">
        <v>5941</v>
      </c>
      <c r="F7609" s="22" t="s">
        <v>1386</v>
      </c>
      <c r="G7609" s="23">
        <v>2023.0</v>
      </c>
      <c r="H7609" s="22" t="s">
        <v>35172</v>
      </c>
      <c r="I7609" s="24" t="s">
        <v>35173</v>
      </c>
      <c r="J7609" s="22" t="s">
        <v>125</v>
      </c>
      <c r="K7609" s="22"/>
      <c r="L7609" s="195" t="s">
        <v>35174</v>
      </c>
      <c r="M7609" s="44"/>
      <c r="N7609" s="44"/>
      <c r="O7609" s="44"/>
      <c r="P7609" s="44"/>
      <c r="Q7609" s="44"/>
      <c r="R7609" s="44"/>
      <c r="S7609" s="44"/>
      <c r="T7609" s="45"/>
      <c r="U7609" s="38" t="s">
        <v>61</v>
      </c>
      <c r="V7609" s="30"/>
      <c r="W7609" s="31"/>
      <c r="X7609" s="31"/>
      <c r="Y7609" s="31"/>
      <c r="Z7609" s="32"/>
      <c r="AA7609" s="31"/>
      <c r="AB7609" s="31"/>
      <c r="AC7609" s="9"/>
      <c r="AD7609" s="31"/>
      <c r="AE7609" s="31"/>
      <c r="AF7609" s="33"/>
      <c r="AG7609" s="34"/>
      <c r="AH7609" s="31"/>
      <c r="AI7609" s="35"/>
      <c r="AJ7609" s="35"/>
      <c r="AK7609" s="35"/>
      <c r="AL7609" s="35"/>
    </row>
    <row r="7610">
      <c r="A7610" s="40"/>
      <c r="B7610" s="19" t="s">
        <v>6113</v>
      </c>
      <c r="C7610" s="20" t="s">
        <v>35147</v>
      </c>
      <c r="D7610" s="47"/>
      <c r="E7610" s="22" t="s">
        <v>35175</v>
      </c>
      <c r="F7610" s="22" t="s">
        <v>5514</v>
      </c>
      <c r="G7610" s="23">
        <v>2022.0</v>
      </c>
      <c r="H7610" s="22" t="s">
        <v>77</v>
      </c>
      <c r="I7610" s="24" t="s">
        <v>35176</v>
      </c>
      <c r="J7610" s="22" t="s">
        <v>35177</v>
      </c>
      <c r="K7610" s="22" t="s">
        <v>56</v>
      </c>
      <c r="L7610" s="94" t="s">
        <v>4772</v>
      </c>
      <c r="M7610" s="94">
        <v>20000.0</v>
      </c>
      <c r="N7610" s="94" t="s">
        <v>3587</v>
      </c>
      <c r="O7610" s="94" t="s">
        <v>58</v>
      </c>
      <c r="P7610" s="93">
        <v>45166.0</v>
      </c>
      <c r="Q7610" s="94" t="s">
        <v>33723</v>
      </c>
      <c r="R7610" s="94">
        <v>720.0</v>
      </c>
      <c r="S7610" s="94" t="s">
        <v>6552</v>
      </c>
      <c r="T7610" s="54" t="s">
        <v>35178</v>
      </c>
      <c r="U7610" s="38" t="s">
        <v>61</v>
      </c>
      <c r="V7610" s="30" t="s">
        <v>35179</v>
      </c>
      <c r="W7610" s="49"/>
      <c r="X7610" s="49"/>
      <c r="Y7610" s="35"/>
      <c r="Z7610" s="35"/>
      <c r="AA7610" s="35"/>
      <c r="AB7610" s="35"/>
      <c r="AC7610" s="35"/>
      <c r="AD7610" s="35"/>
      <c r="AE7610" s="35"/>
      <c r="AF7610" s="35"/>
      <c r="AG7610" s="35"/>
      <c r="AH7610" s="35"/>
      <c r="AI7610" s="35"/>
      <c r="AJ7610" s="35"/>
      <c r="AK7610" s="35"/>
      <c r="AL7610" s="35"/>
    </row>
    <row r="7611">
      <c r="A7611" s="149"/>
      <c r="B7611" s="19" t="s">
        <v>6113</v>
      </c>
      <c r="C7611" s="20" t="s">
        <v>35147</v>
      </c>
      <c r="D7611" s="47"/>
      <c r="E7611" s="22" t="s">
        <v>35180</v>
      </c>
      <c r="F7611" s="22" t="s">
        <v>323</v>
      </c>
      <c r="G7611" s="23">
        <v>2022.0</v>
      </c>
      <c r="H7611" s="22" t="s">
        <v>147</v>
      </c>
      <c r="I7611" s="24" t="s">
        <v>35181</v>
      </c>
      <c r="J7611" s="22" t="s">
        <v>8514</v>
      </c>
      <c r="K7611" s="22" t="s">
        <v>35182</v>
      </c>
      <c r="L7611" s="52">
        <v>870.0</v>
      </c>
      <c r="M7611" s="52">
        <v>400.0</v>
      </c>
      <c r="N7611" s="52" t="s">
        <v>58</v>
      </c>
      <c r="O7611" s="52" t="s">
        <v>58</v>
      </c>
      <c r="P7611" s="189" t="s">
        <v>269</v>
      </c>
      <c r="Q7611" s="52" t="s">
        <v>35183</v>
      </c>
      <c r="R7611" s="52" t="s">
        <v>35184</v>
      </c>
      <c r="S7611" s="52" t="s">
        <v>35185</v>
      </c>
      <c r="T7611" s="28" t="s">
        <v>35186</v>
      </c>
      <c r="U7611" s="38" t="s">
        <v>61</v>
      </c>
      <c r="V7611" s="30" t="s">
        <v>35187</v>
      </c>
      <c r="W7611" s="31"/>
      <c r="X7611" s="31"/>
      <c r="Y7611" s="31"/>
      <c r="Z7611" s="32"/>
      <c r="AA7611" s="31"/>
      <c r="AB7611" s="31"/>
      <c r="AC7611" s="9"/>
      <c r="AD7611" s="31"/>
      <c r="AE7611" s="31"/>
      <c r="AF7611" s="33"/>
      <c r="AG7611" s="34"/>
      <c r="AH7611" s="31"/>
      <c r="AI7611" s="35"/>
      <c r="AJ7611" s="35"/>
      <c r="AK7611" s="35"/>
      <c r="AL7611" s="35"/>
    </row>
    <row r="7612">
      <c r="A7612" s="149"/>
      <c r="B7612" s="19" t="s">
        <v>6113</v>
      </c>
      <c r="C7612" s="20" t="s">
        <v>35147</v>
      </c>
      <c r="D7612" s="47"/>
      <c r="E7612" s="22" t="s">
        <v>35188</v>
      </c>
      <c r="F7612" s="22" t="s">
        <v>1386</v>
      </c>
      <c r="G7612" s="23">
        <v>2022.0</v>
      </c>
      <c r="H7612" s="22" t="s">
        <v>35172</v>
      </c>
      <c r="I7612" s="24" t="s">
        <v>35189</v>
      </c>
      <c r="J7612" s="22" t="s">
        <v>125</v>
      </c>
      <c r="K7612" s="22"/>
      <c r="L7612" s="167" t="s">
        <v>35190</v>
      </c>
      <c r="M7612" s="44"/>
      <c r="N7612" s="44"/>
      <c r="O7612" s="44"/>
      <c r="P7612" s="44"/>
      <c r="Q7612" s="44"/>
      <c r="R7612" s="44"/>
      <c r="S7612" s="44"/>
      <c r="T7612" s="45"/>
      <c r="U7612" s="38" t="s">
        <v>61</v>
      </c>
      <c r="V7612" s="30"/>
      <c r="W7612" s="31"/>
      <c r="X7612" s="31"/>
      <c r="Y7612" s="31"/>
      <c r="Z7612" s="32"/>
      <c r="AA7612" s="31"/>
      <c r="AB7612" s="31"/>
      <c r="AC7612" s="9"/>
      <c r="AD7612" s="31"/>
      <c r="AE7612" s="31"/>
      <c r="AF7612" s="33"/>
      <c r="AG7612" s="34"/>
      <c r="AH7612" s="31"/>
      <c r="AI7612" s="35"/>
      <c r="AJ7612" s="35"/>
      <c r="AK7612" s="35"/>
      <c r="AL7612" s="35"/>
    </row>
    <row r="7613">
      <c r="A7613" s="149"/>
      <c r="B7613" s="19" t="s">
        <v>6113</v>
      </c>
      <c r="C7613" s="20" t="s">
        <v>35147</v>
      </c>
      <c r="D7613" s="47"/>
      <c r="E7613" s="22" t="s">
        <v>35191</v>
      </c>
      <c r="F7613" s="22" t="s">
        <v>1386</v>
      </c>
      <c r="G7613" s="23">
        <v>2019.0</v>
      </c>
      <c r="H7613" s="22" t="s">
        <v>16324</v>
      </c>
      <c r="I7613" s="24" t="s">
        <v>35192</v>
      </c>
      <c r="J7613" s="22" t="s">
        <v>125</v>
      </c>
      <c r="K7613" s="22"/>
      <c r="L7613" s="167" t="s">
        <v>35193</v>
      </c>
      <c r="M7613" s="44"/>
      <c r="N7613" s="44"/>
      <c r="O7613" s="44"/>
      <c r="P7613" s="44"/>
      <c r="Q7613" s="44"/>
      <c r="R7613" s="44"/>
      <c r="S7613" s="44"/>
      <c r="T7613" s="45"/>
      <c r="U7613" s="38" t="str">
        <f>HYPERLINK("https://www.mdpi.com/2076-3417/9/23/5114/htm","MDPI")</f>
        <v>MDPI</v>
      </c>
      <c r="V7613" s="30"/>
      <c r="W7613" s="31"/>
      <c r="X7613" s="31"/>
      <c r="Y7613" s="31"/>
      <c r="Z7613" s="32"/>
      <c r="AA7613" s="31"/>
      <c r="AB7613" s="31"/>
      <c r="AC7613" s="9"/>
      <c r="AD7613" s="31"/>
      <c r="AE7613" s="31"/>
      <c r="AF7613" s="33"/>
      <c r="AG7613" s="34"/>
      <c r="AH7613" s="31"/>
      <c r="AI7613" s="35"/>
      <c r="AJ7613" s="35"/>
      <c r="AK7613" s="35"/>
      <c r="AL7613" s="35"/>
    </row>
    <row r="7614">
      <c r="A7614" s="149"/>
      <c r="B7614" s="19" t="s">
        <v>6113</v>
      </c>
      <c r="C7614" s="20" t="s">
        <v>35147</v>
      </c>
      <c r="D7614" s="47"/>
      <c r="E7614" s="22" t="s">
        <v>450</v>
      </c>
      <c r="F7614" s="22" t="s">
        <v>24122</v>
      </c>
      <c r="G7614" s="23">
        <v>2021.0</v>
      </c>
      <c r="H7614" s="22" t="s">
        <v>35194</v>
      </c>
      <c r="I7614" s="24" t="s">
        <v>35195</v>
      </c>
      <c r="J7614" s="22" t="s">
        <v>35196</v>
      </c>
      <c r="K7614" s="22" t="s">
        <v>35197</v>
      </c>
      <c r="L7614" s="94">
        <v>660.0</v>
      </c>
      <c r="M7614" s="94">
        <v>30.0</v>
      </c>
      <c r="N7614" s="94" t="s">
        <v>35198</v>
      </c>
      <c r="O7614" s="94" t="s">
        <v>58</v>
      </c>
      <c r="P7614" s="95" t="s">
        <v>82</v>
      </c>
      <c r="Q7614" s="94" t="s">
        <v>13845</v>
      </c>
      <c r="R7614" s="94" t="s">
        <v>35199</v>
      </c>
      <c r="S7614" s="94" t="s">
        <v>35200</v>
      </c>
      <c r="T7614" s="41" t="s">
        <v>35201</v>
      </c>
      <c r="U7614" s="29" t="s">
        <v>61</v>
      </c>
      <c r="V7614" s="30" t="s">
        <v>35202</v>
      </c>
      <c r="W7614" s="31"/>
      <c r="X7614" s="31"/>
      <c r="Y7614" s="31"/>
      <c r="Z7614" s="32"/>
      <c r="AA7614" s="31"/>
      <c r="AB7614" s="31"/>
      <c r="AC7614" s="9"/>
      <c r="AD7614" s="31"/>
      <c r="AE7614" s="31"/>
      <c r="AF7614" s="33"/>
      <c r="AG7614" s="34"/>
      <c r="AH7614" s="31"/>
      <c r="AI7614" s="35"/>
      <c r="AJ7614" s="35"/>
      <c r="AK7614" s="35"/>
      <c r="AL7614" s="35"/>
    </row>
    <row r="7615">
      <c r="A7615" s="149"/>
      <c r="B7615" s="19" t="s">
        <v>6113</v>
      </c>
      <c r="C7615" s="20" t="s">
        <v>35147</v>
      </c>
      <c r="D7615" s="47"/>
      <c r="E7615" s="22" t="s">
        <v>35203</v>
      </c>
      <c r="F7615" s="22" t="s">
        <v>1943</v>
      </c>
      <c r="G7615" s="23">
        <v>2021.0</v>
      </c>
      <c r="H7615" s="22" t="s">
        <v>35204</v>
      </c>
      <c r="I7615" s="24" t="s">
        <v>35205</v>
      </c>
      <c r="J7615" s="22" t="s">
        <v>35206</v>
      </c>
      <c r="K7615" s="22"/>
      <c r="L7615" s="94" t="s">
        <v>35207</v>
      </c>
      <c r="M7615" s="94">
        <v>1440.0</v>
      </c>
      <c r="N7615" s="94" t="s">
        <v>58</v>
      </c>
      <c r="O7615" s="94" t="s">
        <v>58</v>
      </c>
      <c r="P7615" s="95" t="s">
        <v>254</v>
      </c>
      <c r="Q7615" s="94" t="s">
        <v>58</v>
      </c>
      <c r="R7615" s="94">
        <v>480.0</v>
      </c>
      <c r="S7615" s="94" t="s">
        <v>3280</v>
      </c>
      <c r="T7615" s="28" t="s">
        <v>35208</v>
      </c>
      <c r="U7615" s="38" t="s">
        <v>61</v>
      </c>
      <c r="V7615" s="30" t="s">
        <v>35209</v>
      </c>
      <c r="W7615" s="31"/>
      <c r="X7615" s="31"/>
      <c r="Y7615" s="31"/>
      <c r="Z7615" s="32"/>
      <c r="AA7615" s="31"/>
      <c r="AB7615" s="31"/>
      <c r="AC7615" s="9"/>
      <c r="AD7615" s="31"/>
      <c r="AE7615" s="31"/>
      <c r="AF7615" s="33"/>
      <c r="AG7615" s="34"/>
      <c r="AH7615" s="31"/>
      <c r="AI7615" s="35"/>
      <c r="AJ7615" s="35"/>
      <c r="AK7615" s="35"/>
      <c r="AL7615" s="35"/>
    </row>
    <row r="7616">
      <c r="A7616" s="149"/>
      <c r="B7616" s="19" t="s">
        <v>6113</v>
      </c>
      <c r="C7616" s="20" t="s">
        <v>35147</v>
      </c>
      <c r="D7616" s="47"/>
      <c r="E7616" s="22" t="s">
        <v>1671</v>
      </c>
      <c r="F7616" s="22" t="s">
        <v>9336</v>
      </c>
      <c r="G7616" s="23">
        <v>2021.0</v>
      </c>
      <c r="H7616" s="22" t="s">
        <v>35210</v>
      </c>
      <c r="I7616" s="24" t="s">
        <v>35211</v>
      </c>
      <c r="J7616" s="22" t="s">
        <v>2141</v>
      </c>
      <c r="K7616" s="22"/>
      <c r="L7616" s="168"/>
      <c r="M7616" s="184"/>
      <c r="N7616" s="168"/>
      <c r="O7616" s="168"/>
      <c r="P7616" s="169"/>
      <c r="Q7616" s="168"/>
      <c r="R7616" s="168"/>
      <c r="S7616" s="168"/>
      <c r="T7616" s="185" t="s">
        <v>35212</v>
      </c>
      <c r="U7616" s="29" t="s">
        <v>61</v>
      </c>
      <c r="V7616" s="30"/>
      <c r="W7616" s="31"/>
      <c r="X7616" s="31"/>
      <c r="Y7616" s="31"/>
      <c r="Z7616" s="32"/>
      <c r="AA7616" s="31"/>
      <c r="AB7616" s="31"/>
      <c r="AC7616" s="9"/>
      <c r="AD7616" s="31"/>
      <c r="AE7616" s="31"/>
      <c r="AF7616" s="33"/>
      <c r="AG7616" s="34"/>
      <c r="AH7616" s="31"/>
      <c r="AI7616" s="35"/>
      <c r="AJ7616" s="35"/>
      <c r="AK7616" s="35"/>
      <c r="AL7616" s="35"/>
    </row>
    <row r="7617">
      <c r="A7617" s="149"/>
      <c r="B7617" s="19" t="s">
        <v>6113</v>
      </c>
      <c r="C7617" s="20" t="s">
        <v>35147</v>
      </c>
      <c r="D7617" s="47"/>
      <c r="E7617" s="22" t="s">
        <v>35213</v>
      </c>
      <c r="F7617" s="22" t="s">
        <v>1075</v>
      </c>
      <c r="G7617" s="23">
        <v>2021.0</v>
      </c>
      <c r="H7617" s="22" t="s">
        <v>35214</v>
      </c>
      <c r="I7617" s="24" t="s">
        <v>35215</v>
      </c>
      <c r="J7617" s="22" t="s">
        <v>125</v>
      </c>
      <c r="K7617" s="22"/>
      <c r="L7617" s="105" t="s">
        <v>35216</v>
      </c>
      <c r="M7617" s="44"/>
      <c r="N7617" s="44"/>
      <c r="O7617" s="44"/>
      <c r="P7617" s="44"/>
      <c r="Q7617" s="44"/>
      <c r="R7617" s="44"/>
      <c r="S7617" s="44"/>
      <c r="T7617" s="45"/>
      <c r="U7617" s="38" t="s">
        <v>61</v>
      </c>
      <c r="V7617" s="30"/>
      <c r="W7617" s="31"/>
      <c r="X7617" s="31"/>
      <c r="Y7617" s="31"/>
      <c r="Z7617" s="32"/>
      <c r="AA7617" s="31"/>
      <c r="AB7617" s="31"/>
      <c r="AC7617" s="9"/>
      <c r="AD7617" s="31"/>
      <c r="AE7617" s="31"/>
      <c r="AF7617" s="33"/>
      <c r="AG7617" s="34"/>
      <c r="AH7617" s="31"/>
      <c r="AI7617" s="35"/>
      <c r="AJ7617" s="35"/>
      <c r="AK7617" s="35"/>
      <c r="AL7617" s="35"/>
    </row>
    <row r="7618">
      <c r="A7618" s="149"/>
      <c r="B7618" s="19" t="s">
        <v>6113</v>
      </c>
      <c r="C7618" s="20" t="s">
        <v>35147</v>
      </c>
      <c r="D7618" s="47"/>
      <c r="E7618" s="22" t="s">
        <v>5311</v>
      </c>
      <c r="F7618" s="22" t="s">
        <v>5312</v>
      </c>
      <c r="G7618" s="23">
        <v>2021.0</v>
      </c>
      <c r="H7618" s="22" t="s">
        <v>77</v>
      </c>
      <c r="I7618" s="24" t="s">
        <v>35217</v>
      </c>
      <c r="J7618" s="22" t="s">
        <v>3289</v>
      </c>
      <c r="K7618" s="22"/>
      <c r="L7618" s="105" t="s">
        <v>35218</v>
      </c>
      <c r="M7618" s="44"/>
      <c r="N7618" s="44"/>
      <c r="O7618" s="44"/>
      <c r="P7618" s="44"/>
      <c r="Q7618" s="44"/>
      <c r="R7618" s="44"/>
      <c r="S7618" s="44"/>
      <c r="T7618" s="45"/>
      <c r="U7618" s="29" t="s">
        <v>61</v>
      </c>
      <c r="V7618" s="30"/>
      <c r="W7618" s="31"/>
      <c r="X7618" s="31"/>
      <c r="Y7618" s="31"/>
      <c r="Z7618" s="32"/>
      <c r="AA7618" s="31"/>
      <c r="AB7618" s="31"/>
      <c r="AC7618" s="9"/>
      <c r="AD7618" s="31"/>
      <c r="AE7618" s="31"/>
      <c r="AF7618" s="33"/>
      <c r="AG7618" s="34"/>
      <c r="AH7618" s="31"/>
      <c r="AI7618" s="35"/>
      <c r="AJ7618" s="35"/>
      <c r="AK7618" s="35"/>
      <c r="AL7618" s="35"/>
    </row>
    <row r="7619">
      <c r="A7619" s="1" t="s">
        <v>2</v>
      </c>
      <c r="B7619" s="19" t="s">
        <v>6113</v>
      </c>
      <c r="C7619" s="20" t="s">
        <v>35147</v>
      </c>
      <c r="D7619" s="47"/>
      <c r="E7619" s="22" t="s">
        <v>35219</v>
      </c>
      <c r="F7619" s="22" t="s">
        <v>5312</v>
      </c>
      <c r="G7619" s="23">
        <v>2021.0</v>
      </c>
      <c r="H7619" s="22" t="s">
        <v>91</v>
      </c>
      <c r="I7619" s="24" t="s">
        <v>35220</v>
      </c>
      <c r="J7619" s="22" t="s">
        <v>35221</v>
      </c>
      <c r="K7619" s="22" t="s">
        <v>2355</v>
      </c>
      <c r="L7619" s="36">
        <v>808.0</v>
      </c>
      <c r="M7619" s="52">
        <v>80.0</v>
      </c>
      <c r="N7619" s="52" t="s">
        <v>58</v>
      </c>
      <c r="O7619" s="52" t="s">
        <v>58</v>
      </c>
      <c r="P7619" s="200">
        <v>44416.0</v>
      </c>
      <c r="Q7619" s="52" t="s">
        <v>18508</v>
      </c>
      <c r="R7619" s="52" t="s">
        <v>35222</v>
      </c>
      <c r="S7619" s="52" t="s">
        <v>35223</v>
      </c>
      <c r="T7619" s="28" t="s">
        <v>35224</v>
      </c>
      <c r="U7619" s="29" t="s">
        <v>61</v>
      </c>
      <c r="V7619" s="30" t="s">
        <v>35225</v>
      </c>
      <c r="W7619" s="31"/>
      <c r="X7619" s="31"/>
      <c r="Y7619" s="31"/>
      <c r="Z7619" s="32"/>
      <c r="AA7619" s="31"/>
      <c r="AB7619" s="31"/>
      <c r="AC7619" s="9"/>
      <c r="AD7619" s="31"/>
      <c r="AE7619" s="31"/>
      <c r="AF7619" s="33"/>
      <c r="AG7619" s="34"/>
      <c r="AH7619" s="31"/>
      <c r="AI7619" s="35"/>
      <c r="AJ7619" s="35"/>
      <c r="AK7619" s="35"/>
      <c r="AL7619" s="35"/>
    </row>
    <row r="7620">
      <c r="A7620" s="149"/>
      <c r="B7620" s="19" t="s">
        <v>6113</v>
      </c>
      <c r="C7620" s="20" t="s">
        <v>35147</v>
      </c>
      <c r="D7620" s="47"/>
      <c r="E7620" s="22" t="s">
        <v>35226</v>
      </c>
      <c r="F7620" s="22" t="s">
        <v>4697</v>
      </c>
      <c r="G7620" s="23">
        <v>2021.0</v>
      </c>
      <c r="H7620" s="22" t="s">
        <v>35046</v>
      </c>
      <c r="I7620" s="24" t="s">
        <v>35227</v>
      </c>
      <c r="J7620" s="22" t="s">
        <v>35228</v>
      </c>
      <c r="K7620" s="22"/>
      <c r="L7620" s="36" t="s">
        <v>35229</v>
      </c>
      <c r="M7620" s="52" t="s">
        <v>58</v>
      </c>
      <c r="N7620" s="52" t="s">
        <v>58</v>
      </c>
      <c r="O7620" s="52" t="s">
        <v>35230</v>
      </c>
      <c r="P7620" s="52" t="s">
        <v>58</v>
      </c>
      <c r="Q7620" s="52" t="s">
        <v>58</v>
      </c>
      <c r="R7620" s="52">
        <v>180.0</v>
      </c>
      <c r="S7620" s="52" t="s">
        <v>11820</v>
      </c>
      <c r="T7620" s="28" t="s">
        <v>35231</v>
      </c>
      <c r="U7620" s="29" t="s">
        <v>61</v>
      </c>
      <c r="V7620" s="30" t="s">
        <v>35232</v>
      </c>
      <c r="W7620" s="31"/>
      <c r="X7620" s="31"/>
      <c r="Y7620" s="31"/>
      <c r="Z7620" s="32"/>
      <c r="AA7620" s="31"/>
      <c r="AB7620" s="31"/>
      <c r="AC7620" s="9"/>
      <c r="AD7620" s="31"/>
      <c r="AE7620" s="31"/>
      <c r="AF7620" s="33"/>
      <c r="AG7620" s="34"/>
      <c r="AH7620" s="31"/>
      <c r="AI7620" s="35"/>
      <c r="AJ7620" s="35"/>
      <c r="AK7620" s="35"/>
      <c r="AL7620" s="35"/>
    </row>
    <row r="7621">
      <c r="A7621" s="149"/>
      <c r="B7621" s="19" t="s">
        <v>6113</v>
      </c>
      <c r="C7621" s="20" t="s">
        <v>35147</v>
      </c>
      <c r="D7621" s="47"/>
      <c r="E7621" s="22" t="s">
        <v>223</v>
      </c>
      <c r="F7621" s="22" t="s">
        <v>4491</v>
      </c>
      <c r="G7621" s="23">
        <v>2021.0</v>
      </c>
      <c r="H7621" s="22" t="s">
        <v>21909</v>
      </c>
      <c r="I7621" s="24" t="s">
        <v>35233</v>
      </c>
      <c r="J7621" s="22" t="s">
        <v>1078</v>
      </c>
      <c r="K7621" s="22"/>
      <c r="L7621" s="132" t="s">
        <v>35234</v>
      </c>
      <c r="U7621" s="29" t="s">
        <v>61</v>
      </c>
      <c r="V7621" s="30"/>
      <c r="W7621" s="31"/>
      <c r="X7621" s="31"/>
      <c r="Y7621" s="31"/>
      <c r="Z7621" s="32"/>
      <c r="AA7621" s="31"/>
      <c r="AB7621" s="31"/>
      <c r="AC7621" s="9"/>
      <c r="AD7621" s="31"/>
      <c r="AE7621" s="31"/>
      <c r="AF7621" s="33"/>
      <c r="AG7621" s="34"/>
      <c r="AH7621" s="31"/>
      <c r="AI7621" s="35"/>
      <c r="AJ7621" s="35"/>
      <c r="AK7621" s="35"/>
      <c r="AL7621" s="35"/>
    </row>
    <row r="7622">
      <c r="A7622" s="149"/>
      <c r="B7622" s="19" t="s">
        <v>6113</v>
      </c>
      <c r="C7622" s="20" t="s">
        <v>35147</v>
      </c>
      <c r="D7622" s="47"/>
      <c r="E7622" s="22" t="s">
        <v>35235</v>
      </c>
      <c r="F7622" s="22" t="s">
        <v>19727</v>
      </c>
      <c r="G7622" s="23">
        <v>2020.0</v>
      </c>
      <c r="H7622" s="22" t="s">
        <v>91</v>
      </c>
      <c r="I7622" s="24" t="s">
        <v>35236</v>
      </c>
      <c r="J7622" s="22" t="s">
        <v>1078</v>
      </c>
      <c r="K7622" s="22"/>
      <c r="L7622" s="196" t="s">
        <v>35237</v>
      </c>
      <c r="U7622" s="29" t="s">
        <v>61</v>
      </c>
      <c r="V7622" s="30"/>
      <c r="W7622" s="31"/>
      <c r="X7622" s="31"/>
      <c r="Y7622" s="31"/>
      <c r="Z7622" s="32"/>
      <c r="AA7622" s="31"/>
      <c r="AB7622" s="31"/>
      <c r="AC7622" s="9"/>
      <c r="AD7622" s="31"/>
      <c r="AE7622" s="31"/>
      <c r="AF7622" s="33"/>
      <c r="AG7622" s="34"/>
      <c r="AH7622" s="31"/>
      <c r="AI7622" s="35"/>
      <c r="AJ7622" s="35"/>
      <c r="AK7622" s="35"/>
      <c r="AL7622" s="35"/>
    </row>
    <row r="7623">
      <c r="A7623" s="149"/>
      <c r="B7623" s="19" t="s">
        <v>6113</v>
      </c>
      <c r="C7623" s="20" t="s">
        <v>35147</v>
      </c>
      <c r="D7623" s="47"/>
      <c r="E7623" s="22" t="s">
        <v>2755</v>
      </c>
      <c r="F7623" s="22" t="s">
        <v>4014</v>
      </c>
      <c r="G7623" s="23">
        <v>2020.0</v>
      </c>
      <c r="H7623" s="22" t="s">
        <v>5130</v>
      </c>
      <c r="I7623" s="24" t="s">
        <v>35238</v>
      </c>
      <c r="J7623" s="22" t="s">
        <v>1078</v>
      </c>
      <c r="K7623" s="22"/>
      <c r="L7623" s="132" t="s">
        <v>35239</v>
      </c>
      <c r="U7623" s="29" t="s">
        <v>61</v>
      </c>
      <c r="V7623" s="30"/>
      <c r="W7623" s="31"/>
      <c r="X7623" s="31"/>
      <c r="Y7623" s="31"/>
      <c r="Z7623" s="32"/>
      <c r="AA7623" s="31"/>
      <c r="AB7623" s="31"/>
      <c r="AC7623" s="9"/>
      <c r="AD7623" s="31"/>
      <c r="AE7623" s="31"/>
      <c r="AF7623" s="33"/>
      <c r="AG7623" s="34"/>
      <c r="AH7623" s="31"/>
      <c r="AI7623" s="35"/>
      <c r="AJ7623" s="35"/>
      <c r="AK7623" s="35"/>
      <c r="AL7623" s="35"/>
    </row>
    <row r="7624">
      <c r="A7624" s="149"/>
      <c r="B7624" s="19" t="s">
        <v>6113</v>
      </c>
      <c r="C7624" s="20" t="s">
        <v>35147</v>
      </c>
      <c r="D7624" s="47"/>
      <c r="E7624" s="22" t="s">
        <v>20703</v>
      </c>
      <c r="F7624" s="22" t="s">
        <v>7945</v>
      </c>
      <c r="G7624" s="23">
        <v>2020.0</v>
      </c>
      <c r="H7624" s="22" t="s">
        <v>12990</v>
      </c>
      <c r="I7624" s="24" t="s">
        <v>35240</v>
      </c>
      <c r="J7624" s="22" t="s">
        <v>2273</v>
      </c>
      <c r="K7624" s="22" t="s">
        <v>2355</v>
      </c>
      <c r="L7624" s="36">
        <v>808.0</v>
      </c>
      <c r="M7624" s="36">
        <v>250.0</v>
      </c>
      <c r="N7624" s="36" t="s">
        <v>35241</v>
      </c>
      <c r="O7624" s="36" t="s">
        <v>35242</v>
      </c>
      <c r="P7624" s="37" t="s">
        <v>35243</v>
      </c>
      <c r="Q7624" s="36" t="s">
        <v>18508</v>
      </c>
      <c r="R7624" s="36">
        <v>900.0</v>
      </c>
      <c r="S7624" s="36" t="s">
        <v>27334</v>
      </c>
      <c r="T7624" s="28" t="s">
        <v>35244</v>
      </c>
      <c r="U7624" s="29" t="s">
        <v>61</v>
      </c>
      <c r="V7624" s="30" t="s">
        <v>35245</v>
      </c>
      <c r="W7624" s="31"/>
      <c r="X7624" s="31"/>
      <c r="Y7624" s="31"/>
      <c r="Z7624" s="32"/>
      <c r="AA7624" s="31"/>
      <c r="AB7624" s="31"/>
      <c r="AC7624" s="9"/>
      <c r="AD7624" s="31"/>
      <c r="AE7624" s="31"/>
      <c r="AF7624" s="33"/>
      <c r="AG7624" s="34"/>
      <c r="AH7624" s="31"/>
      <c r="AI7624" s="35"/>
      <c r="AJ7624" s="35"/>
      <c r="AK7624" s="35"/>
      <c r="AL7624" s="35"/>
    </row>
    <row r="7625">
      <c r="A7625" s="149"/>
      <c r="B7625" s="19" t="s">
        <v>6113</v>
      </c>
      <c r="C7625" s="20" t="s">
        <v>35147</v>
      </c>
      <c r="D7625" s="47"/>
      <c r="E7625" s="22" t="s">
        <v>450</v>
      </c>
      <c r="F7625" s="22" t="s">
        <v>35246</v>
      </c>
      <c r="G7625" s="23">
        <v>2020.0</v>
      </c>
      <c r="H7625" s="22" t="s">
        <v>35046</v>
      </c>
      <c r="I7625" s="24" t="s">
        <v>35247</v>
      </c>
      <c r="J7625" s="22" t="s">
        <v>1078</v>
      </c>
      <c r="K7625" s="22"/>
      <c r="L7625" s="43" t="s">
        <v>35248</v>
      </c>
      <c r="M7625" s="44"/>
      <c r="N7625" s="44"/>
      <c r="O7625" s="44"/>
      <c r="P7625" s="44"/>
      <c r="Q7625" s="44"/>
      <c r="R7625" s="44"/>
      <c r="S7625" s="44"/>
      <c r="T7625" s="45"/>
      <c r="U7625" s="29" t="s">
        <v>61</v>
      </c>
      <c r="V7625" s="30"/>
      <c r="W7625" s="31"/>
      <c r="X7625" s="31"/>
      <c r="Y7625" s="31"/>
      <c r="Z7625" s="32"/>
      <c r="AA7625" s="31"/>
      <c r="AB7625" s="31"/>
      <c r="AC7625" s="9"/>
      <c r="AD7625" s="31"/>
      <c r="AE7625" s="31"/>
      <c r="AF7625" s="33"/>
      <c r="AG7625" s="34"/>
      <c r="AH7625" s="31"/>
      <c r="AI7625" s="35"/>
      <c r="AJ7625" s="35"/>
      <c r="AK7625" s="35"/>
      <c r="AL7625" s="35"/>
    </row>
    <row r="7626">
      <c r="A7626" s="149"/>
      <c r="B7626" s="19" t="s">
        <v>6113</v>
      </c>
      <c r="C7626" s="20" t="s">
        <v>35147</v>
      </c>
      <c r="D7626" s="47"/>
      <c r="E7626" s="22" t="s">
        <v>35249</v>
      </c>
      <c r="F7626" s="22" t="s">
        <v>35250</v>
      </c>
      <c r="G7626" s="23">
        <v>2020.0</v>
      </c>
      <c r="H7626" s="22" t="s">
        <v>35251</v>
      </c>
      <c r="I7626" s="24" t="s">
        <v>35252</v>
      </c>
      <c r="J7626" s="22" t="s">
        <v>35253</v>
      </c>
      <c r="K7626" s="22" t="s">
        <v>35254</v>
      </c>
      <c r="L7626" s="36">
        <v>808.0</v>
      </c>
      <c r="M7626" s="36">
        <v>250.0</v>
      </c>
      <c r="N7626" s="36" t="s">
        <v>35241</v>
      </c>
      <c r="O7626" s="36" t="s">
        <v>35255</v>
      </c>
      <c r="P7626" s="37" t="s">
        <v>58</v>
      </c>
      <c r="Q7626" s="36" t="s">
        <v>35256</v>
      </c>
      <c r="R7626" s="36" t="s">
        <v>35257</v>
      </c>
      <c r="S7626" s="36" t="s">
        <v>35258</v>
      </c>
      <c r="T7626" s="28" t="s">
        <v>35259</v>
      </c>
      <c r="U7626" s="38" t="str">
        <f>HYPERLINK("https://www.ncbi.nlm.nih.gov/pubmed/32241752","PubMed")</f>
        <v>PubMed</v>
      </c>
      <c r="V7626" s="30" t="s">
        <v>35260</v>
      </c>
      <c r="W7626" s="31"/>
      <c r="X7626" s="31"/>
      <c r="Y7626" s="31"/>
      <c r="Z7626" s="32"/>
      <c r="AA7626" s="31"/>
      <c r="AB7626" s="31"/>
      <c r="AC7626" s="9"/>
      <c r="AD7626" s="31"/>
      <c r="AE7626" s="31"/>
      <c r="AF7626" s="33"/>
      <c r="AG7626" s="34"/>
      <c r="AH7626" s="31"/>
      <c r="AI7626" s="35"/>
      <c r="AJ7626" s="35"/>
      <c r="AK7626" s="35"/>
      <c r="AL7626" s="35"/>
    </row>
    <row r="7627">
      <c r="A7627" s="149"/>
      <c r="B7627" s="19" t="s">
        <v>6113</v>
      </c>
      <c r="C7627" s="20" t="s">
        <v>35147</v>
      </c>
      <c r="D7627" s="47"/>
      <c r="E7627" s="22" t="s">
        <v>35261</v>
      </c>
      <c r="F7627" s="22" t="s">
        <v>323</v>
      </c>
      <c r="G7627" s="23">
        <v>2019.0</v>
      </c>
      <c r="H7627" s="22" t="s">
        <v>77</v>
      </c>
      <c r="I7627" s="24" t="s">
        <v>35262</v>
      </c>
      <c r="J7627" s="22" t="s">
        <v>3289</v>
      </c>
      <c r="K7627" s="22" t="s">
        <v>35263</v>
      </c>
      <c r="L7627" s="105" t="s">
        <v>35264</v>
      </c>
      <c r="M7627" s="44"/>
      <c r="N7627" s="44"/>
      <c r="O7627" s="44"/>
      <c r="P7627" s="44"/>
      <c r="Q7627" s="44"/>
      <c r="R7627" s="44"/>
      <c r="S7627" s="44"/>
      <c r="T7627" s="45"/>
      <c r="U7627" s="38" t="str">
        <f>HYPERLINK("https://www.ncbi.nlm.nih.gov/pubmed/31638476","PubMed")</f>
        <v>PubMed</v>
      </c>
      <c r="V7627" s="30"/>
      <c r="W7627" s="31"/>
      <c r="X7627" s="31"/>
      <c r="Y7627" s="31"/>
      <c r="Z7627" s="32"/>
      <c r="AA7627" s="31"/>
      <c r="AB7627" s="31"/>
      <c r="AC7627" s="9"/>
      <c r="AD7627" s="31"/>
      <c r="AE7627" s="31"/>
      <c r="AF7627" s="33"/>
      <c r="AG7627" s="34"/>
      <c r="AH7627" s="31"/>
      <c r="AI7627" s="35"/>
      <c r="AJ7627" s="35"/>
      <c r="AK7627" s="35"/>
      <c r="AL7627" s="35"/>
    </row>
    <row r="7628">
      <c r="A7628" s="149"/>
      <c r="B7628" s="19" t="s">
        <v>6113</v>
      </c>
      <c r="C7628" s="20" t="s">
        <v>35147</v>
      </c>
      <c r="D7628" s="47"/>
      <c r="E7628" s="22" t="s">
        <v>35265</v>
      </c>
      <c r="F7628" s="22" t="s">
        <v>35266</v>
      </c>
      <c r="G7628" s="23">
        <v>2019.0</v>
      </c>
      <c r="H7628" s="22" t="s">
        <v>91</v>
      </c>
      <c r="I7628" s="24" t="s">
        <v>35267</v>
      </c>
      <c r="J7628" s="22" t="s">
        <v>35268</v>
      </c>
      <c r="K7628" s="22" t="s">
        <v>35269</v>
      </c>
      <c r="L7628" s="36" t="s">
        <v>35270</v>
      </c>
      <c r="M7628" s="36" t="s">
        <v>35271</v>
      </c>
      <c r="N7628" s="36" t="s">
        <v>35272</v>
      </c>
      <c r="O7628" s="36" t="s">
        <v>35273</v>
      </c>
      <c r="P7628" s="37" t="s">
        <v>35274</v>
      </c>
      <c r="Q7628" s="36" t="s">
        <v>35275</v>
      </c>
      <c r="R7628" s="36" t="s">
        <v>35276</v>
      </c>
      <c r="S7628" s="36" t="s">
        <v>35277</v>
      </c>
      <c r="T7628" s="28" t="s">
        <v>35278</v>
      </c>
      <c r="U7628" s="38" t="str">
        <f>HYPERLINK("https://www.ncbi.nlm.nih.gov/pubmed/30715637","PubMed")</f>
        <v>PubMed</v>
      </c>
      <c r="V7628" s="30" t="s">
        <v>35279</v>
      </c>
      <c r="W7628" s="31"/>
      <c r="X7628" s="31"/>
      <c r="Y7628" s="31"/>
      <c r="Z7628" s="32"/>
      <c r="AA7628" s="31"/>
      <c r="AB7628" s="31"/>
      <c r="AC7628" s="9"/>
      <c r="AD7628" s="31"/>
      <c r="AE7628" s="31"/>
      <c r="AF7628" s="33"/>
      <c r="AG7628" s="34"/>
      <c r="AH7628" s="31"/>
      <c r="AI7628" s="35"/>
      <c r="AJ7628" s="35"/>
      <c r="AK7628" s="35"/>
      <c r="AL7628" s="35"/>
    </row>
    <row r="7629">
      <c r="A7629" s="149"/>
      <c r="B7629" s="19" t="s">
        <v>6113</v>
      </c>
      <c r="C7629" s="20" t="s">
        <v>35147</v>
      </c>
      <c r="D7629" s="47"/>
      <c r="E7629" s="22" t="s">
        <v>1008</v>
      </c>
      <c r="F7629" s="22" t="s">
        <v>35280</v>
      </c>
      <c r="G7629" s="23">
        <v>2019.0</v>
      </c>
      <c r="H7629" s="22" t="s">
        <v>5923</v>
      </c>
      <c r="I7629" s="24" t="s">
        <v>35281</v>
      </c>
      <c r="J7629" s="22" t="s">
        <v>35282</v>
      </c>
      <c r="K7629" s="22" t="s">
        <v>35283</v>
      </c>
      <c r="L7629" s="36" t="s">
        <v>35284</v>
      </c>
      <c r="M7629" s="36">
        <v>1800.0</v>
      </c>
      <c r="N7629" s="36" t="s">
        <v>58</v>
      </c>
      <c r="O7629" s="36" t="s">
        <v>58</v>
      </c>
      <c r="P7629" s="37" t="s">
        <v>7604</v>
      </c>
      <c r="Q7629" s="36" t="s">
        <v>58</v>
      </c>
      <c r="R7629" s="36">
        <v>2100.0</v>
      </c>
      <c r="S7629" s="36" t="s">
        <v>35285</v>
      </c>
      <c r="T7629" s="42" t="s">
        <v>35286</v>
      </c>
      <c r="U7629" s="38" t="str">
        <f>HYPERLINK("https://www.ncbi.nlm.nih.gov/pubmed/30710185","PubMed")</f>
        <v>PubMed</v>
      </c>
      <c r="V7629" s="30" t="s">
        <v>35287</v>
      </c>
      <c r="W7629" s="31"/>
      <c r="X7629" s="31"/>
      <c r="Y7629" s="31"/>
      <c r="Z7629" s="32"/>
      <c r="AA7629" s="31"/>
      <c r="AB7629" s="31"/>
      <c r="AC7629" s="9"/>
      <c r="AD7629" s="31"/>
      <c r="AE7629" s="31"/>
      <c r="AF7629" s="33"/>
      <c r="AG7629" s="34"/>
      <c r="AH7629" s="31"/>
      <c r="AI7629" s="35"/>
      <c r="AJ7629" s="35"/>
      <c r="AK7629" s="35"/>
      <c r="AL7629" s="35"/>
    </row>
    <row r="7630">
      <c r="A7630" s="39" t="s">
        <v>181</v>
      </c>
      <c r="B7630" s="19" t="s">
        <v>6113</v>
      </c>
      <c r="C7630" s="20" t="s">
        <v>35147</v>
      </c>
      <c r="D7630" s="47"/>
      <c r="E7630" s="22" t="s">
        <v>35288</v>
      </c>
      <c r="F7630" s="22" t="s">
        <v>20503</v>
      </c>
      <c r="G7630" s="23">
        <v>2019.0</v>
      </c>
      <c r="H7630" s="22" t="s">
        <v>35289</v>
      </c>
      <c r="I7630" s="24" t="s">
        <v>35290</v>
      </c>
      <c r="J7630" s="22" t="s">
        <v>35291</v>
      </c>
      <c r="K7630" s="22"/>
      <c r="L7630" s="36" t="s">
        <v>35292</v>
      </c>
      <c r="M7630" s="36">
        <v>60.0</v>
      </c>
      <c r="N7630" s="36" t="s">
        <v>58</v>
      </c>
      <c r="O7630" s="36" t="s">
        <v>58</v>
      </c>
      <c r="P7630" s="37" t="s">
        <v>13857</v>
      </c>
      <c r="Q7630" s="36" t="s">
        <v>58</v>
      </c>
      <c r="R7630" s="36">
        <v>900.0</v>
      </c>
      <c r="S7630" s="36" t="s">
        <v>35293</v>
      </c>
      <c r="T7630" s="28" t="s">
        <v>35294</v>
      </c>
      <c r="U7630" s="38" t="str">
        <f>HYPERLINK("https://www.ijsurgery.com/index.php/isj/article/view/4172/0","ISJ")</f>
        <v>ISJ</v>
      </c>
      <c r="V7630" s="30" t="s">
        <v>35295</v>
      </c>
      <c r="W7630" s="31"/>
      <c r="X7630" s="31"/>
      <c r="Y7630" s="31"/>
      <c r="Z7630" s="32"/>
      <c r="AA7630" s="31"/>
      <c r="AB7630" s="31"/>
      <c r="AC7630" s="9"/>
      <c r="AD7630" s="31"/>
      <c r="AE7630" s="31"/>
      <c r="AF7630" s="33"/>
      <c r="AG7630" s="34"/>
      <c r="AH7630" s="31"/>
      <c r="AI7630" s="35"/>
      <c r="AJ7630" s="35"/>
      <c r="AK7630" s="35"/>
      <c r="AL7630" s="35"/>
    </row>
    <row r="7631">
      <c r="A7631" s="460"/>
      <c r="B7631" s="19" t="s">
        <v>6113</v>
      </c>
      <c r="C7631" s="20" t="s">
        <v>35147</v>
      </c>
      <c r="D7631" s="217"/>
      <c r="E7631" s="22" t="s">
        <v>27866</v>
      </c>
      <c r="F7631" s="22" t="s">
        <v>27867</v>
      </c>
      <c r="G7631" s="23">
        <v>2018.0</v>
      </c>
      <c r="H7631" s="22" t="s">
        <v>91</v>
      </c>
      <c r="I7631" s="24" t="s">
        <v>35296</v>
      </c>
      <c r="J7631" s="22" t="s">
        <v>35297</v>
      </c>
      <c r="K7631" s="22" t="s">
        <v>35298</v>
      </c>
      <c r="L7631" s="36" t="s">
        <v>33480</v>
      </c>
      <c r="M7631" s="36" t="s">
        <v>58</v>
      </c>
      <c r="N7631" s="36" t="s">
        <v>35299</v>
      </c>
      <c r="O7631" s="36" t="s">
        <v>58</v>
      </c>
      <c r="P7631" s="37" t="s">
        <v>35300</v>
      </c>
      <c r="Q7631" s="36" t="s">
        <v>35301</v>
      </c>
      <c r="R7631" s="36" t="s">
        <v>35302</v>
      </c>
      <c r="S7631" s="36" t="s">
        <v>1773</v>
      </c>
      <c r="T7631" s="28" t="s">
        <v>35303</v>
      </c>
      <c r="U7631" s="38" t="str">
        <f>HYPERLINK("https://www.ncbi.nlm.nih.gov/pubmed/29846832","PubMed")</f>
        <v>PubMed</v>
      </c>
      <c r="V7631" s="30" t="s">
        <v>35304</v>
      </c>
      <c r="W7631" s="461"/>
      <c r="X7631" s="461"/>
      <c r="Y7631" s="461"/>
      <c r="Z7631" s="462"/>
      <c r="AA7631" s="461"/>
      <c r="AB7631" s="461"/>
      <c r="AC7631" s="463"/>
      <c r="AD7631" s="461"/>
      <c r="AE7631" s="461"/>
      <c r="AF7631" s="464"/>
      <c r="AG7631" s="465"/>
      <c r="AH7631" s="461"/>
      <c r="AI7631" s="35"/>
      <c r="AJ7631" s="35"/>
      <c r="AK7631" s="35"/>
      <c r="AL7631" s="35"/>
    </row>
    <row r="7632">
      <c r="A7632" s="460"/>
      <c r="B7632" s="19" t="s">
        <v>6113</v>
      </c>
      <c r="C7632" s="20" t="s">
        <v>35147</v>
      </c>
      <c r="D7632" s="217"/>
      <c r="E7632" s="22" t="s">
        <v>35305</v>
      </c>
      <c r="F7632" s="22" t="s">
        <v>2221</v>
      </c>
      <c r="G7632" s="23">
        <v>2018.0</v>
      </c>
      <c r="H7632" s="22" t="s">
        <v>6024</v>
      </c>
      <c r="I7632" s="24" t="s">
        <v>35306</v>
      </c>
      <c r="J7632" s="22" t="s">
        <v>35307</v>
      </c>
      <c r="K7632" s="230" t="s">
        <v>172</v>
      </c>
      <c r="L7632" s="36" t="s">
        <v>35308</v>
      </c>
      <c r="M7632" s="36" t="s">
        <v>58</v>
      </c>
      <c r="N7632" s="36" t="s">
        <v>35309</v>
      </c>
      <c r="O7632" s="36" t="s">
        <v>58</v>
      </c>
      <c r="P7632" s="37" t="s">
        <v>35310</v>
      </c>
      <c r="Q7632" s="36" t="s">
        <v>35311</v>
      </c>
      <c r="R7632" s="36" t="s">
        <v>35312</v>
      </c>
      <c r="S7632" s="36" t="s">
        <v>35313</v>
      </c>
      <c r="T7632" s="98" t="s">
        <v>35314</v>
      </c>
      <c r="U7632" s="38" t="s">
        <v>61</v>
      </c>
      <c r="V7632" s="30" t="s">
        <v>35315</v>
      </c>
      <c r="W7632" s="461"/>
      <c r="X7632" s="461"/>
      <c r="Y7632" s="461"/>
      <c r="Z7632" s="462"/>
      <c r="AA7632" s="461"/>
      <c r="AB7632" s="461"/>
      <c r="AC7632" s="463"/>
      <c r="AD7632" s="461"/>
      <c r="AE7632" s="461"/>
      <c r="AF7632" s="464"/>
      <c r="AG7632" s="465"/>
      <c r="AH7632" s="461"/>
      <c r="AI7632" s="35"/>
      <c r="AJ7632" s="35"/>
      <c r="AK7632" s="35"/>
      <c r="AL7632" s="35"/>
    </row>
    <row r="7633">
      <c r="A7633" s="460"/>
      <c r="B7633" s="19" t="s">
        <v>6113</v>
      </c>
      <c r="C7633" s="20" t="s">
        <v>35147</v>
      </c>
      <c r="D7633" s="217"/>
      <c r="E7633" s="178" t="s">
        <v>35316</v>
      </c>
      <c r="F7633" s="178" t="s">
        <v>35317</v>
      </c>
      <c r="G7633" s="177">
        <v>2018.0</v>
      </c>
      <c r="H7633" s="22" t="s">
        <v>7511</v>
      </c>
      <c r="I7633" s="24" t="s">
        <v>35318</v>
      </c>
      <c r="J7633" s="22" t="s">
        <v>125</v>
      </c>
      <c r="K7633" s="22"/>
      <c r="L7633" s="42" t="s">
        <v>35319</v>
      </c>
      <c r="U7633" s="221" t="str">
        <f>HYPERLINK("https://www.ncbi.nlm.nih.gov/pubmed/30644276","PubMed")</f>
        <v>PubMed</v>
      </c>
      <c r="V7633" s="279"/>
      <c r="W7633" s="461"/>
      <c r="X7633" s="461"/>
      <c r="Y7633" s="461"/>
      <c r="Z7633" s="462"/>
      <c r="AA7633" s="461"/>
      <c r="AB7633" s="461"/>
      <c r="AC7633" s="463"/>
      <c r="AD7633" s="461"/>
      <c r="AE7633" s="461"/>
      <c r="AF7633" s="464"/>
      <c r="AG7633" s="465"/>
      <c r="AH7633" s="461"/>
      <c r="AI7633" s="35"/>
      <c r="AJ7633" s="35"/>
      <c r="AK7633" s="35"/>
      <c r="AL7633" s="35"/>
    </row>
    <row r="7634">
      <c r="A7634" s="205"/>
      <c r="B7634" s="19" t="s">
        <v>6113</v>
      </c>
      <c r="C7634" s="20" t="s">
        <v>35147</v>
      </c>
      <c r="D7634" s="47"/>
      <c r="E7634" s="22" t="s">
        <v>1689</v>
      </c>
      <c r="F7634" s="22" t="s">
        <v>4491</v>
      </c>
      <c r="G7634" s="23">
        <v>2018.0</v>
      </c>
      <c r="H7634" s="22" t="s">
        <v>32558</v>
      </c>
      <c r="I7634" s="24" t="s">
        <v>35320</v>
      </c>
      <c r="J7634" s="22" t="s">
        <v>1078</v>
      </c>
      <c r="K7634" s="22"/>
      <c r="L7634" s="43" t="s">
        <v>35321</v>
      </c>
      <c r="M7634" s="44"/>
      <c r="N7634" s="44"/>
      <c r="O7634" s="44"/>
      <c r="P7634" s="44"/>
      <c r="Q7634" s="44"/>
      <c r="R7634" s="44"/>
      <c r="S7634" s="44"/>
      <c r="T7634" s="45"/>
      <c r="U7634" s="38" t="str">
        <f>HYPERLINK("https://www.ncbi.nlm.nih.gov/pubmed/30009935","PubMed")</f>
        <v>PubMed</v>
      </c>
      <c r="V7634" s="30"/>
      <c r="W7634" s="31"/>
      <c r="X7634" s="31"/>
      <c r="Y7634" s="31"/>
      <c r="Z7634" s="32"/>
      <c r="AA7634" s="31"/>
      <c r="AB7634" s="31"/>
      <c r="AC7634" s="9"/>
      <c r="AD7634" s="31"/>
      <c r="AE7634" s="31"/>
      <c r="AF7634" s="33"/>
      <c r="AG7634" s="34"/>
      <c r="AH7634" s="31"/>
      <c r="AI7634" s="35"/>
      <c r="AJ7634" s="35"/>
      <c r="AK7634" s="35"/>
      <c r="AL7634" s="35"/>
    </row>
    <row r="7635">
      <c r="A7635" s="205"/>
      <c r="B7635" s="19" t="s">
        <v>6113</v>
      </c>
      <c r="C7635" s="20" t="s">
        <v>35147</v>
      </c>
      <c r="D7635" s="47"/>
      <c r="E7635" s="22" t="s">
        <v>35322</v>
      </c>
      <c r="F7635" s="22" t="s">
        <v>6546</v>
      </c>
      <c r="G7635" s="23">
        <v>2018.0</v>
      </c>
      <c r="H7635" s="22" t="s">
        <v>658</v>
      </c>
      <c r="I7635" s="24" t="s">
        <v>35323</v>
      </c>
      <c r="J7635" s="22" t="s">
        <v>35324</v>
      </c>
      <c r="K7635" s="22" t="s">
        <v>35325</v>
      </c>
      <c r="L7635" s="36" t="s">
        <v>35326</v>
      </c>
      <c r="M7635" s="36" t="s">
        <v>58</v>
      </c>
      <c r="N7635" s="36" t="s">
        <v>58</v>
      </c>
      <c r="O7635" s="36" t="s">
        <v>58</v>
      </c>
      <c r="P7635" s="37" t="s">
        <v>35327</v>
      </c>
      <c r="Q7635" s="36" t="s">
        <v>58</v>
      </c>
      <c r="R7635" s="36">
        <v>300.0</v>
      </c>
      <c r="S7635" s="36" t="s">
        <v>6552</v>
      </c>
      <c r="T7635" s="42" t="s">
        <v>35328</v>
      </c>
      <c r="U7635" s="38" t="str">
        <f>HYPERLINK("https://www.ncbi.nlm.nih.gov/pubmed/29668397","PubMed")</f>
        <v>PubMed</v>
      </c>
      <c r="V7635" s="30" t="s">
        <v>35329</v>
      </c>
      <c r="W7635" s="31"/>
      <c r="X7635" s="31"/>
      <c r="Y7635" s="31"/>
      <c r="Z7635" s="32"/>
      <c r="AA7635" s="31"/>
      <c r="AB7635" s="31"/>
      <c r="AC7635" s="9"/>
      <c r="AD7635" s="31"/>
      <c r="AE7635" s="31"/>
      <c r="AF7635" s="33"/>
      <c r="AG7635" s="34"/>
      <c r="AH7635" s="31"/>
      <c r="AI7635" s="35"/>
      <c r="AJ7635" s="35"/>
      <c r="AK7635" s="35"/>
      <c r="AL7635" s="35"/>
    </row>
    <row r="7636">
      <c r="A7636" s="240" t="s">
        <v>181</v>
      </c>
      <c r="B7636" s="19" t="s">
        <v>6113</v>
      </c>
      <c r="C7636" s="20" t="s">
        <v>35147</v>
      </c>
      <c r="D7636" s="47"/>
      <c r="E7636" s="22" t="s">
        <v>35330</v>
      </c>
      <c r="F7636" s="22" t="s">
        <v>41</v>
      </c>
      <c r="G7636" s="23">
        <v>2018.0</v>
      </c>
      <c r="H7636" s="22" t="s">
        <v>658</v>
      </c>
      <c r="I7636" s="24" t="s">
        <v>35331</v>
      </c>
      <c r="J7636" s="22" t="s">
        <v>35332</v>
      </c>
      <c r="K7636" s="22"/>
      <c r="L7636" s="36">
        <v>660.0</v>
      </c>
      <c r="M7636" s="36">
        <v>30.0</v>
      </c>
      <c r="N7636" s="36" t="s">
        <v>35198</v>
      </c>
      <c r="O7636" s="36" t="s">
        <v>58</v>
      </c>
      <c r="P7636" s="37" t="s">
        <v>82</v>
      </c>
      <c r="Q7636" s="36" t="s">
        <v>35333</v>
      </c>
      <c r="R7636" s="36" t="s">
        <v>35334</v>
      </c>
      <c r="S7636" s="36" t="s">
        <v>35200</v>
      </c>
      <c r="T7636" s="98" t="s">
        <v>35335</v>
      </c>
      <c r="U7636" s="38" t="str">
        <f>HYPERLINK("https://www.ncbi.nlm.nih.gov/pubmed/29882738","PubMed")</f>
        <v>PubMed</v>
      </c>
      <c r="V7636" s="30" t="s">
        <v>35336</v>
      </c>
      <c r="W7636" s="31"/>
      <c r="X7636" s="31"/>
      <c r="Y7636" s="31"/>
      <c r="Z7636" s="32"/>
      <c r="AA7636" s="31"/>
      <c r="AB7636" s="31"/>
      <c r="AC7636" s="9"/>
      <c r="AD7636" s="31"/>
      <c r="AE7636" s="31"/>
      <c r="AF7636" s="33"/>
      <c r="AG7636" s="34"/>
      <c r="AH7636" s="31"/>
      <c r="AI7636" s="35"/>
      <c r="AJ7636" s="35"/>
      <c r="AK7636" s="35"/>
      <c r="AL7636" s="35"/>
    </row>
    <row r="7637">
      <c r="A7637" s="205"/>
      <c r="B7637" s="19" t="s">
        <v>6113</v>
      </c>
      <c r="C7637" s="20" t="s">
        <v>35147</v>
      </c>
      <c r="D7637" s="47"/>
      <c r="E7637" s="22" t="s">
        <v>35337</v>
      </c>
      <c r="F7637" s="22" t="s">
        <v>2635</v>
      </c>
      <c r="G7637" s="23">
        <v>2017.0</v>
      </c>
      <c r="H7637" s="22" t="s">
        <v>1025</v>
      </c>
      <c r="I7637" s="24" t="s">
        <v>35338</v>
      </c>
      <c r="J7637" s="22" t="s">
        <v>35339</v>
      </c>
      <c r="K7637" s="22" t="s">
        <v>35340</v>
      </c>
      <c r="L7637" s="36">
        <v>830.0</v>
      </c>
      <c r="M7637" s="36" t="s">
        <v>58</v>
      </c>
      <c r="N7637" s="36" t="s">
        <v>58</v>
      </c>
      <c r="O7637" s="36" t="s">
        <v>58</v>
      </c>
      <c r="P7637" s="37" t="s">
        <v>35341</v>
      </c>
      <c r="Q7637" s="36" t="s">
        <v>35342</v>
      </c>
      <c r="R7637" s="36" t="s">
        <v>35343</v>
      </c>
      <c r="S7637" s="36" t="s">
        <v>35344</v>
      </c>
      <c r="T7637" s="98" t="s">
        <v>35345</v>
      </c>
      <c r="U7637" s="38" t="str">
        <f>HYPERLINK("https://www.ncbi.nlm.nih.gov/pubmed/28265648","PubMed")</f>
        <v>PubMed</v>
      </c>
      <c r="V7637" s="30" t="s">
        <v>35346</v>
      </c>
      <c r="W7637" s="31"/>
      <c r="X7637" s="31"/>
      <c r="Y7637" s="31"/>
      <c r="Z7637" s="32"/>
      <c r="AA7637" s="31"/>
      <c r="AB7637" s="31"/>
      <c r="AC7637" s="9"/>
      <c r="AD7637" s="31"/>
      <c r="AE7637" s="31"/>
      <c r="AF7637" s="33"/>
      <c r="AG7637" s="34"/>
      <c r="AH7637" s="31"/>
      <c r="AI7637" s="35"/>
      <c r="AJ7637" s="35"/>
      <c r="AK7637" s="35"/>
      <c r="AL7637" s="35"/>
    </row>
    <row r="7638">
      <c r="A7638" s="205"/>
      <c r="B7638" s="19" t="s">
        <v>6113</v>
      </c>
      <c r="C7638" s="20" t="s">
        <v>35147</v>
      </c>
      <c r="D7638" s="47"/>
      <c r="E7638" s="22" t="s">
        <v>610</v>
      </c>
      <c r="F7638" s="22" t="s">
        <v>7553</v>
      </c>
      <c r="G7638" s="23">
        <v>2016.0</v>
      </c>
      <c r="H7638" s="22" t="s">
        <v>35347</v>
      </c>
      <c r="I7638" s="24" t="s">
        <v>35348</v>
      </c>
      <c r="J7638" s="22" t="s">
        <v>35349</v>
      </c>
      <c r="K7638" s="22" t="s">
        <v>35350</v>
      </c>
      <c r="L7638" s="36" t="s">
        <v>35284</v>
      </c>
      <c r="M7638" s="36"/>
      <c r="N7638" s="36"/>
      <c r="O7638" s="36"/>
      <c r="P7638" s="37"/>
      <c r="Q7638" s="36"/>
      <c r="R7638" s="36"/>
      <c r="S7638" s="36"/>
      <c r="T7638" s="98" t="s">
        <v>35351</v>
      </c>
      <c r="U7638" s="38" t="s">
        <v>35352</v>
      </c>
      <c r="V7638" s="30"/>
      <c r="W7638" s="31"/>
      <c r="X7638" s="31"/>
      <c r="Y7638" s="31"/>
      <c r="Z7638" s="32"/>
      <c r="AA7638" s="31"/>
      <c r="AB7638" s="31"/>
      <c r="AC7638" s="9"/>
      <c r="AD7638" s="31"/>
      <c r="AE7638" s="31"/>
      <c r="AF7638" s="33"/>
      <c r="AG7638" s="34"/>
      <c r="AH7638" s="31"/>
      <c r="AI7638" s="35"/>
      <c r="AJ7638" s="35"/>
      <c r="AK7638" s="35"/>
      <c r="AL7638" s="35"/>
    </row>
    <row r="7639">
      <c r="A7639" s="149"/>
      <c r="B7639" s="19" t="s">
        <v>6113</v>
      </c>
      <c r="C7639" s="20" t="s">
        <v>35147</v>
      </c>
      <c r="D7639" s="47"/>
      <c r="E7639" s="22" t="s">
        <v>35353</v>
      </c>
      <c r="F7639" s="22" t="s">
        <v>5488</v>
      </c>
      <c r="G7639" s="23">
        <v>2016.0</v>
      </c>
      <c r="H7639" s="22" t="s">
        <v>7267</v>
      </c>
      <c r="I7639" s="24" t="s">
        <v>35354</v>
      </c>
      <c r="J7639" s="22" t="s">
        <v>125</v>
      </c>
      <c r="K7639" s="22"/>
      <c r="L7639" s="171" t="s">
        <v>35355</v>
      </c>
      <c r="M7639" s="44"/>
      <c r="N7639" s="44"/>
      <c r="O7639" s="44"/>
      <c r="P7639" s="44"/>
      <c r="Q7639" s="44"/>
      <c r="R7639" s="44"/>
      <c r="S7639" s="44"/>
      <c r="T7639" s="45"/>
      <c r="U7639" s="38" t="str">
        <f>HYPERLINK("https://www.ncbi.nlm.nih.gov/pubmed/27391634","PubMed")</f>
        <v>PubMed</v>
      </c>
      <c r="V7639" s="30"/>
      <c r="W7639" s="31"/>
      <c r="X7639" s="31"/>
      <c r="Y7639" s="31"/>
      <c r="Z7639" s="32"/>
      <c r="AA7639" s="31"/>
      <c r="AB7639" s="31"/>
      <c r="AC7639" s="9"/>
      <c r="AD7639" s="31"/>
      <c r="AE7639" s="31"/>
      <c r="AF7639" s="33"/>
      <c r="AG7639" s="34"/>
      <c r="AH7639" s="31"/>
      <c r="AI7639" s="35"/>
      <c r="AJ7639" s="35"/>
      <c r="AK7639" s="35"/>
      <c r="AL7639" s="35"/>
    </row>
    <row r="7640">
      <c r="A7640" s="149"/>
      <c r="B7640" s="19" t="s">
        <v>6113</v>
      </c>
      <c r="C7640" s="20" t="s">
        <v>35147</v>
      </c>
      <c r="D7640" s="47"/>
      <c r="E7640" s="22" t="s">
        <v>35353</v>
      </c>
      <c r="F7640" s="22" t="s">
        <v>5488</v>
      </c>
      <c r="G7640" s="23">
        <v>2016.0</v>
      </c>
      <c r="H7640" s="22" t="s">
        <v>5130</v>
      </c>
      <c r="I7640" s="24" t="s">
        <v>35356</v>
      </c>
      <c r="J7640" s="22" t="s">
        <v>649</v>
      </c>
      <c r="K7640" s="22"/>
      <c r="L7640" s="171" t="s">
        <v>35357</v>
      </c>
      <c r="M7640" s="44"/>
      <c r="N7640" s="44"/>
      <c r="O7640" s="44"/>
      <c r="P7640" s="44"/>
      <c r="Q7640" s="44"/>
      <c r="R7640" s="44"/>
      <c r="S7640" s="44"/>
      <c r="T7640" s="45"/>
      <c r="U7640" s="38" t="str">
        <f>HYPERLINK("https://www.ncbi.nlm.nih.gov/pubmed/26748691","PubMed")</f>
        <v>PubMed</v>
      </c>
      <c r="V7640" s="30"/>
      <c r="W7640" s="31"/>
      <c r="X7640" s="31"/>
      <c r="Y7640" s="31"/>
      <c r="Z7640" s="32"/>
      <c r="AA7640" s="31"/>
      <c r="AB7640" s="31"/>
      <c r="AC7640" s="9"/>
      <c r="AD7640" s="31"/>
      <c r="AE7640" s="31"/>
      <c r="AF7640" s="33"/>
      <c r="AG7640" s="34"/>
      <c r="AH7640" s="31"/>
      <c r="AI7640" s="35"/>
      <c r="AJ7640" s="35"/>
      <c r="AK7640" s="35"/>
      <c r="AL7640" s="35"/>
    </row>
    <row r="7641">
      <c r="A7641" s="205"/>
      <c r="B7641" s="19" t="s">
        <v>6113</v>
      </c>
      <c r="C7641" s="20" t="s">
        <v>35147</v>
      </c>
      <c r="D7641" s="47"/>
      <c r="E7641" s="22" t="s">
        <v>17005</v>
      </c>
      <c r="F7641" s="22" t="s">
        <v>24122</v>
      </c>
      <c r="G7641" s="23">
        <v>2016.0</v>
      </c>
      <c r="H7641" s="22" t="s">
        <v>35358</v>
      </c>
      <c r="I7641" s="24" t="s">
        <v>35359</v>
      </c>
      <c r="J7641" s="22" t="s">
        <v>35360</v>
      </c>
      <c r="K7641" s="22" t="s">
        <v>35361</v>
      </c>
      <c r="L7641" s="36">
        <v>658.0</v>
      </c>
      <c r="M7641" s="36">
        <v>30.0</v>
      </c>
      <c r="N7641" s="36" t="s">
        <v>58</v>
      </c>
      <c r="O7641" s="36" t="s">
        <v>58</v>
      </c>
      <c r="P7641" s="37" t="s">
        <v>254</v>
      </c>
      <c r="Q7641" s="36" t="s">
        <v>35362</v>
      </c>
      <c r="R7641" s="36">
        <v>80.0</v>
      </c>
      <c r="S7641" s="36" t="s">
        <v>4905</v>
      </c>
      <c r="T7641" s="28" t="s">
        <v>35363</v>
      </c>
      <c r="U7641" s="38" t="str">
        <f>HYPERLINK("https://www.ncbi.nlm.nih.gov/pubmed/27680049","PubMed")</f>
        <v>PubMed</v>
      </c>
      <c r="V7641" s="30" t="s">
        <v>35364</v>
      </c>
      <c r="W7641" s="31"/>
      <c r="X7641" s="31"/>
      <c r="Y7641" s="31"/>
      <c r="Z7641" s="32"/>
      <c r="AA7641" s="31"/>
      <c r="AB7641" s="31"/>
      <c r="AC7641" s="9"/>
      <c r="AD7641" s="31"/>
      <c r="AE7641" s="31"/>
      <c r="AF7641" s="33"/>
      <c r="AG7641" s="34"/>
      <c r="AH7641" s="31"/>
      <c r="AI7641" s="35"/>
      <c r="AJ7641" s="35"/>
      <c r="AK7641" s="35"/>
      <c r="AL7641" s="35"/>
    </row>
    <row r="7642">
      <c r="A7642" s="205" t="s">
        <v>38</v>
      </c>
      <c r="B7642" s="19" t="s">
        <v>6113</v>
      </c>
      <c r="C7642" s="20" t="s">
        <v>35147</v>
      </c>
      <c r="D7642" s="47"/>
      <c r="E7642" s="22" t="s">
        <v>35365</v>
      </c>
      <c r="F7642" s="22" t="s">
        <v>12141</v>
      </c>
      <c r="G7642" s="23">
        <v>2016.0</v>
      </c>
      <c r="H7642" s="22" t="s">
        <v>91</v>
      </c>
      <c r="I7642" s="24" t="s">
        <v>35366</v>
      </c>
      <c r="J7642" s="22" t="s">
        <v>35367</v>
      </c>
      <c r="K7642" s="22"/>
      <c r="L7642" s="36">
        <v>660.0</v>
      </c>
      <c r="M7642" s="36" t="s">
        <v>58</v>
      </c>
      <c r="N7642" s="36" t="s">
        <v>1729</v>
      </c>
      <c r="O7642" s="36" t="s">
        <v>58</v>
      </c>
      <c r="P7642" s="37" t="s">
        <v>969</v>
      </c>
      <c r="Q7642" s="36" t="s">
        <v>11924</v>
      </c>
      <c r="R7642" s="36" t="s">
        <v>35368</v>
      </c>
      <c r="S7642" s="36" t="s">
        <v>35293</v>
      </c>
      <c r="T7642" s="28" t="s">
        <v>35369</v>
      </c>
      <c r="U7642" s="38" t="str">
        <f>HYPERLINK("https://www.ncbi.nlm.nih.gov/pubmed/27896528","PubMed")</f>
        <v>PubMed</v>
      </c>
      <c r="V7642" s="30"/>
      <c r="W7642" s="31"/>
      <c r="X7642" s="31"/>
      <c r="Y7642" s="31"/>
      <c r="Z7642" s="32"/>
      <c r="AA7642" s="31"/>
      <c r="AB7642" s="31"/>
      <c r="AC7642" s="9"/>
      <c r="AD7642" s="31"/>
      <c r="AE7642" s="31"/>
      <c r="AF7642" s="33"/>
      <c r="AG7642" s="34"/>
      <c r="AH7642" s="31"/>
      <c r="AI7642" s="35"/>
      <c r="AJ7642" s="35"/>
      <c r="AK7642" s="35"/>
      <c r="AL7642" s="35"/>
    </row>
    <row r="7643">
      <c r="A7643" s="149"/>
      <c r="B7643" s="19" t="s">
        <v>6113</v>
      </c>
      <c r="C7643" s="20" t="s">
        <v>35147</v>
      </c>
      <c r="D7643" s="47"/>
      <c r="E7643" s="22" t="s">
        <v>35370</v>
      </c>
      <c r="F7643" s="22" t="s">
        <v>2702</v>
      </c>
      <c r="G7643" s="23">
        <v>2015.0</v>
      </c>
      <c r="H7643" s="22" t="s">
        <v>35371</v>
      </c>
      <c r="I7643" s="24" t="s">
        <v>35372</v>
      </c>
      <c r="J7643" s="22" t="s">
        <v>35373</v>
      </c>
      <c r="K7643" s="22" t="s">
        <v>35374</v>
      </c>
      <c r="L7643" s="36" t="s">
        <v>15804</v>
      </c>
      <c r="M7643" s="36" t="s">
        <v>35375</v>
      </c>
      <c r="N7643" s="36" t="s">
        <v>7964</v>
      </c>
      <c r="O7643" s="36" t="s">
        <v>58</v>
      </c>
      <c r="P7643" s="37" t="s">
        <v>969</v>
      </c>
      <c r="Q7643" s="36" t="s">
        <v>35376</v>
      </c>
      <c r="R7643" s="36" t="s">
        <v>35377</v>
      </c>
      <c r="S7643" s="36" t="s">
        <v>35378</v>
      </c>
      <c r="T7643" s="42" t="s">
        <v>35379</v>
      </c>
      <c r="U7643" s="29" t="s">
        <v>61</v>
      </c>
      <c r="V7643" s="30" t="s">
        <v>35380</v>
      </c>
      <c r="W7643" s="31"/>
      <c r="X7643" s="31"/>
      <c r="Y7643" s="31"/>
      <c r="Z7643" s="32"/>
      <c r="AA7643" s="31"/>
      <c r="AB7643" s="31"/>
      <c r="AC7643" s="9"/>
      <c r="AD7643" s="31"/>
      <c r="AE7643" s="31"/>
      <c r="AF7643" s="33"/>
      <c r="AG7643" s="34"/>
      <c r="AH7643" s="31"/>
      <c r="AI7643" s="35"/>
      <c r="AJ7643" s="35"/>
      <c r="AK7643" s="35"/>
      <c r="AL7643" s="35"/>
    </row>
    <row r="7644">
      <c r="A7644" s="149" t="s">
        <v>181</v>
      </c>
      <c r="B7644" s="19" t="s">
        <v>6113</v>
      </c>
      <c r="C7644" s="20" t="s">
        <v>35147</v>
      </c>
      <c r="D7644" s="47"/>
      <c r="E7644" s="22" t="s">
        <v>35381</v>
      </c>
      <c r="F7644" s="22" t="s">
        <v>5223</v>
      </c>
      <c r="G7644" s="23">
        <v>2015.0</v>
      </c>
      <c r="H7644" s="22" t="s">
        <v>17879</v>
      </c>
      <c r="I7644" s="24" t="s">
        <v>35382</v>
      </c>
      <c r="J7644" s="22" t="s">
        <v>35383</v>
      </c>
      <c r="K7644" s="22" t="s">
        <v>35384</v>
      </c>
      <c r="L7644" s="36" t="s">
        <v>35385</v>
      </c>
      <c r="M7644" s="36" t="s">
        <v>58</v>
      </c>
      <c r="N7644" s="36" t="s">
        <v>58</v>
      </c>
      <c r="O7644" s="36" t="s">
        <v>58</v>
      </c>
      <c r="P7644" s="37" t="s">
        <v>58</v>
      </c>
      <c r="Q7644" s="36" t="s">
        <v>58</v>
      </c>
      <c r="R7644" s="36" t="s">
        <v>58</v>
      </c>
      <c r="S7644" s="36" t="s">
        <v>13185</v>
      </c>
      <c r="T7644" s="98" t="s">
        <v>35386</v>
      </c>
      <c r="U7644" s="38" t="str">
        <f>HYPERLINK("https://www.ncbi.nlm.nih.gov/pubmed/26404934","PubMed")</f>
        <v>PubMed</v>
      </c>
      <c r="V7644" s="30" t="s">
        <v>35387</v>
      </c>
      <c r="W7644" s="31"/>
      <c r="X7644" s="31"/>
      <c r="Y7644" s="31"/>
      <c r="Z7644" s="32"/>
      <c r="AA7644" s="31"/>
      <c r="AB7644" s="31"/>
      <c r="AC7644" s="9"/>
      <c r="AD7644" s="31"/>
      <c r="AE7644" s="31"/>
      <c r="AF7644" s="33"/>
      <c r="AG7644" s="34"/>
      <c r="AH7644" s="31"/>
      <c r="AI7644" s="35"/>
      <c r="AJ7644" s="35"/>
      <c r="AK7644" s="35"/>
      <c r="AL7644" s="35"/>
    </row>
    <row r="7645">
      <c r="A7645" s="149"/>
      <c r="B7645" s="19" t="s">
        <v>6113</v>
      </c>
      <c r="C7645" s="20" t="s">
        <v>35147</v>
      </c>
      <c r="D7645" s="47"/>
      <c r="E7645" s="22" t="s">
        <v>8693</v>
      </c>
      <c r="F7645" s="22" t="s">
        <v>1386</v>
      </c>
      <c r="G7645" s="23">
        <v>2015.0</v>
      </c>
      <c r="H7645" s="22" t="s">
        <v>658</v>
      </c>
      <c r="I7645" s="24" t="s">
        <v>35388</v>
      </c>
      <c r="J7645" s="22" t="s">
        <v>202</v>
      </c>
      <c r="K7645" s="22"/>
      <c r="L7645" s="105" t="s">
        <v>35389</v>
      </c>
      <c r="M7645" s="44"/>
      <c r="N7645" s="44"/>
      <c r="O7645" s="44"/>
      <c r="P7645" s="44"/>
      <c r="Q7645" s="44"/>
      <c r="R7645" s="44"/>
      <c r="S7645" s="44"/>
      <c r="T7645" s="45"/>
      <c r="U7645" s="38" t="str">
        <f>HYPERLINK("https://www.ncbi.nlm.nih.gov/pubmed/25954826","PubMed")</f>
        <v>PubMed</v>
      </c>
      <c r="V7645" s="30"/>
      <c r="W7645" s="31"/>
      <c r="X7645" s="31"/>
      <c r="Y7645" s="31"/>
      <c r="Z7645" s="32"/>
      <c r="AA7645" s="31"/>
      <c r="AB7645" s="31"/>
      <c r="AC7645" s="9"/>
      <c r="AD7645" s="31"/>
      <c r="AE7645" s="31"/>
      <c r="AF7645" s="33"/>
      <c r="AG7645" s="34"/>
      <c r="AH7645" s="31"/>
      <c r="AI7645" s="35"/>
      <c r="AJ7645" s="35"/>
      <c r="AK7645" s="35"/>
      <c r="AL7645" s="35"/>
    </row>
    <row r="7646">
      <c r="A7646" s="149"/>
      <c r="B7646" s="19" t="s">
        <v>6113</v>
      </c>
      <c r="C7646" s="20" t="s">
        <v>35147</v>
      </c>
      <c r="D7646" s="47"/>
      <c r="E7646" s="22" t="s">
        <v>35390</v>
      </c>
      <c r="F7646" s="22" t="s">
        <v>41</v>
      </c>
      <c r="G7646" s="23">
        <v>2015.0</v>
      </c>
      <c r="H7646" s="22" t="s">
        <v>309</v>
      </c>
      <c r="I7646" s="24" t="s">
        <v>35391</v>
      </c>
      <c r="J7646" s="22" t="s">
        <v>35392</v>
      </c>
      <c r="K7646" s="22"/>
      <c r="L7646" s="36">
        <v>633.0</v>
      </c>
      <c r="M7646" s="36">
        <v>30.0</v>
      </c>
      <c r="N7646" s="36" t="s">
        <v>58</v>
      </c>
      <c r="O7646" s="36" t="s">
        <v>58</v>
      </c>
      <c r="P7646" s="37" t="s">
        <v>254</v>
      </c>
      <c r="Q7646" s="36" t="s">
        <v>58</v>
      </c>
      <c r="R7646" s="36">
        <v>80.0</v>
      </c>
      <c r="S7646" s="36" t="s">
        <v>4905</v>
      </c>
      <c r="T7646" s="28" t="s">
        <v>35393</v>
      </c>
      <c r="U7646" s="38" t="str">
        <f>HYPERLINK("https://www.ncbi.nlm.nih.gov/pubmed/26735058","PubMed")</f>
        <v>PubMed</v>
      </c>
      <c r="V7646" s="30" t="s">
        <v>35394</v>
      </c>
      <c r="W7646" s="31"/>
      <c r="X7646" s="31"/>
      <c r="Y7646" s="31"/>
      <c r="Z7646" s="32"/>
      <c r="AA7646" s="31"/>
      <c r="AB7646" s="31"/>
      <c r="AC7646" s="9"/>
      <c r="AD7646" s="31"/>
      <c r="AE7646" s="31"/>
      <c r="AF7646" s="33"/>
      <c r="AG7646" s="34"/>
      <c r="AH7646" s="31"/>
      <c r="AI7646" s="35"/>
      <c r="AJ7646" s="35"/>
      <c r="AK7646" s="35"/>
      <c r="AL7646" s="35"/>
    </row>
    <row r="7647">
      <c r="A7647" s="149"/>
      <c r="B7647" s="19" t="s">
        <v>6113</v>
      </c>
      <c r="C7647" s="20" t="s">
        <v>35147</v>
      </c>
      <c r="D7647" s="47"/>
      <c r="E7647" s="22" t="s">
        <v>35395</v>
      </c>
      <c r="F7647" s="22" t="s">
        <v>19320</v>
      </c>
      <c r="G7647" s="23">
        <v>2014.0</v>
      </c>
      <c r="H7647" s="22" t="s">
        <v>300</v>
      </c>
      <c r="I7647" s="24" t="s">
        <v>35396</v>
      </c>
      <c r="J7647" s="22" t="s">
        <v>649</v>
      </c>
      <c r="K7647" s="22"/>
      <c r="L7647" s="167" t="s">
        <v>35397</v>
      </c>
      <c r="M7647" s="44"/>
      <c r="N7647" s="44"/>
      <c r="O7647" s="44"/>
      <c r="P7647" s="44"/>
      <c r="Q7647" s="44"/>
      <c r="R7647" s="44"/>
      <c r="S7647" s="44"/>
      <c r="T7647" s="45"/>
      <c r="U7647" s="38" t="str">
        <f>HYPERLINK("https://www.ncbi.nlm.nih.gov/pubmed/24744814","PubMed")</f>
        <v>PubMed</v>
      </c>
      <c r="V7647" s="30"/>
      <c r="W7647" s="31"/>
      <c r="X7647" s="31"/>
      <c r="Y7647" s="31"/>
      <c r="Z7647" s="32"/>
      <c r="AA7647" s="31"/>
      <c r="AB7647" s="31"/>
      <c r="AC7647" s="9"/>
      <c r="AD7647" s="31"/>
      <c r="AE7647" s="31"/>
      <c r="AF7647" s="33"/>
      <c r="AG7647" s="34"/>
      <c r="AH7647" s="31"/>
      <c r="AI7647" s="35"/>
      <c r="AJ7647" s="35"/>
      <c r="AK7647" s="35"/>
      <c r="AL7647" s="35"/>
    </row>
    <row r="7648">
      <c r="A7648" s="149"/>
      <c r="B7648" s="19" t="s">
        <v>6113</v>
      </c>
      <c r="C7648" s="20" t="s">
        <v>35147</v>
      </c>
      <c r="D7648" s="47"/>
      <c r="E7648" s="22" t="s">
        <v>35398</v>
      </c>
      <c r="F7648" s="22" t="s">
        <v>35399</v>
      </c>
      <c r="G7648" s="23">
        <v>2012.0</v>
      </c>
      <c r="H7648" s="22" t="s">
        <v>17859</v>
      </c>
      <c r="I7648" s="24" t="s">
        <v>35400</v>
      </c>
      <c r="J7648" s="22" t="s">
        <v>35401</v>
      </c>
      <c r="K7648" s="22" t="s">
        <v>35402</v>
      </c>
      <c r="L7648" s="36" t="s">
        <v>35403</v>
      </c>
      <c r="M7648" s="36" t="s">
        <v>35404</v>
      </c>
      <c r="N7648" s="36" t="s">
        <v>35405</v>
      </c>
      <c r="O7648" s="36" t="s">
        <v>58</v>
      </c>
      <c r="P7648" s="37" t="s">
        <v>35406</v>
      </c>
      <c r="Q7648" s="36" t="s">
        <v>58</v>
      </c>
      <c r="R7648" s="36"/>
      <c r="S7648" s="36" t="s">
        <v>35407</v>
      </c>
      <c r="T7648" s="54" t="s">
        <v>35408</v>
      </c>
      <c r="U7648" s="38" t="str">
        <f>HYPERLINK("https://www.ncbi.nlm.nih.gov/pubmed/22711049","PubMed")</f>
        <v>PubMed</v>
      </c>
      <c r="V7648" s="30" t="s">
        <v>35409</v>
      </c>
      <c r="W7648" s="31"/>
      <c r="X7648" s="31"/>
      <c r="Y7648" s="31"/>
      <c r="Z7648" s="32"/>
      <c r="AA7648" s="31"/>
      <c r="AB7648" s="31"/>
      <c r="AC7648" s="9"/>
      <c r="AD7648" s="31"/>
      <c r="AE7648" s="31"/>
      <c r="AF7648" s="33"/>
      <c r="AG7648" s="34"/>
      <c r="AH7648" s="31"/>
      <c r="AI7648" s="35"/>
      <c r="AJ7648" s="35"/>
      <c r="AK7648" s="35"/>
      <c r="AL7648" s="35"/>
    </row>
    <row r="7649">
      <c r="A7649" s="149" t="s">
        <v>181</v>
      </c>
      <c r="B7649" s="19" t="s">
        <v>6113</v>
      </c>
      <c r="C7649" s="20" t="s">
        <v>35147</v>
      </c>
      <c r="D7649" s="47"/>
      <c r="E7649" s="22" t="s">
        <v>35410</v>
      </c>
      <c r="F7649" s="22" t="s">
        <v>21210</v>
      </c>
      <c r="G7649" s="23">
        <v>2012.0</v>
      </c>
      <c r="H7649" s="22" t="s">
        <v>35411</v>
      </c>
      <c r="I7649" s="24" t="s">
        <v>35412</v>
      </c>
      <c r="J7649" s="22" t="s">
        <v>35413</v>
      </c>
      <c r="K7649" s="22"/>
      <c r="L7649" s="36" t="s">
        <v>58</v>
      </c>
      <c r="M7649" s="36">
        <v>60.0</v>
      </c>
      <c r="N7649" s="36" t="s">
        <v>58</v>
      </c>
      <c r="O7649" s="36" t="s">
        <v>58</v>
      </c>
      <c r="P7649" s="37" t="s">
        <v>13857</v>
      </c>
      <c r="Q7649" s="36" t="s">
        <v>58</v>
      </c>
      <c r="R7649" s="36" t="s">
        <v>58</v>
      </c>
      <c r="S7649" s="36" t="s">
        <v>35293</v>
      </c>
      <c r="T7649" s="54" t="s">
        <v>35414</v>
      </c>
      <c r="U7649" s="38" t="str">
        <f>HYPERLINK("https://www.ncbi.nlm.nih.gov/pubmed/24082586","PubMed")</f>
        <v>PubMed</v>
      </c>
      <c r="V7649" s="30" t="s">
        <v>35415</v>
      </c>
      <c r="W7649" s="31"/>
      <c r="X7649" s="31"/>
      <c r="Y7649" s="31"/>
      <c r="Z7649" s="32"/>
      <c r="AA7649" s="31"/>
      <c r="AB7649" s="31"/>
      <c r="AC7649" s="9"/>
      <c r="AD7649" s="31"/>
      <c r="AE7649" s="31"/>
      <c r="AF7649" s="33"/>
      <c r="AG7649" s="34"/>
      <c r="AH7649" s="31"/>
      <c r="AI7649" s="35"/>
      <c r="AJ7649" s="35"/>
      <c r="AK7649" s="35"/>
      <c r="AL7649" s="35"/>
    </row>
    <row r="7650">
      <c r="A7650" s="1"/>
      <c r="B7650" s="19" t="s">
        <v>6113</v>
      </c>
      <c r="C7650" s="20" t="s">
        <v>35147</v>
      </c>
      <c r="D7650" s="47"/>
      <c r="E7650" s="22" t="s">
        <v>14723</v>
      </c>
      <c r="F7650" s="22" t="s">
        <v>323</v>
      </c>
      <c r="G7650" s="23">
        <v>2011.0</v>
      </c>
      <c r="H7650" s="22" t="s">
        <v>658</v>
      </c>
      <c r="I7650" s="24" t="s">
        <v>35416</v>
      </c>
      <c r="J7650" s="22" t="s">
        <v>35417</v>
      </c>
      <c r="K7650" s="22"/>
      <c r="L7650" s="36">
        <v>685.0</v>
      </c>
      <c r="M7650" s="36">
        <v>50.0</v>
      </c>
      <c r="N7650" s="36" t="s">
        <v>3911</v>
      </c>
      <c r="O7650" s="36" t="s">
        <v>58</v>
      </c>
      <c r="P7650" s="37" t="s">
        <v>95</v>
      </c>
      <c r="Q7650" s="36" t="s">
        <v>35418</v>
      </c>
      <c r="R7650" s="36">
        <v>200.0</v>
      </c>
      <c r="S7650" s="36" t="s">
        <v>35419</v>
      </c>
      <c r="T7650" s="54" t="s">
        <v>35420</v>
      </c>
      <c r="U7650" s="38" t="str">
        <f>HYPERLINK("https://www.ncbi.nlm.nih.gov/pubmed/21214368","PubMed")</f>
        <v>PubMed</v>
      </c>
      <c r="V7650" s="30" t="s">
        <v>35421</v>
      </c>
      <c r="W7650" s="31"/>
      <c r="X7650" s="31"/>
      <c r="Y7650" s="31"/>
      <c r="Z7650" s="32"/>
      <c r="AA7650" s="31"/>
      <c r="AB7650" s="31"/>
      <c r="AC7650" s="9"/>
      <c r="AD7650" s="31"/>
      <c r="AE7650" s="31"/>
      <c r="AF7650" s="33"/>
      <c r="AG7650" s="34"/>
      <c r="AH7650" s="31"/>
      <c r="AI7650" s="35"/>
      <c r="AJ7650" s="35"/>
      <c r="AK7650" s="35"/>
      <c r="AL7650" s="35"/>
    </row>
    <row r="7651">
      <c r="A7651" s="149" t="s">
        <v>38</v>
      </c>
      <c r="B7651" s="19" t="s">
        <v>6113</v>
      </c>
      <c r="C7651" s="20" t="s">
        <v>35147</v>
      </c>
      <c r="D7651" s="47"/>
      <c r="E7651" s="22" t="s">
        <v>35422</v>
      </c>
      <c r="F7651" s="22" t="s">
        <v>17303</v>
      </c>
      <c r="G7651" s="23">
        <v>2011.0</v>
      </c>
      <c r="H7651" s="22" t="s">
        <v>658</v>
      </c>
      <c r="I7651" s="24" t="s">
        <v>35423</v>
      </c>
      <c r="J7651" s="22" t="s">
        <v>35424</v>
      </c>
      <c r="K7651" s="22" t="s">
        <v>35425</v>
      </c>
      <c r="L7651" s="36" t="s">
        <v>5367</v>
      </c>
      <c r="M7651" s="36" t="s">
        <v>58</v>
      </c>
      <c r="N7651" s="36" t="s">
        <v>35426</v>
      </c>
      <c r="O7651" s="36" t="s">
        <v>58</v>
      </c>
      <c r="P7651" s="37" t="s">
        <v>58</v>
      </c>
      <c r="Q7651" s="36" t="s">
        <v>35427</v>
      </c>
      <c r="R7651" s="36" t="s">
        <v>35428</v>
      </c>
      <c r="S7651" s="36" t="s">
        <v>35429</v>
      </c>
      <c r="T7651" s="54" t="s">
        <v>35430</v>
      </c>
      <c r="U7651" s="38" t="str">
        <f>HYPERLINK("https://www.ncbi.nlm.nih.gov/pubmed/21214497","PubMed")</f>
        <v>PubMed</v>
      </c>
      <c r="V7651" s="30" t="s">
        <v>35431</v>
      </c>
      <c r="W7651" s="31"/>
      <c r="X7651" s="31"/>
      <c r="Y7651" s="31"/>
      <c r="Z7651" s="32"/>
      <c r="AA7651" s="31"/>
      <c r="AB7651" s="31"/>
      <c r="AC7651" s="9"/>
      <c r="AD7651" s="31"/>
      <c r="AE7651" s="31"/>
      <c r="AF7651" s="33"/>
      <c r="AG7651" s="34"/>
      <c r="AH7651" s="31"/>
      <c r="AI7651" s="35"/>
      <c r="AJ7651" s="35"/>
      <c r="AK7651" s="35"/>
      <c r="AL7651" s="35"/>
    </row>
    <row r="7652">
      <c r="A7652" s="1"/>
      <c r="B7652" s="19" t="s">
        <v>6113</v>
      </c>
      <c r="C7652" s="20" t="s">
        <v>35147</v>
      </c>
      <c r="D7652" s="47"/>
      <c r="E7652" s="22" t="s">
        <v>35432</v>
      </c>
      <c r="F7652" s="22" t="s">
        <v>358</v>
      </c>
      <c r="G7652" s="23">
        <v>2009.0</v>
      </c>
      <c r="H7652" s="22" t="s">
        <v>53</v>
      </c>
      <c r="I7652" s="24" t="s">
        <v>35433</v>
      </c>
      <c r="J7652" s="22" t="s">
        <v>35434</v>
      </c>
      <c r="K7652" s="22" t="s">
        <v>35435</v>
      </c>
      <c r="L7652" s="36" t="s">
        <v>21822</v>
      </c>
      <c r="M7652" s="36">
        <v>500.0</v>
      </c>
      <c r="N7652" s="36" t="s">
        <v>892</v>
      </c>
      <c r="O7652" s="36" t="s">
        <v>58</v>
      </c>
      <c r="P7652" s="37" t="s">
        <v>969</v>
      </c>
      <c r="Q7652" s="36" t="s">
        <v>35436</v>
      </c>
      <c r="R7652" s="36" t="s">
        <v>35437</v>
      </c>
      <c r="S7652" s="36" t="s">
        <v>35438</v>
      </c>
      <c r="T7652" s="54" t="s">
        <v>35439</v>
      </c>
      <c r="U7652" s="38" t="str">
        <f>HYPERLINK("https://www.ncbi.nlm.nih.gov/pubmed/19588536","PubMed")</f>
        <v>PubMed</v>
      </c>
      <c r="V7652" s="30" t="s">
        <v>35440</v>
      </c>
      <c r="W7652" s="31"/>
      <c r="X7652" s="31"/>
      <c r="Y7652" s="31"/>
      <c r="Z7652" s="32"/>
      <c r="AA7652" s="31"/>
      <c r="AB7652" s="31"/>
      <c r="AC7652" s="9"/>
      <c r="AD7652" s="31"/>
      <c r="AE7652" s="31"/>
      <c r="AF7652" s="33"/>
      <c r="AG7652" s="34"/>
      <c r="AH7652" s="31"/>
      <c r="AI7652" s="35"/>
      <c r="AJ7652" s="35"/>
      <c r="AK7652" s="35"/>
      <c r="AL7652" s="35"/>
    </row>
    <row r="7653">
      <c r="A7653" s="1"/>
      <c r="B7653" s="19" t="s">
        <v>6113</v>
      </c>
      <c r="C7653" s="20" t="s">
        <v>35147</v>
      </c>
      <c r="D7653" s="47"/>
      <c r="E7653" s="22" t="s">
        <v>35432</v>
      </c>
      <c r="F7653" s="22" t="s">
        <v>400</v>
      </c>
      <c r="G7653" s="23">
        <v>2009.0</v>
      </c>
      <c r="H7653" s="22" t="s">
        <v>12459</v>
      </c>
      <c r="I7653" s="24" t="s">
        <v>35441</v>
      </c>
      <c r="J7653" s="22" t="s">
        <v>35442</v>
      </c>
      <c r="K7653" s="22" t="s">
        <v>157</v>
      </c>
      <c r="L7653" s="36" t="s">
        <v>35443</v>
      </c>
      <c r="M7653" s="36" t="s">
        <v>35444</v>
      </c>
      <c r="N7653" s="36"/>
      <c r="O7653" s="36"/>
      <c r="P7653" s="37" t="s">
        <v>25324</v>
      </c>
      <c r="Q7653" s="36"/>
      <c r="R7653" s="36" t="s">
        <v>16277</v>
      </c>
      <c r="S7653" s="36" t="s">
        <v>8494</v>
      </c>
      <c r="T7653" s="54" t="s">
        <v>35445</v>
      </c>
      <c r="U7653" s="29" t="s">
        <v>61</v>
      </c>
      <c r="V7653" s="30"/>
      <c r="W7653" s="31"/>
      <c r="X7653" s="31"/>
      <c r="Y7653" s="31"/>
      <c r="Z7653" s="32"/>
      <c r="AA7653" s="31"/>
      <c r="AB7653" s="31"/>
      <c r="AC7653" s="9"/>
      <c r="AD7653" s="31"/>
      <c r="AE7653" s="31"/>
      <c r="AF7653" s="33"/>
      <c r="AG7653" s="34"/>
      <c r="AH7653" s="31"/>
      <c r="AI7653" s="35"/>
      <c r="AJ7653" s="35"/>
      <c r="AK7653" s="35"/>
      <c r="AL7653" s="35"/>
    </row>
    <row r="7654">
      <c r="A7654" s="1"/>
      <c r="B7654" s="19" t="s">
        <v>6113</v>
      </c>
      <c r="C7654" s="20" t="s">
        <v>35147</v>
      </c>
      <c r="D7654" s="47"/>
      <c r="E7654" s="22" t="s">
        <v>35446</v>
      </c>
      <c r="F7654" s="22" t="s">
        <v>5312</v>
      </c>
      <c r="G7654" s="23">
        <v>2001.0</v>
      </c>
      <c r="H7654" s="22" t="s">
        <v>35447</v>
      </c>
      <c r="I7654" s="24" t="s">
        <v>35448</v>
      </c>
      <c r="J7654" s="22" t="s">
        <v>35449</v>
      </c>
      <c r="K7654" s="22" t="s">
        <v>35450</v>
      </c>
      <c r="L7654" s="36">
        <v>633.0</v>
      </c>
      <c r="M7654" s="36" t="s">
        <v>58</v>
      </c>
      <c r="N7654" s="36" t="s">
        <v>58</v>
      </c>
      <c r="O7654" s="36" t="s">
        <v>58</v>
      </c>
      <c r="P7654" s="37" t="s">
        <v>254</v>
      </c>
      <c r="Q7654" s="36" t="s">
        <v>58</v>
      </c>
      <c r="R7654" s="36">
        <v>1200.0</v>
      </c>
      <c r="S7654" s="36" t="s">
        <v>35451</v>
      </c>
      <c r="T7654" s="54" t="s">
        <v>35452</v>
      </c>
      <c r="U7654" s="38" t="str">
        <f>HYPERLINK("https://www.ncbi.nlm.nih.gov/pubmed/11393266","PubMed")</f>
        <v>PubMed</v>
      </c>
      <c r="V7654" s="30" t="s">
        <v>35453</v>
      </c>
      <c r="W7654" s="31"/>
      <c r="X7654" s="31"/>
      <c r="Y7654" s="31"/>
      <c r="Z7654" s="32"/>
      <c r="AA7654" s="31"/>
      <c r="AB7654" s="31"/>
      <c r="AC7654" s="9"/>
      <c r="AD7654" s="31"/>
      <c r="AE7654" s="31"/>
      <c r="AF7654" s="33"/>
      <c r="AG7654" s="34"/>
      <c r="AH7654" s="31"/>
      <c r="AI7654" s="35"/>
      <c r="AJ7654" s="35"/>
      <c r="AK7654" s="35"/>
      <c r="AL7654" s="35"/>
    </row>
    <row r="7655">
      <c r="A7655" s="1"/>
      <c r="B7655" s="19" t="s">
        <v>6113</v>
      </c>
      <c r="C7655" s="20" t="s">
        <v>35147</v>
      </c>
      <c r="D7655" s="47"/>
      <c r="E7655" s="22" t="s">
        <v>6425</v>
      </c>
      <c r="F7655" s="22" t="s">
        <v>1603</v>
      </c>
      <c r="G7655" s="23">
        <v>1999.0</v>
      </c>
      <c r="H7655" s="22" t="s">
        <v>7033</v>
      </c>
      <c r="I7655" s="24" t="s">
        <v>35454</v>
      </c>
      <c r="J7655" s="22" t="s">
        <v>35455</v>
      </c>
      <c r="K7655" s="22" t="s">
        <v>35456</v>
      </c>
      <c r="L7655" s="36">
        <v>670.0</v>
      </c>
      <c r="M7655" s="36">
        <v>250.0</v>
      </c>
      <c r="N7655" s="36" t="s">
        <v>4039</v>
      </c>
      <c r="O7655" s="36" t="s">
        <v>58</v>
      </c>
      <c r="P7655" s="37" t="s">
        <v>480</v>
      </c>
      <c r="Q7655" s="36" t="s">
        <v>58</v>
      </c>
      <c r="R7655" s="36" t="s">
        <v>58</v>
      </c>
      <c r="S7655" s="36" t="s">
        <v>35200</v>
      </c>
      <c r="T7655" s="54" t="s">
        <v>35457</v>
      </c>
      <c r="U7655" s="38" t="str">
        <f>HYPERLINK("https://www.ncbi.nlm.nih.gov/pubmed/10393463","PubMed")</f>
        <v>PubMed</v>
      </c>
      <c r="V7655" s="30" t="s">
        <v>35458</v>
      </c>
      <c r="W7655" s="31"/>
      <c r="X7655" s="31"/>
      <c r="Y7655" s="31"/>
      <c r="Z7655" s="32"/>
      <c r="AA7655" s="31"/>
      <c r="AB7655" s="31"/>
      <c r="AC7655" s="9"/>
      <c r="AD7655" s="31"/>
      <c r="AE7655" s="31"/>
      <c r="AF7655" s="33"/>
      <c r="AG7655" s="34"/>
      <c r="AH7655" s="31"/>
      <c r="AI7655" s="35"/>
      <c r="AJ7655" s="35"/>
      <c r="AK7655" s="35"/>
      <c r="AL7655" s="35"/>
    </row>
    <row r="7656">
      <c r="A7656" s="1"/>
      <c r="B7656" s="19" t="s">
        <v>6113</v>
      </c>
      <c r="C7656" s="20" t="s">
        <v>35147</v>
      </c>
      <c r="D7656" s="47"/>
      <c r="E7656" s="22" t="s">
        <v>6425</v>
      </c>
      <c r="F7656" s="22" t="s">
        <v>1603</v>
      </c>
      <c r="G7656" s="23">
        <v>1998.0</v>
      </c>
      <c r="H7656" s="22" t="s">
        <v>35459</v>
      </c>
      <c r="I7656" s="24" t="s">
        <v>35460</v>
      </c>
      <c r="J7656" s="22" t="s">
        <v>20771</v>
      </c>
      <c r="K7656" s="22"/>
      <c r="L7656" s="36">
        <v>633.0</v>
      </c>
      <c r="M7656" s="36">
        <v>5.0</v>
      </c>
      <c r="N7656" s="36"/>
      <c r="O7656" s="36"/>
      <c r="P7656" s="37" t="s">
        <v>2659</v>
      </c>
      <c r="Q7656" s="36" t="s">
        <v>35461</v>
      </c>
      <c r="R7656" s="36">
        <v>3000.0</v>
      </c>
      <c r="S7656" s="36" t="s">
        <v>35462</v>
      </c>
      <c r="T7656" s="54" t="s">
        <v>35463</v>
      </c>
      <c r="U7656" s="38" t="str">
        <f>HYPERLINK("https://www.ncbi.nlm.nih.gov/pubmed/9892822","PubMed")</f>
        <v>PubMed</v>
      </c>
      <c r="V7656" s="30"/>
      <c r="W7656" s="31"/>
      <c r="X7656" s="31"/>
      <c r="Y7656" s="31"/>
      <c r="Z7656" s="32"/>
      <c r="AA7656" s="31"/>
      <c r="AB7656" s="31"/>
      <c r="AC7656" s="9"/>
      <c r="AD7656" s="31"/>
      <c r="AE7656" s="31"/>
      <c r="AF7656" s="33"/>
      <c r="AG7656" s="34"/>
      <c r="AH7656" s="31"/>
      <c r="AI7656" s="35"/>
      <c r="AJ7656" s="35"/>
      <c r="AK7656" s="35"/>
      <c r="AL7656" s="35"/>
    </row>
    <row r="7657">
      <c r="A7657" s="40"/>
      <c r="B7657" s="19" t="s">
        <v>6113</v>
      </c>
      <c r="C7657" s="20" t="s">
        <v>35147</v>
      </c>
      <c r="D7657" s="47"/>
      <c r="E7657" s="22" t="s">
        <v>7810</v>
      </c>
      <c r="F7657" s="22" t="s">
        <v>7811</v>
      </c>
      <c r="G7657" s="23">
        <v>1992.0</v>
      </c>
      <c r="H7657" s="22" t="s">
        <v>292</v>
      </c>
      <c r="I7657" s="24" t="s">
        <v>35464</v>
      </c>
      <c r="J7657" s="22" t="s">
        <v>2273</v>
      </c>
      <c r="K7657" s="22"/>
      <c r="L7657" s="94" t="s">
        <v>35465</v>
      </c>
      <c r="M7657" s="94"/>
      <c r="N7657" s="94"/>
      <c r="O7657" s="94"/>
      <c r="P7657" s="94"/>
      <c r="Q7657" s="172"/>
      <c r="R7657" s="94"/>
      <c r="S7657" s="94"/>
      <c r="T7657" s="102" t="s">
        <v>35466</v>
      </c>
      <c r="U7657" s="38" t="str">
        <f>HYPERLINK("https://www.jstage.jst.go.jp/article/islsm/4/3/4_92-OR-11/_article/-char/en","J-STAGE")</f>
        <v>J-STAGE</v>
      </c>
      <c r="V7657" s="30"/>
      <c r="W7657" s="49"/>
      <c r="X7657" s="49"/>
      <c r="Y7657" s="35"/>
      <c r="Z7657" s="35"/>
      <c r="AA7657" s="35"/>
      <c r="AB7657" s="35"/>
      <c r="AC7657" s="35"/>
      <c r="AD7657" s="35"/>
      <c r="AE7657" s="35"/>
      <c r="AF7657" s="35"/>
      <c r="AG7657" s="35"/>
      <c r="AH7657" s="35"/>
      <c r="AI7657" s="35"/>
      <c r="AJ7657" s="35"/>
      <c r="AK7657" s="35"/>
      <c r="AL7657" s="35"/>
    </row>
    <row r="7658">
      <c r="A7658" s="40"/>
      <c r="B7658" s="19" t="s">
        <v>6113</v>
      </c>
      <c r="C7658" s="20" t="s">
        <v>35467</v>
      </c>
      <c r="D7658" s="47"/>
      <c r="E7658" s="22" t="s">
        <v>35468</v>
      </c>
      <c r="F7658" s="22" t="s">
        <v>224</v>
      </c>
      <c r="G7658" s="23">
        <v>2024.0</v>
      </c>
      <c r="H7658" s="22" t="s">
        <v>77</v>
      </c>
      <c r="I7658" s="24" t="s">
        <v>35469</v>
      </c>
      <c r="J7658" s="22" t="s">
        <v>2273</v>
      </c>
      <c r="K7658" s="22"/>
      <c r="L7658" s="94">
        <v>810.0</v>
      </c>
      <c r="M7658" s="94"/>
      <c r="N7658" s="94"/>
      <c r="O7658" s="94"/>
      <c r="P7658" s="94"/>
      <c r="Q7658" s="172"/>
      <c r="R7658" s="94"/>
      <c r="S7658" s="94"/>
      <c r="T7658" s="54" t="s">
        <v>35470</v>
      </c>
      <c r="U7658" s="38" t="s">
        <v>61</v>
      </c>
      <c r="V7658" s="30"/>
      <c r="W7658" s="49"/>
      <c r="X7658" s="49"/>
      <c r="Y7658" s="35"/>
      <c r="Z7658" s="35"/>
      <c r="AA7658" s="35"/>
      <c r="AB7658" s="35"/>
      <c r="AC7658" s="35"/>
      <c r="AD7658" s="35"/>
      <c r="AE7658" s="35"/>
      <c r="AF7658" s="35"/>
      <c r="AG7658" s="35"/>
      <c r="AH7658" s="35"/>
      <c r="AI7658" s="35"/>
      <c r="AJ7658" s="35"/>
      <c r="AK7658" s="35"/>
      <c r="AL7658" s="35"/>
    </row>
    <row r="7659">
      <c r="A7659" s="40"/>
      <c r="B7659" s="19" t="s">
        <v>6113</v>
      </c>
      <c r="C7659" s="20" t="s">
        <v>35467</v>
      </c>
      <c r="D7659" s="47"/>
      <c r="E7659" s="22" t="s">
        <v>35471</v>
      </c>
      <c r="F7659" s="22" t="s">
        <v>89</v>
      </c>
      <c r="G7659" s="23">
        <v>2023.0</v>
      </c>
      <c r="H7659" s="22" t="s">
        <v>35472</v>
      </c>
      <c r="I7659" s="24" t="s">
        <v>35473</v>
      </c>
      <c r="J7659" s="22" t="s">
        <v>649</v>
      </c>
      <c r="K7659" s="22"/>
      <c r="L7659" s="105" t="s">
        <v>35474</v>
      </c>
      <c r="M7659" s="44"/>
      <c r="N7659" s="44"/>
      <c r="O7659" s="44"/>
      <c r="P7659" s="44"/>
      <c r="Q7659" s="44"/>
      <c r="R7659" s="44"/>
      <c r="S7659" s="44"/>
      <c r="T7659" s="45"/>
      <c r="U7659" s="38" t="s">
        <v>61</v>
      </c>
      <c r="V7659" s="30"/>
      <c r="W7659" s="49"/>
      <c r="X7659" s="49"/>
      <c r="Y7659" s="35"/>
      <c r="Z7659" s="35"/>
      <c r="AA7659" s="35"/>
      <c r="AB7659" s="35"/>
      <c r="AC7659" s="35"/>
      <c r="AD7659" s="35"/>
      <c r="AE7659" s="35"/>
      <c r="AF7659" s="35"/>
      <c r="AG7659" s="35"/>
      <c r="AH7659" s="35"/>
      <c r="AI7659" s="35"/>
      <c r="AJ7659" s="35"/>
      <c r="AK7659" s="35"/>
      <c r="AL7659" s="35"/>
    </row>
    <row r="7660">
      <c r="A7660" s="40"/>
      <c r="B7660" s="19" t="s">
        <v>6113</v>
      </c>
      <c r="C7660" s="158" t="s">
        <v>35475</v>
      </c>
      <c r="D7660" s="47"/>
      <c r="E7660" s="22" t="s">
        <v>35476</v>
      </c>
      <c r="F7660" s="22" t="s">
        <v>323</v>
      </c>
      <c r="G7660" s="177">
        <v>2024.0</v>
      </c>
      <c r="H7660" s="178" t="s">
        <v>91</v>
      </c>
      <c r="I7660" s="179" t="s">
        <v>35477</v>
      </c>
      <c r="J7660" s="178" t="s">
        <v>55</v>
      </c>
      <c r="K7660" s="22"/>
      <c r="L7660" s="94" t="s">
        <v>35478</v>
      </c>
      <c r="M7660" s="94"/>
      <c r="N7660" s="94"/>
      <c r="O7660" s="94"/>
      <c r="P7660" s="94" t="s">
        <v>4694</v>
      </c>
      <c r="Q7660" s="172"/>
      <c r="R7660" s="94"/>
      <c r="S7660" s="94"/>
      <c r="T7660" s="54" t="s">
        <v>35479</v>
      </c>
      <c r="U7660" s="38" t="s">
        <v>61</v>
      </c>
      <c r="V7660" s="30"/>
      <c r="W7660" s="49"/>
      <c r="X7660" s="49"/>
      <c r="Y7660" s="35"/>
      <c r="Z7660" s="35"/>
      <c r="AA7660" s="35"/>
      <c r="AB7660" s="35"/>
      <c r="AC7660" s="35"/>
      <c r="AD7660" s="35"/>
      <c r="AE7660" s="35"/>
      <c r="AF7660" s="35"/>
      <c r="AG7660" s="35"/>
      <c r="AH7660" s="35"/>
      <c r="AI7660" s="35"/>
      <c r="AJ7660" s="35"/>
      <c r="AK7660" s="35"/>
      <c r="AL7660" s="35"/>
    </row>
    <row r="7661">
      <c r="A7661" s="40"/>
      <c r="B7661" s="19" t="s">
        <v>6113</v>
      </c>
      <c r="C7661" s="158" t="s">
        <v>35475</v>
      </c>
      <c r="D7661" s="47"/>
      <c r="E7661" s="22" t="s">
        <v>3035</v>
      </c>
      <c r="F7661" s="22" t="s">
        <v>2437</v>
      </c>
      <c r="G7661" s="23">
        <v>2024.0</v>
      </c>
      <c r="H7661" s="22" t="s">
        <v>207</v>
      </c>
      <c r="I7661" s="24" t="s">
        <v>35480</v>
      </c>
      <c r="J7661" s="22" t="s">
        <v>44</v>
      </c>
      <c r="K7661" s="22" t="s">
        <v>35481</v>
      </c>
      <c r="L7661" s="94" t="s">
        <v>35482</v>
      </c>
      <c r="M7661" s="94"/>
      <c r="N7661" s="94"/>
      <c r="O7661" s="94"/>
      <c r="P7661" s="94"/>
      <c r="Q7661" s="172"/>
      <c r="R7661" s="94"/>
      <c r="S7661" s="94"/>
      <c r="T7661" s="54" t="s">
        <v>35483</v>
      </c>
      <c r="U7661" s="38" t="s">
        <v>61</v>
      </c>
      <c r="V7661" s="30"/>
      <c r="W7661" s="49"/>
      <c r="X7661" s="49"/>
      <c r="Y7661" s="35"/>
      <c r="Z7661" s="35"/>
      <c r="AA7661" s="35"/>
      <c r="AB7661" s="35"/>
      <c r="AC7661" s="35"/>
      <c r="AD7661" s="35"/>
      <c r="AE7661" s="35"/>
      <c r="AF7661" s="35"/>
      <c r="AG7661" s="35"/>
      <c r="AH7661" s="35"/>
      <c r="AI7661" s="35"/>
      <c r="AJ7661" s="35"/>
      <c r="AK7661" s="35"/>
      <c r="AL7661" s="35"/>
    </row>
    <row r="7662">
      <c r="A7662" s="40"/>
      <c r="B7662" s="19" t="s">
        <v>6113</v>
      </c>
      <c r="C7662" s="158" t="s">
        <v>35475</v>
      </c>
      <c r="D7662" s="47"/>
      <c r="E7662" s="22" t="s">
        <v>35484</v>
      </c>
      <c r="F7662" s="22" t="s">
        <v>35485</v>
      </c>
      <c r="G7662" s="23">
        <v>2024.0</v>
      </c>
      <c r="H7662" s="22" t="s">
        <v>91</v>
      </c>
      <c r="I7662" s="24" t="s">
        <v>35486</v>
      </c>
      <c r="J7662" s="22" t="s">
        <v>55</v>
      </c>
      <c r="K7662" s="22"/>
      <c r="L7662" s="94">
        <v>890.0</v>
      </c>
      <c r="M7662" s="94">
        <v>1.0</v>
      </c>
      <c r="N7662" s="94" t="s">
        <v>1975</v>
      </c>
      <c r="O7662" s="94"/>
      <c r="P7662" s="94" t="s">
        <v>35487</v>
      </c>
      <c r="Q7662" s="172" t="s">
        <v>19517</v>
      </c>
      <c r="R7662" s="94">
        <v>1800.0</v>
      </c>
      <c r="S7662" s="94">
        <v>15.0</v>
      </c>
      <c r="T7662" s="54" t="s">
        <v>35488</v>
      </c>
      <c r="U7662" s="38" t="s">
        <v>61</v>
      </c>
      <c r="V7662" s="30"/>
      <c r="W7662" s="49"/>
      <c r="X7662" s="49"/>
      <c r="Y7662" s="35"/>
      <c r="Z7662" s="35"/>
      <c r="AA7662" s="35"/>
      <c r="AB7662" s="35"/>
      <c r="AC7662" s="35"/>
      <c r="AD7662" s="35"/>
      <c r="AE7662" s="35"/>
      <c r="AF7662" s="35"/>
      <c r="AG7662" s="35"/>
      <c r="AH7662" s="35"/>
      <c r="AI7662" s="35"/>
      <c r="AJ7662" s="35"/>
      <c r="AK7662" s="35"/>
      <c r="AL7662" s="35"/>
    </row>
    <row r="7663">
      <c r="A7663" s="40"/>
      <c r="B7663" s="19" t="s">
        <v>6113</v>
      </c>
      <c r="C7663" s="158" t="s">
        <v>35475</v>
      </c>
      <c r="D7663" s="47"/>
      <c r="E7663" s="22" t="s">
        <v>35489</v>
      </c>
      <c r="F7663" s="22" t="s">
        <v>5059</v>
      </c>
      <c r="G7663" s="23">
        <v>2024.0</v>
      </c>
      <c r="H7663" s="22" t="s">
        <v>39</v>
      </c>
      <c r="I7663" s="24" t="s">
        <v>35490</v>
      </c>
      <c r="J7663" s="22" t="s">
        <v>44</v>
      </c>
      <c r="K7663" s="22" t="s">
        <v>35491</v>
      </c>
      <c r="L7663" s="94"/>
      <c r="M7663" s="94"/>
      <c r="N7663" s="94"/>
      <c r="O7663" s="94"/>
      <c r="P7663" s="94"/>
      <c r="Q7663" s="172"/>
      <c r="R7663" s="94"/>
      <c r="S7663" s="94"/>
      <c r="T7663" s="54" t="s">
        <v>35492</v>
      </c>
      <c r="U7663" s="38" t="s">
        <v>61</v>
      </c>
      <c r="V7663" s="30"/>
      <c r="W7663" s="49"/>
      <c r="X7663" s="49"/>
      <c r="Y7663" s="35"/>
      <c r="Z7663" s="35"/>
      <c r="AA7663" s="35"/>
      <c r="AB7663" s="35"/>
      <c r="AC7663" s="35"/>
      <c r="AD7663" s="35"/>
      <c r="AE7663" s="35"/>
      <c r="AF7663" s="35"/>
      <c r="AG7663" s="35"/>
      <c r="AH7663" s="35"/>
      <c r="AI7663" s="35"/>
      <c r="AJ7663" s="35"/>
      <c r="AK7663" s="35"/>
      <c r="AL7663" s="35"/>
    </row>
    <row r="7664">
      <c r="A7664" s="40"/>
      <c r="B7664" s="19" t="s">
        <v>6113</v>
      </c>
      <c r="C7664" s="158" t="s">
        <v>35475</v>
      </c>
      <c r="D7664" s="47"/>
      <c r="E7664" s="22" t="s">
        <v>35493</v>
      </c>
      <c r="F7664" s="22" t="s">
        <v>323</v>
      </c>
      <c r="G7664" s="23">
        <v>2023.0</v>
      </c>
      <c r="H7664" s="22" t="s">
        <v>147</v>
      </c>
      <c r="I7664" s="24" t="s">
        <v>35494</v>
      </c>
      <c r="J7664" s="22" t="s">
        <v>55</v>
      </c>
      <c r="K7664" s="22"/>
      <c r="L7664" s="94">
        <v>890.0</v>
      </c>
      <c r="M7664" s="94"/>
      <c r="N7664" s="94"/>
      <c r="O7664" s="94"/>
      <c r="P7664" s="94" t="s">
        <v>33754</v>
      </c>
      <c r="Q7664" s="172"/>
      <c r="R7664" s="94"/>
      <c r="S7664" s="94"/>
      <c r="T7664" s="54" t="s">
        <v>35495</v>
      </c>
      <c r="U7664" s="38" t="s">
        <v>61</v>
      </c>
      <c r="V7664" s="30" t="s">
        <v>35496</v>
      </c>
      <c r="W7664" s="49"/>
      <c r="X7664" s="49"/>
      <c r="Y7664" s="35"/>
      <c r="Z7664" s="35"/>
      <c r="AA7664" s="35"/>
      <c r="AB7664" s="35"/>
      <c r="AC7664" s="35"/>
      <c r="AD7664" s="35"/>
      <c r="AE7664" s="35"/>
      <c r="AF7664" s="35"/>
      <c r="AG7664" s="35"/>
      <c r="AH7664" s="35"/>
      <c r="AI7664" s="35"/>
      <c r="AJ7664" s="35"/>
      <c r="AK7664" s="35"/>
      <c r="AL7664" s="35"/>
    </row>
    <row r="7665">
      <c r="A7665" s="40"/>
      <c r="B7665" s="19" t="s">
        <v>6113</v>
      </c>
      <c r="C7665" s="158" t="s">
        <v>35475</v>
      </c>
      <c r="D7665" s="47"/>
      <c r="E7665" s="22" t="s">
        <v>35497</v>
      </c>
      <c r="F7665" s="22" t="s">
        <v>323</v>
      </c>
      <c r="G7665" s="23">
        <v>2023.0</v>
      </c>
      <c r="H7665" s="22" t="s">
        <v>6270</v>
      </c>
      <c r="I7665" s="24" t="s">
        <v>35498</v>
      </c>
      <c r="J7665" s="22" t="s">
        <v>55</v>
      </c>
      <c r="K7665" s="22"/>
      <c r="L7665" s="94">
        <v>890.0</v>
      </c>
      <c r="M7665" s="94">
        <v>1.0</v>
      </c>
      <c r="N7665" s="94" t="s">
        <v>1975</v>
      </c>
      <c r="O7665" s="94"/>
      <c r="P7665" s="93">
        <v>45139.0</v>
      </c>
      <c r="Q7665" s="172" t="s">
        <v>13571</v>
      </c>
      <c r="R7665" s="94"/>
      <c r="S7665" s="94" t="s">
        <v>35499</v>
      </c>
      <c r="T7665" s="54" t="s">
        <v>35500</v>
      </c>
      <c r="U7665" s="38" t="s">
        <v>61</v>
      </c>
      <c r="V7665" s="30" t="s">
        <v>35501</v>
      </c>
      <c r="W7665" s="49"/>
      <c r="X7665" s="49"/>
      <c r="Y7665" s="35"/>
      <c r="Z7665" s="35"/>
      <c r="AA7665" s="35"/>
      <c r="AB7665" s="35"/>
      <c r="AC7665" s="35"/>
      <c r="AD7665" s="35"/>
      <c r="AE7665" s="35"/>
      <c r="AF7665" s="35"/>
      <c r="AG7665" s="35"/>
      <c r="AH7665" s="35"/>
      <c r="AI7665" s="35"/>
      <c r="AJ7665" s="35"/>
      <c r="AK7665" s="35"/>
      <c r="AL7665" s="35"/>
    </row>
    <row r="7666">
      <c r="A7666" s="40"/>
      <c r="B7666" s="19" t="s">
        <v>6113</v>
      </c>
      <c r="C7666" s="158" t="s">
        <v>35475</v>
      </c>
      <c r="D7666" s="47"/>
      <c r="E7666" s="22" t="s">
        <v>35502</v>
      </c>
      <c r="F7666" s="22" t="s">
        <v>323</v>
      </c>
      <c r="G7666" s="23">
        <v>2023.0</v>
      </c>
      <c r="H7666" s="22" t="s">
        <v>35204</v>
      </c>
      <c r="I7666" s="24" t="s">
        <v>35503</v>
      </c>
      <c r="J7666" s="22" t="s">
        <v>55</v>
      </c>
      <c r="K7666" s="22"/>
      <c r="L7666" s="94">
        <v>890.0</v>
      </c>
      <c r="M7666" s="94"/>
      <c r="N7666" s="94"/>
      <c r="O7666" s="94"/>
      <c r="P7666" s="94" t="s">
        <v>267</v>
      </c>
      <c r="Q7666" s="172"/>
      <c r="R7666" s="94"/>
      <c r="S7666" s="94"/>
      <c r="T7666" s="54" t="s">
        <v>35504</v>
      </c>
      <c r="U7666" s="38" t="s">
        <v>61</v>
      </c>
      <c r="V7666" s="30"/>
      <c r="W7666" s="49"/>
      <c r="X7666" s="49"/>
      <c r="Y7666" s="35"/>
      <c r="Z7666" s="35"/>
      <c r="AA7666" s="35"/>
      <c r="AB7666" s="35"/>
      <c r="AC7666" s="35"/>
      <c r="AD7666" s="35"/>
      <c r="AE7666" s="35"/>
      <c r="AF7666" s="35"/>
      <c r="AG7666" s="35"/>
      <c r="AH7666" s="35"/>
      <c r="AI7666" s="35"/>
      <c r="AJ7666" s="35"/>
      <c r="AK7666" s="35"/>
      <c r="AL7666" s="35"/>
    </row>
    <row r="7667">
      <c r="A7667" s="40"/>
      <c r="B7667" s="19" t="s">
        <v>6113</v>
      </c>
      <c r="C7667" s="158" t="s">
        <v>35475</v>
      </c>
      <c r="D7667" s="47"/>
      <c r="E7667" s="22" t="s">
        <v>5981</v>
      </c>
      <c r="F7667" s="22" t="s">
        <v>2702</v>
      </c>
      <c r="G7667" s="23">
        <v>2023.0</v>
      </c>
      <c r="H7667" s="22" t="s">
        <v>6060</v>
      </c>
      <c r="I7667" s="24" t="s">
        <v>35505</v>
      </c>
      <c r="J7667" s="22" t="s">
        <v>125</v>
      </c>
      <c r="K7667" s="22"/>
      <c r="L7667" s="105" t="s">
        <v>35506</v>
      </c>
      <c r="M7667" s="44"/>
      <c r="N7667" s="44"/>
      <c r="O7667" s="44"/>
      <c r="P7667" s="44"/>
      <c r="Q7667" s="44"/>
      <c r="R7667" s="44"/>
      <c r="S7667" s="44"/>
      <c r="T7667" s="45"/>
      <c r="U7667" s="38" t="s">
        <v>61</v>
      </c>
      <c r="V7667" s="30"/>
      <c r="W7667" s="49"/>
      <c r="X7667" s="49"/>
      <c r="Y7667" s="35"/>
      <c r="Z7667" s="35"/>
      <c r="AA7667" s="35"/>
      <c r="AB7667" s="35"/>
      <c r="AC7667" s="35"/>
      <c r="AD7667" s="35"/>
      <c r="AE7667" s="35"/>
      <c r="AF7667" s="35"/>
      <c r="AG7667" s="35"/>
      <c r="AH7667" s="35"/>
      <c r="AI7667" s="35"/>
      <c r="AJ7667" s="35"/>
      <c r="AK7667" s="35"/>
      <c r="AL7667" s="35"/>
    </row>
    <row r="7668">
      <c r="A7668" s="40"/>
      <c r="B7668" s="19" t="s">
        <v>6113</v>
      </c>
      <c r="C7668" s="158" t="s">
        <v>35475</v>
      </c>
      <c r="D7668" s="47"/>
      <c r="E7668" s="22" t="s">
        <v>35507</v>
      </c>
      <c r="F7668" s="22" t="s">
        <v>323</v>
      </c>
      <c r="G7668" s="23">
        <v>2023.0</v>
      </c>
      <c r="H7668" s="22" t="s">
        <v>147</v>
      </c>
      <c r="I7668" s="24" t="s">
        <v>35508</v>
      </c>
      <c r="J7668" s="22" t="s">
        <v>55</v>
      </c>
      <c r="K7668" s="22"/>
      <c r="L7668" s="94">
        <v>890.0</v>
      </c>
      <c r="M7668" s="94"/>
      <c r="N7668" s="94"/>
      <c r="O7668" s="94"/>
      <c r="P7668" s="94" t="s">
        <v>267</v>
      </c>
      <c r="Q7668" s="172"/>
      <c r="R7668" s="94"/>
      <c r="S7668" s="94"/>
      <c r="T7668" s="54" t="s">
        <v>35509</v>
      </c>
      <c r="U7668" s="38" t="s">
        <v>61</v>
      </c>
      <c r="V7668" s="30"/>
      <c r="W7668" s="49"/>
      <c r="X7668" s="49"/>
      <c r="Y7668" s="35"/>
      <c r="Z7668" s="35"/>
      <c r="AA7668" s="35"/>
      <c r="AB7668" s="35"/>
      <c r="AC7668" s="35"/>
      <c r="AD7668" s="35"/>
      <c r="AE7668" s="35"/>
      <c r="AF7668" s="35"/>
      <c r="AG7668" s="35"/>
      <c r="AH7668" s="35"/>
      <c r="AI7668" s="35"/>
      <c r="AJ7668" s="35"/>
      <c r="AK7668" s="35"/>
      <c r="AL7668" s="35"/>
    </row>
    <row r="7669">
      <c r="A7669" s="40"/>
      <c r="B7669" s="19" t="s">
        <v>6113</v>
      </c>
      <c r="C7669" s="158" t="s">
        <v>35475</v>
      </c>
      <c r="D7669" s="47"/>
      <c r="E7669" s="22" t="s">
        <v>35510</v>
      </c>
      <c r="F7669" s="22" t="s">
        <v>323</v>
      </c>
      <c r="G7669" s="23">
        <v>2023.0</v>
      </c>
      <c r="H7669" s="22" t="s">
        <v>91</v>
      </c>
      <c r="I7669" s="24" t="s">
        <v>35511</v>
      </c>
      <c r="J7669" s="22" t="s">
        <v>55</v>
      </c>
      <c r="K7669" s="22" t="s">
        <v>35512</v>
      </c>
      <c r="L7669" s="94" t="s">
        <v>35513</v>
      </c>
      <c r="M7669" s="94"/>
      <c r="N7669" s="94"/>
      <c r="O7669" s="94"/>
      <c r="P7669" s="94"/>
      <c r="Q7669" s="172"/>
      <c r="R7669" s="94"/>
      <c r="S7669" s="94"/>
      <c r="T7669" s="54" t="s">
        <v>35514</v>
      </c>
      <c r="U7669" s="38" t="s">
        <v>61</v>
      </c>
      <c r="V7669" s="30"/>
      <c r="W7669" s="49"/>
      <c r="X7669" s="49"/>
      <c r="Y7669" s="35"/>
      <c r="Z7669" s="35"/>
      <c r="AA7669" s="35"/>
      <c r="AB7669" s="35"/>
      <c r="AC7669" s="35"/>
      <c r="AD7669" s="35"/>
      <c r="AE7669" s="35"/>
      <c r="AF7669" s="35"/>
      <c r="AG7669" s="35"/>
      <c r="AH7669" s="35"/>
      <c r="AI7669" s="35"/>
      <c r="AJ7669" s="35"/>
      <c r="AK7669" s="35"/>
      <c r="AL7669" s="35"/>
    </row>
    <row r="7670">
      <c r="A7670" s="40"/>
      <c r="B7670" s="19" t="s">
        <v>6113</v>
      </c>
      <c r="C7670" s="158" t="s">
        <v>35475</v>
      </c>
      <c r="D7670" s="47"/>
      <c r="E7670" s="22" t="s">
        <v>35515</v>
      </c>
      <c r="F7670" s="22" t="s">
        <v>323</v>
      </c>
      <c r="G7670" s="23">
        <v>2023.0</v>
      </c>
      <c r="H7670" s="22" t="s">
        <v>3950</v>
      </c>
      <c r="I7670" s="24" t="s">
        <v>35516</v>
      </c>
      <c r="J7670" s="22" t="s">
        <v>55</v>
      </c>
      <c r="K7670" s="22"/>
      <c r="L7670" s="94">
        <v>890.0</v>
      </c>
      <c r="M7670" s="94"/>
      <c r="N7670" s="94"/>
      <c r="O7670" s="94"/>
      <c r="P7670" s="94" t="s">
        <v>267</v>
      </c>
      <c r="Q7670" s="172"/>
      <c r="R7670" s="94"/>
      <c r="S7670" s="94"/>
      <c r="T7670" s="54" t="s">
        <v>35517</v>
      </c>
      <c r="U7670" s="38" t="s">
        <v>61</v>
      </c>
      <c r="V7670" s="30"/>
      <c r="W7670" s="49"/>
      <c r="X7670" s="49"/>
      <c r="Y7670" s="35"/>
      <c r="Z7670" s="35"/>
      <c r="AA7670" s="35"/>
      <c r="AB7670" s="35"/>
      <c r="AC7670" s="35"/>
      <c r="AD7670" s="35"/>
      <c r="AE7670" s="35"/>
      <c r="AF7670" s="35"/>
      <c r="AG7670" s="35"/>
      <c r="AH7670" s="35"/>
      <c r="AI7670" s="35"/>
      <c r="AJ7670" s="35"/>
      <c r="AK7670" s="35"/>
      <c r="AL7670" s="35"/>
    </row>
    <row r="7671">
      <c r="A7671" s="40"/>
      <c r="B7671" s="19" t="s">
        <v>6113</v>
      </c>
      <c r="C7671" s="158" t="s">
        <v>35475</v>
      </c>
      <c r="D7671" s="47"/>
      <c r="E7671" s="22" t="s">
        <v>5374</v>
      </c>
      <c r="F7671" s="22" t="s">
        <v>1603</v>
      </c>
      <c r="G7671" s="23">
        <v>2023.0</v>
      </c>
      <c r="H7671" s="22" t="s">
        <v>348</v>
      </c>
      <c r="I7671" s="24" t="s">
        <v>35518</v>
      </c>
      <c r="J7671" s="23" t="s">
        <v>44</v>
      </c>
      <c r="K7671" s="22" t="s">
        <v>35519</v>
      </c>
      <c r="L7671" s="94" t="s">
        <v>35520</v>
      </c>
      <c r="M7671" s="94"/>
      <c r="N7671" s="94" t="s">
        <v>3587</v>
      </c>
      <c r="O7671" s="94"/>
      <c r="P7671" s="94"/>
      <c r="Q7671" s="172"/>
      <c r="R7671" s="94"/>
      <c r="S7671" s="94"/>
      <c r="T7671" s="54" t="s">
        <v>35521</v>
      </c>
      <c r="U7671" s="38" t="s">
        <v>61</v>
      </c>
      <c r="V7671" s="30"/>
      <c r="W7671" s="49"/>
      <c r="X7671" s="49"/>
      <c r="Y7671" s="35"/>
      <c r="Z7671" s="35"/>
      <c r="AA7671" s="35"/>
      <c r="AB7671" s="35"/>
      <c r="AC7671" s="35"/>
      <c r="AD7671" s="35"/>
      <c r="AE7671" s="35"/>
      <c r="AF7671" s="35"/>
      <c r="AG7671" s="35"/>
      <c r="AH7671" s="35"/>
      <c r="AI7671" s="35"/>
      <c r="AJ7671" s="35"/>
      <c r="AK7671" s="35"/>
      <c r="AL7671" s="35"/>
    </row>
    <row r="7672">
      <c r="A7672" s="40"/>
      <c r="B7672" s="19" t="s">
        <v>6113</v>
      </c>
      <c r="C7672" s="158" t="s">
        <v>35475</v>
      </c>
      <c r="D7672" s="47"/>
      <c r="E7672" s="22" t="s">
        <v>12433</v>
      </c>
      <c r="F7672" s="22" t="s">
        <v>323</v>
      </c>
      <c r="G7672" s="23">
        <v>2023.0</v>
      </c>
      <c r="H7672" s="22" t="s">
        <v>7157</v>
      </c>
      <c r="I7672" s="24" t="s">
        <v>35522</v>
      </c>
      <c r="J7672" s="22" t="s">
        <v>55</v>
      </c>
      <c r="K7672" s="22" t="s">
        <v>35523</v>
      </c>
      <c r="L7672" s="94">
        <v>890.0</v>
      </c>
      <c r="M7672" s="94"/>
      <c r="N7672" s="94"/>
      <c r="O7672" s="94"/>
      <c r="P7672" s="94" t="s">
        <v>35524</v>
      </c>
      <c r="Q7672" s="172"/>
      <c r="R7672" s="94"/>
      <c r="S7672" s="94"/>
      <c r="T7672" s="54" t="s">
        <v>35525</v>
      </c>
      <c r="U7672" s="38" t="s">
        <v>61</v>
      </c>
      <c r="V7672" s="30"/>
      <c r="W7672" s="49"/>
      <c r="X7672" s="49"/>
      <c r="Y7672" s="35"/>
      <c r="Z7672" s="35"/>
      <c r="AA7672" s="35"/>
      <c r="AB7672" s="35"/>
      <c r="AC7672" s="35"/>
      <c r="AD7672" s="35"/>
      <c r="AE7672" s="35"/>
      <c r="AF7672" s="35"/>
      <c r="AG7672" s="35"/>
      <c r="AH7672" s="35"/>
      <c r="AI7672" s="35"/>
      <c r="AJ7672" s="35"/>
      <c r="AK7672" s="35"/>
      <c r="AL7672" s="35"/>
    </row>
    <row r="7673">
      <c r="A7673" s="40"/>
      <c r="B7673" s="19" t="s">
        <v>6113</v>
      </c>
      <c r="C7673" s="158" t="s">
        <v>35475</v>
      </c>
      <c r="D7673" s="47"/>
      <c r="E7673" s="22" t="s">
        <v>35526</v>
      </c>
      <c r="F7673" s="22" t="s">
        <v>1081</v>
      </c>
      <c r="G7673" s="23">
        <v>2023.0</v>
      </c>
      <c r="H7673" s="22" t="s">
        <v>33967</v>
      </c>
      <c r="I7673" s="24" t="s">
        <v>35527</v>
      </c>
      <c r="J7673" s="22" t="s">
        <v>55</v>
      </c>
      <c r="K7673" s="22" t="s">
        <v>35528</v>
      </c>
      <c r="L7673" s="94">
        <v>808.0</v>
      </c>
      <c r="M7673" s="94"/>
      <c r="N7673" s="94">
        <v>1.0</v>
      </c>
      <c r="O7673" s="94"/>
      <c r="P7673" s="94"/>
      <c r="Q7673" s="172"/>
      <c r="R7673" s="94">
        <v>300.0</v>
      </c>
      <c r="S7673" s="94"/>
      <c r="T7673" s="54" t="s">
        <v>35529</v>
      </c>
      <c r="U7673" s="38" t="s">
        <v>61</v>
      </c>
      <c r="V7673" s="30"/>
      <c r="W7673" s="49"/>
      <c r="X7673" s="49"/>
      <c r="Y7673" s="35"/>
      <c r="Z7673" s="35"/>
      <c r="AA7673" s="35"/>
      <c r="AB7673" s="35"/>
      <c r="AC7673" s="35"/>
      <c r="AD7673" s="35"/>
      <c r="AE7673" s="35"/>
      <c r="AF7673" s="35"/>
      <c r="AG7673" s="35"/>
      <c r="AH7673" s="35"/>
      <c r="AI7673" s="35"/>
      <c r="AJ7673" s="35"/>
      <c r="AK7673" s="35"/>
      <c r="AL7673" s="35"/>
    </row>
    <row r="7674">
      <c r="A7674" s="40"/>
      <c r="B7674" s="19" t="s">
        <v>6113</v>
      </c>
      <c r="C7674" s="158" t="s">
        <v>35475</v>
      </c>
      <c r="D7674" s="47"/>
      <c r="E7674" s="22" t="s">
        <v>17782</v>
      </c>
      <c r="F7674" s="22" t="s">
        <v>35530</v>
      </c>
      <c r="G7674" s="23">
        <v>2022.0</v>
      </c>
      <c r="H7674" s="22" t="s">
        <v>35204</v>
      </c>
      <c r="I7674" s="24" t="s">
        <v>35531</v>
      </c>
      <c r="J7674" s="22" t="s">
        <v>55</v>
      </c>
      <c r="K7674" s="22" t="s">
        <v>1240</v>
      </c>
      <c r="L7674" s="94"/>
      <c r="M7674" s="94"/>
      <c r="N7674" s="94"/>
      <c r="O7674" s="94"/>
      <c r="P7674" s="94" t="s">
        <v>35532</v>
      </c>
      <c r="Q7674" s="172"/>
      <c r="R7674" s="94"/>
      <c r="S7674" s="94"/>
      <c r="T7674" s="54" t="s">
        <v>35533</v>
      </c>
      <c r="U7674" s="38" t="s">
        <v>61</v>
      </c>
      <c r="V7674" s="30"/>
      <c r="W7674" s="49"/>
      <c r="X7674" s="49"/>
      <c r="Y7674" s="35"/>
      <c r="Z7674" s="35"/>
      <c r="AA7674" s="35"/>
      <c r="AB7674" s="35"/>
      <c r="AC7674" s="35"/>
      <c r="AD7674" s="35"/>
      <c r="AE7674" s="35"/>
      <c r="AF7674" s="35"/>
      <c r="AG7674" s="35"/>
      <c r="AH7674" s="35"/>
      <c r="AI7674" s="35"/>
      <c r="AJ7674" s="35"/>
      <c r="AK7674" s="35"/>
      <c r="AL7674" s="35"/>
    </row>
    <row r="7675">
      <c r="A7675" s="40"/>
      <c r="B7675" s="19" t="s">
        <v>6113</v>
      </c>
      <c r="C7675" s="158" t="s">
        <v>35475</v>
      </c>
      <c r="D7675" s="47"/>
      <c r="E7675" s="22" t="s">
        <v>17782</v>
      </c>
      <c r="F7675" s="22" t="s">
        <v>3511</v>
      </c>
      <c r="G7675" s="23">
        <v>2022.0</v>
      </c>
      <c r="H7675" s="22" t="s">
        <v>4975</v>
      </c>
      <c r="I7675" s="24" t="s">
        <v>35534</v>
      </c>
      <c r="J7675" s="22" t="s">
        <v>55</v>
      </c>
      <c r="K7675" s="22" t="s">
        <v>1827</v>
      </c>
      <c r="L7675" s="94"/>
      <c r="M7675" s="94"/>
      <c r="N7675" s="94"/>
      <c r="O7675" s="94"/>
      <c r="P7675" s="94" t="s">
        <v>35532</v>
      </c>
      <c r="Q7675" s="172"/>
      <c r="R7675" s="94"/>
      <c r="S7675" s="94"/>
      <c r="T7675" s="54" t="s">
        <v>35535</v>
      </c>
      <c r="U7675" s="38" t="s">
        <v>61</v>
      </c>
      <c r="V7675" s="30"/>
      <c r="W7675" s="49"/>
      <c r="X7675" s="49"/>
      <c r="Y7675" s="35"/>
      <c r="Z7675" s="35"/>
      <c r="AA7675" s="35"/>
      <c r="AB7675" s="35"/>
      <c r="AC7675" s="35"/>
      <c r="AD7675" s="35"/>
      <c r="AE7675" s="35"/>
      <c r="AF7675" s="35"/>
      <c r="AG7675" s="35"/>
      <c r="AH7675" s="35"/>
      <c r="AI7675" s="35"/>
      <c r="AJ7675" s="35"/>
      <c r="AK7675" s="35"/>
      <c r="AL7675" s="35"/>
    </row>
    <row r="7676">
      <c r="A7676" s="40"/>
      <c r="B7676" s="19" t="s">
        <v>6113</v>
      </c>
      <c r="C7676" s="158" t="s">
        <v>35475</v>
      </c>
      <c r="D7676" s="47"/>
      <c r="E7676" s="22" t="s">
        <v>35536</v>
      </c>
      <c r="F7676" s="22" t="s">
        <v>323</v>
      </c>
      <c r="G7676" s="23">
        <v>2022.0</v>
      </c>
      <c r="H7676" s="22" t="s">
        <v>91</v>
      </c>
      <c r="I7676" s="24" t="s">
        <v>35537</v>
      </c>
      <c r="J7676" s="22" t="s">
        <v>55</v>
      </c>
      <c r="K7676" s="22" t="s">
        <v>35538</v>
      </c>
      <c r="L7676" s="94">
        <v>890.0</v>
      </c>
      <c r="M7676" s="94"/>
      <c r="N7676" s="94"/>
      <c r="O7676" s="94"/>
      <c r="P7676" s="94" t="s">
        <v>267</v>
      </c>
      <c r="Q7676" s="172"/>
      <c r="R7676" s="94"/>
      <c r="S7676" s="94"/>
      <c r="T7676" s="54" t="s">
        <v>35539</v>
      </c>
      <c r="U7676" s="38" t="s">
        <v>61</v>
      </c>
      <c r="V7676" s="30"/>
      <c r="W7676" s="49"/>
      <c r="X7676" s="49"/>
      <c r="Y7676" s="35"/>
      <c r="Z7676" s="35"/>
      <c r="AA7676" s="35"/>
      <c r="AB7676" s="35"/>
      <c r="AC7676" s="35"/>
      <c r="AD7676" s="35"/>
      <c r="AE7676" s="35"/>
      <c r="AF7676" s="35"/>
      <c r="AG7676" s="35"/>
      <c r="AH7676" s="35"/>
      <c r="AI7676" s="35"/>
      <c r="AJ7676" s="35"/>
      <c r="AK7676" s="35"/>
      <c r="AL7676" s="35"/>
    </row>
    <row r="7677">
      <c r="A7677" s="40"/>
      <c r="B7677" s="19" t="s">
        <v>6113</v>
      </c>
      <c r="C7677" s="158" t="s">
        <v>35475</v>
      </c>
      <c r="D7677" s="47"/>
      <c r="E7677" s="22" t="s">
        <v>35540</v>
      </c>
      <c r="F7677" s="22" t="s">
        <v>323</v>
      </c>
      <c r="G7677" s="23">
        <v>2022.0</v>
      </c>
      <c r="H7677" s="22" t="s">
        <v>91</v>
      </c>
      <c r="I7677" s="24" t="s">
        <v>35541</v>
      </c>
      <c r="J7677" s="22" t="s">
        <v>55</v>
      </c>
      <c r="K7677" s="22" t="s">
        <v>35542</v>
      </c>
      <c r="L7677" s="94">
        <v>890.0</v>
      </c>
      <c r="M7677" s="94"/>
      <c r="N7677" s="94"/>
      <c r="O7677" s="94"/>
      <c r="P7677" s="94" t="s">
        <v>267</v>
      </c>
      <c r="Q7677" s="172"/>
      <c r="R7677" s="94"/>
      <c r="S7677" s="94"/>
      <c r="T7677" s="54" t="s">
        <v>35543</v>
      </c>
      <c r="U7677" s="38" t="s">
        <v>61</v>
      </c>
      <c r="V7677" s="30"/>
      <c r="W7677" s="49"/>
      <c r="X7677" s="49"/>
      <c r="Y7677" s="35"/>
      <c r="Z7677" s="35"/>
      <c r="AA7677" s="35"/>
      <c r="AB7677" s="35"/>
      <c r="AC7677" s="35"/>
      <c r="AD7677" s="35"/>
      <c r="AE7677" s="35"/>
      <c r="AF7677" s="35"/>
      <c r="AG7677" s="35"/>
      <c r="AH7677" s="35"/>
      <c r="AI7677" s="35"/>
      <c r="AJ7677" s="35"/>
      <c r="AK7677" s="35"/>
      <c r="AL7677" s="35"/>
    </row>
    <row r="7678">
      <c r="A7678" s="149"/>
      <c r="B7678" s="19" t="s">
        <v>6113</v>
      </c>
      <c r="C7678" s="158" t="s">
        <v>35475</v>
      </c>
      <c r="D7678" s="47"/>
      <c r="E7678" s="22" t="s">
        <v>35544</v>
      </c>
      <c r="F7678" s="22" t="s">
        <v>323</v>
      </c>
      <c r="G7678" s="23">
        <v>2022.0</v>
      </c>
      <c r="H7678" s="22" t="s">
        <v>91</v>
      </c>
      <c r="I7678" s="24" t="s">
        <v>35545</v>
      </c>
      <c r="J7678" s="22" t="s">
        <v>2442</v>
      </c>
      <c r="K7678" s="22"/>
      <c r="L7678" s="105" t="s">
        <v>35546</v>
      </c>
      <c r="M7678" s="44"/>
      <c r="N7678" s="44"/>
      <c r="O7678" s="44"/>
      <c r="P7678" s="44"/>
      <c r="Q7678" s="44"/>
      <c r="R7678" s="44"/>
      <c r="S7678" s="44"/>
      <c r="T7678" s="45"/>
      <c r="U7678" s="29" t="s">
        <v>61</v>
      </c>
      <c r="V7678" s="30"/>
      <c r="W7678" s="31"/>
      <c r="X7678" s="31"/>
      <c r="Y7678" s="31"/>
      <c r="Z7678" s="32"/>
      <c r="AA7678" s="31"/>
      <c r="AB7678" s="31"/>
      <c r="AC7678" s="9"/>
      <c r="AD7678" s="31"/>
      <c r="AE7678" s="31"/>
      <c r="AF7678" s="33"/>
      <c r="AG7678" s="34"/>
      <c r="AH7678" s="31"/>
      <c r="AI7678" s="35"/>
      <c r="AJ7678" s="35"/>
      <c r="AK7678" s="35"/>
      <c r="AL7678" s="35"/>
    </row>
    <row r="7679">
      <c r="A7679" s="149" t="s">
        <v>38</v>
      </c>
      <c r="B7679" s="19" t="s">
        <v>6113</v>
      </c>
      <c r="C7679" s="158" t="s">
        <v>35475</v>
      </c>
      <c r="D7679" s="47"/>
      <c r="E7679" s="22" t="s">
        <v>2195</v>
      </c>
      <c r="F7679" s="22" t="s">
        <v>2437</v>
      </c>
      <c r="G7679" s="23">
        <v>2022.0</v>
      </c>
      <c r="H7679" s="22" t="s">
        <v>2479</v>
      </c>
      <c r="I7679" s="24" t="s">
        <v>35547</v>
      </c>
      <c r="J7679" s="22" t="s">
        <v>378</v>
      </c>
      <c r="K7679" s="22" t="s">
        <v>35548</v>
      </c>
      <c r="L7679" s="94" t="s">
        <v>35549</v>
      </c>
      <c r="M7679" s="94"/>
      <c r="N7679" s="94" t="s">
        <v>5323</v>
      </c>
      <c r="O7679" s="94"/>
      <c r="P7679" s="95"/>
      <c r="Q7679" s="94"/>
      <c r="R7679" s="94"/>
      <c r="S7679" s="94" t="s">
        <v>35550</v>
      </c>
      <c r="T7679" s="28" t="s">
        <v>35551</v>
      </c>
      <c r="U7679" s="29" t="s">
        <v>61</v>
      </c>
      <c r="V7679" s="30"/>
      <c r="W7679" s="31"/>
      <c r="X7679" s="31"/>
      <c r="Y7679" s="31"/>
      <c r="Z7679" s="32"/>
      <c r="AA7679" s="31"/>
      <c r="AB7679" s="31"/>
      <c r="AC7679" s="9"/>
      <c r="AD7679" s="31"/>
      <c r="AE7679" s="31"/>
      <c r="AF7679" s="33"/>
      <c r="AG7679" s="34"/>
      <c r="AH7679" s="31"/>
      <c r="AI7679" s="35"/>
      <c r="AJ7679" s="35"/>
      <c r="AK7679" s="35"/>
      <c r="AL7679" s="35"/>
    </row>
    <row r="7680">
      <c r="A7680" s="149"/>
      <c r="B7680" s="19" t="s">
        <v>6113</v>
      </c>
      <c r="C7680" s="158" t="s">
        <v>35475</v>
      </c>
      <c r="D7680" s="47"/>
      <c r="E7680" s="22" t="s">
        <v>5981</v>
      </c>
      <c r="F7680" s="22" t="s">
        <v>1386</v>
      </c>
      <c r="G7680" s="23">
        <v>2022.0</v>
      </c>
      <c r="H7680" s="22" t="s">
        <v>348</v>
      </c>
      <c r="I7680" s="24" t="s">
        <v>35552</v>
      </c>
      <c r="J7680" s="22" t="s">
        <v>125</v>
      </c>
      <c r="K7680" s="22"/>
      <c r="L7680" s="43" t="s">
        <v>35553</v>
      </c>
      <c r="M7680" s="44"/>
      <c r="N7680" s="44"/>
      <c r="O7680" s="44"/>
      <c r="P7680" s="44"/>
      <c r="Q7680" s="44"/>
      <c r="R7680" s="44"/>
      <c r="S7680" s="44"/>
      <c r="T7680" s="45"/>
      <c r="U7680" s="29" t="s">
        <v>61</v>
      </c>
      <c r="V7680" s="30"/>
      <c r="W7680" s="31"/>
      <c r="X7680" s="31"/>
      <c r="Y7680" s="31"/>
      <c r="Z7680" s="32"/>
      <c r="AA7680" s="31"/>
      <c r="AB7680" s="31"/>
      <c r="AC7680" s="9"/>
      <c r="AD7680" s="31"/>
      <c r="AE7680" s="31"/>
      <c r="AF7680" s="33"/>
      <c r="AG7680" s="34"/>
      <c r="AH7680" s="31"/>
      <c r="AI7680" s="35"/>
      <c r="AJ7680" s="35"/>
      <c r="AK7680" s="35"/>
      <c r="AL7680" s="35"/>
    </row>
    <row r="7681">
      <c r="A7681" s="149"/>
      <c r="B7681" s="19" t="s">
        <v>6113</v>
      </c>
      <c r="C7681" s="158" t="s">
        <v>35475</v>
      </c>
      <c r="D7681" s="47"/>
      <c r="E7681" s="22" t="s">
        <v>3685</v>
      </c>
      <c r="F7681" s="22" t="s">
        <v>2196</v>
      </c>
      <c r="G7681" s="23">
        <v>2022.0</v>
      </c>
      <c r="H7681" s="22" t="s">
        <v>77</v>
      </c>
      <c r="I7681" s="24" t="s">
        <v>35554</v>
      </c>
      <c r="J7681" s="22" t="s">
        <v>55</v>
      </c>
      <c r="K7681" s="22"/>
      <c r="L7681" s="94"/>
      <c r="M7681" s="94"/>
      <c r="N7681" s="94"/>
      <c r="O7681" s="94"/>
      <c r="P7681" s="95"/>
      <c r="Q7681" s="94"/>
      <c r="R7681" s="94"/>
      <c r="S7681" s="94"/>
      <c r="T7681" s="28" t="s">
        <v>35555</v>
      </c>
      <c r="U7681" s="29" t="s">
        <v>61</v>
      </c>
      <c r="V7681" s="30"/>
      <c r="W7681" s="31"/>
      <c r="X7681" s="31"/>
      <c r="Y7681" s="31"/>
      <c r="Z7681" s="32"/>
      <c r="AA7681" s="31"/>
      <c r="AB7681" s="31"/>
      <c r="AC7681" s="9"/>
      <c r="AD7681" s="31"/>
      <c r="AE7681" s="31"/>
      <c r="AF7681" s="33"/>
      <c r="AG7681" s="34"/>
      <c r="AH7681" s="31"/>
      <c r="AI7681" s="35"/>
      <c r="AJ7681" s="35"/>
      <c r="AK7681" s="35"/>
      <c r="AL7681" s="35"/>
    </row>
    <row r="7682">
      <c r="A7682" s="40"/>
      <c r="B7682" s="75" t="s">
        <v>6113</v>
      </c>
      <c r="C7682" s="158" t="s">
        <v>35475</v>
      </c>
      <c r="D7682" s="159"/>
      <c r="E7682" s="23" t="s">
        <v>35556</v>
      </c>
      <c r="F7682" s="23" t="s">
        <v>1173</v>
      </c>
      <c r="G7682" s="23">
        <v>2021.0</v>
      </c>
      <c r="H7682" s="23" t="s">
        <v>35557</v>
      </c>
      <c r="I7682" s="243" t="s">
        <v>35558</v>
      </c>
      <c r="J7682" s="23" t="s">
        <v>44</v>
      </c>
      <c r="K7682" s="23" t="s">
        <v>35559</v>
      </c>
      <c r="L7682" s="94">
        <v>670.0</v>
      </c>
      <c r="M7682" s="94"/>
      <c r="N7682" s="94" t="s">
        <v>4039</v>
      </c>
      <c r="O7682" s="94"/>
      <c r="P7682" s="94"/>
      <c r="Q7682" s="94"/>
      <c r="R7682" s="94">
        <v>90.0</v>
      </c>
      <c r="S7682" s="94" t="s">
        <v>35560</v>
      </c>
      <c r="T7682" s="54" t="s">
        <v>35561</v>
      </c>
      <c r="U7682" s="138" t="s">
        <v>61</v>
      </c>
      <c r="V7682" s="30"/>
      <c r="W7682" s="49"/>
      <c r="X7682" s="49"/>
      <c r="Y7682" s="35"/>
      <c r="Z7682" s="35"/>
      <c r="AA7682" s="35"/>
      <c r="AB7682" s="35"/>
      <c r="AC7682" s="35"/>
      <c r="AD7682" s="35"/>
      <c r="AE7682" s="35"/>
      <c r="AF7682" s="35"/>
      <c r="AG7682" s="35"/>
      <c r="AH7682" s="35"/>
      <c r="AI7682" s="35"/>
      <c r="AJ7682" s="35"/>
      <c r="AK7682" s="35"/>
      <c r="AL7682" s="35"/>
    </row>
    <row r="7683">
      <c r="A7683" s="149"/>
      <c r="B7683" s="19" t="s">
        <v>6113</v>
      </c>
      <c r="C7683" s="158" t="s">
        <v>35475</v>
      </c>
      <c r="D7683" s="47"/>
      <c r="E7683" s="22" t="s">
        <v>5941</v>
      </c>
      <c r="F7683" s="22" t="s">
        <v>2702</v>
      </c>
      <c r="G7683" s="23">
        <v>2021.0</v>
      </c>
      <c r="H7683" s="22" t="s">
        <v>21853</v>
      </c>
      <c r="I7683" s="24" t="s">
        <v>35562</v>
      </c>
      <c r="J7683" s="22" t="s">
        <v>125</v>
      </c>
      <c r="K7683" s="22"/>
      <c r="L7683" s="105" t="s">
        <v>35563</v>
      </c>
      <c r="M7683" s="44"/>
      <c r="N7683" s="44"/>
      <c r="O7683" s="44"/>
      <c r="P7683" s="44"/>
      <c r="Q7683" s="44"/>
      <c r="R7683" s="44"/>
      <c r="S7683" s="44"/>
      <c r="T7683" s="45"/>
      <c r="U7683" s="29" t="s">
        <v>61</v>
      </c>
      <c r="V7683" s="30"/>
      <c r="W7683" s="31"/>
      <c r="X7683" s="31"/>
      <c r="Y7683" s="31"/>
      <c r="Z7683" s="32"/>
      <c r="AA7683" s="31"/>
      <c r="AB7683" s="31"/>
      <c r="AC7683" s="9"/>
      <c r="AD7683" s="31"/>
      <c r="AE7683" s="31"/>
      <c r="AF7683" s="33"/>
      <c r="AG7683" s="34"/>
      <c r="AH7683" s="31"/>
      <c r="AI7683" s="35"/>
      <c r="AJ7683" s="35"/>
      <c r="AK7683" s="35"/>
      <c r="AL7683" s="35"/>
    </row>
    <row r="7684">
      <c r="A7684" s="149"/>
      <c r="B7684" s="19" t="s">
        <v>6113</v>
      </c>
      <c r="C7684" s="158" t="s">
        <v>35475</v>
      </c>
      <c r="D7684" s="47"/>
      <c r="E7684" s="22" t="s">
        <v>17782</v>
      </c>
      <c r="F7684" s="22" t="s">
        <v>3511</v>
      </c>
      <c r="G7684" s="23">
        <v>2020.0</v>
      </c>
      <c r="H7684" s="22" t="s">
        <v>35564</v>
      </c>
      <c r="I7684" s="24" t="s">
        <v>35565</v>
      </c>
      <c r="J7684" s="22" t="s">
        <v>533</v>
      </c>
      <c r="K7684" s="22"/>
      <c r="L7684" s="132" t="s">
        <v>35566</v>
      </c>
      <c r="U7684" s="29" t="s">
        <v>61</v>
      </c>
      <c r="V7684" s="30"/>
      <c r="W7684" s="31"/>
      <c r="X7684" s="31"/>
      <c r="Y7684" s="31"/>
      <c r="Z7684" s="32"/>
      <c r="AA7684" s="31"/>
      <c r="AB7684" s="31"/>
      <c r="AC7684" s="9"/>
      <c r="AD7684" s="31"/>
      <c r="AE7684" s="31"/>
      <c r="AF7684" s="33"/>
      <c r="AG7684" s="34"/>
      <c r="AH7684" s="31"/>
      <c r="AI7684" s="35"/>
      <c r="AJ7684" s="35"/>
      <c r="AK7684" s="35"/>
      <c r="AL7684" s="35"/>
    </row>
    <row r="7685">
      <c r="A7685" s="149"/>
      <c r="B7685" s="19" t="s">
        <v>6113</v>
      </c>
      <c r="C7685" s="158" t="s">
        <v>35475</v>
      </c>
      <c r="D7685" s="47"/>
      <c r="E7685" s="22" t="s">
        <v>6394</v>
      </c>
      <c r="F7685" s="22" t="s">
        <v>323</v>
      </c>
      <c r="G7685" s="23">
        <v>2020.0</v>
      </c>
      <c r="H7685" s="22" t="s">
        <v>10229</v>
      </c>
      <c r="I7685" s="24" t="s">
        <v>35567</v>
      </c>
      <c r="J7685" s="22" t="s">
        <v>55</v>
      </c>
      <c r="K7685" s="22" t="s">
        <v>35568</v>
      </c>
      <c r="L7685" s="36">
        <v>890.0</v>
      </c>
      <c r="M7685" s="129"/>
      <c r="N7685" s="36"/>
      <c r="O7685" s="36"/>
      <c r="P7685" s="37" t="s">
        <v>12439</v>
      </c>
      <c r="Q7685" s="36"/>
      <c r="R7685" s="36"/>
      <c r="S7685" s="36"/>
      <c r="T7685" s="28" t="s">
        <v>35569</v>
      </c>
      <c r="U7685" s="38" t="str">
        <f>HYPERLINK("https://www.ncbi.nlm.nih.gov/pubmed/31911295","PubMed")</f>
        <v>PubMed</v>
      </c>
      <c r="V7685" s="30"/>
      <c r="W7685" s="31"/>
      <c r="X7685" s="31"/>
      <c r="Y7685" s="31"/>
      <c r="Z7685" s="32"/>
      <c r="AA7685" s="31"/>
      <c r="AB7685" s="31"/>
      <c r="AC7685" s="9"/>
      <c r="AD7685" s="31"/>
      <c r="AE7685" s="31"/>
      <c r="AF7685" s="33"/>
      <c r="AG7685" s="34"/>
      <c r="AH7685" s="31"/>
      <c r="AI7685" s="35"/>
      <c r="AJ7685" s="35"/>
      <c r="AK7685" s="35"/>
      <c r="AL7685" s="35"/>
    </row>
    <row r="7686">
      <c r="A7686" s="40"/>
      <c r="B7686" s="75" t="s">
        <v>6113</v>
      </c>
      <c r="C7686" s="158" t="s">
        <v>35475</v>
      </c>
      <c r="D7686" s="159"/>
      <c r="E7686" s="23" t="s">
        <v>32237</v>
      </c>
      <c r="F7686" s="23" t="s">
        <v>323</v>
      </c>
      <c r="G7686" s="23">
        <v>2020.0</v>
      </c>
      <c r="H7686" s="23" t="s">
        <v>91</v>
      </c>
      <c r="I7686" s="243" t="s">
        <v>35570</v>
      </c>
      <c r="J7686" s="23" t="s">
        <v>55</v>
      </c>
      <c r="K7686" s="23" t="s">
        <v>5679</v>
      </c>
      <c r="L7686" s="94">
        <v>890.0</v>
      </c>
      <c r="M7686" s="94"/>
      <c r="N7686" s="94"/>
      <c r="O7686" s="94"/>
      <c r="P7686" s="94"/>
      <c r="Q7686" s="94"/>
      <c r="R7686" s="94"/>
      <c r="S7686" s="94"/>
      <c r="T7686" s="54" t="s">
        <v>35571</v>
      </c>
      <c r="U7686" s="138" t="s">
        <v>61</v>
      </c>
      <c r="V7686" s="30"/>
      <c r="W7686" s="49"/>
      <c r="X7686" s="49"/>
      <c r="Y7686" s="35"/>
      <c r="Z7686" s="35"/>
      <c r="AA7686" s="35"/>
      <c r="AB7686" s="35"/>
      <c r="AC7686" s="35"/>
      <c r="AD7686" s="35"/>
      <c r="AE7686" s="35"/>
      <c r="AF7686" s="35"/>
      <c r="AG7686" s="35"/>
      <c r="AH7686" s="35"/>
      <c r="AI7686" s="35"/>
      <c r="AJ7686" s="35"/>
      <c r="AK7686" s="35"/>
      <c r="AL7686" s="35"/>
    </row>
    <row r="7687">
      <c r="A7687" s="149"/>
      <c r="B7687" s="19" t="s">
        <v>6113</v>
      </c>
      <c r="C7687" s="158" t="s">
        <v>35475</v>
      </c>
      <c r="D7687" s="47"/>
      <c r="E7687" s="22" t="s">
        <v>5981</v>
      </c>
      <c r="F7687" s="22" t="s">
        <v>2702</v>
      </c>
      <c r="G7687" s="23">
        <v>2019.0</v>
      </c>
      <c r="H7687" s="22" t="s">
        <v>35572</v>
      </c>
      <c r="I7687" s="24" t="s">
        <v>35573</v>
      </c>
      <c r="J7687" s="22" t="s">
        <v>125</v>
      </c>
      <c r="K7687" s="22" t="s">
        <v>35574</v>
      </c>
      <c r="L7687" s="43" t="s">
        <v>35575</v>
      </c>
      <c r="M7687" s="44"/>
      <c r="N7687" s="44"/>
      <c r="O7687" s="44"/>
      <c r="P7687" s="44"/>
      <c r="Q7687" s="44"/>
      <c r="R7687" s="44"/>
      <c r="S7687" s="44"/>
      <c r="T7687" s="45"/>
      <c r="U7687" s="38" t="str">
        <f>HYPERLINK("https://www.ncbi.nlm.nih.gov/pubmed/30890300","PubMed")</f>
        <v>PubMed</v>
      </c>
      <c r="V7687" s="30"/>
      <c r="W7687" s="31"/>
      <c r="X7687" s="31"/>
      <c r="Y7687" s="31"/>
      <c r="Z7687" s="32"/>
      <c r="AA7687" s="31"/>
      <c r="AB7687" s="31"/>
      <c r="AC7687" s="9"/>
      <c r="AD7687" s="31"/>
      <c r="AE7687" s="31"/>
      <c r="AF7687" s="33"/>
      <c r="AG7687" s="34"/>
      <c r="AH7687" s="31"/>
      <c r="AI7687" s="35"/>
      <c r="AJ7687" s="35"/>
      <c r="AK7687" s="35"/>
      <c r="AL7687" s="35"/>
    </row>
    <row r="7688">
      <c r="A7688" s="456"/>
      <c r="B7688" s="75" t="s">
        <v>6113</v>
      </c>
      <c r="C7688" s="158" t="s">
        <v>35475</v>
      </c>
      <c r="D7688" s="159"/>
      <c r="E7688" s="23" t="s">
        <v>24118</v>
      </c>
      <c r="F7688" s="23" t="s">
        <v>323</v>
      </c>
      <c r="G7688" s="23">
        <v>2019.0</v>
      </c>
      <c r="H7688" s="23" t="s">
        <v>9113</v>
      </c>
      <c r="I7688" s="243" t="s">
        <v>35576</v>
      </c>
      <c r="J7688" s="23" t="s">
        <v>55</v>
      </c>
      <c r="K7688" s="23" t="s">
        <v>35577</v>
      </c>
      <c r="L7688" s="94">
        <v>890.0</v>
      </c>
      <c r="M7688" s="94"/>
      <c r="N7688" s="94"/>
      <c r="O7688" s="94"/>
      <c r="P7688" s="94" t="s">
        <v>267</v>
      </c>
      <c r="Q7688" s="94" t="s">
        <v>675</v>
      </c>
      <c r="R7688" s="94" t="s">
        <v>35578</v>
      </c>
      <c r="S7688" s="94"/>
      <c r="T7688" s="54" t="s">
        <v>35579</v>
      </c>
      <c r="U7688" s="135" t="str">
        <f>HYPERLINK("https://www.ncbi.nlm.nih.gov/pubmed/31148250","PubMed")</f>
        <v>PubMed</v>
      </c>
      <c r="V7688" s="30" t="s">
        <v>35580</v>
      </c>
      <c r="W7688" s="49"/>
      <c r="X7688" s="49"/>
      <c r="Y7688" s="35"/>
      <c r="Z7688" s="35"/>
      <c r="AA7688" s="35"/>
      <c r="AB7688" s="35"/>
      <c r="AC7688" s="35"/>
      <c r="AD7688" s="35"/>
      <c r="AE7688" s="35"/>
      <c r="AF7688" s="35"/>
      <c r="AG7688" s="35"/>
      <c r="AH7688" s="35"/>
      <c r="AI7688" s="35"/>
      <c r="AJ7688" s="35"/>
      <c r="AK7688" s="35"/>
      <c r="AL7688" s="35"/>
    </row>
    <row r="7689">
      <c r="A7689" s="456"/>
      <c r="B7689" s="75" t="s">
        <v>6113</v>
      </c>
      <c r="C7689" s="158" t="s">
        <v>35475</v>
      </c>
      <c r="D7689" s="159"/>
      <c r="E7689" s="23" t="s">
        <v>2001</v>
      </c>
      <c r="F7689" s="23" t="s">
        <v>35581</v>
      </c>
      <c r="G7689" s="23">
        <v>2018.0</v>
      </c>
      <c r="H7689" s="23" t="s">
        <v>9113</v>
      </c>
      <c r="I7689" s="243" t="s">
        <v>35582</v>
      </c>
      <c r="J7689" s="23" t="s">
        <v>55</v>
      </c>
      <c r="K7689" s="23" t="s">
        <v>607</v>
      </c>
      <c r="L7689" s="94">
        <v>890.0</v>
      </c>
      <c r="M7689" s="94"/>
      <c r="N7689" s="94"/>
      <c r="O7689" s="94"/>
      <c r="P7689" s="94" t="s">
        <v>267</v>
      </c>
      <c r="Q7689" s="94" t="s">
        <v>675</v>
      </c>
      <c r="R7689" s="94"/>
      <c r="S7689" s="94"/>
      <c r="T7689" s="54" t="s">
        <v>35583</v>
      </c>
      <c r="U7689" s="135" t="str">
        <f>HYPERLINK("https://www.ncbi.nlm.nih.gov/pubmed/30556154","PubMed")</f>
        <v>PubMed</v>
      </c>
      <c r="V7689" s="30"/>
      <c r="W7689" s="49"/>
      <c r="X7689" s="49"/>
      <c r="Y7689" s="35"/>
      <c r="Z7689" s="35"/>
      <c r="AA7689" s="35"/>
      <c r="AB7689" s="35"/>
      <c r="AC7689" s="35"/>
      <c r="AD7689" s="35"/>
      <c r="AE7689" s="35"/>
      <c r="AF7689" s="35"/>
      <c r="AG7689" s="35"/>
      <c r="AH7689" s="35"/>
      <c r="AI7689" s="35"/>
      <c r="AJ7689" s="35"/>
      <c r="AK7689" s="35"/>
      <c r="AL7689" s="35"/>
    </row>
    <row r="7690">
      <c r="A7690" s="456"/>
      <c r="B7690" s="75" t="s">
        <v>6113</v>
      </c>
      <c r="C7690" s="158" t="s">
        <v>35475</v>
      </c>
      <c r="D7690" s="159"/>
      <c r="E7690" s="23" t="s">
        <v>27640</v>
      </c>
      <c r="F7690" s="23" t="s">
        <v>19727</v>
      </c>
      <c r="G7690" s="23">
        <v>2018.0</v>
      </c>
      <c r="H7690" s="23" t="s">
        <v>207</v>
      </c>
      <c r="I7690" s="243" t="s">
        <v>35584</v>
      </c>
      <c r="J7690" s="23" t="s">
        <v>55</v>
      </c>
      <c r="K7690" s="23" t="s">
        <v>35585</v>
      </c>
      <c r="L7690" s="94" t="s">
        <v>35586</v>
      </c>
      <c r="M7690" s="94" t="s">
        <v>35587</v>
      </c>
      <c r="N7690" s="95"/>
      <c r="O7690" s="94" t="s">
        <v>35588</v>
      </c>
      <c r="P7690" s="94" t="s">
        <v>35589</v>
      </c>
      <c r="Q7690" s="94" t="s">
        <v>35590</v>
      </c>
      <c r="R7690" s="94" t="s">
        <v>35591</v>
      </c>
      <c r="S7690" s="94"/>
      <c r="T7690" s="54" t="s">
        <v>35592</v>
      </c>
      <c r="U7690" s="135" t="str">
        <f>HYPERLINK("https://www.ncbi.nlm.nih.gov/pubmed/30098521","PubMed")</f>
        <v>PubMed</v>
      </c>
      <c r="V7690" s="30"/>
      <c r="W7690" s="49"/>
      <c r="X7690" s="49"/>
      <c r="Y7690" s="35"/>
      <c r="Z7690" s="35"/>
      <c r="AA7690" s="35"/>
      <c r="AB7690" s="35"/>
      <c r="AC7690" s="35"/>
      <c r="AD7690" s="35"/>
      <c r="AE7690" s="35"/>
      <c r="AF7690" s="35"/>
      <c r="AG7690" s="35"/>
      <c r="AH7690" s="35"/>
      <c r="AI7690" s="35"/>
      <c r="AJ7690" s="35"/>
      <c r="AK7690" s="35"/>
      <c r="AL7690" s="35"/>
    </row>
    <row r="7691">
      <c r="A7691" s="456"/>
      <c r="B7691" s="75" t="s">
        <v>6113</v>
      </c>
      <c r="C7691" s="158" t="s">
        <v>35475</v>
      </c>
      <c r="D7691" s="159"/>
      <c r="E7691" s="23" t="s">
        <v>6394</v>
      </c>
      <c r="F7691" s="23" t="s">
        <v>323</v>
      </c>
      <c r="G7691" s="23">
        <v>2018.0</v>
      </c>
      <c r="H7691" s="23" t="s">
        <v>658</v>
      </c>
      <c r="I7691" s="243" t="s">
        <v>35593</v>
      </c>
      <c r="J7691" s="23" t="s">
        <v>55</v>
      </c>
      <c r="K7691" s="23" t="s">
        <v>607</v>
      </c>
      <c r="L7691" s="94">
        <v>890.0</v>
      </c>
      <c r="M7691" s="94"/>
      <c r="N7691" s="95" t="s">
        <v>1975</v>
      </c>
      <c r="O7691" s="94"/>
      <c r="P7691" s="94" t="s">
        <v>267</v>
      </c>
      <c r="Q7691" s="172" t="s">
        <v>675</v>
      </c>
      <c r="R7691" s="94" t="s">
        <v>35578</v>
      </c>
      <c r="S7691" s="94" t="s">
        <v>35594</v>
      </c>
      <c r="T7691" s="54" t="s">
        <v>35595</v>
      </c>
      <c r="U7691" s="135" t="str">
        <f>HYPERLINK("https://www.ncbi.nlm.nih.gov/pubmed/30004319","PubMed")</f>
        <v>PubMed</v>
      </c>
      <c r="V7691" s="30"/>
      <c r="W7691" s="49"/>
      <c r="X7691" s="49"/>
      <c r="Y7691" s="35"/>
      <c r="Z7691" s="35"/>
      <c r="AA7691" s="35"/>
      <c r="AB7691" s="35"/>
      <c r="AC7691" s="35"/>
      <c r="AD7691" s="35"/>
      <c r="AE7691" s="35"/>
      <c r="AF7691" s="35"/>
      <c r="AG7691" s="35"/>
      <c r="AH7691" s="35"/>
      <c r="AI7691" s="35"/>
      <c r="AJ7691" s="35"/>
      <c r="AK7691" s="35"/>
      <c r="AL7691" s="35"/>
    </row>
    <row r="7692">
      <c r="A7692" s="456"/>
      <c r="B7692" s="157" t="s">
        <v>6113</v>
      </c>
      <c r="C7692" s="158" t="s">
        <v>35475</v>
      </c>
      <c r="D7692" s="159"/>
      <c r="E7692" s="23" t="s">
        <v>24118</v>
      </c>
      <c r="F7692" s="23" t="s">
        <v>323</v>
      </c>
      <c r="G7692" s="23">
        <v>2018.0</v>
      </c>
      <c r="H7692" s="23" t="s">
        <v>207</v>
      </c>
      <c r="I7692" s="243" t="s">
        <v>35596</v>
      </c>
      <c r="J7692" s="23" t="s">
        <v>55</v>
      </c>
      <c r="K7692" s="23" t="s">
        <v>607</v>
      </c>
      <c r="L7692" s="94">
        <v>890.0</v>
      </c>
      <c r="M7692" s="94"/>
      <c r="N7692" s="95"/>
      <c r="O7692" s="94"/>
      <c r="P7692" s="94" t="s">
        <v>267</v>
      </c>
      <c r="Q7692" s="172"/>
      <c r="R7692" s="94"/>
      <c r="S7692" s="94"/>
      <c r="T7692" s="54" t="s">
        <v>35597</v>
      </c>
      <c r="U7692" s="135" t="str">
        <f>HYPERLINK("https://www.ncbi.nlm.nih.gov/pubmed/29604553","PubMed")</f>
        <v>PubMed</v>
      </c>
      <c r="V7692" s="30"/>
      <c r="W7692" s="49"/>
      <c r="X7692" s="49"/>
      <c r="Y7692" s="35"/>
      <c r="Z7692" s="35"/>
      <c r="AA7692" s="35"/>
      <c r="AB7692" s="35"/>
      <c r="AC7692" s="35"/>
      <c r="AD7692" s="35"/>
      <c r="AE7692" s="35"/>
      <c r="AF7692" s="35"/>
      <c r="AG7692" s="35"/>
      <c r="AH7692" s="35"/>
      <c r="AI7692" s="35"/>
      <c r="AJ7692" s="35"/>
      <c r="AK7692" s="35"/>
      <c r="AL7692" s="35"/>
    </row>
    <row r="7693">
      <c r="A7693" s="456"/>
      <c r="B7693" s="157" t="s">
        <v>6113</v>
      </c>
      <c r="C7693" s="158" t="s">
        <v>35475</v>
      </c>
      <c r="D7693" s="159"/>
      <c r="E7693" s="23" t="s">
        <v>32237</v>
      </c>
      <c r="F7693" s="23" t="s">
        <v>323</v>
      </c>
      <c r="G7693" s="23">
        <v>2018.0</v>
      </c>
      <c r="H7693" s="23" t="s">
        <v>207</v>
      </c>
      <c r="I7693" s="243" t="s">
        <v>35598</v>
      </c>
      <c r="J7693" s="23" t="s">
        <v>55</v>
      </c>
      <c r="K7693" s="23" t="s">
        <v>5679</v>
      </c>
      <c r="L7693" s="94">
        <v>890.0</v>
      </c>
      <c r="M7693" s="94"/>
      <c r="N7693" s="95"/>
      <c r="O7693" s="94"/>
      <c r="P7693" s="94" t="s">
        <v>267</v>
      </c>
      <c r="Q7693" s="172"/>
      <c r="R7693" s="94"/>
      <c r="S7693" s="94"/>
      <c r="T7693" s="54" t="s">
        <v>35599</v>
      </c>
      <c r="U7693" s="135" t="str">
        <f>HYPERLINK("https://www.ncbi.nlm.nih.gov/pubmed/29486459","PubMed")</f>
        <v>PubMed</v>
      </c>
      <c r="V7693" s="30"/>
      <c r="W7693" s="49"/>
      <c r="X7693" s="49"/>
      <c r="Y7693" s="35"/>
      <c r="Z7693" s="35"/>
      <c r="AA7693" s="35"/>
      <c r="AB7693" s="35"/>
      <c r="AC7693" s="35"/>
      <c r="AD7693" s="35"/>
      <c r="AE7693" s="35"/>
      <c r="AF7693" s="35"/>
      <c r="AG7693" s="35"/>
      <c r="AH7693" s="35"/>
      <c r="AI7693" s="35"/>
      <c r="AJ7693" s="35"/>
      <c r="AK7693" s="35"/>
      <c r="AL7693" s="35"/>
    </row>
    <row r="7694">
      <c r="A7694" s="456"/>
      <c r="B7694" s="157" t="s">
        <v>6113</v>
      </c>
      <c r="C7694" s="158" t="s">
        <v>35475</v>
      </c>
      <c r="D7694" s="159"/>
      <c r="E7694" s="23" t="s">
        <v>3919</v>
      </c>
      <c r="F7694" s="23" t="s">
        <v>35600</v>
      </c>
      <c r="G7694" s="23">
        <v>2018.0</v>
      </c>
      <c r="H7694" s="23" t="s">
        <v>10229</v>
      </c>
      <c r="I7694" s="243" t="s">
        <v>35601</v>
      </c>
      <c r="J7694" s="23" t="s">
        <v>55</v>
      </c>
      <c r="K7694" s="23" t="s">
        <v>35602</v>
      </c>
      <c r="L7694" s="94">
        <v>633.0</v>
      </c>
      <c r="M7694" s="94"/>
      <c r="N7694" s="95"/>
      <c r="O7694" s="94"/>
      <c r="P7694" s="94"/>
      <c r="Q7694" s="172"/>
      <c r="R7694" s="94"/>
      <c r="S7694" s="94"/>
      <c r="T7694" s="54" t="s">
        <v>35603</v>
      </c>
      <c r="U7694" s="135" t="str">
        <f>HYPERLINK("https://www.ncbi.nlm.nih.gov/pubmed/29477473","PubMed")</f>
        <v>PubMed</v>
      </c>
      <c r="V7694" s="30"/>
      <c r="W7694" s="49"/>
      <c r="X7694" s="49"/>
      <c r="Y7694" s="35"/>
      <c r="Z7694" s="35"/>
      <c r="AA7694" s="35"/>
      <c r="AB7694" s="35"/>
      <c r="AC7694" s="35"/>
      <c r="AD7694" s="35"/>
      <c r="AE7694" s="35"/>
      <c r="AF7694" s="35"/>
      <c r="AG7694" s="35"/>
      <c r="AH7694" s="35"/>
      <c r="AI7694" s="35"/>
      <c r="AJ7694" s="35"/>
      <c r="AK7694" s="35"/>
      <c r="AL7694" s="35"/>
    </row>
    <row r="7695">
      <c r="A7695" s="456" t="s">
        <v>35604</v>
      </c>
      <c r="B7695" s="157" t="s">
        <v>6113</v>
      </c>
      <c r="C7695" s="158" t="s">
        <v>35475</v>
      </c>
      <c r="D7695" s="159"/>
      <c r="E7695" s="23" t="s">
        <v>412</v>
      </c>
      <c r="F7695" s="23" t="s">
        <v>323</v>
      </c>
      <c r="G7695" s="23">
        <v>2018.0</v>
      </c>
      <c r="H7695" s="23" t="s">
        <v>4975</v>
      </c>
      <c r="I7695" s="243" t="s">
        <v>35605</v>
      </c>
      <c r="J7695" s="23" t="s">
        <v>55</v>
      </c>
      <c r="K7695" s="23"/>
      <c r="L7695" s="94" t="s">
        <v>35606</v>
      </c>
      <c r="M7695" s="94"/>
      <c r="N7695" s="95"/>
      <c r="O7695" s="94"/>
      <c r="P7695" s="94"/>
      <c r="Q7695" s="172"/>
      <c r="R7695" s="94"/>
      <c r="S7695" s="94"/>
      <c r="T7695" s="102" t="s">
        <v>35607</v>
      </c>
      <c r="U7695" s="135" t="str">
        <f>HYPERLINK("https://www.ncbi.nlm.nih.gov/pubmed/29457837","PubMed")</f>
        <v>PubMed</v>
      </c>
      <c r="V7695" s="30"/>
      <c r="W7695" s="49"/>
      <c r="X7695" s="49"/>
      <c r="Y7695" s="35"/>
      <c r="Z7695" s="35"/>
      <c r="AA7695" s="35"/>
      <c r="AB7695" s="35"/>
      <c r="AC7695" s="35"/>
      <c r="AD7695" s="35"/>
      <c r="AE7695" s="35"/>
      <c r="AF7695" s="35"/>
      <c r="AG7695" s="35"/>
      <c r="AH7695" s="35"/>
      <c r="AI7695" s="35"/>
      <c r="AJ7695" s="35"/>
      <c r="AK7695" s="35"/>
      <c r="AL7695" s="35"/>
    </row>
    <row r="7696">
      <c r="A7696" s="1"/>
      <c r="B7696" s="157" t="s">
        <v>6113</v>
      </c>
      <c r="C7696" s="158" t="s">
        <v>35475</v>
      </c>
      <c r="D7696" s="159"/>
      <c r="E7696" s="23" t="s">
        <v>1105</v>
      </c>
      <c r="F7696" s="23" t="s">
        <v>1034</v>
      </c>
      <c r="G7696" s="23">
        <v>2017.0</v>
      </c>
      <c r="H7696" s="23" t="s">
        <v>35608</v>
      </c>
      <c r="I7696" s="243" t="s">
        <v>35609</v>
      </c>
      <c r="J7696" s="23" t="s">
        <v>55</v>
      </c>
      <c r="K7696" s="23"/>
      <c r="L7696" s="94"/>
      <c r="M7696" s="94"/>
      <c r="N7696" s="95"/>
      <c r="O7696" s="94"/>
      <c r="P7696" s="94"/>
      <c r="Q7696" s="172"/>
      <c r="R7696" s="94"/>
      <c r="S7696" s="94"/>
      <c r="T7696" s="54" t="s">
        <v>35610</v>
      </c>
      <c r="U7696" s="135" t="str">
        <f>HYPERLINK("https://www.ncbi.nlm.nih.gov/pubmed/28976129","PubMed")</f>
        <v>PubMed</v>
      </c>
      <c r="V7696" s="30"/>
      <c r="W7696" s="49"/>
      <c r="X7696" s="49"/>
      <c r="Y7696" s="35"/>
      <c r="Z7696" s="35"/>
      <c r="AA7696" s="35"/>
      <c r="AB7696" s="35"/>
      <c r="AC7696" s="35"/>
      <c r="AD7696" s="35"/>
      <c r="AE7696" s="35"/>
      <c r="AF7696" s="35"/>
      <c r="AG7696" s="35"/>
      <c r="AH7696" s="35"/>
      <c r="AI7696" s="35"/>
      <c r="AJ7696" s="35"/>
      <c r="AK7696" s="35"/>
      <c r="AL7696" s="35"/>
    </row>
    <row r="7697">
      <c r="A7697" s="1"/>
      <c r="B7697" s="157" t="s">
        <v>6113</v>
      </c>
      <c r="C7697" s="158" t="s">
        <v>35475</v>
      </c>
      <c r="D7697" s="159"/>
      <c r="E7697" s="23" t="s">
        <v>4375</v>
      </c>
      <c r="F7697" s="23" t="s">
        <v>35611</v>
      </c>
      <c r="G7697" s="23">
        <v>2017.0</v>
      </c>
      <c r="H7697" s="23" t="s">
        <v>967</v>
      </c>
      <c r="I7697" s="243" t="s">
        <v>35612</v>
      </c>
      <c r="J7697" s="23" t="s">
        <v>55</v>
      </c>
      <c r="K7697" s="23"/>
      <c r="L7697" s="94">
        <v>808.0</v>
      </c>
      <c r="M7697" s="94"/>
      <c r="N7697" s="94" t="s">
        <v>35613</v>
      </c>
      <c r="O7697" s="94"/>
      <c r="P7697" s="94"/>
      <c r="Q7697" s="172"/>
      <c r="R7697" s="94"/>
      <c r="S7697" s="94">
        <v>9.0</v>
      </c>
      <c r="T7697" s="54" t="s">
        <v>35614</v>
      </c>
      <c r="U7697" s="138" t="s">
        <v>2360</v>
      </c>
      <c r="V7697" s="30"/>
      <c r="W7697" s="49"/>
      <c r="X7697" s="49"/>
      <c r="Y7697" s="35"/>
      <c r="Z7697" s="35"/>
      <c r="AA7697" s="35"/>
      <c r="AB7697" s="35"/>
      <c r="AC7697" s="35"/>
      <c r="AD7697" s="35"/>
      <c r="AE7697" s="35"/>
      <c r="AF7697" s="35"/>
      <c r="AG7697" s="35"/>
      <c r="AH7697" s="35"/>
      <c r="AI7697" s="35"/>
      <c r="AJ7697" s="35"/>
      <c r="AK7697" s="35"/>
      <c r="AL7697" s="35"/>
    </row>
    <row r="7698">
      <c r="A7698" s="1"/>
      <c r="B7698" s="157" t="s">
        <v>6113</v>
      </c>
      <c r="C7698" s="158" t="s">
        <v>35475</v>
      </c>
      <c r="D7698" s="159"/>
      <c r="E7698" s="23" t="s">
        <v>35615</v>
      </c>
      <c r="F7698" s="23" t="s">
        <v>19488</v>
      </c>
      <c r="G7698" s="23" t="s">
        <v>90</v>
      </c>
      <c r="H7698" s="23" t="s">
        <v>91</v>
      </c>
      <c r="I7698" s="243" t="s">
        <v>35616</v>
      </c>
      <c r="J7698" s="23" t="s">
        <v>55</v>
      </c>
      <c r="K7698" s="23"/>
      <c r="L7698" s="94">
        <v>633.0</v>
      </c>
      <c r="M7698" s="94"/>
      <c r="N7698" s="94" t="s">
        <v>6101</v>
      </c>
      <c r="O7698" s="94"/>
      <c r="P7698" s="94"/>
      <c r="Q7698" s="172"/>
      <c r="R7698" s="94"/>
      <c r="S7698" s="94"/>
      <c r="T7698" s="54" t="s">
        <v>35617</v>
      </c>
      <c r="U7698" s="135" t="str">
        <f>HYPERLINK("https://www.ncbi.nlm.nih.gov/pubmed/28547073","PubMed")</f>
        <v>PubMed</v>
      </c>
      <c r="V7698" s="30"/>
      <c r="W7698" s="49"/>
      <c r="X7698" s="49"/>
      <c r="Y7698" s="35"/>
      <c r="Z7698" s="35"/>
      <c r="AA7698" s="35"/>
      <c r="AB7698" s="35"/>
      <c r="AC7698" s="35"/>
      <c r="AD7698" s="35"/>
      <c r="AE7698" s="35"/>
      <c r="AF7698" s="35"/>
      <c r="AG7698" s="35"/>
      <c r="AH7698" s="35"/>
      <c r="AI7698" s="35"/>
      <c r="AJ7698" s="35"/>
      <c r="AK7698" s="35"/>
      <c r="AL7698" s="35"/>
    </row>
    <row r="7699">
      <c r="A7699" s="205"/>
      <c r="B7699" s="19" t="s">
        <v>6113</v>
      </c>
      <c r="C7699" s="158" t="s">
        <v>35475</v>
      </c>
      <c r="D7699" s="47"/>
      <c r="E7699" s="22" t="s">
        <v>14031</v>
      </c>
      <c r="F7699" s="22" t="s">
        <v>323</v>
      </c>
      <c r="G7699" s="23">
        <v>2017.0</v>
      </c>
      <c r="H7699" s="22" t="s">
        <v>207</v>
      </c>
      <c r="I7699" s="24" t="s">
        <v>35618</v>
      </c>
      <c r="J7699" s="22" t="s">
        <v>55</v>
      </c>
      <c r="K7699" s="22" t="s">
        <v>35619</v>
      </c>
      <c r="L7699" s="36">
        <v>890.0</v>
      </c>
      <c r="M7699" s="36">
        <v>1920.0</v>
      </c>
      <c r="N7699" s="36" t="s">
        <v>35620</v>
      </c>
      <c r="O7699" s="129"/>
      <c r="P7699" s="37" t="s">
        <v>12439</v>
      </c>
      <c r="Q7699" s="36" t="s">
        <v>501</v>
      </c>
      <c r="R7699" s="36">
        <v>300.0</v>
      </c>
      <c r="S7699" s="36"/>
      <c r="T7699" s="98" t="s">
        <v>35621</v>
      </c>
      <c r="U7699" s="38" t="str">
        <f>HYPERLINK("https://www.ncbi.nlm.nih.gov/pubmed/28282557","PubMed")</f>
        <v>PubMed</v>
      </c>
      <c r="V7699" s="30"/>
      <c r="W7699" s="31"/>
      <c r="X7699" s="31"/>
      <c r="Y7699" s="31"/>
      <c r="Z7699" s="32"/>
      <c r="AA7699" s="31"/>
      <c r="AB7699" s="31"/>
      <c r="AC7699" s="9"/>
      <c r="AD7699" s="31"/>
      <c r="AE7699" s="31"/>
      <c r="AF7699" s="33"/>
      <c r="AG7699" s="34"/>
      <c r="AH7699" s="31"/>
      <c r="AI7699" s="35"/>
      <c r="AJ7699" s="35"/>
      <c r="AK7699" s="35"/>
      <c r="AL7699" s="35"/>
    </row>
    <row r="7700">
      <c r="A7700" s="205"/>
      <c r="B7700" s="19" t="s">
        <v>6113</v>
      </c>
      <c r="C7700" s="158" t="s">
        <v>35475</v>
      </c>
      <c r="D7700" s="47"/>
      <c r="E7700" s="22" t="s">
        <v>5201</v>
      </c>
      <c r="F7700" s="22" t="s">
        <v>2702</v>
      </c>
      <c r="G7700" s="23">
        <v>2016.0</v>
      </c>
      <c r="H7700" s="22" t="s">
        <v>35172</v>
      </c>
      <c r="I7700" s="24" t="s">
        <v>35622</v>
      </c>
      <c r="J7700" s="22" t="s">
        <v>125</v>
      </c>
      <c r="K7700" s="22"/>
      <c r="L7700" s="43" t="s">
        <v>35623</v>
      </c>
      <c r="M7700" s="44"/>
      <c r="N7700" s="44"/>
      <c r="O7700" s="44"/>
      <c r="P7700" s="44"/>
      <c r="Q7700" s="44"/>
      <c r="R7700" s="44"/>
      <c r="S7700" s="44"/>
      <c r="T7700" s="45"/>
      <c r="U7700" s="38" t="str">
        <f>HYPERLINK("https://www.ncbi.nlm.nih.gov/pubmed/27314046","PubMed")</f>
        <v>PubMed</v>
      </c>
      <c r="V7700" s="30"/>
      <c r="W7700" s="31"/>
      <c r="X7700" s="31"/>
      <c r="Y7700" s="31"/>
      <c r="Z7700" s="32"/>
      <c r="AA7700" s="31"/>
      <c r="AB7700" s="31"/>
      <c r="AC7700" s="9"/>
      <c r="AD7700" s="31"/>
      <c r="AE7700" s="31"/>
      <c r="AF7700" s="33"/>
      <c r="AG7700" s="34"/>
      <c r="AH7700" s="31"/>
      <c r="AI7700" s="35"/>
      <c r="AJ7700" s="35"/>
      <c r="AK7700" s="35"/>
      <c r="AL7700" s="35"/>
    </row>
    <row r="7701">
      <c r="A7701" s="1" t="s">
        <v>2</v>
      </c>
      <c r="B7701" s="157" t="s">
        <v>6113</v>
      </c>
      <c r="C7701" s="158" t="s">
        <v>35475</v>
      </c>
      <c r="D7701" s="159"/>
      <c r="E7701" s="23" t="s">
        <v>27640</v>
      </c>
      <c r="F7701" s="23" t="s">
        <v>35624</v>
      </c>
      <c r="G7701" s="23">
        <v>2016.0</v>
      </c>
      <c r="H7701" s="23" t="s">
        <v>207</v>
      </c>
      <c r="I7701" s="243" t="s">
        <v>35625</v>
      </c>
      <c r="J7701" s="23" t="s">
        <v>44</v>
      </c>
      <c r="K7701" s="23"/>
      <c r="L7701" s="94">
        <v>904.0</v>
      </c>
      <c r="M7701" s="94">
        <v>40.0</v>
      </c>
      <c r="N7701" s="94" t="s">
        <v>35626</v>
      </c>
      <c r="O7701" s="93">
        <v>42462.0</v>
      </c>
      <c r="P7701" s="93">
        <v>42447.0</v>
      </c>
      <c r="Q7701" s="172" t="s">
        <v>35627</v>
      </c>
      <c r="R7701" s="94">
        <v>60.0</v>
      </c>
      <c r="S7701" s="94">
        <v>5.0</v>
      </c>
      <c r="T7701" s="54" t="s">
        <v>35628</v>
      </c>
      <c r="U7701" s="135" t="str">
        <f>HYPERLINK("https://www.ncbi.nlm.nih.gov/pubmed/27661759","PubMed")</f>
        <v>PubMed</v>
      </c>
      <c r="V7701" s="30"/>
      <c r="W7701" s="49"/>
      <c r="X7701" s="49"/>
      <c r="Y7701" s="35"/>
      <c r="Z7701" s="35"/>
      <c r="AA7701" s="35"/>
      <c r="AB7701" s="35"/>
      <c r="AC7701" s="35"/>
      <c r="AD7701" s="35"/>
      <c r="AE7701" s="35"/>
      <c r="AF7701" s="35"/>
      <c r="AG7701" s="35"/>
      <c r="AH7701" s="35"/>
      <c r="AI7701" s="35"/>
      <c r="AJ7701" s="35"/>
      <c r="AK7701" s="35"/>
      <c r="AL7701" s="35"/>
    </row>
    <row r="7702">
      <c r="A7702" s="1" t="s">
        <v>2</v>
      </c>
      <c r="B7702" s="466" t="s">
        <v>6113</v>
      </c>
      <c r="C7702" s="158" t="s">
        <v>35475</v>
      </c>
      <c r="D7702" s="159"/>
      <c r="E7702" s="23" t="s">
        <v>35629</v>
      </c>
      <c r="F7702" s="23" t="s">
        <v>2407</v>
      </c>
      <c r="G7702" s="23">
        <v>2016.0</v>
      </c>
      <c r="H7702" s="23" t="s">
        <v>2181</v>
      </c>
      <c r="I7702" s="243" t="s">
        <v>35630</v>
      </c>
      <c r="J7702" s="23" t="s">
        <v>44</v>
      </c>
      <c r="K7702" s="23" t="s">
        <v>35631</v>
      </c>
      <c r="L7702" s="94">
        <v>830.0</v>
      </c>
      <c r="M7702" s="94"/>
      <c r="N7702" s="94" t="s">
        <v>6876</v>
      </c>
      <c r="O7702" s="94"/>
      <c r="P7702" s="93">
        <v>42770.0</v>
      </c>
      <c r="Q7702" s="172" t="s">
        <v>675</v>
      </c>
      <c r="R7702" s="94">
        <v>300.0</v>
      </c>
      <c r="S7702" s="94"/>
      <c r="T7702" s="54" t="s">
        <v>35632</v>
      </c>
      <c r="U7702" s="135" t="str">
        <f>HYPERLINK("https://www.ncbi.nlm.nih.gov/pubmed/26830658","PubMed")</f>
        <v>PubMed</v>
      </c>
      <c r="V7702" s="30"/>
      <c r="W7702" s="49"/>
      <c r="X7702" s="49"/>
      <c r="Y7702" s="35"/>
      <c r="Z7702" s="35"/>
      <c r="AA7702" s="35"/>
      <c r="AB7702" s="35"/>
      <c r="AC7702" s="35"/>
      <c r="AD7702" s="35"/>
      <c r="AE7702" s="35"/>
      <c r="AF7702" s="35"/>
      <c r="AG7702" s="35"/>
      <c r="AH7702" s="35"/>
      <c r="AI7702" s="35"/>
      <c r="AJ7702" s="35"/>
      <c r="AK7702" s="35"/>
      <c r="AL7702" s="35"/>
    </row>
    <row r="7703">
      <c r="A7703" s="18"/>
      <c r="B7703" s="466" t="s">
        <v>6113</v>
      </c>
      <c r="C7703" s="158" t="s">
        <v>35475</v>
      </c>
      <c r="D7703" s="159"/>
      <c r="E7703" s="23" t="s">
        <v>35633</v>
      </c>
      <c r="F7703" s="23" t="s">
        <v>323</v>
      </c>
      <c r="G7703" s="23">
        <v>2016.0</v>
      </c>
      <c r="H7703" s="23" t="s">
        <v>309</v>
      </c>
      <c r="I7703" s="243" t="s">
        <v>35634</v>
      </c>
      <c r="J7703" s="23" t="s">
        <v>55</v>
      </c>
      <c r="K7703" s="23" t="s">
        <v>35635</v>
      </c>
      <c r="L7703" s="94">
        <v>685.0</v>
      </c>
      <c r="M7703" s="94">
        <v>15.0</v>
      </c>
      <c r="N7703" s="94"/>
      <c r="O7703" s="94"/>
      <c r="P7703" s="94">
        <v>3.0</v>
      </c>
      <c r="Q7703" s="172" t="s">
        <v>280</v>
      </c>
      <c r="R7703" s="94"/>
      <c r="S7703" s="94">
        <v>5.0</v>
      </c>
      <c r="T7703" s="54" t="s">
        <v>35636</v>
      </c>
      <c r="U7703" s="135" t="str">
        <f>HYPERLINK("https://www.ncbi.nlm.nih.gov/pubmed/27579876","PubMed")</f>
        <v>PubMed</v>
      </c>
      <c r="V7703" s="30"/>
      <c r="W7703" s="49"/>
      <c r="X7703" s="49"/>
      <c r="Y7703" s="35"/>
      <c r="Z7703" s="35"/>
      <c r="AA7703" s="35"/>
      <c r="AB7703" s="35"/>
      <c r="AC7703" s="35"/>
      <c r="AD7703" s="35"/>
      <c r="AE7703" s="35"/>
      <c r="AF7703" s="35"/>
      <c r="AG7703" s="35"/>
      <c r="AH7703" s="35"/>
      <c r="AI7703" s="35"/>
      <c r="AJ7703" s="35"/>
      <c r="AK7703" s="35"/>
      <c r="AL7703" s="35"/>
    </row>
    <row r="7704">
      <c r="A7704" s="1"/>
      <c r="B7704" s="157" t="s">
        <v>6113</v>
      </c>
      <c r="C7704" s="158" t="s">
        <v>35475</v>
      </c>
      <c r="D7704" s="159"/>
      <c r="E7704" s="23" t="s">
        <v>4375</v>
      </c>
      <c r="F7704" s="23" t="s">
        <v>35611</v>
      </c>
      <c r="G7704" s="23">
        <v>2015.0</v>
      </c>
      <c r="H7704" s="23" t="s">
        <v>169</v>
      </c>
      <c r="I7704" s="243" t="s">
        <v>35637</v>
      </c>
      <c r="J7704" s="23" t="s">
        <v>55</v>
      </c>
      <c r="K7704" s="23" t="s">
        <v>607</v>
      </c>
      <c r="L7704" s="94">
        <v>808.0</v>
      </c>
      <c r="M7704" s="94"/>
      <c r="N7704" s="94" t="s">
        <v>35638</v>
      </c>
      <c r="O7704" s="93"/>
      <c r="P7704" s="94"/>
      <c r="Q7704" s="172"/>
      <c r="R7704" s="94" t="s">
        <v>35639</v>
      </c>
      <c r="S7704" s="94"/>
      <c r="T7704" s="54" t="s">
        <v>35640</v>
      </c>
      <c r="U7704" s="135" t="str">
        <f>HYPERLINK("https://www.ncbi.nlm.nih.gov/pubmed/25260140","PubMed")</f>
        <v>PubMed</v>
      </c>
      <c r="V7704" s="30"/>
      <c r="W7704" s="49"/>
      <c r="X7704" s="49"/>
      <c r="Y7704" s="35"/>
      <c r="Z7704" s="35"/>
      <c r="AA7704" s="35"/>
      <c r="AB7704" s="35"/>
      <c r="AC7704" s="35"/>
      <c r="AD7704" s="35"/>
      <c r="AE7704" s="35"/>
      <c r="AF7704" s="35"/>
      <c r="AG7704" s="35"/>
      <c r="AH7704" s="35"/>
      <c r="AI7704" s="35"/>
      <c r="AJ7704" s="35"/>
      <c r="AK7704" s="35"/>
      <c r="AL7704" s="35"/>
    </row>
    <row r="7705">
      <c r="A7705" s="1"/>
      <c r="B7705" s="157" t="s">
        <v>6113</v>
      </c>
      <c r="C7705" s="158" t="s">
        <v>35475</v>
      </c>
      <c r="D7705" s="159"/>
      <c r="E7705" s="23" t="s">
        <v>2275</v>
      </c>
      <c r="F7705" s="23" t="s">
        <v>3441</v>
      </c>
      <c r="G7705" s="23">
        <v>2015.0</v>
      </c>
      <c r="H7705" s="23" t="s">
        <v>5130</v>
      </c>
      <c r="I7705" s="243" t="s">
        <v>35641</v>
      </c>
      <c r="J7705" s="23" t="s">
        <v>378</v>
      </c>
      <c r="K7705" s="23" t="s">
        <v>35642</v>
      </c>
      <c r="L7705" s="94" t="s">
        <v>35643</v>
      </c>
      <c r="M7705" s="94"/>
      <c r="N7705" s="94" t="s">
        <v>35644</v>
      </c>
      <c r="O7705" s="93"/>
      <c r="P7705" s="94" t="s">
        <v>35645</v>
      </c>
      <c r="Q7705" s="172"/>
      <c r="R7705" s="94"/>
      <c r="S7705" s="94"/>
      <c r="T7705" s="54" t="s">
        <v>35646</v>
      </c>
      <c r="U7705" s="135" t="str">
        <f>HYPERLINK("https://www.ncbi.nlm.nih.gov/pubmed/25684653","PubMed")</f>
        <v>PubMed</v>
      </c>
      <c r="V7705" s="30"/>
      <c r="W7705" s="49"/>
      <c r="X7705" s="49"/>
      <c r="Y7705" s="35"/>
      <c r="Z7705" s="35"/>
      <c r="AA7705" s="35"/>
      <c r="AB7705" s="35"/>
      <c r="AC7705" s="35"/>
      <c r="AD7705" s="35"/>
      <c r="AE7705" s="35"/>
      <c r="AF7705" s="35"/>
      <c r="AG7705" s="35"/>
      <c r="AH7705" s="35"/>
      <c r="AI7705" s="35"/>
      <c r="AJ7705" s="35"/>
      <c r="AK7705" s="35"/>
      <c r="AL7705" s="35"/>
    </row>
    <row r="7706">
      <c r="A7706" s="1"/>
      <c r="B7706" s="157" t="s">
        <v>6113</v>
      </c>
      <c r="C7706" s="158" t="s">
        <v>35475</v>
      </c>
      <c r="D7706" s="159"/>
      <c r="E7706" s="23" t="s">
        <v>35647</v>
      </c>
      <c r="F7706" s="23" t="s">
        <v>41</v>
      </c>
      <c r="G7706" s="23">
        <v>2015.0</v>
      </c>
      <c r="H7706" s="23" t="s">
        <v>627</v>
      </c>
      <c r="I7706" s="243" t="s">
        <v>35648</v>
      </c>
      <c r="J7706" s="23" t="s">
        <v>55</v>
      </c>
      <c r="K7706" s="23"/>
      <c r="L7706" s="94">
        <v>660.0</v>
      </c>
      <c r="M7706" s="94">
        <v>30.0</v>
      </c>
      <c r="N7706" s="94"/>
      <c r="O7706" s="93"/>
      <c r="P7706" s="94" t="s">
        <v>35649</v>
      </c>
      <c r="Q7706" s="172"/>
      <c r="R7706" s="94"/>
      <c r="S7706" s="94" t="s">
        <v>18105</v>
      </c>
      <c r="T7706" s="54" t="s">
        <v>35650</v>
      </c>
      <c r="U7706" s="138" t="s">
        <v>61</v>
      </c>
      <c r="V7706" s="30"/>
      <c r="W7706" s="49"/>
      <c r="X7706" s="49"/>
      <c r="Y7706" s="35"/>
      <c r="Z7706" s="35"/>
      <c r="AA7706" s="35"/>
      <c r="AB7706" s="35"/>
      <c r="AC7706" s="35"/>
      <c r="AD7706" s="35"/>
      <c r="AE7706" s="35"/>
      <c r="AF7706" s="35"/>
      <c r="AG7706" s="35"/>
      <c r="AH7706" s="35"/>
      <c r="AI7706" s="35"/>
      <c r="AJ7706" s="35"/>
      <c r="AK7706" s="35"/>
      <c r="AL7706" s="35"/>
    </row>
    <row r="7707">
      <c r="A7707" s="1"/>
      <c r="B7707" s="19" t="s">
        <v>6113</v>
      </c>
      <c r="C7707" s="158" t="s">
        <v>35475</v>
      </c>
      <c r="D7707" s="47"/>
      <c r="E7707" s="22" t="s">
        <v>6295</v>
      </c>
      <c r="F7707" s="22" t="s">
        <v>18805</v>
      </c>
      <c r="G7707" s="23">
        <v>2014.0</v>
      </c>
      <c r="H7707" s="22" t="s">
        <v>960</v>
      </c>
      <c r="I7707" s="24" t="s">
        <v>35651</v>
      </c>
      <c r="J7707" s="23" t="s">
        <v>55</v>
      </c>
      <c r="K7707" s="23" t="s">
        <v>35652</v>
      </c>
      <c r="L7707" s="36"/>
      <c r="M7707" s="36"/>
      <c r="N7707" s="36"/>
      <c r="O7707" s="36"/>
      <c r="P7707" s="37"/>
      <c r="Q7707" s="36"/>
      <c r="R7707" s="36"/>
      <c r="S7707" s="36"/>
      <c r="T7707" s="28" t="s">
        <v>35653</v>
      </c>
      <c r="U7707" s="38" t="str">
        <f>HYPERLINK("http://www.ncbi.nlm.nih.gov/pubmed/24551842","PubMed")</f>
        <v>PubMed</v>
      </c>
      <c r="V7707" s="50"/>
      <c r="W7707" s="49"/>
      <c r="X7707" s="49"/>
      <c r="Y7707" s="35"/>
      <c r="Z7707" s="35"/>
      <c r="AA7707" s="35"/>
      <c r="AB7707" s="35"/>
      <c r="AC7707" s="35"/>
      <c r="AD7707" s="35"/>
      <c r="AE7707" s="35"/>
      <c r="AF7707" s="35"/>
      <c r="AG7707" s="35"/>
      <c r="AH7707" s="35"/>
      <c r="AI7707" s="35"/>
      <c r="AJ7707" s="35"/>
      <c r="AK7707" s="35"/>
      <c r="AL7707" s="35"/>
    </row>
    <row r="7708">
      <c r="A7708" s="149"/>
      <c r="B7708" s="19" t="s">
        <v>6113</v>
      </c>
      <c r="C7708" s="158" t="s">
        <v>35475</v>
      </c>
      <c r="D7708" s="47"/>
      <c r="E7708" s="22" t="s">
        <v>8693</v>
      </c>
      <c r="F7708" s="22" t="s">
        <v>1386</v>
      </c>
      <c r="G7708" s="23">
        <v>2014.0</v>
      </c>
      <c r="H7708" s="22" t="s">
        <v>11554</v>
      </c>
      <c r="I7708" s="24" t="s">
        <v>35654</v>
      </c>
      <c r="J7708" s="22" t="s">
        <v>125</v>
      </c>
      <c r="K7708" s="22"/>
      <c r="L7708" s="43" t="s">
        <v>35655</v>
      </c>
      <c r="M7708" s="44"/>
      <c r="N7708" s="44"/>
      <c r="O7708" s="44"/>
      <c r="P7708" s="44"/>
      <c r="Q7708" s="44"/>
      <c r="R7708" s="44"/>
      <c r="S7708" s="44"/>
      <c r="T7708" s="45"/>
      <c r="U7708" s="38" t="str">
        <f>HYPERLINK("https://www.ncbi.nlm.nih.gov/pubmed/24511283","PubMed")</f>
        <v>PubMed</v>
      </c>
      <c r="V7708" s="30"/>
      <c r="W7708" s="31"/>
      <c r="X7708" s="31"/>
      <c r="Y7708" s="31"/>
      <c r="Z7708" s="32"/>
      <c r="AA7708" s="31"/>
      <c r="AB7708" s="31"/>
      <c r="AC7708" s="9"/>
      <c r="AD7708" s="31"/>
      <c r="AE7708" s="31"/>
      <c r="AF7708" s="33"/>
      <c r="AG7708" s="34"/>
      <c r="AH7708" s="31"/>
      <c r="AI7708" s="35"/>
      <c r="AJ7708" s="35"/>
      <c r="AK7708" s="35"/>
      <c r="AL7708" s="35"/>
    </row>
    <row r="7709">
      <c r="A7709" s="1"/>
      <c r="B7709" s="19" t="s">
        <v>6113</v>
      </c>
      <c r="C7709" s="158" t="s">
        <v>35475</v>
      </c>
      <c r="D7709" s="47"/>
      <c r="E7709" s="22" t="s">
        <v>35656</v>
      </c>
      <c r="F7709" s="22" t="s">
        <v>6296</v>
      </c>
      <c r="G7709" s="23">
        <v>2014.0</v>
      </c>
      <c r="H7709" s="22" t="s">
        <v>658</v>
      </c>
      <c r="I7709" s="24" t="s">
        <v>35657</v>
      </c>
      <c r="J7709" s="23" t="s">
        <v>55</v>
      </c>
      <c r="K7709" s="23" t="s">
        <v>607</v>
      </c>
      <c r="L7709" s="36">
        <v>810.0</v>
      </c>
      <c r="M7709" s="36">
        <v>30.0</v>
      </c>
      <c r="N7709" s="36" t="s">
        <v>1069</v>
      </c>
      <c r="O7709" s="36"/>
      <c r="P7709" s="37" t="s">
        <v>1704</v>
      </c>
      <c r="Q7709" s="36" t="s">
        <v>675</v>
      </c>
      <c r="R7709" s="36">
        <v>30.0</v>
      </c>
      <c r="S7709" s="36">
        <v>7.0</v>
      </c>
      <c r="T7709" s="28" t="s">
        <v>35658</v>
      </c>
      <c r="U7709" s="38" t="str">
        <f>HYPERLINK("https://www.ncbi.nlm.nih.gov/pubmed/24661084","PubMed")</f>
        <v>PubMed</v>
      </c>
      <c r="V7709" s="50"/>
      <c r="W7709" s="49"/>
      <c r="X7709" s="49"/>
      <c r="Y7709" s="35"/>
      <c r="Z7709" s="35"/>
      <c r="AA7709" s="35"/>
      <c r="AB7709" s="35"/>
      <c r="AC7709" s="35"/>
      <c r="AD7709" s="35"/>
      <c r="AE7709" s="35"/>
      <c r="AF7709" s="35"/>
      <c r="AG7709" s="35"/>
      <c r="AH7709" s="35"/>
      <c r="AI7709" s="35"/>
      <c r="AJ7709" s="35"/>
      <c r="AK7709" s="35"/>
      <c r="AL7709" s="35"/>
    </row>
    <row r="7710">
      <c r="A7710" s="1"/>
      <c r="B7710" s="19" t="s">
        <v>6113</v>
      </c>
      <c r="C7710" s="158" t="s">
        <v>35475</v>
      </c>
      <c r="D7710" s="47"/>
      <c r="E7710" s="22" t="s">
        <v>35659</v>
      </c>
      <c r="F7710" s="22" t="s">
        <v>1891</v>
      </c>
      <c r="G7710" s="23">
        <v>2014.0</v>
      </c>
      <c r="H7710" s="22" t="s">
        <v>91</v>
      </c>
      <c r="I7710" s="24" t="s">
        <v>35660</v>
      </c>
      <c r="J7710" s="23" t="s">
        <v>55</v>
      </c>
      <c r="K7710" s="23" t="s">
        <v>607</v>
      </c>
      <c r="L7710" s="36">
        <v>890.0</v>
      </c>
      <c r="M7710" s="37" t="s">
        <v>1984</v>
      </c>
      <c r="N7710" s="323"/>
      <c r="O7710" s="36"/>
      <c r="P7710" s="37" t="s">
        <v>267</v>
      </c>
      <c r="Q7710" s="36" t="s">
        <v>675</v>
      </c>
      <c r="R7710" s="36" t="s">
        <v>35578</v>
      </c>
      <c r="S7710" s="36"/>
      <c r="T7710" s="28" t="s">
        <v>35661</v>
      </c>
      <c r="U7710" s="38" t="str">
        <f>HYPERLINK("https://www.ncbi.nlm.nih.gov/pubmed/24362922","PubMed")</f>
        <v>PubMed</v>
      </c>
      <c r="V7710" s="50"/>
      <c r="W7710" s="49"/>
      <c r="X7710" s="49"/>
      <c r="Y7710" s="35"/>
      <c r="Z7710" s="35"/>
      <c r="AA7710" s="35"/>
      <c r="AB7710" s="35"/>
      <c r="AC7710" s="35"/>
      <c r="AD7710" s="35"/>
      <c r="AE7710" s="35"/>
      <c r="AF7710" s="35"/>
      <c r="AG7710" s="35"/>
      <c r="AH7710" s="35"/>
      <c r="AI7710" s="35"/>
      <c r="AJ7710" s="35"/>
      <c r="AK7710" s="35"/>
      <c r="AL7710" s="35"/>
    </row>
    <row r="7711">
      <c r="A7711" s="1"/>
      <c r="B7711" s="75" t="s">
        <v>6113</v>
      </c>
      <c r="C7711" s="158" t="s">
        <v>35475</v>
      </c>
      <c r="D7711" s="47"/>
      <c r="E7711" s="22" t="s">
        <v>8908</v>
      </c>
      <c r="F7711" s="22" t="s">
        <v>966</v>
      </c>
      <c r="G7711" s="23">
        <v>2013.0</v>
      </c>
      <c r="H7711" s="23" t="s">
        <v>967</v>
      </c>
      <c r="I7711" s="24" t="s">
        <v>35662</v>
      </c>
      <c r="J7711" s="23" t="s">
        <v>55</v>
      </c>
      <c r="K7711" s="23"/>
      <c r="L7711" s="36">
        <v>670.0</v>
      </c>
      <c r="M7711" s="36">
        <v>30.0</v>
      </c>
      <c r="N7711" s="36"/>
      <c r="O7711" s="36" t="s">
        <v>12903</v>
      </c>
      <c r="P7711" s="37" t="s">
        <v>2555</v>
      </c>
      <c r="Q7711" s="36" t="s">
        <v>34834</v>
      </c>
      <c r="R7711" s="36">
        <v>12.0</v>
      </c>
      <c r="S7711" s="36"/>
      <c r="T7711" s="28" t="s">
        <v>35663</v>
      </c>
      <c r="U7711" s="38" t="str">
        <f>HYPERLINK("http://iopscience.iop.org/article/10.1088/1054-660X/23/3/035604/meta","IOP")</f>
        <v>IOP</v>
      </c>
      <c r="V7711" s="50"/>
      <c r="W7711" s="49"/>
      <c r="X7711" s="49"/>
      <c r="Y7711" s="35"/>
      <c r="Z7711" s="35"/>
      <c r="AA7711" s="35"/>
      <c r="AB7711" s="35"/>
      <c r="AC7711" s="35"/>
      <c r="AD7711" s="35"/>
      <c r="AE7711" s="35"/>
      <c r="AF7711" s="35"/>
      <c r="AG7711" s="35"/>
      <c r="AH7711" s="35"/>
      <c r="AI7711" s="35"/>
      <c r="AJ7711" s="35"/>
      <c r="AK7711" s="35"/>
      <c r="AL7711" s="35"/>
    </row>
    <row r="7712">
      <c r="A7712" s="1"/>
      <c r="B7712" s="19" t="s">
        <v>6113</v>
      </c>
      <c r="C7712" s="158" t="s">
        <v>35475</v>
      </c>
      <c r="D7712" s="47"/>
      <c r="E7712" s="22" t="s">
        <v>4286</v>
      </c>
      <c r="F7712" s="22" t="s">
        <v>2437</v>
      </c>
      <c r="G7712" s="23">
        <v>2012.0</v>
      </c>
      <c r="H7712" s="23" t="s">
        <v>1000</v>
      </c>
      <c r="I7712" s="24" t="s">
        <v>35664</v>
      </c>
      <c r="J7712" s="23" t="s">
        <v>55</v>
      </c>
      <c r="K7712" s="22" t="s">
        <v>35665</v>
      </c>
      <c r="L7712" s="36">
        <v>630.0</v>
      </c>
      <c r="M7712" s="36"/>
      <c r="N7712" s="36" t="s">
        <v>35666</v>
      </c>
      <c r="O7712" s="36"/>
      <c r="P7712" s="37" t="s">
        <v>7754</v>
      </c>
      <c r="Q7712" s="36"/>
      <c r="R7712" s="36"/>
      <c r="S7712" s="36">
        <v>10.0</v>
      </c>
      <c r="T7712" s="28" t="s">
        <v>35667</v>
      </c>
      <c r="U7712" s="38" t="str">
        <f>HYPERLINK("https://www.hindawi.com/journals/ijp/2012/838496/","Hindawi")</f>
        <v>Hindawi</v>
      </c>
      <c r="V7712" s="50"/>
      <c r="W7712" s="49"/>
      <c r="X7712" s="49"/>
      <c r="Y7712" s="35"/>
      <c r="Z7712" s="35"/>
      <c r="AA7712" s="35"/>
      <c r="AB7712" s="35"/>
      <c r="AC7712" s="35"/>
      <c r="AD7712" s="35"/>
      <c r="AE7712" s="35"/>
      <c r="AF7712" s="35"/>
      <c r="AG7712" s="35"/>
      <c r="AH7712" s="35"/>
      <c r="AI7712" s="35"/>
      <c r="AJ7712" s="35"/>
      <c r="AK7712" s="35"/>
      <c r="AL7712" s="35"/>
    </row>
    <row r="7713">
      <c r="A7713" s="1"/>
      <c r="B7713" s="19" t="s">
        <v>6113</v>
      </c>
      <c r="C7713" s="158" t="s">
        <v>35475</v>
      </c>
      <c r="D7713" s="47"/>
      <c r="E7713" s="22" t="s">
        <v>35668</v>
      </c>
      <c r="F7713" s="22" t="s">
        <v>323</v>
      </c>
      <c r="G7713" s="23">
        <v>2012.0</v>
      </c>
      <c r="H7713" s="22" t="s">
        <v>207</v>
      </c>
      <c r="I7713" s="24" t="s">
        <v>35669</v>
      </c>
      <c r="J7713" s="23" t="s">
        <v>55</v>
      </c>
      <c r="K7713" s="23" t="s">
        <v>35670</v>
      </c>
      <c r="L7713" s="36">
        <v>890.0</v>
      </c>
      <c r="M7713" s="37" t="s">
        <v>1984</v>
      </c>
      <c r="N7713" s="36"/>
      <c r="O7713" s="36"/>
      <c r="P7713" s="37" t="s">
        <v>30529</v>
      </c>
      <c r="Q7713" s="36" t="s">
        <v>675</v>
      </c>
      <c r="R7713" s="36" t="s">
        <v>35671</v>
      </c>
      <c r="S7713" s="36"/>
      <c r="T7713" s="42" t="s">
        <v>35672</v>
      </c>
      <c r="U7713" s="38" t="str">
        <f>HYPERLINK("https://www.ncbi.nlm.nih.gov/pubmed/22494918","PubMed")</f>
        <v>PubMed</v>
      </c>
      <c r="V7713" s="50"/>
      <c r="W7713" s="49"/>
      <c r="X7713" s="49"/>
      <c r="Y7713" s="35"/>
      <c r="Z7713" s="35"/>
      <c r="AA7713" s="35"/>
      <c r="AB7713" s="35"/>
      <c r="AC7713" s="35"/>
      <c r="AD7713" s="35"/>
      <c r="AE7713" s="35"/>
      <c r="AF7713" s="35"/>
      <c r="AG7713" s="35"/>
      <c r="AH7713" s="35"/>
      <c r="AI7713" s="35"/>
      <c r="AJ7713" s="35"/>
      <c r="AK7713" s="35"/>
      <c r="AL7713" s="35"/>
    </row>
    <row r="7714">
      <c r="A7714" s="1"/>
      <c r="B7714" s="19" t="s">
        <v>6113</v>
      </c>
      <c r="C7714" s="158" t="s">
        <v>35475</v>
      </c>
      <c r="D7714" s="47"/>
      <c r="E7714" s="22" t="s">
        <v>35673</v>
      </c>
      <c r="F7714" s="22" t="s">
        <v>3511</v>
      </c>
      <c r="G7714" s="23">
        <v>2011.0</v>
      </c>
      <c r="H7714" s="22" t="s">
        <v>4975</v>
      </c>
      <c r="I7714" s="24" t="s">
        <v>35674</v>
      </c>
      <c r="J7714" s="23" t="s">
        <v>44</v>
      </c>
      <c r="K7714" s="23" t="s">
        <v>35675</v>
      </c>
      <c r="L7714" s="36">
        <v>633.0</v>
      </c>
      <c r="M7714" s="36">
        <v>7.0</v>
      </c>
      <c r="N7714" s="36" t="s">
        <v>6101</v>
      </c>
      <c r="O7714" s="36"/>
      <c r="P7714" s="37" t="s">
        <v>1342</v>
      </c>
      <c r="Q7714" s="36" t="s">
        <v>35676</v>
      </c>
      <c r="R7714" s="36"/>
      <c r="S7714" s="36"/>
      <c r="T7714" s="28" t="s">
        <v>35677</v>
      </c>
      <c r="U7714" s="38" t="str">
        <f>HYPERLINK("https://www.ncbi.nlm.nih.gov/pubmed/21883243","PubMed")</f>
        <v>PubMed</v>
      </c>
      <c r="V7714" s="50"/>
      <c r="W7714" s="49"/>
      <c r="X7714" s="49"/>
      <c r="Y7714" s="35"/>
      <c r="Z7714" s="35"/>
      <c r="AA7714" s="35"/>
      <c r="AB7714" s="35"/>
      <c r="AC7714" s="35"/>
      <c r="AD7714" s="35"/>
      <c r="AE7714" s="35"/>
      <c r="AF7714" s="35"/>
      <c r="AG7714" s="35"/>
      <c r="AH7714" s="35"/>
      <c r="AI7714" s="35"/>
      <c r="AJ7714" s="35"/>
      <c r="AK7714" s="35"/>
      <c r="AL7714" s="35"/>
    </row>
    <row r="7715">
      <c r="A7715" s="1"/>
      <c r="B7715" s="19" t="s">
        <v>6113</v>
      </c>
      <c r="C7715" s="158" t="s">
        <v>35475</v>
      </c>
      <c r="D7715" s="47"/>
      <c r="E7715" s="22" t="s">
        <v>35678</v>
      </c>
      <c r="F7715" s="22" t="s">
        <v>323</v>
      </c>
      <c r="G7715" s="23">
        <v>2010.0</v>
      </c>
      <c r="H7715" s="22" t="s">
        <v>658</v>
      </c>
      <c r="I7715" s="24" t="s">
        <v>35679</v>
      </c>
      <c r="J7715" s="23" t="s">
        <v>55</v>
      </c>
      <c r="K7715" s="23" t="s">
        <v>607</v>
      </c>
      <c r="L7715" s="36" t="s">
        <v>4077</v>
      </c>
      <c r="M7715" s="36" t="s">
        <v>35680</v>
      </c>
      <c r="N7715" s="36"/>
      <c r="O7715" s="36" t="s">
        <v>35681</v>
      </c>
      <c r="P7715" s="37"/>
      <c r="Q7715" s="36"/>
      <c r="R7715" s="36" t="s">
        <v>35682</v>
      </c>
      <c r="S7715" s="36"/>
      <c r="T7715" s="41" t="s">
        <v>35683</v>
      </c>
      <c r="U7715" s="38" t="str">
        <f>HYPERLINK("https://www.ncbi.nlm.nih.gov/pubmed/20961229","PubMed")</f>
        <v>PubMed</v>
      </c>
      <c r="V7715" s="50"/>
      <c r="W7715" s="49"/>
      <c r="X7715" s="49"/>
      <c r="Y7715" s="35"/>
      <c r="Z7715" s="35"/>
      <c r="AA7715" s="35"/>
      <c r="AB7715" s="35"/>
      <c r="AC7715" s="35"/>
      <c r="AD7715" s="35"/>
      <c r="AE7715" s="35"/>
      <c r="AF7715" s="35"/>
      <c r="AG7715" s="35"/>
      <c r="AH7715" s="35"/>
      <c r="AI7715" s="35"/>
      <c r="AJ7715" s="35"/>
      <c r="AK7715" s="35"/>
      <c r="AL7715" s="35"/>
    </row>
    <row r="7716">
      <c r="A7716" s="1"/>
      <c r="B7716" s="19" t="s">
        <v>6113</v>
      </c>
      <c r="C7716" s="158" t="s">
        <v>35475</v>
      </c>
      <c r="D7716" s="47"/>
      <c r="E7716" s="22" t="s">
        <v>7055</v>
      </c>
      <c r="F7716" s="22" t="s">
        <v>4582</v>
      </c>
      <c r="G7716" s="23">
        <v>2010.0</v>
      </c>
      <c r="H7716" s="22" t="s">
        <v>658</v>
      </c>
      <c r="I7716" s="24" t="s">
        <v>35684</v>
      </c>
      <c r="J7716" s="23" t="s">
        <v>44</v>
      </c>
      <c r="K7716" s="23" t="s">
        <v>1112</v>
      </c>
      <c r="L7716" s="36">
        <v>660.0</v>
      </c>
      <c r="M7716" s="36" t="s">
        <v>35685</v>
      </c>
      <c r="N7716" s="36"/>
      <c r="O7716" s="36" t="s">
        <v>35686</v>
      </c>
      <c r="P7716" s="37"/>
      <c r="Q7716" s="36"/>
      <c r="R7716" s="36">
        <v>20.0</v>
      </c>
      <c r="S7716" s="36">
        <v>7.0</v>
      </c>
      <c r="T7716" s="28" t="s">
        <v>35687</v>
      </c>
      <c r="U7716" s="38" t="str">
        <f>HYPERLINK("https://www.ncbi.nlm.nih.gov/pubmed/19916792","PubMed")</f>
        <v>PubMed</v>
      </c>
      <c r="V7716" s="50"/>
      <c r="W7716" s="49"/>
      <c r="X7716" s="49"/>
      <c r="Y7716" s="35"/>
      <c r="Z7716" s="35"/>
      <c r="AA7716" s="35"/>
      <c r="AB7716" s="35"/>
      <c r="AC7716" s="35"/>
      <c r="AD7716" s="35"/>
      <c r="AE7716" s="35"/>
      <c r="AF7716" s="35"/>
      <c r="AG7716" s="35"/>
      <c r="AH7716" s="35"/>
      <c r="AI7716" s="35"/>
      <c r="AJ7716" s="35"/>
      <c r="AK7716" s="35"/>
      <c r="AL7716" s="35"/>
    </row>
    <row r="7717">
      <c r="A7717" s="1"/>
      <c r="B7717" s="19" t="s">
        <v>6113</v>
      </c>
      <c r="C7717" s="158" t="s">
        <v>35475</v>
      </c>
      <c r="D7717" s="47"/>
      <c r="E7717" s="22" t="s">
        <v>7055</v>
      </c>
      <c r="F7717" s="22" t="s">
        <v>4582</v>
      </c>
      <c r="G7717" s="23">
        <v>2010.0</v>
      </c>
      <c r="H7717" s="22" t="s">
        <v>53</v>
      </c>
      <c r="I7717" s="24" t="s">
        <v>35688</v>
      </c>
      <c r="J7717" s="23" t="s">
        <v>44</v>
      </c>
      <c r="K7717" s="23" t="s">
        <v>1827</v>
      </c>
      <c r="L7717" s="36">
        <v>660.0</v>
      </c>
      <c r="M7717" s="36">
        <v>80.0</v>
      </c>
      <c r="N7717" s="36"/>
      <c r="O7717" s="36" t="s">
        <v>35689</v>
      </c>
      <c r="P7717" s="37"/>
      <c r="Q7717" s="36" t="s">
        <v>35690</v>
      </c>
      <c r="R7717" s="36" t="s">
        <v>1731</v>
      </c>
      <c r="S7717" s="36">
        <v>7.0</v>
      </c>
      <c r="T7717" s="28" t="s">
        <v>35691</v>
      </c>
      <c r="U7717" s="38" t="str">
        <f>HYPERLINK("https://www.ncbi.nlm.nih.gov/pubmed/20976805","PubMed")</f>
        <v>PubMed</v>
      </c>
      <c r="V7717" s="50"/>
      <c r="W7717" s="49"/>
      <c r="X7717" s="49"/>
      <c r="Y7717" s="35"/>
      <c r="Z7717" s="35"/>
      <c r="AA7717" s="35"/>
      <c r="AB7717" s="35"/>
      <c r="AC7717" s="35"/>
      <c r="AD7717" s="35"/>
      <c r="AE7717" s="35"/>
      <c r="AF7717" s="35"/>
      <c r="AG7717" s="35"/>
      <c r="AH7717" s="35"/>
      <c r="AI7717" s="35"/>
      <c r="AJ7717" s="35"/>
      <c r="AK7717" s="35"/>
      <c r="AL7717" s="35"/>
    </row>
    <row r="7718">
      <c r="A7718" s="18"/>
      <c r="B7718" s="466" t="s">
        <v>6113</v>
      </c>
      <c r="C7718" s="158" t="s">
        <v>35475</v>
      </c>
      <c r="D7718" s="159"/>
      <c r="E7718" s="23" t="s">
        <v>35692</v>
      </c>
      <c r="F7718" s="23" t="s">
        <v>408</v>
      </c>
      <c r="G7718" s="23">
        <v>2009.0</v>
      </c>
      <c r="H7718" s="23" t="s">
        <v>658</v>
      </c>
      <c r="I7718" s="243" t="s">
        <v>35693</v>
      </c>
      <c r="J7718" s="23" t="s">
        <v>55</v>
      </c>
      <c r="K7718" s="23" t="s">
        <v>607</v>
      </c>
      <c r="L7718" s="94">
        <v>808.0</v>
      </c>
      <c r="M7718" s="94"/>
      <c r="N7718" s="94" t="s">
        <v>892</v>
      </c>
      <c r="O7718" s="94"/>
      <c r="P7718" s="94">
        <v>10.0</v>
      </c>
      <c r="Q7718" s="172" t="s">
        <v>675</v>
      </c>
      <c r="R7718" s="94"/>
      <c r="S7718" s="94">
        <v>5.0</v>
      </c>
      <c r="T7718" s="54" t="s">
        <v>35694</v>
      </c>
      <c r="U7718" s="135" t="str">
        <f>HYPERLINK("https://www.ncbi.nlm.nih.gov/pubmed/19694508","PubMed")</f>
        <v>PubMed</v>
      </c>
      <c r="V7718" s="30"/>
      <c r="W7718" s="49"/>
      <c r="X7718" s="49"/>
      <c r="Y7718" s="35"/>
      <c r="Z7718" s="35"/>
      <c r="AA7718" s="35"/>
      <c r="AB7718" s="35"/>
      <c r="AC7718" s="35"/>
      <c r="AD7718" s="35"/>
      <c r="AE7718" s="35"/>
      <c r="AF7718" s="35"/>
      <c r="AG7718" s="35"/>
      <c r="AH7718" s="35"/>
      <c r="AI7718" s="35"/>
      <c r="AJ7718" s="35"/>
      <c r="AK7718" s="35"/>
      <c r="AL7718" s="35"/>
    </row>
    <row r="7719">
      <c r="A7719" s="1"/>
      <c r="B7719" s="19" t="s">
        <v>6113</v>
      </c>
      <c r="C7719" s="158" t="s">
        <v>35475</v>
      </c>
      <c r="D7719" s="47"/>
      <c r="E7719" s="22" t="s">
        <v>35695</v>
      </c>
      <c r="F7719" s="22" t="s">
        <v>510</v>
      </c>
      <c r="G7719" s="23">
        <v>2009.0</v>
      </c>
      <c r="H7719" s="22" t="s">
        <v>91</v>
      </c>
      <c r="I7719" s="24" t="s">
        <v>35696</v>
      </c>
      <c r="J7719" s="23" t="s">
        <v>55</v>
      </c>
      <c r="K7719" s="23" t="s">
        <v>35697</v>
      </c>
      <c r="L7719" s="36" t="s">
        <v>35698</v>
      </c>
      <c r="M7719" s="36">
        <v>30.0</v>
      </c>
      <c r="N7719" s="36"/>
      <c r="O7719" s="36"/>
      <c r="P7719" s="37" t="s">
        <v>82</v>
      </c>
      <c r="Q7719" s="36" t="s">
        <v>840</v>
      </c>
      <c r="R7719" s="36">
        <v>100.0</v>
      </c>
      <c r="S7719" s="36">
        <v>1.0</v>
      </c>
      <c r="T7719" s="28" t="s">
        <v>35699</v>
      </c>
      <c r="U7719" s="38" t="str">
        <f>HYPERLINK("https://www.ncbi.nlm.nih.gov/pubmed/19238507","PubMed")</f>
        <v>PubMed</v>
      </c>
      <c r="V7719" s="50"/>
      <c r="W7719" s="49"/>
      <c r="X7719" s="49"/>
      <c r="Y7719" s="35"/>
      <c r="Z7719" s="35"/>
      <c r="AA7719" s="35"/>
      <c r="AB7719" s="35"/>
      <c r="AC7719" s="35"/>
      <c r="AD7719" s="35"/>
      <c r="AE7719" s="35"/>
      <c r="AF7719" s="35"/>
      <c r="AG7719" s="35"/>
      <c r="AH7719" s="35"/>
      <c r="AI7719" s="35"/>
      <c r="AJ7719" s="35"/>
      <c r="AK7719" s="35"/>
      <c r="AL7719" s="35"/>
    </row>
    <row r="7720">
      <c r="A7720" s="1"/>
      <c r="B7720" s="19" t="s">
        <v>6113</v>
      </c>
      <c r="C7720" s="158" t="s">
        <v>35475</v>
      </c>
      <c r="D7720" s="47"/>
      <c r="E7720" s="22" t="s">
        <v>35305</v>
      </c>
      <c r="F7720" s="22" t="s">
        <v>3511</v>
      </c>
      <c r="G7720" s="23">
        <v>2009.0</v>
      </c>
      <c r="H7720" s="22" t="s">
        <v>7194</v>
      </c>
      <c r="I7720" s="24" t="s">
        <v>35700</v>
      </c>
      <c r="J7720" s="22" t="s">
        <v>55</v>
      </c>
      <c r="K7720" s="22" t="s">
        <v>1240</v>
      </c>
      <c r="L7720" s="36">
        <v>633.0</v>
      </c>
      <c r="M7720" s="36"/>
      <c r="N7720" s="36"/>
      <c r="O7720" s="36"/>
      <c r="P7720" s="37" t="s">
        <v>28763</v>
      </c>
      <c r="Q7720" s="36"/>
      <c r="R7720" s="36"/>
      <c r="S7720" s="36" t="s">
        <v>35560</v>
      </c>
      <c r="T7720" s="54" t="s">
        <v>35701</v>
      </c>
      <c r="U7720" s="38" t="str">
        <f>HYPERLINK("https://www.ncbi.nlm.nih.gov/pubmed/20101331","PubMed")</f>
        <v>PubMed</v>
      </c>
      <c r="V7720" s="30"/>
      <c r="W7720" s="31"/>
      <c r="X7720" s="31"/>
      <c r="Y7720" s="31"/>
      <c r="Z7720" s="32"/>
      <c r="AA7720" s="31"/>
      <c r="AB7720" s="31"/>
      <c r="AC7720" s="9"/>
      <c r="AD7720" s="31"/>
      <c r="AE7720" s="31"/>
      <c r="AF7720" s="33"/>
      <c r="AG7720" s="34"/>
      <c r="AH7720" s="31"/>
      <c r="AI7720" s="35"/>
      <c r="AJ7720" s="35"/>
      <c r="AK7720" s="35"/>
      <c r="AL7720" s="35"/>
    </row>
    <row r="7721">
      <c r="A7721" s="1" t="s">
        <v>2</v>
      </c>
      <c r="B7721" s="19" t="s">
        <v>6113</v>
      </c>
      <c r="C7721" s="158" t="s">
        <v>35475</v>
      </c>
      <c r="D7721" s="47"/>
      <c r="E7721" s="22" t="s">
        <v>35702</v>
      </c>
      <c r="F7721" s="22" t="s">
        <v>5514</v>
      </c>
      <c r="G7721" s="23">
        <v>2009.0</v>
      </c>
      <c r="H7721" s="22" t="s">
        <v>658</v>
      </c>
      <c r="I7721" s="24" t="s">
        <v>35703</v>
      </c>
      <c r="J7721" s="22" t="s">
        <v>55</v>
      </c>
      <c r="K7721" s="22" t="s">
        <v>15630</v>
      </c>
      <c r="L7721" s="36" t="s">
        <v>35704</v>
      </c>
      <c r="M7721" s="36" t="s">
        <v>35705</v>
      </c>
      <c r="N7721" s="36" t="s">
        <v>35706</v>
      </c>
      <c r="O7721" s="36" t="s">
        <v>35707</v>
      </c>
      <c r="P7721" s="37"/>
      <c r="Q7721" s="36" t="s">
        <v>35708</v>
      </c>
      <c r="R7721" s="36" t="s">
        <v>35709</v>
      </c>
      <c r="S7721" s="36" t="s">
        <v>1121</v>
      </c>
      <c r="T7721" s="54" t="s">
        <v>35710</v>
      </c>
      <c r="U7721" s="38" t="str">
        <f>HYPERLINK("https://www.ncbi.nlm.nih.gov/pubmed/19193104","PubMed")</f>
        <v>PubMed</v>
      </c>
      <c r="V7721" s="30"/>
      <c r="W7721" s="31"/>
      <c r="X7721" s="31"/>
      <c r="Y7721" s="31"/>
      <c r="Z7721" s="32"/>
      <c r="AA7721" s="31"/>
      <c r="AB7721" s="31"/>
      <c r="AC7721" s="9"/>
      <c r="AD7721" s="31"/>
      <c r="AE7721" s="31"/>
      <c r="AF7721" s="33"/>
      <c r="AG7721" s="34"/>
      <c r="AH7721" s="31"/>
      <c r="AI7721" s="35"/>
      <c r="AJ7721" s="35"/>
      <c r="AK7721" s="35"/>
      <c r="AL7721" s="35"/>
    </row>
    <row r="7722">
      <c r="A7722" s="1"/>
      <c r="B7722" s="19" t="s">
        <v>6113</v>
      </c>
      <c r="C7722" s="158" t="s">
        <v>35475</v>
      </c>
      <c r="D7722" s="47"/>
      <c r="E7722" s="22" t="s">
        <v>34924</v>
      </c>
      <c r="F7722" s="22" t="s">
        <v>5514</v>
      </c>
      <c r="G7722" s="23">
        <v>2007.0</v>
      </c>
      <c r="H7722" s="22" t="s">
        <v>658</v>
      </c>
      <c r="I7722" s="24" t="s">
        <v>35711</v>
      </c>
      <c r="J7722" s="22" t="s">
        <v>55</v>
      </c>
      <c r="K7722" s="22" t="s">
        <v>294</v>
      </c>
      <c r="L7722" s="36" t="s">
        <v>34927</v>
      </c>
      <c r="M7722" s="36"/>
      <c r="N7722" s="36"/>
      <c r="O7722" s="36" t="s">
        <v>35707</v>
      </c>
      <c r="P7722" s="37"/>
      <c r="Q7722" s="36"/>
      <c r="R7722" s="36"/>
      <c r="S7722" s="36" t="s">
        <v>1121</v>
      </c>
      <c r="T7722" s="54" t="s">
        <v>35712</v>
      </c>
      <c r="U7722" s="38" t="str">
        <f>HYPERLINK("https://www.ncbi.nlm.nih.gov/pubmed/17508840","PubMed")</f>
        <v>PubMed</v>
      </c>
      <c r="V7722" s="30"/>
      <c r="W7722" s="31"/>
      <c r="X7722" s="31"/>
      <c r="Y7722" s="31"/>
      <c r="Z7722" s="32"/>
      <c r="AA7722" s="31"/>
      <c r="AB7722" s="31"/>
      <c r="AC7722" s="9"/>
      <c r="AD7722" s="31"/>
      <c r="AE7722" s="31"/>
      <c r="AF7722" s="33"/>
      <c r="AG7722" s="34"/>
      <c r="AH7722" s="31"/>
      <c r="AI7722" s="35"/>
      <c r="AJ7722" s="35"/>
      <c r="AK7722" s="35"/>
      <c r="AL7722" s="35"/>
    </row>
    <row r="7723">
      <c r="A7723" s="415"/>
      <c r="B7723" s="157" t="s">
        <v>6113</v>
      </c>
      <c r="C7723" s="158" t="s">
        <v>35475</v>
      </c>
      <c r="D7723" s="159"/>
      <c r="E7723" s="23" t="s">
        <v>17005</v>
      </c>
      <c r="F7723" s="23" t="s">
        <v>1034</v>
      </c>
      <c r="G7723" s="23">
        <v>2006.0</v>
      </c>
      <c r="H7723" s="23" t="s">
        <v>309</v>
      </c>
      <c r="I7723" s="243" t="s">
        <v>35713</v>
      </c>
      <c r="J7723" s="23" t="s">
        <v>55</v>
      </c>
      <c r="K7723" s="23"/>
      <c r="L7723" s="36">
        <v>633.0</v>
      </c>
      <c r="M7723" s="36">
        <v>5.0</v>
      </c>
      <c r="N7723" s="36" t="s">
        <v>267</v>
      </c>
      <c r="O7723" s="36"/>
      <c r="P7723" s="37" t="s">
        <v>254</v>
      </c>
      <c r="Q7723" s="36" t="s">
        <v>35714</v>
      </c>
      <c r="R7723" s="36" t="s">
        <v>13402</v>
      </c>
      <c r="S7723" s="36"/>
      <c r="T7723" s="54" t="s">
        <v>35715</v>
      </c>
      <c r="U7723" s="135" t="str">
        <f>HYPERLINK("https://www.ncbi.nlm.nih.gov/pubmed/16751932","PubMed")</f>
        <v>PubMed</v>
      </c>
      <c r="V7723" s="30"/>
      <c r="W7723" s="49"/>
      <c r="X7723" s="49"/>
      <c r="Y7723" s="35"/>
      <c r="Z7723" s="35"/>
      <c r="AA7723" s="35"/>
      <c r="AB7723" s="35"/>
      <c r="AC7723" s="35"/>
      <c r="AD7723" s="35"/>
      <c r="AE7723" s="35"/>
      <c r="AF7723" s="35"/>
      <c r="AG7723" s="35"/>
      <c r="AH7723" s="35"/>
      <c r="AI7723" s="35"/>
      <c r="AJ7723" s="35"/>
      <c r="AK7723" s="35"/>
      <c r="AL7723" s="35"/>
    </row>
    <row r="7724">
      <c r="A7724" s="415"/>
      <c r="B7724" s="157" t="s">
        <v>6113</v>
      </c>
      <c r="C7724" s="158" t="s">
        <v>35475</v>
      </c>
      <c r="D7724" s="159"/>
      <c r="E7724" s="23" t="s">
        <v>35716</v>
      </c>
      <c r="F7724" s="23" t="s">
        <v>41</v>
      </c>
      <c r="G7724" s="23">
        <v>2006.0</v>
      </c>
      <c r="H7724" s="23" t="s">
        <v>658</v>
      </c>
      <c r="I7724" s="243" t="s">
        <v>35717</v>
      </c>
      <c r="J7724" s="23" t="s">
        <v>55</v>
      </c>
      <c r="K7724" s="23"/>
      <c r="L7724" s="36">
        <v>633.0</v>
      </c>
      <c r="M7724" s="36">
        <v>15.0</v>
      </c>
      <c r="N7724" s="36"/>
      <c r="O7724" s="36"/>
      <c r="P7724" s="37" t="s">
        <v>95</v>
      </c>
      <c r="Q7724" s="36" t="s">
        <v>35718</v>
      </c>
      <c r="R7724" s="36">
        <v>17.0</v>
      </c>
      <c r="S7724" s="36"/>
      <c r="T7724" s="54" t="s">
        <v>35719</v>
      </c>
      <c r="U7724" s="135" t="str">
        <f>HYPERLINK("https://www.ncbi.nlm.nih.gov/pubmed/16942427","PubMed")</f>
        <v>PubMed</v>
      </c>
      <c r="V7724" s="30"/>
      <c r="W7724" s="49"/>
      <c r="X7724" s="49"/>
      <c r="Y7724" s="35"/>
      <c r="Z7724" s="35"/>
      <c r="AA7724" s="35"/>
      <c r="AB7724" s="35"/>
      <c r="AC7724" s="35"/>
      <c r="AD7724" s="35"/>
      <c r="AE7724" s="35"/>
      <c r="AF7724" s="35"/>
      <c r="AG7724" s="35"/>
      <c r="AH7724" s="35"/>
      <c r="AI7724" s="35"/>
      <c r="AJ7724" s="35"/>
      <c r="AK7724" s="35"/>
      <c r="AL7724" s="35"/>
    </row>
    <row r="7725">
      <c r="A7725" s="1"/>
      <c r="B7725" s="19" t="s">
        <v>6113</v>
      </c>
      <c r="C7725" s="158" t="s">
        <v>35475</v>
      </c>
      <c r="D7725" s="47"/>
      <c r="E7725" s="22" t="s">
        <v>35305</v>
      </c>
      <c r="F7725" s="22" t="s">
        <v>3511</v>
      </c>
      <c r="G7725" s="23">
        <v>2005.0</v>
      </c>
      <c r="H7725" s="22" t="s">
        <v>658</v>
      </c>
      <c r="I7725" s="24" t="s">
        <v>35720</v>
      </c>
      <c r="J7725" s="23" t="s">
        <v>55</v>
      </c>
      <c r="K7725" s="23" t="s">
        <v>607</v>
      </c>
      <c r="L7725" s="36">
        <v>633.0</v>
      </c>
      <c r="M7725" s="36"/>
      <c r="N7725" s="36"/>
      <c r="O7725" s="36"/>
      <c r="P7725" s="37" t="s">
        <v>1878</v>
      </c>
      <c r="Q7725" s="36"/>
      <c r="R7725" s="36"/>
      <c r="S7725" s="36" t="s">
        <v>35560</v>
      </c>
      <c r="T7725" s="28" t="s">
        <v>35721</v>
      </c>
      <c r="U7725" s="38" t="str">
        <f>HYPERLINK("https://www.ncbi.nlm.nih.gov/pubmed/15910184","PubMed")</f>
        <v>PubMed</v>
      </c>
      <c r="V7725" s="30"/>
      <c r="W7725" s="49"/>
      <c r="X7725" s="49"/>
      <c r="Y7725" s="35"/>
      <c r="Z7725" s="35"/>
      <c r="AA7725" s="35"/>
      <c r="AB7725" s="35"/>
      <c r="AC7725" s="35"/>
      <c r="AD7725" s="35"/>
      <c r="AE7725" s="35"/>
      <c r="AF7725" s="35"/>
      <c r="AG7725" s="35"/>
      <c r="AH7725" s="35"/>
      <c r="AI7725" s="35"/>
      <c r="AJ7725" s="35"/>
      <c r="AK7725" s="35"/>
      <c r="AL7725" s="35"/>
    </row>
    <row r="7726">
      <c r="A7726" s="1"/>
      <c r="B7726" s="19" t="s">
        <v>6113</v>
      </c>
      <c r="C7726" s="158" t="s">
        <v>35475</v>
      </c>
      <c r="D7726" s="47"/>
      <c r="E7726" s="22" t="s">
        <v>5389</v>
      </c>
      <c r="F7726" s="22" t="s">
        <v>3441</v>
      </c>
      <c r="G7726" s="23">
        <v>2004.0</v>
      </c>
      <c r="H7726" s="22" t="s">
        <v>658</v>
      </c>
      <c r="I7726" s="24" t="s">
        <v>35722</v>
      </c>
      <c r="J7726" s="23" t="s">
        <v>35723</v>
      </c>
      <c r="K7726" s="23"/>
      <c r="L7726" s="36">
        <v>632.0</v>
      </c>
      <c r="M7726" s="36">
        <v>16.0</v>
      </c>
      <c r="N7726" s="36"/>
      <c r="O7726" s="36"/>
      <c r="P7726" s="37" t="s">
        <v>254</v>
      </c>
      <c r="Q7726" s="36"/>
      <c r="R7726" s="36">
        <v>250.0</v>
      </c>
      <c r="S7726" s="36">
        <v>4.0</v>
      </c>
      <c r="T7726" s="98" t="s">
        <v>35724</v>
      </c>
      <c r="U7726" s="38" t="str">
        <f>HYPERLINK("https://www.ncbi.nlm.nih.gov/pubmed/15345169","PubMed")</f>
        <v>PubMed</v>
      </c>
      <c r="V7726" s="30"/>
      <c r="W7726" s="49"/>
      <c r="X7726" s="49"/>
      <c r="Y7726" s="35"/>
      <c r="Z7726" s="35"/>
      <c r="AA7726" s="35"/>
      <c r="AB7726" s="35"/>
      <c r="AC7726" s="35"/>
      <c r="AD7726" s="35"/>
      <c r="AE7726" s="35"/>
      <c r="AF7726" s="35"/>
      <c r="AG7726" s="35"/>
      <c r="AH7726" s="35"/>
      <c r="AI7726" s="35"/>
      <c r="AJ7726" s="35"/>
      <c r="AK7726" s="35"/>
      <c r="AL7726" s="35"/>
    </row>
    <row r="7727">
      <c r="A7727" s="1"/>
      <c r="B7727" s="19" t="s">
        <v>6113</v>
      </c>
      <c r="C7727" s="158" t="s">
        <v>35475</v>
      </c>
      <c r="D7727" s="47"/>
      <c r="E7727" s="22" t="s">
        <v>10845</v>
      </c>
      <c r="F7727" s="22" t="s">
        <v>9138</v>
      </c>
      <c r="G7727" s="23">
        <v>2003.0</v>
      </c>
      <c r="H7727" s="22" t="s">
        <v>53</v>
      </c>
      <c r="I7727" s="24" t="s">
        <v>35725</v>
      </c>
      <c r="J7727" s="22" t="s">
        <v>55</v>
      </c>
      <c r="K7727" s="22" t="s">
        <v>607</v>
      </c>
      <c r="L7727" s="36">
        <v>904.0</v>
      </c>
      <c r="M7727" s="36"/>
      <c r="N7727" s="36"/>
      <c r="O7727" s="36"/>
      <c r="P7727" s="37" t="s">
        <v>6258</v>
      </c>
      <c r="Q7727" s="36"/>
      <c r="R7727" s="36"/>
      <c r="S7727" s="36">
        <v>15.0</v>
      </c>
      <c r="T7727" s="54" t="s">
        <v>35726</v>
      </c>
      <c r="U7727" s="38" t="str">
        <f>HYPERLINK("https://www.ncbi.nlm.nih.gov/pubmed/14677162","PubMed")</f>
        <v>PubMed</v>
      </c>
      <c r="V7727" s="30"/>
      <c r="W7727" s="31"/>
      <c r="X7727" s="31"/>
      <c r="Y7727" s="31"/>
      <c r="Z7727" s="32"/>
      <c r="AA7727" s="31"/>
      <c r="AB7727" s="31"/>
      <c r="AC7727" s="9"/>
      <c r="AD7727" s="31"/>
      <c r="AE7727" s="31"/>
      <c r="AF7727" s="33"/>
      <c r="AG7727" s="34"/>
      <c r="AH7727" s="31"/>
      <c r="AI7727" s="35"/>
      <c r="AJ7727" s="35"/>
      <c r="AK7727" s="35"/>
      <c r="AL7727" s="35"/>
    </row>
    <row r="7728">
      <c r="A7728" s="1"/>
      <c r="B7728" s="19" t="s">
        <v>6113</v>
      </c>
      <c r="C7728" s="158" t="s">
        <v>35475</v>
      </c>
      <c r="D7728" s="47"/>
      <c r="E7728" s="22" t="s">
        <v>5606</v>
      </c>
      <c r="F7728" s="22" t="s">
        <v>5514</v>
      </c>
      <c r="G7728" s="23">
        <v>2003.0</v>
      </c>
      <c r="H7728" s="22" t="s">
        <v>1289</v>
      </c>
      <c r="I7728" s="24" t="s">
        <v>35727</v>
      </c>
      <c r="J7728" s="22" t="s">
        <v>55</v>
      </c>
      <c r="K7728" s="22" t="s">
        <v>35728</v>
      </c>
      <c r="L7728" s="36" t="s">
        <v>35729</v>
      </c>
      <c r="M7728" s="36">
        <v>272.0</v>
      </c>
      <c r="N7728" s="36"/>
      <c r="O7728" s="36"/>
      <c r="P7728" s="37"/>
      <c r="Q7728" s="36"/>
      <c r="R7728" s="36"/>
      <c r="S7728" s="36"/>
      <c r="T7728" s="54" t="s">
        <v>35730</v>
      </c>
      <c r="U7728" s="38" t="str">
        <f>HYPERLINK("https://www.ncbi.nlm.nih.gov/pubmed/14651792","PubMed")</f>
        <v>PubMed</v>
      </c>
      <c r="V7728" s="30"/>
      <c r="W7728" s="31"/>
      <c r="X7728" s="31"/>
      <c r="Y7728" s="31"/>
      <c r="Z7728" s="32"/>
      <c r="AA7728" s="31"/>
      <c r="AB7728" s="31"/>
      <c r="AC7728" s="9"/>
      <c r="AD7728" s="31"/>
      <c r="AE7728" s="31"/>
      <c r="AF7728" s="33"/>
      <c r="AG7728" s="34"/>
      <c r="AH7728" s="31"/>
      <c r="AI7728" s="35"/>
      <c r="AJ7728" s="35"/>
      <c r="AK7728" s="35"/>
      <c r="AL7728" s="35"/>
    </row>
    <row r="7729">
      <c r="A7729" s="1"/>
      <c r="B7729" s="19" t="s">
        <v>6113</v>
      </c>
      <c r="C7729" s="158" t="s">
        <v>35475</v>
      </c>
      <c r="D7729" s="47"/>
      <c r="E7729" s="421" t="s">
        <v>14343</v>
      </c>
      <c r="F7729" s="22" t="s">
        <v>1173</v>
      </c>
      <c r="G7729" s="23">
        <v>2002.0</v>
      </c>
      <c r="H7729" s="22" t="s">
        <v>1289</v>
      </c>
      <c r="I7729" s="24" t="s">
        <v>35731</v>
      </c>
      <c r="J7729" s="22" t="s">
        <v>44</v>
      </c>
      <c r="K7729" s="22" t="s">
        <v>35732</v>
      </c>
      <c r="L7729" s="36">
        <v>670.0</v>
      </c>
      <c r="M7729" s="36"/>
      <c r="N7729" s="36"/>
      <c r="O7729" s="36"/>
      <c r="P7729" s="37"/>
      <c r="Q7729" s="36"/>
      <c r="R7729" s="36"/>
      <c r="S7729" s="36"/>
      <c r="T7729" s="28" t="s">
        <v>35733</v>
      </c>
      <c r="U7729" s="38" t="str">
        <f>HYPERLINK("https://www.ncbi.nlm.nih.gov/pubmed/12737646","PubMed")</f>
        <v>PubMed</v>
      </c>
      <c r="V7729" s="50"/>
      <c r="W7729" s="49"/>
      <c r="X7729" s="49"/>
      <c r="Y7729" s="35"/>
      <c r="Z7729" s="35"/>
      <c r="AA7729" s="35"/>
      <c r="AB7729" s="35"/>
      <c r="AC7729" s="35"/>
      <c r="AD7729" s="35"/>
      <c r="AE7729" s="35"/>
      <c r="AF7729" s="35"/>
      <c r="AG7729" s="35"/>
      <c r="AH7729" s="35"/>
      <c r="AI7729" s="35"/>
      <c r="AJ7729" s="35"/>
      <c r="AK7729" s="35"/>
      <c r="AL7729" s="35"/>
    </row>
    <row r="7730">
      <c r="A7730" s="1"/>
      <c r="B7730" s="19" t="s">
        <v>6113</v>
      </c>
      <c r="C7730" s="158" t="s">
        <v>35475</v>
      </c>
      <c r="D7730" s="47"/>
      <c r="E7730" s="421" t="s">
        <v>12157</v>
      </c>
      <c r="F7730" s="22" t="s">
        <v>5227</v>
      </c>
      <c r="G7730" s="23">
        <v>2001.0</v>
      </c>
      <c r="H7730" s="22" t="s">
        <v>53</v>
      </c>
      <c r="I7730" s="24" t="s">
        <v>35734</v>
      </c>
      <c r="J7730" s="22" t="s">
        <v>44</v>
      </c>
      <c r="K7730" s="22"/>
      <c r="L7730" s="36">
        <v>830.0</v>
      </c>
      <c r="M7730" s="36"/>
      <c r="N7730" s="36" t="s">
        <v>23512</v>
      </c>
      <c r="O7730" s="36"/>
      <c r="P7730" s="37"/>
      <c r="Q7730" s="36"/>
      <c r="R7730" s="36"/>
      <c r="S7730" s="36"/>
      <c r="T7730" s="28" t="s">
        <v>35735</v>
      </c>
      <c r="U7730" s="38" t="str">
        <f>HYPERLINK("https://www.ncbi.nlm.nih.gov/pubmed/11295756","PubMed")</f>
        <v>PubMed</v>
      </c>
      <c r="V7730" s="50"/>
      <c r="W7730" s="49"/>
      <c r="X7730" s="49"/>
      <c r="Y7730" s="35"/>
      <c r="Z7730" s="35"/>
      <c r="AA7730" s="35"/>
      <c r="AB7730" s="35"/>
      <c r="AC7730" s="35"/>
      <c r="AD7730" s="35"/>
      <c r="AE7730" s="35"/>
      <c r="AF7730" s="35"/>
      <c r="AG7730" s="35"/>
      <c r="AH7730" s="35"/>
      <c r="AI7730" s="35"/>
      <c r="AJ7730" s="35"/>
      <c r="AK7730" s="35"/>
      <c r="AL7730" s="35"/>
    </row>
    <row r="7731">
      <c r="A7731" s="1"/>
      <c r="B7731" s="19" t="s">
        <v>6113</v>
      </c>
      <c r="C7731" s="158" t="s">
        <v>35736</v>
      </c>
      <c r="D7731" s="47"/>
      <c r="E7731" s="22" t="s">
        <v>8964</v>
      </c>
      <c r="F7731" s="22" t="s">
        <v>12163</v>
      </c>
      <c r="G7731" s="23">
        <v>2001.0</v>
      </c>
      <c r="H7731" s="22" t="s">
        <v>3292</v>
      </c>
      <c r="I7731" s="24" t="s">
        <v>35737</v>
      </c>
      <c r="J7731" s="23" t="s">
        <v>209</v>
      </c>
      <c r="K7731" s="23" t="s">
        <v>35738</v>
      </c>
      <c r="L7731" s="36"/>
      <c r="M7731" s="36"/>
      <c r="N7731" s="36" t="s">
        <v>2325</v>
      </c>
      <c r="O7731" s="36"/>
      <c r="P7731" s="37"/>
      <c r="Q7731" s="36"/>
      <c r="R7731" s="36"/>
      <c r="S7731" s="36"/>
      <c r="T7731" s="28" t="s">
        <v>35739</v>
      </c>
      <c r="U7731" s="38" t="str">
        <f>HYPERLINK("https://www.ncbi.nlm.nih.gov/pubmed/11722751","PubMed")</f>
        <v>PubMed</v>
      </c>
      <c r="V7731" s="50"/>
      <c r="W7731" s="49"/>
      <c r="X7731" s="49"/>
      <c r="Y7731" s="35"/>
      <c r="Z7731" s="35"/>
      <c r="AA7731" s="35"/>
      <c r="AB7731" s="35"/>
      <c r="AC7731" s="35"/>
      <c r="AD7731" s="35"/>
      <c r="AE7731" s="35"/>
      <c r="AF7731" s="35"/>
      <c r="AG7731" s="35"/>
      <c r="AH7731" s="35"/>
      <c r="AI7731" s="35"/>
      <c r="AJ7731" s="35"/>
      <c r="AK7731" s="35"/>
      <c r="AL7731" s="35"/>
    </row>
    <row r="7732">
      <c r="A7732" s="1"/>
      <c r="B7732" s="19" t="s">
        <v>6113</v>
      </c>
      <c r="C7732" s="158" t="s">
        <v>35475</v>
      </c>
      <c r="D7732" s="47"/>
      <c r="E7732" s="421" t="s">
        <v>6425</v>
      </c>
      <c r="F7732" s="22" t="s">
        <v>1603</v>
      </c>
      <c r="G7732" s="23">
        <v>2001.0</v>
      </c>
      <c r="H7732" s="22" t="s">
        <v>35740</v>
      </c>
      <c r="I7732" s="24" t="s">
        <v>35741</v>
      </c>
      <c r="J7732" s="22" t="s">
        <v>125</v>
      </c>
      <c r="K7732" s="22"/>
      <c r="L7732" s="167" t="s">
        <v>35742</v>
      </c>
      <c r="M7732" s="44"/>
      <c r="N7732" s="44"/>
      <c r="O7732" s="44"/>
      <c r="P7732" s="44"/>
      <c r="Q7732" s="44"/>
      <c r="R7732" s="44"/>
      <c r="S7732" s="44"/>
      <c r="T7732" s="45"/>
      <c r="U7732" s="38" t="str">
        <f>HYPERLINK("https://link.springer.com/article/10.1007/BF02949466","Springer")</f>
        <v>Springer</v>
      </c>
      <c r="V7732" s="50"/>
      <c r="W7732" s="49"/>
      <c r="X7732" s="49"/>
      <c r="Y7732" s="35"/>
      <c r="Z7732" s="35"/>
      <c r="AA7732" s="35"/>
      <c r="AB7732" s="35"/>
      <c r="AC7732" s="35"/>
      <c r="AD7732" s="35"/>
      <c r="AE7732" s="35"/>
      <c r="AF7732" s="35"/>
      <c r="AG7732" s="35"/>
      <c r="AH7732" s="35"/>
      <c r="AI7732" s="35"/>
      <c r="AJ7732" s="35"/>
      <c r="AK7732" s="35"/>
      <c r="AL7732" s="35"/>
    </row>
    <row r="7733">
      <c r="A7733" s="1"/>
      <c r="B7733" s="19" t="s">
        <v>6113</v>
      </c>
      <c r="C7733" s="158" t="s">
        <v>35475</v>
      </c>
      <c r="D7733" s="47"/>
      <c r="E7733" s="22" t="s">
        <v>23345</v>
      </c>
      <c r="F7733" s="22" t="s">
        <v>9138</v>
      </c>
      <c r="G7733" s="23">
        <v>2001.0</v>
      </c>
      <c r="H7733" s="22" t="s">
        <v>5130</v>
      </c>
      <c r="I7733" s="24" t="s">
        <v>35743</v>
      </c>
      <c r="J7733" s="22" t="s">
        <v>55</v>
      </c>
      <c r="K7733" s="22"/>
      <c r="L7733" s="36">
        <v>633.0</v>
      </c>
      <c r="M7733" s="36"/>
      <c r="N7733" s="36"/>
      <c r="O7733" s="36"/>
      <c r="P7733" s="37" t="s">
        <v>2555</v>
      </c>
      <c r="Q7733" s="36"/>
      <c r="R7733" s="36"/>
      <c r="S7733" s="36">
        <v>15.0</v>
      </c>
      <c r="T7733" s="54" t="s">
        <v>35744</v>
      </c>
      <c r="U7733" s="29" t="s">
        <v>61</v>
      </c>
      <c r="V7733" s="30"/>
      <c r="W7733" s="31"/>
      <c r="X7733" s="31"/>
      <c r="Y7733" s="31"/>
      <c r="Z7733" s="32"/>
      <c r="AA7733" s="31"/>
      <c r="AB7733" s="31"/>
      <c r="AC7733" s="9"/>
      <c r="AD7733" s="31"/>
      <c r="AE7733" s="31"/>
      <c r="AF7733" s="33"/>
      <c r="AG7733" s="34"/>
      <c r="AH7733" s="31"/>
      <c r="AI7733" s="35"/>
      <c r="AJ7733" s="35"/>
      <c r="AK7733" s="35"/>
      <c r="AL7733" s="35"/>
    </row>
    <row r="7734">
      <c r="A7734" s="1"/>
      <c r="B7734" s="19" t="s">
        <v>6113</v>
      </c>
      <c r="C7734" s="158" t="s">
        <v>35475</v>
      </c>
      <c r="D7734" s="47"/>
      <c r="E7734" s="22" t="s">
        <v>35745</v>
      </c>
      <c r="F7734" s="22" t="s">
        <v>2492</v>
      </c>
      <c r="G7734" s="23">
        <v>1999.0</v>
      </c>
      <c r="H7734" s="22" t="s">
        <v>5211</v>
      </c>
      <c r="I7734" s="24" t="s">
        <v>35746</v>
      </c>
      <c r="J7734" s="22" t="s">
        <v>125</v>
      </c>
      <c r="K7734" s="22"/>
      <c r="L7734" s="43" t="s">
        <v>35747</v>
      </c>
      <c r="M7734" s="44"/>
      <c r="N7734" s="44"/>
      <c r="O7734" s="44"/>
      <c r="P7734" s="44"/>
      <c r="Q7734" s="44"/>
      <c r="R7734" s="44"/>
      <c r="S7734" s="44"/>
      <c r="T7734" s="45"/>
      <c r="U7734" s="38" t="str">
        <f>HYPERLINK("https://www.ncbi.nlm.nih.gov/pubmed/11475291","PubMed")</f>
        <v>PubMed</v>
      </c>
      <c r="V7734" s="30"/>
      <c r="W7734" s="31"/>
      <c r="X7734" s="31"/>
      <c r="Y7734" s="31"/>
      <c r="Z7734" s="32"/>
      <c r="AA7734" s="31"/>
      <c r="AB7734" s="31"/>
      <c r="AC7734" s="9"/>
      <c r="AD7734" s="31"/>
      <c r="AE7734" s="31"/>
      <c r="AF7734" s="33"/>
      <c r="AG7734" s="34"/>
      <c r="AH7734" s="31"/>
      <c r="AI7734" s="35"/>
      <c r="AJ7734" s="35"/>
      <c r="AK7734" s="35"/>
      <c r="AL7734" s="35"/>
    </row>
    <row r="7735">
      <c r="A7735" s="1"/>
      <c r="B7735" s="19" t="s">
        <v>6113</v>
      </c>
      <c r="C7735" s="158" t="s">
        <v>35475</v>
      </c>
      <c r="D7735" s="47"/>
      <c r="E7735" s="22" t="s">
        <v>6425</v>
      </c>
      <c r="F7735" s="22" t="s">
        <v>1603</v>
      </c>
      <c r="G7735" s="23">
        <v>1998.0</v>
      </c>
      <c r="H7735" s="22" t="s">
        <v>17879</v>
      </c>
      <c r="I7735" s="24" t="s">
        <v>35748</v>
      </c>
      <c r="J7735" s="22" t="s">
        <v>6568</v>
      </c>
      <c r="K7735" s="22" t="s">
        <v>35749</v>
      </c>
      <c r="L7735" s="36">
        <v>633.0</v>
      </c>
      <c r="M7735" s="36">
        <v>30.0</v>
      </c>
      <c r="N7735" s="36"/>
      <c r="O7735" s="36"/>
      <c r="P7735" s="37" t="s">
        <v>480</v>
      </c>
      <c r="Q7735" s="36" t="s">
        <v>4755</v>
      </c>
      <c r="R7735" s="36">
        <v>3000.0</v>
      </c>
      <c r="S7735" s="36">
        <v>1.0</v>
      </c>
      <c r="T7735" s="54" t="s">
        <v>35750</v>
      </c>
      <c r="U7735" s="38" t="str">
        <f>HYPERLINK("https://www.ncbi.nlm.nih.gov/pubmed/9571346","PubMed")</f>
        <v>PubMed</v>
      </c>
      <c r="V7735" s="30"/>
      <c r="W7735" s="31"/>
      <c r="X7735" s="31"/>
      <c r="Y7735" s="31"/>
      <c r="Z7735" s="32"/>
      <c r="AA7735" s="31"/>
      <c r="AB7735" s="31"/>
      <c r="AC7735" s="9"/>
      <c r="AD7735" s="31"/>
      <c r="AE7735" s="31"/>
      <c r="AF7735" s="33"/>
      <c r="AG7735" s="34"/>
      <c r="AH7735" s="31"/>
      <c r="AI7735" s="35"/>
      <c r="AJ7735" s="35"/>
      <c r="AK7735" s="35"/>
      <c r="AL7735" s="35"/>
    </row>
    <row r="7736">
      <c r="A7736" s="1"/>
      <c r="B7736" s="19" t="s">
        <v>6113</v>
      </c>
      <c r="C7736" s="158" t="s">
        <v>35475</v>
      </c>
      <c r="D7736" s="47"/>
      <c r="E7736" s="22" t="s">
        <v>5226</v>
      </c>
      <c r="F7736" s="22" t="s">
        <v>5227</v>
      </c>
      <c r="G7736" s="23">
        <v>1997.0</v>
      </c>
      <c r="H7736" s="22" t="s">
        <v>53</v>
      </c>
      <c r="I7736" s="24" t="s">
        <v>35751</v>
      </c>
      <c r="J7736" s="22" t="s">
        <v>44</v>
      </c>
      <c r="K7736" s="22"/>
      <c r="L7736" s="36">
        <v>630.0</v>
      </c>
      <c r="M7736" s="36"/>
      <c r="N7736" s="36" t="s">
        <v>211</v>
      </c>
      <c r="O7736" s="36"/>
      <c r="P7736" s="37"/>
      <c r="Q7736" s="36"/>
      <c r="R7736" s="36"/>
      <c r="S7736" s="36"/>
      <c r="T7736" s="54" t="s">
        <v>35752</v>
      </c>
      <c r="U7736" s="29" t="s">
        <v>61</v>
      </c>
      <c r="V7736" s="30"/>
      <c r="W7736" s="31"/>
      <c r="X7736" s="31"/>
      <c r="Y7736" s="31"/>
      <c r="Z7736" s="32"/>
      <c r="AA7736" s="31"/>
      <c r="AB7736" s="31"/>
      <c r="AC7736" s="9"/>
      <c r="AD7736" s="31"/>
      <c r="AE7736" s="31"/>
      <c r="AF7736" s="33"/>
      <c r="AG7736" s="34"/>
      <c r="AH7736" s="31"/>
      <c r="AI7736" s="35"/>
      <c r="AJ7736" s="35"/>
      <c r="AK7736" s="35"/>
      <c r="AL7736" s="35"/>
    </row>
    <row r="7737">
      <c r="A7737" s="146" t="s">
        <v>38</v>
      </c>
      <c r="B7737" s="19" t="s">
        <v>6113</v>
      </c>
      <c r="C7737" s="158" t="s">
        <v>35753</v>
      </c>
      <c r="D7737" s="159"/>
      <c r="E7737" s="23" t="s">
        <v>35754</v>
      </c>
      <c r="F7737" s="23" t="s">
        <v>22029</v>
      </c>
      <c r="G7737" s="23">
        <v>2018.0</v>
      </c>
      <c r="H7737" s="23" t="s">
        <v>7308</v>
      </c>
      <c r="I7737" s="243" t="s">
        <v>35755</v>
      </c>
      <c r="J7737" s="22" t="s">
        <v>35756</v>
      </c>
      <c r="K7737" s="23"/>
      <c r="L7737" s="52" t="s">
        <v>35757</v>
      </c>
      <c r="M7737" s="52"/>
      <c r="N7737" s="52"/>
      <c r="O7737" s="52"/>
      <c r="P7737" s="189"/>
      <c r="Q7737" s="52"/>
      <c r="R7737" s="52"/>
      <c r="S7737" s="52" t="s">
        <v>4387</v>
      </c>
      <c r="T7737" s="54" t="s">
        <v>35758</v>
      </c>
      <c r="U7737" s="135" t="str">
        <f>HYPERLINK("https://www.ncbi.nlm.nih.gov/pubmed/29862855","PubMed")</f>
        <v>PubMed</v>
      </c>
      <c r="V7737" s="30"/>
      <c r="W7737" s="49"/>
      <c r="X7737" s="49"/>
      <c r="Y7737" s="35"/>
      <c r="Z7737" s="35"/>
      <c r="AA7737" s="35"/>
      <c r="AB7737" s="35"/>
      <c r="AC7737" s="35"/>
      <c r="AD7737" s="35"/>
      <c r="AE7737" s="35"/>
      <c r="AF7737" s="35"/>
      <c r="AG7737" s="35"/>
      <c r="AH7737" s="35"/>
      <c r="AI7737" s="35"/>
      <c r="AJ7737" s="35"/>
      <c r="AK7737" s="35"/>
      <c r="AL7737" s="35"/>
    </row>
    <row r="7738">
      <c r="A7738" s="40"/>
      <c r="B7738" s="75" t="s">
        <v>6113</v>
      </c>
      <c r="C7738" s="76" t="s">
        <v>35759</v>
      </c>
      <c r="D7738" s="159"/>
      <c r="E7738" s="23" t="s">
        <v>35760</v>
      </c>
      <c r="F7738" s="23" t="s">
        <v>490</v>
      </c>
      <c r="G7738" s="23">
        <v>2022.0</v>
      </c>
      <c r="H7738" s="23" t="s">
        <v>34764</v>
      </c>
      <c r="I7738" s="243" t="s">
        <v>35761</v>
      </c>
      <c r="J7738" s="23" t="s">
        <v>55</v>
      </c>
      <c r="K7738" s="23" t="s">
        <v>35762</v>
      </c>
      <c r="L7738" s="208">
        <v>660.0</v>
      </c>
      <c r="M7738" s="208">
        <v>100.0</v>
      </c>
      <c r="N7738" s="208"/>
      <c r="O7738" s="208">
        <v>1.0</v>
      </c>
      <c r="P7738" s="208"/>
      <c r="Q7738" s="208"/>
      <c r="R7738" s="208">
        <v>10.0</v>
      </c>
      <c r="S7738" s="208" t="s">
        <v>12137</v>
      </c>
      <c r="T7738" s="54" t="s">
        <v>35763</v>
      </c>
      <c r="U7738" s="135" t="s">
        <v>61</v>
      </c>
      <c r="V7738" s="30"/>
      <c r="W7738" s="49"/>
      <c r="X7738" s="49"/>
      <c r="Y7738" s="35"/>
      <c r="Z7738" s="35"/>
      <c r="AA7738" s="35"/>
      <c r="AB7738" s="35"/>
      <c r="AC7738" s="35"/>
      <c r="AD7738" s="35"/>
      <c r="AE7738" s="35"/>
      <c r="AF7738" s="35"/>
      <c r="AG7738" s="35"/>
      <c r="AH7738" s="35"/>
      <c r="AI7738" s="35"/>
      <c r="AJ7738" s="35"/>
      <c r="AK7738" s="35"/>
      <c r="AL7738" s="35"/>
    </row>
    <row r="7739">
      <c r="A7739" s="40"/>
      <c r="B7739" s="75" t="s">
        <v>6113</v>
      </c>
      <c r="C7739" s="76" t="s">
        <v>35759</v>
      </c>
      <c r="D7739" s="159"/>
      <c r="E7739" s="23" t="s">
        <v>683</v>
      </c>
      <c r="F7739" s="23" t="s">
        <v>490</v>
      </c>
      <c r="G7739" s="23">
        <v>2021.0</v>
      </c>
      <c r="H7739" s="23" t="s">
        <v>35358</v>
      </c>
      <c r="I7739" s="243" t="s">
        <v>35764</v>
      </c>
      <c r="J7739" s="23" t="s">
        <v>55</v>
      </c>
      <c r="K7739" s="23" t="s">
        <v>35762</v>
      </c>
      <c r="L7739" s="94">
        <v>660.0</v>
      </c>
      <c r="M7739" s="94"/>
      <c r="N7739" s="94"/>
      <c r="O7739" s="94">
        <v>1.0</v>
      </c>
      <c r="P7739" s="94"/>
      <c r="Q7739" s="94"/>
      <c r="R7739" s="94"/>
      <c r="S7739" s="94"/>
      <c r="T7739" s="54" t="s">
        <v>35765</v>
      </c>
      <c r="U7739" s="138" t="s">
        <v>61</v>
      </c>
      <c r="V7739" s="30"/>
      <c r="W7739" s="49"/>
      <c r="X7739" s="49"/>
      <c r="Y7739" s="35"/>
      <c r="Z7739" s="35"/>
      <c r="AA7739" s="35"/>
      <c r="AB7739" s="35"/>
      <c r="AC7739" s="35"/>
      <c r="AD7739" s="35"/>
      <c r="AE7739" s="35"/>
      <c r="AF7739" s="35"/>
      <c r="AG7739" s="35"/>
      <c r="AH7739" s="35"/>
      <c r="AI7739" s="35"/>
      <c r="AJ7739" s="35"/>
      <c r="AK7739" s="35"/>
      <c r="AL7739" s="35"/>
    </row>
    <row r="7740">
      <c r="A7740" s="40"/>
      <c r="B7740" s="75" t="s">
        <v>6113</v>
      </c>
      <c r="C7740" s="76" t="s">
        <v>35766</v>
      </c>
      <c r="D7740" s="159"/>
      <c r="E7740" s="23" t="s">
        <v>35767</v>
      </c>
      <c r="F7740" s="23" t="s">
        <v>966</v>
      </c>
      <c r="G7740" s="23">
        <v>2022.0</v>
      </c>
      <c r="H7740" s="23" t="s">
        <v>42</v>
      </c>
      <c r="I7740" s="243" t="s">
        <v>35768</v>
      </c>
      <c r="J7740" s="23" t="s">
        <v>55</v>
      </c>
      <c r="K7740" s="23" t="s">
        <v>35769</v>
      </c>
      <c r="L7740" s="94"/>
      <c r="M7740" s="94"/>
      <c r="N7740" s="94"/>
      <c r="O7740" s="94"/>
      <c r="P7740" s="94"/>
      <c r="Q7740" s="94"/>
      <c r="R7740" s="94"/>
      <c r="S7740" s="94"/>
      <c r="T7740" s="54" t="s">
        <v>35770</v>
      </c>
      <c r="U7740" s="138" t="s">
        <v>61</v>
      </c>
      <c r="V7740" s="30"/>
      <c r="W7740" s="49"/>
      <c r="X7740" s="49"/>
      <c r="Y7740" s="35"/>
      <c r="Z7740" s="35"/>
      <c r="AA7740" s="35"/>
      <c r="AB7740" s="35"/>
      <c r="AC7740" s="35"/>
      <c r="AD7740" s="35"/>
      <c r="AE7740" s="35"/>
      <c r="AF7740" s="35"/>
      <c r="AG7740" s="35"/>
      <c r="AH7740" s="35"/>
      <c r="AI7740" s="35"/>
      <c r="AJ7740" s="35"/>
      <c r="AK7740" s="35"/>
      <c r="AL7740" s="35"/>
    </row>
    <row r="7741">
      <c r="A7741" s="40"/>
      <c r="B7741" s="75" t="s">
        <v>6113</v>
      </c>
      <c r="C7741" s="158" t="s">
        <v>35771</v>
      </c>
      <c r="D7741" s="159"/>
      <c r="E7741" s="23" t="s">
        <v>1080</v>
      </c>
      <c r="F7741" s="23" t="s">
        <v>1905</v>
      </c>
      <c r="G7741" s="23">
        <v>2024.0</v>
      </c>
      <c r="H7741" s="23" t="s">
        <v>348</v>
      </c>
      <c r="I7741" s="243" t="s">
        <v>35772</v>
      </c>
      <c r="J7741" s="23" t="s">
        <v>55</v>
      </c>
      <c r="K7741" s="23"/>
      <c r="L7741" s="467">
        <v>808.0</v>
      </c>
      <c r="M7741" s="468"/>
      <c r="N7741" s="229"/>
      <c r="O7741" s="468"/>
      <c r="P7741" s="469"/>
      <c r="Q7741" s="468"/>
      <c r="R7741" s="94"/>
      <c r="S7741" s="94"/>
      <c r="T7741" s="54" t="s">
        <v>35773</v>
      </c>
      <c r="U7741" s="135" t="s">
        <v>61</v>
      </c>
      <c r="V7741" s="30" t="s">
        <v>35774</v>
      </c>
      <c r="W7741" s="49"/>
      <c r="X7741" s="49"/>
      <c r="Y7741" s="35"/>
      <c r="Z7741" s="35"/>
      <c r="AA7741" s="35"/>
      <c r="AB7741" s="35"/>
      <c r="AC7741" s="35"/>
      <c r="AD7741" s="35"/>
      <c r="AE7741" s="35"/>
      <c r="AF7741" s="35"/>
      <c r="AG7741" s="35"/>
      <c r="AH7741" s="35"/>
      <c r="AI7741" s="35"/>
      <c r="AJ7741" s="35"/>
      <c r="AK7741" s="35"/>
      <c r="AL7741" s="35"/>
    </row>
    <row r="7742">
      <c r="A7742" s="40"/>
      <c r="B7742" s="75" t="s">
        <v>6113</v>
      </c>
      <c r="C7742" s="158" t="s">
        <v>35771</v>
      </c>
      <c r="D7742" s="159"/>
      <c r="E7742" s="23" t="s">
        <v>35775</v>
      </c>
      <c r="F7742" s="23" t="s">
        <v>530</v>
      </c>
      <c r="G7742" s="23">
        <v>2024.0</v>
      </c>
      <c r="H7742" s="23" t="s">
        <v>35776</v>
      </c>
      <c r="I7742" s="243" t="s">
        <v>35777</v>
      </c>
      <c r="J7742" s="23" t="s">
        <v>55</v>
      </c>
      <c r="K7742" s="23"/>
      <c r="L7742" s="468">
        <v>660.0</v>
      </c>
      <c r="M7742" s="468">
        <v>30.0</v>
      </c>
      <c r="N7742" s="229"/>
      <c r="O7742" s="468" t="s">
        <v>35778</v>
      </c>
      <c r="P7742" s="469" t="s">
        <v>33048</v>
      </c>
      <c r="Q7742" s="468" t="s">
        <v>12485</v>
      </c>
      <c r="R7742" s="94"/>
      <c r="S7742" s="94" t="s">
        <v>35779</v>
      </c>
      <c r="T7742" s="54" t="s">
        <v>35780</v>
      </c>
      <c r="U7742" s="135" t="s">
        <v>61</v>
      </c>
      <c r="V7742" s="30"/>
      <c r="W7742" s="49"/>
      <c r="X7742" s="49"/>
      <c r="Y7742" s="35"/>
      <c r="Z7742" s="35"/>
      <c r="AA7742" s="35"/>
      <c r="AB7742" s="35"/>
      <c r="AC7742" s="35"/>
      <c r="AD7742" s="35"/>
      <c r="AE7742" s="35"/>
      <c r="AF7742" s="35"/>
      <c r="AG7742" s="35"/>
      <c r="AH7742" s="35"/>
      <c r="AI7742" s="35"/>
      <c r="AJ7742" s="35"/>
      <c r="AK7742" s="35"/>
      <c r="AL7742" s="35"/>
    </row>
    <row r="7743">
      <c r="A7743" s="40"/>
      <c r="B7743" s="75" t="s">
        <v>6113</v>
      </c>
      <c r="C7743" s="158" t="s">
        <v>35771</v>
      </c>
      <c r="D7743" s="159"/>
      <c r="E7743" s="23" t="s">
        <v>626</v>
      </c>
      <c r="F7743" s="23" t="s">
        <v>7062</v>
      </c>
      <c r="G7743" s="23">
        <v>2023.0</v>
      </c>
      <c r="H7743" s="23" t="s">
        <v>1709</v>
      </c>
      <c r="I7743" s="243" t="s">
        <v>35781</v>
      </c>
      <c r="J7743" s="23" t="s">
        <v>55</v>
      </c>
      <c r="K7743" s="23"/>
      <c r="L7743" s="94">
        <v>808.0</v>
      </c>
      <c r="M7743" s="94"/>
      <c r="N7743" s="94"/>
      <c r="O7743" s="94" t="s">
        <v>35782</v>
      </c>
      <c r="P7743" s="94"/>
      <c r="Q7743" s="94" t="s">
        <v>35783</v>
      </c>
      <c r="R7743" s="94" t="s">
        <v>35784</v>
      </c>
      <c r="S7743" s="94"/>
      <c r="T7743" s="54" t="s">
        <v>35785</v>
      </c>
      <c r="U7743" s="135" t="s">
        <v>61</v>
      </c>
      <c r="V7743" s="30"/>
      <c r="W7743" s="49"/>
      <c r="X7743" s="49"/>
      <c r="Y7743" s="35"/>
      <c r="Z7743" s="35"/>
      <c r="AA7743" s="35"/>
      <c r="AB7743" s="35"/>
      <c r="AC7743" s="35"/>
      <c r="AD7743" s="35"/>
      <c r="AE7743" s="35"/>
      <c r="AF7743" s="35"/>
      <c r="AG7743" s="35"/>
      <c r="AH7743" s="35"/>
      <c r="AI7743" s="35"/>
      <c r="AJ7743" s="35"/>
      <c r="AK7743" s="35"/>
      <c r="AL7743" s="35"/>
    </row>
    <row r="7744">
      <c r="A7744" s="40" t="s">
        <v>181</v>
      </c>
      <c r="B7744" s="75" t="s">
        <v>6113</v>
      </c>
      <c r="C7744" s="158" t="s">
        <v>35771</v>
      </c>
      <c r="D7744" s="159"/>
      <c r="E7744" s="23" t="s">
        <v>35786</v>
      </c>
      <c r="F7744" s="23" t="s">
        <v>35787</v>
      </c>
      <c r="G7744" s="23">
        <v>2023.0</v>
      </c>
      <c r="H7744" s="23" t="s">
        <v>21909</v>
      </c>
      <c r="I7744" s="243" t="s">
        <v>35788</v>
      </c>
      <c r="J7744" s="23" t="s">
        <v>55</v>
      </c>
      <c r="K7744" s="23" t="s">
        <v>19911</v>
      </c>
      <c r="L7744" s="94"/>
      <c r="M7744" s="94"/>
      <c r="N7744" s="94" t="s">
        <v>35789</v>
      </c>
      <c r="O7744" s="94"/>
      <c r="P7744" s="94"/>
      <c r="Q7744" s="94"/>
      <c r="R7744" s="94">
        <v>1800.0</v>
      </c>
      <c r="S7744" s="94" t="s">
        <v>3295</v>
      </c>
      <c r="T7744" s="103" t="s">
        <v>35790</v>
      </c>
      <c r="U7744" s="135" t="s">
        <v>61</v>
      </c>
      <c r="V7744" s="30" t="s">
        <v>35791</v>
      </c>
      <c r="W7744" s="49"/>
      <c r="X7744" s="49"/>
      <c r="Y7744" s="35"/>
      <c r="Z7744" s="35"/>
      <c r="AA7744" s="35"/>
      <c r="AB7744" s="35"/>
      <c r="AC7744" s="35"/>
      <c r="AD7744" s="35"/>
      <c r="AE7744" s="35"/>
      <c r="AF7744" s="35"/>
      <c r="AG7744" s="35"/>
      <c r="AH7744" s="35"/>
      <c r="AI7744" s="35"/>
      <c r="AJ7744" s="35"/>
      <c r="AK7744" s="35"/>
      <c r="AL7744" s="35"/>
    </row>
    <row r="7745">
      <c r="A7745" s="40"/>
      <c r="B7745" s="75" t="s">
        <v>6113</v>
      </c>
      <c r="C7745" s="158" t="s">
        <v>35771</v>
      </c>
      <c r="D7745" s="159"/>
      <c r="E7745" s="23" t="s">
        <v>388</v>
      </c>
      <c r="F7745" s="23" t="s">
        <v>21765</v>
      </c>
      <c r="G7745" s="23">
        <v>2023.0</v>
      </c>
      <c r="H7745" s="23" t="s">
        <v>91</v>
      </c>
      <c r="I7745" s="243" t="s">
        <v>35792</v>
      </c>
      <c r="J7745" s="23" t="s">
        <v>55</v>
      </c>
      <c r="K7745" s="23"/>
      <c r="L7745" s="94">
        <v>670.0</v>
      </c>
      <c r="M7745" s="94">
        <v>30.0</v>
      </c>
      <c r="N7745" s="94"/>
      <c r="O7745" s="94"/>
      <c r="P7745" s="94" t="s">
        <v>35793</v>
      </c>
      <c r="Q7745" s="94"/>
      <c r="R7745" s="94"/>
      <c r="S7745" s="94"/>
      <c r="T7745" s="102" t="s">
        <v>35794</v>
      </c>
      <c r="U7745" s="135" t="s">
        <v>61</v>
      </c>
      <c r="V7745" s="30"/>
      <c r="W7745" s="49"/>
      <c r="X7745" s="49"/>
      <c r="Y7745" s="35"/>
      <c r="Z7745" s="35"/>
      <c r="AA7745" s="35"/>
      <c r="AB7745" s="35"/>
      <c r="AC7745" s="35"/>
      <c r="AD7745" s="35"/>
      <c r="AE7745" s="35"/>
      <c r="AF7745" s="35"/>
      <c r="AG7745" s="35"/>
      <c r="AH7745" s="35"/>
      <c r="AI7745" s="35"/>
      <c r="AJ7745" s="35"/>
      <c r="AK7745" s="35"/>
      <c r="AL7745" s="35"/>
    </row>
    <row r="7746">
      <c r="A7746" s="40"/>
      <c r="B7746" s="75" t="s">
        <v>6113</v>
      </c>
      <c r="C7746" s="158" t="s">
        <v>35771</v>
      </c>
      <c r="D7746" s="159"/>
      <c r="E7746" s="23" t="s">
        <v>35795</v>
      </c>
      <c r="F7746" s="23" t="s">
        <v>530</v>
      </c>
      <c r="G7746" s="23">
        <v>2023.0</v>
      </c>
      <c r="H7746" s="23" t="s">
        <v>91</v>
      </c>
      <c r="I7746" s="243" t="s">
        <v>35796</v>
      </c>
      <c r="J7746" s="23" t="s">
        <v>55</v>
      </c>
      <c r="K7746" s="23" t="s">
        <v>157</v>
      </c>
      <c r="L7746" s="94">
        <v>630.0</v>
      </c>
      <c r="M7746" s="94" t="s">
        <v>58</v>
      </c>
      <c r="N7746" s="94" t="s">
        <v>431</v>
      </c>
      <c r="O7746" s="94">
        <v>28.0</v>
      </c>
      <c r="P7746" s="94">
        <v>8.0</v>
      </c>
      <c r="Q7746" s="94" t="s">
        <v>35797</v>
      </c>
      <c r="R7746" s="94">
        <v>20.0</v>
      </c>
      <c r="S7746" s="94" t="s">
        <v>35798</v>
      </c>
      <c r="T7746" s="54" t="s">
        <v>35799</v>
      </c>
      <c r="U7746" s="135" t="s">
        <v>61</v>
      </c>
      <c r="V7746" s="30"/>
      <c r="W7746" s="49"/>
      <c r="X7746" s="49"/>
      <c r="Y7746" s="35"/>
      <c r="Z7746" s="35"/>
      <c r="AA7746" s="35"/>
      <c r="AB7746" s="35"/>
      <c r="AC7746" s="35"/>
      <c r="AD7746" s="35"/>
      <c r="AE7746" s="35"/>
      <c r="AF7746" s="35"/>
      <c r="AG7746" s="35"/>
      <c r="AH7746" s="35"/>
      <c r="AI7746" s="35"/>
      <c r="AJ7746" s="35"/>
      <c r="AK7746" s="35"/>
      <c r="AL7746" s="35"/>
    </row>
    <row r="7747">
      <c r="A7747" s="40"/>
      <c r="B7747" s="75" t="s">
        <v>6113</v>
      </c>
      <c r="C7747" s="381" t="s">
        <v>35771</v>
      </c>
      <c r="D7747" s="159"/>
      <c r="E7747" s="23" t="s">
        <v>34996</v>
      </c>
      <c r="F7747" s="23" t="s">
        <v>34997</v>
      </c>
      <c r="G7747" s="23">
        <v>2022.0</v>
      </c>
      <c r="H7747" s="23" t="s">
        <v>18786</v>
      </c>
      <c r="I7747" s="243" t="s">
        <v>35800</v>
      </c>
      <c r="J7747" s="23" t="s">
        <v>55</v>
      </c>
      <c r="K7747" s="23"/>
      <c r="L7747" s="94">
        <v>660.0</v>
      </c>
      <c r="M7747" s="94">
        <v>50.0</v>
      </c>
      <c r="N7747" s="94"/>
      <c r="O7747" s="94"/>
      <c r="P7747" s="94">
        <v>1.0</v>
      </c>
      <c r="Q7747" s="94"/>
      <c r="R7747" s="94">
        <v>60.0</v>
      </c>
      <c r="S7747" s="94"/>
      <c r="T7747" s="54" t="s">
        <v>35801</v>
      </c>
      <c r="U7747" s="138" t="s">
        <v>61</v>
      </c>
      <c r="V7747" s="30"/>
      <c r="W7747" s="49"/>
      <c r="X7747" s="49"/>
      <c r="Y7747" s="35"/>
      <c r="Z7747" s="35"/>
      <c r="AA7747" s="35"/>
      <c r="AB7747" s="35"/>
      <c r="AC7747" s="35"/>
      <c r="AD7747" s="35"/>
      <c r="AE7747" s="35"/>
      <c r="AF7747" s="35"/>
      <c r="AG7747" s="35"/>
      <c r="AH7747" s="35"/>
      <c r="AI7747" s="35"/>
      <c r="AJ7747" s="35"/>
      <c r="AK7747" s="35"/>
      <c r="AL7747" s="35"/>
    </row>
    <row r="7748">
      <c r="A7748" s="40"/>
      <c r="B7748" s="75" t="s">
        <v>6113</v>
      </c>
      <c r="C7748" s="158" t="s">
        <v>35771</v>
      </c>
      <c r="D7748" s="159"/>
      <c r="E7748" s="23" t="s">
        <v>35489</v>
      </c>
      <c r="F7748" s="23" t="s">
        <v>5059</v>
      </c>
      <c r="G7748" s="23">
        <v>2022.0</v>
      </c>
      <c r="H7748" s="23" t="s">
        <v>8896</v>
      </c>
      <c r="I7748" s="243" t="s">
        <v>35802</v>
      </c>
      <c r="J7748" s="23" t="s">
        <v>55</v>
      </c>
      <c r="K7748" s="23"/>
      <c r="L7748" s="94">
        <v>660.0</v>
      </c>
      <c r="M7748" s="94"/>
      <c r="N7748" s="94"/>
      <c r="O7748" s="94" t="s">
        <v>14726</v>
      </c>
      <c r="P7748" s="94">
        <v>15.0</v>
      </c>
      <c r="Q7748" s="94"/>
      <c r="R7748" s="94" t="s">
        <v>35803</v>
      </c>
      <c r="S7748" s="94">
        <v>7.0</v>
      </c>
      <c r="T7748" s="54" t="s">
        <v>35804</v>
      </c>
      <c r="U7748" s="138" t="s">
        <v>61</v>
      </c>
      <c r="V7748" s="30"/>
      <c r="W7748" s="49"/>
      <c r="X7748" s="49"/>
      <c r="Y7748" s="35"/>
      <c r="Z7748" s="35"/>
      <c r="AA7748" s="35"/>
      <c r="AB7748" s="35"/>
      <c r="AC7748" s="35"/>
      <c r="AD7748" s="35"/>
      <c r="AE7748" s="35"/>
      <c r="AF7748" s="35"/>
      <c r="AG7748" s="35"/>
      <c r="AH7748" s="35"/>
      <c r="AI7748" s="35"/>
      <c r="AJ7748" s="35"/>
      <c r="AK7748" s="35"/>
      <c r="AL7748" s="35"/>
    </row>
    <row r="7749">
      <c r="A7749" s="40"/>
      <c r="B7749" s="75" t="s">
        <v>6113</v>
      </c>
      <c r="C7749" s="158" t="s">
        <v>35771</v>
      </c>
      <c r="D7749" s="159"/>
      <c r="E7749" s="23" t="s">
        <v>2668</v>
      </c>
      <c r="F7749" s="23" t="s">
        <v>6118</v>
      </c>
      <c r="G7749" s="23">
        <v>2021.0</v>
      </c>
      <c r="H7749" s="23" t="s">
        <v>7149</v>
      </c>
      <c r="I7749" s="243" t="s">
        <v>35805</v>
      </c>
      <c r="J7749" s="23" t="s">
        <v>44</v>
      </c>
      <c r="K7749" s="23" t="s">
        <v>34271</v>
      </c>
      <c r="L7749" s="94">
        <v>830.0</v>
      </c>
      <c r="M7749" s="94"/>
      <c r="N7749" s="94"/>
      <c r="O7749" s="94"/>
      <c r="P7749" s="94" t="s">
        <v>35806</v>
      </c>
      <c r="Q7749" s="94"/>
      <c r="R7749" s="94"/>
      <c r="S7749" s="94"/>
      <c r="T7749" s="102" t="s">
        <v>35807</v>
      </c>
      <c r="U7749" s="138" t="s">
        <v>61</v>
      </c>
      <c r="V7749" s="30"/>
      <c r="W7749" s="49"/>
      <c r="X7749" s="49"/>
      <c r="Y7749" s="35"/>
      <c r="Z7749" s="35"/>
      <c r="AA7749" s="35"/>
      <c r="AB7749" s="35"/>
      <c r="AC7749" s="35"/>
      <c r="AD7749" s="35"/>
      <c r="AE7749" s="35"/>
      <c r="AF7749" s="35"/>
      <c r="AG7749" s="35"/>
      <c r="AH7749" s="35"/>
      <c r="AI7749" s="35"/>
      <c r="AJ7749" s="35"/>
      <c r="AK7749" s="35"/>
      <c r="AL7749" s="35"/>
    </row>
    <row r="7750">
      <c r="A7750" s="1"/>
      <c r="B7750" s="75" t="s">
        <v>6113</v>
      </c>
      <c r="C7750" s="158" t="s">
        <v>35771</v>
      </c>
      <c r="D7750" s="159"/>
      <c r="E7750" s="23" t="s">
        <v>2195</v>
      </c>
      <c r="F7750" s="23" t="s">
        <v>224</v>
      </c>
      <c r="G7750" s="23">
        <v>2021.0</v>
      </c>
      <c r="H7750" s="23" t="s">
        <v>91</v>
      </c>
      <c r="I7750" s="243" t="s">
        <v>35808</v>
      </c>
      <c r="J7750" s="23" t="s">
        <v>44</v>
      </c>
      <c r="K7750" s="23" t="s">
        <v>35809</v>
      </c>
      <c r="L7750" s="94">
        <v>655.0</v>
      </c>
      <c r="M7750" s="458"/>
      <c r="N7750" s="94"/>
      <c r="O7750" s="94"/>
      <c r="P7750" s="94" t="s">
        <v>3448</v>
      </c>
      <c r="Q7750" s="94"/>
      <c r="R7750" s="94"/>
      <c r="S7750" s="94"/>
      <c r="T7750" s="54" t="s">
        <v>35810</v>
      </c>
      <c r="U7750" s="138" t="s">
        <v>61</v>
      </c>
      <c r="V7750" s="30"/>
      <c r="W7750" s="49"/>
      <c r="X7750" s="49"/>
      <c r="Y7750" s="35"/>
      <c r="Z7750" s="35"/>
      <c r="AA7750" s="35"/>
      <c r="AB7750" s="35"/>
      <c r="AC7750" s="35"/>
      <c r="AD7750" s="35"/>
      <c r="AE7750" s="35"/>
      <c r="AF7750" s="35"/>
      <c r="AG7750" s="35"/>
      <c r="AH7750" s="35"/>
      <c r="AI7750" s="35"/>
      <c r="AJ7750" s="35"/>
      <c r="AK7750" s="35"/>
      <c r="AL7750" s="35"/>
    </row>
    <row r="7751">
      <c r="A7751" s="40"/>
      <c r="B7751" s="75" t="s">
        <v>6113</v>
      </c>
      <c r="C7751" s="158" t="s">
        <v>35771</v>
      </c>
      <c r="D7751" s="159"/>
      <c r="E7751" s="23" t="s">
        <v>8559</v>
      </c>
      <c r="F7751" s="23" t="s">
        <v>35811</v>
      </c>
      <c r="G7751" s="23">
        <v>2021.0</v>
      </c>
      <c r="H7751" s="23" t="s">
        <v>35812</v>
      </c>
      <c r="I7751" s="243" t="s">
        <v>35813</v>
      </c>
      <c r="J7751" s="23" t="s">
        <v>44</v>
      </c>
      <c r="K7751" s="23" t="s">
        <v>35814</v>
      </c>
      <c r="L7751" s="94"/>
      <c r="M7751" s="94"/>
      <c r="N7751" s="94"/>
      <c r="O7751" s="94"/>
      <c r="P7751" s="94"/>
      <c r="Q7751" s="94"/>
      <c r="R7751" s="94"/>
      <c r="S7751" s="94"/>
      <c r="T7751" s="102" t="s">
        <v>35815</v>
      </c>
      <c r="U7751" s="138" t="s">
        <v>61</v>
      </c>
      <c r="V7751" s="30"/>
      <c r="W7751" s="49"/>
      <c r="X7751" s="49"/>
      <c r="Y7751" s="35"/>
      <c r="Z7751" s="35"/>
      <c r="AA7751" s="35"/>
      <c r="AB7751" s="35"/>
      <c r="AC7751" s="35"/>
      <c r="AD7751" s="35"/>
      <c r="AE7751" s="35"/>
      <c r="AF7751" s="35"/>
      <c r="AG7751" s="35"/>
      <c r="AH7751" s="35"/>
      <c r="AI7751" s="35"/>
      <c r="AJ7751" s="35"/>
      <c r="AK7751" s="35"/>
      <c r="AL7751" s="35"/>
    </row>
    <row r="7752">
      <c r="A7752" s="40"/>
      <c r="B7752" s="75" t="s">
        <v>6113</v>
      </c>
      <c r="C7752" s="158" t="s">
        <v>35771</v>
      </c>
      <c r="D7752" s="159"/>
      <c r="E7752" s="23" t="s">
        <v>673</v>
      </c>
      <c r="F7752" s="23" t="s">
        <v>323</v>
      </c>
      <c r="G7752" s="23">
        <v>2021.0</v>
      </c>
      <c r="H7752" s="23" t="s">
        <v>91</v>
      </c>
      <c r="I7752" s="243" t="s">
        <v>35816</v>
      </c>
      <c r="J7752" s="23" t="s">
        <v>55</v>
      </c>
      <c r="K7752" s="23" t="s">
        <v>35817</v>
      </c>
      <c r="L7752" s="94">
        <v>890.0</v>
      </c>
      <c r="M7752" s="94"/>
      <c r="N7752" s="94"/>
      <c r="O7752" s="94"/>
      <c r="P7752" s="94"/>
      <c r="Q7752" s="94"/>
      <c r="R7752" s="94"/>
      <c r="S7752" s="94"/>
      <c r="T7752" s="54" t="s">
        <v>35818</v>
      </c>
      <c r="U7752" s="138" t="s">
        <v>61</v>
      </c>
      <c r="V7752" s="30"/>
      <c r="W7752" s="49"/>
      <c r="X7752" s="49"/>
      <c r="Y7752" s="35"/>
      <c r="Z7752" s="35"/>
      <c r="AA7752" s="35"/>
      <c r="AB7752" s="35"/>
      <c r="AC7752" s="35"/>
      <c r="AD7752" s="35"/>
      <c r="AE7752" s="35"/>
      <c r="AF7752" s="35"/>
      <c r="AG7752" s="35"/>
      <c r="AH7752" s="35"/>
      <c r="AI7752" s="35"/>
      <c r="AJ7752" s="35"/>
      <c r="AK7752" s="35"/>
      <c r="AL7752" s="35"/>
    </row>
    <row r="7753">
      <c r="A7753" s="1"/>
      <c r="B7753" s="19" t="s">
        <v>6113</v>
      </c>
      <c r="C7753" s="158" t="s">
        <v>35771</v>
      </c>
      <c r="D7753" s="47"/>
      <c r="E7753" s="22" t="s">
        <v>35819</v>
      </c>
      <c r="F7753" s="23" t="s">
        <v>1203</v>
      </c>
      <c r="G7753" s="23">
        <v>2021.0</v>
      </c>
      <c r="H7753" s="22" t="s">
        <v>12447</v>
      </c>
      <c r="I7753" s="24" t="s">
        <v>35820</v>
      </c>
      <c r="J7753" s="23" t="s">
        <v>55</v>
      </c>
      <c r="K7753" s="23" t="s">
        <v>34271</v>
      </c>
      <c r="L7753" s="36">
        <v>660.0</v>
      </c>
      <c r="M7753" s="36">
        <v>30.0</v>
      </c>
      <c r="N7753" s="36"/>
      <c r="O7753" s="36"/>
      <c r="P7753" s="37" t="s">
        <v>287</v>
      </c>
      <c r="Q7753" s="36"/>
      <c r="R7753" s="36"/>
      <c r="S7753" s="36"/>
      <c r="T7753" s="28" t="s">
        <v>35821</v>
      </c>
      <c r="U7753" s="29" t="s">
        <v>61</v>
      </c>
      <c r="V7753" s="50"/>
      <c r="W7753" s="49"/>
      <c r="X7753" s="49"/>
      <c r="Y7753" s="35"/>
      <c r="Z7753" s="35"/>
      <c r="AA7753" s="35"/>
      <c r="AB7753" s="35"/>
      <c r="AC7753" s="35"/>
      <c r="AD7753" s="35"/>
      <c r="AE7753" s="35"/>
      <c r="AF7753" s="35"/>
      <c r="AG7753" s="35"/>
      <c r="AH7753" s="35"/>
      <c r="AI7753" s="35"/>
      <c r="AJ7753" s="35"/>
      <c r="AK7753" s="35"/>
      <c r="AL7753" s="35"/>
    </row>
    <row r="7754">
      <c r="A7754" s="40"/>
      <c r="B7754" s="75" t="s">
        <v>6113</v>
      </c>
      <c r="C7754" s="76" t="s">
        <v>35771</v>
      </c>
      <c r="D7754" s="159"/>
      <c r="E7754" s="23" t="s">
        <v>4278</v>
      </c>
      <c r="F7754" s="23" t="s">
        <v>4908</v>
      </c>
      <c r="G7754" s="23">
        <v>2021.0</v>
      </c>
      <c r="H7754" s="23" t="s">
        <v>35822</v>
      </c>
      <c r="I7754" s="243" t="s">
        <v>35823</v>
      </c>
      <c r="J7754" s="23" t="s">
        <v>44</v>
      </c>
      <c r="K7754" s="23" t="s">
        <v>35824</v>
      </c>
      <c r="L7754" s="94" t="s">
        <v>35825</v>
      </c>
      <c r="M7754" s="94"/>
      <c r="N7754" s="94"/>
      <c r="O7754" s="94"/>
      <c r="P7754" s="94"/>
      <c r="Q7754" s="94"/>
      <c r="R7754" s="94"/>
      <c r="S7754" s="94"/>
      <c r="T7754" s="54" t="s">
        <v>35826</v>
      </c>
      <c r="U7754" s="138" t="s">
        <v>61</v>
      </c>
      <c r="V7754" s="30"/>
      <c r="W7754" s="49"/>
      <c r="X7754" s="49"/>
      <c r="Y7754" s="35"/>
      <c r="Z7754" s="35"/>
      <c r="AA7754" s="35"/>
      <c r="AB7754" s="35"/>
      <c r="AC7754" s="35"/>
      <c r="AD7754" s="35"/>
      <c r="AE7754" s="35"/>
      <c r="AF7754" s="35"/>
      <c r="AG7754" s="35"/>
      <c r="AH7754" s="35"/>
      <c r="AI7754" s="35"/>
      <c r="AJ7754" s="35"/>
      <c r="AK7754" s="35"/>
      <c r="AL7754" s="35"/>
    </row>
    <row r="7755">
      <c r="A7755" s="40"/>
      <c r="B7755" s="75" t="s">
        <v>6113</v>
      </c>
      <c r="C7755" s="76" t="s">
        <v>35771</v>
      </c>
      <c r="D7755" s="159"/>
      <c r="E7755" s="23" t="s">
        <v>24118</v>
      </c>
      <c r="F7755" s="23" t="s">
        <v>323</v>
      </c>
      <c r="G7755" s="23">
        <v>2021.0</v>
      </c>
      <c r="H7755" s="23" t="s">
        <v>147</v>
      </c>
      <c r="I7755" s="243" t="s">
        <v>35827</v>
      </c>
      <c r="J7755" s="23" t="s">
        <v>55</v>
      </c>
      <c r="K7755" s="23" t="s">
        <v>35824</v>
      </c>
      <c r="L7755" s="94">
        <v>890.0</v>
      </c>
      <c r="M7755" s="94"/>
      <c r="N7755" s="94"/>
      <c r="O7755" s="94"/>
      <c r="P7755" s="94" t="s">
        <v>267</v>
      </c>
      <c r="Q7755" s="94"/>
      <c r="R7755" s="94"/>
      <c r="S7755" s="94"/>
      <c r="T7755" s="54" t="s">
        <v>35828</v>
      </c>
      <c r="U7755" s="138" t="s">
        <v>61</v>
      </c>
      <c r="V7755" s="30"/>
      <c r="W7755" s="49"/>
      <c r="X7755" s="49"/>
      <c r="Y7755" s="35"/>
      <c r="Z7755" s="35"/>
      <c r="AA7755" s="35"/>
      <c r="AB7755" s="35"/>
      <c r="AC7755" s="35"/>
      <c r="AD7755" s="35"/>
      <c r="AE7755" s="35"/>
      <c r="AF7755" s="35"/>
      <c r="AG7755" s="35"/>
      <c r="AH7755" s="35"/>
      <c r="AI7755" s="35"/>
      <c r="AJ7755" s="35"/>
      <c r="AK7755" s="35"/>
      <c r="AL7755" s="35"/>
    </row>
    <row r="7756">
      <c r="A7756" s="40"/>
      <c r="B7756" s="75" t="s">
        <v>6113</v>
      </c>
      <c r="C7756" s="76" t="s">
        <v>35771</v>
      </c>
      <c r="D7756" s="159"/>
      <c r="E7756" s="23" t="s">
        <v>35829</v>
      </c>
      <c r="F7756" s="23" t="s">
        <v>14931</v>
      </c>
      <c r="G7756" s="23">
        <v>2021.0</v>
      </c>
      <c r="H7756" s="23" t="s">
        <v>91</v>
      </c>
      <c r="I7756" s="243" t="s">
        <v>35830</v>
      </c>
      <c r="J7756" s="23" t="s">
        <v>44</v>
      </c>
      <c r="K7756" s="23" t="s">
        <v>35831</v>
      </c>
      <c r="L7756" s="94" t="s">
        <v>943</v>
      </c>
      <c r="M7756" s="94"/>
      <c r="N7756" s="94"/>
      <c r="O7756" s="94"/>
      <c r="P7756" s="94"/>
      <c r="Q7756" s="94"/>
      <c r="R7756" s="94"/>
      <c r="S7756" s="94"/>
      <c r="T7756" s="54" t="s">
        <v>35832</v>
      </c>
      <c r="U7756" s="138" t="s">
        <v>61</v>
      </c>
      <c r="V7756" s="30"/>
      <c r="W7756" s="49"/>
      <c r="X7756" s="49"/>
      <c r="Y7756" s="35"/>
      <c r="Z7756" s="35"/>
      <c r="AA7756" s="35"/>
      <c r="AB7756" s="35"/>
      <c r="AC7756" s="35"/>
      <c r="AD7756" s="35"/>
      <c r="AE7756" s="35"/>
      <c r="AF7756" s="35"/>
      <c r="AG7756" s="35"/>
      <c r="AH7756" s="35"/>
      <c r="AI7756" s="35"/>
      <c r="AJ7756" s="35"/>
      <c r="AK7756" s="35"/>
      <c r="AL7756" s="35"/>
    </row>
    <row r="7757">
      <c r="A7757" s="40"/>
      <c r="B7757" s="75" t="s">
        <v>6113</v>
      </c>
      <c r="C7757" s="76" t="s">
        <v>35771</v>
      </c>
      <c r="D7757" s="159"/>
      <c r="E7757" s="23" t="s">
        <v>35833</v>
      </c>
      <c r="F7757" s="23" t="s">
        <v>3511</v>
      </c>
      <c r="G7757" s="23">
        <v>2020.0</v>
      </c>
      <c r="H7757" s="23" t="s">
        <v>91</v>
      </c>
      <c r="I7757" s="243" t="s">
        <v>35834</v>
      </c>
      <c r="J7757" s="23" t="s">
        <v>44</v>
      </c>
      <c r="K7757" s="23" t="s">
        <v>35824</v>
      </c>
      <c r="L7757" s="94">
        <v>633.0</v>
      </c>
      <c r="M7757" s="94"/>
      <c r="N7757" s="94"/>
      <c r="O7757" s="94"/>
      <c r="P7757" s="94">
        <v>2.0</v>
      </c>
      <c r="Q7757" s="94"/>
      <c r="R7757" s="94"/>
      <c r="S7757" s="94"/>
      <c r="T7757" s="54" t="s">
        <v>35835</v>
      </c>
      <c r="U7757" s="138" t="s">
        <v>61</v>
      </c>
      <c r="V7757" s="30"/>
      <c r="W7757" s="49"/>
      <c r="X7757" s="49"/>
      <c r="Y7757" s="35"/>
      <c r="Z7757" s="35"/>
      <c r="AA7757" s="35"/>
      <c r="AB7757" s="35"/>
      <c r="AC7757" s="35"/>
      <c r="AD7757" s="35"/>
      <c r="AE7757" s="35"/>
      <c r="AF7757" s="35"/>
      <c r="AG7757" s="35"/>
      <c r="AH7757" s="35"/>
      <c r="AI7757" s="35"/>
      <c r="AJ7757" s="35"/>
      <c r="AK7757" s="35"/>
      <c r="AL7757" s="35"/>
    </row>
    <row r="7758">
      <c r="A7758" s="40"/>
      <c r="B7758" s="75" t="s">
        <v>6113</v>
      </c>
      <c r="C7758" s="158" t="s">
        <v>35771</v>
      </c>
      <c r="D7758" s="159"/>
      <c r="E7758" s="23" t="s">
        <v>16812</v>
      </c>
      <c r="F7758" s="23" t="s">
        <v>41</v>
      </c>
      <c r="G7758" s="23">
        <v>2020.0</v>
      </c>
      <c r="H7758" s="23" t="s">
        <v>91</v>
      </c>
      <c r="I7758" s="243" t="s">
        <v>35836</v>
      </c>
      <c r="J7758" s="23" t="s">
        <v>55</v>
      </c>
      <c r="K7758" s="23" t="s">
        <v>35837</v>
      </c>
      <c r="L7758" s="94">
        <v>660.0</v>
      </c>
      <c r="M7758" s="94">
        <v>50.0</v>
      </c>
      <c r="N7758" s="458">
        <v>44013.0</v>
      </c>
      <c r="O7758" s="94"/>
      <c r="P7758" s="94"/>
      <c r="Q7758" s="94"/>
      <c r="R7758" s="94"/>
      <c r="S7758" s="94"/>
      <c r="T7758" s="54" t="s">
        <v>35838</v>
      </c>
      <c r="U7758" s="138" t="s">
        <v>61</v>
      </c>
      <c r="V7758" s="30"/>
      <c r="W7758" s="49"/>
      <c r="X7758" s="49"/>
      <c r="Y7758" s="35"/>
      <c r="Z7758" s="35"/>
      <c r="AA7758" s="35"/>
      <c r="AB7758" s="35"/>
      <c r="AC7758" s="35"/>
      <c r="AD7758" s="35"/>
      <c r="AE7758" s="35"/>
      <c r="AF7758" s="35"/>
      <c r="AG7758" s="35"/>
      <c r="AH7758" s="35"/>
      <c r="AI7758" s="35"/>
      <c r="AJ7758" s="35"/>
      <c r="AK7758" s="35"/>
      <c r="AL7758" s="35"/>
    </row>
    <row r="7759">
      <c r="A7759" s="40"/>
      <c r="B7759" s="75" t="s">
        <v>6113</v>
      </c>
      <c r="C7759" s="158" t="s">
        <v>35771</v>
      </c>
      <c r="D7759" s="159"/>
      <c r="E7759" s="23" t="s">
        <v>35839</v>
      </c>
      <c r="F7759" s="23" t="s">
        <v>1576</v>
      </c>
      <c r="G7759" s="23">
        <v>2020.0</v>
      </c>
      <c r="H7759" s="23" t="s">
        <v>2181</v>
      </c>
      <c r="I7759" s="243" t="s">
        <v>35840</v>
      </c>
      <c r="J7759" s="23" t="s">
        <v>44</v>
      </c>
      <c r="K7759" s="23" t="s">
        <v>34271</v>
      </c>
      <c r="L7759" s="94">
        <v>660.0</v>
      </c>
      <c r="M7759" s="94">
        <v>20.0</v>
      </c>
      <c r="N7759" s="94" t="s">
        <v>5132</v>
      </c>
      <c r="O7759" s="94" t="s">
        <v>1656</v>
      </c>
      <c r="P7759" s="94">
        <v>5.0</v>
      </c>
      <c r="Q7759" s="94"/>
      <c r="R7759" s="94">
        <v>7.0</v>
      </c>
      <c r="S7759" s="94"/>
      <c r="T7759" s="54" t="s">
        <v>35841</v>
      </c>
      <c r="U7759" s="138" t="s">
        <v>61</v>
      </c>
      <c r="V7759" s="30"/>
      <c r="W7759" s="49"/>
      <c r="X7759" s="49"/>
      <c r="Y7759" s="35"/>
      <c r="Z7759" s="35"/>
      <c r="AA7759" s="35"/>
      <c r="AB7759" s="35"/>
      <c r="AC7759" s="35"/>
      <c r="AD7759" s="35"/>
      <c r="AE7759" s="35"/>
      <c r="AF7759" s="35"/>
      <c r="AG7759" s="35"/>
      <c r="AH7759" s="35"/>
      <c r="AI7759" s="35"/>
      <c r="AJ7759" s="35"/>
      <c r="AK7759" s="35"/>
      <c r="AL7759" s="35"/>
    </row>
    <row r="7760">
      <c r="A7760" s="40"/>
      <c r="B7760" s="75" t="s">
        <v>6113</v>
      </c>
      <c r="C7760" s="158" t="s">
        <v>35771</v>
      </c>
      <c r="D7760" s="159"/>
      <c r="E7760" s="23" t="s">
        <v>35842</v>
      </c>
      <c r="F7760" s="23" t="s">
        <v>35843</v>
      </c>
      <c r="G7760" s="23">
        <v>2020.0</v>
      </c>
      <c r="H7760" s="23" t="s">
        <v>35844</v>
      </c>
      <c r="I7760" s="243" t="s">
        <v>35845</v>
      </c>
      <c r="J7760" s="23" t="s">
        <v>35846</v>
      </c>
      <c r="K7760" s="23" t="s">
        <v>34271</v>
      </c>
      <c r="L7760" s="94">
        <v>905.0</v>
      </c>
      <c r="M7760" s="94"/>
      <c r="N7760" s="94"/>
      <c r="O7760" s="94"/>
      <c r="P7760" s="94"/>
      <c r="Q7760" s="94"/>
      <c r="R7760" s="94"/>
      <c r="S7760" s="94"/>
      <c r="T7760" s="103" t="s">
        <v>35847</v>
      </c>
      <c r="U7760" s="138" t="s">
        <v>61</v>
      </c>
      <c r="V7760" s="30"/>
      <c r="W7760" s="49"/>
      <c r="X7760" s="49"/>
      <c r="Y7760" s="35"/>
      <c r="Z7760" s="35"/>
      <c r="AA7760" s="35"/>
      <c r="AB7760" s="35"/>
      <c r="AC7760" s="35"/>
      <c r="AD7760" s="35"/>
      <c r="AE7760" s="35"/>
      <c r="AF7760" s="35"/>
      <c r="AG7760" s="35"/>
      <c r="AH7760" s="35"/>
      <c r="AI7760" s="35"/>
      <c r="AJ7760" s="35"/>
      <c r="AK7760" s="35"/>
      <c r="AL7760" s="35"/>
    </row>
    <row r="7761">
      <c r="A7761" s="40"/>
      <c r="B7761" s="75" t="s">
        <v>6113</v>
      </c>
      <c r="C7761" s="158" t="s">
        <v>35771</v>
      </c>
      <c r="D7761" s="159"/>
      <c r="E7761" s="23" t="s">
        <v>35848</v>
      </c>
      <c r="F7761" s="23" t="s">
        <v>5059</v>
      </c>
      <c r="G7761" s="23">
        <v>2020.0</v>
      </c>
      <c r="H7761" s="23" t="s">
        <v>35849</v>
      </c>
      <c r="I7761" s="243" t="s">
        <v>35850</v>
      </c>
      <c r="J7761" s="23" t="s">
        <v>55</v>
      </c>
      <c r="K7761" s="23" t="s">
        <v>35851</v>
      </c>
      <c r="L7761" s="94">
        <v>904.0</v>
      </c>
      <c r="M7761" s="94"/>
      <c r="N7761" s="94"/>
      <c r="O7761" s="94"/>
      <c r="P7761" s="94">
        <v>5.0</v>
      </c>
      <c r="Q7761" s="94"/>
      <c r="R7761" s="94"/>
      <c r="S7761" s="94"/>
      <c r="T7761" s="54" t="s">
        <v>35852</v>
      </c>
      <c r="U7761" s="138" t="s">
        <v>61</v>
      </c>
      <c r="V7761" s="30"/>
      <c r="W7761" s="49"/>
      <c r="X7761" s="49"/>
      <c r="Y7761" s="35"/>
      <c r="Z7761" s="35"/>
      <c r="AA7761" s="35"/>
      <c r="AB7761" s="35"/>
      <c r="AC7761" s="35"/>
      <c r="AD7761" s="35"/>
      <c r="AE7761" s="35"/>
      <c r="AF7761" s="35"/>
      <c r="AG7761" s="35"/>
      <c r="AH7761" s="35"/>
      <c r="AI7761" s="35"/>
      <c r="AJ7761" s="35"/>
      <c r="AK7761" s="35"/>
      <c r="AL7761" s="35"/>
    </row>
    <row r="7762">
      <c r="A7762" s="40"/>
      <c r="B7762" s="75" t="s">
        <v>6113</v>
      </c>
      <c r="C7762" s="158" t="s">
        <v>35771</v>
      </c>
      <c r="D7762" s="159"/>
      <c r="E7762" s="23" t="s">
        <v>22989</v>
      </c>
      <c r="F7762" s="23" t="s">
        <v>41</v>
      </c>
      <c r="G7762" s="23">
        <v>2020.0</v>
      </c>
      <c r="H7762" s="23" t="s">
        <v>207</v>
      </c>
      <c r="I7762" s="243" t="s">
        <v>35853</v>
      </c>
      <c r="J7762" s="23" t="s">
        <v>55</v>
      </c>
      <c r="K7762" s="23" t="s">
        <v>34271</v>
      </c>
      <c r="L7762" s="94">
        <v>660.0</v>
      </c>
      <c r="M7762" s="94"/>
      <c r="N7762" s="94"/>
      <c r="O7762" s="94"/>
      <c r="P7762" s="94"/>
      <c r="Q7762" s="94"/>
      <c r="R7762" s="94"/>
      <c r="S7762" s="94"/>
      <c r="T7762" s="54" t="s">
        <v>35854</v>
      </c>
      <c r="U7762" s="135" t="str">
        <f>HYPERLINK("https://www.ncbi.nlm.nih.gov/pubmed/32203726","PubMed")</f>
        <v>PubMed</v>
      </c>
      <c r="V7762" s="30"/>
      <c r="W7762" s="49"/>
      <c r="X7762" s="49"/>
      <c r="Y7762" s="35"/>
      <c r="Z7762" s="35"/>
      <c r="AA7762" s="35"/>
      <c r="AB7762" s="35"/>
      <c r="AC7762" s="35"/>
      <c r="AD7762" s="35"/>
      <c r="AE7762" s="35"/>
      <c r="AF7762" s="35"/>
      <c r="AG7762" s="35"/>
      <c r="AH7762" s="35"/>
      <c r="AI7762" s="35"/>
      <c r="AJ7762" s="35"/>
      <c r="AK7762" s="35"/>
      <c r="AL7762" s="35"/>
    </row>
    <row r="7763">
      <c r="A7763" s="40"/>
      <c r="B7763" s="75" t="s">
        <v>6113</v>
      </c>
      <c r="C7763" s="158" t="s">
        <v>35771</v>
      </c>
      <c r="D7763" s="159"/>
      <c r="E7763" s="23" t="s">
        <v>8933</v>
      </c>
      <c r="F7763" s="23" t="s">
        <v>35855</v>
      </c>
      <c r="G7763" s="23">
        <v>2019.0</v>
      </c>
      <c r="H7763" s="23" t="s">
        <v>147</v>
      </c>
      <c r="I7763" s="243" t="s">
        <v>35856</v>
      </c>
      <c r="J7763" s="23" t="s">
        <v>55</v>
      </c>
      <c r="K7763" s="23" t="s">
        <v>35857</v>
      </c>
      <c r="L7763" s="94">
        <v>670.0</v>
      </c>
      <c r="M7763" s="94">
        <v>9.0</v>
      </c>
      <c r="N7763" s="94" t="s">
        <v>16655</v>
      </c>
      <c r="O7763" s="94"/>
      <c r="P7763" s="94">
        <v>4.0</v>
      </c>
      <c r="Q7763" s="94" t="s">
        <v>24867</v>
      </c>
      <c r="R7763" s="94"/>
      <c r="S7763" s="94"/>
      <c r="T7763" s="102" t="s">
        <v>35858</v>
      </c>
      <c r="U7763" s="135" t="str">
        <f>HYPERLINK("https://www.ncbi.nlm.nih.gov/pubmed/31875124","PubMed")</f>
        <v>PubMed</v>
      </c>
      <c r="V7763" s="30"/>
      <c r="W7763" s="49"/>
      <c r="X7763" s="49"/>
      <c r="Y7763" s="35"/>
      <c r="Z7763" s="35"/>
      <c r="AA7763" s="35"/>
      <c r="AB7763" s="35"/>
      <c r="AC7763" s="35"/>
      <c r="AD7763" s="35"/>
      <c r="AE7763" s="35"/>
      <c r="AF7763" s="35"/>
      <c r="AG7763" s="35"/>
      <c r="AH7763" s="35"/>
      <c r="AI7763" s="35"/>
      <c r="AJ7763" s="35"/>
      <c r="AK7763" s="35"/>
      <c r="AL7763" s="35"/>
    </row>
    <row r="7764">
      <c r="A7764" s="40"/>
      <c r="B7764" s="75" t="s">
        <v>6113</v>
      </c>
      <c r="C7764" s="76" t="s">
        <v>35771</v>
      </c>
      <c r="D7764" s="159"/>
      <c r="E7764" s="23" t="s">
        <v>673</v>
      </c>
      <c r="F7764" s="23" t="s">
        <v>323</v>
      </c>
      <c r="G7764" s="23">
        <v>2019.0</v>
      </c>
      <c r="H7764" s="23" t="s">
        <v>6270</v>
      </c>
      <c r="I7764" s="243" t="s">
        <v>35859</v>
      </c>
      <c r="J7764" s="23" t="s">
        <v>55</v>
      </c>
      <c r="K7764" s="23" t="s">
        <v>35860</v>
      </c>
      <c r="L7764" s="94">
        <v>890.0</v>
      </c>
      <c r="M7764" s="94"/>
      <c r="N7764" s="94"/>
      <c r="O7764" s="94"/>
      <c r="P7764" s="94" t="s">
        <v>267</v>
      </c>
      <c r="Q7764" s="94" t="s">
        <v>675</v>
      </c>
      <c r="R7764" s="94"/>
      <c r="S7764" s="94"/>
      <c r="T7764" s="102" t="s">
        <v>35861</v>
      </c>
      <c r="U7764" s="135" t="str">
        <f>HYPERLINK("https://www.ncbi.nlm.nih.gov/pubmed/32257915","PubMed")</f>
        <v>PubMed</v>
      </c>
      <c r="V7764" s="30"/>
      <c r="W7764" s="49"/>
      <c r="X7764" s="49"/>
      <c r="Y7764" s="35"/>
      <c r="Z7764" s="35"/>
      <c r="AA7764" s="35"/>
      <c r="AB7764" s="35"/>
      <c r="AC7764" s="35"/>
      <c r="AD7764" s="35"/>
      <c r="AE7764" s="35"/>
      <c r="AF7764" s="35"/>
      <c r="AG7764" s="35"/>
      <c r="AH7764" s="35"/>
      <c r="AI7764" s="35"/>
      <c r="AJ7764" s="35"/>
      <c r="AK7764" s="35"/>
      <c r="AL7764" s="35"/>
    </row>
    <row r="7765">
      <c r="A7765" s="40" t="s">
        <v>181</v>
      </c>
      <c r="B7765" s="75" t="s">
        <v>6113</v>
      </c>
      <c r="C7765" s="76" t="s">
        <v>35771</v>
      </c>
      <c r="D7765" s="159"/>
      <c r="E7765" s="23" t="s">
        <v>35862</v>
      </c>
      <c r="F7765" s="23" t="s">
        <v>323</v>
      </c>
      <c r="G7765" s="23">
        <v>2019.0</v>
      </c>
      <c r="H7765" s="23" t="s">
        <v>147</v>
      </c>
      <c r="I7765" s="243" t="s">
        <v>35863</v>
      </c>
      <c r="J7765" s="23" t="s">
        <v>253</v>
      </c>
      <c r="K7765" s="23" t="s">
        <v>35864</v>
      </c>
      <c r="L7765" s="94" t="s">
        <v>35865</v>
      </c>
      <c r="M7765" s="94"/>
      <c r="N7765" s="94"/>
      <c r="O7765" s="94"/>
      <c r="P7765" s="94" t="s">
        <v>1773</v>
      </c>
      <c r="Q7765" s="94"/>
      <c r="R7765" s="94"/>
      <c r="S7765" s="94"/>
      <c r="T7765" s="54" t="s">
        <v>35866</v>
      </c>
      <c r="U7765" s="135" t="str">
        <f>HYPERLINK("https://www.ncbi.nlm.nih.gov/pubmed/31749944","PubMed")</f>
        <v>PubMed</v>
      </c>
      <c r="V7765" s="30"/>
      <c r="W7765" s="49"/>
      <c r="X7765" s="49"/>
      <c r="Y7765" s="35"/>
      <c r="Z7765" s="35"/>
      <c r="AA7765" s="35"/>
      <c r="AB7765" s="35"/>
      <c r="AC7765" s="35"/>
      <c r="AD7765" s="35"/>
      <c r="AE7765" s="35"/>
      <c r="AF7765" s="35"/>
      <c r="AG7765" s="35"/>
      <c r="AH7765" s="35"/>
      <c r="AI7765" s="35"/>
      <c r="AJ7765" s="35"/>
      <c r="AK7765" s="35"/>
      <c r="AL7765" s="35"/>
    </row>
    <row r="7766">
      <c r="A7766" s="40"/>
      <c r="B7766" s="75" t="s">
        <v>6113</v>
      </c>
      <c r="C7766" s="158" t="s">
        <v>35771</v>
      </c>
      <c r="D7766" s="159"/>
      <c r="E7766" s="23" t="s">
        <v>7573</v>
      </c>
      <c r="F7766" s="23" t="s">
        <v>22556</v>
      </c>
      <c r="G7766" s="23">
        <v>2019.0</v>
      </c>
      <c r="H7766" s="23" t="s">
        <v>35867</v>
      </c>
      <c r="I7766" s="243" t="s">
        <v>35868</v>
      </c>
      <c r="J7766" s="23" t="s">
        <v>55</v>
      </c>
      <c r="K7766" s="23" t="s">
        <v>34271</v>
      </c>
      <c r="L7766" s="94">
        <v>808.0</v>
      </c>
      <c r="M7766" s="94"/>
      <c r="N7766" s="94" t="s">
        <v>35869</v>
      </c>
      <c r="O7766" s="94"/>
      <c r="P7766" s="94"/>
      <c r="Q7766" s="94" t="s">
        <v>6449</v>
      </c>
      <c r="R7766" s="94">
        <v>1800.0</v>
      </c>
      <c r="S7766" s="94" t="s">
        <v>12904</v>
      </c>
      <c r="T7766" s="54" t="s">
        <v>35870</v>
      </c>
      <c r="U7766" s="135" t="str">
        <f>HYPERLINK("https://www.ncbi.nlm.nih.gov/pubmed/31289795","PubMed")</f>
        <v>PubMed</v>
      </c>
      <c r="V7766" s="30"/>
      <c r="W7766" s="49"/>
      <c r="X7766" s="49"/>
      <c r="Y7766" s="35"/>
      <c r="Z7766" s="35"/>
      <c r="AA7766" s="35"/>
      <c r="AB7766" s="35"/>
      <c r="AC7766" s="35"/>
      <c r="AD7766" s="35"/>
      <c r="AE7766" s="35"/>
      <c r="AF7766" s="35"/>
      <c r="AG7766" s="35"/>
      <c r="AH7766" s="35"/>
      <c r="AI7766" s="35"/>
      <c r="AJ7766" s="35"/>
      <c r="AK7766" s="35"/>
      <c r="AL7766" s="35"/>
    </row>
    <row r="7767">
      <c r="A7767" s="40"/>
      <c r="B7767" s="75" t="s">
        <v>6113</v>
      </c>
      <c r="C7767" s="76" t="s">
        <v>35771</v>
      </c>
      <c r="D7767" s="159"/>
      <c r="E7767" s="23" t="s">
        <v>959</v>
      </c>
      <c r="F7767" s="23" t="s">
        <v>578</v>
      </c>
      <c r="G7767" s="23">
        <v>2019.0</v>
      </c>
      <c r="H7767" s="23" t="s">
        <v>837</v>
      </c>
      <c r="I7767" s="243" t="s">
        <v>35871</v>
      </c>
      <c r="J7767" s="23" t="s">
        <v>55</v>
      </c>
      <c r="K7767" s="76" t="s">
        <v>35872</v>
      </c>
      <c r="L7767" s="94" t="s">
        <v>35873</v>
      </c>
      <c r="M7767" s="94"/>
      <c r="N7767" s="94"/>
      <c r="O7767" s="94"/>
      <c r="P7767" s="94" t="s">
        <v>35874</v>
      </c>
      <c r="Q7767" s="94"/>
      <c r="R7767" s="94"/>
      <c r="S7767" s="94"/>
      <c r="T7767" s="54" t="s">
        <v>35875</v>
      </c>
      <c r="U7767" s="135" t="str">
        <f>HYPERLINK("https://www.ncbi.nlm.nih.gov/pubmed/31340220","PubMed")</f>
        <v>PubMed</v>
      </c>
      <c r="V7767" s="30"/>
      <c r="W7767" s="49"/>
      <c r="X7767" s="49"/>
      <c r="Y7767" s="35"/>
      <c r="Z7767" s="35"/>
      <c r="AA7767" s="35"/>
      <c r="AB7767" s="35"/>
      <c r="AC7767" s="35"/>
      <c r="AD7767" s="35"/>
      <c r="AE7767" s="35"/>
      <c r="AF7767" s="35"/>
      <c r="AG7767" s="35"/>
      <c r="AH7767" s="35"/>
      <c r="AI7767" s="35"/>
      <c r="AJ7767" s="35"/>
      <c r="AK7767" s="35"/>
      <c r="AL7767" s="35"/>
    </row>
    <row r="7768">
      <c r="A7768" s="456"/>
      <c r="B7768" s="75" t="s">
        <v>6113</v>
      </c>
      <c r="C7768" s="158" t="s">
        <v>35771</v>
      </c>
      <c r="D7768" s="159"/>
      <c r="E7768" s="23" t="s">
        <v>12437</v>
      </c>
      <c r="F7768" s="23" t="s">
        <v>35876</v>
      </c>
      <c r="G7768" s="23">
        <v>2018.0</v>
      </c>
      <c r="H7768" s="23" t="s">
        <v>91</v>
      </c>
      <c r="I7768" s="243" t="s">
        <v>35877</v>
      </c>
      <c r="J7768" s="23" t="s">
        <v>44</v>
      </c>
      <c r="K7768" s="23" t="s">
        <v>35878</v>
      </c>
      <c r="L7768" s="94">
        <v>890.0</v>
      </c>
      <c r="M7768" s="94"/>
      <c r="N7768" s="94" t="s">
        <v>35879</v>
      </c>
      <c r="O7768" s="94"/>
      <c r="P7768" s="94" t="s">
        <v>267</v>
      </c>
      <c r="Q7768" s="94" t="s">
        <v>13571</v>
      </c>
      <c r="R7768" s="94">
        <v>200.0</v>
      </c>
      <c r="S7768" s="94" t="s">
        <v>35880</v>
      </c>
      <c r="T7768" s="54" t="s">
        <v>35881</v>
      </c>
      <c r="U7768" s="135" t="str">
        <f>HYPERLINK("https://www.ncbi.nlm.nih.gov/pubmed/30393833","PubMed")</f>
        <v>PubMed</v>
      </c>
      <c r="V7768" s="30" t="s">
        <v>35882</v>
      </c>
      <c r="W7768" s="49"/>
      <c r="X7768" s="49"/>
      <c r="Y7768" s="35"/>
      <c r="Z7768" s="35"/>
      <c r="AA7768" s="35"/>
      <c r="AB7768" s="35"/>
      <c r="AC7768" s="35"/>
      <c r="AD7768" s="35"/>
      <c r="AE7768" s="35"/>
      <c r="AF7768" s="35"/>
      <c r="AG7768" s="35"/>
      <c r="AH7768" s="35"/>
      <c r="AI7768" s="35"/>
      <c r="AJ7768" s="35"/>
      <c r="AK7768" s="35"/>
      <c r="AL7768" s="35"/>
    </row>
    <row r="7769">
      <c r="A7769" s="456"/>
      <c r="B7769" s="157" t="s">
        <v>6113</v>
      </c>
      <c r="C7769" s="158" t="s">
        <v>35771</v>
      </c>
      <c r="D7769" s="159"/>
      <c r="E7769" s="23" t="s">
        <v>35883</v>
      </c>
      <c r="F7769" s="23" t="s">
        <v>29903</v>
      </c>
      <c r="G7769" s="23">
        <v>2018.0</v>
      </c>
      <c r="H7769" s="23" t="s">
        <v>2060</v>
      </c>
      <c r="I7769" s="243" t="s">
        <v>35884</v>
      </c>
      <c r="J7769" s="23" t="s">
        <v>2049</v>
      </c>
      <c r="K7769" s="470" t="s">
        <v>34271</v>
      </c>
      <c r="L7769" s="94">
        <v>980.0</v>
      </c>
      <c r="M7769" s="94"/>
      <c r="N7769" s="95"/>
      <c r="O7769" s="94"/>
      <c r="P7769" s="94">
        <v>5.0</v>
      </c>
      <c r="Q7769" s="172"/>
      <c r="R7769" s="94"/>
      <c r="S7769" s="94">
        <v>5.0</v>
      </c>
      <c r="T7769" s="103" t="s">
        <v>35885</v>
      </c>
      <c r="U7769" s="135" t="str">
        <f>HYPERLINK("https://www.ncbi.nlm.nih.gov/pubmed/29655232","PubMed")</f>
        <v>PubMed</v>
      </c>
      <c r="V7769" s="30"/>
      <c r="W7769" s="49"/>
      <c r="X7769" s="49"/>
      <c r="Y7769" s="35"/>
      <c r="Z7769" s="35"/>
      <c r="AA7769" s="35"/>
      <c r="AB7769" s="35"/>
      <c r="AC7769" s="35"/>
      <c r="AD7769" s="35"/>
      <c r="AE7769" s="35"/>
      <c r="AF7769" s="35"/>
      <c r="AG7769" s="35"/>
      <c r="AH7769" s="35"/>
      <c r="AI7769" s="35"/>
      <c r="AJ7769" s="35"/>
      <c r="AK7769" s="35"/>
      <c r="AL7769" s="35"/>
    </row>
    <row r="7770">
      <c r="A7770" s="456"/>
      <c r="B7770" s="157" t="s">
        <v>6113</v>
      </c>
      <c r="C7770" s="158" t="s">
        <v>35771</v>
      </c>
      <c r="D7770" s="159"/>
      <c r="E7770" s="23" t="s">
        <v>35886</v>
      </c>
      <c r="F7770" s="23" t="s">
        <v>274</v>
      </c>
      <c r="G7770" s="23">
        <v>2018.0</v>
      </c>
      <c r="H7770" s="23" t="s">
        <v>91</v>
      </c>
      <c r="I7770" s="243" t="s">
        <v>35887</v>
      </c>
      <c r="J7770" s="23" t="s">
        <v>55</v>
      </c>
      <c r="K7770" s="23" t="s">
        <v>35888</v>
      </c>
      <c r="L7770" s="94">
        <v>670.0</v>
      </c>
      <c r="M7770" s="94">
        <v>30.0</v>
      </c>
      <c r="N7770" s="95"/>
      <c r="O7770" s="94" t="s">
        <v>1704</v>
      </c>
      <c r="P7770" s="94"/>
      <c r="Q7770" s="172"/>
      <c r="R7770" s="94">
        <v>30.0</v>
      </c>
      <c r="S7770" s="94"/>
      <c r="T7770" s="54" t="s">
        <v>35889</v>
      </c>
      <c r="U7770" s="135" t="str">
        <f>HYPERLINK("https://www.ncbi.nlm.nih.gov/pubmed/29790013","PubMed")</f>
        <v>PubMed</v>
      </c>
      <c r="V7770" s="30"/>
      <c r="W7770" s="49"/>
      <c r="X7770" s="49"/>
      <c r="Y7770" s="35"/>
      <c r="Z7770" s="35"/>
      <c r="AA7770" s="35"/>
      <c r="AB7770" s="35"/>
      <c r="AC7770" s="35"/>
      <c r="AD7770" s="35"/>
      <c r="AE7770" s="35"/>
      <c r="AF7770" s="35"/>
      <c r="AG7770" s="35"/>
      <c r="AH7770" s="35"/>
      <c r="AI7770" s="35"/>
      <c r="AJ7770" s="35"/>
      <c r="AK7770" s="35"/>
      <c r="AL7770" s="35"/>
    </row>
    <row r="7771">
      <c r="A7771" s="456"/>
      <c r="B7771" s="157" t="s">
        <v>6113</v>
      </c>
      <c r="C7771" s="158" t="s">
        <v>35771</v>
      </c>
      <c r="D7771" s="159"/>
      <c r="E7771" s="23" t="s">
        <v>35890</v>
      </c>
      <c r="F7771" s="23" t="s">
        <v>35611</v>
      </c>
      <c r="G7771" s="23">
        <v>2018.0</v>
      </c>
      <c r="H7771" s="23" t="s">
        <v>967</v>
      </c>
      <c r="I7771" s="243" t="s">
        <v>35891</v>
      </c>
      <c r="J7771" s="23" t="s">
        <v>55</v>
      </c>
      <c r="K7771" s="23" t="s">
        <v>294</v>
      </c>
      <c r="L7771" s="94" t="s">
        <v>35892</v>
      </c>
      <c r="M7771" s="94"/>
      <c r="N7771" s="95"/>
      <c r="O7771" s="94"/>
      <c r="P7771" s="94"/>
      <c r="Q7771" s="172"/>
      <c r="R7771" s="94"/>
      <c r="S7771" s="94"/>
      <c r="T7771" s="102" t="s">
        <v>35893</v>
      </c>
      <c r="U7771" s="138" t="s">
        <v>2360</v>
      </c>
      <c r="V7771" s="30"/>
      <c r="W7771" s="49"/>
      <c r="X7771" s="49"/>
      <c r="Y7771" s="35"/>
      <c r="Z7771" s="35"/>
      <c r="AA7771" s="35"/>
      <c r="AB7771" s="35"/>
      <c r="AC7771" s="35"/>
      <c r="AD7771" s="35"/>
      <c r="AE7771" s="35"/>
      <c r="AF7771" s="35"/>
      <c r="AG7771" s="35"/>
      <c r="AH7771" s="35"/>
      <c r="AI7771" s="35"/>
      <c r="AJ7771" s="35"/>
      <c r="AK7771" s="35"/>
      <c r="AL7771" s="35"/>
    </row>
    <row r="7772">
      <c r="A7772" s="456"/>
      <c r="B7772" s="157" t="s">
        <v>6113</v>
      </c>
      <c r="C7772" s="158" t="s">
        <v>35771</v>
      </c>
      <c r="D7772" s="159"/>
      <c r="E7772" s="23" t="s">
        <v>35886</v>
      </c>
      <c r="F7772" s="23" t="s">
        <v>274</v>
      </c>
      <c r="G7772" s="23">
        <v>2018.0</v>
      </c>
      <c r="H7772" s="23" t="s">
        <v>207</v>
      </c>
      <c r="I7772" s="243" t="s">
        <v>35894</v>
      </c>
      <c r="J7772" s="23" t="s">
        <v>55</v>
      </c>
      <c r="K7772" s="23" t="s">
        <v>34271</v>
      </c>
      <c r="L7772" s="94">
        <v>670.0</v>
      </c>
      <c r="M7772" s="94">
        <v>30.0</v>
      </c>
      <c r="N7772" s="95"/>
      <c r="O7772" s="94"/>
      <c r="P7772" s="94" t="s">
        <v>35895</v>
      </c>
      <c r="Q7772" s="172"/>
      <c r="R7772" s="94">
        <v>30.0</v>
      </c>
      <c r="S7772" s="94">
        <v>15.0</v>
      </c>
      <c r="T7772" s="54" t="s">
        <v>35896</v>
      </c>
      <c r="U7772" s="135" t="str">
        <f>HYPERLINK("https://www.ncbi.nlm.nih.gov/pubmed/29684717","PubMed")</f>
        <v>PubMed</v>
      </c>
      <c r="V7772" s="30"/>
      <c r="W7772" s="49"/>
      <c r="X7772" s="49"/>
      <c r="Y7772" s="35"/>
      <c r="Z7772" s="35"/>
      <c r="AA7772" s="35"/>
      <c r="AB7772" s="35"/>
      <c r="AC7772" s="35"/>
      <c r="AD7772" s="35"/>
      <c r="AE7772" s="35"/>
      <c r="AF7772" s="35"/>
      <c r="AG7772" s="35"/>
      <c r="AH7772" s="35"/>
      <c r="AI7772" s="35"/>
      <c r="AJ7772" s="35"/>
      <c r="AK7772" s="35"/>
      <c r="AL7772" s="35"/>
    </row>
    <row r="7773">
      <c r="A7773" s="456"/>
      <c r="B7773" s="157" t="s">
        <v>6113</v>
      </c>
      <c r="C7773" s="158" t="s">
        <v>35771</v>
      </c>
      <c r="D7773" s="159"/>
      <c r="E7773" s="23" t="s">
        <v>35897</v>
      </c>
      <c r="F7773" s="23" t="s">
        <v>34238</v>
      </c>
      <c r="G7773" s="23">
        <v>2018.0</v>
      </c>
      <c r="H7773" s="23" t="s">
        <v>2047</v>
      </c>
      <c r="I7773" s="243" t="s">
        <v>35898</v>
      </c>
      <c r="J7773" s="23" t="s">
        <v>35899</v>
      </c>
      <c r="K7773" s="23" t="s">
        <v>35900</v>
      </c>
      <c r="L7773" s="94">
        <v>980.0</v>
      </c>
      <c r="M7773" s="94"/>
      <c r="N7773" s="95"/>
      <c r="O7773" s="94"/>
      <c r="P7773" s="94" t="s">
        <v>14584</v>
      </c>
      <c r="Q7773" s="172"/>
      <c r="R7773" s="94"/>
      <c r="S7773" s="94"/>
      <c r="T7773" s="103" t="s">
        <v>35901</v>
      </c>
      <c r="U7773" s="135" t="str">
        <f>HYPERLINK("https://www.ncbi.nlm.nih.gov/pubmed/29583044","PubMed")</f>
        <v>PubMed</v>
      </c>
      <c r="V7773" s="30"/>
      <c r="W7773" s="49"/>
      <c r="X7773" s="49"/>
      <c r="Y7773" s="35"/>
      <c r="Z7773" s="35"/>
      <c r="AA7773" s="35"/>
      <c r="AB7773" s="35"/>
      <c r="AC7773" s="35"/>
      <c r="AD7773" s="35"/>
      <c r="AE7773" s="35"/>
      <c r="AF7773" s="35"/>
      <c r="AG7773" s="35"/>
      <c r="AH7773" s="35"/>
      <c r="AI7773" s="35"/>
      <c r="AJ7773" s="35"/>
      <c r="AK7773" s="35"/>
      <c r="AL7773" s="35"/>
    </row>
    <row r="7774">
      <c r="A7774" s="1"/>
      <c r="B7774" s="157" t="s">
        <v>6113</v>
      </c>
      <c r="C7774" s="158" t="s">
        <v>35771</v>
      </c>
      <c r="D7774" s="159"/>
      <c r="E7774" s="23" t="s">
        <v>4375</v>
      </c>
      <c r="F7774" s="23" t="s">
        <v>35611</v>
      </c>
      <c r="G7774" s="23">
        <v>2017.0</v>
      </c>
      <c r="H7774" s="23" t="s">
        <v>53</v>
      </c>
      <c r="I7774" s="243" t="s">
        <v>35902</v>
      </c>
      <c r="J7774" s="23" t="s">
        <v>55</v>
      </c>
      <c r="K7774" s="23" t="s">
        <v>35903</v>
      </c>
      <c r="L7774" s="94">
        <v>808.0</v>
      </c>
      <c r="M7774" s="94">
        <v>100.0</v>
      </c>
      <c r="N7774" s="95"/>
      <c r="O7774" s="94"/>
      <c r="P7774" s="94">
        <v>5.0</v>
      </c>
      <c r="Q7774" s="172"/>
      <c r="R7774" s="94">
        <v>100.0</v>
      </c>
      <c r="S7774" s="94" t="s">
        <v>35904</v>
      </c>
      <c r="T7774" s="54" t="s">
        <v>35905</v>
      </c>
      <c r="U7774" s="135" t="str">
        <f>HYPERLINK("https://www.ncbi.nlm.nih.gov/pubmed/27859389","PubMed")</f>
        <v>PubMed</v>
      </c>
      <c r="V7774" s="30"/>
      <c r="W7774" s="49"/>
      <c r="X7774" s="49"/>
      <c r="Y7774" s="35"/>
      <c r="Z7774" s="35"/>
      <c r="AA7774" s="35"/>
      <c r="AB7774" s="35"/>
      <c r="AC7774" s="35"/>
      <c r="AD7774" s="35"/>
      <c r="AE7774" s="35"/>
      <c r="AF7774" s="35"/>
      <c r="AG7774" s="35"/>
      <c r="AH7774" s="35"/>
      <c r="AI7774" s="35"/>
      <c r="AJ7774" s="35"/>
      <c r="AK7774" s="35"/>
      <c r="AL7774" s="35"/>
    </row>
    <row r="7775">
      <c r="A7775" s="1"/>
      <c r="B7775" s="157" t="s">
        <v>6113</v>
      </c>
      <c r="C7775" s="158" t="s">
        <v>35771</v>
      </c>
      <c r="D7775" s="159"/>
      <c r="E7775" s="23" t="s">
        <v>35906</v>
      </c>
      <c r="F7775" s="23" t="s">
        <v>6828</v>
      </c>
      <c r="G7775" s="23">
        <v>2017.0</v>
      </c>
      <c r="H7775" s="23" t="s">
        <v>35907</v>
      </c>
      <c r="I7775" s="243" t="s">
        <v>35908</v>
      </c>
      <c r="J7775" s="23" t="s">
        <v>44</v>
      </c>
      <c r="K7775" s="23" t="s">
        <v>771</v>
      </c>
      <c r="L7775" s="94" t="s">
        <v>8542</v>
      </c>
      <c r="M7775" s="94"/>
      <c r="N7775" s="95"/>
      <c r="O7775" s="94"/>
      <c r="P7775" s="94"/>
      <c r="Q7775" s="172"/>
      <c r="R7775" s="94"/>
      <c r="S7775" s="94"/>
      <c r="T7775" s="54" t="s">
        <v>35909</v>
      </c>
      <c r="U7775" s="135" t="s">
        <v>35910</v>
      </c>
      <c r="V7775" s="30"/>
      <c r="W7775" s="49"/>
      <c r="X7775" s="49"/>
      <c r="Y7775" s="35"/>
      <c r="Z7775" s="35"/>
      <c r="AA7775" s="35"/>
      <c r="AB7775" s="35"/>
      <c r="AC7775" s="35"/>
      <c r="AD7775" s="35"/>
      <c r="AE7775" s="35"/>
      <c r="AF7775" s="35"/>
      <c r="AG7775" s="35"/>
      <c r="AH7775" s="35"/>
      <c r="AI7775" s="35"/>
      <c r="AJ7775" s="35"/>
      <c r="AK7775" s="35"/>
      <c r="AL7775" s="35"/>
    </row>
    <row r="7776">
      <c r="A7776" s="1"/>
      <c r="B7776" s="157" t="s">
        <v>6113</v>
      </c>
      <c r="C7776" s="158" t="s">
        <v>35771</v>
      </c>
      <c r="D7776" s="159"/>
      <c r="E7776" s="23" t="s">
        <v>35911</v>
      </c>
      <c r="F7776" s="23" t="s">
        <v>41</v>
      </c>
      <c r="G7776" s="23">
        <v>2017.0</v>
      </c>
      <c r="H7776" s="23" t="s">
        <v>91</v>
      </c>
      <c r="I7776" s="243" t="s">
        <v>35912</v>
      </c>
      <c r="J7776" s="23" t="s">
        <v>55</v>
      </c>
      <c r="K7776" s="23" t="s">
        <v>35913</v>
      </c>
      <c r="L7776" s="94">
        <v>660.0</v>
      </c>
      <c r="M7776" s="94">
        <v>30.0</v>
      </c>
      <c r="N7776" s="95" t="s">
        <v>717</v>
      </c>
      <c r="O7776" s="94">
        <v>2.0</v>
      </c>
      <c r="P7776" s="94">
        <v>72.0</v>
      </c>
      <c r="Q7776" s="172" t="s">
        <v>280</v>
      </c>
      <c r="R7776" s="94">
        <v>67.0</v>
      </c>
      <c r="S7776" s="94"/>
      <c r="T7776" s="54" t="s">
        <v>35914</v>
      </c>
      <c r="U7776" s="135" t="str">
        <f>HYPERLINK("https://www.ncbi.nlm.nih.gov/pubmed/28681084","PubMed")</f>
        <v>PubMed</v>
      </c>
      <c r="V7776" s="30"/>
      <c r="W7776" s="49"/>
      <c r="X7776" s="49"/>
      <c r="Y7776" s="35"/>
      <c r="Z7776" s="35"/>
      <c r="AA7776" s="35"/>
      <c r="AB7776" s="35"/>
      <c r="AC7776" s="35"/>
      <c r="AD7776" s="35"/>
      <c r="AE7776" s="35"/>
      <c r="AF7776" s="35"/>
      <c r="AG7776" s="35"/>
      <c r="AH7776" s="35"/>
      <c r="AI7776" s="35"/>
      <c r="AJ7776" s="35"/>
      <c r="AK7776" s="35"/>
      <c r="AL7776" s="35"/>
    </row>
    <row r="7777">
      <c r="A7777" s="1"/>
      <c r="B7777" s="157" t="s">
        <v>6113</v>
      </c>
      <c r="C7777" s="158" t="s">
        <v>35771</v>
      </c>
      <c r="D7777" s="159"/>
      <c r="E7777" s="23" t="s">
        <v>35915</v>
      </c>
      <c r="F7777" s="23" t="s">
        <v>1154</v>
      </c>
      <c r="G7777" s="23">
        <v>2017.0</v>
      </c>
      <c r="H7777" s="23" t="s">
        <v>33967</v>
      </c>
      <c r="I7777" s="243" t="s">
        <v>35916</v>
      </c>
      <c r="J7777" s="23" t="s">
        <v>55</v>
      </c>
      <c r="K7777" s="23" t="s">
        <v>35917</v>
      </c>
      <c r="L7777" s="94">
        <v>660.0</v>
      </c>
      <c r="M7777" s="94">
        <v>100.0</v>
      </c>
      <c r="N7777" s="94"/>
      <c r="O7777" s="94"/>
      <c r="P7777" s="94">
        <v>4.0</v>
      </c>
      <c r="Q7777" s="172" t="s">
        <v>675</v>
      </c>
      <c r="R7777" s="94"/>
      <c r="S7777" s="94"/>
      <c r="T7777" s="54" t="s">
        <v>35918</v>
      </c>
      <c r="U7777" s="135" t="str">
        <f>HYPERLINK("https://www.ncbi.nlm.nih.gov/pubmed/27851931","PubMed")</f>
        <v>PubMed</v>
      </c>
      <c r="V7777" s="30"/>
      <c r="W7777" s="49"/>
      <c r="X7777" s="49"/>
      <c r="Y7777" s="35"/>
      <c r="Z7777" s="35"/>
      <c r="AA7777" s="35"/>
      <c r="AB7777" s="35"/>
      <c r="AC7777" s="35"/>
      <c r="AD7777" s="35"/>
      <c r="AE7777" s="35"/>
      <c r="AF7777" s="35"/>
      <c r="AG7777" s="35"/>
      <c r="AH7777" s="35"/>
      <c r="AI7777" s="35"/>
      <c r="AJ7777" s="35"/>
      <c r="AK7777" s="35"/>
      <c r="AL7777" s="35"/>
    </row>
    <row r="7778">
      <c r="A7778" s="1"/>
      <c r="B7778" s="157" t="s">
        <v>6113</v>
      </c>
      <c r="C7778" s="76" t="s">
        <v>35771</v>
      </c>
      <c r="D7778" s="159"/>
      <c r="E7778" s="23" t="s">
        <v>2316</v>
      </c>
      <c r="F7778" s="23" t="s">
        <v>2196</v>
      </c>
      <c r="G7778" s="23" t="s">
        <v>90</v>
      </c>
      <c r="H7778" s="23" t="s">
        <v>4975</v>
      </c>
      <c r="I7778" s="243" t="s">
        <v>35919</v>
      </c>
      <c r="J7778" s="23" t="s">
        <v>44</v>
      </c>
      <c r="K7778" s="23" t="s">
        <v>35920</v>
      </c>
      <c r="L7778" s="94" t="s">
        <v>35921</v>
      </c>
      <c r="M7778" s="94"/>
      <c r="N7778" s="95"/>
      <c r="O7778" s="94"/>
      <c r="P7778" s="94"/>
      <c r="Q7778" s="172"/>
      <c r="R7778" s="94"/>
      <c r="S7778" s="94"/>
      <c r="T7778" s="54" t="s">
        <v>35922</v>
      </c>
      <c r="U7778" s="135" t="str">
        <f>HYPERLINK("https://www.ncbi.nlm.nih.gov/pubmed/28763104","PubMed")</f>
        <v>PubMed</v>
      </c>
      <c r="V7778" s="30"/>
      <c r="W7778" s="49"/>
      <c r="X7778" s="49"/>
      <c r="Y7778" s="35"/>
      <c r="Z7778" s="35"/>
      <c r="AA7778" s="35"/>
      <c r="AB7778" s="35"/>
      <c r="AC7778" s="35"/>
      <c r="AD7778" s="35"/>
      <c r="AE7778" s="35"/>
      <c r="AF7778" s="35"/>
      <c r="AG7778" s="35"/>
      <c r="AH7778" s="35"/>
      <c r="AI7778" s="35"/>
      <c r="AJ7778" s="35"/>
      <c r="AK7778" s="35"/>
      <c r="AL7778" s="35"/>
    </row>
    <row r="7779">
      <c r="A7779" s="1"/>
      <c r="B7779" s="157" t="s">
        <v>6113</v>
      </c>
      <c r="C7779" s="76" t="s">
        <v>35771</v>
      </c>
      <c r="D7779" s="159"/>
      <c r="E7779" s="23" t="s">
        <v>26590</v>
      </c>
      <c r="F7779" s="23" t="s">
        <v>183</v>
      </c>
      <c r="G7779" s="23" t="s">
        <v>90</v>
      </c>
      <c r="H7779" s="23" t="s">
        <v>21909</v>
      </c>
      <c r="I7779" s="243" t="s">
        <v>35923</v>
      </c>
      <c r="J7779" s="23" t="s">
        <v>55</v>
      </c>
      <c r="K7779" s="23" t="s">
        <v>35924</v>
      </c>
      <c r="L7779" s="94">
        <v>670.0</v>
      </c>
      <c r="M7779" s="94">
        <v>9.0</v>
      </c>
      <c r="N7779" s="95" t="s">
        <v>16655</v>
      </c>
      <c r="O7779" s="94"/>
      <c r="P7779" s="94">
        <v>4.0</v>
      </c>
      <c r="Q7779" s="172"/>
      <c r="R7779" s="94"/>
      <c r="S7779" s="94"/>
      <c r="T7779" s="54" t="s">
        <v>35925</v>
      </c>
      <c r="U7779" s="135" t="str">
        <f>HYPERLINK("https://www.ncbi.nlm.nih.gov/pubmed/29239111","PubMed")</f>
        <v>PubMed</v>
      </c>
      <c r="V7779" s="30"/>
      <c r="W7779" s="49"/>
      <c r="X7779" s="49"/>
      <c r="Y7779" s="35"/>
      <c r="Z7779" s="35"/>
      <c r="AA7779" s="35"/>
      <c r="AB7779" s="35"/>
      <c r="AC7779" s="35"/>
      <c r="AD7779" s="35"/>
      <c r="AE7779" s="35"/>
      <c r="AF7779" s="35"/>
      <c r="AG7779" s="35"/>
      <c r="AH7779" s="35"/>
      <c r="AI7779" s="35"/>
      <c r="AJ7779" s="35"/>
      <c r="AK7779" s="35"/>
      <c r="AL7779" s="35"/>
    </row>
    <row r="7780">
      <c r="A7780" s="1"/>
      <c r="B7780" s="157" t="s">
        <v>6113</v>
      </c>
      <c r="C7780" s="76" t="s">
        <v>35771</v>
      </c>
      <c r="D7780" s="159"/>
      <c r="E7780" s="23" t="s">
        <v>5351</v>
      </c>
      <c r="F7780" s="23" t="s">
        <v>1034</v>
      </c>
      <c r="G7780" s="23">
        <v>2017.0</v>
      </c>
      <c r="H7780" s="23" t="s">
        <v>34600</v>
      </c>
      <c r="I7780" s="243" t="s">
        <v>35926</v>
      </c>
      <c r="J7780" s="23" t="s">
        <v>55</v>
      </c>
      <c r="K7780" s="76" t="s">
        <v>35872</v>
      </c>
      <c r="L7780" s="94">
        <v>660.0</v>
      </c>
      <c r="M7780" s="94">
        <v>100.0</v>
      </c>
      <c r="N7780" s="95"/>
      <c r="O7780" s="94"/>
      <c r="P7780" s="94">
        <v>4.0</v>
      </c>
      <c r="Q7780" s="172" t="s">
        <v>280</v>
      </c>
      <c r="R7780" s="94">
        <v>200.0</v>
      </c>
      <c r="S7780" s="94" t="s">
        <v>1773</v>
      </c>
      <c r="T7780" s="102" t="s">
        <v>35927</v>
      </c>
      <c r="U7780" s="135" t="str">
        <f>HYPERLINK("https://www.ncbi.nlm.nih.gov/pubmed/27706396","PubMed")</f>
        <v>PubMed</v>
      </c>
      <c r="V7780" s="30"/>
      <c r="W7780" s="49"/>
      <c r="X7780" s="49"/>
      <c r="Y7780" s="35"/>
      <c r="Z7780" s="35"/>
      <c r="AA7780" s="35"/>
      <c r="AB7780" s="35"/>
      <c r="AC7780" s="35"/>
      <c r="AD7780" s="35"/>
      <c r="AE7780" s="35"/>
      <c r="AF7780" s="35"/>
      <c r="AG7780" s="35"/>
      <c r="AH7780" s="35"/>
      <c r="AI7780" s="35"/>
      <c r="AJ7780" s="35"/>
      <c r="AK7780" s="35"/>
      <c r="AL7780" s="35"/>
    </row>
    <row r="7781">
      <c r="A7781" s="1"/>
      <c r="B7781" s="157" t="s">
        <v>6113</v>
      </c>
      <c r="C7781" s="76" t="s">
        <v>35771</v>
      </c>
      <c r="D7781" s="159"/>
      <c r="E7781" s="23" t="s">
        <v>16618</v>
      </c>
      <c r="F7781" s="23" t="s">
        <v>5207</v>
      </c>
      <c r="G7781" s="23">
        <v>2016.0</v>
      </c>
      <c r="H7781" s="23" t="s">
        <v>91</v>
      </c>
      <c r="I7781" s="243" t="s">
        <v>35928</v>
      </c>
      <c r="J7781" s="23" t="s">
        <v>55</v>
      </c>
      <c r="K7781" s="23" t="s">
        <v>157</v>
      </c>
      <c r="L7781" s="94">
        <v>604.0</v>
      </c>
      <c r="M7781" s="94"/>
      <c r="N7781" s="94"/>
      <c r="O7781" s="93"/>
      <c r="P7781" s="94" t="s">
        <v>35929</v>
      </c>
      <c r="Q7781" s="172"/>
      <c r="R7781" s="94"/>
      <c r="S7781" s="94"/>
      <c r="T7781" s="54" t="s">
        <v>35930</v>
      </c>
      <c r="U7781" s="135" t="str">
        <f>HYPERLINK("https://www.ncbi.nlm.nih.gov/pubmed/27349246","PubMed")</f>
        <v>PubMed</v>
      </c>
      <c r="V7781" s="30" t="s">
        <v>35931</v>
      </c>
      <c r="W7781" s="49"/>
      <c r="X7781" s="49"/>
      <c r="Y7781" s="35"/>
      <c r="Z7781" s="35"/>
      <c r="AA7781" s="35"/>
      <c r="AB7781" s="35"/>
      <c r="AC7781" s="35"/>
      <c r="AD7781" s="35"/>
      <c r="AE7781" s="35"/>
      <c r="AF7781" s="35"/>
      <c r="AG7781" s="35"/>
      <c r="AH7781" s="35"/>
      <c r="AI7781" s="35"/>
      <c r="AJ7781" s="35"/>
      <c r="AK7781" s="35"/>
      <c r="AL7781" s="35"/>
    </row>
    <row r="7782">
      <c r="A7782" s="1"/>
      <c r="B7782" s="157" t="s">
        <v>6113</v>
      </c>
      <c r="C7782" s="158" t="s">
        <v>35771</v>
      </c>
      <c r="D7782" s="159"/>
      <c r="E7782" s="23" t="s">
        <v>35932</v>
      </c>
      <c r="F7782" s="23" t="s">
        <v>605</v>
      </c>
      <c r="G7782" s="23">
        <v>2016.0</v>
      </c>
      <c r="H7782" s="23" t="s">
        <v>91</v>
      </c>
      <c r="I7782" s="243" t="s">
        <v>35933</v>
      </c>
      <c r="J7782" s="23" t="s">
        <v>55</v>
      </c>
      <c r="K7782" s="23" t="s">
        <v>34271</v>
      </c>
      <c r="L7782" s="94">
        <v>635.0</v>
      </c>
      <c r="M7782" s="94"/>
      <c r="N7782" s="94"/>
      <c r="O7782" s="93"/>
      <c r="P7782" s="94" t="s">
        <v>1352</v>
      </c>
      <c r="Q7782" s="172"/>
      <c r="R7782" s="94"/>
      <c r="S7782" s="94"/>
      <c r="T7782" s="102" t="s">
        <v>35934</v>
      </c>
      <c r="U7782" s="135" t="str">
        <f>HYPERLINK("https://www.ncbi.nlm.nih.gov/pubmed/27371448","PubMed")</f>
        <v>PubMed</v>
      </c>
      <c r="V7782" s="30"/>
      <c r="W7782" s="49"/>
      <c r="X7782" s="49"/>
      <c r="Y7782" s="35"/>
      <c r="Z7782" s="35"/>
      <c r="AA7782" s="35"/>
      <c r="AB7782" s="35"/>
      <c r="AC7782" s="35"/>
      <c r="AD7782" s="35"/>
      <c r="AE7782" s="35"/>
      <c r="AF7782" s="35"/>
      <c r="AG7782" s="35"/>
      <c r="AH7782" s="35"/>
      <c r="AI7782" s="35"/>
      <c r="AJ7782" s="35"/>
      <c r="AK7782" s="35"/>
      <c r="AL7782" s="35"/>
    </row>
    <row r="7783">
      <c r="A7783" s="18"/>
      <c r="B7783" s="157" t="s">
        <v>6113</v>
      </c>
      <c r="C7783" s="76" t="s">
        <v>35771</v>
      </c>
      <c r="D7783" s="159"/>
      <c r="E7783" s="23" t="s">
        <v>25894</v>
      </c>
      <c r="F7783" s="23" t="s">
        <v>183</v>
      </c>
      <c r="G7783" s="23">
        <v>2016.0</v>
      </c>
      <c r="H7783" s="23" t="s">
        <v>91</v>
      </c>
      <c r="I7783" s="243" t="s">
        <v>35935</v>
      </c>
      <c r="J7783" s="23" t="s">
        <v>55</v>
      </c>
      <c r="K7783" s="23" t="s">
        <v>35936</v>
      </c>
      <c r="L7783" s="94">
        <v>660.0</v>
      </c>
      <c r="M7783" s="94">
        <v>40.0</v>
      </c>
      <c r="N7783" s="94"/>
      <c r="O7783" s="94"/>
      <c r="P7783" s="94">
        <v>6.0</v>
      </c>
      <c r="Q7783" s="172" t="s">
        <v>830</v>
      </c>
      <c r="R7783" s="94"/>
      <c r="S7783" s="94">
        <v>7.0</v>
      </c>
      <c r="T7783" s="54" t="s">
        <v>35937</v>
      </c>
      <c r="U7783" s="135" t="str">
        <f>HYPERLINK("https://www.ncbi.nlm.nih.gov/pubmed/27412288","PubMed")</f>
        <v>PubMed</v>
      </c>
      <c r="V7783" s="30"/>
      <c r="W7783" s="49"/>
      <c r="X7783" s="49"/>
      <c r="Y7783" s="35"/>
      <c r="Z7783" s="35"/>
      <c r="AA7783" s="35"/>
      <c r="AB7783" s="35"/>
      <c r="AC7783" s="35"/>
      <c r="AD7783" s="35"/>
      <c r="AE7783" s="35"/>
      <c r="AF7783" s="35"/>
      <c r="AG7783" s="35"/>
      <c r="AH7783" s="35"/>
      <c r="AI7783" s="35"/>
      <c r="AJ7783" s="35"/>
      <c r="AK7783" s="35"/>
      <c r="AL7783" s="35"/>
    </row>
    <row r="7784">
      <c r="A7784" s="1"/>
      <c r="B7784" s="157" t="s">
        <v>6113</v>
      </c>
      <c r="C7784" s="76" t="s">
        <v>35771</v>
      </c>
      <c r="D7784" s="159"/>
      <c r="E7784" s="23" t="s">
        <v>1648</v>
      </c>
      <c r="F7784" s="23" t="s">
        <v>299</v>
      </c>
      <c r="G7784" s="23">
        <v>2016.0</v>
      </c>
      <c r="H7784" s="23" t="s">
        <v>169</v>
      </c>
      <c r="I7784" s="243" t="s">
        <v>35938</v>
      </c>
      <c r="J7784" s="23" t="s">
        <v>44</v>
      </c>
      <c r="K7784" s="22" t="s">
        <v>35939</v>
      </c>
      <c r="L7784" s="94">
        <v>1064.0</v>
      </c>
      <c r="M7784" s="94"/>
      <c r="N7784" s="94"/>
      <c r="O7784" s="94"/>
      <c r="P7784" s="94" t="s">
        <v>35940</v>
      </c>
      <c r="Q7784" s="172"/>
      <c r="R7784" s="94"/>
      <c r="S7784" s="94"/>
      <c r="T7784" s="102" t="s">
        <v>35941</v>
      </c>
      <c r="U7784" s="135" t="str">
        <f>HYPERLINK("https://www.ncbi.nlm.nih.gov/pubmed/27351234","PubMed")</f>
        <v>PubMed</v>
      </c>
      <c r="V7784" s="30"/>
      <c r="W7784" s="49"/>
      <c r="X7784" s="49"/>
      <c r="Y7784" s="35"/>
      <c r="Z7784" s="35"/>
      <c r="AA7784" s="35"/>
      <c r="AB7784" s="35"/>
      <c r="AC7784" s="35"/>
      <c r="AD7784" s="35"/>
      <c r="AE7784" s="35"/>
      <c r="AF7784" s="35"/>
      <c r="AG7784" s="35"/>
      <c r="AH7784" s="35"/>
      <c r="AI7784" s="35"/>
      <c r="AJ7784" s="35"/>
      <c r="AK7784" s="35"/>
      <c r="AL7784" s="35"/>
    </row>
    <row r="7785">
      <c r="A7785" s="18"/>
      <c r="B7785" s="157" t="s">
        <v>6113</v>
      </c>
      <c r="C7785" s="158" t="s">
        <v>35771</v>
      </c>
      <c r="D7785" s="159"/>
      <c r="E7785" s="23" t="s">
        <v>35942</v>
      </c>
      <c r="F7785" s="23" t="s">
        <v>605</v>
      </c>
      <c r="G7785" s="23">
        <v>2016.0</v>
      </c>
      <c r="H7785" s="23" t="s">
        <v>53</v>
      </c>
      <c r="I7785" s="243" t="s">
        <v>35943</v>
      </c>
      <c r="J7785" s="23" t="s">
        <v>55</v>
      </c>
      <c r="K7785" s="23" t="s">
        <v>34271</v>
      </c>
      <c r="L7785" s="94">
        <v>808.0</v>
      </c>
      <c r="M7785" s="94"/>
      <c r="N7785" s="94" t="s">
        <v>35944</v>
      </c>
      <c r="O7785" s="94"/>
      <c r="P7785" s="94" t="s">
        <v>35945</v>
      </c>
      <c r="Q7785" s="172" t="s">
        <v>4458</v>
      </c>
      <c r="R7785" s="94"/>
      <c r="S7785" s="94">
        <v>3.0</v>
      </c>
      <c r="T7785" s="54" t="s">
        <v>35946</v>
      </c>
      <c r="U7785" s="135" t="str">
        <f>HYPERLINK("https://www.ncbi.nlm.nih.gov/pubmed/26718309","PubMed")</f>
        <v>PubMed</v>
      </c>
      <c r="V7785" s="30"/>
      <c r="W7785" s="49"/>
      <c r="X7785" s="49"/>
      <c r="Y7785" s="35"/>
      <c r="Z7785" s="35"/>
      <c r="AA7785" s="35"/>
      <c r="AB7785" s="35"/>
      <c r="AC7785" s="35"/>
      <c r="AD7785" s="35"/>
      <c r="AE7785" s="35"/>
      <c r="AF7785" s="35"/>
      <c r="AG7785" s="35"/>
      <c r="AH7785" s="35"/>
      <c r="AI7785" s="35"/>
      <c r="AJ7785" s="35"/>
      <c r="AK7785" s="35"/>
      <c r="AL7785" s="35"/>
    </row>
    <row r="7786">
      <c r="A7786" s="18"/>
      <c r="B7786" s="157" t="s">
        <v>6113</v>
      </c>
      <c r="C7786" s="158" t="s">
        <v>35771</v>
      </c>
      <c r="D7786" s="159"/>
      <c r="E7786" s="23" t="s">
        <v>21825</v>
      </c>
      <c r="F7786" s="23" t="s">
        <v>720</v>
      </c>
      <c r="G7786" s="23">
        <v>2016.0</v>
      </c>
      <c r="H7786" s="23" t="s">
        <v>91</v>
      </c>
      <c r="I7786" s="243" t="s">
        <v>35947</v>
      </c>
      <c r="J7786" s="23" t="s">
        <v>55</v>
      </c>
      <c r="K7786" s="23" t="s">
        <v>35948</v>
      </c>
      <c r="L7786" s="94">
        <v>660.0</v>
      </c>
      <c r="M7786" s="94">
        <v>40.0</v>
      </c>
      <c r="N7786" s="94"/>
      <c r="O7786" s="94"/>
      <c r="P7786" s="94">
        <v>4.0</v>
      </c>
      <c r="Q7786" s="172"/>
      <c r="R7786" s="94"/>
      <c r="S7786" s="94" t="s">
        <v>1307</v>
      </c>
      <c r="T7786" s="54" t="s">
        <v>35949</v>
      </c>
      <c r="U7786" s="135" t="str">
        <f>HYPERLINK("https://www.ncbi.nlm.nih.gov/pubmed/27649960","PubMed")</f>
        <v>PubMed</v>
      </c>
      <c r="V7786" s="30"/>
      <c r="W7786" s="49"/>
      <c r="X7786" s="49"/>
      <c r="Y7786" s="35"/>
      <c r="Z7786" s="35"/>
      <c r="AA7786" s="35"/>
      <c r="AB7786" s="35"/>
      <c r="AC7786" s="35"/>
      <c r="AD7786" s="35"/>
      <c r="AE7786" s="35"/>
      <c r="AF7786" s="35"/>
      <c r="AG7786" s="35"/>
      <c r="AH7786" s="35"/>
      <c r="AI7786" s="35"/>
      <c r="AJ7786" s="35"/>
      <c r="AK7786" s="35"/>
      <c r="AL7786" s="35"/>
    </row>
    <row r="7787">
      <c r="A7787" s="1"/>
      <c r="B7787" s="157" t="s">
        <v>6113</v>
      </c>
      <c r="C7787" s="158" t="s">
        <v>35771</v>
      </c>
      <c r="D7787" s="159"/>
      <c r="E7787" s="23" t="s">
        <v>1689</v>
      </c>
      <c r="F7787" s="23" t="s">
        <v>224</v>
      </c>
      <c r="G7787" s="23">
        <v>2016.0</v>
      </c>
      <c r="H7787" s="23" t="s">
        <v>627</v>
      </c>
      <c r="I7787" s="243" t="s">
        <v>35950</v>
      </c>
      <c r="J7787" s="23" t="s">
        <v>253</v>
      </c>
      <c r="K7787" s="22" t="s">
        <v>35951</v>
      </c>
      <c r="L7787" s="94" t="s">
        <v>35952</v>
      </c>
      <c r="M7787" s="94"/>
      <c r="N7787" s="94" t="s">
        <v>3911</v>
      </c>
      <c r="O7787" s="94"/>
      <c r="P7787" s="94" t="s">
        <v>35953</v>
      </c>
      <c r="Q7787" s="172" t="s">
        <v>35954</v>
      </c>
      <c r="R7787" s="94" t="s">
        <v>35955</v>
      </c>
      <c r="S7787" s="94"/>
      <c r="T7787" s="54" t="s">
        <v>35956</v>
      </c>
      <c r="U7787" s="135" t="str">
        <f>HYPERLINK("https://www.ncbi.nlm.nih.gov/pubmed/27347879","PubMed")</f>
        <v>PubMed</v>
      </c>
      <c r="V7787" s="30"/>
      <c r="W7787" s="49"/>
      <c r="X7787" s="49"/>
      <c r="Y7787" s="35"/>
      <c r="Z7787" s="35"/>
      <c r="AA7787" s="35"/>
      <c r="AB7787" s="35"/>
      <c r="AC7787" s="35"/>
      <c r="AD7787" s="35"/>
      <c r="AE7787" s="35"/>
      <c r="AF7787" s="35"/>
      <c r="AG7787" s="35"/>
      <c r="AH7787" s="35"/>
      <c r="AI7787" s="35"/>
      <c r="AJ7787" s="35"/>
      <c r="AK7787" s="35"/>
      <c r="AL7787" s="35"/>
    </row>
    <row r="7788">
      <c r="A7788" s="1"/>
      <c r="B7788" s="157" t="s">
        <v>6113</v>
      </c>
      <c r="C7788" s="158" t="s">
        <v>35771</v>
      </c>
      <c r="D7788" s="159"/>
      <c r="E7788" s="23" t="s">
        <v>21882</v>
      </c>
      <c r="F7788" s="23" t="s">
        <v>358</v>
      </c>
      <c r="G7788" s="23">
        <v>2015.0</v>
      </c>
      <c r="H7788" s="23" t="s">
        <v>91</v>
      </c>
      <c r="I7788" s="243" t="s">
        <v>35957</v>
      </c>
      <c r="J7788" s="23" t="s">
        <v>55</v>
      </c>
      <c r="K7788" s="23" t="s">
        <v>34271</v>
      </c>
      <c r="L7788" s="94">
        <v>660.0</v>
      </c>
      <c r="M7788" s="94">
        <v>100.0</v>
      </c>
      <c r="N7788" s="94"/>
      <c r="O7788" s="94">
        <v>2.0</v>
      </c>
      <c r="P7788" s="94">
        <v>70.0</v>
      </c>
      <c r="Q7788" s="172"/>
      <c r="R7788" s="94"/>
      <c r="S7788" s="94"/>
      <c r="T7788" s="54" t="s">
        <v>35958</v>
      </c>
      <c r="U7788" s="135" t="str">
        <f>HYPERLINK("https://www.ncbi.nlm.nih.gov/pubmed/25862476","PubMed")</f>
        <v>PubMed</v>
      </c>
      <c r="V7788" s="30"/>
      <c r="W7788" s="49"/>
      <c r="X7788" s="49"/>
      <c r="Y7788" s="35"/>
      <c r="Z7788" s="35"/>
      <c r="AA7788" s="35"/>
      <c r="AB7788" s="35"/>
      <c r="AC7788" s="35"/>
      <c r="AD7788" s="35"/>
      <c r="AE7788" s="35"/>
      <c r="AF7788" s="35"/>
      <c r="AG7788" s="35"/>
      <c r="AH7788" s="35"/>
      <c r="AI7788" s="35"/>
      <c r="AJ7788" s="35"/>
      <c r="AK7788" s="35"/>
      <c r="AL7788" s="35"/>
    </row>
    <row r="7789">
      <c r="A7789" s="1"/>
      <c r="B7789" s="157" t="s">
        <v>6113</v>
      </c>
      <c r="C7789" s="158" t="s">
        <v>35771</v>
      </c>
      <c r="D7789" s="159"/>
      <c r="E7789" s="23" t="s">
        <v>28788</v>
      </c>
      <c r="F7789" s="23" t="s">
        <v>323</v>
      </c>
      <c r="G7789" s="23">
        <v>2015.0</v>
      </c>
      <c r="H7789" s="23" t="s">
        <v>147</v>
      </c>
      <c r="I7789" s="243" t="s">
        <v>35959</v>
      </c>
      <c r="J7789" s="23" t="s">
        <v>55</v>
      </c>
      <c r="K7789" s="23" t="s">
        <v>35960</v>
      </c>
      <c r="L7789" s="94">
        <v>808.0</v>
      </c>
      <c r="M7789" s="94"/>
      <c r="N7789" s="94"/>
      <c r="O7789" s="94"/>
      <c r="P7789" s="94"/>
      <c r="Q7789" s="172"/>
      <c r="R7789" s="94"/>
      <c r="S7789" s="94">
        <v>6.0</v>
      </c>
      <c r="T7789" s="102" t="s">
        <v>35961</v>
      </c>
      <c r="U7789" s="138" t="s">
        <v>61</v>
      </c>
      <c r="V7789" s="30"/>
      <c r="W7789" s="49"/>
      <c r="X7789" s="49"/>
      <c r="Y7789" s="35"/>
      <c r="Z7789" s="35"/>
      <c r="AA7789" s="35"/>
      <c r="AB7789" s="35"/>
      <c r="AC7789" s="35"/>
      <c r="AD7789" s="35"/>
      <c r="AE7789" s="35"/>
      <c r="AF7789" s="35"/>
      <c r="AG7789" s="35"/>
      <c r="AH7789" s="35"/>
      <c r="AI7789" s="35"/>
      <c r="AJ7789" s="35"/>
      <c r="AK7789" s="35"/>
      <c r="AL7789" s="35"/>
    </row>
    <row r="7790">
      <c r="A7790" s="1"/>
      <c r="B7790" s="157" t="s">
        <v>6113</v>
      </c>
      <c r="C7790" s="158" t="s">
        <v>35771</v>
      </c>
      <c r="D7790" s="159"/>
      <c r="E7790" s="23" t="s">
        <v>6140</v>
      </c>
      <c r="F7790" s="23" t="s">
        <v>14139</v>
      </c>
      <c r="G7790" s="23">
        <v>2015.0</v>
      </c>
      <c r="H7790" s="23" t="s">
        <v>546</v>
      </c>
      <c r="I7790" s="243" t="s">
        <v>35962</v>
      </c>
      <c r="J7790" s="23" t="s">
        <v>44</v>
      </c>
      <c r="K7790" s="23" t="s">
        <v>35963</v>
      </c>
      <c r="L7790" s="94">
        <v>660.0</v>
      </c>
      <c r="M7790" s="94"/>
      <c r="N7790" s="94" t="s">
        <v>1729</v>
      </c>
      <c r="O7790" s="93"/>
      <c r="P7790" s="94">
        <v>30.0</v>
      </c>
      <c r="Q7790" s="172"/>
      <c r="R7790" s="94"/>
      <c r="S7790" s="94"/>
      <c r="T7790" s="54" t="s">
        <v>35964</v>
      </c>
      <c r="U7790" s="135" t="str">
        <f>HYPERLINK("https://www.ncbi.nlm.nih.gov/pubmed/25911320","PubMed")</f>
        <v>PubMed</v>
      </c>
      <c r="V7790" s="30"/>
      <c r="W7790" s="49"/>
      <c r="X7790" s="49"/>
      <c r="Y7790" s="35"/>
      <c r="Z7790" s="35"/>
      <c r="AA7790" s="35"/>
      <c r="AB7790" s="35"/>
      <c r="AC7790" s="35"/>
      <c r="AD7790" s="35"/>
      <c r="AE7790" s="35"/>
      <c r="AF7790" s="35"/>
      <c r="AG7790" s="35"/>
      <c r="AH7790" s="35"/>
      <c r="AI7790" s="35"/>
      <c r="AJ7790" s="35"/>
      <c r="AK7790" s="35"/>
      <c r="AL7790" s="35"/>
    </row>
    <row r="7791">
      <c r="A7791" s="1"/>
      <c r="B7791" s="157" t="s">
        <v>6113</v>
      </c>
      <c r="C7791" s="158" t="s">
        <v>35771</v>
      </c>
      <c r="D7791" s="159"/>
      <c r="E7791" s="23" t="s">
        <v>19107</v>
      </c>
      <c r="F7791" s="23" t="s">
        <v>12293</v>
      </c>
      <c r="G7791" s="23">
        <v>2015.0</v>
      </c>
      <c r="H7791" s="23" t="s">
        <v>42</v>
      </c>
      <c r="I7791" s="243" t="s">
        <v>35965</v>
      </c>
      <c r="J7791" s="23" t="s">
        <v>55</v>
      </c>
      <c r="K7791" s="23" t="s">
        <v>34271</v>
      </c>
      <c r="L7791" s="94">
        <v>660.0</v>
      </c>
      <c r="M7791" s="94">
        <v>100.0</v>
      </c>
      <c r="N7791" s="94" t="s">
        <v>278</v>
      </c>
      <c r="O7791" s="93">
        <v>42432.0</v>
      </c>
      <c r="P7791" s="94" t="s">
        <v>35966</v>
      </c>
      <c r="Q7791" s="172" t="s">
        <v>280</v>
      </c>
      <c r="R7791" s="94">
        <v>33.0</v>
      </c>
      <c r="S7791" s="94">
        <v>1.0</v>
      </c>
      <c r="T7791" s="54" t="s">
        <v>35967</v>
      </c>
      <c r="U7791" s="135" t="str">
        <f>HYPERLINK("https://www.ncbi.nlm.nih.gov/pubmed/25411997","PubMed")</f>
        <v>PubMed</v>
      </c>
      <c r="V7791" s="30"/>
      <c r="W7791" s="49"/>
      <c r="X7791" s="49"/>
      <c r="Y7791" s="35"/>
      <c r="Z7791" s="35"/>
      <c r="AA7791" s="35"/>
      <c r="AB7791" s="35"/>
      <c r="AC7791" s="35"/>
      <c r="AD7791" s="35"/>
      <c r="AE7791" s="35"/>
      <c r="AF7791" s="35"/>
      <c r="AG7791" s="35"/>
      <c r="AH7791" s="35"/>
      <c r="AI7791" s="35"/>
      <c r="AJ7791" s="35"/>
      <c r="AK7791" s="35"/>
      <c r="AL7791" s="35"/>
    </row>
    <row r="7792">
      <c r="A7792" s="1"/>
      <c r="B7792" s="19" t="s">
        <v>6113</v>
      </c>
      <c r="C7792" s="158" t="s">
        <v>35771</v>
      </c>
      <c r="D7792" s="47"/>
      <c r="E7792" s="22" t="s">
        <v>35968</v>
      </c>
      <c r="F7792" s="22" t="s">
        <v>41</v>
      </c>
      <c r="G7792" s="23">
        <v>2014.0</v>
      </c>
      <c r="H7792" s="22" t="s">
        <v>91</v>
      </c>
      <c r="I7792" s="24" t="s">
        <v>35969</v>
      </c>
      <c r="J7792" s="23" t="s">
        <v>55</v>
      </c>
      <c r="K7792" s="23" t="s">
        <v>35913</v>
      </c>
      <c r="L7792" s="36">
        <v>660.0</v>
      </c>
      <c r="M7792" s="36">
        <v>30.0</v>
      </c>
      <c r="N7792" s="323">
        <v>42917.0</v>
      </c>
      <c r="O7792" s="36">
        <v>2.0</v>
      </c>
      <c r="P7792" s="37" t="s">
        <v>6491</v>
      </c>
      <c r="Q7792" s="36" t="s">
        <v>280</v>
      </c>
      <c r="R7792" s="36"/>
      <c r="S7792" s="36"/>
      <c r="T7792" s="28" t="s">
        <v>35970</v>
      </c>
      <c r="U7792" s="38" t="str">
        <f>HYPERLINK("https://www.ncbi.nlm.nih.gov/pubmed/24801057","PubMed")</f>
        <v>PubMed</v>
      </c>
      <c r="V7792" s="50"/>
      <c r="W7792" s="49"/>
      <c r="X7792" s="49"/>
      <c r="Y7792" s="35"/>
      <c r="Z7792" s="35"/>
      <c r="AA7792" s="35"/>
      <c r="AB7792" s="35"/>
      <c r="AC7792" s="35"/>
      <c r="AD7792" s="35"/>
      <c r="AE7792" s="35"/>
      <c r="AF7792" s="35"/>
      <c r="AG7792" s="35"/>
      <c r="AH7792" s="35"/>
      <c r="AI7792" s="35"/>
      <c r="AJ7792" s="35"/>
      <c r="AK7792" s="35"/>
      <c r="AL7792" s="35"/>
    </row>
    <row r="7793">
      <c r="A7793" s="1"/>
      <c r="B7793" s="19" t="s">
        <v>6113</v>
      </c>
      <c r="C7793" s="76" t="s">
        <v>35771</v>
      </c>
      <c r="D7793" s="47"/>
      <c r="E7793" s="22" t="s">
        <v>5532</v>
      </c>
      <c r="F7793" s="22" t="s">
        <v>183</v>
      </c>
      <c r="G7793" s="23">
        <v>2014.0</v>
      </c>
      <c r="H7793" s="22" t="s">
        <v>35971</v>
      </c>
      <c r="I7793" s="24" t="s">
        <v>35972</v>
      </c>
      <c r="J7793" s="23" t="s">
        <v>55</v>
      </c>
      <c r="K7793" s="23" t="s">
        <v>35973</v>
      </c>
      <c r="L7793" s="36">
        <v>846.0</v>
      </c>
      <c r="M7793" s="36">
        <v>100.0</v>
      </c>
      <c r="N7793" s="36"/>
      <c r="O7793" s="36"/>
      <c r="P7793" s="37" t="s">
        <v>254</v>
      </c>
      <c r="Q7793" s="36"/>
      <c r="R7793" s="36"/>
      <c r="S7793" s="36"/>
      <c r="T7793" s="28" t="s">
        <v>35974</v>
      </c>
      <c r="U7793" s="38" t="str">
        <f>HYPERLINK("https://www.ncbi.nlm.nih.gov/pubmed/25028133","PubMed")</f>
        <v>PubMed</v>
      </c>
      <c r="V7793" s="30" t="s">
        <v>35975</v>
      </c>
      <c r="W7793" s="49"/>
      <c r="X7793" s="49"/>
      <c r="Y7793" s="35"/>
      <c r="Z7793" s="35"/>
      <c r="AA7793" s="35"/>
      <c r="AB7793" s="35"/>
      <c r="AC7793" s="35"/>
      <c r="AD7793" s="35"/>
      <c r="AE7793" s="35"/>
      <c r="AF7793" s="35"/>
      <c r="AG7793" s="35"/>
      <c r="AH7793" s="35"/>
      <c r="AI7793" s="35"/>
      <c r="AJ7793" s="35"/>
      <c r="AK7793" s="35"/>
      <c r="AL7793" s="35"/>
    </row>
    <row r="7794">
      <c r="A7794" s="1"/>
      <c r="B7794" s="19" t="s">
        <v>6113</v>
      </c>
      <c r="C7794" s="76" t="s">
        <v>35771</v>
      </c>
      <c r="D7794" s="47"/>
      <c r="E7794" s="22" t="s">
        <v>35976</v>
      </c>
      <c r="F7794" s="22" t="s">
        <v>183</v>
      </c>
      <c r="G7794" s="23">
        <v>2014.0</v>
      </c>
      <c r="H7794" s="22" t="s">
        <v>91</v>
      </c>
      <c r="I7794" s="24" t="s">
        <v>35977</v>
      </c>
      <c r="J7794" s="23" t="s">
        <v>55</v>
      </c>
      <c r="K7794" s="23"/>
      <c r="L7794" s="36">
        <v>630.0</v>
      </c>
      <c r="M7794" s="36"/>
      <c r="N7794" s="36"/>
      <c r="O7794" s="36"/>
      <c r="P7794" s="37"/>
      <c r="Q7794" s="36"/>
      <c r="R7794" s="36"/>
      <c r="S7794" s="36"/>
      <c r="T7794" s="42" t="s">
        <v>35978</v>
      </c>
      <c r="U7794" s="29" t="s">
        <v>61</v>
      </c>
      <c r="V7794" s="50"/>
      <c r="W7794" s="49"/>
      <c r="X7794" s="49"/>
      <c r="Y7794" s="35"/>
      <c r="Z7794" s="35"/>
      <c r="AA7794" s="35"/>
      <c r="AB7794" s="35"/>
      <c r="AC7794" s="35"/>
      <c r="AD7794" s="35"/>
      <c r="AE7794" s="35"/>
      <c r="AF7794" s="35"/>
      <c r="AG7794" s="35"/>
      <c r="AH7794" s="35"/>
      <c r="AI7794" s="35"/>
      <c r="AJ7794" s="35"/>
      <c r="AK7794" s="35"/>
      <c r="AL7794" s="35"/>
    </row>
    <row r="7795">
      <c r="A7795" s="1" t="s">
        <v>181</v>
      </c>
      <c r="B7795" s="19" t="s">
        <v>6113</v>
      </c>
      <c r="C7795" s="76" t="s">
        <v>35771</v>
      </c>
      <c r="D7795" s="47"/>
      <c r="E7795" s="22" t="s">
        <v>35979</v>
      </c>
      <c r="F7795" s="22" t="s">
        <v>697</v>
      </c>
      <c r="G7795" s="23">
        <v>2014.0</v>
      </c>
      <c r="H7795" s="22" t="s">
        <v>8571</v>
      </c>
      <c r="I7795" s="24" t="s">
        <v>35980</v>
      </c>
      <c r="J7795" s="23" t="s">
        <v>253</v>
      </c>
      <c r="K7795" s="23" t="s">
        <v>35824</v>
      </c>
      <c r="L7795" s="36">
        <v>808.0</v>
      </c>
      <c r="M7795" s="36"/>
      <c r="N7795" s="36"/>
      <c r="O7795" s="36"/>
      <c r="P7795" s="37" t="s">
        <v>254</v>
      </c>
      <c r="Q7795" s="36"/>
      <c r="R7795" s="36"/>
      <c r="S7795" s="36">
        <v>3.0</v>
      </c>
      <c r="T7795" s="28" t="s">
        <v>35981</v>
      </c>
      <c r="U7795" s="38" t="str">
        <f>HYPERLINK("https://www.ncbi.nlm.nih.gov/pubmed/24761093","PubMed")</f>
        <v>PubMed</v>
      </c>
      <c r="V7795" s="50"/>
      <c r="W7795" s="49"/>
      <c r="X7795" s="49"/>
      <c r="Y7795" s="35"/>
      <c r="Z7795" s="35"/>
      <c r="AA7795" s="35"/>
      <c r="AB7795" s="35"/>
      <c r="AC7795" s="35"/>
      <c r="AD7795" s="35"/>
      <c r="AE7795" s="35"/>
      <c r="AF7795" s="35"/>
      <c r="AG7795" s="35"/>
      <c r="AH7795" s="35"/>
      <c r="AI7795" s="35"/>
      <c r="AJ7795" s="35"/>
      <c r="AK7795" s="35"/>
      <c r="AL7795" s="35"/>
    </row>
    <row r="7796">
      <c r="A7796" s="1"/>
      <c r="B7796" s="19" t="s">
        <v>6113</v>
      </c>
      <c r="C7796" s="76" t="s">
        <v>35771</v>
      </c>
      <c r="D7796" s="47"/>
      <c r="E7796" s="22" t="s">
        <v>35982</v>
      </c>
      <c r="F7796" s="22" t="s">
        <v>35983</v>
      </c>
      <c r="G7796" s="23">
        <v>2014.0</v>
      </c>
      <c r="H7796" s="22" t="s">
        <v>721</v>
      </c>
      <c r="I7796" s="24" t="s">
        <v>35984</v>
      </c>
      <c r="J7796" s="23" t="s">
        <v>55</v>
      </c>
      <c r="K7796" s="23" t="s">
        <v>35985</v>
      </c>
      <c r="L7796" s="36">
        <v>660.0</v>
      </c>
      <c r="M7796" s="36">
        <v>20.0</v>
      </c>
      <c r="N7796" s="36" t="s">
        <v>35986</v>
      </c>
      <c r="O7796" s="36"/>
      <c r="P7796" s="37" t="s">
        <v>4987</v>
      </c>
      <c r="Q7796" s="36" t="s">
        <v>7690</v>
      </c>
      <c r="R7796" s="36" t="s">
        <v>35987</v>
      </c>
      <c r="S7796" s="36" t="s">
        <v>35988</v>
      </c>
      <c r="T7796" s="28" t="s">
        <v>35989</v>
      </c>
      <c r="U7796" s="38" t="str">
        <f>HYPERLINK("https://www.ncbi.nlm.nih.gov/pubmed/24354418","PubMed")</f>
        <v>PubMed</v>
      </c>
      <c r="V7796" s="50"/>
      <c r="W7796" s="49"/>
      <c r="X7796" s="49"/>
      <c r="Y7796" s="35"/>
      <c r="Z7796" s="35"/>
      <c r="AA7796" s="35"/>
      <c r="AB7796" s="35"/>
      <c r="AC7796" s="35"/>
      <c r="AD7796" s="35"/>
      <c r="AE7796" s="35"/>
      <c r="AF7796" s="35"/>
      <c r="AG7796" s="35"/>
      <c r="AH7796" s="35"/>
      <c r="AI7796" s="35"/>
      <c r="AJ7796" s="35"/>
      <c r="AK7796" s="35"/>
      <c r="AL7796" s="35"/>
    </row>
    <row r="7797">
      <c r="A7797" s="1"/>
      <c r="B7797" s="19" t="s">
        <v>6113</v>
      </c>
      <c r="C7797" s="76" t="s">
        <v>35771</v>
      </c>
      <c r="D7797" s="47"/>
      <c r="E7797" s="22" t="s">
        <v>35976</v>
      </c>
      <c r="F7797" s="22" t="s">
        <v>183</v>
      </c>
      <c r="G7797" s="23">
        <v>2014.0</v>
      </c>
      <c r="H7797" s="22" t="s">
        <v>658</v>
      </c>
      <c r="I7797" s="24" t="s">
        <v>35990</v>
      </c>
      <c r="J7797" s="23" t="s">
        <v>55</v>
      </c>
      <c r="K7797" s="23" t="s">
        <v>35991</v>
      </c>
      <c r="L7797" s="36">
        <v>660.0</v>
      </c>
      <c r="M7797" s="36">
        <v>40.0</v>
      </c>
      <c r="N7797" s="36">
        <v>1.0</v>
      </c>
      <c r="O7797" s="36" t="s">
        <v>35992</v>
      </c>
      <c r="P7797" s="37" t="s">
        <v>15031</v>
      </c>
      <c r="Q7797" s="36" t="s">
        <v>830</v>
      </c>
      <c r="R7797" s="36" t="s">
        <v>35993</v>
      </c>
      <c r="S7797" s="36"/>
      <c r="T7797" s="28" t="s">
        <v>35994</v>
      </c>
      <c r="U7797" s="38" t="str">
        <f>HYPERLINK("https://www.ncbi.nlm.nih.gov/pubmed/24730579","PubMed")</f>
        <v>PubMed</v>
      </c>
      <c r="V7797" s="50"/>
      <c r="W7797" s="49"/>
      <c r="X7797" s="49"/>
      <c r="Y7797" s="35"/>
      <c r="Z7797" s="35"/>
      <c r="AA7797" s="35"/>
      <c r="AB7797" s="35"/>
      <c r="AC7797" s="35"/>
      <c r="AD7797" s="35"/>
      <c r="AE7797" s="35"/>
      <c r="AF7797" s="35"/>
      <c r="AG7797" s="35"/>
      <c r="AH7797" s="35"/>
      <c r="AI7797" s="35"/>
      <c r="AJ7797" s="35"/>
      <c r="AK7797" s="35"/>
      <c r="AL7797" s="35"/>
    </row>
    <row r="7798">
      <c r="A7798" s="1"/>
      <c r="B7798" s="157" t="s">
        <v>6113</v>
      </c>
      <c r="C7798" s="158" t="s">
        <v>35771</v>
      </c>
      <c r="D7798" s="47"/>
      <c r="E7798" s="22" t="s">
        <v>3831</v>
      </c>
      <c r="F7798" s="22" t="s">
        <v>389</v>
      </c>
      <c r="G7798" s="23">
        <v>2013.0</v>
      </c>
      <c r="H7798" s="23" t="s">
        <v>35995</v>
      </c>
      <c r="I7798" s="24" t="s">
        <v>35996</v>
      </c>
      <c r="J7798" s="23" t="s">
        <v>55</v>
      </c>
      <c r="K7798" s="23" t="s">
        <v>35997</v>
      </c>
      <c r="L7798" s="36">
        <v>830.0</v>
      </c>
      <c r="M7798" s="36">
        <v>90.0</v>
      </c>
      <c r="N7798" s="36" t="s">
        <v>35998</v>
      </c>
      <c r="O7798" s="36"/>
      <c r="P7798" s="37" t="s">
        <v>1028</v>
      </c>
      <c r="Q7798" s="36" t="s">
        <v>35999</v>
      </c>
      <c r="R7798" s="36"/>
      <c r="S7798" s="36"/>
      <c r="T7798" s="28" t="s">
        <v>36000</v>
      </c>
      <c r="U7798" s="38" t="str">
        <f>HYPERLINK("https://www.ncbi.nlm.nih.gov/pubmed/23968696","PubMed")</f>
        <v>PubMed</v>
      </c>
      <c r="V7798" s="50"/>
      <c r="W7798" s="49"/>
      <c r="X7798" s="49"/>
      <c r="Y7798" s="35"/>
      <c r="Z7798" s="35"/>
      <c r="AA7798" s="35"/>
      <c r="AB7798" s="35"/>
      <c r="AC7798" s="35"/>
      <c r="AD7798" s="35"/>
      <c r="AE7798" s="35"/>
      <c r="AF7798" s="35"/>
      <c r="AG7798" s="35"/>
      <c r="AH7798" s="35"/>
      <c r="AI7798" s="35"/>
      <c r="AJ7798" s="35"/>
      <c r="AK7798" s="35"/>
      <c r="AL7798" s="35"/>
    </row>
    <row r="7799">
      <c r="A7799" s="1"/>
      <c r="B7799" s="75" t="s">
        <v>6113</v>
      </c>
      <c r="C7799" s="76" t="s">
        <v>35771</v>
      </c>
      <c r="D7799" s="47"/>
      <c r="E7799" s="22" t="s">
        <v>6371</v>
      </c>
      <c r="F7799" s="22" t="s">
        <v>183</v>
      </c>
      <c r="G7799" s="23">
        <v>2013.0</v>
      </c>
      <c r="H7799" s="23" t="s">
        <v>837</v>
      </c>
      <c r="I7799" s="24" t="s">
        <v>36001</v>
      </c>
      <c r="J7799" s="23" t="s">
        <v>55</v>
      </c>
      <c r="K7799" s="23" t="s">
        <v>36002</v>
      </c>
      <c r="L7799" s="36">
        <v>660.0</v>
      </c>
      <c r="M7799" s="36">
        <v>16.0</v>
      </c>
      <c r="N7799" s="36"/>
      <c r="O7799" s="36"/>
      <c r="P7799" s="37" t="s">
        <v>95</v>
      </c>
      <c r="Q7799" s="36"/>
      <c r="R7799" s="36"/>
      <c r="S7799" s="36"/>
      <c r="T7799" s="28" t="s">
        <v>36003</v>
      </c>
      <c r="U7799" s="38" t="str">
        <f>HYPERLINK("https://www.ncbi.nlm.nih.gov/pubmed/24173246","PubMed")</f>
        <v>PubMed</v>
      </c>
      <c r="V7799" s="30" t="s">
        <v>36004</v>
      </c>
      <c r="W7799" s="49"/>
      <c r="X7799" s="49"/>
      <c r="Y7799" s="35"/>
      <c r="Z7799" s="35"/>
      <c r="AA7799" s="35"/>
      <c r="AB7799" s="35"/>
      <c r="AC7799" s="35"/>
      <c r="AD7799" s="35"/>
      <c r="AE7799" s="35"/>
      <c r="AF7799" s="35"/>
      <c r="AG7799" s="35"/>
      <c r="AH7799" s="35"/>
      <c r="AI7799" s="35"/>
      <c r="AJ7799" s="35"/>
      <c r="AK7799" s="35"/>
      <c r="AL7799" s="35"/>
    </row>
    <row r="7800">
      <c r="A7800" s="1"/>
      <c r="B7800" s="19" t="s">
        <v>6113</v>
      </c>
      <c r="C7800" s="76" t="s">
        <v>35771</v>
      </c>
      <c r="D7800" s="47"/>
      <c r="E7800" s="22" t="s">
        <v>36005</v>
      </c>
      <c r="F7800" s="22" t="s">
        <v>183</v>
      </c>
      <c r="G7800" s="23">
        <v>2013.0</v>
      </c>
      <c r="H7800" s="23" t="s">
        <v>91</v>
      </c>
      <c r="I7800" s="24" t="s">
        <v>36006</v>
      </c>
      <c r="J7800" s="23" t="s">
        <v>55</v>
      </c>
      <c r="K7800" s="23" t="s">
        <v>36007</v>
      </c>
      <c r="L7800" s="36" t="s">
        <v>36008</v>
      </c>
      <c r="M7800" s="36" t="s">
        <v>20916</v>
      </c>
      <c r="N7800" s="36"/>
      <c r="O7800" s="36"/>
      <c r="P7800" s="37" t="s">
        <v>26366</v>
      </c>
      <c r="Q7800" s="36" t="s">
        <v>36009</v>
      </c>
      <c r="R7800" s="36" t="s">
        <v>36010</v>
      </c>
      <c r="S7800" s="36"/>
      <c r="T7800" s="28" t="s">
        <v>36011</v>
      </c>
      <c r="U7800" s="38" t="str">
        <f>HYPERLINK("https://www.ncbi.nlm.nih.gov/pubmed/22814898","PubMed")</f>
        <v>PubMed</v>
      </c>
      <c r="V7800" s="30"/>
      <c r="W7800" s="49"/>
      <c r="X7800" s="49"/>
      <c r="Y7800" s="35"/>
      <c r="Z7800" s="35"/>
      <c r="AA7800" s="35"/>
      <c r="AB7800" s="35"/>
      <c r="AC7800" s="35"/>
      <c r="AD7800" s="35"/>
      <c r="AE7800" s="35"/>
      <c r="AF7800" s="35"/>
      <c r="AG7800" s="35"/>
      <c r="AH7800" s="35"/>
      <c r="AI7800" s="35"/>
      <c r="AJ7800" s="35"/>
      <c r="AK7800" s="35"/>
      <c r="AL7800" s="35"/>
    </row>
    <row r="7801">
      <c r="A7801" s="146" t="s">
        <v>38</v>
      </c>
      <c r="B7801" s="19" t="s">
        <v>6113</v>
      </c>
      <c r="C7801" s="158" t="s">
        <v>35771</v>
      </c>
      <c r="D7801" s="47"/>
      <c r="E7801" s="22" t="s">
        <v>36012</v>
      </c>
      <c r="F7801" s="22" t="s">
        <v>27771</v>
      </c>
      <c r="G7801" s="23">
        <v>2012.0</v>
      </c>
      <c r="H7801" s="22" t="s">
        <v>36013</v>
      </c>
      <c r="I7801" s="24" t="s">
        <v>36014</v>
      </c>
      <c r="J7801" s="23" t="s">
        <v>55</v>
      </c>
      <c r="K7801" s="23" t="s">
        <v>36015</v>
      </c>
      <c r="L7801" s="36" t="s">
        <v>36016</v>
      </c>
      <c r="M7801" s="36"/>
      <c r="N7801" s="36" t="s">
        <v>36017</v>
      </c>
      <c r="O7801" s="36"/>
      <c r="P7801" s="37"/>
      <c r="Q7801" s="36"/>
      <c r="R7801" s="36">
        <v>3600.0</v>
      </c>
      <c r="S7801" s="36" t="s">
        <v>2396</v>
      </c>
      <c r="T7801" s="28" t="s">
        <v>36018</v>
      </c>
      <c r="U7801" s="38" t="s">
        <v>6709</v>
      </c>
      <c r="V7801" s="50"/>
      <c r="W7801" s="49"/>
      <c r="X7801" s="49"/>
      <c r="Y7801" s="35"/>
      <c r="Z7801" s="35"/>
      <c r="AA7801" s="35"/>
      <c r="AB7801" s="35"/>
      <c r="AC7801" s="35"/>
      <c r="AD7801" s="35"/>
      <c r="AE7801" s="35"/>
      <c r="AF7801" s="35"/>
      <c r="AG7801" s="35"/>
      <c r="AH7801" s="35"/>
      <c r="AI7801" s="35"/>
      <c r="AJ7801" s="35"/>
      <c r="AK7801" s="35"/>
      <c r="AL7801" s="35"/>
    </row>
    <row r="7802">
      <c r="A7802" s="1"/>
      <c r="B7802" s="19" t="s">
        <v>6113</v>
      </c>
      <c r="C7802" s="158" t="s">
        <v>35771</v>
      </c>
      <c r="D7802" s="47"/>
      <c r="E7802" s="22" t="s">
        <v>467</v>
      </c>
      <c r="F7802" s="22" t="s">
        <v>765</v>
      </c>
      <c r="G7802" s="23">
        <v>2012.0</v>
      </c>
      <c r="H7802" s="22" t="s">
        <v>91</v>
      </c>
      <c r="I7802" s="24" t="s">
        <v>36019</v>
      </c>
      <c r="J7802" s="23" t="s">
        <v>55</v>
      </c>
      <c r="K7802" s="23" t="s">
        <v>36020</v>
      </c>
      <c r="L7802" s="36">
        <v>660.0</v>
      </c>
      <c r="M7802" s="36">
        <v>30.0</v>
      </c>
      <c r="N7802" s="36" t="s">
        <v>637</v>
      </c>
      <c r="O7802" s="36" t="s">
        <v>36021</v>
      </c>
      <c r="P7802" s="37" t="s">
        <v>36022</v>
      </c>
      <c r="Q7802" s="36"/>
      <c r="R7802" s="36" t="s">
        <v>36023</v>
      </c>
      <c r="S7802" s="36"/>
      <c r="T7802" s="28" t="s">
        <v>36024</v>
      </c>
      <c r="U7802" s="38" t="str">
        <f>HYPERLINK("https://www.ncbi.nlm.nih.gov/pubmed/21750957","PubMed")</f>
        <v>PubMed</v>
      </c>
      <c r="V7802" s="50"/>
      <c r="W7802" s="49"/>
      <c r="X7802" s="49"/>
      <c r="Y7802" s="35"/>
      <c r="Z7802" s="35"/>
      <c r="AA7802" s="35"/>
      <c r="AB7802" s="35"/>
      <c r="AC7802" s="35"/>
      <c r="AD7802" s="35"/>
      <c r="AE7802" s="35"/>
      <c r="AF7802" s="35"/>
      <c r="AG7802" s="35"/>
      <c r="AH7802" s="35"/>
      <c r="AI7802" s="35"/>
      <c r="AJ7802" s="35"/>
      <c r="AK7802" s="35"/>
      <c r="AL7802" s="35"/>
    </row>
    <row r="7803">
      <c r="A7803" s="1"/>
      <c r="B7803" s="19" t="s">
        <v>6113</v>
      </c>
      <c r="C7803" s="158" t="s">
        <v>35771</v>
      </c>
      <c r="D7803" s="47"/>
      <c r="E7803" s="22" t="s">
        <v>1080</v>
      </c>
      <c r="F7803" s="22" t="s">
        <v>299</v>
      </c>
      <c r="G7803" s="23">
        <v>2012.0</v>
      </c>
      <c r="H7803" s="22" t="s">
        <v>7329</v>
      </c>
      <c r="I7803" s="24" t="s">
        <v>36025</v>
      </c>
      <c r="J7803" s="23" t="s">
        <v>44</v>
      </c>
      <c r="K7803" s="23" t="s">
        <v>36026</v>
      </c>
      <c r="L7803" s="36">
        <v>633.0</v>
      </c>
      <c r="M7803" s="36">
        <v>17.0</v>
      </c>
      <c r="N7803" s="36"/>
      <c r="O7803" s="36" t="s">
        <v>36027</v>
      </c>
      <c r="P7803" s="37" t="s">
        <v>325</v>
      </c>
      <c r="Q7803" s="36"/>
      <c r="R7803" s="36"/>
      <c r="S7803" s="36"/>
      <c r="T7803" s="28" t="s">
        <v>36028</v>
      </c>
      <c r="U7803" s="38" t="str">
        <f>HYPERLINK("https://www.ncbi.nlm.nih.gov/pubmed/23084629","PubMed")</f>
        <v>PubMed</v>
      </c>
      <c r="V7803" s="50"/>
      <c r="W7803" s="49"/>
      <c r="X7803" s="49"/>
      <c r="Y7803" s="35"/>
      <c r="Z7803" s="35"/>
      <c r="AA7803" s="35"/>
      <c r="AB7803" s="35"/>
      <c r="AC7803" s="35"/>
      <c r="AD7803" s="35"/>
      <c r="AE7803" s="35"/>
      <c r="AF7803" s="35"/>
      <c r="AG7803" s="35"/>
      <c r="AH7803" s="35"/>
      <c r="AI7803" s="35"/>
      <c r="AJ7803" s="35"/>
      <c r="AK7803" s="35"/>
      <c r="AL7803" s="35"/>
    </row>
    <row r="7804">
      <c r="A7804" s="1"/>
      <c r="B7804" s="19" t="s">
        <v>6113</v>
      </c>
      <c r="C7804" s="76" t="s">
        <v>35771</v>
      </c>
      <c r="D7804" s="47"/>
      <c r="E7804" s="22" t="s">
        <v>36029</v>
      </c>
      <c r="F7804" s="22" t="s">
        <v>2221</v>
      </c>
      <c r="G7804" s="23">
        <v>2012.0</v>
      </c>
      <c r="H7804" s="23" t="s">
        <v>42</v>
      </c>
      <c r="I7804" s="24" t="s">
        <v>36030</v>
      </c>
      <c r="J7804" s="23" t="s">
        <v>44</v>
      </c>
      <c r="K7804" s="22" t="s">
        <v>35824</v>
      </c>
      <c r="L7804" s="36">
        <v>633.0</v>
      </c>
      <c r="M7804" s="36">
        <v>7.0</v>
      </c>
      <c r="N7804" s="36">
        <v>0.0</v>
      </c>
      <c r="O7804" s="36"/>
      <c r="P7804" s="37" t="s">
        <v>36031</v>
      </c>
      <c r="Q7804" s="36"/>
      <c r="R7804" s="36"/>
      <c r="S7804" s="36"/>
      <c r="T7804" s="28" t="s">
        <v>36032</v>
      </c>
      <c r="U7804" s="38" t="str">
        <f>HYPERLINK("https://www.ncbi.nlm.nih.gov/pubmed/22174176","PubMed")</f>
        <v>PubMed</v>
      </c>
      <c r="V7804" s="50"/>
      <c r="W7804" s="49"/>
      <c r="X7804" s="49"/>
      <c r="Y7804" s="35"/>
      <c r="Z7804" s="35"/>
      <c r="AA7804" s="35"/>
      <c r="AB7804" s="35"/>
      <c r="AC7804" s="35"/>
      <c r="AD7804" s="35"/>
      <c r="AE7804" s="35"/>
      <c r="AF7804" s="35"/>
      <c r="AG7804" s="35"/>
      <c r="AH7804" s="35"/>
      <c r="AI7804" s="35"/>
      <c r="AJ7804" s="35"/>
      <c r="AK7804" s="35"/>
      <c r="AL7804" s="35"/>
    </row>
    <row r="7805">
      <c r="A7805" s="1"/>
      <c r="B7805" s="19" t="s">
        <v>6113</v>
      </c>
      <c r="C7805" s="76" t="s">
        <v>35771</v>
      </c>
      <c r="D7805" s="47"/>
      <c r="E7805" s="22" t="s">
        <v>32922</v>
      </c>
      <c r="F7805" s="22" t="s">
        <v>3511</v>
      </c>
      <c r="G7805" s="23">
        <v>2012.0</v>
      </c>
      <c r="H7805" s="22" t="s">
        <v>28789</v>
      </c>
      <c r="I7805" s="24" t="s">
        <v>36033</v>
      </c>
      <c r="J7805" s="23" t="s">
        <v>55</v>
      </c>
      <c r="K7805" s="23" t="s">
        <v>35824</v>
      </c>
      <c r="L7805" s="36" t="s">
        <v>36034</v>
      </c>
      <c r="M7805" s="36"/>
      <c r="N7805" s="36"/>
      <c r="O7805" s="36"/>
      <c r="P7805" s="37"/>
      <c r="Q7805" s="36"/>
      <c r="R7805" s="36">
        <v>540.0</v>
      </c>
      <c r="S7805" s="36"/>
      <c r="T7805" s="42" t="s">
        <v>36035</v>
      </c>
      <c r="U7805" s="38" t="str">
        <f>HYPERLINK("https://www.ncbi.nlm.nih.gov/pubmed/23326769","PubMed")</f>
        <v>PubMed</v>
      </c>
      <c r="V7805" s="50"/>
      <c r="W7805" s="49"/>
      <c r="X7805" s="49"/>
      <c r="Y7805" s="35"/>
      <c r="Z7805" s="35"/>
      <c r="AA7805" s="35"/>
      <c r="AB7805" s="35"/>
      <c r="AC7805" s="35"/>
      <c r="AD7805" s="35"/>
      <c r="AE7805" s="35"/>
      <c r="AF7805" s="35"/>
      <c r="AG7805" s="35"/>
      <c r="AH7805" s="35"/>
      <c r="AI7805" s="35"/>
      <c r="AJ7805" s="35"/>
      <c r="AK7805" s="35"/>
      <c r="AL7805" s="35"/>
    </row>
    <row r="7806">
      <c r="A7806" s="1"/>
      <c r="B7806" s="19" t="s">
        <v>6113</v>
      </c>
      <c r="C7806" s="158" t="s">
        <v>35771</v>
      </c>
      <c r="D7806" s="47"/>
      <c r="E7806" s="22" t="s">
        <v>987</v>
      </c>
      <c r="F7806" s="23" t="s">
        <v>41</v>
      </c>
      <c r="G7806" s="23">
        <v>2012.0</v>
      </c>
      <c r="H7806" s="22" t="s">
        <v>169</v>
      </c>
      <c r="I7806" s="24" t="s">
        <v>36036</v>
      </c>
      <c r="J7806" s="23" t="s">
        <v>253</v>
      </c>
      <c r="K7806" s="23" t="s">
        <v>36037</v>
      </c>
      <c r="L7806" s="36">
        <v>633.0</v>
      </c>
      <c r="M7806" s="36"/>
      <c r="N7806" s="36"/>
      <c r="O7806" s="36"/>
      <c r="P7806" s="37" t="s">
        <v>82</v>
      </c>
      <c r="Q7806" s="36"/>
      <c r="R7806" s="36"/>
      <c r="S7806" s="36"/>
      <c r="T7806" s="28" t="s">
        <v>36038</v>
      </c>
      <c r="U7806" s="38" t="str">
        <f>HYPERLINK("https://www.ncbi.nlm.nih.gov/pubmed/23057697","PubMed")</f>
        <v>PubMed</v>
      </c>
      <c r="V7806" s="50"/>
      <c r="W7806" s="49"/>
      <c r="X7806" s="49"/>
      <c r="Y7806" s="35"/>
      <c r="Z7806" s="35"/>
      <c r="AA7806" s="35"/>
      <c r="AB7806" s="35"/>
      <c r="AC7806" s="35"/>
      <c r="AD7806" s="35"/>
      <c r="AE7806" s="35"/>
      <c r="AF7806" s="35"/>
      <c r="AG7806" s="35"/>
      <c r="AH7806" s="35"/>
      <c r="AI7806" s="35"/>
      <c r="AJ7806" s="35"/>
      <c r="AK7806" s="35"/>
      <c r="AL7806" s="35"/>
    </row>
    <row r="7807">
      <c r="A7807" s="1"/>
      <c r="B7807" s="19" t="s">
        <v>6113</v>
      </c>
      <c r="C7807" s="76" t="s">
        <v>35771</v>
      </c>
      <c r="D7807" s="47"/>
      <c r="E7807" s="22" t="s">
        <v>6068</v>
      </c>
      <c r="F7807" s="22" t="s">
        <v>183</v>
      </c>
      <c r="G7807" s="23">
        <v>2012.0</v>
      </c>
      <c r="H7807" s="23" t="s">
        <v>36039</v>
      </c>
      <c r="I7807" s="24" t="s">
        <v>36040</v>
      </c>
      <c r="J7807" s="23" t="s">
        <v>55</v>
      </c>
      <c r="K7807" s="22" t="s">
        <v>36041</v>
      </c>
      <c r="L7807" s="36" t="s">
        <v>36042</v>
      </c>
      <c r="M7807" s="36" t="s">
        <v>36043</v>
      </c>
      <c r="N7807" s="36"/>
      <c r="O7807" s="36"/>
      <c r="P7807" s="37" t="s">
        <v>36044</v>
      </c>
      <c r="Q7807" s="36" t="s">
        <v>36045</v>
      </c>
      <c r="R7807" s="36"/>
      <c r="S7807" s="36"/>
      <c r="T7807" s="28" t="s">
        <v>36046</v>
      </c>
      <c r="U7807" s="38" t="str">
        <f>HYPERLINK("http://aip.scitation.org/doi/abs/10.1063/1.4757828","AIP")</f>
        <v>AIP</v>
      </c>
      <c r="V7807" s="30" t="s">
        <v>36047</v>
      </c>
      <c r="W7807" s="49"/>
      <c r="X7807" s="49"/>
      <c r="Y7807" s="35"/>
      <c r="Z7807" s="35"/>
      <c r="AA7807" s="35"/>
      <c r="AB7807" s="35"/>
      <c r="AC7807" s="35"/>
      <c r="AD7807" s="35"/>
      <c r="AE7807" s="35"/>
      <c r="AF7807" s="35"/>
      <c r="AG7807" s="35"/>
      <c r="AH7807" s="35"/>
      <c r="AI7807" s="35"/>
      <c r="AJ7807" s="35"/>
      <c r="AK7807" s="35"/>
      <c r="AL7807" s="35"/>
    </row>
    <row r="7808">
      <c r="A7808" s="1"/>
      <c r="B7808" s="19" t="s">
        <v>6113</v>
      </c>
      <c r="C7808" s="76" t="s">
        <v>35771</v>
      </c>
      <c r="D7808" s="47"/>
      <c r="E7808" s="22" t="s">
        <v>36048</v>
      </c>
      <c r="F7808" s="22" t="s">
        <v>1603</v>
      </c>
      <c r="G7808" s="23">
        <v>2011.0</v>
      </c>
      <c r="H7808" s="22" t="s">
        <v>36049</v>
      </c>
      <c r="I7808" s="24" t="s">
        <v>36050</v>
      </c>
      <c r="J7808" s="23" t="s">
        <v>55</v>
      </c>
      <c r="K7808" s="23" t="s">
        <v>36051</v>
      </c>
      <c r="L7808" s="36" t="s">
        <v>36052</v>
      </c>
      <c r="M7808" s="36"/>
      <c r="N7808" s="36" t="s">
        <v>36053</v>
      </c>
      <c r="O7808" s="36"/>
      <c r="P7808" s="37"/>
      <c r="Q7808" s="36"/>
      <c r="R7808" s="36"/>
      <c r="S7808" s="36"/>
      <c r="T7808" s="28" t="s">
        <v>36054</v>
      </c>
      <c r="U7808" s="38" t="str">
        <f>HYPERLINK("https://www.ncbi.nlm.nih.gov/pubmed/22081819","PubMed")</f>
        <v>PubMed</v>
      </c>
      <c r="V7808" s="50"/>
      <c r="W7808" s="49"/>
      <c r="X7808" s="49"/>
      <c r="Y7808" s="35"/>
      <c r="Z7808" s="35"/>
      <c r="AA7808" s="35"/>
      <c r="AB7808" s="35"/>
      <c r="AC7808" s="35"/>
      <c r="AD7808" s="35"/>
      <c r="AE7808" s="35"/>
      <c r="AF7808" s="35"/>
      <c r="AG7808" s="35"/>
      <c r="AH7808" s="35"/>
      <c r="AI7808" s="35"/>
      <c r="AJ7808" s="35"/>
      <c r="AK7808" s="35"/>
      <c r="AL7808" s="35"/>
    </row>
    <row r="7809">
      <c r="A7809" s="18"/>
      <c r="B7809" s="157" t="s">
        <v>6113</v>
      </c>
      <c r="C7809" s="158" t="s">
        <v>35771</v>
      </c>
      <c r="D7809" s="159"/>
      <c r="E7809" s="23" t="s">
        <v>5532</v>
      </c>
      <c r="F7809" s="23" t="s">
        <v>183</v>
      </c>
      <c r="G7809" s="23">
        <v>2011.0</v>
      </c>
      <c r="H7809" s="23" t="s">
        <v>658</v>
      </c>
      <c r="I7809" s="243" t="s">
        <v>36055</v>
      </c>
      <c r="J7809" s="23" t="s">
        <v>55</v>
      </c>
      <c r="K7809" s="23" t="s">
        <v>157</v>
      </c>
      <c r="L7809" s="94">
        <v>700.0</v>
      </c>
      <c r="M7809" s="94">
        <v>16.0</v>
      </c>
      <c r="N7809" s="94" t="s">
        <v>8939</v>
      </c>
      <c r="O7809" s="94"/>
      <c r="P7809" s="94">
        <v>5.0</v>
      </c>
      <c r="Q7809" s="36"/>
      <c r="R7809" s="94">
        <v>626.0</v>
      </c>
      <c r="S7809" s="94"/>
      <c r="T7809" s="102" t="s">
        <v>36056</v>
      </c>
      <c r="U7809" s="138" t="s">
        <v>61</v>
      </c>
      <c r="V7809" s="30"/>
      <c r="W7809" s="49"/>
      <c r="X7809" s="49"/>
      <c r="Y7809" s="35"/>
      <c r="Z7809" s="35"/>
      <c r="AA7809" s="35"/>
      <c r="AB7809" s="35"/>
      <c r="AC7809" s="35"/>
      <c r="AD7809" s="35"/>
      <c r="AE7809" s="35"/>
      <c r="AF7809" s="35"/>
      <c r="AG7809" s="35"/>
      <c r="AH7809" s="35"/>
      <c r="AI7809" s="35"/>
      <c r="AJ7809" s="35"/>
      <c r="AK7809" s="35"/>
      <c r="AL7809" s="35"/>
    </row>
    <row r="7810">
      <c r="A7810" s="18"/>
      <c r="B7810" s="157" t="s">
        <v>6113</v>
      </c>
      <c r="C7810" s="158" t="s">
        <v>35771</v>
      </c>
      <c r="D7810" s="159"/>
      <c r="E7810" s="23" t="s">
        <v>36057</v>
      </c>
      <c r="F7810" s="23" t="s">
        <v>12732</v>
      </c>
      <c r="G7810" s="23">
        <v>2011.0</v>
      </c>
      <c r="H7810" s="23" t="s">
        <v>309</v>
      </c>
      <c r="I7810" s="243" t="s">
        <v>36058</v>
      </c>
      <c r="J7810" s="23" t="s">
        <v>55</v>
      </c>
      <c r="K7810" s="23" t="s">
        <v>36059</v>
      </c>
      <c r="L7810" s="94">
        <v>660.0</v>
      </c>
      <c r="M7810" s="94"/>
      <c r="N7810" s="94"/>
      <c r="O7810" s="94"/>
      <c r="P7810" s="94" t="s">
        <v>4852</v>
      </c>
      <c r="Q7810" s="36"/>
      <c r="R7810" s="94"/>
      <c r="S7810" s="94"/>
      <c r="T7810" s="54" t="s">
        <v>36060</v>
      </c>
      <c r="U7810" s="135" t="str">
        <f>HYPERLINK("https://www.ncbi.nlm.nih.gov/pubmed/21952660","PubMed")</f>
        <v>PubMed</v>
      </c>
      <c r="V7810" s="30"/>
      <c r="W7810" s="49"/>
      <c r="X7810" s="49"/>
      <c r="Y7810" s="35"/>
      <c r="Z7810" s="35"/>
      <c r="AA7810" s="35"/>
      <c r="AB7810" s="35"/>
      <c r="AC7810" s="35"/>
      <c r="AD7810" s="35"/>
      <c r="AE7810" s="35"/>
      <c r="AF7810" s="35"/>
      <c r="AG7810" s="35"/>
      <c r="AH7810" s="35"/>
      <c r="AI7810" s="35"/>
      <c r="AJ7810" s="35"/>
      <c r="AK7810" s="35"/>
      <c r="AL7810" s="35"/>
    </row>
    <row r="7811">
      <c r="A7811" s="1"/>
      <c r="B7811" s="19" t="s">
        <v>6113</v>
      </c>
      <c r="C7811" s="158" t="s">
        <v>35771</v>
      </c>
      <c r="D7811" s="47"/>
      <c r="E7811" s="22" t="s">
        <v>5058</v>
      </c>
      <c r="F7811" s="22" t="s">
        <v>5059</v>
      </c>
      <c r="G7811" s="23">
        <v>2011.0</v>
      </c>
      <c r="H7811" s="22" t="s">
        <v>91</v>
      </c>
      <c r="I7811" s="24" t="s">
        <v>36061</v>
      </c>
      <c r="J7811" s="23" t="s">
        <v>55</v>
      </c>
      <c r="K7811" s="23" t="s">
        <v>34271</v>
      </c>
      <c r="L7811" s="36" t="s">
        <v>3836</v>
      </c>
      <c r="M7811" s="36">
        <v>30.0</v>
      </c>
      <c r="N7811" s="36" t="s">
        <v>36062</v>
      </c>
      <c r="O7811" s="36"/>
      <c r="P7811" s="37" t="s">
        <v>36063</v>
      </c>
      <c r="Q7811" s="36" t="s">
        <v>36064</v>
      </c>
      <c r="R7811" s="36"/>
      <c r="S7811" s="36">
        <v>7.0</v>
      </c>
      <c r="T7811" s="28" t="s">
        <v>36065</v>
      </c>
      <c r="U7811" s="38" t="str">
        <f>HYPERLINK("https://www.ncbi.nlm.nih.gov/pubmed/20865435","PubMed")</f>
        <v>PubMed</v>
      </c>
      <c r="V7811" s="50"/>
      <c r="W7811" s="49"/>
      <c r="X7811" s="49"/>
      <c r="Y7811" s="35"/>
      <c r="Z7811" s="35"/>
      <c r="AA7811" s="35"/>
      <c r="AB7811" s="35"/>
      <c r="AC7811" s="35"/>
      <c r="AD7811" s="35"/>
      <c r="AE7811" s="35"/>
      <c r="AF7811" s="35"/>
      <c r="AG7811" s="35"/>
      <c r="AH7811" s="35"/>
      <c r="AI7811" s="35"/>
      <c r="AJ7811" s="35"/>
      <c r="AK7811" s="35"/>
      <c r="AL7811" s="35"/>
    </row>
    <row r="7812">
      <c r="A7812" s="1"/>
      <c r="B7812" s="19" t="s">
        <v>6113</v>
      </c>
      <c r="C7812" s="158" t="s">
        <v>35771</v>
      </c>
      <c r="D7812" s="47"/>
      <c r="E7812" s="22" t="s">
        <v>36066</v>
      </c>
      <c r="F7812" s="22" t="s">
        <v>183</v>
      </c>
      <c r="G7812" s="23">
        <v>2010.0</v>
      </c>
      <c r="H7812" s="22" t="s">
        <v>658</v>
      </c>
      <c r="I7812" s="24" t="s">
        <v>36067</v>
      </c>
      <c r="J7812" s="23" t="s">
        <v>55</v>
      </c>
      <c r="K7812" s="23" t="s">
        <v>36068</v>
      </c>
      <c r="L7812" s="36">
        <v>670.0</v>
      </c>
      <c r="M7812" s="36">
        <v>9.0</v>
      </c>
      <c r="N7812" s="36" t="s">
        <v>16655</v>
      </c>
      <c r="O7812" s="36"/>
      <c r="P7812" s="37" t="s">
        <v>254</v>
      </c>
      <c r="Q7812" s="36"/>
      <c r="R7812" s="36"/>
      <c r="S7812" s="36">
        <v>1.0</v>
      </c>
      <c r="T7812" s="28" t="s">
        <v>36069</v>
      </c>
      <c r="U7812" s="38" t="str">
        <f>HYPERLINK("https://www.ncbi.nlm.nih.gov/pubmed/20932183","PubMed")</f>
        <v>PubMed</v>
      </c>
      <c r="V7812" s="50"/>
      <c r="W7812" s="49"/>
      <c r="X7812" s="49"/>
      <c r="Y7812" s="35"/>
      <c r="Z7812" s="35"/>
      <c r="AA7812" s="35"/>
      <c r="AB7812" s="35"/>
      <c r="AC7812" s="35"/>
      <c r="AD7812" s="35"/>
      <c r="AE7812" s="35"/>
      <c r="AF7812" s="35"/>
      <c r="AG7812" s="35"/>
      <c r="AH7812" s="35"/>
      <c r="AI7812" s="35"/>
      <c r="AJ7812" s="35"/>
      <c r="AK7812" s="35"/>
      <c r="AL7812" s="35"/>
    </row>
    <row r="7813">
      <c r="A7813" s="1"/>
      <c r="B7813" s="19" t="s">
        <v>6113</v>
      </c>
      <c r="C7813" s="76" t="s">
        <v>35771</v>
      </c>
      <c r="D7813" s="47"/>
      <c r="E7813" s="22" t="s">
        <v>36029</v>
      </c>
      <c r="F7813" s="22" t="s">
        <v>3511</v>
      </c>
      <c r="G7813" s="23">
        <v>2010.0</v>
      </c>
      <c r="H7813" s="22" t="s">
        <v>4975</v>
      </c>
      <c r="I7813" s="24" t="s">
        <v>36070</v>
      </c>
      <c r="J7813" s="23" t="s">
        <v>44</v>
      </c>
      <c r="K7813" s="23" t="s">
        <v>36071</v>
      </c>
      <c r="L7813" s="36">
        <v>533.0</v>
      </c>
      <c r="M7813" s="36"/>
      <c r="N7813" s="36"/>
      <c r="O7813" s="36"/>
      <c r="P7813" s="37" t="s">
        <v>36072</v>
      </c>
      <c r="Q7813" s="36"/>
      <c r="R7813" s="36"/>
      <c r="S7813" s="36"/>
      <c r="T7813" s="28" t="s">
        <v>36073</v>
      </c>
      <c r="U7813" s="38" t="str">
        <f>HYPERLINK("https://www.ncbi.nlm.nih.gov/pubmed/20735808","PubMed")</f>
        <v>PubMed</v>
      </c>
      <c r="V7813" s="50"/>
      <c r="W7813" s="49"/>
      <c r="X7813" s="49"/>
      <c r="Y7813" s="35"/>
      <c r="Z7813" s="35"/>
      <c r="AA7813" s="35"/>
      <c r="AB7813" s="35"/>
      <c r="AC7813" s="35"/>
      <c r="AD7813" s="35"/>
      <c r="AE7813" s="35"/>
      <c r="AF7813" s="35"/>
      <c r="AG7813" s="35"/>
      <c r="AH7813" s="35"/>
      <c r="AI7813" s="35"/>
      <c r="AJ7813" s="35"/>
      <c r="AK7813" s="35"/>
      <c r="AL7813" s="35"/>
    </row>
    <row r="7814">
      <c r="A7814" s="1"/>
      <c r="B7814" s="19" t="s">
        <v>6113</v>
      </c>
      <c r="C7814" s="76" t="s">
        <v>35771</v>
      </c>
      <c r="D7814" s="47"/>
      <c r="E7814" s="22" t="s">
        <v>450</v>
      </c>
      <c r="F7814" s="22" t="s">
        <v>183</v>
      </c>
      <c r="G7814" s="23">
        <v>2010.0</v>
      </c>
      <c r="H7814" s="22" t="s">
        <v>658</v>
      </c>
      <c r="I7814" s="24" t="s">
        <v>36074</v>
      </c>
      <c r="J7814" s="23" t="s">
        <v>55</v>
      </c>
      <c r="K7814" s="23" t="s">
        <v>36075</v>
      </c>
      <c r="L7814" s="36" t="s">
        <v>36076</v>
      </c>
      <c r="M7814" s="36"/>
      <c r="N7814" s="36"/>
      <c r="O7814" s="36"/>
      <c r="P7814" s="37"/>
      <c r="Q7814" s="36"/>
      <c r="R7814" s="36"/>
      <c r="S7814" s="36"/>
      <c r="T7814" s="28" t="s">
        <v>36077</v>
      </c>
      <c r="U7814" s="38" t="str">
        <f>HYPERLINK("https://www.ncbi.nlm.nih.gov/pubmed/19747035","PubMed")</f>
        <v>PubMed</v>
      </c>
      <c r="V7814" s="50"/>
      <c r="W7814" s="49"/>
      <c r="X7814" s="49"/>
      <c r="Y7814" s="35"/>
      <c r="Z7814" s="35"/>
      <c r="AA7814" s="35"/>
      <c r="AB7814" s="35"/>
      <c r="AC7814" s="35"/>
      <c r="AD7814" s="35"/>
      <c r="AE7814" s="35"/>
      <c r="AF7814" s="35"/>
      <c r="AG7814" s="35"/>
      <c r="AH7814" s="35"/>
      <c r="AI7814" s="35"/>
      <c r="AJ7814" s="35"/>
      <c r="AK7814" s="35"/>
      <c r="AL7814" s="35"/>
    </row>
    <row r="7815">
      <c r="A7815" s="1"/>
      <c r="B7815" s="19" t="s">
        <v>6113</v>
      </c>
      <c r="C7815" s="158" t="s">
        <v>35771</v>
      </c>
      <c r="D7815" s="47"/>
      <c r="E7815" s="22" t="s">
        <v>3831</v>
      </c>
      <c r="F7815" s="22" t="s">
        <v>36078</v>
      </c>
      <c r="G7815" s="23">
        <v>2010.0</v>
      </c>
      <c r="H7815" s="22" t="s">
        <v>658</v>
      </c>
      <c r="I7815" s="24" t="s">
        <v>36079</v>
      </c>
      <c r="J7815" s="23" t="s">
        <v>55</v>
      </c>
      <c r="K7815" s="23" t="s">
        <v>36080</v>
      </c>
      <c r="L7815" s="36">
        <v>830.0</v>
      </c>
      <c r="M7815" s="36">
        <v>9.0</v>
      </c>
      <c r="N7815" s="36"/>
      <c r="O7815" s="36"/>
      <c r="P7815" s="37" t="s">
        <v>1838</v>
      </c>
      <c r="Q7815" s="36"/>
      <c r="R7815" s="36"/>
      <c r="S7815" s="36"/>
      <c r="T7815" s="28" t="s">
        <v>36081</v>
      </c>
      <c r="U7815" s="38" t="str">
        <f>HYPERLINK("https://www.ncbi.nlm.nih.gov/pubmed/20961227","PubMed")</f>
        <v>PubMed</v>
      </c>
      <c r="V7815" s="50"/>
      <c r="W7815" s="49"/>
      <c r="X7815" s="49"/>
      <c r="Y7815" s="35"/>
      <c r="Z7815" s="35"/>
      <c r="AA7815" s="35"/>
      <c r="AB7815" s="35"/>
      <c r="AC7815" s="35"/>
      <c r="AD7815" s="35"/>
      <c r="AE7815" s="35"/>
      <c r="AF7815" s="35"/>
      <c r="AG7815" s="35"/>
      <c r="AH7815" s="35"/>
      <c r="AI7815" s="35"/>
      <c r="AJ7815" s="35"/>
      <c r="AK7815" s="35"/>
      <c r="AL7815" s="35"/>
    </row>
    <row r="7816">
      <c r="A7816" s="39" t="s">
        <v>38</v>
      </c>
      <c r="B7816" s="19" t="s">
        <v>6113</v>
      </c>
      <c r="C7816" s="158" t="s">
        <v>35771</v>
      </c>
      <c r="D7816" s="47"/>
      <c r="E7816" s="22" t="s">
        <v>36082</v>
      </c>
      <c r="F7816" s="22" t="s">
        <v>797</v>
      </c>
      <c r="G7816" s="23">
        <v>2009.0</v>
      </c>
      <c r="H7816" s="22" t="s">
        <v>658</v>
      </c>
      <c r="I7816" s="24" t="s">
        <v>36083</v>
      </c>
      <c r="J7816" s="23" t="s">
        <v>55</v>
      </c>
      <c r="K7816" s="23" t="s">
        <v>36084</v>
      </c>
      <c r="L7816" s="36" t="s">
        <v>36085</v>
      </c>
      <c r="M7816" s="36" t="s">
        <v>36086</v>
      </c>
      <c r="N7816" s="36"/>
      <c r="O7816" s="36" t="s">
        <v>36087</v>
      </c>
      <c r="P7816" s="37"/>
      <c r="Q7816" s="36" t="s">
        <v>36088</v>
      </c>
      <c r="R7816" s="36" t="s">
        <v>36089</v>
      </c>
      <c r="S7816" s="36" t="s">
        <v>1990</v>
      </c>
      <c r="T7816" s="28" t="s">
        <v>36090</v>
      </c>
      <c r="U7816" s="38" t="str">
        <f>HYPERLINK("https://www.ncbi.nlm.nih.gov/pubmed/19708798","PubMed")</f>
        <v>PubMed</v>
      </c>
      <c r="V7816" s="50"/>
      <c r="W7816" s="49"/>
      <c r="X7816" s="49"/>
      <c r="Y7816" s="35"/>
      <c r="Z7816" s="35"/>
      <c r="AA7816" s="35"/>
      <c r="AB7816" s="35"/>
      <c r="AC7816" s="35"/>
      <c r="AD7816" s="35"/>
      <c r="AE7816" s="35"/>
      <c r="AF7816" s="35"/>
      <c r="AG7816" s="35"/>
      <c r="AH7816" s="35"/>
      <c r="AI7816" s="35"/>
      <c r="AJ7816" s="35"/>
      <c r="AK7816" s="35"/>
      <c r="AL7816" s="35"/>
    </row>
    <row r="7817">
      <c r="A7817" s="39"/>
      <c r="B7817" s="19" t="s">
        <v>6113</v>
      </c>
      <c r="C7817" s="158" t="s">
        <v>35771</v>
      </c>
      <c r="D7817" s="47"/>
      <c r="E7817" s="22" t="s">
        <v>36091</v>
      </c>
      <c r="F7817" s="22" t="s">
        <v>578</v>
      </c>
      <c r="G7817" s="23">
        <v>2009.0</v>
      </c>
      <c r="H7817" s="22" t="s">
        <v>17533</v>
      </c>
      <c r="I7817" s="24" t="s">
        <v>36092</v>
      </c>
      <c r="J7817" s="23" t="s">
        <v>55</v>
      </c>
      <c r="K7817" s="23" t="s">
        <v>36093</v>
      </c>
      <c r="L7817" s="36">
        <v>660.0</v>
      </c>
      <c r="M7817" s="36"/>
      <c r="N7817" s="36"/>
      <c r="O7817" s="36"/>
      <c r="P7817" s="37" t="s">
        <v>709</v>
      </c>
      <c r="Q7817" s="36"/>
      <c r="R7817" s="36"/>
      <c r="S7817" s="36">
        <v>7.0</v>
      </c>
      <c r="T7817" s="28" t="s">
        <v>36094</v>
      </c>
      <c r="U7817" s="38" t="str">
        <f>HYPERLINK("https://www.ncbi.nlm.nih.gov/pubmed/19884733","PubMed")</f>
        <v>PubMed</v>
      </c>
      <c r="V7817" s="50"/>
      <c r="W7817" s="49"/>
      <c r="X7817" s="49"/>
      <c r="Y7817" s="35"/>
      <c r="Z7817" s="35"/>
      <c r="AA7817" s="35"/>
      <c r="AB7817" s="35"/>
      <c r="AC7817" s="35"/>
      <c r="AD7817" s="35"/>
      <c r="AE7817" s="35"/>
      <c r="AF7817" s="35"/>
      <c r="AG7817" s="35"/>
      <c r="AH7817" s="35"/>
      <c r="AI7817" s="35"/>
      <c r="AJ7817" s="35"/>
      <c r="AK7817" s="35"/>
      <c r="AL7817" s="35"/>
    </row>
    <row r="7818">
      <c r="A7818" s="1"/>
      <c r="B7818" s="19" t="s">
        <v>6113</v>
      </c>
      <c r="C7818" s="76" t="s">
        <v>35771</v>
      </c>
      <c r="D7818" s="47"/>
      <c r="E7818" s="22" t="s">
        <v>36095</v>
      </c>
      <c r="F7818" s="22" t="s">
        <v>36096</v>
      </c>
      <c r="G7818" s="23">
        <v>2009.0</v>
      </c>
      <c r="H7818" s="22" t="s">
        <v>658</v>
      </c>
      <c r="I7818" s="24" t="s">
        <v>36097</v>
      </c>
      <c r="J7818" s="23" t="s">
        <v>55</v>
      </c>
      <c r="K7818" s="23" t="s">
        <v>35824</v>
      </c>
      <c r="L7818" s="36" t="s">
        <v>36098</v>
      </c>
      <c r="M7818" s="36"/>
      <c r="N7818" s="36" t="s">
        <v>3587</v>
      </c>
      <c r="O7818" s="36"/>
      <c r="P7818" s="37" t="s">
        <v>11738</v>
      </c>
      <c r="Q7818" s="36"/>
      <c r="R7818" s="36">
        <v>420.0</v>
      </c>
      <c r="S7818" s="36"/>
      <c r="T7818" s="28" t="s">
        <v>36099</v>
      </c>
      <c r="U7818" s="38" t="str">
        <f>HYPERLINK("https://www.ncbi.nlm.nih.gov/pubmed/18687058","PubMed")</f>
        <v>PubMed</v>
      </c>
      <c r="V7818" s="30" t="s">
        <v>36100</v>
      </c>
      <c r="W7818" s="49"/>
      <c r="X7818" s="49"/>
      <c r="Y7818" s="35"/>
      <c r="Z7818" s="35"/>
      <c r="AA7818" s="35"/>
      <c r="AB7818" s="35"/>
      <c r="AC7818" s="35"/>
      <c r="AD7818" s="35"/>
      <c r="AE7818" s="35"/>
      <c r="AF7818" s="35"/>
      <c r="AG7818" s="35"/>
      <c r="AH7818" s="35"/>
      <c r="AI7818" s="35"/>
      <c r="AJ7818" s="35"/>
      <c r="AK7818" s="35"/>
      <c r="AL7818" s="35"/>
    </row>
    <row r="7819">
      <c r="A7819" s="1"/>
      <c r="B7819" s="19" t="s">
        <v>6113</v>
      </c>
      <c r="C7819" s="76" t="s">
        <v>35771</v>
      </c>
      <c r="D7819" s="47"/>
      <c r="E7819" s="22" t="s">
        <v>36101</v>
      </c>
      <c r="F7819" s="22" t="s">
        <v>6028</v>
      </c>
      <c r="G7819" s="23">
        <v>2009.0</v>
      </c>
      <c r="H7819" s="22" t="s">
        <v>36102</v>
      </c>
      <c r="I7819" s="24" t="s">
        <v>36103</v>
      </c>
      <c r="J7819" s="23" t="s">
        <v>55</v>
      </c>
      <c r="K7819" s="23" t="s">
        <v>36104</v>
      </c>
      <c r="L7819" s="36"/>
      <c r="M7819" s="36"/>
      <c r="N7819" s="36"/>
      <c r="O7819" s="36"/>
      <c r="P7819" s="37"/>
      <c r="Q7819" s="36"/>
      <c r="R7819" s="36"/>
      <c r="S7819" s="36"/>
      <c r="T7819" s="42" t="s">
        <v>36105</v>
      </c>
      <c r="U7819" s="38" t="str">
        <f>HYPERLINK("https://www.ncbi.nlm.nih.gov/pubmed/19680158","PubMed")</f>
        <v>PubMed</v>
      </c>
      <c r="V7819" s="50"/>
      <c r="W7819" s="49"/>
      <c r="X7819" s="49"/>
      <c r="Y7819" s="35"/>
      <c r="Z7819" s="35"/>
      <c r="AA7819" s="35"/>
      <c r="AB7819" s="35"/>
      <c r="AC7819" s="35"/>
      <c r="AD7819" s="35"/>
      <c r="AE7819" s="35"/>
      <c r="AF7819" s="35"/>
      <c r="AG7819" s="35"/>
      <c r="AH7819" s="35"/>
      <c r="AI7819" s="35"/>
      <c r="AJ7819" s="35"/>
      <c r="AK7819" s="35"/>
      <c r="AL7819" s="35"/>
    </row>
    <row r="7820">
      <c r="A7820" s="1"/>
      <c r="B7820" s="19" t="s">
        <v>6113</v>
      </c>
      <c r="C7820" s="76" t="s">
        <v>35771</v>
      </c>
      <c r="D7820" s="47"/>
      <c r="E7820" s="22" t="s">
        <v>36106</v>
      </c>
      <c r="F7820" s="22" t="s">
        <v>6296</v>
      </c>
      <c r="G7820" s="23">
        <v>2009.0</v>
      </c>
      <c r="H7820" s="22" t="s">
        <v>91</v>
      </c>
      <c r="I7820" s="24" t="s">
        <v>36107</v>
      </c>
      <c r="J7820" s="23" t="s">
        <v>55</v>
      </c>
      <c r="K7820" s="23" t="s">
        <v>36108</v>
      </c>
      <c r="L7820" s="36">
        <v>635.0</v>
      </c>
      <c r="M7820" s="36"/>
      <c r="N7820" s="36" t="s">
        <v>36109</v>
      </c>
      <c r="O7820" s="36"/>
      <c r="P7820" s="37" t="s">
        <v>432</v>
      </c>
      <c r="Q7820" s="36"/>
      <c r="R7820" s="36"/>
      <c r="S7820" s="36"/>
      <c r="T7820" s="42" t="s">
        <v>36110</v>
      </c>
      <c r="U7820" s="38" t="str">
        <f>HYPERLINK("https://www.ncbi.nlm.nih.gov/pubmed/18716824","PubMed")</f>
        <v>PubMed</v>
      </c>
      <c r="V7820" s="50"/>
      <c r="W7820" s="49"/>
      <c r="X7820" s="49"/>
      <c r="Y7820" s="35"/>
      <c r="Z7820" s="35"/>
      <c r="AA7820" s="35"/>
      <c r="AB7820" s="35"/>
      <c r="AC7820" s="35"/>
      <c r="AD7820" s="35"/>
      <c r="AE7820" s="35"/>
      <c r="AF7820" s="35"/>
      <c r="AG7820" s="35"/>
      <c r="AH7820" s="35"/>
      <c r="AI7820" s="35"/>
      <c r="AJ7820" s="35"/>
      <c r="AK7820" s="35"/>
      <c r="AL7820" s="35"/>
    </row>
    <row r="7821">
      <c r="A7821" s="1"/>
      <c r="B7821" s="19" t="s">
        <v>6113</v>
      </c>
      <c r="C7821" s="158" t="s">
        <v>35771</v>
      </c>
      <c r="D7821" s="47"/>
      <c r="E7821" s="22" t="s">
        <v>999</v>
      </c>
      <c r="F7821" s="22" t="s">
        <v>183</v>
      </c>
      <c r="G7821" s="23">
        <v>2009.0</v>
      </c>
      <c r="H7821" s="22" t="s">
        <v>658</v>
      </c>
      <c r="I7821" s="24" t="s">
        <v>36111</v>
      </c>
      <c r="J7821" s="23" t="s">
        <v>55</v>
      </c>
      <c r="K7821" s="23" t="s">
        <v>35851</v>
      </c>
      <c r="L7821" s="36">
        <v>660.0</v>
      </c>
      <c r="M7821" s="36"/>
      <c r="N7821" s="36"/>
      <c r="O7821" s="36"/>
      <c r="P7821" s="37" t="s">
        <v>287</v>
      </c>
      <c r="Q7821" s="36"/>
      <c r="R7821" s="36"/>
      <c r="S7821" s="36">
        <v>7.0</v>
      </c>
      <c r="T7821" s="28" t="s">
        <v>36112</v>
      </c>
      <c r="U7821" s="38" t="str">
        <f>HYPERLINK("https://www.ncbi.nlm.nih.gov/pubmed/19250051","PubMed")</f>
        <v>PubMed</v>
      </c>
      <c r="V7821" s="30" t="s">
        <v>36113</v>
      </c>
      <c r="W7821" s="49"/>
      <c r="X7821" s="49"/>
      <c r="Y7821" s="35"/>
      <c r="Z7821" s="35"/>
      <c r="AA7821" s="35"/>
      <c r="AB7821" s="35"/>
      <c r="AC7821" s="35"/>
      <c r="AD7821" s="35"/>
      <c r="AE7821" s="35"/>
      <c r="AF7821" s="35"/>
      <c r="AG7821" s="35"/>
      <c r="AH7821" s="35"/>
      <c r="AI7821" s="35"/>
      <c r="AJ7821" s="35"/>
      <c r="AK7821" s="35"/>
      <c r="AL7821" s="35"/>
    </row>
    <row r="7822">
      <c r="A7822" s="39"/>
      <c r="B7822" s="19" t="s">
        <v>6113</v>
      </c>
      <c r="C7822" s="158" t="s">
        <v>35771</v>
      </c>
      <c r="D7822" s="47"/>
      <c r="E7822" s="22" t="s">
        <v>182</v>
      </c>
      <c r="F7822" s="22" t="s">
        <v>183</v>
      </c>
      <c r="G7822" s="23">
        <v>2008.0</v>
      </c>
      <c r="H7822" s="22" t="s">
        <v>207</v>
      </c>
      <c r="I7822" s="24" t="s">
        <v>36114</v>
      </c>
      <c r="J7822" s="23" t="s">
        <v>55</v>
      </c>
      <c r="K7822" s="23" t="s">
        <v>34271</v>
      </c>
      <c r="L7822" s="36">
        <v>670.0</v>
      </c>
      <c r="M7822" s="36">
        <v>9.0</v>
      </c>
      <c r="N7822" s="36"/>
      <c r="O7822" s="36"/>
      <c r="P7822" s="37"/>
      <c r="Q7822" s="36"/>
      <c r="R7822" s="36"/>
      <c r="S7822" s="36"/>
      <c r="T7822" s="28" t="s">
        <v>36115</v>
      </c>
      <c r="U7822" s="38" t="str">
        <f>HYPERLINK("https://www.ncbi.nlm.nih.gov/pubmed/18602833","PubMed")</f>
        <v>PubMed</v>
      </c>
      <c r="V7822" s="50"/>
      <c r="W7822" s="49"/>
      <c r="X7822" s="49"/>
      <c r="Y7822" s="35"/>
      <c r="Z7822" s="35"/>
      <c r="AA7822" s="35"/>
      <c r="AB7822" s="35"/>
      <c r="AC7822" s="35"/>
      <c r="AD7822" s="35"/>
      <c r="AE7822" s="35"/>
      <c r="AF7822" s="35"/>
      <c r="AG7822" s="35"/>
      <c r="AH7822" s="35"/>
      <c r="AI7822" s="35"/>
      <c r="AJ7822" s="35"/>
      <c r="AK7822" s="35"/>
      <c r="AL7822" s="35"/>
    </row>
    <row r="7823">
      <c r="A7823" s="1"/>
      <c r="B7823" s="19" t="s">
        <v>6113</v>
      </c>
      <c r="C7823" s="158" t="s">
        <v>35771</v>
      </c>
      <c r="D7823" s="47"/>
      <c r="E7823" s="22" t="s">
        <v>444</v>
      </c>
      <c r="F7823" s="22" t="s">
        <v>183</v>
      </c>
      <c r="G7823" s="23">
        <v>2008.0</v>
      </c>
      <c r="H7823" s="22" t="s">
        <v>658</v>
      </c>
      <c r="I7823" s="24" t="s">
        <v>36116</v>
      </c>
      <c r="J7823" s="23" t="s">
        <v>55</v>
      </c>
      <c r="K7823" s="23" t="s">
        <v>36117</v>
      </c>
      <c r="L7823" s="36">
        <v>670.0</v>
      </c>
      <c r="M7823" s="36">
        <v>9.0</v>
      </c>
      <c r="N7823" s="36"/>
      <c r="O7823" s="36"/>
      <c r="P7823" s="37" t="s">
        <v>254</v>
      </c>
      <c r="Q7823" s="36"/>
      <c r="R7823" s="36"/>
      <c r="S7823" s="36"/>
      <c r="T7823" s="28" t="s">
        <v>36118</v>
      </c>
      <c r="U7823" s="38" t="str">
        <f>HYPERLINK("https://www.ncbi.nlm.nih.gov/pubmed/18665765","PubMed")</f>
        <v>PubMed</v>
      </c>
      <c r="V7823" s="50"/>
      <c r="W7823" s="49"/>
      <c r="X7823" s="49"/>
      <c r="Y7823" s="35"/>
      <c r="Z7823" s="35"/>
      <c r="AA7823" s="35"/>
      <c r="AB7823" s="35"/>
      <c r="AC7823" s="35"/>
      <c r="AD7823" s="35"/>
      <c r="AE7823" s="35"/>
      <c r="AF7823" s="35"/>
      <c r="AG7823" s="35"/>
      <c r="AH7823" s="35"/>
      <c r="AI7823" s="35"/>
      <c r="AJ7823" s="35"/>
      <c r="AK7823" s="35"/>
      <c r="AL7823" s="35"/>
    </row>
    <row r="7824">
      <c r="A7824" s="1"/>
      <c r="B7824" s="19" t="s">
        <v>6113</v>
      </c>
      <c r="C7824" s="158" t="s">
        <v>35771</v>
      </c>
      <c r="D7824" s="47"/>
      <c r="E7824" s="22" t="s">
        <v>36119</v>
      </c>
      <c r="F7824" s="22" t="s">
        <v>4763</v>
      </c>
      <c r="G7824" s="23">
        <v>2008.0</v>
      </c>
      <c r="H7824" s="22" t="s">
        <v>7388</v>
      </c>
      <c r="I7824" s="24" t="s">
        <v>36120</v>
      </c>
      <c r="J7824" s="23" t="s">
        <v>253</v>
      </c>
      <c r="K7824" s="23" t="s">
        <v>1112</v>
      </c>
      <c r="L7824" s="36">
        <v>633.0</v>
      </c>
      <c r="M7824" s="36">
        <v>20.0</v>
      </c>
      <c r="N7824" s="36"/>
      <c r="O7824" s="36"/>
      <c r="P7824" s="37" t="s">
        <v>1352</v>
      </c>
      <c r="Q7824" s="36"/>
      <c r="R7824" s="36" t="s">
        <v>36121</v>
      </c>
      <c r="S7824" s="36"/>
      <c r="T7824" s="42" t="s">
        <v>36122</v>
      </c>
      <c r="U7824" s="29" t="s">
        <v>61</v>
      </c>
      <c r="V7824" s="50"/>
      <c r="W7824" s="49"/>
      <c r="X7824" s="49"/>
      <c r="Y7824" s="35"/>
      <c r="Z7824" s="35"/>
      <c r="AA7824" s="35"/>
      <c r="AB7824" s="35"/>
      <c r="AC7824" s="35"/>
      <c r="AD7824" s="35"/>
      <c r="AE7824" s="35"/>
      <c r="AF7824" s="35"/>
      <c r="AG7824" s="35"/>
      <c r="AH7824" s="35"/>
      <c r="AI7824" s="35"/>
      <c r="AJ7824" s="35"/>
      <c r="AK7824" s="35"/>
      <c r="AL7824" s="35"/>
    </row>
    <row r="7825">
      <c r="A7825" s="415"/>
      <c r="B7825" s="157" t="s">
        <v>6113</v>
      </c>
      <c r="C7825" s="158" t="s">
        <v>35771</v>
      </c>
      <c r="D7825" s="159"/>
      <c r="E7825" s="23" t="s">
        <v>21550</v>
      </c>
      <c r="F7825" s="23" t="s">
        <v>41</v>
      </c>
      <c r="G7825" s="23">
        <v>2007.0</v>
      </c>
      <c r="H7825" s="23" t="s">
        <v>207</v>
      </c>
      <c r="I7825" s="243" t="s">
        <v>36123</v>
      </c>
      <c r="J7825" s="23" t="s">
        <v>55</v>
      </c>
      <c r="K7825" s="23" t="s">
        <v>35809</v>
      </c>
      <c r="L7825" s="36">
        <v>830.0</v>
      </c>
      <c r="M7825" s="36"/>
      <c r="N7825" s="36"/>
      <c r="O7825" s="36"/>
      <c r="P7825" s="37" t="s">
        <v>36124</v>
      </c>
      <c r="Q7825" s="36"/>
      <c r="S7825" s="36"/>
      <c r="T7825" s="54" t="s">
        <v>36125</v>
      </c>
      <c r="U7825" s="135" t="str">
        <f>HYPERLINK("https://www.ncbi.nlm.nih.gov/pubmed/17475503","PubMed")</f>
        <v>PubMed</v>
      </c>
      <c r="V7825" s="30"/>
      <c r="W7825" s="49"/>
      <c r="X7825" s="49"/>
      <c r="Y7825" s="35"/>
      <c r="Z7825" s="35"/>
      <c r="AA7825" s="35"/>
      <c r="AB7825" s="35"/>
      <c r="AC7825" s="35"/>
      <c r="AD7825" s="35"/>
      <c r="AE7825" s="35"/>
      <c r="AF7825" s="35"/>
      <c r="AG7825" s="35"/>
      <c r="AH7825" s="35"/>
      <c r="AI7825" s="35"/>
      <c r="AJ7825" s="35"/>
      <c r="AK7825" s="35"/>
      <c r="AL7825" s="35"/>
    </row>
    <row r="7826">
      <c r="A7826" s="415"/>
      <c r="B7826" s="157" t="s">
        <v>6113</v>
      </c>
      <c r="C7826" s="158" t="s">
        <v>35771</v>
      </c>
      <c r="D7826" s="159"/>
      <c r="E7826" s="23" t="s">
        <v>17399</v>
      </c>
      <c r="F7826" s="23" t="s">
        <v>274</v>
      </c>
      <c r="G7826" s="23">
        <v>2007.0</v>
      </c>
      <c r="H7826" s="23" t="s">
        <v>658</v>
      </c>
      <c r="I7826" s="243" t="s">
        <v>36126</v>
      </c>
      <c r="J7826" s="23" t="s">
        <v>55</v>
      </c>
      <c r="K7826" s="23" t="s">
        <v>36127</v>
      </c>
      <c r="L7826" s="36" t="s">
        <v>36128</v>
      </c>
      <c r="M7826" s="36" t="s">
        <v>36129</v>
      </c>
      <c r="N7826" s="36"/>
      <c r="O7826" s="36"/>
      <c r="P7826" s="37" t="s">
        <v>36130</v>
      </c>
      <c r="Q7826" s="36" t="s">
        <v>36131</v>
      </c>
      <c r="R7826" s="36"/>
      <c r="S7826" s="36"/>
      <c r="T7826" s="54" t="s">
        <v>36132</v>
      </c>
      <c r="U7826" s="135" t="str">
        <f>HYPERLINK("https://www.ncbi.nlm.nih.gov/pubmed/17508845","PubMed")</f>
        <v>PubMed</v>
      </c>
      <c r="V7826" s="30"/>
      <c r="W7826" s="49"/>
      <c r="X7826" s="49"/>
      <c r="Y7826" s="35"/>
      <c r="Z7826" s="35"/>
      <c r="AA7826" s="35"/>
      <c r="AB7826" s="35"/>
      <c r="AC7826" s="35"/>
      <c r="AD7826" s="35"/>
      <c r="AE7826" s="35"/>
      <c r="AF7826" s="35"/>
      <c r="AG7826" s="35"/>
      <c r="AH7826" s="35"/>
      <c r="AI7826" s="35"/>
      <c r="AJ7826" s="35"/>
      <c r="AK7826" s="35"/>
      <c r="AL7826" s="35"/>
    </row>
    <row r="7827">
      <c r="A7827" s="415"/>
      <c r="B7827" s="157" t="s">
        <v>6113</v>
      </c>
      <c r="C7827" s="158" t="s">
        <v>35771</v>
      </c>
      <c r="D7827" s="159"/>
      <c r="E7827" s="23" t="s">
        <v>5058</v>
      </c>
      <c r="F7827" s="23" t="s">
        <v>5059</v>
      </c>
      <c r="G7827" s="23">
        <v>2007.0</v>
      </c>
      <c r="H7827" s="23" t="s">
        <v>207</v>
      </c>
      <c r="I7827" s="243" t="s">
        <v>36133</v>
      </c>
      <c r="J7827" s="23" t="s">
        <v>55</v>
      </c>
      <c r="K7827" s="23" t="s">
        <v>34271</v>
      </c>
      <c r="L7827" s="36">
        <v>904.0</v>
      </c>
      <c r="M7827" s="36" t="s">
        <v>36134</v>
      </c>
      <c r="N7827" s="36"/>
      <c r="O7827" s="36"/>
      <c r="P7827" s="37" t="s">
        <v>969</v>
      </c>
      <c r="Q7827" s="36"/>
      <c r="R7827" s="36"/>
      <c r="S7827" s="36">
        <v>10.0</v>
      </c>
      <c r="T7827" s="54" t="s">
        <v>36135</v>
      </c>
      <c r="U7827" s="135" t="str">
        <f>HYPERLINK("https://www.ncbi.nlm.nih.gov/pubmed/17113781","PubMed")</f>
        <v>PubMed</v>
      </c>
      <c r="V7827" s="30"/>
      <c r="W7827" s="49"/>
      <c r="X7827" s="49"/>
      <c r="Y7827" s="35"/>
      <c r="Z7827" s="35"/>
      <c r="AA7827" s="35"/>
      <c r="AB7827" s="35"/>
      <c r="AC7827" s="35"/>
      <c r="AD7827" s="35"/>
      <c r="AE7827" s="35"/>
      <c r="AF7827" s="35"/>
      <c r="AG7827" s="35"/>
      <c r="AH7827" s="35"/>
      <c r="AI7827" s="35"/>
      <c r="AJ7827" s="35"/>
      <c r="AK7827" s="35"/>
      <c r="AL7827" s="35"/>
    </row>
    <row r="7828">
      <c r="A7828" s="415"/>
      <c r="B7828" s="157" t="s">
        <v>6113</v>
      </c>
      <c r="C7828" s="158" t="s">
        <v>35771</v>
      </c>
      <c r="D7828" s="159"/>
      <c r="E7828" s="23" t="s">
        <v>36136</v>
      </c>
      <c r="F7828" s="23" t="s">
        <v>2407</v>
      </c>
      <c r="G7828" s="23">
        <v>2007.0</v>
      </c>
      <c r="H7828" s="23" t="s">
        <v>53</v>
      </c>
      <c r="I7828" s="243" t="s">
        <v>36137</v>
      </c>
      <c r="J7828" s="23" t="s">
        <v>44</v>
      </c>
      <c r="K7828" s="23" t="s">
        <v>36138</v>
      </c>
      <c r="L7828" s="36" t="s">
        <v>36139</v>
      </c>
      <c r="M7828" s="36"/>
      <c r="N7828" s="36"/>
      <c r="O7828" s="36"/>
      <c r="P7828" s="37" t="s">
        <v>36140</v>
      </c>
      <c r="Q7828" s="36"/>
      <c r="R7828" s="36"/>
      <c r="S7828" s="36"/>
      <c r="T7828" s="54" t="s">
        <v>36141</v>
      </c>
      <c r="U7828" s="135" t="str">
        <f>HYPERLINK("https://www.ncbi.nlm.nih.gov/pubmed/17960752","PubMed")</f>
        <v>PubMed</v>
      </c>
      <c r="V7828" s="30"/>
      <c r="W7828" s="49"/>
      <c r="X7828" s="49"/>
      <c r="Y7828" s="35"/>
      <c r="Z7828" s="35"/>
      <c r="AA7828" s="35"/>
      <c r="AB7828" s="35"/>
      <c r="AC7828" s="35"/>
      <c r="AD7828" s="35"/>
      <c r="AE7828" s="35"/>
      <c r="AF7828" s="35"/>
      <c r="AG7828" s="35"/>
      <c r="AH7828" s="35"/>
      <c r="AI7828" s="35"/>
      <c r="AJ7828" s="35"/>
      <c r="AK7828" s="35"/>
      <c r="AL7828" s="35"/>
    </row>
    <row r="7829">
      <c r="A7829" s="415"/>
      <c r="B7829" s="157" t="s">
        <v>6113</v>
      </c>
      <c r="C7829" s="158" t="s">
        <v>35771</v>
      </c>
      <c r="D7829" s="159"/>
      <c r="E7829" s="23" t="s">
        <v>651</v>
      </c>
      <c r="F7829" s="23" t="s">
        <v>183</v>
      </c>
      <c r="G7829" s="23">
        <v>2006.0</v>
      </c>
      <c r="H7829" s="23" t="s">
        <v>658</v>
      </c>
      <c r="I7829" s="243" t="s">
        <v>36142</v>
      </c>
      <c r="J7829" s="23" t="s">
        <v>55</v>
      </c>
      <c r="K7829" s="23" t="s">
        <v>36143</v>
      </c>
      <c r="L7829" s="36" t="s">
        <v>8957</v>
      </c>
      <c r="M7829" s="36">
        <v>40.0</v>
      </c>
      <c r="N7829" s="36"/>
      <c r="O7829" s="36"/>
      <c r="P7829" s="37" t="s">
        <v>16511</v>
      </c>
      <c r="Q7829" s="36"/>
      <c r="R7829" s="36"/>
      <c r="S7829" s="36">
        <v>7.0</v>
      </c>
      <c r="T7829" s="54" t="s">
        <v>36144</v>
      </c>
      <c r="U7829" s="135" t="str">
        <f>HYPERLINK("https://www.ncbi.nlm.nih.gov/pubmed/17069493","PubMed")</f>
        <v>PubMed</v>
      </c>
      <c r="V7829" s="30"/>
      <c r="W7829" s="49"/>
      <c r="X7829" s="49"/>
      <c r="Y7829" s="35"/>
      <c r="Z7829" s="35"/>
      <c r="AA7829" s="35"/>
      <c r="AB7829" s="35"/>
      <c r="AC7829" s="35"/>
      <c r="AD7829" s="35"/>
      <c r="AE7829" s="35"/>
      <c r="AF7829" s="35"/>
      <c r="AG7829" s="35"/>
      <c r="AH7829" s="35"/>
      <c r="AI7829" s="35"/>
      <c r="AJ7829" s="35"/>
      <c r="AK7829" s="35"/>
      <c r="AL7829" s="35"/>
    </row>
    <row r="7830">
      <c r="A7830" s="415"/>
      <c r="B7830" s="157" t="s">
        <v>6113</v>
      </c>
      <c r="C7830" s="158" t="s">
        <v>35771</v>
      </c>
      <c r="D7830" s="159"/>
      <c r="E7830" s="23" t="s">
        <v>12113</v>
      </c>
      <c r="F7830" s="23" t="s">
        <v>2346</v>
      </c>
      <c r="G7830" s="23">
        <v>2006.0</v>
      </c>
      <c r="H7830" s="23" t="s">
        <v>11664</v>
      </c>
      <c r="I7830" s="243" t="s">
        <v>36145</v>
      </c>
      <c r="J7830" s="23" t="s">
        <v>55</v>
      </c>
      <c r="K7830" s="23" t="s">
        <v>36146</v>
      </c>
      <c r="L7830" s="36" t="s">
        <v>36147</v>
      </c>
      <c r="M7830" s="36"/>
      <c r="N7830" s="36"/>
      <c r="O7830" s="36"/>
      <c r="P7830" s="37"/>
      <c r="Q7830" s="36"/>
      <c r="R7830" s="36"/>
      <c r="S7830" s="36"/>
      <c r="T7830" s="54" t="s">
        <v>36148</v>
      </c>
      <c r="U7830" s="135" t="str">
        <f>HYPERLINK("https://link.springer.com/article/10.1134/S0006350906020217","PubMed")</f>
        <v>PubMed</v>
      </c>
      <c r="V7830" s="30"/>
      <c r="W7830" s="49"/>
      <c r="X7830" s="49"/>
      <c r="Y7830" s="35"/>
      <c r="Z7830" s="35"/>
      <c r="AA7830" s="35"/>
      <c r="AB7830" s="35"/>
      <c r="AC7830" s="35"/>
      <c r="AD7830" s="35"/>
      <c r="AE7830" s="35"/>
      <c r="AF7830" s="35"/>
      <c r="AG7830" s="35"/>
      <c r="AH7830" s="35"/>
      <c r="AI7830" s="35"/>
      <c r="AJ7830" s="35"/>
      <c r="AK7830" s="35"/>
      <c r="AL7830" s="35"/>
    </row>
    <row r="7831">
      <c r="A7831" s="415"/>
      <c r="B7831" s="157" t="s">
        <v>6113</v>
      </c>
      <c r="C7831" s="158" t="s">
        <v>35771</v>
      </c>
      <c r="D7831" s="159"/>
      <c r="E7831" s="23" t="s">
        <v>5606</v>
      </c>
      <c r="F7831" s="23" t="s">
        <v>8008</v>
      </c>
      <c r="G7831" s="23">
        <v>2006.0</v>
      </c>
      <c r="H7831" s="23" t="s">
        <v>658</v>
      </c>
      <c r="I7831" s="243" t="s">
        <v>36149</v>
      </c>
      <c r="J7831" s="23" t="s">
        <v>55</v>
      </c>
      <c r="K7831" s="23" t="s">
        <v>36150</v>
      </c>
      <c r="L7831" s="36" t="s">
        <v>35729</v>
      </c>
      <c r="M7831" s="36">
        <v>272.0</v>
      </c>
      <c r="N7831" s="36"/>
      <c r="O7831" s="36"/>
      <c r="P7831" s="37" t="s">
        <v>34928</v>
      </c>
      <c r="Q7831" s="36"/>
      <c r="R7831" s="36"/>
      <c r="S7831" s="36"/>
      <c r="T7831" s="54" t="s">
        <v>36151</v>
      </c>
      <c r="U7831" s="135" t="str">
        <f>HYPERLINK("https://www.ncbi.nlm.nih.gov/pubmed/16503782","PubMed")</f>
        <v>PubMed</v>
      </c>
      <c r="V7831" s="30"/>
      <c r="W7831" s="49"/>
      <c r="X7831" s="49"/>
      <c r="Y7831" s="35"/>
      <c r="Z7831" s="35"/>
      <c r="AA7831" s="35"/>
      <c r="AB7831" s="35"/>
      <c r="AC7831" s="35"/>
      <c r="AD7831" s="35"/>
      <c r="AE7831" s="35"/>
      <c r="AF7831" s="35"/>
      <c r="AG7831" s="35"/>
      <c r="AH7831" s="35"/>
      <c r="AI7831" s="35"/>
      <c r="AJ7831" s="35"/>
      <c r="AK7831" s="35"/>
      <c r="AL7831" s="35"/>
    </row>
    <row r="7832">
      <c r="A7832" s="1"/>
      <c r="B7832" s="19" t="s">
        <v>6113</v>
      </c>
      <c r="C7832" s="158" t="s">
        <v>35771</v>
      </c>
      <c r="D7832" s="47"/>
      <c r="E7832" s="22" t="s">
        <v>651</v>
      </c>
      <c r="F7832" s="22" t="s">
        <v>36152</v>
      </c>
      <c r="G7832" s="23">
        <v>2005.0</v>
      </c>
      <c r="H7832" s="22" t="s">
        <v>658</v>
      </c>
      <c r="I7832" s="24" t="s">
        <v>36153</v>
      </c>
      <c r="J7832" s="23" t="s">
        <v>55</v>
      </c>
      <c r="K7832" s="23" t="s">
        <v>36154</v>
      </c>
      <c r="L7832" s="36" t="s">
        <v>36155</v>
      </c>
      <c r="M7832" s="36"/>
      <c r="N7832" s="36"/>
      <c r="O7832" s="36"/>
      <c r="P7832" s="37" t="s">
        <v>16511</v>
      </c>
      <c r="Q7832" s="36"/>
      <c r="R7832" s="36"/>
      <c r="S7832" s="36"/>
      <c r="T7832" s="28" t="s">
        <v>36156</v>
      </c>
      <c r="U7832" s="38" t="str">
        <f>HYPERLINK("https://www.ncbi.nlm.nih.gov/pubmed/16262579","PubMed")</f>
        <v>PubMed</v>
      </c>
      <c r="V7832" s="30"/>
      <c r="W7832" s="49"/>
      <c r="X7832" s="49"/>
      <c r="Y7832" s="35"/>
      <c r="Z7832" s="35"/>
      <c r="AA7832" s="35"/>
      <c r="AB7832" s="35"/>
      <c r="AC7832" s="35"/>
      <c r="AD7832" s="35"/>
      <c r="AE7832" s="35"/>
      <c r="AF7832" s="35"/>
      <c r="AG7832" s="35"/>
      <c r="AH7832" s="35"/>
      <c r="AI7832" s="35"/>
      <c r="AJ7832" s="35"/>
      <c r="AK7832" s="35"/>
      <c r="AL7832" s="35"/>
    </row>
    <row r="7833">
      <c r="A7833" s="1"/>
      <c r="B7833" s="19" t="s">
        <v>6113</v>
      </c>
      <c r="C7833" s="158" t="s">
        <v>35771</v>
      </c>
      <c r="D7833" s="47"/>
      <c r="E7833" s="22" t="s">
        <v>36157</v>
      </c>
      <c r="F7833" s="22" t="s">
        <v>41</v>
      </c>
      <c r="G7833" s="23">
        <v>2004.0</v>
      </c>
      <c r="H7833" s="22" t="s">
        <v>1289</v>
      </c>
      <c r="I7833" s="24" t="s">
        <v>36158</v>
      </c>
      <c r="J7833" s="23" t="s">
        <v>55</v>
      </c>
      <c r="K7833" s="23" t="s">
        <v>34271</v>
      </c>
      <c r="L7833" s="36" t="s">
        <v>36159</v>
      </c>
      <c r="M7833" s="36" t="s">
        <v>20631</v>
      </c>
      <c r="N7833" s="36"/>
      <c r="O7833" s="36" t="s">
        <v>36160</v>
      </c>
      <c r="P7833" s="37"/>
      <c r="Q7833" s="36"/>
      <c r="R7833" s="36"/>
      <c r="S7833" s="36">
        <v>4.0</v>
      </c>
      <c r="T7833" s="98" t="s">
        <v>36161</v>
      </c>
      <c r="U7833" s="38" t="str">
        <f>HYPERLINK("https://www.ncbi.nlm.nih.gov/pubmed/15117483","PubMed")</f>
        <v>PubMed</v>
      </c>
      <c r="V7833" s="30"/>
      <c r="W7833" s="49"/>
      <c r="X7833" s="49"/>
      <c r="Y7833" s="35"/>
      <c r="Z7833" s="35"/>
      <c r="AA7833" s="35"/>
      <c r="AB7833" s="35"/>
      <c r="AC7833" s="35"/>
      <c r="AD7833" s="35"/>
      <c r="AE7833" s="35"/>
      <c r="AF7833" s="35"/>
      <c r="AG7833" s="35"/>
      <c r="AH7833" s="35"/>
      <c r="AI7833" s="35"/>
      <c r="AJ7833" s="35"/>
      <c r="AK7833" s="35"/>
      <c r="AL7833" s="35"/>
    </row>
    <row r="7834">
      <c r="A7834" s="415"/>
      <c r="B7834" s="466" t="s">
        <v>6113</v>
      </c>
      <c r="C7834" s="471" t="s">
        <v>35771</v>
      </c>
      <c r="D7834" s="159"/>
      <c r="E7834" s="23" t="s">
        <v>16133</v>
      </c>
      <c r="F7834" s="23" t="s">
        <v>41</v>
      </c>
      <c r="G7834" s="23">
        <v>2004.0</v>
      </c>
      <c r="H7834" s="23" t="s">
        <v>658</v>
      </c>
      <c r="I7834" s="243" t="s">
        <v>36162</v>
      </c>
      <c r="J7834" s="23" t="s">
        <v>55</v>
      </c>
      <c r="K7834" s="23" t="s">
        <v>34271</v>
      </c>
      <c r="L7834" s="52" t="s">
        <v>36163</v>
      </c>
      <c r="M7834" s="52" t="s">
        <v>36164</v>
      </c>
      <c r="N7834" s="52"/>
      <c r="O7834" s="52"/>
      <c r="P7834" s="189"/>
      <c r="Q7834" s="52"/>
      <c r="R7834" s="52"/>
      <c r="S7834" s="52"/>
      <c r="T7834" s="54" t="s">
        <v>36165</v>
      </c>
      <c r="U7834" s="135" t="str">
        <f>HYPERLINK("https://www.ncbi.nlm.nih.gov/pubmed/15684753","PubMed")</f>
        <v>PubMed</v>
      </c>
      <c r="V7834" s="30"/>
      <c r="W7834" s="49"/>
      <c r="X7834" s="49"/>
      <c r="Y7834" s="35"/>
      <c r="Z7834" s="35"/>
      <c r="AA7834" s="35"/>
      <c r="AB7834" s="35"/>
      <c r="AC7834" s="35"/>
      <c r="AD7834" s="35"/>
      <c r="AE7834" s="35"/>
      <c r="AF7834" s="35"/>
      <c r="AG7834" s="35"/>
      <c r="AH7834" s="35"/>
      <c r="AI7834" s="35"/>
      <c r="AJ7834" s="35"/>
      <c r="AK7834" s="35"/>
      <c r="AL7834" s="35"/>
    </row>
    <row r="7835">
      <c r="A7835" s="1"/>
      <c r="B7835" s="19" t="s">
        <v>6113</v>
      </c>
      <c r="C7835" s="158" t="s">
        <v>35771</v>
      </c>
      <c r="D7835" s="47"/>
      <c r="E7835" s="22" t="s">
        <v>36166</v>
      </c>
      <c r="F7835" s="22" t="s">
        <v>445</v>
      </c>
      <c r="G7835" s="23">
        <v>2004.0</v>
      </c>
      <c r="H7835" s="22" t="s">
        <v>658</v>
      </c>
      <c r="I7835" s="24" t="s">
        <v>36167</v>
      </c>
      <c r="J7835" s="23" t="s">
        <v>55</v>
      </c>
      <c r="K7835" s="23" t="s">
        <v>36168</v>
      </c>
      <c r="L7835" s="36">
        <v>904.0</v>
      </c>
      <c r="M7835" s="36" t="s">
        <v>36169</v>
      </c>
      <c r="N7835" s="36"/>
      <c r="O7835" s="36"/>
      <c r="P7835" s="37" t="s">
        <v>3463</v>
      </c>
      <c r="Q7835" s="36"/>
      <c r="R7835" s="36">
        <v>120.0</v>
      </c>
      <c r="S7835" s="36"/>
      <c r="T7835" s="28" t="s">
        <v>36170</v>
      </c>
      <c r="U7835" s="38" t="str">
        <f>HYPERLINK("https://www.ncbi.nlm.nih.gov/pubmed/15315726","PubMed")</f>
        <v>PubMed</v>
      </c>
      <c r="V7835" s="30"/>
      <c r="W7835" s="49"/>
      <c r="X7835" s="49"/>
      <c r="Y7835" s="35"/>
      <c r="Z7835" s="35"/>
      <c r="AA7835" s="35"/>
      <c r="AB7835" s="35"/>
      <c r="AC7835" s="35"/>
      <c r="AD7835" s="35"/>
      <c r="AE7835" s="35"/>
      <c r="AF7835" s="35"/>
      <c r="AG7835" s="35"/>
      <c r="AH7835" s="35"/>
      <c r="AI7835" s="35"/>
      <c r="AJ7835" s="35"/>
      <c r="AK7835" s="35"/>
      <c r="AL7835" s="35"/>
    </row>
    <row r="7836">
      <c r="A7836" s="1"/>
      <c r="B7836" s="19" t="s">
        <v>6113</v>
      </c>
      <c r="C7836" s="158" t="s">
        <v>35771</v>
      </c>
      <c r="D7836" s="47"/>
      <c r="E7836" s="22" t="s">
        <v>36171</v>
      </c>
      <c r="F7836" s="22" t="s">
        <v>8008</v>
      </c>
      <c r="G7836" s="23">
        <v>2004.0</v>
      </c>
      <c r="H7836" s="22" t="s">
        <v>1289</v>
      </c>
      <c r="I7836" s="24" t="s">
        <v>36172</v>
      </c>
      <c r="J7836" s="23" t="s">
        <v>55</v>
      </c>
      <c r="K7836" s="23" t="s">
        <v>36173</v>
      </c>
      <c r="L7836" s="36">
        <v>635.0</v>
      </c>
      <c r="M7836" s="36"/>
      <c r="N7836" s="36" t="s">
        <v>36174</v>
      </c>
      <c r="O7836" s="36"/>
      <c r="P7836" s="37" t="s">
        <v>6258</v>
      </c>
      <c r="Q7836" s="36"/>
      <c r="R7836" s="36">
        <v>1120.0</v>
      </c>
      <c r="S7836" s="36"/>
      <c r="T7836" s="28" t="s">
        <v>36175</v>
      </c>
      <c r="U7836" s="38" t="str">
        <f>HYPERLINK("https://www.ncbi.nlm.nih.gov/pubmed/15117482","PubMed")</f>
        <v>PubMed</v>
      </c>
      <c r="V7836" s="30"/>
      <c r="W7836" s="49"/>
      <c r="X7836" s="49"/>
      <c r="Y7836" s="35"/>
      <c r="Z7836" s="35"/>
      <c r="AA7836" s="35"/>
      <c r="AB7836" s="35"/>
      <c r="AC7836" s="35"/>
      <c r="AD7836" s="35"/>
      <c r="AE7836" s="35"/>
      <c r="AF7836" s="35"/>
      <c r="AG7836" s="35"/>
      <c r="AH7836" s="35"/>
      <c r="AI7836" s="35"/>
      <c r="AJ7836" s="35"/>
      <c r="AK7836" s="35"/>
      <c r="AL7836" s="35"/>
    </row>
    <row r="7837">
      <c r="A7837" s="1"/>
      <c r="B7837" s="19" t="s">
        <v>6113</v>
      </c>
      <c r="C7837" s="158" t="s">
        <v>35771</v>
      </c>
      <c r="D7837" s="47"/>
      <c r="E7837" s="22" t="s">
        <v>88</v>
      </c>
      <c r="F7837" s="22" t="s">
        <v>394</v>
      </c>
      <c r="G7837" s="23">
        <v>2004.0</v>
      </c>
      <c r="H7837" s="22" t="s">
        <v>53</v>
      </c>
      <c r="I7837" s="24" t="s">
        <v>36176</v>
      </c>
      <c r="J7837" s="23" t="s">
        <v>55</v>
      </c>
      <c r="K7837" s="23" t="s">
        <v>34271</v>
      </c>
      <c r="L7837" s="36">
        <v>685.0</v>
      </c>
      <c r="M7837" s="36">
        <v>35.0</v>
      </c>
      <c r="N7837" s="36"/>
      <c r="O7837" s="36"/>
      <c r="P7837" s="37" t="s">
        <v>7500</v>
      </c>
      <c r="Q7837" s="36"/>
      <c r="R7837" s="36"/>
      <c r="S7837" s="36"/>
      <c r="T7837" s="28" t="s">
        <v>36177</v>
      </c>
      <c r="U7837" s="38" t="str">
        <f>HYPERLINK("https://www.ncbi.nlm.nih.gov/pubmed/15216540","PubMed")</f>
        <v>PubMed</v>
      </c>
      <c r="V7837" s="30"/>
      <c r="W7837" s="49"/>
      <c r="X7837" s="49"/>
      <c r="Y7837" s="35"/>
      <c r="Z7837" s="35"/>
      <c r="AA7837" s="35"/>
      <c r="AB7837" s="35"/>
      <c r="AC7837" s="35"/>
      <c r="AD7837" s="35"/>
      <c r="AE7837" s="35"/>
      <c r="AF7837" s="35"/>
      <c r="AG7837" s="35"/>
      <c r="AH7837" s="35"/>
      <c r="AI7837" s="35"/>
      <c r="AJ7837" s="35"/>
      <c r="AK7837" s="35"/>
      <c r="AL7837" s="35"/>
    </row>
    <row r="7838">
      <c r="A7838" s="1"/>
      <c r="B7838" s="19" t="s">
        <v>6113</v>
      </c>
      <c r="C7838" s="158" t="s">
        <v>35771</v>
      </c>
      <c r="D7838" s="47"/>
      <c r="E7838" s="22" t="s">
        <v>36178</v>
      </c>
      <c r="F7838" s="22" t="s">
        <v>183</v>
      </c>
      <c r="G7838" s="23">
        <v>2003.0</v>
      </c>
      <c r="H7838" s="22" t="s">
        <v>36179</v>
      </c>
      <c r="I7838" s="24" t="s">
        <v>36180</v>
      </c>
      <c r="J7838" s="23" t="s">
        <v>55</v>
      </c>
      <c r="K7838" s="23" t="s">
        <v>35809</v>
      </c>
      <c r="L7838" s="52">
        <v>670.0</v>
      </c>
      <c r="M7838" s="52">
        <v>9.0</v>
      </c>
      <c r="N7838" s="52"/>
      <c r="O7838" s="52"/>
      <c r="P7838" s="189" t="s">
        <v>4190</v>
      </c>
      <c r="Q7838" s="52"/>
      <c r="R7838" s="52"/>
      <c r="S7838" s="52"/>
      <c r="T7838" s="28" t="s">
        <v>36181</v>
      </c>
      <c r="U7838" s="38" t="str">
        <f>HYPERLINK("https://www.ncbi.nlm.nih.gov/pubmed/15107911","PubMed")</f>
        <v>PubMed</v>
      </c>
      <c r="V7838" s="30"/>
      <c r="W7838" s="49"/>
      <c r="X7838" s="49"/>
      <c r="Y7838" s="35"/>
      <c r="Z7838" s="35"/>
      <c r="AA7838" s="35"/>
      <c r="AB7838" s="35"/>
      <c r="AC7838" s="35"/>
      <c r="AD7838" s="35"/>
      <c r="AE7838" s="35"/>
      <c r="AF7838" s="35"/>
      <c r="AG7838" s="35"/>
      <c r="AH7838" s="35"/>
      <c r="AI7838" s="35"/>
      <c r="AJ7838" s="35"/>
      <c r="AK7838" s="35"/>
      <c r="AL7838" s="35"/>
    </row>
    <row r="7839">
      <c r="A7839" s="1"/>
      <c r="B7839" s="19" t="s">
        <v>6113</v>
      </c>
      <c r="C7839" s="158" t="s">
        <v>35771</v>
      </c>
      <c r="D7839" s="47"/>
      <c r="E7839" s="22" t="s">
        <v>182</v>
      </c>
      <c r="F7839" s="22" t="s">
        <v>183</v>
      </c>
      <c r="G7839" s="23">
        <v>2003.0</v>
      </c>
      <c r="H7839" s="22" t="s">
        <v>53</v>
      </c>
      <c r="I7839" s="24" t="s">
        <v>36182</v>
      </c>
      <c r="J7839" s="23" t="s">
        <v>55</v>
      </c>
      <c r="K7839" s="23" t="s">
        <v>35809</v>
      </c>
      <c r="L7839" s="52">
        <v>670.0</v>
      </c>
      <c r="M7839" s="52">
        <v>9.0</v>
      </c>
      <c r="N7839" s="52"/>
      <c r="O7839" s="52"/>
      <c r="P7839" s="189" t="s">
        <v>4190</v>
      </c>
      <c r="Q7839" s="52"/>
      <c r="R7839" s="52" t="s">
        <v>36183</v>
      </c>
      <c r="S7839" s="52"/>
      <c r="T7839" s="28" t="s">
        <v>36184</v>
      </c>
      <c r="U7839" s="38" t="str">
        <f>HYPERLINK("https://www.ncbi.nlm.nih.gov/pubmed/12605432","PubMed")</f>
        <v>PubMed</v>
      </c>
      <c r="V7839" s="30"/>
      <c r="W7839" s="49"/>
      <c r="X7839" s="49"/>
      <c r="Y7839" s="35"/>
      <c r="Z7839" s="35"/>
      <c r="AA7839" s="35"/>
      <c r="AB7839" s="35"/>
      <c r="AC7839" s="35"/>
      <c r="AD7839" s="35"/>
      <c r="AE7839" s="35"/>
      <c r="AF7839" s="35"/>
      <c r="AG7839" s="35"/>
      <c r="AH7839" s="35"/>
      <c r="AI7839" s="35"/>
      <c r="AJ7839" s="35"/>
      <c r="AK7839" s="35"/>
      <c r="AL7839" s="35"/>
    </row>
    <row r="7840">
      <c r="A7840" s="1"/>
      <c r="B7840" s="19" t="s">
        <v>6113</v>
      </c>
      <c r="C7840" s="158" t="s">
        <v>35771</v>
      </c>
      <c r="D7840" s="47"/>
      <c r="E7840" s="421" t="s">
        <v>36185</v>
      </c>
      <c r="F7840" s="22" t="s">
        <v>16732</v>
      </c>
      <c r="G7840" s="23">
        <v>2000.0</v>
      </c>
      <c r="H7840" s="22" t="s">
        <v>53</v>
      </c>
      <c r="I7840" s="24" t="s">
        <v>36186</v>
      </c>
      <c r="J7840" s="22" t="s">
        <v>44</v>
      </c>
      <c r="K7840" s="22" t="s">
        <v>36187</v>
      </c>
      <c r="L7840" s="36">
        <v>660.0</v>
      </c>
      <c r="M7840" s="36">
        <v>15.0</v>
      </c>
      <c r="N7840" s="36"/>
      <c r="O7840" s="36"/>
      <c r="P7840" s="37" t="s">
        <v>36188</v>
      </c>
      <c r="Q7840" s="36"/>
      <c r="R7840" s="36"/>
      <c r="S7840" s="36"/>
      <c r="T7840" s="28" t="s">
        <v>36189</v>
      </c>
      <c r="U7840" s="38" t="str">
        <f>HYPERLINK("https://www.ncbi.nlm.nih.gov/pubmed/10637002/","PubMed")</f>
        <v>PubMed</v>
      </c>
      <c r="V7840" s="50"/>
      <c r="W7840" s="49"/>
      <c r="X7840" s="49"/>
      <c r="Y7840" s="35"/>
      <c r="Z7840" s="35"/>
      <c r="AA7840" s="35"/>
      <c r="AB7840" s="35"/>
      <c r="AC7840" s="35"/>
      <c r="AD7840" s="35"/>
      <c r="AE7840" s="35"/>
      <c r="AF7840" s="35"/>
      <c r="AG7840" s="35"/>
      <c r="AH7840" s="35"/>
      <c r="AI7840" s="35"/>
      <c r="AJ7840" s="35"/>
      <c r="AK7840" s="35"/>
      <c r="AL7840" s="35"/>
    </row>
    <row r="7841">
      <c r="A7841" s="1"/>
      <c r="B7841" s="19" t="s">
        <v>6113</v>
      </c>
      <c r="C7841" s="158" t="s">
        <v>35771</v>
      </c>
      <c r="D7841" s="47"/>
      <c r="E7841" s="421" t="s">
        <v>36190</v>
      </c>
      <c r="F7841" s="22" t="s">
        <v>36191</v>
      </c>
      <c r="G7841" s="23">
        <v>1999.0</v>
      </c>
      <c r="H7841" s="22" t="s">
        <v>34269</v>
      </c>
      <c r="I7841" s="24" t="s">
        <v>36192</v>
      </c>
      <c r="J7841" s="22" t="s">
        <v>29110</v>
      </c>
      <c r="K7841" s="22" t="s">
        <v>36193</v>
      </c>
      <c r="L7841" s="36"/>
      <c r="M7841" s="36"/>
      <c r="N7841" s="36"/>
      <c r="O7841" s="36"/>
      <c r="P7841" s="37" t="s">
        <v>269</v>
      </c>
      <c r="Q7841" s="36"/>
      <c r="R7841" s="36"/>
      <c r="S7841" s="36"/>
      <c r="T7841" s="41" t="s">
        <v>36194</v>
      </c>
      <c r="U7841" s="38" t="str">
        <f>HYPERLINK("https://www.ncbi.nlm.nih.gov/pubmed/10402136","PubMed")</f>
        <v>PubMed</v>
      </c>
      <c r="V7841" s="50"/>
      <c r="W7841" s="49"/>
      <c r="X7841" s="49"/>
      <c r="Y7841" s="35"/>
      <c r="Z7841" s="35"/>
      <c r="AA7841" s="35"/>
      <c r="AB7841" s="35"/>
      <c r="AC7841" s="35"/>
      <c r="AD7841" s="35"/>
      <c r="AE7841" s="35"/>
      <c r="AF7841" s="35"/>
      <c r="AG7841" s="35"/>
      <c r="AH7841" s="35"/>
      <c r="AI7841" s="35"/>
      <c r="AJ7841" s="35"/>
      <c r="AK7841" s="35"/>
      <c r="AL7841" s="35"/>
    </row>
    <row r="7842">
      <c r="A7842" s="1"/>
      <c r="B7842" s="19" t="s">
        <v>6113</v>
      </c>
      <c r="C7842" s="158" t="s">
        <v>35771</v>
      </c>
      <c r="D7842" s="47"/>
      <c r="E7842" s="421" t="s">
        <v>36195</v>
      </c>
      <c r="F7842" s="22" t="s">
        <v>1075</v>
      </c>
      <c r="G7842" s="23">
        <v>1999.0</v>
      </c>
      <c r="H7842" s="22" t="s">
        <v>292</v>
      </c>
      <c r="I7842" s="24" t="s">
        <v>36196</v>
      </c>
      <c r="J7842" s="22" t="s">
        <v>44</v>
      </c>
      <c r="K7842" s="22" t="s">
        <v>36197</v>
      </c>
      <c r="L7842" s="36">
        <v>904.0</v>
      </c>
      <c r="M7842" s="36"/>
      <c r="N7842" s="36"/>
      <c r="O7842" s="36"/>
      <c r="P7842" s="37" t="s">
        <v>36198</v>
      </c>
      <c r="Q7842" s="36"/>
      <c r="R7842" s="36"/>
      <c r="S7842" s="36"/>
      <c r="T7842" s="28" t="s">
        <v>36199</v>
      </c>
      <c r="U7842" s="38" t="str">
        <f>HYPERLINK("https://www.jstage.jst.go.jp/article/islsm/11/2/11_2_54/_article","J-STAGE")</f>
        <v>J-STAGE</v>
      </c>
      <c r="V7842" s="50"/>
      <c r="W7842" s="49"/>
      <c r="X7842" s="49"/>
      <c r="Y7842" s="35"/>
      <c r="Z7842" s="35"/>
      <c r="AA7842" s="35"/>
      <c r="AB7842" s="35"/>
      <c r="AC7842" s="35"/>
      <c r="AD7842" s="35"/>
      <c r="AE7842" s="35"/>
      <c r="AF7842" s="35"/>
      <c r="AG7842" s="35"/>
      <c r="AH7842" s="35"/>
      <c r="AI7842" s="35"/>
      <c r="AJ7842" s="35"/>
      <c r="AK7842" s="35"/>
      <c r="AL7842" s="35"/>
    </row>
    <row r="7843">
      <c r="A7843" s="1"/>
      <c r="B7843" s="19" t="s">
        <v>6113</v>
      </c>
      <c r="C7843" s="158" t="s">
        <v>35771</v>
      </c>
      <c r="D7843" s="47"/>
      <c r="E7843" s="421" t="s">
        <v>18035</v>
      </c>
      <c r="F7843" s="22" t="s">
        <v>16732</v>
      </c>
      <c r="G7843" s="23">
        <v>1998.0</v>
      </c>
      <c r="H7843" s="22" t="s">
        <v>53</v>
      </c>
      <c r="I7843" s="24" t="s">
        <v>36200</v>
      </c>
      <c r="J7843" s="22" t="s">
        <v>44</v>
      </c>
      <c r="K7843" s="22" t="s">
        <v>36201</v>
      </c>
      <c r="L7843" s="36">
        <v>890.0</v>
      </c>
      <c r="M7843" s="36">
        <v>300.0</v>
      </c>
      <c r="N7843" s="36"/>
      <c r="O7843" s="36"/>
      <c r="P7843" s="37" t="s">
        <v>36202</v>
      </c>
      <c r="Q7843" s="36"/>
      <c r="R7843" s="36"/>
      <c r="S7843" s="36"/>
      <c r="T7843" s="41" t="s">
        <v>36203</v>
      </c>
      <c r="U7843" s="38" t="str">
        <f>HYPERLINK("https://www.ncbi.nlm.nih.gov/pubmed/9888325","PubMed")</f>
        <v>PubMed</v>
      </c>
      <c r="V7843" s="50"/>
      <c r="W7843" s="130" t="str">
        <f>HYPERLINK("https://www.ncbi.nlm.nih.gov/pubmed/10534743","Comment")</f>
        <v>Comment</v>
      </c>
      <c r="X7843" s="49"/>
      <c r="Y7843" s="35"/>
      <c r="Z7843" s="35"/>
      <c r="AA7843" s="35"/>
      <c r="AB7843" s="35"/>
      <c r="AC7843" s="35"/>
      <c r="AD7843" s="35"/>
      <c r="AE7843" s="35"/>
      <c r="AF7843" s="35"/>
      <c r="AG7843" s="35"/>
      <c r="AH7843" s="35"/>
      <c r="AI7843" s="35"/>
      <c r="AJ7843" s="35"/>
      <c r="AK7843" s="35"/>
      <c r="AL7843" s="35"/>
    </row>
    <row r="7844">
      <c r="A7844" s="1"/>
      <c r="B7844" s="19" t="s">
        <v>6113</v>
      </c>
      <c r="C7844" s="158" t="s">
        <v>35771</v>
      </c>
      <c r="D7844" s="47"/>
      <c r="E7844" s="22" t="s">
        <v>36204</v>
      </c>
      <c r="F7844" s="22" t="s">
        <v>2052</v>
      </c>
      <c r="G7844" s="23">
        <v>1997.0</v>
      </c>
      <c r="H7844" s="22" t="s">
        <v>53</v>
      </c>
      <c r="I7844" s="24" t="s">
        <v>36205</v>
      </c>
      <c r="J7844" s="22" t="s">
        <v>55</v>
      </c>
      <c r="K7844" s="22" t="s">
        <v>36193</v>
      </c>
      <c r="L7844" s="36">
        <v>633.0</v>
      </c>
      <c r="M7844" s="129"/>
      <c r="N7844" s="36"/>
      <c r="O7844" s="36"/>
      <c r="P7844" s="37" t="s">
        <v>4059</v>
      </c>
      <c r="Q7844" s="36"/>
      <c r="R7844" s="36"/>
      <c r="S7844" s="36"/>
      <c r="T7844" s="41" t="s">
        <v>36206</v>
      </c>
      <c r="U7844" s="38" t="str">
        <f>HYPERLINK("https://www.ncbi.nlm.nih.gov/pubmed/9138263","PubMed")</f>
        <v>PubMed</v>
      </c>
      <c r="V7844" s="50"/>
      <c r="W7844" s="49"/>
      <c r="X7844" s="49"/>
      <c r="Y7844" s="35"/>
      <c r="Z7844" s="35"/>
      <c r="AA7844" s="35"/>
      <c r="AB7844" s="35"/>
      <c r="AC7844" s="35"/>
      <c r="AD7844" s="35"/>
      <c r="AE7844" s="35"/>
      <c r="AF7844" s="35"/>
      <c r="AG7844" s="35"/>
      <c r="AH7844" s="35"/>
      <c r="AI7844" s="35"/>
      <c r="AJ7844" s="35"/>
      <c r="AK7844" s="35"/>
      <c r="AL7844" s="35"/>
    </row>
    <row r="7845">
      <c r="A7845" s="1"/>
      <c r="B7845" s="19" t="s">
        <v>6113</v>
      </c>
      <c r="C7845" s="158" t="s">
        <v>35771</v>
      </c>
      <c r="D7845" s="47"/>
      <c r="E7845" s="22" t="s">
        <v>36171</v>
      </c>
      <c r="F7845" s="22" t="s">
        <v>8008</v>
      </c>
      <c r="G7845" s="23">
        <v>1997.0</v>
      </c>
      <c r="H7845" s="22" t="s">
        <v>1289</v>
      </c>
      <c r="I7845" s="24" t="s">
        <v>36207</v>
      </c>
      <c r="J7845" s="22" t="s">
        <v>55</v>
      </c>
      <c r="K7845" s="22" t="s">
        <v>36208</v>
      </c>
      <c r="L7845" s="36" t="s">
        <v>36209</v>
      </c>
      <c r="M7845" s="129"/>
      <c r="N7845" s="36"/>
      <c r="O7845" s="36"/>
      <c r="P7845" s="37"/>
      <c r="Q7845" s="36"/>
      <c r="R7845" s="36"/>
      <c r="S7845" s="36"/>
      <c r="T7845" s="28" t="s">
        <v>36210</v>
      </c>
      <c r="U7845" s="38" t="str">
        <f>HYPERLINK("https://www.ncbi.nlm.nih.gov/pubmed/9612172","PubMed")</f>
        <v>PubMed</v>
      </c>
      <c r="V7845" s="50"/>
      <c r="W7845" s="49"/>
      <c r="X7845" s="49"/>
      <c r="Y7845" s="35"/>
      <c r="Z7845" s="35"/>
      <c r="AA7845" s="35"/>
      <c r="AB7845" s="35"/>
      <c r="AC7845" s="35"/>
      <c r="AD7845" s="35"/>
      <c r="AE7845" s="35"/>
      <c r="AF7845" s="35"/>
      <c r="AG7845" s="35"/>
      <c r="AH7845" s="35"/>
      <c r="AI7845" s="35"/>
      <c r="AJ7845" s="35"/>
      <c r="AK7845" s="35"/>
      <c r="AL7845" s="35"/>
    </row>
    <row r="7846">
      <c r="A7846" s="1"/>
      <c r="B7846" s="19" t="s">
        <v>6113</v>
      </c>
      <c r="C7846" s="158" t="s">
        <v>35771</v>
      </c>
      <c r="D7846" s="47"/>
      <c r="E7846" s="22" t="s">
        <v>36211</v>
      </c>
      <c r="F7846" s="22" t="s">
        <v>36212</v>
      </c>
      <c r="G7846" s="23">
        <v>1995.0</v>
      </c>
      <c r="H7846" s="22" t="s">
        <v>292</v>
      </c>
      <c r="I7846" s="24" t="s">
        <v>36213</v>
      </c>
      <c r="J7846" s="22" t="s">
        <v>44</v>
      </c>
      <c r="K7846" s="22" t="s">
        <v>36214</v>
      </c>
      <c r="L7846" s="36" t="s">
        <v>36215</v>
      </c>
      <c r="M7846" s="129"/>
      <c r="N7846" s="36"/>
      <c r="O7846" s="36"/>
      <c r="P7846" s="37"/>
      <c r="Q7846" s="36"/>
      <c r="R7846" s="36"/>
      <c r="S7846" s="36"/>
      <c r="T7846" s="42" t="s">
        <v>36216</v>
      </c>
      <c r="U7846" s="38" t="str">
        <f>HYPERLINK("https://www.jstage.jst.go.jp/article/islsm/7/1/7_95-OR-06/_article/-char/en","J-STAGE")</f>
        <v>J-STAGE</v>
      </c>
      <c r="V7846" s="50"/>
      <c r="W7846" s="49"/>
      <c r="X7846" s="49"/>
      <c r="Y7846" s="35"/>
      <c r="Z7846" s="35"/>
      <c r="AA7846" s="35"/>
      <c r="AB7846" s="35"/>
      <c r="AC7846" s="35"/>
      <c r="AD7846" s="35"/>
      <c r="AE7846" s="35"/>
      <c r="AF7846" s="35"/>
      <c r="AG7846" s="35"/>
      <c r="AH7846" s="35"/>
      <c r="AI7846" s="35"/>
      <c r="AJ7846" s="35"/>
      <c r="AK7846" s="35"/>
      <c r="AL7846" s="35"/>
    </row>
    <row r="7847">
      <c r="A7847" s="1"/>
      <c r="B7847" s="19" t="s">
        <v>6113</v>
      </c>
      <c r="C7847" s="158" t="s">
        <v>35771</v>
      </c>
      <c r="D7847" s="47"/>
      <c r="E7847" s="22" t="s">
        <v>13874</v>
      </c>
      <c r="F7847" s="22" t="s">
        <v>26204</v>
      </c>
      <c r="G7847" s="23">
        <v>1994.0</v>
      </c>
      <c r="H7847" s="22" t="s">
        <v>25361</v>
      </c>
      <c r="I7847" s="24" t="s">
        <v>36217</v>
      </c>
      <c r="J7847" s="22" t="s">
        <v>55</v>
      </c>
      <c r="K7847" s="22" t="s">
        <v>34271</v>
      </c>
      <c r="L7847" s="36"/>
      <c r="M7847" s="129"/>
      <c r="N7847" s="36"/>
      <c r="O7847" s="36"/>
      <c r="P7847" s="37"/>
      <c r="Q7847" s="36"/>
      <c r="R7847" s="36"/>
      <c r="S7847" s="36"/>
      <c r="T7847" s="41" t="s">
        <v>36218</v>
      </c>
      <c r="U7847" s="38" t="str">
        <f>HYPERLINK("https://www.ncbi.nlm.nih.gov/pubmed/8052949","PubMed")</f>
        <v>PubMed</v>
      </c>
      <c r="V7847" s="50"/>
      <c r="W7847" s="49"/>
      <c r="X7847" s="49"/>
      <c r="Y7847" s="35"/>
      <c r="Z7847" s="35"/>
      <c r="AA7847" s="35"/>
      <c r="AB7847" s="35"/>
      <c r="AC7847" s="35"/>
      <c r="AD7847" s="35"/>
      <c r="AE7847" s="35"/>
      <c r="AF7847" s="35"/>
      <c r="AG7847" s="35"/>
      <c r="AH7847" s="35"/>
      <c r="AI7847" s="35"/>
      <c r="AJ7847" s="35"/>
      <c r="AK7847" s="35"/>
      <c r="AL7847" s="35"/>
    </row>
    <row r="7848">
      <c r="A7848" s="1"/>
      <c r="B7848" s="75" t="s">
        <v>6113</v>
      </c>
      <c r="C7848" s="76" t="s">
        <v>35771</v>
      </c>
      <c r="D7848" s="47"/>
      <c r="E7848" s="22" t="s">
        <v>36219</v>
      </c>
      <c r="F7848" s="22" t="s">
        <v>36220</v>
      </c>
      <c r="G7848" s="23">
        <v>1992.0</v>
      </c>
      <c r="H7848" s="22" t="s">
        <v>13408</v>
      </c>
      <c r="I7848" s="24" t="s">
        <v>36221</v>
      </c>
      <c r="J7848" s="22" t="s">
        <v>29110</v>
      </c>
      <c r="K7848" s="22" t="s">
        <v>36222</v>
      </c>
      <c r="L7848" s="36">
        <v>633.0</v>
      </c>
      <c r="M7848" s="36">
        <v>13.0</v>
      </c>
      <c r="N7848" s="36" t="s">
        <v>36223</v>
      </c>
      <c r="O7848" s="36"/>
      <c r="P7848" s="37" t="s">
        <v>36224</v>
      </c>
      <c r="Q7848" s="36" t="s">
        <v>36225</v>
      </c>
      <c r="R7848" s="36" t="s">
        <v>36226</v>
      </c>
      <c r="S7848" s="36">
        <v>11.0</v>
      </c>
      <c r="T7848" s="41" t="s">
        <v>36227</v>
      </c>
      <c r="U7848" s="38" t="str">
        <f>HYPERLINK("https://www.ncbi.nlm.nih.gov/pubmed/17424089","PubMed")</f>
        <v>PubMed</v>
      </c>
      <c r="V7848" s="50"/>
      <c r="W7848" s="49"/>
      <c r="X7848" s="49"/>
      <c r="Y7848" s="35"/>
      <c r="Z7848" s="35"/>
      <c r="AA7848" s="35"/>
      <c r="AB7848" s="35"/>
      <c r="AC7848" s="35"/>
      <c r="AD7848" s="35"/>
      <c r="AE7848" s="35"/>
      <c r="AF7848" s="35"/>
      <c r="AG7848" s="35"/>
      <c r="AH7848" s="35"/>
      <c r="AI7848" s="35"/>
      <c r="AJ7848" s="35"/>
      <c r="AK7848" s="35"/>
      <c r="AL7848" s="35"/>
    </row>
    <row r="7849">
      <c r="A7849" s="1"/>
      <c r="B7849" s="19" t="s">
        <v>6113</v>
      </c>
      <c r="C7849" s="158" t="s">
        <v>35771</v>
      </c>
      <c r="D7849" s="47"/>
      <c r="E7849" s="22" t="s">
        <v>36228</v>
      </c>
      <c r="F7849" s="22" t="s">
        <v>15241</v>
      </c>
      <c r="G7849" s="23">
        <v>1988.0</v>
      </c>
      <c r="H7849" s="22" t="s">
        <v>13752</v>
      </c>
      <c r="I7849" s="24" t="s">
        <v>36229</v>
      </c>
      <c r="J7849" s="22" t="s">
        <v>55</v>
      </c>
      <c r="K7849" s="22" t="s">
        <v>34271</v>
      </c>
      <c r="L7849" s="52">
        <v>904.0</v>
      </c>
      <c r="M7849" s="52" t="s">
        <v>4163</v>
      </c>
      <c r="N7849" s="52"/>
      <c r="O7849" s="52"/>
      <c r="P7849" s="189"/>
      <c r="Q7849" s="52"/>
      <c r="R7849" s="52">
        <v>480.0</v>
      </c>
      <c r="S7849" s="52"/>
      <c r="T7849" s="41" t="s">
        <v>36230</v>
      </c>
      <c r="U7849" s="38" t="str">
        <f>HYPERLINK("https://www.ncbi.nlm.nih.gov/pubmed/3422818","PubMed")</f>
        <v>PubMed</v>
      </c>
      <c r="V7849" s="50"/>
      <c r="W7849" s="49"/>
      <c r="X7849" s="49"/>
      <c r="Y7849" s="35"/>
      <c r="Z7849" s="35"/>
      <c r="AA7849" s="35"/>
      <c r="AB7849" s="35"/>
      <c r="AC7849" s="35"/>
      <c r="AD7849" s="35"/>
      <c r="AE7849" s="35"/>
      <c r="AF7849" s="35"/>
      <c r="AG7849" s="35"/>
      <c r="AH7849" s="35"/>
      <c r="AI7849" s="35"/>
      <c r="AJ7849" s="35"/>
      <c r="AK7849" s="35"/>
      <c r="AL7849" s="35"/>
    </row>
    <row r="7850">
      <c r="A7850" s="457"/>
      <c r="B7850" s="19" t="s">
        <v>6113</v>
      </c>
      <c r="C7850" s="158" t="s">
        <v>35771</v>
      </c>
      <c r="D7850" s="47"/>
      <c r="E7850" s="22" t="s">
        <v>2825</v>
      </c>
      <c r="F7850" s="22" t="s">
        <v>2705</v>
      </c>
      <c r="G7850" s="23">
        <v>1987.0</v>
      </c>
      <c r="H7850" s="22" t="s">
        <v>53</v>
      </c>
      <c r="I7850" s="24" t="s">
        <v>36231</v>
      </c>
      <c r="J7850" s="22" t="s">
        <v>55</v>
      </c>
      <c r="K7850" s="22" t="s">
        <v>36232</v>
      </c>
      <c r="L7850" s="36">
        <v>904.0</v>
      </c>
      <c r="M7850" s="107"/>
      <c r="N7850" s="107"/>
      <c r="O7850" s="36">
        <v>3.0</v>
      </c>
      <c r="P7850" s="109"/>
      <c r="Q7850" s="107"/>
      <c r="R7850" s="36" t="s">
        <v>9594</v>
      </c>
      <c r="S7850" s="36">
        <v>5.0</v>
      </c>
      <c r="T7850" s="42" t="s">
        <v>36233</v>
      </c>
      <c r="U7850" s="38" t="str">
        <f>HYPERLINK("https://www.ncbi.nlm.nih.gov/pubmed/3695788","PubMed")</f>
        <v>PubMed</v>
      </c>
      <c r="V7850" s="50"/>
      <c r="W7850" s="49"/>
      <c r="X7850" s="49"/>
      <c r="Y7850" s="35"/>
      <c r="Z7850" s="35"/>
      <c r="AA7850" s="35"/>
      <c r="AB7850" s="35"/>
      <c r="AC7850" s="35"/>
      <c r="AD7850" s="35"/>
      <c r="AE7850" s="35"/>
      <c r="AF7850" s="35"/>
      <c r="AG7850" s="35"/>
      <c r="AH7850" s="35"/>
      <c r="AI7850" s="35"/>
      <c r="AJ7850" s="35"/>
      <c r="AK7850" s="35"/>
      <c r="AL7850" s="35"/>
    </row>
    <row r="7851">
      <c r="A7851" s="457"/>
      <c r="B7851" s="19" t="s">
        <v>6113</v>
      </c>
      <c r="C7851" s="158" t="s">
        <v>35771</v>
      </c>
      <c r="D7851" s="47"/>
      <c r="E7851" s="22" t="s">
        <v>36234</v>
      </c>
      <c r="F7851" s="22" t="s">
        <v>36235</v>
      </c>
      <c r="G7851" s="23">
        <v>1986.0</v>
      </c>
      <c r="H7851" s="22" t="s">
        <v>546</v>
      </c>
      <c r="I7851" s="24" t="s">
        <v>36236</v>
      </c>
      <c r="J7851" s="22" t="s">
        <v>3694</v>
      </c>
      <c r="K7851" s="22" t="s">
        <v>36237</v>
      </c>
      <c r="L7851" s="36">
        <v>633.0</v>
      </c>
      <c r="M7851" s="107"/>
      <c r="N7851" s="107"/>
      <c r="O7851" s="36"/>
      <c r="P7851" s="109"/>
      <c r="Q7851" s="107"/>
      <c r="R7851" s="36"/>
      <c r="S7851" s="36"/>
      <c r="T7851" s="28" t="s">
        <v>36238</v>
      </c>
      <c r="U7851" s="38" t="str">
        <f>HYPERLINK("https://www.ncbi.nlm.nih.gov/pubmed/3753490","PubMed")</f>
        <v>PubMed</v>
      </c>
      <c r="V7851" s="50"/>
      <c r="W7851" s="49"/>
      <c r="X7851" s="49"/>
      <c r="Y7851" s="35"/>
      <c r="Z7851" s="35"/>
      <c r="AA7851" s="35"/>
      <c r="AB7851" s="35"/>
      <c r="AC7851" s="35"/>
      <c r="AD7851" s="35"/>
      <c r="AE7851" s="35"/>
      <c r="AF7851" s="35"/>
      <c r="AG7851" s="35"/>
      <c r="AH7851" s="35"/>
      <c r="AI7851" s="35"/>
      <c r="AJ7851" s="35"/>
      <c r="AK7851" s="35"/>
      <c r="AL7851" s="35"/>
    </row>
    <row r="7852">
      <c r="A7852" s="457"/>
      <c r="B7852" s="19" t="s">
        <v>6113</v>
      </c>
      <c r="C7852" s="158" t="s">
        <v>35771</v>
      </c>
      <c r="D7852" s="47"/>
      <c r="E7852" s="22" t="s">
        <v>36239</v>
      </c>
      <c r="F7852" s="22" t="s">
        <v>5223</v>
      </c>
      <c r="G7852" s="23">
        <v>1986.0</v>
      </c>
      <c r="H7852" s="22" t="s">
        <v>91</v>
      </c>
      <c r="I7852" s="24" t="s">
        <v>36240</v>
      </c>
      <c r="J7852" s="22" t="s">
        <v>44</v>
      </c>
      <c r="K7852" s="22" t="s">
        <v>36241</v>
      </c>
      <c r="L7852" s="36"/>
      <c r="M7852" s="107"/>
      <c r="N7852" s="107"/>
      <c r="O7852" s="36"/>
      <c r="P7852" s="109"/>
      <c r="Q7852" s="107"/>
      <c r="R7852" s="36"/>
      <c r="S7852" s="36"/>
      <c r="T7852" s="42" t="s">
        <v>36242</v>
      </c>
      <c r="U7852" s="38" t="str">
        <f>HYPERLINK("https://link.springer.com/article/10.1007/BF02038962","Springer")</f>
        <v>Springer</v>
      </c>
      <c r="V7852" s="50"/>
      <c r="W7852" s="49"/>
      <c r="X7852" s="49"/>
      <c r="Y7852" s="35"/>
      <c r="Z7852" s="35"/>
      <c r="AA7852" s="35"/>
      <c r="AB7852" s="35"/>
      <c r="AC7852" s="35"/>
      <c r="AD7852" s="35"/>
      <c r="AE7852" s="35"/>
      <c r="AF7852" s="35"/>
      <c r="AG7852" s="35"/>
      <c r="AH7852" s="35"/>
      <c r="AI7852" s="35"/>
      <c r="AJ7852" s="35"/>
      <c r="AK7852" s="35"/>
      <c r="AL7852" s="35"/>
    </row>
    <row r="7853">
      <c r="A7853" s="457"/>
      <c r="B7853" s="19" t="s">
        <v>6113</v>
      </c>
      <c r="C7853" s="158" t="s">
        <v>35771</v>
      </c>
      <c r="D7853" s="47"/>
      <c r="E7853" s="22" t="s">
        <v>36243</v>
      </c>
      <c r="F7853" s="22" t="s">
        <v>9852</v>
      </c>
      <c r="G7853" s="23">
        <v>1985.0</v>
      </c>
      <c r="H7853" s="22" t="s">
        <v>53</v>
      </c>
      <c r="I7853" s="24" t="s">
        <v>36244</v>
      </c>
      <c r="J7853" s="22" t="s">
        <v>9864</v>
      </c>
      <c r="K7853" s="22" t="s">
        <v>36193</v>
      </c>
      <c r="L7853" s="36" t="s">
        <v>36245</v>
      </c>
      <c r="M7853" s="107"/>
      <c r="N7853" s="36" t="s">
        <v>211</v>
      </c>
      <c r="O7853" s="36"/>
      <c r="P7853" s="37" t="s">
        <v>269</v>
      </c>
      <c r="Q7853" s="107"/>
      <c r="R7853" s="36">
        <v>100.0</v>
      </c>
      <c r="S7853" s="36"/>
      <c r="T7853" s="41" t="s">
        <v>36246</v>
      </c>
      <c r="U7853" s="38" t="str">
        <f>HYPERLINK("https://www.ncbi.nlm.nih.gov/pubmed/4088002","PubMed")</f>
        <v>PubMed</v>
      </c>
      <c r="V7853" s="50"/>
      <c r="W7853" s="49"/>
      <c r="X7853" s="49"/>
      <c r="Y7853" s="35"/>
      <c r="Z7853" s="35"/>
      <c r="AA7853" s="35"/>
      <c r="AB7853" s="35"/>
      <c r="AC7853" s="35"/>
      <c r="AD7853" s="35"/>
      <c r="AE7853" s="35"/>
      <c r="AF7853" s="35"/>
      <c r="AG7853" s="35"/>
      <c r="AH7853" s="35"/>
      <c r="AI7853" s="35"/>
      <c r="AJ7853" s="35"/>
      <c r="AK7853" s="35"/>
      <c r="AL7853" s="35"/>
    </row>
    <row r="7854">
      <c r="A7854" s="457"/>
      <c r="B7854" s="19" t="s">
        <v>6113</v>
      </c>
      <c r="C7854" s="158" t="s">
        <v>35771</v>
      </c>
      <c r="D7854" s="47"/>
      <c r="E7854" s="22" t="s">
        <v>36247</v>
      </c>
      <c r="F7854" s="22" t="s">
        <v>8590</v>
      </c>
      <c r="G7854" s="23">
        <v>1984.0</v>
      </c>
      <c r="H7854" s="22" t="s">
        <v>36248</v>
      </c>
      <c r="I7854" s="24" t="s">
        <v>36249</v>
      </c>
      <c r="J7854" s="22" t="s">
        <v>9864</v>
      </c>
      <c r="K7854" s="22" t="s">
        <v>36250</v>
      </c>
      <c r="L7854" s="36">
        <v>803.0</v>
      </c>
      <c r="M7854" s="36">
        <v>30.0</v>
      </c>
      <c r="N7854" s="36"/>
      <c r="O7854" s="36"/>
      <c r="P7854" s="37"/>
      <c r="Q7854" s="107"/>
      <c r="R7854" s="36"/>
      <c r="S7854" s="36"/>
      <c r="T7854" s="42" t="s">
        <v>36251</v>
      </c>
      <c r="U7854" s="38" t="str">
        <f>HYPERLINK("https://www.jstage.jst.go.jp/article/jslsm1980/4/1/4_187/_article","J-STAGE")</f>
        <v>J-STAGE</v>
      </c>
      <c r="V7854" s="50"/>
      <c r="W7854" s="49"/>
      <c r="X7854" s="49"/>
      <c r="Y7854" s="35"/>
      <c r="Z7854" s="35"/>
      <c r="AA7854" s="35"/>
      <c r="AB7854" s="35"/>
      <c r="AC7854" s="35"/>
      <c r="AD7854" s="35"/>
      <c r="AE7854" s="35"/>
      <c r="AF7854" s="35"/>
      <c r="AG7854" s="35"/>
      <c r="AH7854" s="35"/>
      <c r="AI7854" s="35"/>
      <c r="AJ7854" s="35"/>
      <c r="AK7854" s="35"/>
      <c r="AL7854" s="35"/>
    </row>
    <row r="7855">
      <c r="A7855" s="457"/>
      <c r="B7855" s="19" t="s">
        <v>6113</v>
      </c>
      <c r="C7855" s="158" t="s">
        <v>35771</v>
      </c>
      <c r="D7855" s="47"/>
      <c r="E7855" s="22" t="s">
        <v>36252</v>
      </c>
      <c r="F7855" s="22" t="s">
        <v>4253</v>
      </c>
      <c r="G7855" s="23">
        <v>1984.0</v>
      </c>
      <c r="H7855" s="22" t="s">
        <v>53</v>
      </c>
      <c r="I7855" s="24" t="s">
        <v>36253</v>
      </c>
      <c r="J7855" s="22" t="s">
        <v>3694</v>
      </c>
      <c r="K7855" s="22" t="s">
        <v>36254</v>
      </c>
      <c r="L7855" s="36">
        <v>633.0</v>
      </c>
      <c r="M7855" s="36"/>
      <c r="N7855" s="36"/>
      <c r="O7855" s="36"/>
      <c r="P7855" s="37"/>
      <c r="Q7855" s="107"/>
      <c r="R7855" s="36"/>
      <c r="S7855" s="36"/>
      <c r="T7855" s="41" t="s">
        <v>36255</v>
      </c>
      <c r="U7855" s="38" t="str">
        <f>HYPERLINK("https://www.ncbi.nlm.nih.gov/pubmed/6727528","PubMed")</f>
        <v>PubMed</v>
      </c>
      <c r="V7855" s="50"/>
      <c r="W7855" s="49"/>
      <c r="X7855" s="49"/>
      <c r="Y7855" s="35"/>
      <c r="Z7855" s="35"/>
      <c r="AA7855" s="35"/>
      <c r="AB7855" s="35"/>
      <c r="AC7855" s="35"/>
      <c r="AD7855" s="35"/>
      <c r="AE7855" s="35"/>
      <c r="AF7855" s="35"/>
      <c r="AG7855" s="35"/>
      <c r="AH7855" s="35"/>
      <c r="AI7855" s="35"/>
      <c r="AJ7855" s="35"/>
      <c r="AK7855" s="35"/>
      <c r="AL7855" s="35"/>
    </row>
    <row r="7856">
      <c r="A7856" s="457"/>
      <c r="B7856" s="19" t="s">
        <v>6113</v>
      </c>
      <c r="C7856" s="158" t="s">
        <v>35771</v>
      </c>
      <c r="D7856" s="47"/>
      <c r="E7856" s="22" t="s">
        <v>36256</v>
      </c>
      <c r="F7856" s="22"/>
      <c r="G7856" s="23">
        <v>1983.0</v>
      </c>
      <c r="H7856" s="22" t="s">
        <v>53</v>
      </c>
      <c r="I7856" s="24" t="s">
        <v>36257</v>
      </c>
      <c r="J7856" s="22" t="s">
        <v>55</v>
      </c>
      <c r="K7856" s="22" t="s">
        <v>36193</v>
      </c>
      <c r="L7856" s="36">
        <v>633.0</v>
      </c>
      <c r="M7856" s="36"/>
      <c r="N7856" s="36"/>
      <c r="O7856" s="36"/>
      <c r="P7856" s="37"/>
      <c r="Q7856" s="107"/>
      <c r="R7856" s="36"/>
      <c r="S7856" s="36"/>
      <c r="T7856" s="42" t="s">
        <v>36258</v>
      </c>
      <c r="U7856" s="38" t="str">
        <f>HYPERLINK("https://www.ncbi.nlm.nih.gov/pubmed/6843266","PubMed")</f>
        <v>PubMed</v>
      </c>
      <c r="V7856" s="50"/>
      <c r="W7856" s="49"/>
      <c r="X7856" s="49"/>
      <c r="Y7856" s="35"/>
      <c r="Z7856" s="35"/>
      <c r="AA7856" s="35"/>
      <c r="AB7856" s="35"/>
      <c r="AC7856" s="35"/>
      <c r="AD7856" s="35"/>
      <c r="AE7856" s="35"/>
      <c r="AF7856" s="35"/>
      <c r="AG7856" s="35"/>
      <c r="AH7856" s="35"/>
      <c r="AI7856" s="35"/>
      <c r="AJ7856" s="35"/>
      <c r="AK7856" s="35"/>
      <c r="AL7856" s="35"/>
    </row>
    <row r="7857">
      <c r="A7857" s="457"/>
      <c r="B7857" s="19" t="s">
        <v>6113</v>
      </c>
      <c r="C7857" s="158" t="s">
        <v>35771</v>
      </c>
      <c r="D7857" s="47"/>
      <c r="E7857" s="22" t="s">
        <v>9731</v>
      </c>
      <c r="F7857" s="22" t="s">
        <v>2492</v>
      </c>
      <c r="G7857" s="23">
        <v>1983.0</v>
      </c>
      <c r="H7857" s="22" t="s">
        <v>31760</v>
      </c>
      <c r="I7857" s="24" t="s">
        <v>36259</v>
      </c>
      <c r="J7857" s="22" t="s">
        <v>3694</v>
      </c>
      <c r="K7857" s="22" t="s">
        <v>36260</v>
      </c>
      <c r="L7857" s="36">
        <v>1060.0</v>
      </c>
      <c r="M7857" s="36"/>
      <c r="N7857" s="36"/>
      <c r="O7857" s="36"/>
      <c r="P7857" s="37" t="s">
        <v>36261</v>
      </c>
      <c r="Q7857" s="107"/>
      <c r="R7857" s="36"/>
      <c r="S7857" s="36"/>
      <c r="T7857" s="28" t="s">
        <v>36262</v>
      </c>
      <c r="U7857" s="38" t="str">
        <f>HYPERLINK("https://www.ncbi.nlm.nih.gov/pubmed/6688709","PubMed")</f>
        <v>PubMed</v>
      </c>
      <c r="V7857" s="50"/>
      <c r="W7857" s="49"/>
      <c r="X7857" s="49"/>
      <c r="Y7857" s="35"/>
      <c r="Z7857" s="35"/>
      <c r="AA7857" s="35"/>
      <c r="AB7857" s="35"/>
      <c r="AC7857" s="35"/>
      <c r="AD7857" s="35"/>
      <c r="AE7857" s="35"/>
      <c r="AF7857" s="35"/>
      <c r="AG7857" s="35"/>
      <c r="AH7857" s="35"/>
      <c r="AI7857" s="35"/>
      <c r="AJ7857" s="35"/>
      <c r="AK7857" s="35"/>
      <c r="AL7857" s="35"/>
    </row>
    <row r="7858">
      <c r="A7858" s="457"/>
      <c r="B7858" s="19" t="s">
        <v>6113</v>
      </c>
      <c r="C7858" s="158" t="s">
        <v>35771</v>
      </c>
      <c r="D7858" s="47"/>
      <c r="E7858" s="22" t="s">
        <v>36263</v>
      </c>
      <c r="F7858" s="22" t="s">
        <v>36264</v>
      </c>
      <c r="G7858" s="23">
        <v>1981.0</v>
      </c>
      <c r="H7858" s="22" t="s">
        <v>36265</v>
      </c>
      <c r="I7858" s="24" t="s">
        <v>36266</v>
      </c>
      <c r="J7858" s="22" t="s">
        <v>55</v>
      </c>
      <c r="K7858" s="22" t="s">
        <v>36267</v>
      </c>
      <c r="L7858" s="36" t="s">
        <v>36268</v>
      </c>
      <c r="M7858" s="36"/>
      <c r="N7858" s="36"/>
      <c r="O7858" s="36"/>
      <c r="P7858" s="37" t="s">
        <v>36269</v>
      </c>
      <c r="Q7858" s="107"/>
      <c r="R7858" s="36"/>
      <c r="S7858" s="36"/>
      <c r="T7858" s="28" t="s">
        <v>36270</v>
      </c>
      <c r="U7858" s="38" t="str">
        <f>HYPERLINK("https://www.ncbi.nlm.nih.gov/pubmed/7469766","PubMed")</f>
        <v>PubMed</v>
      </c>
      <c r="V7858" s="50"/>
      <c r="W7858" s="49"/>
      <c r="X7858" s="49"/>
      <c r="Y7858" s="35"/>
      <c r="Z7858" s="35"/>
      <c r="AA7858" s="35"/>
      <c r="AB7858" s="35"/>
      <c r="AC7858" s="35"/>
      <c r="AD7858" s="35"/>
      <c r="AE7858" s="35"/>
      <c r="AF7858" s="35"/>
      <c r="AG7858" s="35"/>
      <c r="AH7858" s="35"/>
      <c r="AI7858" s="35"/>
      <c r="AJ7858" s="35"/>
      <c r="AK7858" s="35"/>
      <c r="AL7858" s="35"/>
    </row>
    <row r="7859">
      <c r="A7859" s="18"/>
      <c r="B7859" s="157" t="s">
        <v>6113</v>
      </c>
      <c r="C7859" s="158" t="s">
        <v>36271</v>
      </c>
      <c r="D7859" s="159"/>
      <c r="E7859" s="23" t="s">
        <v>8908</v>
      </c>
      <c r="F7859" s="23" t="s">
        <v>274</v>
      </c>
      <c r="G7859" s="23">
        <v>2018.0</v>
      </c>
      <c r="H7859" s="23" t="s">
        <v>42</v>
      </c>
      <c r="I7859" s="243" t="s">
        <v>36272</v>
      </c>
      <c r="J7859" s="23" t="s">
        <v>36273</v>
      </c>
      <c r="K7859" s="23"/>
      <c r="L7859" s="94">
        <v>660.0</v>
      </c>
      <c r="M7859" s="94">
        <v>30.0</v>
      </c>
      <c r="N7859" s="94"/>
      <c r="O7859" s="94" t="s">
        <v>36274</v>
      </c>
      <c r="P7859" s="94"/>
      <c r="Q7859" s="172"/>
      <c r="R7859" s="94" t="s">
        <v>36275</v>
      </c>
      <c r="S7859" s="94"/>
      <c r="T7859" s="54" t="s">
        <v>36276</v>
      </c>
      <c r="U7859" s="135" t="str">
        <f>HYPERLINK("https://www.ncbi.nlm.nih.gov/pubmed/29688627","PubMed")</f>
        <v>PubMed</v>
      </c>
      <c r="V7859" s="30"/>
      <c r="W7859" s="49"/>
      <c r="X7859" s="49"/>
      <c r="Y7859" s="35"/>
      <c r="Z7859" s="35"/>
      <c r="AA7859" s="35"/>
      <c r="AB7859" s="35"/>
      <c r="AC7859" s="35"/>
      <c r="AD7859" s="35"/>
      <c r="AE7859" s="35"/>
      <c r="AF7859" s="35"/>
      <c r="AG7859" s="35"/>
      <c r="AH7859" s="35"/>
      <c r="AI7859" s="35"/>
      <c r="AJ7859" s="35"/>
      <c r="AK7859" s="35"/>
      <c r="AL7859" s="35"/>
    </row>
    <row r="7860">
      <c r="A7860" s="18"/>
      <c r="B7860" s="157" t="s">
        <v>6113</v>
      </c>
      <c r="C7860" s="158" t="s">
        <v>36277</v>
      </c>
      <c r="D7860" s="159"/>
      <c r="E7860" s="23" t="s">
        <v>36278</v>
      </c>
      <c r="F7860" s="23" t="s">
        <v>4411</v>
      </c>
      <c r="G7860" s="23">
        <v>2012.0</v>
      </c>
      <c r="H7860" s="23" t="s">
        <v>5130</v>
      </c>
      <c r="I7860" s="243" t="s">
        <v>36279</v>
      </c>
      <c r="J7860" s="23" t="s">
        <v>44</v>
      </c>
      <c r="K7860" s="23"/>
      <c r="L7860" s="94">
        <v>650.0</v>
      </c>
      <c r="M7860" s="94"/>
      <c r="N7860" s="94"/>
      <c r="O7860" s="94"/>
      <c r="P7860" s="94">
        <v>12.0</v>
      </c>
      <c r="Q7860" s="172"/>
      <c r="R7860" s="94"/>
      <c r="S7860" s="94"/>
      <c r="T7860" s="54" t="s">
        <v>36280</v>
      </c>
      <c r="U7860" s="135" t="str">
        <f>HYPERLINK("https://www.ncbi.nlm.nih.gov/pubmed/22882528","PubMed")</f>
        <v>PubMed</v>
      </c>
      <c r="V7860" s="30"/>
      <c r="W7860" s="49"/>
      <c r="X7860" s="49"/>
      <c r="Y7860" s="35"/>
      <c r="Z7860" s="35"/>
      <c r="AA7860" s="35"/>
      <c r="AB7860" s="35"/>
      <c r="AC7860" s="35"/>
      <c r="AD7860" s="35"/>
      <c r="AE7860" s="35"/>
      <c r="AF7860" s="35"/>
      <c r="AG7860" s="35"/>
      <c r="AH7860" s="35"/>
      <c r="AI7860" s="35"/>
      <c r="AJ7860" s="35"/>
      <c r="AK7860" s="35"/>
      <c r="AL7860" s="35"/>
    </row>
    <row r="7861">
      <c r="A7861" s="40"/>
      <c r="B7861" s="75" t="s">
        <v>6113</v>
      </c>
      <c r="C7861" s="76" t="s">
        <v>36281</v>
      </c>
      <c r="D7861" s="159"/>
      <c r="E7861" s="23" t="s">
        <v>34777</v>
      </c>
      <c r="F7861" s="23" t="s">
        <v>34756</v>
      </c>
      <c r="G7861" s="23">
        <v>2019.0</v>
      </c>
      <c r="H7861" s="23" t="s">
        <v>53</v>
      </c>
      <c r="I7861" s="243" t="s">
        <v>36282</v>
      </c>
      <c r="J7861" s="23" t="s">
        <v>55</v>
      </c>
      <c r="K7861" s="23" t="s">
        <v>36283</v>
      </c>
      <c r="L7861" s="94">
        <v>810.0</v>
      </c>
      <c r="M7861" s="94"/>
      <c r="N7861" s="94" t="s">
        <v>3587</v>
      </c>
      <c r="O7861" s="94"/>
      <c r="P7861" s="93">
        <v>43638.0</v>
      </c>
      <c r="Q7861" s="94"/>
      <c r="R7861" s="94">
        <v>600.0</v>
      </c>
      <c r="S7861" s="94">
        <v>7.0</v>
      </c>
      <c r="T7861" s="54" t="s">
        <v>36284</v>
      </c>
      <c r="U7861" s="135" t="str">
        <f>HYPERLINK("https://www.ncbi.nlm.nih.gov/pubmed/31483061","PubMed")</f>
        <v>PubMed</v>
      </c>
      <c r="V7861" s="30"/>
      <c r="W7861" s="49"/>
      <c r="X7861" s="49"/>
      <c r="Y7861" s="35"/>
      <c r="Z7861" s="35"/>
      <c r="AA7861" s="35"/>
      <c r="AB7861" s="35"/>
      <c r="AC7861" s="35"/>
      <c r="AD7861" s="35"/>
      <c r="AE7861" s="35"/>
      <c r="AF7861" s="35"/>
      <c r="AG7861" s="35"/>
      <c r="AH7861" s="35"/>
      <c r="AI7861" s="35"/>
      <c r="AJ7861" s="35"/>
      <c r="AK7861" s="35"/>
      <c r="AL7861" s="35"/>
    </row>
    <row r="7862">
      <c r="A7862" s="1" t="s">
        <v>2983</v>
      </c>
      <c r="B7862" s="157" t="s">
        <v>6113</v>
      </c>
      <c r="C7862" s="76" t="s">
        <v>36281</v>
      </c>
      <c r="D7862" s="159"/>
      <c r="E7862" s="23" t="s">
        <v>34777</v>
      </c>
      <c r="F7862" s="23" t="s">
        <v>34756</v>
      </c>
      <c r="G7862" s="23">
        <v>2016.0</v>
      </c>
      <c r="H7862" s="23" t="s">
        <v>627</v>
      </c>
      <c r="I7862" s="243" t="s">
        <v>36285</v>
      </c>
      <c r="J7862" s="23" t="s">
        <v>55</v>
      </c>
      <c r="K7862" s="23" t="s">
        <v>36286</v>
      </c>
      <c r="L7862" s="94">
        <v>810.0</v>
      </c>
      <c r="M7862" s="94">
        <v>70.0</v>
      </c>
      <c r="N7862" s="94" t="s">
        <v>1439</v>
      </c>
      <c r="O7862" s="94">
        <v>28.0</v>
      </c>
      <c r="P7862" s="93">
        <v>42543.0</v>
      </c>
      <c r="Q7862" s="172" t="s">
        <v>16564</v>
      </c>
      <c r="R7862" s="94">
        <v>600.0</v>
      </c>
      <c r="S7862" s="94">
        <v>7.0</v>
      </c>
      <c r="T7862" s="54" t="s">
        <v>36287</v>
      </c>
      <c r="U7862" s="135" t="str">
        <f>HYPERLINK("https://www.ncbi.nlm.nih.gov/pubmed/27861614","PubMed")</f>
        <v>PubMed</v>
      </c>
      <c r="V7862" s="30"/>
      <c r="W7862" s="49"/>
      <c r="X7862" s="49"/>
      <c r="Y7862" s="35"/>
      <c r="Z7862" s="35"/>
      <c r="AA7862" s="35"/>
      <c r="AB7862" s="35"/>
      <c r="AC7862" s="35"/>
      <c r="AD7862" s="35"/>
      <c r="AE7862" s="35"/>
      <c r="AF7862" s="35"/>
      <c r="AG7862" s="35"/>
      <c r="AH7862" s="35"/>
      <c r="AI7862" s="35"/>
      <c r="AJ7862" s="35"/>
      <c r="AK7862" s="35"/>
      <c r="AL7862" s="35"/>
    </row>
    <row r="7863">
      <c r="A7863" s="456"/>
      <c r="B7863" s="75" t="s">
        <v>6113</v>
      </c>
      <c r="C7863" s="158" t="s">
        <v>36288</v>
      </c>
      <c r="D7863" s="159"/>
      <c r="E7863" s="23" t="s">
        <v>36289</v>
      </c>
      <c r="F7863" s="23" t="s">
        <v>2105</v>
      </c>
      <c r="G7863" s="23">
        <v>2019.0</v>
      </c>
      <c r="H7863" s="23" t="s">
        <v>77</v>
      </c>
      <c r="I7863" s="243" t="s">
        <v>36290</v>
      </c>
      <c r="J7863" s="23" t="s">
        <v>3101</v>
      </c>
      <c r="K7863" s="23" t="s">
        <v>1240</v>
      </c>
      <c r="L7863" s="94">
        <v>633.0</v>
      </c>
      <c r="M7863" s="94"/>
      <c r="N7863" s="94"/>
      <c r="O7863" s="94"/>
      <c r="P7863" s="94" t="s">
        <v>36291</v>
      </c>
      <c r="Q7863" s="94"/>
      <c r="R7863" s="94"/>
      <c r="S7863" s="94"/>
      <c r="T7863" s="54" t="s">
        <v>36292</v>
      </c>
      <c r="U7863" s="135" t="str">
        <f>HYPERLINK("https://www.ncbi.nlm.nih.gov/pubmed/31050943","PubMed")</f>
        <v>PubMed</v>
      </c>
      <c r="V7863" s="30"/>
      <c r="W7863" s="49"/>
      <c r="X7863" s="49"/>
      <c r="Y7863" s="35"/>
      <c r="Z7863" s="35"/>
      <c r="AA7863" s="35"/>
      <c r="AB7863" s="35"/>
      <c r="AC7863" s="35"/>
      <c r="AD7863" s="35"/>
      <c r="AE7863" s="35"/>
      <c r="AF7863" s="35"/>
      <c r="AG7863" s="35"/>
      <c r="AH7863" s="35"/>
      <c r="AI7863" s="35"/>
      <c r="AJ7863" s="35"/>
      <c r="AK7863" s="35"/>
      <c r="AL7863" s="35"/>
    </row>
    <row r="7864">
      <c r="A7864" s="1"/>
      <c r="B7864" s="157" t="s">
        <v>6113</v>
      </c>
      <c r="C7864" s="158" t="s">
        <v>36288</v>
      </c>
      <c r="D7864" s="159"/>
      <c r="E7864" s="23" t="s">
        <v>36293</v>
      </c>
      <c r="F7864" s="23" t="s">
        <v>323</v>
      </c>
      <c r="G7864" s="23">
        <v>2018.0</v>
      </c>
      <c r="H7864" s="23" t="s">
        <v>147</v>
      </c>
      <c r="I7864" s="243" t="s">
        <v>36294</v>
      </c>
      <c r="J7864" s="23" t="s">
        <v>55</v>
      </c>
      <c r="K7864" s="23" t="s">
        <v>36295</v>
      </c>
      <c r="L7864" s="94">
        <v>810.0</v>
      </c>
      <c r="M7864" s="94"/>
      <c r="N7864" s="95"/>
      <c r="O7864" s="94"/>
      <c r="P7864" s="94" t="s">
        <v>267</v>
      </c>
      <c r="Q7864" s="172"/>
      <c r="R7864" s="94">
        <v>200.0</v>
      </c>
      <c r="S7864" s="94"/>
      <c r="T7864" s="102" t="s">
        <v>36296</v>
      </c>
      <c r="U7864" s="135" t="str">
        <f>HYPERLINK("https://www.ncbi.nlm.nih.gov/pubmed/29399303","PubMed")</f>
        <v>PubMed</v>
      </c>
      <c r="V7864" s="30"/>
      <c r="W7864" s="49"/>
      <c r="X7864" s="49"/>
      <c r="Y7864" s="35"/>
      <c r="Z7864" s="35"/>
      <c r="AA7864" s="35"/>
      <c r="AB7864" s="35"/>
      <c r="AC7864" s="35"/>
      <c r="AD7864" s="35"/>
      <c r="AE7864" s="35"/>
      <c r="AF7864" s="35"/>
      <c r="AG7864" s="35"/>
      <c r="AH7864" s="35"/>
      <c r="AI7864" s="35"/>
      <c r="AJ7864" s="35"/>
      <c r="AK7864" s="35"/>
      <c r="AL7864" s="35"/>
    </row>
    <row r="7865">
      <c r="A7865" s="1"/>
      <c r="B7865" s="157" t="s">
        <v>6113</v>
      </c>
      <c r="C7865" s="158" t="s">
        <v>36288</v>
      </c>
      <c r="D7865" s="159"/>
      <c r="E7865" s="23" t="s">
        <v>36293</v>
      </c>
      <c r="F7865" s="23" t="s">
        <v>323</v>
      </c>
      <c r="G7865" s="23">
        <v>2018.0</v>
      </c>
      <c r="H7865" s="23" t="s">
        <v>147</v>
      </c>
      <c r="I7865" s="243" t="s">
        <v>36297</v>
      </c>
      <c r="J7865" s="23" t="s">
        <v>55</v>
      </c>
      <c r="K7865" s="23" t="s">
        <v>36295</v>
      </c>
      <c r="L7865" s="94">
        <v>810.0</v>
      </c>
      <c r="M7865" s="94"/>
      <c r="N7865" s="95" t="s">
        <v>1975</v>
      </c>
      <c r="O7865" s="94"/>
      <c r="P7865" s="94" t="s">
        <v>267</v>
      </c>
      <c r="Q7865" s="172"/>
      <c r="R7865" s="94">
        <v>200.0</v>
      </c>
      <c r="S7865" s="94"/>
      <c r="T7865" s="103" t="s">
        <v>36298</v>
      </c>
      <c r="U7865" s="135" t="str">
        <f>HYPERLINK("https://www.ncbi.nlm.nih.gov/pubmed/31119022","PubMed")</f>
        <v>PubMed</v>
      </c>
      <c r="V7865" s="30"/>
      <c r="W7865" s="49"/>
      <c r="X7865" s="49"/>
      <c r="Y7865" s="35"/>
      <c r="Z7865" s="35"/>
      <c r="AA7865" s="35"/>
      <c r="AB7865" s="35"/>
      <c r="AC7865" s="35"/>
      <c r="AD7865" s="35"/>
      <c r="AE7865" s="35"/>
      <c r="AF7865" s="35"/>
      <c r="AG7865" s="35"/>
      <c r="AH7865" s="35"/>
      <c r="AI7865" s="35"/>
      <c r="AJ7865" s="35"/>
      <c r="AK7865" s="35"/>
      <c r="AL7865" s="35"/>
    </row>
    <row r="7866">
      <c r="A7866" s="1"/>
      <c r="B7866" s="157" t="s">
        <v>6113</v>
      </c>
      <c r="C7866" s="158" t="s">
        <v>36288</v>
      </c>
      <c r="D7866" s="159"/>
      <c r="E7866" s="23" t="s">
        <v>17063</v>
      </c>
      <c r="F7866" s="23" t="s">
        <v>6082</v>
      </c>
      <c r="G7866" s="23" t="s">
        <v>2499</v>
      </c>
      <c r="H7866" s="23" t="s">
        <v>91</v>
      </c>
      <c r="I7866" s="243" t="s">
        <v>36299</v>
      </c>
      <c r="J7866" s="23" t="s">
        <v>55</v>
      </c>
      <c r="K7866" s="23"/>
      <c r="L7866" s="94">
        <v>660.0</v>
      </c>
      <c r="M7866" s="94">
        <v>100.0</v>
      </c>
      <c r="N7866" s="95" t="s">
        <v>278</v>
      </c>
      <c r="O7866" s="94" t="s">
        <v>36300</v>
      </c>
      <c r="P7866" s="94" t="s">
        <v>36301</v>
      </c>
      <c r="Q7866" s="172" t="s">
        <v>280</v>
      </c>
      <c r="R7866" s="94">
        <v>900.0</v>
      </c>
      <c r="S7866" s="94" t="s">
        <v>1819</v>
      </c>
      <c r="T7866" s="102" t="s">
        <v>36302</v>
      </c>
      <c r="U7866" s="135" t="str">
        <f>HYPERLINK("https://www.ncbi.nlm.nih.gov/pubmed/29306974","PubMed")</f>
        <v>PubMed</v>
      </c>
      <c r="V7866" s="30"/>
      <c r="W7866" s="49"/>
      <c r="X7866" s="49"/>
      <c r="Y7866" s="35"/>
      <c r="Z7866" s="35"/>
      <c r="AA7866" s="35"/>
      <c r="AB7866" s="35"/>
      <c r="AC7866" s="35"/>
      <c r="AD7866" s="35"/>
      <c r="AE7866" s="35"/>
      <c r="AF7866" s="35"/>
      <c r="AG7866" s="35"/>
      <c r="AH7866" s="35"/>
      <c r="AI7866" s="35"/>
      <c r="AJ7866" s="35"/>
      <c r="AK7866" s="35"/>
      <c r="AL7866" s="35"/>
    </row>
    <row r="7867">
      <c r="A7867" s="1"/>
      <c r="B7867" s="157" t="s">
        <v>6113</v>
      </c>
      <c r="C7867" s="158" t="s">
        <v>36288</v>
      </c>
      <c r="D7867" s="159"/>
      <c r="E7867" s="23" t="s">
        <v>35932</v>
      </c>
      <c r="F7867" s="23" t="s">
        <v>605</v>
      </c>
      <c r="G7867" s="23" t="s">
        <v>90</v>
      </c>
      <c r="H7867" s="23" t="s">
        <v>91</v>
      </c>
      <c r="I7867" s="243" t="s">
        <v>36303</v>
      </c>
      <c r="J7867" s="23" t="s">
        <v>378</v>
      </c>
      <c r="K7867" s="23" t="s">
        <v>294</v>
      </c>
      <c r="L7867" s="94" t="s">
        <v>36304</v>
      </c>
      <c r="M7867" s="94" t="s">
        <v>36305</v>
      </c>
      <c r="N7867" s="94" t="s">
        <v>6151</v>
      </c>
      <c r="O7867" s="94"/>
      <c r="P7867" s="94" t="s">
        <v>20408</v>
      </c>
      <c r="Q7867" s="172"/>
      <c r="R7867" s="94" t="s">
        <v>36306</v>
      </c>
      <c r="S7867" s="94"/>
      <c r="T7867" s="102" t="s">
        <v>36307</v>
      </c>
      <c r="U7867" s="135" t="str">
        <f>HYPERLINK("https://www.ncbi.nlm.nih.gov/pubmed/28321647","PubMed")</f>
        <v>PubMed</v>
      </c>
      <c r="V7867" s="30"/>
      <c r="W7867" s="49"/>
      <c r="X7867" s="49"/>
      <c r="Y7867" s="35"/>
      <c r="Z7867" s="35"/>
      <c r="AA7867" s="35"/>
      <c r="AB7867" s="35"/>
      <c r="AC7867" s="35"/>
      <c r="AD7867" s="35"/>
      <c r="AE7867" s="35"/>
      <c r="AF7867" s="35"/>
      <c r="AG7867" s="35"/>
      <c r="AH7867" s="35"/>
      <c r="AI7867" s="35"/>
      <c r="AJ7867" s="35"/>
      <c r="AK7867" s="35"/>
      <c r="AL7867" s="35"/>
    </row>
    <row r="7868">
      <c r="A7868" s="18"/>
      <c r="B7868" s="157" t="s">
        <v>6113</v>
      </c>
      <c r="C7868" s="158" t="s">
        <v>36288</v>
      </c>
      <c r="D7868" s="159"/>
      <c r="E7868" s="23" t="s">
        <v>36308</v>
      </c>
      <c r="F7868" s="23" t="s">
        <v>6296</v>
      </c>
      <c r="G7868" s="23">
        <v>2016.0</v>
      </c>
      <c r="H7868" s="23" t="s">
        <v>658</v>
      </c>
      <c r="I7868" s="243" t="s">
        <v>36309</v>
      </c>
      <c r="J7868" s="23" t="s">
        <v>36310</v>
      </c>
      <c r="K7868" s="23" t="s">
        <v>36311</v>
      </c>
      <c r="L7868" s="94" t="s">
        <v>36312</v>
      </c>
      <c r="M7868" s="94" t="s">
        <v>36313</v>
      </c>
      <c r="N7868" s="94"/>
      <c r="O7868" s="94">
        <v>84.0</v>
      </c>
      <c r="P7868" s="94" t="s">
        <v>36314</v>
      </c>
      <c r="Q7868" s="172"/>
      <c r="R7868" s="94">
        <v>420.0</v>
      </c>
      <c r="S7868" s="94">
        <v>7.0</v>
      </c>
      <c r="T7868" s="54" t="s">
        <v>36315</v>
      </c>
      <c r="U7868" s="135" t="str">
        <f>HYPERLINK("https://www.ncbi.nlm.nih.gov/pubmed/26741109","PubMed")</f>
        <v>PubMed</v>
      </c>
      <c r="V7868" s="30"/>
      <c r="W7868" s="49"/>
      <c r="X7868" s="49"/>
      <c r="Y7868" s="35"/>
      <c r="Z7868" s="35"/>
      <c r="AA7868" s="35"/>
      <c r="AB7868" s="35"/>
      <c r="AC7868" s="35"/>
      <c r="AD7868" s="35"/>
      <c r="AE7868" s="35"/>
      <c r="AF7868" s="35"/>
      <c r="AG7868" s="35"/>
      <c r="AH7868" s="35"/>
      <c r="AI7868" s="35"/>
      <c r="AJ7868" s="35"/>
      <c r="AK7868" s="35"/>
      <c r="AL7868" s="35"/>
    </row>
    <row r="7869">
      <c r="A7869" s="1"/>
      <c r="B7869" s="157" t="s">
        <v>6113</v>
      </c>
      <c r="C7869" s="158" t="s">
        <v>36288</v>
      </c>
      <c r="D7869" s="159"/>
      <c r="E7869" s="23" t="s">
        <v>3350</v>
      </c>
      <c r="F7869" s="23" t="s">
        <v>2529</v>
      </c>
      <c r="G7869" s="23">
        <v>2015.0</v>
      </c>
      <c r="H7869" s="23" t="s">
        <v>91</v>
      </c>
      <c r="I7869" s="243" t="s">
        <v>36316</v>
      </c>
      <c r="J7869" s="23" t="s">
        <v>55</v>
      </c>
      <c r="K7869" s="23" t="s">
        <v>36317</v>
      </c>
      <c r="L7869" s="94" t="s">
        <v>36318</v>
      </c>
      <c r="M7869" s="94"/>
      <c r="N7869" s="94"/>
      <c r="O7869" s="93"/>
      <c r="P7869" s="94"/>
      <c r="Q7869" s="172"/>
      <c r="R7869" s="94"/>
      <c r="S7869" s="94"/>
      <c r="T7869" s="54" t="s">
        <v>36319</v>
      </c>
      <c r="U7869" s="135" t="str">
        <f>HYPERLINK("https://www.ncbi.nlm.nih.gov/pubmed/25367711","PubMed")</f>
        <v>PubMed</v>
      </c>
      <c r="V7869" s="30"/>
      <c r="W7869" s="49"/>
      <c r="X7869" s="49"/>
      <c r="Y7869" s="35"/>
      <c r="Z7869" s="35"/>
      <c r="AA7869" s="35"/>
      <c r="AB7869" s="35"/>
      <c r="AC7869" s="35"/>
      <c r="AD7869" s="35"/>
      <c r="AE7869" s="35"/>
      <c r="AF7869" s="35"/>
      <c r="AG7869" s="35"/>
      <c r="AH7869" s="35"/>
      <c r="AI7869" s="35"/>
      <c r="AJ7869" s="35"/>
      <c r="AK7869" s="35"/>
      <c r="AL7869" s="35"/>
    </row>
    <row r="7870">
      <c r="A7870" s="1"/>
      <c r="B7870" s="75" t="s">
        <v>6113</v>
      </c>
      <c r="C7870" s="76" t="s">
        <v>36288</v>
      </c>
      <c r="D7870" s="47"/>
      <c r="E7870" s="22" t="s">
        <v>36320</v>
      </c>
      <c r="F7870" s="22" t="s">
        <v>1808</v>
      </c>
      <c r="G7870" s="23">
        <v>2013.0</v>
      </c>
      <c r="H7870" s="23" t="s">
        <v>91</v>
      </c>
      <c r="I7870" s="24" t="s">
        <v>36321</v>
      </c>
      <c r="J7870" s="23" t="s">
        <v>44</v>
      </c>
      <c r="K7870" s="23"/>
      <c r="L7870" s="36">
        <v>650.0</v>
      </c>
      <c r="M7870" s="36"/>
      <c r="N7870" s="36"/>
      <c r="O7870" s="36"/>
      <c r="P7870" s="37"/>
      <c r="Q7870" s="36"/>
      <c r="R7870" s="36"/>
      <c r="S7870" s="36"/>
      <c r="T7870" s="28" t="s">
        <v>36322</v>
      </c>
      <c r="U7870" s="38" t="str">
        <f>HYPERLINK("https://www.ncbi.nlm.nih.gov/pubmed/22895577","PubMed")</f>
        <v>PubMed</v>
      </c>
      <c r="V7870" s="30" t="s">
        <v>36323</v>
      </c>
      <c r="W7870" s="49"/>
      <c r="X7870" s="49"/>
      <c r="Y7870" s="35"/>
      <c r="Z7870" s="35"/>
      <c r="AA7870" s="35"/>
      <c r="AB7870" s="35"/>
      <c r="AC7870" s="35"/>
      <c r="AD7870" s="35"/>
      <c r="AE7870" s="35"/>
      <c r="AF7870" s="35"/>
      <c r="AG7870" s="35"/>
      <c r="AH7870" s="35"/>
      <c r="AI7870" s="35"/>
      <c r="AJ7870" s="35"/>
      <c r="AK7870" s="35"/>
      <c r="AL7870" s="35"/>
    </row>
    <row r="7871">
      <c r="A7871" s="1"/>
      <c r="B7871" s="75" t="s">
        <v>6113</v>
      </c>
      <c r="C7871" s="158" t="s">
        <v>36288</v>
      </c>
      <c r="D7871" s="47"/>
      <c r="E7871" s="22" t="s">
        <v>388</v>
      </c>
      <c r="F7871" s="22" t="s">
        <v>24122</v>
      </c>
      <c r="G7871" s="23">
        <v>2013.0</v>
      </c>
      <c r="H7871" s="23" t="s">
        <v>36324</v>
      </c>
      <c r="I7871" s="24" t="s">
        <v>36325</v>
      </c>
      <c r="J7871" s="23" t="s">
        <v>55</v>
      </c>
      <c r="K7871" s="23" t="s">
        <v>36326</v>
      </c>
      <c r="L7871" s="36" t="s">
        <v>36327</v>
      </c>
      <c r="M7871" s="36"/>
      <c r="N7871" s="36"/>
      <c r="O7871" s="36" t="s">
        <v>36328</v>
      </c>
      <c r="P7871" s="37"/>
      <c r="Q7871" s="36"/>
      <c r="R7871" s="36"/>
      <c r="S7871" s="36"/>
      <c r="T7871" s="28" t="s">
        <v>36329</v>
      </c>
      <c r="U7871" s="38" t="str">
        <f>HYPERLINK("http://www.scielo.br/scielo.php?pid=S1517-31512013000200006&amp;script=sci_arttext&amp;tlng=es","SciELO")</f>
        <v>SciELO</v>
      </c>
      <c r="V7871" s="50"/>
      <c r="W7871" s="49"/>
      <c r="X7871" s="49"/>
      <c r="Y7871" s="35"/>
      <c r="Z7871" s="35"/>
      <c r="AA7871" s="35"/>
      <c r="AB7871" s="35"/>
      <c r="AC7871" s="35"/>
      <c r="AD7871" s="35"/>
      <c r="AE7871" s="35"/>
      <c r="AF7871" s="35"/>
      <c r="AG7871" s="35"/>
      <c r="AH7871" s="35"/>
      <c r="AI7871" s="35"/>
      <c r="AJ7871" s="35"/>
      <c r="AK7871" s="35"/>
      <c r="AL7871" s="35"/>
    </row>
    <row r="7872">
      <c r="A7872" s="18"/>
      <c r="B7872" s="157" t="s">
        <v>6113</v>
      </c>
      <c r="C7872" s="158" t="s">
        <v>36288</v>
      </c>
      <c r="D7872" s="159"/>
      <c r="E7872" s="23" t="s">
        <v>14284</v>
      </c>
      <c r="F7872" s="23" t="s">
        <v>578</v>
      </c>
      <c r="G7872" s="23">
        <v>2011.0</v>
      </c>
      <c r="H7872" s="23" t="s">
        <v>309</v>
      </c>
      <c r="I7872" s="243" t="s">
        <v>36330</v>
      </c>
      <c r="J7872" s="23" t="s">
        <v>55</v>
      </c>
      <c r="K7872" s="23" t="s">
        <v>36331</v>
      </c>
      <c r="L7872" s="94">
        <v>904.0</v>
      </c>
      <c r="M7872" s="94">
        <v>45.0</v>
      </c>
      <c r="N7872" s="94"/>
      <c r="O7872" s="94"/>
      <c r="P7872" s="94">
        <v>3.0</v>
      </c>
      <c r="Q7872" s="36" t="s">
        <v>18100</v>
      </c>
      <c r="R7872" s="94">
        <v>120.0</v>
      </c>
      <c r="S7872" s="94">
        <v>14.0</v>
      </c>
      <c r="T7872" s="54" t="s">
        <v>36332</v>
      </c>
      <c r="U7872" s="135" t="str">
        <f>HYPERLINK("https://www.ncbi.nlm.nih.gov/pubmed/21445476","PubMed")</f>
        <v>PubMed</v>
      </c>
      <c r="V7872" s="30"/>
      <c r="W7872" s="49"/>
      <c r="X7872" s="49"/>
      <c r="Y7872" s="35"/>
      <c r="Z7872" s="35"/>
      <c r="AA7872" s="35"/>
      <c r="AB7872" s="35"/>
      <c r="AC7872" s="35"/>
      <c r="AD7872" s="35"/>
      <c r="AE7872" s="35"/>
      <c r="AF7872" s="35"/>
      <c r="AG7872" s="35"/>
      <c r="AH7872" s="35"/>
      <c r="AI7872" s="35"/>
      <c r="AJ7872" s="35"/>
      <c r="AK7872" s="35"/>
      <c r="AL7872" s="35"/>
    </row>
    <row r="7873">
      <c r="A7873" s="1"/>
      <c r="B7873" s="19" t="s">
        <v>6113</v>
      </c>
      <c r="C7873" s="158" t="s">
        <v>36288</v>
      </c>
      <c r="D7873" s="47"/>
      <c r="E7873" s="22" t="s">
        <v>36333</v>
      </c>
      <c r="F7873" s="22" t="s">
        <v>23440</v>
      </c>
      <c r="G7873" s="23">
        <v>2011.0</v>
      </c>
      <c r="H7873" s="22" t="s">
        <v>12459</v>
      </c>
      <c r="I7873" s="24" t="s">
        <v>36334</v>
      </c>
      <c r="J7873" s="23" t="s">
        <v>44</v>
      </c>
      <c r="K7873" s="23" t="s">
        <v>36335</v>
      </c>
      <c r="L7873" s="36">
        <v>632.0</v>
      </c>
      <c r="M7873" s="36"/>
      <c r="N7873" s="36"/>
      <c r="O7873" s="36"/>
      <c r="P7873" s="37" t="s">
        <v>254</v>
      </c>
      <c r="Q7873" s="36"/>
      <c r="R7873" s="36">
        <v>12.0</v>
      </c>
      <c r="S7873" s="36">
        <v>3.0</v>
      </c>
      <c r="T7873" s="28" t="s">
        <v>36336</v>
      </c>
      <c r="U7873" s="38" t="str">
        <f>HYPERLINK("https://www.ncbi.nlm.nih.gov/pubmed/21603811","PubMed")</f>
        <v>PubMed</v>
      </c>
      <c r="V7873" s="50"/>
      <c r="W7873" s="49"/>
      <c r="X7873" s="49"/>
      <c r="Y7873" s="35"/>
      <c r="Z7873" s="35"/>
      <c r="AA7873" s="35"/>
      <c r="AB7873" s="35"/>
      <c r="AC7873" s="35"/>
      <c r="AD7873" s="35"/>
      <c r="AE7873" s="35"/>
      <c r="AF7873" s="35"/>
      <c r="AG7873" s="35"/>
      <c r="AH7873" s="35"/>
      <c r="AI7873" s="35"/>
      <c r="AJ7873" s="35"/>
      <c r="AK7873" s="35"/>
      <c r="AL7873" s="35"/>
    </row>
    <row r="7874">
      <c r="A7874" s="1"/>
      <c r="B7874" s="19" t="s">
        <v>6113</v>
      </c>
      <c r="C7874" s="158" t="s">
        <v>36288</v>
      </c>
      <c r="D7874" s="47"/>
      <c r="E7874" s="22" t="s">
        <v>36337</v>
      </c>
      <c r="F7874" s="22" t="s">
        <v>6296</v>
      </c>
      <c r="G7874" s="23">
        <v>2010.0</v>
      </c>
      <c r="H7874" s="22" t="s">
        <v>658</v>
      </c>
      <c r="I7874" s="24" t="s">
        <v>36338</v>
      </c>
      <c r="J7874" s="23" t="s">
        <v>55</v>
      </c>
      <c r="K7874" s="23" t="s">
        <v>36339</v>
      </c>
      <c r="L7874" s="36" t="s">
        <v>36340</v>
      </c>
      <c r="M7874" s="36"/>
      <c r="N7874" s="36" t="s">
        <v>36341</v>
      </c>
      <c r="O7874" s="36"/>
      <c r="P7874" s="37"/>
      <c r="Q7874" s="36"/>
      <c r="R7874" s="36"/>
      <c r="S7874" s="36"/>
      <c r="T7874" s="28" t="s">
        <v>36342</v>
      </c>
      <c r="U7874" s="38" t="str">
        <f>HYPERLINK("https://www.ncbi.nlm.nih.gov/pubmed/19743962","PubMed")</f>
        <v>PubMed</v>
      </c>
      <c r="V7874" s="50"/>
      <c r="W7874" s="49"/>
      <c r="X7874" s="49"/>
      <c r="Y7874" s="35"/>
      <c r="Z7874" s="35"/>
      <c r="AA7874" s="35"/>
      <c r="AB7874" s="35"/>
      <c r="AC7874" s="35"/>
      <c r="AD7874" s="35"/>
      <c r="AE7874" s="35"/>
      <c r="AF7874" s="35"/>
      <c r="AG7874" s="35"/>
      <c r="AH7874" s="35"/>
      <c r="AI7874" s="35"/>
      <c r="AJ7874" s="35"/>
      <c r="AK7874" s="35"/>
      <c r="AL7874" s="35"/>
    </row>
    <row r="7875">
      <c r="A7875" s="18"/>
      <c r="B7875" s="466" t="s">
        <v>6113</v>
      </c>
      <c r="C7875" s="158" t="s">
        <v>36288</v>
      </c>
      <c r="D7875" s="159"/>
      <c r="E7875" s="23" t="s">
        <v>36343</v>
      </c>
      <c r="F7875" s="23" t="s">
        <v>408</v>
      </c>
      <c r="G7875" s="23">
        <v>2010.0</v>
      </c>
      <c r="H7875" s="23" t="s">
        <v>658</v>
      </c>
      <c r="I7875" s="243" t="s">
        <v>36344</v>
      </c>
      <c r="J7875" s="23" t="s">
        <v>55</v>
      </c>
      <c r="K7875" s="23" t="s">
        <v>607</v>
      </c>
      <c r="L7875" s="94"/>
      <c r="M7875" s="94"/>
      <c r="N7875" s="94"/>
      <c r="O7875" s="94"/>
      <c r="P7875" s="94">
        <v>10.0</v>
      </c>
      <c r="Q7875" s="172"/>
      <c r="R7875" s="94"/>
      <c r="S7875" s="94"/>
      <c r="T7875" s="102" t="s">
        <v>36345</v>
      </c>
      <c r="U7875" s="135" t="str">
        <f>HYPERLINK("https://www.ncbi.nlm.nih.gov/pubmed/19754259","PubMed")</f>
        <v>PubMed</v>
      </c>
      <c r="V7875" s="30"/>
      <c r="W7875" s="49"/>
      <c r="X7875" s="49"/>
      <c r="Y7875" s="35"/>
      <c r="Z7875" s="35"/>
      <c r="AA7875" s="35"/>
      <c r="AB7875" s="35"/>
      <c r="AC7875" s="35"/>
      <c r="AD7875" s="35"/>
      <c r="AE7875" s="35"/>
      <c r="AF7875" s="35"/>
      <c r="AG7875" s="35"/>
      <c r="AH7875" s="35"/>
      <c r="AI7875" s="35"/>
      <c r="AJ7875" s="35"/>
      <c r="AK7875" s="35"/>
      <c r="AL7875" s="35"/>
    </row>
    <row r="7876">
      <c r="A7876" s="18"/>
      <c r="B7876" s="466" t="s">
        <v>6113</v>
      </c>
      <c r="C7876" s="158" t="s">
        <v>36288</v>
      </c>
      <c r="D7876" s="159"/>
      <c r="E7876" s="23" t="s">
        <v>35692</v>
      </c>
      <c r="F7876" s="23" t="s">
        <v>408</v>
      </c>
      <c r="G7876" s="23">
        <v>2009.0</v>
      </c>
      <c r="H7876" s="23" t="s">
        <v>658</v>
      </c>
      <c r="I7876" s="243" t="s">
        <v>36346</v>
      </c>
      <c r="J7876" s="23" t="s">
        <v>55</v>
      </c>
      <c r="K7876" s="23"/>
      <c r="L7876" s="94">
        <v>808.0</v>
      </c>
      <c r="M7876" s="94"/>
      <c r="N7876" s="94"/>
      <c r="O7876" s="94"/>
      <c r="P7876" s="94">
        <v>10.0</v>
      </c>
      <c r="Q7876" s="172"/>
      <c r="R7876" s="94"/>
      <c r="S7876" s="94"/>
      <c r="T7876" s="54" t="s">
        <v>36347</v>
      </c>
      <c r="U7876" s="135" t="str">
        <f>HYPERLINK("https://www.ncbi.nlm.nih.gov/pubmed/19698001","PubMed")</f>
        <v>PubMed</v>
      </c>
      <c r="V7876" s="30"/>
      <c r="W7876" s="49"/>
      <c r="X7876" s="49"/>
      <c r="Y7876" s="35"/>
      <c r="Z7876" s="35"/>
      <c r="AA7876" s="35"/>
      <c r="AB7876" s="35"/>
      <c r="AC7876" s="35"/>
      <c r="AD7876" s="35"/>
      <c r="AE7876" s="35"/>
      <c r="AF7876" s="35"/>
      <c r="AG7876" s="35"/>
      <c r="AH7876" s="35"/>
      <c r="AI7876" s="35"/>
      <c r="AJ7876" s="35"/>
      <c r="AK7876" s="35"/>
      <c r="AL7876" s="35"/>
    </row>
    <row r="7877">
      <c r="A7877" s="1"/>
      <c r="B7877" s="19" t="s">
        <v>6113</v>
      </c>
      <c r="C7877" s="158" t="s">
        <v>36288</v>
      </c>
      <c r="D7877" s="47"/>
      <c r="E7877" s="22" t="s">
        <v>36348</v>
      </c>
      <c r="F7877" s="22" t="s">
        <v>5227</v>
      </c>
      <c r="G7877" s="23">
        <v>2008.0</v>
      </c>
      <c r="H7877" s="22" t="s">
        <v>5489</v>
      </c>
      <c r="I7877" s="24" t="s">
        <v>36349</v>
      </c>
      <c r="J7877" s="23" t="s">
        <v>44</v>
      </c>
      <c r="K7877" s="23" t="s">
        <v>36350</v>
      </c>
      <c r="L7877" s="36">
        <v>670.0</v>
      </c>
      <c r="M7877" s="36"/>
      <c r="N7877" s="36" t="s">
        <v>36351</v>
      </c>
      <c r="O7877" s="36"/>
      <c r="P7877" s="37" t="s">
        <v>36352</v>
      </c>
      <c r="Q7877" s="36"/>
      <c r="R7877" s="36" t="s">
        <v>36353</v>
      </c>
      <c r="S7877" s="36"/>
      <c r="T7877" s="28" t="s">
        <v>36354</v>
      </c>
      <c r="U7877" s="38" t="str">
        <f>HYPERLINK("https://www.ncbi.nlm.nih.gov/pubmed/18177400","PubMed")</f>
        <v>PubMed</v>
      </c>
      <c r="V7877" s="50"/>
      <c r="W7877" s="49"/>
      <c r="X7877" s="49"/>
      <c r="Y7877" s="35"/>
      <c r="Z7877" s="35"/>
      <c r="AA7877" s="35"/>
      <c r="AB7877" s="35"/>
      <c r="AC7877" s="35"/>
      <c r="AD7877" s="35"/>
      <c r="AE7877" s="35"/>
      <c r="AF7877" s="35"/>
      <c r="AG7877" s="35"/>
      <c r="AH7877" s="35"/>
      <c r="AI7877" s="35"/>
      <c r="AJ7877" s="35"/>
      <c r="AK7877" s="35"/>
      <c r="AL7877" s="35"/>
    </row>
    <row r="7878">
      <c r="A7878" s="415"/>
      <c r="B7878" s="157" t="s">
        <v>6113</v>
      </c>
      <c r="C7878" s="158" t="s">
        <v>36288</v>
      </c>
      <c r="D7878" s="159"/>
      <c r="E7878" s="23" t="s">
        <v>3831</v>
      </c>
      <c r="F7878" s="23" t="s">
        <v>400</v>
      </c>
      <c r="G7878" s="23">
        <v>2007.0</v>
      </c>
      <c r="H7878" s="23" t="s">
        <v>12447</v>
      </c>
      <c r="I7878" s="243" t="s">
        <v>36355</v>
      </c>
      <c r="J7878" s="23" t="s">
        <v>44</v>
      </c>
      <c r="K7878" s="23" t="s">
        <v>36356</v>
      </c>
      <c r="L7878" s="36">
        <v>633.0</v>
      </c>
      <c r="M7878" s="36"/>
      <c r="N7878" s="36"/>
      <c r="O7878" s="36"/>
      <c r="P7878" s="37" t="s">
        <v>254</v>
      </c>
      <c r="Q7878" s="36"/>
      <c r="R7878" s="36">
        <v>12.0</v>
      </c>
      <c r="S7878" s="36"/>
      <c r="T7878" s="54" t="s">
        <v>36357</v>
      </c>
      <c r="U7878" s="135" t="str">
        <f>HYPERLINK("https://www.ncbi.nlm.nih.gov/pubmed/17581688","PubMed")</f>
        <v>PubMed</v>
      </c>
      <c r="V7878" s="30"/>
      <c r="W7878" s="49"/>
      <c r="X7878" s="49"/>
      <c r="Y7878" s="35"/>
      <c r="Z7878" s="35"/>
      <c r="AA7878" s="35"/>
      <c r="AB7878" s="35"/>
      <c r="AC7878" s="35"/>
      <c r="AD7878" s="35"/>
      <c r="AE7878" s="35"/>
      <c r="AF7878" s="35"/>
      <c r="AG7878" s="35"/>
      <c r="AH7878" s="35"/>
      <c r="AI7878" s="35"/>
      <c r="AJ7878" s="35"/>
      <c r="AK7878" s="35"/>
      <c r="AL7878" s="35"/>
    </row>
    <row r="7879">
      <c r="A7879" s="415"/>
      <c r="B7879" s="157" t="s">
        <v>6113</v>
      </c>
      <c r="C7879" s="158" t="s">
        <v>36288</v>
      </c>
      <c r="D7879" s="159"/>
      <c r="E7879" s="23" t="s">
        <v>36358</v>
      </c>
      <c r="F7879" s="23" t="s">
        <v>1416</v>
      </c>
      <c r="G7879" s="23">
        <v>2007.0</v>
      </c>
      <c r="H7879" s="23" t="s">
        <v>30201</v>
      </c>
      <c r="I7879" s="243" t="s">
        <v>36359</v>
      </c>
      <c r="J7879" s="23" t="s">
        <v>55</v>
      </c>
      <c r="K7879" s="23" t="s">
        <v>36360</v>
      </c>
      <c r="L7879" s="36">
        <v>633.0</v>
      </c>
      <c r="M7879" s="36"/>
      <c r="N7879" s="36"/>
      <c r="O7879" s="36"/>
      <c r="P7879" s="37"/>
      <c r="Q7879" s="36"/>
      <c r="R7879" s="36"/>
      <c r="S7879" s="36"/>
      <c r="T7879" s="54" t="s">
        <v>36361</v>
      </c>
      <c r="U7879" s="135" t="str">
        <f>HYPERLINK("http://www.ncbi.nlm.nih.gov/pubmed/17827885","PubMed")</f>
        <v>PubMed</v>
      </c>
      <c r="V7879" s="30"/>
      <c r="W7879" s="49"/>
      <c r="X7879" s="49"/>
      <c r="Y7879" s="35"/>
      <c r="Z7879" s="35"/>
      <c r="AA7879" s="35"/>
      <c r="AB7879" s="35"/>
      <c r="AC7879" s="35"/>
      <c r="AD7879" s="35"/>
      <c r="AE7879" s="35"/>
      <c r="AF7879" s="35"/>
      <c r="AG7879" s="35"/>
      <c r="AH7879" s="35"/>
      <c r="AI7879" s="35"/>
      <c r="AJ7879" s="35"/>
      <c r="AK7879" s="35"/>
      <c r="AL7879" s="35"/>
    </row>
    <row r="7880">
      <c r="A7880" s="415"/>
      <c r="B7880" s="157" t="s">
        <v>6113</v>
      </c>
      <c r="C7880" s="158" t="s">
        <v>36288</v>
      </c>
      <c r="D7880" s="159"/>
      <c r="E7880" s="23" t="s">
        <v>36106</v>
      </c>
      <c r="F7880" s="23" t="s">
        <v>6296</v>
      </c>
      <c r="G7880" s="23">
        <v>2006.0</v>
      </c>
      <c r="H7880" s="23" t="s">
        <v>658</v>
      </c>
      <c r="I7880" s="243" t="s">
        <v>36362</v>
      </c>
      <c r="J7880" s="23" t="s">
        <v>55</v>
      </c>
      <c r="K7880" s="23" t="s">
        <v>36331</v>
      </c>
      <c r="L7880" s="36">
        <v>670.0</v>
      </c>
      <c r="M7880" s="36"/>
      <c r="N7880" s="36"/>
      <c r="O7880" s="36"/>
      <c r="P7880" s="37" t="s">
        <v>480</v>
      </c>
      <c r="Q7880" s="36"/>
      <c r="R7880" s="36"/>
      <c r="S7880" s="36"/>
      <c r="T7880" s="54" t="s">
        <v>36363</v>
      </c>
      <c r="U7880" s="135" t="str">
        <f>HYPERLINK("https://www.ncbi.nlm.nih.gov/pubmed/16942428","PubMed")</f>
        <v>PubMed</v>
      </c>
      <c r="V7880" s="30"/>
      <c r="W7880" s="49"/>
      <c r="X7880" s="49"/>
      <c r="Y7880" s="35"/>
      <c r="Z7880" s="35"/>
      <c r="AA7880" s="35"/>
      <c r="AB7880" s="35"/>
      <c r="AC7880" s="35"/>
      <c r="AD7880" s="35"/>
      <c r="AE7880" s="35"/>
      <c r="AF7880" s="35"/>
      <c r="AG7880" s="35"/>
      <c r="AH7880" s="35"/>
      <c r="AI7880" s="35"/>
      <c r="AJ7880" s="35"/>
      <c r="AK7880" s="35"/>
      <c r="AL7880" s="35"/>
    </row>
    <row r="7881">
      <c r="A7881" s="1"/>
      <c r="B7881" s="19" t="s">
        <v>6113</v>
      </c>
      <c r="C7881" s="158" t="s">
        <v>36288</v>
      </c>
      <c r="D7881" s="47"/>
      <c r="E7881" s="22" t="s">
        <v>36364</v>
      </c>
      <c r="F7881" s="22" t="s">
        <v>36365</v>
      </c>
      <c r="G7881" s="23">
        <v>2005.0</v>
      </c>
      <c r="H7881" s="22" t="s">
        <v>36366</v>
      </c>
      <c r="I7881" s="24" t="s">
        <v>36367</v>
      </c>
      <c r="J7881" s="23" t="s">
        <v>55</v>
      </c>
      <c r="K7881" s="23" t="s">
        <v>36331</v>
      </c>
      <c r="L7881" s="36">
        <v>670.0</v>
      </c>
      <c r="M7881" s="36"/>
      <c r="N7881" s="36"/>
      <c r="O7881" s="36"/>
      <c r="P7881" s="37"/>
      <c r="Q7881" s="36"/>
      <c r="R7881" s="36"/>
      <c r="S7881" s="36"/>
      <c r="T7881" s="98" t="s">
        <v>36368</v>
      </c>
      <c r="U7881" s="38" t="str">
        <f>HYPERLINK("http://www.ncbi.nlm.nih.gov/pubmed/16218351","PubMed")</f>
        <v>PubMed</v>
      </c>
      <c r="V7881" s="30"/>
      <c r="W7881" s="49"/>
      <c r="X7881" s="49"/>
      <c r="Y7881" s="35"/>
      <c r="Z7881" s="35"/>
      <c r="AA7881" s="35"/>
      <c r="AB7881" s="35"/>
      <c r="AC7881" s="35"/>
      <c r="AD7881" s="35"/>
      <c r="AE7881" s="35"/>
      <c r="AF7881" s="35"/>
      <c r="AG7881" s="35"/>
      <c r="AH7881" s="35"/>
      <c r="AI7881" s="35"/>
      <c r="AJ7881" s="35"/>
      <c r="AK7881" s="35"/>
      <c r="AL7881" s="35"/>
    </row>
    <row r="7882">
      <c r="A7882" s="1"/>
      <c r="B7882" s="19" t="s">
        <v>6113</v>
      </c>
      <c r="C7882" s="158" t="s">
        <v>36288</v>
      </c>
      <c r="D7882" s="47"/>
      <c r="E7882" s="421" t="s">
        <v>36369</v>
      </c>
      <c r="F7882" s="22" t="s">
        <v>36370</v>
      </c>
      <c r="G7882" s="23">
        <v>1999.0</v>
      </c>
      <c r="H7882" s="22" t="s">
        <v>1359</v>
      </c>
      <c r="I7882" s="24" t="s">
        <v>36371</v>
      </c>
      <c r="J7882" s="22" t="s">
        <v>55</v>
      </c>
      <c r="K7882" s="22" t="s">
        <v>36331</v>
      </c>
      <c r="L7882" s="36">
        <v>633.0</v>
      </c>
      <c r="M7882" s="36"/>
      <c r="N7882" s="36"/>
      <c r="O7882" s="36"/>
      <c r="P7882" s="37" t="s">
        <v>254</v>
      </c>
      <c r="Q7882" s="36"/>
      <c r="R7882" s="36">
        <v>300.0</v>
      </c>
      <c r="S7882" s="36"/>
      <c r="T7882" s="28" t="s">
        <v>36372</v>
      </c>
      <c r="U7882" s="38" t="str">
        <f>HYPERLINK("https://www.ncbi.nlm.nih.gov/pubmed/10641143","PubMed")</f>
        <v>PubMed</v>
      </c>
      <c r="V7882" s="50"/>
      <c r="W7882" s="49"/>
      <c r="X7882" s="49"/>
      <c r="Y7882" s="35"/>
      <c r="Z7882" s="35"/>
      <c r="AA7882" s="35"/>
      <c r="AB7882" s="35"/>
      <c r="AC7882" s="35"/>
      <c r="AD7882" s="35"/>
      <c r="AE7882" s="35"/>
      <c r="AF7882" s="35"/>
      <c r="AG7882" s="35"/>
      <c r="AH7882" s="35"/>
      <c r="AI7882" s="35"/>
      <c r="AJ7882" s="35"/>
      <c r="AK7882" s="35"/>
      <c r="AL7882" s="35"/>
    </row>
    <row r="7883">
      <c r="A7883" s="1"/>
      <c r="B7883" s="19" t="s">
        <v>6113</v>
      </c>
      <c r="C7883" s="158" t="s">
        <v>36288</v>
      </c>
      <c r="D7883" s="47"/>
      <c r="E7883" s="421" t="s">
        <v>34112</v>
      </c>
      <c r="F7883" s="22" t="s">
        <v>7796</v>
      </c>
      <c r="G7883" s="23">
        <v>1997.0</v>
      </c>
      <c r="H7883" s="22" t="s">
        <v>2060</v>
      </c>
      <c r="I7883" s="24" t="s">
        <v>36373</v>
      </c>
      <c r="J7883" s="22" t="s">
        <v>30187</v>
      </c>
      <c r="K7883" s="22" t="s">
        <v>36331</v>
      </c>
      <c r="L7883" s="36">
        <v>633.0</v>
      </c>
      <c r="M7883" s="129">
        <v>42498.0</v>
      </c>
      <c r="N7883" s="36"/>
      <c r="O7883" s="36"/>
      <c r="P7883" s="37" t="s">
        <v>36374</v>
      </c>
      <c r="Q7883" s="36"/>
      <c r="R7883" s="36"/>
      <c r="S7883" s="36"/>
      <c r="T7883" s="28" t="s">
        <v>36375</v>
      </c>
      <c r="U7883" s="38" t="str">
        <f>HYPERLINK("https://www.ncbi.nlm.nih.gov/pubmed/9068161","PubMed")</f>
        <v>PubMed</v>
      </c>
      <c r="V7883" s="50"/>
      <c r="W7883" s="49"/>
      <c r="X7883" s="49"/>
      <c r="Y7883" s="35"/>
      <c r="Z7883" s="35"/>
      <c r="AA7883" s="35"/>
      <c r="AB7883" s="35"/>
      <c r="AC7883" s="35"/>
      <c r="AD7883" s="35"/>
      <c r="AE7883" s="35"/>
      <c r="AF7883" s="35"/>
      <c r="AG7883" s="35"/>
      <c r="AH7883" s="35"/>
      <c r="AI7883" s="35"/>
      <c r="AJ7883" s="35"/>
      <c r="AK7883" s="35"/>
      <c r="AL7883" s="35"/>
    </row>
    <row r="7884">
      <c r="A7884" s="1"/>
      <c r="B7884" s="19" t="s">
        <v>6113</v>
      </c>
      <c r="C7884" s="158" t="s">
        <v>36288</v>
      </c>
      <c r="D7884" s="47"/>
      <c r="E7884" s="22" t="s">
        <v>36376</v>
      </c>
      <c r="F7884" s="22" t="s">
        <v>6995</v>
      </c>
      <c r="G7884" s="23">
        <v>1995.0</v>
      </c>
      <c r="H7884" s="22" t="s">
        <v>5130</v>
      </c>
      <c r="I7884" s="24" t="s">
        <v>36377</v>
      </c>
      <c r="J7884" s="22" t="s">
        <v>55</v>
      </c>
      <c r="K7884" s="22"/>
      <c r="L7884" s="36">
        <v>633.0</v>
      </c>
      <c r="M7884" s="129"/>
      <c r="N7884" s="36"/>
      <c r="O7884" s="36"/>
      <c r="P7884" s="37" t="s">
        <v>36378</v>
      </c>
      <c r="Q7884" s="36"/>
      <c r="R7884" s="36"/>
      <c r="S7884" s="36">
        <v>12.0</v>
      </c>
      <c r="T7884" s="42" t="s">
        <v>36379</v>
      </c>
      <c r="U7884" s="29" t="s">
        <v>61</v>
      </c>
      <c r="V7884" s="50"/>
      <c r="W7884" s="49"/>
      <c r="X7884" s="49"/>
      <c r="Y7884" s="35"/>
      <c r="Z7884" s="35"/>
      <c r="AA7884" s="35"/>
      <c r="AB7884" s="35"/>
      <c r="AC7884" s="35"/>
      <c r="AD7884" s="35"/>
      <c r="AE7884" s="35"/>
      <c r="AF7884" s="35"/>
      <c r="AG7884" s="35"/>
      <c r="AH7884" s="35"/>
      <c r="AI7884" s="35"/>
      <c r="AJ7884" s="35"/>
      <c r="AK7884" s="35"/>
      <c r="AL7884" s="35"/>
    </row>
    <row r="7885">
      <c r="A7885" s="1"/>
      <c r="B7885" s="19" t="s">
        <v>6113</v>
      </c>
      <c r="C7885" s="158" t="s">
        <v>36288</v>
      </c>
      <c r="D7885" s="47"/>
      <c r="E7885" s="22" t="s">
        <v>36380</v>
      </c>
      <c r="F7885" s="22" t="s">
        <v>2105</v>
      </c>
      <c r="G7885" s="23">
        <v>1989.0</v>
      </c>
      <c r="H7885" s="22" t="s">
        <v>53</v>
      </c>
      <c r="I7885" s="24" t="s">
        <v>36381</v>
      </c>
      <c r="J7885" s="22" t="s">
        <v>253</v>
      </c>
      <c r="K7885" s="22" t="s">
        <v>36382</v>
      </c>
      <c r="L7885" s="36" t="s">
        <v>36383</v>
      </c>
      <c r="M7885" s="129"/>
      <c r="N7885" s="36"/>
      <c r="O7885" s="36"/>
      <c r="P7885" s="37" t="s">
        <v>36384</v>
      </c>
      <c r="Q7885" s="36"/>
      <c r="R7885" s="36"/>
      <c r="S7885" s="36">
        <v>21.0</v>
      </c>
      <c r="T7885" s="42" t="s">
        <v>36385</v>
      </c>
      <c r="U7885" s="38" t="str">
        <f>HYPERLINK("https://www.ncbi.nlm.nih.gov/pubmed/2927230","PubMed")</f>
        <v>PubMed</v>
      </c>
      <c r="V7885" s="50"/>
      <c r="W7885" s="49"/>
      <c r="X7885" s="49"/>
      <c r="Y7885" s="35"/>
      <c r="Z7885" s="35"/>
      <c r="AA7885" s="35"/>
      <c r="AB7885" s="35"/>
      <c r="AC7885" s="35"/>
      <c r="AD7885" s="35"/>
      <c r="AE7885" s="35"/>
      <c r="AF7885" s="35"/>
      <c r="AG7885" s="35"/>
      <c r="AH7885" s="35"/>
      <c r="AI7885" s="35"/>
      <c r="AJ7885" s="35"/>
      <c r="AK7885" s="35"/>
      <c r="AL7885" s="35"/>
    </row>
    <row r="7886">
      <c r="A7886" s="457"/>
      <c r="B7886" s="19" t="s">
        <v>6113</v>
      </c>
      <c r="C7886" s="158" t="s">
        <v>36288</v>
      </c>
      <c r="D7886" s="47"/>
      <c r="E7886" s="22" t="s">
        <v>36386</v>
      </c>
      <c r="F7886" s="22" t="s">
        <v>36235</v>
      </c>
      <c r="G7886" s="23">
        <v>1987.0</v>
      </c>
      <c r="H7886" s="22" t="s">
        <v>31760</v>
      </c>
      <c r="I7886" s="24" t="s">
        <v>36387</v>
      </c>
      <c r="J7886" s="22" t="s">
        <v>44</v>
      </c>
      <c r="K7886" s="22" t="s">
        <v>36331</v>
      </c>
      <c r="L7886" s="36">
        <v>633.0</v>
      </c>
      <c r="M7886" s="36" t="s">
        <v>36388</v>
      </c>
      <c r="N7886" s="107"/>
      <c r="O7886" s="36"/>
      <c r="P7886" s="37" t="s">
        <v>36389</v>
      </c>
      <c r="Q7886" s="107"/>
      <c r="R7886" s="36"/>
      <c r="S7886" s="36" t="s">
        <v>36390</v>
      </c>
      <c r="T7886" s="28" t="s">
        <v>36391</v>
      </c>
      <c r="U7886" s="38" t="str">
        <f>HYPERLINK("https://www.ncbi.nlm.nih.gov/pubmed/3827131","PubMed")</f>
        <v>PubMed</v>
      </c>
      <c r="V7886" s="50"/>
      <c r="W7886" s="49"/>
      <c r="X7886" s="49"/>
      <c r="Y7886" s="35"/>
      <c r="Z7886" s="35"/>
      <c r="AA7886" s="35"/>
      <c r="AB7886" s="35"/>
      <c r="AC7886" s="35"/>
      <c r="AD7886" s="35"/>
      <c r="AE7886" s="35"/>
      <c r="AF7886" s="35"/>
      <c r="AG7886" s="35"/>
      <c r="AH7886" s="35"/>
      <c r="AI7886" s="35"/>
      <c r="AJ7886" s="35"/>
      <c r="AK7886" s="35"/>
      <c r="AL7886" s="35"/>
    </row>
    <row r="7887">
      <c r="A7887" s="1"/>
      <c r="B7887" s="75" t="s">
        <v>6113</v>
      </c>
      <c r="C7887" s="158" t="s">
        <v>35481</v>
      </c>
      <c r="D7887" s="159"/>
      <c r="E7887" s="23" t="s">
        <v>36392</v>
      </c>
      <c r="F7887" s="23" t="s">
        <v>36393</v>
      </c>
      <c r="G7887" s="23">
        <v>2023.0</v>
      </c>
      <c r="H7887" s="23" t="s">
        <v>36394</v>
      </c>
      <c r="I7887" s="243" t="s">
        <v>36395</v>
      </c>
      <c r="J7887" s="22" t="s">
        <v>44</v>
      </c>
      <c r="K7887" s="23" t="s">
        <v>36396</v>
      </c>
      <c r="L7887" s="94">
        <v>460.0</v>
      </c>
      <c r="M7887" s="94"/>
      <c r="N7887" s="94"/>
      <c r="O7887" s="94"/>
      <c r="P7887" s="94"/>
      <c r="Q7887" s="94"/>
      <c r="R7887" s="94"/>
      <c r="S7887" s="94"/>
      <c r="T7887" s="102" t="s">
        <v>36397</v>
      </c>
      <c r="U7887" s="135" t="s">
        <v>61</v>
      </c>
      <c r="V7887" s="30"/>
      <c r="W7887" s="49"/>
      <c r="X7887" s="49"/>
      <c r="Y7887" s="35"/>
      <c r="Z7887" s="35"/>
      <c r="AA7887" s="35"/>
      <c r="AB7887" s="35"/>
      <c r="AC7887" s="35"/>
      <c r="AD7887" s="35"/>
      <c r="AE7887" s="35"/>
      <c r="AF7887" s="35"/>
      <c r="AG7887" s="35"/>
      <c r="AH7887" s="35"/>
      <c r="AI7887" s="35"/>
      <c r="AJ7887" s="35"/>
      <c r="AK7887" s="35"/>
      <c r="AL7887" s="35"/>
    </row>
    <row r="7888">
      <c r="A7888" s="1"/>
      <c r="B7888" s="75" t="s">
        <v>6113</v>
      </c>
      <c r="C7888" s="158" t="s">
        <v>35481</v>
      </c>
      <c r="D7888" s="159"/>
      <c r="E7888" s="23" t="s">
        <v>24118</v>
      </c>
      <c r="F7888" s="23" t="s">
        <v>323</v>
      </c>
      <c r="G7888" s="23">
        <v>2023.0</v>
      </c>
      <c r="H7888" s="23" t="s">
        <v>147</v>
      </c>
      <c r="I7888" s="243" t="s">
        <v>36398</v>
      </c>
      <c r="J7888" s="23" t="s">
        <v>55</v>
      </c>
      <c r="K7888" s="23" t="s">
        <v>35736</v>
      </c>
      <c r="L7888" s="94">
        <v>890.0</v>
      </c>
      <c r="M7888" s="94">
        <v>1.0</v>
      </c>
      <c r="N7888" s="94" t="s">
        <v>1975</v>
      </c>
      <c r="O7888" s="94" t="s">
        <v>58</v>
      </c>
      <c r="P7888" s="94" t="s">
        <v>36399</v>
      </c>
      <c r="Q7888" s="94" t="s">
        <v>6449</v>
      </c>
      <c r="R7888" s="94" t="s">
        <v>36400</v>
      </c>
      <c r="S7888" s="94">
        <v>8.0</v>
      </c>
      <c r="T7888" s="54" t="s">
        <v>36401</v>
      </c>
      <c r="U7888" s="135" t="s">
        <v>61</v>
      </c>
      <c r="V7888" s="30" t="s">
        <v>36402</v>
      </c>
      <c r="W7888" s="49"/>
      <c r="X7888" s="49"/>
      <c r="Y7888" s="35"/>
      <c r="Z7888" s="35"/>
      <c r="AA7888" s="35"/>
      <c r="AB7888" s="35"/>
      <c r="AC7888" s="35"/>
      <c r="AD7888" s="35"/>
      <c r="AE7888" s="35"/>
      <c r="AF7888" s="35"/>
      <c r="AG7888" s="35"/>
      <c r="AH7888" s="35"/>
      <c r="AI7888" s="35"/>
      <c r="AJ7888" s="35"/>
      <c r="AK7888" s="35"/>
      <c r="AL7888" s="35"/>
    </row>
    <row r="7889">
      <c r="A7889" s="1" t="s">
        <v>2</v>
      </c>
      <c r="B7889" s="75" t="s">
        <v>6113</v>
      </c>
      <c r="C7889" s="158" t="s">
        <v>35481</v>
      </c>
      <c r="D7889" s="159"/>
      <c r="E7889" s="23" t="s">
        <v>10106</v>
      </c>
      <c r="F7889" s="23" t="s">
        <v>4411</v>
      </c>
      <c r="G7889" s="23">
        <v>2021.0</v>
      </c>
      <c r="H7889" s="23" t="s">
        <v>1858</v>
      </c>
      <c r="I7889" s="243" t="s">
        <v>36403</v>
      </c>
      <c r="J7889" s="23" t="s">
        <v>209</v>
      </c>
      <c r="K7889" s="23" t="s">
        <v>36404</v>
      </c>
      <c r="L7889" s="94">
        <v>660.0</v>
      </c>
      <c r="M7889" s="94"/>
      <c r="N7889" s="94"/>
      <c r="O7889" s="94"/>
      <c r="P7889" s="94"/>
      <c r="Q7889" s="94"/>
      <c r="R7889" s="94"/>
      <c r="S7889" s="94"/>
      <c r="T7889" s="54" t="s">
        <v>36405</v>
      </c>
      <c r="U7889" s="138" t="s">
        <v>61</v>
      </c>
      <c r="V7889" s="30"/>
      <c r="W7889" s="49"/>
      <c r="X7889" s="49"/>
      <c r="Y7889" s="35"/>
      <c r="Z7889" s="35"/>
      <c r="AA7889" s="35"/>
      <c r="AB7889" s="35"/>
      <c r="AC7889" s="35"/>
      <c r="AD7889" s="35"/>
      <c r="AE7889" s="35"/>
      <c r="AF7889" s="35"/>
      <c r="AG7889" s="35"/>
      <c r="AH7889" s="35"/>
      <c r="AI7889" s="35"/>
      <c r="AJ7889" s="35"/>
      <c r="AK7889" s="35"/>
      <c r="AL7889" s="35"/>
    </row>
    <row r="7890">
      <c r="A7890" s="40" t="s">
        <v>181</v>
      </c>
      <c r="B7890" s="157" t="s">
        <v>6113</v>
      </c>
      <c r="C7890" s="471" t="s">
        <v>35481</v>
      </c>
      <c r="D7890" s="159"/>
      <c r="E7890" s="23" t="s">
        <v>1101</v>
      </c>
      <c r="F7890" s="23" t="s">
        <v>468</v>
      </c>
      <c r="G7890" s="23">
        <v>2014.0</v>
      </c>
      <c r="H7890" s="23" t="s">
        <v>36406</v>
      </c>
      <c r="I7890" s="243" t="s">
        <v>36407</v>
      </c>
      <c r="J7890" s="23" t="s">
        <v>378</v>
      </c>
      <c r="K7890" s="23"/>
      <c r="L7890" s="94">
        <v>904.0</v>
      </c>
      <c r="M7890" s="94">
        <v>12.0</v>
      </c>
      <c r="N7890" s="94"/>
      <c r="O7890" s="94"/>
      <c r="P7890" s="94">
        <v>3.0</v>
      </c>
      <c r="Q7890" s="172" t="s">
        <v>6653</v>
      </c>
      <c r="R7890" s="94"/>
      <c r="S7890" s="94"/>
      <c r="T7890" s="102" t="s">
        <v>36408</v>
      </c>
      <c r="U7890" s="135" t="str">
        <f>HYPERLINK("https://www.ncbi.nlm.nih.gov/pubmed/24770774","PubMed")</f>
        <v>PubMed</v>
      </c>
      <c r="V7890" s="30"/>
      <c r="W7890" s="49"/>
      <c r="X7890" s="49"/>
      <c r="Y7890" s="35"/>
      <c r="Z7890" s="35"/>
      <c r="AA7890" s="35"/>
      <c r="AB7890" s="35"/>
      <c r="AC7890" s="35"/>
      <c r="AD7890" s="35"/>
      <c r="AE7890" s="35"/>
      <c r="AF7890" s="35"/>
      <c r="AG7890" s="35"/>
      <c r="AH7890" s="35"/>
      <c r="AI7890" s="35"/>
      <c r="AJ7890" s="35"/>
      <c r="AK7890" s="35"/>
      <c r="AL7890" s="35"/>
    </row>
    <row r="7891">
      <c r="A7891" s="1"/>
      <c r="B7891" s="19" t="s">
        <v>6113</v>
      </c>
      <c r="C7891" s="158" t="s">
        <v>35481</v>
      </c>
      <c r="D7891" s="47"/>
      <c r="E7891" s="22" t="s">
        <v>15633</v>
      </c>
      <c r="F7891" s="22" t="s">
        <v>2445</v>
      </c>
      <c r="G7891" s="23">
        <v>2014.0</v>
      </c>
      <c r="H7891" s="22" t="s">
        <v>34534</v>
      </c>
      <c r="I7891" s="24" t="s">
        <v>36409</v>
      </c>
      <c r="J7891" s="23" t="s">
        <v>55</v>
      </c>
      <c r="K7891" s="23" t="s">
        <v>294</v>
      </c>
      <c r="L7891" s="36" t="s">
        <v>19363</v>
      </c>
      <c r="M7891" s="36"/>
      <c r="N7891" s="36"/>
      <c r="O7891" s="36"/>
      <c r="P7891" s="37" t="s">
        <v>36410</v>
      </c>
      <c r="Q7891" s="36"/>
      <c r="R7891" s="36"/>
      <c r="S7891" s="36" t="s">
        <v>36411</v>
      </c>
      <c r="T7891" s="42" t="s">
        <v>36412</v>
      </c>
      <c r="U7891" s="38" t="str">
        <f>HYPERLINK("https://www.ncbi.nlm.nih.gov/pubmed/26225295","PubMed")</f>
        <v>PubMed</v>
      </c>
      <c r="V7891" s="50"/>
      <c r="W7891" s="49"/>
      <c r="X7891" s="49"/>
      <c r="Y7891" s="35"/>
      <c r="Z7891" s="35"/>
      <c r="AA7891" s="35"/>
      <c r="AB7891" s="35"/>
      <c r="AC7891" s="35"/>
      <c r="AD7891" s="35"/>
      <c r="AE7891" s="35"/>
      <c r="AF7891" s="35"/>
      <c r="AG7891" s="35"/>
      <c r="AH7891" s="35"/>
      <c r="AI7891" s="35"/>
      <c r="AJ7891" s="35"/>
      <c r="AK7891" s="35"/>
      <c r="AL7891" s="35"/>
    </row>
    <row r="7892">
      <c r="A7892" s="1"/>
      <c r="B7892" s="19" t="s">
        <v>6113</v>
      </c>
      <c r="C7892" s="158" t="s">
        <v>35481</v>
      </c>
      <c r="D7892" s="47"/>
      <c r="E7892" s="22" t="s">
        <v>450</v>
      </c>
      <c r="F7892" s="22" t="s">
        <v>183</v>
      </c>
      <c r="G7892" s="23">
        <v>2011.0</v>
      </c>
      <c r="H7892" s="22" t="s">
        <v>658</v>
      </c>
      <c r="I7892" s="24" t="s">
        <v>36413</v>
      </c>
      <c r="J7892" s="23" t="s">
        <v>55</v>
      </c>
      <c r="K7892" s="23" t="s">
        <v>36414</v>
      </c>
      <c r="L7892" s="36" t="s">
        <v>36415</v>
      </c>
      <c r="M7892" s="36"/>
      <c r="N7892" s="36"/>
      <c r="O7892" s="36"/>
      <c r="P7892" s="37"/>
      <c r="Q7892" s="36"/>
      <c r="R7892" s="36"/>
      <c r="S7892" s="36"/>
      <c r="T7892" s="28" t="s">
        <v>36416</v>
      </c>
      <c r="U7892" s="38" t="str">
        <f>HYPERLINK("https://www.ncbi.nlm.nih.gov/pubmed/21214389","PubMed")</f>
        <v>PubMed</v>
      </c>
      <c r="V7892" s="50"/>
      <c r="W7892" s="49"/>
      <c r="X7892" s="49"/>
      <c r="Y7892" s="35"/>
      <c r="Z7892" s="35"/>
      <c r="AA7892" s="35"/>
      <c r="AB7892" s="35"/>
      <c r="AC7892" s="35"/>
      <c r="AD7892" s="35"/>
      <c r="AE7892" s="35"/>
      <c r="AF7892" s="35"/>
      <c r="AG7892" s="35"/>
      <c r="AH7892" s="35"/>
      <c r="AI7892" s="35"/>
      <c r="AJ7892" s="35"/>
      <c r="AK7892" s="35"/>
      <c r="AL7892" s="35"/>
    </row>
    <row r="7893">
      <c r="A7893" s="1"/>
      <c r="B7893" s="19" t="s">
        <v>6113</v>
      </c>
      <c r="C7893" s="158" t="s">
        <v>35481</v>
      </c>
      <c r="D7893" s="47"/>
      <c r="E7893" s="22" t="s">
        <v>1080</v>
      </c>
      <c r="F7893" s="22" t="s">
        <v>6828</v>
      </c>
      <c r="G7893" s="23">
        <v>1998.0</v>
      </c>
      <c r="H7893" s="22" t="s">
        <v>292</v>
      </c>
      <c r="I7893" s="24" t="s">
        <v>36417</v>
      </c>
      <c r="J7893" s="23" t="s">
        <v>55</v>
      </c>
      <c r="K7893" s="23" t="s">
        <v>36418</v>
      </c>
      <c r="L7893" s="36">
        <v>904.0</v>
      </c>
      <c r="M7893" s="36" t="s">
        <v>36419</v>
      </c>
      <c r="N7893" s="36"/>
      <c r="O7893" s="36"/>
      <c r="P7893" s="37"/>
      <c r="Q7893" s="36"/>
      <c r="R7893" s="36"/>
      <c r="S7893" s="36"/>
      <c r="T7893" s="28" t="s">
        <v>36420</v>
      </c>
      <c r="U7893" s="29" t="s">
        <v>3020</v>
      </c>
      <c r="V7893" s="50"/>
      <c r="W7893" s="49"/>
      <c r="X7893" s="49"/>
      <c r="Y7893" s="35"/>
      <c r="Z7893" s="35"/>
      <c r="AA7893" s="35"/>
      <c r="AB7893" s="35"/>
      <c r="AC7893" s="35"/>
      <c r="AD7893" s="35"/>
      <c r="AE7893" s="35"/>
      <c r="AF7893" s="35"/>
      <c r="AG7893" s="35"/>
      <c r="AH7893" s="35"/>
      <c r="AI7893" s="35"/>
      <c r="AJ7893" s="35"/>
      <c r="AK7893" s="35"/>
      <c r="AL7893" s="35"/>
    </row>
    <row r="7894">
      <c r="A7894" s="1"/>
      <c r="B7894" s="19" t="s">
        <v>6113</v>
      </c>
      <c r="C7894" s="158" t="s">
        <v>35481</v>
      </c>
      <c r="D7894" s="47"/>
      <c r="E7894" s="22" t="s">
        <v>493</v>
      </c>
      <c r="F7894" s="22" t="s">
        <v>1905</v>
      </c>
      <c r="G7894" s="23">
        <v>1993.0</v>
      </c>
      <c r="H7894" s="22" t="s">
        <v>292</v>
      </c>
      <c r="I7894" s="24" t="s">
        <v>36421</v>
      </c>
      <c r="J7894" s="22" t="s">
        <v>55</v>
      </c>
      <c r="K7894" s="22"/>
      <c r="L7894" s="36">
        <v>904.0</v>
      </c>
      <c r="M7894" s="36">
        <v>2.0</v>
      </c>
      <c r="N7894" s="36"/>
      <c r="O7894" s="36"/>
      <c r="P7894" s="37"/>
      <c r="Q7894" s="36"/>
      <c r="R7894" s="36"/>
      <c r="S7894" s="36"/>
      <c r="T7894" s="28" t="s">
        <v>36422</v>
      </c>
      <c r="U7894" s="38" t="str">
        <f>HYPERLINK("https://www.jstage.jst.go.jp/article/islsm/5/2/5_93-OR-06/_article/-char/en","J-STAGE")</f>
        <v>J-STAGE</v>
      </c>
      <c r="V7894" s="50"/>
      <c r="W7894" s="49"/>
      <c r="X7894" s="49"/>
      <c r="Y7894" s="35"/>
      <c r="Z7894" s="35"/>
      <c r="AA7894" s="35"/>
      <c r="AB7894" s="35"/>
      <c r="AC7894" s="35"/>
      <c r="AD7894" s="35"/>
      <c r="AE7894" s="35"/>
      <c r="AF7894" s="35"/>
      <c r="AG7894" s="35"/>
      <c r="AH7894" s="35"/>
      <c r="AI7894" s="35"/>
      <c r="AJ7894" s="35"/>
      <c r="AK7894" s="35"/>
      <c r="AL7894" s="35"/>
    </row>
    <row r="7895">
      <c r="A7895" s="1"/>
      <c r="B7895" s="19" t="s">
        <v>6113</v>
      </c>
      <c r="C7895" s="158" t="s">
        <v>1610</v>
      </c>
      <c r="D7895" s="47"/>
      <c r="E7895" s="22" t="s">
        <v>36423</v>
      </c>
      <c r="F7895" s="22" t="s">
        <v>5371</v>
      </c>
      <c r="G7895" s="23">
        <v>1989.0</v>
      </c>
      <c r="H7895" s="22" t="s">
        <v>6426</v>
      </c>
      <c r="I7895" s="24" t="s">
        <v>36424</v>
      </c>
      <c r="J7895" s="22" t="s">
        <v>31</v>
      </c>
      <c r="K7895" s="22"/>
      <c r="L7895" s="52">
        <v>633.0</v>
      </c>
      <c r="M7895" s="52">
        <v>5.0</v>
      </c>
      <c r="N7895" s="52"/>
      <c r="O7895" s="52"/>
      <c r="P7895" s="189"/>
      <c r="Q7895" s="52" t="s">
        <v>17107</v>
      </c>
      <c r="R7895" s="52"/>
      <c r="S7895" s="52" t="s">
        <v>36425</v>
      </c>
      <c r="T7895" s="41" t="s">
        <v>36426</v>
      </c>
      <c r="U7895" s="38" t="str">
        <f>HYPERLINK("https://www.ncbi.nlm.nih.gov/pubmed/2775643","PubMed")</f>
        <v>PubMed</v>
      </c>
      <c r="V7895" s="50"/>
      <c r="W7895" s="49"/>
      <c r="X7895" s="49"/>
      <c r="Y7895" s="35"/>
      <c r="Z7895" s="35"/>
      <c r="AA7895" s="35"/>
      <c r="AB7895" s="35"/>
      <c r="AC7895" s="35"/>
      <c r="AD7895" s="35"/>
      <c r="AE7895" s="35"/>
      <c r="AF7895" s="35"/>
      <c r="AG7895" s="35"/>
      <c r="AH7895" s="35"/>
      <c r="AI7895" s="35"/>
      <c r="AJ7895" s="35"/>
      <c r="AK7895" s="35"/>
      <c r="AL7895" s="35"/>
    </row>
    <row r="7896">
      <c r="A7896" s="18"/>
      <c r="B7896" s="157" t="s">
        <v>6113</v>
      </c>
      <c r="C7896" s="158" t="s">
        <v>36427</v>
      </c>
      <c r="D7896" s="159"/>
      <c r="E7896" s="23" t="s">
        <v>64</v>
      </c>
      <c r="F7896" s="23" t="s">
        <v>2196</v>
      </c>
      <c r="G7896" s="23">
        <v>2022.0</v>
      </c>
      <c r="H7896" s="23" t="s">
        <v>116</v>
      </c>
      <c r="I7896" s="243" t="s">
        <v>36428</v>
      </c>
      <c r="J7896" s="23" t="s">
        <v>44</v>
      </c>
      <c r="K7896" s="23"/>
      <c r="L7896" s="208">
        <v>532.0</v>
      </c>
      <c r="M7896" s="208"/>
      <c r="N7896" s="208"/>
      <c r="O7896" s="472"/>
      <c r="P7896" s="208"/>
      <c r="Q7896" s="52"/>
      <c r="R7896" s="208"/>
      <c r="S7896" s="208">
        <v>3.0</v>
      </c>
      <c r="T7896" s="54" t="s">
        <v>36429</v>
      </c>
      <c r="U7896" s="135" t="s">
        <v>61</v>
      </c>
      <c r="V7896" s="30"/>
      <c r="W7896" s="49"/>
      <c r="X7896" s="49"/>
      <c r="Y7896" s="35"/>
      <c r="Z7896" s="35"/>
      <c r="AA7896" s="35"/>
      <c r="AB7896" s="35"/>
      <c r="AC7896" s="35"/>
      <c r="AD7896" s="35"/>
      <c r="AE7896" s="35"/>
      <c r="AF7896" s="35"/>
      <c r="AG7896" s="35"/>
      <c r="AH7896" s="35"/>
      <c r="AI7896" s="35"/>
      <c r="AJ7896" s="35"/>
      <c r="AK7896" s="35"/>
      <c r="AL7896" s="35"/>
    </row>
    <row r="7897">
      <c r="A7897" s="18"/>
      <c r="B7897" s="157" t="s">
        <v>6113</v>
      </c>
      <c r="C7897" s="158" t="s">
        <v>36427</v>
      </c>
      <c r="D7897" s="159"/>
      <c r="E7897" s="23" t="s">
        <v>36430</v>
      </c>
      <c r="F7897" s="23" t="s">
        <v>1337</v>
      </c>
      <c r="G7897" s="23">
        <v>2005.0</v>
      </c>
      <c r="H7897" s="23" t="s">
        <v>292</v>
      </c>
      <c r="I7897" s="243" t="s">
        <v>36431</v>
      </c>
      <c r="J7897" s="23" t="s">
        <v>36432</v>
      </c>
      <c r="K7897" s="23"/>
      <c r="L7897" s="208">
        <v>633.0</v>
      </c>
      <c r="M7897" s="208"/>
      <c r="N7897" s="208"/>
      <c r="O7897" s="472"/>
      <c r="P7897" s="208">
        <v>126.0</v>
      </c>
      <c r="Q7897" s="52"/>
      <c r="R7897" s="208">
        <v>1200.0</v>
      </c>
      <c r="S7897" s="208" t="s">
        <v>24868</v>
      </c>
      <c r="T7897" s="54" t="s">
        <v>36433</v>
      </c>
      <c r="U7897" s="138" t="s">
        <v>3020</v>
      </c>
      <c r="V7897" s="30"/>
      <c r="W7897" s="49"/>
      <c r="X7897" s="49"/>
      <c r="Y7897" s="35"/>
      <c r="Z7897" s="35"/>
      <c r="AA7897" s="35"/>
      <c r="AB7897" s="35"/>
      <c r="AC7897" s="35"/>
      <c r="AD7897" s="35"/>
      <c r="AE7897" s="35"/>
      <c r="AF7897" s="35"/>
      <c r="AG7897" s="35"/>
      <c r="AH7897" s="35"/>
      <c r="AI7897" s="35"/>
      <c r="AJ7897" s="35"/>
      <c r="AK7897" s="35"/>
      <c r="AL7897" s="35"/>
    </row>
    <row r="7898">
      <c r="A7898" s="18"/>
      <c r="B7898" s="157" t="s">
        <v>6113</v>
      </c>
      <c r="C7898" s="158" t="s">
        <v>36427</v>
      </c>
      <c r="D7898" s="159"/>
      <c r="E7898" s="23" t="s">
        <v>19872</v>
      </c>
      <c r="F7898" s="23" t="s">
        <v>183</v>
      </c>
      <c r="G7898" s="23">
        <v>2010.0</v>
      </c>
      <c r="H7898" s="23" t="s">
        <v>658</v>
      </c>
      <c r="I7898" s="243" t="s">
        <v>36434</v>
      </c>
      <c r="J7898" s="23" t="s">
        <v>55</v>
      </c>
      <c r="K7898" s="23" t="s">
        <v>36435</v>
      </c>
      <c r="L7898" s="94" t="s">
        <v>36436</v>
      </c>
      <c r="M7898" s="94"/>
      <c r="N7898" s="94"/>
      <c r="O7898" s="416"/>
      <c r="P7898" s="94"/>
      <c r="Q7898" s="36"/>
      <c r="R7898" s="94"/>
      <c r="S7898" s="94"/>
      <c r="T7898" s="54" t="s">
        <v>36437</v>
      </c>
      <c r="U7898" s="135" t="str">
        <f>HYPERLINK("https://www.ncbi.nlm.nih.gov/pubmed/19857050","PubMed")</f>
        <v>PubMed</v>
      </c>
      <c r="V7898" s="30"/>
      <c r="W7898" s="49"/>
      <c r="X7898" s="49"/>
      <c r="Y7898" s="35"/>
      <c r="Z7898" s="35"/>
      <c r="AA7898" s="35"/>
      <c r="AB7898" s="35"/>
      <c r="AC7898" s="35"/>
      <c r="AD7898" s="35"/>
      <c r="AE7898" s="35"/>
      <c r="AF7898" s="35"/>
      <c r="AG7898" s="35"/>
      <c r="AH7898" s="35"/>
      <c r="AI7898" s="35"/>
      <c r="AJ7898" s="35"/>
      <c r="AK7898" s="35"/>
      <c r="AL7898" s="35"/>
    </row>
    <row r="7899">
      <c r="A7899" s="18"/>
      <c r="B7899" s="157" t="s">
        <v>6113</v>
      </c>
      <c r="C7899" s="158" t="s">
        <v>12746</v>
      </c>
      <c r="D7899" s="159"/>
      <c r="E7899" s="23" t="s">
        <v>36438</v>
      </c>
      <c r="F7899" s="23" t="s">
        <v>36439</v>
      </c>
      <c r="G7899" s="23">
        <v>2010.0</v>
      </c>
      <c r="H7899" s="23" t="s">
        <v>36440</v>
      </c>
      <c r="I7899" s="243" t="s">
        <v>36441</v>
      </c>
      <c r="J7899" s="22" t="s">
        <v>9097</v>
      </c>
      <c r="K7899" s="23"/>
      <c r="L7899" s="94">
        <v>660.0</v>
      </c>
      <c r="M7899" s="94">
        <v>40.0</v>
      </c>
      <c r="N7899" s="94">
        <v>1.0</v>
      </c>
      <c r="O7899" s="94"/>
      <c r="P7899" s="94" t="s">
        <v>36442</v>
      </c>
      <c r="Q7899" s="52" t="s">
        <v>96</v>
      </c>
      <c r="R7899" s="94"/>
      <c r="S7899" s="94" t="s">
        <v>1961</v>
      </c>
      <c r="T7899" s="103" t="s">
        <v>36443</v>
      </c>
      <c r="U7899" s="135" t="str">
        <f>HYPERLINK("https://www.ncbi.nlm.nih.gov/pubmed/20698989","PubMed")</f>
        <v>PubMed</v>
      </c>
      <c r="V7899" s="30" t="s">
        <v>36444</v>
      </c>
      <c r="W7899" s="49"/>
      <c r="X7899" s="49"/>
      <c r="Y7899" s="35"/>
      <c r="Z7899" s="35"/>
      <c r="AA7899" s="35"/>
      <c r="AB7899" s="35"/>
      <c r="AC7899" s="35"/>
      <c r="AD7899" s="35"/>
      <c r="AE7899" s="35"/>
      <c r="AF7899" s="35"/>
      <c r="AG7899" s="35"/>
      <c r="AH7899" s="35"/>
      <c r="AI7899" s="35"/>
      <c r="AJ7899" s="35"/>
      <c r="AK7899" s="35"/>
      <c r="AL7899" s="35"/>
    </row>
    <row r="7900">
      <c r="A7900" s="18"/>
      <c r="B7900" s="157" t="s">
        <v>6113</v>
      </c>
      <c r="C7900" s="158" t="s">
        <v>4071</v>
      </c>
      <c r="D7900" s="159"/>
      <c r="E7900" s="23" t="s">
        <v>223</v>
      </c>
      <c r="F7900" s="23" t="s">
        <v>2196</v>
      </c>
      <c r="G7900" s="23">
        <v>2016.0</v>
      </c>
      <c r="H7900" s="23" t="s">
        <v>658</v>
      </c>
      <c r="I7900" s="243" t="s">
        <v>36445</v>
      </c>
      <c r="J7900" s="23" t="s">
        <v>31</v>
      </c>
      <c r="K7900" s="23" t="s">
        <v>36446</v>
      </c>
      <c r="L7900" s="94">
        <v>640.0</v>
      </c>
      <c r="M7900" s="94"/>
      <c r="N7900" s="94"/>
      <c r="O7900" s="94"/>
      <c r="P7900" s="94" t="s">
        <v>34835</v>
      </c>
      <c r="Q7900" s="172"/>
      <c r="R7900" s="94"/>
      <c r="S7900" s="94"/>
      <c r="T7900" s="54" t="s">
        <v>36447</v>
      </c>
      <c r="U7900" s="135" t="str">
        <f>HYPERLINK("https://www.ncbi.nlm.nih.gov/pubmed/27244052","PubMed")</f>
        <v>PubMed</v>
      </c>
      <c r="V7900" s="30"/>
      <c r="W7900" s="49"/>
      <c r="X7900" s="49"/>
      <c r="Y7900" s="35"/>
      <c r="Z7900" s="35"/>
      <c r="AA7900" s="35"/>
      <c r="AB7900" s="35"/>
      <c r="AC7900" s="35"/>
      <c r="AD7900" s="35"/>
      <c r="AE7900" s="35"/>
      <c r="AF7900" s="35"/>
      <c r="AG7900" s="35"/>
      <c r="AH7900" s="35"/>
      <c r="AI7900" s="35"/>
      <c r="AJ7900" s="35"/>
      <c r="AK7900" s="35"/>
      <c r="AL7900" s="35"/>
    </row>
    <row r="7901">
      <c r="A7901" s="18"/>
      <c r="B7901" s="157" t="s">
        <v>6113</v>
      </c>
      <c r="C7901" s="158" t="s">
        <v>4071</v>
      </c>
      <c r="D7901" s="159"/>
      <c r="E7901" s="23" t="s">
        <v>36448</v>
      </c>
      <c r="F7901" s="23" t="s">
        <v>5031</v>
      </c>
      <c r="G7901" s="23">
        <v>1990.0</v>
      </c>
      <c r="H7901" s="23" t="s">
        <v>5032</v>
      </c>
      <c r="I7901" s="243" t="s">
        <v>36449</v>
      </c>
      <c r="J7901" s="23" t="s">
        <v>31</v>
      </c>
      <c r="K7901" s="23" t="s">
        <v>36450</v>
      </c>
      <c r="L7901" s="94">
        <v>633.0</v>
      </c>
      <c r="M7901" s="94"/>
      <c r="N7901" s="94"/>
      <c r="O7901" s="94"/>
      <c r="P7901" s="94" t="s">
        <v>102</v>
      </c>
      <c r="Q7901" s="172"/>
      <c r="R7901" s="94"/>
      <c r="S7901" s="94">
        <v>3.0</v>
      </c>
      <c r="T7901" s="54" t="s">
        <v>36451</v>
      </c>
      <c r="U7901" s="135" t="str">
        <f>HYPERLINK("https://www.ncbi.nlm.nih.gov/pubmed/2355185","PubMed")</f>
        <v>PubMed</v>
      </c>
      <c r="V7901" s="30"/>
      <c r="W7901" s="49"/>
      <c r="X7901" s="49"/>
      <c r="Y7901" s="35"/>
      <c r="Z7901" s="35"/>
      <c r="AA7901" s="35"/>
      <c r="AB7901" s="35"/>
      <c r="AC7901" s="35"/>
      <c r="AD7901" s="35"/>
      <c r="AE7901" s="35"/>
      <c r="AF7901" s="35"/>
      <c r="AG7901" s="35"/>
      <c r="AH7901" s="35"/>
      <c r="AI7901" s="35"/>
      <c r="AJ7901" s="35"/>
      <c r="AK7901" s="35"/>
      <c r="AL7901" s="35"/>
    </row>
    <row r="7902">
      <c r="A7902" s="39"/>
      <c r="B7902" s="157" t="s">
        <v>6113</v>
      </c>
      <c r="C7902" s="158" t="s">
        <v>36452</v>
      </c>
      <c r="D7902" s="159"/>
      <c r="E7902" s="23" t="s">
        <v>36453</v>
      </c>
      <c r="F7902" s="23" t="s">
        <v>14931</v>
      </c>
      <c r="G7902" s="23">
        <v>2022.0</v>
      </c>
      <c r="H7902" s="23" t="s">
        <v>91</v>
      </c>
      <c r="I7902" s="243" t="s">
        <v>36454</v>
      </c>
      <c r="J7902" s="23" t="s">
        <v>649</v>
      </c>
      <c r="K7902" s="23"/>
      <c r="L7902" s="105" t="s">
        <v>36455</v>
      </c>
      <c r="M7902" s="44"/>
      <c r="N7902" s="44"/>
      <c r="O7902" s="44"/>
      <c r="P7902" s="44"/>
      <c r="Q7902" s="44"/>
      <c r="R7902" s="44"/>
      <c r="S7902" s="44"/>
      <c r="T7902" s="45"/>
      <c r="U7902" s="135" t="s">
        <v>61</v>
      </c>
      <c r="V7902" s="30"/>
      <c r="W7902" s="49"/>
      <c r="X7902" s="49"/>
      <c r="Y7902" s="35"/>
      <c r="Z7902" s="35"/>
      <c r="AA7902" s="35"/>
      <c r="AB7902" s="35"/>
      <c r="AC7902" s="35"/>
      <c r="AD7902" s="35"/>
      <c r="AE7902" s="35"/>
      <c r="AF7902" s="35"/>
      <c r="AG7902" s="35"/>
      <c r="AH7902" s="35"/>
      <c r="AI7902" s="35"/>
      <c r="AJ7902" s="35"/>
      <c r="AK7902" s="35"/>
      <c r="AL7902" s="35"/>
    </row>
    <row r="7903">
      <c r="A7903" s="39"/>
      <c r="B7903" s="157" t="s">
        <v>6113</v>
      </c>
      <c r="C7903" s="158" t="s">
        <v>36452</v>
      </c>
      <c r="D7903" s="159"/>
      <c r="E7903" s="23" t="s">
        <v>35471</v>
      </c>
      <c r="F7903" s="23" t="s">
        <v>89</v>
      </c>
      <c r="G7903" s="23">
        <v>2021.0</v>
      </c>
      <c r="H7903" s="23" t="s">
        <v>36456</v>
      </c>
      <c r="I7903" s="243" t="s">
        <v>36457</v>
      </c>
      <c r="J7903" s="22" t="s">
        <v>36458</v>
      </c>
      <c r="K7903" s="23" t="s">
        <v>157</v>
      </c>
      <c r="L7903" s="94" t="s">
        <v>36459</v>
      </c>
      <c r="M7903" s="94"/>
      <c r="N7903" s="94"/>
      <c r="O7903" s="94"/>
      <c r="P7903" s="94" t="s">
        <v>36460</v>
      </c>
      <c r="Q7903" s="172"/>
      <c r="R7903" s="94"/>
      <c r="S7903" s="94" t="s">
        <v>6552</v>
      </c>
      <c r="T7903" s="54" t="s">
        <v>36461</v>
      </c>
      <c r="U7903" s="138" t="s">
        <v>61</v>
      </c>
      <c r="V7903" s="30"/>
      <c r="W7903" s="49"/>
      <c r="X7903" s="49"/>
      <c r="Y7903" s="35"/>
      <c r="Z7903" s="35"/>
      <c r="AA7903" s="35"/>
      <c r="AB7903" s="35"/>
      <c r="AC7903" s="35"/>
      <c r="AD7903" s="35"/>
      <c r="AE7903" s="35"/>
      <c r="AF7903" s="35"/>
      <c r="AG7903" s="35"/>
      <c r="AH7903" s="35"/>
      <c r="AI7903" s="35"/>
      <c r="AJ7903" s="35"/>
      <c r="AK7903" s="35"/>
      <c r="AL7903" s="35"/>
    </row>
    <row r="7904">
      <c r="A7904" s="39"/>
      <c r="B7904" s="157" t="s">
        <v>6113</v>
      </c>
      <c r="C7904" s="158" t="s">
        <v>36452</v>
      </c>
      <c r="D7904" s="159"/>
      <c r="E7904" s="23" t="s">
        <v>36462</v>
      </c>
      <c r="F7904" s="23" t="s">
        <v>468</v>
      </c>
      <c r="G7904" s="23">
        <v>2019.0</v>
      </c>
      <c r="H7904" s="23" t="s">
        <v>4975</v>
      </c>
      <c r="I7904" s="243" t="s">
        <v>36463</v>
      </c>
      <c r="J7904" s="23" t="s">
        <v>649</v>
      </c>
      <c r="K7904" s="23"/>
      <c r="L7904" s="213" t="s">
        <v>36464</v>
      </c>
      <c r="M7904" s="44"/>
      <c r="N7904" s="44"/>
      <c r="O7904" s="44"/>
      <c r="P7904" s="44"/>
      <c r="Q7904" s="44"/>
      <c r="R7904" s="44"/>
      <c r="S7904" s="44"/>
      <c r="T7904" s="45"/>
      <c r="U7904" s="135" t="str">
        <f>HYPERLINK("https://www.ncbi.nlm.nih.gov/pubmed/31550398","PubMed")</f>
        <v>PubMed</v>
      </c>
      <c r="V7904" s="30"/>
      <c r="W7904" s="49"/>
      <c r="X7904" s="49"/>
      <c r="Y7904" s="35"/>
      <c r="Z7904" s="35"/>
      <c r="AA7904" s="35"/>
      <c r="AB7904" s="35"/>
      <c r="AC7904" s="35"/>
      <c r="AD7904" s="35"/>
      <c r="AE7904" s="35"/>
      <c r="AF7904" s="35"/>
      <c r="AG7904" s="35"/>
      <c r="AH7904" s="35"/>
      <c r="AI7904" s="35"/>
      <c r="AJ7904" s="35"/>
      <c r="AK7904" s="35"/>
      <c r="AL7904" s="35"/>
    </row>
    <row r="7905">
      <c r="A7905" s="39"/>
      <c r="B7905" s="157" t="s">
        <v>6113</v>
      </c>
      <c r="C7905" s="158" t="s">
        <v>36452</v>
      </c>
      <c r="D7905" s="159"/>
      <c r="E7905" s="23" t="s">
        <v>36465</v>
      </c>
      <c r="F7905" s="23" t="s">
        <v>993</v>
      </c>
      <c r="G7905" s="23" t="s">
        <v>76</v>
      </c>
      <c r="H7905" s="23" t="s">
        <v>91</v>
      </c>
      <c r="I7905" s="243" t="s">
        <v>36466</v>
      </c>
      <c r="J7905" s="23" t="s">
        <v>44</v>
      </c>
      <c r="K7905" s="23"/>
      <c r="L7905" s="94" t="s">
        <v>36467</v>
      </c>
      <c r="M7905" s="94"/>
      <c r="N7905" s="94"/>
      <c r="O7905" s="249"/>
      <c r="P7905" s="94" t="s">
        <v>16751</v>
      </c>
      <c r="Q7905" s="172"/>
      <c r="R7905" s="94"/>
      <c r="S7905" s="94"/>
      <c r="T7905" s="54" t="s">
        <v>36468</v>
      </c>
      <c r="U7905" s="135" t="str">
        <f>HYPERLINK("https://www.ncbi.nlm.nih.gov/pubmed/31473868","PubMed")</f>
        <v>PubMed</v>
      </c>
      <c r="V7905" s="30"/>
      <c r="W7905" s="49"/>
      <c r="X7905" s="49"/>
      <c r="Y7905" s="35"/>
      <c r="Z7905" s="35"/>
      <c r="AA7905" s="35"/>
      <c r="AB7905" s="35"/>
      <c r="AC7905" s="35"/>
      <c r="AD7905" s="35"/>
      <c r="AE7905" s="35"/>
      <c r="AF7905" s="35"/>
      <c r="AG7905" s="35"/>
      <c r="AH7905" s="35"/>
      <c r="AI7905" s="35"/>
      <c r="AJ7905" s="35"/>
      <c r="AK7905" s="35"/>
      <c r="AL7905" s="35"/>
    </row>
    <row r="7906">
      <c r="A7906" s="39"/>
      <c r="B7906" s="157" t="s">
        <v>6113</v>
      </c>
      <c r="C7906" s="158" t="s">
        <v>36452</v>
      </c>
      <c r="D7906" s="159"/>
      <c r="E7906" s="23" t="s">
        <v>36469</v>
      </c>
      <c r="F7906" s="23" t="s">
        <v>2076</v>
      </c>
      <c r="G7906" s="23">
        <v>2018.0</v>
      </c>
      <c r="H7906" s="23" t="s">
        <v>19547</v>
      </c>
      <c r="I7906" s="243" t="s">
        <v>36470</v>
      </c>
      <c r="J7906" s="23" t="s">
        <v>36471</v>
      </c>
      <c r="K7906" s="23"/>
      <c r="L7906" s="94">
        <v>830.0</v>
      </c>
      <c r="M7906" s="94"/>
      <c r="N7906" s="94"/>
      <c r="O7906" s="249"/>
      <c r="P7906" s="94">
        <v>2.0</v>
      </c>
      <c r="Q7906" s="172"/>
      <c r="R7906" s="94" t="s">
        <v>22633</v>
      </c>
      <c r="S7906" s="94" t="s">
        <v>1514</v>
      </c>
      <c r="T7906" s="102" t="s">
        <v>36472</v>
      </c>
      <c r="U7906" s="135" t="str">
        <f>HYPERLINK("https://www.ncbi.nlm.nih.gov/pubmed/30618525","PubMed")</f>
        <v>PubMed</v>
      </c>
      <c r="V7906" s="30" t="s">
        <v>36473</v>
      </c>
      <c r="W7906" s="49"/>
      <c r="X7906" s="49"/>
      <c r="Y7906" s="35"/>
      <c r="Z7906" s="35"/>
      <c r="AA7906" s="35"/>
      <c r="AB7906" s="35"/>
      <c r="AC7906" s="35"/>
      <c r="AD7906" s="35"/>
      <c r="AE7906" s="35"/>
      <c r="AF7906" s="35"/>
      <c r="AG7906" s="35"/>
      <c r="AH7906" s="35"/>
      <c r="AI7906" s="35"/>
      <c r="AJ7906" s="35"/>
      <c r="AK7906" s="35"/>
      <c r="AL7906" s="35"/>
    </row>
    <row r="7907">
      <c r="A7907" s="39"/>
      <c r="B7907" s="157" t="s">
        <v>6113</v>
      </c>
      <c r="C7907" s="158" t="s">
        <v>36452</v>
      </c>
      <c r="D7907" s="159"/>
      <c r="E7907" s="23" t="s">
        <v>27855</v>
      </c>
      <c r="F7907" s="23" t="s">
        <v>10072</v>
      </c>
      <c r="G7907" s="23">
        <v>2018.0</v>
      </c>
      <c r="H7907" s="23" t="s">
        <v>251</v>
      </c>
      <c r="I7907" s="243" t="s">
        <v>36474</v>
      </c>
      <c r="J7907" s="23" t="s">
        <v>36475</v>
      </c>
      <c r="K7907" s="23" t="s">
        <v>36476</v>
      </c>
      <c r="L7907" s="94" t="s">
        <v>36477</v>
      </c>
      <c r="M7907" s="94"/>
      <c r="N7907" s="94"/>
      <c r="O7907" s="249"/>
      <c r="P7907" s="94"/>
      <c r="Q7907" s="172"/>
      <c r="R7907" s="94"/>
      <c r="S7907" s="94" t="s">
        <v>36478</v>
      </c>
      <c r="T7907" s="102" t="s">
        <v>36479</v>
      </c>
      <c r="U7907" s="135" t="str">
        <f>HYPERLINK("https://www.ncbi.nlm.nih.gov/pubmed/30123047","PubMed")</f>
        <v>PubMed</v>
      </c>
      <c r="V7907" s="30"/>
      <c r="W7907" s="49"/>
      <c r="X7907" s="49"/>
      <c r="Y7907" s="35"/>
      <c r="Z7907" s="35"/>
      <c r="AA7907" s="35"/>
      <c r="AB7907" s="35"/>
      <c r="AC7907" s="35"/>
      <c r="AD7907" s="35"/>
      <c r="AE7907" s="35"/>
      <c r="AF7907" s="35"/>
      <c r="AG7907" s="35"/>
      <c r="AH7907" s="35"/>
      <c r="AI7907" s="35"/>
      <c r="AJ7907" s="35"/>
      <c r="AK7907" s="35"/>
      <c r="AL7907" s="35"/>
    </row>
    <row r="7908">
      <c r="A7908" s="39"/>
      <c r="B7908" s="157" t="s">
        <v>6113</v>
      </c>
      <c r="C7908" s="158" t="s">
        <v>36452</v>
      </c>
      <c r="D7908" s="159"/>
      <c r="E7908" s="23" t="s">
        <v>36480</v>
      </c>
      <c r="F7908" s="23" t="s">
        <v>16438</v>
      </c>
      <c r="G7908" s="23" t="s">
        <v>90</v>
      </c>
      <c r="H7908" s="23" t="s">
        <v>91</v>
      </c>
      <c r="I7908" s="243" t="s">
        <v>36481</v>
      </c>
      <c r="J7908" s="23" t="s">
        <v>36482</v>
      </c>
      <c r="K7908" s="23"/>
      <c r="L7908" s="94">
        <v>660.0</v>
      </c>
      <c r="M7908" s="94">
        <v>100.0</v>
      </c>
      <c r="N7908" s="94" t="s">
        <v>58</v>
      </c>
      <c r="O7908" s="94" t="s">
        <v>58</v>
      </c>
      <c r="P7908" s="94">
        <v>2.0</v>
      </c>
      <c r="Q7908" s="172" t="s">
        <v>58</v>
      </c>
      <c r="R7908" s="94" t="s">
        <v>36483</v>
      </c>
      <c r="S7908" s="94" t="s">
        <v>17862</v>
      </c>
      <c r="T7908" s="54" t="s">
        <v>36484</v>
      </c>
      <c r="U7908" s="135" t="str">
        <f>HYPERLINK("https://www.ncbi.nlm.nih.gov/pubmed/29181642","PubMed")</f>
        <v>PubMed</v>
      </c>
      <c r="V7908" s="30" t="s">
        <v>36485</v>
      </c>
      <c r="W7908" s="49"/>
      <c r="X7908" s="49"/>
      <c r="Y7908" s="35"/>
      <c r="Z7908" s="35"/>
      <c r="AA7908" s="35"/>
      <c r="AB7908" s="35"/>
      <c r="AC7908" s="35"/>
      <c r="AD7908" s="35"/>
      <c r="AE7908" s="35"/>
      <c r="AF7908" s="35"/>
      <c r="AG7908" s="35"/>
      <c r="AH7908" s="35"/>
      <c r="AI7908" s="35"/>
      <c r="AJ7908" s="35"/>
      <c r="AK7908" s="35"/>
      <c r="AL7908" s="35"/>
    </row>
    <row r="7909">
      <c r="A7909" s="18"/>
      <c r="B7909" s="157" t="s">
        <v>6113</v>
      </c>
      <c r="C7909" s="158" t="s">
        <v>36452</v>
      </c>
      <c r="D7909" s="159"/>
      <c r="E7909" s="23" t="s">
        <v>16074</v>
      </c>
      <c r="F7909" s="23" t="s">
        <v>797</v>
      </c>
      <c r="G7909" s="23">
        <v>2017.0</v>
      </c>
      <c r="H7909" s="23" t="s">
        <v>91</v>
      </c>
      <c r="I7909" s="243" t="s">
        <v>36486</v>
      </c>
      <c r="J7909" s="23" t="s">
        <v>649</v>
      </c>
      <c r="K7909" s="23"/>
      <c r="L7909" s="195" t="s">
        <v>36487</v>
      </c>
      <c r="M7909" s="44"/>
      <c r="N7909" s="44"/>
      <c r="O7909" s="44"/>
      <c r="P7909" s="44"/>
      <c r="Q7909" s="44"/>
      <c r="R7909" s="44"/>
      <c r="S7909" s="44"/>
      <c r="T7909" s="45"/>
      <c r="U7909" s="135" t="str">
        <f>HYPERLINK("https://www.ncbi.nlm.nih.gov/pubmed/28116536","PubMed")</f>
        <v>PubMed</v>
      </c>
      <c r="V7909" s="30"/>
      <c r="W7909" s="49"/>
      <c r="X7909" s="49"/>
      <c r="Y7909" s="35"/>
      <c r="Z7909" s="35"/>
      <c r="AA7909" s="35"/>
      <c r="AB7909" s="35"/>
      <c r="AC7909" s="35"/>
      <c r="AD7909" s="35"/>
      <c r="AE7909" s="35"/>
      <c r="AF7909" s="35"/>
      <c r="AG7909" s="35"/>
      <c r="AH7909" s="35"/>
      <c r="AI7909" s="35"/>
      <c r="AJ7909" s="35"/>
      <c r="AK7909" s="35"/>
      <c r="AL7909" s="35"/>
    </row>
    <row r="7910">
      <c r="A7910" s="18"/>
      <c r="B7910" s="157" t="s">
        <v>6113</v>
      </c>
      <c r="C7910" s="158" t="s">
        <v>36452</v>
      </c>
      <c r="D7910" s="159"/>
      <c r="E7910" s="23" t="s">
        <v>9295</v>
      </c>
      <c r="F7910" s="23" t="s">
        <v>323</v>
      </c>
      <c r="G7910" s="23">
        <v>2015.0</v>
      </c>
      <c r="H7910" s="23" t="s">
        <v>36488</v>
      </c>
      <c r="I7910" s="243" t="s">
        <v>36489</v>
      </c>
      <c r="J7910" s="22" t="s">
        <v>2273</v>
      </c>
      <c r="K7910" s="23"/>
      <c r="L7910" s="94" t="s">
        <v>36490</v>
      </c>
      <c r="M7910" s="94"/>
      <c r="N7910" s="94"/>
      <c r="O7910" s="94"/>
      <c r="P7910" s="93"/>
      <c r="Q7910" s="172"/>
      <c r="R7910" s="94"/>
      <c r="S7910" s="94"/>
      <c r="T7910" s="54" t="s">
        <v>36491</v>
      </c>
      <c r="U7910" s="135" t="str">
        <f>HYPERLINK("http://journalssc.com/?page=article&amp;article_id=30686","SSRC")</f>
        <v>SSRC</v>
      </c>
      <c r="V7910" s="30"/>
      <c r="W7910" s="49"/>
      <c r="X7910" s="49"/>
      <c r="Y7910" s="35"/>
      <c r="Z7910" s="35"/>
      <c r="AA7910" s="35"/>
      <c r="AB7910" s="35"/>
      <c r="AC7910" s="35"/>
      <c r="AD7910" s="35"/>
      <c r="AE7910" s="35"/>
      <c r="AF7910" s="35"/>
      <c r="AG7910" s="35"/>
      <c r="AH7910" s="35"/>
      <c r="AI7910" s="35"/>
      <c r="AJ7910" s="35"/>
      <c r="AK7910" s="35"/>
      <c r="AL7910" s="35"/>
    </row>
    <row r="7911">
      <c r="A7911" s="18"/>
      <c r="B7911" s="157" t="s">
        <v>6113</v>
      </c>
      <c r="C7911" s="158" t="s">
        <v>36452</v>
      </c>
      <c r="D7911" s="159"/>
      <c r="E7911" s="23" t="s">
        <v>27855</v>
      </c>
      <c r="F7911" s="23" t="s">
        <v>10072</v>
      </c>
      <c r="G7911" s="23">
        <v>2013.0</v>
      </c>
      <c r="H7911" s="23" t="s">
        <v>300</v>
      </c>
      <c r="I7911" s="243" t="s">
        <v>36492</v>
      </c>
      <c r="J7911" s="23" t="s">
        <v>36493</v>
      </c>
      <c r="K7911" s="23" t="s">
        <v>294</v>
      </c>
      <c r="L7911" s="94" t="s">
        <v>36477</v>
      </c>
      <c r="M7911" s="94">
        <v>50.0</v>
      </c>
      <c r="N7911" s="94" t="s">
        <v>58</v>
      </c>
      <c r="O7911" s="94" t="s">
        <v>58</v>
      </c>
      <c r="P7911" s="94">
        <v>4.0</v>
      </c>
      <c r="Q7911" s="94" t="s">
        <v>36494</v>
      </c>
      <c r="R7911" s="94" t="s">
        <v>58</v>
      </c>
      <c r="S7911" s="94" t="s">
        <v>3003</v>
      </c>
      <c r="T7911" s="102" t="s">
        <v>36495</v>
      </c>
      <c r="U7911" s="135" t="str">
        <f>HYPERLINK("https://www.ncbi.nlm.nih.gov/pubmed/24159357","PubMed")</f>
        <v>PubMed</v>
      </c>
      <c r="V7911" s="30"/>
      <c r="W7911" s="49"/>
      <c r="X7911" s="49"/>
      <c r="Y7911" s="35"/>
      <c r="Z7911" s="35"/>
      <c r="AA7911" s="35"/>
      <c r="AB7911" s="35"/>
      <c r="AC7911" s="35"/>
      <c r="AD7911" s="35"/>
      <c r="AE7911" s="35"/>
      <c r="AF7911" s="35"/>
      <c r="AG7911" s="35"/>
      <c r="AH7911" s="35"/>
      <c r="AI7911" s="35"/>
      <c r="AJ7911" s="35"/>
      <c r="AK7911" s="35"/>
      <c r="AL7911" s="35"/>
    </row>
    <row r="7912">
      <c r="A7912" s="1"/>
      <c r="B7912" s="157" t="s">
        <v>6113</v>
      </c>
      <c r="C7912" s="158" t="s">
        <v>36452</v>
      </c>
      <c r="D7912" s="159"/>
      <c r="E7912" s="23" t="s">
        <v>36496</v>
      </c>
      <c r="F7912" s="23" t="s">
        <v>323</v>
      </c>
      <c r="G7912" s="23">
        <v>2008.0</v>
      </c>
      <c r="H7912" s="23" t="s">
        <v>36497</v>
      </c>
      <c r="I7912" s="243" t="s">
        <v>36498</v>
      </c>
      <c r="J7912" s="23" t="s">
        <v>36499</v>
      </c>
      <c r="K7912" s="23"/>
      <c r="L7912" s="94" t="s">
        <v>36500</v>
      </c>
      <c r="M7912" s="94"/>
      <c r="N7912" s="94"/>
      <c r="O7912" s="94"/>
      <c r="P7912" s="416">
        <v>42525.0</v>
      </c>
      <c r="Q7912" s="172"/>
      <c r="R7912" s="94"/>
      <c r="S7912" s="94"/>
      <c r="T7912" s="395" t="s">
        <v>36501</v>
      </c>
      <c r="U7912" s="135" t="str">
        <f>HYPERLINK("http://ijms.sums.ac.ir/index.php/IJMS/article/view/1594","IJMS")</f>
        <v>IJMS</v>
      </c>
      <c r="V7912" s="30"/>
      <c r="W7912" s="49"/>
      <c r="X7912" s="49"/>
      <c r="Y7912" s="35"/>
      <c r="Z7912" s="35"/>
      <c r="AA7912" s="35"/>
      <c r="AB7912" s="35"/>
      <c r="AC7912" s="35"/>
      <c r="AD7912" s="35"/>
      <c r="AE7912" s="35"/>
      <c r="AF7912" s="35"/>
      <c r="AG7912" s="35"/>
      <c r="AH7912" s="35"/>
      <c r="AI7912" s="35"/>
      <c r="AJ7912" s="35"/>
      <c r="AK7912" s="35"/>
      <c r="AL7912" s="35"/>
    </row>
    <row r="7913">
      <c r="A7913" s="1" t="s">
        <v>2</v>
      </c>
      <c r="B7913" s="157" t="s">
        <v>6113</v>
      </c>
      <c r="C7913" s="158" t="s">
        <v>36452</v>
      </c>
      <c r="D7913" s="159"/>
      <c r="E7913" s="23" t="s">
        <v>11169</v>
      </c>
      <c r="F7913" s="23" t="s">
        <v>5227</v>
      </c>
      <c r="G7913" s="23">
        <v>2007.0</v>
      </c>
      <c r="H7913" s="23" t="s">
        <v>53</v>
      </c>
      <c r="I7913" s="243" t="s">
        <v>36502</v>
      </c>
      <c r="J7913" s="23" t="s">
        <v>44</v>
      </c>
      <c r="K7913" s="23" t="s">
        <v>4202</v>
      </c>
      <c r="L7913" s="94">
        <v>670.0</v>
      </c>
      <c r="M7913" s="94"/>
      <c r="N7913" s="94"/>
      <c r="O7913" s="94"/>
      <c r="P7913" s="94">
        <v>5.0</v>
      </c>
      <c r="Q7913" s="172"/>
      <c r="R7913" s="94"/>
      <c r="S7913" s="94">
        <v>18.0</v>
      </c>
      <c r="T7913" s="54" t="s">
        <v>36503</v>
      </c>
      <c r="U7913" s="135" t="str">
        <f>HYPERLINK("https://www.ncbi.nlm.nih.gov/pubmed/17659591","PubMed")</f>
        <v>PubMed</v>
      </c>
      <c r="V7913" s="30"/>
      <c r="W7913" s="49"/>
      <c r="X7913" s="49"/>
      <c r="Y7913" s="35"/>
      <c r="Z7913" s="35"/>
      <c r="AA7913" s="35"/>
      <c r="AB7913" s="35"/>
      <c r="AC7913" s="35"/>
      <c r="AD7913" s="35"/>
      <c r="AE7913" s="35"/>
      <c r="AF7913" s="35"/>
      <c r="AG7913" s="35"/>
      <c r="AH7913" s="35"/>
      <c r="AI7913" s="35"/>
      <c r="AJ7913" s="35"/>
      <c r="AK7913" s="35"/>
      <c r="AL7913" s="35"/>
    </row>
    <row r="7914">
      <c r="A7914" s="40" t="s">
        <v>38</v>
      </c>
      <c r="B7914" s="157" t="s">
        <v>6113</v>
      </c>
      <c r="C7914" s="158" t="s">
        <v>36452</v>
      </c>
      <c r="D7914" s="159"/>
      <c r="E7914" s="23" t="s">
        <v>36504</v>
      </c>
      <c r="F7914" s="23" t="s">
        <v>283</v>
      </c>
      <c r="G7914" s="23">
        <v>2007.0</v>
      </c>
      <c r="H7914" s="23" t="s">
        <v>6024</v>
      </c>
      <c r="I7914" s="243" t="s">
        <v>36505</v>
      </c>
      <c r="J7914" s="22" t="s">
        <v>36506</v>
      </c>
      <c r="K7914" s="23" t="s">
        <v>56</v>
      </c>
      <c r="L7914" s="94" t="s">
        <v>4772</v>
      </c>
      <c r="M7914" s="94" t="s">
        <v>58</v>
      </c>
      <c r="N7914" s="94" t="s">
        <v>58</v>
      </c>
      <c r="O7914" s="94" t="s">
        <v>58</v>
      </c>
      <c r="P7914" s="94" t="s">
        <v>58</v>
      </c>
      <c r="Q7914" s="172" t="s">
        <v>58</v>
      </c>
      <c r="R7914" s="94">
        <v>600.0</v>
      </c>
      <c r="S7914" s="94" t="s">
        <v>3478</v>
      </c>
      <c r="T7914" s="54" t="s">
        <v>36507</v>
      </c>
      <c r="U7914" s="135" t="str">
        <f>HYPERLINK("https://www.ncbi.nlm.nih.gov/pubmed/17444378","PubMed")</f>
        <v>PubMed</v>
      </c>
      <c r="V7914" s="30" t="s">
        <v>36508</v>
      </c>
      <c r="W7914" s="49"/>
      <c r="X7914" s="49"/>
      <c r="Y7914" s="35"/>
      <c r="Z7914" s="35"/>
      <c r="AA7914" s="35"/>
      <c r="AB7914" s="35"/>
      <c r="AC7914" s="35"/>
      <c r="AD7914" s="35"/>
      <c r="AE7914" s="35"/>
      <c r="AF7914" s="35"/>
      <c r="AG7914" s="35"/>
      <c r="AH7914" s="35"/>
      <c r="AI7914" s="35"/>
      <c r="AJ7914" s="35"/>
      <c r="AK7914" s="35"/>
      <c r="AL7914" s="35"/>
    </row>
    <row r="7915">
      <c r="A7915" s="18"/>
      <c r="B7915" s="157" t="s">
        <v>6113</v>
      </c>
      <c r="C7915" s="158" t="s">
        <v>36452</v>
      </c>
      <c r="D7915" s="159"/>
      <c r="E7915" s="23" t="s">
        <v>36509</v>
      </c>
      <c r="F7915" s="23" t="s">
        <v>24647</v>
      </c>
      <c r="G7915" s="23">
        <v>2007.0</v>
      </c>
      <c r="H7915" s="23" t="s">
        <v>36510</v>
      </c>
      <c r="I7915" s="243" t="s">
        <v>36511</v>
      </c>
      <c r="J7915" s="22" t="s">
        <v>36512</v>
      </c>
      <c r="K7915" s="23" t="s">
        <v>36513</v>
      </c>
      <c r="L7915" s="94" t="s">
        <v>27215</v>
      </c>
      <c r="M7915" s="94"/>
      <c r="N7915" s="94"/>
      <c r="O7915" s="94"/>
      <c r="P7915" s="93"/>
      <c r="Q7915" s="172"/>
      <c r="R7915" s="94" t="s">
        <v>36514</v>
      </c>
      <c r="S7915" s="94" t="s">
        <v>36515</v>
      </c>
      <c r="T7915" s="395" t="s">
        <v>36516</v>
      </c>
      <c r="U7915" s="135" t="str">
        <f>HYPERLINK("https://www.ncbi.nlm.nih.gov/pubmed/18172370","PubMed")</f>
        <v>PubMed</v>
      </c>
      <c r="V7915" s="30" t="s">
        <v>36517</v>
      </c>
      <c r="W7915" s="49"/>
      <c r="X7915" s="49"/>
      <c r="Y7915" s="35"/>
      <c r="Z7915" s="35"/>
      <c r="AA7915" s="35"/>
      <c r="AB7915" s="35"/>
      <c r="AC7915" s="35"/>
      <c r="AD7915" s="35"/>
      <c r="AE7915" s="35"/>
      <c r="AF7915" s="35"/>
      <c r="AG7915" s="35"/>
      <c r="AH7915" s="35"/>
      <c r="AI7915" s="35"/>
      <c r="AJ7915" s="35"/>
      <c r="AK7915" s="35"/>
      <c r="AL7915" s="35"/>
    </row>
    <row r="7916">
      <c r="A7916" s="18"/>
      <c r="B7916" s="157" t="s">
        <v>6113</v>
      </c>
      <c r="C7916" s="158" t="s">
        <v>36452</v>
      </c>
      <c r="D7916" s="159"/>
      <c r="E7916" s="23" t="s">
        <v>36518</v>
      </c>
      <c r="F7916" s="23" t="s">
        <v>9717</v>
      </c>
      <c r="G7916" s="23">
        <v>2004.0</v>
      </c>
      <c r="H7916" s="23" t="s">
        <v>4783</v>
      </c>
      <c r="I7916" s="243" t="s">
        <v>36519</v>
      </c>
      <c r="J7916" s="22" t="s">
        <v>36520</v>
      </c>
      <c r="K7916" s="23" t="s">
        <v>36521</v>
      </c>
      <c r="L7916" s="94" t="s">
        <v>34637</v>
      </c>
      <c r="M7916" s="94" t="s">
        <v>36522</v>
      </c>
      <c r="N7916" s="94" t="s">
        <v>58</v>
      </c>
      <c r="O7916" s="94" t="s">
        <v>58</v>
      </c>
      <c r="P7916" s="93">
        <v>42494.0</v>
      </c>
      <c r="Q7916" s="94" t="s">
        <v>36523</v>
      </c>
      <c r="R7916" s="94">
        <v>60.0</v>
      </c>
      <c r="S7916" s="94" t="s">
        <v>33792</v>
      </c>
      <c r="T7916" s="103" t="s">
        <v>36524</v>
      </c>
      <c r="U7916" s="135" t="str">
        <f>HYPERLINK("https://www.ncbi.nlm.nih.gov/pubmed/15468027","PubMed")</f>
        <v>PubMed</v>
      </c>
      <c r="V7916" s="30"/>
      <c r="W7916" s="49"/>
      <c r="X7916" s="49"/>
      <c r="Y7916" s="35"/>
      <c r="Z7916" s="35"/>
      <c r="AA7916" s="35"/>
      <c r="AB7916" s="35"/>
      <c r="AC7916" s="35"/>
      <c r="AD7916" s="35"/>
      <c r="AE7916" s="35"/>
      <c r="AF7916" s="35"/>
      <c r="AG7916" s="35"/>
      <c r="AH7916" s="35"/>
      <c r="AI7916" s="35"/>
      <c r="AJ7916" s="35"/>
      <c r="AK7916" s="35"/>
      <c r="AL7916" s="35"/>
    </row>
    <row r="7917">
      <c r="A7917" s="18"/>
      <c r="B7917" s="157" t="s">
        <v>6113</v>
      </c>
      <c r="C7917" s="158" t="s">
        <v>36452</v>
      </c>
      <c r="D7917" s="159"/>
      <c r="E7917" s="23" t="s">
        <v>36509</v>
      </c>
      <c r="F7917" s="23" t="s">
        <v>24647</v>
      </c>
      <c r="G7917" s="23">
        <v>2003.0</v>
      </c>
      <c r="H7917" s="23" t="s">
        <v>36510</v>
      </c>
      <c r="I7917" s="243" t="s">
        <v>36525</v>
      </c>
      <c r="J7917" s="22" t="s">
        <v>36526</v>
      </c>
      <c r="K7917" s="23" t="s">
        <v>9631</v>
      </c>
      <c r="L7917" s="94" t="s">
        <v>31506</v>
      </c>
      <c r="M7917" s="94"/>
      <c r="N7917" s="94" t="s">
        <v>36527</v>
      </c>
      <c r="O7917" s="94"/>
      <c r="P7917" s="94"/>
      <c r="Q7917" s="172"/>
      <c r="R7917" s="94"/>
      <c r="S7917" s="94" t="s">
        <v>36528</v>
      </c>
      <c r="T7917" s="346" t="s">
        <v>36529</v>
      </c>
      <c r="U7917" s="135" t="str">
        <f>HYPERLINK("https://www.ncbi.nlm.nih.gov/pubmed/14582689","PubMed")</f>
        <v>PubMed</v>
      </c>
      <c r="V7917" s="30"/>
      <c r="W7917" s="49"/>
      <c r="X7917" s="49"/>
      <c r="Y7917" s="35"/>
      <c r="Z7917" s="35"/>
      <c r="AA7917" s="35"/>
      <c r="AB7917" s="35"/>
      <c r="AC7917" s="35"/>
      <c r="AD7917" s="35"/>
      <c r="AE7917" s="35"/>
      <c r="AF7917" s="35"/>
      <c r="AG7917" s="35"/>
      <c r="AH7917" s="35"/>
      <c r="AI7917" s="35"/>
      <c r="AJ7917" s="35"/>
      <c r="AK7917" s="35"/>
      <c r="AL7917" s="35"/>
    </row>
    <row r="7918">
      <c r="A7918" s="18"/>
      <c r="B7918" s="157" t="s">
        <v>6113</v>
      </c>
      <c r="C7918" s="158" t="s">
        <v>36452</v>
      </c>
      <c r="D7918" s="159"/>
      <c r="E7918" s="23" t="s">
        <v>32502</v>
      </c>
      <c r="F7918" s="23" t="s">
        <v>6630</v>
      </c>
      <c r="G7918" s="23">
        <v>2003.0</v>
      </c>
      <c r="H7918" s="23" t="s">
        <v>91</v>
      </c>
      <c r="I7918" s="243" t="s">
        <v>36530</v>
      </c>
      <c r="J7918" s="23" t="s">
        <v>36531</v>
      </c>
      <c r="K7918" s="23"/>
      <c r="L7918" s="94">
        <v>904.0</v>
      </c>
      <c r="M7918" s="94" t="s">
        <v>36532</v>
      </c>
      <c r="N7918" s="94" t="s">
        <v>58</v>
      </c>
      <c r="O7918" s="94" t="s">
        <v>58</v>
      </c>
      <c r="P7918" s="94">
        <v>1.0</v>
      </c>
      <c r="Q7918" s="94" t="s">
        <v>36533</v>
      </c>
      <c r="R7918" s="94">
        <v>125.0</v>
      </c>
      <c r="S7918" s="94" t="s">
        <v>9309</v>
      </c>
      <c r="T7918" s="103" t="s">
        <v>36534</v>
      </c>
      <c r="U7918" s="135" t="str">
        <f>HYPERLINK("https://www.ncbi.nlm.nih.gov/pubmed/12928815","PubMed")</f>
        <v>PubMed</v>
      </c>
      <c r="V7918" s="30"/>
      <c r="W7918" s="49"/>
      <c r="X7918" s="49"/>
      <c r="Y7918" s="35"/>
      <c r="Z7918" s="35"/>
      <c r="AA7918" s="35"/>
      <c r="AB7918" s="35"/>
      <c r="AC7918" s="35"/>
      <c r="AD7918" s="35"/>
      <c r="AE7918" s="35"/>
      <c r="AF7918" s="35"/>
      <c r="AG7918" s="35"/>
      <c r="AH7918" s="35"/>
      <c r="AI7918" s="35"/>
      <c r="AJ7918" s="35"/>
      <c r="AK7918" s="35"/>
      <c r="AL7918" s="35"/>
    </row>
    <row r="7919">
      <c r="A7919" s="18"/>
      <c r="B7919" s="157" t="s">
        <v>6113</v>
      </c>
      <c r="C7919" s="158" t="s">
        <v>36452</v>
      </c>
      <c r="D7919" s="159"/>
      <c r="E7919" s="23" t="s">
        <v>36535</v>
      </c>
      <c r="F7919" s="23" t="s">
        <v>26204</v>
      </c>
      <c r="G7919" s="23">
        <v>2001.0</v>
      </c>
      <c r="H7919" s="23" t="s">
        <v>3292</v>
      </c>
      <c r="I7919" s="243" t="s">
        <v>36536</v>
      </c>
      <c r="J7919" s="23" t="s">
        <v>36537</v>
      </c>
      <c r="K7919" s="23"/>
      <c r="L7919" s="94" t="s">
        <v>31506</v>
      </c>
      <c r="M7919" s="94" t="s">
        <v>58</v>
      </c>
      <c r="N7919" s="94" t="s">
        <v>36527</v>
      </c>
      <c r="O7919" s="94" t="s">
        <v>58</v>
      </c>
      <c r="P7919" s="94" t="s">
        <v>58</v>
      </c>
      <c r="Q7919" s="172" t="s">
        <v>58</v>
      </c>
      <c r="R7919" s="94">
        <v>540.0</v>
      </c>
      <c r="S7919" s="94" t="s">
        <v>36538</v>
      </c>
      <c r="T7919" s="54" t="s">
        <v>36539</v>
      </c>
      <c r="U7919" s="135" t="str">
        <f>HYPERLINK("https://www.ncbi.nlm.nih.gov/pubmed/11169174","PubMed")</f>
        <v>PubMed</v>
      </c>
      <c r="V7919" s="30"/>
      <c r="W7919" s="49"/>
      <c r="X7919" s="49"/>
      <c r="Y7919" s="35"/>
      <c r="Z7919" s="35"/>
      <c r="AA7919" s="35"/>
      <c r="AB7919" s="35"/>
      <c r="AC7919" s="35"/>
      <c r="AD7919" s="35"/>
      <c r="AE7919" s="35"/>
      <c r="AF7919" s="35"/>
      <c r="AG7919" s="35"/>
      <c r="AH7919" s="35"/>
      <c r="AI7919" s="35"/>
      <c r="AJ7919" s="35"/>
      <c r="AK7919" s="35"/>
      <c r="AL7919" s="35"/>
    </row>
    <row r="7920">
      <c r="A7920" s="1"/>
      <c r="B7920" s="75" t="s">
        <v>6113</v>
      </c>
      <c r="C7920" s="76" t="s">
        <v>2036</v>
      </c>
      <c r="D7920" s="159"/>
      <c r="E7920" s="23" t="s">
        <v>17313</v>
      </c>
      <c r="F7920" s="23" t="s">
        <v>9336</v>
      </c>
      <c r="G7920" s="23">
        <v>2024.0</v>
      </c>
      <c r="H7920" s="23" t="s">
        <v>21853</v>
      </c>
      <c r="I7920" s="243" t="s">
        <v>36540</v>
      </c>
      <c r="J7920" s="22" t="s">
        <v>36541</v>
      </c>
      <c r="K7920" s="23" t="s">
        <v>157</v>
      </c>
      <c r="L7920" s="105" t="s">
        <v>36542</v>
      </c>
      <c r="M7920" s="44"/>
      <c r="N7920" s="44"/>
      <c r="O7920" s="44"/>
      <c r="P7920" s="44"/>
      <c r="Q7920" s="44"/>
      <c r="R7920" s="44"/>
      <c r="S7920" s="44"/>
      <c r="T7920" s="45"/>
      <c r="U7920" s="135" t="s">
        <v>61</v>
      </c>
      <c r="V7920" s="30"/>
      <c r="W7920" s="49"/>
      <c r="X7920" s="49"/>
      <c r="Y7920" s="35"/>
      <c r="Z7920" s="35"/>
      <c r="AA7920" s="35"/>
      <c r="AB7920" s="35"/>
      <c r="AC7920" s="35"/>
      <c r="AD7920" s="35"/>
      <c r="AE7920" s="35"/>
      <c r="AF7920" s="35"/>
      <c r="AG7920" s="35"/>
      <c r="AH7920" s="35"/>
      <c r="AI7920" s="35"/>
      <c r="AJ7920" s="35"/>
      <c r="AK7920" s="35"/>
      <c r="AL7920" s="35"/>
    </row>
    <row r="7921">
      <c r="A7921" s="1"/>
      <c r="B7921" s="75" t="s">
        <v>6113</v>
      </c>
      <c r="C7921" s="76" t="s">
        <v>2036</v>
      </c>
      <c r="D7921" s="159"/>
      <c r="E7921" s="23" t="s">
        <v>36543</v>
      </c>
      <c r="F7921" s="23" t="s">
        <v>2702</v>
      </c>
      <c r="G7921" s="23">
        <v>2024.0</v>
      </c>
      <c r="H7921" s="23" t="s">
        <v>36544</v>
      </c>
      <c r="I7921" s="243" t="s">
        <v>36545</v>
      </c>
      <c r="J7921" s="22" t="s">
        <v>125</v>
      </c>
      <c r="K7921" s="23"/>
      <c r="L7921" s="105" t="s">
        <v>36546</v>
      </c>
      <c r="M7921" s="44"/>
      <c r="N7921" s="44"/>
      <c r="O7921" s="44"/>
      <c r="P7921" s="44"/>
      <c r="Q7921" s="44"/>
      <c r="R7921" s="44"/>
      <c r="S7921" s="44"/>
      <c r="T7921" s="45"/>
      <c r="U7921" s="135" t="s">
        <v>61</v>
      </c>
      <c r="V7921" s="30"/>
      <c r="W7921" s="49"/>
      <c r="X7921" s="49"/>
      <c r="Y7921" s="35"/>
      <c r="Z7921" s="35"/>
      <c r="AA7921" s="35"/>
      <c r="AB7921" s="35"/>
      <c r="AC7921" s="35"/>
      <c r="AD7921" s="35"/>
      <c r="AE7921" s="35"/>
      <c r="AF7921" s="35"/>
      <c r="AG7921" s="35"/>
      <c r="AH7921" s="35"/>
      <c r="AI7921" s="35"/>
      <c r="AJ7921" s="35"/>
      <c r="AK7921" s="35"/>
      <c r="AL7921" s="35"/>
    </row>
    <row r="7922">
      <c r="A7922" s="1"/>
      <c r="B7922" s="75" t="s">
        <v>6113</v>
      </c>
      <c r="C7922" s="76" t="s">
        <v>2036</v>
      </c>
      <c r="D7922" s="159"/>
      <c r="E7922" s="23" t="s">
        <v>36547</v>
      </c>
      <c r="F7922" s="23" t="s">
        <v>2105</v>
      </c>
      <c r="G7922" s="23">
        <v>2023.0</v>
      </c>
      <c r="H7922" s="23" t="s">
        <v>91</v>
      </c>
      <c r="I7922" s="243" t="s">
        <v>36548</v>
      </c>
      <c r="J7922" s="22" t="s">
        <v>125</v>
      </c>
      <c r="K7922" s="23"/>
      <c r="L7922" s="105" t="s">
        <v>36549</v>
      </c>
      <c r="M7922" s="44"/>
      <c r="N7922" s="44"/>
      <c r="O7922" s="44"/>
      <c r="P7922" s="44"/>
      <c r="Q7922" s="44"/>
      <c r="R7922" s="44"/>
      <c r="S7922" s="44"/>
      <c r="T7922" s="45"/>
      <c r="U7922" s="135" t="s">
        <v>61</v>
      </c>
      <c r="V7922" s="30"/>
      <c r="W7922" s="49"/>
      <c r="X7922" s="49"/>
      <c r="Y7922" s="35"/>
      <c r="Z7922" s="35"/>
      <c r="AA7922" s="35"/>
      <c r="AB7922" s="35"/>
      <c r="AC7922" s="35"/>
      <c r="AD7922" s="35"/>
      <c r="AE7922" s="35"/>
      <c r="AF7922" s="35"/>
      <c r="AG7922" s="35"/>
      <c r="AH7922" s="35"/>
      <c r="AI7922" s="35"/>
      <c r="AJ7922" s="35"/>
      <c r="AK7922" s="35"/>
      <c r="AL7922" s="35"/>
    </row>
    <row r="7923">
      <c r="A7923" s="1"/>
      <c r="B7923" s="75" t="s">
        <v>6113</v>
      </c>
      <c r="C7923" s="76" t="s">
        <v>2036</v>
      </c>
      <c r="D7923" s="159"/>
      <c r="E7923" s="23" t="s">
        <v>2316</v>
      </c>
      <c r="F7923" s="23" t="s">
        <v>13312</v>
      </c>
      <c r="G7923" s="23">
        <v>2023.0</v>
      </c>
      <c r="H7923" s="23" t="s">
        <v>5956</v>
      </c>
      <c r="I7923" s="243" t="s">
        <v>36550</v>
      </c>
      <c r="J7923" s="22" t="s">
        <v>125</v>
      </c>
      <c r="K7923" s="23"/>
      <c r="L7923" s="195" t="s">
        <v>36551</v>
      </c>
      <c r="M7923" s="44"/>
      <c r="N7923" s="44"/>
      <c r="O7923" s="44"/>
      <c r="P7923" s="44"/>
      <c r="Q7923" s="44"/>
      <c r="R7923" s="44"/>
      <c r="S7923" s="44"/>
      <c r="T7923" s="45"/>
      <c r="U7923" s="135" t="s">
        <v>61</v>
      </c>
      <c r="V7923" s="30"/>
      <c r="W7923" s="49"/>
      <c r="X7923" s="49"/>
      <c r="Y7923" s="35"/>
      <c r="Z7923" s="35"/>
      <c r="AA7923" s="35"/>
      <c r="AB7923" s="35"/>
      <c r="AC7923" s="35"/>
      <c r="AD7923" s="35"/>
      <c r="AE7923" s="35"/>
      <c r="AF7923" s="35"/>
      <c r="AG7923" s="35"/>
      <c r="AH7923" s="35"/>
      <c r="AI7923" s="35"/>
      <c r="AJ7923" s="35"/>
      <c r="AK7923" s="35"/>
      <c r="AL7923" s="35"/>
    </row>
    <row r="7924">
      <c r="A7924" s="1"/>
      <c r="B7924" s="75" t="s">
        <v>6113</v>
      </c>
      <c r="C7924" s="76" t="s">
        <v>2036</v>
      </c>
      <c r="D7924" s="159"/>
      <c r="E7924" s="23" t="s">
        <v>20288</v>
      </c>
      <c r="F7924" s="23" t="s">
        <v>237</v>
      </c>
      <c r="G7924" s="23">
        <v>2023.0</v>
      </c>
      <c r="H7924" s="23" t="s">
        <v>3523</v>
      </c>
      <c r="I7924" s="243" t="s">
        <v>36552</v>
      </c>
      <c r="J7924" s="22" t="s">
        <v>125</v>
      </c>
      <c r="K7924" s="23" t="s">
        <v>36553</v>
      </c>
      <c r="L7924" s="105" t="s">
        <v>36554</v>
      </c>
      <c r="M7924" s="44"/>
      <c r="N7924" s="44"/>
      <c r="O7924" s="44"/>
      <c r="P7924" s="44"/>
      <c r="Q7924" s="44"/>
      <c r="R7924" s="44"/>
      <c r="S7924" s="44"/>
      <c r="T7924" s="45"/>
      <c r="U7924" s="135" t="s">
        <v>61</v>
      </c>
      <c r="V7924" s="30"/>
      <c r="W7924" s="49"/>
      <c r="X7924" s="49"/>
      <c r="Y7924" s="35"/>
      <c r="Z7924" s="35"/>
      <c r="AA7924" s="35"/>
      <c r="AB7924" s="35"/>
      <c r="AC7924" s="35"/>
      <c r="AD7924" s="35"/>
      <c r="AE7924" s="35"/>
      <c r="AF7924" s="35"/>
      <c r="AG7924" s="35"/>
      <c r="AH7924" s="35"/>
      <c r="AI7924" s="35"/>
      <c r="AJ7924" s="35"/>
      <c r="AK7924" s="35"/>
      <c r="AL7924" s="35"/>
    </row>
    <row r="7925">
      <c r="A7925" s="1"/>
      <c r="B7925" s="75" t="s">
        <v>6113</v>
      </c>
      <c r="C7925" s="76" t="s">
        <v>2036</v>
      </c>
      <c r="D7925" s="159"/>
      <c r="E7925" s="23" t="s">
        <v>1110</v>
      </c>
      <c r="F7925" s="23" t="s">
        <v>35581</v>
      </c>
      <c r="G7925" s="23">
        <v>2022.0</v>
      </c>
      <c r="H7925" s="23" t="s">
        <v>147</v>
      </c>
      <c r="I7925" s="243" t="s">
        <v>36555</v>
      </c>
      <c r="J7925" s="23" t="s">
        <v>649</v>
      </c>
      <c r="K7925" s="23" t="s">
        <v>36553</v>
      </c>
      <c r="L7925" s="105" t="s">
        <v>36556</v>
      </c>
      <c r="M7925" s="44"/>
      <c r="N7925" s="44"/>
      <c r="O7925" s="44"/>
      <c r="P7925" s="44"/>
      <c r="Q7925" s="44"/>
      <c r="R7925" s="44"/>
      <c r="S7925" s="44"/>
      <c r="T7925" s="45"/>
      <c r="U7925" s="135" t="s">
        <v>61</v>
      </c>
      <c r="V7925" s="30"/>
      <c r="W7925" s="49"/>
      <c r="X7925" s="49"/>
      <c r="Y7925" s="35"/>
      <c r="Z7925" s="35"/>
      <c r="AA7925" s="35"/>
      <c r="AB7925" s="35"/>
      <c r="AC7925" s="35"/>
      <c r="AD7925" s="35"/>
      <c r="AE7925" s="35"/>
      <c r="AF7925" s="35"/>
      <c r="AG7925" s="35"/>
      <c r="AH7925" s="35"/>
      <c r="AI7925" s="35"/>
      <c r="AJ7925" s="35"/>
      <c r="AK7925" s="35"/>
      <c r="AL7925" s="35"/>
    </row>
    <row r="7926">
      <c r="A7926" s="1"/>
      <c r="B7926" s="75" t="s">
        <v>6113</v>
      </c>
      <c r="C7926" s="76" t="s">
        <v>2036</v>
      </c>
      <c r="D7926" s="159"/>
      <c r="E7926" s="23" t="s">
        <v>36557</v>
      </c>
      <c r="F7926" s="23" t="s">
        <v>1386</v>
      </c>
      <c r="G7926" s="23">
        <v>2022.0</v>
      </c>
      <c r="H7926" s="23" t="s">
        <v>3523</v>
      </c>
      <c r="I7926" s="243" t="s">
        <v>36558</v>
      </c>
      <c r="J7926" s="22" t="s">
        <v>125</v>
      </c>
      <c r="K7926" s="23" t="s">
        <v>36553</v>
      </c>
      <c r="L7926" s="105" t="s">
        <v>36559</v>
      </c>
      <c r="M7926" s="44"/>
      <c r="N7926" s="44"/>
      <c r="O7926" s="44"/>
      <c r="P7926" s="44"/>
      <c r="Q7926" s="44"/>
      <c r="R7926" s="44"/>
      <c r="S7926" s="44"/>
      <c r="T7926" s="45"/>
      <c r="U7926" s="135" t="s">
        <v>61</v>
      </c>
      <c r="V7926" s="30"/>
      <c r="W7926" s="49"/>
      <c r="X7926" s="49"/>
      <c r="Y7926" s="35"/>
      <c r="Z7926" s="35"/>
      <c r="AA7926" s="35"/>
      <c r="AB7926" s="35"/>
      <c r="AC7926" s="35"/>
      <c r="AD7926" s="35"/>
      <c r="AE7926" s="35"/>
      <c r="AF7926" s="35"/>
      <c r="AG7926" s="35"/>
      <c r="AH7926" s="35"/>
      <c r="AI7926" s="35"/>
      <c r="AJ7926" s="35"/>
      <c r="AK7926" s="35"/>
      <c r="AL7926" s="35"/>
    </row>
    <row r="7927">
      <c r="A7927" s="1"/>
      <c r="B7927" s="75" t="s">
        <v>6113</v>
      </c>
      <c r="C7927" s="76" t="s">
        <v>2036</v>
      </c>
      <c r="D7927" s="159"/>
      <c r="E7927" s="23" t="s">
        <v>331</v>
      </c>
      <c r="F7927" s="23" t="s">
        <v>20700</v>
      </c>
      <c r="G7927" s="23">
        <v>2022.0</v>
      </c>
      <c r="H7927" s="23" t="s">
        <v>35046</v>
      </c>
      <c r="I7927" s="243" t="s">
        <v>36560</v>
      </c>
      <c r="J7927" s="22" t="s">
        <v>125</v>
      </c>
      <c r="K7927" s="23"/>
      <c r="L7927" s="105" t="s">
        <v>36561</v>
      </c>
      <c r="M7927" s="44"/>
      <c r="N7927" s="44"/>
      <c r="O7927" s="44"/>
      <c r="P7927" s="44"/>
      <c r="Q7927" s="44"/>
      <c r="R7927" s="44"/>
      <c r="S7927" s="44"/>
      <c r="T7927" s="45"/>
      <c r="U7927" s="138" t="s">
        <v>61</v>
      </c>
      <c r="V7927" s="30"/>
      <c r="W7927" s="49"/>
      <c r="X7927" s="49"/>
      <c r="Y7927" s="35"/>
      <c r="Z7927" s="35"/>
      <c r="AA7927" s="35"/>
      <c r="AB7927" s="35"/>
      <c r="AC7927" s="35"/>
      <c r="AD7927" s="35"/>
      <c r="AE7927" s="35"/>
      <c r="AF7927" s="35"/>
      <c r="AG7927" s="35"/>
      <c r="AH7927" s="35"/>
      <c r="AI7927" s="35"/>
      <c r="AJ7927" s="35"/>
      <c r="AK7927" s="35"/>
      <c r="AL7927" s="35"/>
    </row>
    <row r="7928">
      <c r="A7928" s="1"/>
      <c r="B7928" s="75" t="s">
        <v>6113</v>
      </c>
      <c r="C7928" s="76" t="s">
        <v>2036</v>
      </c>
      <c r="D7928" s="159"/>
      <c r="E7928" s="23" t="s">
        <v>5907</v>
      </c>
      <c r="F7928" s="23" t="s">
        <v>2702</v>
      </c>
      <c r="G7928" s="23">
        <v>2021.0</v>
      </c>
      <c r="H7928" s="23" t="s">
        <v>348</v>
      </c>
      <c r="I7928" s="243" t="s">
        <v>36562</v>
      </c>
      <c r="J7928" s="22" t="s">
        <v>125</v>
      </c>
      <c r="K7928" s="23" t="s">
        <v>4071</v>
      </c>
      <c r="L7928" s="105" t="s">
        <v>36563</v>
      </c>
      <c r="M7928" s="44"/>
      <c r="N7928" s="44"/>
      <c r="O7928" s="44"/>
      <c r="P7928" s="44"/>
      <c r="Q7928" s="44"/>
      <c r="R7928" s="44"/>
      <c r="S7928" s="44"/>
      <c r="T7928" s="45"/>
      <c r="U7928" s="138" t="s">
        <v>61</v>
      </c>
      <c r="V7928" s="30"/>
      <c r="W7928" s="49"/>
      <c r="X7928" s="49"/>
      <c r="Y7928" s="35"/>
      <c r="Z7928" s="35"/>
      <c r="AA7928" s="35"/>
      <c r="AB7928" s="35"/>
      <c r="AC7928" s="35"/>
      <c r="AD7928" s="35"/>
      <c r="AE7928" s="35"/>
      <c r="AF7928" s="35"/>
      <c r="AG7928" s="35"/>
      <c r="AH7928" s="35"/>
      <c r="AI7928" s="35"/>
      <c r="AJ7928" s="35"/>
      <c r="AK7928" s="35"/>
      <c r="AL7928" s="35"/>
    </row>
    <row r="7929">
      <c r="A7929" s="40"/>
      <c r="B7929" s="75" t="s">
        <v>6113</v>
      </c>
      <c r="C7929" s="76" t="s">
        <v>2036</v>
      </c>
      <c r="D7929" s="159"/>
      <c r="E7929" s="23" t="s">
        <v>36564</v>
      </c>
      <c r="F7929" s="23" t="s">
        <v>36565</v>
      </c>
      <c r="G7929" s="23">
        <v>2020.0</v>
      </c>
      <c r="H7929" s="23" t="s">
        <v>5956</v>
      </c>
      <c r="I7929" s="243" t="s">
        <v>36566</v>
      </c>
      <c r="J7929" s="22" t="s">
        <v>125</v>
      </c>
      <c r="K7929" s="23"/>
      <c r="L7929" s="105" t="s">
        <v>36567</v>
      </c>
      <c r="M7929" s="44"/>
      <c r="N7929" s="44"/>
      <c r="O7929" s="44"/>
      <c r="P7929" s="44"/>
      <c r="Q7929" s="44"/>
      <c r="R7929" s="44"/>
      <c r="S7929" s="44"/>
      <c r="T7929" s="45"/>
      <c r="U7929" s="138" t="s">
        <v>61</v>
      </c>
      <c r="V7929" s="30"/>
      <c r="W7929" s="49"/>
      <c r="X7929" s="49"/>
      <c r="Y7929" s="35"/>
      <c r="Z7929" s="35"/>
      <c r="AA7929" s="35"/>
      <c r="AB7929" s="35"/>
      <c r="AC7929" s="35"/>
      <c r="AD7929" s="35"/>
      <c r="AE7929" s="35"/>
      <c r="AF7929" s="35"/>
      <c r="AG7929" s="35"/>
      <c r="AH7929" s="35"/>
      <c r="AI7929" s="35"/>
      <c r="AJ7929" s="35"/>
      <c r="AK7929" s="35"/>
      <c r="AL7929" s="35"/>
    </row>
    <row r="7930">
      <c r="A7930" s="40"/>
      <c r="B7930" s="75" t="s">
        <v>6113</v>
      </c>
      <c r="C7930" s="76" t="s">
        <v>2036</v>
      </c>
      <c r="D7930" s="159"/>
      <c r="E7930" s="23" t="s">
        <v>856</v>
      </c>
      <c r="F7930" s="23" t="s">
        <v>36568</v>
      </c>
      <c r="G7930" s="23">
        <v>2020.0</v>
      </c>
      <c r="H7930" s="23" t="s">
        <v>7308</v>
      </c>
      <c r="I7930" s="243" t="s">
        <v>36569</v>
      </c>
      <c r="J7930" s="22" t="s">
        <v>125</v>
      </c>
      <c r="K7930" s="23"/>
      <c r="L7930" s="105" t="s">
        <v>36570</v>
      </c>
      <c r="M7930" s="44"/>
      <c r="N7930" s="44"/>
      <c r="O7930" s="44"/>
      <c r="P7930" s="44"/>
      <c r="Q7930" s="44"/>
      <c r="R7930" s="44"/>
      <c r="S7930" s="44"/>
      <c r="T7930" s="45"/>
      <c r="U7930" s="135" t="str">
        <f>HYPERLINK("https://www.ncbi.nlm.nih.gov/pubmed/32056472","PubMed")</f>
        <v>PubMed</v>
      </c>
      <c r="V7930" s="30"/>
      <c r="W7930" s="49"/>
      <c r="X7930" s="49"/>
      <c r="Y7930" s="35"/>
      <c r="Z7930" s="35"/>
      <c r="AA7930" s="35"/>
      <c r="AB7930" s="35"/>
      <c r="AC7930" s="35"/>
      <c r="AD7930" s="35"/>
      <c r="AE7930" s="35"/>
      <c r="AF7930" s="35"/>
      <c r="AG7930" s="35"/>
      <c r="AH7930" s="35"/>
      <c r="AI7930" s="35"/>
      <c r="AJ7930" s="35"/>
      <c r="AK7930" s="35"/>
      <c r="AL7930" s="35"/>
    </row>
    <row r="7931">
      <c r="A7931" s="40"/>
      <c r="B7931" s="75" t="s">
        <v>6113</v>
      </c>
      <c r="C7931" s="76" t="s">
        <v>2036</v>
      </c>
      <c r="D7931" s="159"/>
      <c r="E7931" s="23" t="s">
        <v>36571</v>
      </c>
      <c r="F7931" s="23" t="s">
        <v>23201</v>
      </c>
      <c r="G7931" s="23">
        <v>2019.0</v>
      </c>
      <c r="H7931" s="23" t="s">
        <v>36572</v>
      </c>
      <c r="I7931" s="243" t="s">
        <v>36573</v>
      </c>
      <c r="J7931" s="22" t="s">
        <v>125</v>
      </c>
      <c r="K7931" s="23"/>
      <c r="L7931" s="195" t="s">
        <v>36574</v>
      </c>
      <c r="M7931" s="44"/>
      <c r="N7931" s="44"/>
      <c r="O7931" s="44"/>
      <c r="P7931" s="44"/>
      <c r="Q7931" s="44"/>
      <c r="R7931" s="44"/>
      <c r="S7931" s="44"/>
      <c r="T7931" s="45"/>
      <c r="U7931" s="135" t="str">
        <f>HYPERLINK("https://www.ncbi.nlm.nih.gov/pubmed/31467931","PubMed")</f>
        <v>PubMed</v>
      </c>
      <c r="V7931" s="30"/>
      <c r="W7931" s="49"/>
      <c r="X7931" s="49"/>
      <c r="Y7931" s="35"/>
      <c r="Z7931" s="35"/>
      <c r="AA7931" s="35"/>
      <c r="AB7931" s="35"/>
      <c r="AC7931" s="35"/>
      <c r="AD7931" s="35"/>
      <c r="AE7931" s="35"/>
      <c r="AF7931" s="35"/>
      <c r="AG7931" s="35"/>
      <c r="AH7931" s="35"/>
      <c r="AI7931" s="35"/>
      <c r="AJ7931" s="35"/>
      <c r="AK7931" s="35"/>
      <c r="AL7931" s="35"/>
    </row>
    <row r="7932">
      <c r="A7932" s="40"/>
      <c r="B7932" s="75" t="s">
        <v>6113</v>
      </c>
      <c r="C7932" s="76" t="s">
        <v>2036</v>
      </c>
      <c r="D7932" s="159"/>
      <c r="E7932" s="23" t="s">
        <v>5140</v>
      </c>
      <c r="F7932" s="23" t="s">
        <v>2702</v>
      </c>
      <c r="G7932" s="23">
        <v>2018.0</v>
      </c>
      <c r="H7932" s="23" t="s">
        <v>207</v>
      </c>
      <c r="I7932" s="243" t="s">
        <v>36575</v>
      </c>
      <c r="J7932" s="22" t="s">
        <v>125</v>
      </c>
      <c r="K7932" s="23"/>
      <c r="L7932" s="105" t="s">
        <v>36576</v>
      </c>
      <c r="M7932" s="44"/>
      <c r="N7932" s="44"/>
      <c r="O7932" s="44"/>
      <c r="P7932" s="44"/>
      <c r="Q7932" s="44"/>
      <c r="R7932" s="44"/>
      <c r="S7932" s="44"/>
      <c r="T7932" s="45"/>
      <c r="U7932" s="135" t="str">
        <f>HYPERLINK("https://www.ncbi.nlm.nih.gov/pubmed/30343208","PubMed")</f>
        <v>PubMed</v>
      </c>
      <c r="V7932" s="30"/>
      <c r="W7932" s="49"/>
      <c r="X7932" s="49"/>
      <c r="Y7932" s="35"/>
      <c r="Z7932" s="35"/>
      <c r="AA7932" s="35"/>
      <c r="AB7932" s="35"/>
      <c r="AC7932" s="35"/>
      <c r="AD7932" s="35"/>
      <c r="AE7932" s="35"/>
      <c r="AF7932" s="35"/>
      <c r="AG7932" s="35"/>
      <c r="AH7932" s="35"/>
      <c r="AI7932" s="35"/>
      <c r="AJ7932" s="35"/>
      <c r="AK7932" s="35"/>
      <c r="AL7932" s="35"/>
    </row>
    <row r="7933">
      <c r="A7933" s="40" t="s">
        <v>2</v>
      </c>
      <c r="B7933" s="75" t="s">
        <v>6113</v>
      </c>
      <c r="C7933" s="76" t="s">
        <v>2036</v>
      </c>
      <c r="D7933" s="159"/>
      <c r="E7933" s="23" t="s">
        <v>8198</v>
      </c>
      <c r="F7933" s="23" t="s">
        <v>8199</v>
      </c>
      <c r="G7933" s="23">
        <v>2019.0</v>
      </c>
      <c r="H7933" s="23" t="s">
        <v>17926</v>
      </c>
      <c r="I7933" s="243" t="s">
        <v>36577</v>
      </c>
      <c r="J7933" s="22" t="s">
        <v>125</v>
      </c>
      <c r="K7933" s="23" t="s">
        <v>157</v>
      </c>
      <c r="L7933" s="195" t="s">
        <v>36578</v>
      </c>
      <c r="M7933" s="44"/>
      <c r="N7933" s="44"/>
      <c r="O7933" s="44"/>
      <c r="P7933" s="44"/>
      <c r="Q7933" s="44"/>
      <c r="R7933" s="44"/>
      <c r="S7933" s="44"/>
      <c r="T7933" s="45"/>
      <c r="U7933" s="135" t="str">
        <f>HYPERLINK("https://www.ncbi.nlm.nih.gov/pubmed/30889017","PubMed")</f>
        <v>PubMed</v>
      </c>
      <c r="V7933" s="30"/>
      <c r="W7933" s="49"/>
      <c r="X7933" s="49"/>
      <c r="Y7933" s="35"/>
      <c r="Z7933" s="35"/>
      <c r="AA7933" s="35"/>
      <c r="AB7933" s="35"/>
      <c r="AC7933" s="35"/>
      <c r="AD7933" s="35"/>
      <c r="AE7933" s="35"/>
      <c r="AF7933" s="35"/>
      <c r="AG7933" s="35"/>
      <c r="AH7933" s="35"/>
      <c r="AI7933" s="35"/>
      <c r="AJ7933" s="35"/>
      <c r="AK7933" s="35"/>
      <c r="AL7933" s="35"/>
    </row>
    <row r="7934">
      <c r="A7934" s="456"/>
      <c r="B7934" s="75" t="s">
        <v>6113</v>
      </c>
      <c r="C7934" s="76" t="s">
        <v>2036</v>
      </c>
      <c r="D7934" s="159"/>
      <c r="E7934" s="23" t="s">
        <v>36579</v>
      </c>
      <c r="F7934" s="23" t="s">
        <v>1370</v>
      </c>
      <c r="G7934" s="23">
        <v>2019.0</v>
      </c>
      <c r="H7934" s="23" t="s">
        <v>348</v>
      </c>
      <c r="I7934" s="243" t="s">
        <v>36580</v>
      </c>
      <c r="J7934" s="23" t="s">
        <v>3892</v>
      </c>
      <c r="K7934" s="23"/>
      <c r="L7934" s="173" t="s">
        <v>36581</v>
      </c>
      <c r="U7934" s="135" t="str">
        <f>HYPERLINK("https://www.ncbi.nlm.nih.gov/pubmed/30654555","PubMed")</f>
        <v>PubMed</v>
      </c>
      <c r="V7934" s="30"/>
      <c r="W7934" s="49"/>
      <c r="X7934" s="49"/>
      <c r="Y7934" s="35"/>
      <c r="Z7934" s="35"/>
      <c r="AA7934" s="35"/>
      <c r="AB7934" s="35"/>
      <c r="AC7934" s="35"/>
      <c r="AD7934" s="35"/>
      <c r="AE7934" s="35"/>
      <c r="AF7934" s="35"/>
      <c r="AG7934" s="35"/>
      <c r="AH7934" s="35"/>
      <c r="AI7934" s="35"/>
      <c r="AJ7934" s="35"/>
      <c r="AK7934" s="35"/>
      <c r="AL7934" s="35"/>
    </row>
    <row r="7935">
      <c r="A7935" s="456"/>
      <c r="B7935" s="75" t="s">
        <v>6113</v>
      </c>
      <c r="C7935" s="76" t="s">
        <v>2036</v>
      </c>
      <c r="D7935" s="159"/>
      <c r="E7935" s="23" t="s">
        <v>36582</v>
      </c>
      <c r="F7935" s="23" t="s">
        <v>36583</v>
      </c>
      <c r="G7935" s="23">
        <v>2018.0</v>
      </c>
      <c r="H7935" s="23" t="s">
        <v>36584</v>
      </c>
      <c r="I7935" s="243" t="s">
        <v>36585</v>
      </c>
      <c r="J7935" s="22" t="s">
        <v>125</v>
      </c>
      <c r="K7935" s="23"/>
      <c r="L7935" s="105" t="s">
        <v>36586</v>
      </c>
      <c r="M7935" s="44"/>
      <c r="N7935" s="44"/>
      <c r="O7935" s="44"/>
      <c r="P7935" s="44"/>
      <c r="Q7935" s="44"/>
      <c r="R7935" s="44"/>
      <c r="S7935" s="44"/>
      <c r="T7935" s="45"/>
      <c r="U7935" s="135" t="str">
        <f>HYPERLINK("https://link.springer.com/chapter/10.1007/15695_2018_117","Springer")</f>
        <v>Springer</v>
      </c>
      <c r="V7935" s="30"/>
      <c r="W7935" s="49"/>
      <c r="X7935" s="49"/>
      <c r="Y7935" s="35"/>
      <c r="Z7935" s="35"/>
      <c r="AA7935" s="35"/>
      <c r="AB7935" s="35"/>
      <c r="AC7935" s="35"/>
      <c r="AD7935" s="35"/>
      <c r="AE7935" s="35"/>
      <c r="AF7935" s="35"/>
      <c r="AG7935" s="35"/>
      <c r="AH7935" s="35"/>
      <c r="AI7935" s="35"/>
      <c r="AJ7935" s="35"/>
      <c r="AK7935" s="35"/>
      <c r="AL7935" s="35"/>
    </row>
    <row r="7936">
      <c r="A7936" s="456"/>
      <c r="B7936" s="157" t="s">
        <v>6113</v>
      </c>
      <c r="C7936" s="76" t="s">
        <v>2036</v>
      </c>
      <c r="D7936" s="159"/>
      <c r="E7936" s="23" t="s">
        <v>36106</v>
      </c>
      <c r="F7936" s="23" t="s">
        <v>6296</v>
      </c>
      <c r="G7936" s="23">
        <v>2018.0</v>
      </c>
      <c r="H7936" s="23" t="s">
        <v>91</v>
      </c>
      <c r="I7936" s="243" t="s">
        <v>36587</v>
      </c>
      <c r="J7936" s="23" t="s">
        <v>34768</v>
      </c>
      <c r="K7936" s="23"/>
      <c r="L7936" s="105" t="s">
        <v>36588</v>
      </c>
      <c r="M7936" s="44"/>
      <c r="N7936" s="44"/>
      <c r="O7936" s="44"/>
      <c r="P7936" s="44"/>
      <c r="Q7936" s="44"/>
      <c r="R7936" s="44"/>
      <c r="S7936" s="44"/>
      <c r="T7936" s="45"/>
      <c r="U7936" s="135" t="str">
        <f>HYPERLINK("https://www.ncbi.nlm.nih.gov/pubmed/29603108","PubMed")</f>
        <v>PubMed</v>
      </c>
      <c r="V7936" s="30"/>
      <c r="W7936" s="49"/>
      <c r="X7936" s="49"/>
      <c r="Y7936" s="35"/>
      <c r="Z7936" s="35"/>
      <c r="AA7936" s="35"/>
      <c r="AB7936" s="35"/>
      <c r="AC7936" s="35"/>
      <c r="AD7936" s="35"/>
      <c r="AE7936" s="35"/>
      <c r="AF7936" s="35"/>
      <c r="AG7936" s="35"/>
      <c r="AH7936" s="35"/>
      <c r="AI7936" s="35"/>
      <c r="AJ7936" s="35"/>
      <c r="AK7936" s="35"/>
      <c r="AL7936" s="35"/>
    </row>
    <row r="7937">
      <c r="A7937" s="1"/>
      <c r="B7937" s="157" t="s">
        <v>6113</v>
      </c>
      <c r="C7937" s="76" t="s">
        <v>2036</v>
      </c>
      <c r="D7937" s="159"/>
      <c r="E7937" s="23" t="s">
        <v>5981</v>
      </c>
      <c r="F7937" s="23" t="s">
        <v>2702</v>
      </c>
      <c r="G7937" s="23">
        <v>2017.0</v>
      </c>
      <c r="H7937" s="23" t="s">
        <v>35572</v>
      </c>
      <c r="I7937" s="243" t="s">
        <v>36589</v>
      </c>
      <c r="J7937" s="22" t="s">
        <v>125</v>
      </c>
      <c r="K7937" s="23"/>
      <c r="L7937" s="105" t="s">
        <v>36590</v>
      </c>
      <c r="M7937" s="44"/>
      <c r="N7937" s="44"/>
      <c r="O7937" s="44"/>
      <c r="P7937" s="44"/>
      <c r="Q7937" s="44"/>
      <c r="R7937" s="44"/>
      <c r="S7937" s="44"/>
      <c r="T7937" s="45"/>
      <c r="U7937" s="135" t="str">
        <f>HYPERLINK("https://www.ncbi.nlm.nih.gov/pubmed/29032938","PubMed")</f>
        <v>PubMed</v>
      </c>
      <c r="V7937" s="30"/>
      <c r="W7937" s="49"/>
      <c r="X7937" s="49"/>
      <c r="Y7937" s="35"/>
      <c r="Z7937" s="35"/>
      <c r="AA7937" s="35"/>
      <c r="AB7937" s="35"/>
      <c r="AC7937" s="35"/>
      <c r="AD7937" s="35"/>
      <c r="AE7937" s="35"/>
      <c r="AF7937" s="35"/>
      <c r="AG7937" s="35"/>
      <c r="AH7937" s="35"/>
      <c r="AI7937" s="35"/>
      <c r="AJ7937" s="35"/>
      <c r="AK7937" s="35"/>
      <c r="AL7937" s="35"/>
    </row>
    <row r="7938">
      <c r="A7938" s="1"/>
      <c r="B7938" s="157" t="s">
        <v>6113</v>
      </c>
      <c r="C7938" s="76" t="s">
        <v>2036</v>
      </c>
      <c r="D7938" s="159"/>
      <c r="E7938" s="23" t="s">
        <v>36591</v>
      </c>
      <c r="F7938" s="23" t="s">
        <v>34756</v>
      </c>
      <c r="G7938" s="23">
        <v>2016.0</v>
      </c>
      <c r="H7938" s="23" t="s">
        <v>3292</v>
      </c>
      <c r="I7938" s="243" t="s">
        <v>36592</v>
      </c>
      <c r="J7938" s="22" t="s">
        <v>125</v>
      </c>
      <c r="K7938" s="23"/>
      <c r="L7938" s="105" t="s">
        <v>36593</v>
      </c>
      <c r="M7938" s="44"/>
      <c r="N7938" s="44"/>
      <c r="O7938" s="44"/>
      <c r="P7938" s="44"/>
      <c r="Q7938" s="44"/>
      <c r="R7938" s="44"/>
      <c r="S7938" s="44"/>
      <c r="T7938" s="45"/>
      <c r="U7938" s="135" t="str">
        <f>HYPERLINK("https://www.ncbi.nlm.nih.gov/pubmed/27943458","PubMed")</f>
        <v>PubMed</v>
      </c>
      <c r="V7938" s="30"/>
      <c r="W7938" s="49"/>
      <c r="X7938" s="49"/>
      <c r="Y7938" s="35"/>
      <c r="Z7938" s="35"/>
      <c r="AA7938" s="35"/>
      <c r="AB7938" s="35"/>
      <c r="AC7938" s="35"/>
      <c r="AD7938" s="35"/>
      <c r="AE7938" s="35"/>
      <c r="AF7938" s="35"/>
      <c r="AG7938" s="35"/>
      <c r="AH7938" s="35"/>
      <c r="AI7938" s="35"/>
      <c r="AJ7938" s="35"/>
      <c r="AK7938" s="35"/>
      <c r="AL7938" s="35"/>
    </row>
    <row r="7939">
      <c r="A7939" s="415"/>
      <c r="B7939" s="157" t="s">
        <v>6113</v>
      </c>
      <c r="C7939" s="76" t="s">
        <v>2036</v>
      </c>
      <c r="D7939" s="159"/>
      <c r="E7939" s="23" t="s">
        <v>17173</v>
      </c>
      <c r="F7939" s="22" t="s">
        <v>41</v>
      </c>
      <c r="G7939" s="23">
        <v>2016.0</v>
      </c>
      <c r="H7939" s="22" t="s">
        <v>658</v>
      </c>
      <c r="I7939" s="243" t="s">
        <v>36594</v>
      </c>
      <c r="J7939" s="23" t="s">
        <v>3289</v>
      </c>
      <c r="K7939" s="23"/>
      <c r="L7939" s="105" t="s">
        <v>36595</v>
      </c>
      <c r="M7939" s="44"/>
      <c r="N7939" s="44"/>
      <c r="O7939" s="44"/>
      <c r="P7939" s="44"/>
      <c r="Q7939" s="44"/>
      <c r="R7939" s="44"/>
      <c r="S7939" s="44"/>
      <c r="T7939" s="45"/>
      <c r="U7939" s="135" t="str">
        <f>HYPERLINK("https://www.ncbi.nlm.nih.gov/pubmed/26840549","PubMed")</f>
        <v>PubMed</v>
      </c>
      <c r="V7939" s="30"/>
      <c r="W7939" s="49"/>
      <c r="X7939" s="49"/>
      <c r="Y7939" s="35"/>
      <c r="Z7939" s="35"/>
      <c r="AA7939" s="35"/>
      <c r="AB7939" s="35"/>
      <c r="AC7939" s="35"/>
      <c r="AD7939" s="35"/>
      <c r="AE7939" s="35"/>
      <c r="AF7939" s="35"/>
      <c r="AG7939" s="35"/>
      <c r="AH7939" s="35"/>
      <c r="AI7939" s="35"/>
      <c r="AJ7939" s="35"/>
      <c r="AK7939" s="35"/>
      <c r="AL7939" s="35"/>
    </row>
    <row r="7940">
      <c r="A7940" s="415"/>
      <c r="B7940" s="157" t="s">
        <v>6113</v>
      </c>
      <c r="C7940" s="76" t="s">
        <v>2036</v>
      </c>
      <c r="D7940" s="159"/>
      <c r="E7940" s="23" t="s">
        <v>36596</v>
      </c>
      <c r="F7940" s="23" t="s">
        <v>36597</v>
      </c>
      <c r="G7940" s="23">
        <v>2016.0</v>
      </c>
      <c r="H7940" s="23" t="s">
        <v>20686</v>
      </c>
      <c r="I7940" s="243" t="s">
        <v>36598</v>
      </c>
      <c r="J7940" s="22" t="s">
        <v>125</v>
      </c>
      <c r="K7940" s="23"/>
      <c r="L7940" s="105" t="s">
        <v>36599</v>
      </c>
      <c r="M7940" s="44"/>
      <c r="N7940" s="44"/>
      <c r="O7940" s="44"/>
      <c r="P7940" s="44"/>
      <c r="Q7940" s="44"/>
      <c r="R7940" s="44"/>
      <c r="S7940" s="44"/>
      <c r="T7940" s="45"/>
      <c r="U7940" s="135" t="str">
        <f>HYPERLINK("https://www.ncbi.nlm.nih.gov/pubmed/26681143","PubMed")</f>
        <v>PubMed</v>
      </c>
      <c r="V7940" s="30"/>
      <c r="W7940" s="49"/>
      <c r="X7940" s="49"/>
      <c r="Y7940" s="35"/>
      <c r="Z7940" s="35"/>
      <c r="AA7940" s="35"/>
      <c r="AB7940" s="35"/>
      <c r="AC7940" s="35"/>
      <c r="AD7940" s="35"/>
      <c r="AE7940" s="35"/>
      <c r="AF7940" s="35"/>
      <c r="AG7940" s="35"/>
      <c r="AH7940" s="35"/>
      <c r="AI7940" s="35"/>
      <c r="AJ7940" s="35"/>
      <c r="AK7940" s="35"/>
      <c r="AL7940" s="35"/>
    </row>
    <row r="7941">
      <c r="A7941" s="18"/>
      <c r="B7941" s="157" t="s">
        <v>6113</v>
      </c>
      <c r="C7941" s="76" t="s">
        <v>2036</v>
      </c>
      <c r="D7941" s="159"/>
      <c r="E7941" s="23" t="s">
        <v>36600</v>
      </c>
      <c r="F7941" s="23" t="s">
        <v>2604</v>
      </c>
      <c r="G7941" s="23">
        <v>2016.0</v>
      </c>
      <c r="H7941" s="23" t="s">
        <v>7928</v>
      </c>
      <c r="I7941" s="243" t="s">
        <v>36601</v>
      </c>
      <c r="J7941" s="22" t="s">
        <v>125</v>
      </c>
      <c r="K7941" s="23" t="s">
        <v>7621</v>
      </c>
      <c r="L7941" s="105" t="s">
        <v>36602</v>
      </c>
      <c r="M7941" s="44"/>
      <c r="N7941" s="44"/>
      <c r="O7941" s="44"/>
      <c r="P7941" s="44"/>
      <c r="Q7941" s="44"/>
      <c r="R7941" s="44"/>
      <c r="S7941" s="44"/>
      <c r="T7941" s="45"/>
      <c r="U7941" s="135" t="str">
        <f>HYPERLINK("https://www.ncbi.nlm.nih.gov/pubmed/27408610","PubMed")</f>
        <v>PubMed</v>
      </c>
      <c r="V7941" s="30"/>
      <c r="W7941" s="49"/>
      <c r="X7941" s="49"/>
      <c r="Y7941" s="35"/>
      <c r="Z7941" s="35"/>
      <c r="AA7941" s="35"/>
      <c r="AB7941" s="35"/>
      <c r="AC7941" s="35"/>
      <c r="AD7941" s="35"/>
      <c r="AE7941" s="35"/>
      <c r="AF7941" s="35"/>
      <c r="AG7941" s="35"/>
      <c r="AH7941" s="35"/>
      <c r="AI7941" s="35"/>
      <c r="AJ7941" s="35"/>
      <c r="AK7941" s="35"/>
      <c r="AL7941" s="35"/>
    </row>
    <row r="7942">
      <c r="A7942" s="473" t="s">
        <v>38</v>
      </c>
      <c r="B7942" s="157" t="s">
        <v>6113</v>
      </c>
      <c r="C7942" s="158" t="s">
        <v>2036</v>
      </c>
      <c r="D7942" s="159"/>
      <c r="E7942" s="23" t="s">
        <v>36600</v>
      </c>
      <c r="F7942" s="23" t="s">
        <v>5884</v>
      </c>
      <c r="G7942" s="23">
        <v>2007.0</v>
      </c>
      <c r="H7942" s="23" t="s">
        <v>36603</v>
      </c>
      <c r="I7942" s="243" t="s">
        <v>36604</v>
      </c>
      <c r="J7942" s="22" t="s">
        <v>125</v>
      </c>
      <c r="K7942" s="23" t="s">
        <v>56</v>
      </c>
      <c r="L7942" s="105" t="s">
        <v>36605</v>
      </c>
      <c r="M7942" s="44"/>
      <c r="N7942" s="44"/>
      <c r="O7942" s="44"/>
      <c r="P7942" s="44"/>
      <c r="Q7942" s="44"/>
      <c r="R7942" s="44"/>
      <c r="S7942" s="44"/>
      <c r="T7942" s="45"/>
      <c r="U7942" s="135" t="str">
        <f>HYPERLINK("https://www.ncbi.nlm.nih.gov/pubmed/20204085","PubMed")</f>
        <v>PubMed</v>
      </c>
      <c r="V7942" s="30"/>
      <c r="W7942" s="49"/>
      <c r="X7942" s="49"/>
      <c r="Y7942" s="35"/>
      <c r="Z7942" s="35"/>
      <c r="AA7942" s="35"/>
      <c r="AB7942" s="35"/>
      <c r="AC7942" s="35"/>
      <c r="AD7942" s="35"/>
      <c r="AE7942" s="35"/>
      <c r="AF7942" s="35"/>
      <c r="AG7942" s="35"/>
      <c r="AH7942" s="35"/>
      <c r="AI7942" s="35"/>
      <c r="AJ7942" s="35"/>
      <c r="AK7942" s="35"/>
      <c r="AL7942" s="35"/>
    </row>
    <row r="7943">
      <c r="A7943" s="18"/>
      <c r="B7943" s="19" t="s">
        <v>6113</v>
      </c>
      <c r="C7943" s="76" t="s">
        <v>2036</v>
      </c>
      <c r="D7943" s="159"/>
      <c r="E7943" s="22" t="s">
        <v>36606</v>
      </c>
      <c r="F7943" s="22" t="s">
        <v>36607</v>
      </c>
      <c r="G7943" s="23">
        <v>2014.0</v>
      </c>
      <c r="H7943" s="22" t="s">
        <v>36406</v>
      </c>
      <c r="I7943" s="24" t="s">
        <v>36608</v>
      </c>
      <c r="J7943" s="22" t="s">
        <v>125</v>
      </c>
      <c r="K7943" s="23"/>
      <c r="L7943" s="105" t="s">
        <v>36609</v>
      </c>
      <c r="M7943" s="44"/>
      <c r="N7943" s="44"/>
      <c r="O7943" s="44"/>
      <c r="P7943" s="44"/>
      <c r="Q7943" s="44"/>
      <c r="R7943" s="44"/>
      <c r="S7943" s="44"/>
      <c r="T7943" s="45"/>
      <c r="U7943" s="38" t="str">
        <f>HYPERLINK("https://www.ncbi.nlm.nih.gov/pubmed/24918727","PubMed")</f>
        <v>PubMed</v>
      </c>
      <c r="V7943" s="139"/>
      <c r="W7943" s="49"/>
      <c r="X7943" s="49"/>
      <c r="Y7943" s="35"/>
      <c r="Z7943" s="35"/>
      <c r="AA7943" s="35"/>
      <c r="AB7943" s="35"/>
      <c r="AC7943" s="35"/>
      <c r="AD7943" s="35"/>
      <c r="AE7943" s="35"/>
      <c r="AF7943" s="35"/>
      <c r="AG7943" s="35"/>
      <c r="AH7943" s="35"/>
      <c r="AI7943" s="35"/>
      <c r="AJ7943" s="35"/>
      <c r="AK7943" s="35"/>
      <c r="AL7943" s="35"/>
    </row>
    <row r="7944">
      <c r="A7944" s="18" t="s">
        <v>2</v>
      </c>
      <c r="B7944" s="19" t="s">
        <v>6113</v>
      </c>
      <c r="C7944" s="76" t="s">
        <v>2036</v>
      </c>
      <c r="D7944" s="159"/>
      <c r="E7944" s="22" t="s">
        <v>24055</v>
      </c>
      <c r="F7944" s="22" t="s">
        <v>1576</v>
      </c>
      <c r="G7944" s="23">
        <v>2014.0</v>
      </c>
      <c r="H7944" s="22" t="s">
        <v>12459</v>
      </c>
      <c r="I7944" s="24" t="s">
        <v>36610</v>
      </c>
      <c r="J7944" s="22" t="s">
        <v>125</v>
      </c>
      <c r="K7944" s="23"/>
      <c r="L7944" s="105" t="s">
        <v>36611</v>
      </c>
      <c r="M7944" s="44"/>
      <c r="N7944" s="44"/>
      <c r="O7944" s="44"/>
      <c r="P7944" s="44"/>
      <c r="Q7944" s="44"/>
      <c r="R7944" s="44"/>
      <c r="S7944" s="44"/>
      <c r="T7944" s="45"/>
      <c r="U7944" s="38" t="str">
        <f>HYPERLINK("https://www.ncbi.nlm.nih.gov/pubmed/25054749","PubMed")</f>
        <v>PubMed</v>
      </c>
      <c r="V7944" s="139"/>
      <c r="W7944" s="49"/>
      <c r="X7944" s="49"/>
      <c r="Y7944" s="35"/>
      <c r="Z7944" s="35"/>
      <c r="AA7944" s="35"/>
      <c r="AB7944" s="35"/>
      <c r="AC7944" s="35"/>
      <c r="AD7944" s="35"/>
      <c r="AE7944" s="35"/>
      <c r="AF7944" s="35"/>
      <c r="AG7944" s="35"/>
      <c r="AH7944" s="35"/>
      <c r="AI7944" s="35"/>
      <c r="AJ7944" s="35"/>
      <c r="AK7944" s="35"/>
      <c r="AL7944" s="35"/>
    </row>
    <row r="7945">
      <c r="A7945" s="18"/>
      <c r="B7945" s="19" t="s">
        <v>6113</v>
      </c>
      <c r="C7945" s="76" t="s">
        <v>2036</v>
      </c>
      <c r="D7945" s="159"/>
      <c r="E7945" s="22" t="s">
        <v>5713</v>
      </c>
      <c r="F7945" s="22" t="s">
        <v>36612</v>
      </c>
      <c r="G7945" s="23">
        <v>2014.0</v>
      </c>
      <c r="H7945" s="22" t="s">
        <v>147</v>
      </c>
      <c r="I7945" s="24" t="s">
        <v>36613</v>
      </c>
      <c r="J7945" s="23" t="s">
        <v>36614</v>
      </c>
      <c r="K7945" s="23"/>
      <c r="L7945" s="105" t="s">
        <v>36615</v>
      </c>
      <c r="M7945" s="44"/>
      <c r="N7945" s="44"/>
      <c r="O7945" s="44"/>
      <c r="P7945" s="44"/>
      <c r="Q7945" s="44"/>
      <c r="R7945" s="44"/>
      <c r="S7945" s="44"/>
      <c r="T7945" s="45"/>
      <c r="U7945" s="38" t="str">
        <f>HYPERLINK("https://www.ncbi.nlm.nih.gov/pubmed/25653799","PubMed")</f>
        <v>PubMed</v>
      </c>
      <c r="V7945" s="139"/>
      <c r="W7945" s="49"/>
      <c r="X7945" s="49"/>
      <c r="Y7945" s="35"/>
      <c r="Z7945" s="35"/>
      <c r="AA7945" s="35"/>
      <c r="AB7945" s="35"/>
      <c r="AC7945" s="35"/>
      <c r="AD7945" s="35"/>
      <c r="AE7945" s="35"/>
      <c r="AF7945" s="35"/>
      <c r="AG7945" s="35"/>
      <c r="AH7945" s="35"/>
      <c r="AI7945" s="35"/>
      <c r="AJ7945" s="35"/>
      <c r="AK7945" s="35"/>
      <c r="AL7945" s="35"/>
    </row>
    <row r="7946">
      <c r="A7946" s="1"/>
      <c r="B7946" s="19" t="s">
        <v>6113</v>
      </c>
      <c r="C7946" s="76" t="s">
        <v>2036</v>
      </c>
      <c r="D7946" s="47"/>
      <c r="E7946" s="22" t="s">
        <v>5529</v>
      </c>
      <c r="F7946" s="22" t="s">
        <v>4582</v>
      </c>
      <c r="G7946" s="23">
        <v>2010.0</v>
      </c>
      <c r="H7946" s="22" t="s">
        <v>658</v>
      </c>
      <c r="I7946" s="24" t="s">
        <v>36616</v>
      </c>
      <c r="J7946" s="23" t="s">
        <v>36617</v>
      </c>
      <c r="K7946" s="23"/>
      <c r="L7946" s="105" t="s">
        <v>36618</v>
      </c>
      <c r="M7946" s="44"/>
      <c r="N7946" s="44"/>
      <c r="O7946" s="44"/>
      <c r="P7946" s="44"/>
      <c r="Q7946" s="44"/>
      <c r="R7946" s="44"/>
      <c r="S7946" s="44"/>
      <c r="T7946" s="45"/>
      <c r="U7946" s="38" t="str">
        <f>HYPERLINK("https://www.ncbi.nlm.nih.gov/pubmed/19995230","PubMed")</f>
        <v>PubMed</v>
      </c>
      <c r="V7946" s="50"/>
      <c r="W7946" s="49"/>
      <c r="X7946" s="49"/>
      <c r="Y7946" s="35"/>
      <c r="Z7946" s="35"/>
      <c r="AA7946" s="35"/>
      <c r="AB7946" s="35"/>
      <c r="AC7946" s="35"/>
      <c r="AD7946" s="35"/>
      <c r="AE7946" s="35"/>
      <c r="AF7946" s="35"/>
      <c r="AG7946" s="35"/>
      <c r="AH7946" s="35"/>
      <c r="AI7946" s="35"/>
      <c r="AJ7946" s="35"/>
      <c r="AK7946" s="35"/>
      <c r="AL7946" s="35"/>
    </row>
    <row r="7947">
      <c r="A7947" s="1"/>
      <c r="B7947" s="19" t="s">
        <v>6113</v>
      </c>
      <c r="C7947" s="76" t="s">
        <v>2036</v>
      </c>
      <c r="D7947" s="47"/>
      <c r="E7947" s="22" t="s">
        <v>36619</v>
      </c>
      <c r="F7947" s="22" t="s">
        <v>5223</v>
      </c>
      <c r="G7947" s="23">
        <v>2009.0</v>
      </c>
      <c r="H7947" s="22" t="s">
        <v>35214</v>
      </c>
      <c r="I7947" s="24" t="s">
        <v>36620</v>
      </c>
      <c r="J7947" s="22" t="s">
        <v>125</v>
      </c>
      <c r="K7947" s="23"/>
      <c r="L7947" s="213" t="s">
        <v>36621</v>
      </c>
      <c r="M7947" s="44"/>
      <c r="N7947" s="44"/>
      <c r="O7947" s="44"/>
      <c r="P7947" s="44"/>
      <c r="Q7947" s="44"/>
      <c r="R7947" s="44"/>
      <c r="S7947" s="44"/>
      <c r="T7947" s="45"/>
      <c r="U7947" s="38" t="str">
        <f>HYPERLINK("https://www.ncbi.nlm.nih.gov/pubmed/20307462","PubMed")</f>
        <v>PubMed</v>
      </c>
      <c r="V7947" s="50"/>
      <c r="W7947" s="49"/>
      <c r="X7947" s="49"/>
      <c r="Y7947" s="35"/>
      <c r="Z7947" s="35"/>
      <c r="AA7947" s="35"/>
      <c r="AB7947" s="35"/>
      <c r="AC7947" s="35"/>
      <c r="AD7947" s="35"/>
      <c r="AE7947" s="35"/>
      <c r="AF7947" s="35"/>
      <c r="AG7947" s="35"/>
      <c r="AH7947" s="35"/>
      <c r="AI7947" s="35"/>
      <c r="AJ7947" s="35"/>
      <c r="AK7947" s="35"/>
      <c r="AL7947" s="35"/>
    </row>
    <row r="7948">
      <c r="A7948" s="415"/>
      <c r="B7948" s="157" t="s">
        <v>6113</v>
      </c>
      <c r="C7948" s="76" t="s">
        <v>2036</v>
      </c>
      <c r="D7948" s="159"/>
      <c r="E7948" s="23" t="s">
        <v>32837</v>
      </c>
      <c r="F7948" s="23" t="s">
        <v>6571</v>
      </c>
      <c r="G7948" s="23">
        <v>2007.0</v>
      </c>
      <c r="H7948" s="23" t="s">
        <v>36603</v>
      </c>
      <c r="I7948" s="243" t="s">
        <v>36622</v>
      </c>
      <c r="J7948" s="22" t="s">
        <v>125</v>
      </c>
      <c r="K7948" s="23" t="s">
        <v>56</v>
      </c>
      <c r="L7948" s="43" t="s">
        <v>36623</v>
      </c>
      <c r="M7948" s="44"/>
      <c r="N7948" s="44"/>
      <c r="O7948" s="44"/>
      <c r="P7948" s="44"/>
      <c r="Q7948" s="44"/>
      <c r="R7948" s="44"/>
      <c r="S7948" s="44"/>
      <c r="T7948" s="45"/>
      <c r="U7948" s="135" t="str">
        <f>HYPERLINK("https://www.ncbi.nlm.nih.gov/pubmed/20204084","PubMed")</f>
        <v>PubMed</v>
      </c>
      <c r="V7948" s="30"/>
      <c r="W7948" s="49"/>
      <c r="X7948" s="49"/>
      <c r="Y7948" s="35"/>
      <c r="Z7948" s="35"/>
      <c r="AA7948" s="35"/>
      <c r="AB7948" s="35"/>
      <c r="AC7948" s="35"/>
      <c r="AD7948" s="35"/>
      <c r="AE7948" s="35"/>
      <c r="AF7948" s="35"/>
      <c r="AG7948" s="35"/>
      <c r="AH7948" s="35"/>
      <c r="AI7948" s="35"/>
      <c r="AJ7948" s="35"/>
      <c r="AK7948" s="35"/>
      <c r="AL7948" s="35"/>
    </row>
    <row r="7949">
      <c r="A7949" s="1"/>
      <c r="B7949" s="19" t="s">
        <v>6113</v>
      </c>
      <c r="C7949" s="76" t="s">
        <v>2036</v>
      </c>
      <c r="D7949" s="47"/>
      <c r="E7949" s="22" t="s">
        <v>36624</v>
      </c>
      <c r="F7949" s="22" t="s">
        <v>2105</v>
      </c>
      <c r="G7949" s="23">
        <v>2005.0</v>
      </c>
      <c r="H7949" s="22" t="s">
        <v>5489</v>
      </c>
      <c r="I7949" s="24" t="s">
        <v>36625</v>
      </c>
      <c r="J7949" s="22" t="s">
        <v>125</v>
      </c>
      <c r="K7949" s="23"/>
      <c r="L7949" s="329" t="s">
        <v>36626</v>
      </c>
      <c r="M7949" s="44"/>
      <c r="N7949" s="44"/>
      <c r="O7949" s="44"/>
      <c r="P7949" s="44"/>
      <c r="Q7949" s="44"/>
      <c r="R7949" s="44"/>
      <c r="S7949" s="44"/>
      <c r="T7949" s="45"/>
      <c r="U7949" s="38" t="str">
        <f>HYPERLINK("https://www.ncbi.nlm.nih.gov/pubmed/15841638","PubMed")</f>
        <v>PubMed</v>
      </c>
      <c r="V7949" s="30"/>
      <c r="W7949" s="49"/>
      <c r="X7949" s="49"/>
      <c r="Y7949" s="35"/>
      <c r="Z7949" s="35"/>
      <c r="AA7949" s="35"/>
      <c r="AB7949" s="35"/>
      <c r="AC7949" s="35"/>
      <c r="AD7949" s="35"/>
      <c r="AE7949" s="35"/>
      <c r="AF7949" s="35"/>
      <c r="AG7949" s="35"/>
      <c r="AH7949" s="35"/>
      <c r="AI7949" s="35"/>
      <c r="AJ7949" s="35"/>
      <c r="AK7949" s="35"/>
      <c r="AL7949" s="35"/>
    </row>
    <row r="7950">
      <c r="A7950" s="1"/>
      <c r="B7950" s="19" t="s">
        <v>6113</v>
      </c>
      <c r="C7950" s="76" t="s">
        <v>2036</v>
      </c>
      <c r="D7950" s="47"/>
      <c r="E7950" s="22" t="s">
        <v>36627</v>
      </c>
      <c r="F7950" s="22" t="s">
        <v>1386</v>
      </c>
      <c r="G7950" s="23">
        <v>2005.0</v>
      </c>
      <c r="H7950" s="22" t="s">
        <v>15361</v>
      </c>
      <c r="I7950" s="24" t="s">
        <v>36628</v>
      </c>
      <c r="J7950" s="22" t="s">
        <v>125</v>
      </c>
      <c r="K7950" s="23"/>
      <c r="L7950" s="167" t="s">
        <v>36629</v>
      </c>
      <c r="M7950" s="44"/>
      <c r="N7950" s="44"/>
      <c r="O7950" s="44"/>
      <c r="P7950" s="44"/>
      <c r="Q7950" s="44"/>
      <c r="R7950" s="44"/>
      <c r="S7950" s="44"/>
      <c r="T7950" s="45"/>
      <c r="U7950" s="38" t="str">
        <f>HYPERLINK("https://www.ncbi.nlm.nih.gov/pubmed/16387711","PubMed")</f>
        <v>PubMed</v>
      </c>
      <c r="V7950" s="30"/>
      <c r="W7950" s="49"/>
      <c r="X7950" s="49"/>
      <c r="Y7950" s="35"/>
      <c r="Z7950" s="35"/>
      <c r="AA7950" s="35"/>
      <c r="AB7950" s="35"/>
      <c r="AC7950" s="35"/>
      <c r="AD7950" s="35"/>
      <c r="AE7950" s="35"/>
      <c r="AF7950" s="35"/>
      <c r="AG7950" s="35"/>
      <c r="AH7950" s="35"/>
      <c r="AI7950" s="35"/>
      <c r="AJ7950" s="35"/>
      <c r="AK7950" s="35"/>
      <c r="AL7950" s="35"/>
    </row>
    <row r="7951">
      <c r="A7951" s="1"/>
      <c r="B7951" s="19" t="s">
        <v>6113</v>
      </c>
      <c r="C7951" s="76" t="s">
        <v>2036</v>
      </c>
      <c r="D7951" s="47"/>
      <c r="E7951" s="22" t="s">
        <v>36630</v>
      </c>
      <c r="F7951" s="22" t="s">
        <v>36631</v>
      </c>
      <c r="G7951" s="23">
        <v>2004.0</v>
      </c>
      <c r="H7951" s="22" t="s">
        <v>658</v>
      </c>
      <c r="I7951" s="24" t="s">
        <v>36632</v>
      </c>
      <c r="J7951" s="23" t="s">
        <v>1078</v>
      </c>
      <c r="K7951" s="23"/>
      <c r="L7951" s="43" t="s">
        <v>36633</v>
      </c>
      <c r="M7951" s="44"/>
      <c r="N7951" s="44"/>
      <c r="O7951" s="44"/>
      <c r="P7951" s="44"/>
      <c r="Q7951" s="44"/>
      <c r="R7951" s="44"/>
      <c r="S7951" s="44"/>
      <c r="T7951" s="45"/>
      <c r="U7951" s="38" t="str">
        <f>HYPERLINK("https://www.ncbi.nlm.nih.gov/pubmed/15315732","PubMed")</f>
        <v>PubMed</v>
      </c>
      <c r="V7951" s="30"/>
      <c r="W7951" s="49"/>
      <c r="X7951" s="49"/>
      <c r="Y7951" s="35"/>
      <c r="Z7951" s="35"/>
      <c r="AA7951" s="35"/>
      <c r="AB7951" s="35"/>
      <c r="AC7951" s="35"/>
      <c r="AD7951" s="35"/>
      <c r="AE7951" s="35"/>
      <c r="AF7951" s="35"/>
      <c r="AG7951" s="35"/>
      <c r="AH7951" s="35"/>
      <c r="AI7951" s="35"/>
      <c r="AJ7951" s="35"/>
      <c r="AK7951" s="35"/>
      <c r="AL7951" s="35"/>
    </row>
    <row r="7952">
      <c r="A7952" s="1"/>
      <c r="B7952" s="19" t="s">
        <v>6113</v>
      </c>
      <c r="C7952" s="158" t="s">
        <v>2036</v>
      </c>
      <c r="D7952" s="47"/>
      <c r="E7952" s="421" t="s">
        <v>32502</v>
      </c>
      <c r="F7952" s="22" t="s">
        <v>6630</v>
      </c>
      <c r="G7952" s="23">
        <v>2002.0</v>
      </c>
      <c r="H7952" s="22" t="s">
        <v>91</v>
      </c>
      <c r="I7952" s="24" t="s">
        <v>36634</v>
      </c>
      <c r="J7952" s="22" t="s">
        <v>3892</v>
      </c>
      <c r="K7952" s="22"/>
      <c r="L7952" s="41" t="s">
        <v>36635</v>
      </c>
      <c r="U7952" s="38" t="str">
        <f>HYPERLINK("https://www.ncbi.nlm.nih.gov/pubmed/12143832","PubMed")</f>
        <v>PubMed</v>
      </c>
      <c r="V7952" s="50"/>
      <c r="W7952" s="49"/>
      <c r="X7952" s="49"/>
      <c r="Y7952" s="35"/>
      <c r="Z7952" s="35"/>
      <c r="AA7952" s="35"/>
      <c r="AB7952" s="35"/>
      <c r="AC7952" s="35"/>
      <c r="AD7952" s="35"/>
      <c r="AE7952" s="35"/>
      <c r="AF7952" s="35"/>
      <c r="AG7952" s="35"/>
      <c r="AH7952" s="35"/>
      <c r="AI7952" s="35"/>
      <c r="AJ7952" s="35"/>
      <c r="AK7952" s="35"/>
      <c r="AL7952" s="35"/>
    </row>
    <row r="7953">
      <c r="A7953" s="1"/>
      <c r="B7953" s="19" t="s">
        <v>6113</v>
      </c>
      <c r="C7953" s="76" t="s">
        <v>2036</v>
      </c>
      <c r="D7953" s="47"/>
      <c r="E7953" s="421" t="s">
        <v>36636</v>
      </c>
      <c r="F7953" s="22" t="s">
        <v>36637</v>
      </c>
      <c r="G7953" s="23">
        <v>2001.0</v>
      </c>
      <c r="H7953" s="22" t="s">
        <v>22335</v>
      </c>
      <c r="I7953" s="24" t="s">
        <v>36638</v>
      </c>
      <c r="J7953" s="22" t="s">
        <v>649</v>
      </c>
      <c r="K7953" s="22"/>
      <c r="L7953" s="103" t="s">
        <v>36639</v>
      </c>
      <c r="U7953" s="29" t="s">
        <v>61</v>
      </c>
      <c r="V7953" s="50"/>
      <c r="W7953" s="49"/>
      <c r="X7953" s="49"/>
      <c r="Y7953" s="35"/>
      <c r="Z7953" s="35"/>
      <c r="AA7953" s="35"/>
      <c r="AB7953" s="35"/>
      <c r="AC7953" s="35"/>
      <c r="AD7953" s="35"/>
      <c r="AE7953" s="35"/>
      <c r="AF7953" s="35"/>
      <c r="AG7953" s="35"/>
      <c r="AH7953" s="35"/>
      <c r="AI7953" s="35"/>
      <c r="AJ7953" s="35"/>
      <c r="AK7953" s="35"/>
      <c r="AL7953" s="35"/>
    </row>
    <row r="7954">
      <c r="A7954" s="1"/>
      <c r="B7954" s="19" t="s">
        <v>6113</v>
      </c>
      <c r="C7954" s="76" t="s">
        <v>2036</v>
      </c>
      <c r="D7954" s="47"/>
      <c r="E7954" s="421" t="s">
        <v>32502</v>
      </c>
      <c r="F7954" s="22" t="s">
        <v>6630</v>
      </c>
      <c r="G7954" s="23">
        <v>2000.0</v>
      </c>
      <c r="H7954" s="22" t="s">
        <v>91</v>
      </c>
      <c r="I7954" s="24" t="s">
        <v>36640</v>
      </c>
      <c r="J7954" s="22" t="s">
        <v>649</v>
      </c>
      <c r="K7954" s="22"/>
      <c r="L7954" s="238" t="s">
        <v>36641</v>
      </c>
      <c r="M7954" s="44"/>
      <c r="N7954" s="44"/>
      <c r="O7954" s="44"/>
      <c r="P7954" s="44"/>
      <c r="Q7954" s="44"/>
      <c r="R7954" s="44"/>
      <c r="S7954" s="44"/>
      <c r="T7954" s="45"/>
      <c r="U7954" s="38" t="str">
        <f>HYPERLINK("https://link.springer.com/article/10.1007/s101030050053","Springer")</f>
        <v>Springer</v>
      </c>
      <c r="V7954" s="50"/>
      <c r="W7954" s="49"/>
      <c r="X7954" s="49"/>
      <c r="Y7954" s="35"/>
      <c r="Z7954" s="35"/>
      <c r="AA7954" s="35"/>
      <c r="AB7954" s="35"/>
      <c r="AC7954" s="35"/>
      <c r="AD7954" s="35"/>
      <c r="AE7954" s="35"/>
      <c r="AF7954" s="35"/>
      <c r="AG7954" s="35"/>
      <c r="AH7954" s="35"/>
      <c r="AI7954" s="35"/>
      <c r="AJ7954" s="35"/>
      <c r="AK7954" s="35"/>
      <c r="AL7954" s="35"/>
    </row>
    <row r="7955">
      <c r="A7955" s="457"/>
      <c r="B7955" s="19" t="s">
        <v>6113</v>
      </c>
      <c r="C7955" s="76" t="s">
        <v>2036</v>
      </c>
      <c r="D7955" s="47"/>
      <c r="E7955" s="22" t="s">
        <v>36642</v>
      </c>
      <c r="F7955" s="22" t="s">
        <v>36643</v>
      </c>
      <c r="G7955" s="23">
        <v>1996.0</v>
      </c>
      <c r="H7955" s="22" t="s">
        <v>19819</v>
      </c>
      <c r="I7955" s="24" t="s">
        <v>36644</v>
      </c>
      <c r="J7955" s="22" t="s">
        <v>125</v>
      </c>
      <c r="K7955" s="22"/>
      <c r="L7955" s="43" t="s">
        <v>36645</v>
      </c>
      <c r="M7955" s="44"/>
      <c r="N7955" s="44"/>
      <c r="O7955" s="44"/>
      <c r="P7955" s="44"/>
      <c r="Q7955" s="44"/>
      <c r="R7955" s="44"/>
      <c r="S7955" s="44"/>
      <c r="T7955" s="45"/>
      <c r="U7955" s="38" t="str">
        <f>HYPERLINK("https://www.ncbi.nlm.nih.gov/pubmed/8783057","PubMed")</f>
        <v>PubMed</v>
      </c>
      <c r="V7955" s="50"/>
      <c r="W7955" s="49"/>
      <c r="X7955" s="49"/>
      <c r="Y7955" s="35"/>
      <c r="Z7955" s="35"/>
      <c r="AA7955" s="35"/>
      <c r="AB7955" s="35"/>
      <c r="AC7955" s="35"/>
      <c r="AD7955" s="35"/>
      <c r="AE7955" s="35"/>
      <c r="AF7955" s="35"/>
      <c r="AG7955" s="35"/>
      <c r="AH7955" s="35"/>
      <c r="AI7955" s="35"/>
      <c r="AJ7955" s="35"/>
      <c r="AK7955" s="35"/>
      <c r="AL7955" s="35"/>
    </row>
    <row r="7956">
      <c r="A7956" s="1"/>
      <c r="B7956" s="19" t="s">
        <v>6113</v>
      </c>
      <c r="C7956" s="76" t="s">
        <v>2036</v>
      </c>
      <c r="D7956" s="47"/>
      <c r="E7956" s="22" t="s">
        <v>36646</v>
      </c>
      <c r="F7956" s="22" t="s">
        <v>14330</v>
      </c>
      <c r="G7956" s="23">
        <v>1989.0</v>
      </c>
      <c r="H7956" s="22" t="s">
        <v>292</v>
      </c>
      <c r="I7956" s="24" t="s">
        <v>36647</v>
      </c>
      <c r="J7956" s="22" t="s">
        <v>125</v>
      </c>
      <c r="K7956" s="22"/>
      <c r="L7956" s="43"/>
      <c r="M7956" s="44"/>
      <c r="N7956" s="44"/>
      <c r="O7956" s="44"/>
      <c r="P7956" s="44"/>
      <c r="Q7956" s="44"/>
      <c r="R7956" s="44"/>
      <c r="S7956" s="44"/>
      <c r="T7956" s="45"/>
      <c r="U7956" s="38" t="str">
        <f>HYPERLINK("https://www.jstage.jst.go.jp/article/islsm/1/1/1_89-RE-01/_article/-char/en","J-STAGE")</f>
        <v>J-STAGE</v>
      </c>
      <c r="V7956" s="50"/>
      <c r="W7956" s="49"/>
      <c r="X7956" s="49"/>
      <c r="Y7956" s="35"/>
      <c r="Z7956" s="35"/>
      <c r="AA7956" s="35"/>
      <c r="AB7956" s="35"/>
      <c r="AC7956" s="35"/>
      <c r="AD7956" s="35"/>
      <c r="AE7956" s="35"/>
      <c r="AF7956" s="35"/>
      <c r="AG7956" s="35"/>
      <c r="AH7956" s="35"/>
      <c r="AI7956" s="35"/>
      <c r="AJ7956" s="35"/>
      <c r="AK7956" s="35"/>
      <c r="AL7956" s="35"/>
    </row>
    <row r="7957">
      <c r="A7957" s="1"/>
      <c r="B7957" s="19" t="s">
        <v>6113</v>
      </c>
      <c r="C7957" s="76" t="s">
        <v>2036</v>
      </c>
      <c r="D7957" s="47"/>
      <c r="E7957" s="22" t="s">
        <v>36646</v>
      </c>
      <c r="F7957" s="22" t="s">
        <v>36648</v>
      </c>
      <c r="G7957" s="23">
        <v>1988.0</v>
      </c>
      <c r="H7957" s="22" t="s">
        <v>13919</v>
      </c>
      <c r="I7957" s="24" t="s">
        <v>36649</v>
      </c>
      <c r="J7957" s="22" t="s">
        <v>125</v>
      </c>
      <c r="K7957" s="22"/>
      <c r="L7957" s="202"/>
      <c r="U7957" s="38" t="str">
        <f>HYPERLINK("https://link.springer.com/chapter/10.1007%2F978-3-642-72870-9_181","Springer")</f>
        <v>Springer</v>
      </c>
      <c r="V7957" s="50"/>
      <c r="W7957" s="49"/>
      <c r="X7957" s="49"/>
      <c r="Y7957" s="35"/>
      <c r="Z7957" s="35"/>
      <c r="AA7957" s="35"/>
      <c r="AB7957" s="35"/>
      <c r="AC7957" s="35"/>
      <c r="AD7957" s="35"/>
      <c r="AE7957" s="35"/>
      <c r="AF7957" s="35"/>
      <c r="AG7957" s="35"/>
      <c r="AH7957" s="35"/>
      <c r="AI7957" s="35"/>
      <c r="AJ7957" s="35"/>
      <c r="AK7957" s="35"/>
      <c r="AL7957" s="35"/>
    </row>
    <row r="7958">
      <c r="A7958" s="457"/>
      <c r="B7958" s="19" t="s">
        <v>6113</v>
      </c>
      <c r="C7958" s="76" t="s">
        <v>2036</v>
      </c>
      <c r="D7958" s="47"/>
      <c r="E7958" s="22" t="s">
        <v>5242</v>
      </c>
      <c r="F7958" s="22" t="s">
        <v>36235</v>
      </c>
      <c r="G7958" s="23">
        <v>1987.0</v>
      </c>
      <c r="H7958" s="22" t="s">
        <v>36650</v>
      </c>
      <c r="I7958" s="24" t="s">
        <v>36651</v>
      </c>
      <c r="J7958" s="22" t="s">
        <v>125</v>
      </c>
      <c r="K7958" s="22"/>
      <c r="L7958" s="132" t="s">
        <v>36652</v>
      </c>
      <c r="U7958" s="38" t="str">
        <f>HYPERLINK("https://www.ncbi.nlm.nih.gov/pubmed/3805475","PubMed")</f>
        <v>PubMed</v>
      </c>
      <c r="V7958" s="50"/>
      <c r="W7958" s="49"/>
      <c r="X7958" s="49"/>
      <c r="Y7958" s="35"/>
      <c r="Z7958" s="35"/>
      <c r="AA7958" s="35"/>
      <c r="AB7958" s="35"/>
      <c r="AC7958" s="35"/>
      <c r="AD7958" s="35"/>
      <c r="AE7958" s="35"/>
      <c r="AF7958" s="35"/>
      <c r="AG7958" s="35"/>
      <c r="AH7958" s="35"/>
      <c r="AI7958" s="35"/>
      <c r="AJ7958" s="35"/>
      <c r="AK7958" s="35"/>
      <c r="AL7958" s="35"/>
    </row>
    <row r="7959">
      <c r="A7959" s="1"/>
      <c r="B7959" s="19" t="s">
        <v>6113</v>
      </c>
      <c r="C7959" s="158" t="s">
        <v>36653</v>
      </c>
      <c r="D7959" s="47"/>
      <c r="E7959" s="22" t="s">
        <v>36654</v>
      </c>
      <c r="F7959" s="22" t="s">
        <v>5973</v>
      </c>
      <c r="G7959" s="23">
        <v>1995.0</v>
      </c>
      <c r="H7959" s="22" t="s">
        <v>32946</v>
      </c>
      <c r="I7959" s="24" t="s">
        <v>36655</v>
      </c>
      <c r="J7959" s="22" t="s">
        <v>34334</v>
      </c>
      <c r="K7959" s="22" t="s">
        <v>36656</v>
      </c>
      <c r="L7959" s="36">
        <v>633.0</v>
      </c>
      <c r="M7959" s="36">
        <v>5.0</v>
      </c>
      <c r="N7959" s="36"/>
      <c r="O7959" s="36"/>
      <c r="P7959" s="37" t="s">
        <v>6531</v>
      </c>
      <c r="Q7959" s="36"/>
      <c r="R7959" s="36">
        <v>900.0</v>
      </c>
      <c r="S7959" s="36"/>
      <c r="T7959" s="42" t="s">
        <v>36657</v>
      </c>
      <c r="U7959" s="38" t="str">
        <f>HYPERLINK("https://link.springer.com/article/10.1007/BF00168894","Springer")</f>
        <v>Springer</v>
      </c>
      <c r="V7959" s="50"/>
      <c r="W7959" s="49"/>
      <c r="X7959" s="49"/>
      <c r="Y7959" s="35"/>
      <c r="Z7959" s="35"/>
      <c r="AA7959" s="35"/>
      <c r="AB7959" s="35"/>
      <c r="AC7959" s="35"/>
      <c r="AD7959" s="35"/>
      <c r="AE7959" s="35"/>
      <c r="AF7959" s="35"/>
      <c r="AG7959" s="35"/>
      <c r="AH7959" s="35"/>
      <c r="AI7959" s="35"/>
      <c r="AJ7959" s="35"/>
      <c r="AK7959" s="35"/>
      <c r="AL7959" s="35"/>
    </row>
    <row r="7960">
      <c r="A7960" s="1"/>
      <c r="B7960" s="19" t="s">
        <v>6113</v>
      </c>
      <c r="C7960" s="158" t="s">
        <v>36658</v>
      </c>
      <c r="D7960" s="47"/>
      <c r="E7960" s="22" t="s">
        <v>36659</v>
      </c>
      <c r="F7960" s="22" t="s">
        <v>6521</v>
      </c>
      <c r="G7960" s="23">
        <v>2010.0</v>
      </c>
      <c r="H7960" s="22" t="s">
        <v>658</v>
      </c>
      <c r="I7960" s="24" t="s">
        <v>36660</v>
      </c>
      <c r="J7960" s="23" t="s">
        <v>55</v>
      </c>
      <c r="K7960" s="23" t="s">
        <v>36661</v>
      </c>
      <c r="L7960" s="36">
        <v>635.0</v>
      </c>
      <c r="M7960" s="36">
        <v>15.0</v>
      </c>
      <c r="N7960" s="36"/>
      <c r="O7960" s="36"/>
      <c r="P7960" s="37"/>
      <c r="Q7960" s="36"/>
      <c r="R7960" s="36"/>
      <c r="S7960" s="36"/>
      <c r="T7960" s="28" t="s">
        <v>36662</v>
      </c>
      <c r="U7960" s="38" t="str">
        <f>HYPERLINK("https://www.ncbi.nlm.nih.gov/pubmed/19743961","PubMed")</f>
        <v>PubMed</v>
      </c>
      <c r="V7960" s="50"/>
      <c r="W7960" s="49"/>
      <c r="X7960" s="49"/>
      <c r="Y7960" s="35"/>
      <c r="Z7960" s="35"/>
      <c r="AA7960" s="35"/>
      <c r="AB7960" s="35"/>
      <c r="AC7960" s="35"/>
      <c r="AD7960" s="35"/>
      <c r="AE7960" s="35"/>
      <c r="AF7960" s="35"/>
      <c r="AG7960" s="35"/>
      <c r="AH7960" s="35"/>
      <c r="AI7960" s="35"/>
      <c r="AJ7960" s="35"/>
      <c r="AK7960" s="35"/>
      <c r="AL7960" s="35"/>
    </row>
    <row r="7961">
      <c r="A7961" s="1"/>
      <c r="B7961" s="19" t="s">
        <v>6113</v>
      </c>
      <c r="C7961" s="158" t="s">
        <v>36663</v>
      </c>
      <c r="D7961" s="47"/>
      <c r="E7961" s="421" t="s">
        <v>36664</v>
      </c>
      <c r="F7961" s="22" t="s">
        <v>36665</v>
      </c>
      <c r="G7961" s="23">
        <v>1997.0</v>
      </c>
      <c r="H7961" s="22" t="s">
        <v>292</v>
      </c>
      <c r="I7961" s="24" t="s">
        <v>36666</v>
      </c>
      <c r="J7961" s="22" t="s">
        <v>36667</v>
      </c>
      <c r="K7961" s="22" t="s">
        <v>36668</v>
      </c>
      <c r="L7961" s="36">
        <v>780.0</v>
      </c>
      <c r="M7961" s="36">
        <v>25.0</v>
      </c>
      <c r="N7961" s="36"/>
      <c r="O7961" s="36"/>
      <c r="P7961" s="37"/>
      <c r="Q7961" s="36" t="s">
        <v>36669</v>
      </c>
      <c r="R7961" s="36"/>
      <c r="S7961" s="36"/>
      <c r="T7961" s="28" t="s">
        <v>36670</v>
      </c>
      <c r="U7961" s="38" t="str">
        <f>HYPERLINK("https://www.jstage.jst.go.jp/article/islsm/9/4/9_4_159/_article/-char/en","J-STAGE")</f>
        <v>J-STAGE</v>
      </c>
      <c r="V7961" s="50"/>
      <c r="W7961" s="49"/>
      <c r="X7961" s="49"/>
      <c r="Y7961" s="35"/>
      <c r="Z7961" s="35"/>
      <c r="AA7961" s="35"/>
      <c r="AB7961" s="35"/>
      <c r="AC7961" s="35"/>
      <c r="AD7961" s="35"/>
      <c r="AE7961" s="35"/>
      <c r="AF7961" s="35"/>
      <c r="AG7961" s="35"/>
      <c r="AH7961" s="35"/>
      <c r="AI7961" s="35"/>
      <c r="AJ7961" s="35"/>
      <c r="AK7961" s="35"/>
      <c r="AL7961" s="35"/>
    </row>
    <row r="7962">
      <c r="A7962" s="1"/>
      <c r="B7962" s="19" t="s">
        <v>6113</v>
      </c>
      <c r="C7962" s="158" t="s">
        <v>36671</v>
      </c>
      <c r="D7962" s="47"/>
      <c r="E7962" s="421" t="s">
        <v>40</v>
      </c>
      <c r="F7962" s="22" t="s">
        <v>41</v>
      </c>
      <c r="G7962" s="23">
        <v>2022.0</v>
      </c>
      <c r="H7962" s="22" t="s">
        <v>4975</v>
      </c>
      <c r="I7962" s="24" t="s">
        <v>36672</v>
      </c>
      <c r="J7962" s="22" t="s">
        <v>3892</v>
      </c>
      <c r="K7962" s="22"/>
      <c r="L7962" s="105" t="s">
        <v>36673</v>
      </c>
      <c r="M7962" s="44"/>
      <c r="N7962" s="44"/>
      <c r="O7962" s="44"/>
      <c r="P7962" s="44"/>
      <c r="Q7962" s="44"/>
      <c r="R7962" s="44"/>
      <c r="S7962" s="44"/>
      <c r="T7962" s="45"/>
      <c r="U7962" s="38" t="s">
        <v>61</v>
      </c>
      <c r="V7962" s="50"/>
      <c r="W7962" s="49"/>
      <c r="X7962" s="49"/>
      <c r="Y7962" s="35"/>
      <c r="Z7962" s="35"/>
      <c r="AA7962" s="35"/>
      <c r="AB7962" s="35"/>
      <c r="AC7962" s="35"/>
      <c r="AD7962" s="35"/>
      <c r="AE7962" s="35"/>
      <c r="AF7962" s="35"/>
      <c r="AG7962" s="35"/>
      <c r="AH7962" s="35"/>
      <c r="AI7962" s="35"/>
      <c r="AJ7962" s="35"/>
      <c r="AK7962" s="35"/>
      <c r="AL7962" s="35"/>
    </row>
    <row r="7963">
      <c r="A7963" s="1"/>
      <c r="B7963" s="19" t="s">
        <v>6113</v>
      </c>
      <c r="C7963" s="158" t="s">
        <v>36674</v>
      </c>
      <c r="D7963" s="47"/>
      <c r="E7963" s="22" t="s">
        <v>36675</v>
      </c>
      <c r="F7963" s="23" t="s">
        <v>36676</v>
      </c>
      <c r="G7963" s="23">
        <v>2012.0</v>
      </c>
      <c r="H7963" s="22" t="s">
        <v>7886</v>
      </c>
      <c r="I7963" s="24" t="s">
        <v>36677</v>
      </c>
      <c r="J7963" s="22" t="s">
        <v>36678</v>
      </c>
      <c r="K7963" s="23" t="s">
        <v>36679</v>
      </c>
      <c r="L7963" s="36" t="s">
        <v>32841</v>
      </c>
      <c r="M7963" s="36"/>
      <c r="N7963" s="36"/>
      <c r="O7963" s="36"/>
      <c r="P7963" s="37"/>
      <c r="Q7963" s="36"/>
      <c r="R7963" s="36"/>
      <c r="S7963" s="36"/>
      <c r="T7963" s="28" t="s">
        <v>36680</v>
      </c>
      <c r="U7963" s="38" t="str">
        <f>HYPERLINK("https://www.ncbi.nlm.nih.gov/pubmed/22123525","PubMed")</f>
        <v>PubMed</v>
      </c>
      <c r="V7963" s="50"/>
      <c r="W7963" s="49"/>
      <c r="X7963" s="49"/>
      <c r="Y7963" s="35"/>
      <c r="Z7963" s="35"/>
      <c r="AA7963" s="35"/>
      <c r="AB7963" s="35"/>
      <c r="AC7963" s="35"/>
      <c r="AD7963" s="35"/>
      <c r="AE7963" s="35"/>
      <c r="AF7963" s="35"/>
      <c r="AG7963" s="35"/>
      <c r="AH7963" s="35"/>
      <c r="AI7963" s="35"/>
      <c r="AJ7963" s="35"/>
      <c r="AK7963" s="35"/>
      <c r="AL7963" s="35"/>
    </row>
    <row r="7964">
      <c r="A7964" s="1"/>
      <c r="B7964" s="157" t="s">
        <v>6113</v>
      </c>
      <c r="C7964" s="158" t="s">
        <v>36681</v>
      </c>
      <c r="D7964" s="47"/>
      <c r="E7964" s="22" t="s">
        <v>30440</v>
      </c>
      <c r="F7964" s="23" t="s">
        <v>408</v>
      </c>
      <c r="G7964" s="23">
        <v>2023.0</v>
      </c>
      <c r="H7964" s="22" t="s">
        <v>36682</v>
      </c>
      <c r="I7964" s="24" t="s">
        <v>36683</v>
      </c>
      <c r="J7964" s="23" t="s">
        <v>55</v>
      </c>
      <c r="K7964" s="23"/>
      <c r="L7964" s="36"/>
      <c r="M7964" s="36"/>
      <c r="N7964" s="36"/>
      <c r="O7964" s="36"/>
      <c r="P7964" s="37" t="s">
        <v>33415</v>
      </c>
      <c r="Q7964" s="36"/>
      <c r="R7964" s="36"/>
      <c r="S7964" s="36"/>
      <c r="T7964" s="28" t="s">
        <v>36684</v>
      </c>
      <c r="U7964" s="38" t="s">
        <v>61</v>
      </c>
      <c r="V7964" s="50"/>
      <c r="W7964" s="49"/>
      <c r="X7964" s="49"/>
      <c r="Y7964" s="35"/>
      <c r="Z7964" s="35"/>
      <c r="AA7964" s="35"/>
      <c r="AB7964" s="35"/>
      <c r="AC7964" s="35"/>
      <c r="AD7964" s="35"/>
      <c r="AE7964" s="35"/>
      <c r="AF7964" s="35"/>
      <c r="AG7964" s="35"/>
      <c r="AH7964" s="35"/>
      <c r="AI7964" s="35"/>
      <c r="AJ7964" s="35"/>
      <c r="AK7964" s="35"/>
      <c r="AL7964" s="35"/>
    </row>
    <row r="7965">
      <c r="A7965" s="1"/>
      <c r="B7965" s="157" t="s">
        <v>6113</v>
      </c>
      <c r="C7965" s="158" t="s">
        <v>36360</v>
      </c>
      <c r="D7965" s="47"/>
      <c r="E7965" s="22" t="s">
        <v>36685</v>
      </c>
      <c r="F7965" s="23" t="s">
        <v>237</v>
      </c>
      <c r="G7965" s="23">
        <v>2021.0</v>
      </c>
      <c r="H7965" s="22" t="s">
        <v>35194</v>
      </c>
      <c r="I7965" s="24" t="s">
        <v>36686</v>
      </c>
      <c r="J7965" s="23" t="s">
        <v>2273</v>
      </c>
      <c r="K7965" s="23"/>
      <c r="L7965" s="36">
        <v>625.0</v>
      </c>
      <c r="M7965" s="36">
        <v>25.0</v>
      </c>
      <c r="N7965" s="36"/>
      <c r="O7965" s="36" t="s">
        <v>36687</v>
      </c>
      <c r="P7965" s="37" t="s">
        <v>254</v>
      </c>
      <c r="Q7965" s="36" t="s">
        <v>19517</v>
      </c>
      <c r="R7965" s="36"/>
      <c r="S7965" s="36" t="s">
        <v>36688</v>
      </c>
      <c r="T7965" s="28" t="s">
        <v>36689</v>
      </c>
      <c r="U7965" s="29" t="s">
        <v>61</v>
      </c>
      <c r="V7965" s="50"/>
      <c r="W7965" s="49"/>
      <c r="X7965" s="49"/>
      <c r="Y7965" s="35"/>
      <c r="Z7965" s="35"/>
      <c r="AA7965" s="35"/>
      <c r="AB7965" s="35"/>
      <c r="AC7965" s="35"/>
      <c r="AD7965" s="35"/>
      <c r="AE7965" s="35"/>
      <c r="AF7965" s="35"/>
      <c r="AG7965" s="35"/>
      <c r="AH7965" s="35"/>
      <c r="AI7965" s="35"/>
      <c r="AJ7965" s="35"/>
      <c r="AK7965" s="35"/>
      <c r="AL7965" s="35"/>
    </row>
    <row r="7966">
      <c r="A7966" s="18"/>
      <c r="B7966" s="157" t="s">
        <v>6113</v>
      </c>
      <c r="C7966" s="158" t="s">
        <v>36360</v>
      </c>
      <c r="D7966" s="159"/>
      <c r="E7966" s="23" t="s">
        <v>1110</v>
      </c>
      <c r="F7966" s="23" t="s">
        <v>323</v>
      </c>
      <c r="G7966" s="23">
        <v>2010.0</v>
      </c>
      <c r="H7966" s="23" t="s">
        <v>658</v>
      </c>
      <c r="I7966" s="243" t="s">
        <v>36690</v>
      </c>
      <c r="J7966" s="23" t="s">
        <v>55</v>
      </c>
      <c r="K7966" s="23"/>
      <c r="L7966" s="94">
        <v>780.0</v>
      </c>
      <c r="M7966" s="94" t="s">
        <v>36691</v>
      </c>
      <c r="N7966" s="94"/>
      <c r="O7966" s="416"/>
      <c r="P7966" s="94">
        <v>2.0</v>
      </c>
      <c r="Q7966" s="36" t="s">
        <v>4458</v>
      </c>
      <c r="R7966" s="94">
        <v>57.0</v>
      </c>
      <c r="S7966" s="94">
        <v>15.0</v>
      </c>
      <c r="T7966" s="54" t="s">
        <v>36692</v>
      </c>
      <c r="U7966" s="135" t="str">
        <f>HYPERLINK("https://www.ncbi.nlm.nih.gov/pubmed/19795994","PubMed")</f>
        <v>PubMed</v>
      </c>
      <c r="V7966" s="30"/>
      <c r="W7966" s="49"/>
      <c r="X7966" s="49"/>
      <c r="Y7966" s="35"/>
      <c r="Z7966" s="35"/>
      <c r="AA7966" s="35"/>
      <c r="AB7966" s="35"/>
      <c r="AC7966" s="35"/>
      <c r="AD7966" s="35"/>
      <c r="AE7966" s="35"/>
      <c r="AF7966" s="35"/>
      <c r="AG7966" s="35"/>
      <c r="AH7966" s="35"/>
      <c r="AI7966" s="35"/>
      <c r="AJ7966" s="35"/>
      <c r="AK7966" s="35"/>
      <c r="AL7966" s="35"/>
    </row>
    <row r="7967">
      <c r="A7967" s="1"/>
      <c r="B7967" s="19" t="s">
        <v>6113</v>
      </c>
      <c r="C7967" s="158" t="s">
        <v>36360</v>
      </c>
      <c r="D7967" s="47"/>
      <c r="E7967" s="22" t="s">
        <v>36693</v>
      </c>
      <c r="F7967" s="22" t="s">
        <v>5404</v>
      </c>
      <c r="G7967" s="23">
        <v>2010.0</v>
      </c>
      <c r="H7967" s="22" t="s">
        <v>13626</v>
      </c>
      <c r="I7967" s="24" t="s">
        <v>36694</v>
      </c>
      <c r="J7967" s="23" t="s">
        <v>55</v>
      </c>
      <c r="K7967" s="23"/>
      <c r="L7967" s="36">
        <v>810.0</v>
      </c>
      <c r="M7967" s="36">
        <v>100.0</v>
      </c>
      <c r="N7967" s="36"/>
      <c r="O7967" s="36">
        <v>15.0</v>
      </c>
      <c r="P7967" s="37"/>
      <c r="Q7967" s="36"/>
      <c r="R7967" s="36"/>
      <c r="S7967" s="36"/>
      <c r="T7967" s="28" t="s">
        <v>36695</v>
      </c>
      <c r="U7967" s="38" t="str">
        <f>HYPERLINK("https://www.ncbi.nlm.nih.gov/pubmed/20203347","PubMed")</f>
        <v>PubMed</v>
      </c>
      <c r="V7967" s="50"/>
      <c r="W7967" s="49"/>
      <c r="X7967" s="49"/>
      <c r="Y7967" s="35"/>
      <c r="Z7967" s="35"/>
      <c r="AA7967" s="35"/>
      <c r="AB7967" s="35"/>
      <c r="AC7967" s="35"/>
      <c r="AD7967" s="35"/>
      <c r="AE7967" s="35"/>
      <c r="AF7967" s="35"/>
      <c r="AG7967" s="35"/>
      <c r="AH7967" s="35"/>
      <c r="AI7967" s="35"/>
      <c r="AJ7967" s="35"/>
      <c r="AK7967" s="35"/>
      <c r="AL7967" s="35"/>
    </row>
    <row r="7968">
      <c r="A7968" s="18"/>
      <c r="B7968" s="157" t="s">
        <v>6113</v>
      </c>
      <c r="C7968" s="158" t="s">
        <v>36360</v>
      </c>
      <c r="D7968" s="159"/>
      <c r="E7968" s="23" t="s">
        <v>36696</v>
      </c>
      <c r="F7968" s="23" t="s">
        <v>358</v>
      </c>
      <c r="G7968" s="23">
        <v>2010.0</v>
      </c>
      <c r="H7968" s="23" t="s">
        <v>658</v>
      </c>
      <c r="I7968" s="243" t="s">
        <v>36697</v>
      </c>
      <c r="J7968" s="23" t="s">
        <v>55</v>
      </c>
      <c r="K7968" s="23"/>
      <c r="L7968" s="94">
        <v>670.0</v>
      </c>
      <c r="M7968" s="94"/>
      <c r="N7968" s="94"/>
      <c r="O7968" s="416"/>
      <c r="P7968" s="94" t="s">
        <v>32102</v>
      </c>
      <c r="Q7968" s="36"/>
      <c r="R7968" s="94"/>
      <c r="S7968" s="94"/>
      <c r="T7968" s="102" t="s">
        <v>36698</v>
      </c>
      <c r="U7968" s="135" t="str">
        <f>HYPERLINK("https://www.ncbi.nlm.nih.gov/pubmed/20932185","PubMed")</f>
        <v>PubMed</v>
      </c>
      <c r="V7968" s="30"/>
      <c r="W7968" s="49"/>
      <c r="X7968" s="49"/>
      <c r="Y7968" s="35"/>
      <c r="Z7968" s="35"/>
      <c r="AA7968" s="35"/>
      <c r="AB7968" s="35"/>
      <c r="AC7968" s="35"/>
      <c r="AD7968" s="35"/>
      <c r="AE7968" s="35"/>
      <c r="AF7968" s="35"/>
      <c r="AG7968" s="35"/>
      <c r="AH7968" s="35"/>
      <c r="AI7968" s="35"/>
      <c r="AJ7968" s="35"/>
      <c r="AK7968" s="35"/>
      <c r="AL7968" s="35"/>
    </row>
    <row r="7969">
      <c r="A7969" s="415"/>
      <c r="B7969" s="157" t="s">
        <v>6113</v>
      </c>
      <c r="C7969" s="158" t="s">
        <v>36360</v>
      </c>
      <c r="D7969" s="159"/>
      <c r="E7969" s="23" t="s">
        <v>36699</v>
      </c>
      <c r="F7969" s="23" t="s">
        <v>797</v>
      </c>
      <c r="G7969" s="23">
        <v>2007.0</v>
      </c>
      <c r="H7969" s="23" t="s">
        <v>658</v>
      </c>
      <c r="I7969" s="243" t="s">
        <v>36700</v>
      </c>
      <c r="J7969" s="23" t="s">
        <v>55</v>
      </c>
      <c r="K7969" s="23" t="s">
        <v>36701</v>
      </c>
      <c r="L7969" s="36" t="s">
        <v>1206</v>
      </c>
      <c r="M7969" s="36">
        <v>35.0</v>
      </c>
      <c r="N7969" s="36"/>
      <c r="O7969" s="36"/>
      <c r="P7969" s="37" t="s">
        <v>254</v>
      </c>
      <c r="Q7969" s="36" t="s">
        <v>280</v>
      </c>
      <c r="R7969" s="36"/>
      <c r="S7969" s="36">
        <v>2.0</v>
      </c>
      <c r="T7969" s="54" t="s">
        <v>36702</v>
      </c>
      <c r="U7969" s="135" t="str">
        <f>HYPERLINK("https://www.ncbi.nlm.nih.gov/pubmed/18158747","PubMed")</f>
        <v>PubMed</v>
      </c>
      <c r="V7969" s="30"/>
      <c r="W7969" s="49"/>
      <c r="X7969" s="49"/>
      <c r="Y7969" s="35"/>
      <c r="Z7969" s="35"/>
      <c r="AA7969" s="35"/>
      <c r="AB7969" s="35"/>
      <c r="AC7969" s="35"/>
      <c r="AD7969" s="35"/>
      <c r="AE7969" s="35"/>
      <c r="AF7969" s="35"/>
      <c r="AG7969" s="35"/>
      <c r="AH7969" s="35"/>
      <c r="AI7969" s="35"/>
      <c r="AJ7969" s="35"/>
      <c r="AK7969" s="35"/>
      <c r="AL7969" s="35"/>
    </row>
    <row r="7970">
      <c r="A7970" s="415"/>
      <c r="B7970" s="157" t="s">
        <v>6113</v>
      </c>
      <c r="C7970" s="158" t="s">
        <v>36360</v>
      </c>
      <c r="D7970" s="159"/>
      <c r="E7970" s="23" t="s">
        <v>36703</v>
      </c>
      <c r="F7970" s="23" t="s">
        <v>36704</v>
      </c>
      <c r="G7970" s="23">
        <v>2005.0</v>
      </c>
      <c r="H7970" s="23" t="s">
        <v>658</v>
      </c>
      <c r="I7970" s="243" t="s">
        <v>36705</v>
      </c>
      <c r="J7970" s="22" t="s">
        <v>20771</v>
      </c>
      <c r="K7970" s="23"/>
      <c r="L7970" s="52">
        <v>904.0</v>
      </c>
      <c r="M7970" s="52"/>
      <c r="N7970" s="52"/>
      <c r="O7970" s="52"/>
      <c r="P7970" s="189"/>
      <c r="Q7970" s="52"/>
      <c r="R7970" s="52"/>
      <c r="S7970" s="52"/>
      <c r="T7970" s="54" t="s">
        <v>36706</v>
      </c>
      <c r="U7970" s="135" t="str">
        <f>HYPERLINK("https://www.ncbi.nlm.nih.gov/pubmed/15782037","PubMed")</f>
        <v>PubMed</v>
      </c>
      <c r="V7970" s="30"/>
      <c r="W7970" s="49"/>
      <c r="X7970" s="49"/>
      <c r="Y7970" s="35"/>
      <c r="Z7970" s="35"/>
      <c r="AA7970" s="35"/>
      <c r="AB7970" s="35"/>
      <c r="AC7970" s="35"/>
      <c r="AD7970" s="35"/>
      <c r="AE7970" s="35"/>
      <c r="AF7970" s="35"/>
      <c r="AG7970" s="35"/>
      <c r="AH7970" s="35"/>
      <c r="AI7970" s="35"/>
      <c r="AJ7970" s="35"/>
      <c r="AK7970" s="35"/>
      <c r="AL7970" s="35"/>
    </row>
    <row r="7971">
      <c r="A7971" s="415"/>
      <c r="B7971" s="466" t="s">
        <v>6113</v>
      </c>
      <c r="C7971" s="387" t="s">
        <v>36360</v>
      </c>
      <c r="D7971" s="159"/>
      <c r="E7971" s="23" t="s">
        <v>36707</v>
      </c>
      <c r="F7971" s="23" t="s">
        <v>1773</v>
      </c>
      <c r="G7971" s="23">
        <v>1984.0</v>
      </c>
      <c r="H7971" s="23" t="s">
        <v>2047</v>
      </c>
      <c r="I7971" s="243" t="s">
        <v>36708</v>
      </c>
      <c r="J7971" s="23" t="s">
        <v>29110</v>
      </c>
      <c r="K7971" s="23"/>
      <c r="L7971" s="52"/>
      <c r="M7971" s="52"/>
      <c r="N7971" s="52"/>
      <c r="O7971" s="52"/>
      <c r="P7971" s="189"/>
      <c r="Q7971" s="52"/>
      <c r="R7971" s="52"/>
      <c r="S7971" s="52"/>
      <c r="T7971" s="103" t="s">
        <v>36709</v>
      </c>
      <c r="U7971" s="135" t="str">
        <f>HYPERLINK("https://www.ncbi.nlm.nih.gov/pubmed/6711990","PubMed")</f>
        <v>PubMed</v>
      </c>
      <c r="V7971" s="30"/>
      <c r="W7971" s="49"/>
      <c r="X7971" s="49"/>
      <c r="Y7971" s="35"/>
      <c r="Z7971" s="35"/>
      <c r="AA7971" s="35"/>
      <c r="AB7971" s="35"/>
      <c r="AC7971" s="35"/>
      <c r="AD7971" s="35"/>
      <c r="AE7971" s="35"/>
      <c r="AF7971" s="35"/>
      <c r="AG7971" s="35"/>
      <c r="AH7971" s="35"/>
      <c r="AI7971" s="35"/>
      <c r="AJ7971" s="35"/>
      <c r="AK7971" s="35"/>
      <c r="AL7971" s="35"/>
    </row>
    <row r="7972">
      <c r="A7972" s="415"/>
      <c r="B7972" s="19" t="s">
        <v>6113</v>
      </c>
      <c r="C7972" s="471" t="s">
        <v>36710</v>
      </c>
      <c r="D7972" s="159"/>
      <c r="E7972" s="23" t="s">
        <v>36711</v>
      </c>
      <c r="F7972" s="23" t="s">
        <v>36712</v>
      </c>
      <c r="G7972" s="23">
        <v>2017.0</v>
      </c>
      <c r="H7972" s="23" t="s">
        <v>42</v>
      </c>
      <c r="I7972" s="243" t="s">
        <v>36713</v>
      </c>
      <c r="J7972" s="23" t="s">
        <v>55</v>
      </c>
      <c r="K7972" s="23"/>
      <c r="L7972" s="52">
        <v>808.0</v>
      </c>
      <c r="M7972" s="52"/>
      <c r="N7972" s="52"/>
      <c r="O7972" s="52"/>
      <c r="P7972" s="189" t="s">
        <v>432</v>
      </c>
      <c r="Q7972" s="52"/>
      <c r="R7972" s="52"/>
      <c r="S7972" s="52"/>
      <c r="T7972" s="54" t="s">
        <v>36714</v>
      </c>
      <c r="U7972" s="135" t="str">
        <f>HYPERLINK("https://www.ncbi.nlm.nih.gov/pubmed/28464516","PubMed")</f>
        <v>PubMed</v>
      </c>
      <c r="V7972" s="30"/>
      <c r="W7972" s="49"/>
      <c r="X7972" s="49"/>
      <c r="Y7972" s="35"/>
      <c r="Z7972" s="35"/>
      <c r="AA7972" s="35"/>
      <c r="AB7972" s="35"/>
      <c r="AC7972" s="35"/>
      <c r="AD7972" s="35"/>
      <c r="AE7972" s="35"/>
      <c r="AF7972" s="35"/>
      <c r="AG7972" s="35"/>
      <c r="AH7972" s="35"/>
      <c r="AI7972" s="35"/>
      <c r="AJ7972" s="35"/>
      <c r="AK7972" s="35"/>
      <c r="AL7972" s="35"/>
    </row>
    <row r="7973">
      <c r="A7973" s="1"/>
      <c r="B7973" s="19" t="s">
        <v>6113</v>
      </c>
      <c r="C7973" s="158" t="s">
        <v>36715</v>
      </c>
      <c r="D7973" s="47"/>
      <c r="E7973" s="22" t="s">
        <v>36716</v>
      </c>
      <c r="F7973" s="22" t="s">
        <v>4266</v>
      </c>
      <c r="G7973" s="23">
        <v>2013.0</v>
      </c>
      <c r="H7973" s="23" t="s">
        <v>292</v>
      </c>
      <c r="I7973" s="24" t="s">
        <v>36717</v>
      </c>
      <c r="J7973" s="22" t="s">
        <v>26562</v>
      </c>
      <c r="K7973" s="22" t="s">
        <v>157</v>
      </c>
      <c r="L7973" s="36">
        <v>830.0</v>
      </c>
      <c r="M7973" s="36"/>
      <c r="N7973" s="36" t="s">
        <v>414</v>
      </c>
      <c r="O7973" s="36"/>
      <c r="P7973" s="37" t="s">
        <v>1028</v>
      </c>
      <c r="Q7973" s="36"/>
      <c r="R7973" s="36"/>
      <c r="S7973" s="36"/>
      <c r="T7973" s="28" t="s">
        <v>36718</v>
      </c>
      <c r="U7973" s="38" t="str">
        <f>HYPERLINK("https://www.ncbi.nlm.nih.gov/pubmed/24155549","PubMed")</f>
        <v>PubMed</v>
      </c>
      <c r="V7973" s="50"/>
      <c r="W7973" s="49"/>
      <c r="X7973" s="49"/>
      <c r="Y7973" s="35"/>
      <c r="Z7973" s="35"/>
      <c r="AA7973" s="35"/>
      <c r="AB7973" s="35"/>
      <c r="AC7973" s="35"/>
      <c r="AD7973" s="35"/>
      <c r="AE7973" s="35"/>
      <c r="AF7973" s="35"/>
      <c r="AG7973" s="35"/>
      <c r="AH7973" s="35"/>
      <c r="AI7973" s="35"/>
      <c r="AJ7973" s="35"/>
      <c r="AK7973" s="35"/>
      <c r="AL7973" s="35"/>
    </row>
    <row r="7974">
      <c r="A7974" s="40"/>
      <c r="B7974" s="19" t="s">
        <v>6113</v>
      </c>
      <c r="C7974" s="158" t="s">
        <v>36719</v>
      </c>
      <c r="D7974" s="47"/>
      <c r="E7974" s="22" t="s">
        <v>36720</v>
      </c>
      <c r="F7974" s="22" t="s">
        <v>36721</v>
      </c>
      <c r="G7974" s="23">
        <v>2022.0</v>
      </c>
      <c r="H7974" s="22" t="s">
        <v>627</v>
      </c>
      <c r="I7974" s="24" t="s">
        <v>36722</v>
      </c>
      <c r="J7974" s="22" t="s">
        <v>36723</v>
      </c>
      <c r="K7974" s="23"/>
      <c r="L7974" s="36" t="s">
        <v>36724</v>
      </c>
      <c r="M7974" s="36" t="s">
        <v>36725</v>
      </c>
      <c r="N7974" s="36"/>
      <c r="O7974" s="36"/>
      <c r="P7974" s="37"/>
      <c r="Q7974" s="36"/>
      <c r="R7974" s="36"/>
      <c r="S7974" s="36" t="s">
        <v>36726</v>
      </c>
      <c r="T7974" s="28" t="s">
        <v>36727</v>
      </c>
      <c r="U7974" s="38" t="s">
        <v>61</v>
      </c>
      <c r="V7974" s="30"/>
      <c r="W7974" s="49"/>
      <c r="X7974" s="49"/>
      <c r="Y7974" s="35"/>
      <c r="Z7974" s="35"/>
      <c r="AA7974" s="35"/>
      <c r="AB7974" s="35"/>
      <c r="AC7974" s="35"/>
      <c r="AD7974" s="35"/>
      <c r="AE7974" s="35"/>
      <c r="AF7974" s="35"/>
      <c r="AG7974" s="35"/>
      <c r="AH7974" s="35"/>
      <c r="AI7974" s="35"/>
      <c r="AJ7974" s="35"/>
      <c r="AK7974" s="35"/>
      <c r="AL7974" s="35"/>
    </row>
    <row r="7975">
      <c r="A7975" s="40" t="s">
        <v>38</v>
      </c>
      <c r="B7975" s="19" t="s">
        <v>6113</v>
      </c>
      <c r="C7975" s="158" t="s">
        <v>36719</v>
      </c>
      <c r="D7975" s="47"/>
      <c r="E7975" s="22" t="s">
        <v>36728</v>
      </c>
      <c r="F7975" s="22" t="s">
        <v>6888</v>
      </c>
      <c r="G7975" s="23">
        <v>2021.0</v>
      </c>
      <c r="H7975" s="22" t="s">
        <v>2375</v>
      </c>
      <c r="I7975" s="24" t="s">
        <v>36729</v>
      </c>
      <c r="J7975" s="22" t="s">
        <v>36730</v>
      </c>
      <c r="K7975" s="23" t="s">
        <v>1725</v>
      </c>
      <c r="L7975" s="36" t="s">
        <v>36731</v>
      </c>
      <c r="M7975" s="129"/>
      <c r="N7975" s="36" t="s">
        <v>80</v>
      </c>
      <c r="O7975" s="36"/>
      <c r="P7975" s="37" t="s">
        <v>8585</v>
      </c>
      <c r="Q7975" s="36"/>
      <c r="R7975" s="36">
        <v>120.0</v>
      </c>
      <c r="S7975" s="36"/>
      <c r="T7975" s="28" t="s">
        <v>36732</v>
      </c>
      <c r="U7975" s="29" t="s">
        <v>61</v>
      </c>
      <c r="V7975" s="30"/>
      <c r="W7975" s="49"/>
      <c r="X7975" s="49"/>
      <c r="Y7975" s="35"/>
      <c r="Z7975" s="35"/>
      <c r="AA7975" s="35"/>
      <c r="AB7975" s="35"/>
      <c r="AC7975" s="35"/>
      <c r="AD7975" s="35"/>
      <c r="AE7975" s="35"/>
      <c r="AF7975" s="35"/>
      <c r="AG7975" s="35"/>
      <c r="AH7975" s="35"/>
      <c r="AI7975" s="35"/>
      <c r="AJ7975" s="35"/>
      <c r="AK7975" s="35"/>
      <c r="AL7975" s="35"/>
    </row>
    <row r="7976">
      <c r="A7976" s="40" t="s">
        <v>181</v>
      </c>
      <c r="B7976" s="19" t="s">
        <v>6113</v>
      </c>
      <c r="C7976" s="158" t="s">
        <v>36719</v>
      </c>
      <c r="D7976" s="47"/>
      <c r="E7976" s="22" t="s">
        <v>36733</v>
      </c>
      <c r="F7976" s="22" t="s">
        <v>13197</v>
      </c>
      <c r="G7976" s="23">
        <v>2020.0</v>
      </c>
      <c r="H7976" s="22" t="s">
        <v>36734</v>
      </c>
      <c r="I7976" s="24" t="s">
        <v>36735</v>
      </c>
      <c r="J7976" s="22" t="s">
        <v>2273</v>
      </c>
      <c r="K7976" s="23" t="s">
        <v>157</v>
      </c>
      <c r="L7976" s="36" t="s">
        <v>58</v>
      </c>
      <c r="M7976" s="36" t="s">
        <v>58</v>
      </c>
      <c r="N7976" s="36" t="s">
        <v>58</v>
      </c>
      <c r="O7976" s="36" t="s">
        <v>58</v>
      </c>
      <c r="P7976" s="37" t="s">
        <v>58</v>
      </c>
      <c r="Q7976" s="36" t="s">
        <v>58</v>
      </c>
      <c r="R7976" s="36">
        <v>900.0</v>
      </c>
      <c r="S7976" s="36" t="s">
        <v>2099</v>
      </c>
      <c r="T7976" s="28" t="s">
        <v>36736</v>
      </c>
      <c r="U7976" s="38" t="str">
        <f>HYPERLINK("https://www.ncbi.nlm.nih.gov/pubmed/32206822","PubMed")</f>
        <v>PubMed</v>
      </c>
      <c r="V7976" s="30"/>
      <c r="W7976" s="49"/>
      <c r="X7976" s="49"/>
      <c r="Y7976" s="35"/>
      <c r="Z7976" s="35"/>
      <c r="AA7976" s="35"/>
      <c r="AB7976" s="35"/>
      <c r="AC7976" s="35"/>
      <c r="AD7976" s="35"/>
      <c r="AE7976" s="35"/>
      <c r="AF7976" s="35"/>
      <c r="AG7976" s="35"/>
      <c r="AH7976" s="35"/>
      <c r="AI7976" s="35"/>
      <c r="AJ7976" s="35"/>
      <c r="AK7976" s="35"/>
      <c r="AL7976" s="35"/>
    </row>
    <row r="7977">
      <c r="A7977" s="1"/>
      <c r="B7977" s="19" t="s">
        <v>6113</v>
      </c>
      <c r="C7977" s="158" t="s">
        <v>36719</v>
      </c>
      <c r="D7977" s="47"/>
      <c r="E7977" s="22" t="s">
        <v>36737</v>
      </c>
      <c r="F7977" s="22" t="s">
        <v>9444</v>
      </c>
      <c r="G7977" s="23">
        <v>2019.0</v>
      </c>
      <c r="H7977" s="22" t="s">
        <v>6024</v>
      </c>
      <c r="I7977" s="24" t="s">
        <v>36738</v>
      </c>
      <c r="J7977" s="23" t="s">
        <v>36739</v>
      </c>
      <c r="K7977" s="23" t="s">
        <v>8417</v>
      </c>
      <c r="L7977" s="94" t="s">
        <v>35055</v>
      </c>
      <c r="M7977" s="129"/>
      <c r="N7977" s="36"/>
      <c r="O7977" s="36"/>
      <c r="P7977" s="37"/>
      <c r="Q7977" s="36"/>
      <c r="R7977" s="36"/>
      <c r="S7977" s="36"/>
      <c r="T7977" s="28" t="s">
        <v>36740</v>
      </c>
      <c r="U7977" s="38" t="str">
        <f>HYPERLINK("https://www.ncbi.nlm.nih.gov/pubmed/31721664","PubMed")</f>
        <v>PubMed</v>
      </c>
      <c r="V7977" s="30" t="s">
        <v>36741</v>
      </c>
      <c r="W7977" s="49"/>
      <c r="X7977" s="49"/>
      <c r="Y7977" s="35"/>
      <c r="Z7977" s="35"/>
      <c r="AA7977" s="35"/>
      <c r="AB7977" s="35"/>
      <c r="AC7977" s="35"/>
      <c r="AD7977" s="35"/>
      <c r="AE7977" s="35"/>
      <c r="AF7977" s="35"/>
      <c r="AG7977" s="35"/>
      <c r="AH7977" s="35"/>
      <c r="AI7977" s="35"/>
      <c r="AJ7977" s="35"/>
      <c r="AK7977" s="35"/>
      <c r="AL7977" s="35"/>
    </row>
    <row r="7978">
      <c r="A7978" s="1"/>
      <c r="B7978" s="19" t="s">
        <v>6113</v>
      </c>
      <c r="C7978" s="158" t="s">
        <v>36719</v>
      </c>
      <c r="D7978" s="47"/>
      <c r="E7978" s="22" t="s">
        <v>36742</v>
      </c>
      <c r="F7978" s="22" t="s">
        <v>797</v>
      </c>
      <c r="G7978" s="23">
        <v>2018.0</v>
      </c>
      <c r="H7978" s="22" t="s">
        <v>2863</v>
      </c>
      <c r="I7978" s="24" t="s">
        <v>36743</v>
      </c>
      <c r="J7978" s="23" t="s">
        <v>2141</v>
      </c>
      <c r="K7978" s="23"/>
      <c r="L7978" s="168"/>
      <c r="M7978" s="184"/>
      <c r="N7978" s="168"/>
      <c r="O7978" s="168"/>
      <c r="P7978" s="169"/>
      <c r="Q7978" s="168"/>
      <c r="R7978" s="168"/>
      <c r="S7978" s="168"/>
      <c r="T7978" s="185" t="s">
        <v>36744</v>
      </c>
      <c r="U7978" s="38" t="str">
        <f>HYPERLINK("https://www.ncbi.nlm.nih.gov/pubmed/30001202","PubMed")</f>
        <v>PubMed</v>
      </c>
      <c r="V7978" s="50"/>
      <c r="W7978" s="49"/>
      <c r="X7978" s="49"/>
      <c r="Y7978" s="35"/>
      <c r="Z7978" s="35"/>
      <c r="AA7978" s="35"/>
      <c r="AB7978" s="35"/>
      <c r="AC7978" s="35"/>
      <c r="AD7978" s="35"/>
      <c r="AE7978" s="35"/>
      <c r="AF7978" s="35"/>
      <c r="AG7978" s="35"/>
      <c r="AH7978" s="35"/>
      <c r="AI7978" s="35"/>
      <c r="AJ7978" s="35"/>
      <c r="AK7978" s="35"/>
      <c r="AL7978" s="35"/>
    </row>
    <row r="7979">
      <c r="A7979" s="1"/>
      <c r="B7979" s="19" t="s">
        <v>6113</v>
      </c>
      <c r="C7979" s="158" t="s">
        <v>36719</v>
      </c>
      <c r="D7979" s="47"/>
      <c r="E7979" s="22" t="s">
        <v>36745</v>
      </c>
      <c r="F7979" s="22" t="s">
        <v>36746</v>
      </c>
      <c r="G7979" s="23">
        <v>2017.0</v>
      </c>
      <c r="H7979" s="22" t="s">
        <v>35046</v>
      </c>
      <c r="I7979" s="24" t="s">
        <v>36747</v>
      </c>
      <c r="J7979" s="22" t="s">
        <v>36748</v>
      </c>
      <c r="K7979" s="23"/>
      <c r="L7979" s="36">
        <v>635.0</v>
      </c>
      <c r="M7979" s="129">
        <v>42872.0</v>
      </c>
      <c r="N7979" s="36" t="s">
        <v>36749</v>
      </c>
      <c r="O7979" s="36" t="s">
        <v>58</v>
      </c>
      <c r="P7979" s="37" t="s">
        <v>36750</v>
      </c>
      <c r="Q7979" s="36" t="s">
        <v>58</v>
      </c>
      <c r="R7979" s="36">
        <v>1200.0</v>
      </c>
      <c r="S7979" s="36" t="s">
        <v>8494</v>
      </c>
      <c r="T7979" s="42" t="s">
        <v>36751</v>
      </c>
      <c r="U7979" s="38" t="str">
        <f>HYPERLINK("https://www.ncbi.nlm.nih.gov/pubmed/28682676","PubMed")</f>
        <v>PubMed</v>
      </c>
      <c r="V7979" s="30" t="s">
        <v>36752</v>
      </c>
      <c r="W7979" s="49"/>
      <c r="X7979" s="49"/>
      <c r="Y7979" s="35"/>
      <c r="Z7979" s="35"/>
      <c r="AA7979" s="35"/>
      <c r="AB7979" s="35"/>
      <c r="AC7979" s="35"/>
      <c r="AD7979" s="35"/>
      <c r="AE7979" s="35"/>
      <c r="AF7979" s="35"/>
      <c r="AG7979" s="35"/>
      <c r="AH7979" s="35"/>
      <c r="AI7979" s="35"/>
      <c r="AJ7979" s="35"/>
      <c r="AK7979" s="35"/>
      <c r="AL7979" s="35"/>
    </row>
    <row r="7980">
      <c r="A7980" s="1"/>
      <c r="B7980" s="19" t="s">
        <v>6113</v>
      </c>
      <c r="C7980" s="158" t="s">
        <v>36719</v>
      </c>
      <c r="D7980" s="47"/>
      <c r="E7980" s="22" t="s">
        <v>7540</v>
      </c>
      <c r="F7980" s="22" t="s">
        <v>5207</v>
      </c>
      <c r="G7980" s="23">
        <v>2015.0</v>
      </c>
      <c r="H7980" s="22" t="s">
        <v>91</v>
      </c>
      <c r="I7980" s="24" t="s">
        <v>36753</v>
      </c>
      <c r="J7980" s="23" t="s">
        <v>36754</v>
      </c>
      <c r="K7980" s="23" t="s">
        <v>157</v>
      </c>
      <c r="L7980" s="36">
        <v>625.0</v>
      </c>
      <c r="M7980" s="36">
        <v>25.0</v>
      </c>
      <c r="N7980" s="36" t="s">
        <v>58</v>
      </c>
      <c r="O7980" s="36" t="s">
        <v>36755</v>
      </c>
      <c r="P7980" s="37" t="s">
        <v>254</v>
      </c>
      <c r="Q7980" s="36" t="s">
        <v>36756</v>
      </c>
      <c r="R7980" s="36">
        <v>160.0</v>
      </c>
      <c r="S7980" s="36" t="s">
        <v>36757</v>
      </c>
      <c r="T7980" s="42" t="s">
        <v>36758</v>
      </c>
      <c r="U7980" s="38" t="str">
        <f>HYPERLINK("https://www.ncbi.nlm.nih.gov/pubmed/25315022","PubMed")</f>
        <v>PubMed</v>
      </c>
      <c r="V7980" s="50"/>
      <c r="W7980" s="49"/>
      <c r="X7980" s="49"/>
      <c r="Y7980" s="35"/>
      <c r="Z7980" s="35"/>
      <c r="AA7980" s="35"/>
      <c r="AB7980" s="35"/>
      <c r="AC7980" s="35"/>
      <c r="AD7980" s="35"/>
      <c r="AE7980" s="35"/>
      <c r="AF7980" s="35"/>
      <c r="AG7980" s="35"/>
      <c r="AH7980" s="35"/>
      <c r="AI7980" s="35"/>
      <c r="AJ7980" s="35"/>
      <c r="AK7980" s="35"/>
      <c r="AL7980" s="35"/>
    </row>
    <row r="7981">
      <c r="A7981" s="1"/>
      <c r="B7981" s="19" t="s">
        <v>6113</v>
      </c>
      <c r="C7981" s="158" t="s">
        <v>36719</v>
      </c>
      <c r="D7981" s="47"/>
      <c r="E7981" s="22" t="s">
        <v>36759</v>
      </c>
      <c r="F7981" s="22" t="s">
        <v>36760</v>
      </c>
      <c r="G7981" s="23">
        <v>2013.0</v>
      </c>
      <c r="H7981" s="22" t="s">
        <v>6024</v>
      </c>
      <c r="I7981" s="24" t="s">
        <v>36761</v>
      </c>
      <c r="J7981" s="23" t="s">
        <v>3059</v>
      </c>
      <c r="K7981" s="22" t="s">
        <v>56</v>
      </c>
      <c r="L7981" s="36" t="s">
        <v>4772</v>
      </c>
      <c r="M7981" s="36" t="s">
        <v>58</v>
      </c>
      <c r="N7981" s="36" t="s">
        <v>3587</v>
      </c>
      <c r="O7981" s="36" t="s">
        <v>58</v>
      </c>
      <c r="P7981" s="37" t="s">
        <v>20933</v>
      </c>
      <c r="Q7981" s="36" t="s">
        <v>36762</v>
      </c>
      <c r="R7981" s="36">
        <v>480.0</v>
      </c>
      <c r="S7981" s="36" t="s">
        <v>8673</v>
      </c>
      <c r="T7981" s="28" t="s">
        <v>36763</v>
      </c>
      <c r="U7981" s="38" t="str">
        <f>HYPERLINK("https://www.ncbi.nlm.nih.gov/pubmed/12572235","PubMed")</f>
        <v>PubMed</v>
      </c>
      <c r="V7981" s="50"/>
      <c r="W7981" s="49"/>
      <c r="X7981" s="49"/>
      <c r="Y7981" s="35"/>
      <c r="Z7981" s="35"/>
      <c r="AA7981" s="35"/>
      <c r="AB7981" s="35"/>
      <c r="AC7981" s="35"/>
      <c r="AD7981" s="35"/>
      <c r="AE7981" s="35"/>
      <c r="AF7981" s="35"/>
      <c r="AG7981" s="35"/>
      <c r="AH7981" s="35"/>
      <c r="AI7981" s="35"/>
      <c r="AJ7981" s="35"/>
      <c r="AK7981" s="35"/>
      <c r="AL7981" s="35"/>
    </row>
    <row r="7982">
      <c r="A7982" s="1"/>
      <c r="B7982" s="19" t="s">
        <v>6113</v>
      </c>
      <c r="C7982" s="158" t="s">
        <v>36719</v>
      </c>
      <c r="D7982" s="47"/>
      <c r="E7982" s="22" t="s">
        <v>6140</v>
      </c>
      <c r="F7982" s="22" t="s">
        <v>299</v>
      </c>
      <c r="G7982" s="23">
        <v>2013.0</v>
      </c>
      <c r="H7982" s="22" t="s">
        <v>7308</v>
      </c>
      <c r="I7982" s="24" t="s">
        <v>36764</v>
      </c>
      <c r="J7982" s="23" t="s">
        <v>36765</v>
      </c>
      <c r="K7982" s="22" t="s">
        <v>36766</v>
      </c>
      <c r="L7982" s="36" t="s">
        <v>12092</v>
      </c>
      <c r="M7982" s="36" t="s">
        <v>58</v>
      </c>
      <c r="N7982" s="36" t="s">
        <v>58</v>
      </c>
      <c r="O7982" s="36" t="s">
        <v>58</v>
      </c>
      <c r="P7982" s="37" t="s">
        <v>6558</v>
      </c>
      <c r="Q7982" s="36" t="s">
        <v>58</v>
      </c>
      <c r="R7982" s="36" t="s">
        <v>58</v>
      </c>
      <c r="S7982" s="36" t="s">
        <v>36767</v>
      </c>
      <c r="T7982" s="28" t="s">
        <v>36768</v>
      </c>
      <c r="U7982" s="38" t="str">
        <f>HYPERLINK("https://www.ncbi.nlm.nih.gov/pubmed/23738854","PubMed")</f>
        <v>PubMed</v>
      </c>
      <c r="V7982" s="30" t="s">
        <v>36769</v>
      </c>
      <c r="W7982" s="49"/>
      <c r="X7982" s="49"/>
      <c r="Y7982" s="35"/>
      <c r="Z7982" s="35"/>
      <c r="AA7982" s="35"/>
      <c r="AB7982" s="35"/>
      <c r="AC7982" s="35"/>
      <c r="AD7982" s="35"/>
      <c r="AE7982" s="35"/>
      <c r="AF7982" s="35"/>
      <c r="AG7982" s="35"/>
      <c r="AH7982" s="35"/>
      <c r="AI7982" s="35"/>
      <c r="AJ7982" s="35"/>
      <c r="AK7982" s="35"/>
      <c r="AL7982" s="35"/>
    </row>
    <row r="7983">
      <c r="A7983" s="1"/>
      <c r="B7983" s="19" t="s">
        <v>6113</v>
      </c>
      <c r="C7983" s="20" t="s">
        <v>36719</v>
      </c>
      <c r="D7983" s="47"/>
      <c r="E7983" s="22" t="s">
        <v>36770</v>
      </c>
      <c r="F7983" s="22" t="s">
        <v>2604</v>
      </c>
      <c r="G7983" s="23">
        <v>2011.0</v>
      </c>
      <c r="H7983" s="22" t="s">
        <v>6426</v>
      </c>
      <c r="I7983" s="24" t="s">
        <v>36771</v>
      </c>
      <c r="J7983" s="22" t="s">
        <v>36772</v>
      </c>
      <c r="K7983" s="408" t="s">
        <v>36773</v>
      </c>
      <c r="L7983" s="36" t="s">
        <v>36774</v>
      </c>
      <c r="M7983" s="36" t="s">
        <v>58</v>
      </c>
      <c r="N7983" s="36" t="s">
        <v>36775</v>
      </c>
      <c r="O7983" s="36" t="s">
        <v>58</v>
      </c>
      <c r="P7983" s="37" t="s">
        <v>58</v>
      </c>
      <c r="Q7983" s="36" t="s">
        <v>58</v>
      </c>
      <c r="R7983" s="36">
        <v>1800.0</v>
      </c>
      <c r="S7983" s="36" t="s">
        <v>36776</v>
      </c>
      <c r="T7983" s="28" t="s">
        <v>36777</v>
      </c>
      <c r="U7983" s="38" t="str">
        <f>HYPERLINK("http://www.ncbi.nlm.nih.gov/pubmed/21574975","PubMed")</f>
        <v>PubMed</v>
      </c>
      <c r="V7983" s="30" t="s">
        <v>36778</v>
      </c>
      <c r="W7983" s="49"/>
      <c r="X7983" s="49"/>
      <c r="Y7983" s="35"/>
      <c r="Z7983" s="35"/>
      <c r="AA7983" s="35"/>
      <c r="AB7983" s="35"/>
      <c r="AC7983" s="35"/>
      <c r="AD7983" s="35"/>
      <c r="AE7983" s="35"/>
      <c r="AF7983" s="35"/>
      <c r="AG7983" s="35"/>
      <c r="AH7983" s="35"/>
      <c r="AI7983" s="35"/>
      <c r="AJ7983" s="35"/>
      <c r="AK7983" s="35"/>
      <c r="AL7983" s="35"/>
    </row>
    <row r="7984">
      <c r="A7984" s="1"/>
      <c r="B7984" s="19" t="s">
        <v>6113</v>
      </c>
      <c r="C7984" s="158" t="s">
        <v>36719</v>
      </c>
      <c r="D7984" s="47"/>
      <c r="E7984" s="22" t="s">
        <v>36779</v>
      </c>
      <c r="F7984" s="22" t="s">
        <v>8256</v>
      </c>
      <c r="G7984" s="23">
        <v>2010.0</v>
      </c>
      <c r="H7984" s="22" t="s">
        <v>5130</v>
      </c>
      <c r="I7984" s="24" t="s">
        <v>36780</v>
      </c>
      <c r="J7984" s="23" t="s">
        <v>36781</v>
      </c>
      <c r="K7984" s="23"/>
      <c r="L7984" s="36">
        <v>980.0</v>
      </c>
      <c r="M7984" s="36">
        <v>15000.0</v>
      </c>
      <c r="N7984" s="36"/>
      <c r="O7984" s="36"/>
      <c r="P7984" s="37" t="s">
        <v>974</v>
      </c>
      <c r="Q7984" s="36" t="s">
        <v>7766</v>
      </c>
      <c r="R7984" s="36">
        <v>3.0</v>
      </c>
      <c r="S7984" s="36" t="s">
        <v>36782</v>
      </c>
      <c r="T7984" s="41" t="s">
        <v>36783</v>
      </c>
      <c r="U7984" s="38" t="str">
        <f>HYPERLINK("https://www.ncbi.nlm.nih.gov/pubmed/20958856","PubMed")</f>
        <v>PubMed</v>
      </c>
      <c r="V7984" s="50"/>
      <c r="W7984" s="49"/>
      <c r="X7984" s="49"/>
      <c r="Y7984" s="35"/>
      <c r="Z7984" s="35"/>
      <c r="AA7984" s="35"/>
      <c r="AB7984" s="35"/>
      <c r="AC7984" s="35"/>
      <c r="AD7984" s="35"/>
      <c r="AE7984" s="35"/>
      <c r="AF7984" s="35"/>
      <c r="AG7984" s="35"/>
      <c r="AH7984" s="35"/>
      <c r="AI7984" s="35"/>
      <c r="AJ7984" s="35"/>
      <c r="AK7984" s="35"/>
      <c r="AL7984" s="35"/>
    </row>
    <row r="7985">
      <c r="A7985" s="40"/>
      <c r="B7985" s="157" t="s">
        <v>6113</v>
      </c>
      <c r="C7985" s="158" t="s">
        <v>36719</v>
      </c>
      <c r="D7985" s="159"/>
      <c r="E7985" s="23" t="s">
        <v>36784</v>
      </c>
      <c r="F7985" s="23" t="s">
        <v>358</v>
      </c>
      <c r="G7985" s="23">
        <v>2009.0</v>
      </c>
      <c r="H7985" s="23" t="s">
        <v>658</v>
      </c>
      <c r="I7985" s="243" t="s">
        <v>36785</v>
      </c>
      <c r="J7985" s="23" t="s">
        <v>36786</v>
      </c>
      <c r="K7985" s="23" t="s">
        <v>36787</v>
      </c>
      <c r="L7985" s="94" t="s">
        <v>21822</v>
      </c>
      <c r="M7985" s="94"/>
      <c r="N7985" s="94"/>
      <c r="O7985" s="94"/>
      <c r="P7985" s="94">
        <v>3.0</v>
      </c>
      <c r="Q7985" s="172"/>
      <c r="R7985" s="94"/>
      <c r="S7985" s="94" t="s">
        <v>36788</v>
      </c>
      <c r="T7985" s="54" t="s">
        <v>36789</v>
      </c>
      <c r="U7985" s="135" t="str">
        <f>HYPERLINK("https://www.ncbi.nlm.nih.gov/pubmed/19196110","PubMed")</f>
        <v>PubMed</v>
      </c>
      <c r="V7985" s="30" t="s">
        <v>36790</v>
      </c>
      <c r="W7985" s="49"/>
      <c r="X7985" s="49"/>
      <c r="Y7985" s="35"/>
      <c r="Z7985" s="35"/>
      <c r="AA7985" s="35"/>
      <c r="AB7985" s="35"/>
      <c r="AC7985" s="35"/>
      <c r="AD7985" s="35"/>
      <c r="AE7985" s="35"/>
      <c r="AF7985" s="35"/>
      <c r="AG7985" s="35"/>
      <c r="AH7985" s="35"/>
      <c r="AI7985" s="35"/>
      <c r="AJ7985" s="35"/>
      <c r="AK7985" s="35"/>
      <c r="AL7985" s="35"/>
    </row>
    <row r="7986">
      <c r="A7986" s="1"/>
      <c r="B7986" s="19" t="s">
        <v>6113</v>
      </c>
      <c r="C7986" s="20" t="s">
        <v>36719</v>
      </c>
      <c r="D7986" s="47"/>
      <c r="E7986" s="22" t="s">
        <v>36791</v>
      </c>
      <c r="F7986" s="22" t="s">
        <v>36792</v>
      </c>
      <c r="G7986" s="23">
        <v>2008.0</v>
      </c>
      <c r="H7986" s="22" t="s">
        <v>7928</v>
      </c>
      <c r="I7986" s="24" t="s">
        <v>36793</v>
      </c>
      <c r="J7986" s="22" t="s">
        <v>36794</v>
      </c>
      <c r="K7986" s="22" t="s">
        <v>36795</v>
      </c>
      <c r="L7986" s="36"/>
      <c r="M7986" s="36"/>
      <c r="N7986" s="36"/>
      <c r="O7986" s="36"/>
      <c r="P7986" s="37"/>
      <c r="Q7986" s="36"/>
      <c r="R7986" s="36"/>
      <c r="S7986" s="36" t="s">
        <v>36796</v>
      </c>
      <c r="T7986" s="28" t="s">
        <v>36797</v>
      </c>
      <c r="U7986" s="38" t="str">
        <f>HYPERLINK("http://www.ncbi.nlm.nih.gov/pubmed/19675738","PubMed")</f>
        <v>PubMed</v>
      </c>
      <c r="V7986" s="50"/>
      <c r="W7986" s="49"/>
      <c r="X7986" s="49"/>
      <c r="Y7986" s="35"/>
      <c r="Z7986" s="35"/>
      <c r="AA7986" s="35"/>
      <c r="AB7986" s="35"/>
      <c r="AC7986" s="35"/>
      <c r="AD7986" s="35"/>
      <c r="AE7986" s="35"/>
      <c r="AF7986" s="35"/>
      <c r="AG7986" s="35"/>
      <c r="AH7986" s="35"/>
      <c r="AI7986" s="35"/>
      <c r="AJ7986" s="35"/>
      <c r="AK7986" s="35"/>
      <c r="AL7986" s="35"/>
    </row>
    <row r="7987">
      <c r="A7987" s="40"/>
      <c r="B7987" s="157" t="s">
        <v>6113</v>
      </c>
      <c r="C7987" s="158" t="s">
        <v>36719</v>
      </c>
      <c r="D7987" s="159"/>
      <c r="E7987" s="23" t="s">
        <v>36798</v>
      </c>
      <c r="F7987" s="23" t="s">
        <v>3047</v>
      </c>
      <c r="G7987" s="23">
        <v>2005.0</v>
      </c>
      <c r="H7987" s="23" t="s">
        <v>6426</v>
      </c>
      <c r="I7987" s="243" t="s">
        <v>36799</v>
      </c>
      <c r="J7987" s="23" t="s">
        <v>36800</v>
      </c>
      <c r="K7987" s="23"/>
      <c r="L7987" s="94">
        <v>685.0</v>
      </c>
      <c r="M7987" s="94">
        <v>200.0</v>
      </c>
      <c r="N7987" s="94" t="s">
        <v>58</v>
      </c>
      <c r="O7987" s="94" t="s">
        <v>58</v>
      </c>
      <c r="P7987" s="94">
        <v>4.0</v>
      </c>
      <c r="Q7987" s="172" t="s">
        <v>58</v>
      </c>
      <c r="R7987" s="94" t="s">
        <v>58</v>
      </c>
      <c r="S7987" s="94" t="s">
        <v>36801</v>
      </c>
      <c r="T7987" s="103" t="s">
        <v>36802</v>
      </c>
      <c r="U7987" s="135" t="str">
        <f>HYPERLINK("https://www.ncbi.nlm.nih.gov/pubmed/15949018","PubMed")</f>
        <v>PubMed</v>
      </c>
      <c r="V7987" s="30"/>
      <c r="W7987" s="34"/>
      <c r="X7987" s="49"/>
      <c r="Y7987" s="35"/>
      <c r="Z7987" s="35"/>
      <c r="AA7987" s="35"/>
      <c r="AB7987" s="35"/>
      <c r="AC7987" s="35"/>
      <c r="AD7987" s="35"/>
      <c r="AE7987" s="35"/>
      <c r="AF7987" s="35"/>
      <c r="AG7987" s="35"/>
      <c r="AH7987" s="35"/>
      <c r="AI7987" s="35"/>
      <c r="AJ7987" s="35"/>
      <c r="AK7987" s="35"/>
      <c r="AL7987" s="35"/>
    </row>
    <row r="7988">
      <c r="A7988" s="40"/>
      <c r="B7988" s="157" t="s">
        <v>6113</v>
      </c>
      <c r="C7988" s="158" t="s">
        <v>36719</v>
      </c>
      <c r="D7988" s="159"/>
      <c r="E7988" s="23" t="s">
        <v>36798</v>
      </c>
      <c r="F7988" s="23" t="s">
        <v>3047</v>
      </c>
      <c r="G7988" s="23">
        <v>2005.0</v>
      </c>
      <c r="H7988" s="23" t="s">
        <v>6024</v>
      </c>
      <c r="I7988" s="243" t="s">
        <v>36803</v>
      </c>
      <c r="J7988" s="23" t="s">
        <v>36804</v>
      </c>
      <c r="K7988" s="23"/>
      <c r="L7988" s="94">
        <v>685.0</v>
      </c>
      <c r="M7988" s="94">
        <v>200.0</v>
      </c>
      <c r="N7988" s="94" t="s">
        <v>58</v>
      </c>
      <c r="O7988" s="94" t="s">
        <v>58</v>
      </c>
      <c r="P7988" s="94">
        <v>4.0</v>
      </c>
      <c r="Q7988" s="172" t="s">
        <v>58</v>
      </c>
      <c r="R7988" s="94" t="s">
        <v>58</v>
      </c>
      <c r="S7988" s="94" t="s">
        <v>36801</v>
      </c>
      <c r="T7988" s="103" t="s">
        <v>36805</v>
      </c>
      <c r="U7988" s="135" t="str">
        <f>HYPERLINK("https://www.ncbi.nlm.nih.gov/pubmed/16178295","PubMed")</f>
        <v>PubMed</v>
      </c>
      <c r="V7988" s="30"/>
      <c r="W7988" s="130" t="str">
        <f>HYPERLINK("https://www.ncbi.nlm.nih.gov/pubmed/16304923","Comment")</f>
        <v>Comment</v>
      </c>
      <c r="X7988" s="49"/>
      <c r="Y7988" s="35"/>
      <c r="Z7988" s="35"/>
      <c r="AA7988" s="35"/>
      <c r="AB7988" s="35"/>
      <c r="AC7988" s="35"/>
      <c r="AD7988" s="35"/>
      <c r="AE7988" s="35"/>
      <c r="AF7988" s="35"/>
      <c r="AG7988" s="35"/>
      <c r="AH7988" s="35"/>
      <c r="AI7988" s="35"/>
      <c r="AJ7988" s="35"/>
      <c r="AK7988" s="35"/>
      <c r="AL7988" s="35"/>
    </row>
    <row r="7989">
      <c r="A7989" s="40"/>
      <c r="B7989" s="157" t="s">
        <v>6113</v>
      </c>
      <c r="C7989" s="158" t="s">
        <v>36719</v>
      </c>
      <c r="D7989" s="159"/>
      <c r="E7989" s="23" t="s">
        <v>36806</v>
      </c>
      <c r="F7989" s="23" t="s">
        <v>16732</v>
      </c>
      <c r="G7989" s="23">
        <v>2002.0</v>
      </c>
      <c r="H7989" s="23" t="s">
        <v>1289</v>
      </c>
      <c r="I7989" s="243" t="s">
        <v>36807</v>
      </c>
      <c r="J7989" s="23" t="s">
        <v>36808</v>
      </c>
      <c r="K7989" s="23" t="s">
        <v>36809</v>
      </c>
      <c r="L7989" s="94" t="s">
        <v>28558</v>
      </c>
      <c r="M7989" s="94" t="s">
        <v>36810</v>
      </c>
      <c r="N7989" s="94"/>
      <c r="O7989" s="94"/>
      <c r="P7989" s="94">
        <v>12.0</v>
      </c>
      <c r="Q7989" s="172"/>
      <c r="R7989" s="94"/>
      <c r="S7989" s="94" t="s">
        <v>8418</v>
      </c>
      <c r="T7989" s="102" t="s">
        <v>36811</v>
      </c>
      <c r="U7989" s="135" t="str">
        <f>HYPERLINK("https://www.ncbi.nlm.nih.gov/pubmed/12165122","PubMed")</f>
        <v>PubMed</v>
      </c>
      <c r="V7989" s="30" t="s">
        <v>36812</v>
      </c>
      <c r="W7989" s="49"/>
      <c r="X7989" s="49"/>
      <c r="Y7989" s="35"/>
      <c r="Z7989" s="35"/>
      <c r="AA7989" s="35"/>
      <c r="AB7989" s="35"/>
      <c r="AC7989" s="35"/>
      <c r="AD7989" s="35"/>
      <c r="AE7989" s="35"/>
      <c r="AF7989" s="35"/>
      <c r="AG7989" s="35"/>
      <c r="AH7989" s="35"/>
      <c r="AI7989" s="35"/>
      <c r="AJ7989" s="35"/>
      <c r="AK7989" s="35"/>
      <c r="AL7989" s="35"/>
    </row>
    <row r="7990">
      <c r="A7990" s="40"/>
      <c r="B7990" s="157" t="s">
        <v>6113</v>
      </c>
      <c r="C7990" s="158" t="s">
        <v>36719</v>
      </c>
      <c r="D7990" s="159"/>
      <c r="E7990" s="23" t="s">
        <v>36813</v>
      </c>
      <c r="F7990" s="23" t="s">
        <v>10072</v>
      </c>
      <c r="G7990" s="23">
        <v>2002.0</v>
      </c>
      <c r="H7990" s="23" t="s">
        <v>5060</v>
      </c>
      <c r="I7990" s="243" t="s">
        <v>36814</v>
      </c>
      <c r="J7990" s="23" t="s">
        <v>36815</v>
      </c>
      <c r="K7990" s="23"/>
      <c r="L7990" s="94">
        <v>810.0</v>
      </c>
      <c r="M7990" s="94">
        <v>65.0</v>
      </c>
      <c r="N7990" s="94"/>
      <c r="O7990" s="94"/>
      <c r="P7990" s="94">
        <v>4.0</v>
      </c>
      <c r="Q7990" s="172"/>
      <c r="R7990" s="94"/>
      <c r="S7990" s="94" t="s">
        <v>36816</v>
      </c>
      <c r="T7990" s="103" t="s">
        <v>36817</v>
      </c>
      <c r="U7990" s="135" t="str">
        <f>HYPERLINK("https://www.ncbi.nlm.nih.gov/pubmed/12376047","PubMed")</f>
        <v>PubMed</v>
      </c>
      <c r="V7990" s="30" t="s">
        <v>36818</v>
      </c>
      <c r="W7990" s="49"/>
      <c r="X7990" s="49"/>
      <c r="Y7990" s="35"/>
      <c r="Z7990" s="35"/>
      <c r="AA7990" s="35"/>
      <c r="AB7990" s="35"/>
      <c r="AC7990" s="35"/>
      <c r="AD7990" s="35"/>
      <c r="AE7990" s="35"/>
      <c r="AF7990" s="35"/>
      <c r="AG7990" s="35"/>
      <c r="AH7990" s="35"/>
      <c r="AI7990" s="35"/>
      <c r="AJ7990" s="35"/>
      <c r="AK7990" s="35"/>
      <c r="AL7990" s="35"/>
    </row>
    <row r="7991">
      <c r="A7991" s="40"/>
      <c r="B7991" s="157" t="s">
        <v>6113</v>
      </c>
      <c r="C7991" s="158" t="s">
        <v>36719</v>
      </c>
      <c r="D7991" s="159"/>
      <c r="E7991" s="23" t="s">
        <v>36819</v>
      </c>
      <c r="F7991" s="23" t="s">
        <v>3720</v>
      </c>
      <c r="G7991" s="23">
        <v>2000.0</v>
      </c>
      <c r="H7991" s="23" t="s">
        <v>9459</v>
      </c>
      <c r="I7991" s="243" t="s">
        <v>36820</v>
      </c>
      <c r="J7991" s="23" t="s">
        <v>1078</v>
      </c>
      <c r="K7991" s="23"/>
      <c r="L7991" s="195" t="s">
        <v>36821</v>
      </c>
      <c r="M7991" s="44"/>
      <c r="N7991" s="44"/>
      <c r="O7991" s="44"/>
      <c r="P7991" s="44"/>
      <c r="Q7991" s="44"/>
      <c r="R7991" s="44"/>
      <c r="S7991" s="44"/>
      <c r="T7991" s="45"/>
      <c r="U7991" s="135" t="str">
        <f>HYPERLINK("https://www.ncbi.nlm.nih.gov/pubmed/10796615","PubMed")</f>
        <v>PubMed</v>
      </c>
      <c r="V7991" s="30"/>
      <c r="W7991" s="49"/>
      <c r="X7991" s="49"/>
      <c r="Y7991" s="35"/>
      <c r="Z7991" s="35"/>
      <c r="AA7991" s="35"/>
      <c r="AB7991" s="35"/>
      <c r="AC7991" s="35"/>
      <c r="AD7991" s="35"/>
      <c r="AE7991" s="35"/>
      <c r="AF7991" s="35"/>
      <c r="AG7991" s="35"/>
      <c r="AH7991" s="35"/>
      <c r="AI7991" s="35"/>
      <c r="AJ7991" s="35"/>
      <c r="AK7991" s="35"/>
      <c r="AL7991" s="35"/>
    </row>
    <row r="7992">
      <c r="A7992" s="40"/>
      <c r="B7992" s="157" t="s">
        <v>6113</v>
      </c>
      <c r="C7992" s="158" t="s">
        <v>36719</v>
      </c>
      <c r="D7992" s="159"/>
      <c r="E7992" s="23" t="s">
        <v>36822</v>
      </c>
      <c r="F7992" s="23" t="s">
        <v>291</v>
      </c>
      <c r="G7992" s="23">
        <v>1999.0</v>
      </c>
      <c r="H7992" s="23" t="s">
        <v>292</v>
      </c>
      <c r="I7992" s="243" t="s">
        <v>36823</v>
      </c>
      <c r="J7992" s="23" t="s">
        <v>29165</v>
      </c>
      <c r="K7992" s="23"/>
      <c r="L7992" s="94" t="s">
        <v>8106</v>
      </c>
      <c r="M7992" s="94" t="s">
        <v>36824</v>
      </c>
      <c r="N7992" s="94"/>
      <c r="O7992" s="94"/>
      <c r="P7992" s="94"/>
      <c r="Q7992" s="172"/>
      <c r="R7992" s="94"/>
      <c r="S7992" s="94"/>
      <c r="T7992" s="54" t="s">
        <v>36825</v>
      </c>
      <c r="U7992" s="135" t="str">
        <f>HYPERLINK("https://www.jstage.jst.go.jp/article/islsm/11/2/11_2_71/_article/-char/en","J-STAGE")</f>
        <v>J-STAGE</v>
      </c>
      <c r="V7992" s="30"/>
      <c r="W7992" s="49"/>
      <c r="X7992" s="49"/>
      <c r="Y7992" s="35"/>
      <c r="Z7992" s="35"/>
      <c r="AA7992" s="35"/>
      <c r="AB7992" s="35"/>
      <c r="AC7992" s="35"/>
      <c r="AD7992" s="35"/>
      <c r="AE7992" s="35"/>
      <c r="AF7992" s="35"/>
      <c r="AG7992" s="35"/>
      <c r="AH7992" s="35"/>
      <c r="AI7992" s="35"/>
      <c r="AJ7992" s="35"/>
      <c r="AK7992" s="35"/>
      <c r="AL7992" s="35"/>
    </row>
    <row r="7993">
      <c r="A7993" s="40"/>
      <c r="B7993" s="157" t="s">
        <v>6113</v>
      </c>
      <c r="C7993" s="158" t="s">
        <v>36719</v>
      </c>
      <c r="D7993" s="159"/>
      <c r="E7993" s="23" t="s">
        <v>36826</v>
      </c>
      <c r="F7993" s="23" t="s">
        <v>3720</v>
      </c>
      <c r="G7993" s="23">
        <v>1999.0</v>
      </c>
      <c r="H7993" s="23" t="s">
        <v>6024</v>
      </c>
      <c r="I7993" s="243" t="s">
        <v>36827</v>
      </c>
      <c r="J7993" s="23" t="s">
        <v>649</v>
      </c>
      <c r="K7993" s="23"/>
      <c r="L7993" s="195" t="s">
        <v>36828</v>
      </c>
      <c r="M7993" s="44"/>
      <c r="N7993" s="44"/>
      <c r="O7993" s="44"/>
      <c r="P7993" s="44"/>
      <c r="Q7993" s="44"/>
      <c r="R7993" s="44"/>
      <c r="S7993" s="44"/>
      <c r="T7993" s="45"/>
      <c r="U7993" s="135" t="str">
        <f>HYPERLINK("https://www.ncbi.nlm.nih.gov/pubmed/10362987","PubMed")</f>
        <v>PubMed</v>
      </c>
      <c r="V7993" s="30"/>
      <c r="W7993" s="49"/>
      <c r="X7993" s="49"/>
      <c r="Y7993" s="35"/>
      <c r="Z7993" s="35"/>
      <c r="AA7993" s="35"/>
      <c r="AB7993" s="35"/>
      <c r="AC7993" s="35"/>
      <c r="AD7993" s="35"/>
      <c r="AE7993" s="35"/>
      <c r="AF7993" s="35"/>
      <c r="AG7993" s="35"/>
      <c r="AH7993" s="35"/>
      <c r="AI7993" s="35"/>
      <c r="AJ7993" s="35"/>
      <c r="AK7993" s="35"/>
      <c r="AL7993" s="35"/>
    </row>
    <row r="7994">
      <c r="A7994" s="40" t="s">
        <v>2</v>
      </c>
      <c r="B7994" s="157" t="s">
        <v>6113</v>
      </c>
      <c r="C7994" s="158" t="s">
        <v>36719</v>
      </c>
      <c r="D7994" s="159"/>
      <c r="E7994" s="23" t="s">
        <v>7486</v>
      </c>
      <c r="F7994" s="23" t="s">
        <v>2445</v>
      </c>
      <c r="G7994" s="23">
        <v>1998.0</v>
      </c>
      <c r="H7994" s="23" t="s">
        <v>5489</v>
      </c>
      <c r="I7994" s="243" t="s">
        <v>36829</v>
      </c>
      <c r="J7994" s="22" t="s">
        <v>36830</v>
      </c>
      <c r="K7994" s="23"/>
      <c r="L7994" s="94" t="s">
        <v>36831</v>
      </c>
      <c r="M7994" s="94" t="s">
        <v>36832</v>
      </c>
      <c r="N7994" s="94" t="s">
        <v>58</v>
      </c>
      <c r="O7994" s="94" t="s">
        <v>58</v>
      </c>
      <c r="P7994" s="94" t="s">
        <v>36833</v>
      </c>
      <c r="Q7994" s="94" t="s">
        <v>36834</v>
      </c>
      <c r="R7994" s="94" t="s">
        <v>36835</v>
      </c>
      <c r="S7994" s="94" t="s">
        <v>36836</v>
      </c>
      <c r="T7994" s="54" t="s">
        <v>36837</v>
      </c>
      <c r="U7994" s="135" t="str">
        <f>HYPERLINK("https://www.ncbi.nlm.nih.gov/pubmed/9865208","PubMed")</f>
        <v>PubMed</v>
      </c>
      <c r="V7994" s="30" t="s">
        <v>36838</v>
      </c>
      <c r="W7994" s="49"/>
      <c r="X7994" s="49"/>
      <c r="Y7994" s="35"/>
      <c r="Z7994" s="35"/>
      <c r="AA7994" s="35"/>
      <c r="AB7994" s="35"/>
      <c r="AC7994" s="35"/>
      <c r="AD7994" s="35"/>
      <c r="AE7994" s="35"/>
      <c r="AF7994" s="35"/>
      <c r="AG7994" s="35"/>
      <c r="AH7994" s="35"/>
      <c r="AI7994" s="35"/>
      <c r="AJ7994" s="35"/>
      <c r="AK7994" s="35"/>
      <c r="AL7994" s="35"/>
    </row>
    <row r="7995">
      <c r="A7995" s="40"/>
      <c r="B7995" s="157" t="s">
        <v>6113</v>
      </c>
      <c r="C7995" s="158" t="s">
        <v>36719</v>
      </c>
      <c r="D7995" s="159"/>
      <c r="E7995" s="23" t="s">
        <v>7486</v>
      </c>
      <c r="F7995" s="23" t="s">
        <v>2445</v>
      </c>
      <c r="G7995" s="23">
        <v>1997.0</v>
      </c>
      <c r="H7995" s="23" t="s">
        <v>7308</v>
      </c>
      <c r="I7995" s="243" t="s">
        <v>36839</v>
      </c>
      <c r="J7995" s="23" t="s">
        <v>36840</v>
      </c>
      <c r="K7995" s="23"/>
      <c r="L7995" s="94" t="s">
        <v>36831</v>
      </c>
      <c r="M7995" s="94" t="s">
        <v>36832</v>
      </c>
      <c r="N7995" s="94" t="s">
        <v>58</v>
      </c>
      <c r="O7995" s="94" t="s">
        <v>58</v>
      </c>
      <c r="P7995" s="94" t="s">
        <v>36833</v>
      </c>
      <c r="Q7995" s="94" t="s">
        <v>36834</v>
      </c>
      <c r="R7995" s="94" t="s">
        <v>36835</v>
      </c>
      <c r="S7995" s="94" t="s">
        <v>36836</v>
      </c>
      <c r="T7995" s="54" t="s">
        <v>36841</v>
      </c>
      <c r="U7995" s="135" t="str">
        <f>HYPERLINK("http://www.tandfonline.com/doi/abs/10.3109/09546639709160280","T&amp;F")</f>
        <v>T&amp;F</v>
      </c>
      <c r="V7995" s="30"/>
      <c r="W7995" s="49"/>
      <c r="X7995" s="49"/>
      <c r="Y7995" s="35"/>
      <c r="Z7995" s="35"/>
      <c r="AA7995" s="35"/>
      <c r="AB7995" s="35"/>
      <c r="AC7995" s="35"/>
      <c r="AD7995" s="35"/>
      <c r="AE7995" s="35"/>
      <c r="AF7995" s="35"/>
      <c r="AG7995" s="35"/>
      <c r="AH7995" s="35"/>
      <c r="AI7995" s="35"/>
      <c r="AJ7995" s="35"/>
      <c r="AK7995" s="35"/>
      <c r="AL7995" s="35"/>
    </row>
    <row r="7996">
      <c r="A7996" s="191" t="s">
        <v>181</v>
      </c>
      <c r="B7996" s="157" t="s">
        <v>6113</v>
      </c>
      <c r="C7996" s="158" t="s">
        <v>36719</v>
      </c>
      <c r="D7996" s="21"/>
      <c r="E7996" s="22" t="s">
        <v>29142</v>
      </c>
      <c r="F7996" s="22" t="s">
        <v>14371</v>
      </c>
      <c r="G7996" s="23">
        <v>1991.0</v>
      </c>
      <c r="H7996" s="22" t="s">
        <v>31760</v>
      </c>
      <c r="I7996" s="24" t="s">
        <v>36842</v>
      </c>
      <c r="J7996" s="22" t="s">
        <v>36843</v>
      </c>
      <c r="K7996" s="22" t="s">
        <v>36844</v>
      </c>
      <c r="L7996" s="36">
        <v>633.0</v>
      </c>
      <c r="M7996" s="36">
        <v>6.0</v>
      </c>
      <c r="N7996" s="36" t="s">
        <v>58</v>
      </c>
      <c r="O7996" s="36" t="s">
        <v>58</v>
      </c>
      <c r="P7996" s="37" t="s">
        <v>36845</v>
      </c>
      <c r="Q7996" s="36" t="s">
        <v>58</v>
      </c>
      <c r="R7996" s="36" t="s">
        <v>58</v>
      </c>
      <c r="S7996" s="36" t="s">
        <v>8494</v>
      </c>
      <c r="T7996" s="41" t="s">
        <v>36846</v>
      </c>
      <c r="U7996" s="38" t="str">
        <f>HYPERLINK("https://www.ncbi.nlm.nih.gov/pubmed/1793238","PubMed")</f>
        <v>PubMed</v>
      </c>
      <c r="V7996" s="30" t="s">
        <v>36847</v>
      </c>
      <c r="W7996" s="49"/>
      <c r="X7996" s="49"/>
      <c r="Y7996" s="35"/>
      <c r="Z7996" s="35"/>
      <c r="AA7996" s="35"/>
      <c r="AB7996" s="35"/>
      <c r="AC7996" s="35"/>
      <c r="AD7996" s="35"/>
      <c r="AE7996" s="35"/>
      <c r="AF7996" s="35"/>
      <c r="AG7996" s="35"/>
      <c r="AH7996" s="35"/>
      <c r="AI7996" s="35"/>
      <c r="AJ7996" s="35"/>
      <c r="AK7996" s="35"/>
      <c r="AL7996" s="35"/>
    </row>
    <row r="7997">
      <c r="A7997" s="191" t="s">
        <v>181</v>
      </c>
      <c r="B7997" s="157" t="s">
        <v>6113</v>
      </c>
      <c r="C7997" s="158" t="s">
        <v>36719</v>
      </c>
      <c r="D7997" s="21"/>
      <c r="E7997" s="22" t="s">
        <v>36848</v>
      </c>
      <c r="F7997" s="22" t="s">
        <v>14371</v>
      </c>
      <c r="G7997" s="23">
        <v>1991.0</v>
      </c>
      <c r="H7997" s="22" t="s">
        <v>36849</v>
      </c>
      <c r="I7997" s="24" t="s">
        <v>36850</v>
      </c>
      <c r="J7997" s="22" t="s">
        <v>36851</v>
      </c>
      <c r="K7997" s="22"/>
      <c r="L7997" s="36">
        <v>904.0</v>
      </c>
      <c r="M7997" s="36">
        <v>4.0</v>
      </c>
      <c r="N7997" s="36" t="s">
        <v>58</v>
      </c>
      <c r="O7997" s="36" t="s">
        <v>58</v>
      </c>
      <c r="P7997" s="37" t="s">
        <v>34793</v>
      </c>
      <c r="Q7997" s="36" t="s">
        <v>58</v>
      </c>
      <c r="R7997" s="36">
        <v>600.0</v>
      </c>
      <c r="S7997" s="36" t="s">
        <v>36852</v>
      </c>
      <c r="T7997" s="41" t="s">
        <v>36853</v>
      </c>
      <c r="U7997" s="38" t="str">
        <f>HYPERLINK("https://www.ncbi.nlm.nih.gov/pubmed/1780722","PubMed")</f>
        <v>PubMed</v>
      </c>
      <c r="V7997" s="30" t="s">
        <v>36854</v>
      </c>
      <c r="W7997" s="49"/>
      <c r="X7997" s="49"/>
      <c r="Y7997" s="35"/>
      <c r="Z7997" s="35"/>
      <c r="AA7997" s="35"/>
      <c r="AB7997" s="35"/>
      <c r="AC7997" s="35"/>
      <c r="AD7997" s="35"/>
      <c r="AE7997" s="35"/>
      <c r="AF7997" s="35"/>
      <c r="AG7997" s="35"/>
      <c r="AH7997" s="35"/>
      <c r="AI7997" s="35"/>
      <c r="AJ7997" s="35"/>
      <c r="AK7997" s="35"/>
      <c r="AL7997" s="35"/>
    </row>
    <row r="7998">
      <c r="A7998" s="40"/>
      <c r="B7998" s="157" t="s">
        <v>6113</v>
      </c>
      <c r="C7998" s="158" t="s">
        <v>36719</v>
      </c>
      <c r="D7998" s="159"/>
      <c r="E7998" s="23" t="s">
        <v>36855</v>
      </c>
      <c r="F7998" s="23" t="s">
        <v>12021</v>
      </c>
      <c r="G7998" s="23">
        <v>1990.0</v>
      </c>
      <c r="H7998" s="23" t="s">
        <v>36856</v>
      </c>
      <c r="I7998" s="243" t="s">
        <v>36857</v>
      </c>
      <c r="J7998" s="23" t="s">
        <v>36858</v>
      </c>
      <c r="K7998" s="23"/>
      <c r="L7998" s="94" t="s">
        <v>36859</v>
      </c>
      <c r="M7998" s="94"/>
      <c r="N7998" s="94"/>
      <c r="O7998" s="94"/>
      <c r="P7998" s="94"/>
      <c r="Q7998" s="94"/>
      <c r="R7998" s="94" t="s">
        <v>36860</v>
      </c>
      <c r="S7998" s="94" t="s">
        <v>36861</v>
      </c>
      <c r="T7998" s="54" t="s">
        <v>36862</v>
      </c>
      <c r="U7998" s="135" t="str">
        <f>HYPERLINK("https://www.ncbi.nlm.nih.gov/pubmed/2310669","PubMed")</f>
        <v>PubMed</v>
      </c>
      <c r="V7998" s="30"/>
      <c r="W7998" s="49"/>
      <c r="X7998" s="49"/>
      <c r="Y7998" s="35"/>
      <c r="Z7998" s="35"/>
      <c r="AA7998" s="35"/>
      <c r="AB7998" s="35"/>
      <c r="AC7998" s="35"/>
      <c r="AD7998" s="35"/>
      <c r="AE7998" s="35"/>
      <c r="AF7998" s="35"/>
      <c r="AG7998" s="35"/>
      <c r="AH7998" s="35"/>
      <c r="AI7998" s="35"/>
      <c r="AJ7998" s="35"/>
      <c r="AK7998" s="35"/>
      <c r="AL7998" s="35"/>
    </row>
    <row r="7999">
      <c r="A7999" s="40"/>
      <c r="B7999" s="157" t="s">
        <v>6113</v>
      </c>
      <c r="C7999" s="158" t="s">
        <v>36719</v>
      </c>
      <c r="D7999" s="159"/>
      <c r="E7999" s="23" t="s">
        <v>36863</v>
      </c>
      <c r="F7999" s="23" t="s">
        <v>1773</v>
      </c>
      <c r="G7999" s="23">
        <v>1984.0</v>
      </c>
      <c r="H7999" s="23" t="s">
        <v>36864</v>
      </c>
      <c r="I7999" s="243" t="s">
        <v>36865</v>
      </c>
      <c r="J7999" s="23" t="s">
        <v>36866</v>
      </c>
      <c r="K7999" s="23"/>
      <c r="L7999" s="94">
        <v>633.0</v>
      </c>
      <c r="M7999" s="94"/>
      <c r="N7999" s="94"/>
      <c r="O7999" s="94"/>
      <c r="P7999" s="94" t="s">
        <v>18105</v>
      </c>
      <c r="Q7999" s="94"/>
      <c r="R7999" s="94"/>
      <c r="S7999" s="94" t="s">
        <v>36867</v>
      </c>
      <c r="T7999" s="103" t="s">
        <v>36868</v>
      </c>
      <c r="U7999" s="135" t="str">
        <f>HYPERLINK("https://www.ncbi.nlm.nih.gov/pubmed/6531303","PubMed")</f>
        <v>PubMed</v>
      </c>
      <c r="V7999" s="30" t="s">
        <v>174</v>
      </c>
      <c r="W7999" s="49"/>
      <c r="X7999" s="49"/>
      <c r="Y7999" s="35"/>
      <c r="Z7999" s="35"/>
      <c r="AA7999" s="35"/>
      <c r="AB7999" s="35"/>
      <c r="AC7999" s="35"/>
      <c r="AD7999" s="35"/>
      <c r="AE7999" s="35"/>
      <c r="AF7999" s="35"/>
      <c r="AG7999" s="35"/>
      <c r="AH7999" s="35"/>
      <c r="AI7999" s="35"/>
      <c r="AJ7999" s="35"/>
      <c r="AK7999" s="35"/>
      <c r="AL7999" s="35"/>
    </row>
    <row r="8000">
      <c r="A8000" s="1"/>
      <c r="B8000" s="75" t="s">
        <v>6113</v>
      </c>
      <c r="C8000" s="76" t="s">
        <v>34045</v>
      </c>
      <c r="D8000" s="159"/>
      <c r="E8000" s="23" t="s">
        <v>36869</v>
      </c>
      <c r="F8000" s="23" t="s">
        <v>19850</v>
      </c>
      <c r="G8000" s="23">
        <v>2022.0</v>
      </c>
      <c r="H8000" s="23" t="s">
        <v>77</v>
      </c>
      <c r="I8000" s="243" t="s">
        <v>36870</v>
      </c>
      <c r="J8000" s="23" t="s">
        <v>44</v>
      </c>
      <c r="K8000" s="23"/>
      <c r="L8000" s="94">
        <v>940.0</v>
      </c>
      <c r="M8000" s="94">
        <v>400.0</v>
      </c>
      <c r="N8000" s="94"/>
      <c r="O8000" s="94"/>
      <c r="P8000" s="94"/>
      <c r="Q8000" s="94" t="s">
        <v>36871</v>
      </c>
      <c r="R8000" s="94">
        <v>300.0</v>
      </c>
      <c r="S8000" s="94" t="s">
        <v>36872</v>
      </c>
      <c r="T8000" s="54" t="s">
        <v>36873</v>
      </c>
      <c r="U8000" s="138" t="s">
        <v>61</v>
      </c>
      <c r="V8000" s="30" t="s">
        <v>174</v>
      </c>
      <c r="W8000" s="49"/>
      <c r="X8000" s="49"/>
      <c r="Y8000" s="35"/>
      <c r="Z8000" s="35"/>
      <c r="AA8000" s="35"/>
      <c r="AB8000" s="35"/>
      <c r="AC8000" s="35"/>
      <c r="AD8000" s="35"/>
      <c r="AE8000" s="35"/>
      <c r="AF8000" s="35"/>
      <c r="AG8000" s="35"/>
      <c r="AH8000" s="35"/>
      <c r="AI8000" s="35"/>
      <c r="AJ8000" s="35"/>
      <c r="AK8000" s="35"/>
      <c r="AL8000" s="35"/>
    </row>
    <row r="8001">
      <c r="A8001" s="1"/>
      <c r="B8001" s="75" t="s">
        <v>6113</v>
      </c>
      <c r="C8001" s="76" t="s">
        <v>34045</v>
      </c>
      <c r="D8001" s="159"/>
      <c r="E8001" s="23" t="s">
        <v>36874</v>
      </c>
      <c r="F8001" s="23" t="s">
        <v>797</v>
      </c>
      <c r="G8001" s="23">
        <v>2021.0</v>
      </c>
      <c r="H8001" s="23" t="s">
        <v>207</v>
      </c>
      <c r="I8001" s="243" t="s">
        <v>36875</v>
      </c>
      <c r="J8001" s="23" t="s">
        <v>55</v>
      </c>
      <c r="K8001" s="23"/>
      <c r="L8001" s="94" t="s">
        <v>1773</v>
      </c>
      <c r="M8001" s="458"/>
      <c r="N8001" s="94"/>
      <c r="O8001" s="94"/>
      <c r="P8001" s="94"/>
      <c r="Q8001" s="94"/>
      <c r="R8001" s="94"/>
      <c r="S8001" s="94"/>
      <c r="T8001" s="54" t="s">
        <v>36876</v>
      </c>
      <c r="U8001" s="138" t="s">
        <v>61</v>
      </c>
      <c r="V8001" s="30"/>
      <c r="W8001" s="49"/>
      <c r="X8001" s="49"/>
      <c r="Y8001" s="35"/>
      <c r="Z8001" s="35"/>
      <c r="AA8001" s="35"/>
      <c r="AB8001" s="35"/>
      <c r="AC8001" s="35"/>
      <c r="AD8001" s="35"/>
      <c r="AE8001" s="35"/>
      <c r="AF8001" s="35"/>
      <c r="AG8001" s="35"/>
      <c r="AH8001" s="35"/>
      <c r="AI8001" s="35"/>
      <c r="AJ8001" s="35"/>
      <c r="AK8001" s="35"/>
      <c r="AL8001" s="35"/>
    </row>
    <row r="8002">
      <c r="A8002" s="456"/>
      <c r="B8002" s="75" t="s">
        <v>6113</v>
      </c>
      <c r="C8002" s="76" t="s">
        <v>34045</v>
      </c>
      <c r="D8002" s="159"/>
      <c r="E8002" s="23" t="s">
        <v>36877</v>
      </c>
      <c r="F8002" s="23" t="s">
        <v>274</v>
      </c>
      <c r="G8002" s="23">
        <v>2019.0</v>
      </c>
      <c r="H8002" s="23" t="s">
        <v>91</v>
      </c>
      <c r="I8002" s="243" t="s">
        <v>36878</v>
      </c>
      <c r="J8002" s="23" t="s">
        <v>36879</v>
      </c>
      <c r="K8002" s="23" t="s">
        <v>36880</v>
      </c>
      <c r="L8002" s="94" t="s">
        <v>16809</v>
      </c>
      <c r="M8002" s="94">
        <v>200.0</v>
      </c>
      <c r="N8002" s="94" t="s">
        <v>431</v>
      </c>
      <c r="O8002" s="474" t="s">
        <v>10936</v>
      </c>
      <c r="P8002" s="94">
        <v>6.0</v>
      </c>
      <c r="Q8002" s="94" t="s">
        <v>19376</v>
      </c>
      <c r="R8002" s="94">
        <v>15.0</v>
      </c>
      <c r="S8002" s="94">
        <v>10.0</v>
      </c>
      <c r="T8002" s="54" t="s">
        <v>36881</v>
      </c>
      <c r="U8002" s="135" t="str">
        <f>HYPERLINK("https://www.ncbi.nlm.nih.gov/pubmed/31168678","PubMed")</f>
        <v>PubMed</v>
      </c>
      <c r="V8002" s="30"/>
      <c r="W8002" s="49"/>
      <c r="X8002" s="49"/>
      <c r="Y8002" s="35"/>
      <c r="Z8002" s="35"/>
      <c r="AA8002" s="35"/>
      <c r="AB8002" s="35"/>
      <c r="AC8002" s="35"/>
      <c r="AD8002" s="35"/>
      <c r="AE8002" s="35"/>
      <c r="AF8002" s="35"/>
      <c r="AG8002" s="35"/>
      <c r="AH8002" s="35"/>
      <c r="AI8002" s="35"/>
      <c r="AJ8002" s="35"/>
      <c r="AK8002" s="35"/>
      <c r="AL8002" s="35"/>
    </row>
    <row r="8003">
      <c r="A8003" s="415"/>
      <c r="B8003" s="19" t="s">
        <v>6113</v>
      </c>
      <c r="C8003" s="76" t="s">
        <v>34045</v>
      </c>
      <c r="D8003" s="159"/>
      <c r="E8003" s="23" t="s">
        <v>5532</v>
      </c>
      <c r="F8003" s="23" t="s">
        <v>24122</v>
      </c>
      <c r="G8003" s="23">
        <v>2018.0</v>
      </c>
      <c r="H8003" s="23" t="s">
        <v>147</v>
      </c>
      <c r="I8003" s="243" t="s">
        <v>36882</v>
      </c>
      <c r="J8003" s="23" t="s">
        <v>44</v>
      </c>
      <c r="K8003" s="23"/>
      <c r="L8003" s="52">
        <v>904.0</v>
      </c>
      <c r="M8003" s="52">
        <v>10.0</v>
      </c>
      <c r="N8003" s="52"/>
      <c r="O8003" s="52"/>
      <c r="P8003" s="189" t="s">
        <v>36883</v>
      </c>
      <c r="Q8003" s="52"/>
      <c r="R8003" s="52"/>
      <c r="S8003" s="52"/>
      <c r="T8003" s="54" t="s">
        <v>36884</v>
      </c>
      <c r="U8003" s="135" t="str">
        <f>HYPERLINK("https://www.ncbi.nlm.nih.gov/pubmed/30026899","PubMed")</f>
        <v>PubMed</v>
      </c>
      <c r="V8003" s="30"/>
      <c r="W8003" s="49"/>
      <c r="X8003" s="49"/>
      <c r="Y8003" s="35"/>
      <c r="Z8003" s="35"/>
      <c r="AA8003" s="35"/>
      <c r="AB8003" s="35"/>
      <c r="AC8003" s="35"/>
      <c r="AD8003" s="35"/>
      <c r="AE8003" s="35"/>
      <c r="AF8003" s="35"/>
      <c r="AG8003" s="35"/>
      <c r="AH8003" s="35"/>
      <c r="AI8003" s="35"/>
      <c r="AJ8003" s="35"/>
      <c r="AK8003" s="35"/>
      <c r="AL8003" s="35"/>
    </row>
    <row r="8004">
      <c r="A8004" s="1"/>
      <c r="B8004" s="157" t="s">
        <v>6113</v>
      </c>
      <c r="C8004" s="76" t="s">
        <v>34045</v>
      </c>
      <c r="D8004" s="159"/>
      <c r="E8004" s="23" t="s">
        <v>1689</v>
      </c>
      <c r="F8004" s="23" t="s">
        <v>10116</v>
      </c>
      <c r="G8004" s="23">
        <v>2017.0</v>
      </c>
      <c r="H8004" s="23" t="s">
        <v>36885</v>
      </c>
      <c r="I8004" s="243" t="s">
        <v>36886</v>
      </c>
      <c r="J8004" s="23" t="s">
        <v>253</v>
      </c>
      <c r="K8004" s="23" t="s">
        <v>157</v>
      </c>
      <c r="L8004" s="94" t="s">
        <v>36887</v>
      </c>
      <c r="M8004" s="94"/>
      <c r="N8004" s="94"/>
      <c r="O8004" s="94"/>
      <c r="P8004" s="94"/>
      <c r="Q8004" s="172"/>
      <c r="R8004" s="94"/>
      <c r="S8004" s="94"/>
      <c r="T8004" s="54" t="s">
        <v>36888</v>
      </c>
      <c r="U8004" s="135" t="str">
        <f>HYPERLINK("https://www.ncbi.nlm.nih.gov/pubmed/28695797","PubMed")</f>
        <v>PubMed</v>
      </c>
      <c r="V8004" s="30"/>
      <c r="W8004" s="49"/>
      <c r="X8004" s="49"/>
      <c r="Y8004" s="35"/>
      <c r="Z8004" s="35"/>
      <c r="AA8004" s="35"/>
      <c r="AB8004" s="35"/>
      <c r="AC8004" s="35"/>
      <c r="AD8004" s="35"/>
      <c r="AE8004" s="35"/>
      <c r="AF8004" s="35"/>
      <c r="AG8004" s="35"/>
      <c r="AH8004" s="35"/>
      <c r="AI8004" s="35"/>
      <c r="AJ8004" s="35"/>
      <c r="AK8004" s="35"/>
      <c r="AL8004" s="35"/>
    </row>
    <row r="8005">
      <c r="A8005" s="1"/>
      <c r="B8005" s="157" t="s">
        <v>6113</v>
      </c>
      <c r="C8005" s="76" t="s">
        <v>34045</v>
      </c>
      <c r="D8005" s="159"/>
      <c r="E8005" s="23" t="s">
        <v>4057</v>
      </c>
      <c r="F8005" s="23" t="s">
        <v>2196</v>
      </c>
      <c r="G8005" s="23">
        <v>2015.0</v>
      </c>
      <c r="H8005" s="23" t="s">
        <v>29662</v>
      </c>
      <c r="I8005" s="243" t="s">
        <v>36889</v>
      </c>
      <c r="J8005" s="23" t="s">
        <v>378</v>
      </c>
      <c r="K8005" s="23" t="s">
        <v>157</v>
      </c>
      <c r="L8005" s="94" t="s">
        <v>36890</v>
      </c>
      <c r="M8005" s="94"/>
      <c r="N8005" s="94"/>
      <c r="O8005" s="94"/>
      <c r="P8005" s="94"/>
      <c r="Q8005" s="172"/>
      <c r="R8005" s="94"/>
      <c r="S8005" s="94"/>
      <c r="T8005" s="54" t="s">
        <v>36891</v>
      </c>
      <c r="U8005" s="135" t="s">
        <v>29665</v>
      </c>
      <c r="V8005" s="30"/>
      <c r="W8005" s="49"/>
      <c r="X8005" s="49"/>
      <c r="Y8005" s="35"/>
      <c r="Z8005" s="35"/>
      <c r="AA8005" s="35"/>
      <c r="AB8005" s="35"/>
      <c r="AC8005" s="35"/>
      <c r="AD8005" s="35"/>
      <c r="AE8005" s="35"/>
      <c r="AF8005" s="35"/>
      <c r="AG8005" s="35"/>
      <c r="AH8005" s="35"/>
      <c r="AI8005" s="35"/>
      <c r="AJ8005" s="35"/>
      <c r="AK8005" s="35"/>
      <c r="AL8005" s="35"/>
    </row>
    <row r="8006">
      <c r="A8006" s="1"/>
      <c r="B8006" s="157" t="s">
        <v>6113</v>
      </c>
      <c r="C8006" s="76" t="s">
        <v>34045</v>
      </c>
      <c r="D8006" s="47"/>
      <c r="E8006" s="22" t="s">
        <v>23700</v>
      </c>
      <c r="F8006" s="22" t="s">
        <v>36892</v>
      </c>
      <c r="G8006" s="23">
        <v>2011.0</v>
      </c>
      <c r="H8006" s="22" t="s">
        <v>36893</v>
      </c>
      <c r="I8006" s="24" t="s">
        <v>36894</v>
      </c>
      <c r="J8006" s="23" t="s">
        <v>253</v>
      </c>
      <c r="K8006" s="23"/>
      <c r="L8006" s="36">
        <v>890.0</v>
      </c>
      <c r="M8006" s="36"/>
      <c r="N8006" s="36"/>
      <c r="O8006" s="36"/>
      <c r="P8006" s="37"/>
      <c r="Q8006" s="36"/>
      <c r="R8006" s="36">
        <v>300.0</v>
      </c>
      <c r="S8006" s="36" t="s">
        <v>36895</v>
      </c>
      <c r="T8006" s="28" t="s">
        <v>36896</v>
      </c>
      <c r="U8006" s="29" t="s">
        <v>61</v>
      </c>
      <c r="V8006" s="50"/>
      <c r="W8006" s="49"/>
      <c r="X8006" s="49"/>
      <c r="Y8006" s="35"/>
      <c r="Z8006" s="35"/>
      <c r="AA8006" s="35"/>
      <c r="AB8006" s="35"/>
      <c r="AC8006" s="35"/>
      <c r="AD8006" s="35"/>
      <c r="AE8006" s="35"/>
      <c r="AF8006" s="35"/>
      <c r="AG8006" s="35"/>
      <c r="AH8006" s="35"/>
      <c r="AI8006" s="35"/>
      <c r="AJ8006" s="35"/>
      <c r="AK8006" s="35"/>
      <c r="AL8006" s="35"/>
    </row>
    <row r="8007">
      <c r="A8007" s="1"/>
      <c r="B8007" s="157" t="s">
        <v>6113</v>
      </c>
      <c r="C8007" s="76" t="s">
        <v>34045</v>
      </c>
      <c r="D8007" s="47"/>
      <c r="E8007" s="22" t="s">
        <v>36897</v>
      </c>
      <c r="F8007" s="22" t="s">
        <v>748</v>
      </c>
      <c r="G8007" s="23">
        <v>2008.0</v>
      </c>
      <c r="H8007" s="22" t="s">
        <v>36898</v>
      </c>
      <c r="I8007" s="24" t="s">
        <v>36899</v>
      </c>
      <c r="J8007" s="23" t="s">
        <v>55</v>
      </c>
      <c r="K8007" s="23" t="s">
        <v>294</v>
      </c>
      <c r="L8007" s="36" t="s">
        <v>36900</v>
      </c>
      <c r="M8007" s="36"/>
      <c r="N8007" s="36"/>
      <c r="O8007" s="36"/>
      <c r="P8007" s="37" t="s">
        <v>36901</v>
      </c>
      <c r="Q8007" s="36"/>
      <c r="R8007" s="36"/>
      <c r="S8007" s="36"/>
      <c r="T8007" s="28" t="s">
        <v>36902</v>
      </c>
      <c r="U8007" s="38" t="str">
        <f>HYPERLINK("https://www.ncbi.nlm.nih.gov/pubmed/18954021","PubMed")</f>
        <v>PubMed</v>
      </c>
      <c r="V8007" s="50"/>
      <c r="W8007" s="49"/>
      <c r="X8007" s="49"/>
      <c r="Y8007" s="35"/>
      <c r="Z8007" s="35"/>
      <c r="AA8007" s="35"/>
      <c r="AB8007" s="35"/>
      <c r="AC8007" s="35"/>
      <c r="AD8007" s="35"/>
      <c r="AE8007" s="35"/>
      <c r="AF8007" s="35"/>
      <c r="AG8007" s="35"/>
      <c r="AH8007" s="35"/>
      <c r="AI8007" s="35"/>
      <c r="AJ8007" s="35"/>
      <c r="AK8007" s="35"/>
      <c r="AL8007" s="35"/>
    </row>
    <row r="8008">
      <c r="A8008" s="1"/>
      <c r="B8008" s="19" t="s">
        <v>6113</v>
      </c>
      <c r="C8008" s="158" t="s">
        <v>34045</v>
      </c>
      <c r="D8008" s="47"/>
      <c r="E8008" s="22" t="s">
        <v>36903</v>
      </c>
      <c r="F8008" s="22" t="s">
        <v>1773</v>
      </c>
      <c r="G8008" s="23">
        <v>1994.0</v>
      </c>
      <c r="H8008" s="22" t="s">
        <v>1289</v>
      </c>
      <c r="I8008" s="24" t="s">
        <v>36904</v>
      </c>
      <c r="J8008" s="23" t="s">
        <v>55</v>
      </c>
      <c r="K8008" s="23" t="s">
        <v>294</v>
      </c>
      <c r="L8008" s="36" t="s">
        <v>36905</v>
      </c>
      <c r="M8008" s="36"/>
      <c r="N8008" s="36"/>
      <c r="O8008" s="36"/>
      <c r="P8008" s="37"/>
      <c r="Q8008" s="36"/>
      <c r="R8008" s="36"/>
      <c r="S8008" s="36"/>
      <c r="T8008" s="42" t="s">
        <v>36906</v>
      </c>
      <c r="U8008" s="38" t="str">
        <f>HYPERLINK("https://www.liebertpub.com/doi/abs/10.1089/clm.1994.12.327","Liebert")</f>
        <v>Liebert</v>
      </c>
      <c r="V8008" s="50"/>
      <c r="W8008" s="49"/>
      <c r="X8008" s="49"/>
      <c r="Y8008" s="35"/>
      <c r="Z8008" s="35"/>
      <c r="AA8008" s="35"/>
      <c r="AB8008" s="35"/>
      <c r="AC8008" s="35"/>
      <c r="AD8008" s="35"/>
      <c r="AE8008" s="35"/>
      <c r="AF8008" s="35"/>
      <c r="AG8008" s="35"/>
      <c r="AH8008" s="35"/>
      <c r="AI8008" s="35"/>
      <c r="AJ8008" s="35"/>
      <c r="AK8008" s="35"/>
      <c r="AL8008" s="35"/>
    </row>
    <row r="8009">
      <c r="A8009" s="1"/>
      <c r="B8009" s="19" t="s">
        <v>6113</v>
      </c>
      <c r="C8009" s="158" t="s">
        <v>34045</v>
      </c>
      <c r="D8009" s="47"/>
      <c r="E8009" s="22" t="s">
        <v>36369</v>
      </c>
      <c r="F8009" s="22" t="s">
        <v>36370</v>
      </c>
      <c r="G8009" s="23">
        <v>1994.0</v>
      </c>
      <c r="H8009" s="22" t="s">
        <v>23185</v>
      </c>
      <c r="I8009" s="24" t="s">
        <v>36907</v>
      </c>
      <c r="J8009" s="22" t="s">
        <v>55</v>
      </c>
      <c r="K8009" s="22"/>
      <c r="L8009" s="36">
        <v>633.0</v>
      </c>
      <c r="M8009" s="129"/>
      <c r="N8009" s="36"/>
      <c r="O8009" s="36"/>
      <c r="P8009" s="37" t="s">
        <v>254</v>
      </c>
      <c r="Q8009" s="36"/>
      <c r="R8009" s="36">
        <v>300.0</v>
      </c>
      <c r="S8009" s="36"/>
      <c r="T8009" s="28" t="s">
        <v>36908</v>
      </c>
      <c r="U8009" s="38" t="str">
        <f>HYPERLINK("https://www.ncbi.nlm.nih.gov/pubmed/7927552","PubMed")</f>
        <v>PubMed</v>
      </c>
      <c r="V8009" s="50"/>
      <c r="W8009" s="49"/>
      <c r="X8009" s="49"/>
      <c r="Y8009" s="35"/>
      <c r="Z8009" s="35"/>
      <c r="AA8009" s="35"/>
      <c r="AB8009" s="35"/>
      <c r="AC8009" s="35"/>
      <c r="AD8009" s="35"/>
      <c r="AE8009" s="35"/>
      <c r="AF8009" s="35"/>
      <c r="AG8009" s="35"/>
      <c r="AH8009" s="35"/>
      <c r="AI8009" s="35"/>
      <c r="AJ8009" s="35"/>
      <c r="AK8009" s="35"/>
      <c r="AL8009" s="35"/>
    </row>
    <row r="8010">
      <c r="A8010" s="457"/>
      <c r="B8010" s="475"/>
      <c r="C8010" s="476"/>
      <c r="D8010" s="477"/>
      <c r="E8010" s="96"/>
      <c r="F8010" s="96"/>
      <c r="G8010" s="325"/>
      <c r="H8010" s="96"/>
      <c r="I8010" s="478"/>
      <c r="J8010" s="96"/>
      <c r="K8010" s="96"/>
      <c r="L8010" s="107"/>
      <c r="M8010" s="107"/>
      <c r="N8010" s="107"/>
      <c r="O8010" s="107"/>
      <c r="P8010" s="109"/>
      <c r="Q8010" s="107"/>
      <c r="R8010" s="107"/>
      <c r="S8010" s="107"/>
      <c r="T8010" s="479"/>
      <c r="U8010" s="296"/>
      <c r="V8010" s="50"/>
      <c r="W8010" s="49"/>
      <c r="X8010" s="49"/>
      <c r="Y8010" s="35"/>
      <c r="Z8010" s="35"/>
      <c r="AA8010" s="35"/>
      <c r="AB8010" s="35"/>
      <c r="AC8010" s="35"/>
      <c r="AD8010" s="35"/>
      <c r="AE8010" s="35"/>
      <c r="AF8010" s="35"/>
      <c r="AG8010" s="35"/>
      <c r="AH8010" s="35"/>
      <c r="AI8010" s="35"/>
      <c r="AJ8010" s="35"/>
      <c r="AK8010" s="35"/>
      <c r="AL8010" s="35"/>
    </row>
    <row r="8011">
      <c r="A8011" s="457"/>
      <c r="B8011" s="475"/>
      <c r="C8011" s="476"/>
      <c r="D8011" s="477"/>
      <c r="E8011" s="96"/>
      <c r="F8011" s="96"/>
      <c r="G8011" s="325"/>
      <c r="H8011" s="96"/>
      <c r="I8011" s="478"/>
      <c r="J8011" s="96"/>
      <c r="K8011" s="96"/>
      <c r="L8011" s="107"/>
      <c r="M8011" s="107"/>
      <c r="N8011" s="107"/>
      <c r="O8011" s="107"/>
      <c r="P8011" s="109"/>
      <c r="Q8011" s="107"/>
      <c r="R8011" s="107"/>
      <c r="S8011" s="107"/>
      <c r="T8011" s="479"/>
      <c r="U8011" s="296"/>
      <c r="V8011" s="50"/>
      <c r="W8011" s="49"/>
      <c r="X8011" s="49"/>
      <c r="Y8011" s="35"/>
      <c r="Z8011" s="35"/>
      <c r="AA8011" s="35"/>
      <c r="AB8011" s="35"/>
      <c r="AC8011" s="35"/>
      <c r="AD8011" s="35"/>
      <c r="AE8011" s="35"/>
      <c r="AF8011" s="35"/>
      <c r="AG8011" s="35"/>
      <c r="AH8011" s="35"/>
      <c r="AI8011" s="35"/>
      <c r="AJ8011" s="35"/>
      <c r="AK8011" s="35"/>
      <c r="AL8011" s="35"/>
    </row>
    <row r="8012">
      <c r="A8012" s="457"/>
      <c r="B8012" s="475"/>
      <c r="C8012" s="476"/>
      <c r="D8012" s="477"/>
      <c r="E8012" s="96"/>
      <c r="F8012" s="96"/>
      <c r="G8012" s="325"/>
      <c r="H8012" s="96"/>
      <c r="I8012" s="478"/>
      <c r="J8012" s="96"/>
      <c r="K8012" s="96"/>
      <c r="L8012" s="107"/>
      <c r="M8012" s="107"/>
      <c r="N8012" s="107"/>
      <c r="O8012" s="107"/>
      <c r="P8012" s="109"/>
      <c r="Q8012" s="107"/>
      <c r="R8012" s="107"/>
      <c r="S8012" s="107"/>
      <c r="T8012" s="479"/>
      <c r="U8012" s="296"/>
      <c r="V8012" s="50"/>
      <c r="W8012" s="49"/>
      <c r="X8012" s="49"/>
      <c r="Y8012" s="35"/>
      <c r="Z8012" s="35"/>
      <c r="AA8012" s="35"/>
      <c r="AB8012" s="35"/>
      <c r="AC8012" s="35"/>
      <c r="AD8012" s="35"/>
      <c r="AE8012" s="35"/>
      <c r="AF8012" s="35"/>
      <c r="AG8012" s="35"/>
      <c r="AH8012" s="35"/>
      <c r="AI8012" s="35"/>
      <c r="AJ8012" s="35"/>
      <c r="AK8012" s="35"/>
      <c r="AL8012" s="35"/>
    </row>
    <row r="8013">
      <c r="A8013" s="457"/>
      <c r="B8013" s="475"/>
      <c r="C8013" s="476"/>
      <c r="D8013" s="477"/>
      <c r="E8013" s="96"/>
      <c r="F8013" s="96"/>
      <c r="G8013" s="325"/>
      <c r="H8013" s="96"/>
      <c r="I8013" s="478"/>
      <c r="J8013" s="96"/>
      <c r="K8013" s="96"/>
      <c r="L8013" s="107"/>
      <c r="M8013" s="107"/>
      <c r="N8013" s="107"/>
      <c r="O8013" s="107"/>
      <c r="P8013" s="109"/>
      <c r="Q8013" s="107"/>
      <c r="R8013" s="107"/>
      <c r="S8013" s="107"/>
      <c r="T8013" s="479"/>
      <c r="U8013" s="296"/>
      <c r="V8013" s="50"/>
      <c r="W8013" s="49"/>
      <c r="X8013" s="49"/>
      <c r="Y8013" s="35"/>
      <c r="Z8013" s="35"/>
      <c r="AA8013" s="35"/>
      <c r="AB8013" s="35"/>
      <c r="AC8013" s="35"/>
      <c r="AD8013" s="35"/>
      <c r="AE8013" s="35"/>
      <c r="AF8013" s="35"/>
      <c r="AG8013" s="35"/>
      <c r="AH8013" s="35"/>
      <c r="AI8013" s="35"/>
      <c r="AJ8013" s="35"/>
      <c r="AK8013" s="35"/>
      <c r="AL8013" s="35"/>
    </row>
    <row r="8014">
      <c r="A8014" s="457"/>
      <c r="B8014" s="475"/>
      <c r="C8014" s="476"/>
      <c r="D8014" s="477"/>
      <c r="E8014" s="96"/>
      <c r="F8014" s="96"/>
      <c r="G8014" s="325"/>
      <c r="H8014" s="96"/>
      <c r="I8014" s="478"/>
      <c r="J8014" s="96"/>
      <c r="K8014" s="96"/>
      <c r="L8014" s="107"/>
      <c r="M8014" s="107"/>
      <c r="N8014" s="107"/>
      <c r="O8014" s="107"/>
      <c r="P8014" s="109"/>
      <c r="Q8014" s="107"/>
      <c r="R8014" s="107"/>
      <c r="S8014" s="107"/>
      <c r="T8014" s="479"/>
      <c r="U8014" s="296"/>
      <c r="V8014" s="50"/>
      <c r="W8014" s="49"/>
      <c r="X8014" s="49"/>
      <c r="Y8014" s="35"/>
      <c r="Z8014" s="35"/>
      <c r="AA8014" s="35"/>
      <c r="AB8014" s="35"/>
      <c r="AC8014" s="35"/>
      <c r="AD8014" s="35"/>
      <c r="AE8014" s="35"/>
      <c r="AF8014" s="35"/>
      <c r="AG8014" s="35"/>
      <c r="AH8014" s="35"/>
      <c r="AI8014" s="35"/>
      <c r="AJ8014" s="35"/>
      <c r="AK8014" s="35"/>
      <c r="AL8014" s="35"/>
    </row>
    <row r="8015">
      <c r="A8015" s="457"/>
      <c r="B8015" s="475"/>
      <c r="C8015" s="476"/>
      <c r="D8015" s="477"/>
      <c r="E8015" s="96"/>
      <c r="F8015" s="96"/>
      <c r="G8015" s="325"/>
      <c r="H8015" s="96"/>
      <c r="I8015" s="478"/>
      <c r="J8015" s="96"/>
      <c r="K8015" s="96"/>
      <c r="L8015" s="107"/>
      <c r="M8015" s="107"/>
      <c r="N8015" s="107"/>
      <c r="O8015" s="107"/>
      <c r="P8015" s="109"/>
      <c r="Q8015" s="107"/>
      <c r="R8015" s="107"/>
      <c r="S8015" s="107"/>
      <c r="T8015" s="479"/>
      <c r="U8015" s="296"/>
      <c r="V8015" s="50"/>
      <c r="W8015" s="49"/>
      <c r="X8015" s="49"/>
      <c r="Y8015" s="35"/>
      <c r="Z8015" s="35"/>
      <c r="AA8015" s="35"/>
      <c r="AB8015" s="35"/>
      <c r="AC8015" s="35"/>
      <c r="AD8015" s="35"/>
      <c r="AE8015" s="35"/>
      <c r="AF8015" s="35"/>
      <c r="AG8015" s="35"/>
      <c r="AH8015" s="35"/>
      <c r="AI8015" s="35"/>
      <c r="AJ8015" s="35"/>
      <c r="AK8015" s="35"/>
      <c r="AL8015" s="35"/>
    </row>
    <row r="8016">
      <c r="A8016" s="457"/>
      <c r="B8016" s="475"/>
      <c r="C8016" s="476"/>
      <c r="D8016" s="477"/>
      <c r="E8016" s="96"/>
      <c r="F8016" s="96"/>
      <c r="G8016" s="325"/>
      <c r="H8016" s="96"/>
      <c r="I8016" s="478"/>
      <c r="J8016" s="96"/>
      <c r="K8016" s="96"/>
      <c r="L8016" s="107"/>
      <c r="M8016" s="107"/>
      <c r="N8016" s="107"/>
      <c r="O8016" s="107"/>
      <c r="P8016" s="109"/>
      <c r="Q8016" s="107"/>
      <c r="R8016" s="107"/>
      <c r="S8016" s="107"/>
      <c r="T8016" s="479"/>
      <c r="U8016" s="296"/>
      <c r="V8016" s="50"/>
      <c r="W8016" s="49"/>
      <c r="X8016" s="49"/>
      <c r="Y8016" s="35"/>
      <c r="Z8016" s="35"/>
      <c r="AA8016" s="35"/>
      <c r="AB8016" s="35"/>
      <c r="AC8016" s="35"/>
      <c r="AD8016" s="35"/>
      <c r="AE8016" s="35"/>
      <c r="AF8016" s="35"/>
      <c r="AG8016" s="35"/>
      <c r="AH8016" s="35"/>
      <c r="AI8016" s="35"/>
      <c r="AJ8016" s="35"/>
      <c r="AK8016" s="35"/>
      <c r="AL8016" s="35"/>
    </row>
    <row r="8017">
      <c r="A8017" s="457"/>
      <c r="B8017" s="475"/>
      <c r="C8017" s="476"/>
      <c r="D8017" s="477"/>
      <c r="E8017" s="96"/>
      <c r="F8017" s="96"/>
      <c r="G8017" s="325"/>
      <c r="H8017" s="96"/>
      <c r="I8017" s="478"/>
      <c r="J8017" s="96"/>
      <c r="K8017" s="96"/>
      <c r="L8017" s="107"/>
      <c r="M8017" s="107"/>
      <c r="N8017" s="107"/>
      <c r="O8017" s="107"/>
      <c r="P8017" s="109"/>
      <c r="Q8017" s="107"/>
      <c r="R8017" s="107"/>
      <c r="S8017" s="107"/>
      <c r="T8017" s="479"/>
      <c r="U8017" s="296"/>
      <c r="V8017" s="50"/>
      <c r="W8017" s="49"/>
      <c r="X8017" s="49"/>
      <c r="Y8017" s="35"/>
      <c r="Z8017" s="35"/>
      <c r="AA8017" s="35"/>
      <c r="AB8017" s="35"/>
      <c r="AC8017" s="35"/>
      <c r="AD8017" s="35"/>
      <c r="AE8017" s="35"/>
      <c r="AF8017" s="35"/>
      <c r="AG8017" s="35"/>
      <c r="AH8017" s="35"/>
      <c r="AI8017" s="35"/>
      <c r="AJ8017" s="35"/>
      <c r="AK8017" s="35"/>
      <c r="AL8017" s="35"/>
    </row>
    <row r="8018">
      <c r="A8018" s="457"/>
      <c r="B8018" s="475"/>
      <c r="C8018" s="476"/>
      <c r="D8018" s="477"/>
      <c r="E8018" s="96"/>
      <c r="F8018" s="96"/>
      <c r="G8018" s="325"/>
      <c r="H8018" s="96"/>
      <c r="I8018" s="478"/>
      <c r="J8018" s="96"/>
      <c r="K8018" s="96"/>
      <c r="L8018" s="107"/>
      <c r="M8018" s="107"/>
      <c r="N8018" s="107"/>
      <c r="O8018" s="107"/>
      <c r="P8018" s="109"/>
      <c r="Q8018" s="107"/>
      <c r="R8018" s="107"/>
      <c r="S8018" s="107"/>
      <c r="T8018" s="479"/>
      <c r="U8018" s="296"/>
      <c r="V8018" s="50"/>
      <c r="W8018" s="49"/>
      <c r="X8018" s="49"/>
      <c r="Y8018" s="35"/>
      <c r="Z8018" s="35"/>
      <c r="AA8018" s="35"/>
      <c r="AB8018" s="35"/>
      <c r="AC8018" s="35"/>
      <c r="AD8018" s="35"/>
      <c r="AE8018" s="35"/>
      <c r="AF8018" s="35"/>
      <c r="AG8018" s="35"/>
      <c r="AH8018" s="35"/>
      <c r="AI8018" s="35"/>
      <c r="AJ8018" s="35"/>
      <c r="AK8018" s="35"/>
      <c r="AL8018" s="35"/>
    </row>
    <row r="8019">
      <c r="A8019" s="457"/>
      <c r="B8019" s="475"/>
      <c r="C8019" s="476"/>
      <c r="D8019" s="477"/>
      <c r="E8019" s="96"/>
      <c r="F8019" s="96"/>
      <c r="G8019" s="325"/>
      <c r="H8019" s="96"/>
      <c r="I8019" s="478"/>
      <c r="J8019" s="96"/>
      <c r="K8019" s="96"/>
      <c r="L8019" s="107"/>
      <c r="M8019" s="107"/>
      <c r="N8019" s="107"/>
      <c r="O8019" s="107"/>
      <c r="P8019" s="109"/>
      <c r="Q8019" s="107"/>
      <c r="R8019" s="107"/>
      <c r="S8019" s="107"/>
      <c r="T8019" s="479"/>
      <c r="U8019" s="296"/>
      <c r="V8019" s="50"/>
      <c r="W8019" s="49"/>
      <c r="X8019" s="49"/>
      <c r="Y8019" s="35"/>
      <c r="Z8019" s="35"/>
      <c r="AA8019" s="35"/>
      <c r="AB8019" s="35"/>
      <c r="AC8019" s="35"/>
      <c r="AD8019" s="35"/>
      <c r="AE8019" s="35"/>
      <c r="AF8019" s="35"/>
      <c r="AG8019" s="35"/>
      <c r="AH8019" s="35"/>
      <c r="AI8019" s="35"/>
      <c r="AJ8019" s="35"/>
      <c r="AK8019" s="35"/>
      <c r="AL8019" s="35"/>
    </row>
    <row r="8020">
      <c r="A8020" s="457"/>
      <c r="B8020" s="475"/>
      <c r="C8020" s="476"/>
      <c r="D8020" s="477"/>
      <c r="E8020" s="96"/>
      <c r="F8020" s="96"/>
      <c r="G8020" s="325"/>
      <c r="H8020" s="96"/>
      <c r="I8020" s="478"/>
      <c r="J8020" s="96"/>
      <c r="K8020" s="96"/>
      <c r="L8020" s="107"/>
      <c r="M8020" s="107"/>
      <c r="N8020" s="107"/>
      <c r="O8020" s="107"/>
      <c r="P8020" s="109"/>
      <c r="Q8020" s="107"/>
      <c r="R8020" s="107"/>
      <c r="S8020" s="107"/>
      <c r="T8020" s="479"/>
      <c r="U8020" s="296"/>
      <c r="V8020" s="50"/>
      <c r="W8020" s="49"/>
      <c r="X8020" s="49"/>
      <c r="Y8020" s="35"/>
      <c r="Z8020" s="35"/>
      <c r="AA8020" s="35"/>
      <c r="AB8020" s="35"/>
      <c r="AC8020" s="35"/>
      <c r="AD8020" s="35"/>
      <c r="AE8020" s="35"/>
      <c r="AF8020" s="35"/>
      <c r="AG8020" s="35"/>
      <c r="AH8020" s="35"/>
      <c r="AI8020" s="35"/>
      <c r="AJ8020" s="35"/>
      <c r="AK8020" s="35"/>
      <c r="AL8020" s="35"/>
    </row>
    <row r="8021">
      <c r="A8021" s="457"/>
      <c r="B8021" s="475"/>
      <c r="C8021" s="476"/>
      <c r="D8021" s="477"/>
      <c r="E8021" s="96"/>
      <c r="F8021" s="96"/>
      <c r="G8021" s="325"/>
      <c r="H8021" s="96"/>
      <c r="I8021" s="478"/>
      <c r="J8021" s="96"/>
      <c r="K8021" s="96"/>
      <c r="L8021" s="107"/>
      <c r="M8021" s="107"/>
      <c r="N8021" s="107"/>
      <c r="O8021" s="107"/>
      <c r="P8021" s="109"/>
      <c r="Q8021" s="107"/>
      <c r="R8021" s="107"/>
      <c r="S8021" s="107"/>
      <c r="T8021" s="479"/>
      <c r="U8021" s="296"/>
      <c r="V8021" s="50"/>
      <c r="W8021" s="49"/>
      <c r="X8021" s="49"/>
      <c r="Y8021" s="35"/>
      <c r="Z8021" s="35"/>
      <c r="AA8021" s="35"/>
      <c r="AB8021" s="35"/>
      <c r="AC8021" s="35"/>
      <c r="AD8021" s="35"/>
      <c r="AE8021" s="35"/>
      <c r="AF8021" s="35"/>
      <c r="AG8021" s="35"/>
      <c r="AH8021" s="35"/>
      <c r="AI8021" s="35"/>
      <c r="AJ8021" s="35"/>
      <c r="AK8021" s="35"/>
      <c r="AL8021" s="35"/>
    </row>
    <row r="8022">
      <c r="A8022" s="457"/>
      <c r="B8022" s="475"/>
      <c r="C8022" s="476"/>
      <c r="D8022" s="477"/>
      <c r="E8022" s="96"/>
      <c r="F8022" s="96"/>
      <c r="G8022" s="325"/>
      <c r="H8022" s="96"/>
      <c r="I8022" s="478"/>
      <c r="J8022" s="96"/>
      <c r="K8022" s="96"/>
      <c r="L8022" s="107"/>
      <c r="M8022" s="107"/>
      <c r="N8022" s="107"/>
      <c r="O8022" s="107"/>
      <c r="P8022" s="109"/>
      <c r="Q8022" s="107"/>
      <c r="R8022" s="107"/>
      <c r="S8022" s="107"/>
      <c r="T8022" s="479"/>
      <c r="U8022" s="296"/>
      <c r="V8022" s="50"/>
      <c r="W8022" s="49"/>
      <c r="X8022" s="49"/>
      <c r="Y8022" s="35"/>
      <c r="Z8022" s="35"/>
      <c r="AA8022" s="35"/>
      <c r="AB8022" s="35"/>
      <c r="AC8022" s="35"/>
      <c r="AD8022" s="35"/>
      <c r="AE8022" s="35"/>
      <c r="AF8022" s="35"/>
      <c r="AG8022" s="35"/>
      <c r="AH8022" s="35"/>
      <c r="AI8022" s="35"/>
      <c r="AJ8022" s="35"/>
      <c r="AK8022" s="35"/>
      <c r="AL8022" s="35"/>
    </row>
    <row r="8023">
      <c r="A8023" s="457"/>
      <c r="B8023" s="475"/>
      <c r="C8023" s="476"/>
      <c r="D8023" s="477"/>
      <c r="E8023" s="96"/>
      <c r="F8023" s="96"/>
      <c r="G8023" s="325"/>
      <c r="H8023" s="96"/>
      <c r="I8023" s="478"/>
      <c r="J8023" s="96"/>
      <c r="K8023" s="96"/>
      <c r="L8023" s="107"/>
      <c r="M8023" s="107"/>
      <c r="N8023" s="107"/>
      <c r="O8023" s="107"/>
      <c r="P8023" s="109"/>
      <c r="Q8023" s="107"/>
      <c r="R8023" s="107"/>
      <c r="S8023" s="107"/>
      <c r="T8023" s="479"/>
      <c r="U8023" s="296"/>
      <c r="V8023" s="50"/>
      <c r="W8023" s="49"/>
      <c r="X8023" s="49"/>
      <c r="Y8023" s="35"/>
      <c r="Z8023" s="35"/>
      <c r="AA8023" s="35"/>
      <c r="AB8023" s="35"/>
      <c r="AC8023" s="35"/>
      <c r="AD8023" s="35"/>
      <c r="AE8023" s="35"/>
      <c r="AF8023" s="35"/>
      <c r="AG8023" s="35"/>
      <c r="AH8023" s="35"/>
      <c r="AI8023" s="35"/>
      <c r="AJ8023" s="35"/>
      <c r="AK8023" s="35"/>
      <c r="AL8023" s="35"/>
    </row>
    <row r="8024">
      <c r="A8024" s="457"/>
      <c r="B8024" s="475"/>
      <c r="C8024" s="476"/>
      <c r="D8024" s="477"/>
      <c r="E8024" s="96"/>
      <c r="F8024" s="96"/>
      <c r="G8024" s="325"/>
      <c r="H8024" s="96"/>
      <c r="I8024" s="478"/>
      <c r="J8024" s="96"/>
      <c r="K8024" s="96"/>
      <c r="L8024" s="107"/>
      <c r="M8024" s="107"/>
      <c r="N8024" s="107"/>
      <c r="O8024" s="107"/>
      <c r="P8024" s="109"/>
      <c r="Q8024" s="107"/>
      <c r="R8024" s="107"/>
      <c r="S8024" s="107"/>
      <c r="T8024" s="479"/>
      <c r="U8024" s="296"/>
      <c r="V8024" s="50"/>
      <c r="W8024" s="49"/>
      <c r="X8024" s="49"/>
      <c r="Y8024" s="35"/>
      <c r="Z8024" s="35"/>
      <c r="AA8024" s="35"/>
      <c r="AB8024" s="35"/>
      <c r="AC8024" s="35"/>
      <c r="AD8024" s="35"/>
      <c r="AE8024" s="35"/>
      <c r="AF8024" s="35"/>
      <c r="AG8024" s="35"/>
      <c r="AH8024" s="35"/>
      <c r="AI8024" s="35"/>
      <c r="AJ8024" s="35"/>
      <c r="AK8024" s="35"/>
      <c r="AL8024" s="35"/>
    </row>
    <row r="8025">
      <c r="A8025" s="457"/>
      <c r="B8025" s="475"/>
      <c r="C8025" s="476"/>
      <c r="D8025" s="477"/>
      <c r="E8025" s="96"/>
      <c r="F8025" s="96"/>
      <c r="G8025" s="325"/>
      <c r="H8025" s="96"/>
      <c r="I8025" s="478"/>
      <c r="J8025" s="96"/>
      <c r="K8025" s="96"/>
      <c r="L8025" s="107"/>
      <c r="M8025" s="107"/>
      <c r="N8025" s="107"/>
      <c r="O8025" s="107"/>
      <c r="P8025" s="109"/>
      <c r="Q8025" s="107"/>
      <c r="R8025" s="107"/>
      <c r="S8025" s="107"/>
      <c r="T8025" s="479"/>
      <c r="U8025" s="296"/>
      <c r="V8025" s="50"/>
      <c r="W8025" s="49"/>
      <c r="X8025" s="49"/>
      <c r="Y8025" s="35"/>
      <c r="Z8025" s="35"/>
      <c r="AA8025" s="35"/>
      <c r="AB8025" s="35"/>
      <c r="AC8025" s="35"/>
      <c r="AD8025" s="35"/>
      <c r="AE8025" s="35"/>
      <c r="AF8025" s="35"/>
      <c r="AG8025" s="35"/>
      <c r="AH8025" s="35"/>
      <c r="AI8025" s="35"/>
      <c r="AJ8025" s="35"/>
      <c r="AK8025" s="35"/>
      <c r="AL8025" s="35"/>
    </row>
    <row r="8026">
      <c r="A8026" s="457"/>
      <c r="B8026" s="475"/>
      <c r="C8026" s="476"/>
      <c r="D8026" s="477"/>
      <c r="E8026" s="96"/>
      <c r="F8026" s="96"/>
      <c r="G8026" s="325"/>
      <c r="H8026" s="96"/>
      <c r="I8026" s="478"/>
      <c r="J8026" s="96"/>
      <c r="K8026" s="96"/>
      <c r="L8026" s="107"/>
      <c r="M8026" s="107"/>
      <c r="N8026" s="107"/>
      <c r="O8026" s="107"/>
      <c r="P8026" s="109"/>
      <c r="Q8026" s="107"/>
      <c r="R8026" s="107"/>
      <c r="S8026" s="107"/>
      <c r="T8026" s="479"/>
      <c r="U8026" s="296"/>
      <c r="V8026" s="50"/>
      <c r="W8026" s="49"/>
      <c r="X8026" s="49"/>
      <c r="Y8026" s="35"/>
      <c r="Z8026" s="35"/>
      <c r="AA8026" s="35"/>
      <c r="AB8026" s="35"/>
      <c r="AC8026" s="35"/>
      <c r="AD8026" s="35"/>
      <c r="AE8026" s="35"/>
      <c r="AF8026" s="35"/>
      <c r="AG8026" s="35"/>
      <c r="AH8026" s="35"/>
      <c r="AI8026" s="35"/>
      <c r="AJ8026" s="35"/>
      <c r="AK8026" s="35"/>
      <c r="AL8026" s="35"/>
    </row>
    <row r="8027">
      <c r="A8027" s="457"/>
      <c r="B8027" s="475"/>
      <c r="C8027" s="476"/>
      <c r="D8027" s="477"/>
      <c r="E8027" s="96"/>
      <c r="F8027" s="96"/>
      <c r="G8027" s="325"/>
      <c r="H8027" s="96"/>
      <c r="I8027" s="478"/>
      <c r="J8027" s="96"/>
      <c r="K8027" s="96"/>
      <c r="L8027" s="107"/>
      <c r="M8027" s="107"/>
      <c r="N8027" s="107"/>
      <c r="O8027" s="107"/>
      <c r="P8027" s="109"/>
      <c r="Q8027" s="107"/>
      <c r="R8027" s="107"/>
      <c r="S8027" s="107"/>
      <c r="T8027" s="479"/>
      <c r="U8027" s="296"/>
      <c r="V8027" s="50"/>
      <c r="W8027" s="49"/>
      <c r="X8027" s="49"/>
      <c r="Y8027" s="35"/>
      <c r="Z8027" s="35"/>
      <c r="AA8027" s="35"/>
      <c r="AB8027" s="35"/>
      <c r="AC8027" s="35"/>
      <c r="AD8027" s="35"/>
      <c r="AE8027" s="35"/>
      <c r="AF8027" s="35"/>
      <c r="AG8027" s="35"/>
      <c r="AH8027" s="35"/>
      <c r="AI8027" s="35"/>
      <c r="AJ8027" s="35"/>
      <c r="AK8027" s="35"/>
      <c r="AL8027" s="35"/>
    </row>
    <row r="8028">
      <c r="A8028" s="457"/>
      <c r="B8028" s="475"/>
      <c r="C8028" s="476"/>
      <c r="D8028" s="477"/>
      <c r="E8028" s="96"/>
      <c r="F8028" s="96"/>
      <c r="G8028" s="325"/>
      <c r="H8028" s="96"/>
      <c r="I8028" s="478"/>
      <c r="J8028" s="96"/>
      <c r="K8028" s="96"/>
      <c r="L8028" s="107"/>
      <c r="M8028" s="107"/>
      <c r="N8028" s="107"/>
      <c r="O8028" s="107"/>
      <c r="P8028" s="109"/>
      <c r="Q8028" s="107"/>
      <c r="R8028" s="107"/>
      <c r="S8028" s="107"/>
      <c r="T8028" s="479"/>
      <c r="U8028" s="296"/>
      <c r="V8028" s="50"/>
      <c r="W8028" s="49"/>
      <c r="X8028" s="49"/>
      <c r="Y8028" s="35"/>
      <c r="Z8028" s="35"/>
      <c r="AA8028" s="35"/>
      <c r="AB8028" s="35"/>
      <c r="AC8028" s="35"/>
      <c r="AD8028" s="35"/>
      <c r="AE8028" s="35"/>
      <c r="AF8028" s="35"/>
      <c r="AG8028" s="35"/>
      <c r="AH8028" s="35"/>
      <c r="AI8028" s="35"/>
      <c r="AJ8028" s="35"/>
      <c r="AK8028" s="35"/>
      <c r="AL8028" s="35"/>
    </row>
    <row r="8029">
      <c r="A8029" s="457"/>
      <c r="B8029" s="475"/>
      <c r="C8029" s="476"/>
      <c r="D8029" s="477"/>
      <c r="E8029" s="96"/>
      <c r="F8029" s="96"/>
      <c r="G8029" s="325"/>
      <c r="H8029" s="96"/>
      <c r="I8029" s="478"/>
      <c r="J8029" s="96"/>
      <c r="K8029" s="96"/>
      <c r="L8029" s="107"/>
      <c r="M8029" s="107"/>
      <c r="N8029" s="107"/>
      <c r="O8029" s="107"/>
      <c r="P8029" s="109"/>
      <c r="Q8029" s="107"/>
      <c r="R8029" s="107"/>
      <c r="S8029" s="107"/>
      <c r="T8029" s="479"/>
      <c r="U8029" s="296"/>
      <c r="V8029" s="50"/>
      <c r="W8029" s="49"/>
      <c r="X8029" s="49"/>
      <c r="Y8029" s="35"/>
      <c r="Z8029" s="35"/>
      <c r="AA8029" s="35"/>
      <c r="AB8029" s="35"/>
      <c r="AC8029" s="35"/>
      <c r="AD8029" s="35"/>
      <c r="AE8029" s="35"/>
      <c r="AF8029" s="35"/>
      <c r="AG8029" s="35"/>
      <c r="AH8029" s="35"/>
      <c r="AI8029" s="35"/>
      <c r="AJ8029" s="35"/>
      <c r="AK8029" s="35"/>
      <c r="AL8029" s="35"/>
    </row>
    <row r="8030">
      <c r="A8030" s="457"/>
      <c r="B8030" s="475"/>
      <c r="C8030" s="476"/>
      <c r="D8030" s="477"/>
      <c r="E8030" s="96"/>
      <c r="F8030" s="96"/>
      <c r="G8030" s="325"/>
      <c r="H8030" s="96"/>
      <c r="I8030" s="478"/>
      <c r="J8030" s="96"/>
      <c r="K8030" s="96"/>
      <c r="L8030" s="107"/>
      <c r="M8030" s="107"/>
      <c r="N8030" s="107"/>
      <c r="O8030" s="107"/>
      <c r="P8030" s="109"/>
      <c r="Q8030" s="107"/>
      <c r="R8030" s="107"/>
      <c r="S8030" s="107"/>
      <c r="T8030" s="479"/>
      <c r="U8030" s="296"/>
      <c r="V8030" s="50"/>
      <c r="W8030" s="49"/>
      <c r="X8030" s="49"/>
      <c r="Y8030" s="35"/>
      <c r="Z8030" s="35"/>
      <c r="AA8030" s="35"/>
      <c r="AB8030" s="35"/>
      <c r="AC8030" s="35"/>
      <c r="AD8030" s="35"/>
      <c r="AE8030" s="35"/>
      <c r="AF8030" s="35"/>
      <c r="AG8030" s="35"/>
      <c r="AH8030" s="35"/>
      <c r="AI8030" s="35"/>
      <c r="AJ8030" s="35"/>
      <c r="AK8030" s="35"/>
      <c r="AL8030" s="35"/>
    </row>
    <row r="8031">
      <c r="A8031" s="457"/>
      <c r="B8031" s="475"/>
      <c r="C8031" s="476"/>
      <c r="D8031" s="477"/>
      <c r="E8031" s="96"/>
      <c r="F8031" s="96"/>
      <c r="G8031" s="325"/>
      <c r="H8031" s="96"/>
      <c r="I8031" s="478"/>
      <c r="J8031" s="96"/>
      <c r="K8031" s="96"/>
      <c r="L8031" s="107"/>
      <c r="M8031" s="107"/>
      <c r="N8031" s="107"/>
      <c r="O8031" s="107"/>
      <c r="P8031" s="109"/>
      <c r="Q8031" s="107"/>
      <c r="R8031" s="107"/>
      <c r="S8031" s="107"/>
      <c r="T8031" s="479"/>
      <c r="U8031" s="296"/>
      <c r="V8031" s="50"/>
      <c r="W8031" s="49"/>
      <c r="X8031" s="49"/>
      <c r="Y8031" s="35"/>
      <c r="Z8031" s="35"/>
      <c r="AA8031" s="35"/>
      <c r="AB8031" s="35"/>
      <c r="AC8031" s="35"/>
      <c r="AD8031" s="35"/>
      <c r="AE8031" s="35"/>
      <c r="AF8031" s="35"/>
      <c r="AG8031" s="35"/>
      <c r="AH8031" s="35"/>
      <c r="AI8031" s="35"/>
      <c r="AJ8031" s="35"/>
      <c r="AK8031" s="35"/>
      <c r="AL8031" s="35"/>
    </row>
    <row r="8032">
      <c r="A8032" s="457"/>
      <c r="B8032" s="475"/>
      <c r="C8032" s="476"/>
      <c r="D8032" s="477"/>
      <c r="E8032" s="96"/>
      <c r="F8032" s="96"/>
      <c r="G8032" s="325"/>
      <c r="H8032" s="96"/>
      <c r="I8032" s="478"/>
      <c r="J8032" s="96"/>
      <c r="K8032" s="96"/>
      <c r="L8032" s="107"/>
      <c r="M8032" s="107"/>
      <c r="N8032" s="107"/>
      <c r="O8032" s="107"/>
      <c r="P8032" s="109"/>
      <c r="Q8032" s="107"/>
      <c r="R8032" s="107"/>
      <c r="S8032" s="107"/>
      <c r="T8032" s="479"/>
      <c r="U8032" s="296"/>
      <c r="V8032" s="50"/>
      <c r="W8032" s="49"/>
      <c r="X8032" s="49"/>
      <c r="Y8032" s="35"/>
      <c r="Z8032" s="35"/>
      <c r="AA8032" s="35"/>
      <c r="AB8032" s="35"/>
      <c r="AC8032" s="35"/>
      <c r="AD8032" s="35"/>
      <c r="AE8032" s="35"/>
      <c r="AF8032" s="35"/>
      <c r="AG8032" s="35"/>
      <c r="AH8032" s="35"/>
      <c r="AI8032" s="35"/>
      <c r="AJ8032" s="35"/>
      <c r="AK8032" s="35"/>
      <c r="AL8032" s="35"/>
    </row>
    <row r="8033">
      <c r="A8033" s="457"/>
      <c r="B8033" s="475"/>
      <c r="C8033" s="476"/>
      <c r="D8033" s="477"/>
      <c r="E8033" s="96"/>
      <c r="F8033" s="96"/>
      <c r="G8033" s="325"/>
      <c r="H8033" s="96"/>
      <c r="I8033" s="478"/>
      <c r="J8033" s="96"/>
      <c r="K8033" s="96"/>
      <c r="L8033" s="107"/>
      <c r="M8033" s="107"/>
      <c r="N8033" s="107"/>
      <c r="O8033" s="107"/>
      <c r="P8033" s="109"/>
      <c r="Q8033" s="107"/>
      <c r="R8033" s="107"/>
      <c r="S8033" s="107"/>
      <c r="T8033" s="479"/>
      <c r="U8033" s="296"/>
      <c r="V8033" s="50"/>
      <c r="W8033" s="49"/>
      <c r="X8033" s="49"/>
      <c r="Y8033" s="35"/>
      <c r="Z8033" s="35"/>
      <c r="AA8033" s="35"/>
      <c r="AB8033" s="35"/>
      <c r="AC8033" s="35"/>
      <c r="AD8033" s="35"/>
      <c r="AE8033" s="35"/>
      <c r="AF8033" s="35"/>
      <c r="AG8033" s="35"/>
      <c r="AH8033" s="35"/>
      <c r="AI8033" s="35"/>
      <c r="AJ8033" s="35"/>
      <c r="AK8033" s="35"/>
      <c r="AL8033" s="35"/>
    </row>
    <row r="8034">
      <c r="A8034" s="457"/>
      <c r="B8034" s="475"/>
      <c r="C8034" s="476"/>
      <c r="D8034" s="477"/>
      <c r="E8034" s="96"/>
      <c r="F8034" s="96"/>
      <c r="G8034" s="325"/>
      <c r="H8034" s="96"/>
      <c r="I8034" s="478"/>
      <c r="J8034" s="96"/>
      <c r="K8034" s="96"/>
      <c r="L8034" s="107"/>
      <c r="M8034" s="107"/>
      <c r="N8034" s="107"/>
      <c r="O8034" s="107"/>
      <c r="P8034" s="109"/>
      <c r="Q8034" s="107"/>
      <c r="R8034" s="107"/>
      <c r="S8034" s="107"/>
      <c r="T8034" s="479"/>
      <c r="U8034" s="296"/>
      <c r="V8034" s="50"/>
      <c r="W8034" s="49"/>
      <c r="X8034" s="49"/>
      <c r="Y8034" s="35"/>
      <c r="Z8034" s="35"/>
      <c r="AA8034" s="35"/>
      <c r="AB8034" s="35"/>
      <c r="AC8034" s="35"/>
      <c r="AD8034" s="35"/>
      <c r="AE8034" s="35"/>
      <c r="AF8034" s="35"/>
      <c r="AG8034" s="35"/>
      <c r="AH8034" s="35"/>
      <c r="AI8034" s="35"/>
      <c r="AJ8034" s="35"/>
      <c r="AK8034" s="35"/>
      <c r="AL8034" s="35"/>
    </row>
    <row r="8035">
      <c r="A8035" s="457"/>
      <c r="B8035" s="475"/>
      <c r="C8035" s="476"/>
      <c r="D8035" s="477"/>
      <c r="E8035" s="96"/>
      <c r="F8035" s="96"/>
      <c r="G8035" s="325"/>
      <c r="H8035" s="96"/>
      <c r="I8035" s="478"/>
      <c r="J8035" s="96"/>
      <c r="K8035" s="96"/>
      <c r="L8035" s="107"/>
      <c r="M8035" s="107"/>
      <c r="N8035" s="107"/>
      <c r="O8035" s="107"/>
      <c r="P8035" s="109"/>
      <c r="Q8035" s="107"/>
      <c r="R8035" s="107"/>
      <c r="S8035" s="107"/>
      <c r="T8035" s="479"/>
      <c r="U8035" s="296"/>
      <c r="V8035" s="50"/>
      <c r="W8035" s="49"/>
      <c r="X8035" s="49"/>
      <c r="Y8035" s="35"/>
      <c r="Z8035" s="35"/>
      <c r="AA8035" s="35"/>
      <c r="AB8035" s="35"/>
      <c r="AC8035" s="35"/>
      <c r="AD8035" s="35"/>
      <c r="AE8035" s="35"/>
      <c r="AF8035" s="35"/>
      <c r="AG8035" s="35"/>
      <c r="AH8035" s="35"/>
      <c r="AI8035" s="35"/>
      <c r="AJ8035" s="35"/>
      <c r="AK8035" s="35"/>
      <c r="AL8035" s="35"/>
    </row>
    <row r="8036">
      <c r="A8036" s="457"/>
      <c r="B8036" s="475"/>
      <c r="C8036" s="476"/>
      <c r="D8036" s="477"/>
      <c r="E8036" s="96"/>
      <c r="F8036" s="96"/>
      <c r="G8036" s="325"/>
      <c r="H8036" s="96"/>
      <c r="I8036" s="478"/>
      <c r="J8036" s="96"/>
      <c r="K8036" s="96"/>
      <c r="L8036" s="107"/>
      <c r="M8036" s="107"/>
      <c r="N8036" s="107"/>
      <c r="O8036" s="107"/>
      <c r="P8036" s="109"/>
      <c r="Q8036" s="107"/>
      <c r="R8036" s="107"/>
      <c r="S8036" s="107"/>
      <c r="T8036" s="479"/>
      <c r="U8036" s="296"/>
      <c r="V8036" s="50"/>
      <c r="W8036" s="49"/>
      <c r="X8036" s="49"/>
      <c r="Y8036" s="35"/>
      <c r="Z8036" s="35"/>
      <c r="AA8036" s="35"/>
      <c r="AB8036" s="35"/>
      <c r="AC8036" s="35"/>
      <c r="AD8036" s="35"/>
      <c r="AE8036" s="35"/>
      <c r="AF8036" s="35"/>
      <c r="AG8036" s="35"/>
      <c r="AH8036" s="35"/>
      <c r="AI8036" s="35"/>
      <c r="AJ8036" s="35"/>
      <c r="AK8036" s="35"/>
      <c r="AL8036" s="35"/>
    </row>
    <row r="8037">
      <c r="A8037" s="457"/>
      <c r="B8037" s="475"/>
      <c r="C8037" s="476"/>
      <c r="D8037" s="477"/>
      <c r="E8037" s="96"/>
      <c r="F8037" s="96"/>
      <c r="G8037" s="325"/>
      <c r="H8037" s="96"/>
      <c r="I8037" s="478"/>
      <c r="J8037" s="96"/>
      <c r="K8037" s="96"/>
      <c r="L8037" s="107"/>
      <c r="M8037" s="107"/>
      <c r="N8037" s="107"/>
      <c r="O8037" s="107"/>
      <c r="P8037" s="109"/>
      <c r="Q8037" s="107"/>
      <c r="R8037" s="107"/>
      <c r="S8037" s="107"/>
      <c r="T8037" s="479"/>
      <c r="U8037" s="296"/>
      <c r="V8037" s="50"/>
      <c r="W8037" s="49"/>
      <c r="X8037" s="49"/>
      <c r="Y8037" s="35"/>
      <c r="Z8037" s="35"/>
      <c r="AA8037" s="35"/>
      <c r="AB8037" s="35"/>
      <c r="AC8037" s="35"/>
      <c r="AD8037" s="35"/>
      <c r="AE8037" s="35"/>
      <c r="AF8037" s="35"/>
      <c r="AG8037" s="35"/>
      <c r="AH8037" s="35"/>
      <c r="AI8037" s="35"/>
      <c r="AJ8037" s="35"/>
      <c r="AK8037" s="35"/>
      <c r="AL8037" s="35"/>
    </row>
    <row r="8038">
      <c r="A8038" s="457"/>
      <c r="B8038" s="475"/>
      <c r="C8038" s="476"/>
      <c r="D8038" s="477"/>
      <c r="E8038" s="96"/>
      <c r="F8038" s="96"/>
      <c r="G8038" s="325"/>
      <c r="H8038" s="96"/>
      <c r="I8038" s="478"/>
      <c r="J8038" s="96"/>
      <c r="K8038" s="96"/>
      <c r="L8038" s="107"/>
      <c r="M8038" s="107"/>
      <c r="N8038" s="107"/>
      <c r="O8038" s="107"/>
      <c r="P8038" s="109"/>
      <c r="Q8038" s="107"/>
      <c r="R8038" s="107"/>
      <c r="S8038" s="107"/>
      <c r="T8038" s="479"/>
      <c r="U8038" s="296"/>
      <c r="V8038" s="50"/>
      <c r="W8038" s="49"/>
      <c r="X8038" s="49"/>
      <c r="Y8038" s="35"/>
      <c r="Z8038" s="35"/>
      <c r="AA8038" s="35"/>
      <c r="AB8038" s="35"/>
      <c r="AC8038" s="35"/>
      <c r="AD8038" s="35"/>
      <c r="AE8038" s="35"/>
      <c r="AF8038" s="35"/>
      <c r="AG8038" s="35"/>
      <c r="AH8038" s="35"/>
      <c r="AI8038" s="35"/>
      <c r="AJ8038" s="35"/>
      <c r="AK8038" s="35"/>
      <c r="AL8038" s="35"/>
    </row>
    <row r="8039">
      <c r="A8039" s="457"/>
      <c r="B8039" s="475"/>
      <c r="C8039" s="476"/>
      <c r="D8039" s="477"/>
      <c r="E8039" s="96"/>
      <c r="F8039" s="96"/>
      <c r="G8039" s="325"/>
      <c r="H8039" s="96"/>
      <c r="I8039" s="478"/>
      <c r="J8039" s="96"/>
      <c r="K8039" s="96"/>
      <c r="L8039" s="107"/>
      <c r="M8039" s="107"/>
      <c r="N8039" s="107"/>
      <c r="O8039" s="107"/>
      <c r="P8039" s="109"/>
      <c r="Q8039" s="107"/>
      <c r="R8039" s="107"/>
      <c r="S8039" s="107"/>
      <c r="T8039" s="479"/>
      <c r="U8039" s="296"/>
      <c r="V8039" s="50"/>
      <c r="W8039" s="49"/>
      <c r="X8039" s="49"/>
      <c r="Y8039" s="35"/>
      <c r="Z8039" s="35"/>
      <c r="AA8039" s="35"/>
      <c r="AB8039" s="35"/>
      <c r="AC8039" s="35"/>
      <c r="AD8039" s="35"/>
      <c r="AE8039" s="35"/>
      <c r="AF8039" s="35"/>
      <c r="AG8039" s="35"/>
      <c r="AH8039" s="35"/>
      <c r="AI8039" s="35"/>
      <c r="AJ8039" s="35"/>
      <c r="AK8039" s="35"/>
      <c r="AL8039" s="35"/>
    </row>
    <row r="8040">
      <c r="A8040" s="457"/>
      <c r="B8040" s="475"/>
      <c r="C8040" s="476"/>
      <c r="D8040" s="477"/>
      <c r="E8040" s="96"/>
      <c r="F8040" s="96"/>
      <c r="G8040" s="325"/>
      <c r="H8040" s="96"/>
      <c r="I8040" s="478"/>
      <c r="J8040" s="96"/>
      <c r="K8040" s="96"/>
      <c r="L8040" s="107"/>
      <c r="M8040" s="107"/>
      <c r="N8040" s="107"/>
      <c r="O8040" s="107"/>
      <c r="P8040" s="109"/>
      <c r="Q8040" s="107"/>
      <c r="R8040" s="107"/>
      <c r="S8040" s="107"/>
      <c r="T8040" s="479"/>
      <c r="U8040" s="296"/>
      <c r="V8040" s="50"/>
      <c r="W8040" s="49"/>
      <c r="X8040" s="49"/>
      <c r="Y8040" s="35"/>
      <c r="Z8040" s="35"/>
      <c r="AA8040" s="35"/>
      <c r="AB8040" s="35"/>
      <c r="AC8040" s="35"/>
      <c r="AD8040" s="35"/>
      <c r="AE8040" s="35"/>
      <c r="AF8040" s="35"/>
      <c r="AG8040" s="35"/>
      <c r="AH8040" s="35"/>
      <c r="AI8040" s="35"/>
      <c r="AJ8040" s="35"/>
      <c r="AK8040" s="35"/>
      <c r="AL8040" s="35"/>
    </row>
    <row r="8041">
      <c r="A8041" s="457"/>
      <c r="B8041" s="475"/>
      <c r="C8041" s="476"/>
      <c r="D8041" s="477"/>
      <c r="E8041" s="96"/>
      <c r="F8041" s="96"/>
      <c r="G8041" s="325"/>
      <c r="H8041" s="96"/>
      <c r="I8041" s="478"/>
      <c r="J8041" s="96"/>
      <c r="K8041" s="96"/>
      <c r="L8041" s="107"/>
      <c r="M8041" s="107"/>
      <c r="N8041" s="107"/>
      <c r="O8041" s="107"/>
      <c r="P8041" s="109"/>
      <c r="Q8041" s="107"/>
      <c r="R8041" s="107"/>
      <c r="S8041" s="107"/>
      <c r="T8041" s="479"/>
      <c r="U8041" s="296"/>
      <c r="V8041" s="50"/>
      <c r="W8041" s="49"/>
      <c r="X8041" s="49"/>
      <c r="Y8041" s="35"/>
      <c r="Z8041" s="35"/>
      <c r="AA8041" s="35"/>
      <c r="AB8041" s="35"/>
      <c r="AC8041" s="35"/>
      <c r="AD8041" s="35"/>
      <c r="AE8041" s="35"/>
      <c r="AF8041" s="35"/>
      <c r="AG8041" s="35"/>
      <c r="AH8041" s="35"/>
      <c r="AI8041" s="35"/>
      <c r="AJ8041" s="35"/>
      <c r="AK8041" s="35"/>
      <c r="AL8041" s="35"/>
    </row>
    <row r="8042">
      <c r="A8042" s="457"/>
      <c r="B8042" s="475"/>
      <c r="C8042" s="476"/>
      <c r="D8042" s="477"/>
      <c r="E8042" s="96"/>
      <c r="F8042" s="96"/>
      <c r="G8042" s="325"/>
      <c r="H8042" s="96"/>
      <c r="I8042" s="478"/>
      <c r="J8042" s="96"/>
      <c r="K8042" s="96"/>
      <c r="L8042" s="107"/>
      <c r="M8042" s="107"/>
      <c r="N8042" s="107"/>
      <c r="O8042" s="107"/>
      <c r="P8042" s="109"/>
      <c r="Q8042" s="107"/>
      <c r="R8042" s="107"/>
      <c r="S8042" s="107"/>
      <c r="T8042" s="479"/>
      <c r="U8042" s="296"/>
      <c r="V8042" s="50"/>
      <c r="W8042" s="49"/>
      <c r="X8042" s="49"/>
      <c r="Y8042" s="35"/>
      <c r="Z8042" s="35"/>
      <c r="AA8042" s="35"/>
      <c r="AB8042" s="35"/>
      <c r="AC8042" s="35"/>
      <c r="AD8042" s="35"/>
      <c r="AE8042" s="35"/>
      <c r="AF8042" s="35"/>
      <c r="AG8042" s="35"/>
      <c r="AH8042" s="35"/>
      <c r="AI8042" s="35"/>
      <c r="AJ8042" s="35"/>
      <c r="AK8042" s="35"/>
      <c r="AL8042" s="35"/>
    </row>
    <row r="8043">
      <c r="A8043" s="457"/>
      <c r="B8043" s="475"/>
      <c r="C8043" s="476"/>
      <c r="D8043" s="477"/>
      <c r="E8043" s="96"/>
      <c r="F8043" s="96"/>
      <c r="G8043" s="325"/>
      <c r="H8043" s="96"/>
      <c r="I8043" s="478"/>
      <c r="J8043" s="96"/>
      <c r="K8043" s="96"/>
      <c r="L8043" s="107"/>
      <c r="M8043" s="107"/>
      <c r="N8043" s="107"/>
      <c r="O8043" s="107"/>
      <c r="P8043" s="109"/>
      <c r="Q8043" s="107"/>
      <c r="R8043" s="107"/>
      <c r="S8043" s="107"/>
      <c r="T8043" s="479"/>
      <c r="U8043" s="296"/>
      <c r="V8043" s="50"/>
      <c r="W8043" s="49"/>
      <c r="X8043" s="49"/>
      <c r="Y8043" s="35"/>
      <c r="Z8043" s="35"/>
      <c r="AA8043" s="35"/>
      <c r="AB8043" s="35"/>
      <c r="AC8043" s="35"/>
      <c r="AD8043" s="35"/>
      <c r="AE8043" s="35"/>
      <c r="AF8043" s="35"/>
      <c r="AG8043" s="35"/>
      <c r="AH8043" s="35"/>
      <c r="AI8043" s="35"/>
      <c r="AJ8043" s="35"/>
      <c r="AK8043" s="35"/>
      <c r="AL8043" s="35"/>
    </row>
    <row r="8044">
      <c r="A8044" s="457"/>
      <c r="B8044" s="475"/>
      <c r="C8044" s="476"/>
      <c r="D8044" s="477"/>
      <c r="E8044" s="96"/>
      <c r="F8044" s="96"/>
      <c r="G8044" s="325"/>
      <c r="H8044" s="96"/>
      <c r="I8044" s="478"/>
      <c r="J8044" s="96"/>
      <c r="K8044" s="96"/>
      <c r="L8044" s="107"/>
      <c r="M8044" s="107"/>
      <c r="N8044" s="107"/>
      <c r="O8044" s="107"/>
      <c r="P8044" s="109"/>
      <c r="Q8044" s="107"/>
      <c r="R8044" s="107"/>
      <c r="S8044" s="107"/>
      <c r="T8044" s="479"/>
      <c r="U8044" s="296"/>
      <c r="V8044" s="50"/>
      <c r="W8044" s="49"/>
      <c r="X8044" s="49"/>
      <c r="Y8044" s="35"/>
      <c r="Z8044" s="35"/>
      <c r="AA8044" s="35"/>
      <c r="AB8044" s="35"/>
      <c r="AC8044" s="35"/>
      <c r="AD8044" s="35"/>
      <c r="AE8044" s="35"/>
      <c r="AF8044" s="35"/>
      <c r="AG8044" s="35"/>
      <c r="AH8044" s="35"/>
      <c r="AI8044" s="35"/>
      <c r="AJ8044" s="35"/>
      <c r="AK8044" s="35"/>
      <c r="AL8044" s="35"/>
    </row>
    <row r="8045">
      <c r="A8045" s="457"/>
      <c r="B8045" s="475"/>
      <c r="C8045" s="476"/>
      <c r="D8045" s="477"/>
      <c r="E8045" s="96"/>
      <c r="F8045" s="96"/>
      <c r="G8045" s="325"/>
      <c r="H8045" s="96"/>
      <c r="I8045" s="478"/>
      <c r="J8045" s="96"/>
      <c r="K8045" s="96"/>
      <c r="L8045" s="107"/>
      <c r="M8045" s="107"/>
      <c r="N8045" s="107"/>
      <c r="O8045" s="107"/>
      <c r="P8045" s="109"/>
      <c r="Q8045" s="107"/>
      <c r="R8045" s="107"/>
      <c r="S8045" s="107"/>
      <c r="T8045" s="479"/>
      <c r="U8045" s="296"/>
      <c r="V8045" s="50"/>
      <c r="W8045" s="49"/>
      <c r="X8045" s="49"/>
      <c r="Y8045" s="35"/>
      <c r="Z8045" s="35"/>
      <c r="AA8045" s="35"/>
      <c r="AB8045" s="35"/>
      <c r="AC8045" s="35"/>
      <c r="AD8045" s="35"/>
      <c r="AE8045" s="35"/>
      <c r="AF8045" s="35"/>
      <c r="AG8045" s="35"/>
      <c r="AH8045" s="35"/>
      <c r="AI8045" s="35"/>
      <c r="AJ8045" s="35"/>
      <c r="AK8045" s="35"/>
      <c r="AL8045" s="35"/>
    </row>
    <row r="8046">
      <c r="A8046" s="457"/>
      <c r="B8046" s="475"/>
      <c r="C8046" s="476"/>
      <c r="D8046" s="477"/>
      <c r="E8046" s="96"/>
      <c r="F8046" s="96"/>
      <c r="G8046" s="325"/>
      <c r="H8046" s="96"/>
      <c r="I8046" s="478"/>
      <c r="J8046" s="96"/>
      <c r="K8046" s="96"/>
      <c r="L8046" s="107"/>
      <c r="M8046" s="107"/>
      <c r="N8046" s="107"/>
      <c r="O8046" s="107"/>
      <c r="P8046" s="109"/>
      <c r="Q8046" s="107"/>
      <c r="R8046" s="107"/>
      <c r="S8046" s="107"/>
      <c r="T8046" s="479"/>
      <c r="U8046" s="296"/>
      <c r="V8046" s="50"/>
      <c r="W8046" s="49"/>
      <c r="X8046" s="49"/>
      <c r="Y8046" s="35"/>
      <c r="Z8046" s="35"/>
      <c r="AA8046" s="35"/>
      <c r="AB8046" s="35"/>
      <c r="AC8046" s="35"/>
      <c r="AD8046" s="35"/>
      <c r="AE8046" s="35"/>
      <c r="AF8046" s="35"/>
      <c r="AG8046" s="35"/>
      <c r="AH8046" s="35"/>
      <c r="AI8046" s="35"/>
      <c r="AJ8046" s="35"/>
      <c r="AK8046" s="35"/>
      <c r="AL8046" s="35"/>
    </row>
    <row r="8047">
      <c r="A8047" s="457"/>
      <c r="B8047" s="475"/>
      <c r="C8047" s="476"/>
      <c r="D8047" s="477"/>
      <c r="E8047" s="96"/>
      <c r="F8047" s="96"/>
      <c r="G8047" s="325"/>
      <c r="H8047" s="96"/>
      <c r="I8047" s="478"/>
      <c r="J8047" s="96"/>
      <c r="K8047" s="96"/>
      <c r="L8047" s="107"/>
      <c r="M8047" s="107"/>
      <c r="N8047" s="107"/>
      <c r="O8047" s="107"/>
      <c r="P8047" s="109"/>
      <c r="Q8047" s="107"/>
      <c r="R8047" s="107"/>
      <c r="S8047" s="107"/>
      <c r="T8047" s="479"/>
      <c r="U8047" s="296"/>
      <c r="V8047" s="50"/>
      <c r="W8047" s="49"/>
      <c r="X8047" s="49"/>
      <c r="Y8047" s="35"/>
      <c r="Z8047" s="35"/>
      <c r="AA8047" s="35"/>
      <c r="AB8047" s="35"/>
      <c r="AC8047" s="35"/>
      <c r="AD8047" s="35"/>
      <c r="AE8047" s="35"/>
      <c r="AF8047" s="35"/>
      <c r="AG8047" s="35"/>
      <c r="AH8047" s="35"/>
      <c r="AI8047" s="35"/>
      <c r="AJ8047" s="35"/>
      <c r="AK8047" s="35"/>
      <c r="AL8047" s="35"/>
    </row>
    <row r="8048">
      <c r="A8048" s="457"/>
      <c r="B8048" s="475"/>
      <c r="C8048" s="476"/>
      <c r="D8048" s="477"/>
      <c r="E8048" s="96"/>
      <c r="F8048" s="96"/>
      <c r="G8048" s="325"/>
      <c r="H8048" s="96"/>
      <c r="I8048" s="478"/>
      <c r="J8048" s="96"/>
      <c r="K8048" s="96"/>
      <c r="L8048" s="107"/>
      <c r="M8048" s="107"/>
      <c r="N8048" s="107"/>
      <c r="O8048" s="107"/>
      <c r="P8048" s="109"/>
      <c r="Q8048" s="107"/>
      <c r="R8048" s="107"/>
      <c r="S8048" s="107"/>
      <c r="T8048" s="479"/>
      <c r="U8048" s="296"/>
      <c r="V8048" s="50"/>
      <c r="W8048" s="49"/>
      <c r="X8048" s="49"/>
      <c r="Y8048" s="35"/>
      <c r="Z8048" s="35"/>
      <c r="AA8048" s="35"/>
      <c r="AB8048" s="35"/>
      <c r="AC8048" s="35"/>
      <c r="AD8048" s="35"/>
      <c r="AE8048" s="35"/>
      <c r="AF8048" s="35"/>
      <c r="AG8048" s="35"/>
      <c r="AH8048" s="35"/>
      <c r="AI8048" s="35"/>
      <c r="AJ8048" s="35"/>
      <c r="AK8048" s="35"/>
      <c r="AL8048" s="35"/>
    </row>
    <row r="8049">
      <c r="A8049" s="457"/>
      <c r="B8049" s="475"/>
      <c r="C8049" s="476"/>
      <c r="D8049" s="477"/>
      <c r="E8049" s="96"/>
      <c r="F8049" s="96"/>
      <c r="G8049" s="325"/>
      <c r="H8049" s="96"/>
      <c r="I8049" s="478"/>
      <c r="J8049" s="96"/>
      <c r="K8049" s="96"/>
      <c r="L8049" s="107"/>
      <c r="M8049" s="107"/>
      <c r="N8049" s="107"/>
      <c r="O8049" s="107"/>
      <c r="P8049" s="109"/>
      <c r="Q8049" s="107"/>
      <c r="R8049" s="107"/>
      <c r="S8049" s="107"/>
      <c r="T8049" s="479"/>
      <c r="U8049" s="296"/>
      <c r="V8049" s="50"/>
      <c r="W8049" s="49"/>
      <c r="X8049" s="49"/>
      <c r="Y8049" s="35"/>
      <c r="Z8049" s="35"/>
      <c r="AA8049" s="35"/>
      <c r="AB8049" s="35"/>
      <c r="AC8049" s="35"/>
      <c r="AD8049" s="35"/>
      <c r="AE8049" s="35"/>
      <c r="AF8049" s="35"/>
      <c r="AG8049" s="35"/>
      <c r="AH8049" s="35"/>
      <c r="AI8049" s="35"/>
      <c r="AJ8049" s="35"/>
      <c r="AK8049" s="35"/>
      <c r="AL8049" s="35"/>
    </row>
    <row r="8050">
      <c r="A8050" s="457"/>
      <c r="B8050" s="475"/>
      <c r="C8050" s="476"/>
      <c r="D8050" s="477"/>
      <c r="E8050" s="96"/>
      <c r="F8050" s="96"/>
      <c r="G8050" s="325"/>
      <c r="H8050" s="96"/>
      <c r="I8050" s="478"/>
      <c r="J8050" s="96"/>
      <c r="K8050" s="96"/>
      <c r="L8050" s="107"/>
      <c r="M8050" s="107"/>
      <c r="N8050" s="107"/>
      <c r="O8050" s="107"/>
      <c r="P8050" s="109"/>
      <c r="Q8050" s="107"/>
      <c r="R8050" s="107"/>
      <c r="S8050" s="107"/>
      <c r="T8050" s="479"/>
      <c r="U8050" s="296"/>
      <c r="V8050" s="50"/>
      <c r="W8050" s="49"/>
      <c r="X8050" s="49"/>
      <c r="Y8050" s="35"/>
      <c r="Z8050" s="35"/>
      <c r="AA8050" s="35"/>
      <c r="AB8050" s="35"/>
      <c r="AC8050" s="35"/>
      <c r="AD8050" s="35"/>
      <c r="AE8050" s="35"/>
      <c r="AF8050" s="35"/>
      <c r="AG8050" s="35"/>
      <c r="AH8050" s="35"/>
      <c r="AI8050" s="35"/>
      <c r="AJ8050" s="35"/>
      <c r="AK8050" s="35"/>
      <c r="AL8050" s="35"/>
    </row>
    <row r="8051">
      <c r="A8051" s="457"/>
      <c r="B8051" s="475"/>
      <c r="C8051" s="476"/>
      <c r="D8051" s="477"/>
      <c r="E8051" s="96"/>
      <c r="F8051" s="96"/>
      <c r="G8051" s="325"/>
      <c r="H8051" s="96"/>
      <c r="I8051" s="478"/>
      <c r="J8051" s="96"/>
      <c r="K8051" s="96"/>
      <c r="L8051" s="107"/>
      <c r="M8051" s="107"/>
      <c r="N8051" s="107"/>
      <c r="O8051" s="107"/>
      <c r="P8051" s="109"/>
      <c r="Q8051" s="107"/>
      <c r="R8051" s="107"/>
      <c r="S8051" s="107"/>
      <c r="T8051" s="479"/>
      <c r="U8051" s="296"/>
      <c r="V8051" s="50"/>
      <c r="W8051" s="49"/>
      <c r="X8051" s="49"/>
      <c r="Y8051" s="35"/>
      <c r="Z8051" s="35"/>
      <c r="AA8051" s="35"/>
      <c r="AB8051" s="35"/>
      <c r="AC8051" s="35"/>
      <c r="AD8051" s="35"/>
      <c r="AE8051" s="35"/>
      <c r="AF8051" s="35"/>
      <c r="AG8051" s="35"/>
      <c r="AH8051" s="35"/>
      <c r="AI8051" s="35"/>
      <c r="AJ8051" s="35"/>
      <c r="AK8051" s="35"/>
      <c r="AL8051" s="35"/>
    </row>
    <row r="8052">
      <c r="A8052" s="457"/>
      <c r="B8052" s="475"/>
      <c r="C8052" s="476"/>
      <c r="D8052" s="477"/>
      <c r="E8052" s="96"/>
      <c r="F8052" s="96"/>
      <c r="G8052" s="325"/>
      <c r="H8052" s="96"/>
      <c r="I8052" s="478"/>
      <c r="J8052" s="96"/>
      <c r="K8052" s="96"/>
      <c r="L8052" s="107"/>
      <c r="M8052" s="107"/>
      <c r="N8052" s="107"/>
      <c r="O8052" s="107"/>
      <c r="P8052" s="109"/>
      <c r="Q8052" s="107"/>
      <c r="R8052" s="107"/>
      <c r="S8052" s="107"/>
      <c r="T8052" s="479"/>
      <c r="U8052" s="296"/>
      <c r="V8052" s="50"/>
      <c r="W8052" s="49"/>
      <c r="X8052" s="49"/>
      <c r="Y8052" s="35"/>
      <c r="Z8052" s="35"/>
      <c r="AA8052" s="35"/>
      <c r="AB8052" s="35"/>
      <c r="AC8052" s="35"/>
      <c r="AD8052" s="35"/>
      <c r="AE8052" s="35"/>
      <c r="AF8052" s="35"/>
      <c r="AG8052" s="35"/>
      <c r="AH8052" s="35"/>
      <c r="AI8052" s="35"/>
      <c r="AJ8052" s="35"/>
      <c r="AK8052" s="35"/>
      <c r="AL8052" s="35"/>
    </row>
    <row r="8053">
      <c r="A8053" s="457"/>
      <c r="B8053" s="475"/>
      <c r="C8053" s="476"/>
      <c r="D8053" s="477"/>
      <c r="E8053" s="96"/>
      <c r="F8053" s="96"/>
      <c r="G8053" s="325"/>
      <c r="H8053" s="96"/>
      <c r="I8053" s="478"/>
      <c r="J8053" s="96"/>
      <c r="K8053" s="96"/>
      <c r="L8053" s="107"/>
      <c r="M8053" s="107"/>
      <c r="N8053" s="107"/>
      <c r="O8053" s="107"/>
      <c r="P8053" s="109"/>
      <c r="Q8053" s="107"/>
      <c r="R8053" s="107"/>
      <c r="S8053" s="107"/>
      <c r="T8053" s="479"/>
      <c r="U8053" s="296"/>
      <c r="V8053" s="50"/>
      <c r="W8053" s="49"/>
      <c r="X8053" s="49"/>
      <c r="Y8053" s="35"/>
      <c r="Z8053" s="35"/>
      <c r="AA8053" s="35"/>
      <c r="AB8053" s="35"/>
      <c r="AC8053" s="35"/>
      <c r="AD8053" s="35"/>
      <c r="AE8053" s="35"/>
      <c r="AF8053" s="35"/>
      <c r="AG8053" s="35"/>
      <c r="AH8053" s="35"/>
      <c r="AI8053" s="35"/>
      <c r="AJ8053" s="35"/>
      <c r="AK8053" s="35"/>
      <c r="AL8053" s="35"/>
    </row>
    <row r="8054">
      <c r="A8054" s="457"/>
      <c r="B8054" s="475"/>
      <c r="C8054" s="476"/>
      <c r="D8054" s="477"/>
      <c r="E8054" s="96"/>
      <c r="F8054" s="96"/>
      <c r="G8054" s="325"/>
      <c r="H8054" s="96"/>
      <c r="I8054" s="478"/>
      <c r="J8054" s="96"/>
      <c r="K8054" s="96"/>
      <c r="L8054" s="107"/>
      <c r="M8054" s="107"/>
      <c r="N8054" s="107"/>
      <c r="O8054" s="107"/>
      <c r="P8054" s="109"/>
      <c r="Q8054" s="107"/>
      <c r="R8054" s="107"/>
      <c r="S8054" s="107"/>
      <c r="T8054" s="479"/>
      <c r="U8054" s="296"/>
      <c r="V8054" s="50"/>
      <c r="W8054" s="49"/>
      <c r="X8054" s="49"/>
      <c r="Y8054" s="35"/>
      <c r="Z8054" s="35"/>
      <c r="AA8054" s="35"/>
      <c r="AB8054" s="35"/>
      <c r="AC8054" s="35"/>
      <c r="AD8054" s="35"/>
      <c r="AE8054" s="35"/>
      <c r="AF8054" s="35"/>
      <c r="AG8054" s="35"/>
      <c r="AH8054" s="35"/>
      <c r="AI8054" s="35"/>
      <c r="AJ8054" s="35"/>
      <c r="AK8054" s="35"/>
      <c r="AL8054" s="35"/>
    </row>
    <row r="8055">
      <c r="A8055" s="457"/>
      <c r="B8055" s="475"/>
      <c r="C8055" s="476"/>
      <c r="D8055" s="477"/>
      <c r="E8055" s="96"/>
      <c r="F8055" s="96"/>
      <c r="G8055" s="325"/>
      <c r="H8055" s="96"/>
      <c r="I8055" s="478"/>
      <c r="J8055" s="96"/>
      <c r="K8055" s="96"/>
      <c r="L8055" s="107"/>
      <c r="M8055" s="107"/>
      <c r="N8055" s="107"/>
      <c r="O8055" s="107"/>
      <c r="P8055" s="109"/>
      <c r="Q8055" s="107"/>
      <c r="R8055" s="107"/>
      <c r="S8055" s="107"/>
      <c r="T8055" s="479"/>
      <c r="U8055" s="296"/>
      <c r="V8055" s="50"/>
      <c r="W8055" s="49"/>
      <c r="X8055" s="49"/>
      <c r="Y8055" s="35"/>
      <c r="Z8055" s="35"/>
      <c r="AA8055" s="35"/>
      <c r="AB8055" s="35"/>
      <c r="AC8055" s="35"/>
      <c r="AD8055" s="35"/>
      <c r="AE8055" s="35"/>
      <c r="AF8055" s="35"/>
      <c r="AG8055" s="35"/>
      <c r="AH8055" s="35"/>
      <c r="AI8055" s="35"/>
      <c r="AJ8055" s="35"/>
      <c r="AK8055" s="35"/>
      <c r="AL8055" s="35"/>
    </row>
    <row r="8056">
      <c r="A8056" s="457"/>
      <c r="B8056" s="475"/>
      <c r="C8056" s="476"/>
      <c r="D8056" s="477"/>
      <c r="E8056" s="96"/>
      <c r="F8056" s="96"/>
      <c r="G8056" s="325"/>
      <c r="H8056" s="96"/>
      <c r="I8056" s="478"/>
      <c r="J8056" s="96"/>
      <c r="K8056" s="96"/>
      <c r="L8056" s="107"/>
      <c r="M8056" s="107"/>
      <c r="N8056" s="107"/>
      <c r="O8056" s="107"/>
      <c r="P8056" s="109"/>
      <c r="Q8056" s="107"/>
      <c r="R8056" s="107"/>
      <c r="S8056" s="107"/>
      <c r="T8056" s="479"/>
      <c r="U8056" s="296"/>
      <c r="V8056" s="50"/>
      <c r="W8056" s="49"/>
      <c r="X8056" s="49"/>
      <c r="Y8056" s="35"/>
      <c r="Z8056" s="35"/>
      <c r="AA8056" s="35"/>
      <c r="AB8056" s="35"/>
      <c r="AC8056" s="35"/>
      <c r="AD8056" s="35"/>
      <c r="AE8056" s="35"/>
      <c r="AF8056" s="35"/>
      <c r="AG8056" s="35"/>
      <c r="AH8056" s="35"/>
      <c r="AI8056" s="35"/>
      <c r="AJ8056" s="35"/>
      <c r="AK8056" s="35"/>
      <c r="AL8056" s="35"/>
    </row>
    <row r="8057">
      <c r="A8057" s="457"/>
      <c r="B8057" s="475"/>
      <c r="C8057" s="476"/>
      <c r="D8057" s="477"/>
      <c r="E8057" s="96"/>
      <c r="F8057" s="96"/>
      <c r="G8057" s="325"/>
      <c r="H8057" s="96"/>
      <c r="I8057" s="478"/>
      <c r="J8057" s="96"/>
      <c r="K8057" s="96"/>
      <c r="L8057" s="107"/>
      <c r="M8057" s="107"/>
      <c r="N8057" s="107"/>
      <c r="O8057" s="107"/>
      <c r="P8057" s="109"/>
      <c r="Q8057" s="107"/>
      <c r="R8057" s="107"/>
      <c r="S8057" s="107"/>
      <c r="T8057" s="479"/>
      <c r="U8057" s="296"/>
      <c r="V8057" s="50"/>
      <c r="W8057" s="49"/>
      <c r="X8057" s="49"/>
      <c r="Y8057" s="35"/>
      <c r="Z8057" s="35"/>
      <c r="AA8057" s="35"/>
      <c r="AB8057" s="35"/>
      <c r="AC8057" s="35"/>
      <c r="AD8057" s="35"/>
      <c r="AE8057" s="35"/>
      <c r="AF8057" s="35"/>
      <c r="AG8057" s="35"/>
      <c r="AH8057" s="35"/>
      <c r="AI8057" s="35"/>
      <c r="AJ8057" s="35"/>
      <c r="AK8057" s="35"/>
      <c r="AL8057" s="35"/>
    </row>
    <row r="8058">
      <c r="A8058" s="457"/>
      <c r="B8058" s="475"/>
      <c r="C8058" s="476"/>
      <c r="D8058" s="477"/>
      <c r="E8058" s="96"/>
      <c r="F8058" s="96"/>
      <c r="G8058" s="325"/>
      <c r="H8058" s="96"/>
      <c r="I8058" s="478"/>
      <c r="J8058" s="96"/>
      <c r="K8058" s="96"/>
      <c r="L8058" s="107"/>
      <c r="M8058" s="107"/>
      <c r="N8058" s="107"/>
      <c r="O8058" s="107"/>
      <c r="P8058" s="109"/>
      <c r="Q8058" s="107"/>
      <c r="R8058" s="107"/>
      <c r="S8058" s="107"/>
      <c r="T8058" s="479"/>
      <c r="U8058" s="296"/>
      <c r="V8058" s="50"/>
      <c r="W8058" s="49"/>
      <c r="X8058" s="49"/>
      <c r="Y8058" s="35"/>
      <c r="Z8058" s="35"/>
      <c r="AA8058" s="35"/>
      <c r="AB8058" s="35"/>
      <c r="AC8058" s="35"/>
      <c r="AD8058" s="35"/>
      <c r="AE8058" s="35"/>
      <c r="AF8058" s="35"/>
      <c r="AG8058" s="35"/>
      <c r="AH8058" s="35"/>
      <c r="AI8058" s="35"/>
      <c r="AJ8058" s="35"/>
      <c r="AK8058" s="35"/>
      <c r="AL8058" s="35"/>
    </row>
    <row r="8059">
      <c r="A8059" s="457"/>
      <c r="B8059" s="475"/>
      <c r="C8059" s="476"/>
      <c r="D8059" s="477"/>
      <c r="E8059" s="96"/>
      <c r="F8059" s="96"/>
      <c r="G8059" s="325"/>
      <c r="H8059" s="96"/>
      <c r="I8059" s="478"/>
      <c r="J8059" s="96"/>
      <c r="K8059" s="96"/>
      <c r="L8059" s="107"/>
      <c r="M8059" s="107"/>
      <c r="N8059" s="107"/>
      <c r="O8059" s="107"/>
      <c r="P8059" s="109"/>
      <c r="Q8059" s="107"/>
      <c r="R8059" s="107"/>
      <c r="S8059" s="107"/>
      <c r="T8059" s="479"/>
      <c r="U8059" s="296"/>
      <c r="V8059" s="50"/>
      <c r="W8059" s="49"/>
      <c r="X8059" s="49"/>
      <c r="Y8059" s="35"/>
      <c r="Z8059" s="35"/>
      <c r="AA8059" s="35"/>
      <c r="AB8059" s="35"/>
      <c r="AC8059" s="35"/>
      <c r="AD8059" s="35"/>
      <c r="AE8059" s="35"/>
      <c r="AF8059" s="35"/>
      <c r="AG8059" s="35"/>
      <c r="AH8059" s="35"/>
      <c r="AI8059" s="35"/>
      <c r="AJ8059" s="35"/>
      <c r="AK8059" s="35"/>
      <c r="AL8059" s="35"/>
    </row>
    <row r="8060">
      <c r="A8060" s="457"/>
      <c r="B8060" s="475"/>
      <c r="C8060" s="476"/>
      <c r="D8060" s="477"/>
      <c r="E8060" s="96"/>
      <c r="F8060" s="96"/>
      <c r="G8060" s="325"/>
      <c r="H8060" s="96"/>
      <c r="I8060" s="478"/>
      <c r="J8060" s="96"/>
      <c r="K8060" s="96"/>
      <c r="L8060" s="107"/>
      <c r="M8060" s="107"/>
      <c r="N8060" s="107"/>
      <c r="O8060" s="107"/>
      <c r="P8060" s="109"/>
      <c r="Q8060" s="107"/>
      <c r="R8060" s="107"/>
      <c r="S8060" s="107"/>
      <c r="T8060" s="479"/>
      <c r="U8060" s="296"/>
      <c r="V8060" s="50"/>
      <c r="W8060" s="49"/>
      <c r="X8060" s="49"/>
      <c r="Y8060" s="35"/>
      <c r="Z8060" s="35"/>
      <c r="AA8060" s="35"/>
      <c r="AB8060" s="35"/>
      <c r="AC8060" s="35"/>
      <c r="AD8060" s="35"/>
      <c r="AE8060" s="35"/>
      <c r="AF8060" s="35"/>
      <c r="AG8060" s="35"/>
      <c r="AH8060" s="35"/>
      <c r="AI8060" s="35"/>
      <c r="AJ8060" s="35"/>
      <c r="AK8060" s="35"/>
      <c r="AL8060" s="35"/>
    </row>
    <row r="8061">
      <c r="A8061" s="457"/>
      <c r="B8061" s="475"/>
      <c r="C8061" s="476"/>
      <c r="D8061" s="477"/>
      <c r="E8061" s="96"/>
      <c r="F8061" s="96"/>
      <c r="G8061" s="325"/>
      <c r="H8061" s="96"/>
      <c r="I8061" s="478"/>
      <c r="J8061" s="96"/>
      <c r="K8061" s="96"/>
      <c r="L8061" s="107"/>
      <c r="M8061" s="107"/>
      <c r="N8061" s="107"/>
      <c r="O8061" s="107"/>
      <c r="P8061" s="109"/>
      <c r="Q8061" s="107"/>
      <c r="R8061" s="107"/>
      <c r="S8061" s="107"/>
      <c r="T8061" s="479"/>
      <c r="U8061" s="296"/>
      <c r="V8061" s="50"/>
      <c r="W8061" s="49"/>
      <c r="X8061" s="49"/>
      <c r="Y8061" s="35"/>
      <c r="Z8061" s="35"/>
      <c r="AA8061" s="35"/>
      <c r="AB8061" s="35"/>
      <c r="AC8061" s="35"/>
      <c r="AD8061" s="35"/>
      <c r="AE8061" s="35"/>
      <c r="AF8061" s="35"/>
      <c r="AG8061" s="35"/>
      <c r="AH8061" s="35"/>
      <c r="AI8061" s="35"/>
      <c r="AJ8061" s="35"/>
      <c r="AK8061" s="35"/>
      <c r="AL8061" s="35"/>
    </row>
    <row r="8062">
      <c r="A8062" s="457"/>
      <c r="B8062" s="475"/>
      <c r="C8062" s="476"/>
      <c r="D8062" s="477"/>
      <c r="E8062" s="96"/>
      <c r="F8062" s="96"/>
      <c r="G8062" s="325"/>
      <c r="H8062" s="96"/>
      <c r="I8062" s="478"/>
      <c r="J8062" s="96"/>
      <c r="K8062" s="96"/>
      <c r="L8062" s="107"/>
      <c r="M8062" s="107"/>
      <c r="N8062" s="107"/>
      <c r="O8062" s="107"/>
      <c r="P8062" s="109"/>
      <c r="Q8062" s="107"/>
      <c r="R8062" s="107"/>
      <c r="S8062" s="107"/>
      <c r="T8062" s="479"/>
      <c r="U8062" s="296"/>
      <c r="V8062" s="50"/>
      <c r="W8062" s="49"/>
      <c r="X8062" s="49"/>
      <c r="Y8062" s="35"/>
      <c r="Z8062" s="35"/>
      <c r="AA8062" s="35"/>
      <c r="AB8062" s="35"/>
      <c r="AC8062" s="35"/>
      <c r="AD8062" s="35"/>
      <c r="AE8062" s="35"/>
      <c r="AF8062" s="35"/>
      <c r="AG8062" s="35"/>
      <c r="AH8062" s="35"/>
      <c r="AI8062" s="35"/>
      <c r="AJ8062" s="35"/>
      <c r="AK8062" s="35"/>
      <c r="AL8062" s="35"/>
    </row>
    <row r="8063">
      <c r="A8063" s="457"/>
      <c r="B8063" s="475"/>
      <c r="C8063" s="476"/>
      <c r="D8063" s="477"/>
      <c r="E8063" s="96"/>
      <c r="F8063" s="96"/>
      <c r="G8063" s="325"/>
      <c r="H8063" s="96"/>
      <c r="I8063" s="478"/>
      <c r="J8063" s="96"/>
      <c r="K8063" s="96"/>
      <c r="L8063" s="107"/>
      <c r="M8063" s="107"/>
      <c r="N8063" s="107"/>
      <c r="O8063" s="107"/>
      <c r="P8063" s="109"/>
      <c r="Q8063" s="107"/>
      <c r="R8063" s="107"/>
      <c r="S8063" s="107"/>
      <c r="T8063" s="479"/>
      <c r="U8063" s="296"/>
      <c r="V8063" s="50"/>
      <c r="W8063" s="49"/>
      <c r="X8063" s="49"/>
      <c r="Y8063" s="35"/>
      <c r="Z8063" s="35"/>
      <c r="AA8063" s="35"/>
      <c r="AB8063" s="35"/>
      <c r="AC8063" s="35"/>
      <c r="AD8063" s="35"/>
      <c r="AE8063" s="35"/>
      <c r="AF8063" s="35"/>
      <c r="AG8063" s="35"/>
      <c r="AH8063" s="35"/>
      <c r="AI8063" s="35"/>
      <c r="AJ8063" s="35"/>
      <c r="AK8063" s="35"/>
      <c r="AL8063" s="35"/>
    </row>
    <row r="8064">
      <c r="A8064" s="457"/>
      <c r="B8064" s="475"/>
      <c r="C8064" s="476"/>
      <c r="D8064" s="477"/>
      <c r="E8064" s="96"/>
      <c r="F8064" s="96"/>
      <c r="G8064" s="325"/>
      <c r="H8064" s="96"/>
      <c r="I8064" s="478"/>
      <c r="J8064" s="96"/>
      <c r="K8064" s="96"/>
      <c r="L8064" s="107"/>
      <c r="M8064" s="107"/>
      <c r="N8064" s="107"/>
      <c r="O8064" s="107"/>
      <c r="P8064" s="109"/>
      <c r="Q8064" s="107"/>
      <c r="R8064" s="107"/>
      <c r="S8064" s="107"/>
      <c r="T8064" s="479"/>
      <c r="U8064" s="296"/>
      <c r="V8064" s="50"/>
      <c r="W8064" s="49"/>
      <c r="X8064" s="49"/>
      <c r="Y8064" s="35"/>
      <c r="Z8064" s="35"/>
      <c r="AA8064" s="35"/>
      <c r="AB8064" s="35"/>
      <c r="AC8064" s="35"/>
      <c r="AD8064" s="35"/>
      <c r="AE8064" s="35"/>
      <c r="AF8064" s="35"/>
      <c r="AG8064" s="35"/>
      <c r="AH8064" s="35"/>
      <c r="AI8064" s="35"/>
      <c r="AJ8064" s="35"/>
      <c r="AK8064" s="35"/>
      <c r="AL8064" s="35"/>
    </row>
    <row r="8065">
      <c r="A8065" s="457"/>
      <c r="B8065" s="475"/>
      <c r="C8065" s="476"/>
      <c r="D8065" s="477"/>
      <c r="E8065" s="96"/>
      <c r="F8065" s="96"/>
      <c r="G8065" s="325"/>
      <c r="H8065" s="96"/>
      <c r="I8065" s="478"/>
      <c r="J8065" s="96"/>
      <c r="K8065" s="96"/>
      <c r="L8065" s="107"/>
      <c r="M8065" s="107"/>
      <c r="N8065" s="107"/>
      <c r="O8065" s="107"/>
      <c r="P8065" s="109"/>
      <c r="Q8065" s="107"/>
      <c r="R8065" s="107"/>
      <c r="S8065" s="107"/>
      <c r="T8065" s="479"/>
      <c r="U8065" s="296"/>
      <c r="V8065" s="50"/>
      <c r="W8065" s="49"/>
      <c r="X8065" s="49"/>
      <c r="Y8065" s="35"/>
      <c r="Z8065" s="35"/>
      <c r="AA8065" s="35"/>
      <c r="AB8065" s="35"/>
      <c r="AC8065" s="35"/>
      <c r="AD8065" s="35"/>
      <c r="AE8065" s="35"/>
      <c r="AF8065" s="35"/>
      <c r="AG8065" s="35"/>
      <c r="AH8065" s="35"/>
      <c r="AI8065" s="35"/>
      <c r="AJ8065" s="35"/>
      <c r="AK8065" s="35"/>
      <c r="AL8065" s="35"/>
    </row>
    <row r="8066">
      <c r="A8066" s="457"/>
      <c r="B8066" s="475"/>
      <c r="C8066" s="476"/>
      <c r="D8066" s="477"/>
      <c r="E8066" s="96"/>
      <c r="F8066" s="96"/>
      <c r="G8066" s="325"/>
      <c r="H8066" s="96"/>
      <c r="I8066" s="478"/>
      <c r="J8066" s="96"/>
      <c r="K8066" s="96"/>
      <c r="L8066" s="107"/>
      <c r="M8066" s="107"/>
      <c r="N8066" s="107"/>
      <c r="O8066" s="107"/>
      <c r="P8066" s="109"/>
      <c r="Q8066" s="107"/>
      <c r="R8066" s="107"/>
      <c r="S8066" s="107"/>
      <c r="T8066" s="479"/>
      <c r="U8066" s="296"/>
      <c r="V8066" s="50"/>
      <c r="W8066" s="49"/>
      <c r="X8066" s="49"/>
      <c r="Y8066" s="35"/>
      <c r="Z8066" s="35"/>
      <c r="AA8066" s="35"/>
      <c r="AB8066" s="35"/>
      <c r="AC8066" s="35"/>
      <c r="AD8066" s="35"/>
      <c r="AE8066" s="35"/>
      <c r="AF8066" s="35"/>
      <c r="AG8066" s="35"/>
      <c r="AH8066" s="35"/>
      <c r="AI8066" s="35"/>
      <c r="AJ8066" s="35"/>
      <c r="AK8066" s="35"/>
      <c r="AL8066" s="35"/>
    </row>
    <row r="8067">
      <c r="A8067" s="457"/>
      <c r="B8067" s="475"/>
      <c r="C8067" s="476"/>
      <c r="D8067" s="477"/>
      <c r="E8067" s="96"/>
      <c r="F8067" s="96"/>
      <c r="G8067" s="325"/>
      <c r="H8067" s="96"/>
      <c r="I8067" s="478"/>
      <c r="J8067" s="96"/>
      <c r="K8067" s="96"/>
      <c r="L8067" s="107"/>
      <c r="M8067" s="107"/>
      <c r="N8067" s="107"/>
      <c r="O8067" s="107"/>
      <c r="P8067" s="109"/>
      <c r="Q8067" s="107"/>
      <c r="R8067" s="107"/>
      <c r="S8067" s="107"/>
      <c r="T8067" s="479"/>
      <c r="U8067" s="296"/>
      <c r="V8067" s="50"/>
      <c r="W8067" s="49"/>
      <c r="X8067" s="49"/>
      <c r="Y8067" s="35"/>
      <c r="Z8067" s="35"/>
      <c r="AA8067" s="35"/>
      <c r="AB8067" s="35"/>
      <c r="AC8067" s="35"/>
      <c r="AD8067" s="35"/>
      <c r="AE8067" s="35"/>
      <c r="AF8067" s="35"/>
      <c r="AG8067" s="35"/>
      <c r="AH8067" s="35"/>
      <c r="AI8067" s="35"/>
      <c r="AJ8067" s="35"/>
      <c r="AK8067" s="35"/>
      <c r="AL8067" s="35"/>
    </row>
    <row r="8068">
      <c r="A8068" s="457"/>
      <c r="B8068" s="475"/>
      <c r="C8068" s="476"/>
      <c r="D8068" s="477"/>
      <c r="E8068" s="96"/>
      <c r="F8068" s="96"/>
      <c r="G8068" s="325"/>
      <c r="H8068" s="96"/>
      <c r="I8068" s="478"/>
      <c r="J8068" s="96"/>
      <c r="K8068" s="96"/>
      <c r="L8068" s="107"/>
      <c r="M8068" s="107"/>
      <c r="N8068" s="107"/>
      <c r="O8068" s="107"/>
      <c r="P8068" s="109"/>
      <c r="Q8068" s="107"/>
      <c r="R8068" s="107"/>
      <c r="S8068" s="107"/>
      <c r="T8068" s="479"/>
      <c r="U8068" s="296"/>
      <c r="V8068" s="50"/>
      <c r="W8068" s="49"/>
      <c r="X8068" s="49"/>
      <c r="Y8068" s="35"/>
      <c r="Z8068" s="35"/>
      <c r="AA8068" s="35"/>
      <c r="AB8068" s="35"/>
      <c r="AC8068" s="35"/>
      <c r="AD8068" s="35"/>
      <c r="AE8068" s="35"/>
      <c r="AF8068" s="35"/>
      <c r="AG8068" s="35"/>
      <c r="AH8068" s="35"/>
      <c r="AI8068" s="35"/>
      <c r="AJ8068" s="35"/>
      <c r="AK8068" s="35"/>
      <c r="AL8068" s="35"/>
    </row>
    <row r="8069">
      <c r="A8069" s="457"/>
      <c r="B8069" s="475"/>
      <c r="C8069" s="476"/>
      <c r="D8069" s="477"/>
      <c r="E8069" s="96"/>
      <c r="F8069" s="96"/>
      <c r="G8069" s="325"/>
      <c r="H8069" s="96"/>
      <c r="I8069" s="478"/>
      <c r="J8069" s="96"/>
      <c r="K8069" s="96"/>
      <c r="L8069" s="107"/>
      <c r="M8069" s="107"/>
      <c r="N8069" s="107"/>
      <c r="O8069" s="107"/>
      <c r="P8069" s="109"/>
      <c r="Q8069" s="107"/>
      <c r="R8069" s="107"/>
      <c r="S8069" s="107"/>
      <c r="T8069" s="479"/>
      <c r="U8069" s="296"/>
      <c r="V8069" s="50"/>
      <c r="W8069" s="49"/>
      <c r="X8069" s="49"/>
      <c r="Y8069" s="35"/>
      <c r="Z8069" s="35"/>
      <c r="AA8069" s="35"/>
      <c r="AB8069" s="35"/>
      <c r="AC8069" s="35"/>
      <c r="AD8069" s="35"/>
      <c r="AE8069" s="35"/>
      <c r="AF8069" s="35"/>
      <c r="AG8069" s="35"/>
      <c r="AH8069" s="35"/>
      <c r="AI8069" s="35"/>
      <c r="AJ8069" s="35"/>
      <c r="AK8069" s="35"/>
      <c r="AL8069" s="35"/>
    </row>
    <row r="8070">
      <c r="A8070" s="457"/>
      <c r="B8070" s="475"/>
      <c r="C8070" s="476"/>
      <c r="D8070" s="477"/>
      <c r="E8070" s="96"/>
      <c r="F8070" s="96"/>
      <c r="G8070" s="325"/>
      <c r="H8070" s="96"/>
      <c r="I8070" s="478"/>
      <c r="J8070" s="96"/>
      <c r="K8070" s="96"/>
      <c r="L8070" s="107"/>
      <c r="M8070" s="107"/>
      <c r="N8070" s="107"/>
      <c r="O8070" s="107"/>
      <c r="P8070" s="109"/>
      <c r="Q8070" s="107"/>
      <c r="R8070" s="107"/>
      <c r="S8070" s="107"/>
      <c r="T8070" s="479"/>
      <c r="U8070" s="296"/>
      <c r="V8070" s="50"/>
      <c r="W8070" s="49"/>
      <c r="X8070" s="49"/>
      <c r="Y8070" s="35"/>
      <c r="Z8070" s="35"/>
      <c r="AA8070" s="35"/>
      <c r="AB8070" s="35"/>
      <c r="AC8070" s="35"/>
      <c r="AD8070" s="35"/>
      <c r="AE8070" s="35"/>
      <c r="AF8070" s="35"/>
      <c r="AG8070" s="35"/>
      <c r="AH8070" s="35"/>
      <c r="AI8070" s="35"/>
      <c r="AJ8070" s="35"/>
      <c r="AK8070" s="35"/>
      <c r="AL8070" s="35"/>
    </row>
    <row r="8071">
      <c r="A8071" s="457"/>
      <c r="B8071" s="475"/>
      <c r="C8071" s="476"/>
      <c r="D8071" s="477"/>
      <c r="E8071" s="96"/>
      <c r="F8071" s="96"/>
      <c r="G8071" s="325"/>
      <c r="H8071" s="96"/>
      <c r="I8071" s="478"/>
      <c r="J8071" s="96"/>
      <c r="K8071" s="96"/>
      <c r="L8071" s="107"/>
      <c r="M8071" s="107"/>
      <c r="N8071" s="107"/>
      <c r="O8071" s="107"/>
      <c r="P8071" s="109"/>
      <c r="Q8071" s="107"/>
      <c r="R8071" s="107"/>
      <c r="S8071" s="107"/>
      <c r="T8071" s="479"/>
      <c r="U8071" s="296"/>
      <c r="V8071" s="50"/>
      <c r="W8071" s="49"/>
      <c r="X8071" s="49"/>
      <c r="Y8071" s="35"/>
      <c r="Z8071" s="35"/>
      <c r="AA8071" s="35"/>
      <c r="AB8071" s="35"/>
      <c r="AC8071" s="35"/>
      <c r="AD8071" s="35"/>
      <c r="AE8071" s="35"/>
      <c r="AF8071" s="35"/>
      <c r="AG8071" s="35"/>
      <c r="AH8071" s="35"/>
      <c r="AI8071" s="35"/>
      <c r="AJ8071" s="35"/>
      <c r="AK8071" s="35"/>
      <c r="AL8071" s="35"/>
    </row>
    <row r="8072">
      <c r="A8072" s="457"/>
      <c r="B8072" s="475"/>
      <c r="C8072" s="476"/>
      <c r="D8072" s="477"/>
      <c r="E8072" s="96"/>
      <c r="F8072" s="96"/>
      <c r="G8072" s="325"/>
      <c r="H8072" s="96"/>
      <c r="I8072" s="478"/>
      <c r="J8072" s="96"/>
      <c r="K8072" s="96"/>
      <c r="L8072" s="107"/>
      <c r="M8072" s="107"/>
      <c r="N8072" s="107"/>
      <c r="O8072" s="107"/>
      <c r="P8072" s="109"/>
      <c r="Q8072" s="107"/>
      <c r="R8072" s="107"/>
      <c r="S8072" s="107"/>
      <c r="T8072" s="479"/>
      <c r="U8072" s="296"/>
      <c r="V8072" s="50"/>
      <c r="W8072" s="49"/>
      <c r="X8072" s="49"/>
      <c r="Y8072" s="35"/>
      <c r="Z8072" s="35"/>
      <c r="AA8072" s="35"/>
      <c r="AB8072" s="35"/>
      <c r="AC8072" s="35"/>
      <c r="AD8072" s="35"/>
      <c r="AE8072" s="35"/>
      <c r="AF8072" s="35"/>
      <c r="AG8072" s="35"/>
      <c r="AH8072" s="35"/>
      <c r="AI8072" s="35"/>
      <c r="AJ8072" s="35"/>
      <c r="AK8072" s="35"/>
      <c r="AL8072" s="35"/>
    </row>
    <row r="8073">
      <c r="A8073" s="457"/>
      <c r="B8073" s="475"/>
      <c r="C8073" s="476"/>
      <c r="D8073" s="477"/>
      <c r="E8073" s="96"/>
      <c r="F8073" s="96"/>
      <c r="G8073" s="325"/>
      <c r="H8073" s="96"/>
      <c r="I8073" s="478"/>
      <c r="J8073" s="96"/>
      <c r="K8073" s="96"/>
      <c r="L8073" s="107"/>
      <c r="M8073" s="107"/>
      <c r="N8073" s="107"/>
      <c r="O8073" s="107"/>
      <c r="P8073" s="109"/>
      <c r="Q8073" s="107"/>
      <c r="R8073" s="107"/>
      <c r="S8073" s="107"/>
      <c r="T8073" s="479"/>
      <c r="U8073" s="296"/>
      <c r="V8073" s="50"/>
      <c r="W8073" s="49"/>
      <c r="X8073" s="49"/>
      <c r="Y8073" s="35"/>
      <c r="Z8073" s="35"/>
      <c r="AA8073" s="35"/>
      <c r="AB8073" s="35"/>
      <c r="AC8073" s="35"/>
      <c r="AD8073" s="35"/>
      <c r="AE8073" s="35"/>
      <c r="AF8073" s="35"/>
      <c r="AG8073" s="35"/>
      <c r="AH8073" s="35"/>
      <c r="AI8073" s="35"/>
      <c r="AJ8073" s="35"/>
      <c r="AK8073" s="35"/>
      <c r="AL8073" s="35"/>
    </row>
    <row r="8074">
      <c r="A8074" s="457"/>
      <c r="B8074" s="475"/>
      <c r="C8074" s="476"/>
      <c r="D8074" s="477"/>
      <c r="E8074" s="96"/>
      <c r="F8074" s="96"/>
      <c r="G8074" s="325"/>
      <c r="H8074" s="96"/>
      <c r="I8074" s="478"/>
      <c r="J8074" s="96"/>
      <c r="K8074" s="96"/>
      <c r="L8074" s="107"/>
      <c r="M8074" s="107"/>
      <c r="N8074" s="107"/>
      <c r="O8074" s="107"/>
      <c r="P8074" s="109"/>
      <c r="Q8074" s="107"/>
      <c r="R8074" s="107"/>
      <c r="S8074" s="107"/>
      <c r="T8074" s="479"/>
      <c r="U8074" s="296"/>
      <c r="V8074" s="50"/>
      <c r="W8074" s="49"/>
      <c r="X8074" s="49"/>
      <c r="Y8074" s="35"/>
      <c r="Z8074" s="35"/>
      <c r="AA8074" s="35"/>
      <c r="AB8074" s="35"/>
      <c r="AC8074" s="35"/>
      <c r="AD8074" s="35"/>
      <c r="AE8074" s="35"/>
      <c r="AF8074" s="35"/>
      <c r="AG8074" s="35"/>
      <c r="AH8074" s="35"/>
      <c r="AI8074" s="35"/>
      <c r="AJ8074" s="35"/>
      <c r="AK8074" s="35"/>
      <c r="AL8074" s="35"/>
    </row>
    <row r="8075">
      <c r="A8075" s="457"/>
      <c r="B8075" s="475"/>
      <c r="C8075" s="476"/>
      <c r="D8075" s="477"/>
      <c r="E8075" s="96"/>
      <c r="F8075" s="96"/>
      <c r="G8075" s="325"/>
      <c r="H8075" s="96"/>
      <c r="I8075" s="478"/>
      <c r="J8075" s="96"/>
      <c r="K8075" s="96"/>
      <c r="L8075" s="107"/>
      <c r="M8075" s="107"/>
      <c r="N8075" s="107"/>
      <c r="O8075" s="107"/>
      <c r="P8075" s="109"/>
      <c r="Q8075" s="107"/>
      <c r="R8075" s="107"/>
      <c r="S8075" s="107"/>
      <c r="T8075" s="479"/>
      <c r="U8075" s="296"/>
      <c r="V8075" s="50"/>
      <c r="W8075" s="49"/>
      <c r="X8075" s="49"/>
      <c r="Y8075" s="35"/>
      <c r="Z8075" s="35"/>
      <c r="AA8075" s="35"/>
      <c r="AB8075" s="35"/>
      <c r="AC8075" s="35"/>
      <c r="AD8075" s="35"/>
      <c r="AE8075" s="35"/>
      <c r="AF8075" s="35"/>
      <c r="AG8075" s="35"/>
      <c r="AH8075" s="35"/>
      <c r="AI8075" s="35"/>
      <c r="AJ8075" s="35"/>
      <c r="AK8075" s="35"/>
      <c r="AL8075" s="35"/>
    </row>
    <row r="8076">
      <c r="A8076" s="457"/>
      <c r="B8076" s="475"/>
      <c r="C8076" s="476"/>
      <c r="D8076" s="477"/>
      <c r="E8076" s="96"/>
      <c r="F8076" s="96"/>
      <c r="G8076" s="325"/>
      <c r="H8076" s="96"/>
      <c r="I8076" s="478"/>
      <c r="J8076" s="96"/>
      <c r="K8076" s="96"/>
      <c r="L8076" s="107"/>
      <c r="M8076" s="107"/>
      <c r="N8076" s="107"/>
      <c r="O8076" s="107"/>
      <c r="P8076" s="109"/>
      <c r="Q8076" s="107"/>
      <c r="R8076" s="107"/>
      <c r="S8076" s="107"/>
      <c r="T8076" s="479"/>
      <c r="U8076" s="296"/>
      <c r="V8076" s="50"/>
      <c r="W8076" s="49"/>
      <c r="X8076" s="49"/>
      <c r="Y8076" s="35"/>
      <c r="Z8076" s="35"/>
      <c r="AA8076" s="35"/>
      <c r="AB8076" s="35"/>
      <c r="AC8076" s="35"/>
      <c r="AD8076" s="35"/>
      <c r="AE8076" s="35"/>
      <c r="AF8076" s="35"/>
      <c r="AG8076" s="35"/>
      <c r="AH8076" s="35"/>
      <c r="AI8076" s="35"/>
      <c r="AJ8076" s="35"/>
      <c r="AK8076" s="35"/>
      <c r="AL8076" s="35"/>
    </row>
    <row r="8077">
      <c r="A8077" s="457"/>
      <c r="B8077" s="475"/>
      <c r="C8077" s="476"/>
      <c r="D8077" s="477"/>
      <c r="E8077" s="96"/>
      <c r="F8077" s="96"/>
      <c r="G8077" s="325"/>
      <c r="H8077" s="96"/>
      <c r="I8077" s="478"/>
      <c r="J8077" s="96"/>
      <c r="K8077" s="96"/>
      <c r="L8077" s="107"/>
      <c r="M8077" s="107"/>
      <c r="N8077" s="107"/>
      <c r="O8077" s="107"/>
      <c r="P8077" s="109"/>
      <c r="Q8077" s="107"/>
      <c r="R8077" s="107"/>
      <c r="S8077" s="107"/>
      <c r="T8077" s="479"/>
      <c r="U8077" s="296"/>
      <c r="V8077" s="50"/>
      <c r="W8077" s="49"/>
      <c r="X8077" s="49"/>
      <c r="Y8077" s="35"/>
      <c r="Z8077" s="35"/>
      <c r="AA8077" s="35"/>
      <c r="AB8077" s="35"/>
      <c r="AC8077" s="35"/>
      <c r="AD8077" s="35"/>
      <c r="AE8077" s="35"/>
      <c r="AF8077" s="35"/>
      <c r="AG8077" s="35"/>
      <c r="AH8077" s="35"/>
      <c r="AI8077" s="35"/>
      <c r="AJ8077" s="35"/>
      <c r="AK8077" s="35"/>
      <c r="AL8077" s="35"/>
    </row>
    <row r="8078">
      <c r="A8078" s="457"/>
      <c r="B8078" s="475"/>
      <c r="C8078" s="476"/>
      <c r="D8078" s="477"/>
      <c r="E8078" s="96"/>
      <c r="F8078" s="96"/>
      <c r="G8078" s="325"/>
      <c r="H8078" s="96"/>
      <c r="I8078" s="478"/>
      <c r="J8078" s="96"/>
      <c r="K8078" s="96"/>
      <c r="L8078" s="107"/>
      <c r="M8078" s="107"/>
      <c r="N8078" s="107"/>
      <c r="O8078" s="107"/>
      <c r="P8078" s="109"/>
      <c r="Q8078" s="107"/>
      <c r="R8078" s="107"/>
      <c r="S8078" s="107"/>
      <c r="T8078" s="479"/>
      <c r="U8078" s="296"/>
      <c r="V8078" s="50"/>
      <c r="W8078" s="49"/>
      <c r="X8078" s="49"/>
      <c r="Y8078" s="35"/>
      <c r="Z8078" s="35"/>
      <c r="AA8078" s="35"/>
      <c r="AB8078" s="35"/>
      <c r="AC8078" s="35"/>
      <c r="AD8078" s="35"/>
      <c r="AE8078" s="35"/>
      <c r="AF8078" s="35"/>
      <c r="AG8078" s="35"/>
      <c r="AH8078" s="35"/>
      <c r="AI8078" s="35"/>
      <c r="AJ8078" s="35"/>
      <c r="AK8078" s="35"/>
      <c r="AL8078" s="35"/>
    </row>
    <row r="8079">
      <c r="A8079" s="457"/>
      <c r="B8079" s="475"/>
      <c r="C8079" s="476"/>
      <c r="D8079" s="477"/>
      <c r="E8079" s="96"/>
      <c r="F8079" s="96"/>
      <c r="G8079" s="325"/>
      <c r="H8079" s="96"/>
      <c r="I8079" s="478"/>
      <c r="J8079" s="96"/>
      <c r="K8079" s="96"/>
      <c r="L8079" s="107"/>
      <c r="M8079" s="107"/>
      <c r="N8079" s="107"/>
      <c r="O8079" s="107"/>
      <c r="P8079" s="109"/>
      <c r="Q8079" s="107"/>
      <c r="R8079" s="107"/>
      <c r="S8079" s="107"/>
      <c r="T8079" s="479"/>
      <c r="U8079" s="296"/>
      <c r="V8079" s="50"/>
      <c r="W8079" s="49"/>
      <c r="X8079" s="49"/>
      <c r="Y8079" s="35"/>
      <c r="Z8079" s="35"/>
      <c r="AA8079" s="35"/>
      <c r="AB8079" s="35"/>
      <c r="AC8079" s="35"/>
      <c r="AD8079" s="35"/>
      <c r="AE8079" s="35"/>
      <c r="AF8079" s="35"/>
      <c r="AG8079" s="35"/>
      <c r="AH8079" s="35"/>
      <c r="AI8079" s="35"/>
      <c r="AJ8079" s="35"/>
      <c r="AK8079" s="35"/>
      <c r="AL8079" s="35"/>
    </row>
    <row r="8080">
      <c r="A8080" s="457"/>
      <c r="B8080" s="475"/>
      <c r="C8080" s="476"/>
      <c r="D8080" s="477"/>
      <c r="E8080" s="96"/>
      <c r="F8080" s="96"/>
      <c r="G8080" s="325"/>
      <c r="H8080" s="96"/>
      <c r="I8080" s="478"/>
      <c r="J8080" s="96"/>
      <c r="K8080" s="96"/>
      <c r="L8080" s="107"/>
      <c r="M8080" s="107"/>
      <c r="N8080" s="107"/>
      <c r="O8080" s="107"/>
      <c r="P8080" s="109"/>
      <c r="Q8080" s="107"/>
      <c r="R8080" s="107"/>
      <c r="S8080" s="107"/>
      <c r="T8080" s="479"/>
      <c r="U8080" s="296"/>
      <c r="V8080" s="50"/>
      <c r="W8080" s="49"/>
      <c r="X8080" s="49"/>
      <c r="Y8080" s="35"/>
      <c r="Z8080" s="35"/>
      <c r="AA8080" s="35"/>
      <c r="AB8080" s="35"/>
      <c r="AC8080" s="35"/>
      <c r="AD8080" s="35"/>
      <c r="AE8080" s="35"/>
      <c r="AF8080" s="35"/>
      <c r="AG8080" s="35"/>
      <c r="AH8080" s="35"/>
      <c r="AI8080" s="35"/>
      <c r="AJ8080" s="35"/>
      <c r="AK8080" s="35"/>
      <c r="AL8080" s="35"/>
    </row>
    <row r="8081">
      <c r="A8081" s="457"/>
      <c r="B8081" s="475"/>
      <c r="C8081" s="476"/>
      <c r="D8081" s="477"/>
      <c r="E8081" s="96"/>
      <c r="F8081" s="96"/>
      <c r="G8081" s="325"/>
      <c r="H8081" s="96"/>
      <c r="I8081" s="478"/>
      <c r="J8081" s="96"/>
      <c r="K8081" s="96"/>
      <c r="L8081" s="107"/>
      <c r="M8081" s="107"/>
      <c r="N8081" s="107"/>
      <c r="O8081" s="107"/>
      <c r="P8081" s="109"/>
      <c r="Q8081" s="107"/>
      <c r="R8081" s="107"/>
      <c r="S8081" s="107"/>
      <c r="T8081" s="479"/>
      <c r="U8081" s="296"/>
      <c r="V8081" s="50"/>
      <c r="W8081" s="49"/>
      <c r="X8081" s="49"/>
      <c r="Y8081" s="35"/>
      <c r="Z8081" s="35"/>
      <c r="AA8081" s="35"/>
      <c r="AB8081" s="35"/>
      <c r="AC8081" s="35"/>
      <c r="AD8081" s="35"/>
      <c r="AE8081" s="35"/>
      <c r="AF8081" s="35"/>
      <c r="AG8081" s="35"/>
      <c r="AH8081" s="35"/>
      <c r="AI8081" s="35"/>
      <c r="AJ8081" s="35"/>
      <c r="AK8081" s="35"/>
      <c r="AL8081" s="35"/>
    </row>
    <row r="8082">
      <c r="A8082" s="457"/>
      <c r="B8082" s="475"/>
      <c r="C8082" s="476"/>
      <c r="D8082" s="477"/>
      <c r="E8082" s="96"/>
      <c r="F8082" s="96"/>
      <c r="G8082" s="325"/>
      <c r="H8082" s="96"/>
      <c r="I8082" s="478"/>
      <c r="J8082" s="96"/>
      <c r="K8082" s="96"/>
      <c r="L8082" s="107"/>
      <c r="M8082" s="107"/>
      <c r="N8082" s="107"/>
      <c r="O8082" s="107"/>
      <c r="P8082" s="109"/>
      <c r="Q8082" s="107"/>
      <c r="R8082" s="107"/>
      <c r="S8082" s="107"/>
      <c r="T8082" s="479"/>
      <c r="U8082" s="296"/>
      <c r="V8082" s="50"/>
      <c r="W8082" s="49"/>
      <c r="X8082" s="49"/>
      <c r="Y8082" s="35"/>
      <c r="Z8082" s="35"/>
      <c r="AA8082" s="35"/>
      <c r="AB8082" s="35"/>
      <c r="AC8082" s="35"/>
      <c r="AD8082" s="35"/>
      <c r="AE8082" s="35"/>
      <c r="AF8082" s="35"/>
      <c r="AG8082" s="35"/>
      <c r="AH8082" s="35"/>
      <c r="AI8082" s="35"/>
      <c r="AJ8082" s="35"/>
      <c r="AK8082" s="35"/>
      <c r="AL8082" s="35"/>
    </row>
    <row r="8083">
      <c r="A8083" s="457"/>
      <c r="B8083" s="475"/>
      <c r="C8083" s="476"/>
      <c r="D8083" s="477"/>
      <c r="E8083" s="96"/>
      <c r="F8083" s="96"/>
      <c r="G8083" s="325"/>
      <c r="H8083" s="96"/>
      <c r="I8083" s="478"/>
      <c r="J8083" s="96"/>
      <c r="K8083" s="96"/>
      <c r="L8083" s="107"/>
      <c r="M8083" s="107"/>
      <c r="N8083" s="107"/>
      <c r="O8083" s="107"/>
      <c r="P8083" s="109"/>
      <c r="Q8083" s="107"/>
      <c r="R8083" s="107"/>
      <c r="S8083" s="107"/>
      <c r="T8083" s="479"/>
      <c r="U8083" s="296"/>
      <c r="V8083" s="50"/>
      <c r="W8083" s="49"/>
      <c r="X8083" s="49"/>
      <c r="Y8083" s="35"/>
      <c r="Z8083" s="35"/>
      <c r="AA8083" s="35"/>
      <c r="AB8083" s="35"/>
      <c r="AC8083" s="35"/>
      <c r="AD8083" s="35"/>
      <c r="AE8083" s="35"/>
      <c r="AF8083" s="35"/>
      <c r="AG8083" s="35"/>
      <c r="AH8083" s="35"/>
      <c r="AI8083" s="35"/>
      <c r="AJ8083" s="35"/>
      <c r="AK8083" s="35"/>
      <c r="AL8083" s="35"/>
    </row>
    <row r="8084">
      <c r="A8084" s="457"/>
      <c r="B8084" s="475"/>
      <c r="C8084" s="476"/>
      <c r="D8084" s="477"/>
      <c r="E8084" s="96"/>
      <c r="F8084" s="96"/>
      <c r="G8084" s="325"/>
      <c r="H8084" s="96"/>
      <c r="I8084" s="478"/>
      <c r="J8084" s="96"/>
      <c r="K8084" s="96"/>
      <c r="L8084" s="107"/>
      <c r="M8084" s="107"/>
      <c r="N8084" s="107"/>
      <c r="O8084" s="107"/>
      <c r="P8084" s="109"/>
      <c r="Q8084" s="107"/>
      <c r="R8084" s="107"/>
      <c r="S8084" s="107"/>
      <c r="T8084" s="479"/>
      <c r="U8084" s="296"/>
      <c r="V8084" s="50"/>
      <c r="W8084" s="49"/>
      <c r="X8084" s="49"/>
      <c r="Y8084" s="35"/>
      <c r="Z8084" s="35"/>
      <c r="AA8084" s="35"/>
      <c r="AB8084" s="35"/>
      <c r="AC8084" s="35"/>
      <c r="AD8084" s="35"/>
      <c r="AE8084" s="35"/>
      <c r="AF8084" s="35"/>
      <c r="AG8084" s="35"/>
      <c r="AH8084" s="35"/>
      <c r="AI8084" s="35"/>
      <c r="AJ8084" s="35"/>
      <c r="AK8084" s="35"/>
      <c r="AL8084" s="35"/>
    </row>
    <row r="8085">
      <c r="A8085" s="457"/>
      <c r="B8085" s="475"/>
      <c r="C8085" s="476"/>
      <c r="D8085" s="477"/>
      <c r="E8085" s="96"/>
      <c r="F8085" s="96"/>
      <c r="G8085" s="325"/>
      <c r="H8085" s="96"/>
      <c r="I8085" s="478"/>
      <c r="J8085" s="96"/>
      <c r="K8085" s="96"/>
      <c r="L8085" s="107"/>
      <c r="M8085" s="107"/>
      <c r="N8085" s="107"/>
      <c r="O8085" s="107"/>
      <c r="P8085" s="109"/>
      <c r="Q8085" s="107"/>
      <c r="R8085" s="107"/>
      <c r="S8085" s="107"/>
      <c r="T8085" s="479"/>
      <c r="U8085" s="296"/>
      <c r="V8085" s="50"/>
      <c r="W8085" s="49"/>
      <c r="X8085" s="49"/>
      <c r="Y8085" s="35"/>
      <c r="Z8085" s="35"/>
      <c r="AA8085" s="35"/>
      <c r="AB8085" s="35"/>
      <c r="AC8085" s="35"/>
      <c r="AD8085" s="35"/>
      <c r="AE8085" s="35"/>
      <c r="AF8085" s="35"/>
      <c r="AG8085" s="35"/>
      <c r="AH8085" s="35"/>
      <c r="AI8085" s="35"/>
      <c r="AJ8085" s="35"/>
      <c r="AK8085" s="35"/>
      <c r="AL8085" s="35"/>
    </row>
    <row r="8086">
      <c r="A8086" s="457"/>
      <c r="B8086" s="475"/>
      <c r="C8086" s="476"/>
      <c r="D8086" s="477"/>
      <c r="E8086" s="96"/>
      <c r="F8086" s="96"/>
      <c r="G8086" s="325"/>
      <c r="H8086" s="96"/>
      <c r="I8086" s="478"/>
      <c r="J8086" s="96"/>
      <c r="K8086" s="96"/>
      <c r="L8086" s="107"/>
      <c r="M8086" s="107"/>
      <c r="N8086" s="107"/>
      <c r="O8086" s="107"/>
      <c r="P8086" s="109"/>
      <c r="Q8086" s="107"/>
      <c r="R8086" s="107"/>
      <c r="S8086" s="107"/>
      <c r="T8086" s="479"/>
      <c r="U8086" s="296"/>
      <c r="V8086" s="50"/>
      <c r="W8086" s="49"/>
      <c r="X8086" s="49"/>
      <c r="Y8086" s="35"/>
      <c r="Z8086" s="35"/>
      <c r="AA8086" s="35"/>
      <c r="AB8086" s="35"/>
      <c r="AC8086" s="35"/>
      <c r="AD8086" s="35"/>
      <c r="AE8086" s="35"/>
      <c r="AF8086" s="35"/>
      <c r="AG8086" s="35"/>
      <c r="AH8086" s="35"/>
      <c r="AI8086" s="35"/>
      <c r="AJ8086" s="35"/>
      <c r="AK8086" s="35"/>
      <c r="AL8086" s="35"/>
    </row>
    <row r="8087">
      <c r="A8087" s="457"/>
      <c r="B8087" s="475"/>
      <c r="C8087" s="476"/>
      <c r="D8087" s="477"/>
      <c r="E8087" s="96"/>
      <c r="F8087" s="96"/>
      <c r="G8087" s="325"/>
      <c r="H8087" s="96"/>
      <c r="I8087" s="478"/>
      <c r="J8087" s="96"/>
      <c r="K8087" s="96"/>
      <c r="L8087" s="107"/>
      <c r="M8087" s="107"/>
      <c r="N8087" s="107"/>
      <c r="O8087" s="107"/>
      <c r="P8087" s="109"/>
      <c r="Q8087" s="107"/>
      <c r="R8087" s="107"/>
      <c r="S8087" s="107"/>
      <c r="T8087" s="479"/>
      <c r="U8087" s="296"/>
      <c r="V8087" s="50"/>
      <c r="W8087" s="49"/>
      <c r="X8087" s="49"/>
      <c r="Y8087" s="35"/>
      <c r="Z8087" s="35"/>
      <c r="AA8087" s="35"/>
      <c r="AB8087" s="35"/>
      <c r="AC8087" s="35"/>
      <c r="AD8087" s="35"/>
      <c r="AE8087" s="35"/>
      <c r="AF8087" s="35"/>
      <c r="AG8087" s="35"/>
      <c r="AH8087" s="35"/>
      <c r="AI8087" s="35"/>
      <c r="AJ8087" s="35"/>
      <c r="AK8087" s="35"/>
      <c r="AL8087" s="35"/>
    </row>
    <row r="8088">
      <c r="A8088" s="457"/>
      <c r="B8088" s="475"/>
      <c r="C8088" s="476"/>
      <c r="D8088" s="477"/>
      <c r="E8088" s="96"/>
      <c r="F8088" s="96"/>
      <c r="G8088" s="325"/>
      <c r="H8088" s="96"/>
      <c r="I8088" s="478"/>
      <c r="J8088" s="96"/>
      <c r="K8088" s="96"/>
      <c r="L8088" s="107"/>
      <c r="M8088" s="107"/>
      <c r="N8088" s="107"/>
      <c r="O8088" s="107"/>
      <c r="P8088" s="109"/>
      <c r="Q8088" s="107"/>
      <c r="R8088" s="107"/>
      <c r="S8088" s="107"/>
      <c r="T8088" s="479"/>
      <c r="U8088" s="296"/>
      <c r="V8088" s="50"/>
      <c r="W8088" s="49"/>
      <c r="X8088" s="49"/>
      <c r="Y8088" s="35"/>
      <c r="Z8088" s="35"/>
      <c r="AA8088" s="35"/>
      <c r="AB8088" s="35"/>
      <c r="AC8088" s="35"/>
      <c r="AD8088" s="35"/>
      <c r="AE8088" s="35"/>
      <c r="AF8088" s="35"/>
      <c r="AG8088" s="35"/>
      <c r="AH8088" s="35"/>
      <c r="AI8088" s="35"/>
      <c r="AJ8088" s="35"/>
      <c r="AK8088" s="35"/>
      <c r="AL8088" s="35"/>
    </row>
    <row r="8089">
      <c r="A8089" s="457"/>
      <c r="B8089" s="475"/>
      <c r="C8089" s="476"/>
      <c r="D8089" s="477"/>
      <c r="E8089" s="96"/>
      <c r="F8089" s="96"/>
      <c r="G8089" s="325"/>
      <c r="H8089" s="96"/>
      <c r="I8089" s="478"/>
      <c r="J8089" s="96"/>
      <c r="K8089" s="96"/>
      <c r="L8089" s="107"/>
      <c r="M8089" s="107"/>
      <c r="N8089" s="107"/>
      <c r="O8089" s="107"/>
      <c r="P8089" s="109"/>
      <c r="Q8089" s="107"/>
      <c r="R8089" s="107"/>
      <c r="S8089" s="107"/>
      <c r="T8089" s="479"/>
      <c r="U8089" s="296"/>
      <c r="V8089" s="50"/>
      <c r="W8089" s="49"/>
      <c r="X8089" s="49"/>
      <c r="Y8089" s="35"/>
      <c r="Z8089" s="35"/>
      <c r="AA8089" s="35"/>
      <c r="AB8089" s="35"/>
      <c r="AC8089" s="35"/>
      <c r="AD8089" s="35"/>
      <c r="AE8089" s="35"/>
      <c r="AF8089" s="35"/>
      <c r="AG8089" s="35"/>
      <c r="AH8089" s="35"/>
      <c r="AI8089" s="35"/>
      <c r="AJ8089" s="35"/>
      <c r="AK8089" s="35"/>
      <c r="AL8089" s="35"/>
    </row>
    <row r="8090">
      <c r="A8090" s="457"/>
      <c r="B8090" s="475"/>
      <c r="C8090" s="476"/>
      <c r="D8090" s="477"/>
      <c r="E8090" s="96"/>
      <c r="F8090" s="96"/>
      <c r="G8090" s="325"/>
      <c r="H8090" s="96"/>
      <c r="I8090" s="478"/>
      <c r="J8090" s="96"/>
      <c r="K8090" s="96"/>
      <c r="L8090" s="107"/>
      <c r="M8090" s="107"/>
      <c r="N8090" s="107"/>
      <c r="O8090" s="107"/>
      <c r="P8090" s="109"/>
      <c r="Q8090" s="107"/>
      <c r="R8090" s="107"/>
      <c r="S8090" s="107"/>
      <c r="T8090" s="479"/>
      <c r="U8090" s="296"/>
      <c r="V8090" s="50"/>
      <c r="W8090" s="49"/>
      <c r="X8090" s="49"/>
      <c r="Y8090" s="35"/>
      <c r="Z8090" s="35"/>
      <c r="AA8090" s="35"/>
      <c r="AB8090" s="35"/>
      <c r="AC8090" s="35"/>
      <c r="AD8090" s="35"/>
      <c r="AE8090" s="35"/>
      <c r="AF8090" s="35"/>
      <c r="AG8090" s="35"/>
      <c r="AH8090" s="35"/>
      <c r="AI8090" s="35"/>
      <c r="AJ8090" s="35"/>
      <c r="AK8090" s="35"/>
      <c r="AL8090" s="35"/>
    </row>
    <row r="8091">
      <c r="A8091" s="457"/>
      <c r="B8091" s="475"/>
      <c r="C8091" s="476"/>
      <c r="D8091" s="477"/>
      <c r="E8091" s="96"/>
      <c r="F8091" s="96"/>
      <c r="G8091" s="325"/>
      <c r="H8091" s="96"/>
      <c r="I8091" s="478"/>
      <c r="J8091" s="96"/>
      <c r="K8091" s="96"/>
      <c r="L8091" s="107"/>
      <c r="M8091" s="107"/>
      <c r="N8091" s="107"/>
      <c r="O8091" s="107"/>
      <c r="P8091" s="109"/>
      <c r="Q8091" s="107"/>
      <c r="R8091" s="107"/>
      <c r="S8091" s="107"/>
      <c r="T8091" s="479"/>
      <c r="U8091" s="296"/>
      <c r="V8091" s="50"/>
      <c r="W8091" s="49"/>
      <c r="X8091" s="49"/>
      <c r="Y8091" s="35"/>
      <c r="Z8091" s="35"/>
      <c r="AA8091" s="35"/>
      <c r="AB8091" s="35"/>
      <c r="AC8091" s="35"/>
      <c r="AD8091" s="35"/>
      <c r="AE8091" s="35"/>
      <c r="AF8091" s="35"/>
      <c r="AG8091" s="35"/>
      <c r="AH8091" s="35"/>
      <c r="AI8091" s="35"/>
      <c r="AJ8091" s="35"/>
      <c r="AK8091" s="35"/>
      <c r="AL8091" s="35"/>
    </row>
    <row r="8092">
      <c r="A8092" s="457"/>
      <c r="B8092" s="475"/>
      <c r="C8092" s="476"/>
      <c r="D8092" s="477"/>
      <c r="E8092" s="96"/>
      <c r="F8092" s="96"/>
      <c r="G8092" s="325"/>
      <c r="H8092" s="96"/>
      <c r="I8092" s="478"/>
      <c r="J8092" s="96"/>
      <c r="K8092" s="96"/>
      <c r="L8092" s="107"/>
      <c r="M8092" s="107"/>
      <c r="N8092" s="107"/>
      <c r="O8092" s="107"/>
      <c r="P8092" s="109"/>
      <c r="Q8092" s="107"/>
      <c r="R8092" s="107"/>
      <c r="S8092" s="107"/>
      <c r="T8092" s="479"/>
      <c r="U8092" s="296"/>
      <c r="V8092" s="50"/>
      <c r="W8092" s="49"/>
      <c r="X8092" s="49"/>
      <c r="Y8092" s="35"/>
      <c r="Z8092" s="35"/>
      <c r="AA8092" s="35"/>
      <c r="AB8092" s="35"/>
      <c r="AC8092" s="35"/>
      <c r="AD8092" s="35"/>
      <c r="AE8092" s="35"/>
      <c r="AF8092" s="35"/>
      <c r="AG8092" s="35"/>
      <c r="AH8092" s="35"/>
      <c r="AI8092" s="35"/>
      <c r="AJ8092" s="35"/>
      <c r="AK8092" s="35"/>
      <c r="AL8092" s="35"/>
    </row>
    <row r="8093">
      <c r="A8093" s="457"/>
      <c r="B8093" s="475"/>
      <c r="C8093" s="476"/>
      <c r="D8093" s="477"/>
      <c r="E8093" s="96"/>
      <c r="F8093" s="96"/>
      <c r="G8093" s="325"/>
      <c r="H8093" s="96"/>
      <c r="I8093" s="478"/>
      <c r="J8093" s="96"/>
      <c r="K8093" s="96"/>
      <c r="L8093" s="107"/>
      <c r="M8093" s="107"/>
      <c r="N8093" s="107"/>
      <c r="O8093" s="107"/>
      <c r="P8093" s="109"/>
      <c r="Q8093" s="107"/>
      <c r="R8093" s="107"/>
      <c r="S8093" s="107"/>
      <c r="T8093" s="479"/>
      <c r="U8093" s="296"/>
      <c r="V8093" s="50"/>
      <c r="W8093" s="49"/>
      <c r="X8093" s="49"/>
      <c r="Y8093" s="35"/>
      <c r="Z8093" s="35"/>
      <c r="AA8093" s="35"/>
      <c r="AB8093" s="35"/>
      <c r="AC8093" s="35"/>
      <c r="AD8093" s="35"/>
      <c r="AE8093" s="35"/>
      <c r="AF8093" s="35"/>
      <c r="AG8093" s="35"/>
      <c r="AH8093" s="35"/>
      <c r="AI8093" s="35"/>
      <c r="AJ8093" s="35"/>
      <c r="AK8093" s="35"/>
      <c r="AL8093" s="35"/>
    </row>
    <row r="8094">
      <c r="A8094" s="457"/>
      <c r="B8094" s="475"/>
      <c r="C8094" s="476"/>
      <c r="D8094" s="477"/>
      <c r="E8094" s="96"/>
      <c r="F8094" s="96"/>
      <c r="G8094" s="325"/>
      <c r="H8094" s="96"/>
      <c r="I8094" s="478"/>
      <c r="J8094" s="96"/>
      <c r="K8094" s="96"/>
      <c r="L8094" s="107"/>
      <c r="M8094" s="107"/>
      <c r="N8094" s="107"/>
      <c r="O8094" s="107"/>
      <c r="P8094" s="109"/>
      <c r="Q8094" s="107"/>
      <c r="R8094" s="107"/>
      <c r="S8094" s="107"/>
      <c r="T8094" s="479"/>
      <c r="U8094" s="296"/>
      <c r="V8094" s="50"/>
      <c r="W8094" s="49"/>
      <c r="X8094" s="49"/>
      <c r="Y8094" s="35"/>
      <c r="Z8094" s="35"/>
      <c r="AA8094" s="35"/>
      <c r="AB8094" s="35"/>
      <c r="AC8094" s="35"/>
      <c r="AD8094" s="35"/>
      <c r="AE8094" s="35"/>
      <c r="AF8094" s="35"/>
      <c r="AG8094" s="35"/>
      <c r="AH8094" s="35"/>
      <c r="AI8094" s="35"/>
      <c r="AJ8094" s="35"/>
      <c r="AK8094" s="35"/>
      <c r="AL8094" s="35"/>
    </row>
    <row r="8095">
      <c r="A8095" s="457"/>
      <c r="B8095" s="475"/>
      <c r="C8095" s="476"/>
      <c r="D8095" s="477"/>
      <c r="E8095" s="96"/>
      <c r="F8095" s="96"/>
      <c r="G8095" s="325"/>
      <c r="H8095" s="96"/>
      <c r="I8095" s="478"/>
      <c r="J8095" s="96"/>
      <c r="K8095" s="96"/>
      <c r="L8095" s="107"/>
      <c r="M8095" s="107"/>
      <c r="N8095" s="107"/>
      <c r="O8095" s="107"/>
      <c r="P8095" s="109"/>
      <c r="Q8095" s="107"/>
      <c r="R8095" s="107"/>
      <c r="S8095" s="107"/>
      <c r="T8095" s="479"/>
      <c r="U8095" s="296"/>
      <c r="V8095" s="50"/>
      <c r="W8095" s="49"/>
      <c r="X8095" s="49"/>
      <c r="Y8095" s="35"/>
      <c r="Z8095" s="35"/>
      <c r="AA8095" s="35"/>
      <c r="AB8095" s="35"/>
      <c r="AC8095" s="35"/>
      <c r="AD8095" s="35"/>
      <c r="AE8095" s="35"/>
      <c r="AF8095" s="35"/>
      <c r="AG8095" s="35"/>
      <c r="AH8095" s="35"/>
      <c r="AI8095" s="35"/>
      <c r="AJ8095" s="35"/>
      <c r="AK8095" s="35"/>
      <c r="AL8095" s="35"/>
    </row>
    <row r="8096">
      <c r="A8096" s="457"/>
      <c r="B8096" s="475"/>
      <c r="C8096" s="476"/>
      <c r="D8096" s="477"/>
      <c r="E8096" s="96"/>
      <c r="F8096" s="96"/>
      <c r="G8096" s="325"/>
      <c r="H8096" s="96"/>
      <c r="I8096" s="478"/>
      <c r="J8096" s="96"/>
      <c r="K8096" s="96"/>
      <c r="L8096" s="107"/>
      <c r="M8096" s="107"/>
      <c r="N8096" s="107"/>
      <c r="O8096" s="107"/>
      <c r="P8096" s="109"/>
      <c r="Q8096" s="107"/>
      <c r="R8096" s="107"/>
      <c r="S8096" s="107"/>
      <c r="T8096" s="479"/>
      <c r="U8096" s="296"/>
      <c r="V8096" s="50"/>
      <c r="W8096" s="49"/>
      <c r="X8096" s="49"/>
      <c r="Y8096" s="35"/>
      <c r="Z8096" s="35"/>
      <c r="AA8096" s="35"/>
      <c r="AB8096" s="35"/>
      <c r="AC8096" s="35"/>
      <c r="AD8096" s="35"/>
      <c r="AE8096" s="35"/>
      <c r="AF8096" s="35"/>
      <c r="AG8096" s="35"/>
      <c r="AH8096" s="35"/>
      <c r="AI8096" s="35"/>
      <c r="AJ8096" s="35"/>
      <c r="AK8096" s="35"/>
      <c r="AL8096" s="35"/>
    </row>
    <row r="8097">
      <c r="A8097" s="457"/>
      <c r="B8097" s="475"/>
      <c r="C8097" s="476"/>
      <c r="D8097" s="477"/>
      <c r="E8097" s="96"/>
      <c r="F8097" s="96"/>
      <c r="G8097" s="325"/>
      <c r="H8097" s="96"/>
      <c r="I8097" s="478"/>
      <c r="J8097" s="96"/>
      <c r="K8097" s="96"/>
      <c r="L8097" s="107"/>
      <c r="M8097" s="107"/>
      <c r="N8097" s="107"/>
      <c r="O8097" s="107"/>
      <c r="P8097" s="109"/>
      <c r="Q8097" s="107"/>
      <c r="R8097" s="107"/>
      <c r="S8097" s="107"/>
      <c r="T8097" s="479"/>
      <c r="U8097" s="296"/>
      <c r="V8097" s="50"/>
      <c r="W8097" s="49"/>
      <c r="X8097" s="49"/>
      <c r="Y8097" s="35"/>
      <c r="Z8097" s="35"/>
      <c r="AA8097" s="35"/>
      <c r="AB8097" s="35"/>
      <c r="AC8097" s="35"/>
      <c r="AD8097" s="35"/>
      <c r="AE8097" s="35"/>
      <c r="AF8097" s="35"/>
      <c r="AG8097" s="35"/>
      <c r="AH8097" s="35"/>
      <c r="AI8097" s="35"/>
      <c r="AJ8097" s="35"/>
      <c r="AK8097" s="35"/>
      <c r="AL8097" s="35"/>
    </row>
    <row r="8098">
      <c r="A8098" s="457"/>
      <c r="B8098" s="475"/>
      <c r="C8098" s="476"/>
      <c r="D8098" s="477"/>
      <c r="E8098" s="96"/>
      <c r="F8098" s="96"/>
      <c r="G8098" s="325"/>
      <c r="H8098" s="96"/>
      <c r="I8098" s="478"/>
      <c r="J8098" s="96"/>
      <c r="K8098" s="96"/>
      <c r="L8098" s="107"/>
      <c r="M8098" s="107"/>
      <c r="N8098" s="107"/>
      <c r="O8098" s="107"/>
      <c r="P8098" s="109"/>
      <c r="Q8098" s="107"/>
      <c r="R8098" s="107"/>
      <c r="S8098" s="107"/>
      <c r="T8098" s="479"/>
      <c r="U8098" s="296"/>
      <c r="V8098" s="50"/>
      <c r="W8098" s="49"/>
      <c r="X8098" s="49"/>
      <c r="Y8098" s="35"/>
      <c r="Z8098" s="35"/>
      <c r="AA8098" s="35"/>
      <c r="AB8098" s="35"/>
      <c r="AC8098" s="35"/>
      <c r="AD8098" s="35"/>
      <c r="AE8098" s="35"/>
      <c r="AF8098" s="35"/>
      <c r="AG8098" s="35"/>
      <c r="AH8098" s="35"/>
      <c r="AI8098" s="35"/>
      <c r="AJ8098" s="35"/>
      <c r="AK8098" s="35"/>
      <c r="AL8098" s="35"/>
    </row>
    <row r="8099">
      <c r="A8099" s="457"/>
      <c r="B8099" s="475"/>
      <c r="C8099" s="476"/>
      <c r="D8099" s="477"/>
      <c r="E8099" s="96"/>
      <c r="F8099" s="96"/>
      <c r="G8099" s="325"/>
      <c r="H8099" s="96"/>
      <c r="I8099" s="478"/>
      <c r="J8099" s="96"/>
      <c r="K8099" s="96"/>
      <c r="L8099" s="107"/>
      <c r="M8099" s="107"/>
      <c r="N8099" s="107"/>
      <c r="O8099" s="107"/>
      <c r="P8099" s="109"/>
      <c r="Q8099" s="107"/>
      <c r="R8099" s="107"/>
      <c r="S8099" s="107"/>
      <c r="T8099" s="479"/>
      <c r="U8099" s="296"/>
      <c r="V8099" s="50"/>
      <c r="W8099" s="49"/>
      <c r="X8099" s="49"/>
      <c r="Y8099" s="35"/>
      <c r="Z8099" s="35"/>
      <c r="AA8099" s="35"/>
      <c r="AB8099" s="35"/>
      <c r="AC8099" s="35"/>
      <c r="AD8099" s="35"/>
      <c r="AE8099" s="35"/>
      <c r="AF8099" s="35"/>
      <c r="AG8099" s="35"/>
      <c r="AH8099" s="35"/>
      <c r="AI8099" s="35"/>
      <c r="AJ8099" s="35"/>
      <c r="AK8099" s="35"/>
      <c r="AL8099" s="35"/>
    </row>
    <row r="8100">
      <c r="A8100" s="457"/>
      <c r="B8100" s="475"/>
      <c r="C8100" s="476"/>
      <c r="D8100" s="477"/>
      <c r="E8100" s="96"/>
      <c r="F8100" s="96"/>
      <c r="G8100" s="325"/>
      <c r="H8100" s="96"/>
      <c r="I8100" s="478"/>
      <c r="J8100" s="96"/>
      <c r="K8100" s="96"/>
      <c r="L8100" s="107"/>
      <c r="M8100" s="107"/>
      <c r="N8100" s="107"/>
      <c r="O8100" s="107"/>
      <c r="P8100" s="109"/>
      <c r="Q8100" s="107"/>
      <c r="R8100" s="107"/>
      <c r="S8100" s="107"/>
      <c r="T8100" s="479"/>
      <c r="U8100" s="296"/>
      <c r="V8100" s="50"/>
      <c r="W8100" s="49"/>
      <c r="X8100" s="49"/>
      <c r="Y8100" s="35"/>
      <c r="Z8100" s="35"/>
      <c r="AA8100" s="35"/>
      <c r="AB8100" s="35"/>
      <c r="AC8100" s="35"/>
      <c r="AD8100" s="35"/>
      <c r="AE8100" s="35"/>
      <c r="AF8100" s="35"/>
      <c r="AG8100" s="35"/>
      <c r="AH8100" s="35"/>
      <c r="AI8100" s="35"/>
      <c r="AJ8100" s="35"/>
      <c r="AK8100" s="35"/>
      <c r="AL8100" s="35"/>
    </row>
    <row r="8101">
      <c r="A8101" s="457"/>
      <c r="B8101" s="475"/>
      <c r="C8101" s="476"/>
      <c r="D8101" s="477"/>
      <c r="E8101" s="96"/>
      <c r="F8101" s="96"/>
      <c r="G8101" s="325"/>
      <c r="H8101" s="96"/>
      <c r="I8101" s="478"/>
      <c r="J8101" s="96"/>
      <c r="K8101" s="96"/>
      <c r="L8101" s="107"/>
      <c r="M8101" s="107"/>
      <c r="N8101" s="107"/>
      <c r="O8101" s="107"/>
      <c r="P8101" s="109"/>
      <c r="Q8101" s="107"/>
      <c r="R8101" s="107"/>
      <c r="S8101" s="107"/>
      <c r="T8101" s="479"/>
      <c r="U8101" s="296"/>
      <c r="V8101" s="50"/>
      <c r="W8101" s="49"/>
      <c r="X8101" s="49"/>
      <c r="Y8101" s="35"/>
      <c r="Z8101" s="35"/>
      <c r="AA8101" s="35"/>
      <c r="AB8101" s="35"/>
      <c r="AC8101" s="35"/>
      <c r="AD8101" s="35"/>
      <c r="AE8101" s="35"/>
      <c r="AF8101" s="35"/>
      <c r="AG8101" s="35"/>
      <c r="AH8101" s="35"/>
      <c r="AI8101" s="35"/>
      <c r="AJ8101" s="35"/>
      <c r="AK8101" s="35"/>
      <c r="AL8101" s="35"/>
    </row>
    <row r="8102">
      <c r="A8102" s="457"/>
      <c r="B8102" s="475"/>
      <c r="C8102" s="476"/>
      <c r="D8102" s="477"/>
      <c r="E8102" s="96"/>
      <c r="F8102" s="96"/>
      <c r="G8102" s="325"/>
      <c r="H8102" s="96"/>
      <c r="I8102" s="478"/>
      <c r="J8102" s="96"/>
      <c r="K8102" s="96"/>
      <c r="L8102" s="107"/>
      <c r="M8102" s="107"/>
      <c r="N8102" s="107"/>
      <c r="O8102" s="107"/>
      <c r="P8102" s="109"/>
      <c r="Q8102" s="107"/>
      <c r="R8102" s="107"/>
      <c r="S8102" s="107"/>
      <c r="T8102" s="479"/>
      <c r="U8102" s="296"/>
      <c r="V8102" s="50"/>
      <c r="W8102" s="49"/>
      <c r="X8102" s="49"/>
      <c r="Y8102" s="35"/>
      <c r="Z8102" s="35"/>
      <c r="AA8102" s="35"/>
      <c r="AB8102" s="35"/>
      <c r="AC8102" s="35"/>
      <c r="AD8102" s="35"/>
      <c r="AE8102" s="35"/>
      <c r="AF8102" s="35"/>
      <c r="AG8102" s="35"/>
      <c r="AH8102" s="35"/>
      <c r="AI8102" s="35"/>
      <c r="AJ8102" s="35"/>
      <c r="AK8102" s="35"/>
      <c r="AL8102" s="35"/>
    </row>
    <row r="8103">
      <c r="A8103" s="457"/>
      <c r="B8103" s="475"/>
      <c r="C8103" s="476"/>
      <c r="D8103" s="477"/>
      <c r="E8103" s="96"/>
      <c r="F8103" s="96"/>
      <c r="G8103" s="325"/>
      <c r="H8103" s="96"/>
      <c r="I8103" s="478"/>
      <c r="J8103" s="96"/>
      <c r="K8103" s="96"/>
      <c r="L8103" s="107"/>
      <c r="M8103" s="107"/>
      <c r="N8103" s="107"/>
      <c r="O8103" s="107"/>
      <c r="P8103" s="109"/>
      <c r="Q8103" s="107"/>
      <c r="R8103" s="107"/>
      <c r="S8103" s="107"/>
      <c r="T8103" s="479"/>
      <c r="U8103" s="296"/>
      <c r="V8103" s="50"/>
      <c r="W8103" s="49"/>
      <c r="X8103" s="49"/>
      <c r="Y8103" s="35"/>
      <c r="Z8103" s="35"/>
      <c r="AA8103" s="35"/>
      <c r="AB8103" s="35"/>
      <c r="AC8103" s="35"/>
      <c r="AD8103" s="35"/>
      <c r="AE8103" s="35"/>
      <c r="AF8103" s="35"/>
      <c r="AG8103" s="35"/>
      <c r="AH8103" s="35"/>
      <c r="AI8103" s="35"/>
      <c r="AJ8103" s="35"/>
      <c r="AK8103" s="35"/>
      <c r="AL8103" s="35"/>
    </row>
    <row r="8104">
      <c r="A8104" s="457"/>
      <c r="B8104" s="475"/>
      <c r="C8104" s="476"/>
      <c r="D8104" s="477"/>
      <c r="E8104" s="96"/>
      <c r="F8104" s="96"/>
      <c r="G8104" s="325"/>
      <c r="H8104" s="96"/>
      <c r="I8104" s="478"/>
      <c r="J8104" s="96"/>
      <c r="K8104" s="96"/>
      <c r="L8104" s="107"/>
      <c r="M8104" s="107"/>
      <c r="N8104" s="107"/>
      <c r="O8104" s="107"/>
      <c r="P8104" s="109"/>
      <c r="Q8104" s="107"/>
      <c r="R8104" s="107"/>
      <c r="S8104" s="107"/>
      <c r="T8104" s="479"/>
      <c r="U8104" s="296"/>
      <c r="V8104" s="50"/>
      <c r="W8104" s="49"/>
      <c r="X8104" s="49"/>
      <c r="Y8104" s="35"/>
      <c r="Z8104" s="35"/>
      <c r="AA8104" s="35"/>
      <c r="AB8104" s="35"/>
      <c r="AC8104" s="35"/>
      <c r="AD8104" s="35"/>
      <c r="AE8104" s="35"/>
      <c r="AF8104" s="35"/>
      <c r="AG8104" s="35"/>
      <c r="AH8104" s="35"/>
      <c r="AI8104" s="35"/>
      <c r="AJ8104" s="35"/>
      <c r="AK8104" s="35"/>
      <c r="AL8104" s="35"/>
    </row>
    <row r="8105">
      <c r="A8105" s="457"/>
      <c r="B8105" s="475"/>
      <c r="C8105" s="476"/>
      <c r="D8105" s="477"/>
      <c r="E8105" s="96"/>
      <c r="F8105" s="96"/>
      <c r="G8105" s="325"/>
      <c r="H8105" s="96"/>
      <c r="I8105" s="478"/>
      <c r="J8105" s="96"/>
      <c r="K8105" s="96"/>
      <c r="L8105" s="107"/>
      <c r="M8105" s="107"/>
      <c r="N8105" s="107"/>
      <c r="O8105" s="107"/>
      <c r="P8105" s="109"/>
      <c r="Q8105" s="107"/>
      <c r="R8105" s="107"/>
      <c r="S8105" s="107"/>
      <c r="T8105" s="479"/>
      <c r="U8105" s="296"/>
      <c r="V8105" s="50"/>
      <c r="W8105" s="49"/>
      <c r="X8105" s="49"/>
      <c r="Y8105" s="35"/>
      <c r="Z8105" s="35"/>
      <c r="AA8105" s="35"/>
      <c r="AB8105" s="35"/>
      <c r="AC8105" s="35"/>
      <c r="AD8105" s="35"/>
      <c r="AE8105" s="35"/>
      <c r="AF8105" s="35"/>
      <c r="AG8105" s="35"/>
      <c r="AH8105" s="35"/>
      <c r="AI8105" s="35"/>
      <c r="AJ8105" s="35"/>
      <c r="AK8105" s="35"/>
      <c r="AL8105" s="35"/>
    </row>
    <row r="8106">
      <c r="A8106" s="457"/>
      <c r="B8106" s="475"/>
      <c r="C8106" s="476"/>
      <c r="D8106" s="477"/>
      <c r="E8106" s="96"/>
      <c r="F8106" s="96"/>
      <c r="G8106" s="325"/>
      <c r="H8106" s="96"/>
      <c r="I8106" s="478"/>
      <c r="J8106" s="96"/>
      <c r="K8106" s="96"/>
      <c r="L8106" s="107"/>
      <c r="M8106" s="107"/>
      <c r="N8106" s="107"/>
      <c r="O8106" s="107"/>
      <c r="P8106" s="109"/>
      <c r="Q8106" s="107"/>
      <c r="R8106" s="107"/>
      <c r="S8106" s="107"/>
      <c r="T8106" s="479"/>
      <c r="U8106" s="296"/>
      <c r="V8106" s="50"/>
      <c r="W8106" s="49"/>
      <c r="X8106" s="49"/>
      <c r="Y8106" s="35"/>
      <c r="Z8106" s="35"/>
      <c r="AA8106" s="35"/>
      <c r="AB8106" s="35"/>
      <c r="AC8106" s="35"/>
      <c r="AD8106" s="35"/>
      <c r="AE8106" s="35"/>
      <c r="AF8106" s="35"/>
      <c r="AG8106" s="35"/>
      <c r="AH8106" s="35"/>
      <c r="AI8106" s="35"/>
      <c r="AJ8106" s="35"/>
      <c r="AK8106" s="35"/>
      <c r="AL8106" s="35"/>
    </row>
    <row r="8107">
      <c r="A8107" s="457"/>
      <c r="B8107" s="475"/>
      <c r="C8107" s="476"/>
      <c r="D8107" s="477"/>
      <c r="E8107" s="96"/>
      <c r="F8107" s="96"/>
      <c r="G8107" s="325"/>
      <c r="H8107" s="96"/>
      <c r="I8107" s="478"/>
      <c r="J8107" s="96"/>
      <c r="K8107" s="96"/>
      <c r="L8107" s="107"/>
      <c r="M8107" s="107"/>
      <c r="N8107" s="107"/>
      <c r="O8107" s="107"/>
      <c r="P8107" s="109"/>
      <c r="Q8107" s="107"/>
      <c r="R8107" s="107"/>
      <c r="S8107" s="107"/>
      <c r="T8107" s="479"/>
      <c r="U8107" s="296"/>
      <c r="V8107" s="50"/>
      <c r="W8107" s="49"/>
      <c r="X8107" s="49"/>
      <c r="Y8107" s="35"/>
      <c r="Z8107" s="35"/>
      <c r="AA8107" s="35"/>
      <c r="AB8107" s="35"/>
      <c r="AC8107" s="35"/>
      <c r="AD8107" s="35"/>
      <c r="AE8107" s="35"/>
      <c r="AF8107" s="35"/>
      <c r="AG8107" s="35"/>
      <c r="AH8107" s="35"/>
      <c r="AI8107" s="35"/>
      <c r="AJ8107" s="35"/>
      <c r="AK8107" s="35"/>
      <c r="AL8107" s="35"/>
    </row>
    <row r="8108">
      <c r="A8108" s="457"/>
      <c r="B8108" s="475"/>
      <c r="C8108" s="476"/>
      <c r="D8108" s="477"/>
      <c r="E8108" s="96"/>
      <c r="F8108" s="96"/>
      <c r="G8108" s="325"/>
      <c r="H8108" s="96"/>
      <c r="I8108" s="478"/>
      <c r="J8108" s="96"/>
      <c r="K8108" s="96"/>
      <c r="L8108" s="107"/>
      <c r="M8108" s="107"/>
      <c r="N8108" s="107"/>
      <c r="O8108" s="107"/>
      <c r="P8108" s="109"/>
      <c r="Q8108" s="107"/>
      <c r="R8108" s="107"/>
      <c r="S8108" s="107"/>
      <c r="T8108" s="479"/>
      <c r="U8108" s="296"/>
      <c r="V8108" s="50"/>
      <c r="W8108" s="49"/>
      <c r="X8108" s="49"/>
      <c r="Y8108" s="35"/>
      <c r="Z8108" s="35"/>
      <c r="AA8108" s="35"/>
      <c r="AB8108" s="35"/>
      <c r="AC8108" s="35"/>
      <c r="AD8108" s="35"/>
      <c r="AE8108" s="35"/>
      <c r="AF8108" s="35"/>
      <c r="AG8108" s="35"/>
      <c r="AH8108" s="35"/>
      <c r="AI8108" s="35"/>
      <c r="AJ8108" s="35"/>
      <c r="AK8108" s="35"/>
      <c r="AL8108" s="35"/>
    </row>
    <row r="8109">
      <c r="A8109" s="457"/>
      <c r="B8109" s="475"/>
      <c r="C8109" s="476"/>
      <c r="D8109" s="477"/>
      <c r="E8109" s="96"/>
      <c r="F8109" s="96"/>
      <c r="G8109" s="325"/>
      <c r="H8109" s="96"/>
      <c r="I8109" s="478"/>
      <c r="J8109" s="96"/>
      <c r="K8109" s="96"/>
      <c r="L8109" s="107"/>
      <c r="M8109" s="107"/>
      <c r="N8109" s="107"/>
      <c r="O8109" s="107"/>
      <c r="P8109" s="109"/>
      <c r="Q8109" s="107"/>
      <c r="R8109" s="107"/>
      <c r="S8109" s="107"/>
      <c r="T8109" s="479"/>
      <c r="U8109" s="296"/>
      <c r="V8109" s="50"/>
      <c r="W8109" s="49"/>
      <c r="X8109" s="49"/>
      <c r="Y8109" s="35"/>
      <c r="Z8109" s="35"/>
      <c r="AA8109" s="35"/>
      <c r="AB8109" s="35"/>
      <c r="AC8109" s="35"/>
      <c r="AD8109" s="35"/>
      <c r="AE8109" s="35"/>
      <c r="AF8109" s="35"/>
      <c r="AG8109" s="35"/>
      <c r="AH8109" s="35"/>
      <c r="AI8109" s="35"/>
      <c r="AJ8109" s="35"/>
      <c r="AK8109" s="35"/>
      <c r="AL8109" s="35"/>
    </row>
    <row r="8110">
      <c r="A8110" s="457"/>
      <c r="B8110" s="475"/>
      <c r="C8110" s="476"/>
      <c r="D8110" s="477"/>
      <c r="E8110" s="96"/>
      <c r="F8110" s="96"/>
      <c r="G8110" s="325"/>
      <c r="H8110" s="96"/>
      <c r="I8110" s="478"/>
      <c r="J8110" s="96"/>
      <c r="K8110" s="96"/>
      <c r="L8110" s="107"/>
      <c r="M8110" s="107"/>
      <c r="N8110" s="107"/>
      <c r="O8110" s="107"/>
      <c r="P8110" s="109"/>
      <c r="Q8110" s="107"/>
      <c r="R8110" s="107"/>
      <c r="S8110" s="107"/>
      <c r="T8110" s="479"/>
      <c r="U8110" s="296"/>
      <c r="V8110" s="50"/>
      <c r="W8110" s="49"/>
      <c r="X8110" s="49"/>
      <c r="Y8110" s="35"/>
      <c r="Z8110" s="35"/>
      <c r="AA8110" s="35"/>
      <c r="AB8110" s="35"/>
      <c r="AC8110" s="35"/>
      <c r="AD8110" s="35"/>
      <c r="AE8110" s="35"/>
      <c r="AF8110" s="35"/>
      <c r="AG8110" s="35"/>
      <c r="AH8110" s="35"/>
      <c r="AI8110" s="35"/>
      <c r="AJ8110" s="35"/>
      <c r="AK8110" s="35"/>
      <c r="AL8110" s="35"/>
    </row>
    <row r="8111">
      <c r="A8111" s="457"/>
      <c r="B8111" s="475"/>
      <c r="C8111" s="476"/>
      <c r="D8111" s="477"/>
      <c r="E8111" s="96"/>
      <c r="F8111" s="96"/>
      <c r="G8111" s="325"/>
      <c r="H8111" s="96"/>
      <c r="I8111" s="478"/>
      <c r="J8111" s="96"/>
      <c r="K8111" s="96"/>
      <c r="L8111" s="107"/>
      <c r="M8111" s="107"/>
      <c r="N8111" s="107"/>
      <c r="O8111" s="107"/>
      <c r="P8111" s="109"/>
      <c r="Q8111" s="107"/>
      <c r="R8111" s="107"/>
      <c r="S8111" s="107"/>
      <c r="T8111" s="479"/>
      <c r="U8111" s="296"/>
      <c r="V8111" s="50"/>
      <c r="W8111" s="49"/>
      <c r="X8111" s="49"/>
      <c r="Y8111" s="35"/>
      <c r="Z8111" s="35"/>
      <c r="AA8111" s="35"/>
      <c r="AB8111" s="35"/>
      <c r="AC8111" s="35"/>
      <c r="AD8111" s="35"/>
      <c r="AE8111" s="35"/>
      <c r="AF8111" s="35"/>
      <c r="AG8111" s="35"/>
      <c r="AH8111" s="35"/>
      <c r="AI8111" s="35"/>
      <c r="AJ8111" s="35"/>
      <c r="AK8111" s="35"/>
      <c r="AL8111" s="35"/>
    </row>
    <row r="8112">
      <c r="A8112" s="457"/>
      <c r="B8112" s="475"/>
      <c r="C8112" s="476"/>
      <c r="D8112" s="477"/>
      <c r="E8112" s="96"/>
      <c r="F8112" s="96"/>
      <c r="G8112" s="325"/>
      <c r="H8112" s="96"/>
      <c r="I8112" s="478"/>
      <c r="J8112" s="96"/>
      <c r="K8112" s="96"/>
      <c r="L8112" s="107"/>
      <c r="M8112" s="107"/>
      <c r="N8112" s="107"/>
      <c r="O8112" s="107"/>
      <c r="P8112" s="109"/>
      <c r="Q8112" s="107"/>
      <c r="R8112" s="107"/>
      <c r="S8112" s="107"/>
      <c r="T8112" s="479"/>
      <c r="U8112" s="296"/>
      <c r="V8112" s="50"/>
      <c r="W8112" s="49"/>
      <c r="X8112" s="49"/>
      <c r="Y8112" s="35"/>
      <c r="Z8112" s="35"/>
      <c r="AA8112" s="35"/>
      <c r="AB8112" s="35"/>
      <c r="AC8112" s="35"/>
      <c r="AD8112" s="35"/>
      <c r="AE8112" s="35"/>
      <c r="AF8112" s="35"/>
      <c r="AG8112" s="35"/>
      <c r="AH8112" s="35"/>
      <c r="AI8112" s="35"/>
      <c r="AJ8112" s="35"/>
      <c r="AK8112" s="35"/>
      <c r="AL8112" s="35"/>
    </row>
    <row r="8113">
      <c r="A8113" s="457"/>
      <c r="B8113" s="475"/>
      <c r="C8113" s="476"/>
      <c r="D8113" s="477"/>
      <c r="E8113" s="96"/>
      <c r="F8113" s="96"/>
      <c r="G8113" s="325"/>
      <c r="H8113" s="96"/>
      <c r="I8113" s="478"/>
      <c r="J8113" s="96"/>
      <c r="K8113" s="96"/>
      <c r="L8113" s="107"/>
      <c r="M8113" s="107"/>
      <c r="N8113" s="107"/>
      <c r="O8113" s="107"/>
      <c r="P8113" s="109"/>
      <c r="Q8113" s="107"/>
      <c r="R8113" s="107"/>
      <c r="S8113" s="107"/>
      <c r="T8113" s="479"/>
      <c r="U8113" s="296"/>
      <c r="V8113" s="50"/>
      <c r="W8113" s="49"/>
      <c r="X8113" s="49"/>
      <c r="Y8113" s="35"/>
      <c r="Z8113" s="35"/>
      <c r="AA8113" s="35"/>
      <c r="AB8113" s="35"/>
      <c r="AC8113" s="35"/>
      <c r="AD8113" s="35"/>
      <c r="AE8113" s="35"/>
      <c r="AF8113" s="35"/>
      <c r="AG8113" s="35"/>
      <c r="AH8113" s="35"/>
      <c r="AI8113" s="35"/>
      <c r="AJ8113" s="35"/>
      <c r="AK8113" s="35"/>
      <c r="AL8113" s="35"/>
    </row>
    <row r="8114">
      <c r="A8114" s="457"/>
      <c r="B8114" s="475"/>
      <c r="C8114" s="476"/>
      <c r="D8114" s="477"/>
      <c r="E8114" s="96"/>
      <c r="F8114" s="96"/>
      <c r="G8114" s="325"/>
      <c r="H8114" s="96"/>
      <c r="I8114" s="478"/>
      <c r="J8114" s="96"/>
      <c r="K8114" s="96"/>
      <c r="L8114" s="107"/>
      <c r="M8114" s="107"/>
      <c r="N8114" s="107"/>
      <c r="O8114" s="107"/>
      <c r="P8114" s="109"/>
      <c r="Q8114" s="107"/>
      <c r="R8114" s="107"/>
      <c r="S8114" s="107"/>
      <c r="T8114" s="479"/>
      <c r="U8114" s="296"/>
      <c r="V8114" s="50"/>
      <c r="W8114" s="49"/>
      <c r="X8114" s="49"/>
      <c r="Y8114" s="35"/>
      <c r="Z8114" s="35"/>
      <c r="AA8114" s="35"/>
      <c r="AB8114" s="35"/>
      <c r="AC8114" s="35"/>
      <c r="AD8114" s="35"/>
      <c r="AE8114" s="35"/>
      <c r="AF8114" s="35"/>
      <c r="AG8114" s="35"/>
      <c r="AH8114" s="35"/>
      <c r="AI8114" s="35"/>
      <c r="AJ8114" s="35"/>
      <c r="AK8114" s="35"/>
      <c r="AL8114" s="35"/>
    </row>
    <row r="8115">
      <c r="A8115" s="457"/>
      <c r="B8115" s="475"/>
      <c r="C8115" s="476"/>
      <c r="D8115" s="477"/>
      <c r="E8115" s="96"/>
      <c r="F8115" s="96"/>
      <c r="G8115" s="325"/>
      <c r="H8115" s="96"/>
      <c r="I8115" s="478"/>
      <c r="J8115" s="96"/>
      <c r="K8115" s="96"/>
      <c r="L8115" s="107"/>
      <c r="M8115" s="107"/>
      <c r="N8115" s="107"/>
      <c r="O8115" s="107"/>
      <c r="P8115" s="109"/>
      <c r="Q8115" s="107"/>
      <c r="R8115" s="107"/>
      <c r="S8115" s="107"/>
      <c r="T8115" s="479"/>
      <c r="U8115" s="296"/>
      <c r="V8115" s="50"/>
      <c r="W8115" s="49"/>
      <c r="X8115" s="49"/>
      <c r="Y8115" s="35"/>
      <c r="Z8115" s="35"/>
      <c r="AA8115" s="35"/>
      <c r="AB8115" s="35"/>
      <c r="AC8115" s="35"/>
      <c r="AD8115" s="35"/>
      <c r="AE8115" s="35"/>
      <c r="AF8115" s="35"/>
      <c r="AG8115" s="35"/>
      <c r="AH8115" s="35"/>
      <c r="AI8115" s="35"/>
      <c r="AJ8115" s="35"/>
      <c r="AK8115" s="35"/>
      <c r="AL8115" s="35"/>
    </row>
    <row r="8116">
      <c r="A8116" s="457"/>
      <c r="B8116" s="475"/>
      <c r="C8116" s="476"/>
      <c r="D8116" s="477"/>
      <c r="E8116" s="96"/>
      <c r="F8116" s="96"/>
      <c r="G8116" s="325"/>
      <c r="H8116" s="96"/>
      <c r="I8116" s="478"/>
      <c r="J8116" s="96"/>
      <c r="K8116" s="96"/>
      <c r="L8116" s="107"/>
      <c r="M8116" s="107"/>
      <c r="N8116" s="107"/>
      <c r="O8116" s="107"/>
      <c r="P8116" s="109"/>
      <c r="Q8116" s="107"/>
      <c r="R8116" s="107"/>
      <c r="S8116" s="107"/>
      <c r="T8116" s="479"/>
      <c r="U8116" s="296"/>
      <c r="V8116" s="50"/>
      <c r="W8116" s="49"/>
      <c r="X8116" s="49"/>
      <c r="Y8116" s="35"/>
      <c r="Z8116" s="35"/>
      <c r="AA8116" s="35"/>
      <c r="AB8116" s="35"/>
      <c r="AC8116" s="35"/>
      <c r="AD8116" s="35"/>
      <c r="AE8116" s="35"/>
      <c r="AF8116" s="35"/>
      <c r="AG8116" s="35"/>
      <c r="AH8116" s="35"/>
      <c r="AI8116" s="35"/>
      <c r="AJ8116" s="35"/>
      <c r="AK8116" s="35"/>
      <c r="AL8116" s="35"/>
    </row>
    <row r="8117">
      <c r="A8117" s="457"/>
      <c r="B8117" s="475"/>
      <c r="C8117" s="476"/>
      <c r="D8117" s="477"/>
      <c r="E8117" s="96"/>
      <c r="F8117" s="96"/>
      <c r="G8117" s="325"/>
      <c r="H8117" s="96"/>
      <c r="I8117" s="478"/>
      <c r="J8117" s="96"/>
      <c r="K8117" s="96"/>
      <c r="L8117" s="107"/>
      <c r="M8117" s="107"/>
      <c r="N8117" s="107"/>
      <c r="O8117" s="107"/>
      <c r="P8117" s="109"/>
      <c r="Q8117" s="107"/>
      <c r="R8117" s="107"/>
      <c r="S8117" s="107"/>
      <c r="T8117" s="479"/>
      <c r="U8117" s="296"/>
      <c r="V8117" s="50"/>
      <c r="W8117" s="49"/>
      <c r="X8117" s="49"/>
      <c r="Y8117" s="35"/>
      <c r="Z8117" s="35"/>
      <c r="AA8117" s="35"/>
      <c r="AB8117" s="35"/>
      <c r="AC8117" s="35"/>
      <c r="AD8117" s="35"/>
      <c r="AE8117" s="35"/>
      <c r="AF8117" s="35"/>
      <c r="AG8117" s="35"/>
      <c r="AH8117" s="35"/>
      <c r="AI8117" s="35"/>
      <c r="AJ8117" s="35"/>
      <c r="AK8117" s="35"/>
      <c r="AL8117" s="35"/>
    </row>
    <row r="8118">
      <c r="A8118" s="457"/>
      <c r="B8118" s="475"/>
      <c r="C8118" s="476"/>
      <c r="D8118" s="477"/>
      <c r="E8118" s="96"/>
      <c r="F8118" s="96"/>
      <c r="G8118" s="325"/>
      <c r="H8118" s="96"/>
      <c r="I8118" s="478"/>
      <c r="J8118" s="96"/>
      <c r="K8118" s="96"/>
      <c r="L8118" s="107"/>
      <c r="M8118" s="107"/>
      <c r="N8118" s="107"/>
      <c r="O8118" s="107"/>
      <c r="P8118" s="109"/>
      <c r="Q8118" s="107"/>
      <c r="R8118" s="107"/>
      <c r="S8118" s="107"/>
      <c r="T8118" s="479"/>
      <c r="U8118" s="296"/>
      <c r="V8118" s="50"/>
      <c r="W8118" s="49"/>
      <c r="X8118" s="49"/>
      <c r="Y8118" s="35"/>
      <c r="Z8118" s="35"/>
      <c r="AA8118" s="35"/>
      <c r="AB8118" s="35"/>
      <c r="AC8118" s="35"/>
      <c r="AD8118" s="35"/>
      <c r="AE8118" s="35"/>
      <c r="AF8118" s="35"/>
      <c r="AG8118" s="35"/>
      <c r="AH8118" s="35"/>
      <c r="AI8118" s="35"/>
      <c r="AJ8118" s="35"/>
      <c r="AK8118" s="35"/>
      <c r="AL8118" s="35"/>
    </row>
    <row r="8119">
      <c r="A8119" s="457"/>
      <c r="B8119" s="475"/>
      <c r="C8119" s="476"/>
      <c r="D8119" s="477"/>
      <c r="E8119" s="96"/>
      <c r="F8119" s="96"/>
      <c r="G8119" s="325"/>
      <c r="H8119" s="96"/>
      <c r="I8119" s="478"/>
      <c r="J8119" s="96"/>
      <c r="K8119" s="96"/>
      <c r="L8119" s="107"/>
      <c r="M8119" s="107"/>
      <c r="N8119" s="107"/>
      <c r="O8119" s="107"/>
      <c r="P8119" s="109"/>
      <c r="Q8119" s="107"/>
      <c r="R8119" s="107"/>
      <c r="S8119" s="107"/>
      <c r="T8119" s="479"/>
      <c r="U8119" s="296"/>
      <c r="V8119" s="50"/>
      <c r="W8119" s="49"/>
      <c r="X8119" s="49"/>
      <c r="Y8119" s="35"/>
      <c r="Z8119" s="35"/>
      <c r="AA8119" s="35"/>
      <c r="AB8119" s="35"/>
      <c r="AC8119" s="35"/>
      <c r="AD8119" s="35"/>
      <c r="AE8119" s="35"/>
      <c r="AF8119" s="35"/>
      <c r="AG8119" s="35"/>
      <c r="AH8119" s="35"/>
      <c r="AI8119" s="35"/>
      <c r="AJ8119" s="35"/>
      <c r="AK8119" s="35"/>
      <c r="AL8119" s="35"/>
    </row>
    <row r="8120">
      <c r="A8120" s="457"/>
      <c r="B8120" s="475"/>
      <c r="C8120" s="476"/>
      <c r="D8120" s="477"/>
      <c r="E8120" s="96"/>
      <c r="F8120" s="96"/>
      <c r="G8120" s="325"/>
      <c r="H8120" s="96"/>
      <c r="I8120" s="478"/>
      <c r="J8120" s="96"/>
      <c r="K8120" s="96"/>
      <c r="L8120" s="107"/>
      <c r="M8120" s="107"/>
      <c r="N8120" s="107"/>
      <c r="O8120" s="107"/>
      <c r="P8120" s="109"/>
      <c r="Q8120" s="107"/>
      <c r="R8120" s="107"/>
      <c r="S8120" s="107"/>
      <c r="T8120" s="479"/>
      <c r="U8120" s="296"/>
      <c r="V8120" s="50"/>
      <c r="W8120" s="49"/>
      <c r="X8120" s="49"/>
      <c r="Y8120" s="35"/>
      <c r="Z8120" s="35"/>
      <c r="AA8120" s="35"/>
      <c r="AB8120" s="35"/>
      <c r="AC8120" s="35"/>
      <c r="AD8120" s="35"/>
      <c r="AE8120" s="35"/>
      <c r="AF8120" s="35"/>
      <c r="AG8120" s="35"/>
      <c r="AH8120" s="35"/>
      <c r="AI8120" s="35"/>
      <c r="AJ8120" s="35"/>
      <c r="AK8120" s="35"/>
      <c r="AL8120" s="35"/>
    </row>
    <row r="8121">
      <c r="A8121" s="457"/>
      <c r="B8121" s="475"/>
      <c r="C8121" s="476"/>
      <c r="D8121" s="477"/>
      <c r="E8121" s="96"/>
      <c r="F8121" s="96"/>
      <c r="G8121" s="325"/>
      <c r="H8121" s="96"/>
      <c r="I8121" s="478"/>
      <c r="J8121" s="96"/>
      <c r="K8121" s="96"/>
      <c r="L8121" s="107"/>
      <c r="M8121" s="107"/>
      <c r="N8121" s="107"/>
      <c r="O8121" s="107"/>
      <c r="P8121" s="109"/>
      <c r="Q8121" s="107"/>
      <c r="R8121" s="107"/>
      <c r="S8121" s="107"/>
      <c r="T8121" s="479"/>
      <c r="U8121" s="296"/>
      <c r="V8121" s="50"/>
      <c r="W8121" s="49"/>
      <c r="X8121" s="49"/>
      <c r="Y8121" s="35"/>
      <c r="Z8121" s="35"/>
      <c r="AA8121" s="35"/>
      <c r="AB8121" s="35"/>
      <c r="AC8121" s="35"/>
      <c r="AD8121" s="35"/>
      <c r="AE8121" s="35"/>
      <c r="AF8121" s="35"/>
      <c r="AG8121" s="35"/>
      <c r="AH8121" s="35"/>
      <c r="AI8121" s="35"/>
      <c r="AJ8121" s="35"/>
      <c r="AK8121" s="35"/>
      <c r="AL8121" s="35"/>
    </row>
    <row r="8122">
      <c r="A8122" s="457"/>
      <c r="B8122" s="475"/>
      <c r="C8122" s="476"/>
      <c r="D8122" s="477"/>
      <c r="E8122" s="96"/>
      <c r="F8122" s="96"/>
      <c r="G8122" s="325"/>
      <c r="H8122" s="96"/>
      <c r="I8122" s="478"/>
      <c r="J8122" s="96"/>
      <c r="K8122" s="96"/>
      <c r="L8122" s="107"/>
      <c r="M8122" s="107"/>
      <c r="N8122" s="107"/>
      <c r="O8122" s="107"/>
      <c r="P8122" s="109"/>
      <c r="Q8122" s="107"/>
      <c r="R8122" s="107"/>
      <c r="S8122" s="107"/>
      <c r="T8122" s="479"/>
      <c r="U8122" s="296"/>
      <c r="V8122" s="50"/>
      <c r="W8122" s="49"/>
      <c r="X8122" s="49"/>
      <c r="Y8122" s="35"/>
      <c r="Z8122" s="35"/>
      <c r="AA8122" s="35"/>
      <c r="AB8122" s="35"/>
      <c r="AC8122" s="35"/>
      <c r="AD8122" s="35"/>
      <c r="AE8122" s="35"/>
      <c r="AF8122" s="35"/>
      <c r="AG8122" s="35"/>
      <c r="AH8122" s="35"/>
      <c r="AI8122" s="35"/>
      <c r="AJ8122" s="35"/>
      <c r="AK8122" s="35"/>
      <c r="AL8122" s="35"/>
    </row>
    <row r="8123">
      <c r="A8123" s="457"/>
      <c r="B8123" s="475"/>
      <c r="C8123" s="476"/>
      <c r="D8123" s="477"/>
      <c r="E8123" s="96"/>
      <c r="F8123" s="96"/>
      <c r="G8123" s="325"/>
      <c r="H8123" s="96"/>
      <c r="I8123" s="478"/>
      <c r="J8123" s="96"/>
      <c r="K8123" s="96"/>
      <c r="L8123" s="107"/>
      <c r="M8123" s="107"/>
      <c r="N8123" s="107"/>
      <c r="O8123" s="107"/>
      <c r="P8123" s="109"/>
      <c r="Q8123" s="107"/>
      <c r="R8123" s="107"/>
      <c r="S8123" s="107"/>
      <c r="T8123" s="479"/>
      <c r="U8123" s="296"/>
      <c r="V8123" s="50"/>
      <c r="W8123" s="49"/>
      <c r="X8123" s="49"/>
      <c r="Y8123" s="35"/>
      <c r="Z8123" s="35"/>
      <c r="AA8123" s="35"/>
      <c r="AB8123" s="35"/>
      <c r="AC8123" s="35"/>
      <c r="AD8123" s="35"/>
      <c r="AE8123" s="35"/>
      <c r="AF8123" s="35"/>
      <c r="AG8123" s="35"/>
      <c r="AH8123" s="35"/>
      <c r="AI8123" s="35"/>
      <c r="AJ8123" s="35"/>
      <c r="AK8123" s="35"/>
      <c r="AL8123" s="35"/>
    </row>
    <row r="8124">
      <c r="A8124" s="457"/>
      <c r="B8124" s="475"/>
      <c r="C8124" s="476"/>
      <c r="D8124" s="477"/>
      <c r="E8124" s="96"/>
      <c r="F8124" s="96"/>
      <c r="G8124" s="325"/>
      <c r="H8124" s="96"/>
      <c r="I8124" s="478"/>
      <c r="J8124" s="96"/>
      <c r="K8124" s="96"/>
      <c r="L8124" s="107"/>
      <c r="M8124" s="107"/>
      <c r="N8124" s="107"/>
      <c r="O8124" s="107"/>
      <c r="P8124" s="109"/>
      <c r="Q8124" s="107"/>
      <c r="R8124" s="107"/>
      <c r="S8124" s="107"/>
      <c r="T8124" s="479"/>
      <c r="U8124" s="296"/>
      <c r="V8124" s="50"/>
      <c r="W8124" s="49"/>
      <c r="X8124" s="49"/>
      <c r="Y8124" s="35"/>
      <c r="Z8124" s="35"/>
      <c r="AA8124" s="35"/>
      <c r="AB8124" s="35"/>
      <c r="AC8124" s="35"/>
      <c r="AD8124" s="35"/>
      <c r="AE8124" s="35"/>
      <c r="AF8124" s="35"/>
      <c r="AG8124" s="35"/>
      <c r="AH8124" s="35"/>
      <c r="AI8124" s="35"/>
      <c r="AJ8124" s="35"/>
      <c r="AK8124" s="35"/>
      <c r="AL8124" s="35"/>
    </row>
    <row r="8125">
      <c r="A8125" s="457"/>
      <c r="B8125" s="475"/>
      <c r="C8125" s="476"/>
      <c r="D8125" s="477"/>
      <c r="E8125" s="96"/>
      <c r="F8125" s="96"/>
      <c r="G8125" s="325"/>
      <c r="H8125" s="96"/>
      <c r="I8125" s="478"/>
      <c r="J8125" s="96"/>
      <c r="K8125" s="96"/>
      <c r="L8125" s="107"/>
      <c r="M8125" s="107"/>
      <c r="N8125" s="107"/>
      <c r="O8125" s="107"/>
      <c r="P8125" s="109"/>
      <c r="Q8125" s="107"/>
      <c r="R8125" s="107"/>
      <c r="S8125" s="107"/>
      <c r="T8125" s="479"/>
      <c r="U8125" s="296"/>
      <c r="V8125" s="50"/>
      <c r="W8125" s="49"/>
      <c r="X8125" s="49"/>
      <c r="Y8125" s="35"/>
      <c r="Z8125" s="35"/>
      <c r="AA8125" s="35"/>
      <c r="AB8125" s="35"/>
      <c r="AC8125" s="35"/>
      <c r="AD8125" s="35"/>
      <c r="AE8125" s="35"/>
      <c r="AF8125" s="35"/>
      <c r="AG8125" s="35"/>
      <c r="AH8125" s="35"/>
      <c r="AI8125" s="35"/>
      <c r="AJ8125" s="35"/>
      <c r="AK8125" s="35"/>
      <c r="AL8125" s="35"/>
    </row>
    <row r="8126">
      <c r="A8126" s="457"/>
      <c r="B8126" s="475"/>
      <c r="C8126" s="476"/>
      <c r="D8126" s="477"/>
      <c r="E8126" s="96"/>
      <c r="F8126" s="96"/>
      <c r="G8126" s="325"/>
      <c r="H8126" s="96"/>
      <c r="I8126" s="478"/>
      <c r="J8126" s="96"/>
      <c r="K8126" s="96"/>
      <c r="L8126" s="107"/>
      <c r="M8126" s="107"/>
      <c r="N8126" s="107"/>
      <c r="O8126" s="107"/>
      <c r="P8126" s="109"/>
      <c r="Q8126" s="107"/>
      <c r="R8126" s="107"/>
      <c r="S8126" s="107"/>
      <c r="T8126" s="479"/>
      <c r="U8126" s="296"/>
      <c r="V8126" s="50"/>
      <c r="W8126" s="49"/>
      <c r="X8126" s="49"/>
      <c r="Y8126" s="35"/>
      <c r="Z8126" s="35"/>
      <c r="AA8126" s="35"/>
      <c r="AB8126" s="35"/>
      <c r="AC8126" s="35"/>
      <c r="AD8126" s="35"/>
      <c r="AE8126" s="35"/>
      <c r="AF8126" s="35"/>
      <c r="AG8126" s="35"/>
      <c r="AH8126" s="35"/>
      <c r="AI8126" s="35"/>
      <c r="AJ8126" s="35"/>
      <c r="AK8126" s="35"/>
      <c r="AL8126" s="35"/>
    </row>
    <row r="8127">
      <c r="A8127" s="457"/>
      <c r="B8127" s="475"/>
      <c r="C8127" s="476"/>
      <c r="D8127" s="477"/>
      <c r="E8127" s="96"/>
      <c r="F8127" s="96"/>
      <c r="G8127" s="325"/>
      <c r="H8127" s="96"/>
      <c r="I8127" s="478"/>
      <c r="J8127" s="96"/>
      <c r="K8127" s="96"/>
      <c r="L8127" s="107"/>
      <c r="M8127" s="107"/>
      <c r="N8127" s="107"/>
      <c r="O8127" s="107"/>
      <c r="P8127" s="109"/>
      <c r="Q8127" s="107"/>
      <c r="R8127" s="107"/>
      <c r="S8127" s="107"/>
      <c r="T8127" s="479"/>
      <c r="U8127" s="296"/>
      <c r="V8127" s="50"/>
      <c r="W8127" s="49"/>
      <c r="X8127" s="49"/>
      <c r="Y8127" s="35"/>
      <c r="Z8127" s="35"/>
      <c r="AA8127" s="35"/>
      <c r="AB8127" s="35"/>
      <c r="AC8127" s="35"/>
      <c r="AD8127" s="35"/>
      <c r="AE8127" s="35"/>
      <c r="AF8127" s="35"/>
      <c r="AG8127" s="35"/>
      <c r="AH8127" s="35"/>
      <c r="AI8127" s="35"/>
      <c r="AJ8127" s="35"/>
      <c r="AK8127" s="35"/>
      <c r="AL8127" s="35"/>
    </row>
    <row r="8128">
      <c r="A8128" s="457"/>
      <c r="B8128" s="475"/>
      <c r="C8128" s="476"/>
      <c r="D8128" s="477"/>
      <c r="E8128" s="96"/>
      <c r="F8128" s="96"/>
      <c r="G8128" s="325"/>
      <c r="H8128" s="96"/>
      <c r="I8128" s="478"/>
      <c r="J8128" s="96"/>
      <c r="K8128" s="96"/>
      <c r="L8128" s="107"/>
      <c r="M8128" s="107"/>
      <c r="N8128" s="107"/>
      <c r="O8128" s="107"/>
      <c r="P8128" s="109"/>
      <c r="Q8128" s="107"/>
      <c r="R8128" s="107"/>
      <c r="S8128" s="107"/>
      <c r="T8128" s="479"/>
      <c r="U8128" s="296"/>
      <c r="V8128" s="50"/>
      <c r="W8128" s="49"/>
      <c r="X8128" s="49"/>
      <c r="Y8128" s="35"/>
      <c r="Z8128" s="35"/>
      <c r="AA8128" s="35"/>
      <c r="AB8128" s="35"/>
      <c r="AC8128" s="35"/>
      <c r="AD8128" s="35"/>
      <c r="AE8128" s="35"/>
      <c r="AF8128" s="35"/>
      <c r="AG8128" s="35"/>
      <c r="AH8128" s="35"/>
      <c r="AI8128" s="35"/>
      <c r="AJ8128" s="35"/>
      <c r="AK8128" s="35"/>
      <c r="AL8128" s="35"/>
    </row>
    <row r="8129">
      <c r="A8129" s="457"/>
      <c r="B8129" s="475"/>
      <c r="C8129" s="476"/>
      <c r="D8129" s="477"/>
      <c r="E8129" s="96"/>
      <c r="F8129" s="96"/>
      <c r="G8129" s="325"/>
      <c r="H8129" s="96"/>
      <c r="I8129" s="478"/>
      <c r="J8129" s="96"/>
      <c r="K8129" s="96"/>
      <c r="L8129" s="107"/>
      <c r="M8129" s="107"/>
      <c r="N8129" s="107"/>
      <c r="O8129" s="107"/>
      <c r="P8129" s="109"/>
      <c r="Q8129" s="107"/>
      <c r="R8129" s="107"/>
      <c r="S8129" s="107"/>
      <c r="T8129" s="479"/>
      <c r="U8129" s="296"/>
      <c r="V8129" s="50"/>
      <c r="W8129" s="49"/>
      <c r="X8129" s="49"/>
      <c r="Y8129" s="35"/>
      <c r="Z8129" s="35"/>
      <c r="AA8129" s="35"/>
      <c r="AB8129" s="35"/>
      <c r="AC8129" s="35"/>
      <c r="AD8129" s="35"/>
      <c r="AE8129" s="35"/>
      <c r="AF8129" s="35"/>
      <c r="AG8129" s="35"/>
      <c r="AH8129" s="35"/>
      <c r="AI8129" s="35"/>
      <c r="AJ8129" s="35"/>
      <c r="AK8129" s="35"/>
      <c r="AL8129" s="35"/>
    </row>
    <row r="8130">
      <c r="A8130" s="457"/>
      <c r="B8130" s="475"/>
      <c r="C8130" s="476"/>
      <c r="D8130" s="477"/>
      <c r="E8130" s="96"/>
      <c r="F8130" s="96"/>
      <c r="G8130" s="325"/>
      <c r="H8130" s="96"/>
      <c r="I8130" s="478"/>
      <c r="J8130" s="96"/>
      <c r="K8130" s="96"/>
      <c r="L8130" s="107"/>
      <c r="M8130" s="107"/>
      <c r="N8130" s="107"/>
      <c r="O8130" s="107"/>
      <c r="P8130" s="109"/>
      <c r="Q8130" s="107"/>
      <c r="R8130" s="107"/>
      <c r="S8130" s="107"/>
      <c r="T8130" s="479"/>
      <c r="U8130" s="296"/>
      <c r="V8130" s="50"/>
      <c r="W8130" s="49"/>
      <c r="X8130" s="49"/>
      <c r="Y8130" s="35"/>
      <c r="Z8130" s="35"/>
      <c r="AA8130" s="35"/>
      <c r="AB8130" s="35"/>
      <c r="AC8130" s="35"/>
      <c r="AD8130" s="35"/>
      <c r="AE8130" s="35"/>
      <c r="AF8130" s="35"/>
      <c r="AG8130" s="35"/>
      <c r="AH8130" s="35"/>
      <c r="AI8130" s="35"/>
      <c r="AJ8130" s="35"/>
      <c r="AK8130" s="35"/>
      <c r="AL8130" s="35"/>
    </row>
    <row r="8131">
      <c r="A8131" s="457"/>
      <c r="B8131" s="475"/>
      <c r="C8131" s="476"/>
      <c r="D8131" s="477"/>
      <c r="E8131" s="96"/>
      <c r="F8131" s="96"/>
      <c r="G8131" s="325"/>
      <c r="H8131" s="96"/>
      <c r="I8131" s="478"/>
      <c r="J8131" s="96"/>
      <c r="K8131" s="96"/>
      <c r="L8131" s="107"/>
      <c r="M8131" s="107"/>
      <c r="N8131" s="107"/>
      <c r="O8131" s="107"/>
      <c r="P8131" s="109"/>
      <c r="Q8131" s="107"/>
      <c r="R8131" s="107"/>
      <c r="S8131" s="107"/>
      <c r="T8131" s="479"/>
      <c r="U8131" s="296"/>
      <c r="V8131" s="50"/>
      <c r="W8131" s="49"/>
      <c r="X8131" s="49"/>
      <c r="Y8131" s="35"/>
      <c r="Z8131" s="35"/>
      <c r="AA8131" s="35"/>
      <c r="AB8131" s="35"/>
      <c r="AC8131" s="35"/>
      <c r="AD8131" s="35"/>
      <c r="AE8131" s="35"/>
      <c r="AF8131" s="35"/>
      <c r="AG8131" s="35"/>
      <c r="AH8131" s="35"/>
      <c r="AI8131" s="35"/>
      <c r="AJ8131" s="35"/>
      <c r="AK8131" s="35"/>
      <c r="AL8131" s="35"/>
    </row>
    <row r="8132">
      <c r="A8132" s="457"/>
      <c r="B8132" s="475"/>
      <c r="C8132" s="476"/>
      <c r="D8132" s="477"/>
      <c r="E8132" s="96"/>
      <c r="F8132" s="96"/>
      <c r="G8132" s="325"/>
      <c r="H8132" s="96"/>
      <c r="I8132" s="478"/>
      <c r="J8132" s="96"/>
      <c r="K8132" s="96"/>
      <c r="L8132" s="107"/>
      <c r="M8132" s="107"/>
      <c r="N8132" s="107"/>
      <c r="O8132" s="107"/>
      <c r="P8132" s="109"/>
      <c r="Q8132" s="107"/>
      <c r="R8132" s="107"/>
      <c r="S8132" s="107"/>
      <c r="T8132" s="479"/>
      <c r="U8132" s="296"/>
      <c r="V8132" s="50"/>
      <c r="W8132" s="49"/>
      <c r="X8132" s="49"/>
      <c r="Y8132" s="35"/>
      <c r="Z8132" s="35"/>
      <c r="AA8132" s="35"/>
      <c r="AB8132" s="35"/>
      <c r="AC8132" s="35"/>
      <c r="AD8132" s="35"/>
      <c r="AE8132" s="35"/>
      <c r="AF8132" s="35"/>
      <c r="AG8132" s="35"/>
      <c r="AH8132" s="35"/>
      <c r="AI8132" s="35"/>
      <c r="AJ8132" s="35"/>
      <c r="AK8132" s="35"/>
      <c r="AL8132" s="35"/>
    </row>
    <row r="8133">
      <c r="A8133" s="457"/>
      <c r="B8133" s="475"/>
      <c r="C8133" s="476"/>
      <c r="D8133" s="477"/>
      <c r="E8133" s="96"/>
      <c r="F8133" s="96"/>
      <c r="G8133" s="325"/>
      <c r="H8133" s="96"/>
      <c r="I8133" s="478"/>
      <c r="J8133" s="96"/>
      <c r="K8133" s="96"/>
      <c r="L8133" s="107"/>
      <c r="M8133" s="107"/>
      <c r="N8133" s="107"/>
      <c r="O8133" s="107"/>
      <c r="P8133" s="109"/>
      <c r="Q8133" s="107"/>
      <c r="R8133" s="107"/>
      <c r="S8133" s="107"/>
      <c r="T8133" s="479"/>
      <c r="U8133" s="296"/>
      <c r="V8133" s="50"/>
      <c r="W8133" s="49"/>
      <c r="X8133" s="49"/>
      <c r="Y8133" s="35"/>
      <c r="Z8133" s="35"/>
      <c r="AA8133" s="35"/>
      <c r="AB8133" s="35"/>
      <c r="AC8133" s="35"/>
      <c r="AD8133" s="35"/>
      <c r="AE8133" s="35"/>
      <c r="AF8133" s="35"/>
      <c r="AG8133" s="35"/>
      <c r="AH8133" s="35"/>
      <c r="AI8133" s="35"/>
      <c r="AJ8133" s="35"/>
      <c r="AK8133" s="35"/>
      <c r="AL8133" s="35"/>
    </row>
    <row r="8134">
      <c r="A8134" s="457"/>
      <c r="B8134" s="475"/>
      <c r="C8134" s="476"/>
      <c r="D8134" s="477"/>
      <c r="E8134" s="96"/>
      <c r="F8134" s="96"/>
      <c r="G8134" s="325"/>
      <c r="H8134" s="96"/>
      <c r="I8134" s="478"/>
      <c r="J8134" s="96"/>
      <c r="K8134" s="96"/>
      <c r="L8134" s="107"/>
      <c r="M8134" s="107"/>
      <c r="N8134" s="107"/>
      <c r="O8134" s="107"/>
      <c r="P8134" s="109"/>
      <c r="Q8134" s="107"/>
      <c r="R8134" s="107"/>
      <c r="S8134" s="107"/>
      <c r="T8134" s="479"/>
      <c r="U8134" s="296"/>
      <c r="V8134" s="50"/>
      <c r="W8134" s="49"/>
      <c r="X8134" s="49"/>
      <c r="Y8134" s="35"/>
      <c r="Z8134" s="35"/>
      <c r="AA8134" s="35"/>
      <c r="AB8134" s="35"/>
      <c r="AC8134" s="35"/>
      <c r="AD8134" s="35"/>
      <c r="AE8134" s="35"/>
      <c r="AF8134" s="35"/>
      <c r="AG8134" s="35"/>
      <c r="AH8134" s="35"/>
      <c r="AI8134" s="35"/>
      <c r="AJ8134" s="35"/>
      <c r="AK8134" s="35"/>
      <c r="AL8134" s="35"/>
    </row>
    <row r="8135">
      <c r="A8135" s="457"/>
      <c r="B8135" s="475"/>
      <c r="C8135" s="476"/>
      <c r="D8135" s="477"/>
      <c r="E8135" s="96"/>
      <c r="F8135" s="96"/>
      <c r="G8135" s="325"/>
      <c r="H8135" s="96"/>
      <c r="I8135" s="478"/>
      <c r="J8135" s="96"/>
      <c r="K8135" s="96"/>
      <c r="L8135" s="107"/>
      <c r="M8135" s="107"/>
      <c r="N8135" s="107"/>
      <c r="O8135" s="107"/>
      <c r="P8135" s="109"/>
      <c r="Q8135" s="107"/>
      <c r="R8135" s="107"/>
      <c r="S8135" s="107"/>
      <c r="T8135" s="479"/>
      <c r="U8135" s="296"/>
      <c r="V8135" s="50"/>
      <c r="W8135" s="49"/>
      <c r="X8135" s="49"/>
      <c r="Y8135" s="35"/>
      <c r="Z8135" s="35"/>
      <c r="AA8135" s="35"/>
      <c r="AB8135" s="35"/>
      <c r="AC8135" s="35"/>
      <c r="AD8135" s="35"/>
      <c r="AE8135" s="35"/>
      <c r="AF8135" s="35"/>
      <c r="AG8135" s="35"/>
      <c r="AH8135" s="35"/>
      <c r="AI8135" s="35"/>
      <c r="AJ8135" s="35"/>
      <c r="AK8135" s="35"/>
      <c r="AL8135" s="35"/>
    </row>
    <row r="8136">
      <c r="A8136" s="457"/>
      <c r="B8136" s="475"/>
      <c r="C8136" s="476"/>
      <c r="D8136" s="477"/>
      <c r="E8136" s="96"/>
      <c r="F8136" s="96"/>
      <c r="G8136" s="325"/>
      <c r="H8136" s="96"/>
      <c r="I8136" s="478"/>
      <c r="J8136" s="96"/>
      <c r="K8136" s="96"/>
      <c r="L8136" s="107"/>
      <c r="M8136" s="107"/>
      <c r="N8136" s="107"/>
      <c r="O8136" s="107"/>
      <c r="P8136" s="109"/>
      <c r="Q8136" s="107"/>
      <c r="R8136" s="107"/>
      <c r="S8136" s="107"/>
      <c r="T8136" s="479"/>
      <c r="U8136" s="296"/>
      <c r="V8136" s="50"/>
      <c r="W8136" s="49"/>
      <c r="X8136" s="49"/>
      <c r="Y8136" s="35"/>
      <c r="Z8136" s="35"/>
      <c r="AA8136" s="35"/>
      <c r="AB8136" s="35"/>
      <c r="AC8136" s="35"/>
      <c r="AD8136" s="35"/>
      <c r="AE8136" s="35"/>
      <c r="AF8136" s="35"/>
      <c r="AG8136" s="35"/>
      <c r="AH8136" s="35"/>
      <c r="AI8136" s="35"/>
      <c r="AJ8136" s="35"/>
      <c r="AK8136" s="35"/>
      <c r="AL8136" s="35"/>
    </row>
    <row r="8137">
      <c r="A8137" s="457"/>
      <c r="B8137" s="475"/>
      <c r="C8137" s="476"/>
      <c r="D8137" s="477"/>
      <c r="E8137" s="96"/>
      <c r="F8137" s="96"/>
      <c r="G8137" s="325"/>
      <c r="H8137" s="96"/>
      <c r="I8137" s="478"/>
      <c r="J8137" s="96"/>
      <c r="K8137" s="96"/>
      <c r="L8137" s="107"/>
      <c r="M8137" s="107"/>
      <c r="N8137" s="107"/>
      <c r="O8137" s="107"/>
      <c r="P8137" s="109"/>
      <c r="Q8137" s="107"/>
      <c r="R8137" s="107"/>
      <c r="S8137" s="107"/>
      <c r="T8137" s="479"/>
      <c r="U8137" s="296"/>
      <c r="V8137" s="50"/>
      <c r="W8137" s="49"/>
      <c r="X8137" s="49"/>
      <c r="Y8137" s="35"/>
      <c r="Z8137" s="35"/>
      <c r="AA8137" s="35"/>
      <c r="AB8137" s="35"/>
      <c r="AC8137" s="35"/>
      <c r="AD8137" s="35"/>
      <c r="AE8137" s="35"/>
      <c r="AF8137" s="35"/>
      <c r="AG8137" s="35"/>
      <c r="AH8137" s="35"/>
      <c r="AI8137" s="35"/>
      <c r="AJ8137" s="35"/>
      <c r="AK8137" s="35"/>
      <c r="AL8137" s="35"/>
    </row>
    <row r="8138">
      <c r="A8138" s="457"/>
      <c r="B8138" s="475"/>
      <c r="C8138" s="476"/>
      <c r="D8138" s="477"/>
      <c r="E8138" s="96"/>
      <c r="F8138" s="96"/>
      <c r="G8138" s="325"/>
      <c r="H8138" s="96"/>
      <c r="I8138" s="478"/>
      <c r="J8138" s="96"/>
      <c r="K8138" s="96"/>
      <c r="L8138" s="107"/>
      <c r="M8138" s="107"/>
      <c r="N8138" s="107"/>
      <c r="O8138" s="107"/>
      <c r="P8138" s="109"/>
      <c r="Q8138" s="107"/>
      <c r="R8138" s="107"/>
      <c r="S8138" s="107"/>
      <c r="T8138" s="479"/>
      <c r="U8138" s="296"/>
      <c r="V8138" s="50"/>
      <c r="W8138" s="49"/>
      <c r="X8138" s="49"/>
      <c r="Y8138" s="35"/>
      <c r="Z8138" s="35"/>
      <c r="AA8138" s="35"/>
      <c r="AB8138" s="35"/>
      <c r="AC8138" s="35"/>
      <c r="AD8138" s="35"/>
      <c r="AE8138" s="35"/>
      <c r="AF8138" s="35"/>
      <c r="AG8138" s="35"/>
      <c r="AH8138" s="35"/>
      <c r="AI8138" s="35"/>
      <c r="AJ8138" s="35"/>
      <c r="AK8138" s="35"/>
      <c r="AL8138" s="35"/>
    </row>
    <row r="8139">
      <c r="A8139" s="457"/>
      <c r="B8139" s="475"/>
      <c r="C8139" s="476"/>
      <c r="D8139" s="477"/>
      <c r="E8139" s="96"/>
      <c r="F8139" s="96"/>
      <c r="G8139" s="325"/>
      <c r="H8139" s="96"/>
      <c r="I8139" s="478"/>
      <c r="J8139" s="96"/>
      <c r="K8139" s="96"/>
      <c r="L8139" s="107"/>
      <c r="M8139" s="107"/>
      <c r="N8139" s="107"/>
      <c r="O8139" s="107"/>
      <c r="P8139" s="109"/>
      <c r="Q8139" s="107"/>
      <c r="R8139" s="107"/>
      <c r="S8139" s="107"/>
      <c r="T8139" s="479"/>
      <c r="U8139" s="296"/>
      <c r="V8139" s="50"/>
      <c r="W8139" s="49"/>
      <c r="X8139" s="49"/>
      <c r="Y8139" s="35"/>
      <c r="Z8139" s="35"/>
      <c r="AA8139" s="35"/>
      <c r="AB8139" s="35"/>
      <c r="AC8139" s="35"/>
      <c r="AD8139" s="35"/>
      <c r="AE8139" s="35"/>
      <c r="AF8139" s="35"/>
      <c r="AG8139" s="35"/>
      <c r="AH8139" s="35"/>
      <c r="AI8139" s="35"/>
      <c r="AJ8139" s="35"/>
      <c r="AK8139" s="35"/>
      <c r="AL8139" s="35"/>
    </row>
    <row r="8140">
      <c r="A8140" s="457"/>
      <c r="B8140" s="475"/>
      <c r="C8140" s="476"/>
      <c r="D8140" s="477"/>
      <c r="E8140" s="96"/>
      <c r="F8140" s="96"/>
      <c r="G8140" s="325"/>
      <c r="H8140" s="96"/>
      <c r="I8140" s="478"/>
      <c r="J8140" s="96"/>
      <c r="K8140" s="96"/>
      <c r="L8140" s="107"/>
      <c r="M8140" s="107"/>
      <c r="N8140" s="107"/>
      <c r="O8140" s="107"/>
      <c r="P8140" s="109"/>
      <c r="Q8140" s="107"/>
      <c r="R8140" s="107"/>
      <c r="S8140" s="107"/>
      <c r="T8140" s="479"/>
      <c r="U8140" s="296"/>
      <c r="V8140" s="50"/>
      <c r="W8140" s="49"/>
      <c r="X8140" s="49"/>
      <c r="Y8140" s="35"/>
      <c r="Z8140" s="35"/>
      <c r="AA8140" s="35"/>
      <c r="AB8140" s="35"/>
      <c r="AC8140" s="35"/>
      <c r="AD8140" s="35"/>
      <c r="AE8140" s="35"/>
      <c r="AF8140" s="35"/>
      <c r="AG8140" s="35"/>
      <c r="AH8140" s="35"/>
      <c r="AI8140" s="35"/>
      <c r="AJ8140" s="35"/>
      <c r="AK8140" s="35"/>
      <c r="AL8140" s="35"/>
    </row>
    <row r="8141">
      <c r="A8141" s="457"/>
      <c r="B8141" s="475"/>
      <c r="C8141" s="476"/>
      <c r="D8141" s="477"/>
      <c r="E8141" s="96"/>
      <c r="F8141" s="96"/>
      <c r="G8141" s="325"/>
      <c r="H8141" s="96"/>
      <c r="I8141" s="478"/>
      <c r="J8141" s="96"/>
      <c r="K8141" s="96"/>
      <c r="L8141" s="107"/>
      <c r="M8141" s="107"/>
      <c r="N8141" s="107"/>
      <c r="O8141" s="107"/>
      <c r="P8141" s="109"/>
      <c r="Q8141" s="107"/>
      <c r="R8141" s="107"/>
      <c r="S8141" s="107"/>
      <c r="T8141" s="479"/>
      <c r="U8141" s="296"/>
      <c r="V8141" s="50"/>
      <c r="W8141" s="49"/>
      <c r="X8141" s="49"/>
      <c r="Y8141" s="35"/>
      <c r="Z8141" s="35"/>
      <c r="AA8141" s="35"/>
      <c r="AB8141" s="35"/>
      <c r="AC8141" s="35"/>
      <c r="AD8141" s="35"/>
      <c r="AE8141" s="35"/>
      <c r="AF8141" s="35"/>
      <c r="AG8141" s="35"/>
      <c r="AH8141" s="35"/>
      <c r="AI8141" s="35"/>
      <c r="AJ8141" s="35"/>
      <c r="AK8141" s="35"/>
      <c r="AL8141" s="35"/>
    </row>
    <row r="8142">
      <c r="A8142" s="457"/>
      <c r="B8142" s="475"/>
      <c r="C8142" s="476"/>
      <c r="D8142" s="477"/>
      <c r="E8142" s="96"/>
      <c r="F8142" s="96"/>
      <c r="G8142" s="325"/>
      <c r="H8142" s="96"/>
      <c r="I8142" s="478"/>
      <c r="J8142" s="96"/>
      <c r="K8142" s="96"/>
      <c r="L8142" s="107"/>
      <c r="M8142" s="107"/>
      <c r="N8142" s="107"/>
      <c r="O8142" s="107"/>
      <c r="P8142" s="109"/>
      <c r="Q8142" s="107"/>
      <c r="R8142" s="107"/>
      <c r="S8142" s="107"/>
      <c r="T8142" s="479"/>
      <c r="U8142" s="296"/>
      <c r="V8142" s="50"/>
      <c r="W8142" s="49"/>
      <c r="X8142" s="49"/>
      <c r="Y8142" s="35"/>
      <c r="Z8142" s="35"/>
      <c r="AA8142" s="35"/>
      <c r="AB8142" s="35"/>
      <c r="AC8142" s="35"/>
      <c r="AD8142" s="35"/>
      <c r="AE8142" s="35"/>
      <c r="AF8142" s="35"/>
      <c r="AG8142" s="35"/>
      <c r="AH8142" s="35"/>
      <c r="AI8142" s="35"/>
      <c r="AJ8142" s="35"/>
      <c r="AK8142" s="35"/>
      <c r="AL8142" s="35"/>
    </row>
    <row r="8143">
      <c r="A8143" s="457"/>
      <c r="B8143" s="475"/>
      <c r="C8143" s="476"/>
      <c r="D8143" s="477"/>
      <c r="E8143" s="96"/>
      <c r="F8143" s="96"/>
      <c r="G8143" s="325"/>
      <c r="H8143" s="96"/>
      <c r="I8143" s="478"/>
      <c r="J8143" s="96"/>
      <c r="K8143" s="96"/>
      <c r="L8143" s="107"/>
      <c r="M8143" s="107"/>
      <c r="N8143" s="107"/>
      <c r="O8143" s="107"/>
      <c r="P8143" s="109"/>
      <c r="Q8143" s="107"/>
      <c r="R8143" s="107"/>
      <c r="S8143" s="107"/>
      <c r="T8143" s="479"/>
      <c r="U8143" s="296"/>
      <c r="V8143" s="50"/>
      <c r="W8143" s="49"/>
      <c r="X8143" s="49"/>
      <c r="Y8143" s="35"/>
      <c r="Z8143" s="35"/>
      <c r="AA8143" s="35"/>
      <c r="AB8143" s="35"/>
      <c r="AC8143" s="35"/>
      <c r="AD8143" s="35"/>
      <c r="AE8143" s="35"/>
      <c r="AF8143" s="35"/>
      <c r="AG8143" s="35"/>
      <c r="AH8143" s="35"/>
      <c r="AI8143" s="35"/>
      <c r="AJ8143" s="35"/>
      <c r="AK8143" s="35"/>
      <c r="AL8143" s="35"/>
    </row>
    <row r="8144">
      <c r="A8144" s="457"/>
      <c r="B8144" s="475"/>
      <c r="C8144" s="476"/>
      <c r="D8144" s="477"/>
      <c r="E8144" s="96"/>
      <c r="F8144" s="96"/>
      <c r="G8144" s="325"/>
      <c r="H8144" s="96"/>
      <c r="I8144" s="478"/>
      <c r="J8144" s="96"/>
      <c r="K8144" s="96"/>
      <c r="L8144" s="107"/>
      <c r="M8144" s="107"/>
      <c r="N8144" s="107"/>
      <c r="O8144" s="107"/>
      <c r="P8144" s="109"/>
      <c r="Q8144" s="107"/>
      <c r="R8144" s="107"/>
      <c r="S8144" s="107"/>
      <c r="T8144" s="479"/>
      <c r="U8144" s="296"/>
      <c r="V8144" s="50"/>
      <c r="W8144" s="49"/>
      <c r="X8144" s="49"/>
      <c r="Y8144" s="35"/>
      <c r="Z8144" s="35"/>
      <c r="AA8144" s="35"/>
      <c r="AB8144" s="35"/>
      <c r="AC8144" s="35"/>
      <c r="AD8144" s="35"/>
      <c r="AE8144" s="35"/>
      <c r="AF8144" s="35"/>
      <c r="AG8144" s="35"/>
      <c r="AH8144" s="35"/>
      <c r="AI8144" s="35"/>
      <c r="AJ8144" s="35"/>
      <c r="AK8144" s="35"/>
      <c r="AL8144" s="35"/>
    </row>
    <row r="8145">
      <c r="A8145" s="457"/>
      <c r="B8145" s="475"/>
      <c r="C8145" s="476"/>
      <c r="D8145" s="477"/>
      <c r="E8145" s="96"/>
      <c r="F8145" s="96"/>
      <c r="G8145" s="325"/>
      <c r="H8145" s="96"/>
      <c r="I8145" s="478"/>
      <c r="J8145" s="96"/>
      <c r="K8145" s="96"/>
      <c r="L8145" s="107"/>
      <c r="M8145" s="107"/>
      <c r="N8145" s="107"/>
      <c r="O8145" s="107"/>
      <c r="P8145" s="109"/>
      <c r="Q8145" s="107"/>
      <c r="R8145" s="107"/>
      <c r="S8145" s="107"/>
      <c r="T8145" s="479"/>
      <c r="U8145" s="296"/>
      <c r="V8145" s="50"/>
      <c r="W8145" s="49"/>
      <c r="X8145" s="49"/>
      <c r="Y8145" s="35"/>
      <c r="Z8145" s="35"/>
      <c r="AA8145" s="35"/>
      <c r="AB8145" s="35"/>
      <c r="AC8145" s="35"/>
      <c r="AD8145" s="35"/>
      <c r="AE8145" s="35"/>
      <c r="AF8145" s="35"/>
      <c r="AG8145" s="35"/>
      <c r="AH8145" s="35"/>
      <c r="AI8145" s="35"/>
      <c r="AJ8145" s="35"/>
      <c r="AK8145" s="35"/>
      <c r="AL8145" s="35"/>
    </row>
    <row r="8146">
      <c r="A8146" s="457"/>
      <c r="B8146" s="475"/>
      <c r="C8146" s="476"/>
      <c r="D8146" s="477"/>
      <c r="E8146" s="96"/>
      <c r="F8146" s="96"/>
      <c r="G8146" s="325"/>
      <c r="H8146" s="96"/>
      <c r="I8146" s="478"/>
      <c r="J8146" s="96"/>
      <c r="K8146" s="96"/>
      <c r="L8146" s="107"/>
      <c r="M8146" s="107"/>
      <c r="N8146" s="107"/>
      <c r="O8146" s="107"/>
      <c r="P8146" s="109"/>
      <c r="Q8146" s="107"/>
      <c r="R8146" s="107"/>
      <c r="S8146" s="107"/>
      <c r="T8146" s="479"/>
      <c r="U8146" s="296"/>
      <c r="V8146" s="50"/>
      <c r="W8146" s="49"/>
      <c r="X8146" s="49"/>
      <c r="Y8146" s="35"/>
      <c r="Z8146" s="35"/>
      <c r="AA8146" s="35"/>
      <c r="AB8146" s="35"/>
      <c r="AC8146" s="35"/>
      <c r="AD8146" s="35"/>
      <c r="AE8146" s="35"/>
      <c r="AF8146" s="35"/>
      <c r="AG8146" s="35"/>
      <c r="AH8146" s="35"/>
      <c r="AI8146" s="35"/>
      <c r="AJ8146" s="35"/>
      <c r="AK8146" s="35"/>
      <c r="AL8146" s="35"/>
    </row>
    <row r="8147">
      <c r="A8147" s="457"/>
      <c r="B8147" s="475"/>
      <c r="C8147" s="476"/>
      <c r="D8147" s="477"/>
      <c r="E8147" s="96"/>
      <c r="F8147" s="96"/>
      <c r="G8147" s="325"/>
      <c r="H8147" s="96"/>
      <c r="I8147" s="478"/>
      <c r="J8147" s="96"/>
      <c r="K8147" s="96"/>
      <c r="L8147" s="107"/>
      <c r="M8147" s="107"/>
      <c r="N8147" s="107"/>
      <c r="O8147" s="107"/>
      <c r="P8147" s="109"/>
      <c r="Q8147" s="107"/>
      <c r="R8147" s="107"/>
      <c r="S8147" s="107"/>
      <c r="T8147" s="479"/>
      <c r="U8147" s="296"/>
      <c r="V8147" s="50"/>
      <c r="W8147" s="49"/>
      <c r="X8147" s="49"/>
      <c r="Y8147" s="35"/>
      <c r="Z8147" s="35"/>
      <c r="AA8147" s="35"/>
      <c r="AB8147" s="35"/>
      <c r="AC8147" s="35"/>
      <c r="AD8147" s="35"/>
      <c r="AE8147" s="35"/>
      <c r="AF8147" s="35"/>
      <c r="AG8147" s="35"/>
      <c r="AH8147" s="35"/>
      <c r="AI8147" s="35"/>
      <c r="AJ8147" s="35"/>
      <c r="AK8147" s="35"/>
      <c r="AL8147" s="35"/>
    </row>
    <row r="8148">
      <c r="A8148" s="457"/>
      <c r="B8148" s="475"/>
      <c r="C8148" s="476"/>
      <c r="D8148" s="477"/>
      <c r="E8148" s="96"/>
      <c r="F8148" s="96"/>
      <c r="G8148" s="325"/>
      <c r="H8148" s="96"/>
      <c r="I8148" s="478"/>
      <c r="J8148" s="96"/>
      <c r="K8148" s="96"/>
      <c r="L8148" s="107"/>
      <c r="M8148" s="107"/>
      <c r="N8148" s="107"/>
      <c r="O8148" s="107"/>
      <c r="P8148" s="109"/>
      <c r="Q8148" s="107"/>
      <c r="R8148" s="107"/>
      <c r="S8148" s="107"/>
      <c r="T8148" s="479"/>
      <c r="U8148" s="296"/>
      <c r="V8148" s="50"/>
      <c r="W8148" s="49"/>
      <c r="X8148" s="49"/>
      <c r="Y8148" s="35"/>
      <c r="Z8148" s="35"/>
      <c r="AA8148" s="35"/>
      <c r="AB8148" s="35"/>
      <c r="AC8148" s="35"/>
      <c r="AD8148" s="35"/>
      <c r="AE8148" s="35"/>
      <c r="AF8148" s="35"/>
      <c r="AG8148" s="35"/>
      <c r="AH8148" s="35"/>
      <c r="AI8148" s="35"/>
      <c r="AJ8148" s="35"/>
      <c r="AK8148" s="35"/>
      <c r="AL8148" s="35"/>
    </row>
    <row r="8149">
      <c r="A8149" s="457"/>
      <c r="B8149" s="475"/>
      <c r="C8149" s="476"/>
      <c r="D8149" s="477"/>
      <c r="E8149" s="96"/>
      <c r="F8149" s="96"/>
      <c r="G8149" s="325"/>
      <c r="H8149" s="96"/>
      <c r="I8149" s="478"/>
      <c r="J8149" s="96"/>
      <c r="K8149" s="96"/>
      <c r="L8149" s="107"/>
      <c r="M8149" s="107"/>
      <c r="N8149" s="107"/>
      <c r="O8149" s="107"/>
      <c r="P8149" s="109"/>
      <c r="Q8149" s="107"/>
      <c r="R8149" s="107"/>
      <c r="S8149" s="107"/>
      <c r="T8149" s="479"/>
      <c r="U8149" s="296"/>
      <c r="V8149" s="50"/>
      <c r="W8149" s="49"/>
      <c r="X8149" s="49"/>
      <c r="Y8149" s="35"/>
      <c r="Z8149" s="35"/>
      <c r="AA8149" s="35"/>
      <c r="AB8149" s="35"/>
      <c r="AC8149" s="35"/>
      <c r="AD8149" s="35"/>
      <c r="AE8149" s="35"/>
      <c r="AF8149" s="35"/>
      <c r="AG8149" s="35"/>
      <c r="AH8149" s="35"/>
      <c r="AI8149" s="35"/>
      <c r="AJ8149" s="35"/>
      <c r="AK8149" s="35"/>
      <c r="AL8149" s="35"/>
    </row>
    <row r="8150">
      <c r="A8150" s="457"/>
      <c r="B8150" s="475"/>
      <c r="C8150" s="476"/>
      <c r="D8150" s="477"/>
      <c r="E8150" s="96"/>
      <c r="F8150" s="96"/>
      <c r="G8150" s="325"/>
      <c r="H8150" s="96"/>
      <c r="I8150" s="478"/>
      <c r="J8150" s="96"/>
      <c r="K8150" s="96"/>
      <c r="L8150" s="107"/>
      <c r="M8150" s="107"/>
      <c r="N8150" s="107"/>
      <c r="O8150" s="107"/>
      <c r="P8150" s="109"/>
      <c r="Q8150" s="107"/>
      <c r="R8150" s="107"/>
      <c r="S8150" s="107"/>
      <c r="T8150" s="479"/>
      <c r="U8150" s="296"/>
      <c r="V8150" s="50"/>
      <c r="W8150" s="49"/>
      <c r="X8150" s="49"/>
      <c r="Y8150" s="35"/>
      <c r="Z8150" s="35"/>
      <c r="AA8150" s="35"/>
      <c r="AB8150" s="35"/>
      <c r="AC8150" s="35"/>
      <c r="AD8150" s="35"/>
      <c r="AE8150" s="35"/>
      <c r="AF8150" s="35"/>
      <c r="AG8150" s="35"/>
      <c r="AH8150" s="35"/>
      <c r="AI8150" s="35"/>
      <c r="AJ8150" s="35"/>
      <c r="AK8150" s="35"/>
      <c r="AL8150" s="35"/>
    </row>
    <row r="8151">
      <c r="A8151" s="457"/>
      <c r="B8151" s="475"/>
      <c r="C8151" s="476"/>
      <c r="D8151" s="477"/>
      <c r="E8151" s="96"/>
      <c r="F8151" s="96"/>
      <c r="G8151" s="325"/>
      <c r="H8151" s="96"/>
      <c r="I8151" s="478"/>
      <c r="J8151" s="96"/>
      <c r="K8151" s="96"/>
      <c r="L8151" s="107"/>
      <c r="M8151" s="107"/>
      <c r="N8151" s="107"/>
      <c r="O8151" s="107"/>
      <c r="P8151" s="109"/>
      <c r="Q8151" s="107"/>
      <c r="R8151" s="107"/>
      <c r="S8151" s="107"/>
      <c r="T8151" s="479"/>
      <c r="U8151" s="296"/>
      <c r="V8151" s="50"/>
      <c r="W8151" s="49"/>
      <c r="X8151" s="49"/>
      <c r="Y8151" s="35"/>
      <c r="Z8151" s="35"/>
      <c r="AA8151" s="35"/>
      <c r="AB8151" s="35"/>
      <c r="AC8151" s="35"/>
      <c r="AD8151" s="35"/>
      <c r="AE8151" s="35"/>
      <c r="AF8151" s="35"/>
      <c r="AG8151" s="35"/>
      <c r="AH8151" s="35"/>
      <c r="AI8151" s="35"/>
      <c r="AJ8151" s="35"/>
      <c r="AK8151" s="35"/>
      <c r="AL8151" s="35"/>
    </row>
    <row r="8152">
      <c r="A8152" s="457"/>
      <c r="B8152" s="475"/>
      <c r="C8152" s="476"/>
      <c r="D8152" s="477"/>
      <c r="E8152" s="96"/>
      <c r="F8152" s="96"/>
      <c r="G8152" s="325"/>
      <c r="H8152" s="96"/>
      <c r="I8152" s="478"/>
      <c r="J8152" s="96"/>
      <c r="K8152" s="96"/>
      <c r="L8152" s="107"/>
      <c r="M8152" s="107"/>
      <c r="N8152" s="107"/>
      <c r="O8152" s="107"/>
      <c r="P8152" s="109"/>
      <c r="Q8152" s="107"/>
      <c r="R8152" s="107"/>
      <c r="S8152" s="107"/>
      <c r="T8152" s="479"/>
      <c r="U8152" s="296"/>
      <c r="V8152" s="50"/>
      <c r="W8152" s="49"/>
      <c r="X8152" s="49"/>
      <c r="Y8152" s="35"/>
      <c r="Z8152" s="35"/>
      <c r="AA8152" s="35"/>
      <c r="AB8152" s="35"/>
      <c r="AC8152" s="35"/>
      <c r="AD8152" s="35"/>
      <c r="AE8152" s="35"/>
      <c r="AF8152" s="35"/>
      <c r="AG8152" s="35"/>
      <c r="AH8152" s="35"/>
      <c r="AI8152" s="35"/>
      <c r="AJ8152" s="35"/>
      <c r="AK8152" s="35"/>
      <c r="AL8152" s="35"/>
    </row>
    <row r="8153">
      <c r="A8153" s="457"/>
      <c r="B8153" s="475"/>
      <c r="C8153" s="476"/>
      <c r="D8153" s="477"/>
      <c r="E8153" s="96"/>
      <c r="F8153" s="96"/>
      <c r="G8153" s="325"/>
      <c r="H8153" s="96"/>
      <c r="I8153" s="478"/>
      <c r="J8153" s="96"/>
      <c r="K8153" s="96"/>
      <c r="L8153" s="107"/>
      <c r="M8153" s="107"/>
      <c r="N8153" s="107"/>
      <c r="O8153" s="107"/>
      <c r="P8153" s="109"/>
      <c r="Q8153" s="107"/>
      <c r="R8153" s="107"/>
      <c r="S8153" s="107"/>
      <c r="T8153" s="479"/>
      <c r="U8153" s="296"/>
      <c r="V8153" s="50"/>
      <c r="W8153" s="49"/>
      <c r="X8153" s="49"/>
      <c r="Y8153" s="35"/>
      <c r="Z8153" s="35"/>
      <c r="AA8153" s="35"/>
      <c r="AB8153" s="35"/>
      <c r="AC8153" s="35"/>
      <c r="AD8153" s="35"/>
      <c r="AE8153" s="35"/>
      <c r="AF8153" s="35"/>
      <c r="AG8153" s="35"/>
      <c r="AH8153" s="35"/>
      <c r="AI8153" s="35"/>
      <c r="AJ8153" s="35"/>
      <c r="AK8153" s="35"/>
      <c r="AL8153" s="35"/>
    </row>
    <row r="8154">
      <c r="A8154" s="457"/>
      <c r="B8154" s="475"/>
      <c r="C8154" s="476"/>
      <c r="D8154" s="477"/>
      <c r="E8154" s="96"/>
      <c r="F8154" s="96"/>
      <c r="G8154" s="325"/>
      <c r="H8154" s="96"/>
      <c r="I8154" s="478"/>
      <c r="J8154" s="96"/>
      <c r="K8154" s="96"/>
      <c r="L8154" s="107"/>
      <c r="M8154" s="107"/>
      <c r="N8154" s="107"/>
      <c r="O8154" s="107"/>
      <c r="P8154" s="109"/>
      <c r="Q8154" s="107"/>
      <c r="R8154" s="107"/>
      <c r="S8154" s="107"/>
      <c r="T8154" s="479"/>
      <c r="U8154" s="296"/>
      <c r="V8154" s="50"/>
      <c r="W8154" s="49"/>
      <c r="X8154" s="49"/>
      <c r="Y8154" s="35"/>
      <c r="Z8154" s="35"/>
      <c r="AA8154" s="35"/>
      <c r="AB8154" s="35"/>
      <c r="AC8154" s="35"/>
      <c r="AD8154" s="35"/>
      <c r="AE8154" s="35"/>
      <c r="AF8154" s="35"/>
      <c r="AG8154" s="35"/>
      <c r="AH8154" s="35"/>
      <c r="AI8154" s="35"/>
      <c r="AJ8154" s="35"/>
      <c r="AK8154" s="35"/>
      <c r="AL8154" s="35"/>
    </row>
    <row r="8155">
      <c r="A8155" s="457"/>
      <c r="B8155" s="475"/>
      <c r="C8155" s="476"/>
      <c r="D8155" s="477"/>
      <c r="E8155" s="96"/>
      <c r="F8155" s="96"/>
      <c r="G8155" s="325"/>
      <c r="H8155" s="96"/>
      <c r="I8155" s="478"/>
      <c r="J8155" s="96"/>
      <c r="K8155" s="96"/>
      <c r="L8155" s="107"/>
      <c r="M8155" s="107"/>
      <c r="N8155" s="107"/>
      <c r="O8155" s="107"/>
      <c r="P8155" s="109"/>
      <c r="Q8155" s="107"/>
      <c r="R8155" s="107"/>
      <c r="S8155" s="107"/>
      <c r="T8155" s="479"/>
      <c r="U8155" s="296"/>
      <c r="V8155" s="50"/>
      <c r="W8155" s="49"/>
      <c r="X8155" s="49"/>
      <c r="Y8155" s="35"/>
      <c r="Z8155" s="35"/>
      <c r="AA8155" s="35"/>
      <c r="AB8155" s="35"/>
      <c r="AC8155" s="35"/>
      <c r="AD8155" s="35"/>
      <c r="AE8155" s="35"/>
      <c r="AF8155" s="35"/>
      <c r="AG8155" s="35"/>
      <c r="AH8155" s="35"/>
      <c r="AI8155" s="35"/>
      <c r="AJ8155" s="35"/>
      <c r="AK8155" s="35"/>
      <c r="AL8155" s="35"/>
    </row>
    <row r="8156">
      <c r="A8156" s="457"/>
      <c r="B8156" s="475"/>
      <c r="C8156" s="476"/>
      <c r="D8156" s="477"/>
      <c r="E8156" s="96"/>
      <c r="F8156" s="96"/>
      <c r="G8156" s="325"/>
      <c r="H8156" s="96"/>
      <c r="I8156" s="478"/>
      <c r="J8156" s="96"/>
      <c r="K8156" s="96"/>
      <c r="L8156" s="107"/>
      <c r="M8156" s="107"/>
      <c r="N8156" s="107"/>
      <c r="O8156" s="107"/>
      <c r="P8156" s="109"/>
      <c r="Q8156" s="107"/>
      <c r="R8156" s="107"/>
      <c r="S8156" s="107"/>
      <c r="T8156" s="479"/>
      <c r="U8156" s="296"/>
      <c r="V8156" s="50"/>
      <c r="W8156" s="49"/>
      <c r="X8156" s="49"/>
      <c r="Y8156" s="35"/>
      <c r="Z8156" s="35"/>
      <c r="AA8156" s="35"/>
      <c r="AB8156" s="35"/>
      <c r="AC8156" s="35"/>
      <c r="AD8156" s="35"/>
      <c r="AE8156" s="35"/>
      <c r="AF8156" s="35"/>
      <c r="AG8156" s="35"/>
      <c r="AH8156" s="35"/>
      <c r="AI8156" s="35"/>
      <c r="AJ8156" s="35"/>
      <c r="AK8156" s="35"/>
      <c r="AL8156" s="35"/>
    </row>
    <row r="8157">
      <c r="A8157" s="457"/>
      <c r="B8157" s="475"/>
      <c r="C8157" s="476"/>
      <c r="D8157" s="477"/>
      <c r="E8157" s="96"/>
      <c r="F8157" s="96"/>
      <c r="G8157" s="325"/>
      <c r="H8157" s="96"/>
      <c r="I8157" s="478"/>
      <c r="J8157" s="96"/>
      <c r="K8157" s="96"/>
      <c r="L8157" s="107"/>
      <c r="M8157" s="107"/>
      <c r="N8157" s="107"/>
      <c r="O8157" s="107"/>
      <c r="P8157" s="109"/>
      <c r="Q8157" s="107"/>
      <c r="R8157" s="107"/>
      <c r="S8157" s="107"/>
      <c r="T8157" s="479"/>
      <c r="U8157" s="296"/>
      <c r="V8157" s="50"/>
      <c r="W8157" s="49"/>
      <c r="X8157" s="49"/>
      <c r="Y8157" s="35"/>
      <c r="Z8157" s="35"/>
      <c r="AA8157" s="35"/>
      <c r="AB8157" s="35"/>
      <c r="AC8157" s="35"/>
      <c r="AD8157" s="35"/>
      <c r="AE8157" s="35"/>
      <c r="AF8157" s="35"/>
      <c r="AG8157" s="35"/>
      <c r="AH8157" s="35"/>
      <c r="AI8157" s="35"/>
      <c r="AJ8157" s="35"/>
      <c r="AK8157" s="35"/>
      <c r="AL8157" s="35"/>
    </row>
    <row r="8158">
      <c r="A8158" s="457"/>
      <c r="B8158" s="475"/>
      <c r="C8158" s="476"/>
      <c r="D8158" s="477"/>
      <c r="E8158" s="96"/>
      <c r="F8158" s="96"/>
      <c r="G8158" s="325"/>
      <c r="H8158" s="96"/>
      <c r="I8158" s="478"/>
      <c r="J8158" s="96"/>
      <c r="K8158" s="96"/>
      <c r="L8158" s="107"/>
      <c r="M8158" s="107"/>
      <c r="N8158" s="107"/>
      <c r="O8158" s="107"/>
      <c r="P8158" s="109"/>
      <c r="Q8158" s="107"/>
      <c r="R8158" s="107"/>
      <c r="S8158" s="107"/>
      <c r="T8158" s="479"/>
      <c r="U8158" s="296"/>
      <c r="V8158" s="50"/>
      <c r="W8158" s="49"/>
      <c r="X8158" s="49"/>
      <c r="Y8158" s="35"/>
      <c r="Z8158" s="35"/>
      <c r="AA8158" s="35"/>
      <c r="AB8158" s="35"/>
      <c r="AC8158" s="35"/>
      <c r="AD8158" s="35"/>
      <c r="AE8158" s="35"/>
      <c r="AF8158" s="35"/>
      <c r="AG8158" s="35"/>
      <c r="AH8158" s="35"/>
      <c r="AI8158" s="35"/>
      <c r="AJ8158" s="35"/>
      <c r="AK8158" s="35"/>
      <c r="AL8158" s="35"/>
    </row>
    <row r="8159">
      <c r="A8159" s="457"/>
      <c r="B8159" s="475"/>
      <c r="C8159" s="476"/>
      <c r="D8159" s="477"/>
      <c r="E8159" s="96"/>
      <c r="F8159" s="96"/>
      <c r="G8159" s="325"/>
      <c r="H8159" s="96"/>
      <c r="I8159" s="478"/>
      <c r="J8159" s="96"/>
      <c r="K8159" s="96"/>
      <c r="L8159" s="107"/>
      <c r="M8159" s="107"/>
      <c r="N8159" s="107"/>
      <c r="O8159" s="107"/>
      <c r="P8159" s="109"/>
      <c r="Q8159" s="107"/>
      <c r="R8159" s="107"/>
      <c r="S8159" s="107"/>
      <c r="T8159" s="479"/>
      <c r="U8159" s="296"/>
      <c r="V8159" s="50"/>
      <c r="W8159" s="49"/>
      <c r="X8159" s="49"/>
      <c r="Y8159" s="35"/>
      <c r="Z8159" s="35"/>
      <c r="AA8159" s="35"/>
      <c r="AB8159" s="35"/>
      <c r="AC8159" s="35"/>
      <c r="AD8159" s="35"/>
      <c r="AE8159" s="35"/>
      <c r="AF8159" s="35"/>
      <c r="AG8159" s="35"/>
      <c r="AH8159" s="35"/>
      <c r="AI8159" s="35"/>
      <c r="AJ8159" s="35"/>
      <c r="AK8159" s="35"/>
      <c r="AL8159" s="35"/>
    </row>
    <row r="8160">
      <c r="A8160" s="457"/>
      <c r="B8160" s="475"/>
      <c r="C8160" s="476"/>
      <c r="D8160" s="477"/>
      <c r="E8160" s="96"/>
      <c r="F8160" s="96"/>
      <c r="G8160" s="325"/>
      <c r="H8160" s="96"/>
      <c r="I8160" s="478"/>
      <c r="J8160" s="96"/>
      <c r="K8160" s="96"/>
      <c r="L8160" s="107"/>
      <c r="M8160" s="107"/>
      <c r="N8160" s="107"/>
      <c r="O8160" s="107"/>
      <c r="P8160" s="109"/>
      <c r="Q8160" s="107"/>
      <c r="R8160" s="107"/>
      <c r="S8160" s="107"/>
      <c r="T8160" s="479"/>
      <c r="U8160" s="296"/>
      <c r="V8160" s="50"/>
      <c r="W8160" s="49"/>
      <c r="X8160" s="49"/>
      <c r="Y8160" s="35"/>
      <c r="Z8160" s="35"/>
      <c r="AA8160" s="35"/>
      <c r="AB8160" s="35"/>
      <c r="AC8160" s="35"/>
      <c r="AD8160" s="35"/>
      <c r="AE8160" s="35"/>
      <c r="AF8160" s="35"/>
      <c r="AG8160" s="35"/>
      <c r="AH8160" s="35"/>
      <c r="AI8160" s="35"/>
      <c r="AJ8160" s="35"/>
      <c r="AK8160" s="35"/>
      <c r="AL8160" s="35"/>
    </row>
    <row r="8161">
      <c r="A8161" s="457"/>
      <c r="B8161" s="475"/>
      <c r="C8161" s="476"/>
      <c r="D8161" s="477"/>
      <c r="E8161" s="96"/>
      <c r="F8161" s="96"/>
      <c r="G8161" s="325"/>
      <c r="H8161" s="96"/>
      <c r="I8161" s="478"/>
      <c r="J8161" s="96"/>
      <c r="K8161" s="96"/>
      <c r="L8161" s="107"/>
      <c r="M8161" s="107"/>
      <c r="N8161" s="107"/>
      <c r="O8161" s="107"/>
      <c r="P8161" s="109"/>
      <c r="Q8161" s="107"/>
      <c r="R8161" s="107"/>
      <c r="S8161" s="107"/>
      <c r="T8161" s="479"/>
      <c r="U8161" s="296"/>
      <c r="V8161" s="50"/>
      <c r="W8161" s="49"/>
      <c r="X8161" s="49"/>
      <c r="Y8161" s="35"/>
      <c r="Z8161" s="35"/>
      <c r="AA8161" s="35"/>
      <c r="AB8161" s="35"/>
      <c r="AC8161" s="35"/>
      <c r="AD8161" s="35"/>
      <c r="AE8161" s="35"/>
      <c r="AF8161" s="35"/>
      <c r="AG8161" s="35"/>
      <c r="AH8161" s="35"/>
      <c r="AI8161" s="35"/>
      <c r="AJ8161" s="35"/>
      <c r="AK8161" s="35"/>
      <c r="AL8161" s="35"/>
    </row>
    <row r="8162">
      <c r="A8162" s="457"/>
      <c r="B8162" s="475"/>
      <c r="C8162" s="476"/>
      <c r="D8162" s="477"/>
      <c r="E8162" s="96"/>
      <c r="F8162" s="96"/>
      <c r="G8162" s="325"/>
      <c r="H8162" s="96"/>
      <c r="I8162" s="478"/>
      <c r="J8162" s="96"/>
      <c r="K8162" s="96"/>
      <c r="L8162" s="107"/>
      <c r="M8162" s="107"/>
      <c r="N8162" s="107"/>
      <c r="O8162" s="107"/>
      <c r="P8162" s="109"/>
      <c r="Q8162" s="107"/>
      <c r="R8162" s="107"/>
      <c r="S8162" s="107"/>
      <c r="T8162" s="479"/>
      <c r="U8162" s="296"/>
      <c r="V8162" s="50"/>
      <c r="W8162" s="49"/>
      <c r="X8162" s="49"/>
      <c r="Y8162" s="35"/>
      <c r="Z8162" s="35"/>
      <c r="AA8162" s="35"/>
      <c r="AB8162" s="35"/>
      <c r="AC8162" s="35"/>
      <c r="AD8162" s="35"/>
      <c r="AE8162" s="35"/>
      <c r="AF8162" s="35"/>
      <c r="AG8162" s="35"/>
      <c r="AH8162" s="35"/>
      <c r="AI8162" s="35"/>
      <c r="AJ8162" s="35"/>
      <c r="AK8162" s="35"/>
      <c r="AL8162" s="35"/>
    </row>
    <row r="8163">
      <c r="A8163" s="457"/>
      <c r="B8163" s="475"/>
      <c r="C8163" s="476"/>
      <c r="D8163" s="477"/>
      <c r="E8163" s="96"/>
      <c r="F8163" s="96"/>
      <c r="G8163" s="325"/>
      <c r="H8163" s="96"/>
      <c r="I8163" s="478"/>
      <c r="J8163" s="96"/>
      <c r="K8163" s="96"/>
      <c r="L8163" s="107"/>
      <c r="M8163" s="107"/>
      <c r="N8163" s="107"/>
      <c r="O8163" s="107"/>
      <c r="P8163" s="109"/>
      <c r="Q8163" s="107"/>
      <c r="R8163" s="107"/>
      <c r="S8163" s="107"/>
      <c r="T8163" s="479"/>
      <c r="U8163" s="296"/>
      <c r="V8163" s="50"/>
      <c r="W8163" s="49"/>
      <c r="X8163" s="49"/>
      <c r="Y8163" s="35"/>
      <c r="Z8163" s="35"/>
      <c r="AA8163" s="35"/>
      <c r="AB8163" s="35"/>
      <c r="AC8163" s="35"/>
      <c r="AD8163" s="35"/>
      <c r="AE8163" s="35"/>
      <c r="AF8163" s="35"/>
      <c r="AG8163" s="35"/>
      <c r="AH8163" s="35"/>
      <c r="AI8163" s="35"/>
      <c r="AJ8163" s="35"/>
      <c r="AK8163" s="35"/>
      <c r="AL8163" s="35"/>
    </row>
    <row r="8164">
      <c r="A8164" s="457"/>
      <c r="B8164" s="475"/>
      <c r="C8164" s="476"/>
      <c r="D8164" s="477"/>
      <c r="E8164" s="96"/>
      <c r="F8164" s="96"/>
      <c r="G8164" s="325"/>
      <c r="H8164" s="96"/>
      <c r="I8164" s="478"/>
      <c r="J8164" s="96"/>
      <c r="K8164" s="96"/>
      <c r="L8164" s="107"/>
      <c r="M8164" s="107"/>
      <c r="N8164" s="107"/>
      <c r="O8164" s="107"/>
      <c r="P8164" s="109"/>
      <c r="Q8164" s="107"/>
      <c r="R8164" s="107"/>
      <c r="S8164" s="107"/>
      <c r="T8164" s="479"/>
      <c r="U8164" s="296"/>
      <c r="V8164" s="50"/>
      <c r="W8164" s="49"/>
      <c r="X8164" s="49"/>
      <c r="Y8164" s="35"/>
      <c r="Z8164" s="35"/>
      <c r="AA8164" s="35"/>
      <c r="AB8164" s="35"/>
      <c r="AC8164" s="35"/>
      <c r="AD8164" s="35"/>
      <c r="AE8164" s="35"/>
      <c r="AF8164" s="35"/>
      <c r="AG8164" s="35"/>
      <c r="AH8164" s="35"/>
      <c r="AI8164" s="35"/>
      <c r="AJ8164" s="35"/>
      <c r="AK8164" s="35"/>
      <c r="AL8164" s="35"/>
    </row>
    <row r="8165">
      <c r="A8165" s="457"/>
      <c r="B8165" s="475"/>
      <c r="C8165" s="476"/>
      <c r="D8165" s="477"/>
      <c r="E8165" s="96"/>
      <c r="F8165" s="96"/>
      <c r="G8165" s="325"/>
      <c r="H8165" s="96"/>
      <c r="I8165" s="478"/>
      <c r="J8165" s="96"/>
      <c r="K8165" s="96"/>
      <c r="L8165" s="107"/>
      <c r="M8165" s="107"/>
      <c r="N8165" s="107"/>
      <c r="O8165" s="107"/>
      <c r="P8165" s="109"/>
      <c r="Q8165" s="107"/>
      <c r="R8165" s="107"/>
      <c r="S8165" s="107"/>
      <c r="T8165" s="479"/>
      <c r="U8165" s="296"/>
      <c r="V8165" s="50"/>
      <c r="W8165" s="49"/>
      <c r="X8165" s="49"/>
      <c r="Y8165" s="35"/>
      <c r="Z8165" s="35"/>
      <c r="AA8165" s="35"/>
      <c r="AB8165" s="35"/>
      <c r="AC8165" s="35"/>
      <c r="AD8165" s="35"/>
      <c r="AE8165" s="35"/>
      <c r="AF8165" s="35"/>
      <c r="AG8165" s="35"/>
      <c r="AH8165" s="35"/>
      <c r="AI8165" s="35"/>
      <c r="AJ8165" s="35"/>
      <c r="AK8165" s="35"/>
      <c r="AL8165" s="35"/>
    </row>
    <row r="8166">
      <c r="A8166" s="457"/>
      <c r="B8166" s="475"/>
      <c r="C8166" s="476"/>
      <c r="D8166" s="477"/>
      <c r="E8166" s="96"/>
      <c r="F8166" s="96"/>
      <c r="G8166" s="325"/>
      <c r="H8166" s="96"/>
      <c r="I8166" s="478"/>
      <c r="J8166" s="96"/>
      <c r="K8166" s="96"/>
      <c r="L8166" s="107"/>
      <c r="M8166" s="107"/>
      <c r="N8166" s="107"/>
      <c r="O8166" s="107"/>
      <c r="P8166" s="109"/>
      <c r="Q8166" s="107"/>
      <c r="R8166" s="107"/>
      <c r="S8166" s="107"/>
      <c r="T8166" s="479"/>
      <c r="U8166" s="296"/>
      <c r="V8166" s="50"/>
      <c r="W8166" s="49"/>
      <c r="X8166" s="49"/>
      <c r="Y8166" s="35"/>
      <c r="Z8166" s="35"/>
      <c r="AA8166" s="35"/>
      <c r="AB8166" s="35"/>
      <c r="AC8166" s="35"/>
      <c r="AD8166" s="35"/>
      <c r="AE8166" s="35"/>
      <c r="AF8166" s="35"/>
      <c r="AG8166" s="35"/>
      <c r="AH8166" s="35"/>
      <c r="AI8166" s="35"/>
      <c r="AJ8166" s="35"/>
      <c r="AK8166" s="35"/>
      <c r="AL8166" s="35"/>
    </row>
    <row r="8167">
      <c r="A8167" s="457"/>
      <c r="B8167" s="475"/>
      <c r="C8167" s="476"/>
      <c r="D8167" s="477"/>
      <c r="E8167" s="96"/>
      <c r="F8167" s="96"/>
      <c r="G8167" s="325"/>
      <c r="H8167" s="96"/>
      <c r="I8167" s="478"/>
      <c r="J8167" s="96"/>
      <c r="K8167" s="96"/>
      <c r="L8167" s="107"/>
      <c r="M8167" s="107"/>
      <c r="N8167" s="107"/>
      <c r="O8167" s="107"/>
      <c r="P8167" s="109"/>
      <c r="Q8167" s="107"/>
      <c r="R8167" s="107"/>
      <c r="S8167" s="107"/>
      <c r="T8167" s="479"/>
      <c r="U8167" s="296"/>
      <c r="V8167" s="50"/>
      <c r="W8167" s="49"/>
      <c r="X8167" s="49"/>
      <c r="Y8167" s="35"/>
      <c r="Z8167" s="35"/>
      <c r="AA8167" s="35"/>
      <c r="AB8167" s="35"/>
      <c r="AC8167" s="35"/>
      <c r="AD8167" s="35"/>
      <c r="AE8167" s="35"/>
      <c r="AF8167" s="35"/>
      <c r="AG8167" s="35"/>
      <c r="AH8167" s="35"/>
      <c r="AI8167" s="35"/>
      <c r="AJ8167" s="35"/>
      <c r="AK8167" s="35"/>
      <c r="AL8167" s="35"/>
    </row>
    <row r="8168">
      <c r="A8168" s="457"/>
      <c r="B8168" s="475"/>
      <c r="C8168" s="476"/>
      <c r="D8168" s="477"/>
      <c r="E8168" s="96"/>
      <c r="F8168" s="96"/>
      <c r="G8168" s="325"/>
      <c r="H8168" s="96"/>
      <c r="I8168" s="478"/>
      <c r="J8168" s="96"/>
      <c r="K8168" s="96"/>
      <c r="L8168" s="107"/>
      <c r="M8168" s="107"/>
      <c r="N8168" s="107"/>
      <c r="O8168" s="107"/>
      <c r="P8168" s="109"/>
      <c r="Q8168" s="107"/>
      <c r="R8168" s="107"/>
      <c r="S8168" s="107"/>
      <c r="T8168" s="479"/>
      <c r="U8168" s="296"/>
      <c r="V8168" s="50"/>
      <c r="W8168" s="49"/>
      <c r="X8168" s="49"/>
      <c r="Y8168" s="35"/>
      <c r="Z8168" s="35"/>
      <c r="AA8168" s="35"/>
      <c r="AB8168" s="35"/>
      <c r="AC8168" s="35"/>
      <c r="AD8168" s="35"/>
      <c r="AE8168" s="35"/>
      <c r="AF8168" s="35"/>
      <c r="AG8168" s="35"/>
      <c r="AH8168" s="35"/>
      <c r="AI8168" s="35"/>
      <c r="AJ8168" s="35"/>
      <c r="AK8168" s="35"/>
      <c r="AL8168" s="35"/>
    </row>
    <row r="8169">
      <c r="A8169" s="457"/>
      <c r="B8169" s="475"/>
      <c r="C8169" s="476"/>
      <c r="D8169" s="477"/>
      <c r="E8169" s="96"/>
      <c r="F8169" s="96"/>
      <c r="G8169" s="325"/>
      <c r="H8169" s="96"/>
      <c r="I8169" s="478"/>
      <c r="J8169" s="96"/>
      <c r="K8169" s="96"/>
      <c r="L8169" s="107"/>
      <c r="M8169" s="107"/>
      <c r="N8169" s="107"/>
      <c r="O8169" s="107"/>
      <c r="P8169" s="109"/>
      <c r="Q8169" s="107"/>
      <c r="R8169" s="107"/>
      <c r="S8169" s="107"/>
      <c r="T8169" s="479"/>
      <c r="U8169" s="296"/>
      <c r="V8169" s="50"/>
      <c r="W8169" s="49"/>
      <c r="X8169" s="49"/>
      <c r="Y8169" s="35"/>
      <c r="Z8169" s="35"/>
      <c r="AA8169" s="35"/>
      <c r="AB8169" s="35"/>
      <c r="AC8169" s="35"/>
      <c r="AD8169" s="35"/>
      <c r="AE8169" s="35"/>
      <c r="AF8169" s="35"/>
      <c r="AG8169" s="35"/>
      <c r="AH8169" s="35"/>
      <c r="AI8169" s="35"/>
      <c r="AJ8169" s="35"/>
      <c r="AK8169" s="35"/>
      <c r="AL8169" s="35"/>
    </row>
    <row r="8170">
      <c r="A8170" s="457"/>
      <c r="B8170" s="475"/>
      <c r="C8170" s="476"/>
      <c r="D8170" s="477"/>
      <c r="E8170" s="96"/>
      <c r="F8170" s="96"/>
      <c r="G8170" s="325"/>
      <c r="H8170" s="96"/>
      <c r="I8170" s="478"/>
      <c r="J8170" s="96"/>
      <c r="K8170" s="96"/>
      <c r="L8170" s="107"/>
      <c r="M8170" s="107"/>
      <c r="N8170" s="107"/>
      <c r="O8170" s="107"/>
      <c r="P8170" s="109"/>
      <c r="Q8170" s="107"/>
      <c r="R8170" s="107"/>
      <c r="S8170" s="107"/>
      <c r="T8170" s="479"/>
      <c r="U8170" s="296"/>
      <c r="V8170" s="50"/>
      <c r="W8170" s="49"/>
      <c r="X8170" s="49"/>
      <c r="Y8170" s="35"/>
      <c r="Z8170" s="35"/>
      <c r="AA8170" s="35"/>
      <c r="AB8170" s="35"/>
      <c r="AC8170" s="35"/>
      <c r="AD8170" s="35"/>
      <c r="AE8170" s="35"/>
      <c r="AF8170" s="35"/>
      <c r="AG8170" s="35"/>
      <c r="AH8170" s="35"/>
      <c r="AI8170" s="35"/>
      <c r="AJ8170" s="35"/>
      <c r="AK8170" s="35"/>
      <c r="AL8170" s="35"/>
    </row>
    <row r="8171">
      <c r="A8171" s="457"/>
      <c r="B8171" s="475"/>
      <c r="C8171" s="476"/>
      <c r="D8171" s="477"/>
      <c r="E8171" s="96"/>
      <c r="F8171" s="96"/>
      <c r="G8171" s="325"/>
      <c r="H8171" s="96"/>
      <c r="I8171" s="478"/>
      <c r="J8171" s="96"/>
      <c r="K8171" s="96"/>
      <c r="L8171" s="107"/>
      <c r="M8171" s="107"/>
      <c r="N8171" s="107"/>
      <c r="O8171" s="107"/>
      <c r="P8171" s="109"/>
      <c r="Q8171" s="107"/>
      <c r="R8171" s="107"/>
      <c r="S8171" s="107"/>
      <c r="T8171" s="479"/>
      <c r="U8171" s="296"/>
      <c r="V8171" s="50"/>
      <c r="W8171" s="49"/>
      <c r="X8171" s="49"/>
      <c r="Y8171" s="35"/>
      <c r="Z8171" s="35"/>
      <c r="AA8171" s="35"/>
      <c r="AB8171" s="35"/>
      <c r="AC8171" s="35"/>
      <c r="AD8171" s="35"/>
      <c r="AE8171" s="35"/>
      <c r="AF8171" s="35"/>
      <c r="AG8171" s="35"/>
      <c r="AH8171" s="35"/>
      <c r="AI8171" s="35"/>
      <c r="AJ8171" s="35"/>
      <c r="AK8171" s="35"/>
      <c r="AL8171" s="35"/>
    </row>
    <row r="8172">
      <c r="A8172" s="457"/>
      <c r="B8172" s="475"/>
      <c r="C8172" s="476"/>
      <c r="D8172" s="477"/>
      <c r="E8172" s="96"/>
      <c r="F8172" s="96"/>
      <c r="G8172" s="325"/>
      <c r="H8172" s="96"/>
      <c r="I8172" s="478"/>
      <c r="J8172" s="96"/>
      <c r="K8172" s="96"/>
      <c r="L8172" s="107"/>
      <c r="M8172" s="107"/>
      <c r="N8172" s="107"/>
      <c r="O8172" s="107"/>
      <c r="P8172" s="109"/>
      <c r="Q8172" s="107"/>
      <c r="R8172" s="107"/>
      <c r="S8172" s="107"/>
      <c r="T8172" s="479"/>
      <c r="U8172" s="296"/>
      <c r="V8172" s="50"/>
      <c r="W8172" s="49"/>
      <c r="X8172" s="49"/>
      <c r="Y8172" s="35"/>
      <c r="Z8172" s="35"/>
      <c r="AA8172" s="35"/>
      <c r="AB8172" s="35"/>
      <c r="AC8172" s="35"/>
      <c r="AD8172" s="35"/>
      <c r="AE8172" s="35"/>
      <c r="AF8172" s="35"/>
      <c r="AG8172" s="35"/>
      <c r="AH8172" s="35"/>
      <c r="AI8172" s="35"/>
      <c r="AJ8172" s="35"/>
      <c r="AK8172" s="35"/>
      <c r="AL8172" s="35"/>
    </row>
    <row r="8173">
      <c r="A8173" s="457"/>
      <c r="B8173" s="475"/>
      <c r="C8173" s="476"/>
      <c r="D8173" s="477"/>
      <c r="E8173" s="96"/>
      <c r="F8173" s="96"/>
      <c r="G8173" s="325"/>
      <c r="H8173" s="96"/>
      <c r="I8173" s="478"/>
      <c r="J8173" s="96"/>
      <c r="K8173" s="96"/>
      <c r="L8173" s="107"/>
      <c r="M8173" s="107"/>
      <c r="N8173" s="107"/>
      <c r="O8173" s="107"/>
      <c r="P8173" s="109"/>
      <c r="Q8173" s="107"/>
      <c r="R8173" s="107"/>
      <c r="S8173" s="107"/>
      <c r="T8173" s="479"/>
      <c r="U8173" s="296"/>
      <c r="V8173" s="50"/>
      <c r="W8173" s="49"/>
      <c r="X8173" s="49"/>
      <c r="Y8173" s="35"/>
      <c r="Z8173" s="35"/>
      <c r="AA8173" s="35"/>
      <c r="AB8173" s="35"/>
      <c r="AC8173" s="35"/>
      <c r="AD8173" s="35"/>
      <c r="AE8173" s="35"/>
      <c r="AF8173" s="35"/>
      <c r="AG8173" s="35"/>
      <c r="AH8173" s="35"/>
      <c r="AI8173" s="35"/>
      <c r="AJ8173" s="35"/>
      <c r="AK8173" s="35"/>
      <c r="AL8173" s="35"/>
    </row>
    <row r="8174">
      <c r="A8174" s="457"/>
      <c r="B8174" s="475"/>
      <c r="C8174" s="476"/>
      <c r="D8174" s="477"/>
      <c r="E8174" s="96"/>
      <c r="F8174" s="96"/>
      <c r="G8174" s="325"/>
      <c r="H8174" s="96"/>
      <c r="I8174" s="478"/>
      <c r="J8174" s="96"/>
      <c r="K8174" s="96"/>
      <c r="L8174" s="107"/>
      <c r="M8174" s="107"/>
      <c r="N8174" s="107"/>
      <c r="O8174" s="107"/>
      <c r="P8174" s="109"/>
      <c r="Q8174" s="107"/>
      <c r="R8174" s="107"/>
      <c r="S8174" s="107"/>
      <c r="T8174" s="479"/>
      <c r="U8174" s="296"/>
      <c r="V8174" s="50"/>
      <c r="W8174" s="49"/>
      <c r="X8174" s="49"/>
      <c r="Y8174" s="35"/>
      <c r="Z8174" s="35"/>
      <c r="AA8174" s="35"/>
      <c r="AB8174" s="35"/>
      <c r="AC8174" s="35"/>
      <c r="AD8174" s="35"/>
      <c r="AE8174" s="35"/>
      <c r="AF8174" s="35"/>
      <c r="AG8174" s="35"/>
      <c r="AH8174" s="35"/>
      <c r="AI8174" s="35"/>
      <c r="AJ8174" s="35"/>
      <c r="AK8174" s="35"/>
      <c r="AL8174" s="35"/>
    </row>
    <row r="8175">
      <c r="A8175" s="457"/>
      <c r="B8175" s="475"/>
      <c r="C8175" s="476"/>
      <c r="D8175" s="477"/>
      <c r="E8175" s="96"/>
      <c r="F8175" s="96"/>
      <c r="G8175" s="325"/>
      <c r="H8175" s="96"/>
      <c r="I8175" s="478"/>
      <c r="J8175" s="96"/>
      <c r="K8175" s="96"/>
      <c r="L8175" s="107"/>
      <c r="M8175" s="107"/>
      <c r="N8175" s="107"/>
      <c r="O8175" s="107"/>
      <c r="P8175" s="109"/>
      <c r="Q8175" s="107"/>
      <c r="R8175" s="107"/>
      <c r="S8175" s="107"/>
      <c r="T8175" s="479"/>
      <c r="U8175" s="296"/>
      <c r="V8175" s="50"/>
      <c r="W8175" s="49"/>
      <c r="X8175" s="49"/>
      <c r="Y8175" s="35"/>
      <c r="Z8175" s="35"/>
      <c r="AA8175" s="35"/>
      <c r="AB8175" s="35"/>
      <c r="AC8175" s="35"/>
      <c r="AD8175" s="35"/>
      <c r="AE8175" s="35"/>
      <c r="AF8175" s="35"/>
      <c r="AG8175" s="35"/>
      <c r="AH8175" s="35"/>
      <c r="AI8175" s="35"/>
      <c r="AJ8175" s="35"/>
      <c r="AK8175" s="35"/>
      <c r="AL8175" s="35"/>
    </row>
    <row r="8176">
      <c r="A8176" s="457"/>
      <c r="B8176" s="475"/>
      <c r="C8176" s="476"/>
      <c r="D8176" s="477"/>
      <c r="E8176" s="96"/>
      <c r="F8176" s="96"/>
      <c r="G8176" s="325"/>
      <c r="H8176" s="96"/>
      <c r="I8176" s="478"/>
      <c r="J8176" s="96"/>
      <c r="K8176" s="96"/>
      <c r="L8176" s="107"/>
      <c r="M8176" s="107"/>
      <c r="N8176" s="107"/>
      <c r="O8176" s="107"/>
      <c r="P8176" s="109"/>
      <c r="Q8176" s="107"/>
      <c r="R8176" s="107"/>
      <c r="S8176" s="107"/>
      <c r="T8176" s="479"/>
      <c r="U8176" s="296"/>
      <c r="V8176" s="50"/>
      <c r="W8176" s="49"/>
      <c r="X8176" s="49"/>
      <c r="Y8176" s="35"/>
      <c r="Z8176" s="35"/>
      <c r="AA8176" s="35"/>
      <c r="AB8176" s="35"/>
      <c r="AC8176" s="35"/>
      <c r="AD8176" s="35"/>
      <c r="AE8176" s="35"/>
      <c r="AF8176" s="35"/>
      <c r="AG8176" s="35"/>
      <c r="AH8176" s="35"/>
      <c r="AI8176" s="35"/>
      <c r="AJ8176" s="35"/>
      <c r="AK8176" s="35"/>
      <c r="AL8176" s="35"/>
    </row>
    <row r="8177">
      <c r="A8177" s="457"/>
      <c r="B8177" s="475"/>
      <c r="C8177" s="476"/>
      <c r="D8177" s="477"/>
      <c r="E8177" s="96"/>
      <c r="F8177" s="96"/>
      <c r="G8177" s="325"/>
      <c r="H8177" s="96"/>
      <c r="I8177" s="478"/>
      <c r="J8177" s="96"/>
      <c r="K8177" s="96"/>
      <c r="L8177" s="107"/>
      <c r="M8177" s="107"/>
      <c r="N8177" s="107"/>
      <c r="O8177" s="107"/>
      <c r="P8177" s="109"/>
      <c r="Q8177" s="107"/>
      <c r="R8177" s="107"/>
      <c r="S8177" s="107"/>
      <c r="T8177" s="479"/>
      <c r="U8177" s="296"/>
      <c r="V8177" s="50"/>
      <c r="W8177" s="49"/>
      <c r="X8177" s="49"/>
      <c r="Y8177" s="35"/>
      <c r="Z8177" s="35"/>
      <c r="AA8177" s="35"/>
      <c r="AB8177" s="35"/>
      <c r="AC8177" s="35"/>
      <c r="AD8177" s="35"/>
      <c r="AE8177" s="35"/>
      <c r="AF8177" s="35"/>
      <c r="AG8177" s="35"/>
      <c r="AH8177" s="35"/>
      <c r="AI8177" s="35"/>
      <c r="AJ8177" s="35"/>
      <c r="AK8177" s="35"/>
      <c r="AL8177" s="35"/>
    </row>
    <row r="8178">
      <c r="A8178" s="457"/>
      <c r="B8178" s="475"/>
      <c r="C8178" s="476"/>
      <c r="D8178" s="477"/>
      <c r="E8178" s="96"/>
      <c r="F8178" s="96"/>
      <c r="G8178" s="325"/>
      <c r="H8178" s="96"/>
      <c r="I8178" s="478"/>
      <c r="J8178" s="96"/>
      <c r="K8178" s="96"/>
      <c r="L8178" s="107"/>
      <c r="M8178" s="107"/>
      <c r="N8178" s="107"/>
      <c r="O8178" s="107"/>
      <c r="P8178" s="109"/>
      <c r="Q8178" s="107"/>
      <c r="R8178" s="107"/>
      <c r="S8178" s="107"/>
      <c r="T8178" s="479"/>
      <c r="U8178" s="296"/>
      <c r="V8178" s="50"/>
      <c r="W8178" s="49"/>
      <c r="X8178" s="49"/>
      <c r="Y8178" s="35"/>
      <c r="Z8178" s="35"/>
      <c r="AA8178" s="35"/>
      <c r="AB8178" s="35"/>
      <c r="AC8178" s="35"/>
      <c r="AD8178" s="35"/>
      <c r="AE8178" s="35"/>
      <c r="AF8178" s="35"/>
      <c r="AG8178" s="35"/>
      <c r="AH8178" s="35"/>
      <c r="AI8178" s="35"/>
      <c r="AJ8178" s="35"/>
      <c r="AK8178" s="35"/>
      <c r="AL8178" s="35"/>
    </row>
    <row r="8179">
      <c r="A8179" s="457"/>
      <c r="B8179" s="475"/>
      <c r="C8179" s="476"/>
      <c r="D8179" s="477"/>
      <c r="E8179" s="96"/>
      <c r="F8179" s="96"/>
      <c r="G8179" s="325"/>
      <c r="H8179" s="96"/>
      <c r="I8179" s="478"/>
      <c r="J8179" s="96"/>
      <c r="K8179" s="96"/>
      <c r="L8179" s="107"/>
      <c r="M8179" s="107"/>
      <c r="N8179" s="107"/>
      <c r="O8179" s="107"/>
      <c r="P8179" s="109"/>
      <c r="Q8179" s="107"/>
      <c r="R8179" s="107"/>
      <c r="S8179" s="107"/>
      <c r="T8179" s="479"/>
      <c r="U8179" s="296"/>
      <c r="V8179" s="50"/>
      <c r="W8179" s="49"/>
      <c r="X8179" s="49"/>
      <c r="Y8179" s="35"/>
      <c r="Z8179" s="35"/>
      <c r="AA8179" s="35"/>
      <c r="AB8179" s="35"/>
      <c r="AC8179" s="35"/>
      <c r="AD8179" s="35"/>
      <c r="AE8179" s="35"/>
      <c r="AF8179" s="35"/>
      <c r="AG8179" s="35"/>
      <c r="AH8179" s="35"/>
      <c r="AI8179" s="35"/>
      <c r="AJ8179" s="35"/>
      <c r="AK8179" s="35"/>
      <c r="AL8179" s="35"/>
    </row>
    <row r="8180">
      <c r="A8180" s="457"/>
      <c r="B8180" s="475"/>
      <c r="C8180" s="476"/>
      <c r="D8180" s="477"/>
      <c r="E8180" s="96"/>
      <c r="F8180" s="96"/>
      <c r="G8180" s="325"/>
      <c r="H8180" s="96"/>
      <c r="I8180" s="478"/>
      <c r="J8180" s="96"/>
      <c r="K8180" s="96"/>
      <c r="L8180" s="107"/>
      <c r="M8180" s="107"/>
      <c r="N8180" s="107"/>
      <c r="O8180" s="107"/>
      <c r="P8180" s="109"/>
      <c r="Q8180" s="107"/>
      <c r="R8180" s="107"/>
      <c r="S8180" s="107"/>
      <c r="T8180" s="479"/>
      <c r="U8180" s="296"/>
      <c r="V8180" s="50"/>
      <c r="W8180" s="49"/>
      <c r="X8180" s="49"/>
      <c r="Y8180" s="35"/>
      <c r="Z8180" s="35"/>
      <c r="AA8180" s="35"/>
      <c r="AB8180" s="35"/>
      <c r="AC8180" s="35"/>
      <c r="AD8180" s="35"/>
      <c r="AE8180" s="35"/>
      <c r="AF8180" s="35"/>
      <c r="AG8180" s="35"/>
      <c r="AH8180" s="35"/>
      <c r="AI8180" s="35"/>
      <c r="AJ8180" s="35"/>
      <c r="AK8180" s="35"/>
      <c r="AL8180" s="35"/>
    </row>
    <row r="8181">
      <c r="A8181" s="457"/>
      <c r="B8181" s="475"/>
      <c r="C8181" s="476"/>
      <c r="D8181" s="477"/>
      <c r="E8181" s="96"/>
      <c r="F8181" s="96"/>
      <c r="G8181" s="325"/>
      <c r="H8181" s="96"/>
      <c r="I8181" s="478"/>
      <c r="J8181" s="96"/>
      <c r="K8181" s="96"/>
      <c r="L8181" s="107"/>
      <c r="M8181" s="107"/>
      <c r="N8181" s="107"/>
      <c r="O8181" s="107"/>
      <c r="P8181" s="109"/>
      <c r="Q8181" s="107"/>
      <c r="R8181" s="107"/>
      <c r="S8181" s="107"/>
      <c r="T8181" s="479"/>
      <c r="U8181" s="296"/>
      <c r="V8181" s="50"/>
      <c r="W8181" s="49"/>
      <c r="X8181" s="49"/>
      <c r="Y8181" s="35"/>
      <c r="Z8181" s="35"/>
      <c r="AA8181" s="35"/>
      <c r="AB8181" s="35"/>
      <c r="AC8181" s="35"/>
      <c r="AD8181" s="35"/>
      <c r="AE8181" s="35"/>
      <c r="AF8181" s="35"/>
      <c r="AG8181" s="35"/>
      <c r="AH8181" s="35"/>
      <c r="AI8181" s="35"/>
      <c r="AJ8181" s="35"/>
      <c r="AK8181" s="35"/>
      <c r="AL8181" s="35"/>
    </row>
    <row r="8182">
      <c r="A8182" s="457"/>
      <c r="B8182" s="475"/>
      <c r="C8182" s="476"/>
      <c r="D8182" s="477"/>
      <c r="E8182" s="96"/>
      <c r="F8182" s="96"/>
      <c r="G8182" s="325"/>
      <c r="H8182" s="96"/>
      <c r="I8182" s="478"/>
      <c r="J8182" s="96"/>
      <c r="K8182" s="96"/>
      <c r="L8182" s="107"/>
      <c r="M8182" s="107"/>
      <c r="N8182" s="107"/>
      <c r="O8182" s="107"/>
      <c r="P8182" s="109"/>
      <c r="Q8182" s="107"/>
      <c r="R8182" s="107"/>
      <c r="S8182" s="107"/>
      <c r="T8182" s="479"/>
      <c r="U8182" s="296"/>
      <c r="V8182" s="50"/>
      <c r="W8182" s="49"/>
      <c r="X8182" s="49"/>
      <c r="Y8182" s="35"/>
      <c r="Z8182" s="35"/>
      <c r="AA8182" s="35"/>
      <c r="AB8182" s="35"/>
      <c r="AC8182" s="35"/>
      <c r="AD8182" s="35"/>
      <c r="AE8182" s="35"/>
      <c r="AF8182" s="35"/>
      <c r="AG8182" s="35"/>
      <c r="AH8182" s="35"/>
      <c r="AI8182" s="35"/>
      <c r="AJ8182" s="35"/>
      <c r="AK8182" s="35"/>
      <c r="AL8182" s="35"/>
    </row>
    <row r="8183">
      <c r="A8183" s="457"/>
      <c r="B8183" s="475"/>
      <c r="C8183" s="476"/>
      <c r="D8183" s="477"/>
      <c r="E8183" s="96"/>
      <c r="F8183" s="96"/>
      <c r="G8183" s="325"/>
      <c r="H8183" s="96"/>
      <c r="I8183" s="478"/>
      <c r="J8183" s="96"/>
      <c r="K8183" s="96"/>
      <c r="L8183" s="107"/>
      <c r="M8183" s="107"/>
      <c r="N8183" s="107"/>
      <c r="O8183" s="107"/>
      <c r="P8183" s="109"/>
      <c r="Q8183" s="107"/>
      <c r="R8183" s="107"/>
      <c r="S8183" s="107"/>
      <c r="T8183" s="479"/>
      <c r="U8183" s="296"/>
      <c r="V8183" s="50"/>
      <c r="W8183" s="49"/>
      <c r="X8183" s="49"/>
      <c r="Y8183" s="35"/>
      <c r="Z8183" s="35"/>
      <c r="AA8183" s="35"/>
      <c r="AB8183" s="35"/>
      <c r="AC8183" s="35"/>
      <c r="AD8183" s="35"/>
      <c r="AE8183" s="35"/>
      <c r="AF8183" s="35"/>
      <c r="AG8183" s="35"/>
      <c r="AH8183" s="35"/>
      <c r="AI8183" s="35"/>
      <c r="AJ8183" s="35"/>
      <c r="AK8183" s="35"/>
      <c r="AL8183" s="35"/>
    </row>
    <row r="8184">
      <c r="A8184" s="457"/>
      <c r="B8184" s="475"/>
      <c r="C8184" s="476"/>
      <c r="D8184" s="477"/>
      <c r="E8184" s="96"/>
      <c r="F8184" s="96"/>
      <c r="G8184" s="325"/>
      <c r="H8184" s="96"/>
      <c r="I8184" s="478"/>
      <c r="J8184" s="96"/>
      <c r="K8184" s="96"/>
      <c r="L8184" s="107"/>
      <c r="M8184" s="107"/>
      <c r="N8184" s="107"/>
      <c r="O8184" s="107"/>
      <c r="P8184" s="109"/>
      <c r="Q8184" s="107"/>
      <c r="R8184" s="107"/>
      <c r="S8184" s="107"/>
      <c r="T8184" s="479"/>
      <c r="U8184" s="296"/>
      <c r="V8184" s="50"/>
      <c r="W8184" s="49"/>
      <c r="X8184" s="49"/>
      <c r="Y8184" s="35"/>
      <c r="Z8184" s="35"/>
      <c r="AA8184" s="35"/>
      <c r="AB8184" s="35"/>
      <c r="AC8184" s="35"/>
      <c r="AD8184" s="35"/>
      <c r="AE8184" s="35"/>
      <c r="AF8184" s="35"/>
      <c r="AG8184" s="35"/>
      <c r="AH8184" s="35"/>
      <c r="AI8184" s="35"/>
      <c r="AJ8184" s="35"/>
      <c r="AK8184" s="35"/>
      <c r="AL8184" s="35"/>
    </row>
    <row r="8185">
      <c r="A8185" s="457"/>
      <c r="B8185" s="475"/>
      <c r="C8185" s="476"/>
      <c r="D8185" s="477"/>
      <c r="E8185" s="96"/>
      <c r="F8185" s="96"/>
      <c r="G8185" s="325"/>
      <c r="H8185" s="96"/>
      <c r="I8185" s="478"/>
      <c r="J8185" s="96"/>
      <c r="K8185" s="96"/>
      <c r="L8185" s="107"/>
      <c r="M8185" s="107"/>
      <c r="N8185" s="107"/>
      <c r="O8185" s="107"/>
      <c r="P8185" s="109"/>
      <c r="Q8185" s="107"/>
      <c r="R8185" s="107"/>
      <c r="S8185" s="107"/>
      <c r="T8185" s="479"/>
      <c r="U8185" s="296"/>
      <c r="V8185" s="50"/>
      <c r="W8185" s="49"/>
      <c r="X8185" s="49"/>
      <c r="Y8185" s="35"/>
      <c r="Z8185" s="35"/>
      <c r="AA8185" s="35"/>
      <c r="AB8185" s="35"/>
      <c r="AC8185" s="35"/>
      <c r="AD8185" s="35"/>
      <c r="AE8185" s="35"/>
      <c r="AF8185" s="35"/>
      <c r="AG8185" s="35"/>
      <c r="AH8185" s="35"/>
      <c r="AI8185" s="35"/>
      <c r="AJ8185" s="35"/>
      <c r="AK8185" s="35"/>
      <c r="AL8185" s="35"/>
    </row>
    <row r="8186">
      <c r="A8186" s="457"/>
      <c r="B8186" s="475"/>
      <c r="C8186" s="476"/>
      <c r="D8186" s="477"/>
      <c r="E8186" s="96"/>
      <c r="F8186" s="96"/>
      <c r="G8186" s="325"/>
      <c r="H8186" s="96"/>
      <c r="I8186" s="478"/>
      <c r="J8186" s="96"/>
      <c r="K8186" s="96"/>
      <c r="L8186" s="107"/>
      <c r="M8186" s="107"/>
      <c r="N8186" s="107"/>
      <c r="O8186" s="107"/>
      <c r="P8186" s="109"/>
      <c r="Q8186" s="107"/>
      <c r="R8186" s="107"/>
      <c r="S8186" s="107"/>
      <c r="T8186" s="479"/>
      <c r="U8186" s="296"/>
      <c r="V8186" s="50"/>
      <c r="W8186" s="49"/>
      <c r="X8186" s="49"/>
      <c r="Y8186" s="35"/>
      <c r="Z8186" s="35"/>
      <c r="AA8186" s="35"/>
      <c r="AB8186" s="35"/>
      <c r="AC8186" s="35"/>
      <c r="AD8186" s="35"/>
      <c r="AE8186" s="35"/>
      <c r="AF8186" s="35"/>
      <c r="AG8186" s="35"/>
      <c r="AH8186" s="35"/>
      <c r="AI8186" s="35"/>
      <c r="AJ8186" s="35"/>
      <c r="AK8186" s="35"/>
      <c r="AL8186" s="35"/>
    </row>
    <row r="8187">
      <c r="A8187" s="457"/>
      <c r="B8187" s="475"/>
      <c r="C8187" s="476"/>
      <c r="D8187" s="477"/>
      <c r="E8187" s="96"/>
      <c r="F8187" s="96"/>
      <c r="G8187" s="325"/>
      <c r="H8187" s="96"/>
      <c r="I8187" s="478"/>
      <c r="J8187" s="96"/>
      <c r="K8187" s="96"/>
      <c r="L8187" s="107"/>
      <c r="M8187" s="107"/>
      <c r="N8187" s="107"/>
      <c r="O8187" s="107"/>
      <c r="P8187" s="109"/>
      <c r="Q8187" s="107"/>
      <c r="R8187" s="107"/>
      <c r="S8187" s="107"/>
      <c r="T8187" s="479"/>
      <c r="U8187" s="296"/>
      <c r="V8187" s="50"/>
      <c r="W8187" s="49"/>
      <c r="X8187" s="49"/>
      <c r="Y8187" s="35"/>
      <c r="Z8187" s="35"/>
      <c r="AA8187" s="35"/>
      <c r="AB8187" s="35"/>
      <c r="AC8187" s="35"/>
      <c r="AD8187" s="35"/>
      <c r="AE8187" s="35"/>
      <c r="AF8187" s="35"/>
      <c r="AG8187" s="35"/>
      <c r="AH8187" s="35"/>
      <c r="AI8187" s="35"/>
      <c r="AJ8187" s="35"/>
      <c r="AK8187" s="35"/>
      <c r="AL8187" s="35"/>
    </row>
    <row r="8188">
      <c r="A8188" s="457"/>
      <c r="B8188" s="475"/>
      <c r="C8188" s="476"/>
      <c r="D8188" s="477"/>
      <c r="E8188" s="96"/>
      <c r="F8188" s="96"/>
      <c r="G8188" s="325"/>
      <c r="H8188" s="96"/>
      <c r="I8188" s="478"/>
      <c r="J8188" s="96"/>
      <c r="K8188" s="96"/>
      <c r="L8188" s="107"/>
      <c r="M8188" s="107"/>
      <c r="N8188" s="107"/>
      <c r="O8188" s="107"/>
      <c r="P8188" s="109"/>
      <c r="Q8188" s="107"/>
      <c r="R8188" s="107"/>
      <c r="S8188" s="107"/>
      <c r="T8188" s="479"/>
      <c r="U8188" s="296"/>
      <c r="V8188" s="50"/>
      <c r="W8188" s="49"/>
      <c r="X8188" s="49"/>
      <c r="Y8188" s="35"/>
      <c r="Z8188" s="35"/>
      <c r="AA8188" s="35"/>
      <c r="AB8188" s="35"/>
      <c r="AC8188" s="35"/>
      <c r="AD8188" s="35"/>
      <c r="AE8188" s="35"/>
      <c r="AF8188" s="35"/>
      <c r="AG8188" s="35"/>
      <c r="AH8188" s="35"/>
      <c r="AI8188" s="35"/>
      <c r="AJ8188" s="35"/>
      <c r="AK8188" s="35"/>
      <c r="AL8188" s="35"/>
    </row>
    <row r="8189">
      <c r="A8189" s="457"/>
      <c r="B8189" s="475"/>
      <c r="C8189" s="476"/>
      <c r="D8189" s="477"/>
      <c r="E8189" s="96"/>
      <c r="F8189" s="96"/>
      <c r="G8189" s="325"/>
      <c r="H8189" s="96"/>
      <c r="I8189" s="478"/>
      <c r="J8189" s="96"/>
      <c r="K8189" s="96"/>
      <c r="L8189" s="107"/>
      <c r="M8189" s="107"/>
      <c r="N8189" s="107"/>
      <c r="O8189" s="107"/>
      <c r="P8189" s="109"/>
      <c r="Q8189" s="107"/>
      <c r="R8189" s="107"/>
      <c r="S8189" s="107"/>
      <c r="T8189" s="479"/>
      <c r="U8189" s="296"/>
      <c r="V8189" s="50"/>
      <c r="W8189" s="49"/>
      <c r="X8189" s="49"/>
      <c r="Y8189" s="35"/>
      <c r="Z8189" s="35"/>
      <c r="AA8189" s="35"/>
      <c r="AB8189" s="35"/>
      <c r="AC8189" s="35"/>
      <c r="AD8189" s="35"/>
      <c r="AE8189" s="35"/>
      <c r="AF8189" s="35"/>
      <c r="AG8189" s="35"/>
      <c r="AH8189" s="35"/>
      <c r="AI8189" s="35"/>
      <c r="AJ8189" s="35"/>
      <c r="AK8189" s="35"/>
      <c r="AL8189" s="35"/>
    </row>
    <row r="8190">
      <c r="A8190" s="457"/>
      <c r="B8190" s="475"/>
      <c r="C8190" s="476"/>
      <c r="D8190" s="477"/>
      <c r="E8190" s="96"/>
      <c r="F8190" s="96"/>
      <c r="G8190" s="325"/>
      <c r="H8190" s="96"/>
      <c r="I8190" s="478"/>
      <c r="J8190" s="96"/>
      <c r="K8190" s="96"/>
      <c r="L8190" s="107"/>
      <c r="M8190" s="107"/>
      <c r="N8190" s="107"/>
      <c r="O8190" s="107"/>
      <c r="P8190" s="109"/>
      <c r="Q8190" s="107"/>
      <c r="R8190" s="107"/>
      <c r="S8190" s="107"/>
      <c r="T8190" s="479"/>
      <c r="U8190" s="296"/>
      <c r="V8190" s="50"/>
      <c r="W8190" s="49"/>
      <c r="X8190" s="49"/>
      <c r="Y8190" s="35"/>
      <c r="Z8190" s="35"/>
      <c r="AA8190" s="35"/>
      <c r="AB8190" s="35"/>
      <c r="AC8190" s="35"/>
      <c r="AD8190" s="35"/>
      <c r="AE8190" s="35"/>
      <c r="AF8190" s="35"/>
      <c r="AG8190" s="35"/>
      <c r="AH8190" s="35"/>
      <c r="AI8190" s="35"/>
      <c r="AJ8190" s="35"/>
      <c r="AK8190" s="35"/>
      <c r="AL8190" s="35"/>
    </row>
    <row r="8191">
      <c r="A8191" s="457"/>
      <c r="B8191" s="475"/>
      <c r="C8191" s="476"/>
      <c r="D8191" s="477"/>
      <c r="E8191" s="96"/>
      <c r="F8191" s="96"/>
      <c r="G8191" s="325"/>
      <c r="H8191" s="96"/>
      <c r="I8191" s="478"/>
      <c r="J8191" s="96"/>
      <c r="K8191" s="96"/>
      <c r="L8191" s="107"/>
      <c r="M8191" s="107"/>
      <c r="N8191" s="107"/>
      <c r="O8191" s="107"/>
      <c r="P8191" s="109"/>
      <c r="Q8191" s="107"/>
      <c r="R8191" s="107"/>
      <c r="S8191" s="107"/>
      <c r="T8191" s="479"/>
      <c r="U8191" s="296"/>
      <c r="V8191" s="50"/>
      <c r="W8191" s="49"/>
      <c r="X8191" s="49"/>
      <c r="Y8191" s="35"/>
      <c r="Z8191" s="35"/>
      <c r="AA8191" s="35"/>
      <c r="AB8191" s="35"/>
      <c r="AC8191" s="35"/>
      <c r="AD8191" s="35"/>
      <c r="AE8191" s="35"/>
      <c r="AF8191" s="35"/>
      <c r="AG8191" s="35"/>
      <c r="AH8191" s="35"/>
      <c r="AI8191" s="35"/>
      <c r="AJ8191" s="35"/>
      <c r="AK8191" s="35"/>
      <c r="AL8191" s="35"/>
    </row>
    <row r="8192">
      <c r="A8192" s="457"/>
      <c r="B8192" s="475"/>
      <c r="C8192" s="476"/>
      <c r="D8192" s="477"/>
      <c r="E8192" s="96"/>
      <c r="F8192" s="96"/>
      <c r="G8192" s="325"/>
      <c r="H8192" s="96"/>
      <c r="I8192" s="478"/>
      <c r="J8192" s="96"/>
      <c r="K8192" s="96"/>
      <c r="L8192" s="107"/>
      <c r="M8192" s="107"/>
      <c r="N8192" s="107"/>
      <c r="O8192" s="107"/>
      <c r="P8192" s="109"/>
      <c r="Q8192" s="107"/>
      <c r="R8192" s="107"/>
      <c r="S8192" s="107"/>
      <c r="T8192" s="479"/>
      <c r="U8192" s="296"/>
      <c r="V8192" s="50"/>
      <c r="W8192" s="49"/>
      <c r="X8192" s="49"/>
      <c r="Y8192" s="35"/>
      <c r="Z8192" s="35"/>
      <c r="AA8192" s="35"/>
      <c r="AB8192" s="35"/>
      <c r="AC8192" s="35"/>
      <c r="AD8192" s="35"/>
      <c r="AE8192" s="35"/>
      <c r="AF8192" s="35"/>
      <c r="AG8192" s="35"/>
      <c r="AH8192" s="35"/>
      <c r="AI8192" s="35"/>
      <c r="AJ8192" s="35"/>
      <c r="AK8192" s="35"/>
      <c r="AL8192" s="35"/>
    </row>
    <row r="8193">
      <c r="A8193" s="457"/>
      <c r="B8193" s="475"/>
      <c r="C8193" s="476"/>
      <c r="D8193" s="477"/>
      <c r="E8193" s="96"/>
      <c r="F8193" s="96"/>
      <c r="G8193" s="325"/>
      <c r="H8193" s="96"/>
      <c r="I8193" s="478"/>
      <c r="J8193" s="96"/>
      <c r="K8193" s="96"/>
      <c r="L8193" s="107"/>
      <c r="M8193" s="107"/>
      <c r="N8193" s="107"/>
      <c r="O8193" s="107"/>
      <c r="P8193" s="109"/>
      <c r="Q8193" s="107"/>
      <c r="R8193" s="107"/>
      <c r="S8193" s="107"/>
      <c r="T8193" s="479"/>
      <c r="U8193" s="296"/>
      <c r="V8193" s="50"/>
      <c r="W8193" s="49"/>
      <c r="X8193" s="49"/>
      <c r="Y8193" s="35"/>
      <c r="Z8193" s="35"/>
      <c r="AA8193" s="35"/>
      <c r="AB8193" s="35"/>
      <c r="AC8193" s="35"/>
      <c r="AD8193" s="35"/>
      <c r="AE8193" s="35"/>
      <c r="AF8193" s="35"/>
      <c r="AG8193" s="35"/>
      <c r="AH8193" s="35"/>
      <c r="AI8193" s="35"/>
      <c r="AJ8193" s="35"/>
      <c r="AK8193" s="35"/>
      <c r="AL8193" s="35"/>
    </row>
    <row r="8194">
      <c r="A8194" s="457"/>
      <c r="B8194" s="475"/>
      <c r="C8194" s="476"/>
      <c r="D8194" s="477"/>
      <c r="E8194" s="96"/>
      <c r="F8194" s="96"/>
      <c r="G8194" s="325"/>
      <c r="H8194" s="96"/>
      <c r="I8194" s="478"/>
      <c r="J8194" s="96"/>
      <c r="K8194" s="96"/>
      <c r="L8194" s="107"/>
      <c r="M8194" s="107"/>
      <c r="N8194" s="107"/>
      <c r="O8194" s="107"/>
      <c r="P8194" s="109"/>
      <c r="Q8194" s="107"/>
      <c r="R8194" s="107"/>
      <c r="S8194" s="107"/>
      <c r="T8194" s="479"/>
      <c r="U8194" s="296"/>
      <c r="V8194" s="50"/>
      <c r="W8194" s="49"/>
      <c r="X8194" s="49"/>
      <c r="Y8194" s="35"/>
      <c r="Z8194" s="35"/>
      <c r="AA8194" s="35"/>
      <c r="AB8194" s="35"/>
      <c r="AC8194" s="35"/>
      <c r="AD8194" s="35"/>
      <c r="AE8194" s="35"/>
      <c r="AF8194" s="35"/>
      <c r="AG8194" s="35"/>
      <c r="AH8194" s="35"/>
      <c r="AI8194" s="35"/>
      <c r="AJ8194" s="35"/>
      <c r="AK8194" s="35"/>
      <c r="AL8194" s="35"/>
    </row>
    <row r="8195">
      <c r="A8195" s="457"/>
      <c r="B8195" s="475"/>
      <c r="C8195" s="476"/>
      <c r="D8195" s="477"/>
      <c r="E8195" s="96"/>
      <c r="F8195" s="96"/>
      <c r="G8195" s="325"/>
      <c r="H8195" s="96"/>
      <c r="I8195" s="478"/>
      <c r="J8195" s="96"/>
      <c r="K8195" s="96"/>
      <c r="L8195" s="107"/>
      <c r="M8195" s="107"/>
      <c r="N8195" s="107"/>
      <c r="O8195" s="107"/>
      <c r="P8195" s="109"/>
      <c r="Q8195" s="107"/>
      <c r="R8195" s="107"/>
      <c r="S8195" s="107"/>
      <c r="T8195" s="479"/>
      <c r="U8195" s="296"/>
      <c r="V8195" s="50"/>
      <c r="W8195" s="49"/>
      <c r="X8195" s="49"/>
      <c r="Y8195" s="35"/>
      <c r="Z8195" s="35"/>
      <c r="AA8195" s="35"/>
      <c r="AB8195" s="35"/>
      <c r="AC8195" s="35"/>
      <c r="AD8195" s="35"/>
      <c r="AE8195" s="35"/>
      <c r="AF8195" s="35"/>
      <c r="AG8195" s="35"/>
      <c r="AH8195" s="35"/>
      <c r="AI8195" s="35"/>
      <c r="AJ8195" s="35"/>
      <c r="AK8195" s="35"/>
      <c r="AL8195" s="35"/>
    </row>
    <row r="8196">
      <c r="A8196" s="457"/>
      <c r="B8196" s="475"/>
      <c r="C8196" s="476"/>
      <c r="D8196" s="477"/>
      <c r="E8196" s="96"/>
      <c r="F8196" s="96"/>
      <c r="G8196" s="325"/>
      <c r="H8196" s="96"/>
      <c r="I8196" s="478"/>
      <c r="J8196" s="96"/>
      <c r="K8196" s="96"/>
      <c r="L8196" s="107"/>
      <c r="M8196" s="107"/>
      <c r="N8196" s="107"/>
      <c r="O8196" s="107"/>
      <c r="P8196" s="109"/>
      <c r="Q8196" s="107"/>
      <c r="R8196" s="107"/>
      <c r="S8196" s="107"/>
      <c r="T8196" s="479"/>
      <c r="U8196" s="296"/>
      <c r="V8196" s="50"/>
      <c r="W8196" s="49"/>
      <c r="X8196" s="49"/>
      <c r="Y8196" s="35"/>
      <c r="Z8196" s="35"/>
      <c r="AA8196" s="35"/>
      <c r="AB8196" s="35"/>
      <c r="AC8196" s="35"/>
      <c r="AD8196" s="35"/>
      <c r="AE8196" s="35"/>
      <c r="AF8196" s="35"/>
      <c r="AG8196" s="35"/>
      <c r="AH8196" s="35"/>
      <c r="AI8196" s="35"/>
      <c r="AJ8196" s="35"/>
      <c r="AK8196" s="35"/>
      <c r="AL8196" s="35"/>
    </row>
    <row r="8197">
      <c r="A8197" s="457"/>
      <c r="B8197" s="475"/>
      <c r="C8197" s="476"/>
      <c r="D8197" s="477"/>
      <c r="E8197" s="96"/>
      <c r="F8197" s="96"/>
      <c r="G8197" s="325"/>
      <c r="H8197" s="96"/>
      <c r="I8197" s="478"/>
      <c r="J8197" s="96"/>
      <c r="K8197" s="96"/>
      <c r="L8197" s="107"/>
      <c r="M8197" s="107"/>
      <c r="N8197" s="107"/>
      <c r="O8197" s="107"/>
      <c r="P8197" s="109"/>
      <c r="Q8197" s="107"/>
      <c r="R8197" s="107"/>
      <c r="S8197" s="107"/>
      <c r="T8197" s="479"/>
      <c r="U8197" s="296"/>
      <c r="V8197" s="50"/>
      <c r="W8197" s="49"/>
      <c r="X8197" s="49"/>
      <c r="Y8197" s="35"/>
      <c r="Z8197" s="35"/>
      <c r="AA8197" s="35"/>
      <c r="AB8197" s="35"/>
      <c r="AC8197" s="35"/>
      <c r="AD8197" s="35"/>
      <c r="AE8197" s="35"/>
      <c r="AF8197" s="35"/>
      <c r="AG8197" s="35"/>
      <c r="AH8197" s="35"/>
      <c r="AI8197" s="35"/>
      <c r="AJ8197" s="35"/>
      <c r="AK8197" s="35"/>
      <c r="AL8197" s="35"/>
    </row>
    <row r="8198">
      <c r="A8198" s="457"/>
      <c r="B8198" s="475"/>
      <c r="C8198" s="476"/>
      <c r="D8198" s="477"/>
      <c r="E8198" s="96"/>
      <c r="F8198" s="96"/>
      <c r="G8198" s="325"/>
      <c r="H8198" s="96"/>
      <c r="I8198" s="478"/>
      <c r="J8198" s="96"/>
      <c r="K8198" s="96"/>
      <c r="L8198" s="107"/>
      <c r="M8198" s="107"/>
      <c r="N8198" s="107"/>
      <c r="O8198" s="107"/>
      <c r="P8198" s="109"/>
      <c r="Q8198" s="107"/>
      <c r="R8198" s="107"/>
      <c r="S8198" s="107"/>
      <c r="T8198" s="479"/>
      <c r="U8198" s="296"/>
      <c r="V8198" s="50"/>
      <c r="W8198" s="49"/>
      <c r="X8198" s="49"/>
      <c r="Y8198" s="35"/>
      <c r="Z8198" s="35"/>
      <c r="AA8198" s="35"/>
      <c r="AB8198" s="35"/>
      <c r="AC8198" s="35"/>
      <c r="AD8198" s="35"/>
      <c r="AE8198" s="35"/>
      <c r="AF8198" s="35"/>
      <c r="AG8198" s="35"/>
      <c r="AH8198" s="35"/>
      <c r="AI8198" s="35"/>
      <c r="AJ8198" s="35"/>
      <c r="AK8198" s="35"/>
      <c r="AL8198" s="35"/>
    </row>
    <row r="8199">
      <c r="A8199" s="457"/>
      <c r="B8199" s="475"/>
      <c r="C8199" s="476"/>
      <c r="D8199" s="477"/>
      <c r="E8199" s="96"/>
      <c r="F8199" s="96"/>
      <c r="G8199" s="325"/>
      <c r="H8199" s="96"/>
      <c r="I8199" s="478"/>
      <c r="J8199" s="96"/>
      <c r="K8199" s="96"/>
      <c r="L8199" s="107"/>
      <c r="M8199" s="107"/>
      <c r="N8199" s="107"/>
      <c r="O8199" s="107"/>
      <c r="P8199" s="109"/>
      <c r="Q8199" s="107"/>
      <c r="R8199" s="107"/>
      <c r="S8199" s="107"/>
      <c r="T8199" s="479"/>
      <c r="U8199" s="296"/>
      <c r="V8199" s="50"/>
      <c r="W8199" s="49"/>
      <c r="X8199" s="49"/>
      <c r="Y8199" s="35"/>
      <c r="Z8199" s="35"/>
      <c r="AA8199" s="35"/>
      <c r="AB8199" s="35"/>
      <c r="AC8199" s="35"/>
      <c r="AD8199" s="35"/>
      <c r="AE8199" s="35"/>
      <c r="AF8199" s="35"/>
      <c r="AG8199" s="35"/>
      <c r="AH8199" s="35"/>
      <c r="AI8199" s="35"/>
      <c r="AJ8199" s="35"/>
      <c r="AK8199" s="35"/>
      <c r="AL8199" s="35"/>
    </row>
    <row r="8200">
      <c r="A8200" s="457"/>
      <c r="B8200" s="475"/>
      <c r="C8200" s="476"/>
      <c r="D8200" s="477"/>
      <c r="E8200" s="96"/>
      <c r="F8200" s="96"/>
      <c r="G8200" s="325"/>
      <c r="H8200" s="96"/>
      <c r="I8200" s="478"/>
      <c r="J8200" s="96"/>
      <c r="K8200" s="96"/>
      <c r="L8200" s="107"/>
      <c r="M8200" s="107"/>
      <c r="N8200" s="107"/>
      <c r="O8200" s="107"/>
      <c r="P8200" s="109"/>
      <c r="Q8200" s="107"/>
      <c r="R8200" s="107"/>
      <c r="S8200" s="107"/>
      <c r="T8200" s="479"/>
      <c r="U8200" s="296"/>
      <c r="V8200" s="50"/>
      <c r="W8200" s="49"/>
      <c r="X8200" s="49"/>
      <c r="Y8200" s="35"/>
      <c r="Z8200" s="35"/>
      <c r="AA8200" s="35"/>
      <c r="AB8200" s="35"/>
      <c r="AC8200" s="35"/>
      <c r="AD8200" s="35"/>
      <c r="AE8200" s="35"/>
      <c r="AF8200" s="35"/>
      <c r="AG8200" s="35"/>
      <c r="AH8200" s="35"/>
      <c r="AI8200" s="35"/>
      <c r="AJ8200" s="35"/>
      <c r="AK8200" s="35"/>
      <c r="AL8200" s="35"/>
    </row>
    <row r="8201">
      <c r="A8201" s="457"/>
      <c r="B8201" s="475"/>
      <c r="C8201" s="476"/>
      <c r="D8201" s="477"/>
      <c r="E8201" s="96"/>
      <c r="F8201" s="96"/>
      <c r="G8201" s="325"/>
      <c r="H8201" s="96"/>
      <c r="I8201" s="478"/>
      <c r="J8201" s="96"/>
      <c r="K8201" s="96"/>
      <c r="L8201" s="107"/>
      <c r="M8201" s="107"/>
      <c r="N8201" s="107"/>
      <c r="O8201" s="107"/>
      <c r="P8201" s="109"/>
      <c r="Q8201" s="107"/>
      <c r="R8201" s="107"/>
      <c r="S8201" s="107"/>
      <c r="T8201" s="479"/>
      <c r="U8201" s="296"/>
      <c r="V8201" s="50"/>
      <c r="W8201" s="49"/>
      <c r="X8201" s="49"/>
      <c r="Y8201" s="35"/>
      <c r="Z8201" s="35"/>
      <c r="AA8201" s="35"/>
      <c r="AB8201" s="35"/>
      <c r="AC8201" s="35"/>
      <c r="AD8201" s="35"/>
      <c r="AE8201" s="35"/>
      <c r="AF8201" s="35"/>
      <c r="AG8201" s="35"/>
      <c r="AH8201" s="35"/>
      <c r="AI8201" s="35"/>
      <c r="AJ8201" s="35"/>
      <c r="AK8201" s="35"/>
      <c r="AL8201" s="35"/>
    </row>
    <row r="8202">
      <c r="A8202" s="457"/>
      <c r="B8202" s="475"/>
      <c r="C8202" s="476"/>
      <c r="D8202" s="477"/>
      <c r="E8202" s="96"/>
      <c r="F8202" s="96"/>
      <c r="G8202" s="325"/>
      <c r="H8202" s="96"/>
      <c r="I8202" s="478"/>
      <c r="J8202" s="96"/>
      <c r="K8202" s="96"/>
      <c r="L8202" s="107"/>
      <c r="M8202" s="107"/>
      <c r="N8202" s="107"/>
      <c r="O8202" s="107"/>
      <c r="P8202" s="109"/>
      <c r="Q8202" s="107"/>
      <c r="R8202" s="107"/>
      <c r="S8202" s="107"/>
      <c r="T8202" s="479"/>
      <c r="U8202" s="296"/>
      <c r="V8202" s="50"/>
      <c r="W8202" s="49"/>
      <c r="X8202" s="49"/>
      <c r="Y8202" s="35"/>
      <c r="Z8202" s="35"/>
      <c r="AA8202" s="35"/>
      <c r="AB8202" s="35"/>
      <c r="AC8202" s="35"/>
      <c r="AD8202" s="35"/>
      <c r="AE8202" s="35"/>
      <c r="AF8202" s="35"/>
      <c r="AG8202" s="35"/>
      <c r="AH8202" s="35"/>
      <c r="AI8202" s="35"/>
      <c r="AJ8202" s="35"/>
      <c r="AK8202" s="35"/>
      <c r="AL8202" s="35"/>
    </row>
    <row r="8203">
      <c r="A8203" s="457"/>
      <c r="B8203" s="475"/>
      <c r="C8203" s="476"/>
      <c r="D8203" s="477"/>
      <c r="E8203" s="96"/>
      <c r="F8203" s="96"/>
      <c r="G8203" s="325"/>
      <c r="H8203" s="96"/>
      <c r="I8203" s="478"/>
      <c r="J8203" s="96"/>
      <c r="K8203" s="96"/>
      <c r="L8203" s="107"/>
      <c r="M8203" s="107"/>
      <c r="N8203" s="107"/>
      <c r="O8203" s="107"/>
      <c r="P8203" s="109"/>
      <c r="Q8203" s="107"/>
      <c r="R8203" s="107"/>
      <c r="S8203" s="107"/>
      <c r="T8203" s="479"/>
      <c r="U8203" s="296"/>
      <c r="V8203" s="50"/>
      <c r="W8203" s="49"/>
      <c r="X8203" s="49"/>
      <c r="Y8203" s="35"/>
      <c r="Z8203" s="35"/>
      <c r="AA8203" s="35"/>
      <c r="AB8203" s="35"/>
      <c r="AC8203" s="35"/>
      <c r="AD8203" s="35"/>
      <c r="AE8203" s="35"/>
      <c r="AF8203" s="35"/>
      <c r="AG8203" s="35"/>
      <c r="AH8203" s="35"/>
      <c r="AI8203" s="35"/>
      <c r="AJ8203" s="35"/>
      <c r="AK8203" s="35"/>
      <c r="AL8203" s="35"/>
    </row>
    <row r="8204">
      <c r="A8204" s="457"/>
      <c r="B8204" s="475"/>
      <c r="C8204" s="476"/>
      <c r="D8204" s="477"/>
      <c r="E8204" s="96"/>
      <c r="F8204" s="96"/>
      <c r="G8204" s="325"/>
      <c r="H8204" s="96"/>
      <c r="I8204" s="478"/>
      <c r="J8204" s="96"/>
      <c r="K8204" s="96"/>
      <c r="L8204" s="107"/>
      <c r="M8204" s="107"/>
      <c r="N8204" s="107"/>
      <c r="O8204" s="107"/>
      <c r="P8204" s="109"/>
      <c r="Q8204" s="107"/>
      <c r="R8204" s="107"/>
      <c r="S8204" s="107"/>
      <c r="T8204" s="479"/>
      <c r="U8204" s="296"/>
      <c r="V8204" s="50"/>
      <c r="W8204" s="49"/>
      <c r="X8204" s="49"/>
      <c r="Y8204" s="35"/>
      <c r="Z8204" s="35"/>
      <c r="AA8204" s="35"/>
      <c r="AB8204" s="35"/>
      <c r="AC8204" s="35"/>
      <c r="AD8204" s="35"/>
      <c r="AE8204" s="35"/>
      <c r="AF8204" s="35"/>
      <c r="AG8204" s="35"/>
      <c r="AH8204" s="35"/>
      <c r="AI8204" s="35"/>
      <c r="AJ8204" s="35"/>
      <c r="AK8204" s="35"/>
      <c r="AL8204" s="35"/>
    </row>
    <row r="8205">
      <c r="A8205" s="457"/>
      <c r="B8205" s="475"/>
      <c r="C8205" s="476"/>
      <c r="D8205" s="477"/>
      <c r="E8205" s="96"/>
      <c r="F8205" s="96"/>
      <c r="G8205" s="325"/>
      <c r="H8205" s="96"/>
      <c r="I8205" s="478"/>
      <c r="J8205" s="96"/>
      <c r="K8205" s="96"/>
      <c r="L8205" s="107"/>
      <c r="M8205" s="107"/>
      <c r="N8205" s="107"/>
      <c r="O8205" s="107"/>
      <c r="P8205" s="109"/>
      <c r="Q8205" s="107"/>
      <c r="R8205" s="107"/>
      <c r="S8205" s="107"/>
      <c r="T8205" s="479"/>
      <c r="U8205" s="296"/>
      <c r="V8205" s="50"/>
      <c r="W8205" s="49"/>
      <c r="X8205" s="49"/>
      <c r="Y8205" s="35"/>
      <c r="Z8205" s="35"/>
      <c r="AA8205" s="35"/>
      <c r="AB8205" s="35"/>
      <c r="AC8205" s="35"/>
      <c r="AD8205" s="35"/>
      <c r="AE8205" s="35"/>
      <c r="AF8205" s="35"/>
      <c r="AG8205" s="35"/>
      <c r="AH8205" s="35"/>
      <c r="AI8205" s="35"/>
      <c r="AJ8205" s="35"/>
      <c r="AK8205" s="35"/>
      <c r="AL8205" s="35"/>
    </row>
    <row r="8206">
      <c r="A8206" s="457"/>
      <c r="B8206" s="475"/>
      <c r="C8206" s="476"/>
      <c r="D8206" s="477"/>
      <c r="E8206" s="96"/>
      <c r="F8206" s="96"/>
      <c r="G8206" s="325"/>
      <c r="H8206" s="96"/>
      <c r="I8206" s="478"/>
      <c r="J8206" s="96"/>
      <c r="K8206" s="96"/>
      <c r="L8206" s="107"/>
      <c r="M8206" s="107"/>
      <c r="N8206" s="107"/>
      <c r="O8206" s="107"/>
      <c r="P8206" s="109"/>
      <c r="Q8206" s="107"/>
      <c r="R8206" s="107"/>
      <c r="S8206" s="107"/>
      <c r="T8206" s="479"/>
      <c r="U8206" s="296"/>
      <c r="V8206" s="50"/>
      <c r="W8206" s="49"/>
      <c r="X8206" s="49"/>
      <c r="Y8206" s="35"/>
      <c r="Z8206" s="35"/>
      <c r="AA8206" s="35"/>
      <c r="AB8206" s="35"/>
      <c r="AC8206" s="35"/>
      <c r="AD8206" s="35"/>
      <c r="AE8206" s="35"/>
      <c r="AF8206" s="35"/>
      <c r="AG8206" s="35"/>
      <c r="AH8206" s="35"/>
      <c r="AI8206" s="35"/>
      <c r="AJ8206" s="35"/>
      <c r="AK8206" s="35"/>
      <c r="AL8206" s="35"/>
    </row>
    <row r="8207">
      <c r="A8207" s="457"/>
      <c r="B8207" s="475"/>
      <c r="C8207" s="476"/>
      <c r="D8207" s="477"/>
      <c r="E8207" s="96"/>
      <c r="F8207" s="96"/>
      <c r="G8207" s="325"/>
      <c r="H8207" s="96"/>
      <c r="I8207" s="478"/>
      <c r="J8207" s="96"/>
      <c r="K8207" s="96"/>
      <c r="L8207" s="107"/>
      <c r="M8207" s="107"/>
      <c r="N8207" s="107"/>
      <c r="O8207" s="107"/>
      <c r="P8207" s="109"/>
      <c r="Q8207" s="107"/>
      <c r="R8207" s="107"/>
      <c r="S8207" s="107"/>
      <c r="T8207" s="479"/>
      <c r="U8207" s="296"/>
      <c r="V8207" s="50"/>
      <c r="W8207" s="49"/>
      <c r="X8207" s="49"/>
      <c r="Y8207" s="35"/>
      <c r="Z8207" s="35"/>
      <c r="AA8207" s="35"/>
      <c r="AB8207" s="35"/>
      <c r="AC8207" s="35"/>
      <c r="AD8207" s="35"/>
      <c r="AE8207" s="35"/>
      <c r="AF8207" s="35"/>
      <c r="AG8207" s="35"/>
      <c r="AH8207" s="35"/>
      <c r="AI8207" s="35"/>
      <c r="AJ8207" s="35"/>
      <c r="AK8207" s="35"/>
      <c r="AL8207" s="35"/>
    </row>
    <row r="8208">
      <c r="A8208" s="457"/>
      <c r="B8208" s="475"/>
      <c r="C8208" s="476"/>
      <c r="D8208" s="477"/>
      <c r="E8208" s="96"/>
      <c r="F8208" s="96"/>
      <c r="G8208" s="325"/>
      <c r="H8208" s="96"/>
      <c r="I8208" s="478"/>
      <c r="J8208" s="96"/>
      <c r="K8208" s="96"/>
      <c r="L8208" s="107"/>
      <c r="M8208" s="107"/>
      <c r="N8208" s="107"/>
      <c r="O8208" s="107"/>
      <c r="P8208" s="109"/>
      <c r="Q8208" s="107"/>
      <c r="R8208" s="107"/>
      <c r="S8208" s="107"/>
      <c r="T8208" s="479"/>
      <c r="U8208" s="296"/>
      <c r="V8208" s="50"/>
      <c r="W8208" s="49"/>
      <c r="X8208" s="49"/>
      <c r="Y8208" s="35"/>
      <c r="Z8208" s="35"/>
      <c r="AA8208" s="35"/>
      <c r="AB8208" s="35"/>
      <c r="AC8208" s="35"/>
      <c r="AD8208" s="35"/>
      <c r="AE8208" s="35"/>
      <c r="AF8208" s="35"/>
      <c r="AG8208" s="35"/>
      <c r="AH8208" s="35"/>
      <c r="AI8208" s="35"/>
      <c r="AJ8208" s="35"/>
      <c r="AK8208" s="35"/>
      <c r="AL8208" s="35"/>
    </row>
    <row r="8209">
      <c r="A8209" s="457"/>
      <c r="B8209" s="475"/>
      <c r="C8209" s="476"/>
      <c r="D8209" s="477"/>
      <c r="E8209" s="96"/>
      <c r="F8209" s="96"/>
      <c r="G8209" s="325"/>
      <c r="H8209" s="96"/>
      <c r="I8209" s="478"/>
      <c r="J8209" s="96"/>
      <c r="K8209" s="96"/>
      <c r="L8209" s="107"/>
      <c r="M8209" s="107"/>
      <c r="N8209" s="107"/>
      <c r="O8209" s="107"/>
      <c r="P8209" s="109"/>
      <c r="Q8209" s="107"/>
      <c r="R8209" s="107"/>
      <c r="S8209" s="107"/>
      <c r="T8209" s="479"/>
      <c r="U8209" s="296"/>
      <c r="V8209" s="50"/>
      <c r="W8209" s="49"/>
      <c r="X8209" s="49"/>
      <c r="Y8209" s="35"/>
      <c r="Z8209" s="35"/>
      <c r="AA8209" s="35"/>
      <c r="AB8209" s="35"/>
      <c r="AC8209" s="35"/>
      <c r="AD8209" s="35"/>
      <c r="AE8209" s="35"/>
      <c r="AF8209" s="35"/>
      <c r="AG8209" s="35"/>
      <c r="AH8209" s="35"/>
      <c r="AI8209" s="35"/>
      <c r="AJ8209" s="35"/>
      <c r="AK8209" s="35"/>
      <c r="AL8209" s="35"/>
    </row>
    <row r="8210">
      <c r="A8210" s="457"/>
      <c r="B8210" s="475"/>
      <c r="C8210" s="476"/>
      <c r="D8210" s="477"/>
      <c r="E8210" s="96"/>
      <c r="F8210" s="96"/>
      <c r="G8210" s="325"/>
      <c r="H8210" s="96"/>
      <c r="I8210" s="478"/>
      <c r="J8210" s="96"/>
      <c r="K8210" s="96"/>
      <c r="L8210" s="107"/>
      <c r="M8210" s="107"/>
      <c r="N8210" s="107"/>
      <c r="O8210" s="107"/>
      <c r="P8210" s="109"/>
      <c r="Q8210" s="107"/>
      <c r="R8210" s="107"/>
      <c r="S8210" s="107"/>
      <c r="T8210" s="479"/>
      <c r="U8210" s="296"/>
      <c r="V8210" s="50"/>
      <c r="W8210" s="49"/>
      <c r="X8210" s="49"/>
      <c r="Y8210" s="35"/>
      <c r="Z8210" s="35"/>
      <c r="AA8210" s="35"/>
      <c r="AB8210" s="35"/>
      <c r="AC8210" s="35"/>
      <c r="AD8210" s="35"/>
      <c r="AE8210" s="35"/>
      <c r="AF8210" s="35"/>
      <c r="AG8210" s="35"/>
      <c r="AH8210" s="35"/>
      <c r="AI8210" s="35"/>
      <c r="AJ8210" s="35"/>
      <c r="AK8210" s="35"/>
      <c r="AL8210" s="35"/>
    </row>
    <row r="8211">
      <c r="A8211" s="457"/>
      <c r="B8211" s="475"/>
      <c r="C8211" s="476"/>
      <c r="D8211" s="477"/>
      <c r="E8211" s="96"/>
      <c r="F8211" s="96"/>
      <c r="G8211" s="325"/>
      <c r="H8211" s="96"/>
      <c r="I8211" s="478"/>
      <c r="J8211" s="96"/>
      <c r="K8211" s="96"/>
      <c r="L8211" s="107"/>
      <c r="M8211" s="107"/>
      <c r="N8211" s="107"/>
      <c r="O8211" s="107"/>
      <c r="P8211" s="109"/>
      <c r="Q8211" s="107"/>
      <c r="R8211" s="107"/>
      <c r="S8211" s="107"/>
      <c r="T8211" s="479"/>
      <c r="U8211" s="296"/>
      <c r="V8211" s="50"/>
      <c r="W8211" s="49"/>
      <c r="X8211" s="49"/>
      <c r="Y8211" s="35"/>
      <c r="Z8211" s="35"/>
      <c r="AA8211" s="35"/>
      <c r="AB8211" s="35"/>
      <c r="AC8211" s="35"/>
      <c r="AD8211" s="35"/>
      <c r="AE8211" s="35"/>
      <c r="AF8211" s="35"/>
      <c r="AG8211" s="35"/>
      <c r="AH8211" s="35"/>
      <c r="AI8211" s="35"/>
      <c r="AJ8211" s="35"/>
      <c r="AK8211" s="35"/>
      <c r="AL8211" s="35"/>
    </row>
    <row r="8212">
      <c r="A8212" s="457"/>
      <c r="B8212" s="475"/>
      <c r="C8212" s="476"/>
      <c r="D8212" s="477"/>
      <c r="E8212" s="96"/>
      <c r="F8212" s="96"/>
      <c r="G8212" s="325"/>
      <c r="H8212" s="96"/>
      <c r="I8212" s="478"/>
      <c r="J8212" s="96"/>
      <c r="K8212" s="96"/>
      <c r="L8212" s="107"/>
      <c r="M8212" s="107"/>
      <c r="N8212" s="107"/>
      <c r="O8212" s="107"/>
      <c r="P8212" s="109"/>
      <c r="Q8212" s="107"/>
      <c r="R8212" s="107"/>
      <c r="S8212" s="107"/>
      <c r="T8212" s="479"/>
      <c r="U8212" s="296"/>
      <c r="V8212" s="50"/>
      <c r="W8212" s="49"/>
      <c r="X8212" s="49"/>
      <c r="Y8212" s="35"/>
      <c r="Z8212" s="35"/>
      <c r="AA8212" s="35"/>
      <c r="AB8212" s="35"/>
      <c r="AC8212" s="35"/>
      <c r="AD8212" s="35"/>
      <c r="AE8212" s="35"/>
      <c r="AF8212" s="35"/>
      <c r="AG8212" s="35"/>
      <c r="AH8212" s="35"/>
      <c r="AI8212" s="35"/>
      <c r="AJ8212" s="35"/>
      <c r="AK8212" s="35"/>
      <c r="AL8212" s="35"/>
    </row>
    <row r="8213">
      <c r="A8213" s="457"/>
      <c r="B8213" s="475"/>
      <c r="C8213" s="476"/>
      <c r="D8213" s="477"/>
      <c r="E8213" s="96"/>
      <c r="F8213" s="96"/>
      <c r="G8213" s="325"/>
      <c r="H8213" s="96"/>
      <c r="I8213" s="478"/>
      <c r="J8213" s="96"/>
      <c r="K8213" s="96"/>
      <c r="L8213" s="107"/>
      <c r="M8213" s="107"/>
      <c r="N8213" s="107"/>
      <c r="O8213" s="107"/>
      <c r="P8213" s="109"/>
      <c r="Q8213" s="107"/>
      <c r="R8213" s="107"/>
      <c r="S8213" s="107"/>
      <c r="T8213" s="479"/>
      <c r="U8213" s="296"/>
      <c r="V8213" s="50"/>
      <c r="W8213" s="49"/>
      <c r="X8213" s="49"/>
      <c r="Y8213" s="35"/>
      <c r="Z8213" s="35"/>
      <c r="AA8213" s="35"/>
      <c r="AB8213" s="35"/>
      <c r="AC8213" s="35"/>
      <c r="AD8213" s="35"/>
      <c r="AE8213" s="35"/>
      <c r="AF8213" s="35"/>
      <c r="AG8213" s="35"/>
      <c r="AH8213" s="35"/>
      <c r="AI8213" s="35"/>
      <c r="AJ8213" s="35"/>
      <c r="AK8213" s="35"/>
      <c r="AL8213" s="35"/>
    </row>
    <row r="8214">
      <c r="A8214" s="457"/>
      <c r="B8214" s="475"/>
      <c r="C8214" s="476"/>
      <c r="D8214" s="477"/>
      <c r="E8214" s="96"/>
      <c r="F8214" s="96"/>
      <c r="G8214" s="325"/>
      <c r="H8214" s="96"/>
      <c r="I8214" s="478"/>
      <c r="J8214" s="96"/>
      <c r="K8214" s="96"/>
      <c r="L8214" s="107"/>
      <c r="M8214" s="107"/>
      <c r="N8214" s="107"/>
      <c r="O8214" s="107"/>
      <c r="P8214" s="109"/>
      <c r="Q8214" s="107"/>
      <c r="R8214" s="107"/>
      <c r="S8214" s="107"/>
      <c r="T8214" s="479"/>
      <c r="U8214" s="296"/>
      <c r="V8214" s="50"/>
      <c r="W8214" s="49"/>
      <c r="X8214" s="49"/>
      <c r="Y8214" s="35"/>
      <c r="Z8214" s="35"/>
      <c r="AA8214" s="35"/>
      <c r="AB8214" s="35"/>
      <c r="AC8214" s="35"/>
      <c r="AD8214" s="35"/>
      <c r="AE8214" s="35"/>
      <c r="AF8214" s="35"/>
      <c r="AG8214" s="35"/>
      <c r="AH8214" s="35"/>
      <c r="AI8214" s="35"/>
      <c r="AJ8214" s="35"/>
      <c r="AK8214" s="35"/>
      <c r="AL8214" s="35"/>
    </row>
    <row r="8215">
      <c r="A8215" s="457"/>
      <c r="B8215" s="475"/>
      <c r="C8215" s="476"/>
      <c r="D8215" s="477"/>
      <c r="E8215" s="96"/>
      <c r="F8215" s="96"/>
      <c r="G8215" s="325"/>
      <c r="H8215" s="96"/>
      <c r="I8215" s="478"/>
      <c r="J8215" s="96"/>
      <c r="K8215" s="96"/>
      <c r="L8215" s="107"/>
      <c r="M8215" s="107"/>
      <c r="N8215" s="107"/>
      <c r="O8215" s="107"/>
      <c r="P8215" s="109"/>
      <c r="Q8215" s="107"/>
      <c r="R8215" s="107"/>
      <c r="S8215" s="107"/>
      <c r="T8215" s="479"/>
      <c r="U8215" s="296"/>
      <c r="V8215" s="50"/>
      <c r="W8215" s="49"/>
      <c r="X8215" s="49"/>
      <c r="Y8215" s="35"/>
      <c r="Z8215" s="35"/>
      <c r="AA8215" s="35"/>
      <c r="AB8215" s="35"/>
      <c r="AC8215" s="35"/>
      <c r="AD8215" s="35"/>
      <c r="AE8215" s="35"/>
      <c r="AF8215" s="35"/>
      <c r="AG8215" s="35"/>
      <c r="AH8215" s="35"/>
      <c r="AI8215" s="35"/>
      <c r="AJ8215" s="35"/>
      <c r="AK8215" s="35"/>
      <c r="AL8215" s="35"/>
    </row>
    <row r="8216">
      <c r="A8216" s="457"/>
      <c r="B8216" s="475"/>
      <c r="C8216" s="476"/>
      <c r="D8216" s="477"/>
      <c r="E8216" s="96"/>
      <c r="F8216" s="96"/>
      <c r="G8216" s="325"/>
      <c r="H8216" s="96"/>
      <c r="I8216" s="478"/>
      <c r="J8216" s="96"/>
      <c r="K8216" s="96"/>
      <c r="L8216" s="107"/>
      <c r="M8216" s="107"/>
      <c r="N8216" s="107"/>
      <c r="O8216" s="107"/>
      <c r="P8216" s="109"/>
      <c r="Q8216" s="107"/>
      <c r="R8216" s="107"/>
      <c r="S8216" s="107"/>
      <c r="T8216" s="479"/>
      <c r="U8216" s="296"/>
      <c r="V8216" s="50"/>
      <c r="W8216" s="49"/>
      <c r="X8216" s="49"/>
      <c r="Y8216" s="35"/>
      <c r="Z8216" s="35"/>
      <c r="AA8216" s="35"/>
      <c r="AB8216" s="35"/>
      <c r="AC8216" s="35"/>
      <c r="AD8216" s="35"/>
      <c r="AE8216" s="35"/>
      <c r="AF8216" s="35"/>
      <c r="AG8216" s="35"/>
      <c r="AH8216" s="35"/>
      <c r="AI8216" s="35"/>
      <c r="AJ8216" s="35"/>
      <c r="AK8216" s="35"/>
      <c r="AL8216" s="35"/>
    </row>
    <row r="8217">
      <c r="A8217" s="457"/>
      <c r="B8217" s="475"/>
      <c r="C8217" s="476"/>
      <c r="D8217" s="477"/>
      <c r="E8217" s="96"/>
      <c r="F8217" s="96"/>
      <c r="G8217" s="325"/>
      <c r="H8217" s="96"/>
      <c r="I8217" s="478"/>
      <c r="J8217" s="96"/>
      <c r="K8217" s="96"/>
      <c r="L8217" s="107"/>
      <c r="M8217" s="107"/>
      <c r="N8217" s="107"/>
      <c r="O8217" s="107"/>
      <c r="P8217" s="109"/>
      <c r="Q8217" s="107"/>
      <c r="R8217" s="107"/>
      <c r="S8217" s="107"/>
      <c r="T8217" s="479"/>
      <c r="U8217" s="296"/>
      <c r="V8217" s="50"/>
      <c r="W8217" s="49"/>
      <c r="X8217" s="49"/>
      <c r="Y8217" s="35"/>
      <c r="Z8217" s="35"/>
      <c r="AA8217" s="35"/>
      <c r="AB8217" s="35"/>
      <c r="AC8217" s="35"/>
      <c r="AD8217" s="35"/>
      <c r="AE8217" s="35"/>
      <c r="AF8217" s="35"/>
      <c r="AG8217" s="35"/>
      <c r="AH8217" s="35"/>
      <c r="AI8217" s="35"/>
      <c r="AJ8217" s="35"/>
      <c r="AK8217" s="35"/>
      <c r="AL8217" s="35"/>
    </row>
    <row r="8218">
      <c r="A8218" s="457"/>
      <c r="B8218" s="475"/>
      <c r="C8218" s="476"/>
      <c r="D8218" s="477"/>
      <c r="E8218" s="96"/>
      <c r="F8218" s="96"/>
      <c r="G8218" s="325"/>
      <c r="H8218" s="96"/>
      <c r="I8218" s="478"/>
      <c r="J8218" s="96"/>
      <c r="K8218" s="96"/>
      <c r="L8218" s="107"/>
      <c r="M8218" s="107"/>
      <c r="N8218" s="107"/>
      <c r="O8218" s="107"/>
      <c r="P8218" s="109"/>
      <c r="Q8218" s="107"/>
      <c r="R8218" s="107"/>
      <c r="S8218" s="107"/>
      <c r="T8218" s="479"/>
      <c r="U8218" s="296"/>
      <c r="V8218" s="50"/>
      <c r="W8218" s="49"/>
      <c r="X8218" s="49"/>
      <c r="Y8218" s="35"/>
      <c r="Z8218" s="35"/>
      <c r="AA8218" s="35"/>
      <c r="AB8218" s="35"/>
      <c r="AC8218" s="35"/>
      <c r="AD8218" s="35"/>
      <c r="AE8218" s="35"/>
      <c r="AF8218" s="35"/>
      <c r="AG8218" s="35"/>
      <c r="AH8218" s="35"/>
      <c r="AI8218" s="35"/>
      <c r="AJ8218" s="35"/>
      <c r="AK8218" s="35"/>
      <c r="AL8218" s="35"/>
    </row>
    <row r="8219">
      <c r="A8219" s="457"/>
      <c r="B8219" s="475"/>
      <c r="C8219" s="476"/>
      <c r="D8219" s="477"/>
      <c r="E8219" s="96"/>
      <c r="F8219" s="96"/>
      <c r="G8219" s="325"/>
      <c r="H8219" s="96"/>
      <c r="I8219" s="478"/>
      <c r="J8219" s="96"/>
      <c r="K8219" s="96"/>
      <c r="L8219" s="107"/>
      <c r="M8219" s="107"/>
      <c r="N8219" s="107"/>
      <c r="O8219" s="107"/>
      <c r="P8219" s="109"/>
      <c r="Q8219" s="107"/>
      <c r="R8219" s="107"/>
      <c r="S8219" s="107"/>
      <c r="T8219" s="479"/>
      <c r="U8219" s="296"/>
      <c r="V8219" s="50"/>
      <c r="W8219" s="49"/>
      <c r="X8219" s="49"/>
      <c r="Y8219" s="35"/>
      <c r="Z8219" s="35"/>
      <c r="AA8219" s="35"/>
      <c r="AB8219" s="35"/>
      <c r="AC8219" s="35"/>
      <c r="AD8219" s="35"/>
      <c r="AE8219" s="35"/>
      <c r="AF8219" s="35"/>
      <c r="AG8219" s="35"/>
      <c r="AH8219" s="35"/>
      <c r="AI8219" s="35"/>
      <c r="AJ8219" s="35"/>
      <c r="AK8219" s="35"/>
      <c r="AL8219" s="35"/>
    </row>
    <row r="8220">
      <c r="A8220" s="457"/>
      <c r="B8220" s="475"/>
      <c r="C8220" s="476"/>
      <c r="D8220" s="477"/>
      <c r="E8220" s="96"/>
      <c r="F8220" s="96"/>
      <c r="G8220" s="325"/>
      <c r="H8220" s="96"/>
      <c r="I8220" s="478"/>
      <c r="J8220" s="96"/>
      <c r="K8220" s="96"/>
      <c r="L8220" s="107"/>
      <c r="M8220" s="107"/>
      <c r="N8220" s="107"/>
      <c r="O8220" s="107"/>
      <c r="P8220" s="109"/>
      <c r="Q8220" s="107"/>
      <c r="R8220" s="107"/>
      <c r="S8220" s="107"/>
      <c r="T8220" s="479"/>
      <c r="U8220" s="296"/>
      <c r="V8220" s="50"/>
      <c r="W8220" s="49"/>
      <c r="X8220" s="49"/>
      <c r="Y8220" s="35"/>
      <c r="Z8220" s="35"/>
      <c r="AA8220" s="35"/>
      <c r="AB8220" s="35"/>
      <c r="AC8220" s="35"/>
      <c r="AD8220" s="35"/>
      <c r="AE8220" s="35"/>
      <c r="AF8220" s="35"/>
      <c r="AG8220" s="35"/>
      <c r="AH8220" s="35"/>
      <c r="AI8220" s="35"/>
      <c r="AJ8220" s="35"/>
      <c r="AK8220" s="35"/>
      <c r="AL8220" s="35"/>
    </row>
    <row r="8221">
      <c r="A8221" s="457"/>
      <c r="B8221" s="475"/>
      <c r="C8221" s="476"/>
      <c r="D8221" s="477"/>
      <c r="E8221" s="96"/>
      <c r="F8221" s="96"/>
      <c r="G8221" s="325"/>
      <c r="H8221" s="96"/>
      <c r="I8221" s="478"/>
      <c r="J8221" s="96"/>
      <c r="K8221" s="96"/>
      <c r="L8221" s="107"/>
      <c r="M8221" s="107"/>
      <c r="N8221" s="107"/>
      <c r="O8221" s="107"/>
      <c r="P8221" s="109"/>
      <c r="Q8221" s="107"/>
      <c r="R8221" s="107"/>
      <c r="S8221" s="107"/>
      <c r="T8221" s="479"/>
      <c r="U8221" s="296"/>
      <c r="V8221" s="50"/>
      <c r="W8221" s="49"/>
      <c r="X8221" s="49"/>
      <c r="Y8221" s="35"/>
      <c r="Z8221" s="35"/>
      <c r="AA8221" s="35"/>
      <c r="AB8221" s="35"/>
      <c r="AC8221" s="35"/>
      <c r="AD8221" s="35"/>
      <c r="AE8221" s="35"/>
      <c r="AF8221" s="35"/>
      <c r="AG8221" s="35"/>
      <c r="AH8221" s="35"/>
      <c r="AI8221" s="35"/>
      <c r="AJ8221" s="35"/>
      <c r="AK8221" s="35"/>
      <c r="AL8221" s="35"/>
    </row>
    <row r="8222">
      <c r="A8222" s="457"/>
      <c r="B8222" s="475"/>
      <c r="C8222" s="476"/>
      <c r="D8222" s="477"/>
      <c r="E8222" s="96"/>
      <c r="F8222" s="96"/>
      <c r="G8222" s="325"/>
      <c r="H8222" s="96"/>
      <c r="I8222" s="478"/>
      <c r="J8222" s="96"/>
      <c r="K8222" s="96"/>
      <c r="L8222" s="107"/>
      <c r="M8222" s="107"/>
      <c r="N8222" s="107"/>
      <c r="O8222" s="107"/>
      <c r="P8222" s="109"/>
      <c r="Q8222" s="107"/>
      <c r="R8222" s="107"/>
      <c r="S8222" s="107"/>
      <c r="T8222" s="479"/>
      <c r="U8222" s="296"/>
      <c r="V8222" s="50"/>
      <c r="W8222" s="49"/>
      <c r="X8222" s="49"/>
      <c r="Y8222" s="35"/>
      <c r="Z8222" s="35"/>
      <c r="AA8222" s="35"/>
      <c r="AB8222" s="35"/>
      <c r="AC8222" s="35"/>
      <c r="AD8222" s="35"/>
      <c r="AE8222" s="35"/>
      <c r="AF8222" s="35"/>
      <c r="AG8222" s="35"/>
      <c r="AH8222" s="35"/>
      <c r="AI8222" s="35"/>
      <c r="AJ8222" s="35"/>
      <c r="AK8222" s="35"/>
      <c r="AL8222" s="35"/>
    </row>
    <row r="8223">
      <c r="A8223" s="457"/>
      <c r="B8223" s="475"/>
      <c r="C8223" s="476"/>
      <c r="D8223" s="477"/>
      <c r="E8223" s="96"/>
      <c r="F8223" s="96"/>
      <c r="G8223" s="325"/>
      <c r="H8223" s="96"/>
      <c r="I8223" s="478"/>
      <c r="J8223" s="96"/>
      <c r="K8223" s="96"/>
      <c r="L8223" s="107"/>
      <c r="M8223" s="107"/>
      <c r="N8223" s="107"/>
      <c r="O8223" s="107"/>
      <c r="P8223" s="109"/>
      <c r="Q8223" s="107"/>
      <c r="R8223" s="107"/>
      <c r="S8223" s="107"/>
      <c r="T8223" s="479"/>
      <c r="U8223" s="296"/>
      <c r="V8223" s="50"/>
      <c r="W8223" s="49"/>
      <c r="X8223" s="49"/>
      <c r="Y8223" s="35"/>
      <c r="Z8223" s="35"/>
      <c r="AA8223" s="35"/>
      <c r="AB8223" s="35"/>
      <c r="AC8223" s="35"/>
      <c r="AD8223" s="35"/>
      <c r="AE8223" s="35"/>
      <c r="AF8223" s="35"/>
      <c r="AG8223" s="35"/>
      <c r="AH8223" s="35"/>
      <c r="AI8223" s="35"/>
      <c r="AJ8223" s="35"/>
      <c r="AK8223" s="35"/>
      <c r="AL8223" s="35"/>
    </row>
    <row r="8224">
      <c r="A8224" s="457"/>
      <c r="B8224" s="475"/>
      <c r="C8224" s="476"/>
      <c r="D8224" s="477"/>
      <c r="E8224" s="96"/>
      <c r="F8224" s="96"/>
      <c r="G8224" s="325"/>
      <c r="H8224" s="96"/>
      <c r="I8224" s="478"/>
      <c r="J8224" s="96"/>
      <c r="K8224" s="96"/>
      <c r="L8224" s="107"/>
      <c r="M8224" s="107"/>
      <c r="N8224" s="107"/>
      <c r="O8224" s="107"/>
      <c r="P8224" s="109"/>
      <c r="Q8224" s="107"/>
      <c r="R8224" s="107"/>
      <c r="S8224" s="107"/>
      <c r="T8224" s="479"/>
      <c r="U8224" s="296"/>
      <c r="V8224" s="50"/>
      <c r="W8224" s="49"/>
      <c r="X8224" s="49"/>
      <c r="Y8224" s="35"/>
      <c r="Z8224" s="35"/>
      <c r="AA8224" s="35"/>
      <c r="AB8224" s="35"/>
      <c r="AC8224" s="35"/>
      <c r="AD8224" s="35"/>
      <c r="AE8224" s="35"/>
      <c r="AF8224" s="35"/>
      <c r="AG8224" s="35"/>
      <c r="AH8224" s="35"/>
      <c r="AI8224" s="35"/>
      <c r="AJ8224" s="35"/>
      <c r="AK8224" s="35"/>
      <c r="AL8224" s="35"/>
    </row>
    <row r="8225">
      <c r="A8225" s="457"/>
      <c r="B8225" s="475"/>
      <c r="C8225" s="476"/>
      <c r="D8225" s="477"/>
      <c r="E8225" s="96"/>
      <c r="F8225" s="96"/>
      <c r="G8225" s="325"/>
      <c r="H8225" s="96"/>
      <c r="I8225" s="478"/>
      <c r="J8225" s="96"/>
      <c r="K8225" s="96"/>
      <c r="L8225" s="107"/>
      <c r="M8225" s="107"/>
      <c r="N8225" s="107"/>
      <c r="O8225" s="107"/>
      <c r="P8225" s="109"/>
      <c r="Q8225" s="107"/>
      <c r="R8225" s="107"/>
      <c r="S8225" s="107"/>
      <c r="T8225" s="479"/>
      <c r="U8225" s="296"/>
      <c r="V8225" s="50"/>
      <c r="W8225" s="49"/>
      <c r="X8225" s="49"/>
      <c r="Y8225" s="35"/>
      <c r="Z8225" s="35"/>
      <c r="AA8225" s="35"/>
      <c r="AB8225" s="35"/>
      <c r="AC8225" s="35"/>
      <c r="AD8225" s="35"/>
      <c r="AE8225" s="35"/>
      <c r="AF8225" s="35"/>
      <c r="AG8225" s="35"/>
      <c r="AH8225" s="35"/>
      <c r="AI8225" s="35"/>
      <c r="AJ8225" s="35"/>
      <c r="AK8225" s="35"/>
      <c r="AL8225" s="35"/>
    </row>
    <row r="8226">
      <c r="A8226" s="457"/>
      <c r="B8226" s="475"/>
      <c r="C8226" s="476"/>
      <c r="D8226" s="477"/>
      <c r="E8226" s="96"/>
      <c r="F8226" s="96"/>
      <c r="G8226" s="325"/>
      <c r="H8226" s="96"/>
      <c r="I8226" s="478"/>
      <c r="J8226" s="96"/>
      <c r="K8226" s="96"/>
      <c r="L8226" s="107"/>
      <c r="M8226" s="107"/>
      <c r="N8226" s="107"/>
      <c r="O8226" s="107"/>
      <c r="P8226" s="109"/>
      <c r="Q8226" s="107"/>
      <c r="R8226" s="107"/>
      <c r="S8226" s="107"/>
      <c r="T8226" s="479"/>
      <c r="U8226" s="296"/>
      <c r="V8226" s="50"/>
      <c r="W8226" s="49"/>
      <c r="X8226" s="49"/>
      <c r="Y8226" s="35"/>
      <c r="Z8226" s="35"/>
      <c r="AA8226" s="35"/>
      <c r="AB8226" s="35"/>
      <c r="AC8226" s="35"/>
      <c r="AD8226" s="35"/>
      <c r="AE8226" s="35"/>
      <c r="AF8226" s="35"/>
      <c r="AG8226" s="35"/>
      <c r="AH8226" s="35"/>
      <c r="AI8226" s="35"/>
      <c r="AJ8226" s="35"/>
      <c r="AK8226" s="35"/>
      <c r="AL8226" s="35"/>
    </row>
    <row r="8227">
      <c r="A8227" s="457"/>
      <c r="B8227" s="475"/>
      <c r="C8227" s="476"/>
      <c r="D8227" s="477"/>
      <c r="E8227" s="96"/>
      <c r="F8227" s="96"/>
      <c r="G8227" s="325"/>
      <c r="H8227" s="96"/>
      <c r="I8227" s="478"/>
      <c r="J8227" s="96"/>
      <c r="K8227" s="96"/>
      <c r="L8227" s="107"/>
      <c r="M8227" s="107"/>
      <c r="N8227" s="107"/>
      <c r="O8227" s="107"/>
      <c r="P8227" s="109"/>
      <c r="Q8227" s="107"/>
      <c r="R8227" s="107"/>
      <c r="S8227" s="107"/>
      <c r="T8227" s="479"/>
      <c r="U8227" s="296"/>
      <c r="V8227" s="50"/>
      <c r="W8227" s="49"/>
      <c r="X8227" s="49"/>
      <c r="Y8227" s="35"/>
      <c r="Z8227" s="35"/>
      <c r="AA8227" s="35"/>
      <c r="AB8227" s="35"/>
      <c r="AC8227" s="35"/>
      <c r="AD8227" s="35"/>
      <c r="AE8227" s="35"/>
      <c r="AF8227" s="35"/>
      <c r="AG8227" s="35"/>
      <c r="AH8227" s="35"/>
      <c r="AI8227" s="35"/>
      <c r="AJ8227" s="35"/>
      <c r="AK8227" s="35"/>
      <c r="AL8227" s="35"/>
    </row>
    <row r="8228">
      <c r="A8228" s="457"/>
      <c r="B8228" s="475"/>
      <c r="C8228" s="476"/>
      <c r="D8228" s="477"/>
      <c r="E8228" s="96"/>
      <c r="F8228" s="96"/>
      <c r="G8228" s="325"/>
      <c r="H8228" s="96"/>
      <c r="I8228" s="478"/>
      <c r="J8228" s="96"/>
      <c r="K8228" s="96"/>
      <c r="L8228" s="107"/>
      <c r="M8228" s="107"/>
      <c r="N8228" s="107"/>
      <c r="O8228" s="107"/>
      <c r="P8228" s="109"/>
      <c r="Q8228" s="107"/>
      <c r="R8228" s="107"/>
      <c r="S8228" s="107"/>
      <c r="T8228" s="479"/>
      <c r="U8228" s="296"/>
      <c r="V8228" s="50"/>
      <c r="W8228" s="49"/>
      <c r="X8228" s="49"/>
      <c r="Y8228" s="35"/>
      <c r="Z8228" s="35"/>
      <c r="AA8228" s="35"/>
      <c r="AB8228" s="35"/>
      <c r="AC8228" s="35"/>
      <c r="AD8228" s="35"/>
      <c r="AE8228" s="35"/>
      <c r="AF8228" s="35"/>
      <c r="AG8228" s="35"/>
      <c r="AH8228" s="35"/>
      <c r="AI8228" s="35"/>
      <c r="AJ8228" s="35"/>
      <c r="AK8228" s="35"/>
      <c r="AL8228" s="35"/>
    </row>
    <row r="8229">
      <c r="A8229" s="457"/>
      <c r="B8229" s="475"/>
      <c r="C8229" s="476"/>
      <c r="D8229" s="477"/>
      <c r="E8229" s="96"/>
      <c r="F8229" s="96"/>
      <c r="G8229" s="325"/>
      <c r="H8229" s="96"/>
      <c r="I8229" s="478"/>
      <c r="J8229" s="96"/>
      <c r="K8229" s="96"/>
      <c r="L8229" s="107"/>
      <c r="M8229" s="107"/>
      <c r="N8229" s="107"/>
      <c r="O8229" s="107"/>
      <c r="P8229" s="109"/>
      <c r="Q8229" s="107"/>
      <c r="R8229" s="107"/>
      <c r="S8229" s="107"/>
      <c r="T8229" s="479"/>
      <c r="U8229" s="296"/>
      <c r="V8229" s="50"/>
      <c r="W8229" s="49"/>
      <c r="X8229" s="49"/>
      <c r="Y8229" s="35"/>
      <c r="Z8229" s="35"/>
      <c r="AA8229" s="35"/>
      <c r="AB8229" s="35"/>
      <c r="AC8229" s="35"/>
      <c r="AD8229" s="35"/>
      <c r="AE8229" s="35"/>
      <c r="AF8229" s="35"/>
      <c r="AG8229" s="35"/>
      <c r="AH8229" s="35"/>
      <c r="AI8229" s="35"/>
      <c r="AJ8229" s="35"/>
      <c r="AK8229" s="35"/>
      <c r="AL8229" s="35"/>
    </row>
    <row r="8230">
      <c r="A8230" s="457"/>
      <c r="B8230" s="475"/>
      <c r="C8230" s="476"/>
      <c r="D8230" s="477"/>
      <c r="E8230" s="96"/>
      <c r="F8230" s="96"/>
      <c r="G8230" s="325"/>
      <c r="H8230" s="96"/>
      <c r="I8230" s="478"/>
      <c r="J8230" s="96"/>
      <c r="K8230" s="96"/>
      <c r="L8230" s="107"/>
      <c r="M8230" s="107"/>
      <c r="N8230" s="107"/>
      <c r="O8230" s="107"/>
      <c r="P8230" s="109"/>
      <c r="Q8230" s="107"/>
      <c r="R8230" s="107"/>
      <c r="S8230" s="107"/>
      <c r="T8230" s="479"/>
      <c r="U8230" s="296"/>
      <c r="V8230" s="50"/>
      <c r="W8230" s="49"/>
      <c r="X8230" s="49"/>
      <c r="Y8230" s="35"/>
      <c r="Z8230" s="35"/>
      <c r="AA8230" s="35"/>
      <c r="AB8230" s="35"/>
      <c r="AC8230" s="35"/>
      <c r="AD8230" s="35"/>
      <c r="AE8230" s="35"/>
      <c r="AF8230" s="35"/>
      <c r="AG8230" s="35"/>
      <c r="AH8230" s="35"/>
      <c r="AI8230" s="35"/>
      <c r="AJ8230" s="35"/>
      <c r="AK8230" s="35"/>
      <c r="AL8230" s="35"/>
    </row>
    <row r="8231">
      <c r="A8231" s="457"/>
      <c r="B8231" s="475"/>
      <c r="C8231" s="476"/>
      <c r="D8231" s="477"/>
      <c r="E8231" s="96"/>
      <c r="F8231" s="96"/>
      <c r="G8231" s="325"/>
      <c r="H8231" s="96"/>
      <c r="I8231" s="478"/>
      <c r="J8231" s="96"/>
      <c r="K8231" s="96"/>
      <c r="L8231" s="107"/>
      <c r="M8231" s="107"/>
      <c r="N8231" s="107"/>
      <c r="O8231" s="107"/>
      <c r="P8231" s="109"/>
      <c r="Q8231" s="107"/>
      <c r="R8231" s="107"/>
      <c r="S8231" s="107"/>
      <c r="T8231" s="479"/>
      <c r="U8231" s="296"/>
      <c r="V8231" s="50"/>
      <c r="W8231" s="49"/>
      <c r="X8231" s="49"/>
      <c r="Y8231" s="35"/>
      <c r="Z8231" s="35"/>
      <c r="AA8231" s="35"/>
      <c r="AB8231" s="35"/>
      <c r="AC8231" s="35"/>
      <c r="AD8231" s="35"/>
      <c r="AE8231" s="35"/>
      <c r="AF8231" s="35"/>
      <c r="AG8231" s="35"/>
      <c r="AH8231" s="35"/>
      <c r="AI8231" s="35"/>
      <c r="AJ8231" s="35"/>
      <c r="AK8231" s="35"/>
      <c r="AL8231" s="35"/>
    </row>
    <row r="8232">
      <c r="A8232" s="457"/>
      <c r="B8232" s="475"/>
      <c r="C8232" s="476"/>
      <c r="D8232" s="477"/>
      <c r="E8232" s="96"/>
      <c r="F8232" s="96"/>
      <c r="G8232" s="325"/>
      <c r="H8232" s="96"/>
      <c r="I8232" s="478"/>
      <c r="J8232" s="96"/>
      <c r="K8232" s="96"/>
      <c r="L8232" s="107"/>
      <c r="M8232" s="107"/>
      <c r="N8232" s="107"/>
      <c r="O8232" s="107"/>
      <c r="P8232" s="109"/>
      <c r="Q8232" s="107"/>
      <c r="R8232" s="107"/>
      <c r="S8232" s="107"/>
      <c r="T8232" s="479"/>
      <c r="U8232" s="296"/>
      <c r="V8232" s="50"/>
      <c r="W8232" s="49"/>
      <c r="X8232" s="49"/>
      <c r="Y8232" s="35"/>
      <c r="Z8232" s="35"/>
      <c r="AA8232" s="35"/>
      <c r="AB8232" s="35"/>
      <c r="AC8232" s="35"/>
      <c r="AD8232" s="35"/>
      <c r="AE8232" s="35"/>
      <c r="AF8232" s="35"/>
      <c r="AG8232" s="35"/>
      <c r="AH8232" s="35"/>
      <c r="AI8232" s="35"/>
      <c r="AJ8232" s="35"/>
      <c r="AK8232" s="35"/>
      <c r="AL8232" s="35"/>
    </row>
    <row r="8233">
      <c r="A8233" s="457"/>
      <c r="B8233" s="475"/>
      <c r="C8233" s="476"/>
      <c r="D8233" s="477"/>
      <c r="E8233" s="96"/>
      <c r="F8233" s="96"/>
      <c r="G8233" s="325"/>
      <c r="H8233" s="96"/>
      <c r="I8233" s="478"/>
      <c r="J8233" s="96"/>
      <c r="K8233" s="96"/>
      <c r="L8233" s="107"/>
      <c r="M8233" s="107"/>
      <c r="N8233" s="107"/>
      <c r="O8233" s="107"/>
      <c r="P8233" s="109"/>
      <c r="Q8233" s="107"/>
      <c r="R8233" s="107"/>
      <c r="S8233" s="107"/>
      <c r="T8233" s="479"/>
      <c r="U8233" s="296"/>
      <c r="V8233" s="50"/>
      <c r="W8233" s="49"/>
      <c r="X8233" s="49"/>
      <c r="Y8233" s="35"/>
      <c r="Z8233" s="35"/>
      <c r="AA8233" s="35"/>
      <c r="AB8233" s="35"/>
      <c r="AC8233" s="35"/>
      <c r="AD8233" s="35"/>
      <c r="AE8233" s="35"/>
      <c r="AF8233" s="35"/>
      <c r="AG8233" s="35"/>
      <c r="AH8233" s="35"/>
      <c r="AI8233" s="35"/>
      <c r="AJ8233" s="35"/>
      <c r="AK8233" s="35"/>
      <c r="AL8233" s="35"/>
    </row>
    <row r="8234">
      <c r="A8234" s="457"/>
      <c r="B8234" s="475"/>
      <c r="C8234" s="476"/>
      <c r="D8234" s="477"/>
      <c r="E8234" s="96"/>
      <c r="F8234" s="96"/>
      <c r="G8234" s="325"/>
      <c r="H8234" s="96"/>
      <c r="I8234" s="478"/>
      <c r="J8234" s="96"/>
      <c r="K8234" s="96"/>
      <c r="L8234" s="107"/>
      <c r="M8234" s="107"/>
      <c r="N8234" s="107"/>
      <c r="O8234" s="107"/>
      <c r="P8234" s="109"/>
      <c r="Q8234" s="107"/>
      <c r="R8234" s="107"/>
      <c r="S8234" s="107"/>
      <c r="T8234" s="479"/>
      <c r="U8234" s="296"/>
      <c r="V8234" s="50"/>
      <c r="W8234" s="49"/>
      <c r="X8234" s="49"/>
      <c r="Y8234" s="35"/>
      <c r="Z8234" s="35"/>
      <c r="AA8234" s="35"/>
      <c r="AB8234" s="35"/>
      <c r="AC8234" s="35"/>
      <c r="AD8234" s="35"/>
      <c r="AE8234" s="35"/>
      <c r="AF8234" s="35"/>
      <c r="AG8234" s="35"/>
      <c r="AH8234" s="35"/>
      <c r="AI8234" s="35"/>
      <c r="AJ8234" s="35"/>
      <c r="AK8234" s="35"/>
      <c r="AL8234" s="35"/>
    </row>
    <row r="8235">
      <c r="A8235" s="457"/>
      <c r="B8235" s="475"/>
      <c r="C8235" s="476"/>
      <c r="D8235" s="477"/>
      <c r="E8235" s="96"/>
      <c r="F8235" s="96"/>
      <c r="G8235" s="325"/>
      <c r="H8235" s="96"/>
      <c r="I8235" s="478"/>
      <c r="J8235" s="96"/>
      <c r="K8235" s="96"/>
      <c r="L8235" s="107"/>
      <c r="M8235" s="107"/>
      <c r="N8235" s="107"/>
      <c r="O8235" s="107"/>
      <c r="P8235" s="109"/>
      <c r="Q8235" s="107"/>
      <c r="R8235" s="107"/>
      <c r="S8235" s="107"/>
      <c r="T8235" s="479"/>
      <c r="U8235" s="296"/>
      <c r="V8235" s="50"/>
      <c r="W8235" s="49"/>
      <c r="X8235" s="49"/>
      <c r="Y8235" s="35"/>
      <c r="Z8235" s="35"/>
      <c r="AA8235" s="35"/>
      <c r="AB8235" s="35"/>
      <c r="AC8235" s="35"/>
      <c r="AD8235" s="35"/>
      <c r="AE8235" s="35"/>
      <c r="AF8235" s="35"/>
      <c r="AG8235" s="35"/>
      <c r="AH8235" s="35"/>
      <c r="AI8235" s="35"/>
      <c r="AJ8235" s="35"/>
      <c r="AK8235" s="35"/>
      <c r="AL8235" s="35"/>
    </row>
    <row r="8236">
      <c r="A8236" s="457"/>
      <c r="B8236" s="475"/>
      <c r="C8236" s="476"/>
      <c r="D8236" s="477"/>
      <c r="E8236" s="96"/>
      <c r="F8236" s="96"/>
      <c r="G8236" s="325"/>
      <c r="H8236" s="96"/>
      <c r="I8236" s="478"/>
      <c r="J8236" s="96"/>
      <c r="K8236" s="96"/>
      <c r="L8236" s="107"/>
      <c r="M8236" s="107"/>
      <c r="N8236" s="107"/>
      <c r="O8236" s="107"/>
      <c r="P8236" s="109"/>
      <c r="Q8236" s="107"/>
      <c r="R8236" s="107"/>
      <c r="S8236" s="107"/>
      <c r="T8236" s="479"/>
      <c r="U8236" s="296"/>
      <c r="V8236" s="50"/>
      <c r="W8236" s="49"/>
      <c r="X8236" s="49"/>
      <c r="Y8236" s="35"/>
      <c r="Z8236" s="35"/>
      <c r="AA8236" s="35"/>
      <c r="AB8236" s="35"/>
      <c r="AC8236" s="35"/>
      <c r="AD8236" s="35"/>
      <c r="AE8236" s="35"/>
      <c r="AF8236" s="35"/>
      <c r="AG8236" s="35"/>
      <c r="AH8236" s="35"/>
      <c r="AI8236" s="35"/>
      <c r="AJ8236" s="35"/>
      <c r="AK8236" s="35"/>
      <c r="AL8236" s="35"/>
    </row>
    <row r="8237">
      <c r="A8237" s="457"/>
      <c r="B8237" s="475"/>
      <c r="C8237" s="476"/>
      <c r="D8237" s="477"/>
      <c r="E8237" s="96"/>
      <c r="F8237" s="96"/>
      <c r="G8237" s="325"/>
      <c r="H8237" s="96"/>
      <c r="I8237" s="478"/>
      <c r="J8237" s="96"/>
      <c r="K8237" s="96"/>
      <c r="L8237" s="107"/>
      <c r="M8237" s="107"/>
      <c r="N8237" s="107"/>
      <c r="O8237" s="107"/>
      <c r="P8237" s="109"/>
      <c r="Q8237" s="107"/>
      <c r="R8237" s="107"/>
      <c r="S8237" s="107"/>
      <c r="T8237" s="479"/>
      <c r="U8237" s="296"/>
      <c r="V8237" s="50"/>
      <c r="W8237" s="49"/>
      <c r="X8237" s="49"/>
      <c r="Y8237" s="35"/>
      <c r="Z8237" s="35"/>
      <c r="AA8237" s="35"/>
      <c r="AB8237" s="35"/>
      <c r="AC8237" s="35"/>
      <c r="AD8237" s="35"/>
      <c r="AE8237" s="35"/>
      <c r="AF8237" s="35"/>
      <c r="AG8237" s="35"/>
      <c r="AH8237" s="35"/>
      <c r="AI8237" s="35"/>
      <c r="AJ8237" s="35"/>
      <c r="AK8237" s="35"/>
      <c r="AL8237" s="35"/>
    </row>
    <row r="8238">
      <c r="A8238" s="457"/>
      <c r="B8238" s="475"/>
      <c r="C8238" s="476"/>
      <c r="D8238" s="477"/>
      <c r="E8238" s="96"/>
      <c r="F8238" s="96"/>
      <c r="G8238" s="325"/>
      <c r="H8238" s="96"/>
      <c r="I8238" s="478"/>
      <c r="J8238" s="96"/>
      <c r="K8238" s="96"/>
      <c r="L8238" s="107"/>
      <c r="M8238" s="107"/>
      <c r="N8238" s="107"/>
      <c r="O8238" s="107"/>
      <c r="P8238" s="109"/>
      <c r="Q8238" s="107"/>
      <c r="R8238" s="107"/>
      <c r="S8238" s="107"/>
      <c r="T8238" s="479"/>
      <c r="U8238" s="296"/>
      <c r="V8238" s="50"/>
      <c r="W8238" s="49"/>
      <c r="X8238" s="49"/>
      <c r="Y8238" s="35"/>
      <c r="Z8238" s="35"/>
      <c r="AA8238" s="35"/>
      <c r="AB8238" s="35"/>
      <c r="AC8238" s="35"/>
      <c r="AD8238" s="35"/>
      <c r="AE8238" s="35"/>
      <c r="AF8238" s="35"/>
      <c r="AG8238" s="35"/>
      <c r="AH8238" s="35"/>
      <c r="AI8238" s="35"/>
      <c r="AJ8238" s="35"/>
      <c r="AK8238" s="35"/>
      <c r="AL8238" s="35"/>
    </row>
    <row r="8239">
      <c r="A8239" s="457"/>
      <c r="B8239" s="475"/>
      <c r="C8239" s="476"/>
      <c r="D8239" s="477"/>
      <c r="E8239" s="96"/>
      <c r="F8239" s="96"/>
      <c r="G8239" s="325"/>
      <c r="H8239" s="96"/>
      <c r="I8239" s="478"/>
      <c r="J8239" s="96"/>
      <c r="K8239" s="96"/>
      <c r="L8239" s="107"/>
      <c r="M8239" s="107"/>
      <c r="N8239" s="107"/>
      <c r="O8239" s="107"/>
      <c r="P8239" s="109"/>
      <c r="Q8239" s="107"/>
      <c r="R8239" s="107"/>
      <c r="S8239" s="107"/>
      <c r="T8239" s="479"/>
      <c r="U8239" s="296"/>
      <c r="V8239" s="50"/>
      <c r="W8239" s="49"/>
      <c r="X8239" s="49"/>
      <c r="Y8239" s="35"/>
      <c r="Z8239" s="35"/>
      <c r="AA8239" s="35"/>
      <c r="AB8239" s="35"/>
      <c r="AC8239" s="35"/>
      <c r="AD8239" s="35"/>
      <c r="AE8239" s="35"/>
      <c r="AF8239" s="35"/>
      <c r="AG8239" s="35"/>
      <c r="AH8239" s="35"/>
      <c r="AI8239" s="35"/>
      <c r="AJ8239" s="35"/>
      <c r="AK8239" s="35"/>
      <c r="AL8239" s="35"/>
    </row>
    <row r="8240">
      <c r="A8240" s="457"/>
      <c r="B8240" s="475"/>
      <c r="C8240" s="476"/>
      <c r="D8240" s="477"/>
      <c r="E8240" s="96"/>
      <c r="F8240" s="96"/>
      <c r="G8240" s="325"/>
      <c r="H8240" s="96"/>
      <c r="I8240" s="478"/>
      <c r="J8240" s="96"/>
      <c r="K8240" s="96"/>
      <c r="L8240" s="107"/>
      <c r="M8240" s="107"/>
      <c r="N8240" s="107"/>
      <c r="O8240" s="107"/>
      <c r="P8240" s="109"/>
      <c r="Q8240" s="107"/>
      <c r="R8240" s="107"/>
      <c r="S8240" s="107"/>
      <c r="T8240" s="479"/>
      <c r="U8240" s="296"/>
      <c r="V8240" s="50"/>
      <c r="W8240" s="49"/>
      <c r="X8240" s="49"/>
      <c r="Y8240" s="35"/>
      <c r="Z8240" s="35"/>
      <c r="AA8240" s="35"/>
      <c r="AB8240" s="35"/>
      <c r="AC8240" s="35"/>
      <c r="AD8240" s="35"/>
      <c r="AE8240" s="35"/>
      <c r="AF8240" s="35"/>
      <c r="AG8240" s="35"/>
      <c r="AH8240" s="35"/>
      <c r="AI8240" s="35"/>
      <c r="AJ8240" s="35"/>
      <c r="AK8240" s="35"/>
      <c r="AL8240" s="35"/>
    </row>
    <row r="8241">
      <c r="A8241" s="457"/>
      <c r="B8241" s="475"/>
      <c r="C8241" s="476"/>
      <c r="D8241" s="477"/>
      <c r="E8241" s="96"/>
      <c r="F8241" s="96"/>
      <c r="G8241" s="325"/>
      <c r="H8241" s="96"/>
      <c r="I8241" s="478"/>
      <c r="J8241" s="96"/>
      <c r="K8241" s="96"/>
      <c r="L8241" s="107"/>
      <c r="M8241" s="107"/>
      <c r="N8241" s="107"/>
      <c r="O8241" s="107"/>
      <c r="P8241" s="109"/>
      <c r="Q8241" s="107"/>
      <c r="R8241" s="107"/>
      <c r="S8241" s="107"/>
      <c r="T8241" s="479"/>
      <c r="U8241" s="296"/>
      <c r="V8241" s="50"/>
      <c r="W8241" s="49"/>
      <c r="X8241" s="49"/>
      <c r="Y8241" s="35"/>
      <c r="Z8241" s="35"/>
      <c r="AA8241" s="35"/>
      <c r="AB8241" s="35"/>
      <c r="AC8241" s="35"/>
      <c r="AD8241" s="35"/>
      <c r="AE8241" s="35"/>
      <c r="AF8241" s="35"/>
      <c r="AG8241" s="35"/>
      <c r="AH8241" s="35"/>
      <c r="AI8241" s="35"/>
      <c r="AJ8241" s="35"/>
      <c r="AK8241" s="35"/>
      <c r="AL8241" s="35"/>
    </row>
    <row r="8242">
      <c r="A8242" s="457"/>
      <c r="B8242" s="475"/>
      <c r="C8242" s="476"/>
      <c r="D8242" s="477"/>
      <c r="E8242" s="96"/>
      <c r="F8242" s="96"/>
      <c r="G8242" s="325"/>
      <c r="H8242" s="96"/>
      <c r="I8242" s="478"/>
      <c r="J8242" s="96"/>
      <c r="K8242" s="96"/>
      <c r="L8242" s="107"/>
      <c r="M8242" s="107"/>
      <c r="N8242" s="107"/>
      <c r="O8242" s="107"/>
      <c r="P8242" s="109"/>
      <c r="Q8242" s="107"/>
      <c r="R8242" s="107"/>
      <c r="S8242" s="107"/>
      <c r="T8242" s="479"/>
      <c r="U8242" s="296"/>
      <c r="V8242" s="50"/>
      <c r="W8242" s="49"/>
      <c r="X8242" s="49"/>
      <c r="Y8242" s="35"/>
      <c r="Z8242" s="35"/>
      <c r="AA8242" s="35"/>
      <c r="AB8242" s="35"/>
      <c r="AC8242" s="35"/>
      <c r="AD8242" s="35"/>
      <c r="AE8242" s="35"/>
      <c r="AF8242" s="35"/>
      <c r="AG8242" s="35"/>
      <c r="AH8242" s="35"/>
      <c r="AI8242" s="35"/>
      <c r="AJ8242" s="35"/>
      <c r="AK8242" s="35"/>
      <c r="AL8242" s="35"/>
    </row>
    <row r="8243">
      <c r="A8243" s="457"/>
      <c r="B8243" s="475"/>
      <c r="C8243" s="476"/>
      <c r="D8243" s="477"/>
      <c r="E8243" s="96"/>
      <c r="F8243" s="96"/>
      <c r="G8243" s="325"/>
      <c r="H8243" s="96"/>
      <c r="I8243" s="478"/>
      <c r="J8243" s="96"/>
      <c r="K8243" s="96"/>
      <c r="L8243" s="107"/>
      <c r="M8243" s="107"/>
      <c r="N8243" s="107"/>
      <c r="O8243" s="107"/>
      <c r="P8243" s="109"/>
      <c r="Q8243" s="107"/>
      <c r="R8243" s="107"/>
      <c r="S8243" s="107"/>
      <c r="T8243" s="479"/>
      <c r="U8243" s="296"/>
      <c r="V8243" s="50"/>
      <c r="W8243" s="49"/>
      <c r="X8243" s="49"/>
      <c r="Y8243" s="35"/>
      <c r="Z8243" s="35"/>
      <c r="AA8243" s="35"/>
      <c r="AB8243" s="35"/>
      <c r="AC8243" s="35"/>
      <c r="AD8243" s="35"/>
      <c r="AE8243" s="35"/>
      <c r="AF8243" s="35"/>
      <c r="AG8243" s="35"/>
      <c r="AH8243" s="35"/>
      <c r="AI8243" s="35"/>
      <c r="AJ8243" s="35"/>
      <c r="AK8243" s="35"/>
      <c r="AL8243" s="35"/>
    </row>
    <row r="8244">
      <c r="A8244" s="457"/>
      <c r="B8244" s="475"/>
      <c r="C8244" s="476"/>
      <c r="D8244" s="477"/>
      <c r="E8244" s="96"/>
      <c r="F8244" s="96"/>
      <c r="G8244" s="325"/>
      <c r="H8244" s="96"/>
      <c r="I8244" s="478"/>
      <c r="J8244" s="96"/>
      <c r="K8244" s="96"/>
      <c r="L8244" s="107"/>
      <c r="M8244" s="107"/>
      <c r="N8244" s="107"/>
      <c r="O8244" s="107"/>
      <c r="P8244" s="109"/>
      <c r="Q8244" s="107"/>
      <c r="R8244" s="107"/>
      <c r="S8244" s="107"/>
      <c r="T8244" s="479"/>
      <c r="U8244" s="296"/>
      <c r="V8244" s="50"/>
      <c r="W8244" s="49"/>
      <c r="X8244" s="49"/>
      <c r="Y8244" s="35"/>
      <c r="Z8244" s="35"/>
      <c r="AA8244" s="35"/>
      <c r="AB8244" s="35"/>
      <c r="AC8244" s="35"/>
      <c r="AD8244" s="35"/>
      <c r="AE8244" s="35"/>
      <c r="AF8244" s="35"/>
      <c r="AG8244" s="35"/>
      <c r="AH8244" s="35"/>
      <c r="AI8244" s="35"/>
      <c r="AJ8244" s="35"/>
      <c r="AK8244" s="35"/>
      <c r="AL8244" s="35"/>
    </row>
    <row r="8245">
      <c r="A8245" s="457"/>
      <c r="B8245" s="475"/>
      <c r="C8245" s="476"/>
      <c r="D8245" s="477"/>
      <c r="E8245" s="96"/>
      <c r="F8245" s="96"/>
      <c r="G8245" s="325"/>
      <c r="H8245" s="96"/>
      <c r="I8245" s="478"/>
      <c r="J8245" s="96"/>
      <c r="K8245" s="96"/>
      <c r="L8245" s="107"/>
      <c r="M8245" s="107"/>
      <c r="N8245" s="107"/>
      <c r="O8245" s="107"/>
      <c r="P8245" s="109"/>
      <c r="Q8245" s="107"/>
      <c r="R8245" s="107"/>
      <c r="S8245" s="107"/>
      <c r="T8245" s="479"/>
      <c r="U8245" s="296"/>
      <c r="V8245" s="50"/>
      <c r="W8245" s="49"/>
      <c r="X8245" s="49"/>
      <c r="Y8245" s="35"/>
      <c r="Z8245" s="35"/>
      <c r="AA8245" s="35"/>
      <c r="AB8245" s="35"/>
      <c r="AC8245" s="35"/>
      <c r="AD8245" s="35"/>
      <c r="AE8245" s="35"/>
      <c r="AF8245" s="35"/>
      <c r="AG8245" s="35"/>
      <c r="AH8245" s="35"/>
      <c r="AI8245" s="35"/>
      <c r="AJ8245" s="35"/>
      <c r="AK8245" s="35"/>
      <c r="AL8245" s="35"/>
    </row>
    <row r="8246">
      <c r="A8246" s="457"/>
      <c r="B8246" s="475"/>
      <c r="C8246" s="476"/>
      <c r="D8246" s="477"/>
      <c r="E8246" s="96"/>
      <c r="F8246" s="96"/>
      <c r="G8246" s="325"/>
      <c r="H8246" s="96"/>
      <c r="I8246" s="478"/>
      <c r="J8246" s="96"/>
      <c r="K8246" s="96"/>
      <c r="L8246" s="107"/>
      <c r="M8246" s="107"/>
      <c r="N8246" s="107"/>
      <c r="O8246" s="107"/>
      <c r="P8246" s="109"/>
      <c r="Q8246" s="107"/>
      <c r="R8246" s="107"/>
      <c r="S8246" s="107"/>
      <c r="T8246" s="479"/>
      <c r="U8246" s="296"/>
      <c r="V8246" s="50"/>
      <c r="W8246" s="49"/>
      <c r="X8246" s="49"/>
      <c r="Y8246" s="35"/>
      <c r="Z8246" s="35"/>
      <c r="AA8246" s="35"/>
      <c r="AB8246" s="35"/>
      <c r="AC8246" s="35"/>
      <c r="AD8246" s="35"/>
      <c r="AE8246" s="35"/>
      <c r="AF8246" s="35"/>
      <c r="AG8246" s="35"/>
      <c r="AH8246" s="35"/>
      <c r="AI8246" s="35"/>
      <c r="AJ8246" s="35"/>
      <c r="AK8246" s="35"/>
      <c r="AL8246" s="35"/>
    </row>
    <row r="8247">
      <c r="A8247" s="457"/>
      <c r="B8247" s="475"/>
      <c r="C8247" s="476"/>
      <c r="D8247" s="477"/>
      <c r="E8247" s="96"/>
      <c r="F8247" s="96"/>
      <c r="G8247" s="325"/>
      <c r="H8247" s="96"/>
      <c r="I8247" s="478"/>
      <c r="J8247" s="96"/>
      <c r="K8247" s="96"/>
      <c r="L8247" s="107"/>
      <c r="M8247" s="107"/>
      <c r="N8247" s="107"/>
      <c r="O8247" s="107"/>
      <c r="P8247" s="109"/>
      <c r="Q8247" s="107"/>
      <c r="R8247" s="107"/>
      <c r="S8247" s="107"/>
      <c r="T8247" s="479"/>
      <c r="U8247" s="296"/>
      <c r="V8247" s="50"/>
      <c r="W8247" s="49"/>
      <c r="X8247" s="49"/>
      <c r="Y8247" s="35"/>
      <c r="Z8247" s="35"/>
      <c r="AA8247" s="35"/>
      <c r="AB8247" s="35"/>
      <c r="AC8247" s="35"/>
      <c r="AD8247" s="35"/>
      <c r="AE8247" s="35"/>
      <c r="AF8247" s="35"/>
      <c r="AG8247" s="35"/>
      <c r="AH8247" s="35"/>
      <c r="AI8247" s="35"/>
      <c r="AJ8247" s="35"/>
      <c r="AK8247" s="35"/>
      <c r="AL8247" s="35"/>
    </row>
    <row r="8248">
      <c r="A8248" s="457"/>
      <c r="B8248" s="475"/>
      <c r="C8248" s="476"/>
      <c r="D8248" s="477"/>
      <c r="E8248" s="96"/>
      <c r="F8248" s="96"/>
      <c r="G8248" s="325"/>
      <c r="H8248" s="96"/>
      <c r="I8248" s="478"/>
      <c r="J8248" s="96"/>
      <c r="K8248" s="96"/>
      <c r="L8248" s="107"/>
      <c r="M8248" s="107"/>
      <c r="N8248" s="107"/>
      <c r="O8248" s="107"/>
      <c r="P8248" s="109"/>
      <c r="Q8248" s="107"/>
      <c r="R8248" s="107"/>
      <c r="S8248" s="107"/>
      <c r="T8248" s="479"/>
      <c r="U8248" s="296"/>
      <c r="V8248" s="50"/>
      <c r="W8248" s="49"/>
      <c r="X8248" s="49"/>
      <c r="Y8248" s="35"/>
      <c r="Z8248" s="35"/>
      <c r="AA8248" s="35"/>
      <c r="AB8248" s="35"/>
      <c r="AC8248" s="35"/>
      <c r="AD8248" s="35"/>
      <c r="AE8248" s="35"/>
      <c r="AF8248" s="35"/>
      <c r="AG8248" s="35"/>
      <c r="AH8248" s="35"/>
      <c r="AI8248" s="35"/>
      <c r="AJ8248" s="35"/>
      <c r="AK8248" s="35"/>
      <c r="AL8248" s="35"/>
    </row>
    <row r="8249">
      <c r="A8249" s="457"/>
      <c r="B8249" s="475"/>
      <c r="C8249" s="476"/>
      <c r="D8249" s="477"/>
      <c r="E8249" s="96"/>
      <c r="F8249" s="96"/>
      <c r="G8249" s="325"/>
      <c r="H8249" s="96"/>
      <c r="I8249" s="478"/>
      <c r="J8249" s="96"/>
      <c r="K8249" s="96"/>
      <c r="L8249" s="107"/>
      <c r="M8249" s="107"/>
      <c r="N8249" s="107"/>
      <c r="O8249" s="107"/>
      <c r="P8249" s="109"/>
      <c r="Q8249" s="107"/>
      <c r="R8249" s="107"/>
      <c r="S8249" s="107"/>
      <c r="T8249" s="479"/>
      <c r="U8249" s="296"/>
      <c r="V8249" s="50"/>
      <c r="W8249" s="49"/>
      <c r="X8249" s="49"/>
      <c r="Y8249" s="35"/>
      <c r="Z8249" s="35"/>
      <c r="AA8249" s="35"/>
      <c r="AB8249" s="35"/>
      <c r="AC8249" s="35"/>
      <c r="AD8249" s="35"/>
      <c r="AE8249" s="35"/>
      <c r="AF8249" s="35"/>
      <c r="AG8249" s="35"/>
      <c r="AH8249" s="35"/>
      <c r="AI8249" s="35"/>
      <c r="AJ8249" s="35"/>
      <c r="AK8249" s="35"/>
      <c r="AL8249" s="35"/>
    </row>
    <row r="8250">
      <c r="A8250" s="457"/>
      <c r="B8250" s="475"/>
      <c r="C8250" s="476"/>
      <c r="D8250" s="477"/>
      <c r="E8250" s="96"/>
      <c r="F8250" s="96"/>
      <c r="G8250" s="325"/>
      <c r="H8250" s="96"/>
      <c r="I8250" s="478"/>
      <c r="J8250" s="96"/>
      <c r="K8250" s="96"/>
      <c r="L8250" s="107"/>
      <c r="M8250" s="107"/>
      <c r="N8250" s="107"/>
      <c r="O8250" s="107"/>
      <c r="P8250" s="109"/>
      <c r="Q8250" s="107"/>
      <c r="R8250" s="107"/>
      <c r="S8250" s="107"/>
      <c r="T8250" s="479"/>
      <c r="U8250" s="296"/>
      <c r="V8250" s="50"/>
      <c r="W8250" s="49"/>
      <c r="X8250" s="49"/>
      <c r="Y8250" s="35"/>
      <c r="Z8250" s="35"/>
      <c r="AA8250" s="35"/>
      <c r="AB8250" s="35"/>
      <c r="AC8250" s="35"/>
      <c r="AD8250" s="35"/>
      <c r="AE8250" s="35"/>
      <c r="AF8250" s="35"/>
      <c r="AG8250" s="35"/>
      <c r="AH8250" s="35"/>
      <c r="AI8250" s="35"/>
      <c r="AJ8250" s="35"/>
      <c r="AK8250" s="35"/>
      <c r="AL8250" s="35"/>
    </row>
    <row r="8251">
      <c r="A8251" s="457"/>
      <c r="B8251" s="475"/>
      <c r="C8251" s="476"/>
      <c r="D8251" s="477"/>
      <c r="E8251" s="96"/>
      <c r="F8251" s="96"/>
      <c r="G8251" s="325"/>
      <c r="H8251" s="96"/>
      <c r="I8251" s="478"/>
      <c r="J8251" s="96"/>
      <c r="K8251" s="96"/>
      <c r="L8251" s="107"/>
      <c r="M8251" s="107"/>
      <c r="N8251" s="107"/>
      <c r="O8251" s="107"/>
      <c r="P8251" s="109"/>
      <c r="Q8251" s="107"/>
      <c r="R8251" s="107"/>
      <c r="S8251" s="107"/>
      <c r="T8251" s="479"/>
      <c r="U8251" s="296"/>
      <c r="V8251" s="50"/>
      <c r="W8251" s="49"/>
      <c r="X8251" s="49"/>
      <c r="Y8251" s="35"/>
      <c r="Z8251" s="35"/>
      <c r="AA8251" s="35"/>
      <c r="AB8251" s="35"/>
      <c r="AC8251" s="35"/>
      <c r="AD8251" s="35"/>
      <c r="AE8251" s="35"/>
      <c r="AF8251" s="35"/>
      <c r="AG8251" s="35"/>
      <c r="AH8251" s="35"/>
      <c r="AI8251" s="35"/>
      <c r="AJ8251" s="35"/>
      <c r="AK8251" s="35"/>
      <c r="AL8251" s="35"/>
    </row>
    <row r="8252">
      <c r="A8252" s="457"/>
      <c r="B8252" s="475"/>
      <c r="C8252" s="476"/>
      <c r="D8252" s="477"/>
      <c r="E8252" s="96"/>
      <c r="F8252" s="96"/>
      <c r="G8252" s="325"/>
      <c r="H8252" s="96"/>
      <c r="I8252" s="478"/>
      <c r="J8252" s="96"/>
      <c r="K8252" s="96"/>
      <c r="L8252" s="107"/>
      <c r="M8252" s="107"/>
      <c r="N8252" s="107"/>
      <c r="O8252" s="107"/>
      <c r="P8252" s="109"/>
      <c r="Q8252" s="107"/>
      <c r="R8252" s="107"/>
      <c r="S8252" s="107"/>
      <c r="T8252" s="479"/>
      <c r="U8252" s="296"/>
      <c r="V8252" s="50"/>
      <c r="W8252" s="49"/>
      <c r="X8252" s="49"/>
      <c r="Y8252" s="35"/>
      <c r="Z8252" s="35"/>
      <c r="AA8252" s="35"/>
      <c r="AB8252" s="35"/>
      <c r="AC8252" s="35"/>
      <c r="AD8252" s="35"/>
      <c r="AE8252" s="35"/>
      <c r="AF8252" s="35"/>
      <c r="AG8252" s="35"/>
      <c r="AH8252" s="35"/>
      <c r="AI8252" s="35"/>
      <c r="AJ8252" s="35"/>
      <c r="AK8252" s="35"/>
      <c r="AL8252" s="35"/>
    </row>
    <row r="8253">
      <c r="A8253" s="457"/>
      <c r="B8253" s="475"/>
      <c r="C8253" s="476"/>
      <c r="D8253" s="477"/>
      <c r="E8253" s="96"/>
      <c r="F8253" s="96"/>
      <c r="G8253" s="325"/>
      <c r="H8253" s="96"/>
      <c r="I8253" s="478"/>
      <c r="J8253" s="96"/>
      <c r="K8253" s="96"/>
      <c r="L8253" s="107"/>
      <c r="M8253" s="107"/>
      <c r="N8253" s="107"/>
      <c r="O8253" s="107"/>
      <c r="P8253" s="109"/>
      <c r="Q8253" s="107"/>
      <c r="R8253" s="107"/>
      <c r="S8253" s="107"/>
      <c r="T8253" s="479"/>
      <c r="U8253" s="296"/>
      <c r="V8253" s="50"/>
      <c r="W8253" s="49"/>
      <c r="X8253" s="49"/>
      <c r="Y8253" s="35"/>
      <c r="Z8253" s="35"/>
      <c r="AA8253" s="35"/>
      <c r="AB8253" s="35"/>
      <c r="AC8253" s="35"/>
      <c r="AD8253" s="35"/>
      <c r="AE8253" s="35"/>
      <c r="AF8253" s="35"/>
      <c r="AG8253" s="35"/>
      <c r="AH8253" s="35"/>
      <c r="AI8253" s="35"/>
      <c r="AJ8253" s="35"/>
      <c r="AK8253" s="35"/>
      <c r="AL8253" s="35"/>
    </row>
    <row r="8254">
      <c r="A8254" s="457"/>
      <c r="B8254" s="475"/>
      <c r="C8254" s="476"/>
      <c r="D8254" s="477"/>
      <c r="E8254" s="96"/>
      <c r="F8254" s="96"/>
      <c r="G8254" s="325"/>
      <c r="H8254" s="96"/>
      <c r="I8254" s="478"/>
      <c r="J8254" s="96"/>
      <c r="K8254" s="96"/>
      <c r="L8254" s="107"/>
      <c r="M8254" s="107"/>
      <c r="N8254" s="107"/>
      <c r="O8254" s="107"/>
      <c r="P8254" s="109"/>
      <c r="Q8254" s="107"/>
      <c r="R8254" s="107"/>
      <c r="S8254" s="107"/>
      <c r="T8254" s="479"/>
      <c r="U8254" s="296"/>
      <c r="V8254" s="50"/>
      <c r="W8254" s="49"/>
      <c r="X8254" s="49"/>
      <c r="Y8254" s="35"/>
      <c r="Z8254" s="35"/>
      <c r="AA8254" s="35"/>
      <c r="AB8254" s="35"/>
      <c r="AC8254" s="35"/>
      <c r="AD8254" s="35"/>
      <c r="AE8254" s="35"/>
      <c r="AF8254" s="35"/>
      <c r="AG8254" s="35"/>
      <c r="AH8254" s="35"/>
      <c r="AI8254" s="35"/>
      <c r="AJ8254" s="35"/>
      <c r="AK8254" s="35"/>
      <c r="AL8254" s="35"/>
    </row>
    <row r="8255">
      <c r="A8255" s="457"/>
      <c r="B8255" s="475"/>
      <c r="C8255" s="476"/>
      <c r="D8255" s="477"/>
      <c r="E8255" s="96"/>
      <c r="F8255" s="96"/>
      <c r="G8255" s="325"/>
      <c r="H8255" s="96"/>
      <c r="I8255" s="478"/>
      <c r="J8255" s="96"/>
      <c r="K8255" s="96"/>
      <c r="L8255" s="107"/>
      <c r="M8255" s="107"/>
      <c r="N8255" s="107"/>
      <c r="O8255" s="107"/>
      <c r="P8255" s="109"/>
      <c r="Q8255" s="107"/>
      <c r="R8255" s="107"/>
      <c r="S8255" s="107"/>
      <c r="T8255" s="479"/>
      <c r="U8255" s="296"/>
      <c r="V8255" s="50"/>
      <c r="W8255" s="49"/>
      <c r="X8255" s="49"/>
      <c r="Y8255" s="35"/>
      <c r="Z8255" s="35"/>
      <c r="AA8255" s="35"/>
      <c r="AB8255" s="35"/>
      <c r="AC8255" s="35"/>
      <c r="AD8255" s="35"/>
      <c r="AE8255" s="35"/>
      <c r="AF8255" s="35"/>
      <c r="AG8255" s="35"/>
      <c r="AH8255" s="35"/>
      <c r="AI8255" s="35"/>
      <c r="AJ8255" s="35"/>
      <c r="AK8255" s="35"/>
      <c r="AL8255" s="35"/>
    </row>
    <row r="8256">
      <c r="A8256" s="457"/>
      <c r="B8256" s="475"/>
      <c r="C8256" s="476"/>
      <c r="D8256" s="477"/>
      <c r="E8256" s="96"/>
      <c r="F8256" s="96"/>
      <c r="G8256" s="325"/>
      <c r="H8256" s="96"/>
      <c r="I8256" s="478"/>
      <c r="J8256" s="96"/>
      <c r="K8256" s="96"/>
      <c r="L8256" s="107"/>
      <c r="M8256" s="107"/>
      <c r="N8256" s="107"/>
      <c r="O8256" s="107"/>
      <c r="P8256" s="109"/>
      <c r="Q8256" s="107"/>
      <c r="R8256" s="107"/>
      <c r="S8256" s="107"/>
      <c r="T8256" s="479"/>
      <c r="U8256" s="296"/>
      <c r="V8256" s="50"/>
      <c r="W8256" s="49"/>
      <c r="X8256" s="49"/>
      <c r="Y8256" s="35"/>
      <c r="Z8256" s="35"/>
      <c r="AA8256" s="35"/>
      <c r="AB8256" s="35"/>
      <c r="AC8256" s="35"/>
      <c r="AD8256" s="35"/>
      <c r="AE8256" s="35"/>
      <c r="AF8256" s="35"/>
      <c r="AG8256" s="35"/>
      <c r="AH8256" s="35"/>
      <c r="AI8256" s="35"/>
      <c r="AJ8256" s="35"/>
      <c r="AK8256" s="35"/>
      <c r="AL8256" s="35"/>
    </row>
    <row r="8257">
      <c r="A8257" s="457"/>
      <c r="B8257" s="475"/>
      <c r="C8257" s="476"/>
      <c r="D8257" s="477"/>
      <c r="E8257" s="96"/>
      <c r="F8257" s="96"/>
      <c r="G8257" s="325"/>
      <c r="H8257" s="96"/>
      <c r="I8257" s="478"/>
      <c r="J8257" s="96"/>
      <c r="K8257" s="96"/>
      <c r="L8257" s="107"/>
      <c r="M8257" s="107"/>
      <c r="N8257" s="107"/>
      <c r="O8257" s="107"/>
      <c r="P8257" s="109"/>
      <c r="Q8257" s="107"/>
      <c r="R8257" s="107"/>
      <c r="S8257" s="107"/>
      <c r="T8257" s="479"/>
      <c r="U8257" s="296"/>
      <c r="V8257" s="50"/>
      <c r="W8257" s="49"/>
      <c r="X8257" s="49"/>
      <c r="Y8257" s="35"/>
      <c r="Z8257" s="35"/>
      <c r="AA8257" s="35"/>
      <c r="AB8257" s="35"/>
      <c r="AC8257" s="35"/>
      <c r="AD8257" s="35"/>
      <c r="AE8257" s="35"/>
      <c r="AF8257" s="35"/>
      <c r="AG8257" s="35"/>
      <c r="AH8257" s="35"/>
      <c r="AI8257" s="35"/>
      <c r="AJ8257" s="35"/>
      <c r="AK8257" s="35"/>
      <c r="AL8257" s="35"/>
    </row>
    <row r="8258">
      <c r="A8258" s="457"/>
      <c r="B8258" s="475"/>
      <c r="C8258" s="476"/>
      <c r="D8258" s="477"/>
      <c r="E8258" s="96"/>
      <c r="F8258" s="96"/>
      <c r="G8258" s="325"/>
      <c r="H8258" s="96"/>
      <c r="I8258" s="478"/>
      <c r="J8258" s="96"/>
      <c r="K8258" s="96"/>
      <c r="L8258" s="107"/>
      <c r="M8258" s="107"/>
      <c r="N8258" s="107"/>
      <c r="O8258" s="107"/>
      <c r="P8258" s="109"/>
      <c r="Q8258" s="107"/>
      <c r="R8258" s="107"/>
      <c r="S8258" s="107"/>
      <c r="T8258" s="479"/>
      <c r="U8258" s="296"/>
      <c r="V8258" s="50"/>
      <c r="W8258" s="49"/>
      <c r="X8258" s="49"/>
      <c r="Y8258" s="35"/>
      <c r="Z8258" s="35"/>
      <c r="AA8258" s="35"/>
      <c r="AB8258" s="35"/>
      <c r="AC8258" s="35"/>
      <c r="AD8258" s="35"/>
      <c r="AE8258" s="35"/>
      <c r="AF8258" s="35"/>
      <c r="AG8258" s="35"/>
      <c r="AH8258" s="35"/>
      <c r="AI8258" s="35"/>
      <c r="AJ8258" s="35"/>
      <c r="AK8258" s="35"/>
      <c r="AL8258" s="35"/>
    </row>
    <row r="8259">
      <c r="A8259" s="457"/>
      <c r="B8259" s="475"/>
      <c r="C8259" s="476"/>
      <c r="D8259" s="477"/>
      <c r="E8259" s="96"/>
      <c r="F8259" s="96"/>
      <c r="G8259" s="325"/>
      <c r="H8259" s="96"/>
      <c r="I8259" s="478"/>
      <c r="J8259" s="96"/>
      <c r="K8259" s="96"/>
      <c r="L8259" s="107"/>
      <c r="M8259" s="107"/>
      <c r="N8259" s="107"/>
      <c r="O8259" s="107"/>
      <c r="P8259" s="109"/>
      <c r="Q8259" s="107"/>
      <c r="R8259" s="107"/>
      <c r="S8259" s="107"/>
      <c r="T8259" s="479"/>
      <c r="U8259" s="296"/>
      <c r="V8259" s="50"/>
      <c r="W8259" s="49"/>
      <c r="X8259" s="49"/>
      <c r="Y8259" s="35"/>
      <c r="Z8259" s="35"/>
      <c r="AA8259" s="35"/>
      <c r="AB8259" s="35"/>
      <c r="AC8259" s="35"/>
      <c r="AD8259" s="35"/>
      <c r="AE8259" s="35"/>
      <c r="AF8259" s="35"/>
      <c r="AG8259" s="35"/>
      <c r="AH8259" s="35"/>
      <c r="AI8259" s="35"/>
      <c r="AJ8259" s="35"/>
      <c r="AK8259" s="35"/>
      <c r="AL8259" s="35"/>
    </row>
    <row r="8260">
      <c r="A8260" s="457"/>
      <c r="B8260" s="475"/>
      <c r="C8260" s="476"/>
      <c r="D8260" s="477"/>
      <c r="E8260" s="96"/>
      <c r="F8260" s="96"/>
      <c r="G8260" s="325"/>
      <c r="H8260" s="96"/>
      <c r="I8260" s="478"/>
      <c r="J8260" s="96"/>
      <c r="K8260" s="96"/>
      <c r="L8260" s="107"/>
      <c r="M8260" s="107"/>
      <c r="N8260" s="107"/>
      <c r="O8260" s="107"/>
      <c r="P8260" s="109"/>
      <c r="Q8260" s="107"/>
      <c r="R8260" s="107"/>
      <c r="S8260" s="107"/>
      <c r="T8260" s="479"/>
      <c r="U8260" s="296"/>
      <c r="V8260" s="50"/>
      <c r="W8260" s="49"/>
      <c r="X8260" s="49"/>
      <c r="Y8260" s="35"/>
      <c r="Z8260" s="35"/>
      <c r="AA8260" s="35"/>
      <c r="AB8260" s="35"/>
      <c r="AC8260" s="35"/>
      <c r="AD8260" s="35"/>
      <c r="AE8260" s="35"/>
      <c r="AF8260" s="35"/>
      <c r="AG8260" s="35"/>
      <c r="AH8260" s="35"/>
      <c r="AI8260" s="35"/>
      <c r="AJ8260" s="35"/>
      <c r="AK8260" s="35"/>
      <c r="AL8260" s="35"/>
    </row>
    <row r="8261">
      <c r="A8261" s="457"/>
      <c r="B8261" s="475"/>
      <c r="C8261" s="476"/>
      <c r="D8261" s="477"/>
      <c r="E8261" s="96"/>
      <c r="F8261" s="96"/>
      <c r="G8261" s="325"/>
      <c r="H8261" s="96"/>
      <c r="I8261" s="478"/>
      <c r="J8261" s="96"/>
      <c r="K8261" s="96"/>
      <c r="L8261" s="107"/>
      <c r="M8261" s="107"/>
      <c r="N8261" s="107"/>
      <c r="O8261" s="107"/>
      <c r="P8261" s="109"/>
      <c r="Q8261" s="107"/>
      <c r="R8261" s="107"/>
      <c r="S8261" s="107"/>
      <c r="T8261" s="479"/>
      <c r="U8261" s="296"/>
      <c r="V8261" s="50"/>
      <c r="W8261" s="49"/>
      <c r="X8261" s="49"/>
      <c r="Y8261" s="35"/>
      <c r="Z8261" s="35"/>
      <c r="AA8261" s="35"/>
      <c r="AB8261" s="35"/>
      <c r="AC8261" s="35"/>
      <c r="AD8261" s="35"/>
      <c r="AE8261" s="35"/>
      <c r="AF8261" s="35"/>
      <c r="AG8261" s="35"/>
      <c r="AH8261" s="35"/>
      <c r="AI8261" s="35"/>
      <c r="AJ8261" s="35"/>
      <c r="AK8261" s="35"/>
      <c r="AL8261" s="35"/>
    </row>
    <row r="8262">
      <c r="A8262" s="457"/>
      <c r="B8262" s="475"/>
      <c r="C8262" s="476"/>
      <c r="D8262" s="477"/>
      <c r="E8262" s="96"/>
      <c r="F8262" s="96"/>
      <c r="G8262" s="325"/>
      <c r="H8262" s="96"/>
      <c r="I8262" s="478"/>
      <c r="J8262" s="96"/>
      <c r="K8262" s="96"/>
      <c r="L8262" s="107"/>
      <c r="M8262" s="107"/>
      <c r="N8262" s="107"/>
      <c r="O8262" s="107"/>
      <c r="P8262" s="109"/>
      <c r="Q8262" s="107"/>
      <c r="R8262" s="107"/>
      <c r="S8262" s="107"/>
      <c r="T8262" s="479"/>
      <c r="U8262" s="296"/>
      <c r="V8262" s="50"/>
      <c r="W8262" s="49"/>
      <c r="X8262" s="49"/>
      <c r="Y8262" s="35"/>
      <c r="Z8262" s="35"/>
      <c r="AA8262" s="35"/>
      <c r="AB8262" s="35"/>
      <c r="AC8262" s="35"/>
      <c r="AD8262" s="35"/>
      <c r="AE8262" s="35"/>
      <c r="AF8262" s="35"/>
      <c r="AG8262" s="35"/>
      <c r="AH8262" s="35"/>
      <c r="AI8262" s="35"/>
      <c r="AJ8262" s="35"/>
      <c r="AK8262" s="35"/>
      <c r="AL8262" s="35"/>
    </row>
    <row r="8263">
      <c r="A8263" s="457"/>
      <c r="B8263" s="475"/>
      <c r="C8263" s="476"/>
      <c r="D8263" s="477"/>
      <c r="E8263" s="96"/>
      <c r="F8263" s="96"/>
      <c r="G8263" s="325"/>
      <c r="H8263" s="96"/>
      <c r="I8263" s="478"/>
      <c r="J8263" s="96"/>
      <c r="K8263" s="96"/>
      <c r="L8263" s="107"/>
      <c r="M8263" s="107"/>
      <c r="N8263" s="107"/>
      <c r="O8263" s="107"/>
      <c r="P8263" s="109"/>
      <c r="Q8263" s="107"/>
      <c r="R8263" s="107"/>
      <c r="S8263" s="107"/>
      <c r="T8263" s="479"/>
      <c r="U8263" s="296"/>
      <c r="V8263" s="50"/>
      <c r="W8263" s="49"/>
      <c r="X8263" s="49"/>
      <c r="Y8263" s="35"/>
      <c r="Z8263" s="35"/>
      <c r="AA8263" s="35"/>
      <c r="AB8263" s="35"/>
      <c r="AC8263" s="35"/>
      <c r="AD8263" s="35"/>
      <c r="AE8263" s="35"/>
      <c r="AF8263" s="35"/>
      <c r="AG8263" s="35"/>
      <c r="AH8263" s="35"/>
      <c r="AI8263" s="35"/>
      <c r="AJ8263" s="35"/>
      <c r="AK8263" s="35"/>
      <c r="AL8263" s="35"/>
    </row>
    <row r="8264">
      <c r="A8264" s="457"/>
      <c r="B8264" s="475"/>
      <c r="C8264" s="476"/>
      <c r="D8264" s="477"/>
      <c r="E8264" s="96"/>
      <c r="F8264" s="96"/>
      <c r="G8264" s="325"/>
      <c r="H8264" s="96"/>
      <c r="I8264" s="478"/>
      <c r="J8264" s="96"/>
      <c r="K8264" s="96"/>
      <c r="L8264" s="107"/>
      <c r="M8264" s="107"/>
      <c r="N8264" s="107"/>
      <c r="O8264" s="107"/>
      <c r="P8264" s="109"/>
      <c r="Q8264" s="107"/>
      <c r="R8264" s="107"/>
      <c r="S8264" s="107"/>
      <c r="T8264" s="479"/>
      <c r="U8264" s="296"/>
      <c r="V8264" s="50"/>
      <c r="W8264" s="49"/>
      <c r="X8264" s="49"/>
      <c r="Y8264" s="35"/>
      <c r="Z8264" s="35"/>
      <c r="AA8264" s="35"/>
      <c r="AB8264" s="35"/>
      <c r="AC8264" s="35"/>
      <c r="AD8264" s="35"/>
      <c r="AE8264" s="35"/>
      <c r="AF8264" s="35"/>
      <c r="AG8264" s="35"/>
      <c r="AH8264" s="35"/>
      <c r="AI8264" s="35"/>
      <c r="AJ8264" s="35"/>
      <c r="AK8264" s="35"/>
      <c r="AL8264" s="35"/>
    </row>
    <row r="8265">
      <c r="A8265" s="457"/>
      <c r="B8265" s="475"/>
      <c r="C8265" s="476"/>
      <c r="D8265" s="477"/>
      <c r="E8265" s="96"/>
      <c r="F8265" s="96"/>
      <c r="G8265" s="325"/>
      <c r="H8265" s="96"/>
      <c r="I8265" s="478"/>
      <c r="J8265" s="96"/>
      <c r="K8265" s="96"/>
      <c r="L8265" s="107"/>
      <c r="M8265" s="107"/>
      <c r="N8265" s="107"/>
      <c r="O8265" s="107"/>
      <c r="P8265" s="109"/>
      <c r="Q8265" s="107"/>
      <c r="R8265" s="107"/>
      <c r="S8265" s="107"/>
      <c r="T8265" s="479"/>
      <c r="U8265" s="296"/>
      <c r="V8265" s="50"/>
      <c r="W8265" s="49"/>
      <c r="X8265" s="49"/>
      <c r="Y8265" s="35"/>
      <c r="Z8265" s="35"/>
      <c r="AA8265" s="35"/>
      <c r="AB8265" s="35"/>
      <c r="AC8265" s="35"/>
      <c r="AD8265" s="35"/>
      <c r="AE8265" s="35"/>
      <c r="AF8265" s="35"/>
      <c r="AG8265" s="35"/>
      <c r="AH8265" s="35"/>
      <c r="AI8265" s="35"/>
      <c r="AJ8265" s="35"/>
      <c r="AK8265" s="35"/>
      <c r="AL8265" s="35"/>
    </row>
    <row r="8266">
      <c r="A8266" s="457"/>
      <c r="B8266" s="475"/>
      <c r="C8266" s="476"/>
      <c r="D8266" s="477"/>
      <c r="E8266" s="96"/>
      <c r="F8266" s="96"/>
      <c r="G8266" s="325"/>
      <c r="H8266" s="96"/>
      <c r="I8266" s="478"/>
      <c r="J8266" s="96"/>
      <c r="K8266" s="96"/>
      <c r="L8266" s="107"/>
      <c r="M8266" s="107"/>
      <c r="N8266" s="107"/>
      <c r="O8266" s="107"/>
      <c r="P8266" s="109"/>
      <c r="Q8266" s="107"/>
      <c r="R8266" s="107"/>
      <c r="S8266" s="107"/>
      <c r="T8266" s="479"/>
      <c r="U8266" s="296"/>
      <c r="V8266" s="50"/>
      <c r="W8266" s="49"/>
      <c r="X8266" s="49"/>
      <c r="Y8266" s="35"/>
      <c r="Z8266" s="35"/>
      <c r="AA8266" s="35"/>
      <c r="AB8266" s="35"/>
      <c r="AC8266" s="35"/>
      <c r="AD8266" s="35"/>
      <c r="AE8266" s="35"/>
      <c r="AF8266" s="35"/>
      <c r="AG8266" s="35"/>
      <c r="AH8266" s="35"/>
      <c r="AI8266" s="35"/>
      <c r="AJ8266" s="35"/>
      <c r="AK8266" s="35"/>
      <c r="AL8266" s="35"/>
    </row>
    <row r="8267">
      <c r="A8267" s="457"/>
      <c r="B8267" s="475"/>
      <c r="C8267" s="476"/>
      <c r="D8267" s="477"/>
      <c r="E8267" s="96"/>
      <c r="F8267" s="96"/>
      <c r="G8267" s="325"/>
      <c r="H8267" s="96"/>
      <c r="I8267" s="478"/>
      <c r="J8267" s="96"/>
      <c r="K8267" s="96"/>
      <c r="L8267" s="107"/>
      <c r="M8267" s="107"/>
      <c r="N8267" s="107"/>
      <c r="O8267" s="107"/>
      <c r="P8267" s="109"/>
      <c r="Q8267" s="107"/>
      <c r="R8267" s="107"/>
      <c r="S8267" s="107"/>
      <c r="T8267" s="479"/>
      <c r="U8267" s="296"/>
      <c r="V8267" s="50"/>
      <c r="W8267" s="49"/>
      <c r="X8267" s="49"/>
      <c r="Y8267" s="35"/>
      <c r="Z8267" s="35"/>
      <c r="AA8267" s="35"/>
      <c r="AB8267" s="35"/>
      <c r="AC8267" s="35"/>
      <c r="AD8267" s="35"/>
      <c r="AE8267" s="35"/>
      <c r="AF8267" s="35"/>
      <c r="AG8267" s="35"/>
      <c r="AH8267" s="35"/>
      <c r="AI8267" s="35"/>
      <c r="AJ8267" s="35"/>
      <c r="AK8267" s="35"/>
      <c r="AL8267" s="35"/>
    </row>
    <row r="8268">
      <c r="A8268" s="457"/>
      <c r="B8268" s="475"/>
      <c r="C8268" s="476"/>
      <c r="D8268" s="477"/>
      <c r="E8268" s="96"/>
      <c r="F8268" s="96"/>
      <c r="G8268" s="325"/>
      <c r="H8268" s="96"/>
      <c r="I8268" s="478"/>
      <c r="J8268" s="96"/>
      <c r="K8268" s="96"/>
      <c r="L8268" s="107"/>
      <c r="M8268" s="107"/>
      <c r="N8268" s="107"/>
      <c r="O8268" s="107"/>
      <c r="P8268" s="109"/>
      <c r="Q8268" s="107"/>
      <c r="R8268" s="107"/>
      <c r="S8268" s="107"/>
      <c r="T8268" s="479"/>
      <c r="U8268" s="296"/>
      <c r="V8268" s="50"/>
      <c r="W8268" s="49"/>
      <c r="X8268" s="49"/>
      <c r="Y8268" s="35"/>
      <c r="Z8268" s="35"/>
      <c r="AA8268" s="35"/>
      <c r="AB8268" s="35"/>
      <c r="AC8268" s="35"/>
      <c r="AD8268" s="35"/>
      <c r="AE8268" s="35"/>
      <c r="AF8268" s="35"/>
      <c r="AG8268" s="35"/>
      <c r="AH8268" s="35"/>
      <c r="AI8268" s="35"/>
      <c r="AJ8268" s="35"/>
      <c r="AK8268" s="35"/>
      <c r="AL8268" s="35"/>
    </row>
    <row r="8269">
      <c r="A8269" s="457"/>
      <c r="B8269" s="475"/>
      <c r="C8269" s="476"/>
      <c r="D8269" s="477"/>
      <c r="E8269" s="96"/>
      <c r="F8269" s="96"/>
      <c r="G8269" s="325"/>
      <c r="H8269" s="96"/>
      <c r="I8269" s="478"/>
      <c r="J8269" s="96"/>
      <c r="K8269" s="96"/>
      <c r="L8269" s="107"/>
      <c r="M8269" s="107"/>
      <c r="N8269" s="107"/>
      <c r="O8269" s="107"/>
      <c r="P8269" s="109"/>
      <c r="Q8269" s="107"/>
      <c r="R8269" s="107"/>
      <c r="S8269" s="107"/>
      <c r="T8269" s="479"/>
      <c r="U8269" s="296"/>
      <c r="V8269" s="50"/>
      <c r="W8269" s="49"/>
      <c r="X8269" s="49"/>
      <c r="Y8269" s="35"/>
      <c r="Z8269" s="35"/>
      <c r="AA8269" s="35"/>
      <c r="AB8269" s="35"/>
      <c r="AC8269" s="35"/>
      <c r="AD8269" s="35"/>
      <c r="AE8269" s="35"/>
      <c r="AF8269" s="35"/>
      <c r="AG8269" s="35"/>
      <c r="AH8269" s="35"/>
      <c r="AI8269" s="35"/>
      <c r="AJ8269" s="35"/>
      <c r="AK8269" s="35"/>
      <c r="AL8269" s="35"/>
    </row>
    <row r="8270">
      <c r="A8270" s="457"/>
      <c r="B8270" s="475"/>
      <c r="C8270" s="476"/>
      <c r="D8270" s="477"/>
      <c r="E8270" s="96"/>
      <c r="F8270" s="96"/>
      <c r="G8270" s="325"/>
      <c r="H8270" s="96"/>
      <c r="I8270" s="478"/>
      <c r="J8270" s="96"/>
      <c r="K8270" s="96"/>
      <c r="L8270" s="107"/>
      <c r="M8270" s="107"/>
      <c r="N8270" s="107"/>
      <c r="O8270" s="107"/>
      <c r="P8270" s="109"/>
      <c r="Q8270" s="107"/>
      <c r="R8270" s="107"/>
      <c r="S8270" s="107"/>
      <c r="T8270" s="479"/>
      <c r="U8270" s="296"/>
      <c r="V8270" s="50"/>
      <c r="W8270" s="49"/>
      <c r="X8270" s="49"/>
      <c r="Y8270" s="35"/>
      <c r="Z8270" s="35"/>
      <c r="AA8270" s="35"/>
      <c r="AB8270" s="35"/>
      <c r="AC8270" s="35"/>
      <c r="AD8270" s="35"/>
      <c r="AE8270" s="35"/>
      <c r="AF8270" s="35"/>
      <c r="AG8270" s="35"/>
      <c r="AH8270" s="35"/>
      <c r="AI8270" s="35"/>
      <c r="AJ8270" s="35"/>
      <c r="AK8270" s="35"/>
      <c r="AL8270" s="35"/>
    </row>
    <row r="8271">
      <c r="A8271" s="457"/>
      <c r="B8271" s="475"/>
      <c r="C8271" s="476"/>
      <c r="D8271" s="477"/>
      <c r="E8271" s="96"/>
      <c r="F8271" s="96"/>
      <c r="G8271" s="325"/>
      <c r="H8271" s="96"/>
      <c r="I8271" s="478"/>
      <c r="J8271" s="96"/>
      <c r="K8271" s="96"/>
      <c r="L8271" s="107"/>
      <c r="M8271" s="107"/>
      <c r="N8271" s="107"/>
      <c r="O8271" s="107"/>
      <c r="P8271" s="109"/>
      <c r="Q8271" s="107"/>
      <c r="R8271" s="107"/>
      <c r="S8271" s="107"/>
      <c r="T8271" s="479"/>
      <c r="U8271" s="296"/>
      <c r="V8271" s="50"/>
      <c r="W8271" s="49"/>
      <c r="X8271" s="49"/>
      <c r="Y8271" s="35"/>
      <c r="Z8271" s="35"/>
      <c r="AA8271" s="35"/>
      <c r="AB8271" s="35"/>
      <c r="AC8271" s="35"/>
      <c r="AD8271" s="35"/>
      <c r="AE8271" s="35"/>
      <c r="AF8271" s="35"/>
      <c r="AG8271" s="35"/>
      <c r="AH8271" s="35"/>
      <c r="AI8271" s="35"/>
      <c r="AJ8271" s="35"/>
      <c r="AK8271" s="35"/>
      <c r="AL8271" s="35"/>
    </row>
    <row r="8272">
      <c r="A8272" s="457"/>
      <c r="B8272" s="475"/>
      <c r="C8272" s="476"/>
      <c r="D8272" s="477"/>
      <c r="E8272" s="96"/>
      <c r="F8272" s="96"/>
      <c r="G8272" s="325"/>
      <c r="H8272" s="96"/>
      <c r="I8272" s="478"/>
      <c r="J8272" s="96"/>
      <c r="K8272" s="96"/>
      <c r="L8272" s="107"/>
      <c r="M8272" s="107"/>
      <c r="N8272" s="107"/>
      <c r="O8272" s="107"/>
      <c r="P8272" s="109"/>
      <c r="Q8272" s="107"/>
      <c r="R8272" s="107"/>
      <c r="S8272" s="107"/>
      <c r="T8272" s="479"/>
      <c r="U8272" s="296"/>
      <c r="V8272" s="50"/>
      <c r="W8272" s="49"/>
      <c r="X8272" s="49"/>
      <c r="Y8272" s="35"/>
      <c r="Z8272" s="35"/>
      <c r="AA8272" s="35"/>
      <c r="AB8272" s="35"/>
      <c r="AC8272" s="35"/>
      <c r="AD8272" s="35"/>
      <c r="AE8272" s="35"/>
      <c r="AF8272" s="35"/>
      <c r="AG8272" s="35"/>
      <c r="AH8272" s="35"/>
      <c r="AI8272" s="35"/>
      <c r="AJ8272" s="35"/>
      <c r="AK8272" s="35"/>
      <c r="AL8272" s="35"/>
    </row>
    <row r="8273">
      <c r="A8273" s="457"/>
      <c r="B8273" s="475"/>
      <c r="C8273" s="476"/>
      <c r="D8273" s="477"/>
      <c r="E8273" s="96"/>
      <c r="F8273" s="96"/>
      <c r="G8273" s="325"/>
      <c r="H8273" s="96"/>
      <c r="I8273" s="478"/>
      <c r="J8273" s="96"/>
      <c r="K8273" s="96"/>
      <c r="L8273" s="107"/>
      <c r="M8273" s="107"/>
      <c r="N8273" s="107"/>
      <c r="O8273" s="107"/>
      <c r="P8273" s="109"/>
      <c r="Q8273" s="107"/>
      <c r="R8273" s="107"/>
      <c r="S8273" s="107"/>
      <c r="T8273" s="479"/>
      <c r="U8273" s="296"/>
      <c r="V8273" s="50"/>
      <c r="W8273" s="49"/>
      <c r="X8273" s="49"/>
      <c r="Y8273" s="35"/>
      <c r="Z8273" s="35"/>
      <c r="AA8273" s="35"/>
      <c r="AB8273" s="35"/>
      <c r="AC8273" s="35"/>
      <c r="AD8273" s="35"/>
      <c r="AE8273" s="35"/>
      <c r="AF8273" s="35"/>
      <c r="AG8273" s="35"/>
      <c r="AH8273" s="35"/>
      <c r="AI8273" s="35"/>
      <c r="AJ8273" s="35"/>
      <c r="AK8273" s="35"/>
      <c r="AL8273" s="35"/>
    </row>
    <row r="8274">
      <c r="A8274" s="457"/>
      <c r="B8274" s="475"/>
      <c r="C8274" s="476"/>
      <c r="D8274" s="477"/>
      <c r="E8274" s="96"/>
      <c r="F8274" s="96"/>
      <c r="G8274" s="325"/>
      <c r="H8274" s="96"/>
      <c r="I8274" s="478"/>
      <c r="J8274" s="96"/>
      <c r="K8274" s="96"/>
      <c r="L8274" s="107"/>
      <c r="M8274" s="107"/>
      <c r="N8274" s="107"/>
      <c r="O8274" s="107"/>
      <c r="P8274" s="109"/>
      <c r="Q8274" s="107"/>
      <c r="R8274" s="107"/>
      <c r="S8274" s="107"/>
      <c r="T8274" s="479"/>
      <c r="U8274" s="296"/>
      <c r="V8274" s="50"/>
      <c r="W8274" s="49"/>
      <c r="X8274" s="49"/>
      <c r="Y8274" s="35"/>
      <c r="Z8274" s="35"/>
      <c r="AA8274" s="35"/>
      <c r="AB8274" s="35"/>
      <c r="AC8274" s="35"/>
      <c r="AD8274" s="35"/>
      <c r="AE8274" s="35"/>
      <c r="AF8274" s="35"/>
      <c r="AG8274" s="35"/>
      <c r="AH8274" s="35"/>
      <c r="AI8274" s="35"/>
      <c r="AJ8274" s="35"/>
      <c r="AK8274" s="35"/>
      <c r="AL8274" s="35"/>
    </row>
    <row r="8275">
      <c r="A8275" s="457"/>
      <c r="B8275" s="475"/>
      <c r="C8275" s="476"/>
      <c r="D8275" s="477"/>
      <c r="E8275" s="96"/>
      <c r="F8275" s="96"/>
      <c r="G8275" s="325"/>
      <c r="H8275" s="96"/>
      <c r="I8275" s="478"/>
      <c r="J8275" s="96"/>
      <c r="K8275" s="96"/>
      <c r="L8275" s="107"/>
      <c r="M8275" s="107"/>
      <c r="N8275" s="107"/>
      <c r="O8275" s="107"/>
      <c r="P8275" s="109"/>
      <c r="Q8275" s="107"/>
      <c r="R8275" s="107"/>
      <c r="S8275" s="107"/>
      <c r="T8275" s="479"/>
      <c r="U8275" s="296"/>
      <c r="V8275" s="50"/>
      <c r="W8275" s="49"/>
      <c r="X8275" s="49"/>
      <c r="Y8275" s="35"/>
      <c r="Z8275" s="35"/>
      <c r="AA8275" s="35"/>
      <c r="AB8275" s="35"/>
      <c r="AC8275" s="35"/>
      <c r="AD8275" s="35"/>
      <c r="AE8275" s="35"/>
      <c r="AF8275" s="35"/>
      <c r="AG8275" s="35"/>
      <c r="AH8275" s="35"/>
      <c r="AI8275" s="35"/>
      <c r="AJ8275" s="35"/>
      <c r="AK8275" s="35"/>
      <c r="AL8275" s="35"/>
    </row>
    <row r="8276">
      <c r="A8276" s="457"/>
      <c r="B8276" s="475"/>
      <c r="C8276" s="476"/>
      <c r="D8276" s="477"/>
      <c r="E8276" s="96"/>
      <c r="F8276" s="96"/>
      <c r="G8276" s="325"/>
      <c r="H8276" s="96"/>
      <c r="I8276" s="478"/>
      <c r="J8276" s="96"/>
      <c r="K8276" s="96"/>
      <c r="L8276" s="107"/>
      <c r="M8276" s="107"/>
      <c r="N8276" s="107"/>
      <c r="O8276" s="107"/>
      <c r="P8276" s="109"/>
      <c r="Q8276" s="107"/>
      <c r="R8276" s="107"/>
      <c r="S8276" s="107"/>
      <c r="T8276" s="479"/>
      <c r="U8276" s="296"/>
      <c r="V8276" s="50"/>
      <c r="W8276" s="49"/>
      <c r="X8276" s="49"/>
      <c r="Y8276" s="35"/>
      <c r="Z8276" s="35"/>
      <c r="AA8276" s="35"/>
      <c r="AB8276" s="35"/>
      <c r="AC8276" s="35"/>
      <c r="AD8276" s="35"/>
      <c r="AE8276" s="35"/>
      <c r="AF8276" s="35"/>
      <c r="AG8276" s="35"/>
      <c r="AH8276" s="35"/>
      <c r="AI8276" s="35"/>
      <c r="AJ8276" s="35"/>
      <c r="AK8276" s="35"/>
      <c r="AL8276" s="35"/>
    </row>
    <row r="8277">
      <c r="A8277" s="457"/>
      <c r="B8277" s="475"/>
      <c r="C8277" s="476"/>
      <c r="D8277" s="477"/>
      <c r="E8277" s="96"/>
      <c r="F8277" s="96"/>
      <c r="G8277" s="325"/>
      <c r="H8277" s="96"/>
      <c r="I8277" s="478"/>
      <c r="J8277" s="96"/>
      <c r="K8277" s="96"/>
      <c r="L8277" s="107"/>
      <c r="M8277" s="107"/>
      <c r="N8277" s="107"/>
      <c r="O8277" s="107"/>
      <c r="P8277" s="109"/>
      <c r="Q8277" s="107"/>
      <c r="R8277" s="107"/>
      <c r="S8277" s="107"/>
      <c r="T8277" s="479"/>
      <c r="U8277" s="296"/>
      <c r="V8277" s="50"/>
      <c r="W8277" s="49"/>
      <c r="X8277" s="49"/>
      <c r="Y8277" s="35"/>
      <c r="Z8277" s="35"/>
      <c r="AA8277" s="35"/>
      <c r="AB8277" s="35"/>
      <c r="AC8277" s="35"/>
      <c r="AD8277" s="35"/>
      <c r="AE8277" s="35"/>
      <c r="AF8277" s="35"/>
      <c r="AG8277" s="35"/>
      <c r="AH8277" s="35"/>
      <c r="AI8277" s="35"/>
      <c r="AJ8277" s="35"/>
      <c r="AK8277" s="35"/>
      <c r="AL8277" s="35"/>
    </row>
    <row r="8278">
      <c r="A8278" s="457"/>
      <c r="B8278" s="475"/>
      <c r="C8278" s="476"/>
      <c r="D8278" s="477"/>
      <c r="E8278" s="96"/>
      <c r="F8278" s="96"/>
      <c r="G8278" s="325"/>
      <c r="H8278" s="96"/>
      <c r="I8278" s="478"/>
      <c r="J8278" s="96"/>
      <c r="K8278" s="96"/>
      <c r="L8278" s="107"/>
      <c r="M8278" s="107"/>
      <c r="N8278" s="107"/>
      <c r="O8278" s="107"/>
      <c r="P8278" s="109"/>
      <c r="Q8278" s="107"/>
      <c r="R8278" s="107"/>
      <c r="S8278" s="107"/>
      <c r="T8278" s="479"/>
      <c r="U8278" s="296"/>
      <c r="V8278" s="50"/>
      <c r="W8278" s="49"/>
      <c r="X8278" s="49"/>
      <c r="Y8278" s="35"/>
      <c r="Z8278" s="35"/>
      <c r="AA8278" s="35"/>
      <c r="AB8278" s="35"/>
      <c r="AC8278" s="35"/>
      <c r="AD8278" s="35"/>
      <c r="AE8278" s="35"/>
      <c r="AF8278" s="35"/>
      <c r="AG8278" s="35"/>
      <c r="AH8278" s="35"/>
      <c r="AI8278" s="35"/>
      <c r="AJ8278" s="35"/>
      <c r="AK8278" s="35"/>
      <c r="AL8278" s="35"/>
    </row>
    <row r="8279">
      <c r="A8279" s="457"/>
      <c r="B8279" s="475"/>
      <c r="C8279" s="476"/>
      <c r="D8279" s="477"/>
      <c r="E8279" s="96"/>
      <c r="F8279" s="96"/>
      <c r="G8279" s="325"/>
      <c r="H8279" s="96"/>
      <c r="I8279" s="478"/>
      <c r="J8279" s="96"/>
      <c r="K8279" s="96"/>
      <c r="L8279" s="107"/>
      <c r="M8279" s="107"/>
      <c r="N8279" s="107"/>
      <c r="O8279" s="107"/>
      <c r="P8279" s="109"/>
      <c r="Q8279" s="107"/>
      <c r="R8279" s="107"/>
      <c r="S8279" s="107"/>
      <c r="T8279" s="479"/>
      <c r="U8279" s="296"/>
      <c r="V8279" s="50"/>
      <c r="W8279" s="49"/>
      <c r="X8279" s="49"/>
      <c r="Y8279" s="35"/>
      <c r="Z8279" s="35"/>
      <c r="AA8279" s="35"/>
      <c r="AB8279" s="35"/>
      <c r="AC8279" s="35"/>
      <c r="AD8279" s="35"/>
      <c r="AE8279" s="35"/>
      <c r="AF8279" s="35"/>
      <c r="AG8279" s="35"/>
      <c r="AH8279" s="35"/>
      <c r="AI8279" s="35"/>
      <c r="AJ8279" s="35"/>
      <c r="AK8279" s="35"/>
      <c r="AL8279" s="35"/>
    </row>
    <row r="8280">
      <c r="A8280" s="457"/>
      <c r="B8280" s="475"/>
      <c r="C8280" s="476"/>
      <c r="D8280" s="477"/>
      <c r="E8280" s="96"/>
      <c r="F8280" s="96"/>
      <c r="G8280" s="325"/>
      <c r="H8280" s="96"/>
      <c r="I8280" s="478"/>
      <c r="J8280" s="96"/>
      <c r="K8280" s="96"/>
      <c r="L8280" s="107"/>
      <c r="M8280" s="107"/>
      <c r="N8280" s="107"/>
      <c r="O8280" s="107"/>
      <c r="P8280" s="109"/>
      <c r="Q8280" s="107"/>
      <c r="R8280" s="107"/>
      <c r="S8280" s="107"/>
      <c r="T8280" s="479"/>
      <c r="U8280" s="296"/>
      <c r="V8280" s="50"/>
      <c r="W8280" s="49"/>
      <c r="X8280" s="49"/>
      <c r="Y8280" s="35"/>
      <c r="Z8280" s="35"/>
      <c r="AA8280" s="35"/>
      <c r="AB8280" s="35"/>
      <c r="AC8280" s="35"/>
      <c r="AD8280" s="35"/>
      <c r="AE8280" s="35"/>
      <c r="AF8280" s="35"/>
      <c r="AG8280" s="35"/>
      <c r="AH8280" s="35"/>
      <c r="AI8280" s="35"/>
      <c r="AJ8280" s="35"/>
      <c r="AK8280" s="35"/>
      <c r="AL8280" s="35"/>
    </row>
    <row r="8281">
      <c r="A8281" s="457"/>
      <c r="B8281" s="475"/>
      <c r="C8281" s="476"/>
      <c r="D8281" s="477"/>
      <c r="E8281" s="96"/>
      <c r="F8281" s="96"/>
      <c r="G8281" s="325"/>
      <c r="H8281" s="96"/>
      <c r="I8281" s="478"/>
      <c r="J8281" s="96"/>
      <c r="K8281" s="96"/>
      <c r="L8281" s="107"/>
      <c r="M8281" s="107"/>
      <c r="N8281" s="107"/>
      <c r="O8281" s="107"/>
      <c r="P8281" s="109"/>
      <c r="Q8281" s="107"/>
      <c r="R8281" s="107"/>
      <c r="S8281" s="107"/>
      <c r="T8281" s="479"/>
      <c r="U8281" s="296"/>
      <c r="V8281" s="50"/>
      <c r="W8281" s="49"/>
      <c r="X8281" s="49"/>
      <c r="Y8281" s="35"/>
      <c r="Z8281" s="35"/>
      <c r="AA8281" s="35"/>
      <c r="AB8281" s="35"/>
      <c r="AC8281" s="35"/>
      <c r="AD8281" s="35"/>
      <c r="AE8281" s="35"/>
      <c r="AF8281" s="35"/>
      <c r="AG8281" s="35"/>
      <c r="AH8281" s="35"/>
      <c r="AI8281" s="35"/>
      <c r="AJ8281" s="35"/>
      <c r="AK8281" s="35"/>
      <c r="AL8281" s="35"/>
    </row>
    <row r="8282">
      <c r="A8282" s="457"/>
      <c r="B8282" s="475"/>
      <c r="C8282" s="476"/>
      <c r="D8282" s="477"/>
      <c r="E8282" s="96"/>
      <c r="F8282" s="96"/>
      <c r="G8282" s="325"/>
      <c r="H8282" s="96"/>
      <c r="I8282" s="478"/>
      <c r="J8282" s="96"/>
      <c r="K8282" s="96"/>
      <c r="L8282" s="107"/>
      <c r="M8282" s="107"/>
      <c r="N8282" s="107"/>
      <c r="O8282" s="107"/>
      <c r="P8282" s="109"/>
      <c r="Q8282" s="107"/>
      <c r="R8282" s="107"/>
      <c r="S8282" s="107"/>
      <c r="T8282" s="479"/>
      <c r="U8282" s="296"/>
      <c r="V8282" s="50"/>
      <c r="W8282" s="49"/>
      <c r="X8282" s="49"/>
      <c r="Y8282" s="35"/>
      <c r="Z8282" s="35"/>
      <c r="AA8282" s="35"/>
      <c r="AB8282" s="35"/>
      <c r="AC8282" s="35"/>
      <c r="AD8282" s="35"/>
      <c r="AE8282" s="35"/>
      <c r="AF8282" s="35"/>
      <c r="AG8282" s="35"/>
      <c r="AH8282" s="35"/>
      <c r="AI8282" s="35"/>
      <c r="AJ8282" s="35"/>
      <c r="AK8282" s="35"/>
      <c r="AL8282" s="35"/>
    </row>
    <row r="8283">
      <c r="A8283" s="457"/>
      <c r="B8283" s="475"/>
      <c r="C8283" s="476"/>
      <c r="D8283" s="477"/>
      <c r="E8283" s="96"/>
      <c r="F8283" s="96"/>
      <c r="G8283" s="325"/>
      <c r="H8283" s="96"/>
      <c r="I8283" s="478"/>
      <c r="J8283" s="96"/>
      <c r="K8283" s="96"/>
      <c r="L8283" s="107"/>
      <c r="M8283" s="107"/>
      <c r="N8283" s="107"/>
      <c r="O8283" s="107"/>
      <c r="P8283" s="109"/>
      <c r="Q8283" s="107"/>
      <c r="R8283" s="107"/>
      <c r="S8283" s="107"/>
      <c r="T8283" s="479"/>
      <c r="U8283" s="296"/>
      <c r="V8283" s="50"/>
      <c r="W8283" s="49"/>
      <c r="X8283" s="49"/>
      <c r="Y8283" s="35"/>
      <c r="Z8283" s="35"/>
      <c r="AA8283" s="35"/>
      <c r="AB8283" s="35"/>
      <c r="AC8283" s="35"/>
      <c r="AD8283" s="35"/>
      <c r="AE8283" s="35"/>
      <c r="AF8283" s="35"/>
      <c r="AG8283" s="35"/>
      <c r="AH8283" s="35"/>
      <c r="AI8283" s="35"/>
      <c r="AJ8283" s="35"/>
      <c r="AK8283" s="35"/>
      <c r="AL8283" s="35"/>
    </row>
    <row r="8284">
      <c r="A8284" s="457"/>
      <c r="B8284" s="475"/>
      <c r="C8284" s="476"/>
      <c r="D8284" s="477"/>
      <c r="E8284" s="96"/>
      <c r="F8284" s="96"/>
      <c r="G8284" s="325"/>
      <c r="H8284" s="96"/>
      <c r="I8284" s="478"/>
      <c r="J8284" s="96"/>
      <c r="K8284" s="96"/>
      <c r="L8284" s="107"/>
      <c r="M8284" s="107"/>
      <c r="N8284" s="107"/>
      <c r="O8284" s="107"/>
      <c r="P8284" s="109"/>
      <c r="Q8284" s="107"/>
      <c r="R8284" s="107"/>
      <c r="S8284" s="107"/>
      <c r="T8284" s="479"/>
      <c r="U8284" s="296"/>
      <c r="V8284" s="50"/>
      <c r="W8284" s="49"/>
      <c r="X8284" s="49"/>
      <c r="Y8284" s="35"/>
      <c r="Z8284" s="35"/>
      <c r="AA8284" s="35"/>
      <c r="AB8284" s="35"/>
      <c r="AC8284" s="35"/>
      <c r="AD8284" s="35"/>
      <c r="AE8284" s="35"/>
      <c r="AF8284" s="35"/>
      <c r="AG8284" s="35"/>
      <c r="AH8284" s="35"/>
      <c r="AI8284" s="35"/>
      <c r="AJ8284" s="35"/>
      <c r="AK8284" s="35"/>
      <c r="AL8284" s="35"/>
    </row>
    <row r="8285">
      <c r="A8285" s="457"/>
      <c r="B8285" s="475"/>
      <c r="C8285" s="476"/>
      <c r="D8285" s="477"/>
      <c r="E8285" s="96"/>
      <c r="F8285" s="96"/>
      <c r="G8285" s="325"/>
      <c r="H8285" s="96"/>
      <c r="I8285" s="478"/>
      <c r="J8285" s="96"/>
      <c r="K8285" s="96"/>
      <c r="L8285" s="107"/>
      <c r="M8285" s="107"/>
      <c r="N8285" s="107"/>
      <c r="O8285" s="107"/>
      <c r="P8285" s="109"/>
      <c r="Q8285" s="107"/>
      <c r="R8285" s="107"/>
      <c r="S8285" s="107"/>
      <c r="T8285" s="479"/>
      <c r="U8285" s="296"/>
      <c r="V8285" s="50"/>
      <c r="W8285" s="49"/>
      <c r="X8285" s="49"/>
      <c r="Y8285" s="35"/>
      <c r="Z8285" s="35"/>
      <c r="AA8285" s="35"/>
      <c r="AB8285" s="35"/>
      <c r="AC8285" s="35"/>
      <c r="AD8285" s="35"/>
      <c r="AE8285" s="35"/>
      <c r="AF8285" s="35"/>
      <c r="AG8285" s="35"/>
      <c r="AH8285" s="35"/>
      <c r="AI8285" s="35"/>
      <c r="AJ8285" s="35"/>
      <c r="AK8285" s="35"/>
      <c r="AL8285" s="35"/>
    </row>
    <row r="8286">
      <c r="A8286" s="457"/>
      <c r="B8286" s="475"/>
      <c r="C8286" s="476"/>
      <c r="D8286" s="477"/>
      <c r="E8286" s="96"/>
      <c r="F8286" s="96"/>
      <c r="G8286" s="325"/>
      <c r="H8286" s="96"/>
      <c r="I8286" s="478"/>
      <c r="J8286" s="96"/>
      <c r="K8286" s="96"/>
      <c r="L8286" s="107"/>
      <c r="M8286" s="107"/>
      <c r="N8286" s="107"/>
      <c r="O8286" s="107"/>
      <c r="P8286" s="109"/>
      <c r="Q8286" s="107"/>
      <c r="R8286" s="107"/>
      <c r="S8286" s="107"/>
      <c r="T8286" s="479"/>
      <c r="U8286" s="296"/>
      <c r="V8286" s="50"/>
      <c r="W8286" s="49"/>
      <c r="X8286" s="49"/>
      <c r="Y8286" s="35"/>
      <c r="Z8286" s="35"/>
      <c r="AA8286" s="35"/>
      <c r="AB8286" s="35"/>
      <c r="AC8286" s="35"/>
      <c r="AD8286" s="35"/>
      <c r="AE8286" s="35"/>
      <c r="AF8286" s="35"/>
      <c r="AG8286" s="35"/>
      <c r="AH8286" s="35"/>
      <c r="AI8286" s="35"/>
      <c r="AJ8286" s="35"/>
      <c r="AK8286" s="35"/>
      <c r="AL8286" s="35"/>
    </row>
    <row r="8287">
      <c r="A8287" s="457"/>
      <c r="B8287" s="475"/>
      <c r="C8287" s="476"/>
      <c r="D8287" s="477"/>
      <c r="E8287" s="96"/>
      <c r="F8287" s="96"/>
      <c r="G8287" s="325"/>
      <c r="H8287" s="96"/>
      <c r="I8287" s="478"/>
      <c r="J8287" s="96"/>
      <c r="K8287" s="96"/>
      <c r="L8287" s="107"/>
      <c r="M8287" s="107"/>
      <c r="N8287" s="107"/>
      <c r="O8287" s="107"/>
      <c r="P8287" s="109"/>
      <c r="Q8287" s="107"/>
      <c r="R8287" s="107"/>
      <c r="S8287" s="107"/>
      <c r="T8287" s="479"/>
      <c r="U8287" s="296"/>
      <c r="V8287" s="50"/>
      <c r="W8287" s="49"/>
      <c r="X8287" s="49"/>
      <c r="Y8287" s="35"/>
      <c r="Z8287" s="35"/>
      <c r="AA8287" s="35"/>
      <c r="AB8287" s="35"/>
      <c r="AC8287" s="35"/>
      <c r="AD8287" s="35"/>
      <c r="AE8287" s="35"/>
      <c r="AF8287" s="35"/>
      <c r="AG8287" s="35"/>
      <c r="AH8287" s="35"/>
      <c r="AI8287" s="35"/>
      <c r="AJ8287" s="35"/>
      <c r="AK8287" s="35"/>
      <c r="AL8287" s="35"/>
    </row>
    <row r="8288">
      <c r="A8288" s="457"/>
      <c r="B8288" s="475"/>
      <c r="C8288" s="476"/>
      <c r="D8288" s="477"/>
      <c r="E8288" s="96"/>
      <c r="F8288" s="96"/>
      <c r="G8288" s="325"/>
      <c r="H8288" s="96"/>
      <c r="I8288" s="478"/>
      <c r="J8288" s="96"/>
      <c r="K8288" s="96"/>
      <c r="L8288" s="107"/>
      <c r="M8288" s="107"/>
      <c r="N8288" s="107"/>
      <c r="O8288" s="107"/>
      <c r="P8288" s="109"/>
      <c r="Q8288" s="107"/>
      <c r="R8288" s="107"/>
      <c r="S8288" s="107"/>
      <c r="T8288" s="479"/>
      <c r="U8288" s="296"/>
      <c r="V8288" s="50"/>
      <c r="W8288" s="49"/>
      <c r="X8288" s="49"/>
      <c r="Y8288" s="35"/>
      <c r="Z8288" s="35"/>
      <c r="AA8288" s="35"/>
      <c r="AB8288" s="35"/>
      <c r="AC8288" s="35"/>
      <c r="AD8288" s="35"/>
      <c r="AE8288" s="35"/>
      <c r="AF8288" s="35"/>
      <c r="AG8288" s="35"/>
      <c r="AH8288" s="35"/>
      <c r="AI8288" s="35"/>
      <c r="AJ8288" s="35"/>
      <c r="AK8288" s="35"/>
      <c r="AL8288" s="35"/>
    </row>
    <row r="8289">
      <c r="A8289" s="457"/>
      <c r="B8289" s="475"/>
      <c r="C8289" s="476"/>
      <c r="D8289" s="477"/>
      <c r="E8289" s="96"/>
      <c r="F8289" s="96"/>
      <c r="G8289" s="325"/>
      <c r="H8289" s="96"/>
      <c r="I8289" s="478"/>
      <c r="J8289" s="96"/>
      <c r="K8289" s="96"/>
      <c r="L8289" s="107"/>
      <c r="M8289" s="107"/>
      <c r="N8289" s="107"/>
      <c r="O8289" s="107"/>
      <c r="P8289" s="109"/>
      <c r="Q8289" s="107"/>
      <c r="R8289" s="107"/>
      <c r="S8289" s="107"/>
      <c r="T8289" s="479"/>
      <c r="U8289" s="296"/>
      <c r="V8289" s="50"/>
      <c r="W8289" s="49"/>
      <c r="X8289" s="49"/>
      <c r="Y8289" s="35"/>
      <c r="Z8289" s="35"/>
      <c r="AA8289" s="35"/>
      <c r="AB8289" s="35"/>
      <c r="AC8289" s="35"/>
      <c r="AD8289" s="35"/>
      <c r="AE8289" s="35"/>
      <c r="AF8289" s="35"/>
      <c r="AG8289" s="35"/>
      <c r="AH8289" s="35"/>
      <c r="AI8289" s="35"/>
      <c r="AJ8289" s="35"/>
      <c r="AK8289" s="35"/>
      <c r="AL8289" s="35"/>
    </row>
    <row r="8290">
      <c r="A8290" s="457"/>
      <c r="B8290" s="475"/>
      <c r="C8290" s="476"/>
      <c r="D8290" s="477"/>
      <c r="E8290" s="96"/>
      <c r="F8290" s="96"/>
      <c r="G8290" s="325"/>
      <c r="H8290" s="96"/>
      <c r="I8290" s="478"/>
      <c r="J8290" s="96"/>
      <c r="K8290" s="96"/>
      <c r="L8290" s="107"/>
      <c r="M8290" s="107"/>
      <c r="N8290" s="107"/>
      <c r="O8290" s="107"/>
      <c r="P8290" s="109"/>
      <c r="Q8290" s="107"/>
      <c r="R8290" s="107"/>
      <c r="S8290" s="107"/>
      <c r="T8290" s="479"/>
      <c r="U8290" s="296"/>
      <c r="V8290" s="50"/>
      <c r="W8290" s="49"/>
      <c r="X8290" s="49"/>
      <c r="Y8290" s="35"/>
      <c r="Z8290" s="35"/>
      <c r="AA8290" s="35"/>
      <c r="AB8290" s="35"/>
      <c r="AC8290" s="35"/>
      <c r="AD8290" s="35"/>
      <c r="AE8290" s="35"/>
      <c r="AF8290" s="35"/>
      <c r="AG8290" s="35"/>
      <c r="AH8290" s="35"/>
      <c r="AI8290" s="35"/>
      <c r="AJ8290" s="35"/>
      <c r="AK8290" s="35"/>
      <c r="AL8290" s="35"/>
    </row>
    <row r="8291">
      <c r="A8291" s="457"/>
      <c r="B8291" s="475"/>
      <c r="C8291" s="476"/>
      <c r="D8291" s="477"/>
      <c r="E8291" s="96"/>
      <c r="F8291" s="96"/>
      <c r="G8291" s="325"/>
      <c r="H8291" s="96"/>
      <c r="I8291" s="478"/>
      <c r="J8291" s="96"/>
      <c r="K8291" s="96"/>
      <c r="L8291" s="107"/>
      <c r="M8291" s="107"/>
      <c r="N8291" s="107"/>
      <c r="O8291" s="107"/>
      <c r="P8291" s="109"/>
      <c r="Q8291" s="107"/>
      <c r="R8291" s="107"/>
      <c r="S8291" s="107"/>
      <c r="T8291" s="479"/>
      <c r="U8291" s="296"/>
      <c r="V8291" s="50"/>
      <c r="W8291" s="49"/>
      <c r="X8291" s="49"/>
      <c r="Y8291" s="35"/>
      <c r="Z8291" s="35"/>
      <c r="AA8291" s="35"/>
      <c r="AB8291" s="35"/>
      <c r="AC8291" s="35"/>
      <c r="AD8291" s="35"/>
      <c r="AE8291" s="35"/>
      <c r="AF8291" s="35"/>
      <c r="AG8291" s="35"/>
      <c r="AH8291" s="35"/>
      <c r="AI8291" s="35"/>
      <c r="AJ8291" s="35"/>
      <c r="AK8291" s="35"/>
      <c r="AL8291" s="35"/>
    </row>
    <row r="8292">
      <c r="A8292" s="457"/>
      <c r="B8292" s="475"/>
      <c r="C8292" s="476"/>
      <c r="D8292" s="477"/>
      <c r="E8292" s="96"/>
      <c r="F8292" s="96"/>
      <c r="G8292" s="325"/>
      <c r="H8292" s="96"/>
      <c r="I8292" s="478"/>
      <c r="J8292" s="96"/>
      <c r="K8292" s="96"/>
      <c r="L8292" s="107"/>
      <c r="M8292" s="107"/>
      <c r="N8292" s="107"/>
      <c r="O8292" s="107"/>
      <c r="P8292" s="109"/>
      <c r="Q8292" s="107"/>
      <c r="R8292" s="107"/>
      <c r="S8292" s="107"/>
      <c r="T8292" s="479"/>
      <c r="U8292" s="296"/>
      <c r="V8292" s="50"/>
      <c r="W8292" s="49"/>
      <c r="X8292" s="49"/>
      <c r="Y8292" s="35"/>
      <c r="Z8292" s="35"/>
      <c r="AA8292" s="35"/>
      <c r="AB8292" s="35"/>
      <c r="AC8292" s="35"/>
      <c r="AD8292" s="35"/>
      <c r="AE8292" s="35"/>
      <c r="AF8292" s="35"/>
      <c r="AG8292" s="35"/>
      <c r="AH8292" s="35"/>
      <c r="AI8292" s="35"/>
      <c r="AJ8292" s="35"/>
      <c r="AK8292" s="35"/>
      <c r="AL8292" s="35"/>
    </row>
    <row r="8293">
      <c r="A8293" s="457"/>
      <c r="B8293" s="475"/>
      <c r="C8293" s="476"/>
      <c r="D8293" s="477"/>
      <c r="E8293" s="96"/>
      <c r="F8293" s="96"/>
      <c r="G8293" s="325"/>
      <c r="H8293" s="96"/>
      <c r="I8293" s="478"/>
      <c r="J8293" s="96"/>
      <c r="K8293" s="96"/>
      <c r="L8293" s="107"/>
      <c r="M8293" s="107"/>
      <c r="N8293" s="107"/>
      <c r="O8293" s="107"/>
      <c r="P8293" s="109"/>
      <c r="Q8293" s="107"/>
      <c r="R8293" s="107"/>
      <c r="S8293" s="107"/>
      <c r="T8293" s="479"/>
      <c r="U8293" s="296"/>
      <c r="V8293" s="50"/>
      <c r="W8293" s="49"/>
      <c r="X8293" s="49"/>
      <c r="Y8293" s="35"/>
      <c r="Z8293" s="35"/>
      <c r="AA8293" s="35"/>
      <c r="AB8293" s="35"/>
      <c r="AC8293" s="35"/>
      <c r="AD8293" s="35"/>
      <c r="AE8293" s="35"/>
      <c r="AF8293" s="35"/>
      <c r="AG8293" s="35"/>
      <c r="AH8293" s="35"/>
      <c r="AI8293" s="35"/>
      <c r="AJ8293" s="35"/>
      <c r="AK8293" s="35"/>
      <c r="AL8293" s="35"/>
    </row>
    <row r="8294">
      <c r="A8294" s="457"/>
      <c r="B8294" s="475"/>
      <c r="C8294" s="476"/>
      <c r="D8294" s="477"/>
      <c r="E8294" s="96"/>
      <c r="F8294" s="96"/>
      <c r="G8294" s="325"/>
      <c r="H8294" s="96"/>
      <c r="I8294" s="478"/>
      <c r="J8294" s="96"/>
      <c r="K8294" s="96"/>
      <c r="L8294" s="107"/>
      <c r="M8294" s="107"/>
      <c r="N8294" s="107"/>
      <c r="O8294" s="107"/>
      <c r="P8294" s="109"/>
      <c r="Q8294" s="107"/>
      <c r="R8294" s="107"/>
      <c r="S8294" s="107"/>
      <c r="T8294" s="479"/>
      <c r="U8294" s="296"/>
      <c r="V8294" s="50"/>
      <c r="W8294" s="49"/>
      <c r="X8294" s="49"/>
      <c r="Y8294" s="35"/>
      <c r="Z8294" s="35"/>
      <c r="AA8294" s="35"/>
      <c r="AB8294" s="35"/>
      <c r="AC8294" s="35"/>
      <c r="AD8294" s="35"/>
      <c r="AE8294" s="35"/>
      <c r="AF8294" s="35"/>
      <c r="AG8294" s="35"/>
      <c r="AH8294" s="35"/>
      <c r="AI8294" s="35"/>
      <c r="AJ8294" s="35"/>
      <c r="AK8294" s="35"/>
      <c r="AL8294" s="35"/>
    </row>
    <row r="8295">
      <c r="A8295" s="457"/>
      <c r="B8295" s="475"/>
      <c r="C8295" s="476"/>
      <c r="D8295" s="477"/>
      <c r="E8295" s="96"/>
      <c r="F8295" s="96"/>
      <c r="G8295" s="325"/>
      <c r="H8295" s="96"/>
      <c r="I8295" s="478"/>
      <c r="J8295" s="96"/>
      <c r="K8295" s="96"/>
      <c r="L8295" s="107"/>
      <c r="M8295" s="107"/>
      <c r="N8295" s="107"/>
      <c r="O8295" s="107"/>
      <c r="P8295" s="109"/>
      <c r="Q8295" s="107"/>
      <c r="R8295" s="107"/>
      <c r="S8295" s="107"/>
      <c r="T8295" s="479"/>
      <c r="U8295" s="296"/>
      <c r="V8295" s="50"/>
      <c r="W8295" s="49"/>
      <c r="X8295" s="49"/>
      <c r="Y8295" s="35"/>
      <c r="Z8295" s="35"/>
      <c r="AA8295" s="35"/>
      <c r="AB8295" s="35"/>
      <c r="AC8295" s="35"/>
      <c r="AD8295" s="35"/>
      <c r="AE8295" s="35"/>
      <c r="AF8295" s="35"/>
      <c r="AG8295" s="35"/>
      <c r="AH8295" s="35"/>
      <c r="AI8295" s="35"/>
      <c r="AJ8295" s="35"/>
      <c r="AK8295" s="35"/>
      <c r="AL8295" s="35"/>
    </row>
    <row r="8296">
      <c r="A8296" s="457"/>
      <c r="B8296" s="475"/>
      <c r="C8296" s="476"/>
      <c r="D8296" s="477"/>
      <c r="E8296" s="96"/>
      <c r="F8296" s="96"/>
      <c r="G8296" s="325"/>
      <c r="H8296" s="96"/>
      <c r="I8296" s="478"/>
      <c r="J8296" s="96"/>
      <c r="K8296" s="96"/>
      <c r="L8296" s="107"/>
      <c r="M8296" s="107"/>
      <c r="N8296" s="107"/>
      <c r="O8296" s="107"/>
      <c r="P8296" s="109"/>
      <c r="Q8296" s="107"/>
      <c r="R8296" s="107"/>
      <c r="S8296" s="107"/>
      <c r="T8296" s="479"/>
      <c r="U8296" s="296"/>
      <c r="V8296" s="50"/>
      <c r="W8296" s="49"/>
      <c r="X8296" s="49"/>
      <c r="Y8296" s="35"/>
      <c r="Z8296" s="35"/>
      <c r="AA8296" s="35"/>
      <c r="AB8296" s="35"/>
      <c r="AC8296" s="35"/>
      <c r="AD8296" s="35"/>
      <c r="AE8296" s="35"/>
      <c r="AF8296" s="35"/>
      <c r="AG8296" s="35"/>
      <c r="AH8296" s="35"/>
      <c r="AI8296" s="35"/>
      <c r="AJ8296" s="35"/>
      <c r="AK8296" s="35"/>
      <c r="AL8296" s="35"/>
    </row>
    <row r="8297">
      <c r="A8297" s="457"/>
      <c r="B8297" s="475"/>
      <c r="C8297" s="476"/>
      <c r="D8297" s="477"/>
      <c r="E8297" s="96"/>
      <c r="F8297" s="96"/>
      <c r="G8297" s="325"/>
      <c r="H8297" s="96"/>
      <c r="I8297" s="478"/>
      <c r="J8297" s="96"/>
      <c r="K8297" s="96"/>
      <c r="L8297" s="107"/>
      <c r="M8297" s="107"/>
      <c r="N8297" s="107"/>
      <c r="O8297" s="107"/>
      <c r="P8297" s="109"/>
      <c r="Q8297" s="107"/>
      <c r="R8297" s="107"/>
      <c r="S8297" s="107"/>
      <c r="T8297" s="479"/>
      <c r="U8297" s="296"/>
      <c r="V8297" s="50"/>
      <c r="W8297" s="49"/>
      <c r="X8297" s="49"/>
      <c r="Y8297" s="35"/>
      <c r="Z8297" s="35"/>
      <c r="AA8297" s="35"/>
      <c r="AB8297" s="35"/>
      <c r="AC8297" s="35"/>
      <c r="AD8297" s="35"/>
      <c r="AE8297" s="35"/>
      <c r="AF8297" s="35"/>
      <c r="AG8297" s="35"/>
      <c r="AH8297" s="35"/>
      <c r="AI8297" s="35"/>
      <c r="AJ8297" s="35"/>
      <c r="AK8297" s="35"/>
      <c r="AL8297" s="35"/>
    </row>
    <row r="8298">
      <c r="A8298" s="457"/>
      <c r="B8298" s="475"/>
      <c r="C8298" s="476"/>
      <c r="D8298" s="477"/>
      <c r="E8298" s="96"/>
      <c r="F8298" s="96"/>
      <c r="G8298" s="325"/>
      <c r="H8298" s="96"/>
      <c r="I8298" s="478"/>
      <c r="J8298" s="96"/>
      <c r="K8298" s="96"/>
      <c r="L8298" s="107"/>
      <c r="M8298" s="107"/>
      <c r="N8298" s="107"/>
      <c r="O8298" s="107"/>
      <c r="P8298" s="109"/>
      <c r="Q8298" s="107"/>
      <c r="R8298" s="107"/>
      <c r="S8298" s="107"/>
      <c r="T8298" s="479"/>
      <c r="U8298" s="296"/>
      <c r="V8298" s="50"/>
      <c r="W8298" s="49"/>
      <c r="X8298" s="49"/>
      <c r="Y8298" s="35"/>
      <c r="Z8298" s="35"/>
      <c r="AA8298" s="35"/>
      <c r="AB8298" s="35"/>
      <c r="AC8298" s="35"/>
      <c r="AD8298" s="35"/>
      <c r="AE8298" s="35"/>
      <c r="AF8298" s="35"/>
      <c r="AG8298" s="35"/>
      <c r="AH8298" s="35"/>
      <c r="AI8298" s="35"/>
      <c r="AJ8298" s="35"/>
      <c r="AK8298" s="35"/>
      <c r="AL8298" s="35"/>
    </row>
    <row r="8299">
      <c r="A8299" s="457"/>
      <c r="B8299" s="475"/>
      <c r="C8299" s="476"/>
      <c r="D8299" s="477"/>
      <c r="E8299" s="96"/>
      <c r="F8299" s="96"/>
      <c r="G8299" s="325"/>
      <c r="H8299" s="96"/>
      <c r="I8299" s="478"/>
      <c r="J8299" s="96"/>
      <c r="K8299" s="96"/>
      <c r="L8299" s="107"/>
      <c r="M8299" s="107"/>
      <c r="N8299" s="107"/>
      <c r="O8299" s="107"/>
      <c r="P8299" s="109"/>
      <c r="Q8299" s="107"/>
      <c r="R8299" s="107"/>
      <c r="S8299" s="107"/>
      <c r="T8299" s="479"/>
      <c r="U8299" s="296"/>
      <c r="V8299" s="50"/>
      <c r="W8299" s="49"/>
      <c r="X8299" s="49"/>
      <c r="Y8299" s="35"/>
      <c r="Z8299" s="35"/>
      <c r="AA8299" s="35"/>
      <c r="AB8299" s="35"/>
      <c r="AC8299" s="35"/>
      <c r="AD8299" s="35"/>
      <c r="AE8299" s="35"/>
      <c r="AF8299" s="35"/>
      <c r="AG8299" s="35"/>
      <c r="AH8299" s="35"/>
      <c r="AI8299" s="35"/>
      <c r="AJ8299" s="35"/>
      <c r="AK8299" s="35"/>
      <c r="AL8299" s="35"/>
    </row>
    <row r="8300">
      <c r="A8300" s="457"/>
      <c r="B8300" s="475"/>
      <c r="C8300" s="476"/>
      <c r="D8300" s="477"/>
      <c r="E8300" s="96"/>
      <c r="F8300" s="96"/>
      <c r="G8300" s="325"/>
      <c r="H8300" s="96"/>
      <c r="I8300" s="478"/>
      <c r="J8300" s="96"/>
      <c r="K8300" s="96"/>
      <c r="L8300" s="107"/>
      <c r="M8300" s="107"/>
      <c r="N8300" s="107"/>
      <c r="O8300" s="107"/>
      <c r="P8300" s="109"/>
      <c r="Q8300" s="107"/>
      <c r="R8300" s="107"/>
      <c r="S8300" s="107"/>
      <c r="T8300" s="479"/>
      <c r="U8300" s="296"/>
      <c r="V8300" s="50"/>
      <c r="W8300" s="49"/>
      <c r="X8300" s="49"/>
      <c r="Y8300" s="35"/>
      <c r="Z8300" s="35"/>
      <c r="AA8300" s="35"/>
      <c r="AB8300" s="35"/>
      <c r="AC8300" s="35"/>
      <c r="AD8300" s="35"/>
      <c r="AE8300" s="35"/>
      <c r="AF8300" s="35"/>
      <c r="AG8300" s="35"/>
      <c r="AH8300" s="35"/>
      <c r="AI8300" s="35"/>
      <c r="AJ8300" s="35"/>
      <c r="AK8300" s="35"/>
      <c r="AL8300" s="35"/>
    </row>
    <row r="8301">
      <c r="A8301" s="457"/>
      <c r="B8301" s="475"/>
      <c r="C8301" s="476"/>
      <c r="D8301" s="477"/>
      <c r="E8301" s="96"/>
      <c r="F8301" s="96"/>
      <c r="G8301" s="325"/>
      <c r="H8301" s="96"/>
      <c r="I8301" s="478"/>
      <c r="J8301" s="96"/>
      <c r="K8301" s="96"/>
      <c r="L8301" s="107"/>
      <c r="M8301" s="107"/>
      <c r="N8301" s="107"/>
      <c r="O8301" s="107"/>
      <c r="P8301" s="109"/>
      <c r="Q8301" s="107"/>
      <c r="R8301" s="107"/>
      <c r="S8301" s="107"/>
      <c r="T8301" s="479"/>
      <c r="U8301" s="296"/>
      <c r="V8301" s="50"/>
      <c r="W8301" s="49"/>
      <c r="X8301" s="49"/>
      <c r="Y8301" s="35"/>
      <c r="Z8301" s="35"/>
      <c r="AA8301" s="35"/>
      <c r="AB8301" s="35"/>
      <c r="AC8301" s="35"/>
      <c r="AD8301" s="35"/>
      <c r="AE8301" s="35"/>
      <c r="AF8301" s="35"/>
      <c r="AG8301" s="35"/>
      <c r="AH8301" s="35"/>
      <c r="AI8301" s="35"/>
      <c r="AJ8301" s="35"/>
      <c r="AK8301" s="35"/>
      <c r="AL8301" s="35"/>
    </row>
    <row r="8302">
      <c r="A8302" s="457"/>
      <c r="B8302" s="475"/>
      <c r="C8302" s="476"/>
      <c r="D8302" s="477"/>
      <c r="E8302" s="96"/>
      <c r="F8302" s="96"/>
      <c r="G8302" s="325"/>
      <c r="H8302" s="96"/>
      <c r="I8302" s="478"/>
      <c r="J8302" s="96"/>
      <c r="K8302" s="96"/>
      <c r="L8302" s="107"/>
      <c r="M8302" s="107"/>
      <c r="N8302" s="107"/>
      <c r="O8302" s="107"/>
      <c r="P8302" s="109"/>
      <c r="Q8302" s="107"/>
      <c r="R8302" s="107"/>
      <c r="S8302" s="107"/>
      <c r="T8302" s="479"/>
      <c r="U8302" s="296"/>
      <c r="V8302" s="50"/>
      <c r="W8302" s="49"/>
      <c r="X8302" s="49"/>
      <c r="Y8302" s="35"/>
      <c r="Z8302" s="35"/>
      <c r="AA8302" s="35"/>
      <c r="AB8302" s="35"/>
      <c r="AC8302" s="35"/>
      <c r="AD8302" s="35"/>
      <c r="AE8302" s="35"/>
      <c r="AF8302" s="35"/>
      <c r="AG8302" s="35"/>
      <c r="AH8302" s="35"/>
      <c r="AI8302" s="35"/>
      <c r="AJ8302" s="35"/>
      <c r="AK8302" s="35"/>
      <c r="AL8302" s="35"/>
    </row>
    <row r="8303">
      <c r="A8303" s="457"/>
      <c r="B8303" s="475"/>
      <c r="C8303" s="476"/>
      <c r="D8303" s="477"/>
      <c r="E8303" s="96"/>
      <c r="F8303" s="96"/>
      <c r="G8303" s="325"/>
      <c r="H8303" s="96"/>
      <c r="I8303" s="478"/>
      <c r="J8303" s="96"/>
      <c r="K8303" s="96"/>
      <c r="L8303" s="107"/>
      <c r="M8303" s="107"/>
      <c r="N8303" s="107"/>
      <c r="O8303" s="107"/>
      <c r="P8303" s="109"/>
      <c r="Q8303" s="107"/>
      <c r="R8303" s="107"/>
      <c r="S8303" s="107"/>
      <c r="T8303" s="479"/>
      <c r="U8303" s="296"/>
      <c r="V8303" s="50"/>
      <c r="W8303" s="49"/>
      <c r="X8303" s="49"/>
      <c r="Y8303" s="35"/>
      <c r="Z8303" s="35"/>
      <c r="AA8303" s="35"/>
      <c r="AB8303" s="35"/>
      <c r="AC8303" s="35"/>
      <c r="AD8303" s="35"/>
      <c r="AE8303" s="35"/>
      <c r="AF8303" s="35"/>
      <c r="AG8303" s="35"/>
      <c r="AH8303" s="35"/>
      <c r="AI8303" s="35"/>
      <c r="AJ8303" s="35"/>
      <c r="AK8303" s="35"/>
      <c r="AL8303" s="35"/>
    </row>
    <row r="8304">
      <c r="A8304" s="457"/>
      <c r="B8304" s="475"/>
      <c r="C8304" s="476"/>
      <c r="D8304" s="477"/>
      <c r="E8304" s="96"/>
      <c r="F8304" s="96"/>
      <c r="G8304" s="325"/>
      <c r="H8304" s="96"/>
      <c r="I8304" s="478"/>
      <c r="J8304" s="96"/>
      <c r="K8304" s="96"/>
      <c r="L8304" s="107"/>
      <c r="M8304" s="107"/>
      <c r="N8304" s="107"/>
      <c r="O8304" s="107"/>
      <c r="P8304" s="109"/>
      <c r="Q8304" s="107"/>
      <c r="R8304" s="107"/>
      <c r="S8304" s="107"/>
      <c r="T8304" s="479"/>
      <c r="U8304" s="296"/>
      <c r="V8304" s="50"/>
      <c r="W8304" s="49"/>
      <c r="X8304" s="49"/>
      <c r="Y8304" s="35"/>
      <c r="Z8304" s="35"/>
      <c r="AA8304" s="35"/>
      <c r="AB8304" s="35"/>
      <c r="AC8304" s="35"/>
      <c r="AD8304" s="35"/>
      <c r="AE8304" s="35"/>
      <c r="AF8304" s="35"/>
      <c r="AG8304" s="35"/>
      <c r="AH8304" s="35"/>
      <c r="AI8304" s="35"/>
      <c r="AJ8304" s="35"/>
      <c r="AK8304" s="35"/>
      <c r="AL8304" s="35"/>
    </row>
    <row r="8305">
      <c r="A8305" s="457"/>
      <c r="B8305" s="475"/>
      <c r="C8305" s="476"/>
      <c r="D8305" s="477"/>
      <c r="E8305" s="96"/>
      <c r="F8305" s="96"/>
      <c r="G8305" s="325"/>
      <c r="H8305" s="96"/>
      <c r="I8305" s="478"/>
      <c r="J8305" s="96"/>
      <c r="K8305" s="96"/>
      <c r="L8305" s="107"/>
      <c r="M8305" s="107"/>
      <c r="N8305" s="107"/>
      <c r="O8305" s="107"/>
      <c r="P8305" s="109"/>
      <c r="Q8305" s="107"/>
      <c r="R8305" s="107"/>
      <c r="S8305" s="107"/>
      <c r="T8305" s="479"/>
      <c r="U8305" s="296"/>
      <c r="V8305" s="50"/>
      <c r="W8305" s="49"/>
      <c r="X8305" s="49"/>
      <c r="Y8305" s="35"/>
      <c r="Z8305" s="35"/>
      <c r="AA8305" s="35"/>
      <c r="AB8305" s="35"/>
      <c r="AC8305" s="35"/>
      <c r="AD8305" s="35"/>
      <c r="AE8305" s="35"/>
      <c r="AF8305" s="35"/>
      <c r="AG8305" s="35"/>
      <c r="AH8305" s="35"/>
      <c r="AI8305" s="35"/>
      <c r="AJ8305" s="35"/>
      <c r="AK8305" s="35"/>
      <c r="AL8305" s="35"/>
    </row>
    <row r="8306">
      <c r="A8306" s="457"/>
      <c r="B8306" s="475"/>
      <c r="C8306" s="476"/>
      <c r="D8306" s="477"/>
      <c r="E8306" s="96"/>
      <c r="F8306" s="96"/>
      <c r="G8306" s="325"/>
      <c r="H8306" s="96"/>
      <c r="I8306" s="478"/>
      <c r="J8306" s="96"/>
      <c r="K8306" s="96"/>
      <c r="L8306" s="107"/>
      <c r="M8306" s="107"/>
      <c r="N8306" s="107"/>
      <c r="O8306" s="107"/>
      <c r="P8306" s="109"/>
      <c r="Q8306" s="107"/>
      <c r="R8306" s="107"/>
      <c r="S8306" s="107"/>
      <c r="T8306" s="479"/>
      <c r="U8306" s="296"/>
      <c r="V8306" s="50"/>
      <c r="W8306" s="49"/>
      <c r="X8306" s="49"/>
      <c r="Y8306" s="35"/>
      <c r="Z8306" s="35"/>
      <c r="AA8306" s="35"/>
      <c r="AB8306" s="35"/>
      <c r="AC8306" s="35"/>
      <c r="AD8306" s="35"/>
      <c r="AE8306" s="35"/>
      <c r="AF8306" s="35"/>
      <c r="AG8306" s="35"/>
      <c r="AH8306" s="35"/>
      <c r="AI8306" s="35"/>
      <c r="AJ8306" s="35"/>
      <c r="AK8306" s="35"/>
      <c r="AL8306" s="35"/>
    </row>
    <row r="8307">
      <c r="A8307" s="457"/>
      <c r="B8307" s="475"/>
      <c r="C8307" s="476"/>
      <c r="D8307" s="477"/>
      <c r="E8307" s="96"/>
      <c r="F8307" s="96"/>
      <c r="G8307" s="325"/>
      <c r="H8307" s="96"/>
      <c r="I8307" s="478"/>
      <c r="J8307" s="96"/>
      <c r="K8307" s="96"/>
      <c r="L8307" s="107"/>
      <c r="M8307" s="107"/>
      <c r="N8307" s="107"/>
      <c r="O8307" s="107"/>
      <c r="P8307" s="109"/>
      <c r="Q8307" s="107"/>
      <c r="R8307" s="107"/>
      <c r="S8307" s="107"/>
      <c r="T8307" s="479"/>
      <c r="U8307" s="296"/>
      <c r="V8307" s="50"/>
      <c r="W8307" s="49"/>
      <c r="X8307" s="49"/>
      <c r="Y8307" s="35"/>
      <c r="Z8307" s="35"/>
      <c r="AA8307" s="35"/>
      <c r="AB8307" s="35"/>
      <c r="AC8307" s="35"/>
      <c r="AD8307" s="35"/>
      <c r="AE8307" s="35"/>
      <c r="AF8307" s="35"/>
      <c r="AG8307" s="35"/>
      <c r="AH8307" s="35"/>
      <c r="AI8307" s="35"/>
      <c r="AJ8307" s="35"/>
      <c r="AK8307" s="35"/>
      <c r="AL8307" s="35"/>
    </row>
    <row r="8308">
      <c r="A8308" s="457"/>
      <c r="B8308" s="475"/>
      <c r="C8308" s="476"/>
      <c r="D8308" s="477"/>
      <c r="E8308" s="96"/>
      <c r="F8308" s="96"/>
      <c r="G8308" s="325"/>
      <c r="H8308" s="96"/>
      <c r="I8308" s="478"/>
      <c r="J8308" s="96"/>
      <c r="K8308" s="96"/>
      <c r="L8308" s="107"/>
      <c r="M8308" s="107"/>
      <c r="N8308" s="107"/>
      <c r="O8308" s="107"/>
      <c r="P8308" s="109"/>
      <c r="Q8308" s="107"/>
      <c r="R8308" s="107"/>
      <c r="S8308" s="107"/>
      <c r="T8308" s="479"/>
      <c r="U8308" s="296"/>
      <c r="V8308" s="50"/>
      <c r="W8308" s="49"/>
      <c r="X8308" s="49"/>
      <c r="Y8308" s="35"/>
      <c r="Z8308" s="35"/>
      <c r="AA8308" s="35"/>
      <c r="AB8308" s="35"/>
      <c r="AC8308" s="35"/>
      <c r="AD8308" s="35"/>
      <c r="AE8308" s="35"/>
      <c r="AF8308" s="35"/>
      <c r="AG8308" s="35"/>
      <c r="AH8308" s="35"/>
      <c r="AI8308" s="35"/>
      <c r="AJ8308" s="35"/>
      <c r="AK8308" s="35"/>
      <c r="AL8308" s="35"/>
    </row>
    <row r="8309">
      <c r="A8309" s="457"/>
      <c r="B8309" s="475"/>
      <c r="C8309" s="476"/>
      <c r="D8309" s="477"/>
      <c r="E8309" s="96"/>
      <c r="F8309" s="96"/>
      <c r="G8309" s="325"/>
      <c r="H8309" s="96"/>
      <c r="I8309" s="478"/>
      <c r="J8309" s="96"/>
      <c r="K8309" s="96"/>
      <c r="L8309" s="107"/>
      <c r="M8309" s="107"/>
      <c r="N8309" s="107"/>
      <c r="O8309" s="107"/>
      <c r="P8309" s="109"/>
      <c r="Q8309" s="107"/>
      <c r="R8309" s="107"/>
      <c r="S8309" s="107"/>
      <c r="T8309" s="479"/>
      <c r="U8309" s="296"/>
      <c r="V8309" s="50"/>
      <c r="W8309" s="49"/>
      <c r="X8309" s="49"/>
      <c r="Y8309" s="35"/>
      <c r="Z8309" s="35"/>
      <c r="AA8309" s="35"/>
      <c r="AB8309" s="35"/>
      <c r="AC8309" s="35"/>
      <c r="AD8309" s="35"/>
      <c r="AE8309" s="35"/>
      <c r="AF8309" s="35"/>
      <c r="AG8309" s="35"/>
      <c r="AH8309" s="35"/>
      <c r="AI8309" s="35"/>
      <c r="AJ8309" s="35"/>
      <c r="AK8309" s="35"/>
      <c r="AL8309" s="35"/>
    </row>
    <row r="8310">
      <c r="A8310" s="457"/>
      <c r="B8310" s="475"/>
      <c r="C8310" s="476"/>
      <c r="D8310" s="477"/>
      <c r="E8310" s="96"/>
      <c r="F8310" s="96"/>
      <c r="G8310" s="325"/>
      <c r="H8310" s="96"/>
      <c r="I8310" s="478"/>
      <c r="J8310" s="96"/>
      <c r="K8310" s="96"/>
      <c r="L8310" s="107"/>
      <c r="M8310" s="107"/>
      <c r="N8310" s="107"/>
      <c r="O8310" s="107"/>
      <c r="P8310" s="109"/>
      <c r="Q8310" s="107"/>
      <c r="R8310" s="107"/>
      <c r="S8310" s="107"/>
      <c r="T8310" s="479"/>
      <c r="U8310" s="296"/>
      <c r="V8310" s="50"/>
      <c r="W8310" s="49"/>
      <c r="X8310" s="49"/>
      <c r="Y8310" s="35"/>
      <c r="Z8310" s="35"/>
      <c r="AA8310" s="35"/>
      <c r="AB8310" s="35"/>
      <c r="AC8310" s="35"/>
      <c r="AD8310" s="35"/>
      <c r="AE8310" s="35"/>
      <c r="AF8310" s="35"/>
      <c r="AG8310" s="35"/>
      <c r="AH8310" s="35"/>
      <c r="AI8310" s="35"/>
      <c r="AJ8310" s="35"/>
      <c r="AK8310" s="35"/>
      <c r="AL8310" s="35"/>
    </row>
    <row r="8311">
      <c r="A8311" s="457"/>
      <c r="B8311" s="475"/>
      <c r="C8311" s="476"/>
      <c r="D8311" s="477"/>
      <c r="E8311" s="96"/>
      <c r="F8311" s="96"/>
      <c r="G8311" s="325"/>
      <c r="H8311" s="96"/>
      <c r="I8311" s="478"/>
      <c r="J8311" s="96"/>
      <c r="K8311" s="96"/>
      <c r="L8311" s="107"/>
      <c r="M8311" s="107"/>
      <c r="N8311" s="107"/>
      <c r="O8311" s="107"/>
      <c r="P8311" s="109"/>
      <c r="Q8311" s="107"/>
      <c r="R8311" s="107"/>
      <c r="S8311" s="107"/>
      <c r="T8311" s="479"/>
      <c r="U8311" s="296"/>
      <c r="V8311" s="50"/>
      <c r="W8311" s="49"/>
      <c r="X8311" s="49"/>
      <c r="Y8311" s="35"/>
      <c r="Z8311" s="35"/>
      <c r="AA8311" s="35"/>
      <c r="AB8311" s="35"/>
      <c r="AC8311" s="35"/>
      <c r="AD8311" s="35"/>
      <c r="AE8311" s="35"/>
      <c r="AF8311" s="35"/>
      <c r="AG8311" s="35"/>
      <c r="AH8311" s="35"/>
      <c r="AI8311" s="35"/>
      <c r="AJ8311" s="35"/>
      <c r="AK8311" s="35"/>
      <c r="AL8311" s="35"/>
    </row>
    <row r="8312">
      <c r="A8312" s="457"/>
      <c r="B8312" s="475"/>
      <c r="C8312" s="476"/>
      <c r="D8312" s="477"/>
      <c r="E8312" s="96"/>
      <c r="F8312" s="96"/>
      <c r="G8312" s="325"/>
      <c r="H8312" s="96"/>
      <c r="I8312" s="478"/>
      <c r="J8312" s="96"/>
      <c r="K8312" s="96"/>
      <c r="L8312" s="107"/>
      <c r="M8312" s="107"/>
      <c r="N8312" s="107"/>
      <c r="O8312" s="107"/>
      <c r="P8312" s="109"/>
      <c r="Q8312" s="107"/>
      <c r="R8312" s="107"/>
      <c r="S8312" s="107"/>
      <c r="T8312" s="479"/>
      <c r="U8312" s="296"/>
      <c r="V8312" s="50"/>
      <c r="W8312" s="49"/>
      <c r="X8312" s="49"/>
      <c r="Y8312" s="35"/>
      <c r="Z8312" s="35"/>
      <c r="AA8312" s="35"/>
      <c r="AB8312" s="35"/>
      <c r="AC8312" s="35"/>
      <c r="AD8312" s="35"/>
      <c r="AE8312" s="35"/>
      <c r="AF8312" s="35"/>
      <c r="AG8312" s="35"/>
      <c r="AH8312" s="35"/>
      <c r="AI8312" s="35"/>
      <c r="AJ8312" s="35"/>
      <c r="AK8312" s="35"/>
      <c r="AL8312" s="35"/>
    </row>
    <row r="8313">
      <c r="A8313" s="457"/>
      <c r="B8313" s="475"/>
      <c r="C8313" s="476"/>
      <c r="D8313" s="477"/>
      <c r="E8313" s="96"/>
      <c r="F8313" s="96"/>
      <c r="G8313" s="325"/>
      <c r="H8313" s="96"/>
      <c r="I8313" s="478"/>
      <c r="J8313" s="96"/>
      <c r="K8313" s="96"/>
      <c r="L8313" s="107"/>
      <c r="M8313" s="107"/>
      <c r="N8313" s="107"/>
      <c r="O8313" s="107"/>
      <c r="P8313" s="109"/>
      <c r="Q8313" s="107"/>
      <c r="R8313" s="107"/>
      <c r="S8313" s="107"/>
      <c r="T8313" s="479"/>
      <c r="U8313" s="296"/>
      <c r="V8313" s="50"/>
      <c r="W8313" s="49"/>
      <c r="X8313" s="49"/>
      <c r="Y8313" s="35"/>
      <c r="Z8313" s="35"/>
      <c r="AA8313" s="35"/>
      <c r="AB8313" s="35"/>
      <c r="AC8313" s="35"/>
      <c r="AD8313" s="35"/>
      <c r="AE8313" s="35"/>
      <c r="AF8313" s="35"/>
      <c r="AG8313" s="35"/>
      <c r="AH8313" s="35"/>
      <c r="AI8313" s="35"/>
      <c r="AJ8313" s="35"/>
      <c r="AK8313" s="35"/>
      <c r="AL8313" s="35"/>
    </row>
    <row r="8314">
      <c r="A8314" s="457"/>
      <c r="B8314" s="475"/>
      <c r="C8314" s="476"/>
      <c r="D8314" s="477"/>
      <c r="E8314" s="96"/>
      <c r="F8314" s="96"/>
      <c r="G8314" s="325"/>
      <c r="H8314" s="96"/>
      <c r="I8314" s="478"/>
      <c r="J8314" s="96"/>
      <c r="K8314" s="96"/>
      <c r="L8314" s="107"/>
      <c r="M8314" s="107"/>
      <c r="N8314" s="107"/>
      <c r="O8314" s="107"/>
      <c r="P8314" s="109"/>
      <c r="Q8314" s="107"/>
      <c r="R8314" s="107"/>
      <c r="S8314" s="107"/>
      <c r="T8314" s="479"/>
      <c r="U8314" s="296"/>
      <c r="V8314" s="50"/>
      <c r="W8314" s="49"/>
      <c r="X8314" s="49"/>
      <c r="Y8314" s="35"/>
      <c r="Z8314" s="35"/>
      <c r="AA8314" s="35"/>
      <c r="AB8314" s="35"/>
      <c r="AC8314" s="35"/>
      <c r="AD8314" s="35"/>
      <c r="AE8314" s="35"/>
      <c r="AF8314" s="35"/>
      <c r="AG8314" s="35"/>
      <c r="AH8314" s="35"/>
      <c r="AI8314" s="35"/>
      <c r="AJ8314" s="35"/>
      <c r="AK8314" s="35"/>
      <c r="AL8314" s="35"/>
    </row>
    <row r="8315">
      <c r="A8315" s="457"/>
      <c r="B8315" s="475"/>
      <c r="C8315" s="476"/>
      <c r="D8315" s="477"/>
      <c r="E8315" s="96"/>
      <c r="F8315" s="96"/>
      <c r="G8315" s="325"/>
      <c r="H8315" s="96"/>
      <c r="I8315" s="478"/>
      <c r="J8315" s="96"/>
      <c r="K8315" s="96"/>
      <c r="L8315" s="107"/>
      <c r="M8315" s="107"/>
      <c r="N8315" s="107"/>
      <c r="O8315" s="107"/>
      <c r="P8315" s="109"/>
      <c r="Q8315" s="107"/>
      <c r="R8315" s="107"/>
      <c r="S8315" s="107"/>
      <c r="T8315" s="479"/>
      <c r="U8315" s="296"/>
      <c r="V8315" s="50"/>
      <c r="W8315" s="49"/>
      <c r="X8315" s="49"/>
      <c r="Y8315" s="35"/>
      <c r="Z8315" s="35"/>
      <c r="AA8315" s="35"/>
      <c r="AB8315" s="35"/>
      <c r="AC8315" s="35"/>
      <c r="AD8315" s="35"/>
      <c r="AE8315" s="35"/>
      <c r="AF8315" s="35"/>
      <c r="AG8315" s="35"/>
      <c r="AH8315" s="35"/>
      <c r="AI8315" s="35"/>
      <c r="AJ8315" s="35"/>
      <c r="AK8315" s="35"/>
      <c r="AL8315" s="35"/>
    </row>
    <row r="8316">
      <c r="A8316" s="457"/>
      <c r="B8316" s="475"/>
      <c r="C8316" s="476"/>
      <c r="D8316" s="477"/>
      <c r="E8316" s="96"/>
      <c r="F8316" s="96"/>
      <c r="G8316" s="325"/>
      <c r="H8316" s="96"/>
      <c r="I8316" s="478"/>
      <c r="J8316" s="96"/>
      <c r="K8316" s="96"/>
      <c r="L8316" s="107"/>
      <c r="M8316" s="107"/>
      <c r="N8316" s="107"/>
      <c r="O8316" s="107"/>
      <c r="P8316" s="109"/>
      <c r="Q8316" s="107"/>
      <c r="R8316" s="107"/>
      <c r="S8316" s="107"/>
      <c r="T8316" s="479"/>
      <c r="U8316" s="296"/>
      <c r="V8316" s="50"/>
      <c r="W8316" s="49"/>
      <c r="X8316" s="49"/>
      <c r="Y8316" s="35"/>
      <c r="Z8316" s="35"/>
      <c r="AA8316" s="35"/>
      <c r="AB8316" s="35"/>
      <c r="AC8316" s="35"/>
      <c r="AD8316" s="35"/>
      <c r="AE8316" s="35"/>
      <c r="AF8316" s="35"/>
      <c r="AG8316" s="35"/>
      <c r="AH8316" s="35"/>
      <c r="AI8316" s="35"/>
      <c r="AJ8316" s="35"/>
      <c r="AK8316" s="35"/>
      <c r="AL8316" s="35"/>
    </row>
    <row r="8317">
      <c r="A8317" s="457"/>
      <c r="B8317" s="475"/>
      <c r="C8317" s="476"/>
      <c r="D8317" s="477"/>
      <c r="E8317" s="96"/>
      <c r="F8317" s="96"/>
      <c r="G8317" s="325"/>
      <c r="H8317" s="96"/>
      <c r="I8317" s="478"/>
      <c r="J8317" s="96"/>
      <c r="K8317" s="96"/>
      <c r="L8317" s="107"/>
      <c r="M8317" s="107"/>
      <c r="N8317" s="107"/>
      <c r="O8317" s="107"/>
      <c r="P8317" s="109"/>
      <c r="Q8317" s="107"/>
      <c r="R8317" s="107"/>
      <c r="S8317" s="107"/>
      <c r="T8317" s="479"/>
      <c r="U8317" s="296"/>
      <c r="V8317" s="50"/>
      <c r="W8317" s="49"/>
      <c r="X8317" s="49"/>
      <c r="Y8317" s="35"/>
      <c r="Z8317" s="35"/>
      <c r="AA8317" s="35"/>
      <c r="AB8317" s="35"/>
      <c r="AC8317" s="35"/>
      <c r="AD8317" s="35"/>
      <c r="AE8317" s="35"/>
      <c r="AF8317" s="35"/>
      <c r="AG8317" s="35"/>
      <c r="AH8317" s="35"/>
      <c r="AI8317" s="35"/>
      <c r="AJ8317" s="35"/>
      <c r="AK8317" s="35"/>
      <c r="AL8317" s="35"/>
    </row>
    <row r="8318">
      <c r="A8318" s="457"/>
      <c r="B8318" s="475"/>
      <c r="C8318" s="476"/>
      <c r="D8318" s="477"/>
      <c r="E8318" s="96"/>
      <c r="F8318" s="96"/>
      <c r="G8318" s="325"/>
      <c r="H8318" s="96"/>
      <c r="I8318" s="478"/>
      <c r="J8318" s="96"/>
      <c r="K8318" s="96"/>
      <c r="L8318" s="107"/>
      <c r="M8318" s="107"/>
      <c r="N8318" s="107"/>
      <c r="O8318" s="107"/>
      <c r="P8318" s="109"/>
      <c r="Q8318" s="107"/>
      <c r="R8318" s="107"/>
      <c r="S8318" s="107"/>
      <c r="T8318" s="479"/>
      <c r="U8318" s="296"/>
      <c r="V8318" s="50"/>
      <c r="W8318" s="49"/>
      <c r="X8318" s="49"/>
      <c r="Y8318" s="35"/>
      <c r="Z8318" s="35"/>
      <c r="AA8318" s="35"/>
      <c r="AB8318" s="35"/>
      <c r="AC8318" s="35"/>
      <c r="AD8318" s="35"/>
      <c r="AE8318" s="35"/>
      <c r="AF8318" s="35"/>
      <c r="AG8318" s="35"/>
      <c r="AH8318" s="35"/>
      <c r="AI8318" s="35"/>
      <c r="AJ8318" s="35"/>
      <c r="AK8318" s="35"/>
      <c r="AL8318" s="35"/>
    </row>
    <row r="8319">
      <c r="A8319" s="457"/>
      <c r="B8319" s="475"/>
      <c r="C8319" s="476"/>
      <c r="D8319" s="477"/>
      <c r="E8319" s="96"/>
      <c r="F8319" s="96"/>
      <c r="G8319" s="325"/>
      <c r="H8319" s="96"/>
      <c r="I8319" s="478"/>
      <c r="J8319" s="96"/>
      <c r="K8319" s="96"/>
      <c r="L8319" s="107"/>
      <c r="M8319" s="107"/>
      <c r="N8319" s="107"/>
      <c r="O8319" s="107"/>
      <c r="P8319" s="109"/>
      <c r="Q8319" s="107"/>
      <c r="R8319" s="107"/>
      <c r="S8319" s="107"/>
      <c r="T8319" s="479"/>
      <c r="U8319" s="296"/>
      <c r="V8319" s="50"/>
      <c r="W8319" s="49"/>
      <c r="X8319" s="49"/>
      <c r="Y8319" s="35"/>
      <c r="Z8319" s="35"/>
      <c r="AA8319" s="35"/>
      <c r="AB8319" s="35"/>
      <c r="AC8319" s="35"/>
      <c r="AD8319" s="35"/>
      <c r="AE8319" s="35"/>
      <c r="AF8319" s="35"/>
      <c r="AG8319" s="35"/>
      <c r="AH8319" s="35"/>
      <c r="AI8319" s="35"/>
      <c r="AJ8319" s="35"/>
      <c r="AK8319" s="35"/>
      <c r="AL8319" s="35"/>
    </row>
    <row r="8320">
      <c r="A8320" s="457"/>
      <c r="B8320" s="475"/>
      <c r="C8320" s="476"/>
      <c r="D8320" s="477"/>
      <c r="E8320" s="96"/>
      <c r="F8320" s="96"/>
      <c r="G8320" s="325"/>
      <c r="H8320" s="96"/>
      <c r="I8320" s="478"/>
      <c r="J8320" s="96"/>
      <c r="K8320" s="96"/>
      <c r="L8320" s="107"/>
      <c r="M8320" s="107"/>
      <c r="N8320" s="107"/>
      <c r="O8320" s="107"/>
      <c r="P8320" s="109"/>
      <c r="Q8320" s="107"/>
      <c r="R8320" s="107"/>
      <c r="S8320" s="107"/>
      <c r="T8320" s="479"/>
      <c r="U8320" s="296"/>
      <c r="V8320" s="50"/>
      <c r="W8320" s="49"/>
      <c r="X8320" s="49"/>
      <c r="Y8320" s="35"/>
      <c r="Z8320" s="35"/>
      <c r="AA8320" s="35"/>
      <c r="AB8320" s="35"/>
      <c r="AC8320" s="35"/>
      <c r="AD8320" s="35"/>
      <c r="AE8320" s="35"/>
      <c r="AF8320" s="35"/>
      <c r="AG8320" s="35"/>
      <c r="AH8320" s="35"/>
      <c r="AI8320" s="35"/>
      <c r="AJ8320" s="35"/>
      <c r="AK8320" s="35"/>
      <c r="AL8320" s="35"/>
    </row>
    <row r="8321">
      <c r="A8321" s="457"/>
      <c r="B8321" s="475"/>
      <c r="C8321" s="476"/>
      <c r="D8321" s="477"/>
      <c r="E8321" s="96"/>
      <c r="F8321" s="96"/>
      <c r="G8321" s="325"/>
      <c r="H8321" s="96"/>
      <c r="I8321" s="478"/>
      <c r="J8321" s="96"/>
      <c r="K8321" s="96"/>
      <c r="L8321" s="107"/>
      <c r="M8321" s="107"/>
      <c r="N8321" s="107"/>
      <c r="O8321" s="107"/>
      <c r="P8321" s="109"/>
      <c r="Q8321" s="107"/>
      <c r="R8321" s="107"/>
      <c r="S8321" s="107"/>
      <c r="T8321" s="479"/>
      <c r="U8321" s="296"/>
      <c r="V8321" s="50"/>
      <c r="W8321" s="49"/>
      <c r="X8321" s="49"/>
      <c r="Y8321" s="35"/>
      <c r="Z8321" s="35"/>
      <c r="AA8321" s="35"/>
      <c r="AB8321" s="35"/>
      <c r="AC8321" s="35"/>
      <c r="AD8321" s="35"/>
      <c r="AE8321" s="35"/>
      <c r="AF8321" s="35"/>
      <c r="AG8321" s="35"/>
      <c r="AH8321" s="35"/>
      <c r="AI8321" s="35"/>
      <c r="AJ8321" s="35"/>
      <c r="AK8321" s="35"/>
      <c r="AL8321" s="35"/>
    </row>
    <row r="8322">
      <c r="A8322" s="457"/>
      <c r="B8322" s="475"/>
      <c r="C8322" s="476"/>
      <c r="D8322" s="477"/>
      <c r="E8322" s="96"/>
      <c r="F8322" s="96"/>
      <c r="G8322" s="325"/>
      <c r="H8322" s="96"/>
      <c r="I8322" s="478"/>
      <c r="J8322" s="96"/>
      <c r="K8322" s="96"/>
      <c r="L8322" s="107"/>
      <c r="M8322" s="107"/>
      <c r="N8322" s="107"/>
      <c r="O8322" s="107"/>
      <c r="P8322" s="109"/>
      <c r="Q8322" s="107"/>
      <c r="R8322" s="107"/>
      <c r="S8322" s="107"/>
      <c r="T8322" s="479"/>
      <c r="U8322" s="296"/>
      <c r="V8322" s="50"/>
      <c r="W8322" s="49"/>
      <c r="X8322" s="49"/>
      <c r="Y8322" s="35"/>
      <c r="Z8322" s="35"/>
      <c r="AA8322" s="35"/>
      <c r="AB8322" s="35"/>
      <c r="AC8322" s="35"/>
      <c r="AD8322" s="35"/>
      <c r="AE8322" s="35"/>
      <c r="AF8322" s="35"/>
      <c r="AG8322" s="35"/>
      <c r="AH8322" s="35"/>
      <c r="AI8322" s="35"/>
      <c r="AJ8322" s="35"/>
      <c r="AK8322" s="35"/>
      <c r="AL8322" s="35"/>
    </row>
    <row r="8323">
      <c r="A8323" s="457"/>
      <c r="B8323" s="475"/>
      <c r="C8323" s="476"/>
      <c r="D8323" s="477"/>
      <c r="E8323" s="96"/>
      <c r="F8323" s="96"/>
      <c r="G8323" s="325"/>
      <c r="H8323" s="96"/>
      <c r="I8323" s="478"/>
      <c r="J8323" s="96"/>
      <c r="K8323" s="96"/>
      <c r="L8323" s="107"/>
      <c r="M8323" s="107"/>
      <c r="N8323" s="107"/>
      <c r="O8323" s="107"/>
      <c r="P8323" s="109"/>
      <c r="Q8323" s="107"/>
      <c r="R8323" s="107"/>
      <c r="S8323" s="107"/>
      <c r="T8323" s="479"/>
      <c r="U8323" s="296"/>
      <c r="V8323" s="50"/>
      <c r="W8323" s="49"/>
      <c r="X8323" s="49"/>
      <c r="Y8323" s="35"/>
      <c r="Z8323" s="35"/>
      <c r="AA8323" s="35"/>
      <c r="AB8323" s="35"/>
      <c r="AC8323" s="35"/>
      <c r="AD8323" s="35"/>
      <c r="AE8323" s="35"/>
      <c r="AF8323" s="35"/>
      <c r="AG8323" s="35"/>
      <c r="AH8323" s="35"/>
      <c r="AI8323" s="35"/>
      <c r="AJ8323" s="35"/>
      <c r="AK8323" s="35"/>
      <c r="AL8323" s="35"/>
    </row>
    <row r="8324">
      <c r="A8324" s="457"/>
      <c r="B8324" s="475"/>
      <c r="C8324" s="476"/>
      <c r="D8324" s="477"/>
      <c r="E8324" s="96"/>
      <c r="F8324" s="96"/>
      <c r="G8324" s="325"/>
      <c r="H8324" s="96"/>
      <c r="I8324" s="478"/>
      <c r="J8324" s="96"/>
      <c r="K8324" s="96"/>
      <c r="L8324" s="107"/>
      <c r="M8324" s="107"/>
      <c r="N8324" s="107"/>
      <c r="O8324" s="107"/>
      <c r="P8324" s="109"/>
      <c r="Q8324" s="107"/>
      <c r="R8324" s="107"/>
      <c r="S8324" s="107"/>
      <c r="T8324" s="479"/>
      <c r="U8324" s="296"/>
      <c r="V8324" s="50"/>
      <c r="W8324" s="49"/>
      <c r="X8324" s="49"/>
      <c r="Y8324" s="35"/>
      <c r="Z8324" s="35"/>
      <c r="AA8324" s="35"/>
      <c r="AB8324" s="35"/>
      <c r="AC8324" s="35"/>
      <c r="AD8324" s="35"/>
      <c r="AE8324" s="35"/>
      <c r="AF8324" s="35"/>
      <c r="AG8324" s="35"/>
      <c r="AH8324" s="35"/>
      <c r="AI8324" s="35"/>
      <c r="AJ8324" s="35"/>
      <c r="AK8324" s="35"/>
      <c r="AL8324" s="35"/>
    </row>
    <row r="8325">
      <c r="A8325" s="457"/>
      <c r="B8325" s="475"/>
      <c r="C8325" s="476"/>
      <c r="D8325" s="477"/>
      <c r="E8325" s="96"/>
      <c r="F8325" s="96"/>
      <c r="G8325" s="325"/>
      <c r="H8325" s="96"/>
      <c r="I8325" s="478"/>
      <c r="J8325" s="96"/>
      <c r="K8325" s="96"/>
      <c r="L8325" s="107"/>
      <c r="M8325" s="107"/>
      <c r="N8325" s="107"/>
      <c r="O8325" s="107"/>
      <c r="P8325" s="109"/>
      <c r="Q8325" s="107"/>
      <c r="R8325" s="107"/>
      <c r="S8325" s="107"/>
      <c r="T8325" s="479"/>
      <c r="U8325" s="296"/>
      <c r="V8325" s="50"/>
      <c r="W8325" s="49"/>
      <c r="X8325" s="49"/>
      <c r="Y8325" s="35"/>
      <c r="Z8325" s="35"/>
      <c r="AA8325" s="35"/>
      <c r="AB8325" s="35"/>
      <c r="AC8325" s="35"/>
      <c r="AD8325" s="35"/>
      <c r="AE8325" s="35"/>
      <c r="AF8325" s="35"/>
      <c r="AG8325" s="35"/>
      <c r="AH8325" s="35"/>
      <c r="AI8325" s="35"/>
      <c r="AJ8325" s="35"/>
      <c r="AK8325" s="35"/>
      <c r="AL8325" s="35"/>
    </row>
    <row r="8326">
      <c r="A8326" s="457"/>
      <c r="B8326" s="475"/>
      <c r="C8326" s="476"/>
      <c r="D8326" s="477"/>
      <c r="E8326" s="96"/>
      <c r="F8326" s="96"/>
      <c r="G8326" s="325"/>
      <c r="H8326" s="96"/>
      <c r="I8326" s="478"/>
      <c r="J8326" s="96"/>
      <c r="K8326" s="96"/>
      <c r="L8326" s="107"/>
      <c r="M8326" s="107"/>
      <c r="N8326" s="107"/>
      <c r="O8326" s="107"/>
      <c r="P8326" s="109"/>
      <c r="Q8326" s="107"/>
      <c r="R8326" s="107"/>
      <c r="S8326" s="107"/>
      <c r="T8326" s="479"/>
      <c r="U8326" s="296"/>
      <c r="V8326" s="50"/>
      <c r="W8326" s="49"/>
      <c r="X8326" s="49"/>
      <c r="Y8326" s="35"/>
      <c r="Z8326" s="35"/>
      <c r="AA8326" s="35"/>
      <c r="AB8326" s="35"/>
      <c r="AC8326" s="35"/>
      <c r="AD8326" s="35"/>
      <c r="AE8326" s="35"/>
      <c r="AF8326" s="35"/>
      <c r="AG8326" s="35"/>
      <c r="AH8326" s="35"/>
      <c r="AI8326" s="35"/>
      <c r="AJ8326" s="35"/>
      <c r="AK8326" s="35"/>
      <c r="AL8326" s="35"/>
    </row>
    <row r="8327">
      <c r="A8327" s="457"/>
      <c r="B8327" s="475"/>
      <c r="C8327" s="476"/>
      <c r="D8327" s="477"/>
      <c r="E8327" s="96"/>
      <c r="F8327" s="96"/>
      <c r="G8327" s="325"/>
      <c r="H8327" s="96"/>
      <c r="I8327" s="478"/>
      <c r="J8327" s="96"/>
      <c r="K8327" s="96"/>
      <c r="L8327" s="107"/>
      <c r="M8327" s="107"/>
      <c r="N8327" s="107"/>
      <c r="O8327" s="107"/>
      <c r="P8327" s="109"/>
      <c r="Q8327" s="107"/>
      <c r="R8327" s="107"/>
      <c r="S8327" s="107"/>
      <c r="T8327" s="479"/>
      <c r="U8327" s="296"/>
      <c r="V8327" s="50"/>
      <c r="W8327" s="49"/>
      <c r="X8327" s="49"/>
      <c r="Y8327" s="35"/>
      <c r="Z8327" s="35"/>
      <c r="AA8327" s="35"/>
      <c r="AB8327" s="35"/>
      <c r="AC8327" s="35"/>
      <c r="AD8327" s="35"/>
      <c r="AE8327" s="35"/>
      <c r="AF8327" s="35"/>
      <c r="AG8327" s="35"/>
      <c r="AH8327" s="35"/>
      <c r="AI8327" s="35"/>
      <c r="AJ8327" s="35"/>
      <c r="AK8327" s="35"/>
      <c r="AL8327" s="35"/>
    </row>
    <row r="8328">
      <c r="A8328" s="457"/>
      <c r="B8328" s="475"/>
      <c r="C8328" s="476"/>
      <c r="D8328" s="477"/>
      <c r="E8328" s="96"/>
      <c r="F8328" s="96"/>
      <c r="G8328" s="325"/>
      <c r="H8328" s="96"/>
      <c r="I8328" s="478"/>
      <c r="J8328" s="96"/>
      <c r="K8328" s="96"/>
      <c r="L8328" s="107"/>
      <c r="M8328" s="107"/>
      <c r="N8328" s="107"/>
      <c r="O8328" s="107"/>
      <c r="P8328" s="109"/>
      <c r="Q8328" s="107"/>
      <c r="R8328" s="107"/>
      <c r="S8328" s="107"/>
      <c r="T8328" s="479"/>
      <c r="U8328" s="296"/>
      <c r="V8328" s="50"/>
      <c r="W8328" s="49"/>
      <c r="X8328" s="49"/>
      <c r="Y8328" s="35"/>
      <c r="Z8328" s="35"/>
      <c r="AA8328" s="35"/>
      <c r="AB8328" s="35"/>
      <c r="AC8328" s="35"/>
      <c r="AD8328" s="35"/>
      <c r="AE8328" s="35"/>
      <c r="AF8328" s="35"/>
      <c r="AG8328" s="35"/>
      <c r="AH8328" s="35"/>
      <c r="AI8328" s="35"/>
      <c r="AJ8328" s="35"/>
      <c r="AK8328" s="35"/>
      <c r="AL8328" s="35"/>
    </row>
    <row r="8329">
      <c r="A8329" s="457"/>
      <c r="B8329" s="475"/>
      <c r="C8329" s="476"/>
      <c r="D8329" s="477"/>
      <c r="E8329" s="96"/>
      <c r="F8329" s="96"/>
      <c r="G8329" s="325"/>
      <c r="H8329" s="96"/>
      <c r="I8329" s="478"/>
      <c r="J8329" s="96"/>
      <c r="K8329" s="96"/>
      <c r="L8329" s="107"/>
      <c r="M8329" s="107"/>
      <c r="N8329" s="107"/>
      <c r="O8329" s="107"/>
      <c r="P8329" s="109"/>
      <c r="Q8329" s="107"/>
      <c r="R8329" s="107"/>
      <c r="S8329" s="107"/>
      <c r="T8329" s="479"/>
      <c r="U8329" s="296"/>
      <c r="V8329" s="50"/>
      <c r="W8329" s="49"/>
      <c r="X8329" s="49"/>
      <c r="Y8329" s="35"/>
      <c r="Z8329" s="35"/>
      <c r="AA8329" s="35"/>
      <c r="AB8329" s="35"/>
      <c r="AC8329" s="35"/>
      <c r="AD8329" s="35"/>
      <c r="AE8329" s="35"/>
      <c r="AF8329" s="35"/>
      <c r="AG8329" s="35"/>
      <c r="AH8329" s="35"/>
      <c r="AI8329" s="35"/>
      <c r="AJ8329" s="35"/>
      <c r="AK8329" s="35"/>
      <c r="AL8329" s="35"/>
    </row>
    <row r="8330">
      <c r="A8330" s="457"/>
      <c r="B8330" s="475"/>
      <c r="C8330" s="476"/>
      <c r="D8330" s="477"/>
      <c r="E8330" s="96"/>
      <c r="F8330" s="96"/>
      <c r="G8330" s="325"/>
      <c r="H8330" s="96"/>
      <c r="I8330" s="478"/>
      <c r="J8330" s="96"/>
      <c r="K8330" s="96"/>
      <c r="L8330" s="107"/>
      <c r="M8330" s="107"/>
      <c r="N8330" s="107"/>
      <c r="O8330" s="107"/>
      <c r="P8330" s="109"/>
      <c r="Q8330" s="107"/>
      <c r="R8330" s="107"/>
      <c r="S8330" s="107"/>
      <c r="T8330" s="479"/>
      <c r="U8330" s="296"/>
      <c r="V8330" s="50"/>
      <c r="W8330" s="49"/>
      <c r="X8330" s="49"/>
      <c r="Y8330" s="35"/>
      <c r="Z8330" s="35"/>
      <c r="AA8330" s="35"/>
      <c r="AB8330" s="35"/>
      <c r="AC8330" s="35"/>
      <c r="AD8330" s="35"/>
      <c r="AE8330" s="35"/>
      <c r="AF8330" s="35"/>
      <c r="AG8330" s="35"/>
      <c r="AH8330" s="35"/>
      <c r="AI8330" s="35"/>
      <c r="AJ8330" s="35"/>
      <c r="AK8330" s="35"/>
      <c r="AL8330" s="35"/>
    </row>
    <row r="8331">
      <c r="A8331" s="457"/>
      <c r="B8331" s="475"/>
      <c r="C8331" s="476"/>
      <c r="D8331" s="477"/>
      <c r="E8331" s="96"/>
      <c r="F8331" s="96"/>
      <c r="G8331" s="325"/>
      <c r="H8331" s="96"/>
      <c r="I8331" s="478"/>
      <c r="J8331" s="96"/>
      <c r="K8331" s="96"/>
      <c r="L8331" s="107"/>
      <c r="M8331" s="107"/>
      <c r="N8331" s="107"/>
      <c r="O8331" s="107"/>
      <c r="P8331" s="109"/>
      <c r="Q8331" s="107"/>
      <c r="R8331" s="107"/>
      <c r="S8331" s="107"/>
      <c r="T8331" s="479"/>
      <c r="U8331" s="296"/>
      <c r="V8331" s="50"/>
      <c r="W8331" s="49"/>
      <c r="X8331" s="49"/>
      <c r="Y8331" s="35"/>
      <c r="Z8331" s="35"/>
      <c r="AA8331" s="35"/>
      <c r="AB8331" s="35"/>
      <c r="AC8331" s="35"/>
      <c r="AD8331" s="35"/>
      <c r="AE8331" s="35"/>
      <c r="AF8331" s="35"/>
      <c r="AG8331" s="35"/>
      <c r="AH8331" s="35"/>
      <c r="AI8331" s="35"/>
      <c r="AJ8331" s="35"/>
      <c r="AK8331" s="35"/>
      <c r="AL8331" s="35"/>
    </row>
    <row r="8332">
      <c r="A8332" s="457"/>
      <c r="B8332" s="475"/>
      <c r="C8332" s="476"/>
      <c r="D8332" s="477"/>
      <c r="E8332" s="96"/>
      <c r="F8332" s="96"/>
      <c r="G8332" s="325"/>
      <c r="H8332" s="96"/>
      <c r="I8332" s="478"/>
      <c r="J8332" s="96"/>
      <c r="K8332" s="96"/>
      <c r="L8332" s="107"/>
      <c r="M8332" s="107"/>
      <c r="N8332" s="107"/>
      <c r="O8332" s="107"/>
      <c r="P8332" s="109"/>
      <c r="Q8332" s="107"/>
      <c r="R8332" s="107"/>
      <c r="S8332" s="107"/>
      <c r="T8332" s="479"/>
      <c r="U8332" s="296"/>
      <c r="V8332" s="50"/>
      <c r="W8332" s="49"/>
      <c r="X8332" s="49"/>
      <c r="Y8332" s="35"/>
      <c r="Z8332" s="35"/>
      <c r="AA8332" s="35"/>
      <c r="AB8332" s="35"/>
      <c r="AC8332" s="35"/>
      <c r="AD8332" s="35"/>
      <c r="AE8332" s="35"/>
      <c r="AF8332" s="35"/>
      <c r="AG8332" s="35"/>
      <c r="AH8332" s="35"/>
      <c r="AI8332" s="35"/>
      <c r="AJ8332" s="35"/>
      <c r="AK8332" s="35"/>
      <c r="AL8332" s="35"/>
    </row>
    <row r="8333">
      <c r="A8333" s="457"/>
      <c r="B8333" s="475"/>
      <c r="C8333" s="476"/>
      <c r="D8333" s="477"/>
      <c r="E8333" s="96"/>
      <c r="F8333" s="96"/>
      <c r="G8333" s="325"/>
      <c r="H8333" s="96"/>
      <c r="I8333" s="478"/>
      <c r="J8333" s="96"/>
      <c r="K8333" s="96"/>
      <c r="L8333" s="107"/>
      <c r="M8333" s="107"/>
      <c r="N8333" s="107"/>
      <c r="O8333" s="107"/>
      <c r="P8333" s="109"/>
      <c r="Q8333" s="107"/>
      <c r="R8333" s="107"/>
      <c r="S8333" s="107"/>
      <c r="T8333" s="479"/>
      <c r="U8333" s="296"/>
      <c r="V8333" s="50"/>
      <c r="W8333" s="49"/>
      <c r="X8333" s="49"/>
      <c r="Y8333" s="35"/>
      <c r="Z8333" s="35"/>
      <c r="AA8333" s="35"/>
      <c r="AB8333" s="35"/>
      <c r="AC8333" s="35"/>
      <c r="AD8333" s="35"/>
      <c r="AE8333" s="35"/>
      <c r="AF8333" s="35"/>
      <c r="AG8333" s="35"/>
      <c r="AH8333" s="35"/>
      <c r="AI8333" s="35"/>
      <c r="AJ8333" s="35"/>
      <c r="AK8333" s="35"/>
      <c r="AL8333" s="35"/>
    </row>
    <row r="8334">
      <c r="A8334" s="457"/>
      <c r="B8334" s="475"/>
      <c r="C8334" s="476"/>
      <c r="D8334" s="477"/>
      <c r="E8334" s="96"/>
      <c r="F8334" s="96"/>
      <c r="G8334" s="325"/>
      <c r="H8334" s="96"/>
      <c r="I8334" s="478"/>
      <c r="J8334" s="96"/>
      <c r="K8334" s="96"/>
      <c r="L8334" s="107"/>
      <c r="M8334" s="107"/>
      <c r="N8334" s="107"/>
      <c r="O8334" s="107"/>
      <c r="P8334" s="109"/>
      <c r="Q8334" s="107"/>
      <c r="R8334" s="107"/>
      <c r="S8334" s="107"/>
      <c r="T8334" s="479"/>
      <c r="U8334" s="296"/>
      <c r="V8334" s="50"/>
      <c r="W8334" s="49"/>
      <c r="X8334" s="49"/>
      <c r="Y8334" s="35"/>
      <c r="Z8334" s="35"/>
      <c r="AA8334" s="35"/>
      <c r="AB8334" s="35"/>
      <c r="AC8334" s="35"/>
      <c r="AD8334" s="35"/>
      <c r="AE8334" s="35"/>
      <c r="AF8334" s="35"/>
      <c r="AG8334" s="35"/>
      <c r="AH8334" s="35"/>
      <c r="AI8334" s="35"/>
      <c r="AJ8334" s="35"/>
      <c r="AK8334" s="35"/>
      <c r="AL8334" s="35"/>
    </row>
    <row r="8335">
      <c r="A8335" s="457"/>
      <c r="B8335" s="475"/>
      <c r="C8335" s="476"/>
      <c r="D8335" s="477"/>
      <c r="E8335" s="96"/>
      <c r="F8335" s="96"/>
      <c r="G8335" s="325"/>
      <c r="H8335" s="96"/>
      <c r="I8335" s="478"/>
      <c r="J8335" s="96"/>
      <c r="K8335" s="96"/>
      <c r="L8335" s="107"/>
      <c r="M8335" s="107"/>
      <c r="N8335" s="107"/>
      <c r="O8335" s="107"/>
      <c r="P8335" s="109"/>
      <c r="Q8335" s="107"/>
      <c r="R8335" s="107"/>
      <c r="S8335" s="107"/>
      <c r="T8335" s="479"/>
      <c r="U8335" s="296"/>
      <c r="V8335" s="50"/>
      <c r="W8335" s="49"/>
      <c r="X8335" s="49"/>
      <c r="Y8335" s="35"/>
      <c r="Z8335" s="35"/>
      <c r="AA8335" s="35"/>
      <c r="AB8335" s="35"/>
      <c r="AC8335" s="35"/>
      <c r="AD8335" s="35"/>
      <c r="AE8335" s="35"/>
      <c r="AF8335" s="35"/>
      <c r="AG8335" s="35"/>
      <c r="AH8335" s="35"/>
      <c r="AI8335" s="35"/>
      <c r="AJ8335" s="35"/>
      <c r="AK8335" s="35"/>
      <c r="AL8335" s="35"/>
    </row>
    <row r="8336">
      <c r="A8336" s="457"/>
      <c r="B8336" s="475"/>
      <c r="C8336" s="476"/>
      <c r="D8336" s="477"/>
      <c r="E8336" s="96"/>
      <c r="F8336" s="96"/>
      <c r="G8336" s="325"/>
      <c r="H8336" s="96"/>
      <c r="I8336" s="478"/>
      <c r="J8336" s="96"/>
      <c r="K8336" s="96"/>
      <c r="L8336" s="107"/>
      <c r="M8336" s="107"/>
      <c r="N8336" s="107"/>
      <c r="O8336" s="107"/>
      <c r="P8336" s="109"/>
      <c r="Q8336" s="107"/>
      <c r="R8336" s="107"/>
      <c r="S8336" s="107"/>
      <c r="T8336" s="479"/>
      <c r="U8336" s="296"/>
      <c r="V8336" s="50"/>
      <c r="W8336" s="49"/>
      <c r="X8336" s="49"/>
      <c r="Y8336" s="35"/>
      <c r="Z8336" s="35"/>
      <c r="AA8336" s="35"/>
      <c r="AB8336" s="35"/>
      <c r="AC8336" s="35"/>
      <c r="AD8336" s="35"/>
      <c r="AE8336" s="35"/>
      <c r="AF8336" s="35"/>
      <c r="AG8336" s="35"/>
      <c r="AH8336" s="35"/>
      <c r="AI8336" s="35"/>
      <c r="AJ8336" s="35"/>
      <c r="AK8336" s="35"/>
      <c r="AL8336" s="35"/>
    </row>
    <row r="8337">
      <c r="A8337" s="457"/>
      <c r="B8337" s="475"/>
      <c r="C8337" s="476"/>
      <c r="D8337" s="477"/>
      <c r="E8337" s="96"/>
      <c r="F8337" s="96"/>
      <c r="G8337" s="325"/>
      <c r="H8337" s="96"/>
      <c r="I8337" s="478"/>
      <c r="J8337" s="96"/>
      <c r="K8337" s="96"/>
      <c r="L8337" s="107"/>
      <c r="M8337" s="107"/>
      <c r="N8337" s="107"/>
      <c r="O8337" s="107"/>
      <c r="P8337" s="109"/>
      <c r="Q8337" s="107"/>
      <c r="R8337" s="107"/>
      <c r="S8337" s="107"/>
      <c r="T8337" s="479"/>
      <c r="U8337" s="296"/>
      <c r="V8337" s="50"/>
      <c r="W8337" s="49"/>
      <c r="X8337" s="49"/>
      <c r="Y8337" s="35"/>
      <c r="Z8337" s="35"/>
      <c r="AA8337" s="35"/>
      <c r="AB8337" s="35"/>
      <c r="AC8337" s="35"/>
      <c r="AD8337" s="35"/>
      <c r="AE8337" s="35"/>
      <c r="AF8337" s="35"/>
      <c r="AG8337" s="35"/>
      <c r="AH8337" s="35"/>
      <c r="AI8337" s="35"/>
      <c r="AJ8337" s="35"/>
      <c r="AK8337" s="35"/>
      <c r="AL8337" s="35"/>
    </row>
    <row r="8338">
      <c r="A8338" s="457"/>
      <c r="B8338" s="475"/>
      <c r="C8338" s="476"/>
      <c r="D8338" s="477"/>
      <c r="E8338" s="96"/>
      <c r="F8338" s="96"/>
      <c r="G8338" s="325"/>
      <c r="H8338" s="96"/>
      <c r="I8338" s="478"/>
      <c r="J8338" s="96"/>
      <c r="K8338" s="96"/>
      <c r="L8338" s="107"/>
      <c r="M8338" s="107"/>
      <c r="N8338" s="107"/>
      <c r="O8338" s="107"/>
      <c r="P8338" s="109"/>
      <c r="Q8338" s="107"/>
      <c r="R8338" s="107"/>
      <c r="S8338" s="107"/>
      <c r="T8338" s="479"/>
      <c r="U8338" s="296"/>
      <c r="V8338" s="50"/>
      <c r="W8338" s="49"/>
      <c r="X8338" s="49"/>
      <c r="Y8338" s="35"/>
      <c r="Z8338" s="35"/>
      <c r="AA8338" s="35"/>
      <c r="AB8338" s="35"/>
      <c r="AC8338" s="35"/>
      <c r="AD8338" s="35"/>
      <c r="AE8338" s="35"/>
      <c r="AF8338" s="35"/>
      <c r="AG8338" s="35"/>
      <c r="AH8338" s="35"/>
      <c r="AI8338" s="35"/>
      <c r="AJ8338" s="35"/>
      <c r="AK8338" s="35"/>
      <c r="AL8338" s="35"/>
    </row>
    <row r="8339">
      <c r="A8339" s="457"/>
      <c r="B8339" s="475"/>
      <c r="C8339" s="476"/>
      <c r="D8339" s="477"/>
      <c r="E8339" s="96"/>
      <c r="F8339" s="96"/>
      <c r="G8339" s="325"/>
      <c r="H8339" s="96"/>
      <c r="I8339" s="478"/>
      <c r="J8339" s="96"/>
      <c r="K8339" s="96"/>
      <c r="L8339" s="107"/>
      <c r="M8339" s="107"/>
      <c r="N8339" s="107"/>
      <c r="O8339" s="107"/>
      <c r="P8339" s="109"/>
      <c r="Q8339" s="107"/>
      <c r="R8339" s="107"/>
      <c r="S8339" s="107"/>
      <c r="T8339" s="479"/>
      <c r="U8339" s="296"/>
      <c r="V8339" s="50"/>
      <c r="W8339" s="49"/>
      <c r="X8339" s="49"/>
      <c r="Y8339" s="35"/>
      <c r="Z8339" s="35"/>
      <c r="AA8339" s="35"/>
      <c r="AB8339" s="35"/>
      <c r="AC8339" s="35"/>
      <c r="AD8339" s="35"/>
      <c r="AE8339" s="35"/>
      <c r="AF8339" s="35"/>
      <c r="AG8339" s="35"/>
      <c r="AH8339" s="35"/>
      <c r="AI8339" s="35"/>
      <c r="AJ8339" s="35"/>
      <c r="AK8339" s="35"/>
      <c r="AL8339" s="35"/>
    </row>
    <row r="8340">
      <c r="A8340" s="457"/>
      <c r="B8340" s="475"/>
      <c r="C8340" s="476"/>
      <c r="D8340" s="477"/>
      <c r="E8340" s="96"/>
      <c r="F8340" s="96"/>
      <c r="G8340" s="325"/>
      <c r="H8340" s="96"/>
      <c r="I8340" s="478"/>
      <c r="J8340" s="96"/>
      <c r="K8340" s="96"/>
      <c r="L8340" s="107"/>
      <c r="M8340" s="107"/>
      <c r="N8340" s="107"/>
      <c r="O8340" s="107"/>
      <c r="P8340" s="109"/>
      <c r="Q8340" s="107"/>
      <c r="R8340" s="107"/>
      <c r="S8340" s="107"/>
      <c r="T8340" s="479"/>
      <c r="U8340" s="296"/>
      <c r="V8340" s="50"/>
      <c r="W8340" s="49"/>
      <c r="X8340" s="49"/>
      <c r="Y8340" s="35"/>
      <c r="Z8340" s="35"/>
      <c r="AA8340" s="35"/>
      <c r="AB8340" s="35"/>
      <c r="AC8340" s="35"/>
      <c r="AD8340" s="35"/>
      <c r="AE8340" s="35"/>
      <c r="AF8340" s="35"/>
      <c r="AG8340" s="35"/>
      <c r="AH8340" s="35"/>
      <c r="AI8340" s="35"/>
      <c r="AJ8340" s="35"/>
      <c r="AK8340" s="35"/>
      <c r="AL8340" s="35"/>
    </row>
    <row r="8341">
      <c r="A8341" s="457"/>
      <c r="B8341" s="475"/>
      <c r="C8341" s="476"/>
      <c r="D8341" s="477"/>
      <c r="E8341" s="96"/>
      <c r="F8341" s="96"/>
      <c r="G8341" s="325"/>
      <c r="H8341" s="96"/>
      <c r="I8341" s="478"/>
      <c r="J8341" s="96"/>
      <c r="K8341" s="96"/>
      <c r="L8341" s="107"/>
      <c r="M8341" s="107"/>
      <c r="N8341" s="107"/>
      <c r="O8341" s="107"/>
      <c r="P8341" s="109"/>
      <c r="Q8341" s="107"/>
      <c r="R8341" s="107"/>
      <c r="S8341" s="107"/>
      <c r="T8341" s="479"/>
      <c r="U8341" s="296"/>
      <c r="V8341" s="50"/>
      <c r="W8341" s="49"/>
      <c r="X8341" s="49"/>
      <c r="Y8341" s="35"/>
      <c r="Z8341" s="35"/>
      <c r="AA8341" s="35"/>
      <c r="AB8341" s="35"/>
      <c r="AC8341" s="35"/>
      <c r="AD8341" s="35"/>
      <c r="AE8341" s="35"/>
      <c r="AF8341" s="35"/>
      <c r="AG8341" s="35"/>
      <c r="AH8341" s="35"/>
      <c r="AI8341" s="35"/>
      <c r="AJ8341" s="35"/>
      <c r="AK8341" s="35"/>
      <c r="AL8341" s="35"/>
    </row>
    <row r="8342">
      <c r="A8342" s="457"/>
      <c r="B8342" s="475"/>
      <c r="C8342" s="476"/>
      <c r="D8342" s="477"/>
      <c r="E8342" s="96"/>
      <c r="F8342" s="96"/>
      <c r="G8342" s="325"/>
      <c r="H8342" s="96"/>
      <c r="I8342" s="478"/>
      <c r="J8342" s="96"/>
      <c r="K8342" s="96"/>
      <c r="L8342" s="107"/>
      <c r="M8342" s="107"/>
      <c r="N8342" s="107"/>
      <c r="O8342" s="107"/>
      <c r="P8342" s="109"/>
      <c r="Q8342" s="107"/>
      <c r="R8342" s="107"/>
      <c r="S8342" s="107"/>
      <c r="T8342" s="479"/>
      <c r="U8342" s="296"/>
      <c r="V8342" s="50"/>
      <c r="W8342" s="49"/>
      <c r="X8342" s="49"/>
      <c r="Y8342" s="35"/>
      <c r="Z8342" s="35"/>
      <c r="AA8342" s="35"/>
      <c r="AB8342" s="35"/>
      <c r="AC8342" s="35"/>
      <c r="AD8342" s="35"/>
      <c r="AE8342" s="35"/>
      <c r="AF8342" s="35"/>
      <c r="AG8342" s="35"/>
      <c r="AH8342" s="35"/>
      <c r="AI8342" s="35"/>
      <c r="AJ8342" s="35"/>
      <c r="AK8342" s="35"/>
      <c r="AL8342" s="35"/>
    </row>
    <row r="8343">
      <c r="A8343" s="457"/>
      <c r="B8343" s="475"/>
      <c r="C8343" s="476"/>
      <c r="D8343" s="477"/>
      <c r="E8343" s="96"/>
      <c r="F8343" s="96"/>
      <c r="G8343" s="325"/>
      <c r="H8343" s="96"/>
      <c r="I8343" s="478"/>
      <c r="J8343" s="96"/>
      <c r="K8343" s="96"/>
      <c r="L8343" s="107"/>
      <c r="M8343" s="107"/>
      <c r="N8343" s="107"/>
      <c r="O8343" s="107"/>
      <c r="P8343" s="109"/>
      <c r="Q8343" s="107"/>
      <c r="R8343" s="107"/>
      <c r="S8343" s="107"/>
      <c r="T8343" s="479"/>
      <c r="U8343" s="296"/>
      <c r="V8343" s="50"/>
      <c r="W8343" s="49"/>
      <c r="X8343" s="49"/>
      <c r="Y8343" s="35"/>
      <c r="Z8343" s="35"/>
      <c r="AA8343" s="35"/>
      <c r="AB8343" s="35"/>
      <c r="AC8343" s="35"/>
      <c r="AD8343" s="35"/>
      <c r="AE8343" s="35"/>
      <c r="AF8343" s="35"/>
      <c r="AG8343" s="35"/>
      <c r="AH8343" s="35"/>
      <c r="AI8343" s="35"/>
      <c r="AJ8343" s="35"/>
      <c r="AK8343" s="35"/>
      <c r="AL8343" s="35"/>
    </row>
    <row r="8344">
      <c r="A8344" s="457"/>
      <c r="B8344" s="475"/>
      <c r="C8344" s="476"/>
      <c r="D8344" s="477"/>
      <c r="E8344" s="96"/>
      <c r="F8344" s="96"/>
      <c r="G8344" s="325"/>
      <c r="H8344" s="96"/>
      <c r="I8344" s="478"/>
      <c r="J8344" s="96"/>
      <c r="K8344" s="96"/>
      <c r="L8344" s="107"/>
      <c r="M8344" s="107"/>
      <c r="N8344" s="107"/>
      <c r="O8344" s="107"/>
      <c r="P8344" s="109"/>
      <c r="Q8344" s="107"/>
      <c r="R8344" s="107"/>
      <c r="S8344" s="107"/>
      <c r="T8344" s="479"/>
      <c r="U8344" s="296"/>
      <c r="V8344" s="50"/>
      <c r="W8344" s="49"/>
      <c r="X8344" s="49"/>
      <c r="Y8344" s="35"/>
      <c r="Z8344" s="35"/>
      <c r="AA8344" s="35"/>
      <c r="AB8344" s="35"/>
      <c r="AC8344" s="35"/>
      <c r="AD8344" s="35"/>
      <c r="AE8344" s="35"/>
      <c r="AF8344" s="35"/>
      <c r="AG8344" s="35"/>
      <c r="AH8344" s="35"/>
      <c r="AI8344" s="35"/>
      <c r="AJ8344" s="35"/>
      <c r="AK8344" s="35"/>
      <c r="AL8344" s="35"/>
    </row>
    <row r="8345">
      <c r="A8345" s="457"/>
      <c r="B8345" s="475"/>
      <c r="C8345" s="476"/>
      <c r="D8345" s="477"/>
      <c r="E8345" s="96"/>
      <c r="F8345" s="96"/>
      <c r="G8345" s="325"/>
      <c r="H8345" s="96"/>
      <c r="I8345" s="478"/>
      <c r="J8345" s="96"/>
      <c r="K8345" s="96"/>
      <c r="L8345" s="107"/>
      <c r="M8345" s="107"/>
      <c r="N8345" s="107"/>
      <c r="O8345" s="107"/>
      <c r="P8345" s="109"/>
      <c r="Q8345" s="107"/>
      <c r="R8345" s="107"/>
      <c r="S8345" s="107"/>
      <c r="T8345" s="479"/>
      <c r="U8345" s="296"/>
      <c r="V8345" s="50"/>
      <c r="W8345" s="49"/>
      <c r="X8345" s="49"/>
      <c r="Y8345" s="35"/>
      <c r="Z8345" s="35"/>
      <c r="AA8345" s="35"/>
      <c r="AB8345" s="35"/>
      <c r="AC8345" s="35"/>
      <c r="AD8345" s="35"/>
      <c r="AE8345" s="35"/>
      <c r="AF8345" s="35"/>
      <c r="AG8345" s="35"/>
      <c r="AH8345" s="35"/>
      <c r="AI8345" s="35"/>
      <c r="AJ8345" s="35"/>
      <c r="AK8345" s="35"/>
      <c r="AL8345" s="35"/>
    </row>
    <row r="8346">
      <c r="A8346" s="457"/>
      <c r="B8346" s="475"/>
      <c r="C8346" s="476"/>
      <c r="D8346" s="477"/>
      <c r="E8346" s="96"/>
      <c r="F8346" s="96"/>
      <c r="G8346" s="325"/>
      <c r="H8346" s="96"/>
      <c r="I8346" s="478"/>
      <c r="J8346" s="96"/>
      <c r="K8346" s="96"/>
      <c r="L8346" s="107"/>
      <c r="M8346" s="107"/>
      <c r="N8346" s="107"/>
      <c r="O8346" s="107"/>
      <c r="P8346" s="109"/>
      <c r="Q8346" s="107"/>
      <c r="R8346" s="107"/>
      <c r="S8346" s="107"/>
      <c r="T8346" s="479"/>
      <c r="U8346" s="296"/>
      <c r="V8346" s="50"/>
      <c r="W8346" s="49"/>
      <c r="X8346" s="49"/>
      <c r="Y8346" s="35"/>
      <c r="Z8346" s="35"/>
      <c r="AA8346" s="35"/>
      <c r="AB8346" s="35"/>
      <c r="AC8346" s="35"/>
      <c r="AD8346" s="35"/>
      <c r="AE8346" s="35"/>
      <c r="AF8346" s="35"/>
      <c r="AG8346" s="35"/>
      <c r="AH8346" s="35"/>
      <c r="AI8346" s="35"/>
      <c r="AJ8346" s="35"/>
      <c r="AK8346" s="35"/>
      <c r="AL8346" s="35"/>
    </row>
    <row r="8347">
      <c r="A8347" s="457"/>
      <c r="B8347" s="475"/>
      <c r="C8347" s="476"/>
      <c r="D8347" s="477"/>
      <c r="E8347" s="96"/>
      <c r="F8347" s="96"/>
      <c r="G8347" s="325"/>
      <c r="H8347" s="96"/>
      <c r="I8347" s="478"/>
      <c r="J8347" s="96"/>
      <c r="K8347" s="96"/>
      <c r="L8347" s="107"/>
      <c r="M8347" s="107"/>
      <c r="N8347" s="107"/>
      <c r="O8347" s="107"/>
      <c r="P8347" s="109"/>
      <c r="Q8347" s="107"/>
      <c r="R8347" s="107"/>
      <c r="S8347" s="107"/>
      <c r="T8347" s="479"/>
      <c r="U8347" s="296"/>
      <c r="V8347" s="50"/>
      <c r="W8347" s="49"/>
      <c r="X8347" s="49"/>
      <c r="Y8347" s="35"/>
      <c r="Z8347" s="35"/>
      <c r="AA8347" s="35"/>
      <c r="AB8347" s="35"/>
      <c r="AC8347" s="35"/>
      <c r="AD8347" s="35"/>
      <c r="AE8347" s="35"/>
      <c r="AF8347" s="35"/>
      <c r="AG8347" s="35"/>
      <c r="AH8347" s="35"/>
      <c r="AI8347" s="35"/>
      <c r="AJ8347" s="35"/>
      <c r="AK8347" s="35"/>
      <c r="AL8347" s="35"/>
    </row>
    <row r="8348">
      <c r="A8348" s="457"/>
      <c r="B8348" s="475"/>
      <c r="C8348" s="476"/>
      <c r="D8348" s="477"/>
      <c r="E8348" s="96"/>
      <c r="F8348" s="96"/>
      <c r="G8348" s="325"/>
      <c r="H8348" s="96"/>
      <c r="I8348" s="478"/>
      <c r="J8348" s="96"/>
      <c r="K8348" s="96"/>
      <c r="L8348" s="107"/>
      <c r="M8348" s="107"/>
      <c r="N8348" s="107"/>
      <c r="O8348" s="107"/>
      <c r="P8348" s="109"/>
      <c r="Q8348" s="107"/>
      <c r="R8348" s="107"/>
      <c r="S8348" s="107"/>
      <c r="T8348" s="479"/>
      <c r="U8348" s="296"/>
      <c r="V8348" s="50"/>
      <c r="W8348" s="49"/>
      <c r="X8348" s="49"/>
      <c r="Y8348" s="35"/>
      <c r="Z8348" s="35"/>
      <c r="AA8348" s="35"/>
      <c r="AB8348" s="35"/>
      <c r="AC8348" s="35"/>
      <c r="AD8348" s="35"/>
      <c r="AE8348" s="35"/>
      <c r="AF8348" s="35"/>
      <c r="AG8348" s="35"/>
      <c r="AH8348" s="35"/>
      <c r="AI8348" s="35"/>
      <c r="AJ8348" s="35"/>
      <c r="AK8348" s="35"/>
      <c r="AL8348" s="35"/>
    </row>
    <row r="8349">
      <c r="A8349" s="457"/>
      <c r="B8349" s="475"/>
      <c r="C8349" s="476"/>
      <c r="D8349" s="477"/>
      <c r="E8349" s="96"/>
      <c r="F8349" s="96"/>
      <c r="G8349" s="325"/>
      <c r="H8349" s="96"/>
      <c r="I8349" s="478"/>
      <c r="J8349" s="96"/>
      <c r="K8349" s="96"/>
      <c r="L8349" s="107"/>
      <c r="M8349" s="107"/>
      <c r="N8349" s="107"/>
      <c r="O8349" s="107"/>
      <c r="P8349" s="109"/>
      <c r="Q8349" s="107"/>
      <c r="R8349" s="107"/>
      <c r="S8349" s="107"/>
      <c r="T8349" s="479"/>
      <c r="U8349" s="296"/>
      <c r="V8349" s="50"/>
      <c r="W8349" s="49"/>
      <c r="X8349" s="49"/>
      <c r="Y8349" s="35"/>
      <c r="Z8349" s="35"/>
      <c r="AA8349" s="35"/>
      <c r="AB8349" s="35"/>
      <c r="AC8349" s="35"/>
      <c r="AD8349" s="35"/>
      <c r="AE8349" s="35"/>
      <c r="AF8349" s="35"/>
      <c r="AG8349" s="35"/>
      <c r="AH8349" s="35"/>
      <c r="AI8349" s="35"/>
      <c r="AJ8349" s="35"/>
      <c r="AK8349" s="35"/>
      <c r="AL8349" s="35"/>
    </row>
    <row r="8350">
      <c r="A8350" s="457"/>
      <c r="B8350" s="475"/>
      <c r="C8350" s="476"/>
      <c r="D8350" s="477"/>
      <c r="E8350" s="96"/>
      <c r="F8350" s="96"/>
      <c r="G8350" s="325"/>
      <c r="H8350" s="96"/>
      <c r="I8350" s="478"/>
      <c r="J8350" s="96"/>
      <c r="K8350" s="96"/>
      <c r="L8350" s="107"/>
      <c r="M8350" s="107"/>
      <c r="N8350" s="107"/>
      <c r="O8350" s="107"/>
      <c r="P8350" s="109"/>
      <c r="Q8350" s="107"/>
      <c r="R8350" s="107"/>
      <c r="S8350" s="107"/>
      <c r="T8350" s="479"/>
      <c r="U8350" s="296"/>
      <c r="V8350" s="50"/>
      <c r="W8350" s="49"/>
      <c r="X8350" s="49"/>
      <c r="Y8350" s="35"/>
      <c r="Z8350" s="35"/>
      <c r="AA8350" s="35"/>
      <c r="AB8350" s="35"/>
      <c r="AC8350" s="35"/>
      <c r="AD8350" s="35"/>
      <c r="AE8350" s="35"/>
      <c r="AF8350" s="35"/>
      <c r="AG8350" s="35"/>
      <c r="AH8350" s="35"/>
      <c r="AI8350" s="35"/>
      <c r="AJ8350" s="35"/>
      <c r="AK8350" s="35"/>
      <c r="AL8350" s="35"/>
    </row>
    <row r="8351">
      <c r="A8351" s="457"/>
      <c r="B8351" s="475"/>
      <c r="C8351" s="476"/>
      <c r="D8351" s="477"/>
      <c r="E8351" s="96"/>
      <c r="F8351" s="96"/>
      <c r="G8351" s="325"/>
      <c r="H8351" s="96"/>
      <c r="I8351" s="478"/>
      <c r="J8351" s="96"/>
      <c r="K8351" s="96"/>
      <c r="L8351" s="107"/>
      <c r="M8351" s="107"/>
      <c r="N8351" s="107"/>
      <c r="O8351" s="107"/>
      <c r="P8351" s="109"/>
      <c r="Q8351" s="107"/>
      <c r="R8351" s="107"/>
      <c r="S8351" s="107"/>
      <c r="T8351" s="479"/>
      <c r="U8351" s="296"/>
      <c r="V8351" s="50"/>
      <c r="W8351" s="49"/>
      <c r="X8351" s="49"/>
      <c r="Y8351" s="35"/>
      <c r="Z8351" s="35"/>
      <c r="AA8351" s="35"/>
      <c r="AB8351" s="35"/>
      <c r="AC8351" s="35"/>
      <c r="AD8351" s="35"/>
      <c r="AE8351" s="35"/>
      <c r="AF8351" s="35"/>
      <c r="AG8351" s="35"/>
      <c r="AH8351" s="35"/>
      <c r="AI8351" s="35"/>
      <c r="AJ8351" s="35"/>
      <c r="AK8351" s="35"/>
      <c r="AL8351" s="35"/>
    </row>
    <row r="8352">
      <c r="A8352" s="457"/>
      <c r="B8352" s="475"/>
      <c r="C8352" s="476"/>
      <c r="D8352" s="477"/>
      <c r="E8352" s="96"/>
      <c r="F8352" s="96"/>
      <c r="G8352" s="325"/>
      <c r="H8352" s="96"/>
      <c r="I8352" s="478"/>
      <c r="J8352" s="96"/>
      <c r="K8352" s="96"/>
      <c r="L8352" s="107"/>
      <c r="M8352" s="107"/>
      <c r="N8352" s="107"/>
      <c r="O8352" s="107"/>
      <c r="P8352" s="109"/>
      <c r="Q8352" s="107"/>
      <c r="R8352" s="107"/>
      <c r="S8352" s="107"/>
      <c r="T8352" s="479"/>
      <c r="U8352" s="296"/>
      <c r="V8352" s="50"/>
      <c r="W8352" s="49"/>
      <c r="X8352" s="49"/>
      <c r="Y8352" s="35"/>
      <c r="Z8352" s="35"/>
      <c r="AA8352" s="35"/>
      <c r="AB8352" s="35"/>
      <c r="AC8352" s="35"/>
      <c r="AD8352" s="35"/>
      <c r="AE8352" s="35"/>
      <c r="AF8352" s="35"/>
      <c r="AG8352" s="35"/>
      <c r="AH8352" s="35"/>
      <c r="AI8352" s="35"/>
      <c r="AJ8352" s="35"/>
      <c r="AK8352" s="35"/>
      <c r="AL8352" s="35"/>
    </row>
    <row r="8353">
      <c r="A8353" s="457"/>
      <c r="B8353" s="475"/>
      <c r="C8353" s="476"/>
      <c r="D8353" s="477"/>
      <c r="E8353" s="96"/>
      <c r="F8353" s="96"/>
      <c r="G8353" s="325"/>
      <c r="H8353" s="96"/>
      <c r="I8353" s="478"/>
      <c r="J8353" s="96"/>
      <c r="K8353" s="96"/>
      <c r="L8353" s="107"/>
      <c r="M8353" s="107"/>
      <c r="N8353" s="107"/>
      <c r="O8353" s="107"/>
      <c r="P8353" s="109"/>
      <c r="Q8353" s="107"/>
      <c r="R8353" s="107"/>
      <c r="S8353" s="107"/>
      <c r="T8353" s="479"/>
      <c r="U8353" s="296"/>
      <c r="V8353" s="50"/>
      <c r="W8353" s="49"/>
      <c r="X8353" s="49"/>
      <c r="Y8353" s="35"/>
      <c r="Z8353" s="35"/>
      <c r="AA8353" s="35"/>
      <c r="AB8353" s="35"/>
      <c r="AC8353" s="35"/>
      <c r="AD8353" s="35"/>
      <c r="AE8353" s="35"/>
      <c r="AF8353" s="35"/>
      <c r="AG8353" s="35"/>
      <c r="AH8353" s="35"/>
      <c r="AI8353" s="35"/>
      <c r="AJ8353" s="35"/>
      <c r="AK8353" s="35"/>
      <c r="AL8353" s="35"/>
    </row>
    <row r="8354">
      <c r="A8354" s="457"/>
      <c r="B8354" s="475"/>
      <c r="C8354" s="476"/>
      <c r="D8354" s="477"/>
      <c r="E8354" s="96"/>
      <c r="F8354" s="96"/>
      <c r="G8354" s="325"/>
      <c r="H8354" s="96"/>
      <c r="I8354" s="478"/>
      <c r="J8354" s="96"/>
      <c r="K8354" s="96"/>
      <c r="L8354" s="107"/>
      <c r="M8354" s="107"/>
      <c r="N8354" s="107"/>
      <c r="O8354" s="107"/>
      <c r="P8354" s="109"/>
      <c r="Q8354" s="107"/>
      <c r="R8354" s="107"/>
      <c r="S8354" s="107"/>
      <c r="T8354" s="479"/>
      <c r="U8354" s="296"/>
      <c r="V8354" s="50"/>
      <c r="W8354" s="49"/>
      <c r="X8354" s="49"/>
      <c r="Y8354" s="35"/>
      <c r="Z8354" s="35"/>
      <c r="AA8354" s="35"/>
      <c r="AB8354" s="35"/>
      <c r="AC8354" s="35"/>
      <c r="AD8354" s="35"/>
      <c r="AE8354" s="35"/>
      <c r="AF8354" s="35"/>
      <c r="AG8354" s="35"/>
      <c r="AH8354" s="35"/>
      <c r="AI8354" s="35"/>
      <c r="AJ8354" s="35"/>
      <c r="AK8354" s="35"/>
      <c r="AL8354" s="35"/>
    </row>
    <row r="8355">
      <c r="A8355" s="457"/>
      <c r="B8355" s="475"/>
      <c r="C8355" s="476"/>
      <c r="D8355" s="477"/>
      <c r="E8355" s="96"/>
      <c r="F8355" s="96"/>
      <c r="G8355" s="325"/>
      <c r="H8355" s="96"/>
      <c r="I8355" s="478"/>
      <c r="J8355" s="96"/>
      <c r="K8355" s="96"/>
      <c r="L8355" s="107"/>
      <c r="M8355" s="107"/>
      <c r="N8355" s="107"/>
      <c r="O8355" s="107"/>
      <c r="P8355" s="109"/>
      <c r="Q8355" s="107"/>
      <c r="R8355" s="107"/>
      <c r="S8355" s="107"/>
      <c r="T8355" s="479"/>
      <c r="U8355" s="296"/>
      <c r="V8355" s="50"/>
      <c r="W8355" s="49"/>
      <c r="X8355" s="49"/>
      <c r="Y8355" s="35"/>
      <c r="Z8355" s="35"/>
      <c r="AA8355" s="35"/>
      <c r="AB8355" s="35"/>
      <c r="AC8355" s="35"/>
      <c r="AD8355" s="35"/>
      <c r="AE8355" s="35"/>
      <c r="AF8355" s="35"/>
      <c r="AG8355" s="35"/>
      <c r="AH8355" s="35"/>
      <c r="AI8355" s="35"/>
      <c r="AJ8355" s="35"/>
      <c r="AK8355" s="35"/>
      <c r="AL8355" s="35"/>
    </row>
    <row r="8356">
      <c r="A8356" s="457"/>
      <c r="B8356" s="475"/>
      <c r="C8356" s="476"/>
      <c r="D8356" s="477"/>
      <c r="E8356" s="96"/>
      <c r="F8356" s="96"/>
      <c r="G8356" s="325"/>
      <c r="H8356" s="96"/>
      <c r="I8356" s="478"/>
      <c r="J8356" s="96"/>
      <c r="K8356" s="96"/>
      <c r="L8356" s="107"/>
      <c r="M8356" s="107"/>
      <c r="N8356" s="107"/>
      <c r="O8356" s="107"/>
      <c r="P8356" s="109"/>
      <c r="Q8356" s="107"/>
      <c r="R8356" s="107"/>
      <c r="S8356" s="107"/>
      <c r="T8356" s="479"/>
      <c r="U8356" s="296"/>
      <c r="V8356" s="50"/>
      <c r="W8356" s="49"/>
      <c r="X8356" s="49"/>
      <c r="Y8356" s="35"/>
      <c r="Z8356" s="35"/>
      <c r="AA8356" s="35"/>
      <c r="AB8356" s="35"/>
      <c r="AC8356" s="35"/>
      <c r="AD8356" s="35"/>
      <c r="AE8356" s="35"/>
      <c r="AF8356" s="35"/>
      <c r="AG8356" s="35"/>
      <c r="AH8356" s="35"/>
      <c r="AI8356" s="35"/>
      <c r="AJ8356" s="35"/>
      <c r="AK8356" s="35"/>
      <c r="AL8356" s="35"/>
    </row>
    <row r="8357">
      <c r="A8357" s="457"/>
      <c r="B8357" s="475"/>
      <c r="C8357" s="476"/>
      <c r="D8357" s="477"/>
      <c r="E8357" s="96"/>
      <c r="F8357" s="96"/>
      <c r="G8357" s="325"/>
      <c r="H8357" s="96"/>
      <c r="I8357" s="478"/>
      <c r="J8357" s="96"/>
      <c r="K8357" s="96"/>
      <c r="L8357" s="107"/>
      <c r="M8357" s="107"/>
      <c r="N8357" s="107"/>
      <c r="O8357" s="107"/>
      <c r="P8357" s="109"/>
      <c r="Q8357" s="107"/>
      <c r="R8357" s="107"/>
      <c r="S8357" s="107"/>
      <c r="T8357" s="479"/>
      <c r="U8357" s="296"/>
      <c r="V8357" s="50"/>
      <c r="W8357" s="49"/>
      <c r="X8357" s="49"/>
      <c r="Y8357" s="35"/>
      <c r="Z8357" s="35"/>
      <c r="AA8357" s="35"/>
      <c r="AB8357" s="35"/>
      <c r="AC8357" s="35"/>
      <c r="AD8357" s="35"/>
      <c r="AE8357" s="35"/>
      <c r="AF8357" s="35"/>
      <c r="AG8357" s="35"/>
      <c r="AH8357" s="35"/>
      <c r="AI8357" s="35"/>
      <c r="AJ8357" s="35"/>
      <c r="AK8357" s="35"/>
      <c r="AL8357" s="35"/>
    </row>
    <row r="8358">
      <c r="A8358" s="457"/>
      <c r="B8358" s="475"/>
      <c r="C8358" s="476"/>
      <c r="D8358" s="477"/>
      <c r="E8358" s="96"/>
      <c r="F8358" s="96"/>
      <c r="G8358" s="325"/>
      <c r="H8358" s="96"/>
      <c r="I8358" s="478"/>
      <c r="J8358" s="96"/>
      <c r="K8358" s="96"/>
      <c r="L8358" s="107"/>
      <c r="M8358" s="107"/>
      <c r="N8358" s="107"/>
      <c r="O8358" s="107"/>
      <c r="P8358" s="109"/>
      <c r="Q8358" s="107"/>
      <c r="R8358" s="107"/>
      <c r="S8358" s="107"/>
      <c r="T8358" s="479"/>
      <c r="U8358" s="296"/>
      <c r="V8358" s="50"/>
      <c r="W8358" s="49"/>
      <c r="X8358" s="49"/>
      <c r="Y8358" s="35"/>
      <c r="Z8358" s="35"/>
      <c r="AA8358" s="35"/>
      <c r="AB8358" s="35"/>
      <c r="AC8358" s="35"/>
      <c r="AD8358" s="35"/>
      <c r="AE8358" s="35"/>
      <c r="AF8358" s="35"/>
      <c r="AG8358" s="35"/>
      <c r="AH8358" s="35"/>
      <c r="AI8358" s="35"/>
      <c r="AJ8358" s="35"/>
      <c r="AK8358" s="35"/>
      <c r="AL8358" s="35"/>
    </row>
    <row r="8359">
      <c r="A8359" s="457"/>
      <c r="B8359" s="475"/>
      <c r="C8359" s="476"/>
      <c r="D8359" s="477"/>
      <c r="E8359" s="96"/>
      <c r="F8359" s="96"/>
      <c r="G8359" s="325"/>
      <c r="H8359" s="96"/>
      <c r="I8359" s="478"/>
      <c r="J8359" s="96"/>
      <c r="K8359" s="96"/>
      <c r="L8359" s="107"/>
      <c r="M8359" s="107"/>
      <c r="N8359" s="107"/>
      <c r="O8359" s="107"/>
      <c r="P8359" s="109"/>
      <c r="Q8359" s="107"/>
      <c r="R8359" s="107"/>
      <c r="S8359" s="107"/>
      <c r="T8359" s="479"/>
      <c r="U8359" s="296"/>
      <c r="V8359" s="50"/>
      <c r="W8359" s="49"/>
      <c r="X8359" s="49"/>
      <c r="Y8359" s="35"/>
      <c r="Z8359" s="35"/>
      <c r="AA8359" s="35"/>
      <c r="AB8359" s="35"/>
      <c r="AC8359" s="35"/>
      <c r="AD8359" s="35"/>
      <c r="AE8359" s="35"/>
      <c r="AF8359" s="35"/>
      <c r="AG8359" s="35"/>
      <c r="AH8359" s="35"/>
      <c r="AI8359" s="35"/>
      <c r="AJ8359" s="35"/>
      <c r="AK8359" s="35"/>
      <c r="AL8359" s="35"/>
    </row>
    <row r="8360">
      <c r="A8360" s="457"/>
      <c r="B8360" s="475"/>
      <c r="C8360" s="476"/>
      <c r="D8360" s="477"/>
      <c r="E8360" s="96"/>
      <c r="F8360" s="96"/>
      <c r="G8360" s="325"/>
      <c r="H8360" s="96"/>
      <c r="I8360" s="478"/>
      <c r="J8360" s="96"/>
      <c r="K8360" s="96"/>
      <c r="L8360" s="107"/>
      <c r="M8360" s="107"/>
      <c r="N8360" s="107"/>
      <c r="O8360" s="107"/>
      <c r="P8360" s="109"/>
      <c r="Q8360" s="107"/>
      <c r="R8360" s="107"/>
      <c r="S8360" s="107"/>
      <c r="T8360" s="479"/>
      <c r="U8360" s="296"/>
      <c r="V8360" s="50"/>
      <c r="W8360" s="49"/>
      <c r="X8360" s="49"/>
      <c r="Y8360" s="35"/>
      <c r="Z8360" s="35"/>
      <c r="AA8360" s="35"/>
      <c r="AB8360" s="35"/>
      <c r="AC8360" s="35"/>
      <c r="AD8360" s="35"/>
      <c r="AE8360" s="35"/>
      <c r="AF8360" s="35"/>
      <c r="AG8360" s="35"/>
      <c r="AH8360" s="35"/>
      <c r="AI8360" s="35"/>
      <c r="AJ8360" s="35"/>
      <c r="AK8360" s="35"/>
      <c r="AL8360" s="35"/>
    </row>
    <row r="8361">
      <c r="A8361" s="457"/>
      <c r="B8361" s="475"/>
      <c r="C8361" s="476"/>
      <c r="D8361" s="477"/>
      <c r="E8361" s="96"/>
      <c r="F8361" s="96"/>
      <c r="G8361" s="325"/>
      <c r="H8361" s="96"/>
      <c r="I8361" s="478"/>
      <c r="J8361" s="96"/>
      <c r="K8361" s="96"/>
      <c r="L8361" s="107"/>
      <c r="M8361" s="107"/>
      <c r="N8361" s="107"/>
      <c r="O8361" s="107"/>
      <c r="P8361" s="109"/>
      <c r="Q8361" s="107"/>
      <c r="R8361" s="107"/>
      <c r="S8361" s="107"/>
      <c r="T8361" s="479"/>
      <c r="U8361" s="296"/>
      <c r="V8361" s="50"/>
      <c r="W8361" s="49"/>
      <c r="X8361" s="49"/>
      <c r="Y8361" s="35"/>
      <c r="Z8361" s="35"/>
      <c r="AA8361" s="35"/>
      <c r="AB8361" s="35"/>
      <c r="AC8361" s="35"/>
      <c r="AD8361" s="35"/>
      <c r="AE8361" s="35"/>
      <c r="AF8361" s="35"/>
      <c r="AG8361" s="35"/>
      <c r="AH8361" s="35"/>
      <c r="AI8361" s="35"/>
      <c r="AJ8361" s="35"/>
      <c r="AK8361" s="35"/>
      <c r="AL8361" s="35"/>
    </row>
    <row r="8362">
      <c r="A8362" s="457"/>
      <c r="B8362" s="475"/>
      <c r="C8362" s="476"/>
      <c r="D8362" s="477"/>
      <c r="E8362" s="96"/>
      <c r="F8362" s="96"/>
      <c r="G8362" s="325"/>
      <c r="H8362" s="96"/>
      <c r="I8362" s="478"/>
      <c r="J8362" s="96"/>
      <c r="K8362" s="96"/>
      <c r="L8362" s="107"/>
      <c r="M8362" s="107"/>
      <c r="N8362" s="107"/>
      <c r="O8362" s="107"/>
      <c r="P8362" s="109"/>
      <c r="Q8362" s="107"/>
      <c r="R8362" s="107"/>
      <c r="S8362" s="107"/>
      <c r="T8362" s="479"/>
      <c r="U8362" s="296"/>
      <c r="V8362" s="50"/>
      <c r="W8362" s="49"/>
      <c r="X8362" s="49"/>
      <c r="Y8362" s="35"/>
      <c r="Z8362" s="35"/>
      <c r="AA8362" s="35"/>
      <c r="AB8362" s="35"/>
      <c r="AC8362" s="35"/>
      <c r="AD8362" s="35"/>
      <c r="AE8362" s="35"/>
      <c r="AF8362" s="35"/>
      <c r="AG8362" s="35"/>
      <c r="AH8362" s="35"/>
      <c r="AI8362" s="35"/>
      <c r="AJ8362" s="35"/>
      <c r="AK8362" s="35"/>
      <c r="AL8362" s="35"/>
    </row>
    <row r="8363">
      <c r="A8363" s="457"/>
      <c r="B8363" s="475"/>
      <c r="C8363" s="476"/>
      <c r="D8363" s="477"/>
      <c r="E8363" s="96"/>
      <c r="F8363" s="96"/>
      <c r="G8363" s="325"/>
      <c r="H8363" s="96"/>
      <c r="I8363" s="478"/>
      <c r="J8363" s="96"/>
      <c r="K8363" s="96"/>
      <c r="L8363" s="107"/>
      <c r="M8363" s="107"/>
      <c r="N8363" s="107"/>
      <c r="O8363" s="107"/>
      <c r="P8363" s="109"/>
      <c r="Q8363" s="107"/>
      <c r="R8363" s="107"/>
      <c r="S8363" s="107"/>
      <c r="T8363" s="479"/>
      <c r="U8363" s="296"/>
      <c r="V8363" s="50"/>
      <c r="W8363" s="49"/>
      <c r="X8363" s="49"/>
      <c r="Y8363" s="35"/>
      <c r="Z8363" s="35"/>
      <c r="AA8363" s="35"/>
      <c r="AB8363" s="35"/>
      <c r="AC8363" s="35"/>
      <c r="AD8363" s="35"/>
      <c r="AE8363" s="35"/>
      <c r="AF8363" s="35"/>
      <c r="AG8363" s="35"/>
      <c r="AH8363" s="35"/>
      <c r="AI8363" s="35"/>
      <c r="AJ8363" s="35"/>
      <c r="AK8363" s="35"/>
      <c r="AL8363" s="35"/>
    </row>
    <row r="8364">
      <c r="A8364" s="457"/>
      <c r="B8364" s="475"/>
      <c r="C8364" s="476"/>
      <c r="D8364" s="477"/>
      <c r="E8364" s="96"/>
      <c r="F8364" s="96"/>
      <c r="G8364" s="325"/>
      <c r="H8364" s="96"/>
      <c r="I8364" s="478"/>
      <c r="J8364" s="96"/>
      <c r="K8364" s="96"/>
      <c r="L8364" s="107"/>
      <c r="M8364" s="107"/>
      <c r="N8364" s="107"/>
      <c r="O8364" s="107"/>
      <c r="P8364" s="109"/>
      <c r="Q8364" s="107"/>
      <c r="R8364" s="107"/>
      <c r="S8364" s="107"/>
      <c r="T8364" s="479"/>
      <c r="U8364" s="296"/>
      <c r="V8364" s="50"/>
      <c r="W8364" s="49"/>
      <c r="X8364" s="49"/>
      <c r="Y8364" s="35"/>
      <c r="Z8364" s="35"/>
      <c r="AA8364" s="35"/>
      <c r="AB8364" s="35"/>
      <c r="AC8364" s="35"/>
      <c r="AD8364" s="35"/>
      <c r="AE8364" s="35"/>
      <c r="AF8364" s="35"/>
      <c r="AG8364" s="35"/>
      <c r="AH8364" s="35"/>
      <c r="AI8364" s="35"/>
      <c r="AJ8364" s="35"/>
      <c r="AK8364" s="35"/>
      <c r="AL8364" s="35"/>
    </row>
    <row r="8365">
      <c r="A8365" s="457"/>
      <c r="B8365" s="475"/>
      <c r="C8365" s="476"/>
      <c r="D8365" s="477"/>
      <c r="E8365" s="96"/>
      <c r="F8365" s="96"/>
      <c r="G8365" s="325"/>
      <c r="H8365" s="96"/>
      <c r="I8365" s="478"/>
      <c r="J8365" s="96"/>
      <c r="K8365" s="96"/>
      <c r="L8365" s="107"/>
      <c r="M8365" s="107"/>
      <c r="N8365" s="107"/>
      <c r="O8365" s="107"/>
      <c r="P8365" s="109"/>
      <c r="Q8365" s="107"/>
      <c r="R8365" s="107"/>
      <c r="S8365" s="107"/>
      <c r="T8365" s="479"/>
      <c r="U8365" s="296"/>
      <c r="V8365" s="50"/>
      <c r="W8365" s="49"/>
      <c r="X8365" s="49"/>
      <c r="Y8365" s="35"/>
      <c r="Z8365" s="35"/>
      <c r="AA8365" s="35"/>
      <c r="AB8365" s="35"/>
      <c r="AC8365" s="35"/>
      <c r="AD8365" s="35"/>
      <c r="AE8365" s="35"/>
      <c r="AF8365" s="35"/>
      <c r="AG8365" s="35"/>
      <c r="AH8365" s="35"/>
      <c r="AI8365" s="35"/>
      <c r="AJ8365" s="35"/>
      <c r="AK8365" s="35"/>
      <c r="AL8365" s="35"/>
    </row>
    <row r="8366">
      <c r="A8366" s="457"/>
      <c r="B8366" s="475"/>
      <c r="C8366" s="476"/>
      <c r="D8366" s="477"/>
      <c r="E8366" s="96"/>
      <c r="F8366" s="96"/>
      <c r="G8366" s="325"/>
      <c r="H8366" s="96"/>
      <c r="I8366" s="478"/>
      <c r="J8366" s="96"/>
      <c r="K8366" s="96"/>
      <c r="L8366" s="107"/>
      <c r="M8366" s="107"/>
      <c r="N8366" s="107"/>
      <c r="O8366" s="107"/>
      <c r="P8366" s="109"/>
      <c r="Q8366" s="107"/>
      <c r="R8366" s="107"/>
      <c r="S8366" s="107"/>
      <c r="T8366" s="479"/>
      <c r="U8366" s="296"/>
      <c r="V8366" s="50"/>
      <c r="W8366" s="49"/>
      <c r="X8366" s="49"/>
      <c r="Y8366" s="35"/>
      <c r="Z8366" s="35"/>
      <c r="AA8366" s="35"/>
      <c r="AB8366" s="35"/>
      <c r="AC8366" s="35"/>
      <c r="AD8366" s="35"/>
      <c r="AE8366" s="35"/>
      <c r="AF8366" s="35"/>
      <c r="AG8366" s="35"/>
      <c r="AH8366" s="35"/>
      <c r="AI8366" s="35"/>
      <c r="AJ8366" s="35"/>
      <c r="AK8366" s="35"/>
      <c r="AL8366" s="35"/>
    </row>
    <row r="8367">
      <c r="A8367" s="457"/>
      <c r="B8367" s="475"/>
      <c r="C8367" s="476"/>
      <c r="D8367" s="477"/>
      <c r="E8367" s="96"/>
      <c r="F8367" s="96"/>
      <c r="G8367" s="325"/>
      <c r="H8367" s="96"/>
      <c r="I8367" s="478"/>
      <c r="J8367" s="96"/>
      <c r="K8367" s="96"/>
      <c r="L8367" s="107"/>
      <c r="M8367" s="107"/>
      <c r="N8367" s="107"/>
      <c r="O8367" s="107"/>
      <c r="P8367" s="109"/>
      <c r="Q8367" s="107"/>
      <c r="R8367" s="107"/>
      <c r="S8367" s="107"/>
      <c r="T8367" s="479"/>
      <c r="U8367" s="296"/>
      <c r="V8367" s="50"/>
      <c r="W8367" s="49"/>
      <c r="X8367" s="49"/>
      <c r="Y8367" s="35"/>
      <c r="Z8367" s="35"/>
      <c r="AA8367" s="35"/>
      <c r="AB8367" s="35"/>
      <c r="AC8367" s="35"/>
      <c r="AD8367" s="35"/>
      <c r="AE8367" s="35"/>
      <c r="AF8367" s="35"/>
      <c r="AG8367" s="35"/>
      <c r="AH8367" s="35"/>
      <c r="AI8367" s="35"/>
      <c r="AJ8367" s="35"/>
      <c r="AK8367" s="35"/>
      <c r="AL8367" s="35"/>
    </row>
    <row r="8368">
      <c r="A8368" s="457"/>
      <c r="B8368" s="475"/>
      <c r="C8368" s="476"/>
      <c r="D8368" s="477"/>
      <c r="E8368" s="96"/>
      <c r="F8368" s="96"/>
      <c r="G8368" s="325"/>
      <c r="H8368" s="96"/>
      <c r="I8368" s="478"/>
      <c r="J8368" s="96"/>
      <c r="K8368" s="96"/>
      <c r="L8368" s="107"/>
      <c r="M8368" s="107"/>
      <c r="N8368" s="107"/>
      <c r="O8368" s="107"/>
      <c r="P8368" s="109"/>
      <c r="Q8368" s="107"/>
      <c r="R8368" s="107"/>
      <c r="S8368" s="107"/>
      <c r="T8368" s="479"/>
      <c r="U8368" s="296"/>
      <c r="V8368" s="50"/>
      <c r="W8368" s="49"/>
      <c r="X8368" s="49"/>
      <c r="Y8368" s="35"/>
      <c r="Z8368" s="35"/>
      <c r="AA8368" s="35"/>
      <c r="AB8368" s="35"/>
      <c r="AC8368" s="35"/>
      <c r="AD8368" s="35"/>
      <c r="AE8368" s="35"/>
      <c r="AF8368" s="35"/>
      <c r="AG8368" s="35"/>
      <c r="AH8368" s="35"/>
      <c r="AI8368" s="35"/>
      <c r="AJ8368" s="35"/>
      <c r="AK8368" s="35"/>
      <c r="AL8368" s="35"/>
    </row>
    <row r="8369">
      <c r="A8369" s="457"/>
      <c r="B8369" s="475"/>
      <c r="C8369" s="476"/>
      <c r="D8369" s="477"/>
      <c r="E8369" s="96"/>
      <c r="F8369" s="96"/>
      <c r="G8369" s="325"/>
      <c r="H8369" s="96"/>
      <c r="I8369" s="478"/>
      <c r="J8369" s="96"/>
      <c r="K8369" s="96"/>
      <c r="L8369" s="107"/>
      <c r="M8369" s="107"/>
      <c r="N8369" s="107"/>
      <c r="O8369" s="107"/>
      <c r="P8369" s="109"/>
      <c r="Q8369" s="107"/>
      <c r="R8369" s="107"/>
      <c r="S8369" s="107"/>
      <c r="T8369" s="479"/>
      <c r="U8369" s="296"/>
      <c r="V8369" s="50"/>
      <c r="W8369" s="49"/>
      <c r="X8369" s="49"/>
      <c r="Y8369" s="35"/>
      <c r="Z8369" s="35"/>
      <c r="AA8369" s="35"/>
      <c r="AB8369" s="35"/>
      <c r="AC8369" s="35"/>
      <c r="AD8369" s="35"/>
      <c r="AE8369" s="35"/>
      <c r="AF8369" s="35"/>
      <c r="AG8369" s="35"/>
      <c r="AH8369" s="35"/>
      <c r="AI8369" s="35"/>
      <c r="AJ8369" s="35"/>
      <c r="AK8369" s="35"/>
      <c r="AL8369" s="35"/>
    </row>
    <row r="8370">
      <c r="A8370" s="457"/>
      <c r="B8370" s="475"/>
      <c r="C8370" s="476"/>
      <c r="D8370" s="477"/>
      <c r="E8370" s="96"/>
      <c r="F8370" s="96"/>
      <c r="G8370" s="325"/>
      <c r="H8370" s="96"/>
      <c r="I8370" s="478"/>
      <c r="J8370" s="96"/>
      <c r="K8370" s="96"/>
      <c r="L8370" s="107"/>
      <c r="M8370" s="107"/>
      <c r="N8370" s="107"/>
      <c r="O8370" s="107"/>
      <c r="P8370" s="109"/>
      <c r="Q8370" s="107"/>
      <c r="R8370" s="107"/>
      <c r="S8370" s="107"/>
      <c r="T8370" s="479"/>
      <c r="U8370" s="296"/>
      <c r="V8370" s="50"/>
      <c r="W8370" s="49"/>
      <c r="X8370" s="49"/>
      <c r="Y8370" s="35"/>
      <c r="Z8370" s="35"/>
      <c r="AA8370" s="35"/>
      <c r="AB8370" s="35"/>
      <c r="AC8370" s="35"/>
      <c r="AD8370" s="35"/>
      <c r="AE8370" s="35"/>
      <c r="AF8370" s="35"/>
      <c r="AG8370" s="35"/>
      <c r="AH8370" s="35"/>
      <c r="AI8370" s="35"/>
      <c r="AJ8370" s="35"/>
      <c r="AK8370" s="35"/>
      <c r="AL8370" s="35"/>
    </row>
    <row r="8371">
      <c r="A8371" s="457"/>
      <c r="B8371" s="475"/>
      <c r="C8371" s="476"/>
      <c r="D8371" s="477"/>
      <c r="E8371" s="96"/>
      <c r="F8371" s="96"/>
      <c r="G8371" s="325"/>
      <c r="H8371" s="96"/>
      <c r="I8371" s="478"/>
      <c r="J8371" s="96"/>
      <c r="K8371" s="96"/>
      <c r="L8371" s="107"/>
      <c r="M8371" s="107"/>
      <c r="N8371" s="107"/>
      <c r="O8371" s="107"/>
      <c r="P8371" s="109"/>
      <c r="Q8371" s="107"/>
      <c r="R8371" s="107"/>
      <c r="S8371" s="107"/>
      <c r="T8371" s="479"/>
      <c r="U8371" s="296"/>
      <c r="V8371" s="50"/>
      <c r="W8371" s="49"/>
      <c r="X8371" s="49"/>
      <c r="Y8371" s="35"/>
      <c r="Z8371" s="35"/>
      <c r="AA8371" s="35"/>
      <c r="AB8371" s="35"/>
      <c r="AC8371" s="35"/>
      <c r="AD8371" s="35"/>
      <c r="AE8371" s="35"/>
      <c r="AF8371" s="35"/>
      <c r="AG8371" s="35"/>
      <c r="AH8371" s="35"/>
      <c r="AI8371" s="35"/>
      <c r="AJ8371" s="35"/>
      <c r="AK8371" s="35"/>
      <c r="AL8371" s="35"/>
    </row>
    <row r="8372">
      <c r="A8372" s="457"/>
      <c r="B8372" s="475"/>
      <c r="C8372" s="476"/>
      <c r="D8372" s="477"/>
      <c r="E8372" s="96"/>
      <c r="F8372" s="96"/>
      <c r="G8372" s="325"/>
      <c r="H8372" s="96"/>
      <c r="I8372" s="478"/>
      <c r="J8372" s="96"/>
      <c r="K8372" s="96"/>
      <c r="L8372" s="107"/>
      <c r="M8372" s="107"/>
      <c r="N8372" s="107"/>
      <c r="O8372" s="107"/>
      <c r="P8372" s="109"/>
      <c r="Q8372" s="107"/>
      <c r="R8372" s="107"/>
      <c r="S8372" s="107"/>
      <c r="T8372" s="479"/>
      <c r="U8372" s="296"/>
      <c r="V8372" s="50"/>
      <c r="W8372" s="49"/>
      <c r="X8372" s="49"/>
      <c r="Y8372" s="35"/>
      <c r="Z8372" s="35"/>
      <c r="AA8372" s="35"/>
      <c r="AB8372" s="35"/>
      <c r="AC8372" s="35"/>
      <c r="AD8372" s="35"/>
      <c r="AE8372" s="35"/>
      <c r="AF8372" s="35"/>
      <c r="AG8372" s="35"/>
      <c r="AH8372" s="35"/>
      <c r="AI8372" s="35"/>
      <c r="AJ8372" s="35"/>
      <c r="AK8372" s="35"/>
      <c r="AL8372" s="35"/>
    </row>
    <row r="8373">
      <c r="A8373" s="457"/>
      <c r="B8373" s="475"/>
      <c r="C8373" s="476"/>
      <c r="D8373" s="477"/>
      <c r="E8373" s="96"/>
      <c r="F8373" s="96"/>
      <c r="G8373" s="325"/>
      <c r="H8373" s="96"/>
      <c r="I8373" s="478"/>
      <c r="J8373" s="96"/>
      <c r="K8373" s="96"/>
      <c r="L8373" s="107"/>
      <c r="M8373" s="107"/>
      <c r="N8373" s="107"/>
      <c r="O8373" s="107"/>
      <c r="P8373" s="109"/>
      <c r="Q8373" s="107"/>
      <c r="R8373" s="107"/>
      <c r="S8373" s="107"/>
      <c r="T8373" s="479"/>
      <c r="U8373" s="296"/>
      <c r="V8373" s="50"/>
      <c r="W8373" s="49"/>
      <c r="X8373" s="49"/>
      <c r="Y8373" s="35"/>
      <c r="Z8373" s="35"/>
      <c r="AA8373" s="35"/>
      <c r="AB8373" s="35"/>
      <c r="AC8373" s="35"/>
      <c r="AD8373" s="35"/>
      <c r="AE8373" s="35"/>
      <c r="AF8373" s="35"/>
      <c r="AG8373" s="35"/>
      <c r="AH8373" s="35"/>
      <c r="AI8373" s="35"/>
      <c r="AJ8373" s="35"/>
      <c r="AK8373" s="35"/>
      <c r="AL8373" s="35"/>
    </row>
    <row r="8374">
      <c r="A8374" s="457"/>
      <c r="B8374" s="475"/>
      <c r="C8374" s="476"/>
      <c r="D8374" s="477"/>
      <c r="E8374" s="96"/>
      <c r="F8374" s="96"/>
      <c r="G8374" s="325"/>
      <c r="H8374" s="96"/>
      <c r="I8374" s="478"/>
      <c r="J8374" s="96"/>
      <c r="K8374" s="96"/>
      <c r="L8374" s="107"/>
      <c r="M8374" s="107"/>
      <c r="N8374" s="107"/>
      <c r="O8374" s="107"/>
      <c r="P8374" s="109"/>
      <c r="Q8374" s="107"/>
      <c r="R8374" s="107"/>
      <c r="S8374" s="107"/>
      <c r="T8374" s="479"/>
      <c r="U8374" s="296"/>
      <c r="V8374" s="50"/>
      <c r="W8374" s="49"/>
      <c r="X8374" s="49"/>
      <c r="Y8374" s="35"/>
      <c r="Z8374" s="35"/>
      <c r="AA8374" s="35"/>
      <c r="AB8374" s="35"/>
      <c r="AC8374" s="35"/>
      <c r="AD8374" s="35"/>
      <c r="AE8374" s="35"/>
      <c r="AF8374" s="35"/>
      <c r="AG8374" s="35"/>
      <c r="AH8374" s="35"/>
      <c r="AI8374" s="35"/>
      <c r="AJ8374" s="35"/>
      <c r="AK8374" s="35"/>
      <c r="AL8374" s="35"/>
    </row>
    <row r="8375">
      <c r="A8375" s="457"/>
      <c r="B8375" s="475"/>
      <c r="C8375" s="476"/>
      <c r="D8375" s="477"/>
      <c r="E8375" s="96"/>
      <c r="F8375" s="96"/>
      <c r="G8375" s="325"/>
      <c r="H8375" s="96"/>
      <c r="I8375" s="478"/>
      <c r="J8375" s="96"/>
      <c r="K8375" s="96"/>
      <c r="L8375" s="107"/>
      <c r="M8375" s="107"/>
      <c r="N8375" s="107"/>
      <c r="O8375" s="107"/>
      <c r="P8375" s="109"/>
      <c r="Q8375" s="107"/>
      <c r="R8375" s="107"/>
      <c r="S8375" s="107"/>
      <c r="T8375" s="479"/>
      <c r="U8375" s="296"/>
      <c r="V8375" s="50"/>
      <c r="W8375" s="49"/>
      <c r="X8375" s="49"/>
      <c r="Y8375" s="35"/>
      <c r="Z8375" s="35"/>
      <c r="AA8375" s="35"/>
      <c r="AB8375" s="35"/>
      <c r="AC8375" s="35"/>
      <c r="AD8375" s="35"/>
      <c r="AE8375" s="35"/>
      <c r="AF8375" s="35"/>
      <c r="AG8375" s="35"/>
      <c r="AH8375" s="35"/>
      <c r="AI8375" s="35"/>
      <c r="AJ8375" s="35"/>
      <c r="AK8375" s="35"/>
      <c r="AL8375" s="35"/>
    </row>
    <row r="8376">
      <c r="A8376" s="457"/>
      <c r="B8376" s="475"/>
      <c r="C8376" s="476"/>
      <c r="D8376" s="477"/>
      <c r="E8376" s="96"/>
      <c r="F8376" s="96"/>
      <c r="G8376" s="325"/>
      <c r="H8376" s="96"/>
      <c r="I8376" s="478"/>
      <c r="J8376" s="96"/>
      <c r="K8376" s="96"/>
      <c r="L8376" s="107"/>
      <c r="M8376" s="107"/>
      <c r="N8376" s="107"/>
      <c r="O8376" s="107"/>
      <c r="P8376" s="109"/>
      <c r="Q8376" s="107"/>
      <c r="R8376" s="107"/>
      <c r="S8376" s="107"/>
      <c r="T8376" s="479"/>
      <c r="U8376" s="296"/>
      <c r="V8376" s="50"/>
      <c r="W8376" s="49"/>
      <c r="X8376" s="49"/>
      <c r="Y8376" s="35"/>
      <c r="Z8376" s="35"/>
      <c r="AA8376" s="35"/>
      <c r="AB8376" s="35"/>
      <c r="AC8376" s="35"/>
      <c r="AD8376" s="35"/>
      <c r="AE8376" s="35"/>
      <c r="AF8376" s="35"/>
      <c r="AG8376" s="35"/>
      <c r="AH8376" s="35"/>
      <c r="AI8376" s="35"/>
      <c r="AJ8376" s="35"/>
      <c r="AK8376" s="35"/>
      <c r="AL8376" s="35"/>
    </row>
    <row r="8377">
      <c r="A8377" s="457"/>
      <c r="B8377" s="475"/>
      <c r="C8377" s="476"/>
      <c r="D8377" s="477"/>
      <c r="E8377" s="96"/>
      <c r="F8377" s="96"/>
      <c r="G8377" s="325"/>
      <c r="H8377" s="96"/>
      <c r="I8377" s="478"/>
      <c r="J8377" s="96"/>
      <c r="K8377" s="96"/>
      <c r="L8377" s="107"/>
      <c r="M8377" s="107"/>
      <c r="N8377" s="107"/>
      <c r="O8377" s="107"/>
      <c r="P8377" s="109"/>
      <c r="Q8377" s="107"/>
      <c r="R8377" s="107"/>
      <c r="S8377" s="107"/>
      <c r="T8377" s="479"/>
      <c r="U8377" s="296"/>
      <c r="V8377" s="50"/>
      <c r="W8377" s="49"/>
      <c r="X8377" s="49"/>
      <c r="Y8377" s="35"/>
      <c r="Z8377" s="35"/>
      <c r="AA8377" s="35"/>
      <c r="AB8377" s="35"/>
      <c r="AC8377" s="35"/>
      <c r="AD8377" s="35"/>
      <c r="AE8377" s="35"/>
      <c r="AF8377" s="35"/>
      <c r="AG8377" s="35"/>
      <c r="AH8377" s="35"/>
      <c r="AI8377" s="35"/>
      <c r="AJ8377" s="35"/>
      <c r="AK8377" s="35"/>
      <c r="AL8377" s="35"/>
    </row>
    <row r="8378">
      <c r="A8378" s="457"/>
      <c r="B8378" s="475"/>
      <c r="C8378" s="476"/>
      <c r="D8378" s="477"/>
      <c r="E8378" s="96"/>
      <c r="F8378" s="96"/>
      <c r="G8378" s="325"/>
      <c r="H8378" s="96"/>
      <c r="I8378" s="478"/>
      <c r="J8378" s="96"/>
      <c r="K8378" s="96"/>
      <c r="L8378" s="107"/>
      <c r="M8378" s="107"/>
      <c r="N8378" s="107"/>
      <c r="O8378" s="107"/>
      <c r="P8378" s="109"/>
      <c r="Q8378" s="107"/>
      <c r="R8378" s="107"/>
      <c r="S8378" s="107"/>
      <c r="T8378" s="479"/>
      <c r="U8378" s="296"/>
      <c r="V8378" s="50"/>
      <c r="W8378" s="49"/>
      <c r="X8378" s="49"/>
      <c r="Y8378" s="35"/>
      <c r="Z8378" s="35"/>
      <c r="AA8378" s="35"/>
      <c r="AB8378" s="35"/>
      <c r="AC8378" s="35"/>
      <c r="AD8378" s="35"/>
      <c r="AE8378" s="35"/>
      <c r="AF8378" s="35"/>
      <c r="AG8378" s="35"/>
      <c r="AH8378" s="35"/>
      <c r="AI8378" s="35"/>
      <c r="AJ8378" s="35"/>
      <c r="AK8378" s="35"/>
      <c r="AL8378" s="35"/>
    </row>
    <row r="8379">
      <c r="A8379" s="457"/>
      <c r="B8379" s="475"/>
      <c r="C8379" s="476"/>
      <c r="D8379" s="477"/>
      <c r="E8379" s="96"/>
      <c r="F8379" s="96"/>
      <c r="G8379" s="325"/>
      <c r="H8379" s="96"/>
      <c r="I8379" s="478"/>
      <c r="J8379" s="96"/>
      <c r="K8379" s="96"/>
      <c r="L8379" s="107"/>
      <c r="M8379" s="107"/>
      <c r="N8379" s="107"/>
      <c r="O8379" s="107"/>
      <c r="P8379" s="109"/>
      <c r="Q8379" s="107"/>
      <c r="R8379" s="107"/>
      <c r="S8379" s="107"/>
      <c r="T8379" s="479"/>
      <c r="U8379" s="296"/>
      <c r="V8379" s="50"/>
      <c r="W8379" s="49"/>
      <c r="X8379" s="49"/>
      <c r="Y8379" s="35"/>
      <c r="Z8379" s="35"/>
      <c r="AA8379" s="35"/>
      <c r="AB8379" s="35"/>
      <c r="AC8379" s="35"/>
      <c r="AD8379" s="35"/>
      <c r="AE8379" s="35"/>
      <c r="AF8379" s="35"/>
      <c r="AG8379" s="35"/>
      <c r="AH8379" s="35"/>
      <c r="AI8379" s="35"/>
      <c r="AJ8379" s="35"/>
      <c r="AK8379" s="35"/>
      <c r="AL8379" s="35"/>
    </row>
    <row r="8380">
      <c r="A8380" s="457"/>
      <c r="B8380" s="475"/>
      <c r="C8380" s="476"/>
      <c r="D8380" s="477"/>
      <c r="E8380" s="96"/>
      <c r="F8380" s="96"/>
      <c r="G8380" s="325"/>
      <c r="H8380" s="96"/>
      <c r="I8380" s="478"/>
      <c r="J8380" s="96"/>
      <c r="K8380" s="96"/>
      <c r="L8380" s="107"/>
      <c r="M8380" s="107"/>
      <c r="N8380" s="107"/>
      <c r="O8380" s="107"/>
      <c r="P8380" s="109"/>
      <c r="Q8380" s="107"/>
      <c r="R8380" s="107"/>
      <c r="S8380" s="107"/>
      <c r="T8380" s="479"/>
      <c r="U8380" s="296"/>
      <c r="V8380" s="50"/>
      <c r="W8380" s="49"/>
      <c r="X8380" s="49"/>
      <c r="Y8380" s="35"/>
      <c r="Z8380" s="35"/>
      <c r="AA8380" s="35"/>
      <c r="AB8380" s="35"/>
      <c r="AC8380" s="35"/>
      <c r="AD8380" s="35"/>
      <c r="AE8380" s="35"/>
      <c r="AF8380" s="35"/>
      <c r="AG8380" s="35"/>
      <c r="AH8380" s="35"/>
      <c r="AI8380" s="35"/>
      <c r="AJ8380" s="35"/>
      <c r="AK8380" s="35"/>
      <c r="AL8380" s="35"/>
    </row>
    <row r="8381">
      <c r="A8381" s="457"/>
      <c r="B8381" s="475"/>
      <c r="C8381" s="476"/>
      <c r="D8381" s="477"/>
      <c r="E8381" s="96"/>
      <c r="F8381" s="96"/>
      <c r="G8381" s="325"/>
      <c r="H8381" s="96"/>
      <c r="I8381" s="478"/>
      <c r="J8381" s="96"/>
      <c r="K8381" s="96"/>
      <c r="L8381" s="107"/>
      <c r="M8381" s="107"/>
      <c r="N8381" s="107"/>
      <c r="O8381" s="107"/>
      <c r="P8381" s="109"/>
      <c r="Q8381" s="107"/>
      <c r="R8381" s="107"/>
      <c r="S8381" s="107"/>
      <c r="T8381" s="479"/>
      <c r="U8381" s="296"/>
      <c r="V8381" s="50"/>
      <c r="W8381" s="49"/>
      <c r="X8381" s="49"/>
      <c r="Y8381" s="35"/>
      <c r="Z8381" s="35"/>
      <c r="AA8381" s="35"/>
      <c r="AB8381" s="35"/>
      <c r="AC8381" s="35"/>
      <c r="AD8381" s="35"/>
      <c r="AE8381" s="35"/>
      <c r="AF8381" s="35"/>
      <c r="AG8381" s="35"/>
      <c r="AH8381" s="35"/>
      <c r="AI8381" s="35"/>
      <c r="AJ8381" s="35"/>
      <c r="AK8381" s="35"/>
      <c r="AL8381" s="35"/>
    </row>
    <row r="8382">
      <c r="A8382" s="457"/>
      <c r="B8382" s="475"/>
      <c r="C8382" s="476"/>
      <c r="D8382" s="477"/>
      <c r="E8382" s="96"/>
      <c r="F8382" s="96"/>
      <c r="G8382" s="325"/>
      <c r="H8382" s="96"/>
      <c r="I8382" s="478"/>
      <c r="J8382" s="96"/>
      <c r="K8382" s="96"/>
      <c r="L8382" s="107"/>
      <c r="M8382" s="107"/>
      <c r="N8382" s="107"/>
      <c r="O8382" s="107"/>
      <c r="P8382" s="109"/>
      <c r="Q8382" s="107"/>
      <c r="R8382" s="107"/>
      <c r="S8382" s="107"/>
      <c r="T8382" s="479"/>
      <c r="U8382" s="296"/>
      <c r="V8382" s="50"/>
      <c r="W8382" s="49"/>
      <c r="X8382" s="49"/>
      <c r="Y8382" s="35"/>
      <c r="Z8382" s="35"/>
      <c r="AA8382" s="35"/>
      <c r="AB8382" s="35"/>
      <c r="AC8382" s="35"/>
      <c r="AD8382" s="35"/>
      <c r="AE8382" s="35"/>
      <c r="AF8382" s="35"/>
      <c r="AG8382" s="35"/>
      <c r="AH8382" s="35"/>
      <c r="AI8382" s="35"/>
      <c r="AJ8382" s="35"/>
      <c r="AK8382" s="35"/>
      <c r="AL8382" s="35"/>
    </row>
    <row r="8383">
      <c r="A8383" s="457"/>
      <c r="B8383" s="475"/>
      <c r="C8383" s="476"/>
      <c r="D8383" s="477"/>
      <c r="E8383" s="96"/>
      <c r="F8383" s="96"/>
      <c r="G8383" s="325"/>
      <c r="H8383" s="96"/>
      <c r="I8383" s="478"/>
      <c r="J8383" s="96"/>
      <c r="K8383" s="96"/>
      <c r="L8383" s="107"/>
      <c r="M8383" s="107"/>
      <c r="N8383" s="107"/>
      <c r="O8383" s="107"/>
      <c r="P8383" s="109"/>
      <c r="Q8383" s="107"/>
      <c r="R8383" s="107"/>
      <c r="S8383" s="107"/>
      <c r="T8383" s="479"/>
      <c r="U8383" s="296"/>
      <c r="V8383" s="50"/>
      <c r="W8383" s="49"/>
      <c r="X8383" s="49"/>
      <c r="Y8383" s="35"/>
      <c r="Z8383" s="35"/>
      <c r="AA8383" s="35"/>
      <c r="AB8383" s="35"/>
      <c r="AC8383" s="35"/>
      <c r="AD8383" s="35"/>
      <c r="AE8383" s="35"/>
      <c r="AF8383" s="35"/>
      <c r="AG8383" s="35"/>
      <c r="AH8383" s="35"/>
      <c r="AI8383" s="35"/>
      <c r="AJ8383" s="35"/>
      <c r="AK8383" s="35"/>
      <c r="AL8383" s="35"/>
    </row>
    <row r="8384">
      <c r="A8384" s="457"/>
      <c r="B8384" s="475"/>
      <c r="C8384" s="476"/>
      <c r="D8384" s="477"/>
      <c r="E8384" s="96"/>
      <c r="F8384" s="96"/>
      <c r="G8384" s="325"/>
      <c r="H8384" s="96"/>
      <c r="I8384" s="478"/>
      <c r="J8384" s="96"/>
      <c r="K8384" s="96"/>
      <c r="L8384" s="107"/>
      <c r="M8384" s="107"/>
      <c r="N8384" s="107"/>
      <c r="O8384" s="107"/>
      <c r="P8384" s="109"/>
      <c r="Q8384" s="107"/>
      <c r="R8384" s="107"/>
      <c r="S8384" s="107"/>
      <c r="T8384" s="479"/>
      <c r="U8384" s="296"/>
      <c r="V8384" s="50"/>
      <c r="W8384" s="49"/>
      <c r="X8384" s="49"/>
      <c r="Y8384" s="35"/>
      <c r="Z8384" s="35"/>
      <c r="AA8384" s="35"/>
      <c r="AB8384" s="35"/>
      <c r="AC8384" s="35"/>
      <c r="AD8384" s="35"/>
      <c r="AE8384" s="35"/>
      <c r="AF8384" s="35"/>
      <c r="AG8384" s="35"/>
      <c r="AH8384" s="35"/>
      <c r="AI8384" s="35"/>
      <c r="AJ8384" s="35"/>
      <c r="AK8384" s="35"/>
      <c r="AL8384" s="35"/>
    </row>
    <row r="8385">
      <c r="A8385" s="457"/>
      <c r="B8385" s="475"/>
      <c r="C8385" s="476"/>
      <c r="D8385" s="477"/>
      <c r="E8385" s="96"/>
      <c r="F8385" s="96"/>
      <c r="G8385" s="325"/>
      <c r="H8385" s="96"/>
      <c r="I8385" s="478"/>
      <c r="J8385" s="96"/>
      <c r="K8385" s="96"/>
      <c r="L8385" s="107"/>
      <c r="M8385" s="107"/>
      <c r="N8385" s="107"/>
      <c r="O8385" s="107"/>
      <c r="P8385" s="109"/>
      <c r="Q8385" s="107"/>
      <c r="R8385" s="107"/>
      <c r="S8385" s="107"/>
      <c r="T8385" s="479"/>
      <c r="U8385" s="296"/>
      <c r="V8385" s="50"/>
      <c r="W8385" s="49"/>
      <c r="X8385" s="49"/>
      <c r="Y8385" s="35"/>
      <c r="Z8385" s="35"/>
      <c r="AA8385" s="35"/>
      <c r="AB8385" s="35"/>
      <c r="AC8385" s="35"/>
      <c r="AD8385" s="35"/>
      <c r="AE8385" s="35"/>
      <c r="AF8385" s="35"/>
      <c r="AG8385" s="35"/>
      <c r="AH8385" s="35"/>
      <c r="AI8385" s="35"/>
      <c r="AJ8385" s="35"/>
      <c r="AK8385" s="35"/>
      <c r="AL8385" s="35"/>
    </row>
    <row r="8386">
      <c r="A8386" s="457"/>
      <c r="B8386" s="475"/>
      <c r="C8386" s="476"/>
      <c r="D8386" s="477"/>
      <c r="E8386" s="96"/>
      <c r="F8386" s="96"/>
      <c r="G8386" s="325"/>
      <c r="H8386" s="96"/>
      <c r="I8386" s="478"/>
      <c r="J8386" s="96"/>
      <c r="K8386" s="96"/>
      <c r="L8386" s="107"/>
      <c r="M8386" s="107"/>
      <c r="N8386" s="107"/>
      <c r="O8386" s="107"/>
      <c r="P8386" s="109"/>
      <c r="Q8386" s="107"/>
      <c r="R8386" s="107"/>
      <c r="S8386" s="107"/>
      <c r="T8386" s="479"/>
      <c r="U8386" s="296"/>
      <c r="V8386" s="50"/>
      <c r="W8386" s="49"/>
      <c r="X8386" s="49"/>
      <c r="Y8386" s="35"/>
      <c r="Z8386" s="35"/>
      <c r="AA8386" s="35"/>
      <c r="AB8386" s="35"/>
      <c r="AC8386" s="35"/>
      <c r="AD8386" s="35"/>
      <c r="AE8386" s="35"/>
      <c r="AF8386" s="35"/>
      <c r="AG8386" s="35"/>
      <c r="AH8386" s="35"/>
      <c r="AI8386" s="35"/>
      <c r="AJ8386" s="35"/>
      <c r="AK8386" s="35"/>
      <c r="AL8386" s="35"/>
    </row>
    <row r="8387">
      <c r="A8387" s="457"/>
      <c r="B8387" s="475"/>
      <c r="C8387" s="476"/>
      <c r="D8387" s="477"/>
      <c r="E8387" s="96"/>
      <c r="F8387" s="96"/>
      <c r="G8387" s="325"/>
      <c r="H8387" s="96"/>
      <c r="I8387" s="478"/>
      <c r="J8387" s="96"/>
      <c r="K8387" s="96"/>
      <c r="L8387" s="107"/>
      <c r="M8387" s="107"/>
      <c r="N8387" s="107"/>
      <c r="O8387" s="107"/>
      <c r="P8387" s="109"/>
      <c r="Q8387" s="107"/>
      <c r="R8387" s="107"/>
      <c r="S8387" s="107"/>
      <c r="T8387" s="479"/>
      <c r="U8387" s="296"/>
      <c r="V8387" s="50"/>
      <c r="W8387" s="49"/>
      <c r="X8387" s="49"/>
      <c r="Y8387" s="35"/>
      <c r="Z8387" s="35"/>
      <c r="AA8387" s="35"/>
      <c r="AB8387" s="35"/>
      <c r="AC8387" s="35"/>
      <c r="AD8387" s="35"/>
      <c r="AE8387" s="35"/>
      <c r="AF8387" s="35"/>
      <c r="AG8387" s="35"/>
      <c r="AH8387" s="35"/>
      <c r="AI8387" s="35"/>
      <c r="AJ8387" s="35"/>
      <c r="AK8387" s="35"/>
      <c r="AL8387" s="35"/>
    </row>
    <row r="8388">
      <c r="A8388" s="457"/>
      <c r="B8388" s="475"/>
      <c r="C8388" s="476"/>
      <c r="D8388" s="477"/>
      <c r="E8388" s="96"/>
      <c r="F8388" s="96"/>
      <c r="G8388" s="325"/>
      <c r="H8388" s="96"/>
      <c r="I8388" s="478"/>
      <c r="J8388" s="96"/>
      <c r="K8388" s="96"/>
      <c r="L8388" s="107"/>
      <c r="M8388" s="107"/>
      <c r="N8388" s="107"/>
      <c r="O8388" s="107"/>
      <c r="P8388" s="109"/>
      <c r="Q8388" s="107"/>
      <c r="R8388" s="107"/>
      <c r="S8388" s="107"/>
      <c r="T8388" s="479"/>
      <c r="U8388" s="296"/>
      <c r="V8388" s="50"/>
      <c r="W8388" s="49"/>
      <c r="X8388" s="49"/>
      <c r="Y8388" s="35"/>
      <c r="Z8388" s="35"/>
      <c r="AA8388" s="35"/>
      <c r="AB8388" s="35"/>
      <c r="AC8388" s="35"/>
      <c r="AD8388" s="35"/>
      <c r="AE8388" s="35"/>
      <c r="AF8388" s="35"/>
      <c r="AG8388" s="35"/>
      <c r="AH8388" s="35"/>
      <c r="AI8388" s="35"/>
      <c r="AJ8388" s="35"/>
      <c r="AK8388" s="35"/>
      <c r="AL8388" s="35"/>
    </row>
    <row r="8389">
      <c r="A8389" s="457"/>
      <c r="B8389" s="475"/>
      <c r="C8389" s="476"/>
      <c r="D8389" s="477"/>
      <c r="E8389" s="96"/>
      <c r="F8389" s="96"/>
      <c r="G8389" s="325"/>
      <c r="H8389" s="96"/>
      <c r="I8389" s="478"/>
      <c r="J8389" s="96"/>
      <c r="K8389" s="96"/>
      <c r="L8389" s="107"/>
      <c r="M8389" s="107"/>
      <c r="N8389" s="107"/>
      <c r="O8389" s="107"/>
      <c r="P8389" s="109"/>
      <c r="Q8389" s="107"/>
      <c r="R8389" s="107"/>
      <c r="S8389" s="107"/>
      <c r="T8389" s="479"/>
      <c r="U8389" s="296"/>
      <c r="V8389" s="50"/>
      <c r="W8389" s="49"/>
      <c r="X8389" s="49"/>
      <c r="Y8389" s="35"/>
      <c r="Z8389" s="35"/>
      <c r="AA8389" s="35"/>
      <c r="AB8389" s="35"/>
      <c r="AC8389" s="35"/>
      <c r="AD8389" s="35"/>
      <c r="AE8389" s="35"/>
      <c r="AF8389" s="35"/>
      <c r="AG8389" s="35"/>
      <c r="AH8389" s="35"/>
      <c r="AI8389" s="35"/>
      <c r="AJ8389" s="35"/>
      <c r="AK8389" s="35"/>
      <c r="AL8389" s="35"/>
    </row>
    <row r="8390">
      <c r="A8390" s="457"/>
      <c r="B8390" s="475"/>
      <c r="C8390" s="476"/>
      <c r="D8390" s="477"/>
      <c r="E8390" s="96"/>
      <c r="F8390" s="96"/>
      <c r="G8390" s="325"/>
      <c r="H8390" s="96"/>
      <c r="I8390" s="478"/>
      <c r="J8390" s="96"/>
      <c r="K8390" s="96"/>
      <c r="L8390" s="107"/>
      <c r="M8390" s="107"/>
      <c r="N8390" s="107"/>
      <c r="O8390" s="107"/>
      <c r="P8390" s="109"/>
      <c r="Q8390" s="107"/>
      <c r="R8390" s="107"/>
      <c r="S8390" s="107"/>
      <c r="T8390" s="479"/>
      <c r="U8390" s="296"/>
      <c r="V8390" s="50"/>
      <c r="W8390" s="49"/>
      <c r="X8390" s="49"/>
      <c r="Y8390" s="35"/>
      <c r="Z8390" s="35"/>
      <c r="AA8390" s="35"/>
      <c r="AB8390" s="35"/>
      <c r="AC8390" s="35"/>
      <c r="AD8390" s="35"/>
      <c r="AE8390" s="35"/>
      <c r="AF8390" s="35"/>
      <c r="AG8390" s="35"/>
      <c r="AH8390" s="35"/>
      <c r="AI8390" s="35"/>
      <c r="AJ8390" s="35"/>
      <c r="AK8390" s="35"/>
      <c r="AL8390" s="35"/>
    </row>
    <row r="8391">
      <c r="A8391" s="457"/>
      <c r="B8391" s="475"/>
      <c r="C8391" s="476"/>
      <c r="D8391" s="477"/>
      <c r="E8391" s="96"/>
      <c r="F8391" s="96"/>
      <c r="G8391" s="325"/>
      <c r="H8391" s="96"/>
      <c r="I8391" s="478"/>
      <c r="J8391" s="96"/>
      <c r="K8391" s="96"/>
      <c r="L8391" s="107"/>
      <c r="M8391" s="107"/>
      <c r="N8391" s="107"/>
      <c r="O8391" s="107"/>
      <c r="P8391" s="109"/>
      <c r="Q8391" s="107"/>
      <c r="R8391" s="107"/>
      <c r="S8391" s="107"/>
      <c r="T8391" s="479"/>
      <c r="U8391" s="296"/>
      <c r="V8391" s="50"/>
      <c r="W8391" s="49"/>
      <c r="X8391" s="49"/>
      <c r="Y8391" s="35"/>
      <c r="Z8391" s="35"/>
      <c r="AA8391" s="35"/>
      <c r="AB8391" s="35"/>
      <c r="AC8391" s="35"/>
      <c r="AD8391" s="35"/>
      <c r="AE8391" s="35"/>
      <c r="AF8391" s="35"/>
      <c r="AG8391" s="35"/>
      <c r="AH8391" s="35"/>
      <c r="AI8391" s="35"/>
      <c r="AJ8391" s="35"/>
      <c r="AK8391" s="35"/>
      <c r="AL8391" s="35"/>
    </row>
    <row r="8392">
      <c r="A8392" s="457"/>
      <c r="B8392" s="475"/>
      <c r="C8392" s="476"/>
      <c r="D8392" s="477"/>
      <c r="E8392" s="96"/>
      <c r="F8392" s="96"/>
      <c r="G8392" s="325"/>
      <c r="H8392" s="96"/>
      <c r="I8392" s="478"/>
      <c r="J8392" s="96"/>
      <c r="K8392" s="96"/>
      <c r="L8392" s="107"/>
      <c r="M8392" s="107"/>
      <c r="N8392" s="107"/>
      <c r="O8392" s="107"/>
      <c r="P8392" s="109"/>
      <c r="Q8392" s="107"/>
      <c r="R8392" s="107"/>
      <c r="S8392" s="107"/>
      <c r="T8392" s="479"/>
      <c r="U8392" s="296"/>
      <c r="V8392" s="50"/>
      <c r="W8392" s="49"/>
      <c r="X8392" s="49"/>
      <c r="Y8392" s="35"/>
      <c r="Z8392" s="35"/>
      <c r="AA8392" s="35"/>
      <c r="AB8392" s="35"/>
      <c r="AC8392" s="35"/>
      <c r="AD8392" s="35"/>
      <c r="AE8392" s="35"/>
      <c r="AF8392" s="35"/>
      <c r="AG8392" s="35"/>
      <c r="AH8392" s="35"/>
      <c r="AI8392" s="35"/>
      <c r="AJ8392" s="35"/>
      <c r="AK8392" s="35"/>
      <c r="AL8392" s="35"/>
    </row>
    <row r="8393">
      <c r="A8393" s="457"/>
      <c r="B8393" s="475"/>
      <c r="C8393" s="476"/>
      <c r="D8393" s="477"/>
      <c r="E8393" s="96"/>
      <c r="F8393" s="96"/>
      <c r="G8393" s="325"/>
      <c r="H8393" s="96"/>
      <c r="I8393" s="478"/>
      <c r="J8393" s="96"/>
      <c r="K8393" s="96"/>
      <c r="L8393" s="107"/>
      <c r="M8393" s="107"/>
      <c r="N8393" s="107"/>
      <c r="O8393" s="107"/>
      <c r="P8393" s="109"/>
      <c r="Q8393" s="107"/>
      <c r="R8393" s="107"/>
      <c r="S8393" s="107"/>
      <c r="T8393" s="479"/>
      <c r="U8393" s="296"/>
      <c r="V8393" s="50"/>
      <c r="W8393" s="49"/>
      <c r="X8393" s="49"/>
      <c r="Y8393" s="35"/>
      <c r="Z8393" s="35"/>
      <c r="AA8393" s="35"/>
      <c r="AB8393" s="35"/>
      <c r="AC8393" s="35"/>
      <c r="AD8393" s="35"/>
      <c r="AE8393" s="35"/>
      <c r="AF8393" s="35"/>
      <c r="AG8393" s="35"/>
      <c r="AH8393" s="35"/>
      <c r="AI8393" s="35"/>
      <c r="AJ8393" s="35"/>
      <c r="AK8393" s="35"/>
      <c r="AL8393" s="35"/>
    </row>
    <row r="8394">
      <c r="A8394" s="457"/>
      <c r="B8394" s="475"/>
      <c r="C8394" s="476"/>
      <c r="D8394" s="477"/>
      <c r="E8394" s="96"/>
      <c r="F8394" s="96"/>
      <c r="G8394" s="325"/>
      <c r="H8394" s="96"/>
      <c r="I8394" s="478"/>
      <c r="J8394" s="96"/>
      <c r="K8394" s="96"/>
      <c r="L8394" s="107"/>
      <c r="M8394" s="107"/>
      <c r="N8394" s="107"/>
      <c r="O8394" s="107"/>
      <c r="P8394" s="109"/>
      <c r="Q8394" s="107"/>
      <c r="R8394" s="107"/>
      <c r="S8394" s="107"/>
      <c r="T8394" s="479"/>
      <c r="U8394" s="296"/>
      <c r="V8394" s="50"/>
      <c r="W8394" s="49"/>
      <c r="X8394" s="49"/>
      <c r="Y8394" s="35"/>
      <c r="Z8394" s="35"/>
      <c r="AA8394" s="35"/>
      <c r="AB8394" s="35"/>
      <c r="AC8394" s="35"/>
      <c r="AD8394" s="35"/>
      <c r="AE8394" s="35"/>
      <c r="AF8394" s="35"/>
      <c r="AG8394" s="35"/>
      <c r="AH8394" s="35"/>
      <c r="AI8394" s="35"/>
      <c r="AJ8394" s="35"/>
      <c r="AK8394" s="35"/>
      <c r="AL8394" s="35"/>
    </row>
    <row r="8395">
      <c r="A8395" s="457"/>
      <c r="B8395" s="475"/>
      <c r="C8395" s="476"/>
      <c r="D8395" s="477"/>
      <c r="E8395" s="96"/>
      <c r="F8395" s="96"/>
      <c r="G8395" s="325"/>
      <c r="H8395" s="96"/>
      <c r="I8395" s="478"/>
      <c r="J8395" s="96"/>
      <c r="K8395" s="96"/>
      <c r="L8395" s="107"/>
      <c r="M8395" s="107"/>
      <c r="N8395" s="107"/>
      <c r="O8395" s="107"/>
      <c r="P8395" s="109"/>
      <c r="Q8395" s="107"/>
      <c r="R8395" s="107"/>
      <c r="S8395" s="107"/>
      <c r="T8395" s="479"/>
      <c r="U8395" s="296"/>
      <c r="V8395" s="50"/>
      <c r="W8395" s="49"/>
      <c r="X8395" s="49"/>
      <c r="Y8395" s="35"/>
      <c r="Z8395" s="35"/>
      <c r="AA8395" s="35"/>
      <c r="AB8395" s="35"/>
      <c r="AC8395" s="35"/>
      <c r="AD8395" s="35"/>
      <c r="AE8395" s="35"/>
      <c r="AF8395" s="35"/>
      <c r="AG8395" s="35"/>
      <c r="AH8395" s="35"/>
      <c r="AI8395" s="35"/>
      <c r="AJ8395" s="35"/>
      <c r="AK8395" s="35"/>
      <c r="AL8395" s="35"/>
    </row>
    <row r="8396">
      <c r="A8396" s="457"/>
      <c r="B8396" s="475"/>
      <c r="C8396" s="476"/>
      <c r="D8396" s="477"/>
      <c r="E8396" s="96"/>
      <c r="F8396" s="96"/>
      <c r="G8396" s="325"/>
      <c r="H8396" s="96"/>
      <c r="I8396" s="478"/>
      <c r="J8396" s="96"/>
      <c r="K8396" s="96"/>
      <c r="L8396" s="107"/>
      <c r="M8396" s="107"/>
      <c r="N8396" s="107"/>
      <c r="O8396" s="107"/>
      <c r="P8396" s="109"/>
      <c r="Q8396" s="107"/>
      <c r="R8396" s="107"/>
      <c r="S8396" s="107"/>
      <c r="T8396" s="479"/>
      <c r="U8396" s="296"/>
      <c r="V8396" s="50"/>
      <c r="W8396" s="49"/>
      <c r="X8396" s="49"/>
      <c r="Y8396" s="35"/>
      <c r="Z8396" s="35"/>
      <c r="AA8396" s="35"/>
      <c r="AB8396" s="35"/>
      <c r="AC8396" s="35"/>
      <c r="AD8396" s="35"/>
      <c r="AE8396" s="35"/>
      <c r="AF8396" s="35"/>
      <c r="AG8396" s="35"/>
      <c r="AH8396" s="35"/>
      <c r="AI8396" s="35"/>
      <c r="AJ8396" s="35"/>
      <c r="AK8396" s="35"/>
      <c r="AL8396" s="35"/>
    </row>
    <row r="8397">
      <c r="A8397" s="457"/>
      <c r="B8397" s="475"/>
      <c r="C8397" s="476"/>
      <c r="D8397" s="477"/>
      <c r="E8397" s="96"/>
      <c r="F8397" s="96"/>
      <c r="G8397" s="325"/>
      <c r="H8397" s="96"/>
      <c r="I8397" s="478"/>
      <c r="J8397" s="96"/>
      <c r="K8397" s="96"/>
      <c r="L8397" s="107"/>
      <c r="M8397" s="107"/>
      <c r="N8397" s="107"/>
      <c r="O8397" s="107"/>
      <c r="P8397" s="109"/>
      <c r="Q8397" s="107"/>
      <c r="R8397" s="107"/>
      <c r="S8397" s="107"/>
      <c r="T8397" s="479"/>
      <c r="U8397" s="296"/>
      <c r="V8397" s="50"/>
      <c r="W8397" s="49"/>
      <c r="X8397" s="49"/>
      <c r="Y8397" s="35"/>
      <c r="Z8397" s="35"/>
      <c r="AA8397" s="35"/>
      <c r="AB8397" s="35"/>
      <c r="AC8397" s="35"/>
      <c r="AD8397" s="35"/>
      <c r="AE8397" s="35"/>
      <c r="AF8397" s="35"/>
      <c r="AG8397" s="35"/>
      <c r="AH8397" s="35"/>
      <c r="AI8397" s="35"/>
      <c r="AJ8397" s="35"/>
      <c r="AK8397" s="35"/>
      <c r="AL8397" s="35"/>
    </row>
    <row r="8398">
      <c r="A8398" s="457"/>
      <c r="B8398" s="475"/>
      <c r="C8398" s="476"/>
      <c r="D8398" s="477"/>
      <c r="E8398" s="96"/>
      <c r="F8398" s="96"/>
      <c r="G8398" s="325"/>
      <c r="H8398" s="96"/>
      <c r="I8398" s="478"/>
      <c r="J8398" s="96"/>
      <c r="K8398" s="96"/>
      <c r="L8398" s="107"/>
      <c r="M8398" s="107"/>
      <c r="N8398" s="107"/>
      <c r="O8398" s="107"/>
      <c r="P8398" s="109"/>
      <c r="Q8398" s="107"/>
      <c r="R8398" s="107"/>
      <c r="S8398" s="107"/>
      <c r="T8398" s="479"/>
      <c r="U8398" s="296"/>
      <c r="V8398" s="50"/>
      <c r="W8398" s="49"/>
      <c r="X8398" s="49"/>
      <c r="Y8398" s="35"/>
      <c r="Z8398" s="35"/>
      <c r="AA8398" s="35"/>
      <c r="AB8398" s="35"/>
      <c r="AC8398" s="35"/>
      <c r="AD8398" s="35"/>
      <c r="AE8398" s="35"/>
      <c r="AF8398" s="35"/>
      <c r="AG8398" s="35"/>
      <c r="AH8398" s="35"/>
      <c r="AI8398" s="35"/>
      <c r="AJ8398" s="35"/>
      <c r="AK8398" s="35"/>
      <c r="AL8398" s="35"/>
    </row>
    <row r="8399">
      <c r="A8399" s="457"/>
      <c r="B8399" s="475"/>
      <c r="C8399" s="476"/>
      <c r="D8399" s="477"/>
      <c r="E8399" s="96"/>
      <c r="F8399" s="96"/>
      <c r="G8399" s="325"/>
      <c r="H8399" s="96"/>
      <c r="I8399" s="478"/>
      <c r="J8399" s="96"/>
      <c r="K8399" s="96"/>
      <c r="L8399" s="107"/>
      <c r="M8399" s="107"/>
      <c r="N8399" s="107"/>
      <c r="O8399" s="107"/>
      <c r="P8399" s="109"/>
      <c r="Q8399" s="107"/>
      <c r="R8399" s="107"/>
      <c r="S8399" s="107"/>
      <c r="T8399" s="479"/>
      <c r="U8399" s="296"/>
      <c r="V8399" s="50"/>
      <c r="W8399" s="49"/>
      <c r="X8399" s="49"/>
      <c r="Y8399" s="35"/>
      <c r="Z8399" s="35"/>
      <c r="AA8399" s="35"/>
      <c r="AB8399" s="35"/>
      <c r="AC8399" s="35"/>
      <c r="AD8399" s="35"/>
      <c r="AE8399" s="35"/>
      <c r="AF8399" s="35"/>
      <c r="AG8399" s="35"/>
      <c r="AH8399" s="35"/>
      <c r="AI8399" s="35"/>
      <c r="AJ8399" s="35"/>
      <c r="AK8399" s="35"/>
      <c r="AL8399" s="35"/>
    </row>
    <row r="8400">
      <c r="A8400" s="457"/>
      <c r="B8400" s="475"/>
      <c r="C8400" s="476"/>
      <c r="D8400" s="477"/>
      <c r="E8400" s="96"/>
      <c r="F8400" s="96"/>
      <c r="G8400" s="325"/>
      <c r="H8400" s="96"/>
      <c r="I8400" s="478"/>
      <c r="J8400" s="96"/>
      <c r="K8400" s="96"/>
      <c r="L8400" s="107"/>
      <c r="M8400" s="107"/>
      <c r="N8400" s="107"/>
      <c r="O8400" s="107"/>
      <c r="P8400" s="109"/>
      <c r="Q8400" s="107"/>
      <c r="R8400" s="107"/>
      <c r="S8400" s="107"/>
      <c r="T8400" s="479"/>
      <c r="U8400" s="296"/>
      <c r="V8400" s="50"/>
      <c r="W8400" s="49"/>
      <c r="X8400" s="49"/>
      <c r="Y8400" s="35"/>
      <c r="Z8400" s="35"/>
      <c r="AA8400" s="35"/>
      <c r="AB8400" s="35"/>
      <c r="AC8400" s="35"/>
      <c r="AD8400" s="35"/>
      <c r="AE8400" s="35"/>
      <c r="AF8400" s="35"/>
      <c r="AG8400" s="35"/>
      <c r="AH8400" s="35"/>
      <c r="AI8400" s="35"/>
      <c r="AJ8400" s="35"/>
      <c r="AK8400" s="35"/>
      <c r="AL8400" s="35"/>
    </row>
    <row r="8401">
      <c r="A8401" s="457"/>
      <c r="B8401" s="475"/>
      <c r="C8401" s="476"/>
      <c r="D8401" s="477"/>
      <c r="E8401" s="96"/>
      <c r="F8401" s="96"/>
      <c r="G8401" s="325"/>
      <c r="H8401" s="96"/>
      <c r="I8401" s="478"/>
      <c r="J8401" s="96"/>
      <c r="K8401" s="96"/>
      <c r="L8401" s="107"/>
      <c r="M8401" s="107"/>
      <c r="N8401" s="107"/>
      <c r="O8401" s="107"/>
      <c r="P8401" s="109"/>
      <c r="Q8401" s="107"/>
      <c r="R8401" s="107"/>
      <c r="S8401" s="107"/>
      <c r="T8401" s="479"/>
      <c r="U8401" s="296"/>
      <c r="V8401" s="50"/>
      <c r="W8401" s="49"/>
      <c r="X8401" s="49"/>
      <c r="Y8401" s="35"/>
      <c r="Z8401" s="35"/>
      <c r="AA8401" s="35"/>
      <c r="AB8401" s="35"/>
      <c r="AC8401" s="35"/>
      <c r="AD8401" s="35"/>
      <c r="AE8401" s="35"/>
      <c r="AF8401" s="35"/>
      <c r="AG8401" s="35"/>
      <c r="AH8401" s="35"/>
      <c r="AI8401" s="35"/>
      <c r="AJ8401" s="35"/>
      <c r="AK8401" s="35"/>
      <c r="AL8401" s="35"/>
    </row>
    <row r="8402">
      <c r="A8402" s="457"/>
      <c r="B8402" s="475"/>
      <c r="C8402" s="476"/>
      <c r="D8402" s="477"/>
      <c r="E8402" s="96"/>
      <c r="F8402" s="96"/>
      <c r="G8402" s="325"/>
      <c r="H8402" s="96"/>
      <c r="I8402" s="478"/>
      <c r="J8402" s="96"/>
      <c r="K8402" s="96"/>
      <c r="L8402" s="107"/>
      <c r="M8402" s="107"/>
      <c r="N8402" s="107"/>
      <c r="O8402" s="107"/>
      <c r="P8402" s="109"/>
      <c r="Q8402" s="107"/>
      <c r="R8402" s="107"/>
      <c r="S8402" s="107"/>
      <c r="T8402" s="479"/>
      <c r="U8402" s="296"/>
      <c r="V8402" s="50"/>
      <c r="W8402" s="49"/>
      <c r="X8402" s="49"/>
      <c r="Y8402" s="35"/>
      <c r="Z8402" s="35"/>
      <c r="AA8402" s="35"/>
      <c r="AB8402" s="35"/>
      <c r="AC8402" s="35"/>
      <c r="AD8402" s="35"/>
      <c r="AE8402" s="35"/>
      <c r="AF8402" s="35"/>
      <c r="AG8402" s="35"/>
      <c r="AH8402" s="35"/>
      <c r="AI8402" s="35"/>
      <c r="AJ8402" s="35"/>
      <c r="AK8402" s="35"/>
      <c r="AL8402" s="35"/>
    </row>
    <row r="8403">
      <c r="A8403" s="457"/>
      <c r="B8403" s="475"/>
      <c r="C8403" s="476"/>
      <c r="D8403" s="477"/>
      <c r="E8403" s="96"/>
      <c r="F8403" s="96"/>
      <c r="G8403" s="325"/>
      <c r="H8403" s="96"/>
      <c r="I8403" s="478"/>
      <c r="J8403" s="96"/>
      <c r="K8403" s="96"/>
      <c r="L8403" s="107"/>
      <c r="M8403" s="107"/>
      <c r="N8403" s="107"/>
      <c r="O8403" s="107"/>
      <c r="P8403" s="109"/>
      <c r="Q8403" s="107"/>
      <c r="R8403" s="107"/>
      <c r="S8403" s="107"/>
      <c r="T8403" s="479"/>
      <c r="U8403" s="296"/>
      <c r="V8403" s="50"/>
      <c r="W8403" s="49"/>
      <c r="X8403" s="49"/>
      <c r="Y8403" s="35"/>
      <c r="Z8403" s="35"/>
      <c r="AA8403" s="35"/>
      <c r="AB8403" s="35"/>
      <c r="AC8403" s="35"/>
      <c r="AD8403" s="35"/>
      <c r="AE8403" s="35"/>
      <c r="AF8403" s="35"/>
      <c r="AG8403" s="35"/>
      <c r="AH8403" s="35"/>
      <c r="AI8403" s="35"/>
      <c r="AJ8403" s="35"/>
      <c r="AK8403" s="35"/>
      <c r="AL8403" s="35"/>
    </row>
    <row r="8404">
      <c r="A8404" s="457"/>
      <c r="B8404" s="475"/>
      <c r="C8404" s="476"/>
      <c r="D8404" s="477"/>
      <c r="E8404" s="96"/>
      <c r="F8404" s="96"/>
      <c r="G8404" s="325"/>
      <c r="H8404" s="96"/>
      <c r="I8404" s="478"/>
      <c r="J8404" s="96"/>
      <c r="K8404" s="96"/>
      <c r="L8404" s="107"/>
      <c r="M8404" s="107"/>
      <c r="N8404" s="107"/>
      <c r="O8404" s="107"/>
      <c r="P8404" s="109"/>
      <c r="Q8404" s="107"/>
      <c r="R8404" s="107"/>
      <c r="S8404" s="107"/>
      <c r="T8404" s="479"/>
      <c r="U8404" s="296"/>
      <c r="V8404" s="50"/>
      <c r="W8404" s="49"/>
      <c r="X8404" s="49"/>
      <c r="Y8404" s="35"/>
      <c r="Z8404" s="35"/>
      <c r="AA8404" s="35"/>
      <c r="AB8404" s="35"/>
      <c r="AC8404" s="35"/>
      <c r="AD8404" s="35"/>
      <c r="AE8404" s="35"/>
      <c r="AF8404" s="35"/>
      <c r="AG8404" s="35"/>
      <c r="AH8404" s="35"/>
      <c r="AI8404" s="35"/>
      <c r="AJ8404" s="35"/>
      <c r="AK8404" s="35"/>
      <c r="AL8404" s="35"/>
    </row>
    <row r="8405">
      <c r="A8405" s="457"/>
      <c r="B8405" s="475"/>
      <c r="C8405" s="476"/>
      <c r="D8405" s="477"/>
      <c r="E8405" s="96"/>
      <c r="F8405" s="96"/>
      <c r="G8405" s="325"/>
      <c r="H8405" s="96"/>
      <c r="I8405" s="478"/>
      <c r="J8405" s="96"/>
      <c r="K8405" s="96"/>
      <c r="L8405" s="107"/>
      <c r="M8405" s="107"/>
      <c r="N8405" s="107"/>
      <c r="O8405" s="107"/>
      <c r="P8405" s="109"/>
      <c r="Q8405" s="107"/>
      <c r="R8405" s="107"/>
      <c r="S8405" s="107"/>
      <c r="T8405" s="479"/>
      <c r="U8405" s="296"/>
      <c r="V8405" s="50"/>
      <c r="W8405" s="49"/>
      <c r="X8405" s="49"/>
      <c r="Y8405" s="35"/>
      <c r="Z8405" s="35"/>
      <c r="AA8405" s="35"/>
      <c r="AB8405" s="35"/>
      <c r="AC8405" s="35"/>
      <c r="AD8405" s="35"/>
      <c r="AE8405" s="35"/>
      <c r="AF8405" s="35"/>
      <c r="AG8405" s="35"/>
      <c r="AH8405" s="35"/>
      <c r="AI8405" s="35"/>
      <c r="AJ8405" s="35"/>
      <c r="AK8405" s="35"/>
      <c r="AL8405" s="35"/>
    </row>
    <row r="8406">
      <c r="A8406" s="457"/>
      <c r="B8406" s="475"/>
      <c r="C8406" s="476"/>
      <c r="D8406" s="477"/>
      <c r="E8406" s="96"/>
      <c r="F8406" s="96"/>
      <c r="G8406" s="325"/>
      <c r="H8406" s="96"/>
      <c r="I8406" s="478"/>
      <c r="J8406" s="96"/>
      <c r="K8406" s="96"/>
      <c r="L8406" s="107"/>
      <c r="M8406" s="107"/>
      <c r="N8406" s="107"/>
      <c r="O8406" s="107"/>
      <c r="P8406" s="109"/>
      <c r="Q8406" s="107"/>
      <c r="R8406" s="107"/>
      <c r="S8406" s="107"/>
      <c r="T8406" s="479"/>
      <c r="U8406" s="296"/>
      <c r="V8406" s="50"/>
      <c r="W8406" s="49"/>
      <c r="X8406" s="49"/>
      <c r="Y8406" s="35"/>
      <c r="Z8406" s="35"/>
      <c r="AA8406" s="35"/>
      <c r="AB8406" s="35"/>
      <c r="AC8406" s="35"/>
      <c r="AD8406" s="35"/>
      <c r="AE8406" s="35"/>
      <c r="AF8406" s="35"/>
      <c r="AG8406" s="35"/>
      <c r="AH8406" s="35"/>
      <c r="AI8406" s="35"/>
      <c r="AJ8406" s="35"/>
      <c r="AK8406" s="35"/>
      <c r="AL8406" s="35"/>
    </row>
    <row r="8407">
      <c r="A8407" s="457"/>
      <c r="B8407" s="475"/>
      <c r="C8407" s="476"/>
      <c r="D8407" s="477"/>
      <c r="E8407" s="96"/>
      <c r="F8407" s="96"/>
      <c r="G8407" s="325"/>
      <c r="H8407" s="96"/>
      <c r="I8407" s="478"/>
      <c r="J8407" s="96"/>
      <c r="K8407" s="96"/>
      <c r="L8407" s="107"/>
      <c r="M8407" s="107"/>
      <c r="N8407" s="107"/>
      <c r="O8407" s="107"/>
      <c r="P8407" s="109"/>
      <c r="Q8407" s="107"/>
      <c r="R8407" s="107"/>
      <c r="S8407" s="107"/>
      <c r="T8407" s="479"/>
      <c r="U8407" s="296"/>
      <c r="V8407" s="50"/>
      <c r="W8407" s="49"/>
      <c r="X8407" s="49"/>
      <c r="Y8407" s="35"/>
      <c r="Z8407" s="35"/>
      <c r="AA8407" s="35"/>
      <c r="AB8407" s="35"/>
      <c r="AC8407" s="35"/>
      <c r="AD8407" s="35"/>
      <c r="AE8407" s="35"/>
      <c r="AF8407" s="35"/>
      <c r="AG8407" s="35"/>
      <c r="AH8407" s="35"/>
      <c r="AI8407" s="35"/>
      <c r="AJ8407" s="35"/>
      <c r="AK8407" s="35"/>
      <c r="AL8407" s="35"/>
    </row>
    <row r="8408">
      <c r="A8408" s="457"/>
      <c r="B8408" s="475"/>
      <c r="C8408" s="476"/>
      <c r="D8408" s="477"/>
      <c r="E8408" s="96"/>
      <c r="F8408" s="96"/>
      <c r="G8408" s="325"/>
      <c r="H8408" s="96"/>
      <c r="I8408" s="478"/>
      <c r="J8408" s="96"/>
      <c r="K8408" s="96"/>
      <c r="L8408" s="107"/>
      <c r="M8408" s="107"/>
      <c r="N8408" s="107"/>
      <c r="O8408" s="107"/>
      <c r="P8408" s="109"/>
      <c r="Q8408" s="107"/>
      <c r="R8408" s="107"/>
      <c r="S8408" s="107"/>
      <c r="T8408" s="479"/>
      <c r="U8408" s="296"/>
      <c r="V8408" s="50"/>
      <c r="W8408" s="49"/>
      <c r="X8408" s="49"/>
      <c r="Y8408" s="35"/>
      <c r="Z8408" s="35"/>
      <c r="AA8408" s="35"/>
      <c r="AB8408" s="35"/>
      <c r="AC8408" s="35"/>
      <c r="AD8408" s="35"/>
      <c r="AE8408" s="35"/>
      <c r="AF8408" s="35"/>
      <c r="AG8408" s="35"/>
      <c r="AH8408" s="35"/>
      <c r="AI8408" s="35"/>
      <c r="AJ8408" s="35"/>
      <c r="AK8408" s="35"/>
      <c r="AL8408" s="35"/>
    </row>
    <row r="8409">
      <c r="A8409" s="457"/>
      <c r="B8409" s="475"/>
      <c r="C8409" s="476"/>
      <c r="D8409" s="477"/>
      <c r="E8409" s="96"/>
      <c r="F8409" s="96"/>
      <c r="G8409" s="325"/>
      <c r="H8409" s="96"/>
      <c r="I8409" s="478"/>
      <c r="J8409" s="96"/>
      <c r="K8409" s="96"/>
      <c r="L8409" s="107"/>
      <c r="M8409" s="107"/>
      <c r="N8409" s="107"/>
      <c r="O8409" s="107"/>
      <c r="P8409" s="109"/>
      <c r="Q8409" s="107"/>
      <c r="R8409" s="107"/>
      <c r="S8409" s="107"/>
      <c r="T8409" s="479"/>
      <c r="U8409" s="296"/>
      <c r="V8409" s="50"/>
      <c r="W8409" s="49"/>
      <c r="X8409" s="49"/>
      <c r="Y8409" s="35"/>
      <c r="Z8409" s="35"/>
      <c r="AA8409" s="35"/>
      <c r="AB8409" s="35"/>
      <c r="AC8409" s="35"/>
      <c r="AD8409" s="35"/>
      <c r="AE8409" s="35"/>
      <c r="AF8409" s="35"/>
      <c r="AG8409" s="35"/>
      <c r="AH8409" s="35"/>
      <c r="AI8409" s="35"/>
      <c r="AJ8409" s="35"/>
      <c r="AK8409" s="35"/>
      <c r="AL8409" s="35"/>
    </row>
    <row r="8410">
      <c r="A8410" s="457"/>
      <c r="B8410" s="475"/>
      <c r="C8410" s="476"/>
      <c r="D8410" s="477"/>
      <c r="E8410" s="96"/>
      <c r="F8410" s="96"/>
      <c r="G8410" s="325"/>
      <c r="H8410" s="96"/>
      <c r="I8410" s="478"/>
      <c r="J8410" s="96"/>
      <c r="K8410" s="96"/>
      <c r="L8410" s="107"/>
      <c r="M8410" s="107"/>
      <c r="N8410" s="107"/>
      <c r="O8410" s="107"/>
      <c r="P8410" s="109"/>
      <c r="Q8410" s="107"/>
      <c r="R8410" s="107"/>
      <c r="S8410" s="107"/>
      <c r="T8410" s="479"/>
      <c r="U8410" s="296"/>
      <c r="V8410" s="50"/>
      <c r="W8410" s="49"/>
      <c r="X8410" s="49"/>
      <c r="Y8410" s="35"/>
      <c r="Z8410" s="35"/>
      <c r="AA8410" s="35"/>
      <c r="AB8410" s="35"/>
      <c r="AC8410" s="35"/>
      <c r="AD8410" s="35"/>
      <c r="AE8410" s="35"/>
      <c r="AF8410" s="35"/>
      <c r="AG8410" s="35"/>
      <c r="AH8410" s="35"/>
      <c r="AI8410" s="35"/>
      <c r="AJ8410" s="35"/>
      <c r="AK8410" s="35"/>
      <c r="AL8410" s="35"/>
    </row>
    <row r="8411">
      <c r="A8411" s="457"/>
      <c r="B8411" s="475"/>
      <c r="C8411" s="476"/>
      <c r="D8411" s="477"/>
      <c r="E8411" s="96"/>
      <c r="F8411" s="96"/>
      <c r="G8411" s="325"/>
      <c r="H8411" s="96"/>
      <c r="I8411" s="478"/>
      <c r="J8411" s="96"/>
      <c r="K8411" s="96"/>
      <c r="L8411" s="107"/>
      <c r="M8411" s="107"/>
      <c r="N8411" s="107"/>
      <c r="O8411" s="107"/>
      <c r="P8411" s="109"/>
      <c r="Q8411" s="107"/>
      <c r="R8411" s="107"/>
      <c r="S8411" s="107"/>
      <c r="T8411" s="479"/>
      <c r="U8411" s="296"/>
      <c r="V8411" s="50"/>
      <c r="W8411" s="49"/>
      <c r="X8411" s="49"/>
      <c r="Y8411" s="35"/>
      <c r="Z8411" s="35"/>
      <c r="AA8411" s="35"/>
      <c r="AB8411" s="35"/>
      <c r="AC8411" s="35"/>
      <c r="AD8411" s="35"/>
      <c r="AE8411" s="35"/>
      <c r="AF8411" s="35"/>
      <c r="AG8411" s="35"/>
      <c r="AH8411" s="35"/>
      <c r="AI8411" s="35"/>
      <c r="AJ8411" s="35"/>
      <c r="AK8411" s="35"/>
      <c r="AL8411" s="35"/>
    </row>
    <row r="8412">
      <c r="A8412" s="457"/>
      <c r="B8412" s="475"/>
      <c r="C8412" s="476"/>
      <c r="D8412" s="477"/>
      <c r="E8412" s="96"/>
      <c r="F8412" s="96"/>
      <c r="G8412" s="325"/>
      <c r="H8412" s="96"/>
      <c r="I8412" s="478"/>
      <c r="J8412" s="96"/>
      <c r="K8412" s="96"/>
      <c r="L8412" s="107"/>
      <c r="M8412" s="107"/>
      <c r="N8412" s="107"/>
      <c r="O8412" s="107"/>
      <c r="P8412" s="109"/>
      <c r="Q8412" s="107"/>
      <c r="R8412" s="107"/>
      <c r="S8412" s="107"/>
      <c r="T8412" s="479"/>
      <c r="U8412" s="296"/>
      <c r="V8412" s="50"/>
      <c r="W8412" s="49"/>
      <c r="X8412" s="49"/>
      <c r="Y8412" s="35"/>
      <c r="Z8412" s="35"/>
      <c r="AA8412" s="35"/>
      <c r="AB8412" s="35"/>
      <c r="AC8412" s="35"/>
      <c r="AD8412" s="35"/>
      <c r="AE8412" s="35"/>
      <c r="AF8412" s="35"/>
      <c r="AG8412" s="35"/>
      <c r="AH8412" s="35"/>
      <c r="AI8412" s="35"/>
      <c r="AJ8412" s="35"/>
      <c r="AK8412" s="35"/>
      <c r="AL8412" s="35"/>
    </row>
    <row r="8413">
      <c r="A8413" s="457"/>
      <c r="B8413" s="475"/>
      <c r="C8413" s="476"/>
      <c r="D8413" s="477"/>
      <c r="E8413" s="96"/>
      <c r="F8413" s="96"/>
      <c r="G8413" s="325"/>
      <c r="H8413" s="96"/>
      <c r="I8413" s="478"/>
      <c r="J8413" s="96"/>
      <c r="K8413" s="96"/>
      <c r="L8413" s="107"/>
      <c r="M8413" s="107"/>
      <c r="N8413" s="107"/>
      <c r="O8413" s="107"/>
      <c r="P8413" s="109"/>
      <c r="Q8413" s="107"/>
      <c r="R8413" s="107"/>
      <c r="S8413" s="107"/>
      <c r="T8413" s="479"/>
      <c r="U8413" s="296"/>
      <c r="V8413" s="50"/>
      <c r="W8413" s="49"/>
      <c r="X8413" s="49"/>
      <c r="Y8413" s="35"/>
      <c r="Z8413" s="35"/>
      <c r="AA8413" s="35"/>
      <c r="AB8413" s="35"/>
      <c r="AC8413" s="35"/>
      <c r="AD8413" s="35"/>
      <c r="AE8413" s="35"/>
      <c r="AF8413" s="35"/>
      <c r="AG8413" s="35"/>
      <c r="AH8413" s="35"/>
      <c r="AI8413" s="35"/>
      <c r="AJ8413" s="35"/>
      <c r="AK8413" s="35"/>
      <c r="AL8413" s="35"/>
    </row>
    <row r="8414">
      <c r="A8414" s="457"/>
      <c r="B8414" s="475"/>
      <c r="C8414" s="476"/>
      <c r="D8414" s="477"/>
      <c r="E8414" s="96"/>
      <c r="F8414" s="96"/>
      <c r="G8414" s="325"/>
      <c r="H8414" s="96"/>
      <c r="I8414" s="478"/>
      <c r="J8414" s="96"/>
      <c r="K8414" s="96"/>
      <c r="L8414" s="107"/>
      <c r="M8414" s="107"/>
      <c r="N8414" s="107"/>
      <c r="O8414" s="107"/>
      <c r="P8414" s="109"/>
      <c r="Q8414" s="107"/>
      <c r="R8414" s="107"/>
      <c r="S8414" s="107"/>
      <c r="T8414" s="479"/>
      <c r="U8414" s="296"/>
      <c r="V8414" s="50"/>
      <c r="W8414" s="49"/>
      <c r="X8414" s="49"/>
      <c r="Y8414" s="35"/>
      <c r="Z8414" s="35"/>
      <c r="AA8414" s="35"/>
      <c r="AB8414" s="35"/>
      <c r="AC8414" s="35"/>
      <c r="AD8414" s="35"/>
      <c r="AE8414" s="35"/>
      <c r="AF8414" s="35"/>
      <c r="AG8414" s="35"/>
      <c r="AH8414" s="35"/>
      <c r="AI8414" s="35"/>
      <c r="AJ8414" s="35"/>
      <c r="AK8414" s="35"/>
      <c r="AL8414" s="35"/>
    </row>
    <row r="8415">
      <c r="A8415" s="457"/>
      <c r="B8415" s="475"/>
      <c r="C8415" s="476"/>
      <c r="D8415" s="477"/>
      <c r="E8415" s="96"/>
      <c r="F8415" s="96"/>
      <c r="G8415" s="325"/>
      <c r="H8415" s="96"/>
      <c r="I8415" s="478"/>
      <c r="J8415" s="96"/>
      <c r="K8415" s="96"/>
      <c r="L8415" s="107"/>
      <c r="M8415" s="107"/>
      <c r="N8415" s="107"/>
      <c r="O8415" s="107"/>
      <c r="P8415" s="109"/>
      <c r="Q8415" s="107"/>
      <c r="R8415" s="107"/>
      <c r="S8415" s="107"/>
      <c r="T8415" s="479"/>
      <c r="U8415" s="296"/>
      <c r="V8415" s="50"/>
      <c r="W8415" s="49"/>
      <c r="X8415" s="49"/>
      <c r="Y8415" s="35"/>
      <c r="Z8415" s="35"/>
      <c r="AA8415" s="35"/>
      <c r="AB8415" s="35"/>
      <c r="AC8415" s="35"/>
      <c r="AD8415" s="35"/>
      <c r="AE8415" s="35"/>
      <c r="AF8415" s="35"/>
      <c r="AG8415" s="35"/>
      <c r="AH8415" s="35"/>
      <c r="AI8415" s="35"/>
      <c r="AJ8415" s="35"/>
      <c r="AK8415" s="35"/>
      <c r="AL8415" s="35"/>
    </row>
    <row r="8416">
      <c r="A8416" s="457"/>
      <c r="B8416" s="475"/>
      <c r="C8416" s="476"/>
      <c r="D8416" s="477"/>
      <c r="E8416" s="96"/>
      <c r="F8416" s="96"/>
      <c r="G8416" s="325"/>
      <c r="H8416" s="96"/>
      <c r="I8416" s="478"/>
      <c r="J8416" s="96"/>
      <c r="K8416" s="96"/>
      <c r="L8416" s="107"/>
      <c r="M8416" s="107"/>
      <c r="N8416" s="107"/>
      <c r="O8416" s="107"/>
      <c r="P8416" s="109"/>
      <c r="Q8416" s="107"/>
      <c r="R8416" s="107"/>
      <c r="S8416" s="107"/>
      <c r="T8416" s="479"/>
      <c r="U8416" s="296"/>
      <c r="V8416" s="50"/>
      <c r="W8416" s="49"/>
      <c r="X8416" s="49"/>
      <c r="Y8416" s="35"/>
      <c r="Z8416" s="35"/>
      <c r="AA8416" s="35"/>
      <c r="AB8416" s="35"/>
      <c r="AC8416" s="35"/>
      <c r="AD8416" s="35"/>
      <c r="AE8416" s="35"/>
      <c r="AF8416" s="35"/>
      <c r="AG8416" s="35"/>
      <c r="AH8416" s="35"/>
      <c r="AI8416" s="35"/>
      <c r="AJ8416" s="35"/>
      <c r="AK8416" s="35"/>
      <c r="AL8416" s="35"/>
    </row>
    <row r="8417">
      <c r="A8417" s="457"/>
      <c r="B8417" s="475"/>
      <c r="C8417" s="476"/>
      <c r="D8417" s="477"/>
      <c r="E8417" s="96"/>
      <c r="F8417" s="96"/>
      <c r="G8417" s="325"/>
      <c r="H8417" s="96"/>
      <c r="I8417" s="478"/>
      <c r="J8417" s="96"/>
      <c r="K8417" s="96"/>
      <c r="L8417" s="107"/>
      <c r="M8417" s="107"/>
      <c r="N8417" s="107"/>
      <c r="O8417" s="107"/>
      <c r="P8417" s="109"/>
      <c r="Q8417" s="107"/>
      <c r="R8417" s="107"/>
      <c r="S8417" s="107"/>
      <c r="T8417" s="479"/>
      <c r="U8417" s="296"/>
      <c r="V8417" s="50"/>
      <c r="W8417" s="49"/>
      <c r="X8417" s="49"/>
      <c r="Y8417" s="35"/>
      <c r="Z8417" s="35"/>
      <c r="AA8417" s="35"/>
      <c r="AB8417" s="35"/>
      <c r="AC8417" s="35"/>
      <c r="AD8417" s="35"/>
      <c r="AE8417" s="35"/>
      <c r="AF8417" s="35"/>
      <c r="AG8417" s="35"/>
      <c r="AH8417" s="35"/>
      <c r="AI8417" s="35"/>
      <c r="AJ8417" s="35"/>
      <c r="AK8417" s="35"/>
      <c r="AL8417" s="35"/>
    </row>
    <row r="8418">
      <c r="A8418" s="457"/>
      <c r="B8418" s="475"/>
      <c r="C8418" s="476"/>
      <c r="D8418" s="477"/>
      <c r="E8418" s="96"/>
      <c r="F8418" s="96"/>
      <c r="G8418" s="325"/>
      <c r="H8418" s="96"/>
      <c r="I8418" s="478"/>
      <c r="J8418" s="96"/>
      <c r="K8418" s="96"/>
      <c r="L8418" s="107"/>
      <c r="M8418" s="107"/>
      <c r="N8418" s="107"/>
      <c r="O8418" s="107"/>
      <c r="P8418" s="109"/>
      <c r="Q8418" s="107"/>
      <c r="R8418" s="107"/>
      <c r="S8418" s="107"/>
      <c r="T8418" s="479"/>
      <c r="U8418" s="296"/>
      <c r="V8418" s="50"/>
      <c r="W8418" s="49"/>
      <c r="X8418" s="49"/>
      <c r="Y8418" s="35"/>
      <c r="Z8418" s="35"/>
      <c r="AA8418" s="35"/>
      <c r="AB8418" s="35"/>
      <c r="AC8418" s="35"/>
      <c r="AD8418" s="35"/>
      <c r="AE8418" s="35"/>
      <c r="AF8418" s="35"/>
      <c r="AG8418" s="35"/>
      <c r="AH8418" s="35"/>
      <c r="AI8418" s="35"/>
      <c r="AJ8418" s="35"/>
      <c r="AK8418" s="35"/>
      <c r="AL8418" s="35"/>
    </row>
    <row r="8419">
      <c r="A8419" s="457"/>
      <c r="B8419" s="475"/>
      <c r="C8419" s="476"/>
      <c r="D8419" s="477"/>
      <c r="E8419" s="96"/>
      <c r="F8419" s="96"/>
      <c r="G8419" s="325"/>
      <c r="H8419" s="96"/>
      <c r="I8419" s="478"/>
      <c r="J8419" s="96"/>
      <c r="K8419" s="96"/>
      <c r="L8419" s="107"/>
      <c r="M8419" s="107"/>
      <c r="N8419" s="107"/>
      <c r="O8419" s="107"/>
      <c r="P8419" s="109"/>
      <c r="Q8419" s="107"/>
      <c r="R8419" s="107"/>
      <c r="S8419" s="107"/>
      <c r="T8419" s="479"/>
      <c r="U8419" s="296"/>
      <c r="V8419" s="50"/>
      <c r="W8419" s="49"/>
      <c r="X8419" s="49"/>
      <c r="Y8419" s="35"/>
      <c r="Z8419" s="35"/>
      <c r="AA8419" s="35"/>
      <c r="AB8419" s="35"/>
      <c r="AC8419" s="35"/>
      <c r="AD8419" s="35"/>
      <c r="AE8419" s="35"/>
      <c r="AF8419" s="35"/>
      <c r="AG8419" s="35"/>
      <c r="AH8419" s="35"/>
      <c r="AI8419" s="35"/>
      <c r="AJ8419" s="35"/>
      <c r="AK8419" s="35"/>
      <c r="AL8419" s="35"/>
    </row>
    <row r="8420">
      <c r="A8420" s="457"/>
      <c r="B8420" s="475"/>
      <c r="C8420" s="476"/>
      <c r="D8420" s="477"/>
      <c r="E8420" s="96"/>
      <c r="F8420" s="96"/>
      <c r="G8420" s="325"/>
      <c r="H8420" s="96"/>
      <c r="I8420" s="478"/>
      <c r="J8420" s="96"/>
      <c r="K8420" s="96"/>
      <c r="L8420" s="107"/>
      <c r="M8420" s="107"/>
      <c r="N8420" s="107"/>
      <c r="O8420" s="107"/>
      <c r="P8420" s="109"/>
      <c r="Q8420" s="107"/>
      <c r="R8420" s="107"/>
      <c r="S8420" s="107"/>
      <c r="T8420" s="479"/>
      <c r="U8420" s="296"/>
      <c r="V8420" s="50"/>
      <c r="W8420" s="49"/>
      <c r="X8420" s="49"/>
      <c r="Y8420" s="35"/>
      <c r="Z8420" s="35"/>
      <c r="AA8420" s="35"/>
      <c r="AB8420" s="35"/>
      <c r="AC8420" s="35"/>
      <c r="AD8420" s="35"/>
      <c r="AE8420" s="35"/>
      <c r="AF8420" s="35"/>
      <c r="AG8420" s="35"/>
      <c r="AH8420" s="35"/>
      <c r="AI8420" s="35"/>
      <c r="AJ8420" s="35"/>
      <c r="AK8420" s="35"/>
      <c r="AL8420" s="35"/>
    </row>
    <row r="8421">
      <c r="A8421" s="457"/>
      <c r="B8421" s="475"/>
      <c r="C8421" s="476"/>
      <c r="D8421" s="477"/>
      <c r="E8421" s="96"/>
      <c r="F8421" s="96"/>
      <c r="G8421" s="325"/>
      <c r="H8421" s="96"/>
      <c r="I8421" s="478"/>
      <c r="J8421" s="96"/>
      <c r="K8421" s="96"/>
      <c r="L8421" s="107"/>
      <c r="M8421" s="107"/>
      <c r="N8421" s="107"/>
      <c r="O8421" s="107"/>
      <c r="P8421" s="109"/>
      <c r="Q8421" s="107"/>
      <c r="R8421" s="107"/>
      <c r="S8421" s="107"/>
      <c r="T8421" s="479"/>
      <c r="U8421" s="296"/>
      <c r="V8421" s="50"/>
      <c r="W8421" s="49"/>
      <c r="X8421" s="49"/>
      <c r="Y8421" s="35"/>
      <c r="Z8421" s="35"/>
      <c r="AA8421" s="35"/>
      <c r="AB8421" s="35"/>
      <c r="AC8421" s="35"/>
      <c r="AD8421" s="35"/>
      <c r="AE8421" s="35"/>
      <c r="AF8421" s="35"/>
      <c r="AG8421" s="35"/>
      <c r="AH8421" s="35"/>
      <c r="AI8421" s="35"/>
      <c r="AJ8421" s="35"/>
      <c r="AK8421" s="35"/>
      <c r="AL8421" s="35"/>
    </row>
    <row r="8422">
      <c r="A8422" s="457"/>
      <c r="B8422" s="475"/>
      <c r="C8422" s="476"/>
      <c r="D8422" s="477"/>
      <c r="E8422" s="96"/>
      <c r="F8422" s="96"/>
      <c r="G8422" s="325"/>
      <c r="H8422" s="96"/>
      <c r="I8422" s="478"/>
      <c r="J8422" s="96"/>
      <c r="K8422" s="96"/>
      <c r="L8422" s="107"/>
      <c r="M8422" s="107"/>
      <c r="N8422" s="107"/>
      <c r="O8422" s="107"/>
      <c r="P8422" s="109"/>
      <c r="Q8422" s="107"/>
      <c r="R8422" s="107"/>
      <c r="S8422" s="107"/>
      <c r="T8422" s="479"/>
      <c r="U8422" s="296"/>
      <c r="V8422" s="50"/>
      <c r="W8422" s="49"/>
      <c r="X8422" s="49"/>
      <c r="Y8422" s="35"/>
      <c r="Z8422" s="35"/>
      <c r="AA8422" s="35"/>
      <c r="AB8422" s="35"/>
      <c r="AC8422" s="35"/>
      <c r="AD8422" s="35"/>
      <c r="AE8422" s="35"/>
      <c r="AF8422" s="35"/>
      <c r="AG8422" s="35"/>
      <c r="AH8422" s="35"/>
      <c r="AI8422" s="35"/>
      <c r="AJ8422" s="35"/>
      <c r="AK8422" s="35"/>
      <c r="AL8422" s="35"/>
    </row>
    <row r="8423">
      <c r="A8423" s="457"/>
      <c r="B8423" s="475"/>
      <c r="C8423" s="476"/>
      <c r="D8423" s="477"/>
      <c r="E8423" s="96"/>
      <c r="F8423" s="96"/>
      <c r="G8423" s="325"/>
      <c r="H8423" s="96"/>
      <c r="I8423" s="478"/>
      <c r="J8423" s="96"/>
      <c r="K8423" s="96"/>
      <c r="L8423" s="107"/>
      <c r="M8423" s="107"/>
      <c r="N8423" s="107"/>
      <c r="O8423" s="107"/>
      <c r="P8423" s="109"/>
      <c r="Q8423" s="107"/>
      <c r="R8423" s="107"/>
      <c r="S8423" s="107"/>
      <c r="T8423" s="479"/>
      <c r="U8423" s="296"/>
      <c r="V8423" s="50"/>
      <c r="W8423" s="49"/>
      <c r="X8423" s="49"/>
      <c r="Y8423" s="35"/>
      <c r="Z8423" s="35"/>
      <c r="AA8423" s="35"/>
      <c r="AB8423" s="35"/>
      <c r="AC8423" s="35"/>
      <c r="AD8423" s="35"/>
      <c r="AE8423" s="35"/>
      <c r="AF8423" s="35"/>
      <c r="AG8423" s="35"/>
      <c r="AH8423" s="35"/>
      <c r="AI8423" s="35"/>
      <c r="AJ8423" s="35"/>
      <c r="AK8423" s="35"/>
      <c r="AL8423" s="35"/>
    </row>
    <row r="8424">
      <c r="A8424" s="457"/>
      <c r="B8424" s="475"/>
      <c r="C8424" s="476"/>
      <c r="D8424" s="477"/>
      <c r="E8424" s="96"/>
      <c r="F8424" s="96"/>
      <c r="G8424" s="325"/>
      <c r="H8424" s="96"/>
      <c r="I8424" s="478"/>
      <c r="J8424" s="96"/>
      <c r="K8424" s="96"/>
      <c r="L8424" s="107"/>
      <c r="M8424" s="107"/>
      <c r="N8424" s="107"/>
      <c r="O8424" s="107"/>
      <c r="P8424" s="109"/>
      <c r="Q8424" s="107"/>
      <c r="R8424" s="107"/>
      <c r="S8424" s="107"/>
      <c r="T8424" s="479"/>
      <c r="U8424" s="296"/>
      <c r="V8424" s="50"/>
      <c r="W8424" s="49"/>
      <c r="X8424" s="49"/>
      <c r="Y8424" s="35"/>
      <c r="Z8424" s="35"/>
      <c r="AA8424" s="35"/>
      <c r="AB8424" s="35"/>
      <c r="AC8424" s="35"/>
      <c r="AD8424" s="35"/>
      <c r="AE8424" s="35"/>
      <c r="AF8424" s="35"/>
      <c r="AG8424" s="35"/>
      <c r="AH8424" s="35"/>
      <c r="AI8424" s="35"/>
      <c r="AJ8424" s="35"/>
      <c r="AK8424" s="35"/>
      <c r="AL8424" s="35"/>
    </row>
    <row r="8425">
      <c r="A8425" s="457"/>
      <c r="B8425" s="475"/>
      <c r="C8425" s="476"/>
      <c r="D8425" s="477"/>
      <c r="E8425" s="96"/>
      <c r="F8425" s="96"/>
      <c r="G8425" s="325"/>
      <c r="H8425" s="96"/>
      <c r="I8425" s="478"/>
      <c r="J8425" s="96"/>
      <c r="K8425" s="96"/>
      <c r="L8425" s="107"/>
      <c r="M8425" s="107"/>
      <c r="N8425" s="107"/>
      <c r="O8425" s="107"/>
      <c r="P8425" s="109"/>
      <c r="Q8425" s="107"/>
      <c r="R8425" s="107"/>
      <c r="S8425" s="107"/>
      <c r="T8425" s="479"/>
      <c r="U8425" s="296"/>
      <c r="V8425" s="50"/>
      <c r="W8425" s="49"/>
      <c r="X8425" s="49"/>
      <c r="Y8425" s="35"/>
      <c r="Z8425" s="35"/>
      <c r="AA8425" s="35"/>
      <c r="AB8425" s="35"/>
      <c r="AC8425" s="35"/>
      <c r="AD8425" s="35"/>
      <c r="AE8425" s="35"/>
      <c r="AF8425" s="35"/>
      <c r="AG8425" s="35"/>
      <c r="AH8425" s="35"/>
      <c r="AI8425" s="35"/>
      <c r="AJ8425" s="35"/>
      <c r="AK8425" s="35"/>
      <c r="AL8425" s="35"/>
    </row>
    <row r="8426">
      <c r="A8426" s="457"/>
      <c r="B8426" s="475"/>
      <c r="C8426" s="476"/>
      <c r="D8426" s="477"/>
      <c r="E8426" s="96"/>
      <c r="F8426" s="96"/>
      <c r="G8426" s="325"/>
      <c r="H8426" s="96"/>
      <c r="I8426" s="478"/>
      <c r="J8426" s="96"/>
      <c r="K8426" s="96"/>
      <c r="L8426" s="107"/>
      <c r="M8426" s="107"/>
      <c r="N8426" s="107"/>
      <c r="O8426" s="107"/>
      <c r="P8426" s="109"/>
      <c r="Q8426" s="107"/>
      <c r="R8426" s="107"/>
      <c r="S8426" s="107"/>
      <c r="T8426" s="479"/>
      <c r="U8426" s="296"/>
      <c r="V8426" s="50"/>
      <c r="W8426" s="49"/>
      <c r="X8426" s="49"/>
      <c r="Y8426" s="35"/>
      <c r="Z8426" s="35"/>
      <c r="AA8426" s="35"/>
      <c r="AB8426" s="35"/>
      <c r="AC8426" s="35"/>
      <c r="AD8426" s="35"/>
      <c r="AE8426" s="35"/>
      <c r="AF8426" s="35"/>
      <c r="AG8426" s="35"/>
      <c r="AH8426" s="35"/>
      <c r="AI8426" s="35"/>
      <c r="AJ8426" s="35"/>
      <c r="AK8426" s="35"/>
      <c r="AL8426" s="35"/>
    </row>
    <row r="8427">
      <c r="A8427" s="457"/>
      <c r="B8427" s="475"/>
      <c r="C8427" s="476"/>
      <c r="D8427" s="477"/>
      <c r="E8427" s="96"/>
      <c r="F8427" s="96"/>
      <c r="G8427" s="325"/>
      <c r="H8427" s="96"/>
      <c r="I8427" s="478"/>
      <c r="J8427" s="96"/>
      <c r="K8427" s="96"/>
      <c r="L8427" s="107"/>
      <c r="M8427" s="107"/>
      <c r="N8427" s="107"/>
      <c r="O8427" s="107"/>
      <c r="P8427" s="109"/>
      <c r="Q8427" s="107"/>
      <c r="R8427" s="107"/>
      <c r="S8427" s="107"/>
      <c r="T8427" s="479"/>
      <c r="U8427" s="296"/>
      <c r="V8427" s="50"/>
      <c r="W8427" s="49"/>
      <c r="X8427" s="49"/>
      <c r="Y8427" s="35"/>
      <c r="Z8427" s="35"/>
      <c r="AA8427" s="35"/>
      <c r="AB8427" s="35"/>
      <c r="AC8427" s="35"/>
      <c r="AD8427" s="35"/>
      <c r="AE8427" s="35"/>
      <c r="AF8427" s="35"/>
      <c r="AG8427" s="35"/>
      <c r="AH8427" s="35"/>
      <c r="AI8427" s="35"/>
      <c r="AJ8427" s="35"/>
      <c r="AK8427" s="35"/>
      <c r="AL8427" s="35"/>
    </row>
    <row r="8428">
      <c r="A8428" s="457"/>
      <c r="B8428" s="475"/>
      <c r="C8428" s="476"/>
      <c r="D8428" s="477"/>
      <c r="E8428" s="96"/>
      <c r="F8428" s="96"/>
      <c r="G8428" s="325"/>
      <c r="H8428" s="96"/>
      <c r="I8428" s="478"/>
      <c r="J8428" s="96"/>
      <c r="K8428" s="96"/>
      <c r="L8428" s="107"/>
      <c r="M8428" s="107"/>
      <c r="N8428" s="107"/>
      <c r="O8428" s="107"/>
      <c r="P8428" s="109"/>
      <c r="Q8428" s="107"/>
      <c r="R8428" s="107"/>
      <c r="S8428" s="107"/>
      <c r="T8428" s="479"/>
      <c r="U8428" s="296"/>
      <c r="V8428" s="50"/>
      <c r="W8428" s="49"/>
      <c r="X8428" s="49"/>
      <c r="Y8428" s="35"/>
      <c r="Z8428" s="35"/>
      <c r="AA8428" s="35"/>
      <c r="AB8428" s="35"/>
      <c r="AC8428" s="35"/>
      <c r="AD8428" s="35"/>
      <c r="AE8428" s="35"/>
      <c r="AF8428" s="35"/>
      <c r="AG8428" s="35"/>
      <c r="AH8428" s="35"/>
      <c r="AI8428" s="35"/>
      <c r="AJ8428" s="35"/>
      <c r="AK8428" s="35"/>
      <c r="AL8428" s="35"/>
    </row>
    <row r="8429">
      <c r="A8429" s="457"/>
      <c r="B8429" s="475"/>
      <c r="C8429" s="476"/>
      <c r="D8429" s="477"/>
      <c r="E8429" s="96"/>
      <c r="F8429" s="96"/>
      <c r="G8429" s="325"/>
      <c r="H8429" s="96"/>
      <c r="I8429" s="478"/>
      <c r="J8429" s="96"/>
      <c r="K8429" s="96"/>
      <c r="L8429" s="107"/>
      <c r="M8429" s="107"/>
      <c r="N8429" s="107"/>
      <c r="O8429" s="107"/>
      <c r="P8429" s="109"/>
      <c r="Q8429" s="107"/>
      <c r="R8429" s="107"/>
      <c r="S8429" s="107"/>
      <c r="T8429" s="479"/>
      <c r="U8429" s="296"/>
      <c r="V8429" s="50"/>
      <c r="W8429" s="49"/>
      <c r="X8429" s="49"/>
      <c r="Y8429" s="35"/>
      <c r="Z8429" s="35"/>
      <c r="AA8429" s="35"/>
      <c r="AB8429" s="35"/>
      <c r="AC8429" s="35"/>
      <c r="AD8429" s="35"/>
      <c r="AE8429" s="35"/>
      <c r="AF8429" s="35"/>
      <c r="AG8429" s="35"/>
      <c r="AH8429" s="35"/>
      <c r="AI8429" s="35"/>
      <c r="AJ8429" s="35"/>
      <c r="AK8429" s="35"/>
      <c r="AL8429" s="35"/>
    </row>
    <row r="8430">
      <c r="A8430" s="457"/>
      <c r="B8430" s="475"/>
      <c r="C8430" s="476"/>
      <c r="D8430" s="477"/>
      <c r="E8430" s="96"/>
      <c r="F8430" s="96"/>
      <c r="G8430" s="325"/>
      <c r="H8430" s="96"/>
      <c r="I8430" s="478"/>
      <c r="J8430" s="96"/>
      <c r="K8430" s="96"/>
      <c r="L8430" s="107"/>
      <c r="M8430" s="107"/>
      <c r="N8430" s="107"/>
      <c r="O8430" s="107"/>
      <c r="P8430" s="109"/>
      <c r="Q8430" s="107"/>
      <c r="R8430" s="107"/>
      <c r="S8430" s="107"/>
      <c r="T8430" s="479"/>
      <c r="U8430" s="296"/>
      <c r="V8430" s="50"/>
      <c r="W8430" s="49"/>
      <c r="X8430" s="49"/>
      <c r="Y8430" s="35"/>
      <c r="Z8430" s="35"/>
      <c r="AA8430" s="35"/>
      <c r="AB8430" s="35"/>
      <c r="AC8430" s="35"/>
      <c r="AD8430" s="35"/>
      <c r="AE8430" s="35"/>
      <c r="AF8430" s="35"/>
      <c r="AG8430" s="35"/>
      <c r="AH8430" s="35"/>
      <c r="AI8430" s="35"/>
      <c r="AJ8430" s="35"/>
      <c r="AK8430" s="35"/>
      <c r="AL8430" s="35"/>
    </row>
    <row r="8431">
      <c r="A8431" s="457"/>
      <c r="B8431" s="475"/>
      <c r="C8431" s="476"/>
      <c r="D8431" s="477"/>
      <c r="E8431" s="96"/>
      <c r="F8431" s="96"/>
      <c r="G8431" s="325"/>
      <c r="H8431" s="96"/>
      <c r="I8431" s="478"/>
      <c r="J8431" s="96"/>
      <c r="K8431" s="96"/>
      <c r="L8431" s="107"/>
      <c r="M8431" s="107"/>
      <c r="N8431" s="107"/>
      <c r="O8431" s="107"/>
      <c r="P8431" s="109"/>
      <c r="Q8431" s="107"/>
      <c r="R8431" s="107"/>
      <c r="S8431" s="107"/>
      <c r="T8431" s="479"/>
      <c r="U8431" s="296"/>
      <c r="V8431" s="50"/>
      <c r="W8431" s="49"/>
      <c r="X8431" s="49"/>
      <c r="Y8431" s="35"/>
      <c r="Z8431" s="35"/>
      <c r="AA8431" s="35"/>
      <c r="AB8431" s="35"/>
      <c r="AC8431" s="35"/>
      <c r="AD8431" s="35"/>
      <c r="AE8431" s="35"/>
      <c r="AF8431" s="35"/>
      <c r="AG8431" s="35"/>
      <c r="AH8431" s="35"/>
      <c r="AI8431" s="35"/>
      <c r="AJ8431" s="35"/>
      <c r="AK8431" s="35"/>
      <c r="AL8431" s="35"/>
    </row>
    <row r="8432">
      <c r="A8432" s="457"/>
      <c r="B8432" s="475"/>
      <c r="C8432" s="476"/>
      <c r="D8432" s="477"/>
      <c r="E8432" s="96"/>
      <c r="F8432" s="96"/>
      <c r="G8432" s="325"/>
      <c r="H8432" s="96"/>
      <c r="I8432" s="478"/>
      <c r="J8432" s="96"/>
      <c r="K8432" s="96"/>
      <c r="L8432" s="107"/>
      <c r="M8432" s="107"/>
      <c r="N8432" s="107"/>
      <c r="O8432" s="107"/>
      <c r="P8432" s="109"/>
      <c r="Q8432" s="107"/>
      <c r="R8432" s="107"/>
      <c r="S8432" s="107"/>
      <c r="T8432" s="479"/>
      <c r="U8432" s="296"/>
      <c r="V8432" s="50"/>
      <c r="W8432" s="49"/>
      <c r="X8432" s="49"/>
      <c r="Y8432" s="35"/>
      <c r="Z8432" s="35"/>
      <c r="AA8432" s="35"/>
      <c r="AB8432" s="35"/>
      <c r="AC8432" s="35"/>
      <c r="AD8432" s="35"/>
      <c r="AE8432" s="35"/>
      <c r="AF8432" s="35"/>
      <c r="AG8432" s="35"/>
      <c r="AH8432" s="35"/>
      <c r="AI8432" s="35"/>
      <c r="AJ8432" s="35"/>
      <c r="AK8432" s="35"/>
      <c r="AL8432" s="35"/>
    </row>
    <row r="8433">
      <c r="A8433" s="457"/>
      <c r="B8433" s="475"/>
      <c r="C8433" s="476"/>
      <c r="D8433" s="477"/>
      <c r="E8433" s="96"/>
      <c r="F8433" s="96"/>
      <c r="G8433" s="325"/>
      <c r="H8433" s="96"/>
      <c r="I8433" s="478"/>
      <c r="J8433" s="96"/>
      <c r="K8433" s="96"/>
      <c r="L8433" s="107"/>
      <c r="M8433" s="107"/>
      <c r="N8433" s="107"/>
      <c r="O8433" s="107"/>
      <c r="P8433" s="109"/>
      <c r="Q8433" s="107"/>
      <c r="R8433" s="107"/>
      <c r="S8433" s="107"/>
      <c r="T8433" s="479"/>
      <c r="U8433" s="296"/>
      <c r="V8433" s="50"/>
      <c r="W8433" s="49"/>
      <c r="X8433" s="49"/>
      <c r="Y8433" s="35"/>
      <c r="Z8433" s="35"/>
      <c r="AA8433" s="35"/>
      <c r="AB8433" s="35"/>
      <c r="AC8433" s="35"/>
      <c r="AD8433" s="35"/>
      <c r="AE8433" s="35"/>
      <c r="AF8433" s="35"/>
      <c r="AG8433" s="35"/>
      <c r="AH8433" s="35"/>
      <c r="AI8433" s="35"/>
      <c r="AJ8433" s="35"/>
      <c r="AK8433" s="35"/>
      <c r="AL8433" s="35"/>
    </row>
    <row r="8434">
      <c r="A8434" s="457"/>
      <c r="B8434" s="475"/>
      <c r="C8434" s="476"/>
      <c r="D8434" s="477"/>
      <c r="E8434" s="96"/>
      <c r="F8434" s="96"/>
      <c r="G8434" s="325"/>
      <c r="H8434" s="96"/>
      <c r="I8434" s="478"/>
      <c r="J8434" s="96"/>
      <c r="K8434" s="96"/>
      <c r="L8434" s="107"/>
      <c r="M8434" s="107"/>
      <c r="N8434" s="107"/>
      <c r="O8434" s="107"/>
      <c r="P8434" s="109"/>
      <c r="Q8434" s="107"/>
      <c r="R8434" s="107"/>
      <c r="S8434" s="107"/>
      <c r="T8434" s="479"/>
      <c r="U8434" s="296"/>
      <c r="V8434" s="50"/>
      <c r="W8434" s="49"/>
      <c r="X8434" s="49"/>
      <c r="Y8434" s="35"/>
      <c r="Z8434" s="35"/>
      <c r="AA8434" s="35"/>
      <c r="AB8434" s="35"/>
      <c r="AC8434" s="35"/>
      <c r="AD8434" s="35"/>
      <c r="AE8434" s="35"/>
      <c r="AF8434" s="35"/>
      <c r="AG8434" s="35"/>
      <c r="AH8434" s="35"/>
      <c r="AI8434" s="35"/>
      <c r="AJ8434" s="35"/>
      <c r="AK8434" s="35"/>
      <c r="AL8434" s="35"/>
    </row>
    <row r="8435">
      <c r="A8435" s="457"/>
      <c r="B8435" s="475"/>
      <c r="C8435" s="476"/>
      <c r="D8435" s="477"/>
      <c r="E8435" s="96"/>
      <c r="F8435" s="96"/>
      <c r="G8435" s="325"/>
      <c r="H8435" s="96"/>
      <c r="I8435" s="478"/>
      <c r="J8435" s="96"/>
      <c r="K8435" s="96"/>
      <c r="L8435" s="107"/>
      <c r="M8435" s="107"/>
      <c r="N8435" s="107"/>
      <c r="O8435" s="107"/>
      <c r="P8435" s="109"/>
      <c r="Q8435" s="107"/>
      <c r="R8435" s="107"/>
      <c r="S8435" s="107"/>
      <c r="T8435" s="479"/>
      <c r="U8435" s="296"/>
      <c r="V8435" s="50"/>
      <c r="W8435" s="49"/>
      <c r="X8435" s="49"/>
      <c r="Y8435" s="35"/>
      <c r="Z8435" s="35"/>
      <c r="AA8435" s="35"/>
      <c r="AB8435" s="35"/>
      <c r="AC8435" s="35"/>
      <c r="AD8435" s="35"/>
      <c r="AE8435" s="35"/>
      <c r="AF8435" s="35"/>
      <c r="AG8435" s="35"/>
      <c r="AH8435" s="35"/>
      <c r="AI8435" s="35"/>
      <c r="AJ8435" s="35"/>
      <c r="AK8435" s="35"/>
      <c r="AL8435" s="35"/>
    </row>
    <row r="8436">
      <c r="A8436" s="457"/>
      <c r="B8436" s="475"/>
      <c r="C8436" s="476"/>
      <c r="D8436" s="477"/>
      <c r="E8436" s="96"/>
      <c r="F8436" s="96"/>
      <c r="G8436" s="325"/>
      <c r="H8436" s="96"/>
      <c r="I8436" s="478"/>
      <c r="J8436" s="96"/>
      <c r="K8436" s="96"/>
      <c r="L8436" s="107"/>
      <c r="M8436" s="107"/>
      <c r="N8436" s="107"/>
      <c r="O8436" s="107"/>
      <c r="P8436" s="109"/>
      <c r="Q8436" s="107"/>
      <c r="R8436" s="107"/>
      <c r="S8436" s="107"/>
      <c r="T8436" s="479"/>
      <c r="U8436" s="296"/>
      <c r="V8436" s="50"/>
      <c r="W8436" s="49"/>
      <c r="X8436" s="49"/>
      <c r="Y8436" s="35"/>
      <c r="Z8436" s="35"/>
      <c r="AA8436" s="35"/>
      <c r="AB8436" s="35"/>
      <c r="AC8436" s="35"/>
      <c r="AD8436" s="35"/>
      <c r="AE8436" s="35"/>
      <c r="AF8436" s="35"/>
      <c r="AG8436" s="35"/>
      <c r="AH8436" s="35"/>
      <c r="AI8436" s="35"/>
      <c r="AJ8436" s="35"/>
      <c r="AK8436" s="35"/>
      <c r="AL8436" s="35"/>
    </row>
    <row r="8437">
      <c r="A8437" s="457"/>
      <c r="B8437" s="475"/>
      <c r="C8437" s="476"/>
      <c r="D8437" s="477"/>
      <c r="E8437" s="96"/>
      <c r="F8437" s="96"/>
      <c r="G8437" s="325"/>
      <c r="H8437" s="96"/>
      <c r="I8437" s="478"/>
      <c r="J8437" s="96"/>
      <c r="K8437" s="96"/>
      <c r="L8437" s="107"/>
      <c r="M8437" s="107"/>
      <c r="N8437" s="107"/>
      <c r="O8437" s="107"/>
      <c r="P8437" s="109"/>
      <c r="Q8437" s="107"/>
      <c r="R8437" s="107"/>
      <c r="S8437" s="107"/>
      <c r="T8437" s="479"/>
      <c r="U8437" s="296"/>
      <c r="V8437" s="50"/>
      <c r="W8437" s="49"/>
      <c r="X8437" s="49"/>
      <c r="Y8437" s="35"/>
      <c r="Z8437" s="35"/>
      <c r="AA8437" s="35"/>
      <c r="AB8437" s="35"/>
      <c r="AC8437" s="35"/>
      <c r="AD8437" s="35"/>
      <c r="AE8437" s="35"/>
      <c r="AF8437" s="35"/>
      <c r="AG8437" s="35"/>
      <c r="AH8437" s="35"/>
      <c r="AI8437" s="35"/>
      <c r="AJ8437" s="35"/>
      <c r="AK8437" s="35"/>
      <c r="AL8437" s="35"/>
    </row>
    <row r="8438">
      <c r="A8438" s="457"/>
      <c r="B8438" s="475"/>
      <c r="C8438" s="476"/>
      <c r="D8438" s="477"/>
      <c r="E8438" s="96"/>
      <c r="F8438" s="96"/>
      <c r="G8438" s="325"/>
      <c r="H8438" s="96"/>
      <c r="I8438" s="478"/>
      <c r="J8438" s="96"/>
      <c r="K8438" s="96"/>
      <c r="L8438" s="107"/>
      <c r="M8438" s="107"/>
      <c r="N8438" s="107"/>
      <c r="O8438" s="107"/>
      <c r="P8438" s="109"/>
      <c r="Q8438" s="107"/>
      <c r="R8438" s="107"/>
      <c r="S8438" s="107"/>
      <c r="T8438" s="479"/>
      <c r="U8438" s="296"/>
      <c r="V8438" s="50"/>
      <c r="W8438" s="49"/>
      <c r="X8438" s="49"/>
      <c r="Y8438" s="35"/>
      <c r="Z8438" s="35"/>
      <c r="AA8438" s="35"/>
      <c r="AB8438" s="35"/>
      <c r="AC8438" s="35"/>
      <c r="AD8438" s="35"/>
      <c r="AE8438" s="35"/>
      <c r="AF8438" s="35"/>
      <c r="AG8438" s="35"/>
      <c r="AH8438" s="35"/>
      <c r="AI8438" s="35"/>
      <c r="AJ8438" s="35"/>
      <c r="AK8438" s="35"/>
      <c r="AL8438" s="35"/>
    </row>
    <row r="8439">
      <c r="A8439" s="457"/>
      <c r="B8439" s="475"/>
      <c r="C8439" s="476"/>
      <c r="D8439" s="477"/>
      <c r="E8439" s="96"/>
      <c r="F8439" s="96"/>
      <c r="G8439" s="325"/>
      <c r="H8439" s="96"/>
      <c r="I8439" s="478"/>
      <c r="J8439" s="96"/>
      <c r="K8439" s="96"/>
      <c r="L8439" s="107"/>
      <c r="M8439" s="107"/>
      <c r="N8439" s="107"/>
      <c r="O8439" s="107"/>
      <c r="P8439" s="109"/>
      <c r="Q8439" s="107"/>
      <c r="R8439" s="107"/>
      <c r="S8439" s="107"/>
      <c r="T8439" s="479"/>
      <c r="U8439" s="296"/>
      <c r="V8439" s="50"/>
      <c r="W8439" s="49"/>
      <c r="X8439" s="49"/>
      <c r="Y8439" s="35"/>
      <c r="Z8439" s="35"/>
      <c r="AA8439" s="35"/>
      <c r="AB8439" s="35"/>
      <c r="AC8439" s="35"/>
      <c r="AD8439" s="35"/>
      <c r="AE8439" s="35"/>
      <c r="AF8439" s="35"/>
      <c r="AG8439" s="35"/>
      <c r="AH8439" s="35"/>
      <c r="AI8439" s="35"/>
      <c r="AJ8439" s="35"/>
      <c r="AK8439" s="35"/>
      <c r="AL8439" s="35"/>
    </row>
    <row r="8440">
      <c r="A8440" s="457"/>
      <c r="B8440" s="475"/>
      <c r="C8440" s="476"/>
      <c r="D8440" s="477"/>
      <c r="E8440" s="96"/>
      <c r="F8440" s="96"/>
      <c r="G8440" s="325"/>
      <c r="H8440" s="96"/>
      <c r="I8440" s="478"/>
      <c r="J8440" s="96"/>
      <c r="K8440" s="96"/>
      <c r="L8440" s="107"/>
      <c r="M8440" s="107"/>
      <c r="N8440" s="107"/>
      <c r="O8440" s="107"/>
      <c r="P8440" s="109"/>
      <c r="Q8440" s="107"/>
      <c r="R8440" s="107"/>
      <c r="S8440" s="107"/>
      <c r="T8440" s="479"/>
      <c r="U8440" s="296"/>
      <c r="V8440" s="50"/>
      <c r="W8440" s="49"/>
      <c r="X8440" s="49"/>
      <c r="Y8440" s="35"/>
      <c r="Z8440" s="35"/>
      <c r="AA8440" s="35"/>
      <c r="AB8440" s="35"/>
      <c r="AC8440" s="35"/>
      <c r="AD8440" s="35"/>
      <c r="AE8440" s="35"/>
      <c r="AF8440" s="35"/>
      <c r="AG8440" s="35"/>
      <c r="AH8440" s="35"/>
      <c r="AI8440" s="35"/>
      <c r="AJ8440" s="35"/>
      <c r="AK8440" s="35"/>
      <c r="AL8440" s="35"/>
    </row>
    <row r="8441">
      <c r="A8441" s="457"/>
      <c r="B8441" s="475"/>
      <c r="C8441" s="476"/>
      <c r="D8441" s="477"/>
      <c r="E8441" s="96"/>
      <c r="F8441" s="96"/>
      <c r="G8441" s="325"/>
      <c r="H8441" s="96"/>
      <c r="I8441" s="478"/>
      <c r="J8441" s="96"/>
      <c r="K8441" s="96"/>
      <c r="L8441" s="107"/>
      <c r="M8441" s="107"/>
      <c r="N8441" s="107"/>
      <c r="O8441" s="107"/>
      <c r="P8441" s="109"/>
      <c r="Q8441" s="107"/>
      <c r="R8441" s="107"/>
      <c r="S8441" s="107"/>
      <c r="T8441" s="479"/>
      <c r="U8441" s="296"/>
      <c r="V8441" s="50"/>
      <c r="W8441" s="49"/>
      <c r="X8441" s="49"/>
      <c r="Y8441" s="35"/>
      <c r="Z8441" s="35"/>
      <c r="AA8441" s="35"/>
      <c r="AB8441" s="35"/>
      <c r="AC8441" s="35"/>
      <c r="AD8441" s="35"/>
      <c r="AE8441" s="35"/>
      <c r="AF8441" s="35"/>
      <c r="AG8441" s="35"/>
      <c r="AH8441" s="35"/>
      <c r="AI8441" s="35"/>
      <c r="AJ8441" s="35"/>
      <c r="AK8441" s="35"/>
      <c r="AL8441" s="35"/>
    </row>
    <row r="8442">
      <c r="A8442" s="457"/>
      <c r="B8442" s="475"/>
      <c r="C8442" s="476"/>
      <c r="D8442" s="477"/>
      <c r="E8442" s="96"/>
      <c r="F8442" s="96"/>
      <c r="G8442" s="325"/>
      <c r="H8442" s="96"/>
      <c r="I8442" s="478"/>
      <c r="J8442" s="96"/>
      <c r="K8442" s="96"/>
      <c r="L8442" s="107"/>
      <c r="M8442" s="107"/>
      <c r="N8442" s="107"/>
      <c r="O8442" s="107"/>
      <c r="P8442" s="109"/>
      <c r="Q8442" s="107"/>
      <c r="R8442" s="107"/>
      <c r="S8442" s="107"/>
      <c r="T8442" s="479"/>
      <c r="U8442" s="296"/>
      <c r="V8442" s="50"/>
      <c r="W8442" s="49"/>
      <c r="X8442" s="49"/>
      <c r="Y8442" s="35"/>
      <c r="Z8442" s="35"/>
      <c r="AA8442" s="35"/>
      <c r="AB8442" s="35"/>
      <c r="AC8442" s="35"/>
      <c r="AD8442" s="35"/>
      <c r="AE8442" s="35"/>
      <c r="AF8442" s="35"/>
      <c r="AG8442" s="35"/>
      <c r="AH8442" s="35"/>
      <c r="AI8442" s="35"/>
      <c r="AJ8442" s="35"/>
      <c r="AK8442" s="35"/>
      <c r="AL8442" s="35"/>
    </row>
    <row r="8443">
      <c r="A8443" s="457"/>
      <c r="B8443" s="475"/>
      <c r="C8443" s="476"/>
      <c r="D8443" s="477"/>
      <c r="E8443" s="96"/>
      <c r="F8443" s="96"/>
      <c r="G8443" s="325"/>
      <c r="H8443" s="96"/>
      <c r="I8443" s="478"/>
      <c r="J8443" s="96"/>
      <c r="K8443" s="96"/>
      <c r="L8443" s="107"/>
      <c r="M8443" s="107"/>
      <c r="N8443" s="107"/>
      <c r="O8443" s="107"/>
      <c r="P8443" s="109"/>
      <c r="Q8443" s="107"/>
      <c r="R8443" s="107"/>
      <c r="S8443" s="107"/>
      <c r="T8443" s="479"/>
      <c r="U8443" s="296"/>
      <c r="V8443" s="50"/>
      <c r="W8443" s="49"/>
      <c r="X8443" s="49"/>
      <c r="Y8443" s="35"/>
      <c r="Z8443" s="35"/>
      <c r="AA8443" s="35"/>
      <c r="AB8443" s="35"/>
      <c r="AC8443" s="35"/>
      <c r="AD8443" s="35"/>
      <c r="AE8443" s="35"/>
      <c r="AF8443" s="35"/>
      <c r="AG8443" s="35"/>
      <c r="AH8443" s="35"/>
      <c r="AI8443" s="35"/>
      <c r="AJ8443" s="35"/>
      <c r="AK8443" s="35"/>
      <c r="AL8443" s="35"/>
    </row>
    <row r="8444">
      <c r="A8444" s="457"/>
      <c r="B8444" s="475"/>
      <c r="C8444" s="476"/>
      <c r="D8444" s="477"/>
      <c r="E8444" s="96"/>
      <c r="F8444" s="96"/>
      <c r="G8444" s="325"/>
      <c r="H8444" s="96"/>
      <c r="I8444" s="478"/>
      <c r="J8444" s="96"/>
      <c r="K8444" s="96"/>
      <c r="L8444" s="107"/>
      <c r="M8444" s="107"/>
      <c r="N8444" s="107"/>
      <c r="O8444" s="107"/>
      <c r="P8444" s="109"/>
      <c r="Q8444" s="107"/>
      <c r="R8444" s="107"/>
      <c r="S8444" s="107"/>
      <c r="T8444" s="479"/>
      <c r="U8444" s="296"/>
      <c r="V8444" s="50"/>
      <c r="W8444" s="49"/>
      <c r="X8444" s="49"/>
      <c r="Y8444" s="35"/>
      <c r="Z8444" s="35"/>
      <c r="AA8444" s="35"/>
      <c r="AB8444" s="35"/>
      <c r="AC8444" s="35"/>
      <c r="AD8444" s="35"/>
      <c r="AE8444" s="35"/>
      <c r="AF8444" s="35"/>
      <c r="AG8444" s="35"/>
      <c r="AH8444" s="35"/>
      <c r="AI8444" s="35"/>
      <c r="AJ8444" s="35"/>
      <c r="AK8444" s="35"/>
      <c r="AL8444" s="35"/>
    </row>
    <row r="8445">
      <c r="A8445" s="457"/>
      <c r="B8445" s="475"/>
      <c r="C8445" s="476"/>
      <c r="D8445" s="477"/>
      <c r="E8445" s="96"/>
      <c r="F8445" s="96"/>
      <c r="G8445" s="325"/>
      <c r="H8445" s="96"/>
      <c r="I8445" s="478"/>
      <c r="J8445" s="96"/>
      <c r="K8445" s="96"/>
      <c r="L8445" s="107"/>
      <c r="M8445" s="107"/>
      <c r="N8445" s="107"/>
      <c r="O8445" s="107"/>
      <c r="P8445" s="109"/>
      <c r="Q8445" s="107"/>
      <c r="R8445" s="107"/>
      <c r="S8445" s="107"/>
      <c r="T8445" s="479"/>
      <c r="U8445" s="296"/>
      <c r="V8445" s="50"/>
      <c r="W8445" s="49"/>
      <c r="X8445" s="49"/>
      <c r="Y8445" s="35"/>
      <c r="Z8445" s="35"/>
      <c r="AA8445" s="35"/>
      <c r="AB8445" s="35"/>
      <c r="AC8445" s="35"/>
      <c r="AD8445" s="35"/>
      <c r="AE8445" s="35"/>
      <c r="AF8445" s="35"/>
      <c r="AG8445" s="35"/>
      <c r="AH8445" s="35"/>
      <c r="AI8445" s="35"/>
      <c r="AJ8445" s="35"/>
      <c r="AK8445" s="35"/>
      <c r="AL8445" s="35"/>
    </row>
    <row r="8446">
      <c r="A8446" s="457"/>
      <c r="B8446" s="475"/>
      <c r="C8446" s="476"/>
      <c r="D8446" s="477"/>
      <c r="E8446" s="96"/>
      <c r="F8446" s="96"/>
      <c r="G8446" s="325"/>
      <c r="H8446" s="96"/>
      <c r="I8446" s="478"/>
      <c r="J8446" s="96"/>
      <c r="K8446" s="96"/>
      <c r="L8446" s="107"/>
      <c r="M8446" s="107"/>
      <c r="N8446" s="107"/>
      <c r="O8446" s="107"/>
      <c r="P8446" s="109"/>
      <c r="Q8446" s="107"/>
      <c r="R8446" s="107"/>
      <c r="S8446" s="107"/>
      <c r="T8446" s="479"/>
      <c r="U8446" s="296"/>
      <c r="V8446" s="50"/>
      <c r="W8446" s="49"/>
      <c r="X8446" s="49"/>
      <c r="Y8446" s="35"/>
      <c r="Z8446" s="35"/>
      <c r="AA8446" s="35"/>
      <c r="AB8446" s="35"/>
      <c r="AC8446" s="35"/>
      <c r="AD8446" s="35"/>
      <c r="AE8446" s="35"/>
      <c r="AF8446" s="35"/>
      <c r="AG8446" s="35"/>
      <c r="AH8446" s="35"/>
      <c r="AI8446" s="35"/>
      <c r="AJ8446" s="35"/>
      <c r="AK8446" s="35"/>
      <c r="AL8446" s="35"/>
    </row>
    <row r="8447">
      <c r="A8447" s="457"/>
      <c r="B8447" s="475"/>
      <c r="C8447" s="476"/>
      <c r="D8447" s="477"/>
      <c r="E8447" s="96"/>
      <c r="F8447" s="96"/>
      <c r="G8447" s="325"/>
      <c r="H8447" s="96"/>
      <c r="I8447" s="478"/>
      <c r="J8447" s="96"/>
      <c r="K8447" s="96"/>
      <c r="L8447" s="107"/>
      <c r="M8447" s="107"/>
      <c r="N8447" s="107"/>
      <c r="O8447" s="107"/>
      <c r="P8447" s="109"/>
      <c r="Q8447" s="107"/>
      <c r="R8447" s="107"/>
      <c r="S8447" s="107"/>
      <c r="T8447" s="479"/>
      <c r="U8447" s="296"/>
      <c r="V8447" s="50"/>
      <c r="W8447" s="49"/>
      <c r="X8447" s="49"/>
      <c r="Y8447" s="35"/>
      <c r="Z8447" s="35"/>
      <c r="AA8447" s="35"/>
      <c r="AB8447" s="35"/>
      <c r="AC8447" s="35"/>
      <c r="AD8447" s="35"/>
      <c r="AE8447" s="35"/>
      <c r="AF8447" s="35"/>
      <c r="AG8447" s="35"/>
      <c r="AH8447" s="35"/>
      <c r="AI8447" s="35"/>
      <c r="AJ8447" s="35"/>
      <c r="AK8447" s="35"/>
      <c r="AL8447" s="35"/>
    </row>
    <row r="8448">
      <c r="A8448" s="457"/>
      <c r="B8448" s="475"/>
      <c r="C8448" s="476"/>
      <c r="D8448" s="477"/>
      <c r="E8448" s="96"/>
      <c r="F8448" s="96"/>
      <c r="G8448" s="325"/>
      <c r="H8448" s="96"/>
      <c r="I8448" s="478"/>
      <c r="J8448" s="96"/>
      <c r="K8448" s="96"/>
      <c r="L8448" s="107"/>
      <c r="M8448" s="107"/>
      <c r="N8448" s="107"/>
      <c r="O8448" s="107"/>
      <c r="P8448" s="109"/>
      <c r="Q8448" s="107"/>
      <c r="R8448" s="107"/>
      <c r="S8448" s="107"/>
      <c r="T8448" s="479"/>
      <c r="U8448" s="296"/>
      <c r="V8448" s="50"/>
      <c r="W8448" s="49"/>
      <c r="X8448" s="49"/>
      <c r="Y8448" s="35"/>
      <c r="Z8448" s="35"/>
      <c r="AA8448" s="35"/>
      <c r="AB8448" s="35"/>
      <c r="AC8448" s="35"/>
      <c r="AD8448" s="35"/>
      <c r="AE8448" s="35"/>
      <c r="AF8448" s="35"/>
      <c r="AG8448" s="35"/>
      <c r="AH8448" s="35"/>
      <c r="AI8448" s="35"/>
      <c r="AJ8448" s="35"/>
      <c r="AK8448" s="35"/>
      <c r="AL8448" s="35"/>
    </row>
    <row r="8449">
      <c r="A8449" s="457"/>
      <c r="B8449" s="475"/>
      <c r="C8449" s="476"/>
      <c r="D8449" s="477"/>
      <c r="E8449" s="96"/>
      <c r="F8449" s="96"/>
      <c r="G8449" s="325"/>
      <c r="H8449" s="96"/>
      <c r="I8449" s="478"/>
      <c r="J8449" s="96"/>
      <c r="K8449" s="96"/>
      <c r="L8449" s="107"/>
      <c r="M8449" s="107"/>
      <c r="N8449" s="107"/>
      <c r="O8449" s="107"/>
      <c r="P8449" s="109"/>
      <c r="Q8449" s="107"/>
      <c r="R8449" s="107"/>
      <c r="S8449" s="107"/>
      <c r="T8449" s="479"/>
      <c r="U8449" s="296"/>
      <c r="V8449" s="50"/>
      <c r="W8449" s="49"/>
      <c r="X8449" s="49"/>
      <c r="Y8449" s="35"/>
      <c r="Z8449" s="35"/>
      <c r="AA8449" s="35"/>
      <c r="AB8449" s="35"/>
      <c r="AC8449" s="35"/>
      <c r="AD8449" s="35"/>
      <c r="AE8449" s="35"/>
      <c r="AF8449" s="35"/>
      <c r="AG8449" s="35"/>
      <c r="AH8449" s="35"/>
      <c r="AI8449" s="35"/>
      <c r="AJ8449" s="35"/>
      <c r="AK8449" s="35"/>
      <c r="AL8449" s="35"/>
    </row>
    <row r="8450">
      <c r="A8450" s="457"/>
      <c r="B8450" s="475"/>
      <c r="C8450" s="476"/>
      <c r="D8450" s="477"/>
      <c r="E8450" s="96"/>
      <c r="F8450" s="96"/>
      <c r="G8450" s="325"/>
      <c r="H8450" s="96"/>
      <c r="I8450" s="478"/>
      <c r="J8450" s="96"/>
      <c r="K8450" s="96"/>
      <c r="L8450" s="107"/>
      <c r="M8450" s="107"/>
      <c r="N8450" s="107"/>
      <c r="O8450" s="107"/>
      <c r="P8450" s="109"/>
      <c r="Q8450" s="107"/>
      <c r="R8450" s="107"/>
      <c r="S8450" s="107"/>
      <c r="T8450" s="479"/>
      <c r="U8450" s="296"/>
      <c r="V8450" s="50"/>
      <c r="W8450" s="49"/>
      <c r="X8450" s="49"/>
      <c r="Y8450" s="35"/>
      <c r="Z8450" s="35"/>
      <c r="AA8450" s="35"/>
      <c r="AB8450" s="35"/>
      <c r="AC8450" s="35"/>
      <c r="AD8450" s="35"/>
      <c r="AE8450" s="35"/>
      <c r="AF8450" s="35"/>
      <c r="AG8450" s="35"/>
      <c r="AH8450" s="35"/>
      <c r="AI8450" s="35"/>
      <c r="AJ8450" s="35"/>
      <c r="AK8450" s="35"/>
      <c r="AL8450" s="35"/>
    </row>
    <row r="8451">
      <c r="A8451" s="457"/>
      <c r="B8451" s="475"/>
      <c r="C8451" s="476"/>
      <c r="D8451" s="477"/>
      <c r="E8451" s="96"/>
      <c r="F8451" s="96"/>
      <c r="G8451" s="325"/>
      <c r="H8451" s="96"/>
      <c r="I8451" s="478"/>
      <c r="J8451" s="96"/>
      <c r="K8451" s="96"/>
      <c r="L8451" s="107"/>
      <c r="M8451" s="107"/>
      <c r="N8451" s="107"/>
      <c r="O8451" s="107"/>
      <c r="P8451" s="109"/>
      <c r="Q8451" s="107"/>
      <c r="R8451" s="107"/>
      <c r="S8451" s="107"/>
      <c r="T8451" s="479"/>
      <c r="U8451" s="296"/>
      <c r="V8451" s="50"/>
      <c r="W8451" s="49"/>
      <c r="X8451" s="49"/>
      <c r="Y8451" s="35"/>
      <c r="Z8451" s="35"/>
      <c r="AA8451" s="35"/>
      <c r="AB8451" s="35"/>
      <c r="AC8451" s="35"/>
      <c r="AD8451" s="35"/>
      <c r="AE8451" s="35"/>
      <c r="AF8451" s="35"/>
      <c r="AG8451" s="35"/>
      <c r="AH8451" s="35"/>
      <c r="AI8451" s="35"/>
      <c r="AJ8451" s="35"/>
      <c r="AK8451" s="35"/>
      <c r="AL8451" s="35"/>
    </row>
    <row r="8452">
      <c r="A8452" s="457"/>
      <c r="B8452" s="475"/>
      <c r="C8452" s="476"/>
      <c r="D8452" s="477"/>
      <c r="E8452" s="96"/>
      <c r="F8452" s="96"/>
      <c r="G8452" s="325"/>
      <c r="H8452" s="96"/>
      <c r="I8452" s="478"/>
      <c r="J8452" s="96"/>
      <c r="K8452" s="96"/>
      <c r="L8452" s="107"/>
      <c r="M8452" s="107"/>
      <c r="N8452" s="107"/>
      <c r="O8452" s="107"/>
      <c r="P8452" s="109"/>
      <c r="Q8452" s="107"/>
      <c r="R8452" s="107"/>
      <c r="S8452" s="107"/>
      <c r="T8452" s="479"/>
      <c r="U8452" s="296"/>
      <c r="V8452" s="50"/>
      <c r="W8452" s="49"/>
      <c r="X8452" s="49"/>
      <c r="Y8452" s="35"/>
      <c r="Z8452" s="35"/>
      <c r="AA8452" s="35"/>
      <c r="AB8452" s="35"/>
      <c r="AC8452" s="35"/>
      <c r="AD8452" s="35"/>
      <c r="AE8452" s="35"/>
      <c r="AF8452" s="35"/>
      <c r="AG8452" s="35"/>
      <c r="AH8452" s="35"/>
      <c r="AI8452" s="35"/>
      <c r="AJ8452" s="35"/>
      <c r="AK8452" s="35"/>
      <c r="AL8452" s="35"/>
    </row>
    <row r="8453">
      <c r="A8453" s="457"/>
      <c r="B8453" s="475"/>
      <c r="C8453" s="476"/>
      <c r="D8453" s="477"/>
      <c r="E8453" s="96"/>
      <c r="F8453" s="96"/>
      <c r="G8453" s="325"/>
      <c r="H8453" s="96"/>
      <c r="I8453" s="478"/>
      <c r="J8453" s="96"/>
      <c r="K8453" s="96"/>
      <c r="L8453" s="107"/>
      <c r="M8453" s="107"/>
      <c r="N8453" s="107"/>
      <c r="O8453" s="107"/>
      <c r="P8453" s="109"/>
      <c r="Q8453" s="107"/>
      <c r="R8453" s="107"/>
      <c r="S8453" s="107"/>
      <c r="T8453" s="479"/>
      <c r="U8453" s="296"/>
      <c r="V8453" s="50"/>
      <c r="W8453" s="49"/>
      <c r="X8453" s="49"/>
      <c r="Y8453" s="35"/>
      <c r="Z8453" s="35"/>
      <c r="AA8453" s="35"/>
      <c r="AB8453" s="35"/>
      <c r="AC8453" s="35"/>
      <c r="AD8453" s="35"/>
      <c r="AE8453" s="35"/>
      <c r="AF8453" s="35"/>
      <c r="AG8453" s="35"/>
      <c r="AH8453" s="35"/>
      <c r="AI8453" s="35"/>
      <c r="AJ8453" s="35"/>
      <c r="AK8453" s="35"/>
      <c r="AL8453" s="35"/>
    </row>
    <row r="8454">
      <c r="A8454" s="457"/>
      <c r="B8454" s="475"/>
      <c r="C8454" s="476"/>
      <c r="D8454" s="477"/>
      <c r="E8454" s="96"/>
      <c r="F8454" s="96"/>
      <c r="G8454" s="325"/>
      <c r="H8454" s="96"/>
      <c r="I8454" s="478"/>
      <c r="J8454" s="96"/>
      <c r="K8454" s="96"/>
      <c r="L8454" s="107"/>
      <c r="M8454" s="107"/>
      <c r="N8454" s="107"/>
      <c r="O8454" s="107"/>
      <c r="P8454" s="109"/>
      <c r="Q8454" s="107"/>
      <c r="R8454" s="107"/>
      <c r="S8454" s="107"/>
      <c r="T8454" s="479"/>
      <c r="U8454" s="296"/>
      <c r="V8454" s="50"/>
      <c r="W8454" s="49"/>
      <c r="X8454" s="49"/>
      <c r="Y8454" s="35"/>
      <c r="Z8454" s="35"/>
      <c r="AA8454" s="35"/>
      <c r="AB8454" s="35"/>
      <c r="AC8454" s="35"/>
      <c r="AD8454" s="35"/>
      <c r="AE8454" s="35"/>
      <c r="AF8454" s="35"/>
      <c r="AG8454" s="35"/>
      <c r="AH8454" s="35"/>
      <c r="AI8454" s="35"/>
      <c r="AJ8454" s="35"/>
      <c r="AK8454" s="35"/>
      <c r="AL8454" s="35"/>
    </row>
    <row r="8455">
      <c r="A8455" s="457"/>
      <c r="B8455" s="475"/>
      <c r="C8455" s="476"/>
      <c r="D8455" s="477"/>
      <c r="E8455" s="96"/>
      <c r="F8455" s="96"/>
      <c r="G8455" s="325"/>
      <c r="H8455" s="96"/>
      <c r="I8455" s="478"/>
      <c r="J8455" s="96"/>
      <c r="K8455" s="96"/>
      <c r="L8455" s="107"/>
      <c r="M8455" s="107"/>
      <c r="N8455" s="107"/>
      <c r="O8455" s="107"/>
      <c r="P8455" s="109"/>
      <c r="Q8455" s="107"/>
      <c r="R8455" s="107"/>
      <c r="S8455" s="107"/>
      <c r="T8455" s="479"/>
      <c r="U8455" s="296"/>
      <c r="V8455" s="50"/>
      <c r="W8455" s="49"/>
      <c r="X8455" s="49"/>
      <c r="Y8455" s="35"/>
      <c r="Z8455" s="35"/>
      <c r="AA8455" s="35"/>
      <c r="AB8455" s="35"/>
      <c r="AC8455" s="35"/>
      <c r="AD8455" s="35"/>
      <c r="AE8455" s="35"/>
      <c r="AF8455" s="35"/>
      <c r="AG8455" s="35"/>
      <c r="AH8455" s="35"/>
      <c r="AI8455" s="35"/>
      <c r="AJ8455" s="35"/>
      <c r="AK8455" s="35"/>
      <c r="AL8455" s="35"/>
    </row>
    <row r="8456">
      <c r="A8456" s="457"/>
      <c r="B8456" s="475"/>
      <c r="C8456" s="476"/>
      <c r="D8456" s="477"/>
      <c r="E8456" s="96"/>
      <c r="F8456" s="96"/>
      <c r="G8456" s="325"/>
      <c r="H8456" s="96"/>
      <c r="I8456" s="478"/>
      <c r="J8456" s="96"/>
      <c r="K8456" s="96"/>
      <c r="L8456" s="107"/>
      <c r="M8456" s="107"/>
      <c r="N8456" s="107"/>
      <c r="O8456" s="107"/>
      <c r="P8456" s="109"/>
      <c r="Q8456" s="107"/>
      <c r="R8456" s="107"/>
      <c r="S8456" s="107"/>
      <c r="T8456" s="479"/>
      <c r="U8456" s="296"/>
      <c r="V8456" s="50"/>
      <c r="W8456" s="49"/>
      <c r="X8456" s="49"/>
      <c r="Y8456" s="35"/>
      <c r="Z8456" s="35"/>
      <c r="AA8456" s="35"/>
      <c r="AB8456" s="35"/>
      <c r="AC8456" s="35"/>
      <c r="AD8456" s="35"/>
      <c r="AE8456" s="35"/>
      <c r="AF8456" s="35"/>
      <c r="AG8456" s="35"/>
      <c r="AH8456" s="35"/>
      <c r="AI8456" s="35"/>
      <c r="AJ8456" s="35"/>
      <c r="AK8456" s="35"/>
      <c r="AL8456" s="35"/>
    </row>
    <row r="8457">
      <c r="A8457" s="457"/>
      <c r="B8457" s="475"/>
      <c r="C8457" s="476"/>
      <c r="D8457" s="477"/>
      <c r="E8457" s="96"/>
      <c r="F8457" s="96"/>
      <c r="G8457" s="325"/>
      <c r="H8457" s="96"/>
      <c r="I8457" s="478"/>
      <c r="J8457" s="96"/>
      <c r="K8457" s="96"/>
      <c r="L8457" s="107"/>
      <c r="M8457" s="107"/>
      <c r="N8457" s="107"/>
      <c r="O8457" s="107"/>
      <c r="P8457" s="109"/>
      <c r="Q8457" s="107"/>
      <c r="R8457" s="107"/>
      <c r="S8457" s="107"/>
      <c r="T8457" s="479"/>
      <c r="U8457" s="296"/>
      <c r="V8457" s="50"/>
      <c r="W8457" s="49"/>
      <c r="X8457" s="49"/>
      <c r="Y8457" s="35"/>
      <c r="Z8457" s="35"/>
      <c r="AA8457" s="35"/>
      <c r="AB8457" s="35"/>
      <c r="AC8457" s="35"/>
      <c r="AD8457" s="35"/>
      <c r="AE8457" s="35"/>
      <c r="AF8457" s="35"/>
      <c r="AG8457" s="35"/>
      <c r="AH8457" s="35"/>
      <c r="AI8457" s="35"/>
      <c r="AJ8457" s="35"/>
      <c r="AK8457" s="35"/>
      <c r="AL8457" s="35"/>
    </row>
    <row r="8458">
      <c r="A8458" s="457"/>
      <c r="B8458" s="475"/>
      <c r="C8458" s="476"/>
      <c r="D8458" s="477"/>
      <c r="E8458" s="96"/>
      <c r="F8458" s="96"/>
      <c r="G8458" s="325"/>
      <c r="H8458" s="96"/>
      <c r="I8458" s="478"/>
      <c r="J8458" s="96"/>
      <c r="K8458" s="96"/>
      <c r="L8458" s="107"/>
      <c r="M8458" s="107"/>
      <c r="N8458" s="107"/>
      <c r="O8458" s="107"/>
      <c r="P8458" s="109"/>
      <c r="Q8458" s="107"/>
      <c r="R8458" s="107"/>
      <c r="S8458" s="107"/>
      <c r="T8458" s="479"/>
      <c r="U8458" s="296"/>
      <c r="V8458" s="50"/>
      <c r="W8458" s="49"/>
      <c r="X8458" s="49"/>
      <c r="Y8458" s="35"/>
      <c r="Z8458" s="35"/>
      <c r="AA8458" s="35"/>
      <c r="AB8458" s="35"/>
      <c r="AC8458" s="35"/>
      <c r="AD8458" s="35"/>
      <c r="AE8458" s="35"/>
      <c r="AF8458" s="35"/>
      <c r="AG8458" s="35"/>
      <c r="AH8458" s="35"/>
      <c r="AI8458" s="35"/>
      <c r="AJ8458" s="35"/>
      <c r="AK8458" s="35"/>
      <c r="AL8458" s="35"/>
    </row>
    <row r="8459">
      <c r="A8459" s="457"/>
      <c r="B8459" s="475"/>
      <c r="C8459" s="476"/>
      <c r="D8459" s="477"/>
      <c r="E8459" s="96"/>
      <c r="F8459" s="96"/>
      <c r="G8459" s="325"/>
      <c r="H8459" s="96"/>
      <c r="I8459" s="478"/>
      <c r="J8459" s="96"/>
      <c r="K8459" s="96"/>
      <c r="L8459" s="107"/>
      <c r="M8459" s="107"/>
      <c r="N8459" s="107"/>
      <c r="O8459" s="107"/>
      <c r="P8459" s="109"/>
      <c r="Q8459" s="107"/>
      <c r="R8459" s="107"/>
      <c r="S8459" s="107"/>
      <c r="T8459" s="479"/>
      <c r="U8459" s="296"/>
      <c r="V8459" s="50"/>
      <c r="W8459" s="49"/>
      <c r="X8459" s="49"/>
      <c r="Y8459" s="35"/>
      <c r="Z8459" s="35"/>
      <c r="AA8459" s="35"/>
      <c r="AB8459" s="35"/>
      <c r="AC8459" s="35"/>
      <c r="AD8459" s="35"/>
      <c r="AE8459" s="35"/>
      <c r="AF8459" s="35"/>
      <c r="AG8459" s="35"/>
      <c r="AH8459" s="35"/>
      <c r="AI8459" s="35"/>
      <c r="AJ8459" s="35"/>
      <c r="AK8459" s="35"/>
      <c r="AL8459" s="35"/>
    </row>
    <row r="8460">
      <c r="A8460" s="457"/>
      <c r="B8460" s="475"/>
      <c r="C8460" s="476"/>
      <c r="D8460" s="477"/>
      <c r="E8460" s="96"/>
      <c r="F8460" s="96"/>
      <c r="G8460" s="325"/>
      <c r="H8460" s="96"/>
      <c r="I8460" s="478"/>
      <c r="J8460" s="96"/>
      <c r="K8460" s="96"/>
      <c r="L8460" s="107"/>
      <c r="M8460" s="107"/>
      <c r="N8460" s="107"/>
      <c r="O8460" s="107"/>
      <c r="P8460" s="109"/>
      <c r="Q8460" s="107"/>
      <c r="R8460" s="107"/>
      <c r="S8460" s="107"/>
      <c r="T8460" s="479"/>
      <c r="U8460" s="296"/>
      <c r="V8460" s="50"/>
      <c r="W8460" s="49"/>
      <c r="X8460" s="49"/>
      <c r="Y8460" s="35"/>
      <c r="Z8460" s="35"/>
      <c r="AA8460" s="35"/>
      <c r="AB8460" s="35"/>
      <c r="AC8460" s="35"/>
      <c r="AD8460" s="35"/>
      <c r="AE8460" s="35"/>
      <c r="AF8460" s="35"/>
      <c r="AG8460" s="35"/>
      <c r="AH8460" s="35"/>
      <c r="AI8460" s="35"/>
      <c r="AJ8460" s="35"/>
      <c r="AK8460" s="35"/>
      <c r="AL8460" s="35"/>
    </row>
    <row r="8461">
      <c r="A8461" s="457"/>
      <c r="B8461" s="475"/>
      <c r="C8461" s="476"/>
      <c r="D8461" s="477"/>
      <c r="E8461" s="96"/>
      <c r="F8461" s="96"/>
      <c r="G8461" s="325"/>
      <c r="H8461" s="96"/>
      <c r="I8461" s="478"/>
      <c r="J8461" s="96"/>
      <c r="K8461" s="96"/>
      <c r="L8461" s="107"/>
      <c r="M8461" s="107"/>
      <c r="N8461" s="107"/>
      <c r="O8461" s="107"/>
      <c r="P8461" s="109"/>
      <c r="Q8461" s="107"/>
      <c r="R8461" s="107"/>
      <c r="S8461" s="107"/>
      <c r="T8461" s="479"/>
      <c r="U8461" s="296"/>
      <c r="V8461" s="50"/>
      <c r="W8461" s="49"/>
      <c r="X8461" s="49"/>
      <c r="Y8461" s="35"/>
      <c r="Z8461" s="35"/>
      <c r="AA8461" s="35"/>
      <c r="AB8461" s="35"/>
      <c r="AC8461" s="35"/>
      <c r="AD8461" s="35"/>
      <c r="AE8461" s="35"/>
      <c r="AF8461" s="35"/>
      <c r="AG8461" s="35"/>
      <c r="AH8461" s="35"/>
      <c r="AI8461" s="35"/>
      <c r="AJ8461" s="35"/>
      <c r="AK8461" s="35"/>
      <c r="AL8461" s="35"/>
    </row>
    <row r="8462">
      <c r="A8462" s="457"/>
      <c r="B8462" s="475"/>
      <c r="C8462" s="476"/>
      <c r="D8462" s="477"/>
      <c r="E8462" s="96"/>
      <c r="F8462" s="96"/>
      <c r="G8462" s="325"/>
      <c r="H8462" s="96"/>
      <c r="I8462" s="478"/>
      <c r="J8462" s="96"/>
      <c r="K8462" s="96"/>
      <c r="L8462" s="107"/>
      <c r="M8462" s="107"/>
      <c r="N8462" s="107"/>
      <c r="O8462" s="107"/>
      <c r="P8462" s="109"/>
      <c r="Q8462" s="107"/>
      <c r="R8462" s="107"/>
      <c r="S8462" s="107"/>
      <c r="T8462" s="479"/>
      <c r="U8462" s="296"/>
      <c r="V8462" s="50"/>
      <c r="W8462" s="49"/>
      <c r="X8462" s="49"/>
      <c r="Y8462" s="35"/>
      <c r="Z8462" s="35"/>
      <c r="AA8462" s="35"/>
      <c r="AB8462" s="35"/>
      <c r="AC8462" s="35"/>
      <c r="AD8462" s="35"/>
      <c r="AE8462" s="35"/>
      <c r="AF8462" s="35"/>
      <c r="AG8462" s="35"/>
      <c r="AH8462" s="35"/>
      <c r="AI8462" s="35"/>
      <c r="AJ8462" s="35"/>
      <c r="AK8462" s="35"/>
      <c r="AL8462" s="35"/>
    </row>
    <row r="8463">
      <c r="A8463" s="457"/>
      <c r="B8463" s="475"/>
      <c r="C8463" s="476"/>
      <c r="D8463" s="477"/>
      <c r="E8463" s="96"/>
      <c r="F8463" s="96"/>
      <c r="G8463" s="325"/>
      <c r="H8463" s="96"/>
      <c r="I8463" s="478"/>
      <c r="J8463" s="96"/>
      <c r="K8463" s="96"/>
      <c r="L8463" s="107"/>
      <c r="M8463" s="107"/>
      <c r="N8463" s="107"/>
      <c r="O8463" s="107"/>
      <c r="P8463" s="109"/>
      <c r="Q8463" s="107"/>
      <c r="R8463" s="107"/>
      <c r="S8463" s="107"/>
      <c r="T8463" s="479"/>
      <c r="U8463" s="296"/>
      <c r="V8463" s="50"/>
      <c r="W8463" s="49"/>
      <c r="X8463" s="49"/>
      <c r="Y8463" s="35"/>
      <c r="Z8463" s="35"/>
      <c r="AA8463" s="35"/>
      <c r="AB8463" s="35"/>
      <c r="AC8463" s="35"/>
      <c r="AD8463" s="35"/>
      <c r="AE8463" s="35"/>
      <c r="AF8463" s="35"/>
      <c r="AG8463" s="35"/>
      <c r="AH8463" s="35"/>
      <c r="AI8463" s="35"/>
      <c r="AJ8463" s="35"/>
      <c r="AK8463" s="35"/>
      <c r="AL8463" s="35"/>
    </row>
    <row r="8464">
      <c r="A8464" s="457"/>
      <c r="B8464" s="475"/>
      <c r="C8464" s="476"/>
      <c r="D8464" s="477"/>
      <c r="E8464" s="96"/>
      <c r="F8464" s="96"/>
      <c r="G8464" s="325"/>
      <c r="H8464" s="96"/>
      <c r="I8464" s="478"/>
      <c r="J8464" s="96"/>
      <c r="K8464" s="96"/>
      <c r="L8464" s="107"/>
      <c r="M8464" s="107"/>
      <c r="N8464" s="107"/>
      <c r="O8464" s="107"/>
      <c r="P8464" s="109"/>
      <c r="Q8464" s="107"/>
      <c r="R8464" s="107"/>
      <c r="S8464" s="107"/>
      <c r="T8464" s="479"/>
      <c r="U8464" s="296"/>
      <c r="V8464" s="50"/>
      <c r="W8464" s="49"/>
      <c r="X8464" s="49"/>
      <c r="Y8464" s="35"/>
      <c r="Z8464" s="35"/>
      <c r="AA8464" s="35"/>
      <c r="AB8464" s="35"/>
      <c r="AC8464" s="35"/>
      <c r="AD8464" s="35"/>
      <c r="AE8464" s="35"/>
      <c r="AF8464" s="35"/>
      <c r="AG8464" s="35"/>
      <c r="AH8464" s="35"/>
      <c r="AI8464" s="35"/>
      <c r="AJ8464" s="35"/>
      <c r="AK8464" s="35"/>
      <c r="AL8464" s="35"/>
    </row>
    <row r="8465">
      <c r="A8465" s="457"/>
      <c r="B8465" s="475"/>
      <c r="C8465" s="476"/>
      <c r="D8465" s="477"/>
      <c r="E8465" s="96"/>
      <c r="F8465" s="96"/>
      <c r="G8465" s="325"/>
      <c r="H8465" s="96"/>
      <c r="I8465" s="478"/>
      <c r="J8465" s="96"/>
      <c r="K8465" s="96"/>
      <c r="L8465" s="107"/>
      <c r="M8465" s="107"/>
      <c r="N8465" s="107"/>
      <c r="O8465" s="107"/>
      <c r="P8465" s="109"/>
      <c r="Q8465" s="107"/>
      <c r="R8465" s="107"/>
      <c r="S8465" s="107"/>
      <c r="T8465" s="479"/>
      <c r="U8465" s="296"/>
      <c r="V8465" s="50"/>
      <c r="W8465" s="49"/>
      <c r="X8465" s="49"/>
      <c r="Y8465" s="35"/>
      <c r="Z8465" s="35"/>
      <c r="AA8465" s="35"/>
      <c r="AB8465" s="35"/>
      <c r="AC8465" s="35"/>
      <c r="AD8465" s="35"/>
      <c r="AE8465" s="35"/>
      <c r="AF8465" s="35"/>
      <c r="AG8465" s="35"/>
      <c r="AH8465" s="35"/>
      <c r="AI8465" s="35"/>
      <c r="AJ8465" s="35"/>
      <c r="AK8465" s="35"/>
      <c r="AL8465" s="35"/>
    </row>
    <row r="8466">
      <c r="A8466" s="457"/>
      <c r="B8466" s="475"/>
      <c r="C8466" s="476"/>
      <c r="D8466" s="477"/>
      <c r="E8466" s="96"/>
      <c r="F8466" s="96"/>
      <c r="G8466" s="325"/>
      <c r="H8466" s="96"/>
      <c r="I8466" s="478"/>
      <c r="J8466" s="96"/>
      <c r="K8466" s="96"/>
      <c r="L8466" s="107"/>
      <c r="M8466" s="107"/>
      <c r="N8466" s="107"/>
      <c r="O8466" s="107"/>
      <c r="P8466" s="109"/>
      <c r="Q8466" s="107"/>
      <c r="R8466" s="107"/>
      <c r="S8466" s="107"/>
      <c r="T8466" s="479"/>
      <c r="U8466" s="296"/>
      <c r="V8466" s="50"/>
      <c r="W8466" s="49"/>
      <c r="X8466" s="49"/>
      <c r="Y8466" s="35"/>
      <c r="Z8466" s="35"/>
      <c r="AA8466" s="35"/>
      <c r="AB8466" s="35"/>
      <c r="AC8466" s="35"/>
      <c r="AD8466" s="35"/>
      <c r="AE8466" s="35"/>
      <c r="AF8466" s="35"/>
      <c r="AG8466" s="35"/>
      <c r="AH8466" s="35"/>
      <c r="AI8466" s="35"/>
      <c r="AJ8466" s="35"/>
      <c r="AK8466" s="35"/>
      <c r="AL8466" s="35"/>
    </row>
    <row r="8467">
      <c r="A8467" s="457"/>
      <c r="B8467" s="475"/>
      <c r="C8467" s="476"/>
      <c r="D8467" s="477"/>
      <c r="E8467" s="96"/>
      <c r="F8467" s="96"/>
      <c r="G8467" s="325"/>
      <c r="H8467" s="96"/>
      <c r="I8467" s="478"/>
      <c r="J8467" s="96"/>
      <c r="K8467" s="96"/>
      <c r="L8467" s="107"/>
      <c r="M8467" s="107"/>
      <c r="N8467" s="107"/>
      <c r="O8467" s="107"/>
      <c r="P8467" s="109"/>
      <c r="Q8467" s="107"/>
      <c r="R8467" s="107"/>
      <c r="S8467" s="107"/>
      <c r="T8467" s="479"/>
      <c r="U8467" s="296"/>
      <c r="V8467" s="50"/>
      <c r="W8467" s="49"/>
      <c r="X8467" s="49"/>
      <c r="Y8467" s="35"/>
      <c r="Z8467" s="35"/>
      <c r="AA8467" s="35"/>
      <c r="AB8467" s="35"/>
      <c r="AC8467" s="35"/>
      <c r="AD8467" s="35"/>
      <c r="AE8467" s="35"/>
      <c r="AF8467" s="35"/>
      <c r="AG8467" s="35"/>
      <c r="AH8467" s="35"/>
      <c r="AI8467" s="35"/>
      <c r="AJ8467" s="35"/>
      <c r="AK8467" s="35"/>
      <c r="AL8467" s="35"/>
    </row>
    <row r="8468">
      <c r="A8468" s="457"/>
      <c r="B8468" s="475"/>
      <c r="C8468" s="476"/>
      <c r="D8468" s="477"/>
      <c r="E8468" s="96"/>
      <c r="F8468" s="96"/>
      <c r="G8468" s="325"/>
      <c r="H8468" s="96"/>
      <c r="I8468" s="478"/>
      <c r="J8468" s="96"/>
      <c r="K8468" s="96"/>
      <c r="L8468" s="107"/>
      <c r="M8468" s="107"/>
      <c r="N8468" s="107"/>
      <c r="O8468" s="107"/>
      <c r="P8468" s="109"/>
      <c r="Q8468" s="107"/>
      <c r="R8468" s="107"/>
      <c r="S8468" s="107"/>
      <c r="T8468" s="479"/>
      <c r="U8468" s="296"/>
      <c r="V8468" s="50"/>
      <c r="W8468" s="49"/>
      <c r="X8468" s="49"/>
      <c r="Y8468" s="35"/>
      <c r="Z8468" s="35"/>
      <c r="AA8468" s="35"/>
      <c r="AB8468" s="35"/>
      <c r="AC8468" s="35"/>
      <c r="AD8468" s="35"/>
      <c r="AE8468" s="35"/>
      <c r="AF8468" s="35"/>
      <c r="AG8468" s="35"/>
      <c r="AH8468" s="35"/>
      <c r="AI8468" s="35"/>
      <c r="AJ8468" s="35"/>
      <c r="AK8468" s="35"/>
      <c r="AL8468" s="35"/>
    </row>
    <row r="8469">
      <c r="A8469" s="457"/>
      <c r="B8469" s="475"/>
      <c r="C8469" s="476"/>
      <c r="D8469" s="477"/>
      <c r="E8469" s="96"/>
      <c r="F8469" s="96"/>
      <c r="G8469" s="325"/>
      <c r="H8469" s="96"/>
      <c r="I8469" s="478"/>
      <c r="J8469" s="96"/>
      <c r="K8469" s="96"/>
      <c r="L8469" s="107"/>
      <c r="M8469" s="107"/>
      <c r="N8469" s="107"/>
      <c r="O8469" s="107"/>
      <c r="P8469" s="109"/>
      <c r="Q8469" s="107"/>
      <c r="R8469" s="107"/>
      <c r="S8469" s="107"/>
      <c r="T8469" s="479"/>
      <c r="U8469" s="296"/>
      <c r="V8469" s="50"/>
      <c r="W8469" s="49"/>
      <c r="X8469" s="49"/>
      <c r="Y8469" s="35"/>
      <c r="Z8469" s="35"/>
      <c r="AA8469" s="35"/>
      <c r="AB8469" s="35"/>
      <c r="AC8469" s="35"/>
      <c r="AD8469" s="35"/>
      <c r="AE8469" s="35"/>
      <c r="AF8469" s="35"/>
      <c r="AG8469" s="35"/>
      <c r="AH8469" s="35"/>
      <c r="AI8469" s="35"/>
      <c r="AJ8469" s="35"/>
      <c r="AK8469" s="35"/>
      <c r="AL8469" s="35"/>
    </row>
    <row r="8470">
      <c r="A8470" s="457"/>
      <c r="B8470" s="475"/>
      <c r="C8470" s="476"/>
      <c r="D8470" s="477"/>
      <c r="E8470" s="96"/>
      <c r="F8470" s="96"/>
      <c r="G8470" s="325"/>
      <c r="H8470" s="96"/>
      <c r="I8470" s="478"/>
      <c r="J8470" s="96"/>
      <c r="K8470" s="96"/>
      <c r="L8470" s="107"/>
      <c r="M8470" s="107"/>
      <c r="N8470" s="107"/>
      <c r="O8470" s="107"/>
      <c r="P8470" s="109"/>
      <c r="Q8470" s="107"/>
      <c r="R8470" s="107"/>
      <c r="S8470" s="107"/>
      <c r="T8470" s="479"/>
      <c r="U8470" s="296"/>
      <c r="V8470" s="50"/>
      <c r="W8470" s="49"/>
      <c r="X8470" s="49"/>
      <c r="Y8470" s="35"/>
      <c r="Z8470" s="35"/>
      <c r="AA8470" s="35"/>
      <c r="AB8470" s="35"/>
      <c r="AC8470" s="35"/>
      <c r="AD8470" s="35"/>
      <c r="AE8470" s="35"/>
      <c r="AF8470" s="35"/>
      <c r="AG8470" s="35"/>
      <c r="AH8470" s="35"/>
      <c r="AI8470" s="35"/>
      <c r="AJ8470" s="35"/>
      <c r="AK8470" s="35"/>
      <c r="AL8470" s="35"/>
    </row>
    <row r="8471">
      <c r="A8471" s="457"/>
      <c r="B8471" s="475"/>
      <c r="C8471" s="476"/>
      <c r="D8471" s="477"/>
      <c r="E8471" s="96"/>
      <c r="F8471" s="96"/>
      <c r="G8471" s="325"/>
      <c r="H8471" s="96"/>
      <c r="I8471" s="478"/>
      <c r="J8471" s="96"/>
      <c r="K8471" s="96"/>
      <c r="L8471" s="107"/>
      <c r="M8471" s="107"/>
      <c r="N8471" s="107"/>
      <c r="O8471" s="107"/>
      <c r="P8471" s="109"/>
      <c r="Q8471" s="107"/>
      <c r="R8471" s="107"/>
      <c r="S8471" s="107"/>
      <c r="T8471" s="479"/>
      <c r="U8471" s="296"/>
      <c r="V8471" s="50"/>
      <c r="W8471" s="49"/>
      <c r="X8471" s="49"/>
      <c r="Y8471" s="35"/>
      <c r="Z8471" s="35"/>
      <c r="AA8471" s="35"/>
      <c r="AB8471" s="35"/>
      <c r="AC8471" s="35"/>
      <c r="AD8471" s="35"/>
      <c r="AE8471" s="35"/>
      <c r="AF8471" s="35"/>
      <c r="AG8471" s="35"/>
      <c r="AH8471" s="35"/>
      <c r="AI8471" s="35"/>
      <c r="AJ8471" s="35"/>
      <c r="AK8471" s="35"/>
      <c r="AL8471" s="35"/>
    </row>
    <row r="8472">
      <c r="A8472" s="457"/>
      <c r="B8472" s="475"/>
      <c r="C8472" s="476"/>
      <c r="D8472" s="477"/>
      <c r="E8472" s="96"/>
      <c r="F8472" s="96"/>
      <c r="G8472" s="325"/>
      <c r="H8472" s="96"/>
      <c r="I8472" s="478"/>
      <c r="J8472" s="96"/>
      <c r="K8472" s="96"/>
      <c r="L8472" s="107"/>
      <c r="M8472" s="107"/>
      <c r="N8472" s="107"/>
      <c r="O8472" s="107"/>
      <c r="P8472" s="109"/>
      <c r="Q8472" s="107"/>
      <c r="R8472" s="107"/>
      <c r="S8472" s="107"/>
      <c r="T8472" s="479"/>
      <c r="U8472" s="296"/>
      <c r="V8472" s="50"/>
      <c r="W8472" s="49"/>
      <c r="X8472" s="49"/>
      <c r="Y8472" s="35"/>
      <c r="Z8472" s="35"/>
      <c r="AA8472" s="35"/>
      <c r="AB8472" s="35"/>
      <c r="AC8472" s="35"/>
      <c r="AD8472" s="35"/>
      <c r="AE8472" s="35"/>
      <c r="AF8472" s="35"/>
      <c r="AG8472" s="35"/>
      <c r="AH8472" s="35"/>
      <c r="AI8472" s="35"/>
      <c r="AJ8472" s="35"/>
      <c r="AK8472" s="35"/>
      <c r="AL8472" s="35"/>
    </row>
    <row r="8473">
      <c r="A8473" s="457"/>
      <c r="B8473" s="475"/>
      <c r="C8473" s="476"/>
      <c r="D8473" s="477"/>
      <c r="E8473" s="96"/>
      <c r="F8473" s="96"/>
      <c r="G8473" s="325"/>
      <c r="H8473" s="96"/>
      <c r="I8473" s="478"/>
      <c r="J8473" s="96"/>
      <c r="K8473" s="96"/>
      <c r="L8473" s="107"/>
      <c r="M8473" s="107"/>
      <c r="N8473" s="107"/>
      <c r="O8473" s="107"/>
      <c r="P8473" s="109"/>
      <c r="Q8473" s="107"/>
      <c r="R8473" s="107"/>
      <c r="S8473" s="107"/>
      <c r="T8473" s="479"/>
      <c r="U8473" s="296"/>
      <c r="V8473" s="50"/>
      <c r="W8473" s="49"/>
      <c r="X8473" s="49"/>
      <c r="Y8473" s="35"/>
      <c r="Z8473" s="35"/>
      <c r="AA8473" s="35"/>
      <c r="AB8473" s="35"/>
      <c r="AC8473" s="35"/>
      <c r="AD8473" s="35"/>
      <c r="AE8473" s="35"/>
      <c r="AF8473" s="35"/>
      <c r="AG8473" s="35"/>
      <c r="AH8473" s="35"/>
      <c r="AI8473" s="35"/>
      <c r="AJ8473" s="35"/>
      <c r="AK8473" s="35"/>
      <c r="AL8473" s="35"/>
    </row>
    <row r="8474">
      <c r="A8474" s="457"/>
      <c r="B8474" s="475"/>
      <c r="C8474" s="476"/>
      <c r="D8474" s="477"/>
      <c r="E8474" s="96"/>
      <c r="F8474" s="96"/>
      <c r="G8474" s="325"/>
      <c r="H8474" s="96"/>
      <c r="I8474" s="478"/>
      <c r="J8474" s="96"/>
      <c r="K8474" s="96"/>
      <c r="L8474" s="107"/>
      <c r="M8474" s="107"/>
      <c r="N8474" s="107"/>
      <c r="O8474" s="107"/>
      <c r="P8474" s="109"/>
      <c r="Q8474" s="107"/>
      <c r="R8474" s="107"/>
      <c r="S8474" s="107"/>
      <c r="T8474" s="479"/>
      <c r="U8474" s="296"/>
      <c r="V8474" s="50"/>
      <c r="W8474" s="49"/>
      <c r="X8474" s="49"/>
      <c r="Y8474" s="35"/>
      <c r="Z8474" s="35"/>
      <c r="AA8474" s="35"/>
      <c r="AB8474" s="35"/>
      <c r="AC8474" s="35"/>
      <c r="AD8474" s="35"/>
      <c r="AE8474" s="35"/>
      <c r="AF8474" s="35"/>
      <c r="AG8474" s="35"/>
      <c r="AH8474" s="35"/>
      <c r="AI8474" s="35"/>
      <c r="AJ8474" s="35"/>
      <c r="AK8474" s="35"/>
      <c r="AL8474" s="35"/>
    </row>
    <row r="8475">
      <c r="A8475" s="457"/>
      <c r="B8475" s="475"/>
      <c r="C8475" s="476"/>
      <c r="D8475" s="477"/>
      <c r="E8475" s="96"/>
      <c r="F8475" s="96"/>
      <c r="G8475" s="325"/>
      <c r="H8475" s="96"/>
      <c r="I8475" s="478"/>
      <c r="J8475" s="96"/>
      <c r="K8475" s="96"/>
      <c r="L8475" s="107"/>
      <c r="M8475" s="107"/>
      <c r="N8475" s="107"/>
      <c r="O8475" s="107"/>
      <c r="P8475" s="109"/>
      <c r="Q8475" s="107"/>
      <c r="R8475" s="107"/>
      <c r="S8475" s="107"/>
      <c r="T8475" s="479"/>
      <c r="U8475" s="296"/>
      <c r="V8475" s="50"/>
      <c r="W8475" s="49"/>
      <c r="X8475" s="49"/>
      <c r="Y8475" s="35"/>
      <c r="Z8475" s="35"/>
      <c r="AA8475" s="35"/>
      <c r="AB8475" s="35"/>
      <c r="AC8475" s="35"/>
      <c r="AD8475" s="35"/>
      <c r="AE8475" s="35"/>
      <c r="AF8475" s="35"/>
      <c r="AG8475" s="35"/>
      <c r="AH8475" s="35"/>
      <c r="AI8475" s="35"/>
      <c r="AJ8475" s="35"/>
      <c r="AK8475" s="35"/>
      <c r="AL8475" s="35"/>
    </row>
    <row r="8476">
      <c r="A8476" s="457"/>
      <c r="B8476" s="475"/>
      <c r="C8476" s="476"/>
      <c r="D8476" s="477"/>
      <c r="E8476" s="96"/>
      <c r="F8476" s="96"/>
      <c r="G8476" s="325"/>
      <c r="H8476" s="96"/>
      <c r="I8476" s="478"/>
      <c r="J8476" s="96"/>
      <c r="K8476" s="96"/>
      <c r="L8476" s="107"/>
      <c r="M8476" s="107"/>
      <c r="N8476" s="107"/>
      <c r="O8476" s="107"/>
      <c r="P8476" s="109"/>
      <c r="Q8476" s="107"/>
      <c r="R8476" s="107"/>
      <c r="S8476" s="107"/>
      <c r="T8476" s="479"/>
      <c r="U8476" s="296"/>
      <c r="V8476" s="50"/>
      <c r="W8476" s="49"/>
      <c r="X8476" s="49"/>
      <c r="Y8476" s="35"/>
      <c r="Z8476" s="35"/>
      <c r="AA8476" s="35"/>
      <c r="AB8476" s="35"/>
      <c r="AC8476" s="35"/>
      <c r="AD8476" s="35"/>
      <c r="AE8476" s="35"/>
      <c r="AF8476" s="35"/>
      <c r="AG8476" s="35"/>
      <c r="AH8476" s="35"/>
      <c r="AI8476" s="35"/>
      <c r="AJ8476" s="35"/>
      <c r="AK8476" s="35"/>
      <c r="AL8476" s="35"/>
    </row>
    <row r="8477">
      <c r="A8477" s="457"/>
      <c r="B8477" s="475"/>
      <c r="C8477" s="476"/>
      <c r="D8477" s="477"/>
      <c r="E8477" s="96"/>
      <c r="F8477" s="96"/>
      <c r="G8477" s="325"/>
      <c r="H8477" s="96"/>
      <c r="I8477" s="478"/>
      <c r="J8477" s="96"/>
      <c r="K8477" s="96"/>
      <c r="L8477" s="107"/>
      <c r="M8477" s="107"/>
      <c r="N8477" s="107"/>
      <c r="O8477" s="107"/>
      <c r="P8477" s="109"/>
      <c r="Q8477" s="107"/>
      <c r="R8477" s="107"/>
      <c r="S8477" s="107"/>
      <c r="T8477" s="479"/>
      <c r="U8477" s="296"/>
      <c r="V8477" s="50"/>
      <c r="W8477" s="49"/>
      <c r="X8477" s="49"/>
      <c r="Y8477" s="35"/>
      <c r="Z8477" s="35"/>
      <c r="AA8477" s="35"/>
      <c r="AB8477" s="35"/>
      <c r="AC8477" s="35"/>
      <c r="AD8477" s="35"/>
      <c r="AE8477" s="35"/>
      <c r="AF8477" s="35"/>
      <c r="AG8477" s="35"/>
      <c r="AH8477" s="35"/>
      <c r="AI8477" s="35"/>
      <c r="AJ8477" s="35"/>
      <c r="AK8477" s="35"/>
      <c r="AL8477" s="35"/>
    </row>
    <row r="8478">
      <c r="A8478" s="457"/>
      <c r="B8478" s="475"/>
      <c r="C8478" s="476"/>
      <c r="D8478" s="477"/>
      <c r="E8478" s="96"/>
      <c r="F8478" s="96"/>
      <c r="G8478" s="325"/>
      <c r="H8478" s="96"/>
      <c r="I8478" s="478"/>
      <c r="J8478" s="96"/>
      <c r="K8478" s="96"/>
      <c r="L8478" s="107"/>
      <c r="M8478" s="107"/>
      <c r="N8478" s="107"/>
      <c r="O8478" s="107"/>
      <c r="P8478" s="109"/>
      <c r="Q8478" s="107"/>
      <c r="R8478" s="107"/>
      <c r="S8478" s="107"/>
      <c r="T8478" s="479"/>
      <c r="U8478" s="296"/>
      <c r="V8478" s="50"/>
      <c r="W8478" s="49"/>
      <c r="X8478" s="49"/>
      <c r="Y8478" s="35"/>
      <c r="Z8478" s="35"/>
      <c r="AA8478" s="35"/>
      <c r="AB8478" s="35"/>
      <c r="AC8478" s="35"/>
      <c r="AD8478" s="35"/>
      <c r="AE8478" s="35"/>
      <c r="AF8478" s="35"/>
      <c r="AG8478" s="35"/>
      <c r="AH8478" s="35"/>
      <c r="AI8478" s="35"/>
      <c r="AJ8478" s="35"/>
      <c r="AK8478" s="35"/>
      <c r="AL8478" s="35"/>
    </row>
    <row r="8479">
      <c r="A8479" s="457"/>
      <c r="B8479" s="475"/>
      <c r="C8479" s="476"/>
      <c r="D8479" s="477"/>
      <c r="E8479" s="96"/>
      <c r="F8479" s="96"/>
      <c r="G8479" s="325"/>
      <c r="H8479" s="96"/>
      <c r="I8479" s="478"/>
      <c r="J8479" s="96"/>
      <c r="K8479" s="96"/>
      <c r="L8479" s="107"/>
      <c r="M8479" s="107"/>
      <c r="N8479" s="107"/>
      <c r="O8479" s="107"/>
      <c r="P8479" s="109"/>
      <c r="Q8479" s="107"/>
      <c r="R8479" s="107"/>
      <c r="S8479" s="107"/>
      <c r="T8479" s="479"/>
      <c r="U8479" s="296"/>
      <c r="V8479" s="50"/>
      <c r="W8479" s="49"/>
      <c r="X8479" s="49"/>
      <c r="Y8479" s="35"/>
      <c r="Z8479" s="35"/>
      <c r="AA8479" s="35"/>
      <c r="AB8479" s="35"/>
      <c r="AC8479" s="35"/>
      <c r="AD8479" s="35"/>
      <c r="AE8479" s="35"/>
      <c r="AF8479" s="35"/>
      <c r="AG8479" s="35"/>
      <c r="AH8479" s="35"/>
      <c r="AI8479" s="35"/>
      <c r="AJ8479" s="35"/>
      <c r="AK8479" s="35"/>
      <c r="AL8479" s="35"/>
    </row>
    <row r="8480">
      <c r="A8480" s="457"/>
      <c r="B8480" s="475"/>
      <c r="C8480" s="476"/>
      <c r="D8480" s="477"/>
      <c r="E8480" s="96"/>
      <c r="F8480" s="96"/>
      <c r="G8480" s="325"/>
      <c r="H8480" s="96"/>
      <c r="I8480" s="478"/>
      <c r="J8480" s="96"/>
      <c r="K8480" s="96"/>
      <c r="L8480" s="107"/>
      <c r="M8480" s="107"/>
      <c r="N8480" s="107"/>
      <c r="O8480" s="107"/>
      <c r="P8480" s="109"/>
      <c r="Q8480" s="107"/>
      <c r="R8480" s="107"/>
      <c r="S8480" s="107"/>
      <c r="T8480" s="479"/>
      <c r="U8480" s="296"/>
      <c r="V8480" s="50"/>
      <c r="W8480" s="49"/>
      <c r="X8480" s="49"/>
      <c r="Y8480" s="35"/>
      <c r="Z8480" s="35"/>
      <c r="AA8480" s="35"/>
      <c r="AB8480" s="35"/>
      <c r="AC8480" s="35"/>
      <c r="AD8480" s="35"/>
      <c r="AE8480" s="35"/>
      <c r="AF8480" s="35"/>
      <c r="AG8480" s="35"/>
      <c r="AH8480" s="35"/>
      <c r="AI8480" s="35"/>
      <c r="AJ8480" s="35"/>
      <c r="AK8480" s="35"/>
      <c r="AL8480" s="35"/>
    </row>
    <row r="8481">
      <c r="A8481" s="457"/>
      <c r="B8481" s="475"/>
      <c r="C8481" s="476"/>
      <c r="D8481" s="477"/>
      <c r="E8481" s="96"/>
      <c r="F8481" s="96"/>
      <c r="G8481" s="325"/>
      <c r="H8481" s="96"/>
      <c r="I8481" s="478"/>
      <c r="J8481" s="96"/>
      <c r="K8481" s="96"/>
      <c r="L8481" s="107"/>
      <c r="M8481" s="107"/>
      <c r="N8481" s="107"/>
      <c r="O8481" s="107"/>
      <c r="P8481" s="109"/>
      <c r="Q8481" s="107"/>
      <c r="R8481" s="107"/>
      <c r="S8481" s="107"/>
      <c r="T8481" s="479"/>
      <c r="U8481" s="296"/>
      <c r="V8481" s="50"/>
      <c r="W8481" s="49"/>
      <c r="X8481" s="49"/>
      <c r="Y8481" s="35"/>
      <c r="Z8481" s="35"/>
      <c r="AA8481" s="35"/>
      <c r="AB8481" s="35"/>
      <c r="AC8481" s="35"/>
      <c r="AD8481" s="35"/>
      <c r="AE8481" s="35"/>
      <c r="AF8481" s="35"/>
      <c r="AG8481" s="35"/>
      <c r="AH8481" s="35"/>
      <c r="AI8481" s="35"/>
      <c r="AJ8481" s="35"/>
      <c r="AK8481" s="35"/>
      <c r="AL8481" s="35"/>
    </row>
    <row r="8482">
      <c r="A8482" s="457"/>
      <c r="B8482" s="475"/>
      <c r="C8482" s="476"/>
      <c r="D8482" s="477"/>
      <c r="E8482" s="96"/>
      <c r="F8482" s="96"/>
      <c r="G8482" s="325"/>
      <c r="H8482" s="96"/>
      <c r="I8482" s="478"/>
      <c r="J8482" s="96"/>
      <c r="K8482" s="96"/>
      <c r="L8482" s="107"/>
      <c r="M8482" s="107"/>
      <c r="N8482" s="107"/>
      <c r="O8482" s="107"/>
      <c r="P8482" s="109"/>
      <c r="Q8482" s="107"/>
      <c r="R8482" s="107"/>
      <c r="S8482" s="107"/>
      <c r="T8482" s="479"/>
      <c r="U8482" s="296"/>
      <c r="V8482" s="50"/>
      <c r="W8482" s="49"/>
      <c r="X8482" s="49"/>
      <c r="Y8482" s="35"/>
      <c r="Z8482" s="35"/>
      <c r="AA8482" s="35"/>
      <c r="AB8482" s="35"/>
      <c r="AC8482" s="35"/>
      <c r="AD8482" s="35"/>
      <c r="AE8482" s="35"/>
      <c r="AF8482" s="35"/>
      <c r="AG8482" s="35"/>
      <c r="AH8482" s="35"/>
      <c r="AI8482" s="35"/>
      <c r="AJ8482" s="35"/>
      <c r="AK8482" s="35"/>
      <c r="AL8482" s="35"/>
    </row>
    <row r="8483">
      <c r="A8483" s="457"/>
      <c r="B8483" s="475"/>
      <c r="C8483" s="476"/>
      <c r="D8483" s="477"/>
      <c r="E8483" s="96"/>
      <c r="F8483" s="96"/>
      <c r="G8483" s="325"/>
      <c r="H8483" s="96"/>
      <c r="I8483" s="478"/>
      <c r="J8483" s="96"/>
      <c r="K8483" s="96"/>
      <c r="L8483" s="107"/>
      <c r="M8483" s="107"/>
      <c r="N8483" s="107"/>
      <c r="O8483" s="107"/>
      <c r="P8483" s="109"/>
      <c r="Q8483" s="107"/>
      <c r="R8483" s="107"/>
      <c r="S8483" s="107"/>
      <c r="T8483" s="479"/>
      <c r="U8483" s="296"/>
      <c r="V8483" s="50"/>
      <c r="W8483" s="49"/>
      <c r="X8483" s="49"/>
      <c r="Y8483" s="35"/>
      <c r="Z8483" s="35"/>
      <c r="AA8483" s="35"/>
      <c r="AB8483" s="35"/>
      <c r="AC8483" s="35"/>
      <c r="AD8483" s="35"/>
      <c r="AE8483" s="35"/>
      <c r="AF8483" s="35"/>
      <c r="AG8483" s="35"/>
      <c r="AH8483" s="35"/>
      <c r="AI8483" s="35"/>
      <c r="AJ8483" s="35"/>
      <c r="AK8483" s="35"/>
      <c r="AL8483" s="35"/>
    </row>
    <row r="8484">
      <c r="A8484" s="457"/>
      <c r="B8484" s="475"/>
      <c r="C8484" s="476"/>
      <c r="D8484" s="477"/>
      <c r="E8484" s="96"/>
      <c r="F8484" s="96"/>
      <c r="G8484" s="325"/>
      <c r="H8484" s="96"/>
      <c r="I8484" s="478"/>
      <c r="J8484" s="96"/>
      <c r="K8484" s="96"/>
      <c r="L8484" s="107"/>
      <c r="M8484" s="107"/>
      <c r="N8484" s="107"/>
      <c r="O8484" s="107"/>
      <c r="P8484" s="109"/>
      <c r="Q8484" s="107"/>
      <c r="R8484" s="107"/>
      <c r="S8484" s="107"/>
      <c r="T8484" s="479"/>
      <c r="U8484" s="296"/>
      <c r="V8484" s="50"/>
      <c r="W8484" s="49"/>
      <c r="X8484" s="49"/>
      <c r="Y8484" s="35"/>
      <c r="Z8484" s="35"/>
      <c r="AA8484" s="35"/>
      <c r="AB8484" s="35"/>
      <c r="AC8484" s="35"/>
      <c r="AD8484" s="35"/>
      <c r="AE8484" s="35"/>
      <c r="AF8484" s="35"/>
      <c r="AG8484" s="35"/>
      <c r="AH8484" s="35"/>
      <c r="AI8484" s="35"/>
      <c r="AJ8484" s="35"/>
      <c r="AK8484" s="35"/>
      <c r="AL8484" s="35"/>
    </row>
    <row r="8485">
      <c r="A8485" s="457"/>
      <c r="B8485" s="475"/>
      <c r="C8485" s="476"/>
      <c r="D8485" s="477"/>
      <c r="E8485" s="96"/>
      <c r="F8485" s="96"/>
      <c r="G8485" s="325"/>
      <c r="H8485" s="96"/>
      <c r="I8485" s="478"/>
      <c r="J8485" s="96"/>
      <c r="K8485" s="96"/>
      <c r="L8485" s="107"/>
      <c r="M8485" s="107"/>
      <c r="N8485" s="107"/>
      <c r="O8485" s="107"/>
      <c r="P8485" s="109"/>
      <c r="Q8485" s="107"/>
      <c r="R8485" s="107"/>
      <c r="S8485" s="107"/>
      <c r="T8485" s="479"/>
      <c r="U8485" s="296"/>
      <c r="V8485" s="50"/>
      <c r="W8485" s="49"/>
      <c r="X8485" s="49"/>
      <c r="Y8485" s="35"/>
      <c r="Z8485" s="35"/>
      <c r="AA8485" s="35"/>
      <c r="AB8485" s="35"/>
      <c r="AC8485" s="35"/>
      <c r="AD8485" s="35"/>
      <c r="AE8485" s="35"/>
      <c r="AF8485" s="35"/>
      <c r="AG8485" s="35"/>
      <c r="AH8485" s="35"/>
      <c r="AI8485" s="35"/>
      <c r="AJ8485" s="35"/>
      <c r="AK8485" s="35"/>
      <c r="AL8485" s="35"/>
    </row>
    <row r="8486">
      <c r="A8486" s="457"/>
      <c r="B8486" s="475"/>
      <c r="C8486" s="476"/>
      <c r="D8486" s="477"/>
      <c r="E8486" s="96"/>
      <c r="F8486" s="96"/>
      <c r="G8486" s="325"/>
      <c r="H8486" s="96"/>
      <c r="I8486" s="478"/>
      <c r="J8486" s="96"/>
      <c r="K8486" s="96"/>
      <c r="L8486" s="107"/>
      <c r="M8486" s="107"/>
      <c r="N8486" s="107"/>
      <c r="O8486" s="107"/>
      <c r="P8486" s="109"/>
      <c r="Q8486" s="107"/>
      <c r="R8486" s="107"/>
      <c r="S8486" s="107"/>
      <c r="T8486" s="479"/>
      <c r="U8486" s="296"/>
      <c r="V8486" s="50"/>
      <c r="W8486" s="49"/>
      <c r="X8486" s="49"/>
      <c r="Y8486" s="35"/>
      <c r="Z8486" s="35"/>
      <c r="AA8486" s="35"/>
      <c r="AB8486" s="35"/>
      <c r="AC8486" s="35"/>
      <c r="AD8486" s="35"/>
      <c r="AE8486" s="35"/>
      <c r="AF8486" s="35"/>
      <c r="AG8486" s="35"/>
      <c r="AH8486" s="35"/>
      <c r="AI8486" s="35"/>
      <c r="AJ8486" s="35"/>
      <c r="AK8486" s="35"/>
      <c r="AL8486" s="35"/>
    </row>
    <row r="8487">
      <c r="A8487" s="457"/>
      <c r="B8487" s="475"/>
      <c r="C8487" s="476"/>
      <c r="D8487" s="477"/>
      <c r="E8487" s="96"/>
      <c r="F8487" s="96"/>
      <c r="G8487" s="325"/>
      <c r="H8487" s="96"/>
      <c r="I8487" s="478"/>
      <c r="J8487" s="96"/>
      <c r="K8487" s="96"/>
      <c r="L8487" s="107"/>
      <c r="M8487" s="107"/>
      <c r="N8487" s="107"/>
      <c r="O8487" s="107"/>
      <c r="P8487" s="109"/>
      <c r="Q8487" s="107"/>
      <c r="R8487" s="107"/>
      <c r="S8487" s="107"/>
      <c r="T8487" s="479"/>
      <c r="U8487" s="296"/>
      <c r="V8487" s="50"/>
      <c r="W8487" s="49"/>
      <c r="X8487" s="49"/>
      <c r="Y8487" s="35"/>
      <c r="Z8487" s="35"/>
      <c r="AA8487" s="35"/>
      <c r="AB8487" s="35"/>
      <c r="AC8487" s="35"/>
      <c r="AD8487" s="35"/>
      <c r="AE8487" s="35"/>
      <c r="AF8487" s="35"/>
      <c r="AG8487" s="35"/>
      <c r="AH8487" s="35"/>
      <c r="AI8487" s="35"/>
      <c r="AJ8487" s="35"/>
      <c r="AK8487" s="35"/>
      <c r="AL8487" s="35"/>
    </row>
    <row r="8488">
      <c r="A8488" s="457"/>
      <c r="B8488" s="475"/>
      <c r="C8488" s="476"/>
      <c r="D8488" s="477"/>
      <c r="E8488" s="96"/>
      <c r="F8488" s="96"/>
      <c r="G8488" s="325"/>
      <c r="H8488" s="96"/>
      <c r="I8488" s="478"/>
      <c r="J8488" s="96"/>
      <c r="K8488" s="96"/>
      <c r="L8488" s="107"/>
      <c r="M8488" s="107"/>
      <c r="N8488" s="107"/>
      <c r="O8488" s="107"/>
      <c r="P8488" s="109"/>
      <c r="Q8488" s="107"/>
      <c r="R8488" s="107"/>
      <c r="S8488" s="107"/>
      <c r="T8488" s="479"/>
      <c r="U8488" s="296"/>
      <c r="V8488" s="50"/>
      <c r="W8488" s="49"/>
      <c r="X8488" s="49"/>
      <c r="Y8488" s="35"/>
      <c r="Z8488" s="35"/>
      <c r="AA8488" s="35"/>
      <c r="AB8488" s="35"/>
      <c r="AC8488" s="35"/>
      <c r="AD8488" s="35"/>
      <c r="AE8488" s="35"/>
      <c r="AF8488" s="35"/>
      <c r="AG8488" s="35"/>
      <c r="AH8488" s="35"/>
      <c r="AI8488" s="35"/>
      <c r="AJ8488" s="35"/>
      <c r="AK8488" s="35"/>
      <c r="AL8488" s="35"/>
    </row>
    <row r="8489">
      <c r="A8489" s="457"/>
      <c r="B8489" s="475"/>
      <c r="C8489" s="476"/>
      <c r="D8489" s="477"/>
      <c r="E8489" s="96"/>
      <c r="F8489" s="96"/>
      <c r="G8489" s="325"/>
      <c r="H8489" s="96"/>
      <c r="I8489" s="478"/>
      <c r="J8489" s="96"/>
      <c r="K8489" s="96"/>
      <c r="L8489" s="107"/>
      <c r="M8489" s="107"/>
      <c r="N8489" s="107"/>
      <c r="O8489" s="107"/>
      <c r="P8489" s="109"/>
      <c r="Q8489" s="107"/>
      <c r="R8489" s="107"/>
      <c r="S8489" s="107"/>
      <c r="T8489" s="479"/>
      <c r="U8489" s="296"/>
      <c r="V8489" s="50"/>
      <c r="W8489" s="49"/>
      <c r="X8489" s="49"/>
      <c r="Y8489" s="35"/>
      <c r="Z8489" s="35"/>
      <c r="AA8489" s="35"/>
      <c r="AB8489" s="35"/>
      <c r="AC8489" s="35"/>
      <c r="AD8489" s="35"/>
      <c r="AE8489" s="35"/>
      <c r="AF8489" s="35"/>
      <c r="AG8489" s="35"/>
      <c r="AH8489" s="35"/>
      <c r="AI8489" s="35"/>
      <c r="AJ8489" s="35"/>
      <c r="AK8489" s="35"/>
      <c r="AL8489" s="35"/>
    </row>
    <row r="8490">
      <c r="A8490" s="457"/>
      <c r="B8490" s="475"/>
      <c r="C8490" s="476"/>
      <c r="D8490" s="477"/>
      <c r="E8490" s="96"/>
      <c r="F8490" s="96"/>
      <c r="G8490" s="325"/>
      <c r="H8490" s="96"/>
      <c r="I8490" s="478"/>
      <c r="J8490" s="96"/>
      <c r="K8490" s="96"/>
      <c r="L8490" s="107"/>
      <c r="M8490" s="107"/>
      <c r="N8490" s="107"/>
      <c r="O8490" s="107"/>
      <c r="P8490" s="109"/>
      <c r="Q8490" s="107"/>
      <c r="R8490" s="107"/>
      <c r="S8490" s="107"/>
      <c r="T8490" s="479"/>
      <c r="U8490" s="296"/>
      <c r="V8490" s="50"/>
      <c r="W8490" s="49"/>
      <c r="X8490" s="49"/>
      <c r="Y8490" s="35"/>
      <c r="Z8490" s="35"/>
      <c r="AA8490" s="35"/>
      <c r="AB8490" s="35"/>
      <c r="AC8490" s="35"/>
      <c r="AD8490" s="35"/>
      <c r="AE8490" s="35"/>
      <c r="AF8490" s="35"/>
      <c r="AG8490" s="35"/>
      <c r="AH8490" s="35"/>
      <c r="AI8490" s="35"/>
      <c r="AJ8490" s="35"/>
      <c r="AK8490" s="35"/>
      <c r="AL8490" s="35"/>
    </row>
    <row r="8491">
      <c r="A8491" s="457"/>
      <c r="B8491" s="475"/>
      <c r="C8491" s="476"/>
      <c r="D8491" s="477"/>
      <c r="E8491" s="96"/>
      <c r="F8491" s="96"/>
      <c r="G8491" s="325"/>
      <c r="H8491" s="96"/>
      <c r="I8491" s="478"/>
      <c r="J8491" s="96"/>
      <c r="K8491" s="96"/>
      <c r="L8491" s="107"/>
      <c r="M8491" s="107"/>
      <c r="N8491" s="107"/>
      <c r="O8491" s="107"/>
      <c r="P8491" s="109"/>
      <c r="Q8491" s="107"/>
      <c r="R8491" s="107"/>
      <c r="S8491" s="107"/>
      <c r="T8491" s="479"/>
      <c r="U8491" s="296"/>
      <c r="V8491" s="50"/>
      <c r="W8491" s="49"/>
      <c r="X8491" s="49"/>
      <c r="Y8491" s="35"/>
      <c r="Z8491" s="35"/>
      <c r="AA8491" s="35"/>
      <c r="AB8491" s="35"/>
      <c r="AC8491" s="35"/>
      <c r="AD8491" s="35"/>
      <c r="AE8491" s="35"/>
      <c r="AF8491" s="35"/>
      <c r="AG8491" s="35"/>
      <c r="AH8491" s="35"/>
      <c r="AI8491" s="35"/>
      <c r="AJ8491" s="35"/>
      <c r="AK8491" s="35"/>
      <c r="AL8491" s="35"/>
    </row>
    <row r="8492">
      <c r="A8492" s="457"/>
      <c r="B8492" s="475"/>
      <c r="C8492" s="476"/>
      <c r="D8492" s="477"/>
      <c r="E8492" s="96"/>
      <c r="F8492" s="96"/>
      <c r="G8492" s="325"/>
      <c r="H8492" s="96"/>
      <c r="I8492" s="478"/>
      <c r="J8492" s="96"/>
      <c r="K8492" s="96"/>
      <c r="L8492" s="107"/>
      <c r="M8492" s="107"/>
      <c r="N8492" s="107"/>
      <c r="O8492" s="107"/>
      <c r="P8492" s="109"/>
      <c r="Q8492" s="107"/>
      <c r="R8492" s="107"/>
      <c r="S8492" s="107"/>
      <c r="T8492" s="479"/>
      <c r="U8492" s="296"/>
      <c r="V8492" s="50"/>
      <c r="W8492" s="49"/>
      <c r="X8492" s="49"/>
      <c r="Y8492" s="35"/>
      <c r="Z8492" s="35"/>
      <c r="AA8492" s="35"/>
      <c r="AB8492" s="35"/>
      <c r="AC8492" s="35"/>
      <c r="AD8492" s="35"/>
      <c r="AE8492" s="35"/>
      <c r="AF8492" s="35"/>
      <c r="AG8492" s="35"/>
      <c r="AH8492" s="35"/>
      <c r="AI8492" s="35"/>
      <c r="AJ8492" s="35"/>
      <c r="AK8492" s="35"/>
      <c r="AL8492" s="35"/>
    </row>
    <row r="8493">
      <c r="A8493" s="457"/>
      <c r="B8493" s="475"/>
      <c r="C8493" s="476"/>
      <c r="D8493" s="477"/>
      <c r="E8493" s="96"/>
      <c r="F8493" s="96"/>
      <c r="G8493" s="325"/>
      <c r="H8493" s="96"/>
      <c r="I8493" s="478"/>
      <c r="J8493" s="96"/>
      <c r="K8493" s="96"/>
      <c r="L8493" s="107"/>
      <c r="M8493" s="107"/>
      <c r="N8493" s="107"/>
      <c r="O8493" s="107"/>
      <c r="P8493" s="109"/>
      <c r="Q8493" s="107"/>
      <c r="R8493" s="107"/>
      <c r="S8493" s="107"/>
      <c r="T8493" s="479"/>
      <c r="U8493" s="296"/>
      <c r="V8493" s="50"/>
      <c r="W8493" s="49"/>
      <c r="X8493" s="49"/>
      <c r="Y8493" s="35"/>
      <c r="Z8493" s="35"/>
      <c r="AA8493" s="35"/>
      <c r="AB8493" s="35"/>
      <c r="AC8493" s="35"/>
      <c r="AD8493" s="35"/>
      <c r="AE8493" s="35"/>
      <c r="AF8493" s="35"/>
      <c r="AG8493" s="35"/>
      <c r="AH8493" s="35"/>
      <c r="AI8493" s="35"/>
      <c r="AJ8493" s="35"/>
      <c r="AK8493" s="35"/>
      <c r="AL8493" s="35"/>
    </row>
    <row r="8494">
      <c r="A8494" s="457"/>
      <c r="B8494" s="475"/>
      <c r="C8494" s="476"/>
      <c r="D8494" s="477"/>
      <c r="E8494" s="96"/>
      <c r="F8494" s="96"/>
      <c r="G8494" s="325"/>
      <c r="H8494" s="96"/>
      <c r="I8494" s="478"/>
      <c r="J8494" s="96"/>
      <c r="K8494" s="96"/>
      <c r="L8494" s="107"/>
      <c r="M8494" s="107"/>
      <c r="N8494" s="107"/>
      <c r="O8494" s="107"/>
      <c r="P8494" s="109"/>
      <c r="Q8494" s="107"/>
      <c r="R8494" s="107"/>
      <c r="S8494" s="107"/>
      <c r="T8494" s="479"/>
      <c r="U8494" s="296"/>
      <c r="V8494" s="50"/>
      <c r="W8494" s="49"/>
      <c r="X8494" s="49"/>
      <c r="Y8494" s="35"/>
      <c r="Z8494" s="35"/>
      <c r="AA8494" s="35"/>
      <c r="AB8494" s="35"/>
      <c r="AC8494" s="35"/>
      <c r="AD8494" s="35"/>
      <c r="AE8494" s="35"/>
      <c r="AF8494" s="35"/>
      <c r="AG8494" s="35"/>
      <c r="AH8494" s="35"/>
      <c r="AI8494" s="35"/>
      <c r="AJ8494" s="35"/>
      <c r="AK8494" s="35"/>
      <c r="AL8494" s="35"/>
    </row>
    <row r="8495">
      <c r="A8495" s="457"/>
      <c r="B8495" s="475"/>
      <c r="C8495" s="476"/>
      <c r="D8495" s="477"/>
      <c r="E8495" s="96"/>
      <c r="F8495" s="96"/>
      <c r="G8495" s="325"/>
      <c r="H8495" s="96"/>
      <c r="I8495" s="478"/>
      <c r="J8495" s="96"/>
      <c r="K8495" s="96"/>
      <c r="L8495" s="107"/>
      <c r="M8495" s="107"/>
      <c r="N8495" s="107"/>
      <c r="O8495" s="107"/>
      <c r="P8495" s="109"/>
      <c r="Q8495" s="107"/>
      <c r="R8495" s="107"/>
      <c r="S8495" s="107"/>
      <c r="T8495" s="479"/>
      <c r="U8495" s="296"/>
      <c r="V8495" s="50"/>
      <c r="W8495" s="49"/>
      <c r="X8495" s="49"/>
      <c r="Y8495" s="35"/>
      <c r="Z8495" s="35"/>
      <c r="AA8495" s="35"/>
      <c r="AB8495" s="35"/>
      <c r="AC8495" s="35"/>
      <c r="AD8495" s="35"/>
      <c r="AE8495" s="35"/>
      <c r="AF8495" s="35"/>
      <c r="AG8495" s="35"/>
      <c r="AH8495" s="35"/>
      <c r="AI8495" s="35"/>
      <c r="AJ8495" s="35"/>
      <c r="AK8495" s="35"/>
      <c r="AL8495" s="35"/>
    </row>
    <row r="8496">
      <c r="A8496" s="457"/>
      <c r="B8496" s="475"/>
      <c r="C8496" s="476"/>
      <c r="D8496" s="477"/>
      <c r="E8496" s="96"/>
      <c r="F8496" s="96"/>
      <c r="G8496" s="325"/>
      <c r="H8496" s="96"/>
      <c r="I8496" s="478"/>
      <c r="J8496" s="96"/>
      <c r="K8496" s="96"/>
      <c r="L8496" s="107"/>
      <c r="M8496" s="107"/>
      <c r="N8496" s="107"/>
      <c r="O8496" s="107"/>
      <c r="P8496" s="109"/>
      <c r="Q8496" s="107"/>
      <c r="R8496" s="107"/>
      <c r="S8496" s="107"/>
      <c r="T8496" s="479"/>
      <c r="U8496" s="296"/>
      <c r="V8496" s="50"/>
      <c r="W8496" s="49"/>
      <c r="X8496" s="49"/>
      <c r="Y8496" s="35"/>
      <c r="Z8496" s="35"/>
      <c r="AA8496" s="35"/>
      <c r="AB8496" s="35"/>
      <c r="AC8496" s="35"/>
      <c r="AD8496" s="35"/>
      <c r="AE8496" s="35"/>
      <c r="AF8496" s="35"/>
      <c r="AG8496" s="35"/>
      <c r="AH8496" s="35"/>
      <c r="AI8496" s="35"/>
      <c r="AJ8496" s="35"/>
      <c r="AK8496" s="35"/>
      <c r="AL8496" s="35"/>
    </row>
    <row r="8497">
      <c r="A8497" s="457"/>
      <c r="B8497" s="475"/>
      <c r="C8497" s="476"/>
      <c r="D8497" s="477"/>
      <c r="E8497" s="96"/>
      <c r="F8497" s="96"/>
      <c r="G8497" s="325"/>
      <c r="H8497" s="96"/>
      <c r="I8497" s="478"/>
      <c r="J8497" s="96"/>
      <c r="K8497" s="96"/>
      <c r="L8497" s="107"/>
      <c r="M8497" s="107"/>
      <c r="N8497" s="107"/>
      <c r="O8497" s="107"/>
      <c r="P8497" s="109"/>
      <c r="Q8497" s="107"/>
      <c r="R8497" s="107"/>
      <c r="S8497" s="107"/>
      <c r="T8497" s="479"/>
      <c r="U8497" s="296"/>
      <c r="V8497" s="50"/>
      <c r="W8497" s="49"/>
      <c r="X8497" s="49"/>
      <c r="Y8497" s="35"/>
      <c r="Z8497" s="35"/>
      <c r="AA8497" s="35"/>
      <c r="AB8497" s="35"/>
      <c r="AC8497" s="35"/>
      <c r="AD8497" s="35"/>
      <c r="AE8497" s="35"/>
      <c r="AF8497" s="35"/>
      <c r="AG8497" s="35"/>
      <c r="AH8497" s="35"/>
      <c r="AI8497" s="35"/>
      <c r="AJ8497" s="35"/>
      <c r="AK8497" s="35"/>
      <c r="AL8497" s="35"/>
    </row>
    <row r="8498">
      <c r="A8498" s="457"/>
      <c r="B8498" s="475"/>
      <c r="C8498" s="476"/>
      <c r="D8498" s="477"/>
      <c r="E8498" s="96"/>
      <c r="F8498" s="96"/>
      <c r="G8498" s="325"/>
      <c r="H8498" s="96"/>
      <c r="I8498" s="478"/>
      <c r="J8498" s="96"/>
      <c r="K8498" s="96"/>
      <c r="L8498" s="107"/>
      <c r="M8498" s="107"/>
      <c r="N8498" s="107"/>
      <c r="O8498" s="107"/>
      <c r="P8498" s="109"/>
      <c r="Q8498" s="107"/>
      <c r="R8498" s="107"/>
      <c r="S8498" s="107"/>
      <c r="T8498" s="479"/>
      <c r="U8498" s="296"/>
      <c r="V8498" s="50"/>
      <c r="W8498" s="49"/>
      <c r="X8498" s="49"/>
      <c r="Y8498" s="35"/>
      <c r="Z8498" s="35"/>
      <c r="AA8498" s="35"/>
      <c r="AB8498" s="35"/>
      <c r="AC8498" s="35"/>
      <c r="AD8498" s="35"/>
      <c r="AE8498" s="35"/>
      <c r="AF8498" s="35"/>
      <c r="AG8498" s="35"/>
      <c r="AH8498" s="35"/>
      <c r="AI8498" s="35"/>
      <c r="AJ8498" s="35"/>
      <c r="AK8498" s="35"/>
      <c r="AL8498" s="35"/>
    </row>
    <row r="8499">
      <c r="A8499" s="457"/>
      <c r="B8499" s="475"/>
      <c r="C8499" s="476"/>
      <c r="D8499" s="477"/>
      <c r="E8499" s="96"/>
      <c r="F8499" s="96"/>
      <c r="G8499" s="325"/>
      <c r="H8499" s="96"/>
      <c r="I8499" s="478"/>
      <c r="J8499" s="96"/>
      <c r="K8499" s="96"/>
      <c r="L8499" s="107"/>
      <c r="M8499" s="107"/>
      <c r="N8499" s="107"/>
      <c r="O8499" s="107"/>
      <c r="P8499" s="109"/>
      <c r="Q8499" s="107"/>
      <c r="R8499" s="107"/>
      <c r="S8499" s="107"/>
      <c r="T8499" s="479"/>
      <c r="U8499" s="296"/>
      <c r="V8499" s="50"/>
      <c r="W8499" s="49"/>
      <c r="X8499" s="49"/>
      <c r="Y8499" s="35"/>
      <c r="Z8499" s="35"/>
      <c r="AA8499" s="35"/>
      <c r="AB8499" s="35"/>
      <c r="AC8499" s="35"/>
      <c r="AD8499" s="35"/>
      <c r="AE8499" s="35"/>
      <c r="AF8499" s="35"/>
      <c r="AG8499" s="35"/>
      <c r="AH8499" s="35"/>
      <c r="AI8499" s="35"/>
      <c r="AJ8499" s="35"/>
      <c r="AK8499" s="35"/>
      <c r="AL8499" s="35"/>
    </row>
    <row r="8500">
      <c r="A8500" s="457"/>
      <c r="B8500" s="475"/>
      <c r="C8500" s="476"/>
      <c r="D8500" s="477"/>
      <c r="E8500" s="96"/>
      <c r="F8500" s="96"/>
      <c r="G8500" s="325"/>
      <c r="H8500" s="96"/>
      <c r="I8500" s="478"/>
      <c r="J8500" s="96"/>
      <c r="K8500" s="96"/>
      <c r="L8500" s="107"/>
      <c r="M8500" s="107"/>
      <c r="N8500" s="107"/>
      <c r="O8500" s="107"/>
      <c r="P8500" s="109"/>
      <c r="Q8500" s="107"/>
      <c r="R8500" s="107"/>
      <c r="S8500" s="107"/>
      <c r="T8500" s="479"/>
      <c r="U8500" s="296"/>
      <c r="V8500" s="50"/>
      <c r="W8500" s="49"/>
      <c r="X8500" s="49"/>
      <c r="Y8500" s="35"/>
      <c r="Z8500" s="35"/>
      <c r="AA8500" s="35"/>
      <c r="AB8500" s="35"/>
      <c r="AC8500" s="35"/>
      <c r="AD8500" s="35"/>
      <c r="AE8500" s="35"/>
      <c r="AF8500" s="35"/>
      <c r="AG8500" s="35"/>
      <c r="AH8500" s="35"/>
      <c r="AI8500" s="35"/>
      <c r="AJ8500" s="35"/>
      <c r="AK8500" s="35"/>
      <c r="AL8500" s="35"/>
    </row>
    <row r="8501">
      <c r="A8501" s="457"/>
      <c r="B8501" s="475"/>
      <c r="C8501" s="476"/>
      <c r="D8501" s="477"/>
      <c r="E8501" s="96"/>
      <c r="F8501" s="96"/>
      <c r="G8501" s="325"/>
      <c r="H8501" s="96"/>
      <c r="I8501" s="478"/>
      <c r="J8501" s="96"/>
      <c r="K8501" s="96"/>
      <c r="L8501" s="107"/>
      <c r="M8501" s="107"/>
      <c r="N8501" s="107"/>
      <c r="O8501" s="107"/>
      <c r="P8501" s="109"/>
      <c r="Q8501" s="107"/>
      <c r="R8501" s="107"/>
      <c r="S8501" s="107"/>
      <c r="T8501" s="479"/>
      <c r="U8501" s="296"/>
      <c r="V8501" s="50"/>
      <c r="W8501" s="49"/>
      <c r="X8501" s="49"/>
      <c r="Y8501" s="35"/>
      <c r="Z8501" s="35"/>
      <c r="AA8501" s="35"/>
      <c r="AB8501" s="35"/>
      <c r="AC8501" s="35"/>
      <c r="AD8501" s="35"/>
      <c r="AE8501" s="35"/>
      <c r="AF8501" s="35"/>
      <c r="AG8501" s="35"/>
      <c r="AH8501" s="35"/>
      <c r="AI8501" s="35"/>
      <c r="AJ8501" s="35"/>
      <c r="AK8501" s="35"/>
      <c r="AL8501" s="35"/>
    </row>
    <row r="8502">
      <c r="A8502" s="457"/>
      <c r="B8502" s="475"/>
      <c r="C8502" s="476"/>
      <c r="D8502" s="477"/>
      <c r="E8502" s="96"/>
      <c r="F8502" s="96"/>
      <c r="G8502" s="325"/>
      <c r="H8502" s="96"/>
      <c r="I8502" s="478"/>
      <c r="J8502" s="96"/>
      <c r="K8502" s="96"/>
      <c r="L8502" s="107"/>
      <c r="M8502" s="107"/>
      <c r="N8502" s="107"/>
      <c r="O8502" s="107"/>
      <c r="P8502" s="109"/>
      <c r="Q8502" s="107"/>
      <c r="R8502" s="107"/>
      <c r="S8502" s="107"/>
      <c r="T8502" s="479"/>
      <c r="U8502" s="296"/>
      <c r="V8502" s="50"/>
      <c r="W8502" s="49"/>
      <c r="X8502" s="49"/>
      <c r="Y8502" s="35"/>
      <c r="Z8502" s="35"/>
      <c r="AA8502" s="35"/>
      <c r="AB8502" s="35"/>
      <c r="AC8502" s="35"/>
      <c r="AD8502" s="35"/>
      <c r="AE8502" s="35"/>
      <c r="AF8502" s="35"/>
      <c r="AG8502" s="35"/>
      <c r="AH8502" s="35"/>
      <c r="AI8502" s="35"/>
      <c r="AJ8502" s="35"/>
      <c r="AK8502" s="35"/>
      <c r="AL8502" s="35"/>
    </row>
    <row r="8503">
      <c r="A8503" s="457"/>
      <c r="B8503" s="475"/>
      <c r="C8503" s="476"/>
      <c r="D8503" s="477"/>
      <c r="E8503" s="96"/>
      <c r="F8503" s="96"/>
      <c r="G8503" s="325"/>
      <c r="H8503" s="96"/>
      <c r="I8503" s="478"/>
      <c r="J8503" s="96"/>
      <c r="K8503" s="96"/>
      <c r="L8503" s="107"/>
      <c r="M8503" s="107"/>
      <c r="N8503" s="107"/>
      <c r="O8503" s="107"/>
      <c r="P8503" s="109"/>
      <c r="Q8503" s="107"/>
      <c r="R8503" s="107"/>
      <c r="S8503" s="107"/>
      <c r="T8503" s="479"/>
      <c r="U8503" s="296"/>
      <c r="V8503" s="50"/>
      <c r="W8503" s="49"/>
      <c r="X8503" s="49"/>
      <c r="Y8503" s="35"/>
      <c r="Z8503" s="35"/>
      <c r="AA8503" s="35"/>
      <c r="AB8503" s="35"/>
      <c r="AC8503" s="35"/>
      <c r="AD8503" s="35"/>
      <c r="AE8503" s="35"/>
      <c r="AF8503" s="35"/>
      <c r="AG8503" s="35"/>
      <c r="AH8503" s="35"/>
      <c r="AI8503" s="35"/>
      <c r="AJ8503" s="35"/>
      <c r="AK8503" s="35"/>
      <c r="AL8503" s="35"/>
    </row>
    <row r="8504">
      <c r="A8504" s="457"/>
      <c r="B8504" s="475"/>
      <c r="C8504" s="476"/>
      <c r="D8504" s="477"/>
      <c r="E8504" s="96"/>
      <c r="F8504" s="96"/>
      <c r="G8504" s="325"/>
      <c r="H8504" s="96"/>
      <c r="I8504" s="478"/>
      <c r="J8504" s="96"/>
      <c r="K8504" s="96"/>
      <c r="L8504" s="107"/>
      <c r="M8504" s="107"/>
      <c r="N8504" s="107"/>
      <c r="O8504" s="107"/>
      <c r="P8504" s="109"/>
      <c r="Q8504" s="107"/>
      <c r="R8504" s="107"/>
      <c r="S8504" s="107"/>
      <c r="T8504" s="479"/>
      <c r="U8504" s="296"/>
      <c r="V8504" s="50"/>
      <c r="W8504" s="49"/>
      <c r="X8504" s="49"/>
      <c r="Y8504" s="35"/>
      <c r="Z8504" s="35"/>
      <c r="AA8504" s="35"/>
      <c r="AB8504" s="35"/>
      <c r="AC8504" s="35"/>
      <c r="AD8504" s="35"/>
      <c r="AE8504" s="35"/>
      <c r="AF8504" s="35"/>
      <c r="AG8504" s="35"/>
      <c r="AH8504" s="35"/>
      <c r="AI8504" s="35"/>
      <c r="AJ8504" s="35"/>
      <c r="AK8504" s="35"/>
      <c r="AL8504" s="35"/>
    </row>
    <row r="8505">
      <c r="A8505" s="457"/>
      <c r="B8505" s="475"/>
      <c r="C8505" s="476"/>
      <c r="D8505" s="477"/>
      <c r="E8505" s="96"/>
      <c r="F8505" s="96"/>
      <c r="G8505" s="325"/>
      <c r="H8505" s="96"/>
      <c r="I8505" s="478"/>
      <c r="J8505" s="96"/>
      <c r="K8505" s="96"/>
      <c r="L8505" s="107"/>
      <c r="M8505" s="107"/>
      <c r="N8505" s="107"/>
      <c r="O8505" s="107"/>
      <c r="P8505" s="109"/>
      <c r="Q8505" s="107"/>
      <c r="R8505" s="107"/>
      <c r="S8505" s="107"/>
      <c r="T8505" s="479"/>
      <c r="U8505" s="296"/>
      <c r="V8505" s="50"/>
      <c r="W8505" s="49"/>
      <c r="X8505" s="49"/>
      <c r="Y8505" s="35"/>
      <c r="Z8505" s="35"/>
      <c r="AA8505" s="35"/>
      <c r="AB8505" s="35"/>
      <c r="AC8505" s="35"/>
      <c r="AD8505" s="35"/>
      <c r="AE8505" s="35"/>
      <c r="AF8505" s="35"/>
      <c r="AG8505" s="35"/>
      <c r="AH8505" s="35"/>
      <c r="AI8505" s="35"/>
      <c r="AJ8505" s="35"/>
      <c r="AK8505" s="35"/>
      <c r="AL8505" s="35"/>
    </row>
    <row r="8506">
      <c r="A8506" s="457"/>
      <c r="B8506" s="475"/>
      <c r="C8506" s="476"/>
      <c r="D8506" s="477"/>
      <c r="E8506" s="96"/>
      <c r="F8506" s="96"/>
      <c r="G8506" s="325"/>
      <c r="H8506" s="96"/>
      <c r="I8506" s="478"/>
      <c r="J8506" s="96"/>
      <c r="K8506" s="96"/>
      <c r="L8506" s="107"/>
      <c r="M8506" s="107"/>
      <c r="N8506" s="107"/>
      <c r="O8506" s="107"/>
      <c r="P8506" s="109"/>
      <c r="Q8506" s="107"/>
      <c r="R8506" s="107"/>
      <c r="S8506" s="107"/>
      <c r="T8506" s="479"/>
      <c r="U8506" s="296"/>
      <c r="V8506" s="50"/>
      <c r="W8506" s="49"/>
      <c r="X8506" s="49"/>
      <c r="Y8506" s="35"/>
      <c r="Z8506" s="35"/>
      <c r="AA8506" s="35"/>
      <c r="AB8506" s="35"/>
      <c r="AC8506" s="35"/>
      <c r="AD8506" s="35"/>
      <c r="AE8506" s="35"/>
      <c r="AF8506" s="35"/>
      <c r="AG8506" s="35"/>
      <c r="AH8506" s="35"/>
      <c r="AI8506" s="35"/>
      <c r="AJ8506" s="35"/>
      <c r="AK8506" s="35"/>
      <c r="AL8506" s="35"/>
    </row>
    <row r="8507">
      <c r="A8507" s="457"/>
      <c r="B8507" s="475"/>
      <c r="C8507" s="476"/>
      <c r="D8507" s="477"/>
      <c r="E8507" s="96"/>
      <c r="F8507" s="96"/>
      <c r="G8507" s="325"/>
      <c r="H8507" s="96"/>
      <c r="I8507" s="478"/>
      <c r="J8507" s="96"/>
      <c r="K8507" s="96"/>
      <c r="L8507" s="107"/>
      <c r="M8507" s="107"/>
      <c r="N8507" s="107"/>
      <c r="O8507" s="107"/>
      <c r="P8507" s="109"/>
      <c r="Q8507" s="107"/>
      <c r="R8507" s="107"/>
      <c r="S8507" s="107"/>
      <c r="T8507" s="479"/>
      <c r="U8507" s="296"/>
      <c r="V8507" s="50"/>
      <c r="W8507" s="49"/>
      <c r="X8507" s="49"/>
      <c r="Y8507" s="35"/>
      <c r="Z8507" s="35"/>
      <c r="AA8507" s="35"/>
      <c r="AB8507" s="35"/>
      <c r="AC8507" s="35"/>
      <c r="AD8507" s="35"/>
      <c r="AE8507" s="35"/>
      <c r="AF8507" s="35"/>
      <c r="AG8507" s="35"/>
      <c r="AH8507" s="35"/>
      <c r="AI8507" s="35"/>
      <c r="AJ8507" s="35"/>
      <c r="AK8507" s="35"/>
      <c r="AL8507" s="35"/>
    </row>
    <row r="8508">
      <c r="A8508" s="457"/>
      <c r="B8508" s="475"/>
      <c r="C8508" s="476"/>
      <c r="D8508" s="477"/>
      <c r="E8508" s="96"/>
      <c r="F8508" s="96"/>
      <c r="G8508" s="325"/>
      <c r="H8508" s="96"/>
      <c r="I8508" s="478"/>
      <c r="J8508" s="96"/>
      <c r="K8508" s="96"/>
      <c r="L8508" s="107"/>
      <c r="M8508" s="107"/>
      <c r="N8508" s="107"/>
      <c r="O8508" s="107"/>
      <c r="P8508" s="109"/>
      <c r="Q8508" s="107"/>
      <c r="R8508" s="107"/>
      <c r="S8508" s="107"/>
      <c r="T8508" s="479"/>
      <c r="U8508" s="296"/>
      <c r="V8508" s="50"/>
      <c r="W8508" s="49"/>
      <c r="X8508" s="49"/>
      <c r="Y8508" s="35"/>
      <c r="Z8508" s="35"/>
      <c r="AA8508" s="35"/>
      <c r="AB8508" s="35"/>
      <c r="AC8508" s="35"/>
      <c r="AD8508" s="35"/>
      <c r="AE8508" s="35"/>
      <c r="AF8508" s="35"/>
      <c r="AG8508" s="35"/>
      <c r="AH8508" s="35"/>
      <c r="AI8508" s="35"/>
      <c r="AJ8508" s="35"/>
      <c r="AK8508" s="35"/>
      <c r="AL8508" s="35"/>
    </row>
    <row r="8509">
      <c r="A8509" s="457"/>
      <c r="B8509" s="475"/>
      <c r="C8509" s="476"/>
      <c r="D8509" s="477"/>
      <c r="E8509" s="96"/>
      <c r="F8509" s="96"/>
      <c r="G8509" s="325"/>
      <c r="H8509" s="96"/>
      <c r="I8509" s="478"/>
      <c r="J8509" s="96"/>
      <c r="K8509" s="96"/>
      <c r="L8509" s="107"/>
      <c r="M8509" s="107"/>
      <c r="N8509" s="107"/>
      <c r="O8509" s="107"/>
      <c r="P8509" s="109"/>
      <c r="Q8509" s="107"/>
      <c r="R8509" s="107"/>
      <c r="S8509" s="107"/>
      <c r="T8509" s="479"/>
      <c r="U8509" s="296"/>
      <c r="V8509" s="50"/>
      <c r="W8509" s="49"/>
      <c r="X8509" s="49"/>
      <c r="Y8509" s="35"/>
      <c r="Z8509" s="35"/>
      <c r="AA8509" s="35"/>
      <c r="AB8509" s="35"/>
      <c r="AC8509" s="35"/>
      <c r="AD8509" s="35"/>
      <c r="AE8509" s="35"/>
      <c r="AF8509" s="35"/>
      <c r="AG8509" s="35"/>
      <c r="AH8509" s="35"/>
      <c r="AI8509" s="35"/>
      <c r="AJ8509" s="35"/>
      <c r="AK8509" s="35"/>
      <c r="AL8509" s="35"/>
    </row>
    <row r="8510">
      <c r="A8510" s="457"/>
      <c r="B8510" s="475"/>
      <c r="C8510" s="476"/>
      <c r="D8510" s="477"/>
      <c r="E8510" s="96"/>
      <c r="F8510" s="96"/>
      <c r="G8510" s="325"/>
      <c r="H8510" s="96"/>
      <c r="I8510" s="478"/>
      <c r="J8510" s="96"/>
      <c r="K8510" s="96"/>
      <c r="L8510" s="107"/>
      <c r="M8510" s="107"/>
      <c r="N8510" s="107"/>
      <c r="O8510" s="107"/>
      <c r="P8510" s="109"/>
      <c r="Q8510" s="107"/>
      <c r="R8510" s="107"/>
      <c r="S8510" s="107"/>
      <c r="T8510" s="479"/>
      <c r="U8510" s="296"/>
      <c r="V8510" s="50"/>
      <c r="W8510" s="49"/>
      <c r="X8510" s="49"/>
      <c r="Y8510" s="35"/>
      <c r="Z8510" s="35"/>
      <c r="AA8510" s="35"/>
      <c r="AB8510" s="35"/>
      <c r="AC8510" s="35"/>
      <c r="AD8510" s="35"/>
      <c r="AE8510" s="35"/>
      <c r="AF8510" s="35"/>
      <c r="AG8510" s="35"/>
      <c r="AH8510" s="35"/>
      <c r="AI8510" s="35"/>
      <c r="AJ8510" s="35"/>
      <c r="AK8510" s="35"/>
      <c r="AL8510" s="35"/>
    </row>
    <row r="8511">
      <c r="A8511" s="457"/>
      <c r="B8511" s="475"/>
      <c r="C8511" s="476"/>
      <c r="D8511" s="477"/>
      <c r="E8511" s="96"/>
      <c r="F8511" s="96"/>
      <c r="G8511" s="325"/>
      <c r="H8511" s="96"/>
      <c r="I8511" s="478"/>
      <c r="J8511" s="96"/>
      <c r="K8511" s="96"/>
      <c r="L8511" s="107"/>
      <c r="M8511" s="107"/>
      <c r="N8511" s="107"/>
      <c r="O8511" s="107"/>
      <c r="P8511" s="109"/>
      <c r="Q8511" s="107"/>
      <c r="R8511" s="107"/>
      <c r="S8511" s="107"/>
      <c r="T8511" s="479"/>
      <c r="U8511" s="296"/>
      <c r="V8511" s="50"/>
      <c r="W8511" s="49"/>
      <c r="X8511" s="49"/>
      <c r="Y8511" s="35"/>
      <c r="Z8511" s="35"/>
      <c r="AA8511" s="35"/>
      <c r="AB8511" s="35"/>
      <c r="AC8511" s="35"/>
      <c r="AD8511" s="35"/>
      <c r="AE8511" s="35"/>
      <c r="AF8511" s="35"/>
      <c r="AG8511" s="35"/>
      <c r="AH8511" s="35"/>
      <c r="AI8511" s="35"/>
      <c r="AJ8511" s="35"/>
      <c r="AK8511" s="35"/>
      <c r="AL8511" s="35"/>
    </row>
    <row r="8512">
      <c r="A8512" s="457"/>
      <c r="B8512" s="475"/>
      <c r="C8512" s="476"/>
      <c r="D8512" s="477"/>
      <c r="E8512" s="96"/>
      <c r="F8512" s="96"/>
      <c r="G8512" s="325"/>
      <c r="H8512" s="96"/>
      <c r="I8512" s="478"/>
      <c r="J8512" s="96"/>
      <c r="K8512" s="96"/>
      <c r="L8512" s="107"/>
      <c r="M8512" s="107"/>
      <c r="N8512" s="107"/>
      <c r="O8512" s="107"/>
      <c r="P8512" s="109"/>
      <c r="Q8512" s="107"/>
      <c r="R8512" s="107"/>
      <c r="S8512" s="107"/>
      <c r="T8512" s="479"/>
      <c r="U8512" s="296"/>
      <c r="V8512" s="50"/>
      <c r="W8512" s="49"/>
      <c r="X8512" s="49"/>
      <c r="Y8512" s="35"/>
      <c r="Z8512" s="35"/>
      <c r="AA8512" s="35"/>
      <c r="AB8512" s="35"/>
      <c r="AC8512" s="35"/>
      <c r="AD8512" s="35"/>
      <c r="AE8512" s="35"/>
      <c r="AF8512" s="35"/>
      <c r="AG8512" s="35"/>
      <c r="AH8512" s="35"/>
      <c r="AI8512" s="35"/>
      <c r="AJ8512" s="35"/>
      <c r="AK8512" s="35"/>
      <c r="AL8512" s="35"/>
    </row>
    <row r="8513">
      <c r="A8513" s="457"/>
      <c r="B8513" s="475"/>
      <c r="C8513" s="476"/>
      <c r="D8513" s="477"/>
      <c r="E8513" s="96"/>
      <c r="F8513" s="96"/>
      <c r="G8513" s="325"/>
      <c r="H8513" s="96"/>
      <c r="I8513" s="478"/>
      <c r="J8513" s="96"/>
      <c r="K8513" s="96"/>
      <c r="L8513" s="107"/>
      <c r="M8513" s="107"/>
      <c r="N8513" s="107"/>
      <c r="O8513" s="107"/>
      <c r="P8513" s="109"/>
      <c r="Q8513" s="107"/>
      <c r="R8513" s="107"/>
      <c r="S8513" s="107"/>
      <c r="T8513" s="479"/>
      <c r="U8513" s="296"/>
      <c r="V8513" s="50"/>
      <c r="W8513" s="49"/>
      <c r="X8513" s="49"/>
      <c r="Y8513" s="35"/>
      <c r="Z8513" s="35"/>
      <c r="AA8513" s="35"/>
      <c r="AB8513" s="35"/>
      <c r="AC8513" s="35"/>
      <c r="AD8513" s="35"/>
      <c r="AE8513" s="35"/>
      <c r="AF8513" s="35"/>
      <c r="AG8513" s="35"/>
      <c r="AH8513" s="35"/>
      <c r="AI8513" s="35"/>
      <c r="AJ8513" s="35"/>
      <c r="AK8513" s="35"/>
      <c r="AL8513" s="35"/>
    </row>
    <row r="8514">
      <c r="A8514" s="457"/>
      <c r="B8514" s="475"/>
      <c r="C8514" s="476"/>
      <c r="D8514" s="477"/>
      <c r="E8514" s="96"/>
      <c r="F8514" s="96"/>
      <c r="G8514" s="325"/>
      <c r="H8514" s="96"/>
      <c r="I8514" s="478"/>
      <c r="J8514" s="96"/>
      <c r="K8514" s="96"/>
      <c r="L8514" s="107"/>
      <c r="M8514" s="107"/>
      <c r="N8514" s="107"/>
      <c r="O8514" s="107"/>
      <c r="P8514" s="109"/>
      <c r="Q8514" s="107"/>
      <c r="R8514" s="107"/>
      <c r="S8514" s="107"/>
      <c r="T8514" s="479"/>
      <c r="U8514" s="296"/>
      <c r="V8514" s="50"/>
      <c r="W8514" s="49"/>
      <c r="X8514" s="49"/>
      <c r="Y8514" s="35"/>
      <c r="Z8514" s="35"/>
      <c r="AA8514" s="35"/>
      <c r="AB8514" s="35"/>
      <c r="AC8514" s="35"/>
      <c r="AD8514" s="35"/>
      <c r="AE8514" s="35"/>
      <c r="AF8514" s="35"/>
      <c r="AG8514" s="35"/>
      <c r="AH8514" s="35"/>
      <c r="AI8514" s="35"/>
      <c r="AJ8514" s="35"/>
      <c r="AK8514" s="35"/>
      <c r="AL8514" s="35"/>
    </row>
    <row r="8515">
      <c r="A8515" s="457"/>
      <c r="B8515" s="475"/>
      <c r="C8515" s="476"/>
      <c r="D8515" s="477"/>
      <c r="E8515" s="96"/>
      <c r="F8515" s="96"/>
      <c r="G8515" s="325"/>
      <c r="H8515" s="96"/>
      <c r="I8515" s="478"/>
      <c r="J8515" s="96"/>
      <c r="K8515" s="96"/>
      <c r="L8515" s="107"/>
      <c r="M8515" s="107"/>
      <c r="N8515" s="107"/>
      <c r="O8515" s="107"/>
      <c r="P8515" s="109"/>
      <c r="Q8515" s="107"/>
      <c r="R8515" s="107"/>
      <c r="S8515" s="107"/>
      <c r="T8515" s="479"/>
      <c r="U8515" s="296"/>
      <c r="V8515" s="50"/>
      <c r="W8515" s="49"/>
      <c r="X8515" s="49"/>
      <c r="Y8515" s="35"/>
      <c r="Z8515" s="35"/>
      <c r="AA8515" s="35"/>
      <c r="AB8515" s="35"/>
      <c r="AC8515" s="35"/>
      <c r="AD8515" s="35"/>
      <c r="AE8515" s="35"/>
      <c r="AF8515" s="35"/>
      <c r="AG8515" s="35"/>
      <c r="AH8515" s="35"/>
      <c r="AI8515" s="35"/>
      <c r="AJ8515" s="35"/>
      <c r="AK8515" s="35"/>
      <c r="AL8515" s="35"/>
    </row>
    <row r="8516">
      <c r="A8516" s="457"/>
      <c r="B8516" s="475"/>
      <c r="C8516" s="476"/>
      <c r="D8516" s="477"/>
      <c r="E8516" s="96"/>
      <c r="F8516" s="96"/>
      <c r="G8516" s="325"/>
      <c r="H8516" s="96"/>
      <c r="I8516" s="478"/>
      <c r="J8516" s="96"/>
      <c r="K8516" s="96"/>
      <c r="L8516" s="107"/>
      <c r="M8516" s="107"/>
      <c r="N8516" s="107"/>
      <c r="O8516" s="107"/>
      <c r="P8516" s="109"/>
      <c r="Q8516" s="107"/>
      <c r="R8516" s="107"/>
      <c r="S8516" s="107"/>
      <c r="T8516" s="479"/>
      <c r="U8516" s="296"/>
      <c r="V8516" s="50"/>
      <c r="W8516" s="49"/>
      <c r="X8516" s="49"/>
      <c r="Y8516" s="35"/>
      <c r="Z8516" s="35"/>
      <c r="AA8516" s="35"/>
      <c r="AB8516" s="35"/>
      <c r="AC8516" s="35"/>
      <c r="AD8516" s="35"/>
      <c r="AE8516" s="35"/>
      <c r="AF8516" s="35"/>
      <c r="AG8516" s="35"/>
      <c r="AH8516" s="35"/>
      <c r="AI8516" s="35"/>
      <c r="AJ8516" s="35"/>
      <c r="AK8516" s="35"/>
      <c r="AL8516" s="35"/>
    </row>
    <row r="8517">
      <c r="A8517" s="457"/>
      <c r="B8517" s="475"/>
      <c r="C8517" s="476"/>
      <c r="D8517" s="477"/>
      <c r="E8517" s="96"/>
      <c r="F8517" s="96"/>
      <c r="G8517" s="325"/>
      <c r="H8517" s="96"/>
      <c r="I8517" s="478"/>
      <c r="J8517" s="96"/>
      <c r="K8517" s="96"/>
      <c r="L8517" s="107"/>
      <c r="M8517" s="107"/>
      <c r="N8517" s="107"/>
      <c r="O8517" s="107"/>
      <c r="P8517" s="109"/>
      <c r="Q8517" s="107"/>
      <c r="R8517" s="107"/>
      <c r="S8517" s="107"/>
      <c r="T8517" s="479"/>
      <c r="U8517" s="296"/>
      <c r="V8517" s="50"/>
      <c r="W8517" s="49"/>
      <c r="X8517" s="49"/>
      <c r="Y8517" s="35"/>
      <c r="Z8517" s="35"/>
      <c r="AA8517" s="35"/>
      <c r="AB8517" s="35"/>
      <c r="AC8517" s="35"/>
      <c r="AD8517" s="35"/>
      <c r="AE8517" s="35"/>
      <c r="AF8517" s="35"/>
      <c r="AG8517" s="35"/>
      <c r="AH8517" s="35"/>
      <c r="AI8517" s="35"/>
      <c r="AJ8517" s="35"/>
      <c r="AK8517" s="35"/>
      <c r="AL8517" s="35"/>
    </row>
    <row r="8518">
      <c r="A8518" s="457"/>
      <c r="B8518" s="475"/>
      <c r="C8518" s="476"/>
      <c r="D8518" s="477"/>
      <c r="E8518" s="96"/>
      <c r="F8518" s="96"/>
      <c r="G8518" s="325"/>
      <c r="H8518" s="96"/>
      <c r="I8518" s="478"/>
      <c r="J8518" s="96"/>
      <c r="K8518" s="96"/>
      <c r="L8518" s="107"/>
      <c r="M8518" s="107"/>
      <c r="N8518" s="107"/>
      <c r="O8518" s="107"/>
      <c r="P8518" s="109"/>
      <c r="Q8518" s="107"/>
      <c r="R8518" s="107"/>
      <c r="S8518" s="107"/>
      <c r="T8518" s="479"/>
      <c r="U8518" s="296"/>
      <c r="V8518" s="50"/>
      <c r="W8518" s="49"/>
      <c r="X8518" s="49"/>
      <c r="Y8518" s="35"/>
      <c r="Z8518" s="35"/>
      <c r="AA8518" s="35"/>
      <c r="AB8518" s="35"/>
      <c r="AC8518" s="35"/>
      <c r="AD8518" s="35"/>
      <c r="AE8518" s="35"/>
      <c r="AF8518" s="35"/>
      <c r="AG8518" s="35"/>
      <c r="AH8518" s="35"/>
      <c r="AI8518" s="35"/>
      <c r="AJ8518" s="35"/>
      <c r="AK8518" s="35"/>
      <c r="AL8518" s="35"/>
    </row>
    <row r="8519">
      <c r="A8519" s="457"/>
      <c r="B8519" s="475"/>
      <c r="C8519" s="476"/>
      <c r="D8519" s="477"/>
      <c r="E8519" s="96"/>
      <c r="F8519" s="96"/>
      <c r="G8519" s="325"/>
      <c r="H8519" s="96"/>
      <c r="I8519" s="478"/>
      <c r="J8519" s="96"/>
      <c r="K8519" s="96"/>
      <c r="L8519" s="107"/>
      <c r="M8519" s="107"/>
      <c r="N8519" s="107"/>
      <c r="O8519" s="107"/>
      <c r="P8519" s="109"/>
      <c r="Q8519" s="107"/>
      <c r="R8519" s="107"/>
      <c r="S8519" s="107"/>
      <c r="T8519" s="479"/>
      <c r="U8519" s="296"/>
      <c r="V8519" s="50"/>
      <c r="W8519" s="49"/>
      <c r="X8519" s="49"/>
      <c r="Y8519" s="35"/>
      <c r="Z8519" s="35"/>
      <c r="AA8519" s="35"/>
      <c r="AB8519" s="35"/>
      <c r="AC8519" s="35"/>
      <c r="AD8519" s="35"/>
      <c r="AE8519" s="35"/>
      <c r="AF8519" s="35"/>
      <c r="AG8519" s="35"/>
      <c r="AH8519" s="35"/>
      <c r="AI8519" s="35"/>
      <c r="AJ8519" s="35"/>
      <c r="AK8519" s="35"/>
      <c r="AL8519" s="35"/>
    </row>
    <row r="8520">
      <c r="A8520" s="457"/>
      <c r="B8520" s="475"/>
      <c r="C8520" s="476"/>
      <c r="D8520" s="477"/>
      <c r="E8520" s="96"/>
      <c r="F8520" s="96"/>
      <c r="G8520" s="325"/>
      <c r="H8520" s="96"/>
      <c r="I8520" s="478"/>
      <c r="J8520" s="96"/>
      <c r="K8520" s="96"/>
      <c r="L8520" s="107"/>
      <c r="M8520" s="107"/>
      <c r="N8520" s="107"/>
      <c r="O8520" s="107"/>
      <c r="P8520" s="109"/>
      <c r="Q8520" s="107"/>
      <c r="R8520" s="107"/>
      <c r="S8520" s="107"/>
      <c r="T8520" s="479"/>
      <c r="U8520" s="296"/>
      <c r="V8520" s="50"/>
      <c r="W8520" s="49"/>
      <c r="X8520" s="49"/>
      <c r="Y8520" s="35"/>
      <c r="Z8520" s="35"/>
      <c r="AA8520" s="35"/>
      <c r="AB8520" s="35"/>
      <c r="AC8520" s="35"/>
      <c r="AD8520" s="35"/>
      <c r="AE8520" s="35"/>
      <c r="AF8520" s="35"/>
      <c r="AG8520" s="35"/>
      <c r="AH8520" s="35"/>
      <c r="AI8520" s="35"/>
      <c r="AJ8520" s="35"/>
      <c r="AK8520" s="35"/>
      <c r="AL8520" s="35"/>
    </row>
    <row r="8521">
      <c r="A8521" s="457"/>
      <c r="B8521" s="475"/>
      <c r="C8521" s="476"/>
      <c r="D8521" s="477"/>
      <c r="E8521" s="96"/>
      <c r="F8521" s="96"/>
      <c r="G8521" s="325"/>
      <c r="H8521" s="96"/>
      <c r="I8521" s="478"/>
      <c r="J8521" s="96"/>
      <c r="K8521" s="96"/>
      <c r="L8521" s="107"/>
      <c r="M8521" s="107"/>
      <c r="N8521" s="107"/>
      <c r="O8521" s="107"/>
      <c r="P8521" s="109"/>
      <c r="Q8521" s="107"/>
      <c r="R8521" s="107"/>
      <c r="S8521" s="107"/>
      <c r="T8521" s="479"/>
      <c r="U8521" s="296"/>
      <c r="V8521" s="50"/>
      <c r="W8521" s="49"/>
      <c r="X8521" s="49"/>
      <c r="Y8521" s="35"/>
      <c r="Z8521" s="35"/>
      <c r="AA8521" s="35"/>
      <c r="AB8521" s="35"/>
      <c r="AC8521" s="35"/>
      <c r="AD8521" s="35"/>
      <c r="AE8521" s="35"/>
      <c r="AF8521" s="35"/>
      <c r="AG8521" s="35"/>
      <c r="AH8521" s="35"/>
      <c r="AI8521" s="35"/>
      <c r="AJ8521" s="35"/>
      <c r="AK8521" s="35"/>
      <c r="AL8521" s="35"/>
    </row>
    <row r="8522">
      <c r="A8522" s="457"/>
      <c r="B8522" s="475"/>
      <c r="C8522" s="476"/>
      <c r="D8522" s="477"/>
      <c r="E8522" s="96"/>
      <c r="F8522" s="96"/>
      <c r="G8522" s="325"/>
      <c r="H8522" s="96"/>
      <c r="I8522" s="478"/>
      <c r="J8522" s="96"/>
      <c r="K8522" s="96"/>
      <c r="L8522" s="107"/>
      <c r="M8522" s="107"/>
      <c r="N8522" s="107"/>
      <c r="O8522" s="107"/>
      <c r="P8522" s="109"/>
      <c r="Q8522" s="107"/>
      <c r="R8522" s="107"/>
      <c r="S8522" s="107"/>
      <c r="T8522" s="479"/>
      <c r="U8522" s="296"/>
      <c r="V8522" s="50"/>
      <c r="W8522" s="49"/>
      <c r="X8522" s="49"/>
      <c r="Y8522" s="35"/>
      <c r="Z8522" s="35"/>
      <c r="AA8522" s="35"/>
      <c r="AB8522" s="35"/>
      <c r="AC8522" s="35"/>
      <c r="AD8522" s="35"/>
      <c r="AE8522" s="35"/>
      <c r="AF8522" s="35"/>
      <c r="AG8522" s="35"/>
      <c r="AH8522" s="35"/>
      <c r="AI8522" s="35"/>
      <c r="AJ8522" s="35"/>
      <c r="AK8522" s="35"/>
      <c r="AL8522" s="35"/>
    </row>
    <row r="8523">
      <c r="A8523" s="457"/>
      <c r="B8523" s="475"/>
      <c r="C8523" s="476"/>
      <c r="D8523" s="477"/>
      <c r="E8523" s="96"/>
      <c r="F8523" s="96"/>
      <c r="G8523" s="325"/>
      <c r="H8523" s="96"/>
      <c r="I8523" s="478"/>
      <c r="J8523" s="96"/>
      <c r="K8523" s="96"/>
      <c r="L8523" s="107"/>
      <c r="M8523" s="107"/>
      <c r="N8523" s="107"/>
      <c r="O8523" s="107"/>
      <c r="P8523" s="109"/>
      <c r="Q8523" s="107"/>
      <c r="R8523" s="107"/>
      <c r="S8523" s="107"/>
      <c r="T8523" s="479"/>
      <c r="U8523" s="296"/>
      <c r="V8523" s="50"/>
      <c r="W8523" s="49"/>
      <c r="X8523" s="49"/>
      <c r="Y8523" s="35"/>
      <c r="Z8523" s="35"/>
      <c r="AA8523" s="35"/>
      <c r="AB8523" s="35"/>
      <c r="AC8523" s="35"/>
      <c r="AD8523" s="35"/>
      <c r="AE8523" s="35"/>
      <c r="AF8523" s="35"/>
      <c r="AG8523" s="35"/>
      <c r="AH8523" s="35"/>
      <c r="AI8523" s="35"/>
      <c r="AJ8523" s="35"/>
      <c r="AK8523" s="35"/>
      <c r="AL8523" s="35"/>
    </row>
    <row r="8524">
      <c r="A8524" s="457"/>
      <c r="B8524" s="475"/>
      <c r="C8524" s="476"/>
      <c r="D8524" s="477"/>
      <c r="E8524" s="96"/>
      <c r="F8524" s="96"/>
      <c r="G8524" s="325"/>
      <c r="H8524" s="96"/>
      <c r="I8524" s="478"/>
      <c r="J8524" s="96"/>
      <c r="K8524" s="96"/>
      <c r="L8524" s="107"/>
      <c r="M8524" s="107"/>
      <c r="N8524" s="107"/>
      <c r="O8524" s="107"/>
      <c r="P8524" s="109"/>
      <c r="Q8524" s="107"/>
      <c r="R8524" s="107"/>
      <c r="S8524" s="107"/>
      <c r="T8524" s="479"/>
      <c r="U8524" s="296"/>
      <c r="V8524" s="50"/>
      <c r="W8524" s="49"/>
      <c r="X8524" s="49"/>
      <c r="Y8524" s="35"/>
      <c r="Z8524" s="35"/>
      <c r="AA8524" s="35"/>
      <c r="AB8524" s="35"/>
      <c r="AC8524" s="35"/>
      <c r="AD8524" s="35"/>
      <c r="AE8524" s="35"/>
      <c r="AF8524" s="35"/>
      <c r="AG8524" s="35"/>
      <c r="AH8524" s="35"/>
      <c r="AI8524" s="35"/>
      <c r="AJ8524" s="35"/>
      <c r="AK8524" s="35"/>
      <c r="AL8524" s="35"/>
    </row>
    <row r="8525">
      <c r="A8525" s="457"/>
      <c r="B8525" s="475"/>
      <c r="C8525" s="476"/>
      <c r="D8525" s="477"/>
      <c r="E8525" s="96"/>
      <c r="F8525" s="96"/>
      <c r="G8525" s="325"/>
      <c r="H8525" s="96"/>
      <c r="I8525" s="478"/>
      <c r="J8525" s="96"/>
      <c r="K8525" s="96"/>
      <c r="L8525" s="107"/>
      <c r="M8525" s="107"/>
      <c r="N8525" s="107"/>
      <c r="O8525" s="107"/>
      <c r="P8525" s="109"/>
      <c r="Q8525" s="107"/>
      <c r="R8525" s="107"/>
      <c r="S8525" s="107"/>
      <c r="T8525" s="479"/>
      <c r="U8525" s="296"/>
      <c r="V8525" s="50"/>
      <c r="W8525" s="49"/>
      <c r="X8525" s="49"/>
      <c r="Y8525" s="35"/>
      <c r="Z8525" s="35"/>
      <c r="AA8525" s="35"/>
      <c r="AB8525" s="35"/>
      <c r="AC8525" s="35"/>
      <c r="AD8525" s="35"/>
      <c r="AE8525" s="35"/>
      <c r="AF8525" s="35"/>
      <c r="AG8525" s="35"/>
      <c r="AH8525" s="35"/>
      <c r="AI8525" s="35"/>
      <c r="AJ8525" s="35"/>
      <c r="AK8525" s="35"/>
      <c r="AL8525" s="35"/>
    </row>
    <row r="8526">
      <c r="A8526" s="457"/>
      <c r="B8526" s="475"/>
      <c r="C8526" s="476"/>
      <c r="D8526" s="477"/>
      <c r="E8526" s="96"/>
      <c r="F8526" s="96"/>
      <c r="G8526" s="325"/>
      <c r="H8526" s="96"/>
      <c r="I8526" s="478"/>
      <c r="J8526" s="96"/>
      <c r="K8526" s="96"/>
      <c r="L8526" s="107"/>
      <c r="M8526" s="107"/>
      <c r="N8526" s="107"/>
      <c r="O8526" s="107"/>
      <c r="P8526" s="109"/>
      <c r="Q8526" s="107"/>
      <c r="R8526" s="107"/>
      <c r="S8526" s="107"/>
      <c r="T8526" s="479"/>
      <c r="U8526" s="296"/>
      <c r="V8526" s="50"/>
      <c r="W8526" s="49"/>
      <c r="X8526" s="49"/>
      <c r="Y8526" s="35"/>
      <c r="Z8526" s="35"/>
      <c r="AA8526" s="35"/>
      <c r="AB8526" s="35"/>
      <c r="AC8526" s="35"/>
      <c r="AD8526" s="35"/>
      <c r="AE8526" s="35"/>
      <c r="AF8526" s="35"/>
      <c r="AG8526" s="35"/>
      <c r="AH8526" s="35"/>
      <c r="AI8526" s="35"/>
      <c r="AJ8526" s="35"/>
      <c r="AK8526" s="35"/>
      <c r="AL8526" s="35"/>
    </row>
    <row r="8527">
      <c r="A8527" s="457"/>
      <c r="B8527" s="475"/>
      <c r="C8527" s="476"/>
      <c r="D8527" s="477"/>
      <c r="E8527" s="96"/>
      <c r="F8527" s="96"/>
      <c r="G8527" s="325"/>
      <c r="H8527" s="96"/>
      <c r="I8527" s="478"/>
      <c r="J8527" s="96"/>
      <c r="K8527" s="96"/>
      <c r="L8527" s="107"/>
      <c r="M8527" s="107"/>
      <c r="N8527" s="107"/>
      <c r="O8527" s="107"/>
      <c r="P8527" s="109"/>
      <c r="Q8527" s="107"/>
      <c r="R8527" s="107"/>
      <c r="S8527" s="107"/>
      <c r="T8527" s="479"/>
      <c r="U8527" s="296"/>
      <c r="V8527" s="50"/>
      <c r="W8527" s="49"/>
      <c r="X8527" s="49"/>
      <c r="Y8527" s="35"/>
      <c r="Z8527" s="35"/>
      <c r="AA8527" s="35"/>
      <c r="AB8527" s="35"/>
      <c r="AC8527" s="35"/>
      <c r="AD8527" s="35"/>
      <c r="AE8527" s="35"/>
      <c r="AF8527" s="35"/>
      <c r="AG8527" s="35"/>
      <c r="AH8527" s="35"/>
      <c r="AI8527" s="35"/>
      <c r="AJ8527" s="35"/>
      <c r="AK8527" s="35"/>
      <c r="AL8527" s="35"/>
    </row>
    <row r="8528">
      <c r="A8528" s="457"/>
      <c r="B8528" s="475"/>
      <c r="C8528" s="476"/>
      <c r="D8528" s="477"/>
      <c r="E8528" s="96"/>
      <c r="F8528" s="96"/>
      <c r="G8528" s="325"/>
      <c r="H8528" s="96"/>
      <c r="I8528" s="478"/>
      <c r="J8528" s="96"/>
      <c r="K8528" s="96"/>
      <c r="L8528" s="107"/>
      <c r="M8528" s="107"/>
      <c r="N8528" s="107"/>
      <c r="O8528" s="107"/>
      <c r="P8528" s="109"/>
      <c r="Q8528" s="107"/>
      <c r="R8528" s="107"/>
      <c r="S8528" s="107"/>
      <c r="T8528" s="479"/>
      <c r="U8528" s="296"/>
      <c r="V8528" s="50"/>
      <c r="W8528" s="49"/>
      <c r="X8528" s="49"/>
      <c r="Y8528" s="35"/>
      <c r="Z8528" s="35"/>
      <c r="AA8528" s="35"/>
      <c r="AB8528" s="35"/>
      <c r="AC8528" s="35"/>
      <c r="AD8528" s="35"/>
      <c r="AE8528" s="35"/>
      <c r="AF8528" s="35"/>
      <c r="AG8528" s="35"/>
      <c r="AH8528" s="35"/>
      <c r="AI8528" s="35"/>
      <c r="AJ8528" s="35"/>
      <c r="AK8528" s="35"/>
      <c r="AL8528" s="35"/>
    </row>
    <row r="8529">
      <c r="A8529" s="457"/>
      <c r="B8529" s="475"/>
      <c r="C8529" s="476"/>
      <c r="D8529" s="477"/>
      <c r="E8529" s="96"/>
      <c r="F8529" s="96"/>
      <c r="G8529" s="325"/>
      <c r="H8529" s="96"/>
      <c r="I8529" s="478"/>
      <c r="J8529" s="96"/>
      <c r="K8529" s="96"/>
      <c r="L8529" s="107"/>
      <c r="M8529" s="107"/>
      <c r="N8529" s="107"/>
      <c r="O8529" s="107"/>
      <c r="P8529" s="109"/>
      <c r="Q8529" s="107"/>
      <c r="R8529" s="107"/>
      <c r="S8529" s="107"/>
      <c r="T8529" s="479"/>
      <c r="U8529" s="296"/>
      <c r="V8529" s="50"/>
      <c r="W8529" s="49"/>
      <c r="X8529" s="49"/>
      <c r="Y8529" s="35"/>
      <c r="Z8529" s="35"/>
      <c r="AA8529" s="35"/>
      <c r="AB8529" s="35"/>
      <c r="AC8529" s="35"/>
      <c r="AD8529" s="35"/>
      <c r="AE8529" s="35"/>
      <c r="AF8529" s="35"/>
      <c r="AG8529" s="35"/>
      <c r="AH8529" s="35"/>
      <c r="AI8529" s="35"/>
      <c r="AJ8529" s="35"/>
      <c r="AK8529" s="35"/>
      <c r="AL8529" s="35"/>
    </row>
    <row r="8530">
      <c r="A8530" s="457"/>
      <c r="B8530" s="475"/>
      <c r="C8530" s="476"/>
      <c r="D8530" s="477"/>
      <c r="E8530" s="96"/>
      <c r="F8530" s="96"/>
      <c r="G8530" s="325"/>
      <c r="H8530" s="96"/>
      <c r="I8530" s="478"/>
      <c r="J8530" s="96"/>
      <c r="K8530" s="96"/>
      <c r="L8530" s="107"/>
      <c r="M8530" s="107"/>
      <c r="N8530" s="107"/>
      <c r="O8530" s="107"/>
      <c r="P8530" s="109"/>
      <c r="Q8530" s="107"/>
      <c r="R8530" s="107"/>
      <c r="S8530" s="107"/>
      <c r="T8530" s="479"/>
      <c r="U8530" s="296"/>
      <c r="V8530" s="50"/>
      <c r="W8530" s="49"/>
      <c r="X8530" s="49"/>
      <c r="Y8530" s="35"/>
      <c r="Z8530" s="35"/>
      <c r="AA8530" s="35"/>
      <c r="AB8530" s="35"/>
      <c r="AC8530" s="35"/>
      <c r="AD8530" s="35"/>
      <c r="AE8530" s="35"/>
      <c r="AF8530" s="35"/>
      <c r="AG8530" s="35"/>
      <c r="AH8530" s="35"/>
      <c r="AI8530" s="35"/>
      <c r="AJ8530" s="35"/>
      <c r="AK8530" s="35"/>
      <c r="AL8530" s="35"/>
    </row>
    <row r="8531">
      <c r="A8531" s="457"/>
      <c r="B8531" s="475"/>
      <c r="C8531" s="476"/>
      <c r="D8531" s="477"/>
      <c r="E8531" s="96"/>
      <c r="F8531" s="96"/>
      <c r="G8531" s="325"/>
      <c r="H8531" s="96"/>
      <c r="I8531" s="478"/>
      <c r="J8531" s="96"/>
      <c r="K8531" s="96"/>
      <c r="L8531" s="107"/>
      <c r="M8531" s="107"/>
      <c r="N8531" s="107"/>
      <c r="O8531" s="107"/>
      <c r="P8531" s="109"/>
      <c r="Q8531" s="107"/>
      <c r="R8531" s="107"/>
      <c r="S8531" s="107"/>
      <c r="T8531" s="479"/>
      <c r="U8531" s="296"/>
      <c r="V8531" s="50"/>
      <c r="W8531" s="49"/>
      <c r="X8531" s="49"/>
      <c r="Y8531" s="35"/>
      <c r="Z8531" s="35"/>
      <c r="AA8531" s="35"/>
      <c r="AB8531" s="35"/>
      <c r="AC8531" s="35"/>
      <c r="AD8531" s="35"/>
      <c r="AE8531" s="35"/>
      <c r="AF8531" s="35"/>
      <c r="AG8531" s="35"/>
      <c r="AH8531" s="35"/>
      <c r="AI8531" s="35"/>
      <c r="AJ8531" s="35"/>
      <c r="AK8531" s="35"/>
      <c r="AL8531" s="35"/>
    </row>
    <row r="8532">
      <c r="A8532" s="457"/>
      <c r="B8532" s="475"/>
      <c r="C8532" s="476"/>
      <c r="D8532" s="477"/>
      <c r="E8532" s="96"/>
      <c r="F8532" s="96"/>
      <c r="G8532" s="325"/>
      <c r="H8532" s="96"/>
      <c r="I8532" s="478"/>
      <c r="J8532" s="96"/>
      <c r="K8532" s="96"/>
      <c r="L8532" s="107"/>
      <c r="M8532" s="107"/>
      <c r="N8532" s="107"/>
      <c r="O8532" s="107"/>
      <c r="P8532" s="109"/>
      <c r="Q8532" s="107"/>
      <c r="R8532" s="107"/>
      <c r="S8532" s="107"/>
      <c r="T8532" s="479"/>
      <c r="U8532" s="296"/>
      <c r="V8532" s="50"/>
      <c r="W8532" s="49"/>
      <c r="X8532" s="49"/>
      <c r="Y8532" s="35"/>
      <c r="Z8532" s="35"/>
      <c r="AA8532" s="35"/>
      <c r="AB8532" s="35"/>
      <c r="AC8532" s="35"/>
      <c r="AD8532" s="35"/>
      <c r="AE8532" s="35"/>
      <c r="AF8532" s="35"/>
      <c r="AG8532" s="35"/>
      <c r="AH8532" s="35"/>
      <c r="AI8532" s="35"/>
      <c r="AJ8532" s="35"/>
      <c r="AK8532" s="35"/>
      <c r="AL8532" s="35"/>
    </row>
    <row r="8533">
      <c r="A8533" s="457"/>
      <c r="B8533" s="475"/>
      <c r="C8533" s="476"/>
      <c r="D8533" s="477"/>
      <c r="E8533" s="96"/>
      <c r="F8533" s="96"/>
      <c r="G8533" s="325"/>
      <c r="H8533" s="96"/>
      <c r="I8533" s="478"/>
      <c r="J8533" s="96"/>
      <c r="K8533" s="96"/>
      <c r="L8533" s="107"/>
      <c r="M8533" s="107"/>
      <c r="N8533" s="107"/>
      <c r="O8533" s="107"/>
      <c r="P8533" s="109"/>
      <c r="Q8533" s="107"/>
      <c r="R8533" s="107"/>
      <c r="S8533" s="107"/>
      <c r="T8533" s="479"/>
      <c r="U8533" s="296"/>
      <c r="V8533" s="50"/>
      <c r="W8533" s="49"/>
      <c r="X8533" s="49"/>
      <c r="Y8533" s="35"/>
      <c r="Z8533" s="35"/>
      <c r="AA8533" s="35"/>
      <c r="AB8533" s="35"/>
      <c r="AC8533" s="35"/>
      <c r="AD8533" s="35"/>
      <c r="AE8533" s="35"/>
      <c r="AF8533" s="35"/>
      <c r="AG8533" s="35"/>
      <c r="AH8533" s="35"/>
      <c r="AI8533" s="35"/>
      <c r="AJ8533" s="35"/>
      <c r="AK8533" s="35"/>
      <c r="AL8533" s="35"/>
    </row>
    <row r="8534">
      <c r="A8534" s="457"/>
      <c r="B8534" s="475"/>
      <c r="C8534" s="476"/>
      <c r="D8534" s="477"/>
      <c r="E8534" s="96"/>
      <c r="F8534" s="96"/>
      <c r="G8534" s="325"/>
      <c r="H8534" s="96"/>
      <c r="I8534" s="478"/>
      <c r="J8534" s="96"/>
      <c r="K8534" s="96"/>
      <c r="L8534" s="107"/>
      <c r="M8534" s="107"/>
      <c r="N8534" s="107"/>
      <c r="O8534" s="107"/>
      <c r="P8534" s="109"/>
      <c r="Q8534" s="107"/>
      <c r="R8534" s="107"/>
      <c r="S8534" s="107"/>
      <c r="T8534" s="479"/>
      <c r="U8534" s="296"/>
      <c r="V8534" s="50"/>
      <c r="W8534" s="49"/>
      <c r="X8534" s="49"/>
      <c r="Y8534" s="35"/>
      <c r="Z8534" s="35"/>
      <c r="AA8534" s="35"/>
      <c r="AB8534" s="35"/>
      <c r="AC8534" s="35"/>
      <c r="AD8534" s="35"/>
      <c r="AE8534" s="35"/>
      <c r="AF8534" s="35"/>
      <c r="AG8534" s="35"/>
      <c r="AH8534" s="35"/>
      <c r="AI8534" s="35"/>
      <c r="AJ8534" s="35"/>
      <c r="AK8534" s="35"/>
      <c r="AL8534" s="35"/>
    </row>
    <row r="8535">
      <c r="A8535" s="457"/>
      <c r="B8535" s="475"/>
      <c r="C8535" s="476"/>
      <c r="D8535" s="477"/>
      <c r="E8535" s="96"/>
      <c r="F8535" s="96"/>
      <c r="G8535" s="325"/>
      <c r="H8535" s="96"/>
      <c r="I8535" s="478"/>
      <c r="J8535" s="96"/>
      <c r="K8535" s="96"/>
      <c r="L8535" s="107"/>
      <c r="M8535" s="107"/>
      <c r="N8535" s="107"/>
      <c r="O8535" s="107"/>
      <c r="P8535" s="109"/>
      <c r="Q8535" s="107"/>
      <c r="R8535" s="107"/>
      <c r="S8535" s="107"/>
      <c r="T8535" s="479"/>
      <c r="U8535" s="296"/>
      <c r="V8535" s="50"/>
      <c r="W8535" s="49"/>
      <c r="X8535" s="49"/>
      <c r="Y8535" s="35"/>
      <c r="Z8535" s="35"/>
      <c r="AA8535" s="35"/>
      <c r="AB8535" s="35"/>
      <c r="AC8535" s="35"/>
      <c r="AD8535" s="35"/>
      <c r="AE8535" s="35"/>
      <c r="AF8535" s="35"/>
      <c r="AG8535" s="35"/>
      <c r="AH8535" s="35"/>
      <c r="AI8535" s="35"/>
      <c r="AJ8535" s="35"/>
      <c r="AK8535" s="35"/>
      <c r="AL8535" s="35"/>
    </row>
    <row r="8536">
      <c r="A8536" s="457"/>
      <c r="B8536" s="475"/>
      <c r="C8536" s="476"/>
      <c r="D8536" s="477"/>
      <c r="E8536" s="96"/>
      <c r="F8536" s="96"/>
      <c r="G8536" s="325"/>
      <c r="H8536" s="96"/>
      <c r="I8536" s="478"/>
      <c r="J8536" s="96"/>
      <c r="K8536" s="96"/>
      <c r="L8536" s="107"/>
      <c r="M8536" s="107"/>
      <c r="N8536" s="107"/>
      <c r="O8536" s="107"/>
      <c r="P8536" s="109"/>
      <c r="Q8536" s="107"/>
      <c r="R8536" s="107"/>
      <c r="S8536" s="107"/>
      <c r="T8536" s="479"/>
      <c r="U8536" s="296"/>
      <c r="V8536" s="50"/>
      <c r="W8536" s="49"/>
      <c r="X8536" s="49"/>
      <c r="Y8536" s="35"/>
      <c r="Z8536" s="35"/>
      <c r="AA8536" s="35"/>
      <c r="AB8536" s="35"/>
      <c r="AC8536" s="35"/>
      <c r="AD8536" s="35"/>
      <c r="AE8536" s="35"/>
      <c r="AF8536" s="35"/>
      <c r="AG8536" s="35"/>
      <c r="AH8536" s="35"/>
      <c r="AI8536" s="35"/>
      <c r="AJ8536" s="35"/>
      <c r="AK8536" s="35"/>
      <c r="AL8536" s="35"/>
    </row>
    <row r="8537">
      <c r="A8537" s="457"/>
      <c r="B8537" s="475"/>
      <c r="C8537" s="476"/>
      <c r="D8537" s="477"/>
      <c r="E8537" s="96"/>
      <c r="F8537" s="96"/>
      <c r="G8537" s="325"/>
      <c r="H8537" s="96"/>
      <c r="I8537" s="478"/>
      <c r="J8537" s="96"/>
      <c r="K8537" s="96"/>
      <c r="L8537" s="107"/>
      <c r="M8537" s="107"/>
      <c r="N8537" s="107"/>
      <c r="O8537" s="107"/>
      <c r="P8537" s="109"/>
      <c r="Q8537" s="107"/>
      <c r="R8537" s="107"/>
      <c r="S8537" s="107"/>
      <c r="T8537" s="479"/>
      <c r="U8537" s="296"/>
      <c r="V8537" s="50"/>
      <c r="W8537" s="49"/>
      <c r="X8537" s="49"/>
      <c r="Y8537" s="35"/>
      <c r="Z8537" s="35"/>
      <c r="AA8537" s="35"/>
      <c r="AB8537" s="35"/>
      <c r="AC8537" s="35"/>
      <c r="AD8537" s="35"/>
      <c r="AE8537" s="35"/>
      <c r="AF8537" s="35"/>
      <c r="AG8537" s="35"/>
      <c r="AH8537" s="35"/>
      <c r="AI8537" s="35"/>
      <c r="AJ8537" s="35"/>
      <c r="AK8537" s="35"/>
      <c r="AL8537" s="35"/>
    </row>
    <row r="8538">
      <c r="A8538" s="457"/>
      <c r="B8538" s="475"/>
      <c r="C8538" s="476"/>
      <c r="D8538" s="477"/>
      <c r="E8538" s="96"/>
      <c r="F8538" s="96"/>
      <c r="G8538" s="325"/>
      <c r="H8538" s="96"/>
      <c r="I8538" s="478"/>
      <c r="J8538" s="96"/>
      <c r="K8538" s="96"/>
      <c r="L8538" s="107"/>
      <c r="M8538" s="107"/>
      <c r="N8538" s="107"/>
      <c r="O8538" s="107"/>
      <c r="P8538" s="109"/>
      <c r="Q8538" s="107"/>
      <c r="R8538" s="107"/>
      <c r="S8538" s="107"/>
      <c r="T8538" s="479"/>
      <c r="U8538" s="296"/>
      <c r="V8538" s="50"/>
      <c r="W8538" s="49"/>
      <c r="X8538" s="49"/>
      <c r="Y8538" s="35"/>
      <c r="Z8538" s="35"/>
      <c r="AA8538" s="35"/>
      <c r="AB8538" s="35"/>
      <c r="AC8538" s="35"/>
      <c r="AD8538" s="35"/>
      <c r="AE8538" s="35"/>
      <c r="AF8538" s="35"/>
      <c r="AG8538" s="35"/>
      <c r="AH8538" s="35"/>
      <c r="AI8538" s="35"/>
      <c r="AJ8538" s="35"/>
      <c r="AK8538" s="35"/>
      <c r="AL8538" s="35"/>
    </row>
    <row r="8539">
      <c r="A8539" s="457"/>
      <c r="B8539" s="475"/>
      <c r="C8539" s="476"/>
      <c r="D8539" s="477"/>
      <c r="E8539" s="96"/>
      <c r="F8539" s="96"/>
      <c r="G8539" s="325"/>
      <c r="H8539" s="96"/>
      <c r="I8539" s="478"/>
      <c r="J8539" s="96"/>
      <c r="K8539" s="96"/>
      <c r="L8539" s="107"/>
      <c r="M8539" s="107"/>
      <c r="N8539" s="107"/>
      <c r="O8539" s="107"/>
      <c r="P8539" s="109"/>
      <c r="Q8539" s="107"/>
      <c r="R8539" s="107"/>
      <c r="S8539" s="107"/>
      <c r="T8539" s="479"/>
      <c r="U8539" s="296"/>
      <c r="V8539" s="50"/>
      <c r="W8539" s="49"/>
      <c r="X8539" s="49"/>
      <c r="Y8539" s="35"/>
      <c r="Z8539" s="35"/>
      <c r="AA8539" s="35"/>
      <c r="AB8539" s="35"/>
      <c r="AC8539" s="35"/>
      <c r="AD8539" s="35"/>
      <c r="AE8539" s="35"/>
      <c r="AF8539" s="35"/>
      <c r="AG8539" s="35"/>
      <c r="AH8539" s="35"/>
      <c r="AI8539" s="35"/>
      <c r="AJ8539" s="35"/>
      <c r="AK8539" s="35"/>
      <c r="AL8539" s="35"/>
    </row>
    <row r="8540">
      <c r="A8540" s="457"/>
      <c r="B8540" s="475"/>
      <c r="C8540" s="476"/>
      <c r="D8540" s="477"/>
      <c r="E8540" s="96"/>
      <c r="F8540" s="96"/>
      <c r="G8540" s="325"/>
      <c r="H8540" s="96"/>
      <c r="I8540" s="478"/>
      <c r="J8540" s="96"/>
      <c r="K8540" s="96"/>
      <c r="L8540" s="107"/>
      <c r="M8540" s="107"/>
      <c r="N8540" s="107"/>
      <c r="O8540" s="107"/>
      <c r="P8540" s="109"/>
      <c r="Q8540" s="107"/>
      <c r="R8540" s="107"/>
      <c r="S8540" s="107"/>
      <c r="T8540" s="479"/>
      <c r="U8540" s="296"/>
      <c r="V8540" s="50"/>
      <c r="W8540" s="49"/>
      <c r="X8540" s="49"/>
      <c r="Y8540" s="35"/>
      <c r="Z8540" s="35"/>
      <c r="AA8540" s="35"/>
      <c r="AB8540" s="35"/>
      <c r="AC8540" s="35"/>
      <c r="AD8540" s="35"/>
      <c r="AE8540" s="35"/>
      <c r="AF8540" s="35"/>
      <c r="AG8540" s="35"/>
      <c r="AH8540" s="35"/>
      <c r="AI8540" s="35"/>
      <c r="AJ8540" s="35"/>
      <c r="AK8540" s="35"/>
      <c r="AL8540" s="35"/>
    </row>
    <row r="8541">
      <c r="A8541" s="457"/>
      <c r="B8541" s="475"/>
      <c r="C8541" s="476"/>
      <c r="D8541" s="477"/>
      <c r="E8541" s="96"/>
      <c r="F8541" s="96"/>
      <c r="G8541" s="325"/>
      <c r="H8541" s="96"/>
      <c r="I8541" s="478"/>
      <c r="J8541" s="96"/>
      <c r="K8541" s="96"/>
      <c r="L8541" s="107"/>
      <c r="M8541" s="107"/>
      <c r="N8541" s="107"/>
      <c r="O8541" s="107"/>
      <c r="P8541" s="109"/>
      <c r="Q8541" s="107"/>
      <c r="R8541" s="107"/>
      <c r="S8541" s="107"/>
      <c r="T8541" s="479"/>
      <c r="U8541" s="296"/>
      <c r="V8541" s="50"/>
      <c r="W8541" s="49"/>
      <c r="X8541" s="49"/>
      <c r="Y8541" s="35"/>
      <c r="Z8541" s="35"/>
      <c r="AA8541" s="35"/>
      <c r="AB8541" s="35"/>
      <c r="AC8541" s="35"/>
      <c r="AD8541" s="35"/>
      <c r="AE8541" s="35"/>
      <c r="AF8541" s="35"/>
      <c r="AG8541" s="35"/>
      <c r="AH8541" s="35"/>
      <c r="AI8541" s="35"/>
      <c r="AJ8541" s="35"/>
      <c r="AK8541" s="35"/>
      <c r="AL8541" s="35"/>
    </row>
    <row r="8542">
      <c r="A8542" s="457"/>
      <c r="B8542" s="475"/>
      <c r="C8542" s="476"/>
      <c r="D8542" s="477"/>
      <c r="E8542" s="96"/>
      <c r="F8542" s="96"/>
      <c r="G8542" s="325"/>
      <c r="H8542" s="96"/>
      <c r="I8542" s="478"/>
      <c r="J8542" s="96"/>
      <c r="K8542" s="96"/>
      <c r="L8542" s="107"/>
      <c r="M8542" s="107"/>
      <c r="N8542" s="107"/>
      <c r="O8542" s="107"/>
      <c r="P8542" s="109"/>
      <c r="Q8542" s="107"/>
      <c r="R8542" s="107"/>
      <c r="S8542" s="107"/>
      <c r="T8542" s="479"/>
      <c r="U8542" s="296"/>
      <c r="V8542" s="50"/>
      <c r="W8542" s="49"/>
      <c r="X8542" s="49"/>
      <c r="Y8542" s="35"/>
      <c r="Z8542" s="35"/>
      <c r="AA8542" s="35"/>
      <c r="AB8542" s="35"/>
      <c r="AC8542" s="35"/>
      <c r="AD8542" s="35"/>
      <c r="AE8542" s="35"/>
      <c r="AF8542" s="35"/>
      <c r="AG8542" s="35"/>
      <c r="AH8542" s="35"/>
      <c r="AI8542" s="35"/>
      <c r="AJ8542" s="35"/>
      <c r="AK8542" s="35"/>
      <c r="AL8542" s="35"/>
    </row>
    <row r="8543">
      <c r="A8543" s="457"/>
      <c r="B8543" s="475"/>
      <c r="C8543" s="476"/>
      <c r="D8543" s="477"/>
      <c r="E8543" s="96"/>
      <c r="F8543" s="96"/>
      <c r="G8543" s="325"/>
      <c r="H8543" s="96"/>
      <c r="I8543" s="478"/>
      <c r="J8543" s="96"/>
      <c r="K8543" s="96"/>
      <c r="L8543" s="107"/>
      <c r="M8543" s="107"/>
      <c r="N8543" s="107"/>
      <c r="O8543" s="107"/>
      <c r="P8543" s="109"/>
      <c r="Q8543" s="107"/>
      <c r="R8543" s="107"/>
      <c r="S8543" s="107"/>
      <c r="T8543" s="479"/>
      <c r="U8543" s="296"/>
      <c r="V8543" s="50"/>
      <c r="W8543" s="49"/>
      <c r="X8543" s="49"/>
      <c r="Y8543" s="35"/>
      <c r="Z8543" s="35"/>
      <c r="AA8543" s="35"/>
      <c r="AB8543" s="35"/>
      <c r="AC8543" s="35"/>
      <c r="AD8543" s="35"/>
      <c r="AE8543" s="35"/>
      <c r="AF8543" s="35"/>
      <c r="AG8543" s="35"/>
      <c r="AH8543" s="35"/>
      <c r="AI8543" s="35"/>
      <c r="AJ8543" s="35"/>
      <c r="AK8543" s="35"/>
      <c r="AL8543" s="35"/>
    </row>
    <row r="8544">
      <c r="A8544" s="457"/>
      <c r="B8544" s="475"/>
      <c r="C8544" s="476"/>
      <c r="D8544" s="477"/>
      <c r="E8544" s="96"/>
      <c r="F8544" s="96"/>
      <c r="G8544" s="325"/>
      <c r="H8544" s="96"/>
      <c r="I8544" s="478"/>
      <c r="J8544" s="96"/>
      <c r="K8544" s="96"/>
      <c r="L8544" s="107"/>
      <c r="M8544" s="107"/>
      <c r="N8544" s="107"/>
      <c r="O8544" s="107"/>
      <c r="P8544" s="109"/>
      <c r="Q8544" s="107"/>
      <c r="R8544" s="107"/>
      <c r="S8544" s="107"/>
      <c r="T8544" s="479"/>
      <c r="U8544" s="296"/>
      <c r="V8544" s="50"/>
      <c r="W8544" s="49"/>
      <c r="X8544" s="49"/>
      <c r="Y8544" s="35"/>
      <c r="Z8544" s="35"/>
      <c r="AA8544" s="35"/>
      <c r="AB8544" s="35"/>
      <c r="AC8544" s="35"/>
      <c r="AD8544" s="35"/>
      <c r="AE8544" s="35"/>
      <c r="AF8544" s="35"/>
      <c r="AG8544" s="35"/>
      <c r="AH8544" s="35"/>
      <c r="AI8544" s="35"/>
      <c r="AJ8544" s="35"/>
      <c r="AK8544" s="35"/>
      <c r="AL8544" s="35"/>
    </row>
    <row r="8545">
      <c r="A8545" s="457"/>
      <c r="B8545" s="475"/>
      <c r="C8545" s="476"/>
      <c r="D8545" s="477"/>
      <c r="E8545" s="96"/>
      <c r="F8545" s="96"/>
      <c r="G8545" s="325"/>
      <c r="H8545" s="96"/>
      <c r="I8545" s="478"/>
      <c r="J8545" s="96"/>
      <c r="K8545" s="96"/>
      <c r="L8545" s="107"/>
      <c r="M8545" s="107"/>
      <c r="N8545" s="107"/>
      <c r="O8545" s="107"/>
      <c r="P8545" s="109"/>
      <c r="Q8545" s="107"/>
      <c r="R8545" s="107"/>
      <c r="S8545" s="107"/>
      <c r="T8545" s="479"/>
      <c r="U8545" s="296"/>
      <c r="V8545" s="50"/>
      <c r="W8545" s="49"/>
      <c r="X8545" s="49"/>
      <c r="Y8545" s="35"/>
      <c r="Z8545" s="35"/>
      <c r="AA8545" s="35"/>
      <c r="AB8545" s="35"/>
      <c r="AC8545" s="35"/>
      <c r="AD8545" s="35"/>
      <c r="AE8545" s="35"/>
      <c r="AF8545" s="35"/>
      <c r="AG8545" s="35"/>
      <c r="AH8545" s="35"/>
      <c r="AI8545" s="35"/>
      <c r="AJ8545" s="35"/>
      <c r="AK8545" s="35"/>
      <c r="AL8545" s="35"/>
    </row>
    <row r="8546">
      <c r="A8546" s="457"/>
      <c r="B8546" s="475"/>
      <c r="C8546" s="476"/>
      <c r="D8546" s="477"/>
      <c r="E8546" s="96"/>
      <c r="F8546" s="96"/>
      <c r="G8546" s="325"/>
      <c r="H8546" s="96"/>
      <c r="I8546" s="478"/>
      <c r="J8546" s="96"/>
      <c r="K8546" s="96"/>
      <c r="L8546" s="107"/>
      <c r="M8546" s="107"/>
      <c r="N8546" s="107"/>
      <c r="O8546" s="107"/>
      <c r="P8546" s="109"/>
      <c r="Q8546" s="107"/>
      <c r="R8546" s="107"/>
      <c r="S8546" s="107"/>
      <c r="T8546" s="479"/>
      <c r="U8546" s="296"/>
      <c r="V8546" s="50"/>
      <c r="W8546" s="49"/>
      <c r="X8546" s="49"/>
      <c r="Y8546" s="35"/>
      <c r="Z8546" s="35"/>
      <c r="AA8546" s="35"/>
      <c r="AB8546" s="35"/>
      <c r="AC8546" s="35"/>
      <c r="AD8546" s="35"/>
      <c r="AE8546" s="35"/>
      <c r="AF8546" s="35"/>
      <c r="AG8546" s="35"/>
      <c r="AH8546" s="35"/>
      <c r="AI8546" s="35"/>
      <c r="AJ8546" s="35"/>
      <c r="AK8546" s="35"/>
      <c r="AL8546" s="35"/>
    </row>
    <row r="8547">
      <c r="A8547" s="457"/>
      <c r="B8547" s="475"/>
      <c r="C8547" s="476"/>
      <c r="D8547" s="477"/>
      <c r="E8547" s="96"/>
      <c r="F8547" s="96"/>
      <c r="G8547" s="325"/>
      <c r="H8547" s="96"/>
      <c r="I8547" s="478"/>
      <c r="J8547" s="96"/>
      <c r="K8547" s="96"/>
      <c r="L8547" s="107"/>
      <c r="M8547" s="107"/>
      <c r="N8547" s="107"/>
      <c r="O8547" s="107"/>
      <c r="P8547" s="109"/>
      <c r="Q8547" s="107"/>
      <c r="R8547" s="107"/>
      <c r="S8547" s="107"/>
      <c r="T8547" s="479"/>
      <c r="U8547" s="296"/>
      <c r="V8547" s="50"/>
      <c r="W8547" s="49"/>
      <c r="X8547" s="49"/>
      <c r="Y8547" s="35"/>
      <c r="Z8547" s="35"/>
      <c r="AA8547" s="35"/>
      <c r="AB8547" s="35"/>
      <c r="AC8547" s="35"/>
      <c r="AD8547" s="35"/>
      <c r="AE8547" s="35"/>
      <c r="AF8547" s="35"/>
      <c r="AG8547" s="35"/>
      <c r="AH8547" s="35"/>
      <c r="AI8547" s="35"/>
      <c r="AJ8547" s="35"/>
      <c r="AK8547" s="35"/>
      <c r="AL8547" s="35"/>
    </row>
    <row r="8548">
      <c r="A8548" s="457"/>
      <c r="B8548" s="475"/>
      <c r="C8548" s="476"/>
      <c r="D8548" s="477"/>
      <c r="E8548" s="96"/>
      <c r="F8548" s="96"/>
      <c r="G8548" s="325"/>
      <c r="H8548" s="96"/>
      <c r="I8548" s="478"/>
      <c r="J8548" s="96"/>
      <c r="K8548" s="96"/>
      <c r="L8548" s="107"/>
      <c r="M8548" s="107"/>
      <c r="N8548" s="107"/>
      <c r="O8548" s="107"/>
      <c r="P8548" s="109"/>
      <c r="Q8548" s="107"/>
      <c r="R8548" s="107"/>
      <c r="S8548" s="107"/>
      <c r="T8548" s="479"/>
      <c r="U8548" s="296"/>
      <c r="V8548" s="50"/>
      <c r="W8548" s="49"/>
      <c r="X8548" s="49"/>
      <c r="Y8548" s="35"/>
      <c r="Z8548" s="35"/>
      <c r="AA8548" s="35"/>
      <c r="AB8548" s="35"/>
      <c r="AC8548" s="35"/>
      <c r="AD8548" s="35"/>
      <c r="AE8548" s="35"/>
      <c r="AF8548" s="35"/>
      <c r="AG8548" s="35"/>
      <c r="AH8548" s="35"/>
      <c r="AI8548" s="35"/>
      <c r="AJ8548" s="35"/>
      <c r="AK8548" s="35"/>
      <c r="AL8548" s="35"/>
    </row>
    <row r="8549">
      <c r="A8549" s="457"/>
      <c r="B8549" s="475"/>
      <c r="C8549" s="476"/>
      <c r="D8549" s="477"/>
      <c r="E8549" s="96"/>
      <c r="F8549" s="96"/>
      <c r="G8549" s="325"/>
      <c r="H8549" s="96"/>
      <c r="I8549" s="478"/>
      <c r="J8549" s="96"/>
      <c r="K8549" s="96"/>
      <c r="L8549" s="107"/>
      <c r="M8549" s="107"/>
      <c r="N8549" s="107"/>
      <c r="O8549" s="107"/>
      <c r="P8549" s="109"/>
      <c r="Q8549" s="107"/>
      <c r="R8549" s="107"/>
      <c r="S8549" s="107"/>
      <c r="T8549" s="479"/>
      <c r="U8549" s="296"/>
      <c r="V8549" s="50"/>
      <c r="W8549" s="49"/>
      <c r="X8549" s="49"/>
      <c r="Y8549" s="35"/>
      <c r="Z8549" s="35"/>
      <c r="AA8549" s="35"/>
      <c r="AB8549" s="35"/>
      <c r="AC8549" s="35"/>
      <c r="AD8549" s="35"/>
      <c r="AE8549" s="35"/>
      <c r="AF8549" s="35"/>
      <c r="AG8549" s="35"/>
      <c r="AH8549" s="35"/>
      <c r="AI8549" s="35"/>
      <c r="AJ8549" s="35"/>
      <c r="AK8549" s="35"/>
      <c r="AL8549" s="35"/>
    </row>
    <row r="8550">
      <c r="A8550" s="457"/>
      <c r="B8550" s="475"/>
      <c r="C8550" s="476"/>
      <c r="D8550" s="477"/>
      <c r="E8550" s="96"/>
      <c r="F8550" s="96"/>
      <c r="G8550" s="325"/>
      <c r="H8550" s="96"/>
      <c r="I8550" s="478"/>
      <c r="J8550" s="96"/>
      <c r="K8550" s="96"/>
      <c r="L8550" s="107"/>
      <c r="M8550" s="107"/>
      <c r="N8550" s="107"/>
      <c r="O8550" s="107"/>
      <c r="P8550" s="109"/>
      <c r="Q8550" s="107"/>
      <c r="R8550" s="107"/>
      <c r="S8550" s="107"/>
      <c r="T8550" s="479"/>
      <c r="U8550" s="296"/>
      <c r="V8550" s="50"/>
      <c r="W8550" s="49"/>
      <c r="X8550" s="49"/>
      <c r="Y8550" s="35"/>
      <c r="Z8550" s="35"/>
      <c r="AA8550" s="35"/>
      <c r="AB8550" s="35"/>
      <c r="AC8550" s="35"/>
      <c r="AD8550" s="35"/>
      <c r="AE8550" s="35"/>
      <c r="AF8550" s="35"/>
      <c r="AG8550" s="35"/>
      <c r="AH8550" s="35"/>
      <c r="AI8550" s="35"/>
      <c r="AJ8550" s="35"/>
      <c r="AK8550" s="35"/>
      <c r="AL8550" s="35"/>
    </row>
    <row r="8551">
      <c r="A8551" s="457"/>
      <c r="B8551" s="475"/>
      <c r="C8551" s="476"/>
      <c r="D8551" s="477"/>
      <c r="E8551" s="96"/>
      <c r="F8551" s="96"/>
      <c r="G8551" s="325"/>
      <c r="H8551" s="96"/>
      <c r="I8551" s="478"/>
      <c r="J8551" s="96"/>
      <c r="K8551" s="96"/>
      <c r="L8551" s="107"/>
      <c r="M8551" s="107"/>
      <c r="N8551" s="107"/>
      <c r="O8551" s="107"/>
      <c r="P8551" s="109"/>
      <c r="Q8551" s="107"/>
      <c r="R8551" s="107"/>
      <c r="S8551" s="107"/>
      <c r="T8551" s="479"/>
      <c r="U8551" s="296"/>
      <c r="V8551" s="50"/>
      <c r="W8551" s="49"/>
      <c r="X8551" s="49"/>
      <c r="Y8551" s="35"/>
      <c r="Z8551" s="35"/>
      <c r="AA8551" s="35"/>
      <c r="AB8551" s="35"/>
      <c r="AC8551" s="35"/>
      <c r="AD8551" s="35"/>
      <c r="AE8551" s="35"/>
      <c r="AF8551" s="35"/>
      <c r="AG8551" s="35"/>
      <c r="AH8551" s="35"/>
      <c r="AI8551" s="35"/>
      <c r="AJ8551" s="35"/>
      <c r="AK8551" s="35"/>
      <c r="AL8551" s="35"/>
    </row>
    <row r="8552">
      <c r="A8552" s="457"/>
      <c r="B8552" s="475"/>
      <c r="C8552" s="476"/>
      <c r="D8552" s="477"/>
      <c r="E8552" s="96"/>
      <c r="F8552" s="96"/>
      <c r="G8552" s="325"/>
      <c r="H8552" s="96"/>
      <c r="I8552" s="478"/>
      <c r="J8552" s="96"/>
      <c r="K8552" s="96"/>
      <c r="L8552" s="107"/>
      <c r="M8552" s="107"/>
      <c r="N8552" s="107"/>
      <c r="O8552" s="107"/>
      <c r="P8552" s="109"/>
      <c r="Q8552" s="107"/>
      <c r="R8552" s="107"/>
      <c r="S8552" s="107"/>
      <c r="T8552" s="479"/>
      <c r="U8552" s="296"/>
      <c r="V8552" s="50"/>
      <c r="W8552" s="49"/>
      <c r="X8552" s="49"/>
      <c r="Y8552" s="35"/>
      <c r="Z8552" s="35"/>
      <c r="AA8552" s="35"/>
      <c r="AB8552" s="35"/>
      <c r="AC8552" s="35"/>
      <c r="AD8552" s="35"/>
      <c r="AE8552" s="35"/>
      <c r="AF8552" s="35"/>
      <c r="AG8552" s="35"/>
      <c r="AH8552" s="35"/>
      <c r="AI8552" s="35"/>
      <c r="AJ8552" s="35"/>
      <c r="AK8552" s="35"/>
      <c r="AL8552" s="35"/>
    </row>
    <row r="8553">
      <c r="A8553" s="457"/>
      <c r="B8553" s="475"/>
      <c r="C8553" s="476"/>
      <c r="D8553" s="477"/>
      <c r="E8553" s="96"/>
      <c r="F8553" s="96"/>
      <c r="G8553" s="325"/>
      <c r="H8553" s="96"/>
      <c r="I8553" s="478"/>
      <c r="J8553" s="96"/>
      <c r="K8553" s="96"/>
      <c r="L8553" s="107"/>
      <c r="M8553" s="107"/>
      <c r="N8553" s="107"/>
      <c r="O8553" s="107"/>
      <c r="P8553" s="109"/>
      <c r="Q8553" s="107"/>
      <c r="R8553" s="107"/>
      <c r="S8553" s="107"/>
      <c r="T8553" s="479"/>
      <c r="U8553" s="296"/>
      <c r="V8553" s="50"/>
      <c r="W8553" s="49"/>
      <c r="X8553" s="49"/>
      <c r="Y8553" s="35"/>
      <c r="Z8553" s="35"/>
      <c r="AA8553" s="35"/>
      <c r="AB8553" s="35"/>
      <c r="AC8553" s="35"/>
      <c r="AD8553" s="35"/>
      <c r="AE8553" s="35"/>
      <c r="AF8553" s="35"/>
      <c r="AG8553" s="35"/>
      <c r="AH8553" s="35"/>
      <c r="AI8553" s="35"/>
      <c r="AJ8553" s="35"/>
      <c r="AK8553" s="35"/>
      <c r="AL8553" s="35"/>
    </row>
    <row r="8554">
      <c r="A8554" s="457"/>
      <c r="B8554" s="475"/>
      <c r="C8554" s="476"/>
      <c r="D8554" s="477"/>
      <c r="E8554" s="96"/>
      <c r="F8554" s="96"/>
      <c r="G8554" s="325"/>
      <c r="H8554" s="96"/>
      <c r="I8554" s="478"/>
      <c r="J8554" s="96"/>
      <c r="K8554" s="96"/>
      <c r="L8554" s="107"/>
      <c r="M8554" s="107"/>
      <c r="N8554" s="107"/>
      <c r="O8554" s="107"/>
      <c r="P8554" s="109"/>
      <c r="Q8554" s="107"/>
      <c r="R8554" s="107"/>
      <c r="S8554" s="107"/>
      <c r="T8554" s="479"/>
      <c r="U8554" s="296"/>
      <c r="V8554" s="50"/>
      <c r="W8554" s="49"/>
      <c r="X8554" s="49"/>
      <c r="Y8554" s="35"/>
      <c r="Z8554" s="35"/>
      <c r="AA8554" s="35"/>
      <c r="AB8554" s="35"/>
      <c r="AC8554" s="35"/>
      <c r="AD8554" s="35"/>
      <c r="AE8554" s="35"/>
      <c r="AF8554" s="35"/>
      <c r="AG8554" s="35"/>
      <c r="AH8554" s="35"/>
      <c r="AI8554" s="35"/>
      <c r="AJ8554" s="35"/>
      <c r="AK8554" s="35"/>
      <c r="AL8554" s="35"/>
    </row>
    <row r="8555">
      <c r="A8555" s="457"/>
      <c r="B8555" s="475"/>
      <c r="C8555" s="476"/>
      <c r="D8555" s="477"/>
      <c r="E8555" s="96"/>
      <c r="F8555" s="96"/>
      <c r="G8555" s="325"/>
      <c r="H8555" s="96"/>
      <c r="I8555" s="478"/>
      <c r="J8555" s="96"/>
      <c r="K8555" s="96"/>
      <c r="L8555" s="107"/>
      <c r="M8555" s="107"/>
      <c r="N8555" s="107"/>
      <c r="O8555" s="107"/>
      <c r="P8555" s="109"/>
      <c r="Q8555" s="107"/>
      <c r="R8555" s="107"/>
      <c r="S8555" s="107"/>
      <c r="T8555" s="479"/>
      <c r="U8555" s="296"/>
      <c r="V8555" s="50"/>
      <c r="W8555" s="49"/>
      <c r="X8555" s="49"/>
      <c r="Y8555" s="35"/>
      <c r="Z8555" s="35"/>
      <c r="AA8555" s="35"/>
      <c r="AB8555" s="35"/>
      <c r="AC8555" s="35"/>
      <c r="AD8555" s="35"/>
      <c r="AE8555" s="35"/>
      <c r="AF8555" s="35"/>
      <c r="AG8555" s="35"/>
      <c r="AH8555" s="35"/>
      <c r="AI8555" s="35"/>
      <c r="AJ8555" s="35"/>
      <c r="AK8555" s="35"/>
      <c r="AL8555" s="35"/>
    </row>
    <row r="8556">
      <c r="A8556" s="457"/>
      <c r="B8556" s="475"/>
      <c r="C8556" s="476"/>
      <c r="D8556" s="477"/>
      <c r="E8556" s="96"/>
      <c r="F8556" s="96"/>
      <c r="G8556" s="325"/>
      <c r="H8556" s="96"/>
      <c r="I8556" s="478"/>
      <c r="J8556" s="96"/>
      <c r="K8556" s="96"/>
      <c r="L8556" s="107"/>
      <c r="M8556" s="107"/>
      <c r="N8556" s="107"/>
      <c r="O8556" s="107"/>
      <c r="P8556" s="109"/>
      <c r="Q8556" s="107"/>
      <c r="R8556" s="107"/>
      <c r="S8556" s="107"/>
      <c r="T8556" s="479"/>
      <c r="U8556" s="296"/>
      <c r="V8556" s="50"/>
      <c r="W8556" s="49"/>
      <c r="X8556" s="49"/>
      <c r="Y8556" s="35"/>
      <c r="Z8556" s="35"/>
      <c r="AA8556" s="35"/>
      <c r="AB8556" s="35"/>
      <c r="AC8556" s="35"/>
      <c r="AD8556" s="35"/>
      <c r="AE8556" s="35"/>
      <c r="AF8556" s="35"/>
      <c r="AG8556" s="35"/>
      <c r="AH8556" s="35"/>
      <c r="AI8556" s="35"/>
      <c r="AJ8556" s="35"/>
      <c r="AK8556" s="35"/>
      <c r="AL8556" s="35"/>
    </row>
    <row r="8557">
      <c r="A8557" s="457"/>
      <c r="B8557" s="475"/>
      <c r="C8557" s="476"/>
      <c r="D8557" s="477"/>
      <c r="E8557" s="96"/>
      <c r="F8557" s="96"/>
      <c r="G8557" s="325"/>
      <c r="H8557" s="96"/>
      <c r="I8557" s="478"/>
      <c r="J8557" s="96"/>
      <c r="K8557" s="96"/>
      <c r="L8557" s="107"/>
      <c r="M8557" s="107"/>
      <c r="N8557" s="107"/>
      <c r="O8557" s="107"/>
      <c r="P8557" s="109"/>
      <c r="Q8557" s="107"/>
      <c r="R8557" s="107"/>
      <c r="S8557" s="107"/>
      <c r="T8557" s="479"/>
      <c r="U8557" s="296"/>
      <c r="V8557" s="50"/>
      <c r="W8557" s="49"/>
      <c r="X8557" s="49"/>
      <c r="Y8557" s="35"/>
      <c r="Z8557" s="35"/>
      <c r="AA8557" s="35"/>
      <c r="AB8557" s="35"/>
      <c r="AC8557" s="35"/>
      <c r="AD8557" s="35"/>
      <c r="AE8557" s="35"/>
      <c r="AF8557" s="35"/>
      <c r="AG8557" s="35"/>
      <c r="AH8557" s="35"/>
      <c r="AI8557" s="35"/>
      <c r="AJ8557" s="35"/>
      <c r="AK8557" s="35"/>
      <c r="AL8557" s="35"/>
    </row>
    <row r="8558">
      <c r="A8558" s="457"/>
      <c r="B8558" s="475"/>
      <c r="C8558" s="476"/>
      <c r="D8558" s="477"/>
      <c r="E8558" s="96"/>
      <c r="F8558" s="96"/>
      <c r="G8558" s="325"/>
      <c r="H8558" s="96"/>
      <c r="I8558" s="478"/>
      <c r="J8558" s="96"/>
      <c r="K8558" s="96"/>
      <c r="L8558" s="107"/>
      <c r="M8558" s="107"/>
      <c r="N8558" s="107"/>
      <c r="O8558" s="107"/>
      <c r="P8558" s="109"/>
      <c r="Q8558" s="107"/>
      <c r="R8558" s="107"/>
      <c r="S8558" s="107"/>
      <c r="T8558" s="479"/>
      <c r="U8558" s="296"/>
      <c r="V8558" s="50"/>
      <c r="W8558" s="49"/>
      <c r="X8558" s="49"/>
      <c r="Y8558" s="35"/>
      <c r="Z8558" s="35"/>
      <c r="AA8558" s="35"/>
      <c r="AB8558" s="35"/>
      <c r="AC8558" s="35"/>
      <c r="AD8558" s="35"/>
      <c r="AE8558" s="35"/>
      <c r="AF8558" s="35"/>
      <c r="AG8558" s="35"/>
      <c r="AH8558" s="35"/>
      <c r="AI8558" s="35"/>
      <c r="AJ8558" s="35"/>
      <c r="AK8558" s="35"/>
      <c r="AL8558" s="35"/>
    </row>
    <row r="8559">
      <c r="A8559" s="457"/>
      <c r="B8559" s="475"/>
      <c r="C8559" s="476"/>
      <c r="D8559" s="477"/>
      <c r="E8559" s="96"/>
      <c r="F8559" s="96"/>
      <c r="G8559" s="325"/>
      <c r="H8559" s="96"/>
      <c r="I8559" s="478"/>
      <c r="J8559" s="96"/>
      <c r="K8559" s="96"/>
      <c r="L8559" s="107"/>
      <c r="M8559" s="107"/>
      <c r="N8559" s="107"/>
      <c r="O8559" s="107"/>
      <c r="P8559" s="109"/>
      <c r="Q8559" s="107"/>
      <c r="R8559" s="107"/>
      <c r="S8559" s="107"/>
      <c r="T8559" s="479"/>
      <c r="U8559" s="296"/>
      <c r="V8559" s="50"/>
      <c r="W8559" s="49"/>
      <c r="X8559" s="49"/>
      <c r="Y8559" s="35"/>
      <c r="Z8559" s="35"/>
      <c r="AA8559" s="35"/>
      <c r="AB8559" s="35"/>
      <c r="AC8559" s="35"/>
      <c r="AD8559" s="35"/>
      <c r="AE8559" s="35"/>
      <c r="AF8559" s="35"/>
      <c r="AG8559" s="35"/>
      <c r="AH8559" s="35"/>
      <c r="AI8559" s="35"/>
      <c r="AJ8559" s="35"/>
      <c r="AK8559" s="35"/>
      <c r="AL8559" s="35"/>
    </row>
    <row r="8560">
      <c r="A8560" s="457"/>
      <c r="B8560" s="475"/>
      <c r="C8560" s="476"/>
      <c r="D8560" s="477"/>
      <c r="E8560" s="96"/>
      <c r="F8560" s="96"/>
      <c r="G8560" s="325"/>
      <c r="H8560" s="96"/>
      <c r="I8560" s="478"/>
      <c r="J8560" s="96"/>
      <c r="K8560" s="96"/>
      <c r="L8560" s="107"/>
      <c r="M8560" s="107"/>
      <c r="N8560" s="107"/>
      <c r="O8560" s="107"/>
      <c r="P8560" s="109"/>
      <c r="Q8560" s="107"/>
      <c r="R8560" s="107"/>
      <c r="S8560" s="107"/>
      <c r="T8560" s="479"/>
      <c r="U8560" s="296"/>
      <c r="V8560" s="50"/>
      <c r="W8560" s="49"/>
      <c r="X8560" s="49"/>
      <c r="Y8560" s="35"/>
      <c r="Z8560" s="35"/>
      <c r="AA8560" s="35"/>
      <c r="AB8560" s="35"/>
      <c r="AC8560" s="35"/>
      <c r="AD8560" s="35"/>
      <c r="AE8560" s="35"/>
      <c r="AF8560" s="35"/>
      <c r="AG8560" s="35"/>
      <c r="AH8560" s="35"/>
      <c r="AI8560" s="35"/>
      <c r="AJ8560" s="35"/>
      <c r="AK8560" s="35"/>
      <c r="AL8560" s="35"/>
    </row>
    <row r="8561">
      <c r="A8561" s="457"/>
      <c r="B8561" s="475"/>
      <c r="C8561" s="476"/>
      <c r="D8561" s="477"/>
      <c r="E8561" s="96"/>
      <c r="F8561" s="96"/>
      <c r="G8561" s="325"/>
      <c r="H8561" s="96"/>
      <c r="I8561" s="478"/>
      <c r="J8561" s="96"/>
      <c r="K8561" s="96"/>
      <c r="L8561" s="107"/>
      <c r="M8561" s="107"/>
      <c r="N8561" s="107"/>
      <c r="O8561" s="107"/>
      <c r="P8561" s="109"/>
      <c r="Q8561" s="107"/>
      <c r="R8561" s="107"/>
      <c r="S8561" s="107"/>
      <c r="T8561" s="479"/>
      <c r="U8561" s="296"/>
      <c r="V8561" s="50"/>
      <c r="W8561" s="49"/>
      <c r="X8561" s="49"/>
      <c r="Y8561" s="35"/>
      <c r="Z8561" s="35"/>
      <c r="AA8561" s="35"/>
      <c r="AB8561" s="35"/>
      <c r="AC8561" s="35"/>
      <c r="AD8561" s="35"/>
      <c r="AE8561" s="35"/>
      <c r="AF8561" s="35"/>
      <c r="AG8561" s="35"/>
      <c r="AH8561" s="35"/>
      <c r="AI8561" s="35"/>
      <c r="AJ8561" s="35"/>
      <c r="AK8561" s="35"/>
      <c r="AL8561" s="35"/>
    </row>
    <row r="8562">
      <c r="A8562" s="457"/>
      <c r="B8562" s="475"/>
      <c r="C8562" s="476"/>
      <c r="D8562" s="477"/>
      <c r="E8562" s="96"/>
      <c r="F8562" s="96"/>
      <c r="G8562" s="325"/>
      <c r="H8562" s="96"/>
      <c r="I8562" s="478"/>
      <c r="J8562" s="96"/>
      <c r="K8562" s="96"/>
      <c r="L8562" s="107"/>
      <c r="M8562" s="107"/>
      <c r="N8562" s="107"/>
      <c r="O8562" s="107"/>
      <c r="P8562" s="109"/>
      <c r="Q8562" s="107"/>
      <c r="R8562" s="107"/>
      <c r="S8562" s="107"/>
      <c r="T8562" s="479"/>
      <c r="U8562" s="296"/>
      <c r="V8562" s="50"/>
      <c r="W8562" s="49"/>
      <c r="X8562" s="49"/>
      <c r="Y8562" s="35"/>
      <c r="Z8562" s="35"/>
      <c r="AA8562" s="35"/>
      <c r="AB8562" s="35"/>
      <c r="AC8562" s="35"/>
      <c r="AD8562" s="35"/>
      <c r="AE8562" s="35"/>
      <c r="AF8562" s="35"/>
      <c r="AG8562" s="35"/>
      <c r="AH8562" s="35"/>
      <c r="AI8562" s="35"/>
      <c r="AJ8562" s="35"/>
      <c r="AK8562" s="35"/>
      <c r="AL8562" s="35"/>
    </row>
    <row r="8563">
      <c r="A8563" s="457"/>
      <c r="B8563" s="475"/>
      <c r="C8563" s="476"/>
      <c r="D8563" s="477"/>
      <c r="E8563" s="96"/>
      <c r="F8563" s="96"/>
      <c r="G8563" s="325"/>
      <c r="H8563" s="96"/>
      <c r="I8563" s="478"/>
      <c r="J8563" s="96"/>
      <c r="K8563" s="96"/>
      <c r="L8563" s="107"/>
      <c r="M8563" s="107"/>
      <c r="N8563" s="107"/>
      <c r="O8563" s="107"/>
      <c r="P8563" s="109"/>
      <c r="Q8563" s="107"/>
      <c r="R8563" s="107"/>
      <c r="S8563" s="107"/>
      <c r="T8563" s="479"/>
      <c r="U8563" s="296"/>
      <c r="V8563" s="50"/>
      <c r="W8563" s="49"/>
      <c r="X8563" s="49"/>
      <c r="Y8563" s="35"/>
      <c r="Z8563" s="35"/>
      <c r="AA8563" s="35"/>
      <c r="AB8563" s="35"/>
      <c r="AC8563" s="35"/>
      <c r="AD8563" s="35"/>
      <c r="AE8563" s="35"/>
      <c r="AF8563" s="35"/>
      <c r="AG8563" s="35"/>
      <c r="AH8563" s="35"/>
      <c r="AI8563" s="35"/>
      <c r="AJ8563" s="35"/>
      <c r="AK8563" s="35"/>
      <c r="AL8563" s="35"/>
    </row>
    <row r="8564">
      <c r="A8564" s="457"/>
      <c r="B8564" s="475"/>
      <c r="C8564" s="476"/>
      <c r="D8564" s="477"/>
      <c r="E8564" s="96"/>
      <c r="F8564" s="96"/>
      <c r="G8564" s="325"/>
      <c r="H8564" s="96"/>
      <c r="I8564" s="478"/>
      <c r="J8564" s="96"/>
      <c r="K8564" s="96"/>
      <c r="L8564" s="107"/>
      <c r="M8564" s="107"/>
      <c r="N8564" s="107"/>
      <c r="O8564" s="107"/>
      <c r="P8564" s="109"/>
      <c r="Q8564" s="107"/>
      <c r="R8564" s="107"/>
      <c r="S8564" s="107"/>
      <c r="T8564" s="479"/>
      <c r="U8564" s="296"/>
      <c r="V8564" s="50"/>
      <c r="W8564" s="49"/>
      <c r="X8564" s="49"/>
      <c r="Y8564" s="35"/>
      <c r="Z8564" s="35"/>
      <c r="AA8564" s="35"/>
      <c r="AB8564" s="35"/>
      <c r="AC8564" s="35"/>
      <c r="AD8564" s="35"/>
      <c r="AE8564" s="35"/>
      <c r="AF8564" s="35"/>
      <c r="AG8564" s="35"/>
      <c r="AH8564" s="35"/>
      <c r="AI8564" s="35"/>
      <c r="AJ8564" s="35"/>
      <c r="AK8564" s="35"/>
      <c r="AL8564" s="35"/>
    </row>
    <row r="8565">
      <c r="A8565" s="457"/>
      <c r="B8565" s="475"/>
      <c r="C8565" s="476"/>
      <c r="D8565" s="477"/>
      <c r="E8565" s="96"/>
      <c r="F8565" s="96"/>
      <c r="G8565" s="325"/>
      <c r="H8565" s="96"/>
      <c r="I8565" s="478"/>
      <c r="J8565" s="96"/>
      <c r="K8565" s="96"/>
      <c r="L8565" s="107"/>
      <c r="M8565" s="107"/>
      <c r="N8565" s="107"/>
      <c r="O8565" s="107"/>
      <c r="P8565" s="109"/>
      <c r="Q8565" s="107"/>
      <c r="R8565" s="107"/>
      <c r="S8565" s="107"/>
      <c r="T8565" s="479"/>
      <c r="U8565" s="296"/>
      <c r="V8565" s="50"/>
      <c r="W8565" s="49"/>
      <c r="X8565" s="49"/>
      <c r="Y8565" s="35"/>
      <c r="Z8565" s="35"/>
      <c r="AA8565" s="35"/>
      <c r="AB8565" s="35"/>
      <c r="AC8565" s="35"/>
      <c r="AD8565" s="35"/>
      <c r="AE8565" s="35"/>
      <c r="AF8565" s="35"/>
      <c r="AG8565" s="35"/>
      <c r="AH8565" s="35"/>
      <c r="AI8565" s="35"/>
      <c r="AJ8565" s="35"/>
      <c r="AK8565" s="35"/>
      <c r="AL8565" s="35"/>
    </row>
    <row r="8566">
      <c r="A8566" s="457"/>
      <c r="B8566" s="475"/>
      <c r="C8566" s="476"/>
      <c r="D8566" s="477"/>
      <c r="E8566" s="96"/>
      <c r="F8566" s="96"/>
      <c r="G8566" s="325"/>
      <c r="H8566" s="96"/>
      <c r="I8566" s="478"/>
      <c r="J8566" s="96"/>
      <c r="K8566" s="96"/>
      <c r="L8566" s="107"/>
      <c r="M8566" s="107"/>
      <c r="N8566" s="107"/>
      <c r="O8566" s="107"/>
      <c r="P8566" s="109"/>
      <c r="Q8566" s="107"/>
      <c r="R8566" s="107"/>
      <c r="S8566" s="107"/>
      <c r="T8566" s="479"/>
      <c r="U8566" s="296"/>
      <c r="V8566" s="50"/>
      <c r="W8566" s="49"/>
      <c r="X8566" s="49"/>
      <c r="Y8566" s="35"/>
      <c r="Z8566" s="35"/>
      <c r="AA8566" s="35"/>
      <c r="AB8566" s="35"/>
      <c r="AC8566" s="35"/>
      <c r="AD8566" s="35"/>
      <c r="AE8566" s="35"/>
      <c r="AF8566" s="35"/>
      <c r="AG8566" s="35"/>
      <c r="AH8566" s="35"/>
      <c r="AI8566" s="35"/>
      <c r="AJ8566" s="35"/>
      <c r="AK8566" s="35"/>
      <c r="AL8566" s="35"/>
    </row>
    <row r="8567">
      <c r="A8567" s="457"/>
      <c r="B8567" s="475"/>
      <c r="C8567" s="476"/>
      <c r="D8567" s="477"/>
      <c r="E8567" s="96"/>
      <c r="F8567" s="96"/>
      <c r="G8567" s="325"/>
      <c r="H8567" s="96"/>
      <c r="I8567" s="478"/>
      <c r="J8567" s="96"/>
      <c r="K8567" s="96"/>
      <c r="L8567" s="107"/>
      <c r="M8567" s="107"/>
      <c r="N8567" s="107"/>
      <c r="O8567" s="107"/>
      <c r="P8567" s="109"/>
      <c r="Q8567" s="107"/>
      <c r="R8567" s="107"/>
      <c r="S8567" s="107"/>
      <c r="T8567" s="479"/>
      <c r="U8567" s="296"/>
      <c r="V8567" s="50"/>
      <c r="W8567" s="49"/>
      <c r="X8567" s="49"/>
      <c r="Y8567" s="35"/>
      <c r="Z8567" s="35"/>
      <c r="AA8567" s="35"/>
      <c r="AB8567" s="35"/>
      <c r="AC8567" s="35"/>
      <c r="AD8567" s="35"/>
      <c r="AE8567" s="35"/>
      <c r="AF8567" s="35"/>
      <c r="AG8567" s="35"/>
      <c r="AH8567" s="35"/>
      <c r="AI8567" s="35"/>
      <c r="AJ8567" s="35"/>
      <c r="AK8567" s="35"/>
      <c r="AL8567" s="35"/>
    </row>
    <row r="8568">
      <c r="A8568" s="457"/>
      <c r="B8568" s="475"/>
      <c r="C8568" s="476"/>
      <c r="D8568" s="477"/>
      <c r="E8568" s="96"/>
      <c r="F8568" s="96"/>
      <c r="G8568" s="325"/>
      <c r="H8568" s="96"/>
      <c r="I8568" s="478"/>
      <c r="J8568" s="96"/>
      <c r="K8568" s="96"/>
      <c r="L8568" s="107"/>
      <c r="M8568" s="107"/>
      <c r="N8568" s="107"/>
      <c r="O8568" s="107"/>
      <c r="P8568" s="109"/>
      <c r="Q8568" s="107"/>
      <c r="R8568" s="107"/>
      <c r="S8568" s="107"/>
      <c r="T8568" s="479"/>
      <c r="U8568" s="296"/>
      <c r="V8568" s="50"/>
      <c r="W8568" s="49"/>
      <c r="X8568" s="49"/>
      <c r="Y8568" s="35"/>
      <c r="Z8568" s="35"/>
      <c r="AA8568" s="35"/>
      <c r="AB8568" s="35"/>
      <c r="AC8568" s="35"/>
      <c r="AD8568" s="35"/>
      <c r="AE8568" s="35"/>
      <c r="AF8568" s="35"/>
      <c r="AG8568" s="35"/>
      <c r="AH8568" s="35"/>
      <c r="AI8568" s="35"/>
      <c r="AJ8568" s="35"/>
      <c r="AK8568" s="35"/>
      <c r="AL8568" s="35"/>
    </row>
    <row r="8569">
      <c r="A8569" s="457"/>
      <c r="B8569" s="475"/>
      <c r="C8569" s="476"/>
      <c r="D8569" s="477"/>
      <c r="E8569" s="96"/>
      <c r="F8569" s="96"/>
      <c r="G8569" s="325"/>
      <c r="H8569" s="96"/>
      <c r="I8569" s="478"/>
      <c r="J8569" s="96"/>
      <c r="K8569" s="96"/>
      <c r="L8569" s="107"/>
      <c r="M8569" s="107"/>
      <c r="N8569" s="107"/>
      <c r="O8569" s="107"/>
      <c r="P8569" s="109"/>
      <c r="Q8569" s="107"/>
      <c r="R8569" s="107"/>
      <c r="S8569" s="107"/>
      <c r="T8569" s="479"/>
      <c r="U8569" s="296"/>
      <c r="V8569" s="50"/>
      <c r="W8569" s="49"/>
      <c r="X8569" s="49"/>
      <c r="Y8569" s="35"/>
      <c r="Z8569" s="35"/>
      <c r="AA8569" s="35"/>
      <c r="AB8569" s="35"/>
      <c r="AC8569" s="35"/>
      <c r="AD8569" s="35"/>
      <c r="AE8569" s="35"/>
      <c r="AF8569" s="35"/>
      <c r="AG8569" s="35"/>
      <c r="AH8569" s="35"/>
      <c r="AI8569" s="35"/>
      <c r="AJ8569" s="35"/>
      <c r="AK8569" s="35"/>
      <c r="AL8569" s="35"/>
    </row>
    <row r="8570">
      <c r="A8570" s="457"/>
      <c r="B8570" s="475"/>
      <c r="C8570" s="476"/>
      <c r="D8570" s="477"/>
      <c r="E8570" s="96"/>
      <c r="F8570" s="96"/>
      <c r="G8570" s="325"/>
      <c r="H8570" s="96"/>
      <c r="I8570" s="478"/>
      <c r="J8570" s="96"/>
      <c r="K8570" s="96"/>
      <c r="L8570" s="107"/>
      <c r="M8570" s="107"/>
      <c r="N8570" s="107"/>
      <c r="O8570" s="107"/>
      <c r="P8570" s="109"/>
      <c r="Q8570" s="107"/>
      <c r="R8570" s="107"/>
      <c r="S8570" s="107"/>
      <c r="T8570" s="479"/>
      <c r="U8570" s="296"/>
      <c r="V8570" s="50"/>
      <c r="W8570" s="49"/>
      <c r="X8570" s="49"/>
      <c r="Y8570" s="35"/>
      <c r="Z8570" s="35"/>
      <c r="AA8570" s="35"/>
      <c r="AB8570" s="35"/>
      <c r="AC8570" s="35"/>
      <c r="AD8570" s="35"/>
      <c r="AE8570" s="35"/>
      <c r="AF8570" s="35"/>
      <c r="AG8570" s="35"/>
      <c r="AH8570" s="35"/>
      <c r="AI8570" s="35"/>
      <c r="AJ8570" s="35"/>
      <c r="AK8570" s="35"/>
      <c r="AL8570" s="35"/>
    </row>
    <row r="8571">
      <c r="A8571" s="457"/>
      <c r="B8571" s="475"/>
      <c r="C8571" s="476"/>
      <c r="D8571" s="477"/>
      <c r="E8571" s="96"/>
      <c r="F8571" s="96"/>
      <c r="G8571" s="325"/>
      <c r="H8571" s="96"/>
      <c r="I8571" s="478"/>
      <c r="J8571" s="96"/>
      <c r="K8571" s="96"/>
      <c r="L8571" s="107"/>
      <c r="M8571" s="107"/>
      <c r="N8571" s="107"/>
      <c r="O8571" s="107"/>
      <c r="P8571" s="109"/>
      <c r="Q8571" s="107"/>
      <c r="R8571" s="107"/>
      <c r="S8571" s="107"/>
      <c r="T8571" s="479"/>
      <c r="U8571" s="296"/>
      <c r="V8571" s="50"/>
      <c r="W8571" s="49"/>
      <c r="X8571" s="49"/>
      <c r="Y8571" s="35"/>
      <c r="Z8571" s="35"/>
      <c r="AA8571" s="35"/>
      <c r="AB8571" s="35"/>
      <c r="AC8571" s="35"/>
      <c r="AD8571" s="35"/>
      <c r="AE8571" s="35"/>
      <c r="AF8571" s="35"/>
      <c r="AG8571" s="35"/>
      <c r="AH8571" s="35"/>
      <c r="AI8571" s="35"/>
      <c r="AJ8571" s="35"/>
      <c r="AK8571" s="35"/>
      <c r="AL8571" s="35"/>
    </row>
    <row r="8572">
      <c r="A8572" s="457"/>
      <c r="B8572" s="475"/>
      <c r="C8572" s="476"/>
      <c r="D8572" s="477"/>
      <c r="E8572" s="96"/>
      <c r="F8572" s="96"/>
      <c r="G8572" s="325"/>
      <c r="H8572" s="96"/>
      <c r="I8572" s="478"/>
      <c r="J8572" s="96"/>
      <c r="K8572" s="96"/>
      <c r="L8572" s="107"/>
      <c r="M8572" s="107"/>
      <c r="N8572" s="107"/>
      <c r="O8572" s="107"/>
      <c r="P8572" s="109"/>
      <c r="Q8572" s="107"/>
      <c r="R8572" s="107"/>
      <c r="S8572" s="107"/>
      <c r="T8572" s="479"/>
      <c r="U8572" s="296"/>
      <c r="V8572" s="50"/>
      <c r="W8572" s="49"/>
      <c r="X8572" s="49"/>
      <c r="Y8572" s="35"/>
      <c r="Z8572" s="35"/>
      <c r="AA8572" s="35"/>
      <c r="AB8572" s="35"/>
      <c r="AC8572" s="35"/>
      <c r="AD8572" s="35"/>
      <c r="AE8572" s="35"/>
      <c r="AF8572" s="35"/>
      <c r="AG8572" s="35"/>
      <c r="AH8572" s="35"/>
      <c r="AI8572" s="35"/>
      <c r="AJ8572" s="35"/>
      <c r="AK8572" s="35"/>
      <c r="AL8572" s="35"/>
    </row>
    <row r="8573">
      <c r="A8573" s="457"/>
      <c r="B8573" s="475"/>
      <c r="C8573" s="476"/>
      <c r="D8573" s="477"/>
      <c r="E8573" s="96"/>
      <c r="F8573" s="96"/>
      <c r="G8573" s="325"/>
      <c r="H8573" s="96"/>
      <c r="I8573" s="478"/>
      <c r="J8573" s="96"/>
      <c r="K8573" s="96"/>
      <c r="L8573" s="107"/>
      <c r="M8573" s="107"/>
      <c r="N8573" s="107"/>
      <c r="O8573" s="107"/>
      <c r="P8573" s="109"/>
      <c r="Q8573" s="107"/>
      <c r="R8573" s="107"/>
      <c r="S8573" s="107"/>
      <c r="T8573" s="479"/>
      <c r="U8573" s="296"/>
      <c r="V8573" s="50"/>
      <c r="W8573" s="49"/>
      <c r="X8573" s="49"/>
      <c r="Y8573" s="35"/>
      <c r="Z8573" s="35"/>
      <c r="AA8573" s="35"/>
      <c r="AB8573" s="35"/>
      <c r="AC8573" s="35"/>
      <c r="AD8573" s="35"/>
      <c r="AE8573" s="35"/>
      <c r="AF8573" s="35"/>
      <c r="AG8573" s="35"/>
      <c r="AH8573" s="35"/>
      <c r="AI8573" s="35"/>
      <c r="AJ8573" s="35"/>
      <c r="AK8573" s="35"/>
      <c r="AL8573" s="35"/>
    </row>
    <row r="8574">
      <c r="A8574" s="457"/>
      <c r="B8574" s="475"/>
      <c r="C8574" s="476"/>
      <c r="D8574" s="477"/>
      <c r="E8574" s="96"/>
      <c r="F8574" s="96"/>
      <c r="G8574" s="325"/>
      <c r="H8574" s="96"/>
      <c r="I8574" s="478"/>
      <c r="J8574" s="96"/>
      <c r="K8574" s="96"/>
      <c r="L8574" s="107"/>
      <c r="M8574" s="107"/>
      <c r="N8574" s="107"/>
      <c r="O8574" s="107"/>
      <c r="P8574" s="109"/>
      <c r="Q8574" s="107"/>
      <c r="R8574" s="107"/>
      <c r="S8574" s="107"/>
      <c r="T8574" s="479"/>
      <c r="U8574" s="296"/>
      <c r="V8574" s="50"/>
      <c r="W8574" s="49"/>
      <c r="X8574" s="49"/>
      <c r="Y8574" s="35"/>
      <c r="Z8574" s="35"/>
      <c r="AA8574" s="35"/>
      <c r="AB8574" s="35"/>
      <c r="AC8574" s="35"/>
      <c r="AD8574" s="35"/>
      <c r="AE8574" s="35"/>
      <c r="AF8574" s="35"/>
      <c r="AG8574" s="35"/>
      <c r="AH8574" s="35"/>
      <c r="AI8574" s="35"/>
      <c r="AJ8574" s="35"/>
      <c r="AK8574" s="35"/>
      <c r="AL8574" s="35"/>
    </row>
    <row r="8575">
      <c r="A8575" s="457"/>
      <c r="B8575" s="475"/>
      <c r="C8575" s="476"/>
      <c r="D8575" s="477"/>
      <c r="E8575" s="96"/>
      <c r="F8575" s="96"/>
      <c r="G8575" s="325"/>
      <c r="H8575" s="96"/>
      <c r="I8575" s="478"/>
      <c r="J8575" s="96"/>
      <c r="K8575" s="96"/>
      <c r="L8575" s="107"/>
      <c r="M8575" s="107"/>
      <c r="N8575" s="107"/>
      <c r="O8575" s="107"/>
      <c r="P8575" s="109"/>
      <c r="Q8575" s="107"/>
      <c r="R8575" s="107"/>
      <c r="S8575" s="107"/>
      <c r="T8575" s="479"/>
      <c r="U8575" s="296"/>
      <c r="V8575" s="50"/>
      <c r="W8575" s="49"/>
      <c r="X8575" s="49"/>
      <c r="Y8575" s="35"/>
      <c r="Z8575" s="35"/>
      <c r="AA8575" s="35"/>
      <c r="AB8575" s="35"/>
      <c r="AC8575" s="35"/>
      <c r="AD8575" s="35"/>
      <c r="AE8575" s="35"/>
      <c r="AF8575" s="35"/>
      <c r="AG8575" s="35"/>
      <c r="AH8575" s="35"/>
      <c r="AI8575" s="35"/>
      <c r="AJ8575" s="35"/>
      <c r="AK8575" s="35"/>
      <c r="AL8575" s="35"/>
    </row>
    <row r="8576">
      <c r="A8576" s="457"/>
      <c r="B8576" s="475"/>
      <c r="C8576" s="476"/>
      <c r="D8576" s="477"/>
      <c r="E8576" s="96"/>
      <c r="F8576" s="96"/>
      <c r="G8576" s="325"/>
      <c r="H8576" s="96"/>
      <c r="I8576" s="478"/>
      <c r="J8576" s="96"/>
      <c r="K8576" s="96"/>
      <c r="L8576" s="107"/>
      <c r="M8576" s="107"/>
      <c r="N8576" s="107"/>
      <c r="O8576" s="107"/>
      <c r="P8576" s="109"/>
      <c r="Q8576" s="107"/>
      <c r="R8576" s="107"/>
      <c r="S8576" s="107"/>
      <c r="T8576" s="479"/>
      <c r="U8576" s="296"/>
      <c r="V8576" s="50"/>
      <c r="W8576" s="49"/>
      <c r="X8576" s="49"/>
      <c r="Y8576" s="35"/>
      <c r="Z8576" s="35"/>
      <c r="AA8576" s="35"/>
      <c r="AB8576" s="35"/>
      <c r="AC8576" s="35"/>
      <c r="AD8576" s="35"/>
      <c r="AE8576" s="35"/>
      <c r="AF8576" s="35"/>
      <c r="AG8576" s="35"/>
      <c r="AH8576" s="35"/>
      <c r="AI8576" s="35"/>
      <c r="AJ8576" s="35"/>
      <c r="AK8576" s="35"/>
      <c r="AL8576" s="35"/>
    </row>
    <row r="8577">
      <c r="A8577" s="457"/>
      <c r="B8577" s="475"/>
      <c r="C8577" s="476"/>
      <c r="D8577" s="477"/>
      <c r="E8577" s="96"/>
      <c r="F8577" s="96"/>
      <c r="G8577" s="325"/>
      <c r="H8577" s="96"/>
      <c r="I8577" s="478"/>
      <c r="J8577" s="96"/>
      <c r="K8577" s="96"/>
      <c r="L8577" s="107"/>
      <c r="M8577" s="107"/>
      <c r="N8577" s="107"/>
      <c r="O8577" s="107"/>
      <c r="P8577" s="109"/>
      <c r="Q8577" s="107"/>
      <c r="R8577" s="107"/>
      <c r="S8577" s="107"/>
      <c r="T8577" s="479"/>
      <c r="U8577" s="296"/>
      <c r="V8577" s="50"/>
      <c r="W8577" s="49"/>
      <c r="X8577" s="49"/>
      <c r="Y8577" s="35"/>
      <c r="Z8577" s="35"/>
      <c r="AA8577" s="35"/>
      <c r="AB8577" s="35"/>
      <c r="AC8577" s="35"/>
      <c r="AD8577" s="35"/>
      <c r="AE8577" s="35"/>
      <c r="AF8577" s="35"/>
      <c r="AG8577" s="35"/>
      <c r="AH8577" s="35"/>
      <c r="AI8577" s="35"/>
      <c r="AJ8577" s="35"/>
      <c r="AK8577" s="35"/>
      <c r="AL8577" s="35"/>
    </row>
    <row r="8578">
      <c r="A8578" s="457"/>
      <c r="B8578" s="475"/>
      <c r="C8578" s="476"/>
      <c r="D8578" s="477"/>
      <c r="E8578" s="96"/>
      <c r="F8578" s="96"/>
      <c r="G8578" s="325"/>
      <c r="H8578" s="96"/>
      <c r="I8578" s="478"/>
      <c r="J8578" s="96"/>
      <c r="K8578" s="96"/>
      <c r="L8578" s="107"/>
      <c r="M8578" s="107"/>
      <c r="N8578" s="107"/>
      <c r="O8578" s="107"/>
      <c r="P8578" s="109"/>
      <c r="Q8578" s="107"/>
      <c r="R8578" s="107"/>
      <c r="S8578" s="107"/>
      <c r="T8578" s="479"/>
      <c r="U8578" s="296"/>
      <c r="V8578" s="50"/>
      <c r="W8578" s="49"/>
      <c r="X8578" s="49"/>
      <c r="Y8578" s="35"/>
      <c r="Z8578" s="35"/>
      <c r="AA8578" s="35"/>
      <c r="AB8578" s="35"/>
      <c r="AC8578" s="35"/>
      <c r="AD8578" s="35"/>
      <c r="AE8578" s="35"/>
      <c r="AF8578" s="35"/>
      <c r="AG8578" s="35"/>
      <c r="AH8578" s="35"/>
      <c r="AI8578" s="35"/>
      <c r="AJ8578" s="35"/>
      <c r="AK8578" s="35"/>
      <c r="AL8578" s="35"/>
    </row>
    <row r="8579">
      <c r="A8579" s="457"/>
      <c r="B8579" s="475"/>
      <c r="C8579" s="476"/>
      <c r="D8579" s="477"/>
      <c r="E8579" s="96"/>
      <c r="F8579" s="96"/>
      <c r="G8579" s="325"/>
      <c r="H8579" s="96"/>
      <c r="I8579" s="478"/>
      <c r="J8579" s="96"/>
      <c r="K8579" s="96"/>
      <c r="L8579" s="107"/>
      <c r="M8579" s="107"/>
      <c r="N8579" s="107"/>
      <c r="O8579" s="107"/>
      <c r="P8579" s="109"/>
      <c r="Q8579" s="107"/>
      <c r="R8579" s="107"/>
      <c r="S8579" s="107"/>
      <c r="T8579" s="479"/>
      <c r="U8579" s="296"/>
      <c r="V8579" s="50"/>
      <c r="W8579" s="49"/>
      <c r="X8579" s="49"/>
      <c r="Y8579" s="35"/>
      <c r="Z8579" s="35"/>
      <c r="AA8579" s="35"/>
      <c r="AB8579" s="35"/>
      <c r="AC8579" s="35"/>
      <c r="AD8579" s="35"/>
      <c r="AE8579" s="35"/>
      <c r="AF8579" s="35"/>
      <c r="AG8579" s="35"/>
      <c r="AH8579" s="35"/>
      <c r="AI8579" s="35"/>
      <c r="AJ8579" s="35"/>
      <c r="AK8579" s="35"/>
      <c r="AL8579" s="35"/>
    </row>
    <row r="8580">
      <c r="A8580" s="457"/>
      <c r="B8580" s="475"/>
      <c r="C8580" s="476"/>
      <c r="D8580" s="477"/>
      <c r="E8580" s="96"/>
      <c r="F8580" s="96"/>
      <c r="G8580" s="325"/>
      <c r="H8580" s="96"/>
      <c r="I8580" s="478"/>
      <c r="J8580" s="96"/>
      <c r="K8580" s="96"/>
      <c r="L8580" s="107"/>
      <c r="M8580" s="107"/>
      <c r="N8580" s="107"/>
      <c r="O8580" s="107"/>
      <c r="P8580" s="109"/>
      <c r="Q8580" s="107"/>
      <c r="R8580" s="107"/>
      <c r="S8580" s="107"/>
      <c r="T8580" s="479"/>
      <c r="U8580" s="296"/>
      <c r="V8580" s="50"/>
      <c r="W8580" s="49"/>
      <c r="X8580" s="49"/>
      <c r="Y8580" s="35"/>
      <c r="Z8580" s="35"/>
      <c r="AA8580" s="35"/>
      <c r="AB8580" s="35"/>
      <c r="AC8580" s="35"/>
      <c r="AD8580" s="35"/>
      <c r="AE8580" s="35"/>
      <c r="AF8580" s="35"/>
      <c r="AG8580" s="35"/>
      <c r="AH8580" s="35"/>
      <c r="AI8580" s="35"/>
      <c r="AJ8580" s="35"/>
      <c r="AK8580" s="35"/>
      <c r="AL8580" s="35"/>
    </row>
    <row r="8581">
      <c r="A8581" s="457"/>
      <c r="B8581" s="475"/>
      <c r="C8581" s="476"/>
      <c r="D8581" s="477"/>
      <c r="E8581" s="96"/>
      <c r="F8581" s="96"/>
      <c r="G8581" s="325"/>
      <c r="H8581" s="96"/>
      <c r="I8581" s="478"/>
      <c r="J8581" s="96"/>
      <c r="K8581" s="96"/>
      <c r="L8581" s="107"/>
      <c r="M8581" s="107"/>
      <c r="N8581" s="107"/>
      <c r="O8581" s="107"/>
      <c r="P8581" s="109"/>
      <c r="Q8581" s="107"/>
      <c r="R8581" s="107"/>
      <c r="S8581" s="107"/>
      <c r="T8581" s="479"/>
      <c r="U8581" s="296"/>
      <c r="V8581" s="50"/>
      <c r="W8581" s="49"/>
      <c r="X8581" s="49"/>
      <c r="Y8581" s="35"/>
      <c r="Z8581" s="35"/>
      <c r="AA8581" s="35"/>
      <c r="AB8581" s="35"/>
      <c r="AC8581" s="35"/>
      <c r="AD8581" s="35"/>
      <c r="AE8581" s="35"/>
      <c r="AF8581" s="35"/>
      <c r="AG8581" s="35"/>
      <c r="AH8581" s="35"/>
      <c r="AI8581" s="35"/>
      <c r="AJ8581" s="35"/>
      <c r="AK8581" s="35"/>
      <c r="AL8581" s="35"/>
    </row>
    <row r="8582">
      <c r="A8582" s="457"/>
      <c r="B8582" s="475"/>
      <c r="C8582" s="476"/>
      <c r="D8582" s="477"/>
      <c r="E8582" s="96"/>
      <c r="F8582" s="96"/>
      <c r="G8582" s="325"/>
      <c r="H8582" s="96"/>
      <c r="I8582" s="478"/>
      <c r="J8582" s="96"/>
      <c r="K8582" s="96"/>
      <c r="L8582" s="107"/>
      <c r="M8582" s="107"/>
      <c r="N8582" s="107"/>
      <c r="O8582" s="107"/>
      <c r="P8582" s="109"/>
      <c r="Q8582" s="107"/>
      <c r="R8582" s="107"/>
      <c r="S8582" s="107"/>
      <c r="T8582" s="479"/>
      <c r="U8582" s="296"/>
      <c r="V8582" s="50"/>
      <c r="W8582" s="49"/>
      <c r="X8582" s="49"/>
      <c r="Y8582" s="35"/>
      <c r="Z8582" s="35"/>
      <c r="AA8582" s="35"/>
      <c r="AB8582" s="35"/>
      <c r="AC8582" s="35"/>
      <c r="AD8582" s="35"/>
      <c r="AE8582" s="35"/>
      <c r="AF8582" s="35"/>
      <c r="AG8582" s="35"/>
      <c r="AH8582" s="35"/>
      <c r="AI8582" s="35"/>
      <c r="AJ8582" s="35"/>
      <c r="AK8582" s="35"/>
      <c r="AL8582" s="35"/>
    </row>
    <row r="8583">
      <c r="A8583" s="457"/>
      <c r="B8583" s="475"/>
      <c r="C8583" s="476"/>
      <c r="D8583" s="477"/>
      <c r="E8583" s="96"/>
      <c r="F8583" s="96"/>
      <c r="G8583" s="325"/>
      <c r="H8583" s="96"/>
      <c r="I8583" s="478"/>
      <c r="J8583" s="96"/>
      <c r="K8583" s="96"/>
      <c r="L8583" s="107"/>
      <c r="M8583" s="107"/>
      <c r="N8583" s="107"/>
      <c r="O8583" s="107"/>
      <c r="P8583" s="109"/>
      <c r="Q8583" s="107"/>
      <c r="R8583" s="107"/>
      <c r="S8583" s="107"/>
      <c r="T8583" s="479"/>
      <c r="U8583" s="296"/>
      <c r="V8583" s="50"/>
      <c r="W8583" s="49"/>
      <c r="X8583" s="49"/>
      <c r="Y8583" s="35"/>
      <c r="Z8583" s="35"/>
      <c r="AA8583" s="35"/>
      <c r="AB8583" s="35"/>
      <c r="AC8583" s="35"/>
      <c r="AD8583" s="35"/>
      <c r="AE8583" s="35"/>
      <c r="AF8583" s="35"/>
      <c r="AG8583" s="35"/>
      <c r="AH8583" s="35"/>
      <c r="AI8583" s="35"/>
      <c r="AJ8583" s="35"/>
      <c r="AK8583" s="35"/>
      <c r="AL8583" s="35"/>
    </row>
    <row r="8584">
      <c r="A8584" s="457"/>
      <c r="B8584" s="475"/>
      <c r="C8584" s="476"/>
      <c r="D8584" s="477"/>
      <c r="E8584" s="96"/>
      <c r="F8584" s="96"/>
      <c r="G8584" s="325"/>
      <c r="H8584" s="96"/>
      <c r="I8584" s="478"/>
      <c r="J8584" s="96"/>
      <c r="K8584" s="96"/>
      <c r="L8584" s="107"/>
      <c r="M8584" s="107"/>
      <c r="N8584" s="107"/>
      <c r="O8584" s="107"/>
      <c r="P8584" s="109"/>
      <c r="Q8584" s="107"/>
      <c r="R8584" s="107"/>
      <c r="S8584" s="107"/>
      <c r="T8584" s="479"/>
      <c r="U8584" s="296"/>
      <c r="V8584" s="50"/>
      <c r="W8584" s="49"/>
      <c r="X8584" s="49"/>
      <c r="Y8584" s="35"/>
      <c r="Z8584" s="35"/>
      <c r="AA8584" s="35"/>
      <c r="AB8584" s="35"/>
      <c r="AC8584" s="35"/>
      <c r="AD8584" s="35"/>
      <c r="AE8584" s="35"/>
      <c r="AF8584" s="35"/>
      <c r="AG8584" s="35"/>
      <c r="AH8584" s="35"/>
      <c r="AI8584" s="35"/>
      <c r="AJ8584" s="35"/>
      <c r="AK8584" s="35"/>
      <c r="AL8584" s="35"/>
    </row>
    <row r="8585">
      <c r="A8585" s="457"/>
      <c r="B8585" s="475"/>
      <c r="C8585" s="476"/>
      <c r="D8585" s="477"/>
      <c r="E8585" s="96"/>
      <c r="F8585" s="96"/>
      <c r="G8585" s="325"/>
      <c r="H8585" s="96"/>
      <c r="I8585" s="478"/>
      <c r="J8585" s="96"/>
      <c r="K8585" s="96"/>
      <c r="L8585" s="107"/>
      <c r="M8585" s="107"/>
      <c r="N8585" s="107"/>
      <c r="O8585" s="107"/>
      <c r="P8585" s="109"/>
      <c r="Q8585" s="107"/>
      <c r="R8585" s="107"/>
      <c r="S8585" s="107"/>
      <c r="T8585" s="479"/>
      <c r="U8585" s="296"/>
      <c r="V8585" s="50"/>
      <c r="W8585" s="49"/>
      <c r="X8585" s="49"/>
      <c r="Y8585" s="35"/>
      <c r="Z8585" s="35"/>
      <c r="AA8585" s="35"/>
      <c r="AB8585" s="35"/>
      <c r="AC8585" s="35"/>
      <c r="AD8585" s="35"/>
      <c r="AE8585" s="35"/>
      <c r="AF8585" s="35"/>
      <c r="AG8585" s="35"/>
      <c r="AH8585" s="35"/>
      <c r="AI8585" s="35"/>
      <c r="AJ8585" s="35"/>
      <c r="AK8585" s="35"/>
      <c r="AL8585" s="35"/>
    </row>
    <row r="8586">
      <c r="A8586" s="457"/>
      <c r="B8586" s="475"/>
      <c r="C8586" s="476"/>
      <c r="D8586" s="477"/>
      <c r="E8586" s="96"/>
      <c r="F8586" s="96"/>
      <c r="G8586" s="325"/>
      <c r="H8586" s="96"/>
      <c r="I8586" s="478"/>
      <c r="J8586" s="96"/>
      <c r="K8586" s="96"/>
      <c r="L8586" s="107"/>
      <c r="M8586" s="107"/>
      <c r="N8586" s="107"/>
      <c r="O8586" s="107"/>
      <c r="P8586" s="109"/>
      <c r="Q8586" s="107"/>
      <c r="R8586" s="107"/>
      <c r="S8586" s="107"/>
      <c r="T8586" s="479"/>
      <c r="U8586" s="296"/>
      <c r="V8586" s="50"/>
      <c r="W8586" s="49"/>
      <c r="X8586" s="49"/>
      <c r="Y8586" s="35"/>
      <c r="Z8586" s="35"/>
      <c r="AA8586" s="35"/>
      <c r="AB8586" s="35"/>
      <c r="AC8586" s="35"/>
      <c r="AD8586" s="35"/>
      <c r="AE8586" s="35"/>
      <c r="AF8586" s="35"/>
      <c r="AG8586" s="35"/>
      <c r="AH8586" s="35"/>
      <c r="AI8586" s="35"/>
      <c r="AJ8586" s="35"/>
      <c r="AK8586" s="35"/>
      <c r="AL8586" s="35"/>
    </row>
    <row r="8587">
      <c r="A8587" s="457"/>
      <c r="B8587" s="475"/>
      <c r="C8587" s="476"/>
      <c r="D8587" s="477"/>
      <c r="E8587" s="96"/>
      <c r="F8587" s="96"/>
      <c r="G8587" s="325"/>
      <c r="H8587" s="96"/>
      <c r="I8587" s="478"/>
      <c r="J8587" s="96"/>
      <c r="K8587" s="96"/>
      <c r="L8587" s="107"/>
      <c r="M8587" s="107"/>
      <c r="N8587" s="107"/>
      <c r="O8587" s="107"/>
      <c r="P8587" s="109"/>
      <c r="Q8587" s="107"/>
      <c r="R8587" s="107"/>
      <c r="S8587" s="107"/>
      <c r="T8587" s="479"/>
      <c r="U8587" s="296"/>
      <c r="V8587" s="50"/>
      <c r="W8587" s="49"/>
      <c r="X8587" s="49"/>
      <c r="Y8587" s="35"/>
      <c r="Z8587" s="35"/>
      <c r="AA8587" s="35"/>
      <c r="AB8587" s="35"/>
      <c r="AC8587" s="35"/>
      <c r="AD8587" s="35"/>
      <c r="AE8587" s="35"/>
      <c r="AF8587" s="35"/>
      <c r="AG8587" s="35"/>
      <c r="AH8587" s="35"/>
      <c r="AI8587" s="35"/>
      <c r="AJ8587" s="35"/>
      <c r="AK8587" s="35"/>
      <c r="AL8587" s="35"/>
    </row>
    <row r="8588">
      <c r="A8588" s="457"/>
      <c r="B8588" s="475"/>
      <c r="C8588" s="476"/>
      <c r="D8588" s="477"/>
      <c r="E8588" s="96"/>
      <c r="F8588" s="96"/>
      <c r="G8588" s="325"/>
      <c r="H8588" s="96"/>
      <c r="I8588" s="478"/>
      <c r="J8588" s="96"/>
      <c r="K8588" s="96"/>
      <c r="L8588" s="107"/>
      <c r="M8588" s="107"/>
      <c r="N8588" s="107"/>
      <c r="O8588" s="107"/>
      <c r="P8588" s="109"/>
      <c r="Q8588" s="107"/>
      <c r="R8588" s="107"/>
      <c r="S8588" s="107"/>
      <c r="T8588" s="479"/>
      <c r="U8588" s="296"/>
      <c r="V8588" s="50"/>
      <c r="W8588" s="49"/>
      <c r="X8588" s="49"/>
      <c r="Y8588" s="35"/>
      <c r="Z8588" s="35"/>
      <c r="AA8588" s="35"/>
      <c r="AB8588" s="35"/>
      <c r="AC8588" s="35"/>
      <c r="AD8588" s="35"/>
      <c r="AE8588" s="35"/>
      <c r="AF8588" s="35"/>
      <c r="AG8588" s="35"/>
      <c r="AH8588" s="35"/>
      <c r="AI8588" s="35"/>
      <c r="AJ8588" s="35"/>
      <c r="AK8588" s="35"/>
      <c r="AL8588" s="35"/>
    </row>
    <row r="8589">
      <c r="A8589" s="457"/>
      <c r="B8589" s="475"/>
      <c r="C8589" s="476"/>
      <c r="D8589" s="477"/>
      <c r="E8589" s="96"/>
      <c r="F8589" s="96"/>
      <c r="G8589" s="325"/>
      <c r="H8589" s="96"/>
      <c r="I8589" s="478"/>
      <c r="J8589" s="96"/>
      <c r="K8589" s="96"/>
      <c r="L8589" s="107"/>
      <c r="M8589" s="107"/>
      <c r="N8589" s="107"/>
      <c r="O8589" s="107"/>
      <c r="P8589" s="109"/>
      <c r="Q8589" s="107"/>
      <c r="R8589" s="107"/>
      <c r="S8589" s="107"/>
      <c r="T8589" s="479"/>
      <c r="U8589" s="296"/>
      <c r="V8589" s="50"/>
      <c r="W8589" s="49"/>
      <c r="X8589" s="49"/>
      <c r="Y8589" s="35"/>
      <c r="Z8589" s="35"/>
      <c r="AA8589" s="35"/>
      <c r="AB8589" s="35"/>
      <c r="AC8589" s="35"/>
      <c r="AD8589" s="35"/>
      <c r="AE8589" s="35"/>
      <c r="AF8589" s="35"/>
      <c r="AG8589" s="35"/>
      <c r="AH8589" s="35"/>
      <c r="AI8589" s="35"/>
      <c r="AJ8589" s="35"/>
      <c r="AK8589" s="35"/>
      <c r="AL8589" s="35"/>
    </row>
    <row r="8590">
      <c r="A8590" s="457"/>
      <c r="B8590" s="475"/>
      <c r="C8590" s="476"/>
      <c r="D8590" s="477"/>
      <c r="E8590" s="96"/>
      <c r="F8590" s="96"/>
      <c r="G8590" s="325"/>
      <c r="H8590" s="96"/>
      <c r="I8590" s="478"/>
      <c r="J8590" s="96"/>
      <c r="K8590" s="96"/>
      <c r="L8590" s="107"/>
      <c r="M8590" s="107"/>
      <c r="N8590" s="107"/>
      <c r="O8590" s="107"/>
      <c r="P8590" s="109"/>
      <c r="Q8590" s="107"/>
      <c r="R8590" s="107"/>
      <c r="S8590" s="107"/>
      <c r="T8590" s="479"/>
      <c r="U8590" s="296"/>
      <c r="V8590" s="50"/>
      <c r="W8590" s="49"/>
      <c r="X8590" s="49"/>
      <c r="Y8590" s="35"/>
      <c r="Z8590" s="35"/>
      <c r="AA8590" s="35"/>
      <c r="AB8590" s="35"/>
      <c r="AC8590" s="35"/>
      <c r="AD8590" s="35"/>
      <c r="AE8590" s="35"/>
      <c r="AF8590" s="35"/>
      <c r="AG8590" s="35"/>
      <c r="AH8590" s="35"/>
      <c r="AI8590" s="35"/>
      <c r="AJ8590" s="35"/>
      <c r="AK8590" s="35"/>
      <c r="AL8590" s="35"/>
    </row>
    <row r="8591">
      <c r="A8591" s="457"/>
      <c r="B8591" s="475"/>
      <c r="C8591" s="476"/>
      <c r="D8591" s="477"/>
      <c r="E8591" s="96"/>
      <c r="F8591" s="96"/>
      <c r="G8591" s="325"/>
      <c r="H8591" s="96"/>
      <c r="I8591" s="478"/>
      <c r="J8591" s="96"/>
      <c r="K8591" s="96"/>
      <c r="L8591" s="107"/>
      <c r="M8591" s="107"/>
      <c r="N8591" s="107"/>
      <c r="O8591" s="107"/>
      <c r="P8591" s="109"/>
      <c r="Q8591" s="107"/>
      <c r="R8591" s="107"/>
      <c r="S8591" s="107"/>
      <c r="T8591" s="479"/>
      <c r="U8591" s="296"/>
      <c r="V8591" s="50"/>
      <c r="W8591" s="49"/>
      <c r="X8591" s="49"/>
      <c r="Y8591" s="35"/>
      <c r="Z8591" s="35"/>
      <c r="AA8591" s="35"/>
      <c r="AB8591" s="35"/>
      <c r="AC8591" s="35"/>
      <c r="AD8591" s="35"/>
      <c r="AE8591" s="35"/>
      <c r="AF8591" s="35"/>
      <c r="AG8591" s="35"/>
      <c r="AH8591" s="35"/>
      <c r="AI8591" s="35"/>
      <c r="AJ8591" s="35"/>
      <c r="AK8591" s="35"/>
      <c r="AL8591" s="35"/>
    </row>
    <row r="8592">
      <c r="A8592" s="457"/>
      <c r="B8592" s="475"/>
      <c r="C8592" s="476"/>
      <c r="D8592" s="477"/>
      <c r="E8592" s="96"/>
      <c r="F8592" s="96"/>
      <c r="G8592" s="325"/>
      <c r="H8592" s="96"/>
      <c r="I8592" s="478"/>
      <c r="J8592" s="96"/>
      <c r="K8592" s="96"/>
      <c r="L8592" s="107"/>
      <c r="M8592" s="107"/>
      <c r="N8592" s="107"/>
      <c r="O8592" s="107"/>
      <c r="P8592" s="109"/>
      <c r="Q8592" s="107"/>
      <c r="R8592" s="107"/>
      <c r="S8592" s="107"/>
      <c r="T8592" s="479"/>
      <c r="U8592" s="296"/>
      <c r="V8592" s="50"/>
      <c r="W8592" s="49"/>
      <c r="X8592" s="49"/>
      <c r="Y8592" s="35"/>
      <c r="Z8592" s="35"/>
      <c r="AA8592" s="35"/>
      <c r="AB8592" s="35"/>
      <c r="AC8592" s="35"/>
      <c r="AD8592" s="35"/>
      <c r="AE8592" s="35"/>
      <c r="AF8592" s="35"/>
      <c r="AG8592" s="35"/>
      <c r="AH8592" s="35"/>
      <c r="AI8592" s="35"/>
      <c r="AJ8592" s="35"/>
      <c r="AK8592" s="35"/>
      <c r="AL8592" s="35"/>
    </row>
    <row r="8593">
      <c r="A8593" s="457"/>
      <c r="B8593" s="475"/>
      <c r="C8593" s="476"/>
      <c r="D8593" s="477"/>
      <c r="E8593" s="96"/>
      <c r="F8593" s="96"/>
      <c r="G8593" s="325"/>
      <c r="H8593" s="96"/>
      <c r="I8593" s="478"/>
      <c r="J8593" s="96"/>
      <c r="K8593" s="96"/>
      <c r="L8593" s="107"/>
      <c r="M8593" s="107"/>
      <c r="N8593" s="107"/>
      <c r="O8593" s="107"/>
      <c r="P8593" s="109"/>
      <c r="Q8593" s="107"/>
      <c r="R8593" s="107"/>
      <c r="S8593" s="107"/>
      <c r="T8593" s="479"/>
      <c r="U8593" s="296"/>
      <c r="V8593" s="50"/>
      <c r="W8593" s="49"/>
      <c r="X8593" s="49"/>
      <c r="Y8593" s="35"/>
      <c r="Z8593" s="35"/>
      <c r="AA8593" s="35"/>
      <c r="AB8593" s="35"/>
      <c r="AC8593" s="35"/>
      <c r="AD8593" s="35"/>
      <c r="AE8593" s="35"/>
      <c r="AF8593" s="35"/>
      <c r="AG8593" s="35"/>
      <c r="AH8593" s="35"/>
      <c r="AI8593" s="35"/>
      <c r="AJ8593" s="35"/>
      <c r="AK8593" s="35"/>
      <c r="AL8593" s="35"/>
    </row>
    <row r="8594">
      <c r="A8594" s="457"/>
      <c r="B8594" s="475"/>
      <c r="C8594" s="476"/>
      <c r="D8594" s="477"/>
      <c r="E8594" s="96"/>
      <c r="F8594" s="96"/>
      <c r="G8594" s="325"/>
      <c r="H8594" s="96"/>
      <c r="I8594" s="478"/>
      <c r="J8594" s="96"/>
      <c r="K8594" s="96"/>
      <c r="L8594" s="107"/>
      <c r="M8594" s="107"/>
      <c r="N8594" s="107"/>
      <c r="O8594" s="107"/>
      <c r="P8594" s="109"/>
      <c r="Q8594" s="107"/>
      <c r="R8594" s="107"/>
      <c r="S8594" s="107"/>
      <c r="T8594" s="479"/>
      <c r="U8594" s="296"/>
      <c r="V8594" s="50"/>
      <c r="W8594" s="49"/>
      <c r="X8594" s="49"/>
      <c r="Y8594" s="35"/>
      <c r="Z8594" s="35"/>
      <c r="AA8594" s="35"/>
      <c r="AB8594" s="35"/>
      <c r="AC8594" s="35"/>
      <c r="AD8594" s="35"/>
      <c r="AE8594" s="35"/>
      <c r="AF8594" s="35"/>
      <c r="AG8594" s="35"/>
      <c r="AH8594" s="35"/>
      <c r="AI8594" s="35"/>
      <c r="AJ8594" s="35"/>
      <c r="AK8594" s="35"/>
      <c r="AL8594" s="35"/>
    </row>
    <row r="8595">
      <c r="A8595" s="457"/>
      <c r="B8595" s="475"/>
      <c r="C8595" s="476"/>
      <c r="D8595" s="477"/>
      <c r="E8595" s="96"/>
      <c r="F8595" s="96"/>
      <c r="G8595" s="325"/>
      <c r="H8595" s="96"/>
      <c r="I8595" s="478"/>
      <c r="J8595" s="96"/>
      <c r="K8595" s="96"/>
      <c r="L8595" s="107"/>
      <c r="M8595" s="107"/>
      <c r="N8595" s="107"/>
      <c r="O8595" s="107"/>
      <c r="P8595" s="109"/>
      <c r="Q8595" s="107"/>
      <c r="R8595" s="107"/>
      <c r="S8595" s="107"/>
      <c r="T8595" s="479"/>
      <c r="U8595" s="296"/>
      <c r="V8595" s="50"/>
      <c r="W8595" s="49"/>
      <c r="X8595" s="49"/>
      <c r="Y8595" s="35"/>
      <c r="Z8595" s="35"/>
      <c r="AA8595" s="35"/>
      <c r="AB8595" s="35"/>
      <c r="AC8595" s="35"/>
      <c r="AD8595" s="35"/>
      <c r="AE8595" s="35"/>
      <c r="AF8595" s="35"/>
      <c r="AG8595" s="35"/>
      <c r="AH8595" s="35"/>
      <c r="AI8595" s="35"/>
      <c r="AJ8595" s="35"/>
      <c r="AK8595" s="35"/>
      <c r="AL8595" s="35"/>
    </row>
    <row r="8596">
      <c r="A8596" s="457"/>
      <c r="B8596" s="475"/>
      <c r="C8596" s="476"/>
      <c r="D8596" s="477"/>
      <c r="E8596" s="96"/>
      <c r="F8596" s="96"/>
      <c r="G8596" s="325"/>
      <c r="H8596" s="96"/>
      <c r="I8596" s="478"/>
      <c r="J8596" s="96"/>
      <c r="K8596" s="96"/>
      <c r="L8596" s="107"/>
      <c r="M8596" s="107"/>
      <c r="N8596" s="107"/>
      <c r="O8596" s="107"/>
      <c r="P8596" s="109"/>
      <c r="Q8596" s="107"/>
      <c r="R8596" s="107"/>
      <c r="S8596" s="107"/>
      <c r="T8596" s="479"/>
      <c r="U8596" s="296"/>
      <c r="V8596" s="50"/>
      <c r="W8596" s="49"/>
      <c r="X8596" s="49"/>
      <c r="Y8596" s="35"/>
      <c r="Z8596" s="35"/>
      <c r="AA8596" s="35"/>
      <c r="AB8596" s="35"/>
      <c r="AC8596" s="35"/>
      <c r="AD8596" s="35"/>
      <c r="AE8596" s="35"/>
      <c r="AF8596" s="35"/>
      <c r="AG8596" s="35"/>
      <c r="AH8596" s="35"/>
      <c r="AI8596" s="35"/>
      <c r="AJ8596" s="35"/>
      <c r="AK8596" s="35"/>
      <c r="AL8596" s="35"/>
    </row>
    <row r="8597">
      <c r="A8597" s="457"/>
      <c r="B8597" s="475"/>
      <c r="C8597" s="476"/>
      <c r="D8597" s="477"/>
      <c r="E8597" s="96"/>
      <c r="F8597" s="96"/>
      <c r="G8597" s="325"/>
      <c r="H8597" s="96"/>
      <c r="I8597" s="478"/>
      <c r="J8597" s="96"/>
      <c r="K8597" s="96"/>
      <c r="L8597" s="107"/>
      <c r="M8597" s="107"/>
      <c r="N8597" s="107"/>
      <c r="O8597" s="107"/>
      <c r="P8597" s="109"/>
      <c r="Q8597" s="107"/>
      <c r="R8597" s="107"/>
      <c r="S8597" s="107"/>
      <c r="T8597" s="479"/>
      <c r="U8597" s="296"/>
      <c r="V8597" s="50"/>
      <c r="W8597" s="49"/>
      <c r="X8597" s="49"/>
      <c r="Y8597" s="35"/>
      <c r="Z8597" s="35"/>
      <c r="AA8597" s="35"/>
      <c r="AB8597" s="35"/>
      <c r="AC8597" s="35"/>
      <c r="AD8597" s="35"/>
      <c r="AE8597" s="35"/>
      <c r="AF8597" s="35"/>
      <c r="AG8597" s="35"/>
      <c r="AH8597" s="35"/>
      <c r="AI8597" s="35"/>
      <c r="AJ8597" s="35"/>
      <c r="AK8597" s="35"/>
      <c r="AL8597" s="35"/>
    </row>
    <row r="8598">
      <c r="A8598" s="457"/>
      <c r="B8598" s="475"/>
      <c r="C8598" s="476"/>
      <c r="D8598" s="477"/>
      <c r="E8598" s="96"/>
      <c r="F8598" s="96"/>
      <c r="G8598" s="325"/>
      <c r="H8598" s="96"/>
      <c r="I8598" s="478"/>
      <c r="J8598" s="96"/>
      <c r="K8598" s="96"/>
      <c r="L8598" s="107"/>
      <c r="M8598" s="107"/>
      <c r="N8598" s="107"/>
      <c r="O8598" s="107"/>
      <c r="P8598" s="109"/>
      <c r="Q8598" s="107"/>
      <c r="R8598" s="107"/>
      <c r="S8598" s="107"/>
      <c r="T8598" s="479"/>
      <c r="U8598" s="296"/>
      <c r="V8598" s="50"/>
      <c r="W8598" s="49"/>
      <c r="X8598" s="49"/>
      <c r="Y8598" s="35"/>
      <c r="Z8598" s="35"/>
      <c r="AA8598" s="35"/>
      <c r="AB8598" s="35"/>
      <c r="AC8598" s="35"/>
      <c r="AD8598" s="35"/>
      <c r="AE8598" s="35"/>
      <c r="AF8598" s="35"/>
      <c r="AG8598" s="35"/>
      <c r="AH8598" s="35"/>
      <c r="AI8598" s="35"/>
      <c r="AJ8598" s="35"/>
      <c r="AK8598" s="35"/>
      <c r="AL8598" s="35"/>
    </row>
    <row r="8599">
      <c r="A8599" s="457"/>
      <c r="B8599" s="475"/>
      <c r="C8599" s="476"/>
      <c r="D8599" s="477"/>
      <c r="E8599" s="96"/>
      <c r="F8599" s="96"/>
      <c r="G8599" s="325"/>
      <c r="H8599" s="96"/>
      <c r="I8599" s="478"/>
      <c r="J8599" s="96"/>
      <c r="K8599" s="96"/>
      <c r="L8599" s="107"/>
      <c r="M8599" s="107"/>
      <c r="N8599" s="107"/>
      <c r="O8599" s="107"/>
      <c r="P8599" s="109"/>
      <c r="Q8599" s="107"/>
      <c r="R8599" s="107"/>
      <c r="S8599" s="107"/>
      <c r="T8599" s="479"/>
      <c r="U8599" s="296"/>
      <c r="V8599" s="50"/>
      <c r="W8599" s="49"/>
      <c r="X8599" s="49"/>
      <c r="Y8599" s="35"/>
      <c r="Z8599" s="35"/>
      <c r="AA8599" s="35"/>
      <c r="AB8599" s="35"/>
      <c r="AC8599" s="35"/>
      <c r="AD8599" s="35"/>
      <c r="AE8599" s="35"/>
      <c r="AF8599" s="35"/>
      <c r="AG8599" s="35"/>
      <c r="AH8599" s="35"/>
      <c r="AI8599" s="35"/>
      <c r="AJ8599" s="35"/>
      <c r="AK8599" s="35"/>
      <c r="AL8599" s="35"/>
    </row>
    <row r="8600">
      <c r="A8600" s="457"/>
      <c r="B8600" s="475"/>
      <c r="C8600" s="476"/>
      <c r="D8600" s="477"/>
      <c r="E8600" s="96"/>
      <c r="F8600" s="96"/>
      <c r="G8600" s="325"/>
      <c r="H8600" s="96"/>
      <c r="I8600" s="478"/>
      <c r="J8600" s="96"/>
      <c r="K8600" s="96"/>
      <c r="L8600" s="107"/>
      <c r="M8600" s="107"/>
      <c r="N8600" s="107"/>
      <c r="O8600" s="107"/>
      <c r="P8600" s="109"/>
      <c r="Q8600" s="107"/>
      <c r="R8600" s="107"/>
      <c r="S8600" s="107"/>
      <c r="T8600" s="479"/>
      <c r="U8600" s="296"/>
      <c r="V8600" s="50"/>
      <c r="W8600" s="49"/>
      <c r="X8600" s="49"/>
      <c r="Y8600" s="35"/>
      <c r="Z8600" s="35"/>
      <c r="AA8600" s="35"/>
      <c r="AB8600" s="35"/>
      <c r="AC8600" s="35"/>
      <c r="AD8600" s="35"/>
      <c r="AE8600" s="35"/>
      <c r="AF8600" s="35"/>
      <c r="AG8600" s="35"/>
      <c r="AH8600" s="35"/>
      <c r="AI8600" s="35"/>
      <c r="AJ8600" s="35"/>
      <c r="AK8600" s="35"/>
      <c r="AL8600" s="35"/>
    </row>
    <row r="8601">
      <c r="A8601" s="457"/>
      <c r="B8601" s="475"/>
      <c r="C8601" s="476"/>
      <c r="D8601" s="477"/>
      <c r="E8601" s="96"/>
      <c r="F8601" s="96"/>
      <c r="G8601" s="325"/>
      <c r="H8601" s="96"/>
      <c r="I8601" s="478"/>
      <c r="J8601" s="96"/>
      <c r="K8601" s="96"/>
      <c r="L8601" s="107"/>
      <c r="M8601" s="107"/>
      <c r="N8601" s="107"/>
      <c r="O8601" s="107"/>
      <c r="P8601" s="109"/>
      <c r="Q8601" s="107"/>
      <c r="R8601" s="107"/>
      <c r="S8601" s="107"/>
      <c r="T8601" s="479"/>
      <c r="U8601" s="296"/>
      <c r="V8601" s="50"/>
      <c r="W8601" s="49"/>
      <c r="X8601" s="49"/>
      <c r="Y8601" s="35"/>
      <c r="Z8601" s="35"/>
      <c r="AA8601" s="35"/>
      <c r="AB8601" s="35"/>
      <c r="AC8601" s="35"/>
      <c r="AD8601" s="35"/>
      <c r="AE8601" s="35"/>
      <c r="AF8601" s="35"/>
      <c r="AG8601" s="35"/>
      <c r="AH8601" s="35"/>
      <c r="AI8601" s="35"/>
      <c r="AJ8601" s="35"/>
      <c r="AK8601" s="35"/>
      <c r="AL8601" s="35"/>
    </row>
    <row r="8602">
      <c r="A8602" s="457"/>
      <c r="B8602" s="475"/>
      <c r="C8602" s="476"/>
      <c r="D8602" s="477"/>
      <c r="E8602" s="96"/>
      <c r="F8602" s="96"/>
      <c r="G8602" s="325"/>
      <c r="H8602" s="96"/>
      <c r="I8602" s="478"/>
      <c r="J8602" s="96"/>
      <c r="K8602" s="96"/>
      <c r="L8602" s="107"/>
      <c r="M8602" s="107"/>
      <c r="N8602" s="107"/>
      <c r="O8602" s="107"/>
      <c r="P8602" s="109"/>
      <c r="Q8602" s="107"/>
      <c r="R8602" s="107"/>
      <c r="S8602" s="107"/>
      <c r="T8602" s="479"/>
      <c r="U8602" s="296"/>
      <c r="V8602" s="50"/>
      <c r="W8602" s="49"/>
      <c r="X8602" s="49"/>
      <c r="Y8602" s="35"/>
      <c r="Z8602" s="35"/>
      <c r="AA8602" s="35"/>
      <c r="AB8602" s="35"/>
      <c r="AC8602" s="35"/>
      <c r="AD8602" s="35"/>
      <c r="AE8602" s="35"/>
      <c r="AF8602" s="35"/>
      <c r="AG8602" s="35"/>
      <c r="AH8602" s="35"/>
      <c r="AI8602" s="35"/>
      <c r="AJ8602" s="35"/>
      <c r="AK8602" s="35"/>
      <c r="AL8602" s="35"/>
    </row>
    <row r="8603">
      <c r="A8603" s="457"/>
      <c r="B8603" s="475"/>
      <c r="C8603" s="476"/>
      <c r="D8603" s="477"/>
      <c r="E8603" s="96"/>
      <c r="F8603" s="96"/>
      <c r="G8603" s="325"/>
      <c r="H8603" s="96"/>
      <c r="I8603" s="478"/>
      <c r="J8603" s="96"/>
      <c r="K8603" s="96"/>
      <c r="L8603" s="107"/>
      <c r="M8603" s="107"/>
      <c r="N8603" s="107"/>
      <c r="O8603" s="107"/>
      <c r="P8603" s="109"/>
      <c r="Q8603" s="107"/>
      <c r="R8603" s="107"/>
      <c r="S8603" s="107"/>
      <c r="T8603" s="479"/>
      <c r="U8603" s="296"/>
      <c r="V8603" s="50"/>
      <c r="W8603" s="49"/>
      <c r="X8603" s="49"/>
      <c r="Y8603" s="35"/>
      <c r="Z8603" s="35"/>
      <c r="AA8603" s="35"/>
      <c r="AB8603" s="35"/>
      <c r="AC8603" s="35"/>
      <c r="AD8603" s="35"/>
      <c r="AE8603" s="35"/>
      <c r="AF8603" s="35"/>
      <c r="AG8603" s="35"/>
      <c r="AH8603" s="35"/>
      <c r="AI8603" s="35"/>
      <c r="AJ8603" s="35"/>
      <c r="AK8603" s="35"/>
      <c r="AL8603" s="35"/>
    </row>
    <row r="8604">
      <c r="A8604" s="457"/>
      <c r="B8604" s="475"/>
      <c r="C8604" s="476"/>
      <c r="D8604" s="477"/>
      <c r="E8604" s="96"/>
      <c r="F8604" s="96"/>
      <c r="G8604" s="325"/>
      <c r="H8604" s="96"/>
      <c r="I8604" s="478"/>
      <c r="J8604" s="96"/>
      <c r="K8604" s="96"/>
      <c r="L8604" s="107"/>
      <c r="M8604" s="107"/>
      <c r="N8604" s="107"/>
      <c r="O8604" s="107"/>
      <c r="P8604" s="109"/>
      <c r="Q8604" s="107"/>
      <c r="R8604" s="107"/>
      <c r="S8604" s="107"/>
      <c r="T8604" s="479"/>
      <c r="U8604" s="296"/>
      <c r="V8604" s="50"/>
      <c r="W8604" s="49"/>
      <c r="X8604" s="49"/>
      <c r="Y8604" s="35"/>
      <c r="Z8604" s="35"/>
      <c r="AA8604" s="35"/>
      <c r="AB8604" s="35"/>
      <c r="AC8604" s="35"/>
      <c r="AD8604" s="35"/>
      <c r="AE8604" s="35"/>
      <c r="AF8604" s="35"/>
      <c r="AG8604" s="35"/>
      <c r="AH8604" s="35"/>
      <c r="AI8604" s="35"/>
      <c r="AJ8604" s="35"/>
      <c r="AK8604" s="35"/>
      <c r="AL8604" s="35"/>
    </row>
    <row r="8605">
      <c r="A8605" s="457"/>
      <c r="B8605" s="475"/>
      <c r="C8605" s="476"/>
      <c r="D8605" s="477"/>
      <c r="E8605" s="96"/>
      <c r="F8605" s="96"/>
      <c r="G8605" s="325"/>
      <c r="H8605" s="96"/>
      <c r="I8605" s="478"/>
      <c r="J8605" s="96"/>
      <c r="K8605" s="96"/>
      <c r="L8605" s="107"/>
      <c r="M8605" s="107"/>
      <c r="N8605" s="107"/>
      <c r="O8605" s="107"/>
      <c r="P8605" s="109"/>
      <c r="Q8605" s="107"/>
      <c r="R8605" s="107"/>
      <c r="S8605" s="107"/>
      <c r="T8605" s="479"/>
      <c r="U8605" s="296"/>
      <c r="V8605" s="50"/>
      <c r="W8605" s="49"/>
      <c r="X8605" s="49"/>
      <c r="Y8605" s="35"/>
      <c r="Z8605" s="35"/>
      <c r="AA8605" s="35"/>
      <c r="AB8605" s="35"/>
      <c r="AC8605" s="35"/>
      <c r="AD8605" s="35"/>
      <c r="AE8605" s="35"/>
      <c r="AF8605" s="35"/>
      <c r="AG8605" s="35"/>
      <c r="AH8605" s="35"/>
      <c r="AI8605" s="35"/>
      <c r="AJ8605" s="35"/>
      <c r="AK8605" s="35"/>
      <c r="AL8605" s="35"/>
    </row>
    <row r="8606">
      <c r="A8606" s="457"/>
      <c r="B8606" s="475"/>
      <c r="C8606" s="476"/>
      <c r="D8606" s="477"/>
      <c r="E8606" s="96"/>
      <c r="F8606" s="96"/>
      <c r="G8606" s="325"/>
      <c r="H8606" s="96"/>
      <c r="I8606" s="478"/>
      <c r="J8606" s="96"/>
      <c r="K8606" s="96"/>
      <c r="L8606" s="107"/>
      <c r="M8606" s="107"/>
      <c r="N8606" s="107"/>
      <c r="O8606" s="107"/>
      <c r="P8606" s="109"/>
      <c r="Q8606" s="107"/>
      <c r="R8606" s="107"/>
      <c r="S8606" s="107"/>
      <c r="T8606" s="479"/>
      <c r="U8606" s="296"/>
      <c r="V8606" s="50"/>
      <c r="W8606" s="49"/>
      <c r="X8606" s="49"/>
      <c r="Y8606" s="35"/>
      <c r="Z8606" s="35"/>
      <c r="AA8606" s="35"/>
      <c r="AB8606" s="35"/>
      <c r="AC8606" s="35"/>
      <c r="AD8606" s="35"/>
      <c r="AE8606" s="35"/>
      <c r="AF8606" s="35"/>
      <c r="AG8606" s="35"/>
      <c r="AH8606" s="35"/>
      <c r="AI8606" s="35"/>
      <c r="AJ8606" s="35"/>
      <c r="AK8606" s="35"/>
      <c r="AL8606" s="35"/>
    </row>
    <row r="8607">
      <c r="A8607" s="457"/>
      <c r="B8607" s="475"/>
      <c r="C8607" s="476"/>
      <c r="D8607" s="477"/>
      <c r="E8607" s="96"/>
      <c r="F8607" s="96"/>
      <c r="G8607" s="325"/>
      <c r="H8607" s="96"/>
      <c r="I8607" s="478"/>
      <c r="J8607" s="96"/>
      <c r="K8607" s="96"/>
      <c r="L8607" s="107"/>
      <c r="M8607" s="107"/>
      <c r="N8607" s="107"/>
      <c r="O8607" s="107"/>
      <c r="P8607" s="109"/>
      <c r="Q8607" s="107"/>
      <c r="R8607" s="107"/>
      <c r="S8607" s="107"/>
      <c r="T8607" s="479"/>
      <c r="U8607" s="296"/>
      <c r="V8607" s="50"/>
      <c r="W8607" s="49"/>
      <c r="X8607" s="49"/>
      <c r="Y8607" s="35"/>
      <c r="Z8607" s="35"/>
      <c r="AA8607" s="35"/>
      <c r="AB8607" s="35"/>
      <c r="AC8607" s="35"/>
      <c r="AD8607" s="35"/>
      <c r="AE8607" s="35"/>
      <c r="AF8607" s="35"/>
      <c r="AG8607" s="35"/>
      <c r="AH8607" s="35"/>
      <c r="AI8607" s="35"/>
      <c r="AJ8607" s="35"/>
      <c r="AK8607" s="35"/>
      <c r="AL8607" s="35"/>
    </row>
    <row r="8608">
      <c r="A8608" s="457"/>
      <c r="B8608" s="475"/>
      <c r="C8608" s="476"/>
      <c r="D8608" s="477"/>
      <c r="E8608" s="96"/>
      <c r="F8608" s="96"/>
      <c r="G8608" s="325"/>
      <c r="H8608" s="96"/>
      <c r="I8608" s="478"/>
      <c r="J8608" s="96"/>
      <c r="K8608" s="96"/>
      <c r="L8608" s="107"/>
      <c r="M8608" s="107"/>
      <c r="N8608" s="107"/>
      <c r="O8608" s="107"/>
      <c r="P8608" s="109"/>
      <c r="Q8608" s="107"/>
      <c r="R8608" s="107"/>
      <c r="S8608" s="107"/>
      <c r="T8608" s="479"/>
      <c r="U8608" s="296"/>
      <c r="V8608" s="50"/>
      <c r="W8608" s="49"/>
      <c r="X8608" s="49"/>
      <c r="Y8608" s="35"/>
      <c r="Z8608" s="35"/>
      <c r="AA8608" s="35"/>
      <c r="AB8608" s="35"/>
      <c r="AC8608" s="35"/>
      <c r="AD8608" s="35"/>
      <c r="AE8608" s="35"/>
      <c r="AF8608" s="35"/>
      <c r="AG8608" s="35"/>
      <c r="AH8608" s="35"/>
      <c r="AI8608" s="35"/>
      <c r="AJ8608" s="35"/>
      <c r="AK8608" s="35"/>
      <c r="AL8608" s="35"/>
    </row>
    <row r="8609">
      <c r="A8609" s="457"/>
      <c r="B8609" s="475"/>
      <c r="C8609" s="476"/>
      <c r="D8609" s="477"/>
      <c r="E8609" s="96"/>
      <c r="F8609" s="96"/>
      <c r="G8609" s="325"/>
      <c r="H8609" s="96"/>
      <c r="I8609" s="478"/>
      <c r="J8609" s="96"/>
      <c r="K8609" s="96"/>
      <c r="L8609" s="107"/>
      <c r="M8609" s="107"/>
      <c r="N8609" s="107"/>
      <c r="O8609" s="107"/>
      <c r="P8609" s="109"/>
      <c r="Q8609" s="107"/>
      <c r="R8609" s="107"/>
      <c r="S8609" s="107"/>
      <c r="T8609" s="479"/>
      <c r="U8609" s="296"/>
      <c r="V8609" s="50"/>
      <c r="W8609" s="49"/>
      <c r="X8609" s="49"/>
      <c r="Y8609" s="35"/>
      <c r="Z8609" s="35"/>
      <c r="AA8609" s="35"/>
      <c r="AB8609" s="35"/>
      <c r="AC8609" s="35"/>
      <c r="AD8609" s="35"/>
      <c r="AE8609" s="35"/>
      <c r="AF8609" s="35"/>
      <c r="AG8609" s="35"/>
      <c r="AH8609" s="35"/>
      <c r="AI8609" s="35"/>
      <c r="AJ8609" s="35"/>
      <c r="AK8609" s="35"/>
      <c r="AL8609" s="35"/>
    </row>
    <row r="8610">
      <c r="A8610" s="457"/>
      <c r="B8610" s="475"/>
      <c r="C8610" s="476"/>
      <c r="D8610" s="477"/>
      <c r="E8610" s="96"/>
      <c r="F8610" s="96"/>
      <c r="G8610" s="325"/>
      <c r="H8610" s="96"/>
      <c r="I8610" s="478"/>
      <c r="J8610" s="96"/>
      <c r="K8610" s="96"/>
      <c r="L8610" s="107"/>
      <c r="M8610" s="107"/>
      <c r="N8610" s="107"/>
      <c r="O8610" s="107"/>
      <c r="P8610" s="109"/>
      <c r="Q8610" s="107"/>
      <c r="R8610" s="107"/>
      <c r="S8610" s="107"/>
      <c r="T8610" s="479"/>
      <c r="U8610" s="296"/>
      <c r="V8610" s="50"/>
      <c r="W8610" s="49"/>
      <c r="X8610" s="49"/>
      <c r="Y8610" s="35"/>
      <c r="Z8610" s="35"/>
      <c r="AA8610" s="35"/>
      <c r="AB8610" s="35"/>
      <c r="AC8610" s="35"/>
      <c r="AD8610" s="35"/>
      <c r="AE8610" s="35"/>
      <c r="AF8610" s="35"/>
      <c r="AG8610" s="35"/>
      <c r="AH8610" s="35"/>
      <c r="AI8610" s="35"/>
      <c r="AJ8610" s="35"/>
      <c r="AK8610" s="35"/>
      <c r="AL8610" s="35"/>
    </row>
    <row r="8611">
      <c r="A8611" s="457"/>
      <c r="B8611" s="475"/>
      <c r="C8611" s="476"/>
      <c r="D8611" s="477"/>
      <c r="E8611" s="96"/>
      <c r="F8611" s="96"/>
      <c r="G8611" s="325"/>
      <c r="H8611" s="96"/>
      <c r="I8611" s="478"/>
      <c r="J8611" s="96"/>
      <c r="K8611" s="96"/>
      <c r="L8611" s="107"/>
      <c r="M8611" s="107"/>
      <c r="N8611" s="107"/>
      <c r="O8611" s="107"/>
      <c r="P8611" s="109"/>
      <c r="Q8611" s="107"/>
      <c r="R8611" s="107"/>
      <c r="S8611" s="107"/>
      <c r="T8611" s="479"/>
      <c r="U8611" s="296"/>
      <c r="V8611" s="50"/>
      <c r="W8611" s="49"/>
      <c r="X8611" s="49"/>
      <c r="Y8611" s="35"/>
      <c r="Z8611" s="35"/>
      <c r="AA8611" s="35"/>
      <c r="AB8611" s="35"/>
      <c r="AC8611" s="35"/>
      <c r="AD8611" s="35"/>
      <c r="AE8611" s="35"/>
      <c r="AF8611" s="35"/>
      <c r="AG8611" s="35"/>
      <c r="AH8611" s="35"/>
      <c r="AI8611" s="35"/>
      <c r="AJ8611" s="35"/>
      <c r="AK8611" s="35"/>
      <c r="AL8611" s="35"/>
    </row>
    <row r="8612">
      <c r="A8612" s="457"/>
      <c r="B8612" s="475"/>
      <c r="C8612" s="476"/>
      <c r="D8612" s="477"/>
      <c r="E8612" s="96"/>
      <c r="F8612" s="96"/>
      <c r="G8612" s="325"/>
      <c r="H8612" s="96"/>
      <c r="I8612" s="478"/>
      <c r="J8612" s="96"/>
      <c r="K8612" s="96"/>
      <c r="L8612" s="107"/>
      <c r="M8612" s="107"/>
      <c r="N8612" s="107"/>
      <c r="O8612" s="107"/>
      <c r="P8612" s="109"/>
      <c r="Q8612" s="107"/>
      <c r="R8612" s="107"/>
      <c r="S8612" s="107"/>
      <c r="T8612" s="479"/>
      <c r="U8612" s="296"/>
      <c r="V8612" s="50"/>
      <c r="W8612" s="49"/>
      <c r="X8612" s="49"/>
      <c r="Y8612" s="35"/>
      <c r="Z8612" s="35"/>
      <c r="AA8612" s="35"/>
      <c r="AB8612" s="35"/>
      <c r="AC8612" s="35"/>
      <c r="AD8612" s="35"/>
      <c r="AE8612" s="35"/>
      <c r="AF8612" s="35"/>
      <c r="AG8612" s="35"/>
      <c r="AH8612" s="35"/>
      <c r="AI8612" s="35"/>
      <c r="AJ8612" s="35"/>
      <c r="AK8612" s="35"/>
      <c r="AL8612" s="35"/>
    </row>
    <row r="8613">
      <c r="A8613" s="457"/>
      <c r="B8613" s="475"/>
      <c r="C8613" s="476"/>
      <c r="D8613" s="477"/>
      <c r="E8613" s="96"/>
      <c r="F8613" s="96"/>
      <c r="G8613" s="325"/>
      <c r="H8613" s="96"/>
      <c r="I8613" s="478"/>
      <c r="J8613" s="96"/>
      <c r="K8613" s="96"/>
      <c r="L8613" s="107"/>
      <c r="M8613" s="107"/>
      <c r="N8613" s="107"/>
      <c r="O8613" s="107"/>
      <c r="P8613" s="109"/>
      <c r="Q8613" s="107"/>
      <c r="R8613" s="107"/>
      <c r="S8613" s="107"/>
      <c r="T8613" s="479"/>
      <c r="U8613" s="296"/>
      <c r="V8613" s="50"/>
      <c r="W8613" s="49"/>
      <c r="X8613" s="49"/>
      <c r="Y8613" s="35"/>
      <c r="Z8613" s="35"/>
      <c r="AA8613" s="35"/>
      <c r="AB8613" s="35"/>
      <c r="AC8613" s="35"/>
      <c r="AD8613" s="35"/>
      <c r="AE8613" s="35"/>
      <c r="AF8613" s="35"/>
      <c r="AG8613" s="35"/>
      <c r="AH8613" s="35"/>
      <c r="AI8613" s="35"/>
      <c r="AJ8613" s="35"/>
      <c r="AK8613" s="35"/>
      <c r="AL8613" s="35"/>
    </row>
    <row r="8614">
      <c r="A8614" s="457"/>
      <c r="B8614" s="475"/>
      <c r="C8614" s="476"/>
      <c r="D8614" s="477"/>
      <c r="E8614" s="96"/>
      <c r="F8614" s="96"/>
      <c r="G8614" s="325"/>
      <c r="H8614" s="96"/>
      <c r="I8614" s="478"/>
      <c r="J8614" s="96"/>
      <c r="K8614" s="96"/>
      <c r="L8614" s="107"/>
      <c r="M8614" s="107"/>
      <c r="N8614" s="107"/>
      <c r="O8614" s="107"/>
      <c r="P8614" s="109"/>
      <c r="Q8614" s="107"/>
      <c r="R8614" s="107"/>
      <c r="S8614" s="107"/>
      <c r="T8614" s="479"/>
      <c r="U8614" s="296"/>
      <c r="V8614" s="50"/>
      <c r="W8614" s="49"/>
      <c r="X8614" s="49"/>
      <c r="Y8614" s="35"/>
      <c r="Z8614" s="35"/>
      <c r="AA8614" s="35"/>
      <c r="AB8614" s="35"/>
      <c r="AC8614" s="35"/>
      <c r="AD8614" s="35"/>
      <c r="AE8614" s="35"/>
      <c r="AF8614" s="35"/>
      <c r="AG8614" s="35"/>
      <c r="AH8614" s="35"/>
      <c r="AI8614" s="35"/>
      <c r="AJ8614" s="35"/>
      <c r="AK8614" s="35"/>
      <c r="AL8614" s="35"/>
    </row>
    <row r="8615">
      <c r="A8615" s="457"/>
      <c r="B8615" s="475"/>
      <c r="C8615" s="476"/>
      <c r="D8615" s="477"/>
      <c r="E8615" s="96"/>
      <c r="F8615" s="96"/>
      <c r="G8615" s="325"/>
      <c r="H8615" s="96"/>
      <c r="I8615" s="478"/>
      <c r="J8615" s="96"/>
      <c r="K8615" s="96"/>
      <c r="L8615" s="107"/>
      <c r="M8615" s="107"/>
      <c r="N8615" s="107"/>
      <c r="O8615" s="107"/>
      <c r="P8615" s="109"/>
      <c r="Q8615" s="107"/>
      <c r="R8615" s="107"/>
      <c r="S8615" s="107"/>
      <c r="T8615" s="479"/>
      <c r="U8615" s="296"/>
      <c r="V8615" s="50"/>
      <c r="W8615" s="49"/>
      <c r="X8615" s="49"/>
      <c r="Y8615" s="35"/>
      <c r="Z8615" s="35"/>
      <c r="AA8615" s="35"/>
      <c r="AB8615" s="35"/>
      <c r="AC8615" s="35"/>
      <c r="AD8615" s="35"/>
      <c r="AE8615" s="35"/>
      <c r="AF8615" s="35"/>
      <c r="AG8615" s="35"/>
      <c r="AH8615" s="35"/>
      <c r="AI8615" s="35"/>
      <c r="AJ8615" s="35"/>
      <c r="AK8615" s="35"/>
      <c r="AL8615" s="35"/>
    </row>
    <row r="8616">
      <c r="A8616" s="457"/>
      <c r="B8616" s="475"/>
      <c r="C8616" s="476"/>
      <c r="D8616" s="477"/>
      <c r="E8616" s="96"/>
      <c r="F8616" s="96"/>
      <c r="G8616" s="325"/>
      <c r="H8616" s="96"/>
      <c r="I8616" s="478"/>
      <c r="J8616" s="96"/>
      <c r="K8616" s="96"/>
      <c r="L8616" s="107"/>
      <c r="M8616" s="107"/>
      <c r="N8616" s="107"/>
      <c r="O8616" s="107"/>
      <c r="P8616" s="109"/>
      <c r="Q8616" s="107"/>
      <c r="R8616" s="107"/>
      <c r="S8616" s="107"/>
      <c r="T8616" s="479"/>
      <c r="U8616" s="296"/>
      <c r="V8616" s="50"/>
      <c r="W8616" s="49"/>
      <c r="X8616" s="49"/>
      <c r="Y8616" s="35"/>
      <c r="Z8616" s="35"/>
      <c r="AA8616" s="35"/>
      <c r="AB8616" s="35"/>
      <c r="AC8616" s="35"/>
      <c r="AD8616" s="35"/>
      <c r="AE8616" s="35"/>
      <c r="AF8616" s="35"/>
      <c r="AG8616" s="35"/>
      <c r="AH8616" s="35"/>
      <c r="AI8616" s="35"/>
      <c r="AJ8616" s="35"/>
      <c r="AK8616" s="35"/>
      <c r="AL8616" s="35"/>
    </row>
    <row r="8617">
      <c r="A8617" s="457"/>
      <c r="B8617" s="475"/>
      <c r="C8617" s="476"/>
      <c r="D8617" s="477"/>
      <c r="E8617" s="96"/>
      <c r="F8617" s="96"/>
      <c r="G8617" s="325"/>
      <c r="H8617" s="96"/>
      <c r="I8617" s="478"/>
      <c r="J8617" s="96"/>
      <c r="K8617" s="96"/>
      <c r="L8617" s="107"/>
      <c r="M8617" s="107"/>
      <c r="N8617" s="107"/>
      <c r="O8617" s="107"/>
      <c r="P8617" s="109"/>
      <c r="Q8617" s="107"/>
      <c r="R8617" s="107"/>
      <c r="S8617" s="107"/>
      <c r="T8617" s="479"/>
      <c r="U8617" s="296"/>
      <c r="V8617" s="50"/>
      <c r="W8617" s="49"/>
      <c r="X8617" s="49"/>
      <c r="Y8617" s="35"/>
      <c r="Z8617" s="35"/>
      <c r="AA8617" s="35"/>
      <c r="AB8617" s="35"/>
      <c r="AC8617" s="35"/>
      <c r="AD8617" s="35"/>
      <c r="AE8617" s="35"/>
      <c r="AF8617" s="35"/>
      <c r="AG8617" s="35"/>
      <c r="AH8617" s="35"/>
      <c r="AI8617" s="35"/>
      <c r="AJ8617" s="35"/>
      <c r="AK8617" s="35"/>
      <c r="AL8617" s="35"/>
    </row>
    <row r="8618">
      <c r="A8618" s="457"/>
      <c r="B8618" s="475"/>
      <c r="C8618" s="476"/>
      <c r="D8618" s="477"/>
      <c r="E8618" s="96"/>
      <c r="F8618" s="96"/>
      <c r="G8618" s="325"/>
      <c r="H8618" s="96"/>
      <c r="I8618" s="478"/>
      <c r="J8618" s="96"/>
      <c r="K8618" s="96"/>
      <c r="L8618" s="107"/>
      <c r="M8618" s="107"/>
      <c r="N8618" s="107"/>
      <c r="O8618" s="107"/>
      <c r="P8618" s="109"/>
      <c r="Q8618" s="107"/>
      <c r="R8618" s="107"/>
      <c r="S8618" s="107"/>
      <c r="T8618" s="479"/>
      <c r="U8618" s="296"/>
      <c r="V8618" s="50"/>
      <c r="W8618" s="49"/>
      <c r="X8618" s="49"/>
      <c r="Y8618" s="35"/>
      <c r="Z8618" s="35"/>
      <c r="AA8618" s="35"/>
      <c r="AB8618" s="35"/>
      <c r="AC8618" s="35"/>
      <c r="AD8618" s="35"/>
      <c r="AE8618" s="35"/>
      <c r="AF8618" s="35"/>
      <c r="AG8618" s="35"/>
      <c r="AH8618" s="35"/>
      <c r="AI8618" s="35"/>
      <c r="AJ8618" s="35"/>
      <c r="AK8618" s="35"/>
      <c r="AL8618" s="35"/>
    </row>
    <row r="8619">
      <c r="A8619" s="457"/>
      <c r="B8619" s="475"/>
      <c r="C8619" s="476"/>
      <c r="D8619" s="477"/>
      <c r="E8619" s="96"/>
      <c r="F8619" s="96"/>
      <c r="G8619" s="325"/>
      <c r="H8619" s="96"/>
      <c r="I8619" s="478"/>
      <c r="J8619" s="96"/>
      <c r="K8619" s="96"/>
      <c r="L8619" s="107"/>
      <c r="M8619" s="107"/>
      <c r="N8619" s="107"/>
      <c r="O8619" s="107"/>
      <c r="P8619" s="109"/>
      <c r="Q8619" s="107"/>
      <c r="R8619" s="107"/>
      <c r="S8619" s="107"/>
      <c r="T8619" s="479"/>
      <c r="U8619" s="296"/>
      <c r="V8619" s="50"/>
      <c r="W8619" s="49"/>
      <c r="X8619" s="49"/>
      <c r="Y8619" s="35"/>
      <c r="Z8619" s="35"/>
      <c r="AA8619" s="35"/>
      <c r="AB8619" s="35"/>
      <c r="AC8619" s="35"/>
      <c r="AD8619" s="35"/>
      <c r="AE8619" s="35"/>
      <c r="AF8619" s="35"/>
      <c r="AG8619" s="35"/>
      <c r="AH8619" s="35"/>
      <c r="AI8619" s="35"/>
      <c r="AJ8619" s="35"/>
      <c r="AK8619" s="35"/>
      <c r="AL8619" s="35"/>
    </row>
    <row r="8620">
      <c r="A8620" s="457"/>
      <c r="B8620" s="475"/>
      <c r="C8620" s="476"/>
      <c r="D8620" s="477"/>
      <c r="E8620" s="96"/>
      <c r="F8620" s="96"/>
      <c r="G8620" s="325"/>
      <c r="H8620" s="96"/>
      <c r="I8620" s="478"/>
      <c r="J8620" s="96"/>
      <c r="K8620" s="96"/>
      <c r="L8620" s="107"/>
      <c r="M8620" s="107"/>
      <c r="N8620" s="107"/>
      <c r="O8620" s="107"/>
      <c r="P8620" s="109"/>
      <c r="Q8620" s="107"/>
      <c r="R8620" s="107"/>
      <c r="S8620" s="107"/>
      <c r="T8620" s="479"/>
      <c r="U8620" s="296"/>
      <c r="V8620" s="50"/>
      <c r="W8620" s="49"/>
      <c r="X8620" s="49"/>
      <c r="Y8620" s="35"/>
      <c r="Z8620" s="35"/>
      <c r="AA8620" s="35"/>
      <c r="AB8620" s="35"/>
      <c r="AC8620" s="35"/>
      <c r="AD8620" s="35"/>
      <c r="AE8620" s="35"/>
      <c r="AF8620" s="35"/>
      <c r="AG8620" s="35"/>
      <c r="AH8620" s="35"/>
      <c r="AI8620" s="35"/>
      <c r="AJ8620" s="35"/>
      <c r="AK8620" s="35"/>
      <c r="AL8620" s="35"/>
    </row>
    <row r="8621">
      <c r="A8621" s="457"/>
      <c r="B8621" s="475"/>
      <c r="C8621" s="476"/>
      <c r="D8621" s="477"/>
      <c r="E8621" s="96"/>
      <c r="F8621" s="96"/>
      <c r="G8621" s="325"/>
      <c r="H8621" s="96"/>
      <c r="I8621" s="478"/>
      <c r="J8621" s="96"/>
      <c r="K8621" s="96"/>
      <c r="L8621" s="107"/>
      <c r="M8621" s="107"/>
      <c r="N8621" s="107"/>
      <c r="O8621" s="107"/>
      <c r="P8621" s="109"/>
      <c r="Q8621" s="107"/>
      <c r="R8621" s="107"/>
      <c r="S8621" s="107"/>
      <c r="T8621" s="479"/>
      <c r="U8621" s="296"/>
      <c r="V8621" s="50"/>
      <c r="W8621" s="49"/>
      <c r="X8621" s="49"/>
      <c r="Y8621" s="35"/>
      <c r="Z8621" s="35"/>
      <c r="AA8621" s="35"/>
      <c r="AB8621" s="35"/>
      <c r="AC8621" s="35"/>
      <c r="AD8621" s="35"/>
      <c r="AE8621" s="35"/>
      <c r="AF8621" s="35"/>
      <c r="AG8621" s="35"/>
      <c r="AH8621" s="35"/>
      <c r="AI8621" s="35"/>
      <c r="AJ8621" s="35"/>
      <c r="AK8621" s="35"/>
      <c r="AL8621" s="35"/>
    </row>
    <row r="8622">
      <c r="A8622" s="457"/>
      <c r="B8622" s="475"/>
      <c r="C8622" s="476"/>
      <c r="D8622" s="477"/>
      <c r="E8622" s="96"/>
      <c r="F8622" s="96"/>
      <c r="G8622" s="325"/>
      <c r="H8622" s="96"/>
      <c r="I8622" s="478"/>
      <c r="J8622" s="96"/>
      <c r="K8622" s="96"/>
      <c r="L8622" s="107"/>
      <c r="M8622" s="107"/>
      <c r="N8622" s="107"/>
      <c r="O8622" s="107"/>
      <c r="P8622" s="109"/>
      <c r="Q8622" s="107"/>
      <c r="R8622" s="107"/>
      <c r="S8622" s="107"/>
      <c r="T8622" s="479"/>
      <c r="U8622" s="296"/>
      <c r="V8622" s="50"/>
      <c r="W8622" s="49"/>
      <c r="X8622" s="49"/>
      <c r="Y8622" s="35"/>
      <c r="Z8622" s="35"/>
      <c r="AA8622" s="35"/>
      <c r="AB8622" s="35"/>
      <c r="AC8622" s="35"/>
      <c r="AD8622" s="35"/>
      <c r="AE8622" s="35"/>
      <c r="AF8622" s="35"/>
      <c r="AG8622" s="35"/>
      <c r="AH8622" s="35"/>
      <c r="AI8622" s="35"/>
      <c r="AJ8622" s="35"/>
      <c r="AK8622" s="35"/>
      <c r="AL8622" s="35"/>
    </row>
    <row r="8623">
      <c r="A8623" s="457"/>
      <c r="B8623" s="475"/>
      <c r="C8623" s="476"/>
      <c r="D8623" s="477"/>
      <c r="E8623" s="96"/>
      <c r="F8623" s="96"/>
      <c r="G8623" s="325"/>
      <c r="H8623" s="96"/>
      <c r="I8623" s="478"/>
      <c r="J8623" s="96"/>
      <c r="K8623" s="96"/>
      <c r="L8623" s="107"/>
      <c r="M8623" s="107"/>
      <c r="N8623" s="107"/>
      <c r="O8623" s="107"/>
      <c r="P8623" s="109"/>
      <c r="Q8623" s="107"/>
      <c r="R8623" s="107"/>
      <c r="S8623" s="107"/>
      <c r="T8623" s="479"/>
      <c r="U8623" s="296"/>
      <c r="V8623" s="50"/>
      <c r="W8623" s="49"/>
      <c r="X8623" s="49"/>
      <c r="Y8623" s="35"/>
      <c r="Z8623" s="35"/>
      <c r="AA8623" s="35"/>
      <c r="AB8623" s="35"/>
      <c r="AC8623" s="35"/>
      <c r="AD8623" s="35"/>
      <c r="AE8623" s="35"/>
      <c r="AF8623" s="35"/>
      <c r="AG8623" s="35"/>
      <c r="AH8623" s="35"/>
      <c r="AI8623" s="35"/>
      <c r="AJ8623" s="35"/>
      <c r="AK8623" s="35"/>
      <c r="AL8623" s="35"/>
    </row>
    <row r="8624">
      <c r="A8624" s="457"/>
      <c r="B8624" s="475"/>
      <c r="C8624" s="476"/>
      <c r="D8624" s="477"/>
      <c r="E8624" s="96"/>
      <c r="F8624" s="96"/>
      <c r="G8624" s="325"/>
      <c r="H8624" s="96"/>
      <c r="I8624" s="478"/>
      <c r="J8624" s="96"/>
      <c r="K8624" s="96"/>
      <c r="L8624" s="107"/>
      <c r="M8624" s="107"/>
      <c r="N8624" s="107"/>
      <c r="O8624" s="107"/>
      <c r="P8624" s="109"/>
      <c r="Q8624" s="107"/>
      <c r="R8624" s="107"/>
      <c r="S8624" s="107"/>
      <c r="T8624" s="479"/>
      <c r="U8624" s="296"/>
      <c r="V8624" s="50"/>
      <c r="W8624" s="49"/>
      <c r="X8624" s="49"/>
      <c r="Y8624" s="35"/>
      <c r="Z8624" s="35"/>
      <c r="AA8624" s="35"/>
      <c r="AB8624" s="35"/>
      <c r="AC8624" s="35"/>
      <c r="AD8624" s="35"/>
      <c r="AE8624" s="35"/>
      <c r="AF8624" s="35"/>
      <c r="AG8624" s="35"/>
      <c r="AH8624" s="35"/>
      <c r="AI8624" s="35"/>
      <c r="AJ8624" s="35"/>
      <c r="AK8624" s="35"/>
      <c r="AL8624" s="35"/>
    </row>
    <row r="8625">
      <c r="A8625" s="457"/>
      <c r="B8625" s="475"/>
      <c r="C8625" s="476"/>
      <c r="D8625" s="477"/>
      <c r="E8625" s="96"/>
      <c r="F8625" s="96"/>
      <c r="G8625" s="325"/>
      <c r="H8625" s="96"/>
      <c r="I8625" s="478"/>
      <c r="J8625" s="96"/>
      <c r="K8625" s="96"/>
      <c r="L8625" s="107"/>
      <c r="M8625" s="107"/>
      <c r="N8625" s="107"/>
      <c r="O8625" s="107"/>
      <c r="P8625" s="109"/>
      <c r="Q8625" s="107"/>
      <c r="R8625" s="107"/>
      <c r="S8625" s="107"/>
      <c r="T8625" s="479"/>
      <c r="U8625" s="296"/>
      <c r="V8625" s="50"/>
      <c r="W8625" s="49"/>
      <c r="X8625" s="49"/>
      <c r="Y8625" s="35"/>
      <c r="Z8625" s="35"/>
      <c r="AA8625" s="35"/>
      <c r="AB8625" s="35"/>
      <c r="AC8625" s="35"/>
      <c r="AD8625" s="35"/>
      <c r="AE8625" s="35"/>
      <c r="AF8625" s="35"/>
      <c r="AG8625" s="35"/>
      <c r="AH8625" s="35"/>
      <c r="AI8625" s="35"/>
      <c r="AJ8625" s="35"/>
      <c r="AK8625" s="35"/>
      <c r="AL8625" s="35"/>
    </row>
    <row r="8626">
      <c r="A8626" s="457"/>
      <c r="B8626" s="475"/>
      <c r="C8626" s="476"/>
      <c r="D8626" s="477"/>
      <c r="E8626" s="96"/>
      <c r="F8626" s="96"/>
      <c r="G8626" s="325"/>
      <c r="H8626" s="96"/>
      <c r="I8626" s="478"/>
      <c r="J8626" s="96"/>
      <c r="K8626" s="96"/>
      <c r="L8626" s="107"/>
      <c r="M8626" s="107"/>
      <c r="N8626" s="107"/>
      <c r="O8626" s="107"/>
      <c r="P8626" s="109"/>
      <c r="Q8626" s="107"/>
      <c r="R8626" s="107"/>
      <c r="S8626" s="107"/>
      <c r="T8626" s="479"/>
      <c r="U8626" s="296"/>
      <c r="V8626" s="50"/>
      <c r="W8626" s="49"/>
      <c r="X8626" s="49"/>
      <c r="Y8626" s="35"/>
      <c r="Z8626" s="35"/>
      <c r="AA8626" s="35"/>
      <c r="AB8626" s="35"/>
      <c r="AC8626" s="35"/>
      <c r="AD8626" s="35"/>
      <c r="AE8626" s="35"/>
      <c r="AF8626" s="35"/>
      <c r="AG8626" s="35"/>
      <c r="AH8626" s="35"/>
      <c r="AI8626" s="35"/>
      <c r="AJ8626" s="35"/>
      <c r="AK8626" s="35"/>
      <c r="AL8626" s="35"/>
    </row>
    <row r="8627">
      <c r="A8627" s="457"/>
      <c r="B8627" s="475"/>
      <c r="C8627" s="476"/>
      <c r="D8627" s="477"/>
      <c r="E8627" s="96"/>
      <c r="F8627" s="96"/>
      <c r="G8627" s="325"/>
      <c r="H8627" s="96"/>
      <c r="I8627" s="478"/>
      <c r="J8627" s="96"/>
      <c r="K8627" s="96"/>
      <c r="L8627" s="107"/>
      <c r="M8627" s="107"/>
      <c r="N8627" s="107"/>
      <c r="O8627" s="107"/>
      <c r="P8627" s="109"/>
      <c r="Q8627" s="107"/>
      <c r="R8627" s="107"/>
      <c r="S8627" s="107"/>
      <c r="T8627" s="479"/>
      <c r="U8627" s="296"/>
      <c r="V8627" s="50"/>
      <c r="W8627" s="49"/>
      <c r="X8627" s="49"/>
      <c r="Y8627" s="35"/>
      <c r="Z8627" s="35"/>
      <c r="AA8627" s="35"/>
      <c r="AB8627" s="35"/>
      <c r="AC8627" s="35"/>
      <c r="AD8627" s="35"/>
      <c r="AE8627" s="35"/>
      <c r="AF8627" s="35"/>
      <c r="AG8627" s="35"/>
      <c r="AH8627" s="35"/>
      <c r="AI8627" s="35"/>
      <c r="AJ8627" s="35"/>
      <c r="AK8627" s="35"/>
      <c r="AL8627" s="35"/>
    </row>
    <row r="8628">
      <c r="A8628" s="457"/>
      <c r="B8628" s="475"/>
      <c r="C8628" s="476"/>
      <c r="D8628" s="477"/>
      <c r="E8628" s="96"/>
      <c r="F8628" s="96"/>
      <c r="G8628" s="325"/>
      <c r="H8628" s="96"/>
      <c r="I8628" s="478"/>
      <c r="J8628" s="96"/>
      <c r="K8628" s="96"/>
      <c r="L8628" s="107"/>
      <c r="M8628" s="107"/>
      <c r="N8628" s="107"/>
      <c r="O8628" s="107"/>
      <c r="P8628" s="109"/>
      <c r="Q8628" s="107"/>
      <c r="R8628" s="107"/>
      <c r="S8628" s="107"/>
      <c r="T8628" s="479"/>
      <c r="U8628" s="296"/>
      <c r="V8628" s="50"/>
      <c r="W8628" s="49"/>
      <c r="X8628" s="49"/>
      <c r="Y8628" s="35"/>
      <c r="Z8628" s="35"/>
      <c r="AA8628" s="35"/>
      <c r="AB8628" s="35"/>
      <c r="AC8628" s="35"/>
      <c r="AD8628" s="35"/>
      <c r="AE8628" s="35"/>
      <c r="AF8628" s="35"/>
      <c r="AG8628" s="35"/>
      <c r="AH8628" s="35"/>
      <c r="AI8628" s="35"/>
      <c r="AJ8628" s="35"/>
      <c r="AK8628" s="35"/>
      <c r="AL8628" s="35"/>
    </row>
    <row r="8629">
      <c r="A8629" s="457"/>
      <c r="B8629" s="475"/>
      <c r="C8629" s="476"/>
      <c r="D8629" s="477"/>
      <c r="E8629" s="96"/>
      <c r="F8629" s="96"/>
      <c r="G8629" s="325"/>
      <c r="H8629" s="96"/>
      <c r="I8629" s="478"/>
      <c r="J8629" s="96"/>
      <c r="K8629" s="96"/>
      <c r="L8629" s="107"/>
      <c r="M8629" s="107"/>
      <c r="N8629" s="107"/>
      <c r="O8629" s="107"/>
      <c r="P8629" s="109"/>
      <c r="Q8629" s="107"/>
      <c r="R8629" s="107"/>
      <c r="S8629" s="107"/>
      <c r="T8629" s="479"/>
      <c r="U8629" s="296"/>
      <c r="V8629" s="50"/>
      <c r="W8629" s="49"/>
      <c r="X8629" s="49"/>
      <c r="Y8629" s="35"/>
      <c r="Z8629" s="35"/>
      <c r="AA8629" s="35"/>
      <c r="AB8629" s="35"/>
      <c r="AC8629" s="35"/>
      <c r="AD8629" s="35"/>
      <c r="AE8629" s="35"/>
      <c r="AF8629" s="35"/>
      <c r="AG8629" s="35"/>
      <c r="AH8629" s="35"/>
      <c r="AI8629" s="35"/>
      <c r="AJ8629" s="35"/>
      <c r="AK8629" s="35"/>
      <c r="AL8629" s="35"/>
    </row>
    <row r="8630">
      <c r="A8630" s="457"/>
      <c r="B8630" s="475"/>
      <c r="C8630" s="476"/>
      <c r="D8630" s="477"/>
      <c r="E8630" s="96"/>
      <c r="F8630" s="96"/>
      <c r="G8630" s="325"/>
      <c r="H8630" s="96"/>
      <c r="I8630" s="478"/>
      <c r="J8630" s="96"/>
      <c r="K8630" s="96"/>
      <c r="L8630" s="107"/>
      <c r="M8630" s="107"/>
      <c r="N8630" s="107"/>
      <c r="O8630" s="107"/>
      <c r="P8630" s="109"/>
      <c r="Q8630" s="107"/>
      <c r="R8630" s="107"/>
      <c r="S8630" s="107"/>
      <c r="T8630" s="479"/>
      <c r="U8630" s="296"/>
      <c r="V8630" s="50"/>
      <c r="W8630" s="49"/>
      <c r="X8630" s="49"/>
      <c r="Y8630" s="35"/>
      <c r="Z8630" s="35"/>
      <c r="AA8630" s="35"/>
      <c r="AB8630" s="35"/>
      <c r="AC8630" s="35"/>
      <c r="AD8630" s="35"/>
      <c r="AE8630" s="35"/>
      <c r="AF8630" s="35"/>
      <c r="AG8630" s="35"/>
      <c r="AH8630" s="35"/>
      <c r="AI8630" s="35"/>
      <c r="AJ8630" s="35"/>
      <c r="AK8630" s="35"/>
      <c r="AL8630" s="35"/>
    </row>
    <row r="8631">
      <c r="A8631" s="457"/>
      <c r="B8631" s="475"/>
      <c r="C8631" s="476"/>
      <c r="D8631" s="477"/>
      <c r="E8631" s="96"/>
      <c r="F8631" s="96"/>
      <c r="G8631" s="325"/>
      <c r="H8631" s="96"/>
      <c r="I8631" s="478"/>
      <c r="J8631" s="96"/>
      <c r="K8631" s="96"/>
      <c r="L8631" s="107"/>
      <c r="M8631" s="107"/>
      <c r="N8631" s="107"/>
      <c r="O8631" s="107"/>
      <c r="P8631" s="109"/>
      <c r="Q8631" s="107"/>
      <c r="R8631" s="107"/>
      <c r="S8631" s="107"/>
      <c r="T8631" s="479"/>
      <c r="U8631" s="296"/>
      <c r="V8631" s="50"/>
      <c r="W8631" s="49"/>
      <c r="X8631" s="49"/>
      <c r="Y8631" s="35"/>
      <c r="Z8631" s="35"/>
      <c r="AA8631" s="35"/>
      <c r="AB8631" s="35"/>
      <c r="AC8631" s="35"/>
      <c r="AD8631" s="35"/>
      <c r="AE8631" s="35"/>
      <c r="AF8631" s="35"/>
      <c r="AG8631" s="35"/>
      <c r="AH8631" s="35"/>
      <c r="AI8631" s="35"/>
      <c r="AJ8631" s="35"/>
      <c r="AK8631" s="35"/>
      <c r="AL8631" s="35"/>
    </row>
    <row r="8632">
      <c r="A8632" s="457"/>
      <c r="B8632" s="475"/>
      <c r="C8632" s="476"/>
      <c r="D8632" s="477"/>
      <c r="E8632" s="96"/>
      <c r="F8632" s="96"/>
      <c r="G8632" s="325"/>
      <c r="H8632" s="96"/>
      <c r="I8632" s="478"/>
      <c r="J8632" s="96"/>
      <c r="K8632" s="96"/>
      <c r="L8632" s="107"/>
      <c r="M8632" s="107"/>
      <c r="N8632" s="107"/>
      <c r="O8632" s="107"/>
      <c r="P8632" s="109"/>
      <c r="Q8632" s="107"/>
      <c r="R8632" s="107"/>
      <c r="S8632" s="107"/>
      <c r="T8632" s="479"/>
      <c r="U8632" s="296"/>
      <c r="V8632" s="50"/>
      <c r="W8632" s="49"/>
      <c r="X8632" s="49"/>
      <c r="Y8632" s="35"/>
      <c r="Z8632" s="35"/>
      <c r="AA8632" s="35"/>
      <c r="AB8632" s="35"/>
      <c r="AC8632" s="35"/>
      <c r="AD8632" s="35"/>
      <c r="AE8632" s="35"/>
      <c r="AF8632" s="35"/>
      <c r="AG8632" s="35"/>
      <c r="AH8632" s="35"/>
      <c r="AI8632" s="35"/>
      <c r="AJ8632" s="35"/>
      <c r="AK8632" s="35"/>
      <c r="AL8632" s="35"/>
    </row>
    <row r="8633">
      <c r="A8633" s="457"/>
      <c r="B8633" s="475"/>
      <c r="C8633" s="476"/>
      <c r="D8633" s="477"/>
      <c r="E8633" s="96"/>
      <c r="F8633" s="96"/>
      <c r="G8633" s="325"/>
      <c r="H8633" s="96"/>
      <c r="I8633" s="478"/>
      <c r="J8633" s="96"/>
      <c r="K8633" s="96"/>
      <c r="L8633" s="107"/>
      <c r="M8633" s="107"/>
      <c r="N8633" s="107"/>
      <c r="O8633" s="107"/>
      <c r="P8633" s="109"/>
      <c r="Q8633" s="107"/>
      <c r="R8633" s="107"/>
      <c r="S8633" s="107"/>
      <c r="T8633" s="479"/>
      <c r="U8633" s="296"/>
      <c r="V8633" s="50"/>
      <c r="W8633" s="49"/>
      <c r="X8633" s="49"/>
      <c r="Y8633" s="35"/>
      <c r="Z8633" s="35"/>
      <c r="AA8633" s="35"/>
      <c r="AB8633" s="35"/>
      <c r="AC8633" s="35"/>
      <c r="AD8633" s="35"/>
      <c r="AE8633" s="35"/>
      <c r="AF8633" s="35"/>
      <c r="AG8633" s="35"/>
      <c r="AH8633" s="35"/>
      <c r="AI8633" s="35"/>
      <c r="AJ8633" s="35"/>
      <c r="AK8633" s="35"/>
      <c r="AL8633" s="35"/>
    </row>
    <row r="8634">
      <c r="A8634" s="457"/>
      <c r="B8634" s="475"/>
      <c r="C8634" s="476"/>
      <c r="D8634" s="477"/>
      <c r="E8634" s="96"/>
      <c r="F8634" s="96"/>
      <c r="G8634" s="325"/>
      <c r="H8634" s="96"/>
      <c r="I8634" s="478"/>
      <c r="J8634" s="96"/>
      <c r="K8634" s="96"/>
      <c r="L8634" s="107"/>
      <c r="M8634" s="107"/>
      <c r="N8634" s="107"/>
      <c r="O8634" s="107"/>
      <c r="P8634" s="109"/>
      <c r="Q8634" s="107"/>
      <c r="R8634" s="107"/>
      <c r="S8634" s="107"/>
      <c r="T8634" s="479"/>
      <c r="U8634" s="296"/>
      <c r="V8634" s="50"/>
      <c r="W8634" s="49"/>
      <c r="X8634" s="49"/>
      <c r="Y8634" s="35"/>
      <c r="Z8634" s="35"/>
      <c r="AA8634" s="35"/>
      <c r="AB8634" s="35"/>
      <c r="AC8634" s="35"/>
      <c r="AD8634" s="35"/>
      <c r="AE8634" s="35"/>
      <c r="AF8634" s="35"/>
      <c r="AG8634" s="35"/>
      <c r="AH8634" s="35"/>
      <c r="AI8634" s="35"/>
      <c r="AJ8634" s="35"/>
      <c r="AK8634" s="35"/>
      <c r="AL8634" s="35"/>
    </row>
    <row r="8635">
      <c r="A8635" s="457"/>
      <c r="B8635" s="475"/>
      <c r="C8635" s="476"/>
      <c r="D8635" s="477"/>
      <c r="E8635" s="96"/>
      <c r="F8635" s="96"/>
      <c r="G8635" s="325"/>
      <c r="H8635" s="96"/>
      <c r="I8635" s="478"/>
      <c r="J8635" s="96"/>
      <c r="K8635" s="96"/>
      <c r="L8635" s="107"/>
      <c r="M8635" s="107"/>
      <c r="N8635" s="107"/>
      <c r="O8635" s="107"/>
      <c r="P8635" s="109"/>
      <c r="Q8635" s="107"/>
      <c r="R8635" s="107"/>
      <c r="S8635" s="107"/>
      <c r="T8635" s="479"/>
      <c r="U8635" s="296"/>
      <c r="V8635" s="50"/>
      <c r="W8635" s="49"/>
      <c r="X8635" s="49"/>
      <c r="Y8635" s="35"/>
      <c r="Z8635" s="35"/>
      <c r="AA8635" s="35"/>
      <c r="AB8635" s="35"/>
      <c r="AC8635" s="35"/>
      <c r="AD8635" s="35"/>
      <c r="AE8635" s="35"/>
      <c r="AF8635" s="35"/>
      <c r="AG8635" s="35"/>
      <c r="AH8635" s="35"/>
      <c r="AI8635" s="35"/>
      <c r="AJ8635" s="35"/>
      <c r="AK8635" s="35"/>
      <c r="AL8635" s="35"/>
    </row>
    <row r="8636">
      <c r="A8636" s="457"/>
      <c r="B8636" s="475"/>
      <c r="C8636" s="476"/>
      <c r="D8636" s="477"/>
      <c r="E8636" s="96"/>
      <c r="F8636" s="96"/>
      <c r="G8636" s="325"/>
      <c r="H8636" s="96"/>
      <c r="I8636" s="478"/>
      <c r="J8636" s="96"/>
      <c r="K8636" s="96"/>
      <c r="L8636" s="107"/>
      <c r="M8636" s="107"/>
      <c r="N8636" s="107"/>
      <c r="O8636" s="107"/>
      <c r="P8636" s="109"/>
      <c r="Q8636" s="107"/>
      <c r="R8636" s="107"/>
      <c r="S8636" s="107"/>
      <c r="T8636" s="479"/>
      <c r="U8636" s="296"/>
      <c r="V8636" s="50"/>
      <c r="W8636" s="49"/>
      <c r="X8636" s="49"/>
      <c r="Y8636" s="35"/>
      <c r="Z8636" s="35"/>
      <c r="AA8636" s="35"/>
      <c r="AB8636" s="35"/>
      <c r="AC8636" s="35"/>
      <c r="AD8636" s="35"/>
      <c r="AE8636" s="35"/>
      <c r="AF8636" s="35"/>
      <c r="AG8636" s="35"/>
      <c r="AH8636" s="35"/>
      <c r="AI8636" s="35"/>
      <c r="AJ8636" s="35"/>
      <c r="AK8636" s="35"/>
      <c r="AL8636" s="35"/>
    </row>
    <row r="8637">
      <c r="A8637" s="457"/>
      <c r="B8637" s="475"/>
      <c r="C8637" s="476"/>
      <c r="D8637" s="477"/>
      <c r="E8637" s="96"/>
      <c r="F8637" s="96"/>
      <c r="G8637" s="325"/>
      <c r="H8637" s="96"/>
      <c r="I8637" s="478"/>
      <c r="J8637" s="96"/>
      <c r="K8637" s="96"/>
      <c r="L8637" s="107"/>
      <c r="M8637" s="107"/>
      <c r="N8637" s="107"/>
      <c r="O8637" s="107"/>
      <c r="P8637" s="109"/>
      <c r="Q8637" s="107"/>
      <c r="R8637" s="107"/>
      <c r="S8637" s="107"/>
      <c r="T8637" s="479"/>
      <c r="U8637" s="296"/>
      <c r="V8637" s="50"/>
      <c r="W8637" s="49"/>
      <c r="X8637" s="49"/>
      <c r="Y8637" s="35"/>
      <c r="Z8637" s="35"/>
      <c r="AA8637" s="35"/>
      <c r="AB8637" s="35"/>
      <c r="AC8637" s="35"/>
      <c r="AD8637" s="35"/>
      <c r="AE8637" s="35"/>
      <c r="AF8637" s="35"/>
      <c r="AG8637" s="35"/>
      <c r="AH8637" s="35"/>
      <c r="AI8637" s="35"/>
      <c r="AJ8637" s="35"/>
      <c r="AK8637" s="35"/>
      <c r="AL8637" s="35"/>
    </row>
    <row r="8638">
      <c r="A8638" s="457"/>
      <c r="B8638" s="475"/>
      <c r="C8638" s="476"/>
      <c r="D8638" s="477"/>
      <c r="E8638" s="96"/>
      <c r="F8638" s="96"/>
      <c r="G8638" s="325"/>
      <c r="H8638" s="96"/>
      <c r="I8638" s="478"/>
      <c r="J8638" s="96"/>
      <c r="K8638" s="96"/>
      <c r="L8638" s="107"/>
      <c r="M8638" s="107"/>
      <c r="N8638" s="107"/>
      <c r="O8638" s="107"/>
      <c r="P8638" s="109"/>
      <c r="Q8638" s="107"/>
      <c r="R8638" s="107"/>
      <c r="S8638" s="107"/>
      <c r="T8638" s="479"/>
      <c r="U8638" s="296"/>
      <c r="V8638" s="50"/>
      <c r="W8638" s="49"/>
      <c r="X8638" s="49"/>
      <c r="Y8638" s="35"/>
      <c r="Z8638" s="35"/>
      <c r="AA8638" s="35"/>
      <c r="AB8638" s="35"/>
      <c r="AC8638" s="35"/>
      <c r="AD8638" s="35"/>
      <c r="AE8638" s="35"/>
      <c r="AF8638" s="35"/>
      <c r="AG8638" s="35"/>
      <c r="AH8638" s="35"/>
      <c r="AI8638" s="35"/>
      <c r="AJ8638" s="35"/>
      <c r="AK8638" s="35"/>
      <c r="AL8638" s="35"/>
    </row>
    <row r="8639">
      <c r="A8639" s="457"/>
      <c r="B8639" s="475"/>
      <c r="C8639" s="476"/>
      <c r="D8639" s="477"/>
      <c r="E8639" s="96"/>
      <c r="F8639" s="96"/>
      <c r="G8639" s="325"/>
      <c r="H8639" s="96"/>
      <c r="I8639" s="478"/>
      <c r="J8639" s="96"/>
      <c r="K8639" s="96"/>
      <c r="L8639" s="107"/>
      <c r="M8639" s="107"/>
      <c r="N8639" s="107"/>
      <c r="O8639" s="107"/>
      <c r="P8639" s="109"/>
      <c r="Q8639" s="107"/>
      <c r="R8639" s="107"/>
      <c r="S8639" s="107"/>
      <c r="T8639" s="479"/>
      <c r="U8639" s="296"/>
      <c r="V8639" s="50"/>
      <c r="W8639" s="49"/>
      <c r="X8639" s="49"/>
      <c r="Y8639" s="35"/>
      <c r="Z8639" s="35"/>
      <c r="AA8639" s="35"/>
      <c r="AB8639" s="35"/>
      <c r="AC8639" s="35"/>
      <c r="AD8639" s="35"/>
      <c r="AE8639" s="35"/>
      <c r="AF8639" s="35"/>
      <c r="AG8639" s="35"/>
      <c r="AH8639" s="35"/>
      <c r="AI8639" s="35"/>
      <c r="AJ8639" s="35"/>
      <c r="AK8639" s="35"/>
      <c r="AL8639" s="35"/>
    </row>
    <row r="8640">
      <c r="A8640" s="457"/>
      <c r="B8640" s="475"/>
      <c r="C8640" s="476"/>
      <c r="D8640" s="477"/>
      <c r="E8640" s="96"/>
      <c r="F8640" s="96"/>
      <c r="G8640" s="325"/>
      <c r="H8640" s="96"/>
      <c r="I8640" s="478"/>
      <c r="J8640" s="96"/>
      <c r="K8640" s="96"/>
      <c r="L8640" s="107"/>
      <c r="M8640" s="107"/>
      <c r="N8640" s="107"/>
      <c r="O8640" s="107"/>
      <c r="P8640" s="109"/>
      <c r="Q8640" s="107"/>
      <c r="R8640" s="107"/>
      <c r="S8640" s="107"/>
      <c r="T8640" s="479"/>
      <c r="U8640" s="296"/>
      <c r="V8640" s="50"/>
      <c r="W8640" s="49"/>
      <c r="X8640" s="49"/>
      <c r="Y8640" s="35"/>
      <c r="Z8640" s="35"/>
      <c r="AA8640" s="35"/>
      <c r="AB8640" s="35"/>
      <c r="AC8640" s="35"/>
      <c r="AD8640" s="35"/>
      <c r="AE8640" s="35"/>
      <c r="AF8640" s="35"/>
      <c r="AG8640" s="35"/>
      <c r="AH8640" s="35"/>
      <c r="AI8640" s="35"/>
      <c r="AJ8640" s="35"/>
      <c r="AK8640" s="35"/>
      <c r="AL8640" s="35"/>
    </row>
    <row r="8641">
      <c r="A8641" s="457"/>
      <c r="B8641" s="475"/>
      <c r="C8641" s="476"/>
      <c r="D8641" s="477"/>
      <c r="E8641" s="96"/>
      <c r="F8641" s="96"/>
      <c r="G8641" s="325"/>
      <c r="H8641" s="96"/>
      <c r="I8641" s="478"/>
      <c r="J8641" s="96"/>
      <c r="K8641" s="96"/>
      <c r="L8641" s="107"/>
      <c r="M8641" s="107"/>
      <c r="N8641" s="107"/>
      <c r="O8641" s="107"/>
      <c r="P8641" s="109"/>
      <c r="Q8641" s="107"/>
      <c r="R8641" s="107"/>
      <c r="S8641" s="107"/>
      <c r="T8641" s="479"/>
      <c r="U8641" s="296"/>
      <c r="V8641" s="50"/>
      <c r="W8641" s="49"/>
      <c r="X8641" s="49"/>
      <c r="Y8641" s="35"/>
      <c r="Z8641" s="35"/>
      <c r="AA8641" s="35"/>
      <c r="AB8641" s="35"/>
      <c r="AC8641" s="35"/>
      <c r="AD8641" s="35"/>
      <c r="AE8641" s="35"/>
      <c r="AF8641" s="35"/>
      <c r="AG8641" s="35"/>
      <c r="AH8641" s="35"/>
      <c r="AI8641" s="35"/>
      <c r="AJ8641" s="35"/>
      <c r="AK8641" s="35"/>
      <c r="AL8641" s="35"/>
    </row>
    <row r="8642">
      <c r="A8642" s="457"/>
      <c r="B8642" s="475"/>
      <c r="C8642" s="476"/>
      <c r="D8642" s="477"/>
      <c r="E8642" s="96"/>
      <c r="F8642" s="96"/>
      <c r="G8642" s="325"/>
      <c r="H8642" s="96"/>
      <c r="I8642" s="478"/>
      <c r="J8642" s="96"/>
      <c r="K8642" s="96"/>
      <c r="L8642" s="107"/>
      <c r="M8642" s="107"/>
      <c r="N8642" s="107"/>
      <c r="O8642" s="107"/>
      <c r="P8642" s="109"/>
      <c r="Q8642" s="107"/>
      <c r="R8642" s="107"/>
      <c r="S8642" s="107"/>
      <c r="T8642" s="479"/>
      <c r="U8642" s="296"/>
      <c r="V8642" s="50"/>
      <c r="W8642" s="49"/>
      <c r="X8642" s="49"/>
      <c r="Y8642" s="35"/>
      <c r="Z8642" s="35"/>
      <c r="AA8642" s="35"/>
      <c r="AB8642" s="35"/>
      <c r="AC8642" s="35"/>
      <c r="AD8642" s="35"/>
      <c r="AE8642" s="35"/>
      <c r="AF8642" s="35"/>
      <c r="AG8642" s="35"/>
      <c r="AH8642" s="35"/>
      <c r="AI8642" s="35"/>
      <c r="AJ8642" s="35"/>
      <c r="AK8642" s="35"/>
      <c r="AL8642" s="35"/>
    </row>
    <row r="8643">
      <c r="A8643" s="457"/>
      <c r="B8643" s="475"/>
      <c r="C8643" s="476"/>
      <c r="D8643" s="477"/>
      <c r="E8643" s="96"/>
      <c r="F8643" s="96"/>
      <c r="G8643" s="325"/>
      <c r="H8643" s="96"/>
      <c r="I8643" s="478"/>
      <c r="J8643" s="96"/>
      <c r="K8643" s="96"/>
      <c r="L8643" s="107"/>
      <c r="M8643" s="107"/>
      <c r="N8643" s="107"/>
      <c r="O8643" s="107"/>
      <c r="P8643" s="109"/>
      <c r="Q8643" s="107"/>
      <c r="R8643" s="107"/>
      <c r="S8643" s="107"/>
      <c r="T8643" s="479"/>
      <c r="U8643" s="296"/>
      <c r="V8643" s="50"/>
      <c r="W8643" s="49"/>
      <c r="X8643" s="49"/>
      <c r="Y8643" s="35"/>
      <c r="Z8643" s="35"/>
      <c r="AA8643" s="35"/>
      <c r="AB8643" s="35"/>
      <c r="AC8643" s="35"/>
      <c r="AD8643" s="35"/>
      <c r="AE8643" s="35"/>
      <c r="AF8643" s="35"/>
      <c r="AG8643" s="35"/>
      <c r="AH8643" s="35"/>
      <c r="AI8643" s="35"/>
      <c r="AJ8643" s="35"/>
      <c r="AK8643" s="35"/>
      <c r="AL8643" s="35"/>
    </row>
    <row r="8644">
      <c r="A8644" s="457"/>
      <c r="B8644" s="475"/>
      <c r="C8644" s="476"/>
      <c r="D8644" s="477"/>
      <c r="E8644" s="96"/>
      <c r="F8644" s="96"/>
      <c r="G8644" s="325"/>
      <c r="H8644" s="96"/>
      <c r="I8644" s="478"/>
      <c r="J8644" s="96"/>
      <c r="K8644" s="96"/>
      <c r="L8644" s="107"/>
      <c r="M8644" s="107"/>
      <c r="N8644" s="107"/>
      <c r="O8644" s="107"/>
      <c r="P8644" s="109"/>
      <c r="Q8644" s="107"/>
      <c r="R8644" s="107"/>
      <c r="S8644" s="107"/>
      <c r="T8644" s="479"/>
      <c r="U8644" s="296"/>
      <c r="V8644" s="50"/>
      <c r="W8644" s="49"/>
      <c r="X8644" s="49"/>
      <c r="Y8644" s="35"/>
      <c r="Z8644" s="35"/>
      <c r="AA8644" s="35"/>
      <c r="AB8644" s="35"/>
      <c r="AC8644" s="35"/>
      <c r="AD8644" s="35"/>
      <c r="AE8644" s="35"/>
      <c r="AF8644" s="35"/>
      <c r="AG8644" s="35"/>
      <c r="AH8644" s="35"/>
      <c r="AI8644" s="35"/>
      <c r="AJ8644" s="35"/>
      <c r="AK8644" s="35"/>
      <c r="AL8644" s="35"/>
    </row>
    <row r="8645">
      <c r="A8645" s="457"/>
      <c r="B8645" s="475"/>
      <c r="C8645" s="476"/>
      <c r="D8645" s="477"/>
      <c r="E8645" s="96"/>
      <c r="F8645" s="96"/>
      <c r="G8645" s="325"/>
      <c r="H8645" s="96"/>
      <c r="I8645" s="478"/>
      <c r="J8645" s="96"/>
      <c r="K8645" s="96"/>
      <c r="L8645" s="107"/>
      <c r="M8645" s="107"/>
      <c r="N8645" s="107"/>
      <c r="O8645" s="107"/>
      <c r="P8645" s="109"/>
      <c r="Q8645" s="107"/>
      <c r="R8645" s="107"/>
      <c r="S8645" s="107"/>
      <c r="T8645" s="479"/>
      <c r="U8645" s="296"/>
      <c r="V8645" s="50"/>
      <c r="W8645" s="49"/>
      <c r="X8645" s="49"/>
      <c r="Y8645" s="35"/>
      <c r="Z8645" s="35"/>
      <c r="AA8645" s="35"/>
      <c r="AB8645" s="35"/>
      <c r="AC8645" s="35"/>
      <c r="AD8645" s="35"/>
      <c r="AE8645" s="35"/>
      <c r="AF8645" s="35"/>
      <c r="AG8645" s="35"/>
      <c r="AH8645" s="35"/>
      <c r="AI8645" s="35"/>
      <c r="AJ8645" s="35"/>
      <c r="AK8645" s="35"/>
      <c r="AL8645" s="35"/>
    </row>
    <row r="8646">
      <c r="A8646" s="457"/>
      <c r="B8646" s="475"/>
      <c r="C8646" s="476"/>
      <c r="D8646" s="477"/>
      <c r="E8646" s="96"/>
      <c r="F8646" s="96"/>
      <c r="G8646" s="325"/>
      <c r="H8646" s="96"/>
      <c r="I8646" s="478"/>
      <c r="J8646" s="96"/>
      <c r="K8646" s="96"/>
      <c r="L8646" s="107"/>
      <c r="M8646" s="107"/>
      <c r="N8646" s="107"/>
      <c r="O8646" s="107"/>
      <c r="P8646" s="109"/>
      <c r="Q8646" s="107"/>
      <c r="R8646" s="107"/>
      <c r="S8646" s="107"/>
      <c r="T8646" s="479"/>
      <c r="U8646" s="296"/>
      <c r="V8646" s="50"/>
      <c r="W8646" s="49"/>
      <c r="X8646" s="49"/>
      <c r="Y8646" s="35"/>
      <c r="Z8646" s="35"/>
      <c r="AA8646" s="35"/>
      <c r="AB8646" s="35"/>
      <c r="AC8646" s="35"/>
      <c r="AD8646" s="35"/>
      <c r="AE8646" s="35"/>
      <c r="AF8646" s="35"/>
      <c r="AG8646" s="35"/>
      <c r="AH8646" s="35"/>
      <c r="AI8646" s="35"/>
      <c r="AJ8646" s="35"/>
      <c r="AK8646" s="35"/>
      <c r="AL8646" s="35"/>
    </row>
    <row r="8647">
      <c r="A8647" s="457"/>
      <c r="B8647" s="475"/>
      <c r="C8647" s="476"/>
      <c r="D8647" s="477"/>
      <c r="E8647" s="96"/>
      <c r="F8647" s="96"/>
      <c r="G8647" s="325"/>
      <c r="H8647" s="96"/>
      <c r="I8647" s="478"/>
      <c r="J8647" s="96"/>
      <c r="K8647" s="96"/>
      <c r="L8647" s="107"/>
      <c r="M8647" s="107"/>
      <c r="N8647" s="107"/>
      <c r="O8647" s="107"/>
      <c r="P8647" s="109"/>
      <c r="Q8647" s="107"/>
      <c r="R8647" s="107"/>
      <c r="S8647" s="107"/>
      <c r="T8647" s="479"/>
      <c r="U8647" s="296"/>
      <c r="V8647" s="50"/>
      <c r="W8647" s="49"/>
      <c r="X8647" s="49"/>
      <c r="Y8647" s="35"/>
      <c r="Z8647" s="35"/>
      <c r="AA8647" s="35"/>
      <c r="AB8647" s="35"/>
      <c r="AC8647" s="35"/>
      <c r="AD8647" s="35"/>
      <c r="AE8647" s="35"/>
      <c r="AF8647" s="35"/>
      <c r="AG8647" s="35"/>
      <c r="AH8647" s="35"/>
      <c r="AI8647" s="35"/>
      <c r="AJ8647" s="35"/>
      <c r="AK8647" s="35"/>
      <c r="AL8647" s="35"/>
    </row>
    <row r="8648">
      <c r="A8648" s="457"/>
      <c r="B8648" s="475"/>
      <c r="C8648" s="476"/>
      <c r="D8648" s="477"/>
      <c r="E8648" s="96"/>
      <c r="F8648" s="96"/>
      <c r="G8648" s="325"/>
      <c r="H8648" s="96"/>
      <c r="I8648" s="478"/>
      <c r="J8648" s="96"/>
      <c r="K8648" s="96"/>
      <c r="L8648" s="107"/>
      <c r="M8648" s="107"/>
      <c r="N8648" s="107"/>
      <c r="O8648" s="107"/>
      <c r="P8648" s="109"/>
      <c r="Q8648" s="107"/>
      <c r="R8648" s="107"/>
      <c r="S8648" s="107"/>
      <c r="T8648" s="479"/>
      <c r="U8648" s="296"/>
      <c r="V8648" s="50"/>
      <c r="W8648" s="49"/>
      <c r="X8648" s="49"/>
      <c r="Y8648" s="35"/>
      <c r="Z8648" s="35"/>
      <c r="AA8648" s="35"/>
      <c r="AB8648" s="35"/>
      <c r="AC8648" s="35"/>
      <c r="AD8648" s="35"/>
      <c r="AE8648" s="35"/>
      <c r="AF8648" s="35"/>
      <c r="AG8648" s="35"/>
      <c r="AH8648" s="35"/>
      <c r="AI8648" s="35"/>
      <c r="AJ8648" s="35"/>
      <c r="AK8648" s="35"/>
      <c r="AL8648" s="35"/>
    </row>
    <row r="8649">
      <c r="A8649" s="457"/>
      <c r="B8649" s="475"/>
      <c r="C8649" s="476"/>
      <c r="D8649" s="477"/>
      <c r="E8649" s="96"/>
      <c r="F8649" s="96"/>
      <c r="G8649" s="325"/>
      <c r="H8649" s="96"/>
      <c r="I8649" s="478"/>
      <c r="J8649" s="96"/>
      <c r="K8649" s="96"/>
      <c r="L8649" s="107"/>
      <c r="M8649" s="107"/>
      <c r="N8649" s="107"/>
      <c r="O8649" s="107"/>
      <c r="P8649" s="109"/>
      <c r="Q8649" s="107"/>
      <c r="R8649" s="107"/>
      <c r="S8649" s="107"/>
      <c r="T8649" s="479"/>
      <c r="U8649" s="296"/>
      <c r="V8649" s="50"/>
      <c r="W8649" s="49"/>
      <c r="X8649" s="49"/>
      <c r="Y8649" s="35"/>
      <c r="Z8649" s="35"/>
      <c r="AA8649" s="35"/>
      <c r="AB8649" s="35"/>
      <c r="AC8649" s="35"/>
      <c r="AD8649" s="35"/>
      <c r="AE8649" s="35"/>
      <c r="AF8649" s="35"/>
      <c r="AG8649" s="35"/>
      <c r="AH8649" s="35"/>
      <c r="AI8649" s="35"/>
      <c r="AJ8649" s="35"/>
      <c r="AK8649" s="35"/>
      <c r="AL8649" s="35"/>
    </row>
    <row r="8650">
      <c r="A8650" s="457"/>
      <c r="B8650" s="475"/>
      <c r="C8650" s="476"/>
      <c r="D8650" s="477"/>
      <c r="E8650" s="96"/>
      <c r="F8650" s="96"/>
      <c r="G8650" s="325"/>
      <c r="H8650" s="96"/>
      <c r="I8650" s="478"/>
      <c r="J8650" s="96"/>
      <c r="K8650" s="96"/>
      <c r="L8650" s="107"/>
      <c r="M8650" s="107"/>
      <c r="N8650" s="107"/>
      <c r="O8650" s="107"/>
      <c r="P8650" s="109"/>
      <c r="Q8650" s="107"/>
      <c r="R8650" s="107"/>
      <c r="S8650" s="107"/>
      <c r="T8650" s="479"/>
      <c r="U8650" s="296"/>
      <c r="V8650" s="50"/>
      <c r="W8650" s="49"/>
      <c r="X8650" s="49"/>
      <c r="Y8650" s="35"/>
      <c r="Z8650" s="35"/>
      <c r="AA8650" s="35"/>
      <c r="AB8650" s="35"/>
      <c r="AC8650" s="35"/>
      <c r="AD8650" s="35"/>
      <c r="AE8650" s="35"/>
      <c r="AF8650" s="35"/>
      <c r="AG8650" s="35"/>
      <c r="AH8650" s="35"/>
      <c r="AI8650" s="35"/>
      <c r="AJ8650" s="35"/>
      <c r="AK8650" s="35"/>
      <c r="AL8650" s="35"/>
    </row>
    <row r="8651">
      <c r="A8651" s="457"/>
      <c r="B8651" s="475"/>
      <c r="C8651" s="476"/>
      <c r="D8651" s="477"/>
      <c r="E8651" s="96"/>
      <c r="F8651" s="96"/>
      <c r="G8651" s="325"/>
      <c r="H8651" s="96"/>
      <c r="I8651" s="478"/>
      <c r="J8651" s="96"/>
      <c r="K8651" s="96"/>
      <c r="L8651" s="107"/>
      <c r="M8651" s="107"/>
      <c r="N8651" s="107"/>
      <c r="O8651" s="107"/>
      <c r="P8651" s="109"/>
      <c r="Q8651" s="107"/>
      <c r="R8651" s="107"/>
      <c r="S8651" s="107"/>
      <c r="T8651" s="479"/>
      <c r="U8651" s="296"/>
      <c r="V8651" s="50"/>
      <c r="W8651" s="49"/>
      <c r="X8651" s="49"/>
      <c r="Y8651" s="35"/>
      <c r="Z8651" s="35"/>
      <c r="AA8651" s="35"/>
      <c r="AB8651" s="35"/>
      <c r="AC8651" s="35"/>
      <c r="AD8651" s="35"/>
      <c r="AE8651" s="35"/>
      <c r="AF8651" s="35"/>
      <c r="AG8651" s="35"/>
      <c r="AH8651" s="35"/>
      <c r="AI8651" s="35"/>
      <c r="AJ8651" s="35"/>
      <c r="AK8651" s="35"/>
      <c r="AL8651" s="35"/>
    </row>
    <row r="8652">
      <c r="A8652" s="457"/>
      <c r="B8652" s="475"/>
      <c r="C8652" s="476"/>
      <c r="D8652" s="477"/>
      <c r="E8652" s="96"/>
      <c r="F8652" s="96"/>
      <c r="G8652" s="325"/>
      <c r="H8652" s="96"/>
      <c r="I8652" s="478"/>
      <c r="J8652" s="96"/>
      <c r="K8652" s="96"/>
      <c r="L8652" s="107"/>
      <c r="M8652" s="107"/>
      <c r="N8652" s="107"/>
      <c r="O8652" s="107"/>
      <c r="P8652" s="109"/>
      <c r="Q8652" s="107"/>
      <c r="R8652" s="107"/>
      <c r="S8652" s="107"/>
      <c r="T8652" s="479"/>
      <c r="U8652" s="296"/>
      <c r="V8652" s="50"/>
      <c r="W8652" s="49"/>
      <c r="X8652" s="49"/>
      <c r="Y8652" s="35"/>
      <c r="Z8652" s="35"/>
      <c r="AA8652" s="35"/>
      <c r="AB8652" s="35"/>
      <c r="AC8652" s="35"/>
      <c r="AD8652" s="35"/>
      <c r="AE8652" s="35"/>
      <c r="AF8652" s="35"/>
      <c r="AG8652" s="35"/>
      <c r="AH8652" s="35"/>
      <c r="AI8652" s="35"/>
      <c r="AJ8652" s="35"/>
      <c r="AK8652" s="35"/>
      <c r="AL8652" s="35"/>
    </row>
    <row r="8653">
      <c r="A8653" s="457"/>
      <c r="B8653" s="475"/>
      <c r="C8653" s="476"/>
      <c r="D8653" s="477"/>
      <c r="E8653" s="96"/>
      <c r="F8653" s="96"/>
      <c r="G8653" s="325"/>
      <c r="H8653" s="96"/>
      <c r="I8653" s="478"/>
      <c r="J8653" s="96"/>
      <c r="K8653" s="96"/>
      <c r="L8653" s="107"/>
      <c r="M8653" s="107"/>
      <c r="N8653" s="107"/>
      <c r="O8653" s="107"/>
      <c r="P8653" s="109"/>
      <c r="Q8653" s="107"/>
      <c r="R8653" s="107"/>
      <c r="S8653" s="107"/>
      <c r="T8653" s="479"/>
      <c r="U8653" s="296"/>
      <c r="V8653" s="50"/>
      <c r="W8653" s="49"/>
      <c r="X8653" s="49"/>
      <c r="Y8653" s="35"/>
      <c r="Z8653" s="35"/>
      <c r="AA8653" s="35"/>
      <c r="AB8653" s="35"/>
      <c r="AC8653" s="35"/>
      <c r="AD8653" s="35"/>
      <c r="AE8653" s="35"/>
      <c r="AF8653" s="35"/>
      <c r="AG8653" s="35"/>
      <c r="AH8653" s="35"/>
      <c r="AI8653" s="35"/>
      <c r="AJ8653" s="35"/>
      <c r="AK8653" s="35"/>
      <c r="AL8653" s="35"/>
    </row>
    <row r="8654">
      <c r="A8654" s="457"/>
      <c r="B8654" s="475"/>
      <c r="C8654" s="476"/>
      <c r="D8654" s="477"/>
      <c r="E8654" s="96"/>
      <c r="F8654" s="96"/>
      <c r="G8654" s="325"/>
      <c r="H8654" s="96"/>
      <c r="I8654" s="478"/>
      <c r="J8654" s="96"/>
      <c r="K8654" s="96"/>
      <c r="L8654" s="107"/>
      <c r="M8654" s="107"/>
      <c r="N8654" s="107"/>
      <c r="O8654" s="107"/>
      <c r="P8654" s="109"/>
      <c r="Q8654" s="107"/>
      <c r="R8654" s="107"/>
      <c r="S8654" s="107"/>
      <c r="T8654" s="479"/>
      <c r="U8654" s="296"/>
      <c r="V8654" s="50"/>
      <c r="W8654" s="49"/>
      <c r="X8654" s="49"/>
      <c r="Y8654" s="35"/>
      <c r="Z8654" s="35"/>
      <c r="AA8654" s="35"/>
      <c r="AB8654" s="35"/>
      <c r="AC8654" s="35"/>
      <c r="AD8654" s="35"/>
      <c r="AE8654" s="35"/>
      <c r="AF8654" s="35"/>
      <c r="AG8654" s="35"/>
      <c r="AH8654" s="35"/>
      <c r="AI8654" s="35"/>
      <c r="AJ8654" s="35"/>
      <c r="AK8654" s="35"/>
      <c r="AL8654" s="35"/>
    </row>
    <row r="8655">
      <c r="A8655" s="457"/>
      <c r="B8655" s="475"/>
      <c r="C8655" s="476"/>
      <c r="D8655" s="477"/>
      <c r="E8655" s="96"/>
      <c r="F8655" s="96"/>
      <c r="G8655" s="325"/>
      <c r="H8655" s="96"/>
      <c r="I8655" s="478"/>
      <c r="J8655" s="96"/>
      <c r="K8655" s="96"/>
      <c r="L8655" s="107"/>
      <c r="M8655" s="107"/>
      <c r="N8655" s="107"/>
      <c r="O8655" s="107"/>
      <c r="P8655" s="109"/>
      <c r="Q8655" s="107"/>
      <c r="R8655" s="107"/>
      <c r="S8655" s="107"/>
      <c r="T8655" s="479"/>
      <c r="U8655" s="296"/>
      <c r="V8655" s="50"/>
      <c r="W8655" s="49"/>
      <c r="X8655" s="49"/>
      <c r="Y8655" s="35"/>
      <c r="Z8655" s="35"/>
      <c r="AA8655" s="35"/>
      <c r="AB8655" s="35"/>
      <c r="AC8655" s="35"/>
      <c r="AD8655" s="35"/>
      <c r="AE8655" s="35"/>
      <c r="AF8655" s="35"/>
      <c r="AG8655" s="35"/>
      <c r="AH8655" s="35"/>
      <c r="AI8655" s="35"/>
      <c r="AJ8655" s="35"/>
      <c r="AK8655" s="35"/>
      <c r="AL8655" s="35"/>
    </row>
    <row r="8656">
      <c r="A8656" s="457"/>
      <c r="B8656" s="475"/>
      <c r="C8656" s="476"/>
      <c r="D8656" s="477"/>
      <c r="E8656" s="96"/>
      <c r="F8656" s="96"/>
      <c r="G8656" s="325"/>
      <c r="H8656" s="96"/>
      <c r="I8656" s="478"/>
      <c r="J8656" s="96"/>
      <c r="K8656" s="96"/>
      <c r="L8656" s="107"/>
      <c r="M8656" s="107"/>
      <c r="N8656" s="107"/>
      <c r="O8656" s="107"/>
      <c r="P8656" s="109"/>
      <c r="Q8656" s="107"/>
      <c r="R8656" s="107"/>
      <c r="S8656" s="107"/>
      <c r="T8656" s="479"/>
      <c r="U8656" s="296"/>
      <c r="V8656" s="50"/>
      <c r="W8656" s="49"/>
      <c r="X8656" s="49"/>
      <c r="Y8656" s="35"/>
      <c r="Z8656" s="35"/>
      <c r="AA8656" s="35"/>
      <c r="AB8656" s="35"/>
      <c r="AC8656" s="35"/>
      <c r="AD8656" s="35"/>
      <c r="AE8656" s="35"/>
      <c r="AF8656" s="35"/>
      <c r="AG8656" s="35"/>
      <c r="AH8656" s="35"/>
      <c r="AI8656" s="35"/>
      <c r="AJ8656" s="35"/>
      <c r="AK8656" s="35"/>
      <c r="AL8656" s="35"/>
    </row>
    <row r="8657">
      <c r="A8657" s="457"/>
      <c r="B8657" s="475"/>
      <c r="C8657" s="476"/>
      <c r="D8657" s="477"/>
      <c r="E8657" s="96"/>
      <c r="F8657" s="96"/>
      <c r="G8657" s="325"/>
      <c r="H8657" s="96"/>
      <c r="I8657" s="478"/>
      <c r="J8657" s="96"/>
      <c r="K8657" s="96"/>
      <c r="L8657" s="107"/>
      <c r="M8657" s="107"/>
      <c r="N8657" s="107"/>
      <c r="O8657" s="107"/>
      <c r="P8657" s="109"/>
      <c r="Q8657" s="107"/>
      <c r="R8657" s="107"/>
      <c r="S8657" s="107"/>
      <c r="T8657" s="479"/>
      <c r="U8657" s="296"/>
      <c r="V8657" s="50"/>
      <c r="W8657" s="49"/>
      <c r="X8657" s="49"/>
      <c r="Y8657" s="35"/>
      <c r="Z8657" s="35"/>
      <c r="AA8657" s="35"/>
      <c r="AB8657" s="35"/>
      <c r="AC8657" s="35"/>
      <c r="AD8657" s="35"/>
      <c r="AE8657" s="35"/>
      <c r="AF8657" s="35"/>
      <c r="AG8657" s="35"/>
      <c r="AH8657" s="35"/>
      <c r="AI8657" s="35"/>
      <c r="AJ8657" s="35"/>
      <c r="AK8657" s="35"/>
      <c r="AL8657" s="35"/>
    </row>
    <row r="8658">
      <c r="A8658" s="457"/>
      <c r="B8658" s="475"/>
      <c r="C8658" s="476"/>
      <c r="D8658" s="477"/>
      <c r="E8658" s="96"/>
      <c r="F8658" s="96"/>
      <c r="G8658" s="325"/>
      <c r="H8658" s="96"/>
      <c r="I8658" s="478"/>
      <c r="J8658" s="96"/>
      <c r="K8658" s="96"/>
      <c r="L8658" s="107"/>
      <c r="M8658" s="107"/>
      <c r="N8658" s="107"/>
      <c r="O8658" s="107"/>
      <c r="P8658" s="109"/>
      <c r="Q8658" s="107"/>
      <c r="R8658" s="107"/>
      <c r="S8658" s="107"/>
      <c r="T8658" s="479"/>
      <c r="U8658" s="296"/>
      <c r="V8658" s="50"/>
      <c r="W8658" s="49"/>
      <c r="X8658" s="49"/>
      <c r="Y8658" s="35"/>
      <c r="Z8658" s="35"/>
      <c r="AA8658" s="35"/>
      <c r="AB8658" s="35"/>
      <c r="AC8658" s="35"/>
      <c r="AD8658" s="35"/>
      <c r="AE8658" s="35"/>
      <c r="AF8658" s="35"/>
      <c r="AG8658" s="35"/>
      <c r="AH8658" s="35"/>
      <c r="AI8658" s="35"/>
      <c r="AJ8658" s="35"/>
      <c r="AK8658" s="35"/>
      <c r="AL8658" s="35"/>
    </row>
    <row r="8659">
      <c r="A8659" s="457"/>
      <c r="B8659" s="475"/>
      <c r="C8659" s="476"/>
      <c r="D8659" s="477"/>
      <c r="E8659" s="96"/>
      <c r="F8659" s="96"/>
      <c r="G8659" s="325"/>
      <c r="H8659" s="96"/>
      <c r="I8659" s="478"/>
      <c r="J8659" s="96"/>
      <c r="K8659" s="96"/>
      <c r="L8659" s="107"/>
      <c r="M8659" s="107"/>
      <c r="N8659" s="107"/>
      <c r="O8659" s="107"/>
      <c r="P8659" s="109"/>
      <c r="Q8659" s="107"/>
      <c r="R8659" s="107"/>
      <c r="S8659" s="107"/>
      <c r="T8659" s="479"/>
      <c r="U8659" s="296"/>
      <c r="V8659" s="50"/>
      <c r="W8659" s="49"/>
      <c r="X8659" s="49"/>
      <c r="Y8659" s="35"/>
      <c r="Z8659" s="35"/>
      <c r="AA8659" s="35"/>
      <c r="AB8659" s="35"/>
      <c r="AC8659" s="35"/>
      <c r="AD8659" s="35"/>
      <c r="AE8659" s="35"/>
      <c r="AF8659" s="35"/>
      <c r="AG8659" s="35"/>
      <c r="AH8659" s="35"/>
      <c r="AI8659" s="35"/>
      <c r="AJ8659" s="35"/>
      <c r="AK8659" s="35"/>
      <c r="AL8659" s="35"/>
    </row>
    <row r="8660">
      <c r="A8660" s="457"/>
      <c r="B8660" s="475"/>
      <c r="C8660" s="476"/>
      <c r="D8660" s="477"/>
      <c r="E8660" s="96"/>
      <c r="F8660" s="96"/>
      <c r="G8660" s="325"/>
      <c r="H8660" s="96"/>
      <c r="I8660" s="478"/>
      <c r="J8660" s="96"/>
      <c r="K8660" s="96"/>
      <c r="L8660" s="107"/>
      <c r="M8660" s="107"/>
      <c r="N8660" s="107"/>
      <c r="O8660" s="107"/>
      <c r="P8660" s="109"/>
      <c r="Q8660" s="107"/>
      <c r="R8660" s="107"/>
      <c r="S8660" s="107"/>
      <c r="T8660" s="479"/>
      <c r="U8660" s="296"/>
      <c r="V8660" s="50"/>
      <c r="W8660" s="49"/>
      <c r="X8660" s="49"/>
      <c r="Y8660" s="35"/>
      <c r="Z8660" s="35"/>
      <c r="AA8660" s="35"/>
      <c r="AB8660" s="35"/>
      <c r="AC8660" s="35"/>
      <c r="AD8660" s="35"/>
      <c r="AE8660" s="35"/>
      <c r="AF8660" s="35"/>
      <c r="AG8660" s="35"/>
      <c r="AH8660" s="35"/>
      <c r="AI8660" s="35"/>
      <c r="AJ8660" s="35"/>
      <c r="AK8660" s="35"/>
      <c r="AL8660" s="35"/>
    </row>
    <row r="8661">
      <c r="A8661" s="457"/>
      <c r="B8661" s="475"/>
      <c r="C8661" s="476"/>
      <c r="D8661" s="477"/>
      <c r="E8661" s="96"/>
      <c r="F8661" s="96"/>
      <c r="G8661" s="325"/>
      <c r="H8661" s="96"/>
      <c r="I8661" s="478"/>
      <c r="J8661" s="96"/>
      <c r="K8661" s="96"/>
      <c r="L8661" s="107"/>
      <c r="M8661" s="107"/>
      <c r="N8661" s="107"/>
      <c r="O8661" s="107"/>
      <c r="P8661" s="109"/>
      <c r="Q8661" s="107"/>
      <c r="R8661" s="107"/>
      <c r="S8661" s="107"/>
      <c r="T8661" s="479"/>
      <c r="U8661" s="296"/>
      <c r="V8661" s="50"/>
      <c r="W8661" s="49"/>
      <c r="X8661" s="49"/>
      <c r="Y8661" s="35"/>
      <c r="Z8661" s="35"/>
      <c r="AA8661" s="35"/>
      <c r="AB8661" s="35"/>
      <c r="AC8661" s="35"/>
      <c r="AD8661" s="35"/>
      <c r="AE8661" s="35"/>
      <c r="AF8661" s="35"/>
      <c r="AG8661" s="35"/>
      <c r="AH8661" s="35"/>
      <c r="AI8661" s="35"/>
      <c r="AJ8661" s="35"/>
      <c r="AK8661" s="35"/>
      <c r="AL8661" s="35"/>
    </row>
    <row r="8662">
      <c r="A8662" s="457"/>
      <c r="B8662" s="475"/>
      <c r="C8662" s="476"/>
      <c r="D8662" s="477"/>
      <c r="E8662" s="96"/>
      <c r="F8662" s="96"/>
      <c r="G8662" s="325"/>
      <c r="H8662" s="96"/>
      <c r="I8662" s="478"/>
      <c r="J8662" s="96"/>
      <c r="K8662" s="96"/>
      <c r="L8662" s="107"/>
      <c r="M8662" s="107"/>
      <c r="N8662" s="107"/>
      <c r="O8662" s="107"/>
      <c r="P8662" s="109"/>
      <c r="Q8662" s="107"/>
      <c r="R8662" s="107"/>
      <c r="S8662" s="107"/>
      <c r="T8662" s="479"/>
      <c r="U8662" s="296"/>
      <c r="V8662" s="50"/>
      <c r="W8662" s="49"/>
      <c r="X8662" s="49"/>
      <c r="Y8662" s="35"/>
      <c r="Z8662" s="35"/>
      <c r="AA8662" s="35"/>
      <c r="AB8662" s="35"/>
      <c r="AC8662" s="35"/>
      <c r="AD8662" s="35"/>
      <c r="AE8662" s="35"/>
      <c r="AF8662" s="35"/>
      <c r="AG8662" s="35"/>
      <c r="AH8662" s="35"/>
      <c r="AI8662" s="35"/>
      <c r="AJ8662" s="35"/>
      <c r="AK8662" s="35"/>
      <c r="AL8662" s="35"/>
    </row>
    <row r="8663">
      <c r="A8663" s="457"/>
      <c r="B8663" s="475"/>
      <c r="C8663" s="476"/>
      <c r="D8663" s="477"/>
      <c r="E8663" s="96"/>
      <c r="F8663" s="96"/>
      <c r="G8663" s="325"/>
      <c r="H8663" s="96"/>
      <c r="I8663" s="478"/>
      <c r="J8663" s="96"/>
      <c r="K8663" s="96"/>
      <c r="L8663" s="107"/>
      <c r="M8663" s="107"/>
      <c r="N8663" s="107"/>
      <c r="O8663" s="107"/>
      <c r="P8663" s="109"/>
      <c r="Q8663" s="107"/>
      <c r="R8663" s="107"/>
      <c r="S8663" s="107"/>
      <c r="T8663" s="479"/>
      <c r="U8663" s="296"/>
      <c r="V8663" s="50"/>
      <c r="W8663" s="49"/>
      <c r="X8663" s="49"/>
      <c r="Y8663" s="35"/>
      <c r="Z8663" s="35"/>
      <c r="AA8663" s="35"/>
      <c r="AB8663" s="35"/>
      <c r="AC8663" s="35"/>
      <c r="AD8663" s="35"/>
      <c r="AE8663" s="35"/>
      <c r="AF8663" s="35"/>
      <c r="AG8663" s="35"/>
      <c r="AH8663" s="35"/>
      <c r="AI8663" s="35"/>
      <c r="AJ8663" s="35"/>
      <c r="AK8663" s="35"/>
      <c r="AL8663" s="35"/>
    </row>
    <row r="8664">
      <c r="A8664" s="457"/>
      <c r="B8664" s="475"/>
      <c r="C8664" s="476"/>
      <c r="D8664" s="477"/>
      <c r="E8664" s="96"/>
      <c r="F8664" s="96"/>
      <c r="G8664" s="325"/>
      <c r="H8664" s="96"/>
      <c r="I8664" s="478"/>
      <c r="J8664" s="96"/>
      <c r="K8664" s="96"/>
      <c r="L8664" s="107"/>
      <c r="M8664" s="107"/>
      <c r="N8664" s="107"/>
      <c r="O8664" s="107"/>
      <c r="P8664" s="109"/>
      <c r="Q8664" s="107"/>
      <c r="R8664" s="107"/>
      <c r="S8664" s="107"/>
      <c r="T8664" s="479"/>
      <c r="U8664" s="296"/>
      <c r="V8664" s="50"/>
      <c r="W8664" s="49"/>
      <c r="X8664" s="49"/>
      <c r="Y8664" s="35"/>
      <c r="Z8664" s="35"/>
      <c r="AA8664" s="35"/>
      <c r="AB8664" s="35"/>
      <c r="AC8664" s="35"/>
      <c r="AD8664" s="35"/>
      <c r="AE8664" s="35"/>
      <c r="AF8664" s="35"/>
      <c r="AG8664" s="35"/>
      <c r="AH8664" s="35"/>
      <c r="AI8664" s="35"/>
      <c r="AJ8664" s="35"/>
      <c r="AK8664" s="35"/>
      <c r="AL8664" s="35"/>
    </row>
    <row r="8665">
      <c r="A8665" s="457"/>
      <c r="B8665" s="475"/>
      <c r="C8665" s="476"/>
      <c r="D8665" s="477"/>
      <c r="E8665" s="96"/>
      <c r="F8665" s="96"/>
      <c r="G8665" s="325"/>
      <c r="H8665" s="96"/>
      <c r="I8665" s="478"/>
      <c r="J8665" s="96"/>
      <c r="K8665" s="96"/>
      <c r="L8665" s="107"/>
      <c r="M8665" s="107"/>
      <c r="N8665" s="107"/>
      <c r="O8665" s="107"/>
      <c r="P8665" s="109"/>
      <c r="Q8665" s="107"/>
      <c r="R8665" s="107"/>
      <c r="S8665" s="107"/>
      <c r="T8665" s="479"/>
      <c r="U8665" s="296"/>
      <c r="V8665" s="50"/>
      <c r="W8665" s="49"/>
      <c r="X8665" s="49"/>
      <c r="Y8665" s="35"/>
      <c r="Z8665" s="35"/>
      <c r="AA8665" s="35"/>
      <c r="AB8665" s="35"/>
      <c r="AC8665" s="35"/>
      <c r="AD8665" s="35"/>
      <c r="AE8665" s="35"/>
      <c r="AF8665" s="35"/>
      <c r="AG8665" s="35"/>
      <c r="AH8665" s="35"/>
      <c r="AI8665" s="35"/>
      <c r="AJ8665" s="35"/>
      <c r="AK8665" s="35"/>
      <c r="AL8665" s="35"/>
    </row>
    <row r="8666">
      <c r="A8666" s="457"/>
      <c r="B8666" s="475"/>
      <c r="C8666" s="476"/>
      <c r="D8666" s="477"/>
      <c r="E8666" s="96"/>
      <c r="F8666" s="96"/>
      <c r="G8666" s="325"/>
      <c r="H8666" s="96"/>
      <c r="I8666" s="478"/>
      <c r="J8666" s="96"/>
      <c r="K8666" s="96"/>
      <c r="L8666" s="107"/>
      <c r="M8666" s="107"/>
      <c r="N8666" s="107"/>
      <c r="O8666" s="107"/>
      <c r="P8666" s="109"/>
      <c r="Q8666" s="107"/>
      <c r="R8666" s="107"/>
      <c r="S8666" s="107"/>
      <c r="T8666" s="479"/>
      <c r="U8666" s="296"/>
      <c r="V8666" s="50"/>
      <c r="W8666" s="49"/>
      <c r="X8666" s="49"/>
      <c r="Y8666" s="35"/>
      <c r="Z8666" s="35"/>
      <c r="AA8666" s="35"/>
      <c r="AB8666" s="35"/>
      <c r="AC8666" s="35"/>
      <c r="AD8666" s="35"/>
      <c r="AE8666" s="35"/>
      <c r="AF8666" s="35"/>
      <c r="AG8666" s="35"/>
      <c r="AH8666" s="35"/>
      <c r="AI8666" s="35"/>
      <c r="AJ8666" s="35"/>
      <c r="AK8666" s="35"/>
      <c r="AL8666" s="35"/>
    </row>
    <row r="8667">
      <c r="A8667" s="457"/>
      <c r="B8667" s="475"/>
      <c r="C8667" s="476"/>
      <c r="D8667" s="477"/>
      <c r="E8667" s="96"/>
      <c r="F8667" s="96"/>
      <c r="G8667" s="325"/>
      <c r="H8667" s="96"/>
      <c r="I8667" s="478"/>
      <c r="J8667" s="96"/>
      <c r="K8667" s="96"/>
      <c r="L8667" s="107"/>
      <c r="M8667" s="107"/>
      <c r="N8667" s="107"/>
      <c r="O8667" s="107"/>
      <c r="P8667" s="109"/>
      <c r="Q8667" s="107"/>
      <c r="R8667" s="107"/>
      <c r="S8667" s="107"/>
      <c r="T8667" s="479"/>
      <c r="U8667" s="296"/>
      <c r="V8667" s="50"/>
      <c r="W8667" s="49"/>
      <c r="X8667" s="49"/>
      <c r="Y8667" s="35"/>
      <c r="Z8667" s="35"/>
      <c r="AA8667" s="35"/>
      <c r="AB8667" s="35"/>
      <c r="AC8667" s="35"/>
      <c r="AD8667" s="35"/>
      <c r="AE8667" s="35"/>
      <c r="AF8667" s="35"/>
      <c r="AG8667" s="35"/>
      <c r="AH8667" s="35"/>
      <c r="AI8667" s="35"/>
      <c r="AJ8667" s="35"/>
      <c r="AK8667" s="35"/>
      <c r="AL8667" s="35"/>
    </row>
    <row r="8668">
      <c r="A8668" s="457"/>
      <c r="B8668" s="475"/>
      <c r="C8668" s="476"/>
      <c r="D8668" s="477"/>
      <c r="E8668" s="96"/>
      <c r="F8668" s="96"/>
      <c r="G8668" s="325"/>
      <c r="H8668" s="96"/>
      <c r="I8668" s="478"/>
      <c r="J8668" s="96"/>
      <c r="K8668" s="96"/>
      <c r="L8668" s="107"/>
      <c r="M8668" s="107"/>
      <c r="N8668" s="107"/>
      <c r="O8668" s="107"/>
      <c r="P8668" s="109"/>
      <c r="Q8668" s="107"/>
      <c r="R8668" s="107"/>
      <c r="S8668" s="107"/>
      <c r="T8668" s="479"/>
      <c r="U8668" s="296"/>
      <c r="V8668" s="50"/>
      <c r="W8668" s="49"/>
      <c r="X8668" s="49"/>
      <c r="Y8668" s="35"/>
      <c r="Z8668" s="35"/>
      <c r="AA8668" s="35"/>
      <c r="AB8668" s="35"/>
      <c r="AC8668" s="35"/>
      <c r="AD8668" s="35"/>
      <c r="AE8668" s="35"/>
      <c r="AF8668" s="35"/>
      <c r="AG8668" s="35"/>
      <c r="AH8668" s="35"/>
      <c r="AI8668" s="35"/>
      <c r="AJ8668" s="35"/>
      <c r="AK8668" s="35"/>
      <c r="AL8668" s="35"/>
    </row>
    <row r="8669">
      <c r="A8669" s="457"/>
      <c r="B8669" s="475"/>
      <c r="C8669" s="476"/>
      <c r="D8669" s="477"/>
      <c r="E8669" s="96"/>
      <c r="F8669" s="96"/>
      <c r="G8669" s="325"/>
      <c r="H8669" s="96"/>
      <c r="I8669" s="478"/>
      <c r="J8669" s="96"/>
      <c r="K8669" s="96"/>
      <c r="L8669" s="107"/>
      <c r="M8669" s="107"/>
      <c r="N8669" s="107"/>
      <c r="O8669" s="107"/>
      <c r="P8669" s="109"/>
      <c r="Q8669" s="107"/>
      <c r="R8669" s="107"/>
      <c r="S8669" s="107"/>
      <c r="T8669" s="479"/>
      <c r="U8669" s="296"/>
      <c r="V8669" s="50"/>
      <c r="W8669" s="49"/>
      <c r="X8669" s="49"/>
      <c r="Y8669" s="35"/>
      <c r="Z8669" s="35"/>
      <c r="AA8669" s="35"/>
      <c r="AB8669" s="35"/>
      <c r="AC8669" s="35"/>
      <c r="AD8669" s="35"/>
      <c r="AE8669" s="35"/>
      <c r="AF8669" s="35"/>
      <c r="AG8669" s="35"/>
      <c r="AH8669" s="35"/>
      <c r="AI8669" s="35"/>
      <c r="AJ8669" s="35"/>
      <c r="AK8669" s="35"/>
      <c r="AL8669" s="35"/>
    </row>
    <row r="8670">
      <c r="A8670" s="457"/>
      <c r="B8670" s="475"/>
      <c r="C8670" s="476"/>
      <c r="D8670" s="477"/>
      <c r="E8670" s="96"/>
      <c r="F8670" s="96"/>
      <c r="G8670" s="325"/>
      <c r="H8670" s="96"/>
      <c r="I8670" s="478"/>
      <c r="J8670" s="96"/>
      <c r="K8670" s="96"/>
      <c r="L8670" s="107"/>
      <c r="M8670" s="107"/>
      <c r="N8670" s="107"/>
      <c r="O8670" s="107"/>
      <c r="P8670" s="109"/>
      <c r="Q8670" s="107"/>
      <c r="R8670" s="107"/>
      <c r="S8670" s="107"/>
      <c r="T8670" s="479"/>
      <c r="U8670" s="296"/>
      <c r="V8670" s="50"/>
      <c r="W8670" s="49"/>
      <c r="X8670" s="49"/>
      <c r="Y8670" s="35"/>
      <c r="Z8670" s="35"/>
      <c r="AA8670" s="35"/>
      <c r="AB8670" s="35"/>
      <c r="AC8670" s="35"/>
      <c r="AD8670" s="35"/>
      <c r="AE8670" s="35"/>
      <c r="AF8670" s="35"/>
      <c r="AG8670" s="35"/>
      <c r="AH8670" s="35"/>
      <c r="AI8670" s="35"/>
      <c r="AJ8670" s="35"/>
      <c r="AK8670" s="35"/>
      <c r="AL8670" s="35"/>
    </row>
    <row r="8671">
      <c r="A8671" s="457"/>
      <c r="B8671" s="475"/>
      <c r="C8671" s="476"/>
      <c r="D8671" s="477"/>
      <c r="E8671" s="96"/>
      <c r="F8671" s="96"/>
      <c r="G8671" s="325"/>
      <c r="H8671" s="96"/>
      <c r="I8671" s="478"/>
      <c r="J8671" s="96"/>
      <c r="K8671" s="96"/>
      <c r="L8671" s="107"/>
      <c r="M8671" s="107"/>
      <c r="N8671" s="107"/>
      <c r="O8671" s="107"/>
      <c r="P8671" s="109"/>
      <c r="Q8671" s="107"/>
      <c r="R8671" s="107"/>
      <c r="S8671" s="107"/>
      <c r="T8671" s="479"/>
      <c r="U8671" s="296"/>
      <c r="V8671" s="50"/>
      <c r="W8671" s="49"/>
      <c r="X8671" s="49"/>
      <c r="Y8671" s="35"/>
      <c r="Z8671" s="35"/>
      <c r="AA8671" s="35"/>
      <c r="AB8671" s="35"/>
      <c r="AC8671" s="35"/>
      <c r="AD8671" s="35"/>
      <c r="AE8671" s="35"/>
      <c r="AF8671" s="35"/>
      <c r="AG8671" s="35"/>
      <c r="AH8671" s="35"/>
      <c r="AI8671" s="35"/>
      <c r="AJ8671" s="35"/>
      <c r="AK8671" s="35"/>
      <c r="AL8671" s="35"/>
    </row>
    <row r="8672">
      <c r="A8672" s="457"/>
      <c r="B8672" s="475"/>
      <c r="C8672" s="476"/>
      <c r="D8672" s="477"/>
      <c r="E8672" s="96"/>
      <c r="F8672" s="96"/>
      <c r="G8672" s="325"/>
      <c r="H8672" s="96"/>
      <c r="I8672" s="478"/>
      <c r="J8672" s="96"/>
      <c r="K8672" s="96"/>
      <c r="L8672" s="107"/>
      <c r="M8672" s="107"/>
      <c r="N8672" s="107"/>
      <c r="O8672" s="107"/>
      <c r="P8672" s="109"/>
      <c r="Q8672" s="107"/>
      <c r="R8672" s="107"/>
      <c r="S8672" s="107"/>
      <c r="T8672" s="479"/>
      <c r="U8672" s="296"/>
      <c r="V8672" s="50"/>
      <c r="W8672" s="49"/>
      <c r="X8672" s="49"/>
      <c r="Y8672" s="35"/>
      <c r="Z8672" s="35"/>
      <c r="AA8672" s="35"/>
      <c r="AB8672" s="35"/>
      <c r="AC8672" s="35"/>
      <c r="AD8672" s="35"/>
      <c r="AE8672" s="35"/>
      <c r="AF8672" s="35"/>
      <c r="AG8672" s="35"/>
      <c r="AH8672" s="35"/>
      <c r="AI8672" s="35"/>
      <c r="AJ8672" s="35"/>
      <c r="AK8672" s="35"/>
      <c r="AL8672" s="35"/>
    </row>
    <row r="8673">
      <c r="A8673" s="457"/>
      <c r="B8673" s="475"/>
      <c r="C8673" s="476"/>
      <c r="D8673" s="477"/>
      <c r="E8673" s="96"/>
      <c r="F8673" s="96"/>
      <c r="G8673" s="325"/>
      <c r="H8673" s="96"/>
      <c r="I8673" s="478"/>
      <c r="J8673" s="96"/>
      <c r="K8673" s="96"/>
      <c r="L8673" s="107"/>
      <c r="M8673" s="107"/>
      <c r="N8673" s="107"/>
      <c r="O8673" s="107"/>
      <c r="P8673" s="109"/>
      <c r="Q8673" s="107"/>
      <c r="R8673" s="107"/>
      <c r="S8673" s="107"/>
      <c r="T8673" s="479"/>
      <c r="U8673" s="296"/>
      <c r="V8673" s="50"/>
      <c r="W8673" s="49"/>
      <c r="X8673" s="49"/>
      <c r="Y8673" s="35"/>
      <c r="Z8673" s="35"/>
      <c r="AA8673" s="35"/>
      <c r="AB8673" s="35"/>
      <c r="AC8673" s="35"/>
      <c r="AD8673" s="35"/>
      <c r="AE8673" s="35"/>
      <c r="AF8673" s="35"/>
      <c r="AG8673" s="35"/>
      <c r="AH8673" s="35"/>
      <c r="AI8673" s="35"/>
      <c r="AJ8673" s="35"/>
      <c r="AK8673" s="35"/>
      <c r="AL8673" s="35"/>
    </row>
    <row r="8674">
      <c r="A8674" s="457"/>
      <c r="B8674" s="475"/>
      <c r="C8674" s="476"/>
      <c r="D8674" s="477"/>
      <c r="E8674" s="96"/>
      <c r="F8674" s="96"/>
      <c r="G8674" s="325"/>
      <c r="H8674" s="96"/>
      <c r="I8674" s="478"/>
      <c r="J8674" s="96"/>
      <c r="K8674" s="96"/>
      <c r="L8674" s="107"/>
      <c r="M8674" s="107"/>
      <c r="N8674" s="107"/>
      <c r="O8674" s="107"/>
      <c r="P8674" s="109"/>
      <c r="Q8674" s="107"/>
      <c r="R8674" s="107"/>
      <c r="S8674" s="107"/>
      <c r="T8674" s="479"/>
      <c r="U8674" s="296"/>
      <c r="V8674" s="50"/>
      <c r="W8674" s="49"/>
      <c r="X8674" s="49"/>
      <c r="Y8674" s="35"/>
      <c r="Z8674" s="35"/>
      <c r="AA8674" s="35"/>
      <c r="AB8674" s="35"/>
      <c r="AC8674" s="35"/>
      <c r="AD8674" s="35"/>
      <c r="AE8674" s="35"/>
      <c r="AF8674" s="35"/>
      <c r="AG8674" s="35"/>
      <c r="AH8674" s="35"/>
      <c r="AI8674" s="35"/>
      <c r="AJ8674" s="35"/>
      <c r="AK8674" s="35"/>
      <c r="AL8674" s="35"/>
    </row>
    <row r="8675">
      <c r="A8675" s="457"/>
      <c r="B8675" s="475"/>
      <c r="C8675" s="476"/>
      <c r="D8675" s="477"/>
      <c r="E8675" s="96"/>
      <c r="F8675" s="96"/>
      <c r="G8675" s="325"/>
      <c r="H8675" s="96"/>
      <c r="I8675" s="478"/>
      <c r="J8675" s="96"/>
      <c r="K8675" s="96"/>
      <c r="L8675" s="107"/>
      <c r="M8675" s="107"/>
      <c r="N8675" s="107"/>
      <c r="O8675" s="107"/>
      <c r="P8675" s="109"/>
      <c r="Q8675" s="107"/>
      <c r="R8675" s="107"/>
      <c r="S8675" s="107"/>
      <c r="T8675" s="479"/>
      <c r="U8675" s="296"/>
      <c r="V8675" s="50"/>
      <c r="W8675" s="49"/>
      <c r="X8675" s="49"/>
      <c r="Y8675" s="35"/>
      <c r="Z8675" s="35"/>
      <c r="AA8675" s="35"/>
      <c r="AB8675" s="35"/>
      <c r="AC8675" s="35"/>
      <c r="AD8675" s="35"/>
      <c r="AE8675" s="35"/>
      <c r="AF8675" s="35"/>
      <c r="AG8675" s="35"/>
      <c r="AH8675" s="35"/>
      <c r="AI8675" s="35"/>
      <c r="AJ8675" s="35"/>
      <c r="AK8675" s="35"/>
      <c r="AL8675" s="35"/>
    </row>
    <row r="8676">
      <c r="A8676" s="457"/>
      <c r="B8676" s="475"/>
      <c r="C8676" s="476"/>
      <c r="D8676" s="477"/>
      <c r="E8676" s="96"/>
      <c r="F8676" s="96"/>
      <c r="G8676" s="325"/>
      <c r="H8676" s="96"/>
      <c r="I8676" s="478"/>
      <c r="J8676" s="96"/>
      <c r="K8676" s="96"/>
      <c r="L8676" s="107"/>
      <c r="M8676" s="107"/>
      <c r="N8676" s="107"/>
      <c r="O8676" s="107"/>
      <c r="P8676" s="109"/>
      <c r="Q8676" s="107"/>
      <c r="R8676" s="107"/>
      <c r="S8676" s="107"/>
      <c r="T8676" s="479"/>
      <c r="U8676" s="296"/>
      <c r="V8676" s="50"/>
      <c r="W8676" s="49"/>
      <c r="X8676" s="49"/>
      <c r="Y8676" s="35"/>
      <c r="Z8676" s="35"/>
      <c r="AA8676" s="35"/>
      <c r="AB8676" s="35"/>
      <c r="AC8676" s="35"/>
      <c r="AD8676" s="35"/>
      <c r="AE8676" s="35"/>
      <c r="AF8676" s="35"/>
      <c r="AG8676" s="35"/>
      <c r="AH8676" s="35"/>
      <c r="AI8676" s="35"/>
      <c r="AJ8676" s="35"/>
      <c r="AK8676" s="35"/>
      <c r="AL8676" s="35"/>
    </row>
    <row r="8677">
      <c r="A8677" s="457"/>
      <c r="B8677" s="475"/>
      <c r="C8677" s="476"/>
      <c r="D8677" s="477"/>
      <c r="E8677" s="96"/>
      <c r="F8677" s="96"/>
      <c r="G8677" s="325"/>
      <c r="H8677" s="96"/>
      <c r="I8677" s="478"/>
      <c r="J8677" s="96"/>
      <c r="K8677" s="96"/>
      <c r="L8677" s="107"/>
      <c r="M8677" s="107"/>
      <c r="N8677" s="107"/>
      <c r="O8677" s="107"/>
      <c r="P8677" s="109"/>
      <c r="Q8677" s="107"/>
      <c r="R8677" s="107"/>
      <c r="S8677" s="107"/>
      <c r="T8677" s="479"/>
      <c r="U8677" s="296"/>
      <c r="V8677" s="50"/>
      <c r="W8677" s="49"/>
      <c r="X8677" s="49"/>
      <c r="Y8677" s="35"/>
      <c r="Z8677" s="35"/>
      <c r="AA8677" s="35"/>
      <c r="AB8677" s="35"/>
      <c r="AC8677" s="35"/>
      <c r="AD8677" s="35"/>
      <c r="AE8677" s="35"/>
      <c r="AF8677" s="35"/>
      <c r="AG8677" s="35"/>
      <c r="AH8677" s="35"/>
      <c r="AI8677" s="35"/>
      <c r="AJ8677" s="35"/>
      <c r="AK8677" s="35"/>
      <c r="AL8677" s="35"/>
    </row>
    <row r="8678">
      <c r="A8678" s="457"/>
      <c r="B8678" s="475"/>
      <c r="C8678" s="476"/>
      <c r="D8678" s="477"/>
      <c r="E8678" s="96"/>
      <c r="F8678" s="96"/>
      <c r="G8678" s="325"/>
      <c r="H8678" s="96"/>
      <c r="I8678" s="478"/>
      <c r="J8678" s="96"/>
      <c r="K8678" s="96"/>
      <c r="L8678" s="107"/>
      <c r="M8678" s="107"/>
      <c r="N8678" s="107"/>
      <c r="O8678" s="107"/>
      <c r="P8678" s="109"/>
      <c r="Q8678" s="107"/>
      <c r="R8678" s="107"/>
      <c r="S8678" s="107"/>
      <c r="T8678" s="479"/>
      <c r="U8678" s="296"/>
      <c r="V8678" s="50"/>
      <c r="W8678" s="49"/>
      <c r="X8678" s="49"/>
      <c r="Y8678" s="35"/>
      <c r="Z8678" s="35"/>
      <c r="AA8678" s="35"/>
      <c r="AB8678" s="35"/>
      <c r="AC8678" s="35"/>
      <c r="AD8678" s="35"/>
      <c r="AE8678" s="35"/>
      <c r="AF8678" s="35"/>
      <c r="AG8678" s="35"/>
      <c r="AH8678" s="35"/>
      <c r="AI8678" s="35"/>
      <c r="AJ8678" s="35"/>
      <c r="AK8678" s="35"/>
      <c r="AL8678" s="35"/>
    </row>
    <row r="8679">
      <c r="A8679" s="457"/>
      <c r="B8679" s="475"/>
      <c r="C8679" s="476"/>
      <c r="D8679" s="477"/>
      <c r="E8679" s="96"/>
      <c r="F8679" s="96"/>
      <c r="G8679" s="325"/>
      <c r="H8679" s="96"/>
      <c r="I8679" s="478"/>
      <c r="J8679" s="96"/>
      <c r="K8679" s="96"/>
      <c r="L8679" s="107"/>
      <c r="M8679" s="107"/>
      <c r="N8679" s="107"/>
      <c r="O8679" s="107"/>
      <c r="P8679" s="109"/>
      <c r="Q8679" s="107"/>
      <c r="R8679" s="107"/>
      <c r="S8679" s="107"/>
      <c r="T8679" s="479"/>
      <c r="U8679" s="296"/>
      <c r="V8679" s="50"/>
      <c r="W8679" s="49"/>
      <c r="X8679" s="49"/>
      <c r="Y8679" s="35"/>
      <c r="Z8679" s="35"/>
      <c r="AA8679" s="35"/>
      <c r="AB8679" s="35"/>
      <c r="AC8679" s="35"/>
      <c r="AD8679" s="35"/>
      <c r="AE8679" s="35"/>
      <c r="AF8679" s="35"/>
      <c r="AG8679" s="35"/>
      <c r="AH8679" s="35"/>
      <c r="AI8679" s="35"/>
      <c r="AJ8679" s="35"/>
      <c r="AK8679" s="35"/>
      <c r="AL8679" s="35"/>
    </row>
    <row r="8680">
      <c r="A8680" s="457"/>
      <c r="B8680" s="475"/>
      <c r="C8680" s="476"/>
      <c r="D8680" s="477"/>
      <c r="E8680" s="96"/>
      <c r="F8680" s="96"/>
      <c r="G8680" s="325"/>
      <c r="H8680" s="96"/>
      <c r="I8680" s="478"/>
      <c r="J8680" s="96"/>
      <c r="K8680" s="96"/>
      <c r="L8680" s="107"/>
      <c r="M8680" s="107"/>
      <c r="N8680" s="107"/>
      <c r="O8680" s="107"/>
      <c r="P8680" s="109"/>
      <c r="Q8680" s="107"/>
      <c r="R8680" s="107"/>
      <c r="S8680" s="107"/>
      <c r="T8680" s="479"/>
      <c r="U8680" s="296"/>
      <c r="V8680" s="50"/>
      <c r="W8680" s="49"/>
      <c r="X8680" s="49"/>
      <c r="Y8680" s="35"/>
      <c r="Z8680" s="35"/>
      <c r="AA8680" s="35"/>
      <c r="AB8680" s="35"/>
      <c r="AC8680" s="35"/>
      <c r="AD8680" s="35"/>
      <c r="AE8680" s="35"/>
      <c r="AF8680" s="35"/>
      <c r="AG8680" s="35"/>
      <c r="AH8680" s="35"/>
      <c r="AI8680" s="35"/>
      <c r="AJ8680" s="35"/>
      <c r="AK8680" s="35"/>
      <c r="AL8680" s="35"/>
    </row>
    <row r="8681">
      <c r="A8681" s="457"/>
      <c r="B8681" s="475"/>
      <c r="C8681" s="476"/>
      <c r="D8681" s="477"/>
      <c r="E8681" s="96"/>
      <c r="F8681" s="96"/>
      <c r="G8681" s="325"/>
      <c r="H8681" s="96"/>
      <c r="I8681" s="478"/>
      <c r="J8681" s="96"/>
      <c r="K8681" s="96"/>
      <c r="L8681" s="107"/>
      <c r="M8681" s="107"/>
      <c r="N8681" s="107"/>
      <c r="O8681" s="107"/>
      <c r="P8681" s="109"/>
      <c r="Q8681" s="107"/>
      <c r="R8681" s="107"/>
      <c r="S8681" s="107"/>
      <c r="T8681" s="479"/>
      <c r="U8681" s="296"/>
      <c r="V8681" s="50"/>
      <c r="W8681" s="49"/>
      <c r="X8681" s="49"/>
      <c r="Y8681" s="35"/>
      <c r="Z8681" s="35"/>
      <c r="AA8681" s="35"/>
      <c r="AB8681" s="35"/>
      <c r="AC8681" s="35"/>
      <c r="AD8681" s="35"/>
      <c r="AE8681" s="35"/>
      <c r="AF8681" s="35"/>
      <c r="AG8681" s="35"/>
      <c r="AH8681" s="35"/>
      <c r="AI8681" s="35"/>
      <c r="AJ8681" s="35"/>
      <c r="AK8681" s="35"/>
      <c r="AL8681" s="35"/>
    </row>
    <row r="8682">
      <c r="A8682" s="457"/>
      <c r="B8682" s="475"/>
      <c r="C8682" s="476"/>
      <c r="D8682" s="477"/>
      <c r="E8682" s="96"/>
      <c r="F8682" s="96"/>
      <c r="G8682" s="325"/>
      <c r="H8682" s="96"/>
      <c r="I8682" s="478"/>
      <c r="J8682" s="96"/>
      <c r="K8682" s="96"/>
      <c r="L8682" s="107"/>
      <c r="M8682" s="107"/>
      <c r="N8682" s="107"/>
      <c r="O8682" s="107"/>
      <c r="P8682" s="109"/>
      <c r="Q8682" s="107"/>
      <c r="R8682" s="107"/>
      <c r="S8682" s="107"/>
      <c r="T8682" s="479"/>
      <c r="U8682" s="296"/>
      <c r="V8682" s="50"/>
      <c r="W8682" s="49"/>
      <c r="X8682" s="49"/>
      <c r="Y8682" s="35"/>
      <c r="Z8682" s="35"/>
      <c r="AA8682" s="35"/>
      <c r="AB8682" s="35"/>
      <c r="AC8682" s="35"/>
      <c r="AD8682" s="35"/>
      <c r="AE8682" s="35"/>
      <c r="AF8682" s="35"/>
      <c r="AG8682" s="35"/>
      <c r="AH8682" s="35"/>
      <c r="AI8682" s="35"/>
      <c r="AJ8682" s="35"/>
      <c r="AK8682" s="35"/>
      <c r="AL8682" s="35"/>
    </row>
    <row r="8683">
      <c r="A8683" s="457"/>
      <c r="B8683" s="475"/>
      <c r="C8683" s="476"/>
      <c r="D8683" s="477"/>
      <c r="E8683" s="96"/>
      <c r="F8683" s="96"/>
      <c r="G8683" s="325"/>
      <c r="H8683" s="96"/>
      <c r="I8683" s="478"/>
      <c r="J8683" s="96"/>
      <c r="K8683" s="96"/>
      <c r="L8683" s="107"/>
      <c r="M8683" s="107"/>
      <c r="N8683" s="107"/>
      <c r="O8683" s="107"/>
      <c r="P8683" s="109"/>
      <c r="Q8683" s="107"/>
      <c r="R8683" s="107"/>
      <c r="S8683" s="107"/>
      <c r="T8683" s="479"/>
      <c r="U8683" s="296"/>
      <c r="V8683" s="50"/>
      <c r="W8683" s="49"/>
      <c r="X8683" s="49"/>
      <c r="Y8683" s="35"/>
      <c r="Z8683" s="35"/>
      <c r="AA8683" s="35"/>
      <c r="AB8683" s="35"/>
      <c r="AC8683" s="35"/>
      <c r="AD8683" s="35"/>
      <c r="AE8683" s="35"/>
      <c r="AF8683" s="35"/>
      <c r="AG8683" s="35"/>
      <c r="AH8683" s="35"/>
      <c r="AI8683" s="35"/>
      <c r="AJ8683" s="35"/>
      <c r="AK8683" s="35"/>
      <c r="AL8683" s="35"/>
    </row>
    <row r="8684">
      <c r="A8684" s="457"/>
      <c r="B8684" s="475"/>
      <c r="C8684" s="476"/>
      <c r="D8684" s="477"/>
      <c r="E8684" s="96"/>
      <c r="F8684" s="96"/>
      <c r="G8684" s="325"/>
      <c r="H8684" s="96"/>
      <c r="I8684" s="478"/>
      <c r="J8684" s="96"/>
      <c r="K8684" s="96"/>
      <c r="L8684" s="107"/>
      <c r="M8684" s="107"/>
      <c r="N8684" s="107"/>
      <c r="O8684" s="107"/>
      <c r="P8684" s="109"/>
      <c r="Q8684" s="107"/>
      <c r="R8684" s="107"/>
      <c r="S8684" s="107"/>
      <c r="T8684" s="479"/>
      <c r="U8684" s="296"/>
      <c r="V8684" s="50"/>
      <c r="W8684" s="49"/>
      <c r="X8684" s="49"/>
      <c r="Y8684" s="35"/>
      <c r="Z8684" s="35"/>
      <c r="AA8684" s="35"/>
      <c r="AB8684" s="35"/>
      <c r="AC8684" s="35"/>
      <c r="AD8684" s="35"/>
      <c r="AE8684" s="35"/>
      <c r="AF8684" s="35"/>
      <c r="AG8684" s="35"/>
      <c r="AH8684" s="35"/>
      <c r="AI8684" s="35"/>
      <c r="AJ8684" s="35"/>
      <c r="AK8684" s="35"/>
      <c r="AL8684" s="35"/>
    </row>
    <row r="8685">
      <c r="A8685" s="457"/>
      <c r="B8685" s="475"/>
      <c r="C8685" s="476"/>
      <c r="D8685" s="477"/>
      <c r="E8685" s="96"/>
      <c r="F8685" s="96"/>
      <c r="G8685" s="325"/>
      <c r="H8685" s="96"/>
      <c r="I8685" s="478"/>
      <c r="J8685" s="96"/>
      <c r="K8685" s="96"/>
      <c r="L8685" s="107"/>
      <c r="M8685" s="107"/>
      <c r="N8685" s="107"/>
      <c r="O8685" s="107"/>
      <c r="P8685" s="109"/>
      <c r="Q8685" s="107"/>
      <c r="R8685" s="107"/>
      <c r="S8685" s="107"/>
      <c r="T8685" s="479"/>
      <c r="U8685" s="296"/>
      <c r="V8685" s="50"/>
      <c r="W8685" s="49"/>
      <c r="X8685" s="49"/>
      <c r="Y8685" s="35"/>
      <c r="Z8685" s="35"/>
      <c r="AA8685" s="35"/>
      <c r="AB8685" s="35"/>
      <c r="AC8685" s="35"/>
      <c r="AD8685" s="35"/>
      <c r="AE8685" s="35"/>
      <c r="AF8685" s="35"/>
      <c r="AG8685" s="35"/>
      <c r="AH8685" s="35"/>
      <c r="AI8685" s="35"/>
      <c r="AJ8685" s="35"/>
      <c r="AK8685" s="35"/>
      <c r="AL8685" s="35"/>
    </row>
    <row r="8686">
      <c r="A8686" s="457"/>
      <c r="B8686" s="475"/>
      <c r="C8686" s="476"/>
      <c r="D8686" s="477"/>
      <c r="E8686" s="96"/>
      <c r="F8686" s="96"/>
      <c r="G8686" s="325"/>
      <c r="H8686" s="96"/>
      <c r="I8686" s="478"/>
      <c r="J8686" s="96"/>
      <c r="K8686" s="96"/>
      <c r="L8686" s="107"/>
      <c r="M8686" s="107"/>
      <c r="N8686" s="107"/>
      <c r="O8686" s="107"/>
      <c r="P8686" s="109"/>
      <c r="Q8686" s="107"/>
      <c r="R8686" s="107"/>
      <c r="S8686" s="107"/>
      <c r="T8686" s="479"/>
      <c r="U8686" s="296"/>
      <c r="V8686" s="50"/>
      <c r="W8686" s="49"/>
      <c r="X8686" s="49"/>
      <c r="Y8686" s="35"/>
      <c r="Z8686" s="35"/>
      <c r="AA8686" s="35"/>
      <c r="AB8686" s="35"/>
      <c r="AC8686" s="35"/>
      <c r="AD8686" s="35"/>
      <c r="AE8686" s="35"/>
      <c r="AF8686" s="35"/>
      <c r="AG8686" s="35"/>
      <c r="AH8686" s="35"/>
      <c r="AI8686" s="35"/>
      <c r="AJ8686" s="35"/>
      <c r="AK8686" s="35"/>
      <c r="AL8686" s="35"/>
    </row>
    <row r="8687">
      <c r="A8687" s="457"/>
      <c r="B8687" s="475"/>
      <c r="C8687" s="476"/>
      <c r="D8687" s="477"/>
      <c r="E8687" s="96"/>
      <c r="F8687" s="96"/>
      <c r="G8687" s="325"/>
      <c r="H8687" s="96"/>
      <c r="I8687" s="478"/>
      <c r="J8687" s="96"/>
      <c r="K8687" s="96"/>
      <c r="L8687" s="107"/>
      <c r="M8687" s="107"/>
      <c r="N8687" s="107"/>
      <c r="O8687" s="107"/>
      <c r="P8687" s="109"/>
      <c r="Q8687" s="107"/>
      <c r="R8687" s="107"/>
      <c r="S8687" s="107"/>
      <c r="T8687" s="479"/>
      <c r="U8687" s="296"/>
      <c r="V8687" s="50"/>
      <c r="W8687" s="49"/>
      <c r="X8687" s="49"/>
      <c r="Y8687" s="35"/>
      <c r="Z8687" s="35"/>
      <c r="AA8687" s="35"/>
      <c r="AB8687" s="35"/>
      <c r="AC8687" s="35"/>
      <c r="AD8687" s="35"/>
      <c r="AE8687" s="35"/>
      <c r="AF8687" s="35"/>
      <c r="AG8687" s="35"/>
      <c r="AH8687" s="35"/>
      <c r="AI8687" s="35"/>
      <c r="AJ8687" s="35"/>
      <c r="AK8687" s="35"/>
      <c r="AL8687" s="35"/>
    </row>
    <row r="8688">
      <c r="A8688" s="457"/>
      <c r="B8688" s="475"/>
      <c r="C8688" s="476"/>
      <c r="D8688" s="477"/>
      <c r="E8688" s="96"/>
      <c r="F8688" s="96"/>
      <c r="G8688" s="325"/>
      <c r="H8688" s="96"/>
      <c r="I8688" s="478"/>
      <c r="J8688" s="96"/>
      <c r="K8688" s="96"/>
      <c r="L8688" s="107"/>
      <c r="M8688" s="107"/>
      <c r="N8688" s="107"/>
      <c r="O8688" s="107"/>
      <c r="P8688" s="109"/>
      <c r="Q8688" s="107"/>
      <c r="R8688" s="107"/>
      <c r="S8688" s="107"/>
      <c r="T8688" s="479"/>
      <c r="U8688" s="296"/>
      <c r="V8688" s="50"/>
      <c r="W8688" s="49"/>
      <c r="X8688" s="49"/>
      <c r="Y8688" s="35"/>
      <c r="Z8688" s="35"/>
      <c r="AA8688" s="35"/>
      <c r="AB8688" s="35"/>
      <c r="AC8688" s="35"/>
      <c r="AD8688" s="35"/>
      <c r="AE8688" s="35"/>
      <c r="AF8688" s="35"/>
      <c r="AG8688" s="35"/>
      <c r="AH8688" s="35"/>
      <c r="AI8688" s="35"/>
      <c r="AJ8688" s="35"/>
      <c r="AK8688" s="35"/>
      <c r="AL8688" s="35"/>
    </row>
    <row r="8689">
      <c r="A8689" s="457"/>
      <c r="B8689" s="475"/>
      <c r="C8689" s="476"/>
      <c r="D8689" s="477"/>
      <c r="E8689" s="96"/>
      <c r="F8689" s="96"/>
      <c r="G8689" s="325"/>
      <c r="H8689" s="96"/>
      <c r="I8689" s="478"/>
      <c r="J8689" s="96"/>
      <c r="K8689" s="96"/>
      <c r="L8689" s="107"/>
      <c r="M8689" s="107"/>
      <c r="N8689" s="107"/>
      <c r="O8689" s="107"/>
      <c r="P8689" s="109"/>
      <c r="Q8689" s="107"/>
      <c r="R8689" s="107"/>
      <c r="S8689" s="107"/>
      <c r="T8689" s="479"/>
      <c r="U8689" s="296"/>
      <c r="V8689" s="50"/>
      <c r="W8689" s="49"/>
      <c r="X8689" s="49"/>
      <c r="Y8689" s="35"/>
      <c r="Z8689" s="35"/>
      <c r="AA8689" s="35"/>
      <c r="AB8689" s="35"/>
      <c r="AC8689" s="35"/>
      <c r="AD8689" s="35"/>
      <c r="AE8689" s="35"/>
      <c r="AF8689" s="35"/>
      <c r="AG8689" s="35"/>
      <c r="AH8689" s="35"/>
      <c r="AI8689" s="35"/>
      <c r="AJ8689" s="35"/>
      <c r="AK8689" s="35"/>
      <c r="AL8689" s="35"/>
    </row>
    <row r="8690">
      <c r="A8690" s="457"/>
      <c r="B8690" s="475"/>
      <c r="C8690" s="476"/>
      <c r="D8690" s="477"/>
      <c r="E8690" s="96"/>
      <c r="F8690" s="96"/>
      <c r="G8690" s="325"/>
      <c r="H8690" s="96"/>
      <c r="I8690" s="478"/>
      <c r="J8690" s="96"/>
      <c r="K8690" s="96"/>
      <c r="L8690" s="107"/>
      <c r="M8690" s="107"/>
      <c r="N8690" s="107"/>
      <c r="O8690" s="107"/>
      <c r="P8690" s="109"/>
      <c r="Q8690" s="107"/>
      <c r="R8690" s="107"/>
      <c r="S8690" s="107"/>
      <c r="T8690" s="479"/>
      <c r="U8690" s="296"/>
      <c r="V8690" s="50"/>
      <c r="W8690" s="49"/>
      <c r="X8690" s="49"/>
      <c r="Y8690" s="35"/>
      <c r="Z8690" s="35"/>
      <c r="AA8690" s="35"/>
      <c r="AB8690" s="35"/>
      <c r="AC8690" s="35"/>
      <c r="AD8690" s="35"/>
      <c r="AE8690" s="35"/>
      <c r="AF8690" s="35"/>
      <c r="AG8690" s="35"/>
      <c r="AH8690" s="35"/>
      <c r="AI8690" s="35"/>
      <c r="AJ8690" s="35"/>
      <c r="AK8690" s="35"/>
      <c r="AL8690" s="35"/>
    </row>
    <row r="8691">
      <c r="A8691" s="457"/>
      <c r="B8691" s="475"/>
      <c r="C8691" s="476"/>
      <c r="D8691" s="477"/>
      <c r="E8691" s="96"/>
      <c r="F8691" s="96"/>
      <c r="G8691" s="325"/>
      <c r="H8691" s="96"/>
      <c r="I8691" s="478"/>
      <c r="J8691" s="96"/>
      <c r="K8691" s="96"/>
      <c r="L8691" s="107"/>
      <c r="M8691" s="107"/>
      <c r="N8691" s="107"/>
      <c r="O8691" s="107"/>
      <c r="P8691" s="109"/>
      <c r="Q8691" s="107"/>
      <c r="R8691" s="107"/>
      <c r="S8691" s="107"/>
      <c r="T8691" s="479"/>
      <c r="U8691" s="296"/>
      <c r="V8691" s="50"/>
      <c r="W8691" s="49"/>
      <c r="X8691" s="49"/>
      <c r="Y8691" s="35"/>
      <c r="Z8691" s="35"/>
      <c r="AA8691" s="35"/>
      <c r="AB8691" s="35"/>
      <c r="AC8691" s="35"/>
      <c r="AD8691" s="35"/>
      <c r="AE8691" s="35"/>
      <c r="AF8691" s="35"/>
      <c r="AG8691" s="35"/>
      <c r="AH8691" s="35"/>
      <c r="AI8691" s="35"/>
      <c r="AJ8691" s="35"/>
      <c r="AK8691" s="35"/>
      <c r="AL8691" s="35"/>
    </row>
    <row r="8692">
      <c r="A8692" s="457"/>
      <c r="B8692" s="475"/>
      <c r="C8692" s="476"/>
      <c r="D8692" s="477"/>
      <c r="E8692" s="96"/>
      <c r="F8692" s="96"/>
      <c r="G8692" s="325"/>
      <c r="H8692" s="96"/>
      <c r="I8692" s="478"/>
      <c r="J8692" s="96"/>
      <c r="K8692" s="96"/>
      <c r="L8692" s="107"/>
      <c r="M8692" s="107"/>
      <c r="N8692" s="107"/>
      <c r="O8692" s="107"/>
      <c r="P8692" s="109"/>
      <c r="Q8692" s="107"/>
      <c r="R8692" s="107"/>
      <c r="S8692" s="107"/>
      <c r="T8692" s="479"/>
      <c r="U8692" s="296"/>
      <c r="V8692" s="50"/>
      <c r="W8692" s="49"/>
      <c r="X8692" s="49"/>
      <c r="Y8692" s="35"/>
      <c r="Z8692" s="35"/>
      <c r="AA8692" s="35"/>
      <c r="AB8692" s="35"/>
      <c r="AC8692" s="35"/>
      <c r="AD8692" s="35"/>
      <c r="AE8692" s="35"/>
      <c r="AF8692" s="35"/>
      <c r="AG8692" s="35"/>
      <c r="AH8692" s="35"/>
      <c r="AI8692" s="35"/>
      <c r="AJ8692" s="35"/>
      <c r="AK8692" s="35"/>
      <c r="AL8692" s="35"/>
    </row>
    <row r="8693">
      <c r="A8693" s="457"/>
      <c r="B8693" s="475"/>
      <c r="C8693" s="476"/>
      <c r="D8693" s="477"/>
      <c r="E8693" s="96"/>
      <c r="F8693" s="96"/>
      <c r="G8693" s="325"/>
      <c r="H8693" s="96"/>
      <c r="I8693" s="478"/>
      <c r="J8693" s="96"/>
      <c r="K8693" s="96"/>
      <c r="L8693" s="107"/>
      <c r="M8693" s="107"/>
      <c r="N8693" s="107"/>
      <c r="O8693" s="107"/>
      <c r="P8693" s="109"/>
      <c r="Q8693" s="107"/>
      <c r="R8693" s="107"/>
      <c r="S8693" s="107"/>
      <c r="T8693" s="479"/>
      <c r="U8693" s="296"/>
      <c r="V8693" s="50"/>
      <c r="W8693" s="49"/>
      <c r="X8693" s="49"/>
      <c r="Y8693" s="35"/>
      <c r="Z8693" s="35"/>
      <c r="AA8693" s="35"/>
      <c r="AB8693" s="35"/>
      <c r="AC8693" s="35"/>
      <c r="AD8693" s="35"/>
      <c r="AE8693" s="35"/>
      <c r="AF8693" s="35"/>
      <c r="AG8693" s="35"/>
      <c r="AH8693" s="35"/>
      <c r="AI8693" s="35"/>
      <c r="AJ8693" s="35"/>
      <c r="AK8693" s="35"/>
      <c r="AL8693" s="35"/>
    </row>
    <row r="8694">
      <c r="A8694" s="457"/>
      <c r="B8694" s="475"/>
      <c r="C8694" s="476"/>
      <c r="D8694" s="477"/>
      <c r="E8694" s="96"/>
      <c r="F8694" s="96"/>
      <c r="G8694" s="325"/>
      <c r="H8694" s="96"/>
      <c r="I8694" s="478"/>
      <c r="J8694" s="96"/>
      <c r="K8694" s="96"/>
      <c r="L8694" s="107"/>
      <c r="M8694" s="107"/>
      <c r="N8694" s="107"/>
      <c r="O8694" s="107"/>
      <c r="P8694" s="109"/>
      <c r="Q8694" s="107"/>
      <c r="R8694" s="107"/>
      <c r="S8694" s="107"/>
      <c r="T8694" s="479"/>
      <c r="U8694" s="296"/>
      <c r="V8694" s="50"/>
      <c r="W8694" s="49"/>
      <c r="X8694" s="49"/>
      <c r="Y8694" s="35"/>
      <c r="Z8694" s="35"/>
      <c r="AA8694" s="35"/>
      <c r="AB8694" s="35"/>
      <c r="AC8694" s="35"/>
      <c r="AD8694" s="35"/>
      <c r="AE8694" s="35"/>
      <c r="AF8694" s="35"/>
      <c r="AG8694" s="35"/>
      <c r="AH8694" s="35"/>
      <c r="AI8694" s="35"/>
      <c r="AJ8694" s="35"/>
      <c r="AK8694" s="35"/>
      <c r="AL8694" s="35"/>
    </row>
    <row r="8695">
      <c r="A8695" s="457"/>
      <c r="B8695" s="475"/>
      <c r="C8695" s="476"/>
      <c r="D8695" s="477"/>
      <c r="E8695" s="96"/>
      <c r="F8695" s="96"/>
      <c r="G8695" s="325"/>
      <c r="H8695" s="96"/>
      <c r="I8695" s="478"/>
      <c r="J8695" s="96"/>
      <c r="K8695" s="96"/>
      <c r="L8695" s="107"/>
      <c r="M8695" s="107"/>
      <c r="N8695" s="107"/>
      <c r="O8695" s="107"/>
      <c r="P8695" s="109"/>
      <c r="Q8695" s="107"/>
      <c r="R8695" s="107"/>
      <c r="S8695" s="107"/>
      <c r="T8695" s="479"/>
      <c r="U8695" s="296"/>
      <c r="V8695" s="50"/>
      <c r="W8695" s="49"/>
      <c r="X8695" s="49"/>
      <c r="Y8695" s="35"/>
      <c r="Z8695" s="35"/>
      <c r="AA8695" s="35"/>
      <c r="AB8695" s="35"/>
      <c r="AC8695" s="35"/>
      <c r="AD8695" s="35"/>
      <c r="AE8695" s="35"/>
      <c r="AF8695" s="35"/>
      <c r="AG8695" s="35"/>
      <c r="AH8695" s="35"/>
      <c r="AI8695" s="35"/>
      <c r="AJ8695" s="35"/>
      <c r="AK8695" s="35"/>
      <c r="AL8695" s="35"/>
    </row>
    <row r="8696">
      <c r="A8696" s="457"/>
      <c r="B8696" s="475"/>
      <c r="C8696" s="476"/>
      <c r="D8696" s="477"/>
      <c r="E8696" s="96"/>
      <c r="F8696" s="96"/>
      <c r="G8696" s="325"/>
      <c r="H8696" s="96"/>
      <c r="I8696" s="478"/>
      <c r="J8696" s="96"/>
      <c r="K8696" s="96"/>
      <c r="L8696" s="107"/>
      <c r="M8696" s="107"/>
      <c r="N8696" s="107"/>
      <c r="O8696" s="107"/>
      <c r="P8696" s="109"/>
      <c r="Q8696" s="107"/>
      <c r="R8696" s="107"/>
      <c r="S8696" s="107"/>
      <c r="T8696" s="479"/>
      <c r="U8696" s="296"/>
      <c r="V8696" s="50"/>
      <c r="W8696" s="49"/>
      <c r="X8696" s="49"/>
      <c r="Y8696" s="35"/>
      <c r="Z8696" s="35"/>
      <c r="AA8696" s="35"/>
      <c r="AB8696" s="35"/>
      <c r="AC8696" s="35"/>
      <c r="AD8696" s="35"/>
      <c r="AE8696" s="35"/>
      <c r="AF8696" s="35"/>
      <c r="AG8696" s="35"/>
      <c r="AH8696" s="35"/>
      <c r="AI8696" s="35"/>
      <c r="AJ8696" s="35"/>
      <c r="AK8696" s="35"/>
      <c r="AL8696" s="35"/>
    </row>
    <row r="8697">
      <c r="A8697" s="457"/>
      <c r="B8697" s="475"/>
      <c r="C8697" s="476"/>
      <c r="D8697" s="477"/>
      <c r="E8697" s="96"/>
      <c r="F8697" s="96"/>
      <c r="G8697" s="325"/>
      <c r="H8697" s="96"/>
      <c r="I8697" s="478"/>
      <c r="J8697" s="96"/>
      <c r="K8697" s="96"/>
      <c r="L8697" s="107"/>
      <c r="M8697" s="107"/>
      <c r="N8697" s="107"/>
      <c r="O8697" s="107"/>
      <c r="P8697" s="109"/>
      <c r="Q8697" s="107"/>
      <c r="R8697" s="107"/>
      <c r="S8697" s="107"/>
      <c r="T8697" s="479"/>
      <c r="U8697" s="296"/>
      <c r="V8697" s="50"/>
      <c r="W8697" s="49"/>
      <c r="X8697" s="49"/>
      <c r="Y8697" s="35"/>
      <c r="Z8697" s="35"/>
      <c r="AA8697" s="35"/>
      <c r="AB8697" s="35"/>
      <c r="AC8697" s="35"/>
      <c r="AD8697" s="35"/>
      <c r="AE8697" s="35"/>
      <c r="AF8697" s="35"/>
      <c r="AG8697" s="35"/>
      <c r="AH8697" s="35"/>
      <c r="AI8697" s="35"/>
      <c r="AJ8697" s="35"/>
      <c r="AK8697" s="35"/>
      <c r="AL8697" s="35"/>
    </row>
    <row r="8698">
      <c r="A8698" s="457"/>
      <c r="B8698" s="475"/>
      <c r="C8698" s="476"/>
      <c r="D8698" s="477"/>
      <c r="E8698" s="96"/>
      <c r="F8698" s="96"/>
      <c r="G8698" s="325"/>
      <c r="H8698" s="96"/>
      <c r="I8698" s="478"/>
      <c r="J8698" s="96"/>
      <c r="K8698" s="96"/>
      <c r="L8698" s="107"/>
      <c r="M8698" s="107"/>
      <c r="N8698" s="107"/>
      <c r="O8698" s="107"/>
      <c r="P8698" s="109"/>
      <c r="Q8698" s="107"/>
      <c r="R8698" s="107"/>
      <c r="S8698" s="107"/>
      <c r="T8698" s="479"/>
      <c r="U8698" s="296"/>
      <c r="V8698" s="50"/>
      <c r="W8698" s="49"/>
      <c r="X8698" s="49"/>
      <c r="Y8698" s="35"/>
      <c r="Z8698" s="35"/>
      <c r="AA8698" s="35"/>
      <c r="AB8698" s="35"/>
      <c r="AC8698" s="35"/>
      <c r="AD8698" s="35"/>
      <c r="AE8698" s="35"/>
      <c r="AF8698" s="35"/>
      <c r="AG8698" s="35"/>
      <c r="AH8698" s="35"/>
      <c r="AI8698" s="35"/>
      <c r="AJ8698" s="35"/>
      <c r="AK8698" s="35"/>
      <c r="AL8698" s="35"/>
    </row>
    <row r="8699">
      <c r="A8699" s="457"/>
      <c r="B8699" s="475"/>
      <c r="C8699" s="476"/>
      <c r="D8699" s="477"/>
      <c r="E8699" s="96"/>
      <c r="F8699" s="96"/>
      <c r="G8699" s="325"/>
      <c r="H8699" s="96"/>
      <c r="I8699" s="478"/>
      <c r="J8699" s="96"/>
      <c r="K8699" s="96"/>
      <c r="L8699" s="107"/>
      <c r="M8699" s="107"/>
      <c r="N8699" s="107"/>
      <c r="O8699" s="107"/>
      <c r="P8699" s="109"/>
      <c r="Q8699" s="107"/>
      <c r="R8699" s="107"/>
      <c r="S8699" s="107"/>
      <c r="T8699" s="479"/>
      <c r="U8699" s="296"/>
      <c r="V8699" s="50"/>
      <c r="W8699" s="49"/>
      <c r="X8699" s="49"/>
      <c r="Y8699" s="35"/>
      <c r="Z8699" s="35"/>
      <c r="AA8699" s="35"/>
      <c r="AB8699" s="35"/>
      <c r="AC8699" s="35"/>
      <c r="AD8699" s="35"/>
      <c r="AE8699" s="35"/>
      <c r="AF8699" s="35"/>
      <c r="AG8699" s="35"/>
      <c r="AH8699" s="35"/>
      <c r="AI8699" s="35"/>
      <c r="AJ8699" s="35"/>
      <c r="AK8699" s="35"/>
      <c r="AL8699" s="35"/>
    </row>
    <row r="8700">
      <c r="A8700" s="457"/>
      <c r="B8700" s="475"/>
      <c r="C8700" s="476"/>
      <c r="D8700" s="477"/>
      <c r="E8700" s="96"/>
      <c r="F8700" s="96"/>
      <c r="G8700" s="325"/>
      <c r="H8700" s="96"/>
      <c r="I8700" s="478"/>
      <c r="J8700" s="96"/>
      <c r="K8700" s="96"/>
      <c r="L8700" s="107"/>
      <c r="M8700" s="107"/>
      <c r="N8700" s="107"/>
      <c r="O8700" s="107"/>
      <c r="P8700" s="109"/>
      <c r="Q8700" s="107"/>
      <c r="R8700" s="107"/>
      <c r="S8700" s="107"/>
      <c r="T8700" s="479"/>
      <c r="U8700" s="296"/>
      <c r="V8700" s="50"/>
      <c r="W8700" s="49"/>
      <c r="X8700" s="49"/>
      <c r="Y8700" s="35"/>
      <c r="Z8700" s="35"/>
      <c r="AA8700" s="35"/>
      <c r="AB8700" s="35"/>
      <c r="AC8700" s="35"/>
      <c r="AD8700" s="35"/>
      <c r="AE8700" s="35"/>
      <c r="AF8700" s="35"/>
      <c r="AG8700" s="35"/>
      <c r="AH8700" s="35"/>
      <c r="AI8700" s="35"/>
      <c r="AJ8700" s="35"/>
      <c r="AK8700" s="35"/>
      <c r="AL8700" s="35"/>
    </row>
    <row r="8701">
      <c r="A8701" s="457"/>
      <c r="B8701" s="475"/>
      <c r="C8701" s="476"/>
      <c r="D8701" s="477"/>
      <c r="E8701" s="96"/>
      <c r="F8701" s="96"/>
      <c r="G8701" s="325"/>
      <c r="H8701" s="96"/>
      <c r="I8701" s="478"/>
      <c r="J8701" s="96"/>
      <c r="K8701" s="96"/>
      <c r="L8701" s="107"/>
      <c r="M8701" s="107"/>
      <c r="N8701" s="107"/>
      <c r="O8701" s="107"/>
      <c r="P8701" s="109"/>
      <c r="Q8701" s="107"/>
      <c r="R8701" s="107"/>
      <c r="S8701" s="107"/>
      <c r="T8701" s="479"/>
      <c r="U8701" s="296"/>
      <c r="V8701" s="50"/>
      <c r="W8701" s="49"/>
      <c r="X8701" s="49"/>
      <c r="Y8701" s="35"/>
      <c r="Z8701" s="35"/>
      <c r="AA8701" s="35"/>
      <c r="AB8701" s="35"/>
      <c r="AC8701" s="35"/>
      <c r="AD8701" s="35"/>
      <c r="AE8701" s="35"/>
      <c r="AF8701" s="35"/>
      <c r="AG8701" s="35"/>
      <c r="AH8701" s="35"/>
      <c r="AI8701" s="35"/>
      <c r="AJ8701" s="35"/>
      <c r="AK8701" s="35"/>
      <c r="AL8701" s="35"/>
    </row>
    <row r="8702">
      <c r="A8702" s="457"/>
      <c r="B8702" s="475"/>
      <c r="C8702" s="476"/>
      <c r="D8702" s="477"/>
      <c r="E8702" s="96"/>
      <c r="F8702" s="96"/>
      <c r="G8702" s="325"/>
      <c r="H8702" s="96"/>
      <c r="I8702" s="478"/>
      <c r="J8702" s="96"/>
      <c r="K8702" s="96"/>
      <c r="L8702" s="107"/>
      <c r="M8702" s="107"/>
      <c r="N8702" s="107"/>
      <c r="O8702" s="107"/>
      <c r="P8702" s="109"/>
      <c r="Q8702" s="107"/>
      <c r="R8702" s="107"/>
      <c r="S8702" s="107"/>
      <c r="T8702" s="479"/>
      <c r="U8702" s="296"/>
      <c r="V8702" s="50"/>
      <c r="W8702" s="49"/>
      <c r="X8702" s="49"/>
      <c r="Y8702" s="35"/>
      <c r="Z8702" s="35"/>
      <c r="AA8702" s="35"/>
      <c r="AB8702" s="35"/>
      <c r="AC8702" s="35"/>
      <c r="AD8702" s="35"/>
      <c r="AE8702" s="35"/>
      <c r="AF8702" s="35"/>
      <c r="AG8702" s="35"/>
      <c r="AH8702" s="35"/>
      <c r="AI8702" s="35"/>
      <c r="AJ8702" s="35"/>
      <c r="AK8702" s="35"/>
      <c r="AL8702" s="35"/>
    </row>
    <row r="8703">
      <c r="A8703" s="457"/>
      <c r="B8703" s="475"/>
      <c r="C8703" s="476"/>
      <c r="D8703" s="477"/>
      <c r="E8703" s="96"/>
      <c r="F8703" s="96"/>
      <c r="G8703" s="325"/>
      <c r="H8703" s="96"/>
      <c r="I8703" s="478"/>
      <c r="J8703" s="96"/>
      <c r="K8703" s="96"/>
      <c r="L8703" s="107"/>
      <c r="M8703" s="107"/>
      <c r="N8703" s="107"/>
      <c r="O8703" s="107"/>
      <c r="P8703" s="109"/>
      <c r="Q8703" s="107"/>
      <c r="R8703" s="107"/>
      <c r="S8703" s="107"/>
      <c r="T8703" s="479"/>
      <c r="U8703" s="296"/>
      <c r="V8703" s="50"/>
      <c r="W8703" s="49"/>
      <c r="X8703" s="49"/>
      <c r="Y8703" s="35"/>
      <c r="Z8703" s="35"/>
      <c r="AA8703" s="35"/>
      <c r="AB8703" s="35"/>
      <c r="AC8703" s="35"/>
      <c r="AD8703" s="35"/>
      <c r="AE8703" s="35"/>
      <c r="AF8703" s="35"/>
      <c r="AG8703" s="35"/>
      <c r="AH8703" s="35"/>
      <c r="AI8703" s="35"/>
      <c r="AJ8703" s="35"/>
      <c r="AK8703" s="35"/>
      <c r="AL8703" s="35"/>
    </row>
    <row r="8704">
      <c r="A8704" s="457"/>
      <c r="B8704" s="475"/>
      <c r="C8704" s="476"/>
      <c r="D8704" s="477"/>
      <c r="E8704" s="96"/>
      <c r="F8704" s="96"/>
      <c r="G8704" s="325"/>
      <c r="H8704" s="96"/>
      <c r="I8704" s="478"/>
      <c r="J8704" s="96"/>
      <c r="K8704" s="96"/>
      <c r="L8704" s="107"/>
      <c r="M8704" s="107"/>
      <c r="N8704" s="107"/>
      <c r="O8704" s="107"/>
      <c r="P8704" s="109"/>
      <c r="Q8704" s="107"/>
      <c r="R8704" s="107"/>
      <c r="S8704" s="107"/>
      <c r="T8704" s="479"/>
      <c r="U8704" s="296"/>
      <c r="V8704" s="50"/>
      <c r="W8704" s="49"/>
      <c r="X8704" s="49"/>
      <c r="Y8704" s="35"/>
      <c r="Z8704" s="35"/>
      <c r="AA8704" s="35"/>
      <c r="AB8704" s="35"/>
      <c r="AC8704" s="35"/>
      <c r="AD8704" s="35"/>
      <c r="AE8704" s="35"/>
      <c r="AF8704" s="35"/>
      <c r="AG8704" s="35"/>
      <c r="AH8704" s="35"/>
      <c r="AI8704" s="35"/>
      <c r="AJ8704" s="35"/>
      <c r="AK8704" s="35"/>
      <c r="AL8704" s="35"/>
    </row>
    <row r="8705">
      <c r="A8705" s="457"/>
      <c r="B8705" s="475"/>
      <c r="C8705" s="476"/>
      <c r="D8705" s="477"/>
      <c r="E8705" s="96"/>
      <c r="F8705" s="96"/>
      <c r="G8705" s="325"/>
      <c r="H8705" s="96"/>
      <c r="I8705" s="478"/>
      <c r="J8705" s="96"/>
      <c r="K8705" s="96"/>
      <c r="L8705" s="107"/>
      <c r="M8705" s="107"/>
      <c r="N8705" s="107"/>
      <c r="O8705" s="107"/>
      <c r="P8705" s="109"/>
      <c r="Q8705" s="107"/>
      <c r="R8705" s="107"/>
      <c r="S8705" s="107"/>
      <c r="T8705" s="479"/>
      <c r="U8705" s="296"/>
      <c r="V8705" s="50"/>
      <c r="W8705" s="49"/>
      <c r="X8705" s="49"/>
      <c r="Y8705" s="35"/>
      <c r="Z8705" s="35"/>
      <c r="AA8705" s="35"/>
      <c r="AB8705" s="35"/>
      <c r="AC8705" s="35"/>
      <c r="AD8705" s="35"/>
      <c r="AE8705" s="35"/>
      <c r="AF8705" s="35"/>
      <c r="AG8705" s="35"/>
      <c r="AH8705" s="35"/>
      <c r="AI8705" s="35"/>
      <c r="AJ8705" s="35"/>
      <c r="AK8705" s="35"/>
      <c r="AL8705" s="35"/>
    </row>
    <row r="8706">
      <c r="A8706" s="457"/>
      <c r="B8706" s="475"/>
      <c r="C8706" s="476"/>
      <c r="D8706" s="477"/>
      <c r="E8706" s="96"/>
      <c r="F8706" s="96"/>
      <c r="G8706" s="325"/>
      <c r="H8706" s="96"/>
      <c r="I8706" s="478"/>
      <c r="J8706" s="96"/>
      <c r="K8706" s="96"/>
      <c r="L8706" s="107"/>
      <c r="M8706" s="107"/>
      <c r="N8706" s="107"/>
      <c r="O8706" s="107"/>
      <c r="P8706" s="109"/>
      <c r="Q8706" s="107"/>
      <c r="R8706" s="107"/>
      <c r="S8706" s="107"/>
      <c r="T8706" s="479"/>
      <c r="U8706" s="296"/>
      <c r="V8706" s="50"/>
      <c r="W8706" s="49"/>
      <c r="X8706" s="49"/>
      <c r="Y8706" s="35"/>
      <c r="Z8706" s="35"/>
      <c r="AA8706" s="35"/>
      <c r="AB8706" s="35"/>
      <c r="AC8706" s="35"/>
      <c r="AD8706" s="35"/>
      <c r="AE8706" s="35"/>
      <c r="AF8706" s="35"/>
      <c r="AG8706" s="35"/>
      <c r="AH8706" s="35"/>
      <c r="AI8706" s="35"/>
      <c r="AJ8706" s="35"/>
      <c r="AK8706" s="35"/>
      <c r="AL8706" s="35"/>
    </row>
    <row r="8707">
      <c r="A8707" s="457"/>
      <c r="B8707" s="475"/>
      <c r="C8707" s="476"/>
      <c r="D8707" s="477"/>
      <c r="E8707" s="96"/>
      <c r="F8707" s="96"/>
      <c r="G8707" s="325"/>
      <c r="H8707" s="96"/>
      <c r="I8707" s="478"/>
      <c r="J8707" s="96"/>
      <c r="K8707" s="96"/>
      <c r="L8707" s="107"/>
      <c r="M8707" s="107"/>
      <c r="N8707" s="107"/>
      <c r="O8707" s="107"/>
      <c r="P8707" s="109"/>
      <c r="Q8707" s="107"/>
      <c r="R8707" s="107"/>
      <c r="S8707" s="107"/>
      <c r="T8707" s="479"/>
      <c r="U8707" s="296"/>
      <c r="V8707" s="50"/>
      <c r="W8707" s="49"/>
      <c r="X8707" s="49"/>
      <c r="Y8707" s="35"/>
      <c r="Z8707" s="35"/>
      <c r="AA8707" s="35"/>
      <c r="AB8707" s="35"/>
      <c r="AC8707" s="35"/>
      <c r="AD8707" s="35"/>
      <c r="AE8707" s="35"/>
      <c r="AF8707" s="35"/>
      <c r="AG8707" s="35"/>
      <c r="AH8707" s="35"/>
      <c r="AI8707" s="35"/>
      <c r="AJ8707" s="35"/>
      <c r="AK8707" s="35"/>
      <c r="AL8707" s="35"/>
    </row>
    <row r="8708">
      <c r="A8708" s="457"/>
      <c r="B8708" s="475"/>
      <c r="C8708" s="476"/>
      <c r="D8708" s="477"/>
      <c r="E8708" s="96"/>
      <c r="F8708" s="96"/>
      <c r="G8708" s="325"/>
      <c r="H8708" s="96"/>
      <c r="I8708" s="478"/>
      <c r="J8708" s="96"/>
      <c r="K8708" s="96"/>
      <c r="L8708" s="107"/>
      <c r="M8708" s="107"/>
      <c r="N8708" s="107"/>
      <c r="O8708" s="107"/>
      <c r="P8708" s="109"/>
      <c r="Q8708" s="107"/>
      <c r="R8708" s="107"/>
      <c r="S8708" s="107"/>
      <c r="T8708" s="479"/>
      <c r="U8708" s="296"/>
      <c r="V8708" s="50"/>
      <c r="W8708" s="49"/>
      <c r="X8708" s="49"/>
      <c r="Y8708" s="35"/>
      <c r="Z8708" s="35"/>
      <c r="AA8708" s="35"/>
      <c r="AB8708" s="35"/>
      <c r="AC8708" s="35"/>
      <c r="AD8708" s="35"/>
      <c r="AE8708" s="35"/>
      <c r="AF8708" s="35"/>
      <c r="AG8708" s="35"/>
      <c r="AH8708" s="35"/>
      <c r="AI8708" s="35"/>
      <c r="AJ8708" s="35"/>
      <c r="AK8708" s="35"/>
      <c r="AL8708" s="35"/>
    </row>
    <row r="8709">
      <c r="A8709" s="457"/>
      <c r="B8709" s="475"/>
      <c r="C8709" s="476"/>
      <c r="D8709" s="477"/>
      <c r="E8709" s="96"/>
      <c r="F8709" s="96"/>
      <c r="G8709" s="325"/>
      <c r="H8709" s="96"/>
      <c r="I8709" s="478"/>
      <c r="J8709" s="96"/>
      <c r="K8709" s="96"/>
      <c r="L8709" s="107"/>
      <c r="M8709" s="107"/>
      <c r="N8709" s="107"/>
      <c r="O8709" s="107"/>
      <c r="P8709" s="109"/>
      <c r="Q8709" s="107"/>
      <c r="R8709" s="107"/>
      <c r="S8709" s="107"/>
      <c r="T8709" s="479"/>
      <c r="U8709" s="296"/>
      <c r="V8709" s="50"/>
      <c r="W8709" s="49"/>
      <c r="X8709" s="49"/>
      <c r="Y8709" s="35"/>
      <c r="Z8709" s="35"/>
      <c r="AA8709" s="35"/>
      <c r="AB8709" s="35"/>
      <c r="AC8709" s="35"/>
      <c r="AD8709" s="35"/>
      <c r="AE8709" s="35"/>
      <c r="AF8709" s="35"/>
      <c r="AG8709" s="35"/>
      <c r="AH8709" s="35"/>
      <c r="AI8709" s="35"/>
      <c r="AJ8709" s="35"/>
      <c r="AK8709" s="35"/>
      <c r="AL8709" s="35"/>
    </row>
    <row r="8710">
      <c r="A8710" s="457"/>
      <c r="B8710" s="475"/>
      <c r="C8710" s="476"/>
      <c r="D8710" s="477"/>
      <c r="E8710" s="96"/>
      <c r="F8710" s="96"/>
      <c r="G8710" s="325"/>
      <c r="H8710" s="96"/>
      <c r="I8710" s="478"/>
      <c r="J8710" s="96"/>
      <c r="K8710" s="96"/>
      <c r="L8710" s="107"/>
      <c r="M8710" s="107"/>
      <c r="N8710" s="107"/>
      <c r="O8710" s="107"/>
      <c r="P8710" s="109"/>
      <c r="Q8710" s="107"/>
      <c r="R8710" s="107"/>
      <c r="S8710" s="107"/>
      <c r="T8710" s="479"/>
      <c r="U8710" s="296"/>
      <c r="V8710" s="50"/>
      <c r="W8710" s="49"/>
      <c r="X8710" s="49"/>
      <c r="Y8710" s="35"/>
      <c r="Z8710" s="35"/>
      <c r="AA8710" s="35"/>
      <c r="AB8710" s="35"/>
      <c r="AC8710" s="35"/>
      <c r="AD8710" s="35"/>
      <c r="AE8710" s="35"/>
      <c r="AF8710" s="35"/>
      <c r="AG8710" s="35"/>
      <c r="AH8710" s="35"/>
      <c r="AI8710" s="35"/>
      <c r="AJ8710" s="35"/>
      <c r="AK8710" s="35"/>
      <c r="AL8710" s="35"/>
    </row>
    <row r="8711">
      <c r="A8711" s="457"/>
      <c r="B8711" s="475"/>
      <c r="C8711" s="476"/>
      <c r="D8711" s="477"/>
      <c r="E8711" s="96"/>
      <c r="F8711" s="96"/>
      <c r="G8711" s="325"/>
      <c r="H8711" s="96"/>
      <c r="I8711" s="478"/>
      <c r="J8711" s="96"/>
      <c r="K8711" s="96"/>
      <c r="L8711" s="107"/>
      <c r="M8711" s="107"/>
      <c r="N8711" s="107"/>
      <c r="O8711" s="107"/>
      <c r="P8711" s="109"/>
      <c r="Q8711" s="107"/>
      <c r="R8711" s="107"/>
      <c r="S8711" s="107"/>
      <c r="T8711" s="479"/>
      <c r="U8711" s="296"/>
      <c r="V8711" s="50"/>
      <c r="W8711" s="49"/>
      <c r="X8711" s="49"/>
      <c r="Y8711" s="35"/>
      <c r="Z8711" s="35"/>
      <c r="AA8711" s="35"/>
      <c r="AB8711" s="35"/>
      <c r="AC8711" s="35"/>
      <c r="AD8711" s="35"/>
      <c r="AE8711" s="35"/>
      <c r="AF8711" s="35"/>
      <c r="AG8711" s="35"/>
      <c r="AH8711" s="35"/>
      <c r="AI8711" s="35"/>
      <c r="AJ8711" s="35"/>
      <c r="AK8711" s="35"/>
      <c r="AL8711" s="35"/>
    </row>
    <row r="8712">
      <c r="A8712" s="457"/>
      <c r="B8712" s="475"/>
      <c r="C8712" s="476"/>
      <c r="D8712" s="477"/>
      <c r="E8712" s="96"/>
      <c r="F8712" s="96"/>
      <c r="G8712" s="325"/>
      <c r="H8712" s="96"/>
      <c r="I8712" s="478"/>
      <c r="J8712" s="96"/>
      <c r="K8712" s="96"/>
      <c r="L8712" s="107"/>
      <c r="M8712" s="107"/>
      <c r="N8712" s="107"/>
      <c r="O8712" s="107"/>
      <c r="P8712" s="109"/>
      <c r="Q8712" s="107"/>
      <c r="R8712" s="107"/>
      <c r="S8712" s="107"/>
      <c r="T8712" s="479"/>
      <c r="U8712" s="296"/>
      <c r="V8712" s="50"/>
      <c r="W8712" s="49"/>
      <c r="X8712" s="49"/>
      <c r="Y8712" s="35"/>
      <c r="Z8712" s="35"/>
      <c r="AA8712" s="35"/>
      <c r="AB8712" s="35"/>
      <c r="AC8712" s="35"/>
      <c r="AD8712" s="35"/>
      <c r="AE8712" s="35"/>
      <c r="AF8712" s="35"/>
      <c r="AG8712" s="35"/>
      <c r="AH8712" s="35"/>
      <c r="AI8712" s="35"/>
      <c r="AJ8712" s="35"/>
      <c r="AK8712" s="35"/>
      <c r="AL8712" s="35"/>
    </row>
    <row r="8713">
      <c r="A8713" s="457"/>
      <c r="B8713" s="475"/>
      <c r="C8713" s="476"/>
      <c r="D8713" s="477"/>
      <c r="E8713" s="96"/>
      <c r="F8713" s="96"/>
      <c r="G8713" s="325"/>
      <c r="H8713" s="96"/>
      <c r="I8713" s="478"/>
      <c r="J8713" s="96"/>
      <c r="K8713" s="96"/>
      <c r="L8713" s="107"/>
      <c r="M8713" s="107"/>
      <c r="N8713" s="107"/>
      <c r="O8713" s="107"/>
      <c r="P8713" s="109"/>
      <c r="Q8713" s="107"/>
      <c r="R8713" s="107"/>
      <c r="S8713" s="107"/>
      <c r="T8713" s="479"/>
      <c r="U8713" s="296"/>
      <c r="V8713" s="50"/>
      <c r="W8713" s="49"/>
      <c r="X8713" s="49"/>
      <c r="Y8713" s="35"/>
      <c r="Z8713" s="35"/>
      <c r="AA8713" s="35"/>
      <c r="AB8713" s="35"/>
      <c r="AC8713" s="35"/>
      <c r="AD8713" s="35"/>
      <c r="AE8713" s="35"/>
      <c r="AF8713" s="35"/>
      <c r="AG8713" s="35"/>
      <c r="AH8713" s="35"/>
      <c r="AI8713" s="35"/>
      <c r="AJ8713" s="35"/>
      <c r="AK8713" s="35"/>
      <c r="AL8713" s="35"/>
    </row>
    <row r="8714">
      <c r="A8714" s="457"/>
      <c r="B8714" s="475"/>
      <c r="C8714" s="476"/>
      <c r="D8714" s="477"/>
      <c r="E8714" s="96"/>
      <c r="F8714" s="96"/>
      <c r="G8714" s="325"/>
      <c r="H8714" s="96"/>
      <c r="I8714" s="478"/>
      <c r="J8714" s="96"/>
      <c r="K8714" s="96"/>
      <c r="L8714" s="107"/>
      <c r="M8714" s="107"/>
      <c r="N8714" s="107"/>
      <c r="O8714" s="107"/>
      <c r="P8714" s="109"/>
      <c r="Q8714" s="107"/>
      <c r="R8714" s="107"/>
      <c r="S8714" s="107"/>
      <c r="T8714" s="479"/>
      <c r="U8714" s="296"/>
      <c r="V8714" s="50"/>
      <c r="W8714" s="49"/>
      <c r="X8714" s="49"/>
      <c r="Y8714" s="35"/>
      <c r="Z8714" s="35"/>
      <c r="AA8714" s="35"/>
      <c r="AB8714" s="35"/>
      <c r="AC8714" s="35"/>
      <c r="AD8714" s="35"/>
      <c r="AE8714" s="35"/>
      <c r="AF8714" s="35"/>
      <c r="AG8714" s="35"/>
      <c r="AH8714" s="35"/>
      <c r="AI8714" s="35"/>
      <c r="AJ8714" s="35"/>
      <c r="AK8714" s="35"/>
      <c r="AL8714" s="35"/>
    </row>
    <row r="8715">
      <c r="A8715" s="457"/>
      <c r="B8715" s="475"/>
      <c r="C8715" s="476"/>
      <c r="D8715" s="477"/>
      <c r="E8715" s="96"/>
      <c r="F8715" s="96"/>
      <c r="G8715" s="325"/>
      <c r="H8715" s="96"/>
      <c r="I8715" s="478"/>
      <c r="J8715" s="96"/>
      <c r="K8715" s="96"/>
      <c r="L8715" s="107"/>
      <c r="M8715" s="107"/>
      <c r="N8715" s="107"/>
      <c r="O8715" s="107"/>
      <c r="P8715" s="109"/>
      <c r="Q8715" s="107"/>
      <c r="R8715" s="107"/>
      <c r="S8715" s="107"/>
      <c r="T8715" s="479"/>
      <c r="U8715" s="296"/>
      <c r="V8715" s="50"/>
      <c r="W8715" s="49"/>
      <c r="X8715" s="49"/>
      <c r="Y8715" s="35"/>
      <c r="Z8715" s="35"/>
      <c r="AA8715" s="35"/>
      <c r="AB8715" s="35"/>
      <c r="AC8715" s="35"/>
      <c r="AD8715" s="35"/>
      <c r="AE8715" s="35"/>
      <c r="AF8715" s="35"/>
      <c r="AG8715" s="35"/>
      <c r="AH8715" s="35"/>
      <c r="AI8715" s="35"/>
      <c r="AJ8715" s="35"/>
      <c r="AK8715" s="35"/>
      <c r="AL8715" s="35"/>
    </row>
    <row r="8716">
      <c r="A8716" s="457"/>
      <c r="B8716" s="475"/>
      <c r="C8716" s="476"/>
      <c r="D8716" s="477"/>
      <c r="E8716" s="96"/>
      <c r="F8716" s="96"/>
      <c r="G8716" s="325"/>
      <c r="H8716" s="96"/>
      <c r="I8716" s="478"/>
      <c r="J8716" s="96"/>
      <c r="K8716" s="96"/>
      <c r="L8716" s="107"/>
      <c r="M8716" s="107"/>
      <c r="N8716" s="107"/>
      <c r="O8716" s="107"/>
      <c r="P8716" s="109"/>
      <c r="Q8716" s="107"/>
      <c r="R8716" s="107"/>
      <c r="S8716" s="107"/>
      <c r="T8716" s="479"/>
      <c r="U8716" s="296"/>
      <c r="V8716" s="50"/>
      <c r="W8716" s="49"/>
      <c r="X8716" s="49"/>
      <c r="Y8716" s="35"/>
      <c r="Z8716" s="35"/>
      <c r="AA8716" s="35"/>
      <c r="AB8716" s="35"/>
      <c r="AC8716" s="35"/>
      <c r="AD8716" s="35"/>
      <c r="AE8716" s="35"/>
      <c r="AF8716" s="35"/>
      <c r="AG8716" s="35"/>
      <c r="AH8716" s="35"/>
      <c r="AI8716" s="35"/>
      <c r="AJ8716" s="35"/>
      <c r="AK8716" s="35"/>
      <c r="AL8716" s="35"/>
    </row>
    <row r="8717">
      <c r="A8717" s="457"/>
      <c r="B8717" s="475"/>
      <c r="C8717" s="476"/>
      <c r="D8717" s="477"/>
      <c r="E8717" s="96"/>
      <c r="F8717" s="96"/>
      <c r="G8717" s="325"/>
      <c r="H8717" s="96"/>
      <c r="I8717" s="478"/>
      <c r="J8717" s="96"/>
      <c r="K8717" s="96"/>
      <c r="L8717" s="107"/>
      <c r="M8717" s="107"/>
      <c r="N8717" s="107"/>
      <c r="O8717" s="107"/>
      <c r="P8717" s="109"/>
      <c r="Q8717" s="107"/>
      <c r="R8717" s="107"/>
      <c r="S8717" s="107"/>
      <c r="T8717" s="479"/>
      <c r="U8717" s="296"/>
      <c r="V8717" s="50"/>
      <c r="W8717" s="49"/>
      <c r="X8717" s="49"/>
      <c r="Y8717" s="35"/>
      <c r="Z8717" s="35"/>
      <c r="AA8717" s="35"/>
      <c r="AB8717" s="35"/>
      <c r="AC8717" s="35"/>
      <c r="AD8717" s="35"/>
      <c r="AE8717" s="35"/>
      <c r="AF8717" s="35"/>
      <c r="AG8717" s="35"/>
      <c r="AH8717" s="35"/>
      <c r="AI8717" s="35"/>
      <c r="AJ8717" s="35"/>
      <c r="AK8717" s="35"/>
      <c r="AL8717" s="35"/>
    </row>
    <row r="8718">
      <c r="A8718" s="457"/>
      <c r="B8718" s="475"/>
      <c r="C8718" s="476"/>
      <c r="D8718" s="477"/>
      <c r="E8718" s="96"/>
      <c r="F8718" s="96"/>
      <c r="G8718" s="325"/>
      <c r="H8718" s="96"/>
      <c r="I8718" s="478"/>
      <c r="J8718" s="96"/>
      <c r="K8718" s="96"/>
      <c r="L8718" s="107"/>
      <c r="M8718" s="107"/>
      <c r="N8718" s="107"/>
      <c r="O8718" s="107"/>
      <c r="P8718" s="109"/>
      <c r="Q8718" s="107"/>
      <c r="R8718" s="107"/>
      <c r="S8718" s="107"/>
      <c r="T8718" s="479"/>
      <c r="U8718" s="296"/>
      <c r="V8718" s="50"/>
      <c r="W8718" s="49"/>
      <c r="X8718" s="49"/>
      <c r="Y8718" s="35"/>
      <c r="Z8718" s="35"/>
      <c r="AA8718" s="35"/>
      <c r="AB8718" s="35"/>
      <c r="AC8718" s="35"/>
      <c r="AD8718" s="35"/>
      <c r="AE8718" s="35"/>
      <c r="AF8718" s="35"/>
      <c r="AG8718" s="35"/>
      <c r="AH8718" s="35"/>
      <c r="AI8718" s="35"/>
      <c r="AJ8718" s="35"/>
      <c r="AK8718" s="35"/>
      <c r="AL8718" s="35"/>
    </row>
    <row r="8719">
      <c r="A8719" s="457"/>
      <c r="B8719" s="475"/>
      <c r="C8719" s="476"/>
      <c r="D8719" s="477"/>
      <c r="E8719" s="96"/>
      <c r="F8719" s="96"/>
      <c r="G8719" s="325"/>
      <c r="H8719" s="96"/>
      <c r="I8719" s="478"/>
      <c r="J8719" s="96"/>
      <c r="K8719" s="96"/>
      <c r="L8719" s="107"/>
      <c r="M8719" s="107"/>
      <c r="N8719" s="107"/>
      <c r="O8719" s="107"/>
      <c r="P8719" s="109"/>
      <c r="Q8719" s="107"/>
      <c r="R8719" s="107"/>
      <c r="S8719" s="107"/>
      <c r="T8719" s="479"/>
      <c r="U8719" s="296"/>
      <c r="V8719" s="50"/>
      <c r="W8719" s="49"/>
      <c r="X8719" s="49"/>
      <c r="Y8719" s="35"/>
      <c r="Z8719" s="35"/>
      <c r="AA8719" s="35"/>
      <c r="AB8719" s="35"/>
      <c r="AC8719" s="35"/>
      <c r="AD8719" s="35"/>
      <c r="AE8719" s="35"/>
      <c r="AF8719" s="35"/>
      <c r="AG8719" s="35"/>
      <c r="AH8719" s="35"/>
      <c r="AI8719" s="35"/>
      <c r="AJ8719" s="35"/>
      <c r="AK8719" s="35"/>
      <c r="AL8719" s="35"/>
    </row>
    <row r="8720">
      <c r="A8720" s="457"/>
      <c r="B8720" s="475"/>
      <c r="C8720" s="476"/>
      <c r="D8720" s="477"/>
      <c r="E8720" s="96"/>
      <c r="F8720" s="96"/>
      <c r="G8720" s="325"/>
      <c r="H8720" s="96"/>
      <c r="I8720" s="478"/>
      <c r="J8720" s="96"/>
      <c r="K8720" s="96"/>
      <c r="L8720" s="107"/>
      <c r="M8720" s="107"/>
      <c r="N8720" s="107"/>
      <c r="O8720" s="107"/>
      <c r="P8720" s="109"/>
      <c r="Q8720" s="107"/>
      <c r="R8720" s="107"/>
      <c r="S8720" s="107"/>
      <c r="T8720" s="479"/>
      <c r="U8720" s="296"/>
      <c r="V8720" s="50"/>
      <c r="W8720" s="49"/>
      <c r="X8720" s="49"/>
      <c r="Y8720" s="35"/>
      <c r="Z8720" s="35"/>
      <c r="AA8720" s="35"/>
      <c r="AB8720" s="35"/>
      <c r="AC8720" s="35"/>
      <c r="AD8720" s="35"/>
      <c r="AE8720" s="35"/>
      <c r="AF8720" s="35"/>
      <c r="AG8720" s="35"/>
      <c r="AH8720" s="35"/>
      <c r="AI8720" s="35"/>
      <c r="AJ8720" s="35"/>
      <c r="AK8720" s="35"/>
      <c r="AL8720" s="35"/>
    </row>
    <row r="8721">
      <c r="A8721" s="457"/>
      <c r="B8721" s="475"/>
      <c r="C8721" s="476"/>
      <c r="D8721" s="477"/>
      <c r="E8721" s="96"/>
      <c r="F8721" s="96"/>
      <c r="G8721" s="325"/>
      <c r="H8721" s="96"/>
      <c r="I8721" s="478"/>
      <c r="J8721" s="96"/>
      <c r="K8721" s="96"/>
      <c r="L8721" s="107"/>
      <c r="M8721" s="107"/>
      <c r="N8721" s="107"/>
      <c r="O8721" s="107"/>
      <c r="P8721" s="109"/>
      <c r="Q8721" s="107"/>
      <c r="R8721" s="107"/>
      <c r="S8721" s="107"/>
      <c r="T8721" s="479"/>
      <c r="U8721" s="296"/>
      <c r="V8721" s="50"/>
      <c r="W8721" s="49"/>
      <c r="X8721" s="49"/>
      <c r="Y8721" s="35"/>
      <c r="Z8721" s="35"/>
      <c r="AA8721" s="35"/>
      <c r="AB8721" s="35"/>
      <c r="AC8721" s="35"/>
      <c r="AD8721" s="35"/>
      <c r="AE8721" s="35"/>
      <c r="AF8721" s="35"/>
      <c r="AG8721" s="35"/>
      <c r="AH8721" s="35"/>
      <c r="AI8721" s="35"/>
      <c r="AJ8721" s="35"/>
      <c r="AK8721" s="35"/>
      <c r="AL8721" s="35"/>
    </row>
    <row r="8722">
      <c r="A8722" s="457"/>
      <c r="B8722" s="475"/>
      <c r="C8722" s="476"/>
      <c r="D8722" s="477"/>
      <c r="E8722" s="96"/>
      <c r="F8722" s="96"/>
      <c r="G8722" s="325"/>
      <c r="H8722" s="96"/>
      <c r="I8722" s="478"/>
      <c r="J8722" s="96"/>
      <c r="K8722" s="96"/>
      <c r="L8722" s="107"/>
      <c r="M8722" s="107"/>
      <c r="N8722" s="107"/>
      <c r="O8722" s="107"/>
      <c r="P8722" s="109"/>
      <c r="Q8722" s="107"/>
      <c r="R8722" s="107"/>
      <c r="S8722" s="107"/>
      <c r="T8722" s="479"/>
      <c r="U8722" s="296"/>
      <c r="V8722" s="50"/>
      <c r="W8722" s="49"/>
      <c r="X8722" s="49"/>
      <c r="Y8722" s="35"/>
      <c r="Z8722" s="35"/>
      <c r="AA8722" s="35"/>
      <c r="AB8722" s="35"/>
      <c r="AC8722" s="35"/>
      <c r="AD8722" s="35"/>
      <c r="AE8722" s="35"/>
      <c r="AF8722" s="35"/>
      <c r="AG8722" s="35"/>
      <c r="AH8722" s="35"/>
      <c r="AI8722" s="35"/>
      <c r="AJ8722" s="35"/>
      <c r="AK8722" s="35"/>
      <c r="AL8722" s="35"/>
    </row>
    <row r="8723">
      <c r="A8723" s="457"/>
      <c r="B8723" s="475"/>
      <c r="C8723" s="476"/>
      <c r="D8723" s="477"/>
      <c r="E8723" s="96"/>
      <c r="F8723" s="96"/>
      <c r="G8723" s="325"/>
      <c r="H8723" s="96"/>
      <c r="I8723" s="478"/>
      <c r="J8723" s="96"/>
      <c r="K8723" s="96"/>
      <c r="L8723" s="107"/>
      <c r="M8723" s="107"/>
      <c r="N8723" s="107"/>
      <c r="O8723" s="107"/>
      <c r="P8723" s="109"/>
      <c r="Q8723" s="107"/>
      <c r="R8723" s="107"/>
      <c r="S8723" s="107"/>
      <c r="T8723" s="479"/>
      <c r="U8723" s="296"/>
      <c r="V8723" s="50"/>
      <c r="W8723" s="49"/>
      <c r="X8723" s="49"/>
      <c r="Y8723" s="35"/>
      <c r="Z8723" s="35"/>
      <c r="AA8723" s="35"/>
      <c r="AB8723" s="35"/>
      <c r="AC8723" s="35"/>
      <c r="AD8723" s="35"/>
      <c r="AE8723" s="35"/>
      <c r="AF8723" s="35"/>
      <c r="AG8723" s="35"/>
      <c r="AH8723" s="35"/>
      <c r="AI8723" s="35"/>
      <c r="AJ8723" s="35"/>
      <c r="AK8723" s="35"/>
      <c r="AL8723" s="35"/>
    </row>
    <row r="8724">
      <c r="A8724" s="457"/>
      <c r="B8724" s="475"/>
      <c r="C8724" s="476"/>
      <c r="D8724" s="477"/>
      <c r="E8724" s="96"/>
      <c r="F8724" s="96"/>
      <c r="G8724" s="325"/>
      <c r="H8724" s="96"/>
      <c r="I8724" s="478"/>
      <c r="J8724" s="96"/>
      <c r="K8724" s="96"/>
      <c r="L8724" s="107"/>
      <c r="M8724" s="107"/>
      <c r="N8724" s="107"/>
      <c r="O8724" s="107"/>
      <c r="P8724" s="109"/>
      <c r="Q8724" s="107"/>
      <c r="R8724" s="107"/>
      <c r="S8724" s="107"/>
      <c r="T8724" s="479"/>
      <c r="U8724" s="296"/>
      <c r="V8724" s="50"/>
      <c r="W8724" s="49"/>
      <c r="X8724" s="49"/>
      <c r="Y8724" s="35"/>
      <c r="Z8724" s="35"/>
      <c r="AA8724" s="35"/>
      <c r="AB8724" s="35"/>
      <c r="AC8724" s="35"/>
      <c r="AD8724" s="35"/>
      <c r="AE8724" s="35"/>
      <c r="AF8724" s="35"/>
      <c r="AG8724" s="35"/>
      <c r="AH8724" s="35"/>
      <c r="AI8724" s="35"/>
      <c r="AJ8724" s="35"/>
      <c r="AK8724" s="35"/>
      <c r="AL8724" s="35"/>
    </row>
    <row r="8725">
      <c r="A8725" s="457"/>
      <c r="B8725" s="475"/>
      <c r="C8725" s="476"/>
      <c r="D8725" s="477"/>
      <c r="E8725" s="96"/>
      <c r="F8725" s="96"/>
      <c r="G8725" s="325"/>
      <c r="H8725" s="96"/>
      <c r="I8725" s="478"/>
      <c r="J8725" s="96"/>
      <c r="K8725" s="96"/>
      <c r="L8725" s="107"/>
      <c r="M8725" s="107"/>
      <c r="N8725" s="107"/>
      <c r="O8725" s="107"/>
      <c r="P8725" s="109"/>
      <c r="Q8725" s="107"/>
      <c r="R8725" s="107"/>
      <c r="S8725" s="107"/>
      <c r="T8725" s="479"/>
      <c r="U8725" s="296"/>
      <c r="V8725" s="50"/>
      <c r="W8725" s="49"/>
      <c r="X8725" s="49"/>
      <c r="Y8725" s="35"/>
      <c r="Z8725" s="35"/>
      <c r="AA8725" s="35"/>
      <c r="AB8725" s="35"/>
      <c r="AC8725" s="35"/>
      <c r="AD8725" s="35"/>
      <c r="AE8725" s="35"/>
      <c r="AF8725" s="35"/>
      <c r="AG8725" s="35"/>
      <c r="AH8725" s="35"/>
      <c r="AI8725" s="35"/>
      <c r="AJ8725" s="35"/>
      <c r="AK8725" s="35"/>
      <c r="AL8725" s="35"/>
    </row>
    <row r="8726">
      <c r="A8726" s="457"/>
      <c r="B8726" s="475"/>
      <c r="C8726" s="476"/>
      <c r="D8726" s="477"/>
      <c r="E8726" s="96"/>
      <c r="F8726" s="96"/>
      <c r="G8726" s="325"/>
      <c r="H8726" s="96"/>
      <c r="I8726" s="478"/>
      <c r="J8726" s="96"/>
      <c r="K8726" s="96"/>
      <c r="L8726" s="107"/>
      <c r="M8726" s="107"/>
      <c r="N8726" s="107"/>
      <c r="O8726" s="107"/>
      <c r="P8726" s="109"/>
      <c r="Q8726" s="107"/>
      <c r="R8726" s="107"/>
      <c r="S8726" s="107"/>
      <c r="T8726" s="479"/>
      <c r="U8726" s="296"/>
      <c r="V8726" s="50"/>
      <c r="W8726" s="49"/>
      <c r="X8726" s="49"/>
      <c r="Y8726" s="35"/>
      <c r="Z8726" s="35"/>
      <c r="AA8726" s="35"/>
      <c r="AB8726" s="35"/>
      <c r="AC8726" s="35"/>
      <c r="AD8726" s="35"/>
      <c r="AE8726" s="35"/>
      <c r="AF8726" s="35"/>
      <c r="AG8726" s="35"/>
      <c r="AH8726" s="35"/>
      <c r="AI8726" s="35"/>
      <c r="AJ8726" s="35"/>
      <c r="AK8726" s="35"/>
      <c r="AL8726" s="35"/>
    </row>
    <row r="8727">
      <c r="A8727" s="457"/>
      <c r="B8727" s="475"/>
      <c r="C8727" s="476"/>
      <c r="D8727" s="477"/>
      <c r="E8727" s="96"/>
      <c r="F8727" s="96"/>
      <c r="G8727" s="325"/>
      <c r="H8727" s="96"/>
      <c r="I8727" s="478"/>
      <c r="J8727" s="96"/>
      <c r="K8727" s="96"/>
      <c r="L8727" s="107"/>
      <c r="M8727" s="107"/>
      <c r="N8727" s="107"/>
      <c r="O8727" s="107"/>
      <c r="P8727" s="109"/>
      <c r="Q8727" s="107"/>
      <c r="R8727" s="107"/>
      <c r="S8727" s="107"/>
      <c r="T8727" s="479"/>
      <c r="U8727" s="296"/>
      <c r="V8727" s="50"/>
      <c r="W8727" s="49"/>
      <c r="X8727" s="49"/>
      <c r="Y8727" s="35"/>
      <c r="Z8727" s="35"/>
      <c r="AA8727" s="35"/>
      <c r="AB8727" s="35"/>
      <c r="AC8727" s="35"/>
      <c r="AD8727" s="35"/>
      <c r="AE8727" s="35"/>
      <c r="AF8727" s="35"/>
      <c r="AG8727" s="35"/>
      <c r="AH8727" s="35"/>
      <c r="AI8727" s="35"/>
      <c r="AJ8727" s="35"/>
      <c r="AK8727" s="35"/>
      <c r="AL8727" s="35"/>
    </row>
    <row r="8728">
      <c r="A8728" s="457"/>
      <c r="B8728" s="475"/>
      <c r="C8728" s="476"/>
      <c r="D8728" s="477"/>
      <c r="E8728" s="96"/>
      <c r="F8728" s="96"/>
      <c r="G8728" s="325"/>
      <c r="H8728" s="96"/>
      <c r="I8728" s="478"/>
      <c r="J8728" s="96"/>
      <c r="K8728" s="96"/>
      <c r="L8728" s="107"/>
      <c r="M8728" s="107"/>
      <c r="N8728" s="107"/>
      <c r="O8728" s="107"/>
      <c r="P8728" s="109"/>
      <c r="Q8728" s="107"/>
      <c r="R8728" s="107"/>
      <c r="S8728" s="107"/>
      <c r="T8728" s="479"/>
      <c r="U8728" s="296"/>
      <c r="V8728" s="50"/>
      <c r="W8728" s="49"/>
      <c r="X8728" s="49"/>
      <c r="Y8728" s="35"/>
      <c r="Z8728" s="35"/>
      <c r="AA8728" s="35"/>
      <c r="AB8728" s="35"/>
      <c r="AC8728" s="35"/>
      <c r="AD8728" s="35"/>
      <c r="AE8728" s="35"/>
      <c r="AF8728" s="35"/>
      <c r="AG8728" s="35"/>
      <c r="AH8728" s="35"/>
      <c r="AI8728" s="35"/>
      <c r="AJ8728" s="35"/>
      <c r="AK8728" s="35"/>
      <c r="AL8728" s="35"/>
    </row>
    <row r="8729">
      <c r="A8729" s="457"/>
      <c r="B8729" s="475"/>
      <c r="C8729" s="476"/>
      <c r="D8729" s="477"/>
      <c r="E8729" s="96"/>
      <c r="F8729" s="96"/>
      <c r="G8729" s="325"/>
      <c r="H8729" s="96"/>
      <c r="I8729" s="478"/>
      <c r="J8729" s="96"/>
      <c r="K8729" s="96"/>
      <c r="L8729" s="107"/>
      <c r="M8729" s="107"/>
      <c r="N8729" s="107"/>
      <c r="O8729" s="107"/>
      <c r="P8729" s="109"/>
      <c r="Q8729" s="107"/>
      <c r="R8729" s="107"/>
      <c r="S8729" s="107"/>
      <c r="T8729" s="479"/>
      <c r="U8729" s="296"/>
      <c r="V8729" s="50"/>
      <c r="W8729" s="49"/>
      <c r="X8729" s="49"/>
      <c r="Y8729" s="35"/>
      <c r="Z8729" s="35"/>
      <c r="AA8729" s="35"/>
      <c r="AB8729" s="35"/>
      <c r="AC8729" s="35"/>
      <c r="AD8729" s="35"/>
      <c r="AE8729" s="35"/>
      <c r="AF8729" s="35"/>
      <c r="AG8729" s="35"/>
      <c r="AH8729" s="35"/>
      <c r="AI8729" s="35"/>
      <c r="AJ8729" s="35"/>
      <c r="AK8729" s="35"/>
      <c r="AL8729" s="35"/>
    </row>
    <row r="8730">
      <c r="A8730" s="457"/>
      <c r="B8730" s="475"/>
      <c r="C8730" s="476"/>
      <c r="D8730" s="477"/>
      <c r="E8730" s="96"/>
      <c r="F8730" s="96"/>
      <c r="G8730" s="325"/>
      <c r="H8730" s="96"/>
      <c r="I8730" s="478"/>
      <c r="J8730" s="96"/>
      <c r="K8730" s="96"/>
      <c r="L8730" s="107"/>
      <c r="M8730" s="107"/>
      <c r="N8730" s="107"/>
      <c r="O8730" s="107"/>
      <c r="P8730" s="109"/>
      <c r="Q8730" s="107"/>
      <c r="R8730" s="107"/>
      <c r="S8730" s="107"/>
      <c r="T8730" s="479"/>
      <c r="U8730" s="296"/>
      <c r="V8730" s="50"/>
      <c r="W8730" s="49"/>
      <c r="X8730" s="49"/>
      <c r="Y8730" s="35"/>
      <c r="Z8730" s="35"/>
      <c r="AA8730" s="35"/>
      <c r="AB8730" s="35"/>
      <c r="AC8730" s="35"/>
      <c r="AD8730" s="35"/>
      <c r="AE8730" s="35"/>
      <c r="AF8730" s="35"/>
      <c r="AG8730" s="35"/>
      <c r="AH8730" s="35"/>
      <c r="AI8730" s="35"/>
      <c r="AJ8730" s="35"/>
      <c r="AK8730" s="35"/>
      <c r="AL8730" s="35"/>
    </row>
    <row r="8731">
      <c r="A8731" s="457"/>
      <c r="B8731" s="475"/>
      <c r="C8731" s="476"/>
      <c r="D8731" s="477"/>
      <c r="E8731" s="96"/>
      <c r="F8731" s="96"/>
      <c r="G8731" s="325"/>
      <c r="H8731" s="96"/>
      <c r="I8731" s="478"/>
      <c r="J8731" s="96"/>
      <c r="K8731" s="96"/>
      <c r="L8731" s="107"/>
      <c r="M8731" s="107"/>
      <c r="N8731" s="107"/>
      <c r="O8731" s="107"/>
      <c r="P8731" s="109"/>
      <c r="Q8731" s="107"/>
      <c r="R8731" s="107"/>
      <c r="S8731" s="107"/>
      <c r="T8731" s="479"/>
      <c r="U8731" s="296"/>
      <c r="V8731" s="50"/>
      <c r="W8731" s="49"/>
      <c r="X8731" s="49"/>
      <c r="Y8731" s="35"/>
      <c r="Z8731" s="35"/>
      <c r="AA8731" s="35"/>
      <c r="AB8731" s="35"/>
      <c r="AC8731" s="35"/>
      <c r="AD8731" s="35"/>
      <c r="AE8731" s="35"/>
      <c r="AF8731" s="35"/>
      <c r="AG8731" s="35"/>
      <c r="AH8731" s="35"/>
      <c r="AI8731" s="35"/>
      <c r="AJ8731" s="35"/>
      <c r="AK8731" s="35"/>
      <c r="AL8731" s="35"/>
    </row>
    <row r="8732">
      <c r="A8732" s="457"/>
      <c r="B8732" s="475"/>
      <c r="C8732" s="476"/>
      <c r="D8732" s="477"/>
      <c r="E8732" s="96"/>
      <c r="F8732" s="96"/>
      <c r="G8732" s="325"/>
      <c r="H8732" s="96"/>
      <c r="I8732" s="478"/>
      <c r="J8732" s="96"/>
      <c r="K8732" s="96"/>
      <c r="L8732" s="107"/>
      <c r="M8732" s="107"/>
      <c r="N8732" s="107"/>
      <c r="O8732" s="107"/>
      <c r="P8732" s="109"/>
      <c r="Q8732" s="107"/>
      <c r="R8732" s="107"/>
      <c r="S8732" s="107"/>
      <c r="T8732" s="479"/>
      <c r="U8732" s="296"/>
      <c r="V8732" s="50"/>
      <c r="W8732" s="49"/>
      <c r="X8732" s="49"/>
      <c r="Y8732" s="35"/>
      <c r="Z8732" s="35"/>
      <c r="AA8732" s="35"/>
      <c r="AB8732" s="35"/>
      <c r="AC8732" s="35"/>
      <c r="AD8732" s="35"/>
      <c r="AE8732" s="35"/>
      <c r="AF8732" s="35"/>
      <c r="AG8732" s="35"/>
      <c r="AH8732" s="35"/>
      <c r="AI8732" s="35"/>
      <c r="AJ8732" s="35"/>
      <c r="AK8732" s="35"/>
      <c r="AL8732" s="35"/>
    </row>
    <row r="8733">
      <c r="A8733" s="457"/>
      <c r="B8733" s="475"/>
      <c r="C8733" s="476"/>
      <c r="D8733" s="477"/>
      <c r="E8733" s="96"/>
      <c r="F8733" s="96"/>
      <c r="G8733" s="325"/>
      <c r="H8733" s="96"/>
      <c r="I8733" s="478"/>
      <c r="J8733" s="96"/>
      <c r="K8733" s="96"/>
      <c r="L8733" s="107"/>
      <c r="M8733" s="107"/>
      <c r="N8733" s="107"/>
      <c r="O8733" s="107"/>
      <c r="P8733" s="109"/>
      <c r="Q8733" s="107"/>
      <c r="R8733" s="107"/>
      <c r="S8733" s="107"/>
      <c r="T8733" s="479"/>
      <c r="U8733" s="296"/>
      <c r="V8733" s="50"/>
      <c r="W8733" s="49"/>
      <c r="X8733" s="49"/>
      <c r="Y8733" s="35"/>
      <c r="Z8733" s="35"/>
      <c r="AA8733" s="35"/>
      <c r="AB8733" s="35"/>
      <c r="AC8733" s="35"/>
      <c r="AD8733" s="35"/>
      <c r="AE8733" s="35"/>
      <c r="AF8733" s="35"/>
      <c r="AG8733" s="35"/>
      <c r="AH8733" s="35"/>
      <c r="AI8733" s="35"/>
      <c r="AJ8733" s="35"/>
      <c r="AK8733" s="35"/>
      <c r="AL8733" s="35"/>
    </row>
    <row r="8734">
      <c r="A8734" s="457"/>
      <c r="B8734" s="475"/>
      <c r="C8734" s="476"/>
      <c r="D8734" s="477"/>
      <c r="E8734" s="96"/>
      <c r="F8734" s="96"/>
      <c r="G8734" s="325"/>
      <c r="H8734" s="96"/>
      <c r="I8734" s="478"/>
      <c r="J8734" s="96"/>
      <c r="K8734" s="96"/>
      <c r="L8734" s="107"/>
      <c r="M8734" s="107"/>
      <c r="N8734" s="107"/>
      <c r="O8734" s="107"/>
      <c r="P8734" s="109"/>
      <c r="Q8734" s="107"/>
      <c r="R8734" s="107"/>
      <c r="S8734" s="107"/>
      <c r="T8734" s="479"/>
      <c r="U8734" s="296"/>
      <c r="V8734" s="50"/>
      <c r="W8734" s="49"/>
      <c r="X8734" s="49"/>
      <c r="Y8734" s="35"/>
      <c r="Z8734" s="35"/>
      <c r="AA8734" s="35"/>
      <c r="AB8734" s="35"/>
      <c r="AC8734" s="35"/>
      <c r="AD8734" s="35"/>
      <c r="AE8734" s="35"/>
      <c r="AF8734" s="35"/>
      <c r="AG8734" s="35"/>
      <c r="AH8734" s="35"/>
      <c r="AI8734" s="35"/>
      <c r="AJ8734" s="35"/>
      <c r="AK8734" s="35"/>
      <c r="AL8734" s="35"/>
    </row>
    <row r="8735">
      <c r="A8735" s="457"/>
      <c r="B8735" s="475"/>
      <c r="C8735" s="476"/>
      <c r="D8735" s="477"/>
      <c r="E8735" s="96"/>
      <c r="F8735" s="96"/>
      <c r="G8735" s="325"/>
      <c r="H8735" s="96"/>
      <c r="I8735" s="478"/>
      <c r="J8735" s="96"/>
      <c r="K8735" s="96"/>
      <c r="L8735" s="107"/>
      <c r="M8735" s="107"/>
      <c r="N8735" s="107"/>
      <c r="O8735" s="107"/>
      <c r="P8735" s="109"/>
      <c r="Q8735" s="107"/>
      <c r="R8735" s="107"/>
      <c r="S8735" s="107"/>
      <c r="T8735" s="479"/>
      <c r="U8735" s="296"/>
      <c r="V8735" s="50"/>
      <c r="W8735" s="49"/>
      <c r="X8735" s="49"/>
      <c r="Y8735" s="35"/>
      <c r="Z8735" s="35"/>
      <c r="AA8735" s="35"/>
      <c r="AB8735" s="35"/>
      <c r="AC8735" s="35"/>
      <c r="AD8735" s="35"/>
      <c r="AE8735" s="35"/>
      <c r="AF8735" s="35"/>
      <c r="AG8735" s="35"/>
      <c r="AH8735" s="35"/>
      <c r="AI8735" s="35"/>
      <c r="AJ8735" s="35"/>
      <c r="AK8735" s="35"/>
      <c r="AL8735" s="35"/>
    </row>
    <row r="8736">
      <c r="A8736" s="457"/>
      <c r="B8736" s="475"/>
      <c r="C8736" s="476"/>
      <c r="D8736" s="477"/>
      <c r="E8736" s="96"/>
      <c r="F8736" s="96"/>
      <c r="G8736" s="325"/>
      <c r="H8736" s="96"/>
      <c r="I8736" s="478"/>
      <c r="J8736" s="96"/>
      <c r="K8736" s="96"/>
      <c r="L8736" s="107"/>
      <c r="M8736" s="107"/>
      <c r="N8736" s="107"/>
      <c r="O8736" s="107"/>
      <c r="P8736" s="109"/>
      <c r="Q8736" s="107"/>
      <c r="R8736" s="107"/>
      <c r="S8736" s="107"/>
      <c r="T8736" s="479"/>
      <c r="U8736" s="296"/>
      <c r="V8736" s="50"/>
      <c r="W8736" s="49"/>
      <c r="X8736" s="49"/>
      <c r="Y8736" s="35"/>
      <c r="Z8736" s="35"/>
      <c r="AA8736" s="35"/>
      <c r="AB8736" s="35"/>
      <c r="AC8736" s="35"/>
      <c r="AD8736" s="35"/>
      <c r="AE8736" s="35"/>
      <c r="AF8736" s="35"/>
      <c r="AG8736" s="35"/>
      <c r="AH8736" s="35"/>
      <c r="AI8736" s="35"/>
      <c r="AJ8736" s="35"/>
      <c r="AK8736" s="35"/>
      <c r="AL8736" s="35"/>
    </row>
    <row r="8737">
      <c r="A8737" s="457"/>
      <c r="B8737" s="475"/>
      <c r="C8737" s="476"/>
      <c r="D8737" s="477"/>
      <c r="E8737" s="96"/>
      <c r="F8737" s="96"/>
      <c r="G8737" s="325"/>
      <c r="H8737" s="96"/>
      <c r="I8737" s="478"/>
      <c r="J8737" s="96"/>
      <c r="K8737" s="96"/>
      <c r="L8737" s="107"/>
      <c r="M8737" s="107"/>
      <c r="N8737" s="107"/>
      <c r="O8737" s="107"/>
      <c r="P8737" s="109"/>
      <c r="Q8737" s="107"/>
      <c r="R8737" s="107"/>
      <c r="S8737" s="107"/>
      <c r="T8737" s="479"/>
      <c r="U8737" s="296"/>
      <c r="V8737" s="50"/>
      <c r="W8737" s="49"/>
      <c r="X8737" s="49"/>
      <c r="Y8737" s="35"/>
      <c r="Z8737" s="35"/>
      <c r="AA8737" s="35"/>
      <c r="AB8737" s="35"/>
      <c r="AC8737" s="35"/>
      <c r="AD8737" s="35"/>
      <c r="AE8737" s="35"/>
      <c r="AF8737" s="35"/>
      <c r="AG8737" s="35"/>
      <c r="AH8737" s="35"/>
      <c r="AI8737" s="35"/>
      <c r="AJ8737" s="35"/>
      <c r="AK8737" s="35"/>
      <c r="AL8737" s="35"/>
    </row>
    <row r="8738">
      <c r="A8738" s="457"/>
      <c r="B8738" s="475"/>
      <c r="C8738" s="476"/>
      <c r="D8738" s="477"/>
      <c r="E8738" s="96"/>
      <c r="F8738" s="96"/>
      <c r="G8738" s="325"/>
      <c r="H8738" s="96"/>
      <c r="I8738" s="478"/>
      <c r="J8738" s="96"/>
      <c r="K8738" s="96"/>
      <c r="L8738" s="107"/>
      <c r="M8738" s="107"/>
      <c r="N8738" s="107"/>
      <c r="O8738" s="107"/>
      <c r="P8738" s="109"/>
      <c r="Q8738" s="107"/>
      <c r="R8738" s="107"/>
      <c r="S8738" s="107"/>
      <c r="T8738" s="479"/>
      <c r="U8738" s="296"/>
      <c r="V8738" s="50"/>
      <c r="W8738" s="49"/>
      <c r="X8738" s="49"/>
      <c r="Y8738" s="35"/>
      <c r="Z8738" s="35"/>
      <c r="AA8738" s="35"/>
      <c r="AB8738" s="35"/>
      <c r="AC8738" s="35"/>
      <c r="AD8738" s="35"/>
      <c r="AE8738" s="35"/>
      <c r="AF8738" s="35"/>
      <c r="AG8738" s="35"/>
      <c r="AH8738" s="35"/>
      <c r="AI8738" s="35"/>
      <c r="AJ8738" s="35"/>
      <c r="AK8738" s="35"/>
      <c r="AL8738" s="35"/>
    </row>
    <row r="8739">
      <c r="A8739" s="457"/>
      <c r="B8739" s="475"/>
      <c r="C8739" s="476"/>
      <c r="D8739" s="477"/>
      <c r="E8739" s="96"/>
      <c r="F8739" s="96"/>
      <c r="G8739" s="325"/>
      <c r="H8739" s="96"/>
      <c r="I8739" s="478"/>
      <c r="J8739" s="96"/>
      <c r="K8739" s="96"/>
      <c r="L8739" s="107"/>
      <c r="M8739" s="107"/>
      <c r="N8739" s="107"/>
      <c r="O8739" s="107"/>
      <c r="P8739" s="109"/>
      <c r="Q8739" s="107"/>
      <c r="R8739" s="107"/>
      <c r="S8739" s="107"/>
      <c r="T8739" s="479"/>
      <c r="U8739" s="296"/>
      <c r="V8739" s="50"/>
      <c r="W8739" s="49"/>
      <c r="X8739" s="49"/>
      <c r="Y8739" s="35"/>
      <c r="Z8739" s="35"/>
      <c r="AA8739" s="35"/>
      <c r="AB8739" s="35"/>
      <c r="AC8739" s="35"/>
      <c r="AD8739" s="35"/>
      <c r="AE8739" s="35"/>
      <c r="AF8739" s="35"/>
      <c r="AG8739" s="35"/>
      <c r="AH8739" s="35"/>
      <c r="AI8739" s="35"/>
      <c r="AJ8739" s="35"/>
      <c r="AK8739" s="35"/>
      <c r="AL8739" s="35"/>
    </row>
    <row r="8740">
      <c r="A8740" s="457"/>
      <c r="B8740" s="475"/>
      <c r="C8740" s="476"/>
      <c r="D8740" s="477"/>
      <c r="E8740" s="96"/>
      <c r="F8740" s="96"/>
      <c r="G8740" s="325"/>
      <c r="H8740" s="96"/>
      <c r="I8740" s="478"/>
      <c r="J8740" s="96"/>
      <c r="K8740" s="96"/>
      <c r="L8740" s="107"/>
      <c r="M8740" s="107"/>
      <c r="N8740" s="107"/>
      <c r="O8740" s="107"/>
      <c r="P8740" s="109"/>
      <c r="Q8740" s="107"/>
      <c r="R8740" s="107"/>
      <c r="S8740" s="107"/>
      <c r="T8740" s="479"/>
      <c r="U8740" s="296"/>
      <c r="V8740" s="50"/>
      <c r="W8740" s="49"/>
      <c r="X8740" s="49"/>
      <c r="Y8740" s="35"/>
      <c r="Z8740" s="35"/>
      <c r="AA8740" s="35"/>
      <c r="AB8740" s="35"/>
      <c r="AC8740" s="35"/>
      <c r="AD8740" s="35"/>
      <c r="AE8740" s="35"/>
      <c r="AF8740" s="35"/>
      <c r="AG8740" s="35"/>
      <c r="AH8740" s="35"/>
      <c r="AI8740" s="35"/>
      <c r="AJ8740" s="35"/>
      <c r="AK8740" s="35"/>
      <c r="AL8740" s="35"/>
    </row>
    <row r="8741">
      <c r="A8741" s="457"/>
      <c r="B8741" s="475"/>
      <c r="C8741" s="476"/>
      <c r="D8741" s="477"/>
      <c r="E8741" s="96"/>
      <c r="F8741" s="96"/>
      <c r="G8741" s="325"/>
      <c r="H8741" s="96"/>
      <c r="I8741" s="478"/>
      <c r="J8741" s="96"/>
      <c r="K8741" s="96"/>
      <c r="L8741" s="107"/>
      <c r="M8741" s="107"/>
      <c r="N8741" s="107"/>
      <c r="O8741" s="107"/>
      <c r="P8741" s="109"/>
      <c r="Q8741" s="107"/>
      <c r="R8741" s="107"/>
      <c r="S8741" s="107"/>
      <c r="T8741" s="479"/>
      <c r="U8741" s="296"/>
      <c r="V8741" s="50"/>
      <c r="W8741" s="49"/>
      <c r="X8741" s="49"/>
      <c r="Y8741" s="35"/>
      <c r="Z8741" s="35"/>
      <c r="AA8741" s="35"/>
      <c r="AB8741" s="35"/>
      <c r="AC8741" s="35"/>
      <c r="AD8741" s="35"/>
      <c r="AE8741" s="35"/>
      <c r="AF8741" s="35"/>
      <c r="AG8741" s="35"/>
      <c r="AH8741" s="35"/>
      <c r="AI8741" s="35"/>
      <c r="AJ8741" s="35"/>
      <c r="AK8741" s="35"/>
      <c r="AL8741" s="35"/>
    </row>
    <row r="8742">
      <c r="A8742" s="457"/>
      <c r="B8742" s="475"/>
      <c r="C8742" s="476"/>
      <c r="D8742" s="477"/>
      <c r="E8742" s="96"/>
      <c r="F8742" s="96"/>
      <c r="G8742" s="325"/>
      <c r="H8742" s="96"/>
      <c r="I8742" s="478"/>
      <c r="J8742" s="96"/>
      <c r="K8742" s="96"/>
      <c r="L8742" s="107"/>
      <c r="M8742" s="107"/>
      <c r="N8742" s="107"/>
      <c r="O8742" s="107"/>
      <c r="P8742" s="109"/>
      <c r="Q8742" s="107"/>
      <c r="R8742" s="107"/>
      <c r="S8742" s="107"/>
      <c r="T8742" s="479"/>
      <c r="U8742" s="296"/>
      <c r="V8742" s="50"/>
      <c r="W8742" s="49"/>
      <c r="X8742" s="49"/>
      <c r="Y8742" s="35"/>
      <c r="Z8742" s="35"/>
      <c r="AA8742" s="35"/>
      <c r="AB8742" s="35"/>
      <c r="AC8742" s="35"/>
      <c r="AD8742" s="35"/>
      <c r="AE8742" s="35"/>
      <c r="AF8742" s="35"/>
      <c r="AG8742" s="35"/>
      <c r="AH8742" s="35"/>
      <c r="AI8742" s="35"/>
      <c r="AJ8742" s="35"/>
      <c r="AK8742" s="35"/>
      <c r="AL8742" s="35"/>
    </row>
    <row r="8743">
      <c r="A8743" s="457"/>
      <c r="B8743" s="475"/>
      <c r="C8743" s="476"/>
      <c r="D8743" s="477"/>
      <c r="E8743" s="96"/>
      <c r="F8743" s="96"/>
      <c r="G8743" s="325"/>
      <c r="H8743" s="96"/>
      <c r="I8743" s="478"/>
      <c r="J8743" s="96"/>
      <c r="K8743" s="96"/>
      <c r="L8743" s="107"/>
      <c r="M8743" s="107"/>
      <c r="N8743" s="107"/>
      <c r="O8743" s="107"/>
      <c r="P8743" s="109"/>
      <c r="Q8743" s="107"/>
      <c r="R8743" s="107"/>
      <c r="S8743" s="107"/>
      <c r="T8743" s="479"/>
      <c r="U8743" s="296"/>
      <c r="V8743" s="50"/>
      <c r="W8743" s="49"/>
      <c r="X8743" s="49"/>
      <c r="Y8743" s="35"/>
      <c r="Z8743" s="35"/>
      <c r="AA8743" s="35"/>
      <c r="AB8743" s="35"/>
      <c r="AC8743" s="35"/>
      <c r="AD8743" s="35"/>
      <c r="AE8743" s="35"/>
      <c r="AF8743" s="35"/>
      <c r="AG8743" s="35"/>
      <c r="AH8743" s="35"/>
      <c r="AI8743" s="35"/>
      <c r="AJ8743" s="35"/>
      <c r="AK8743" s="35"/>
      <c r="AL8743" s="35"/>
    </row>
    <row r="8744">
      <c r="A8744" s="457"/>
      <c r="B8744" s="475"/>
      <c r="C8744" s="476"/>
      <c r="D8744" s="477"/>
      <c r="E8744" s="96"/>
      <c r="F8744" s="96"/>
      <c r="G8744" s="325"/>
      <c r="H8744" s="96"/>
      <c r="I8744" s="478"/>
      <c r="J8744" s="96"/>
      <c r="K8744" s="96"/>
      <c r="L8744" s="107"/>
      <c r="M8744" s="107"/>
      <c r="N8744" s="107"/>
      <c r="O8744" s="107"/>
      <c r="P8744" s="109"/>
      <c r="Q8744" s="107"/>
      <c r="R8744" s="107"/>
      <c r="S8744" s="107"/>
      <c r="T8744" s="479"/>
      <c r="U8744" s="296"/>
      <c r="V8744" s="50"/>
      <c r="W8744" s="49"/>
      <c r="X8744" s="49"/>
      <c r="Y8744" s="35"/>
      <c r="Z8744" s="35"/>
      <c r="AA8744" s="35"/>
      <c r="AB8744" s="35"/>
      <c r="AC8744" s="35"/>
      <c r="AD8744" s="35"/>
      <c r="AE8744" s="35"/>
      <c r="AF8744" s="35"/>
      <c r="AG8744" s="35"/>
      <c r="AH8744" s="35"/>
      <c r="AI8744" s="35"/>
      <c r="AJ8744" s="35"/>
      <c r="AK8744" s="35"/>
      <c r="AL8744" s="35"/>
    </row>
    <row r="8745">
      <c r="A8745" s="457"/>
      <c r="B8745" s="475"/>
      <c r="C8745" s="476"/>
      <c r="D8745" s="477"/>
      <c r="E8745" s="96"/>
      <c r="F8745" s="96"/>
      <c r="G8745" s="325"/>
      <c r="H8745" s="96"/>
      <c r="I8745" s="478"/>
      <c r="J8745" s="96"/>
      <c r="K8745" s="96"/>
      <c r="L8745" s="107"/>
      <c r="M8745" s="107"/>
      <c r="N8745" s="107"/>
      <c r="O8745" s="107"/>
      <c r="P8745" s="109"/>
      <c r="Q8745" s="107"/>
      <c r="R8745" s="107"/>
      <c r="S8745" s="107"/>
      <c r="T8745" s="479"/>
      <c r="U8745" s="296"/>
      <c r="V8745" s="50"/>
      <c r="W8745" s="49"/>
      <c r="X8745" s="49"/>
      <c r="Y8745" s="35"/>
      <c r="Z8745" s="35"/>
      <c r="AA8745" s="35"/>
      <c r="AB8745" s="35"/>
      <c r="AC8745" s="35"/>
      <c r="AD8745" s="35"/>
      <c r="AE8745" s="35"/>
      <c r="AF8745" s="35"/>
      <c r="AG8745" s="35"/>
      <c r="AH8745" s="35"/>
      <c r="AI8745" s="35"/>
      <c r="AJ8745" s="35"/>
      <c r="AK8745" s="35"/>
      <c r="AL8745" s="35"/>
    </row>
    <row r="8746">
      <c r="A8746" s="457"/>
      <c r="B8746" s="475"/>
      <c r="C8746" s="476"/>
      <c r="D8746" s="477"/>
      <c r="E8746" s="96"/>
      <c r="F8746" s="96"/>
      <c r="G8746" s="325"/>
      <c r="H8746" s="96"/>
      <c r="I8746" s="478"/>
      <c r="J8746" s="96"/>
      <c r="K8746" s="96"/>
      <c r="L8746" s="107"/>
      <c r="M8746" s="107"/>
      <c r="N8746" s="107"/>
      <c r="O8746" s="107"/>
      <c r="P8746" s="109"/>
      <c r="Q8746" s="107"/>
      <c r="R8746" s="107"/>
      <c r="S8746" s="107"/>
      <c r="T8746" s="479"/>
      <c r="U8746" s="296"/>
      <c r="V8746" s="50"/>
      <c r="W8746" s="49"/>
      <c r="X8746" s="49"/>
      <c r="Y8746" s="35"/>
      <c r="Z8746" s="35"/>
      <c r="AA8746" s="35"/>
      <c r="AB8746" s="35"/>
      <c r="AC8746" s="35"/>
      <c r="AD8746" s="35"/>
      <c r="AE8746" s="35"/>
      <c r="AF8746" s="35"/>
      <c r="AG8746" s="35"/>
      <c r="AH8746" s="35"/>
      <c r="AI8746" s="35"/>
      <c r="AJ8746" s="35"/>
      <c r="AK8746" s="35"/>
      <c r="AL8746" s="35"/>
    </row>
    <row r="8747">
      <c r="A8747" s="457"/>
      <c r="B8747" s="475"/>
      <c r="C8747" s="476"/>
      <c r="D8747" s="477"/>
      <c r="E8747" s="96"/>
      <c r="F8747" s="96"/>
      <c r="G8747" s="325"/>
      <c r="H8747" s="96"/>
      <c r="I8747" s="478"/>
      <c r="J8747" s="96"/>
      <c r="K8747" s="96"/>
      <c r="L8747" s="107"/>
      <c r="M8747" s="107"/>
      <c r="N8747" s="107"/>
      <c r="O8747" s="107"/>
      <c r="P8747" s="109"/>
      <c r="Q8747" s="107"/>
      <c r="R8747" s="107"/>
      <c r="S8747" s="107"/>
      <c r="T8747" s="479"/>
      <c r="U8747" s="296"/>
      <c r="V8747" s="50"/>
      <c r="W8747" s="49"/>
      <c r="X8747" s="49"/>
      <c r="Y8747" s="35"/>
      <c r="Z8747" s="35"/>
      <c r="AA8747" s="35"/>
      <c r="AB8747" s="35"/>
      <c r="AC8747" s="35"/>
      <c r="AD8747" s="35"/>
      <c r="AE8747" s="35"/>
      <c r="AF8747" s="35"/>
      <c r="AG8747" s="35"/>
      <c r="AH8747" s="35"/>
      <c r="AI8747" s="35"/>
      <c r="AJ8747" s="35"/>
      <c r="AK8747" s="35"/>
      <c r="AL8747" s="35"/>
    </row>
    <row r="8748">
      <c r="A8748" s="457"/>
      <c r="B8748" s="475"/>
      <c r="C8748" s="476"/>
      <c r="D8748" s="477"/>
      <c r="E8748" s="96"/>
      <c r="F8748" s="96"/>
      <c r="G8748" s="325"/>
      <c r="H8748" s="96"/>
      <c r="I8748" s="478"/>
      <c r="J8748" s="96"/>
      <c r="K8748" s="96"/>
      <c r="L8748" s="107"/>
      <c r="M8748" s="107"/>
      <c r="N8748" s="107"/>
      <c r="O8748" s="107"/>
      <c r="P8748" s="109"/>
      <c r="Q8748" s="107"/>
      <c r="R8748" s="107"/>
      <c r="S8748" s="107"/>
      <c r="T8748" s="479"/>
      <c r="U8748" s="296"/>
      <c r="V8748" s="50"/>
      <c r="W8748" s="49"/>
      <c r="X8748" s="49"/>
      <c r="Y8748" s="35"/>
      <c r="Z8748" s="35"/>
      <c r="AA8748" s="35"/>
      <c r="AB8748" s="35"/>
      <c r="AC8748" s="35"/>
      <c r="AD8748" s="35"/>
      <c r="AE8748" s="35"/>
      <c r="AF8748" s="35"/>
      <c r="AG8748" s="35"/>
      <c r="AH8748" s="35"/>
      <c r="AI8748" s="35"/>
      <c r="AJ8748" s="35"/>
      <c r="AK8748" s="35"/>
      <c r="AL8748" s="35"/>
    </row>
    <row r="8749">
      <c r="A8749" s="457"/>
      <c r="B8749" s="475"/>
      <c r="C8749" s="476"/>
      <c r="D8749" s="477"/>
      <c r="E8749" s="96"/>
      <c r="F8749" s="96"/>
      <c r="G8749" s="325"/>
      <c r="H8749" s="96"/>
      <c r="I8749" s="478"/>
      <c r="J8749" s="96"/>
      <c r="K8749" s="96"/>
      <c r="L8749" s="107"/>
      <c r="M8749" s="107"/>
      <c r="N8749" s="107"/>
      <c r="O8749" s="107"/>
      <c r="P8749" s="109"/>
      <c r="Q8749" s="107"/>
      <c r="R8749" s="107"/>
      <c r="S8749" s="107"/>
      <c r="T8749" s="479"/>
      <c r="U8749" s="296"/>
      <c r="V8749" s="50"/>
      <c r="W8749" s="49"/>
      <c r="X8749" s="49"/>
      <c r="Y8749" s="35"/>
      <c r="Z8749" s="35"/>
      <c r="AA8749" s="35"/>
      <c r="AB8749" s="35"/>
      <c r="AC8749" s="35"/>
      <c r="AD8749" s="35"/>
      <c r="AE8749" s="35"/>
      <c r="AF8749" s="35"/>
      <c r="AG8749" s="35"/>
      <c r="AH8749" s="35"/>
      <c r="AI8749" s="35"/>
      <c r="AJ8749" s="35"/>
      <c r="AK8749" s="35"/>
      <c r="AL8749" s="35"/>
    </row>
    <row r="8750">
      <c r="A8750" s="457"/>
      <c r="B8750" s="475"/>
      <c r="C8750" s="476"/>
      <c r="D8750" s="477"/>
      <c r="E8750" s="96"/>
      <c r="F8750" s="96"/>
      <c r="G8750" s="325"/>
      <c r="H8750" s="96"/>
      <c r="I8750" s="478"/>
      <c r="J8750" s="96"/>
      <c r="K8750" s="96"/>
      <c r="L8750" s="107"/>
      <c r="M8750" s="107"/>
      <c r="N8750" s="107"/>
      <c r="O8750" s="107"/>
      <c r="P8750" s="109"/>
      <c r="Q8750" s="107"/>
      <c r="R8750" s="107"/>
      <c r="S8750" s="107"/>
      <c r="T8750" s="479"/>
      <c r="U8750" s="296"/>
      <c r="V8750" s="50"/>
      <c r="W8750" s="49"/>
      <c r="X8750" s="49"/>
      <c r="Y8750" s="35"/>
      <c r="Z8750" s="35"/>
      <c r="AA8750" s="35"/>
      <c r="AB8750" s="35"/>
      <c r="AC8750" s="35"/>
      <c r="AD8750" s="35"/>
      <c r="AE8750" s="35"/>
      <c r="AF8750" s="35"/>
      <c r="AG8750" s="35"/>
      <c r="AH8750" s="35"/>
      <c r="AI8750" s="35"/>
      <c r="AJ8750" s="35"/>
      <c r="AK8750" s="35"/>
      <c r="AL8750" s="35"/>
    </row>
    <row r="8751">
      <c r="A8751" s="457"/>
      <c r="B8751" s="475"/>
      <c r="C8751" s="476"/>
      <c r="D8751" s="477"/>
      <c r="E8751" s="96"/>
      <c r="F8751" s="96"/>
      <c r="G8751" s="325"/>
      <c r="H8751" s="96"/>
      <c r="I8751" s="478"/>
      <c r="J8751" s="96"/>
      <c r="K8751" s="96"/>
      <c r="L8751" s="107"/>
      <c r="M8751" s="107"/>
      <c r="N8751" s="107"/>
      <c r="O8751" s="107"/>
      <c r="P8751" s="109"/>
      <c r="Q8751" s="107"/>
      <c r="R8751" s="107"/>
      <c r="S8751" s="107"/>
      <c r="T8751" s="479"/>
      <c r="U8751" s="296"/>
      <c r="V8751" s="50"/>
      <c r="W8751" s="49"/>
      <c r="X8751" s="49"/>
      <c r="Y8751" s="35"/>
      <c r="Z8751" s="35"/>
      <c r="AA8751" s="35"/>
      <c r="AB8751" s="35"/>
      <c r="AC8751" s="35"/>
      <c r="AD8751" s="35"/>
      <c r="AE8751" s="35"/>
      <c r="AF8751" s="35"/>
      <c r="AG8751" s="35"/>
      <c r="AH8751" s="35"/>
      <c r="AI8751" s="35"/>
      <c r="AJ8751" s="35"/>
      <c r="AK8751" s="35"/>
      <c r="AL8751" s="35"/>
    </row>
    <row r="8752">
      <c r="A8752" s="457"/>
      <c r="B8752" s="475"/>
      <c r="C8752" s="476"/>
      <c r="D8752" s="477"/>
      <c r="E8752" s="96"/>
      <c r="F8752" s="96"/>
      <c r="G8752" s="325"/>
      <c r="H8752" s="96"/>
      <c r="I8752" s="478"/>
      <c r="J8752" s="96"/>
      <c r="K8752" s="96"/>
      <c r="L8752" s="107"/>
      <c r="M8752" s="107"/>
      <c r="N8752" s="107"/>
      <c r="O8752" s="107"/>
      <c r="P8752" s="109"/>
      <c r="Q8752" s="107"/>
      <c r="R8752" s="107"/>
      <c r="S8752" s="107"/>
      <c r="T8752" s="479"/>
      <c r="U8752" s="296"/>
      <c r="V8752" s="50"/>
      <c r="W8752" s="49"/>
      <c r="X8752" s="49"/>
      <c r="Y8752" s="35"/>
      <c r="Z8752" s="35"/>
      <c r="AA8752" s="35"/>
      <c r="AB8752" s="35"/>
      <c r="AC8752" s="35"/>
      <c r="AD8752" s="35"/>
      <c r="AE8752" s="35"/>
      <c r="AF8752" s="35"/>
      <c r="AG8752" s="35"/>
      <c r="AH8752" s="35"/>
      <c r="AI8752" s="35"/>
      <c r="AJ8752" s="35"/>
      <c r="AK8752" s="35"/>
      <c r="AL8752" s="35"/>
    </row>
    <row r="8753">
      <c r="A8753" s="457"/>
      <c r="B8753" s="475"/>
      <c r="C8753" s="476"/>
      <c r="D8753" s="477"/>
      <c r="E8753" s="96"/>
      <c r="F8753" s="96"/>
      <c r="G8753" s="325"/>
      <c r="H8753" s="96"/>
      <c r="I8753" s="478"/>
      <c r="J8753" s="96"/>
      <c r="K8753" s="96"/>
      <c r="L8753" s="107"/>
      <c r="M8753" s="107"/>
      <c r="N8753" s="107"/>
      <c r="O8753" s="107"/>
      <c r="P8753" s="109"/>
      <c r="Q8753" s="107"/>
      <c r="R8753" s="107"/>
      <c r="S8753" s="107"/>
      <c r="T8753" s="479"/>
      <c r="U8753" s="296"/>
      <c r="V8753" s="50"/>
      <c r="W8753" s="49"/>
      <c r="X8753" s="49"/>
      <c r="Y8753" s="35"/>
      <c r="Z8753" s="35"/>
      <c r="AA8753" s="35"/>
      <c r="AB8753" s="35"/>
      <c r="AC8753" s="35"/>
      <c r="AD8753" s="35"/>
      <c r="AE8753" s="35"/>
      <c r="AF8753" s="35"/>
      <c r="AG8753" s="35"/>
      <c r="AH8753" s="35"/>
      <c r="AI8753" s="35"/>
      <c r="AJ8753" s="35"/>
      <c r="AK8753" s="35"/>
      <c r="AL8753" s="35"/>
    </row>
    <row r="8754">
      <c r="A8754" s="457"/>
      <c r="B8754" s="475"/>
      <c r="C8754" s="476"/>
      <c r="D8754" s="477"/>
      <c r="E8754" s="96"/>
      <c r="F8754" s="96"/>
      <c r="G8754" s="325"/>
      <c r="H8754" s="96"/>
      <c r="I8754" s="478"/>
      <c r="J8754" s="96"/>
      <c r="K8754" s="96"/>
      <c r="L8754" s="107"/>
      <c r="M8754" s="107"/>
      <c r="N8754" s="107"/>
      <c r="O8754" s="107"/>
      <c r="P8754" s="109"/>
      <c r="Q8754" s="107"/>
      <c r="R8754" s="107"/>
      <c r="S8754" s="107"/>
      <c r="T8754" s="479"/>
      <c r="U8754" s="296"/>
      <c r="V8754" s="50"/>
      <c r="W8754" s="49"/>
      <c r="X8754" s="49"/>
      <c r="Y8754" s="35"/>
      <c r="Z8754" s="35"/>
      <c r="AA8754" s="35"/>
      <c r="AB8754" s="35"/>
      <c r="AC8754" s="35"/>
      <c r="AD8754" s="35"/>
      <c r="AE8754" s="35"/>
      <c r="AF8754" s="35"/>
      <c r="AG8754" s="35"/>
      <c r="AH8754" s="35"/>
      <c r="AI8754" s="35"/>
      <c r="AJ8754" s="35"/>
      <c r="AK8754" s="35"/>
      <c r="AL8754" s="35"/>
    </row>
    <row r="8755">
      <c r="A8755" s="457"/>
      <c r="B8755" s="475"/>
      <c r="C8755" s="476"/>
      <c r="D8755" s="477"/>
      <c r="E8755" s="96"/>
      <c r="F8755" s="96"/>
      <c r="G8755" s="325"/>
      <c r="H8755" s="96"/>
      <c r="I8755" s="478"/>
      <c r="J8755" s="96"/>
      <c r="K8755" s="96"/>
      <c r="L8755" s="107"/>
      <c r="M8755" s="107"/>
      <c r="N8755" s="107"/>
      <c r="O8755" s="107"/>
      <c r="P8755" s="109"/>
      <c r="Q8755" s="107"/>
      <c r="R8755" s="107"/>
      <c r="S8755" s="107"/>
      <c r="T8755" s="479"/>
      <c r="U8755" s="296"/>
      <c r="V8755" s="50"/>
      <c r="W8755" s="49"/>
      <c r="X8755" s="49"/>
      <c r="Y8755" s="35"/>
      <c r="Z8755" s="35"/>
      <c r="AA8755" s="35"/>
      <c r="AB8755" s="35"/>
      <c r="AC8755" s="35"/>
      <c r="AD8755" s="35"/>
      <c r="AE8755" s="35"/>
      <c r="AF8755" s="35"/>
      <c r="AG8755" s="35"/>
      <c r="AH8755" s="35"/>
      <c r="AI8755" s="35"/>
      <c r="AJ8755" s="35"/>
      <c r="AK8755" s="35"/>
      <c r="AL8755" s="35"/>
    </row>
    <row r="8756">
      <c r="A8756" s="457"/>
      <c r="B8756" s="475"/>
      <c r="C8756" s="476"/>
      <c r="D8756" s="477"/>
      <c r="E8756" s="96"/>
      <c r="F8756" s="96"/>
      <c r="G8756" s="325"/>
      <c r="H8756" s="96"/>
      <c r="I8756" s="478"/>
      <c r="J8756" s="96"/>
      <c r="K8756" s="96"/>
      <c r="L8756" s="107"/>
      <c r="M8756" s="107"/>
      <c r="N8756" s="107"/>
      <c r="O8756" s="107"/>
      <c r="P8756" s="109"/>
      <c r="Q8756" s="107"/>
      <c r="R8756" s="107"/>
      <c r="S8756" s="107"/>
      <c r="T8756" s="479"/>
      <c r="U8756" s="296"/>
      <c r="V8756" s="50"/>
      <c r="W8756" s="49"/>
      <c r="X8756" s="49"/>
      <c r="Y8756" s="35"/>
      <c r="Z8756" s="35"/>
      <c r="AA8756" s="35"/>
      <c r="AB8756" s="35"/>
      <c r="AC8756" s="35"/>
      <c r="AD8756" s="35"/>
      <c r="AE8756" s="35"/>
      <c r="AF8756" s="35"/>
      <c r="AG8756" s="35"/>
      <c r="AH8756" s="35"/>
      <c r="AI8756" s="35"/>
      <c r="AJ8756" s="35"/>
      <c r="AK8756" s="35"/>
      <c r="AL8756" s="35"/>
    </row>
    <row r="8757">
      <c r="A8757" s="457"/>
      <c r="B8757" s="475"/>
      <c r="C8757" s="476"/>
      <c r="D8757" s="477"/>
      <c r="E8757" s="96"/>
      <c r="F8757" s="96"/>
      <c r="G8757" s="325"/>
      <c r="H8757" s="96"/>
      <c r="I8757" s="478"/>
      <c r="J8757" s="96"/>
      <c r="K8757" s="96"/>
      <c r="L8757" s="107"/>
      <c r="M8757" s="107"/>
      <c r="N8757" s="107"/>
      <c r="O8757" s="107"/>
      <c r="P8757" s="109"/>
      <c r="Q8757" s="107"/>
      <c r="R8757" s="107"/>
      <c r="S8757" s="107"/>
      <c r="T8757" s="479"/>
      <c r="U8757" s="296"/>
      <c r="V8757" s="50"/>
      <c r="W8757" s="49"/>
      <c r="X8757" s="49"/>
      <c r="Y8757" s="35"/>
      <c r="Z8757" s="35"/>
      <c r="AA8757" s="35"/>
      <c r="AB8757" s="35"/>
      <c r="AC8757" s="35"/>
      <c r="AD8757" s="35"/>
      <c r="AE8757" s="35"/>
      <c r="AF8757" s="35"/>
      <c r="AG8757" s="35"/>
      <c r="AH8757" s="35"/>
      <c r="AI8757" s="35"/>
      <c r="AJ8757" s="35"/>
      <c r="AK8757" s="35"/>
      <c r="AL8757" s="35"/>
    </row>
    <row r="8758">
      <c r="A8758" s="457"/>
      <c r="B8758" s="475"/>
      <c r="C8758" s="476"/>
      <c r="D8758" s="477"/>
      <c r="E8758" s="96"/>
      <c r="F8758" s="96"/>
      <c r="G8758" s="325"/>
      <c r="H8758" s="96"/>
      <c r="I8758" s="478"/>
      <c r="J8758" s="96"/>
      <c r="K8758" s="96"/>
      <c r="L8758" s="107"/>
      <c r="M8758" s="107"/>
      <c r="N8758" s="107"/>
      <c r="O8758" s="107"/>
      <c r="P8758" s="109"/>
      <c r="Q8758" s="107"/>
      <c r="R8758" s="107"/>
      <c r="S8758" s="107"/>
      <c r="T8758" s="479"/>
      <c r="U8758" s="296"/>
      <c r="V8758" s="50"/>
      <c r="W8758" s="49"/>
      <c r="X8758" s="49"/>
      <c r="Y8758" s="35"/>
      <c r="Z8758" s="35"/>
      <c r="AA8758" s="35"/>
      <c r="AB8758" s="35"/>
      <c r="AC8758" s="35"/>
      <c r="AD8758" s="35"/>
      <c r="AE8758" s="35"/>
      <c r="AF8758" s="35"/>
      <c r="AG8758" s="35"/>
      <c r="AH8758" s="35"/>
      <c r="AI8758" s="35"/>
      <c r="AJ8758" s="35"/>
      <c r="AK8758" s="35"/>
      <c r="AL8758" s="35"/>
    </row>
    <row r="8759">
      <c r="A8759" s="457"/>
      <c r="B8759" s="475"/>
      <c r="C8759" s="476"/>
      <c r="D8759" s="477"/>
      <c r="E8759" s="96"/>
      <c r="F8759" s="96"/>
      <c r="G8759" s="325"/>
      <c r="H8759" s="96"/>
      <c r="I8759" s="478"/>
      <c r="J8759" s="96"/>
      <c r="K8759" s="96"/>
      <c r="L8759" s="107"/>
      <c r="M8759" s="107"/>
      <c r="N8759" s="107"/>
      <c r="O8759" s="107"/>
      <c r="P8759" s="109"/>
      <c r="Q8759" s="107"/>
      <c r="R8759" s="107"/>
      <c r="S8759" s="107"/>
      <c r="T8759" s="479"/>
      <c r="U8759" s="296"/>
      <c r="V8759" s="50"/>
      <c r="W8759" s="49"/>
      <c r="X8759" s="49"/>
      <c r="Y8759" s="35"/>
      <c r="Z8759" s="35"/>
      <c r="AA8759" s="35"/>
      <c r="AB8759" s="35"/>
      <c r="AC8759" s="35"/>
      <c r="AD8759" s="35"/>
      <c r="AE8759" s="35"/>
      <c r="AF8759" s="35"/>
      <c r="AG8759" s="35"/>
      <c r="AH8759" s="35"/>
      <c r="AI8759" s="35"/>
      <c r="AJ8759" s="35"/>
      <c r="AK8759" s="35"/>
      <c r="AL8759" s="35"/>
    </row>
    <row r="8760">
      <c r="A8760" s="457"/>
      <c r="B8760" s="475"/>
      <c r="C8760" s="476"/>
      <c r="D8760" s="477"/>
      <c r="E8760" s="96"/>
      <c r="F8760" s="96"/>
      <c r="G8760" s="325"/>
      <c r="H8760" s="96"/>
      <c r="I8760" s="478"/>
      <c r="J8760" s="96"/>
      <c r="K8760" s="96"/>
      <c r="L8760" s="107"/>
      <c r="M8760" s="107"/>
      <c r="N8760" s="107"/>
      <c r="O8760" s="107"/>
      <c r="P8760" s="109"/>
      <c r="Q8760" s="107"/>
      <c r="R8760" s="107"/>
      <c r="S8760" s="107"/>
      <c r="T8760" s="479"/>
      <c r="U8760" s="296"/>
      <c r="V8760" s="50"/>
      <c r="W8760" s="49"/>
      <c r="X8760" s="49"/>
      <c r="Y8760" s="35"/>
      <c r="Z8760" s="35"/>
      <c r="AA8760" s="35"/>
      <c r="AB8760" s="35"/>
      <c r="AC8760" s="35"/>
      <c r="AD8760" s="35"/>
      <c r="AE8760" s="35"/>
      <c r="AF8760" s="35"/>
      <c r="AG8760" s="35"/>
      <c r="AH8760" s="35"/>
      <c r="AI8760" s="35"/>
      <c r="AJ8760" s="35"/>
      <c r="AK8760" s="35"/>
      <c r="AL8760" s="35"/>
    </row>
    <row r="8761">
      <c r="A8761" s="457"/>
      <c r="B8761" s="475"/>
      <c r="C8761" s="476"/>
      <c r="D8761" s="477"/>
      <c r="E8761" s="96"/>
      <c r="F8761" s="96"/>
      <c r="G8761" s="325"/>
      <c r="H8761" s="96"/>
      <c r="I8761" s="478"/>
      <c r="J8761" s="96"/>
      <c r="K8761" s="96"/>
      <c r="L8761" s="107"/>
      <c r="M8761" s="107"/>
      <c r="N8761" s="107"/>
      <c r="O8761" s="107"/>
      <c r="P8761" s="109"/>
      <c r="Q8761" s="107"/>
      <c r="R8761" s="107"/>
      <c r="S8761" s="107"/>
      <c r="T8761" s="479"/>
      <c r="U8761" s="296"/>
      <c r="V8761" s="50"/>
      <c r="W8761" s="49"/>
      <c r="X8761" s="49"/>
      <c r="Y8761" s="35"/>
      <c r="Z8761" s="35"/>
      <c r="AA8761" s="35"/>
      <c r="AB8761" s="35"/>
      <c r="AC8761" s="35"/>
      <c r="AD8761" s="35"/>
      <c r="AE8761" s="35"/>
      <c r="AF8761" s="35"/>
      <c r="AG8761" s="35"/>
      <c r="AH8761" s="35"/>
      <c r="AI8761" s="35"/>
      <c r="AJ8761" s="35"/>
      <c r="AK8761" s="35"/>
      <c r="AL8761" s="35"/>
    </row>
    <row r="8762">
      <c r="A8762" s="457"/>
      <c r="B8762" s="475"/>
      <c r="C8762" s="476"/>
      <c r="D8762" s="477"/>
      <c r="E8762" s="96"/>
      <c r="F8762" s="96"/>
      <c r="G8762" s="325"/>
      <c r="H8762" s="96"/>
      <c r="I8762" s="478"/>
      <c r="J8762" s="96"/>
      <c r="K8762" s="96"/>
      <c r="L8762" s="107"/>
      <c r="M8762" s="107"/>
      <c r="N8762" s="107"/>
      <c r="O8762" s="107"/>
      <c r="P8762" s="109"/>
      <c r="Q8762" s="107"/>
      <c r="R8762" s="107"/>
      <c r="S8762" s="107"/>
      <c r="T8762" s="479"/>
      <c r="U8762" s="296"/>
      <c r="V8762" s="50"/>
      <c r="W8762" s="49"/>
      <c r="X8762" s="49"/>
      <c r="Y8762" s="35"/>
      <c r="Z8762" s="35"/>
      <c r="AA8762" s="35"/>
      <c r="AB8762" s="35"/>
      <c r="AC8762" s="35"/>
      <c r="AD8762" s="35"/>
      <c r="AE8762" s="35"/>
      <c r="AF8762" s="35"/>
      <c r="AG8762" s="35"/>
      <c r="AH8762" s="35"/>
      <c r="AI8762" s="35"/>
      <c r="AJ8762" s="35"/>
      <c r="AK8762" s="35"/>
      <c r="AL8762" s="35"/>
    </row>
    <row r="8763">
      <c r="A8763" s="457"/>
      <c r="B8763" s="475"/>
      <c r="C8763" s="476"/>
      <c r="D8763" s="477"/>
      <c r="E8763" s="96"/>
      <c r="F8763" s="96"/>
      <c r="G8763" s="325"/>
      <c r="H8763" s="96"/>
      <c r="I8763" s="478"/>
      <c r="J8763" s="96"/>
      <c r="K8763" s="96"/>
      <c r="L8763" s="107"/>
      <c r="M8763" s="107"/>
      <c r="N8763" s="107"/>
      <c r="O8763" s="107"/>
      <c r="P8763" s="109"/>
      <c r="Q8763" s="107"/>
      <c r="R8763" s="107"/>
      <c r="S8763" s="107"/>
      <c r="T8763" s="479"/>
      <c r="U8763" s="296"/>
      <c r="V8763" s="50"/>
      <c r="W8763" s="49"/>
      <c r="X8763" s="49"/>
      <c r="Y8763" s="35"/>
      <c r="Z8763" s="35"/>
      <c r="AA8763" s="35"/>
      <c r="AB8763" s="35"/>
      <c r="AC8763" s="35"/>
      <c r="AD8763" s="35"/>
      <c r="AE8763" s="35"/>
      <c r="AF8763" s="35"/>
      <c r="AG8763" s="35"/>
      <c r="AH8763" s="35"/>
      <c r="AI8763" s="35"/>
      <c r="AJ8763" s="35"/>
      <c r="AK8763" s="35"/>
      <c r="AL8763" s="35"/>
    </row>
    <row r="8764">
      <c r="A8764" s="457"/>
      <c r="B8764" s="475"/>
      <c r="C8764" s="476"/>
      <c r="D8764" s="477"/>
      <c r="E8764" s="96"/>
      <c r="F8764" s="96"/>
      <c r="G8764" s="325"/>
      <c r="H8764" s="96"/>
      <c r="I8764" s="478"/>
      <c r="J8764" s="96"/>
      <c r="K8764" s="96"/>
      <c r="L8764" s="107"/>
      <c r="M8764" s="107"/>
      <c r="N8764" s="107"/>
      <c r="O8764" s="107"/>
      <c r="P8764" s="109"/>
      <c r="Q8764" s="107"/>
      <c r="R8764" s="107"/>
      <c r="S8764" s="107"/>
      <c r="T8764" s="479"/>
      <c r="U8764" s="296"/>
      <c r="V8764" s="50"/>
      <c r="W8764" s="49"/>
      <c r="X8764" s="49"/>
      <c r="Y8764" s="35"/>
      <c r="Z8764" s="35"/>
      <c r="AA8764" s="35"/>
      <c r="AB8764" s="35"/>
      <c r="AC8764" s="35"/>
      <c r="AD8764" s="35"/>
      <c r="AE8764" s="35"/>
      <c r="AF8764" s="35"/>
      <c r="AG8764" s="35"/>
      <c r="AH8764" s="35"/>
      <c r="AI8764" s="35"/>
      <c r="AJ8764" s="35"/>
      <c r="AK8764" s="35"/>
      <c r="AL8764" s="35"/>
    </row>
    <row r="8765">
      <c r="A8765" s="457"/>
      <c r="B8765" s="475"/>
      <c r="C8765" s="476"/>
      <c r="D8765" s="477"/>
      <c r="E8765" s="96"/>
      <c r="F8765" s="96"/>
      <c r="G8765" s="325"/>
      <c r="H8765" s="96"/>
      <c r="I8765" s="478"/>
      <c r="J8765" s="96"/>
      <c r="K8765" s="96"/>
      <c r="L8765" s="107"/>
      <c r="M8765" s="107"/>
      <c r="N8765" s="107"/>
      <c r="O8765" s="107"/>
      <c r="P8765" s="109"/>
      <c r="Q8765" s="107"/>
      <c r="R8765" s="107"/>
      <c r="S8765" s="107"/>
      <c r="T8765" s="479"/>
      <c r="U8765" s="296"/>
      <c r="V8765" s="50"/>
      <c r="W8765" s="49"/>
      <c r="X8765" s="49"/>
      <c r="Y8765" s="35"/>
      <c r="Z8765" s="35"/>
      <c r="AA8765" s="35"/>
      <c r="AB8765" s="35"/>
      <c r="AC8765" s="35"/>
      <c r="AD8765" s="35"/>
      <c r="AE8765" s="35"/>
      <c r="AF8765" s="35"/>
      <c r="AG8765" s="35"/>
      <c r="AH8765" s="35"/>
      <c r="AI8765" s="35"/>
      <c r="AJ8765" s="35"/>
      <c r="AK8765" s="35"/>
      <c r="AL8765" s="35"/>
    </row>
    <row r="8766">
      <c r="A8766" s="457"/>
      <c r="B8766" s="475"/>
      <c r="C8766" s="476"/>
      <c r="D8766" s="477"/>
      <c r="E8766" s="96"/>
      <c r="F8766" s="96"/>
      <c r="G8766" s="325"/>
      <c r="H8766" s="96"/>
      <c r="I8766" s="478"/>
      <c r="J8766" s="96"/>
      <c r="K8766" s="96"/>
      <c r="L8766" s="107"/>
      <c r="M8766" s="107"/>
      <c r="N8766" s="107"/>
      <c r="O8766" s="107"/>
      <c r="P8766" s="109"/>
      <c r="Q8766" s="107"/>
      <c r="R8766" s="107"/>
      <c r="S8766" s="107"/>
      <c r="T8766" s="479"/>
      <c r="U8766" s="296"/>
      <c r="V8766" s="50"/>
      <c r="W8766" s="49"/>
      <c r="X8766" s="49"/>
      <c r="Y8766" s="35"/>
      <c r="Z8766" s="35"/>
      <c r="AA8766" s="35"/>
      <c r="AB8766" s="35"/>
      <c r="AC8766" s="35"/>
      <c r="AD8766" s="35"/>
      <c r="AE8766" s="35"/>
      <c r="AF8766" s="35"/>
      <c r="AG8766" s="35"/>
      <c r="AH8766" s="35"/>
      <c r="AI8766" s="35"/>
      <c r="AJ8766" s="35"/>
      <c r="AK8766" s="35"/>
      <c r="AL8766" s="35"/>
    </row>
    <row r="8767">
      <c r="A8767" s="457"/>
      <c r="B8767" s="475"/>
      <c r="C8767" s="476"/>
      <c r="D8767" s="477"/>
      <c r="E8767" s="96"/>
      <c r="F8767" s="96"/>
      <c r="G8767" s="325"/>
      <c r="H8767" s="96"/>
      <c r="I8767" s="478"/>
      <c r="J8767" s="96"/>
      <c r="K8767" s="96"/>
      <c r="L8767" s="107"/>
      <c r="M8767" s="107"/>
      <c r="N8767" s="107"/>
      <c r="O8767" s="107"/>
      <c r="P8767" s="109"/>
      <c r="Q8767" s="107"/>
      <c r="R8767" s="107"/>
      <c r="S8767" s="107"/>
      <c r="T8767" s="479"/>
      <c r="U8767" s="296"/>
      <c r="V8767" s="50"/>
      <c r="W8767" s="49"/>
      <c r="X8767" s="49"/>
      <c r="Y8767" s="35"/>
      <c r="Z8767" s="35"/>
      <c r="AA8767" s="35"/>
      <c r="AB8767" s="35"/>
      <c r="AC8767" s="35"/>
      <c r="AD8767" s="35"/>
      <c r="AE8767" s="35"/>
      <c r="AF8767" s="35"/>
      <c r="AG8767" s="35"/>
      <c r="AH8767" s="35"/>
      <c r="AI8767" s="35"/>
      <c r="AJ8767" s="35"/>
      <c r="AK8767" s="35"/>
      <c r="AL8767" s="35"/>
    </row>
    <row r="8768">
      <c r="A8768" s="457"/>
      <c r="B8768" s="475"/>
      <c r="C8768" s="476"/>
      <c r="D8768" s="477"/>
      <c r="E8768" s="96"/>
      <c r="F8768" s="96"/>
      <c r="G8768" s="325"/>
      <c r="H8768" s="96"/>
      <c r="I8768" s="478"/>
      <c r="J8768" s="96"/>
      <c r="K8768" s="96"/>
      <c r="L8768" s="107"/>
      <c r="M8768" s="107"/>
      <c r="N8768" s="107"/>
      <c r="O8768" s="107"/>
      <c r="P8768" s="109"/>
      <c r="Q8768" s="107"/>
      <c r="R8768" s="107"/>
      <c r="S8768" s="107"/>
      <c r="T8768" s="479"/>
      <c r="U8768" s="296"/>
      <c r="V8768" s="50"/>
      <c r="W8768" s="49"/>
      <c r="X8768" s="49"/>
      <c r="Y8768" s="35"/>
      <c r="Z8768" s="35"/>
      <c r="AA8768" s="35"/>
      <c r="AB8768" s="35"/>
      <c r="AC8768" s="35"/>
      <c r="AD8768" s="35"/>
      <c r="AE8768" s="35"/>
      <c r="AF8768" s="35"/>
      <c r="AG8768" s="35"/>
      <c r="AH8768" s="35"/>
      <c r="AI8768" s="35"/>
      <c r="AJ8768" s="35"/>
      <c r="AK8768" s="35"/>
      <c r="AL8768" s="35"/>
    </row>
    <row r="8769">
      <c r="A8769" s="457"/>
      <c r="B8769" s="475"/>
      <c r="C8769" s="476"/>
      <c r="D8769" s="477"/>
      <c r="E8769" s="96"/>
      <c r="F8769" s="96"/>
      <c r="G8769" s="325"/>
      <c r="H8769" s="96"/>
      <c r="I8769" s="478"/>
      <c r="J8769" s="96"/>
      <c r="K8769" s="96"/>
      <c r="L8769" s="107"/>
      <c r="M8769" s="107"/>
      <c r="N8769" s="107"/>
      <c r="O8769" s="107"/>
      <c r="P8769" s="109"/>
      <c r="Q8769" s="107"/>
      <c r="R8769" s="107"/>
      <c r="S8769" s="107"/>
      <c r="T8769" s="479"/>
      <c r="U8769" s="296"/>
      <c r="V8769" s="50"/>
      <c r="W8769" s="49"/>
      <c r="X8769" s="49"/>
      <c r="Y8769" s="35"/>
      <c r="Z8769" s="35"/>
      <c r="AA8769" s="35"/>
      <c r="AB8769" s="35"/>
      <c r="AC8769" s="35"/>
      <c r="AD8769" s="35"/>
      <c r="AE8769" s="35"/>
      <c r="AF8769" s="35"/>
      <c r="AG8769" s="35"/>
      <c r="AH8769" s="35"/>
      <c r="AI8769" s="35"/>
      <c r="AJ8769" s="35"/>
      <c r="AK8769" s="35"/>
      <c r="AL8769" s="35"/>
    </row>
    <row r="8770">
      <c r="A8770" s="457"/>
      <c r="B8770" s="475"/>
      <c r="C8770" s="476"/>
      <c r="D8770" s="477"/>
      <c r="E8770" s="96"/>
      <c r="F8770" s="96"/>
      <c r="G8770" s="325"/>
      <c r="H8770" s="96"/>
      <c r="I8770" s="478"/>
      <c r="J8770" s="96"/>
      <c r="K8770" s="96"/>
      <c r="L8770" s="107"/>
      <c r="M8770" s="107"/>
      <c r="N8770" s="107"/>
      <c r="O8770" s="107"/>
      <c r="P8770" s="109"/>
      <c r="Q8770" s="107"/>
      <c r="R8770" s="107"/>
      <c r="S8770" s="107"/>
      <c r="T8770" s="479"/>
      <c r="U8770" s="296"/>
      <c r="V8770" s="50"/>
      <c r="W8770" s="49"/>
      <c r="X8770" s="49"/>
      <c r="Y8770" s="35"/>
      <c r="Z8770" s="35"/>
      <c r="AA8770" s="35"/>
      <c r="AB8770" s="35"/>
      <c r="AC8770" s="35"/>
      <c r="AD8770" s="35"/>
      <c r="AE8770" s="35"/>
      <c r="AF8770" s="35"/>
      <c r="AG8770" s="35"/>
      <c r="AH8770" s="35"/>
      <c r="AI8770" s="35"/>
      <c r="AJ8770" s="35"/>
      <c r="AK8770" s="35"/>
      <c r="AL8770" s="35"/>
    </row>
    <row r="8771">
      <c r="A8771" s="457"/>
      <c r="B8771" s="475"/>
      <c r="C8771" s="476"/>
      <c r="D8771" s="477"/>
      <c r="E8771" s="96"/>
      <c r="F8771" s="96"/>
      <c r="G8771" s="325"/>
      <c r="H8771" s="96"/>
      <c r="I8771" s="478"/>
      <c r="J8771" s="96"/>
      <c r="K8771" s="96"/>
      <c r="L8771" s="107"/>
      <c r="M8771" s="107"/>
      <c r="N8771" s="107"/>
      <c r="O8771" s="107"/>
      <c r="P8771" s="109"/>
      <c r="Q8771" s="107"/>
      <c r="R8771" s="107"/>
      <c r="S8771" s="107"/>
      <c r="T8771" s="479"/>
      <c r="U8771" s="296"/>
      <c r="V8771" s="50"/>
      <c r="W8771" s="49"/>
      <c r="X8771" s="49"/>
      <c r="Y8771" s="35"/>
      <c r="Z8771" s="35"/>
      <c r="AA8771" s="35"/>
      <c r="AB8771" s="35"/>
      <c r="AC8771" s="35"/>
      <c r="AD8771" s="35"/>
      <c r="AE8771" s="35"/>
      <c r="AF8771" s="35"/>
      <c r="AG8771" s="35"/>
      <c r="AH8771" s="35"/>
      <c r="AI8771" s="35"/>
      <c r="AJ8771" s="35"/>
      <c r="AK8771" s="35"/>
      <c r="AL8771" s="35"/>
    </row>
    <row r="8772">
      <c r="A8772" s="457"/>
      <c r="B8772" s="475"/>
      <c r="C8772" s="476"/>
      <c r="D8772" s="477"/>
      <c r="E8772" s="96"/>
      <c r="F8772" s="96"/>
      <c r="G8772" s="325"/>
      <c r="H8772" s="96"/>
      <c r="I8772" s="478"/>
      <c r="J8772" s="96"/>
      <c r="K8772" s="96"/>
      <c r="L8772" s="107"/>
      <c r="M8772" s="107"/>
      <c r="N8772" s="107"/>
      <c r="O8772" s="107"/>
      <c r="P8772" s="109"/>
      <c r="Q8772" s="107"/>
      <c r="R8772" s="107"/>
      <c r="S8772" s="107"/>
      <c r="T8772" s="479"/>
      <c r="U8772" s="296"/>
      <c r="V8772" s="50"/>
      <c r="W8772" s="49"/>
      <c r="X8772" s="49"/>
      <c r="Y8772" s="35"/>
      <c r="Z8772" s="35"/>
      <c r="AA8772" s="35"/>
      <c r="AB8772" s="35"/>
      <c r="AC8772" s="35"/>
      <c r="AD8772" s="35"/>
      <c r="AE8772" s="35"/>
      <c r="AF8772" s="35"/>
      <c r="AG8772" s="35"/>
      <c r="AH8772" s="35"/>
      <c r="AI8772" s="35"/>
      <c r="AJ8772" s="35"/>
      <c r="AK8772" s="35"/>
      <c r="AL8772" s="35"/>
    </row>
    <row r="8773">
      <c r="A8773" s="457"/>
      <c r="B8773" s="475"/>
      <c r="C8773" s="476"/>
      <c r="D8773" s="477"/>
      <c r="E8773" s="96"/>
      <c r="F8773" s="96"/>
      <c r="G8773" s="325"/>
      <c r="H8773" s="96"/>
      <c r="I8773" s="478"/>
      <c r="J8773" s="96"/>
      <c r="K8773" s="96"/>
      <c r="L8773" s="107"/>
      <c r="M8773" s="107"/>
      <c r="N8773" s="107"/>
      <c r="O8773" s="107"/>
      <c r="P8773" s="109"/>
      <c r="Q8773" s="107"/>
      <c r="R8773" s="107"/>
      <c r="S8773" s="107"/>
      <c r="T8773" s="479"/>
      <c r="U8773" s="296"/>
      <c r="V8773" s="50"/>
      <c r="W8773" s="49"/>
      <c r="X8773" s="49"/>
      <c r="Y8773" s="35"/>
      <c r="Z8773" s="35"/>
      <c r="AA8773" s="35"/>
      <c r="AB8773" s="35"/>
      <c r="AC8773" s="35"/>
      <c r="AD8773" s="35"/>
      <c r="AE8773" s="35"/>
      <c r="AF8773" s="35"/>
      <c r="AG8773" s="35"/>
      <c r="AH8773" s="35"/>
      <c r="AI8773" s="35"/>
      <c r="AJ8773" s="35"/>
      <c r="AK8773" s="35"/>
      <c r="AL8773" s="35"/>
    </row>
    <row r="8774">
      <c r="A8774" s="457"/>
      <c r="B8774" s="475"/>
      <c r="C8774" s="476"/>
      <c r="D8774" s="477"/>
      <c r="E8774" s="96"/>
      <c r="F8774" s="96"/>
      <c r="G8774" s="325"/>
      <c r="H8774" s="96"/>
      <c r="I8774" s="478"/>
      <c r="J8774" s="96"/>
      <c r="K8774" s="96"/>
      <c r="L8774" s="107"/>
      <c r="M8774" s="107"/>
      <c r="N8774" s="107"/>
      <c r="O8774" s="107"/>
      <c r="P8774" s="109"/>
      <c r="Q8774" s="107"/>
      <c r="R8774" s="107"/>
      <c r="S8774" s="107"/>
      <c r="T8774" s="479"/>
      <c r="U8774" s="296"/>
      <c r="V8774" s="50"/>
      <c r="W8774" s="49"/>
      <c r="X8774" s="49"/>
      <c r="Y8774" s="35"/>
      <c r="Z8774" s="35"/>
      <c r="AA8774" s="35"/>
      <c r="AB8774" s="35"/>
      <c r="AC8774" s="35"/>
      <c r="AD8774" s="35"/>
      <c r="AE8774" s="35"/>
      <c r="AF8774" s="35"/>
      <c r="AG8774" s="35"/>
      <c r="AH8774" s="35"/>
      <c r="AI8774" s="35"/>
      <c r="AJ8774" s="35"/>
      <c r="AK8774" s="35"/>
      <c r="AL8774" s="35"/>
    </row>
    <row r="8775">
      <c r="A8775" s="457"/>
      <c r="B8775" s="475"/>
      <c r="C8775" s="476"/>
      <c r="D8775" s="477"/>
      <c r="E8775" s="96"/>
      <c r="F8775" s="96"/>
      <c r="G8775" s="325"/>
      <c r="H8775" s="96"/>
      <c r="I8775" s="478"/>
      <c r="J8775" s="96"/>
      <c r="K8775" s="96"/>
      <c r="L8775" s="107"/>
      <c r="M8775" s="107"/>
      <c r="N8775" s="107"/>
      <c r="O8775" s="107"/>
      <c r="P8775" s="109"/>
      <c r="Q8775" s="107"/>
      <c r="R8775" s="107"/>
      <c r="S8775" s="107"/>
      <c r="T8775" s="479"/>
      <c r="U8775" s="296"/>
      <c r="V8775" s="50"/>
      <c r="W8775" s="49"/>
      <c r="X8775" s="49"/>
      <c r="Y8775" s="35"/>
      <c r="Z8775" s="35"/>
      <c r="AA8775" s="35"/>
      <c r="AB8775" s="35"/>
      <c r="AC8775" s="35"/>
      <c r="AD8775" s="35"/>
      <c r="AE8775" s="35"/>
      <c r="AF8775" s="35"/>
      <c r="AG8775" s="35"/>
      <c r="AH8775" s="35"/>
      <c r="AI8775" s="35"/>
      <c r="AJ8775" s="35"/>
      <c r="AK8775" s="35"/>
      <c r="AL8775" s="35"/>
    </row>
    <row r="8776">
      <c r="A8776" s="457"/>
      <c r="B8776" s="475"/>
      <c r="C8776" s="476"/>
      <c r="D8776" s="477"/>
      <c r="E8776" s="96"/>
      <c r="F8776" s="96"/>
      <c r="G8776" s="325"/>
      <c r="H8776" s="96"/>
      <c r="I8776" s="478"/>
      <c r="J8776" s="96"/>
      <c r="K8776" s="96"/>
      <c r="L8776" s="107"/>
      <c r="M8776" s="107"/>
      <c r="N8776" s="107"/>
      <c r="O8776" s="107"/>
      <c r="P8776" s="109"/>
      <c r="Q8776" s="107"/>
      <c r="R8776" s="107"/>
      <c r="S8776" s="107"/>
      <c r="T8776" s="479"/>
      <c r="U8776" s="296"/>
      <c r="V8776" s="50"/>
      <c r="W8776" s="49"/>
      <c r="X8776" s="49"/>
      <c r="Y8776" s="35"/>
      <c r="Z8776" s="35"/>
      <c r="AA8776" s="35"/>
      <c r="AB8776" s="35"/>
      <c r="AC8776" s="35"/>
      <c r="AD8776" s="35"/>
      <c r="AE8776" s="35"/>
      <c r="AF8776" s="35"/>
      <c r="AG8776" s="35"/>
      <c r="AH8776" s="35"/>
      <c r="AI8776" s="35"/>
      <c r="AJ8776" s="35"/>
      <c r="AK8776" s="35"/>
      <c r="AL8776" s="35"/>
    </row>
    <row r="8777">
      <c r="A8777" s="457"/>
      <c r="B8777" s="475"/>
      <c r="C8777" s="476"/>
      <c r="D8777" s="477"/>
      <c r="E8777" s="96"/>
      <c r="F8777" s="96"/>
      <c r="G8777" s="325"/>
      <c r="H8777" s="96"/>
      <c r="I8777" s="478"/>
      <c r="J8777" s="96"/>
      <c r="K8777" s="96"/>
      <c r="L8777" s="107"/>
      <c r="M8777" s="107"/>
      <c r="N8777" s="107"/>
      <c r="O8777" s="107"/>
      <c r="P8777" s="109"/>
      <c r="Q8777" s="107"/>
      <c r="R8777" s="107"/>
      <c r="S8777" s="107"/>
      <c r="T8777" s="479"/>
      <c r="U8777" s="296"/>
      <c r="V8777" s="50"/>
      <c r="W8777" s="49"/>
      <c r="X8777" s="49"/>
      <c r="Y8777" s="35"/>
      <c r="Z8777" s="35"/>
      <c r="AA8777" s="35"/>
      <c r="AB8777" s="35"/>
      <c r="AC8777" s="35"/>
      <c r="AD8777" s="35"/>
      <c r="AE8777" s="35"/>
      <c r="AF8777" s="35"/>
      <c r="AG8777" s="35"/>
      <c r="AH8777" s="35"/>
      <c r="AI8777" s="35"/>
      <c r="AJ8777" s="35"/>
      <c r="AK8777" s="35"/>
      <c r="AL8777" s="35"/>
    </row>
    <row r="8778">
      <c r="A8778" s="457"/>
      <c r="B8778" s="475"/>
      <c r="C8778" s="476"/>
      <c r="D8778" s="477"/>
      <c r="E8778" s="96"/>
      <c r="F8778" s="96"/>
      <c r="G8778" s="325"/>
      <c r="H8778" s="96"/>
      <c r="I8778" s="478"/>
      <c r="J8778" s="96"/>
      <c r="K8778" s="96"/>
      <c r="L8778" s="107"/>
      <c r="M8778" s="107"/>
      <c r="N8778" s="107"/>
      <c r="O8778" s="107"/>
      <c r="P8778" s="109"/>
      <c r="Q8778" s="107"/>
      <c r="R8778" s="107"/>
      <c r="S8778" s="107"/>
      <c r="T8778" s="479"/>
      <c r="U8778" s="296"/>
      <c r="V8778" s="50"/>
      <c r="W8778" s="49"/>
      <c r="X8778" s="49"/>
      <c r="Y8778" s="35"/>
      <c r="Z8778" s="35"/>
      <c r="AA8778" s="35"/>
      <c r="AB8778" s="35"/>
      <c r="AC8778" s="35"/>
      <c r="AD8778" s="35"/>
      <c r="AE8778" s="35"/>
      <c r="AF8778" s="35"/>
      <c r="AG8778" s="35"/>
      <c r="AH8778" s="35"/>
      <c r="AI8778" s="35"/>
      <c r="AJ8778" s="35"/>
      <c r="AK8778" s="35"/>
      <c r="AL8778" s="35"/>
    </row>
    <row r="8779">
      <c r="A8779" s="457"/>
      <c r="B8779" s="475"/>
      <c r="C8779" s="476"/>
      <c r="D8779" s="477"/>
      <c r="E8779" s="96"/>
      <c r="F8779" s="96"/>
      <c r="G8779" s="325"/>
      <c r="H8779" s="96"/>
      <c r="I8779" s="478"/>
      <c r="J8779" s="96"/>
      <c r="K8779" s="96"/>
      <c r="L8779" s="107"/>
      <c r="M8779" s="107"/>
      <c r="N8779" s="107"/>
      <c r="O8779" s="107"/>
      <c r="P8779" s="109"/>
      <c r="Q8779" s="107"/>
      <c r="R8779" s="107"/>
      <c r="S8779" s="107"/>
      <c r="T8779" s="479"/>
      <c r="U8779" s="296"/>
      <c r="V8779" s="50"/>
      <c r="W8779" s="49"/>
      <c r="X8779" s="49"/>
      <c r="Y8779" s="35"/>
      <c r="Z8779" s="35"/>
      <c r="AA8779" s="35"/>
      <c r="AB8779" s="35"/>
      <c r="AC8779" s="35"/>
      <c r="AD8779" s="35"/>
      <c r="AE8779" s="35"/>
      <c r="AF8779" s="35"/>
      <c r="AG8779" s="35"/>
      <c r="AH8779" s="35"/>
      <c r="AI8779" s="35"/>
      <c r="AJ8779" s="35"/>
      <c r="AK8779" s="35"/>
      <c r="AL8779" s="35"/>
    </row>
    <row r="8780">
      <c r="A8780" s="457"/>
      <c r="B8780" s="475"/>
      <c r="C8780" s="476"/>
      <c r="D8780" s="477"/>
      <c r="E8780" s="96"/>
      <c r="F8780" s="96"/>
      <c r="G8780" s="325"/>
      <c r="H8780" s="96"/>
      <c r="I8780" s="478"/>
      <c r="J8780" s="96"/>
      <c r="K8780" s="96"/>
      <c r="L8780" s="107"/>
      <c r="M8780" s="107"/>
      <c r="N8780" s="107"/>
      <c r="O8780" s="107"/>
      <c r="P8780" s="109"/>
      <c r="Q8780" s="107"/>
      <c r="R8780" s="107"/>
      <c r="S8780" s="107"/>
      <c r="T8780" s="479"/>
      <c r="U8780" s="296"/>
      <c r="V8780" s="50"/>
      <c r="W8780" s="49"/>
      <c r="X8780" s="49"/>
      <c r="Y8780" s="35"/>
      <c r="Z8780" s="35"/>
      <c r="AA8780" s="35"/>
      <c r="AB8780" s="35"/>
      <c r="AC8780" s="35"/>
      <c r="AD8780" s="35"/>
      <c r="AE8780" s="35"/>
      <c r="AF8780" s="35"/>
      <c r="AG8780" s="35"/>
      <c r="AH8780" s="35"/>
      <c r="AI8780" s="35"/>
      <c r="AJ8780" s="35"/>
      <c r="AK8780" s="35"/>
      <c r="AL8780" s="35"/>
    </row>
    <row r="8781">
      <c r="A8781" s="457"/>
      <c r="B8781" s="475"/>
      <c r="C8781" s="476"/>
      <c r="D8781" s="477"/>
      <c r="E8781" s="96"/>
      <c r="F8781" s="96"/>
      <c r="G8781" s="325"/>
      <c r="H8781" s="96"/>
      <c r="I8781" s="478"/>
      <c r="J8781" s="96"/>
      <c r="K8781" s="96"/>
      <c r="L8781" s="107"/>
      <c r="M8781" s="107"/>
      <c r="N8781" s="107"/>
      <c r="O8781" s="107"/>
      <c r="P8781" s="109"/>
      <c r="Q8781" s="107"/>
      <c r="R8781" s="107"/>
      <c r="S8781" s="107"/>
      <c r="T8781" s="479"/>
      <c r="U8781" s="296"/>
      <c r="V8781" s="50"/>
      <c r="W8781" s="49"/>
      <c r="X8781" s="49"/>
      <c r="Y8781" s="35"/>
      <c r="Z8781" s="35"/>
      <c r="AA8781" s="35"/>
      <c r="AB8781" s="35"/>
      <c r="AC8781" s="35"/>
      <c r="AD8781" s="35"/>
      <c r="AE8781" s="35"/>
      <c r="AF8781" s="35"/>
      <c r="AG8781" s="35"/>
      <c r="AH8781" s="35"/>
      <c r="AI8781" s="35"/>
      <c r="AJ8781" s="35"/>
      <c r="AK8781" s="35"/>
      <c r="AL8781" s="35"/>
    </row>
    <row r="8782">
      <c r="A8782" s="457"/>
      <c r="B8782" s="475"/>
      <c r="C8782" s="476"/>
      <c r="D8782" s="477"/>
      <c r="E8782" s="96"/>
      <c r="F8782" s="96"/>
      <c r="G8782" s="325"/>
      <c r="H8782" s="96"/>
      <c r="I8782" s="478"/>
      <c r="J8782" s="96"/>
      <c r="K8782" s="96"/>
      <c r="L8782" s="107"/>
      <c r="M8782" s="107"/>
      <c r="N8782" s="107"/>
      <c r="O8782" s="107"/>
      <c r="P8782" s="109"/>
      <c r="Q8782" s="107"/>
      <c r="R8782" s="107"/>
      <c r="S8782" s="107"/>
      <c r="T8782" s="479"/>
      <c r="U8782" s="296"/>
      <c r="V8782" s="50"/>
      <c r="W8782" s="49"/>
      <c r="X8782" s="49"/>
      <c r="Y8782" s="35"/>
      <c r="Z8782" s="35"/>
      <c r="AA8782" s="35"/>
      <c r="AB8782" s="35"/>
      <c r="AC8782" s="35"/>
      <c r="AD8782" s="35"/>
      <c r="AE8782" s="35"/>
      <c r="AF8782" s="35"/>
      <c r="AG8782" s="35"/>
      <c r="AH8782" s="35"/>
      <c r="AI8782" s="35"/>
      <c r="AJ8782" s="35"/>
      <c r="AK8782" s="35"/>
      <c r="AL8782" s="35"/>
    </row>
    <row r="8783">
      <c r="A8783" s="457"/>
      <c r="B8783" s="475"/>
      <c r="C8783" s="476"/>
      <c r="D8783" s="477"/>
      <c r="E8783" s="96"/>
      <c r="F8783" s="96"/>
      <c r="G8783" s="325"/>
      <c r="H8783" s="96"/>
      <c r="I8783" s="478"/>
      <c r="J8783" s="96"/>
      <c r="K8783" s="96"/>
      <c r="L8783" s="107"/>
      <c r="M8783" s="107"/>
      <c r="N8783" s="107"/>
      <c r="O8783" s="107"/>
      <c r="P8783" s="109"/>
      <c r="Q8783" s="107"/>
      <c r="R8783" s="107"/>
      <c r="S8783" s="107"/>
      <c r="T8783" s="479"/>
      <c r="U8783" s="296"/>
      <c r="V8783" s="50"/>
      <c r="W8783" s="49"/>
      <c r="X8783" s="49"/>
      <c r="Y8783" s="35"/>
      <c r="Z8783" s="35"/>
      <c r="AA8783" s="35"/>
      <c r="AB8783" s="35"/>
      <c r="AC8783" s="35"/>
      <c r="AD8783" s="35"/>
      <c r="AE8783" s="35"/>
      <c r="AF8783" s="35"/>
      <c r="AG8783" s="35"/>
      <c r="AH8783" s="35"/>
      <c r="AI8783" s="35"/>
      <c r="AJ8783" s="35"/>
      <c r="AK8783" s="35"/>
      <c r="AL8783" s="35"/>
    </row>
    <row r="8784">
      <c r="A8784" s="457"/>
      <c r="B8784" s="475"/>
      <c r="C8784" s="476"/>
      <c r="D8784" s="477"/>
      <c r="E8784" s="96"/>
      <c r="F8784" s="96"/>
      <c r="G8784" s="325"/>
      <c r="H8784" s="96"/>
      <c r="I8784" s="478"/>
      <c r="J8784" s="96"/>
      <c r="K8784" s="96"/>
      <c r="L8784" s="107"/>
      <c r="M8784" s="107"/>
      <c r="N8784" s="107"/>
      <c r="O8784" s="107"/>
      <c r="P8784" s="109"/>
      <c r="Q8784" s="107"/>
      <c r="R8784" s="107"/>
      <c r="S8784" s="107"/>
      <c r="T8784" s="479"/>
      <c r="U8784" s="296"/>
      <c r="V8784" s="50"/>
      <c r="W8784" s="49"/>
      <c r="X8784" s="49"/>
      <c r="Y8784" s="35"/>
      <c r="Z8784" s="35"/>
      <c r="AA8784" s="35"/>
      <c r="AB8784" s="35"/>
      <c r="AC8784" s="35"/>
      <c r="AD8784" s="35"/>
      <c r="AE8784" s="35"/>
      <c r="AF8784" s="35"/>
      <c r="AG8784" s="35"/>
      <c r="AH8784" s="35"/>
      <c r="AI8784" s="35"/>
      <c r="AJ8784" s="35"/>
      <c r="AK8784" s="35"/>
      <c r="AL8784" s="35"/>
    </row>
    <row r="8785">
      <c r="A8785" s="457"/>
      <c r="B8785" s="475"/>
      <c r="C8785" s="476"/>
      <c r="D8785" s="477"/>
      <c r="E8785" s="96"/>
      <c r="F8785" s="96"/>
      <c r="G8785" s="325"/>
      <c r="H8785" s="96"/>
      <c r="I8785" s="478"/>
      <c r="J8785" s="96"/>
      <c r="K8785" s="96"/>
      <c r="L8785" s="107"/>
      <c r="M8785" s="107"/>
      <c r="N8785" s="107"/>
      <c r="O8785" s="107"/>
      <c r="P8785" s="109"/>
      <c r="Q8785" s="107"/>
      <c r="R8785" s="107"/>
      <c r="S8785" s="107"/>
      <c r="T8785" s="479"/>
      <c r="U8785" s="296"/>
      <c r="V8785" s="50"/>
      <c r="W8785" s="49"/>
      <c r="X8785" s="49"/>
      <c r="Y8785" s="35"/>
      <c r="Z8785" s="35"/>
      <c r="AA8785" s="35"/>
      <c r="AB8785" s="35"/>
      <c r="AC8785" s="35"/>
      <c r="AD8785" s="35"/>
      <c r="AE8785" s="35"/>
      <c r="AF8785" s="35"/>
      <c r="AG8785" s="35"/>
      <c r="AH8785" s="35"/>
      <c r="AI8785" s="35"/>
      <c r="AJ8785" s="35"/>
      <c r="AK8785" s="35"/>
      <c r="AL8785" s="35"/>
    </row>
    <row r="8786">
      <c r="A8786" s="457"/>
      <c r="B8786" s="475"/>
      <c r="C8786" s="476"/>
      <c r="D8786" s="477"/>
      <c r="E8786" s="96"/>
      <c r="F8786" s="96"/>
      <c r="G8786" s="325"/>
      <c r="H8786" s="96"/>
      <c r="I8786" s="478"/>
      <c r="J8786" s="96"/>
      <c r="K8786" s="96"/>
      <c r="L8786" s="107"/>
      <c r="M8786" s="107"/>
      <c r="N8786" s="107"/>
      <c r="O8786" s="107"/>
      <c r="P8786" s="109"/>
      <c r="Q8786" s="107"/>
      <c r="R8786" s="107"/>
      <c r="S8786" s="107"/>
      <c r="T8786" s="479"/>
      <c r="U8786" s="296"/>
      <c r="V8786" s="50"/>
      <c r="W8786" s="49"/>
      <c r="X8786" s="49"/>
      <c r="Y8786" s="35"/>
      <c r="Z8786" s="35"/>
      <c r="AA8786" s="35"/>
      <c r="AB8786" s="35"/>
      <c r="AC8786" s="35"/>
      <c r="AD8786" s="35"/>
      <c r="AE8786" s="35"/>
      <c r="AF8786" s="35"/>
      <c r="AG8786" s="35"/>
      <c r="AH8786" s="35"/>
      <c r="AI8786" s="35"/>
      <c r="AJ8786" s="35"/>
      <c r="AK8786" s="35"/>
      <c r="AL8786" s="35"/>
    </row>
    <row r="8787">
      <c r="A8787" s="457"/>
      <c r="B8787" s="475"/>
      <c r="C8787" s="476"/>
      <c r="D8787" s="477"/>
      <c r="E8787" s="96"/>
      <c r="F8787" s="96"/>
      <c r="G8787" s="325"/>
      <c r="H8787" s="96"/>
      <c r="I8787" s="478"/>
      <c r="J8787" s="96"/>
      <c r="K8787" s="96"/>
      <c r="L8787" s="107"/>
      <c r="M8787" s="107"/>
      <c r="N8787" s="107"/>
      <c r="O8787" s="107"/>
      <c r="P8787" s="109"/>
      <c r="Q8787" s="107"/>
      <c r="R8787" s="107"/>
      <c r="S8787" s="107"/>
      <c r="T8787" s="479"/>
      <c r="U8787" s="296"/>
      <c r="V8787" s="50"/>
      <c r="W8787" s="49"/>
      <c r="X8787" s="49"/>
      <c r="Y8787" s="35"/>
      <c r="Z8787" s="35"/>
      <c r="AA8787" s="35"/>
      <c r="AB8787" s="35"/>
      <c r="AC8787" s="35"/>
      <c r="AD8787" s="35"/>
      <c r="AE8787" s="35"/>
      <c r="AF8787" s="35"/>
      <c r="AG8787" s="35"/>
      <c r="AH8787" s="35"/>
      <c r="AI8787" s="35"/>
      <c r="AJ8787" s="35"/>
      <c r="AK8787" s="35"/>
      <c r="AL8787" s="35"/>
    </row>
    <row r="8788">
      <c r="A8788" s="457"/>
      <c r="B8788" s="475"/>
      <c r="C8788" s="476"/>
      <c r="D8788" s="477"/>
      <c r="E8788" s="96"/>
      <c r="F8788" s="96"/>
      <c r="G8788" s="325"/>
      <c r="H8788" s="96"/>
      <c r="I8788" s="478"/>
      <c r="J8788" s="96"/>
      <c r="K8788" s="96"/>
      <c r="L8788" s="107"/>
      <c r="M8788" s="107"/>
      <c r="N8788" s="107"/>
      <c r="O8788" s="107"/>
      <c r="P8788" s="109"/>
      <c r="Q8788" s="107"/>
      <c r="R8788" s="107"/>
      <c r="S8788" s="107"/>
      <c r="T8788" s="479"/>
      <c r="U8788" s="296"/>
      <c r="V8788" s="50"/>
      <c r="W8788" s="49"/>
      <c r="X8788" s="49"/>
      <c r="Y8788" s="35"/>
      <c r="Z8788" s="35"/>
      <c r="AA8788" s="35"/>
      <c r="AB8788" s="35"/>
      <c r="AC8788" s="35"/>
      <c r="AD8788" s="35"/>
      <c r="AE8788" s="35"/>
      <c r="AF8788" s="35"/>
      <c r="AG8788" s="35"/>
      <c r="AH8788" s="35"/>
      <c r="AI8788" s="35"/>
      <c r="AJ8788" s="35"/>
      <c r="AK8788" s="35"/>
      <c r="AL8788" s="35"/>
    </row>
    <row r="8789">
      <c r="A8789" s="457"/>
      <c r="B8789" s="475"/>
      <c r="C8789" s="476"/>
      <c r="D8789" s="477"/>
      <c r="E8789" s="96"/>
      <c r="F8789" s="96"/>
      <c r="G8789" s="325"/>
      <c r="H8789" s="96"/>
      <c r="I8789" s="478"/>
      <c r="J8789" s="96"/>
      <c r="K8789" s="96"/>
      <c r="L8789" s="107"/>
      <c r="M8789" s="107"/>
      <c r="N8789" s="107"/>
      <c r="O8789" s="107"/>
      <c r="P8789" s="109"/>
      <c r="Q8789" s="107"/>
      <c r="R8789" s="107"/>
      <c r="S8789" s="107"/>
      <c r="T8789" s="479"/>
      <c r="U8789" s="296"/>
      <c r="V8789" s="50"/>
      <c r="W8789" s="49"/>
      <c r="X8789" s="49"/>
      <c r="Y8789" s="35"/>
      <c r="Z8789" s="35"/>
      <c r="AA8789" s="35"/>
      <c r="AB8789" s="35"/>
      <c r="AC8789" s="35"/>
      <c r="AD8789" s="35"/>
      <c r="AE8789" s="35"/>
      <c r="AF8789" s="35"/>
      <c r="AG8789" s="35"/>
      <c r="AH8789" s="35"/>
      <c r="AI8789" s="35"/>
      <c r="AJ8789" s="35"/>
      <c r="AK8789" s="35"/>
      <c r="AL8789" s="35"/>
    </row>
    <row r="8790">
      <c r="A8790" s="457"/>
      <c r="B8790" s="475"/>
      <c r="C8790" s="476"/>
      <c r="D8790" s="477"/>
      <c r="E8790" s="96"/>
      <c r="F8790" s="96"/>
      <c r="G8790" s="325"/>
      <c r="H8790" s="96"/>
      <c r="I8790" s="478"/>
      <c r="J8790" s="96"/>
      <c r="K8790" s="96"/>
      <c r="L8790" s="107"/>
      <c r="M8790" s="107"/>
      <c r="N8790" s="107"/>
      <c r="O8790" s="107"/>
      <c r="P8790" s="109"/>
      <c r="Q8790" s="107"/>
      <c r="R8790" s="107"/>
      <c r="S8790" s="107"/>
      <c r="T8790" s="479"/>
      <c r="U8790" s="296"/>
      <c r="V8790" s="50"/>
      <c r="W8790" s="49"/>
      <c r="X8790" s="49"/>
      <c r="Y8790" s="35"/>
      <c r="Z8790" s="35"/>
      <c r="AA8790" s="35"/>
      <c r="AB8790" s="35"/>
      <c r="AC8790" s="35"/>
      <c r="AD8790" s="35"/>
      <c r="AE8790" s="35"/>
      <c r="AF8790" s="35"/>
      <c r="AG8790" s="35"/>
      <c r="AH8790" s="35"/>
      <c r="AI8790" s="35"/>
      <c r="AJ8790" s="35"/>
      <c r="AK8790" s="35"/>
      <c r="AL8790" s="35"/>
    </row>
    <row r="8791">
      <c r="A8791" s="457"/>
      <c r="B8791" s="475"/>
      <c r="C8791" s="476"/>
      <c r="D8791" s="477"/>
      <c r="E8791" s="96"/>
      <c r="F8791" s="96"/>
      <c r="G8791" s="325"/>
      <c r="H8791" s="96"/>
      <c r="I8791" s="478"/>
      <c r="J8791" s="96"/>
      <c r="K8791" s="96"/>
      <c r="L8791" s="107"/>
      <c r="M8791" s="107"/>
      <c r="N8791" s="107"/>
      <c r="O8791" s="107"/>
      <c r="P8791" s="109"/>
      <c r="Q8791" s="107"/>
      <c r="R8791" s="107"/>
      <c r="S8791" s="107"/>
      <c r="T8791" s="479"/>
      <c r="U8791" s="296"/>
      <c r="V8791" s="50"/>
      <c r="W8791" s="49"/>
      <c r="X8791" s="49"/>
      <c r="Y8791" s="35"/>
      <c r="Z8791" s="35"/>
      <c r="AA8791" s="35"/>
      <c r="AB8791" s="35"/>
      <c r="AC8791" s="35"/>
      <c r="AD8791" s="35"/>
      <c r="AE8791" s="35"/>
      <c r="AF8791" s="35"/>
      <c r="AG8791" s="35"/>
      <c r="AH8791" s="35"/>
      <c r="AI8791" s="35"/>
      <c r="AJ8791" s="35"/>
      <c r="AK8791" s="35"/>
      <c r="AL8791" s="35"/>
    </row>
    <row r="8792">
      <c r="A8792" s="457"/>
      <c r="B8792" s="475"/>
      <c r="C8792" s="476"/>
      <c r="D8792" s="477"/>
      <c r="E8792" s="96"/>
      <c r="F8792" s="96"/>
      <c r="G8792" s="325"/>
      <c r="H8792" s="96"/>
      <c r="I8792" s="478"/>
      <c r="J8792" s="96"/>
      <c r="K8792" s="96"/>
      <c r="L8792" s="107"/>
      <c r="M8792" s="107"/>
      <c r="N8792" s="107"/>
      <c r="O8792" s="107"/>
      <c r="P8792" s="109"/>
      <c r="Q8792" s="107"/>
      <c r="R8792" s="107"/>
      <c r="S8792" s="107"/>
      <c r="T8792" s="479"/>
      <c r="U8792" s="296"/>
      <c r="V8792" s="50"/>
      <c r="W8792" s="49"/>
      <c r="X8792" s="49"/>
      <c r="Y8792" s="35"/>
      <c r="Z8792" s="35"/>
      <c r="AA8792" s="35"/>
      <c r="AB8792" s="35"/>
      <c r="AC8792" s="35"/>
      <c r="AD8792" s="35"/>
      <c r="AE8792" s="35"/>
      <c r="AF8792" s="35"/>
      <c r="AG8792" s="35"/>
      <c r="AH8792" s="35"/>
      <c r="AI8792" s="35"/>
      <c r="AJ8792" s="35"/>
      <c r="AK8792" s="35"/>
      <c r="AL8792" s="35"/>
    </row>
    <row r="8793">
      <c r="A8793" s="457"/>
      <c r="B8793" s="475"/>
      <c r="C8793" s="476"/>
      <c r="D8793" s="477"/>
      <c r="E8793" s="96"/>
      <c r="F8793" s="96"/>
      <c r="G8793" s="325"/>
      <c r="H8793" s="96"/>
      <c r="I8793" s="478"/>
      <c r="J8793" s="96"/>
      <c r="K8793" s="96"/>
      <c r="L8793" s="107"/>
      <c r="M8793" s="107"/>
      <c r="N8793" s="107"/>
      <c r="O8793" s="107"/>
      <c r="P8793" s="109"/>
      <c r="Q8793" s="107"/>
      <c r="R8793" s="107"/>
      <c r="S8793" s="107"/>
      <c r="T8793" s="479"/>
      <c r="U8793" s="296"/>
      <c r="V8793" s="50"/>
      <c r="W8793" s="49"/>
      <c r="X8793" s="49"/>
      <c r="Y8793" s="35"/>
      <c r="Z8793" s="35"/>
      <c r="AA8793" s="35"/>
      <c r="AB8793" s="35"/>
      <c r="AC8793" s="35"/>
      <c r="AD8793" s="35"/>
      <c r="AE8793" s="35"/>
      <c r="AF8793" s="35"/>
      <c r="AG8793" s="35"/>
      <c r="AH8793" s="35"/>
      <c r="AI8793" s="35"/>
      <c r="AJ8793" s="35"/>
      <c r="AK8793" s="35"/>
      <c r="AL8793" s="35"/>
    </row>
    <row r="8794">
      <c r="A8794" s="457"/>
      <c r="B8794" s="475"/>
      <c r="C8794" s="476"/>
      <c r="D8794" s="477"/>
      <c r="E8794" s="96"/>
      <c r="F8794" s="96"/>
      <c r="G8794" s="325"/>
      <c r="H8794" s="96"/>
      <c r="I8794" s="478"/>
      <c r="J8794" s="96"/>
      <c r="K8794" s="96"/>
      <c r="L8794" s="107"/>
      <c r="M8794" s="107"/>
      <c r="N8794" s="107"/>
      <c r="O8794" s="107"/>
      <c r="P8794" s="109"/>
      <c r="Q8794" s="107"/>
      <c r="R8794" s="107"/>
      <c r="S8794" s="107"/>
      <c r="T8794" s="479"/>
      <c r="U8794" s="296"/>
      <c r="V8794" s="50"/>
      <c r="W8794" s="49"/>
      <c r="X8794" s="49"/>
      <c r="Y8794" s="35"/>
      <c r="Z8794" s="35"/>
      <c r="AA8794" s="35"/>
      <c r="AB8794" s="35"/>
      <c r="AC8794" s="35"/>
      <c r="AD8794" s="35"/>
      <c r="AE8794" s="35"/>
      <c r="AF8794" s="35"/>
      <c r="AG8794" s="35"/>
      <c r="AH8794" s="35"/>
      <c r="AI8794" s="35"/>
      <c r="AJ8794" s="35"/>
      <c r="AK8794" s="35"/>
      <c r="AL8794" s="35"/>
    </row>
    <row r="8795">
      <c r="A8795" s="457"/>
      <c r="B8795" s="475"/>
      <c r="C8795" s="476"/>
      <c r="D8795" s="477"/>
      <c r="E8795" s="96"/>
      <c r="F8795" s="96"/>
      <c r="G8795" s="325"/>
      <c r="H8795" s="96"/>
      <c r="I8795" s="478"/>
      <c r="J8795" s="96"/>
      <c r="K8795" s="96"/>
      <c r="L8795" s="107"/>
      <c r="M8795" s="107"/>
      <c r="N8795" s="107"/>
      <c r="O8795" s="107"/>
      <c r="P8795" s="109"/>
      <c r="Q8795" s="107"/>
      <c r="R8795" s="107"/>
      <c r="S8795" s="107"/>
      <c r="T8795" s="479"/>
      <c r="U8795" s="296"/>
      <c r="V8795" s="50"/>
      <c r="W8795" s="49"/>
      <c r="X8795" s="49"/>
      <c r="Y8795" s="35"/>
      <c r="Z8795" s="35"/>
      <c r="AA8795" s="35"/>
      <c r="AB8795" s="35"/>
      <c r="AC8795" s="35"/>
      <c r="AD8795" s="35"/>
      <c r="AE8795" s="35"/>
      <c r="AF8795" s="35"/>
      <c r="AG8795" s="35"/>
      <c r="AH8795" s="35"/>
      <c r="AI8795" s="35"/>
      <c r="AJ8795" s="35"/>
      <c r="AK8795" s="35"/>
      <c r="AL8795" s="35"/>
    </row>
    <row r="8796">
      <c r="A8796" s="457"/>
      <c r="B8796" s="475"/>
      <c r="C8796" s="476"/>
      <c r="D8796" s="477"/>
      <c r="E8796" s="96"/>
      <c r="F8796" s="96"/>
      <c r="G8796" s="325"/>
      <c r="H8796" s="96"/>
      <c r="I8796" s="478"/>
      <c r="J8796" s="96"/>
      <c r="K8796" s="96"/>
      <c r="L8796" s="107"/>
      <c r="M8796" s="107"/>
      <c r="N8796" s="107"/>
      <c r="O8796" s="107"/>
      <c r="P8796" s="109"/>
      <c r="Q8796" s="107"/>
      <c r="R8796" s="107"/>
      <c r="S8796" s="107"/>
      <c r="T8796" s="479"/>
      <c r="U8796" s="296"/>
      <c r="V8796" s="50"/>
      <c r="W8796" s="49"/>
      <c r="X8796" s="49"/>
      <c r="Y8796" s="35"/>
      <c r="Z8796" s="35"/>
      <c r="AA8796" s="35"/>
      <c r="AB8796" s="35"/>
      <c r="AC8796" s="35"/>
      <c r="AD8796" s="35"/>
      <c r="AE8796" s="35"/>
      <c r="AF8796" s="35"/>
      <c r="AG8796" s="35"/>
      <c r="AH8796" s="35"/>
      <c r="AI8796" s="35"/>
      <c r="AJ8796" s="35"/>
      <c r="AK8796" s="35"/>
      <c r="AL8796" s="35"/>
    </row>
    <row r="8797">
      <c r="A8797" s="457"/>
      <c r="B8797" s="475"/>
      <c r="C8797" s="476"/>
      <c r="D8797" s="477"/>
      <c r="E8797" s="96"/>
      <c r="F8797" s="96"/>
      <c r="G8797" s="325"/>
      <c r="H8797" s="96"/>
      <c r="I8797" s="478"/>
      <c r="J8797" s="96"/>
      <c r="K8797" s="96"/>
      <c r="L8797" s="107"/>
      <c r="M8797" s="107"/>
      <c r="N8797" s="107"/>
      <c r="O8797" s="107"/>
      <c r="P8797" s="109"/>
      <c r="Q8797" s="107"/>
      <c r="R8797" s="107"/>
      <c r="S8797" s="107"/>
      <c r="T8797" s="479"/>
      <c r="U8797" s="296"/>
      <c r="V8797" s="50"/>
      <c r="W8797" s="49"/>
      <c r="X8797" s="49"/>
      <c r="Y8797" s="35"/>
      <c r="Z8797" s="35"/>
      <c r="AA8797" s="35"/>
      <c r="AB8797" s="35"/>
      <c r="AC8797" s="35"/>
      <c r="AD8797" s="35"/>
      <c r="AE8797" s="35"/>
      <c r="AF8797" s="35"/>
      <c r="AG8797" s="35"/>
      <c r="AH8797" s="35"/>
      <c r="AI8797" s="35"/>
      <c r="AJ8797" s="35"/>
      <c r="AK8797" s="35"/>
      <c r="AL8797" s="35"/>
    </row>
    <row r="8798">
      <c r="A8798" s="457"/>
      <c r="B8798" s="475"/>
      <c r="C8798" s="476"/>
      <c r="D8798" s="477"/>
      <c r="E8798" s="96"/>
      <c r="F8798" s="96"/>
      <c r="G8798" s="325"/>
      <c r="H8798" s="96"/>
      <c r="I8798" s="478"/>
      <c r="J8798" s="96"/>
      <c r="K8798" s="96"/>
      <c r="L8798" s="107"/>
      <c r="M8798" s="107"/>
      <c r="N8798" s="107"/>
      <c r="O8798" s="107"/>
      <c r="P8798" s="109"/>
      <c r="Q8798" s="107"/>
      <c r="R8798" s="107"/>
      <c r="S8798" s="107"/>
      <c r="T8798" s="479"/>
      <c r="U8798" s="296"/>
      <c r="V8798" s="50"/>
      <c r="W8798" s="49"/>
      <c r="X8798" s="49"/>
      <c r="Y8798" s="35"/>
      <c r="Z8798" s="35"/>
      <c r="AA8798" s="35"/>
      <c r="AB8798" s="35"/>
      <c r="AC8798" s="35"/>
      <c r="AD8798" s="35"/>
      <c r="AE8798" s="35"/>
      <c r="AF8798" s="35"/>
      <c r="AG8798" s="35"/>
      <c r="AH8798" s="35"/>
      <c r="AI8798" s="35"/>
      <c r="AJ8798" s="35"/>
      <c r="AK8798" s="35"/>
      <c r="AL8798" s="35"/>
    </row>
    <row r="8799">
      <c r="A8799" s="457"/>
      <c r="B8799" s="475"/>
      <c r="C8799" s="476"/>
      <c r="D8799" s="477"/>
      <c r="E8799" s="96"/>
      <c r="F8799" s="96"/>
      <c r="G8799" s="325"/>
      <c r="H8799" s="96"/>
      <c r="I8799" s="478"/>
      <c r="J8799" s="96"/>
      <c r="K8799" s="96"/>
      <c r="L8799" s="107"/>
      <c r="M8799" s="107"/>
      <c r="N8799" s="107"/>
      <c r="O8799" s="107"/>
      <c r="P8799" s="109"/>
      <c r="Q8799" s="107"/>
      <c r="R8799" s="107"/>
      <c r="S8799" s="107"/>
      <c r="T8799" s="479"/>
      <c r="U8799" s="296"/>
      <c r="V8799" s="50"/>
      <c r="W8799" s="49"/>
      <c r="X8799" s="49"/>
      <c r="Y8799" s="35"/>
      <c r="Z8799" s="35"/>
      <c r="AA8799" s="35"/>
      <c r="AB8799" s="35"/>
      <c r="AC8799" s="35"/>
      <c r="AD8799" s="35"/>
      <c r="AE8799" s="35"/>
      <c r="AF8799" s="35"/>
      <c r="AG8799" s="35"/>
      <c r="AH8799" s="35"/>
      <c r="AI8799" s="35"/>
      <c r="AJ8799" s="35"/>
      <c r="AK8799" s="35"/>
      <c r="AL8799" s="35"/>
    </row>
    <row r="8800">
      <c r="A8800" s="457"/>
      <c r="B8800" s="475"/>
      <c r="C8800" s="476"/>
      <c r="D8800" s="477"/>
      <c r="E8800" s="96"/>
      <c r="F8800" s="96"/>
      <c r="G8800" s="325"/>
      <c r="H8800" s="96"/>
      <c r="I8800" s="478"/>
      <c r="J8800" s="96"/>
      <c r="K8800" s="96"/>
      <c r="L8800" s="107"/>
      <c r="M8800" s="107"/>
      <c r="N8800" s="107"/>
      <c r="O8800" s="107"/>
      <c r="P8800" s="109"/>
      <c r="Q8800" s="107"/>
      <c r="R8800" s="107"/>
      <c r="S8800" s="107"/>
      <c r="T8800" s="479"/>
      <c r="U8800" s="296"/>
      <c r="V8800" s="50"/>
      <c r="W8800" s="49"/>
      <c r="X8800" s="49"/>
      <c r="Y8800" s="35"/>
      <c r="Z8800" s="35"/>
      <c r="AA8800" s="35"/>
      <c r="AB8800" s="35"/>
      <c r="AC8800" s="35"/>
      <c r="AD8800" s="35"/>
      <c r="AE8800" s="35"/>
      <c r="AF8800" s="35"/>
      <c r="AG8800" s="35"/>
      <c r="AH8800" s="35"/>
      <c r="AI8800" s="35"/>
      <c r="AJ8800" s="35"/>
      <c r="AK8800" s="35"/>
      <c r="AL8800" s="35"/>
    </row>
    <row r="8801">
      <c r="A8801" s="457"/>
      <c r="B8801" s="475"/>
      <c r="C8801" s="476"/>
      <c r="D8801" s="477"/>
      <c r="E8801" s="96"/>
      <c r="F8801" s="96"/>
      <c r="G8801" s="325"/>
      <c r="H8801" s="96"/>
      <c r="I8801" s="478"/>
      <c r="J8801" s="96"/>
      <c r="K8801" s="96"/>
      <c r="L8801" s="107"/>
      <c r="M8801" s="107"/>
      <c r="N8801" s="107"/>
      <c r="O8801" s="107"/>
      <c r="P8801" s="109"/>
      <c r="Q8801" s="107"/>
      <c r="R8801" s="107"/>
      <c r="S8801" s="107"/>
      <c r="T8801" s="479"/>
      <c r="U8801" s="296"/>
      <c r="V8801" s="50"/>
      <c r="W8801" s="49"/>
      <c r="X8801" s="49"/>
      <c r="Y8801" s="35"/>
      <c r="Z8801" s="35"/>
      <c r="AA8801" s="35"/>
      <c r="AB8801" s="35"/>
      <c r="AC8801" s="35"/>
      <c r="AD8801" s="35"/>
      <c r="AE8801" s="35"/>
      <c r="AF8801" s="35"/>
      <c r="AG8801" s="35"/>
      <c r="AH8801" s="35"/>
      <c r="AI8801" s="35"/>
      <c r="AJ8801" s="35"/>
      <c r="AK8801" s="35"/>
      <c r="AL8801" s="35"/>
    </row>
    <row r="8802">
      <c r="A8802" s="457"/>
      <c r="B8802" s="475"/>
      <c r="C8802" s="476"/>
      <c r="D8802" s="477"/>
      <c r="E8802" s="96"/>
      <c r="F8802" s="96"/>
      <c r="G8802" s="325"/>
      <c r="H8802" s="96"/>
      <c r="I8802" s="478"/>
      <c r="J8802" s="96"/>
      <c r="K8802" s="96"/>
      <c r="L8802" s="107"/>
      <c r="M8802" s="107"/>
      <c r="N8802" s="107"/>
      <c r="O8802" s="107"/>
      <c r="P8802" s="109"/>
      <c r="Q8802" s="107"/>
      <c r="R8802" s="107"/>
      <c r="S8802" s="107"/>
      <c r="T8802" s="479"/>
      <c r="U8802" s="296"/>
      <c r="V8802" s="50"/>
      <c r="W8802" s="49"/>
      <c r="X8802" s="49"/>
      <c r="Y8802" s="35"/>
      <c r="Z8802" s="35"/>
      <c r="AA8802" s="35"/>
      <c r="AB8802" s="35"/>
      <c r="AC8802" s="35"/>
      <c r="AD8802" s="35"/>
      <c r="AE8802" s="35"/>
      <c r="AF8802" s="35"/>
      <c r="AG8802" s="35"/>
      <c r="AH8802" s="35"/>
      <c r="AI8802" s="35"/>
      <c r="AJ8802" s="35"/>
      <c r="AK8802" s="35"/>
      <c r="AL8802" s="35"/>
    </row>
    <row r="8803">
      <c r="A8803" s="457"/>
      <c r="B8803" s="475"/>
      <c r="C8803" s="476"/>
      <c r="D8803" s="477"/>
      <c r="E8803" s="96"/>
      <c r="F8803" s="96"/>
      <c r="G8803" s="325"/>
      <c r="H8803" s="96"/>
      <c r="I8803" s="478"/>
      <c r="J8803" s="96"/>
      <c r="K8803" s="96"/>
      <c r="L8803" s="107"/>
      <c r="M8803" s="107"/>
      <c r="N8803" s="107"/>
      <c r="O8803" s="107"/>
      <c r="P8803" s="109"/>
      <c r="Q8803" s="107"/>
      <c r="R8803" s="107"/>
      <c r="S8803" s="107"/>
      <c r="T8803" s="479"/>
      <c r="U8803" s="296"/>
      <c r="V8803" s="50"/>
      <c r="W8803" s="49"/>
      <c r="X8803" s="49"/>
      <c r="Y8803" s="35"/>
      <c r="Z8803" s="35"/>
      <c r="AA8803" s="35"/>
      <c r="AB8803" s="35"/>
      <c r="AC8803" s="35"/>
      <c r="AD8803" s="35"/>
      <c r="AE8803" s="35"/>
      <c r="AF8803" s="35"/>
      <c r="AG8803" s="35"/>
      <c r="AH8803" s="35"/>
      <c r="AI8803" s="35"/>
      <c r="AJ8803" s="35"/>
      <c r="AK8803" s="35"/>
      <c r="AL8803" s="35"/>
    </row>
    <row r="8804">
      <c r="A8804" s="457"/>
      <c r="B8804" s="475"/>
      <c r="C8804" s="476"/>
      <c r="D8804" s="477"/>
      <c r="E8804" s="96"/>
      <c r="F8804" s="96"/>
      <c r="G8804" s="325"/>
      <c r="H8804" s="96"/>
      <c r="I8804" s="478"/>
      <c r="J8804" s="96"/>
      <c r="K8804" s="96"/>
      <c r="L8804" s="107"/>
      <c r="M8804" s="107"/>
      <c r="N8804" s="107"/>
      <c r="O8804" s="107"/>
      <c r="P8804" s="109"/>
      <c r="Q8804" s="107"/>
      <c r="R8804" s="107"/>
      <c r="S8804" s="107"/>
      <c r="T8804" s="479"/>
      <c r="U8804" s="296"/>
      <c r="V8804" s="50"/>
      <c r="W8804" s="49"/>
      <c r="X8804" s="49"/>
      <c r="Y8804" s="35"/>
      <c r="Z8804" s="35"/>
      <c r="AA8804" s="35"/>
      <c r="AB8804" s="35"/>
      <c r="AC8804" s="35"/>
      <c r="AD8804" s="35"/>
      <c r="AE8804" s="35"/>
      <c r="AF8804" s="35"/>
      <c r="AG8804" s="35"/>
      <c r="AH8804" s="35"/>
      <c r="AI8804" s="35"/>
      <c r="AJ8804" s="35"/>
      <c r="AK8804" s="35"/>
      <c r="AL8804" s="35"/>
    </row>
    <row r="8805">
      <c r="A8805" s="457"/>
      <c r="B8805" s="475"/>
      <c r="C8805" s="476"/>
      <c r="D8805" s="477"/>
      <c r="E8805" s="96"/>
      <c r="F8805" s="96"/>
      <c r="G8805" s="325"/>
      <c r="H8805" s="96"/>
      <c r="I8805" s="478"/>
      <c r="J8805" s="96"/>
      <c r="K8805" s="96"/>
      <c r="L8805" s="107"/>
      <c r="M8805" s="107"/>
      <c r="N8805" s="107"/>
      <c r="O8805" s="107"/>
      <c r="P8805" s="109"/>
      <c r="Q8805" s="107"/>
      <c r="R8805" s="107"/>
      <c r="S8805" s="107"/>
      <c r="T8805" s="479"/>
      <c r="U8805" s="296"/>
      <c r="V8805" s="50"/>
      <c r="W8805" s="49"/>
      <c r="X8805" s="49"/>
      <c r="Y8805" s="35"/>
      <c r="Z8805" s="35"/>
      <c r="AA8805" s="35"/>
      <c r="AB8805" s="35"/>
      <c r="AC8805" s="35"/>
      <c r="AD8805" s="35"/>
      <c r="AE8805" s="35"/>
      <c r="AF8805" s="35"/>
      <c r="AG8805" s="35"/>
      <c r="AH8805" s="35"/>
      <c r="AI8805" s="35"/>
      <c r="AJ8805" s="35"/>
      <c r="AK8805" s="35"/>
      <c r="AL8805" s="35"/>
    </row>
    <row r="8806">
      <c r="A8806" s="457"/>
      <c r="B8806" s="475"/>
      <c r="C8806" s="476"/>
      <c r="D8806" s="477"/>
      <c r="E8806" s="96"/>
      <c r="F8806" s="96"/>
      <c r="G8806" s="325"/>
      <c r="H8806" s="96"/>
      <c r="I8806" s="478"/>
      <c r="J8806" s="96"/>
      <c r="K8806" s="96"/>
      <c r="L8806" s="107"/>
      <c r="M8806" s="107"/>
      <c r="N8806" s="107"/>
      <c r="O8806" s="107"/>
      <c r="P8806" s="109"/>
      <c r="Q8806" s="107"/>
      <c r="R8806" s="107"/>
      <c r="S8806" s="107"/>
      <c r="T8806" s="479"/>
      <c r="U8806" s="296"/>
      <c r="V8806" s="50"/>
      <c r="W8806" s="49"/>
      <c r="X8806" s="49"/>
      <c r="Y8806" s="35"/>
      <c r="Z8806" s="35"/>
      <c r="AA8806" s="35"/>
      <c r="AB8806" s="35"/>
      <c r="AC8806" s="35"/>
      <c r="AD8806" s="35"/>
      <c r="AE8806" s="35"/>
      <c r="AF8806" s="35"/>
      <c r="AG8806" s="35"/>
      <c r="AH8806" s="35"/>
      <c r="AI8806" s="35"/>
      <c r="AJ8806" s="35"/>
      <c r="AK8806" s="35"/>
      <c r="AL8806" s="35"/>
    </row>
    <row r="8807">
      <c r="A8807" s="457"/>
      <c r="B8807" s="475"/>
      <c r="C8807" s="476"/>
      <c r="D8807" s="477"/>
      <c r="E8807" s="96"/>
      <c r="F8807" s="96"/>
      <c r="G8807" s="325"/>
      <c r="H8807" s="96"/>
      <c r="I8807" s="478"/>
      <c r="J8807" s="96"/>
      <c r="K8807" s="96"/>
      <c r="L8807" s="107"/>
      <c r="M8807" s="107"/>
      <c r="N8807" s="107"/>
      <c r="O8807" s="107"/>
      <c r="P8807" s="109"/>
      <c r="Q8807" s="107"/>
      <c r="R8807" s="107"/>
      <c r="S8807" s="107"/>
      <c r="T8807" s="479"/>
      <c r="U8807" s="296"/>
      <c r="V8807" s="50"/>
      <c r="W8807" s="49"/>
      <c r="X8807" s="49"/>
      <c r="Y8807" s="35"/>
      <c r="Z8807" s="35"/>
      <c r="AA8807" s="35"/>
      <c r="AB8807" s="35"/>
      <c r="AC8807" s="35"/>
      <c r="AD8807" s="35"/>
      <c r="AE8807" s="35"/>
      <c r="AF8807" s="35"/>
      <c r="AG8807" s="35"/>
      <c r="AH8807" s="35"/>
      <c r="AI8807" s="35"/>
      <c r="AJ8807" s="35"/>
      <c r="AK8807" s="35"/>
      <c r="AL8807" s="35"/>
    </row>
    <row r="8808">
      <c r="A8808" s="457"/>
      <c r="B8808" s="475"/>
      <c r="C8808" s="476"/>
      <c r="D8808" s="477"/>
      <c r="E8808" s="96"/>
      <c r="F8808" s="96"/>
      <c r="G8808" s="325"/>
      <c r="H8808" s="96"/>
      <c r="I8808" s="478"/>
      <c r="J8808" s="96"/>
      <c r="K8808" s="96"/>
      <c r="L8808" s="107"/>
      <c r="M8808" s="107"/>
      <c r="N8808" s="107"/>
      <c r="O8808" s="107"/>
      <c r="P8808" s="109"/>
      <c r="Q8808" s="107"/>
      <c r="R8808" s="107"/>
      <c r="S8808" s="107"/>
      <c r="T8808" s="479"/>
      <c r="U8808" s="296"/>
      <c r="V8808" s="50"/>
      <c r="W8808" s="49"/>
      <c r="X8808" s="49"/>
      <c r="Y8808" s="35"/>
      <c r="Z8808" s="35"/>
      <c r="AA8808" s="35"/>
      <c r="AB8808" s="35"/>
      <c r="AC8808" s="35"/>
      <c r="AD8808" s="35"/>
      <c r="AE8808" s="35"/>
      <c r="AF8808" s="35"/>
      <c r="AG8808" s="35"/>
      <c r="AH8808" s="35"/>
      <c r="AI8808" s="35"/>
      <c r="AJ8808" s="35"/>
      <c r="AK8808" s="35"/>
      <c r="AL8808" s="35"/>
    </row>
    <row r="8809">
      <c r="A8809" s="457"/>
      <c r="B8809" s="475"/>
      <c r="C8809" s="476"/>
      <c r="D8809" s="477"/>
      <c r="E8809" s="96"/>
      <c r="F8809" s="96"/>
      <c r="G8809" s="325"/>
      <c r="H8809" s="96"/>
      <c r="I8809" s="478"/>
      <c r="J8809" s="96"/>
      <c r="K8809" s="96"/>
      <c r="L8809" s="107"/>
      <c r="M8809" s="107"/>
      <c r="N8809" s="107"/>
      <c r="O8809" s="107"/>
      <c r="P8809" s="109"/>
      <c r="Q8809" s="107"/>
      <c r="R8809" s="107"/>
      <c r="S8809" s="107"/>
      <c r="T8809" s="479"/>
      <c r="U8809" s="296"/>
      <c r="V8809" s="50"/>
      <c r="W8809" s="49"/>
      <c r="X8809" s="49"/>
      <c r="Y8809" s="35"/>
      <c r="Z8809" s="35"/>
      <c r="AA8809" s="35"/>
      <c r="AB8809" s="35"/>
      <c r="AC8809" s="35"/>
      <c r="AD8809" s="35"/>
      <c r="AE8809" s="35"/>
      <c r="AF8809" s="35"/>
      <c r="AG8809" s="35"/>
      <c r="AH8809" s="35"/>
      <c r="AI8809" s="35"/>
      <c r="AJ8809" s="35"/>
      <c r="AK8809" s="35"/>
      <c r="AL8809" s="35"/>
    </row>
    <row r="8810">
      <c r="A8810" s="457"/>
      <c r="B8810" s="475"/>
      <c r="C8810" s="476"/>
      <c r="D8810" s="477"/>
      <c r="E8810" s="96"/>
      <c r="F8810" s="96"/>
      <c r="G8810" s="325"/>
      <c r="H8810" s="96"/>
      <c r="I8810" s="478"/>
      <c r="J8810" s="96"/>
      <c r="K8810" s="96"/>
      <c r="L8810" s="107"/>
      <c r="M8810" s="107"/>
      <c r="N8810" s="107"/>
      <c r="O8810" s="107"/>
      <c r="P8810" s="109"/>
      <c r="Q8810" s="107"/>
      <c r="R8810" s="107"/>
      <c r="S8810" s="107"/>
      <c r="T8810" s="479"/>
      <c r="U8810" s="296"/>
      <c r="V8810" s="50"/>
      <c r="W8810" s="49"/>
      <c r="X8810" s="49"/>
      <c r="Y8810" s="35"/>
      <c r="Z8810" s="35"/>
      <c r="AA8810" s="35"/>
      <c r="AB8810" s="35"/>
      <c r="AC8810" s="35"/>
      <c r="AD8810" s="35"/>
      <c r="AE8810" s="35"/>
      <c r="AF8810" s="35"/>
      <c r="AG8810" s="35"/>
      <c r="AH8810" s="35"/>
      <c r="AI8810" s="35"/>
      <c r="AJ8810" s="35"/>
      <c r="AK8810" s="35"/>
      <c r="AL8810" s="35"/>
    </row>
    <row r="8811">
      <c r="A8811" s="457"/>
      <c r="B8811" s="475"/>
      <c r="C8811" s="476"/>
      <c r="D8811" s="477"/>
      <c r="E8811" s="96"/>
      <c r="F8811" s="96"/>
      <c r="G8811" s="325"/>
      <c r="H8811" s="96"/>
      <c r="I8811" s="478"/>
      <c r="J8811" s="96"/>
      <c r="K8811" s="96"/>
      <c r="L8811" s="107"/>
      <c r="M8811" s="107"/>
      <c r="N8811" s="107"/>
      <c r="O8811" s="107"/>
      <c r="P8811" s="109"/>
      <c r="Q8811" s="107"/>
      <c r="R8811" s="107"/>
      <c r="S8811" s="107"/>
      <c r="T8811" s="479"/>
      <c r="U8811" s="296"/>
      <c r="V8811" s="50"/>
      <c r="W8811" s="49"/>
      <c r="X8811" s="49"/>
      <c r="Y8811" s="35"/>
      <c r="Z8811" s="35"/>
      <c r="AA8811" s="35"/>
      <c r="AB8811" s="35"/>
      <c r="AC8811" s="35"/>
      <c r="AD8811" s="35"/>
      <c r="AE8811" s="35"/>
      <c r="AF8811" s="35"/>
      <c r="AG8811" s="35"/>
      <c r="AH8811" s="35"/>
      <c r="AI8811" s="35"/>
      <c r="AJ8811" s="35"/>
      <c r="AK8811" s="35"/>
      <c r="AL8811" s="35"/>
    </row>
    <row r="8812">
      <c r="A8812" s="457"/>
      <c r="B8812" s="475"/>
      <c r="C8812" s="476"/>
      <c r="D8812" s="477"/>
      <c r="E8812" s="96"/>
      <c r="F8812" s="96"/>
      <c r="G8812" s="325"/>
      <c r="H8812" s="96"/>
      <c r="I8812" s="478"/>
      <c r="J8812" s="96"/>
      <c r="K8812" s="96"/>
      <c r="L8812" s="107"/>
      <c r="M8812" s="107"/>
      <c r="N8812" s="107"/>
      <c r="O8812" s="107"/>
      <c r="P8812" s="109"/>
      <c r="Q8812" s="107"/>
      <c r="R8812" s="107"/>
      <c r="S8812" s="107"/>
      <c r="T8812" s="479"/>
      <c r="U8812" s="296"/>
      <c r="V8812" s="50"/>
      <c r="W8812" s="49"/>
      <c r="X8812" s="49"/>
      <c r="Y8812" s="35"/>
      <c r="Z8812" s="35"/>
      <c r="AA8812" s="35"/>
      <c r="AB8812" s="35"/>
      <c r="AC8812" s="35"/>
      <c r="AD8812" s="35"/>
      <c r="AE8812" s="35"/>
      <c r="AF8812" s="35"/>
      <c r="AG8812" s="35"/>
      <c r="AH8812" s="35"/>
      <c r="AI8812" s="35"/>
      <c r="AJ8812" s="35"/>
      <c r="AK8812" s="35"/>
      <c r="AL8812" s="35"/>
    </row>
    <row r="8813">
      <c r="A8813" s="457"/>
      <c r="B8813" s="475"/>
      <c r="C8813" s="476"/>
      <c r="D8813" s="477"/>
      <c r="E8813" s="96"/>
      <c r="F8813" s="96"/>
      <c r="G8813" s="325"/>
      <c r="H8813" s="96"/>
      <c r="I8813" s="478"/>
      <c r="J8813" s="96"/>
      <c r="K8813" s="96"/>
      <c r="L8813" s="107"/>
      <c r="M8813" s="107"/>
      <c r="N8813" s="107"/>
      <c r="O8813" s="107"/>
      <c r="P8813" s="109"/>
      <c r="Q8813" s="107"/>
      <c r="R8813" s="107"/>
      <c r="S8813" s="107"/>
      <c r="T8813" s="479"/>
      <c r="U8813" s="296"/>
      <c r="V8813" s="50"/>
      <c r="W8813" s="49"/>
      <c r="X8813" s="49"/>
      <c r="Y8813" s="35"/>
      <c r="Z8813" s="35"/>
      <c r="AA8813" s="35"/>
      <c r="AB8813" s="35"/>
      <c r="AC8813" s="35"/>
      <c r="AD8813" s="35"/>
      <c r="AE8813" s="35"/>
      <c r="AF8813" s="35"/>
      <c r="AG8813" s="35"/>
      <c r="AH8813" s="35"/>
      <c r="AI8813" s="35"/>
      <c r="AJ8813" s="35"/>
      <c r="AK8813" s="35"/>
      <c r="AL8813" s="35"/>
    </row>
    <row r="8814">
      <c r="A8814" s="457"/>
      <c r="B8814" s="475"/>
      <c r="C8814" s="476"/>
      <c r="D8814" s="477"/>
      <c r="E8814" s="96"/>
      <c r="F8814" s="96"/>
      <c r="G8814" s="325"/>
      <c r="H8814" s="96"/>
      <c r="I8814" s="478"/>
      <c r="J8814" s="96"/>
      <c r="K8814" s="96"/>
      <c r="L8814" s="107"/>
      <c r="M8814" s="107"/>
      <c r="N8814" s="107"/>
      <c r="O8814" s="107"/>
      <c r="P8814" s="109"/>
      <c r="Q8814" s="107"/>
      <c r="R8814" s="107"/>
      <c r="S8814" s="107"/>
      <c r="T8814" s="479"/>
      <c r="U8814" s="296"/>
      <c r="V8814" s="50"/>
      <c r="W8814" s="49"/>
      <c r="X8814" s="49"/>
      <c r="Y8814" s="35"/>
      <c r="Z8814" s="35"/>
      <c r="AA8814" s="35"/>
      <c r="AB8814" s="35"/>
      <c r="AC8814" s="35"/>
      <c r="AD8814" s="35"/>
      <c r="AE8814" s="35"/>
      <c r="AF8814" s="35"/>
      <c r="AG8814" s="35"/>
      <c r="AH8814" s="35"/>
      <c r="AI8814" s="35"/>
      <c r="AJ8814" s="35"/>
      <c r="AK8814" s="35"/>
      <c r="AL8814" s="35"/>
    </row>
    <row r="8815">
      <c r="A8815" s="457"/>
      <c r="B8815" s="475"/>
      <c r="C8815" s="476"/>
      <c r="D8815" s="477"/>
      <c r="E8815" s="96"/>
      <c r="F8815" s="96"/>
      <c r="G8815" s="325"/>
      <c r="H8815" s="96"/>
      <c r="I8815" s="478"/>
      <c r="J8815" s="96"/>
      <c r="K8815" s="96"/>
      <c r="L8815" s="107"/>
      <c r="M8815" s="107"/>
      <c r="N8815" s="107"/>
      <c r="O8815" s="107"/>
      <c r="P8815" s="109"/>
      <c r="Q8815" s="107"/>
      <c r="R8815" s="107"/>
      <c r="S8815" s="107"/>
      <c r="T8815" s="479"/>
      <c r="U8815" s="296"/>
      <c r="V8815" s="50"/>
      <c r="W8815" s="49"/>
      <c r="X8815" s="49"/>
      <c r="Y8815" s="35"/>
      <c r="Z8815" s="35"/>
      <c r="AA8815" s="35"/>
      <c r="AB8815" s="35"/>
      <c r="AC8815" s="35"/>
      <c r="AD8815" s="35"/>
      <c r="AE8815" s="35"/>
      <c r="AF8815" s="35"/>
      <c r="AG8815" s="35"/>
      <c r="AH8815" s="35"/>
      <c r="AI8815" s="35"/>
      <c r="AJ8815" s="35"/>
      <c r="AK8815" s="35"/>
      <c r="AL8815" s="35"/>
    </row>
    <row r="8816">
      <c r="A8816" s="457"/>
      <c r="B8816" s="475"/>
      <c r="C8816" s="476"/>
      <c r="D8816" s="477"/>
      <c r="E8816" s="96"/>
      <c r="F8816" s="96"/>
      <c r="G8816" s="325"/>
      <c r="H8816" s="96"/>
      <c r="I8816" s="478"/>
      <c r="J8816" s="96"/>
      <c r="K8816" s="96"/>
      <c r="L8816" s="107"/>
      <c r="M8816" s="107"/>
      <c r="N8816" s="107"/>
      <c r="O8816" s="107"/>
      <c r="P8816" s="109"/>
      <c r="Q8816" s="107"/>
      <c r="R8816" s="107"/>
      <c r="S8816" s="107"/>
      <c r="T8816" s="479"/>
      <c r="U8816" s="296"/>
      <c r="V8816" s="50"/>
      <c r="W8816" s="49"/>
      <c r="X8816" s="49"/>
      <c r="Y8816" s="35"/>
      <c r="Z8816" s="35"/>
      <c r="AA8816" s="35"/>
      <c r="AB8816" s="35"/>
      <c r="AC8816" s="35"/>
      <c r="AD8816" s="35"/>
      <c r="AE8816" s="35"/>
      <c r="AF8816" s="35"/>
      <c r="AG8816" s="35"/>
      <c r="AH8816" s="35"/>
      <c r="AI8816" s="35"/>
      <c r="AJ8816" s="35"/>
      <c r="AK8816" s="35"/>
      <c r="AL8816" s="35"/>
    </row>
    <row r="8817">
      <c r="A8817" s="457"/>
      <c r="B8817" s="475"/>
      <c r="C8817" s="476"/>
      <c r="D8817" s="477"/>
      <c r="E8817" s="96"/>
      <c r="F8817" s="96"/>
      <c r="G8817" s="325"/>
      <c r="H8817" s="96"/>
      <c r="I8817" s="478"/>
      <c r="J8817" s="96"/>
      <c r="K8817" s="96"/>
      <c r="L8817" s="107"/>
      <c r="M8817" s="107"/>
      <c r="N8817" s="107"/>
      <c r="O8817" s="107"/>
      <c r="P8817" s="109"/>
      <c r="Q8817" s="107"/>
      <c r="R8817" s="107"/>
      <c r="S8817" s="107"/>
      <c r="T8817" s="479"/>
      <c r="U8817" s="296"/>
      <c r="V8817" s="50"/>
      <c r="W8817" s="49"/>
      <c r="X8817" s="49"/>
      <c r="Y8817" s="35"/>
      <c r="Z8817" s="35"/>
      <c r="AA8817" s="35"/>
      <c r="AB8817" s="35"/>
      <c r="AC8817" s="35"/>
      <c r="AD8817" s="35"/>
      <c r="AE8817" s="35"/>
      <c r="AF8817" s="35"/>
      <c r="AG8817" s="35"/>
      <c r="AH8817" s="35"/>
      <c r="AI8817" s="35"/>
      <c r="AJ8817" s="35"/>
      <c r="AK8817" s="35"/>
      <c r="AL8817" s="35"/>
    </row>
    <row r="8818">
      <c r="A8818" s="457"/>
      <c r="B8818" s="475"/>
      <c r="C8818" s="476"/>
      <c r="D8818" s="477"/>
      <c r="E8818" s="96"/>
      <c r="F8818" s="96"/>
      <c r="G8818" s="325"/>
      <c r="H8818" s="96"/>
      <c r="I8818" s="478"/>
      <c r="J8818" s="96"/>
      <c r="K8818" s="96"/>
      <c r="L8818" s="107"/>
      <c r="M8818" s="107"/>
      <c r="N8818" s="107"/>
      <c r="O8818" s="107"/>
      <c r="P8818" s="109"/>
      <c r="Q8818" s="107"/>
      <c r="R8818" s="107"/>
      <c r="S8818" s="107"/>
      <c r="T8818" s="479"/>
      <c r="U8818" s="296"/>
      <c r="V8818" s="50"/>
      <c r="W8818" s="49"/>
      <c r="X8818" s="49"/>
      <c r="Y8818" s="35"/>
      <c r="Z8818" s="35"/>
      <c r="AA8818" s="35"/>
      <c r="AB8818" s="35"/>
      <c r="AC8818" s="35"/>
      <c r="AD8818" s="35"/>
      <c r="AE8818" s="35"/>
      <c r="AF8818" s="35"/>
      <c r="AG8818" s="35"/>
      <c r="AH8818" s="35"/>
      <c r="AI8818" s="35"/>
      <c r="AJ8818" s="35"/>
      <c r="AK8818" s="35"/>
      <c r="AL8818" s="35"/>
    </row>
    <row r="8819">
      <c r="A8819" s="457"/>
      <c r="B8819" s="475"/>
      <c r="C8819" s="476"/>
      <c r="D8819" s="477"/>
      <c r="E8819" s="96"/>
      <c r="F8819" s="96"/>
      <c r="G8819" s="325"/>
      <c r="H8819" s="96"/>
      <c r="I8819" s="478"/>
      <c r="J8819" s="96"/>
      <c r="K8819" s="96"/>
      <c r="L8819" s="107"/>
      <c r="M8819" s="107"/>
      <c r="N8819" s="107"/>
      <c r="O8819" s="107"/>
      <c r="P8819" s="109"/>
      <c r="Q8819" s="107"/>
      <c r="R8819" s="107"/>
      <c r="S8819" s="107"/>
      <c r="T8819" s="479"/>
      <c r="U8819" s="296"/>
      <c r="V8819" s="50"/>
      <c r="W8819" s="49"/>
      <c r="X8819" s="49"/>
      <c r="Y8819" s="35"/>
      <c r="Z8819" s="35"/>
      <c r="AA8819" s="35"/>
      <c r="AB8819" s="35"/>
      <c r="AC8819" s="35"/>
      <c r="AD8819" s="35"/>
      <c r="AE8819" s="35"/>
      <c r="AF8819" s="35"/>
      <c r="AG8819" s="35"/>
      <c r="AH8819" s="35"/>
      <c r="AI8819" s="35"/>
      <c r="AJ8819" s="35"/>
      <c r="AK8819" s="35"/>
      <c r="AL8819" s="35"/>
    </row>
    <row r="8820">
      <c r="A8820" s="457"/>
      <c r="B8820" s="475"/>
      <c r="C8820" s="476"/>
      <c r="D8820" s="477"/>
      <c r="E8820" s="96"/>
      <c r="F8820" s="96"/>
      <c r="G8820" s="325"/>
      <c r="H8820" s="96"/>
      <c r="I8820" s="478"/>
      <c r="J8820" s="96"/>
      <c r="K8820" s="96"/>
      <c r="L8820" s="107"/>
      <c r="M8820" s="107"/>
      <c r="N8820" s="107"/>
      <c r="O8820" s="107"/>
      <c r="P8820" s="109"/>
      <c r="Q8820" s="107"/>
      <c r="R8820" s="107"/>
      <c r="S8820" s="107"/>
      <c r="T8820" s="479"/>
      <c r="U8820" s="296"/>
      <c r="V8820" s="50"/>
      <c r="W8820" s="49"/>
      <c r="X8820" s="49"/>
      <c r="Y8820" s="35"/>
      <c r="Z8820" s="35"/>
      <c r="AA8820" s="35"/>
      <c r="AB8820" s="35"/>
      <c r="AC8820" s="35"/>
      <c r="AD8820" s="35"/>
      <c r="AE8820" s="35"/>
      <c r="AF8820" s="35"/>
      <c r="AG8820" s="35"/>
      <c r="AH8820" s="35"/>
      <c r="AI8820" s="35"/>
      <c r="AJ8820" s="35"/>
      <c r="AK8820" s="35"/>
      <c r="AL8820" s="35"/>
    </row>
    <row r="8821">
      <c r="A8821" s="457"/>
      <c r="B8821" s="475"/>
      <c r="C8821" s="476"/>
      <c r="D8821" s="477"/>
      <c r="E8821" s="96"/>
      <c r="F8821" s="96"/>
      <c r="G8821" s="325"/>
      <c r="H8821" s="96"/>
      <c r="I8821" s="478"/>
      <c r="J8821" s="96"/>
      <c r="K8821" s="96"/>
      <c r="L8821" s="107"/>
      <c r="M8821" s="107"/>
      <c r="N8821" s="107"/>
      <c r="O8821" s="107"/>
      <c r="P8821" s="109"/>
      <c r="Q8821" s="107"/>
      <c r="R8821" s="107"/>
      <c r="S8821" s="107"/>
      <c r="T8821" s="479"/>
      <c r="U8821" s="296"/>
      <c r="V8821" s="50"/>
      <c r="W8821" s="49"/>
      <c r="X8821" s="49"/>
      <c r="Y8821" s="35"/>
      <c r="Z8821" s="35"/>
      <c r="AA8821" s="35"/>
      <c r="AB8821" s="35"/>
      <c r="AC8821" s="35"/>
      <c r="AD8821" s="35"/>
      <c r="AE8821" s="35"/>
      <c r="AF8821" s="35"/>
      <c r="AG8821" s="35"/>
      <c r="AH8821" s="35"/>
      <c r="AI8821" s="35"/>
      <c r="AJ8821" s="35"/>
      <c r="AK8821" s="35"/>
      <c r="AL8821" s="35"/>
    </row>
    <row r="8822">
      <c r="A8822" s="457"/>
      <c r="B8822" s="475"/>
      <c r="C8822" s="476"/>
      <c r="D8822" s="477"/>
      <c r="E8822" s="96"/>
      <c r="F8822" s="96"/>
      <c r="G8822" s="325"/>
      <c r="H8822" s="96"/>
      <c r="I8822" s="478"/>
      <c r="J8822" s="96"/>
      <c r="K8822" s="96"/>
      <c r="L8822" s="107"/>
      <c r="M8822" s="107"/>
      <c r="N8822" s="107"/>
      <c r="O8822" s="107"/>
      <c r="P8822" s="109"/>
      <c r="Q8822" s="107"/>
      <c r="R8822" s="107"/>
      <c r="S8822" s="107"/>
      <c r="T8822" s="479"/>
      <c r="U8822" s="296"/>
      <c r="V8822" s="50"/>
      <c r="W8822" s="49"/>
      <c r="X8822" s="49"/>
      <c r="Y8822" s="35"/>
      <c r="Z8822" s="35"/>
      <c r="AA8822" s="35"/>
      <c r="AB8822" s="35"/>
      <c r="AC8822" s="35"/>
      <c r="AD8822" s="35"/>
      <c r="AE8822" s="35"/>
      <c r="AF8822" s="35"/>
      <c r="AG8822" s="35"/>
      <c r="AH8822" s="35"/>
      <c r="AI8822" s="35"/>
      <c r="AJ8822" s="35"/>
      <c r="AK8822" s="35"/>
      <c r="AL8822" s="35"/>
    </row>
    <row r="8823">
      <c r="A8823" s="457"/>
      <c r="B8823" s="475"/>
      <c r="C8823" s="476"/>
      <c r="D8823" s="477"/>
      <c r="E8823" s="96"/>
      <c r="F8823" s="96"/>
      <c r="G8823" s="325"/>
      <c r="H8823" s="96"/>
      <c r="I8823" s="478"/>
      <c r="J8823" s="96"/>
      <c r="K8823" s="96"/>
      <c r="L8823" s="107"/>
      <c r="M8823" s="107"/>
      <c r="N8823" s="107"/>
      <c r="O8823" s="107"/>
      <c r="P8823" s="109"/>
      <c r="Q8823" s="107"/>
      <c r="R8823" s="107"/>
      <c r="S8823" s="107"/>
      <c r="T8823" s="479"/>
      <c r="U8823" s="296"/>
      <c r="V8823" s="50"/>
      <c r="W8823" s="49"/>
      <c r="X8823" s="49"/>
      <c r="Y8823" s="35"/>
      <c r="Z8823" s="35"/>
      <c r="AA8823" s="35"/>
      <c r="AB8823" s="35"/>
      <c r="AC8823" s="35"/>
      <c r="AD8823" s="35"/>
      <c r="AE8823" s="35"/>
      <c r="AF8823" s="35"/>
      <c r="AG8823" s="35"/>
      <c r="AH8823" s="35"/>
      <c r="AI8823" s="35"/>
      <c r="AJ8823" s="35"/>
      <c r="AK8823" s="35"/>
      <c r="AL8823" s="35"/>
    </row>
    <row r="8824">
      <c r="A8824" s="457"/>
      <c r="B8824" s="475"/>
      <c r="C8824" s="476"/>
      <c r="D8824" s="477"/>
      <c r="E8824" s="96"/>
      <c r="F8824" s="96"/>
      <c r="G8824" s="325"/>
      <c r="H8824" s="96"/>
      <c r="I8824" s="478"/>
      <c r="J8824" s="96"/>
      <c r="K8824" s="96"/>
      <c r="L8824" s="107"/>
      <c r="M8824" s="107"/>
      <c r="N8824" s="107"/>
      <c r="O8824" s="107"/>
      <c r="P8824" s="109"/>
      <c r="Q8824" s="107"/>
      <c r="R8824" s="107"/>
      <c r="S8824" s="107"/>
      <c r="T8824" s="479"/>
      <c r="U8824" s="296"/>
      <c r="V8824" s="50"/>
      <c r="W8824" s="49"/>
      <c r="X8824" s="49"/>
      <c r="Y8824" s="35"/>
      <c r="Z8824" s="35"/>
      <c r="AA8824" s="35"/>
      <c r="AB8824" s="35"/>
      <c r="AC8824" s="35"/>
      <c r="AD8824" s="35"/>
      <c r="AE8824" s="35"/>
      <c r="AF8824" s="35"/>
      <c r="AG8824" s="35"/>
      <c r="AH8824" s="35"/>
      <c r="AI8824" s="35"/>
      <c r="AJ8824" s="35"/>
      <c r="AK8824" s="35"/>
      <c r="AL8824" s="35"/>
    </row>
    <row r="8825">
      <c r="A8825" s="457"/>
      <c r="B8825" s="475"/>
      <c r="C8825" s="476"/>
      <c r="D8825" s="477"/>
      <c r="E8825" s="96"/>
      <c r="F8825" s="96"/>
      <c r="G8825" s="325"/>
      <c r="H8825" s="96"/>
      <c r="I8825" s="478"/>
      <c r="J8825" s="96"/>
      <c r="K8825" s="96"/>
      <c r="L8825" s="107"/>
      <c r="M8825" s="107"/>
      <c r="N8825" s="107"/>
      <c r="O8825" s="107"/>
      <c r="P8825" s="109"/>
      <c r="Q8825" s="107"/>
      <c r="R8825" s="107"/>
      <c r="S8825" s="107"/>
      <c r="T8825" s="479"/>
      <c r="U8825" s="296"/>
      <c r="V8825" s="50"/>
      <c r="W8825" s="49"/>
      <c r="X8825" s="49"/>
      <c r="Y8825" s="35"/>
      <c r="Z8825" s="35"/>
      <c r="AA8825" s="35"/>
      <c r="AB8825" s="35"/>
      <c r="AC8825" s="35"/>
      <c r="AD8825" s="35"/>
      <c r="AE8825" s="35"/>
      <c r="AF8825" s="35"/>
      <c r="AG8825" s="35"/>
      <c r="AH8825" s="35"/>
      <c r="AI8825" s="35"/>
      <c r="AJ8825" s="35"/>
      <c r="AK8825" s="35"/>
      <c r="AL8825" s="35"/>
    </row>
    <row r="8826">
      <c r="A8826" s="457"/>
      <c r="B8826" s="475"/>
      <c r="C8826" s="476"/>
      <c r="D8826" s="477"/>
      <c r="E8826" s="96"/>
      <c r="F8826" s="96"/>
      <c r="G8826" s="325"/>
      <c r="H8826" s="96"/>
      <c r="I8826" s="478"/>
      <c r="J8826" s="96"/>
      <c r="K8826" s="96"/>
      <c r="L8826" s="107"/>
      <c r="M8826" s="107"/>
      <c r="N8826" s="107"/>
      <c r="O8826" s="107"/>
      <c r="P8826" s="109"/>
      <c r="Q8826" s="107"/>
      <c r="R8826" s="107"/>
      <c r="S8826" s="107"/>
      <c r="T8826" s="479"/>
      <c r="U8826" s="296"/>
      <c r="V8826" s="50"/>
      <c r="W8826" s="49"/>
      <c r="X8826" s="49"/>
      <c r="Y8826" s="35"/>
      <c r="Z8826" s="35"/>
      <c r="AA8826" s="35"/>
      <c r="AB8826" s="35"/>
      <c r="AC8826" s="35"/>
      <c r="AD8826" s="35"/>
      <c r="AE8826" s="35"/>
      <c r="AF8826" s="35"/>
      <c r="AG8826" s="35"/>
      <c r="AH8826" s="35"/>
      <c r="AI8826" s="35"/>
      <c r="AJ8826" s="35"/>
      <c r="AK8826" s="35"/>
      <c r="AL8826" s="35"/>
    </row>
    <row r="8827">
      <c r="A8827" s="457"/>
      <c r="B8827" s="475"/>
      <c r="C8827" s="476"/>
      <c r="D8827" s="477"/>
      <c r="E8827" s="96"/>
      <c r="F8827" s="96"/>
      <c r="G8827" s="325"/>
      <c r="H8827" s="96"/>
      <c r="I8827" s="478"/>
      <c r="J8827" s="96"/>
      <c r="K8827" s="96"/>
      <c r="L8827" s="107"/>
      <c r="M8827" s="107"/>
      <c r="N8827" s="107"/>
      <c r="O8827" s="107"/>
      <c r="P8827" s="109"/>
      <c r="Q8827" s="107"/>
      <c r="R8827" s="107"/>
      <c r="S8827" s="107"/>
      <c r="T8827" s="479"/>
      <c r="U8827" s="296"/>
      <c r="V8827" s="50"/>
      <c r="W8827" s="49"/>
      <c r="X8827" s="49"/>
      <c r="Y8827" s="35"/>
      <c r="Z8827" s="35"/>
      <c r="AA8827" s="35"/>
      <c r="AB8827" s="35"/>
      <c r="AC8827" s="35"/>
      <c r="AD8827" s="35"/>
      <c r="AE8827" s="35"/>
      <c r="AF8827" s="35"/>
      <c r="AG8827" s="35"/>
      <c r="AH8827" s="35"/>
      <c r="AI8827" s="35"/>
      <c r="AJ8827" s="35"/>
      <c r="AK8827" s="35"/>
      <c r="AL8827" s="35"/>
    </row>
    <row r="8828">
      <c r="A8828" s="457"/>
      <c r="B8828" s="475"/>
      <c r="C8828" s="476"/>
      <c r="D8828" s="477"/>
      <c r="E8828" s="96"/>
      <c r="F8828" s="96"/>
      <c r="G8828" s="325"/>
      <c r="H8828" s="96"/>
      <c r="I8828" s="478"/>
      <c r="J8828" s="96"/>
      <c r="K8828" s="96"/>
      <c r="L8828" s="107"/>
      <c r="M8828" s="107"/>
      <c r="N8828" s="107"/>
      <c r="O8828" s="107"/>
      <c r="P8828" s="109"/>
      <c r="Q8828" s="107"/>
      <c r="R8828" s="107"/>
      <c r="S8828" s="107"/>
      <c r="T8828" s="479"/>
      <c r="U8828" s="296"/>
      <c r="V8828" s="50"/>
      <c r="W8828" s="49"/>
      <c r="X8828" s="49"/>
      <c r="Y8828" s="35"/>
      <c r="Z8828" s="35"/>
      <c r="AA8828" s="35"/>
      <c r="AB8828" s="35"/>
      <c r="AC8828" s="35"/>
      <c r="AD8828" s="35"/>
      <c r="AE8828" s="35"/>
      <c r="AF8828" s="35"/>
      <c r="AG8828" s="35"/>
      <c r="AH8828" s="35"/>
      <c r="AI8828" s="35"/>
      <c r="AJ8828" s="35"/>
      <c r="AK8828" s="35"/>
      <c r="AL8828" s="35"/>
    </row>
    <row r="8829">
      <c r="A8829" s="457"/>
      <c r="B8829" s="475"/>
      <c r="C8829" s="476"/>
      <c r="D8829" s="477"/>
      <c r="E8829" s="96"/>
      <c r="F8829" s="96"/>
      <c r="G8829" s="325"/>
      <c r="H8829" s="96"/>
      <c r="I8829" s="478"/>
      <c r="J8829" s="96"/>
      <c r="K8829" s="96"/>
      <c r="L8829" s="107"/>
      <c r="M8829" s="107"/>
      <c r="N8829" s="107"/>
      <c r="O8829" s="107"/>
      <c r="P8829" s="109"/>
      <c r="Q8829" s="107"/>
      <c r="R8829" s="107"/>
      <c r="S8829" s="107"/>
      <c r="T8829" s="479"/>
      <c r="U8829" s="296"/>
      <c r="V8829" s="50"/>
      <c r="W8829" s="49"/>
      <c r="X8829" s="49"/>
      <c r="Y8829" s="35"/>
      <c r="Z8829" s="35"/>
      <c r="AA8829" s="35"/>
      <c r="AB8829" s="35"/>
      <c r="AC8829" s="35"/>
      <c r="AD8829" s="35"/>
      <c r="AE8829" s="35"/>
      <c r="AF8829" s="35"/>
      <c r="AG8829" s="35"/>
      <c r="AH8829" s="35"/>
      <c r="AI8829" s="35"/>
      <c r="AJ8829" s="35"/>
      <c r="AK8829" s="35"/>
      <c r="AL8829" s="35"/>
    </row>
    <row r="8830">
      <c r="A8830" s="457"/>
      <c r="B8830" s="475"/>
      <c r="C8830" s="476"/>
      <c r="D8830" s="477"/>
      <c r="E8830" s="96"/>
      <c r="F8830" s="96"/>
      <c r="G8830" s="325"/>
      <c r="H8830" s="96"/>
      <c r="I8830" s="478"/>
      <c r="J8830" s="96"/>
      <c r="K8830" s="96"/>
      <c r="L8830" s="107"/>
      <c r="M8830" s="107"/>
      <c r="N8830" s="107"/>
      <c r="O8830" s="107"/>
      <c r="P8830" s="109"/>
      <c r="Q8830" s="107"/>
      <c r="R8830" s="107"/>
      <c r="S8830" s="107"/>
      <c r="T8830" s="479"/>
      <c r="U8830" s="296"/>
      <c r="V8830" s="50"/>
      <c r="W8830" s="49"/>
      <c r="X8830" s="49"/>
      <c r="Y8830" s="35"/>
      <c r="Z8830" s="35"/>
      <c r="AA8830" s="35"/>
      <c r="AB8830" s="35"/>
      <c r="AC8830" s="35"/>
      <c r="AD8830" s="35"/>
      <c r="AE8830" s="35"/>
      <c r="AF8830" s="35"/>
      <c r="AG8830" s="35"/>
      <c r="AH8830" s="35"/>
      <c r="AI8830" s="35"/>
      <c r="AJ8830" s="35"/>
      <c r="AK8830" s="35"/>
      <c r="AL8830" s="35"/>
    </row>
    <row r="8831">
      <c r="A8831" s="457"/>
      <c r="B8831" s="475"/>
      <c r="C8831" s="476"/>
      <c r="D8831" s="477"/>
      <c r="E8831" s="96"/>
      <c r="F8831" s="96"/>
      <c r="G8831" s="325"/>
      <c r="H8831" s="96"/>
      <c r="I8831" s="478"/>
      <c r="J8831" s="96"/>
      <c r="K8831" s="96"/>
      <c r="L8831" s="107"/>
      <c r="M8831" s="107"/>
      <c r="N8831" s="107"/>
      <c r="O8831" s="107"/>
      <c r="P8831" s="109"/>
      <c r="Q8831" s="107"/>
      <c r="R8831" s="107"/>
      <c r="S8831" s="107"/>
      <c r="T8831" s="479"/>
      <c r="U8831" s="296"/>
      <c r="V8831" s="50"/>
      <c r="W8831" s="49"/>
      <c r="X8831" s="49"/>
      <c r="Y8831" s="35"/>
      <c r="Z8831" s="35"/>
      <c r="AA8831" s="35"/>
      <c r="AB8831" s="35"/>
      <c r="AC8831" s="35"/>
      <c r="AD8831" s="35"/>
      <c r="AE8831" s="35"/>
      <c r="AF8831" s="35"/>
      <c r="AG8831" s="35"/>
      <c r="AH8831" s="35"/>
      <c r="AI8831" s="35"/>
      <c r="AJ8831" s="35"/>
      <c r="AK8831" s="35"/>
      <c r="AL8831" s="35"/>
    </row>
    <row r="8832">
      <c r="A8832" s="457"/>
      <c r="B8832" s="475"/>
      <c r="C8832" s="476"/>
      <c r="D8832" s="477"/>
      <c r="E8832" s="96"/>
      <c r="F8832" s="96"/>
      <c r="G8832" s="325"/>
      <c r="H8832" s="96"/>
      <c r="I8832" s="478"/>
      <c r="J8832" s="96"/>
      <c r="K8832" s="96"/>
      <c r="L8832" s="107"/>
      <c r="M8832" s="107"/>
      <c r="N8832" s="107"/>
      <c r="O8832" s="107"/>
      <c r="P8832" s="109"/>
      <c r="Q8832" s="107"/>
      <c r="R8832" s="107"/>
      <c r="S8832" s="107"/>
      <c r="T8832" s="479"/>
      <c r="U8832" s="296"/>
      <c r="V8832" s="50"/>
      <c r="W8832" s="49"/>
      <c r="X8832" s="49"/>
      <c r="Y8832" s="35"/>
      <c r="Z8832" s="35"/>
      <c r="AA8832" s="35"/>
      <c r="AB8832" s="35"/>
      <c r="AC8832" s="35"/>
      <c r="AD8832" s="35"/>
      <c r="AE8832" s="35"/>
      <c r="AF8832" s="35"/>
      <c r="AG8832" s="35"/>
      <c r="AH8832" s="35"/>
      <c r="AI8832" s="35"/>
      <c r="AJ8832" s="35"/>
      <c r="AK8832" s="35"/>
      <c r="AL8832" s="35"/>
    </row>
    <row r="8833">
      <c r="A8833" s="457"/>
      <c r="B8833" s="475"/>
      <c r="C8833" s="476"/>
      <c r="D8833" s="477"/>
      <c r="E8833" s="96"/>
      <c r="F8833" s="96"/>
      <c r="G8833" s="325"/>
      <c r="H8833" s="96"/>
      <c r="I8833" s="478"/>
      <c r="J8833" s="96"/>
      <c r="K8833" s="96"/>
      <c r="L8833" s="107"/>
      <c r="M8833" s="107"/>
      <c r="N8833" s="107"/>
      <c r="O8833" s="107"/>
      <c r="P8833" s="109"/>
      <c r="Q8833" s="107"/>
      <c r="R8833" s="107"/>
      <c r="S8833" s="107"/>
      <c r="T8833" s="479"/>
      <c r="U8833" s="296"/>
      <c r="V8833" s="50"/>
      <c r="W8833" s="49"/>
      <c r="X8833" s="49"/>
      <c r="Y8833" s="35"/>
      <c r="Z8833" s="35"/>
      <c r="AA8833" s="35"/>
      <c r="AB8833" s="35"/>
      <c r="AC8833" s="35"/>
      <c r="AD8833" s="35"/>
      <c r="AE8833" s="35"/>
      <c r="AF8833" s="35"/>
      <c r="AG8833" s="35"/>
      <c r="AH8833" s="35"/>
      <c r="AI8833" s="35"/>
      <c r="AJ8833" s="35"/>
      <c r="AK8833" s="35"/>
      <c r="AL8833" s="35"/>
    </row>
    <row r="8834">
      <c r="A8834" s="457"/>
      <c r="B8834" s="475"/>
      <c r="C8834" s="476"/>
      <c r="D8834" s="477"/>
      <c r="E8834" s="96"/>
      <c r="F8834" s="96"/>
      <c r="G8834" s="325"/>
      <c r="H8834" s="96"/>
      <c r="I8834" s="478"/>
      <c r="J8834" s="96"/>
      <c r="K8834" s="96"/>
      <c r="L8834" s="107"/>
      <c r="M8834" s="107"/>
      <c r="N8834" s="107"/>
      <c r="O8834" s="107"/>
      <c r="P8834" s="109"/>
      <c r="Q8834" s="107"/>
      <c r="R8834" s="107"/>
      <c r="S8834" s="107"/>
      <c r="T8834" s="479"/>
      <c r="U8834" s="296"/>
      <c r="V8834" s="50"/>
      <c r="W8834" s="49"/>
      <c r="X8834" s="49"/>
      <c r="Y8834" s="35"/>
      <c r="Z8834" s="35"/>
      <c r="AA8834" s="35"/>
      <c r="AB8834" s="35"/>
      <c r="AC8834" s="35"/>
      <c r="AD8834" s="35"/>
      <c r="AE8834" s="35"/>
      <c r="AF8834" s="35"/>
      <c r="AG8834" s="35"/>
      <c r="AH8834" s="35"/>
      <c r="AI8834" s="35"/>
      <c r="AJ8834" s="35"/>
      <c r="AK8834" s="35"/>
      <c r="AL8834" s="35"/>
    </row>
    <row r="8835">
      <c r="A8835" s="457"/>
      <c r="B8835" s="475"/>
      <c r="C8835" s="476"/>
      <c r="D8835" s="477"/>
      <c r="E8835" s="96"/>
      <c r="F8835" s="96"/>
      <c r="G8835" s="325"/>
      <c r="H8835" s="96"/>
      <c r="I8835" s="478"/>
      <c r="J8835" s="96"/>
      <c r="K8835" s="96"/>
      <c r="L8835" s="107"/>
      <c r="M8835" s="107"/>
      <c r="N8835" s="107"/>
      <c r="O8835" s="107"/>
      <c r="P8835" s="109"/>
      <c r="Q8835" s="107"/>
      <c r="R8835" s="107"/>
      <c r="S8835" s="107"/>
      <c r="T8835" s="479"/>
      <c r="U8835" s="296"/>
      <c r="V8835" s="50"/>
      <c r="W8835" s="49"/>
      <c r="X8835" s="49"/>
      <c r="Y8835" s="35"/>
      <c r="Z8835" s="35"/>
      <c r="AA8835" s="35"/>
      <c r="AB8835" s="35"/>
      <c r="AC8835" s="35"/>
      <c r="AD8835" s="35"/>
      <c r="AE8835" s="35"/>
      <c r="AF8835" s="35"/>
      <c r="AG8835" s="35"/>
      <c r="AH8835" s="35"/>
      <c r="AI8835" s="35"/>
      <c r="AJ8835" s="35"/>
      <c r="AK8835" s="35"/>
      <c r="AL8835" s="35"/>
    </row>
    <row r="8836">
      <c r="A8836" s="457"/>
      <c r="B8836" s="475"/>
      <c r="C8836" s="476"/>
      <c r="D8836" s="477"/>
      <c r="E8836" s="96"/>
      <c r="F8836" s="96"/>
      <c r="G8836" s="325"/>
      <c r="H8836" s="96"/>
      <c r="I8836" s="478"/>
      <c r="J8836" s="96"/>
      <c r="K8836" s="96"/>
      <c r="L8836" s="107"/>
      <c r="M8836" s="107"/>
      <c r="N8836" s="107"/>
      <c r="O8836" s="107"/>
      <c r="P8836" s="109"/>
      <c r="Q8836" s="107"/>
      <c r="R8836" s="107"/>
      <c r="S8836" s="107"/>
      <c r="T8836" s="479"/>
      <c r="U8836" s="296"/>
      <c r="V8836" s="50"/>
      <c r="W8836" s="49"/>
      <c r="X8836" s="49"/>
      <c r="Y8836" s="35"/>
      <c r="Z8836" s="35"/>
      <c r="AA8836" s="35"/>
      <c r="AB8836" s="35"/>
      <c r="AC8836" s="35"/>
      <c r="AD8836" s="35"/>
      <c r="AE8836" s="35"/>
      <c r="AF8836" s="35"/>
      <c r="AG8836" s="35"/>
      <c r="AH8836" s="35"/>
      <c r="AI8836" s="35"/>
      <c r="AJ8836" s="35"/>
      <c r="AK8836" s="35"/>
      <c r="AL8836" s="35"/>
    </row>
    <row r="8837">
      <c r="A8837" s="457"/>
      <c r="B8837" s="475"/>
      <c r="C8837" s="476"/>
      <c r="D8837" s="477"/>
      <c r="E8837" s="96"/>
      <c r="F8837" s="96"/>
      <c r="G8837" s="325"/>
      <c r="H8837" s="96"/>
      <c r="I8837" s="478"/>
      <c r="J8837" s="96"/>
      <c r="K8837" s="96"/>
      <c r="L8837" s="107"/>
      <c r="M8837" s="107"/>
      <c r="N8837" s="107"/>
      <c r="O8837" s="107"/>
      <c r="P8837" s="109"/>
      <c r="Q8837" s="107"/>
      <c r="R8837" s="107"/>
      <c r="S8837" s="107"/>
      <c r="T8837" s="479"/>
      <c r="U8837" s="296"/>
      <c r="V8837" s="50"/>
      <c r="W8837" s="49"/>
      <c r="X8837" s="49"/>
      <c r="Y8837" s="35"/>
      <c r="Z8837" s="35"/>
      <c r="AA8837" s="35"/>
      <c r="AB8837" s="35"/>
      <c r="AC8837" s="35"/>
      <c r="AD8837" s="35"/>
      <c r="AE8837" s="35"/>
      <c r="AF8837" s="35"/>
      <c r="AG8837" s="35"/>
      <c r="AH8837" s="35"/>
      <c r="AI8837" s="35"/>
      <c r="AJ8837" s="35"/>
      <c r="AK8837" s="35"/>
      <c r="AL8837" s="35"/>
    </row>
    <row r="8838">
      <c r="A8838" s="457"/>
      <c r="B8838" s="475"/>
      <c r="C8838" s="476"/>
      <c r="D8838" s="477"/>
      <c r="E8838" s="96"/>
      <c r="F8838" s="96"/>
      <c r="G8838" s="325"/>
      <c r="H8838" s="96"/>
      <c r="I8838" s="478"/>
      <c r="J8838" s="96"/>
      <c r="K8838" s="96"/>
      <c r="L8838" s="107"/>
      <c r="M8838" s="107"/>
      <c r="N8838" s="107"/>
      <c r="O8838" s="107"/>
      <c r="P8838" s="109"/>
      <c r="Q8838" s="107"/>
      <c r="R8838" s="107"/>
      <c r="S8838" s="107"/>
      <c r="T8838" s="479"/>
      <c r="U8838" s="296"/>
      <c r="V8838" s="50"/>
      <c r="W8838" s="49"/>
      <c r="X8838" s="49"/>
      <c r="Y8838" s="35"/>
      <c r="Z8838" s="35"/>
      <c r="AA8838" s="35"/>
      <c r="AB8838" s="35"/>
      <c r="AC8838" s="35"/>
      <c r="AD8838" s="35"/>
      <c r="AE8838" s="35"/>
      <c r="AF8838" s="35"/>
      <c r="AG8838" s="35"/>
      <c r="AH8838" s="35"/>
      <c r="AI8838" s="35"/>
      <c r="AJ8838" s="35"/>
      <c r="AK8838" s="35"/>
      <c r="AL8838" s="35"/>
    </row>
    <row r="8839">
      <c r="A8839" s="457"/>
      <c r="B8839" s="475"/>
      <c r="C8839" s="476"/>
      <c r="D8839" s="477"/>
      <c r="E8839" s="96"/>
      <c r="F8839" s="96"/>
      <c r="G8839" s="325"/>
      <c r="H8839" s="96"/>
      <c r="I8839" s="478"/>
      <c r="J8839" s="96"/>
      <c r="K8839" s="96"/>
      <c r="L8839" s="107"/>
      <c r="M8839" s="107"/>
      <c r="N8839" s="107"/>
      <c r="O8839" s="107"/>
      <c r="P8839" s="109"/>
      <c r="Q8839" s="107"/>
      <c r="R8839" s="107"/>
      <c r="S8839" s="107"/>
      <c r="T8839" s="479"/>
      <c r="U8839" s="296"/>
      <c r="V8839" s="50"/>
      <c r="W8839" s="49"/>
      <c r="X8839" s="49"/>
      <c r="Y8839" s="35"/>
      <c r="Z8839" s="35"/>
      <c r="AA8839" s="35"/>
      <c r="AB8839" s="35"/>
      <c r="AC8839" s="35"/>
      <c r="AD8839" s="35"/>
      <c r="AE8839" s="35"/>
      <c r="AF8839" s="35"/>
      <c r="AG8839" s="35"/>
      <c r="AH8839" s="35"/>
      <c r="AI8839" s="35"/>
      <c r="AJ8839" s="35"/>
      <c r="AK8839" s="35"/>
      <c r="AL8839" s="35"/>
    </row>
    <row r="8840">
      <c r="A8840" s="457"/>
      <c r="B8840" s="475"/>
      <c r="C8840" s="476"/>
      <c r="D8840" s="477"/>
      <c r="E8840" s="96"/>
      <c r="F8840" s="96"/>
      <c r="G8840" s="325"/>
      <c r="H8840" s="96"/>
      <c r="I8840" s="478"/>
      <c r="J8840" s="96"/>
      <c r="K8840" s="96"/>
      <c r="L8840" s="107"/>
      <c r="M8840" s="107"/>
      <c r="N8840" s="107"/>
      <c r="O8840" s="107"/>
      <c r="P8840" s="109"/>
      <c r="Q8840" s="107"/>
      <c r="R8840" s="107"/>
      <c r="S8840" s="107"/>
      <c r="T8840" s="479"/>
      <c r="U8840" s="296"/>
      <c r="V8840" s="50"/>
      <c r="W8840" s="49"/>
      <c r="X8840" s="49"/>
      <c r="Y8840" s="35"/>
      <c r="Z8840" s="35"/>
      <c r="AA8840" s="35"/>
      <c r="AB8840" s="35"/>
      <c r="AC8840" s="35"/>
      <c r="AD8840" s="35"/>
      <c r="AE8840" s="35"/>
      <c r="AF8840" s="35"/>
      <c r="AG8840" s="35"/>
      <c r="AH8840" s="35"/>
      <c r="AI8840" s="35"/>
      <c r="AJ8840" s="35"/>
      <c r="AK8840" s="35"/>
      <c r="AL8840" s="35"/>
    </row>
    <row r="8841">
      <c r="A8841" s="457"/>
      <c r="B8841" s="475"/>
      <c r="C8841" s="476"/>
      <c r="D8841" s="477"/>
      <c r="E8841" s="96"/>
      <c r="F8841" s="96"/>
      <c r="G8841" s="325"/>
      <c r="H8841" s="96"/>
      <c r="I8841" s="478"/>
      <c r="J8841" s="96"/>
      <c r="K8841" s="96"/>
      <c r="L8841" s="107"/>
      <c r="M8841" s="107"/>
      <c r="N8841" s="107"/>
      <c r="O8841" s="107"/>
      <c r="P8841" s="109"/>
      <c r="Q8841" s="107"/>
      <c r="R8841" s="107"/>
      <c r="S8841" s="107"/>
      <c r="T8841" s="479"/>
      <c r="U8841" s="296"/>
      <c r="V8841" s="50"/>
      <c r="W8841" s="49"/>
      <c r="X8841" s="49"/>
      <c r="Y8841" s="35"/>
      <c r="Z8841" s="35"/>
      <c r="AA8841" s="35"/>
      <c r="AB8841" s="35"/>
      <c r="AC8841" s="35"/>
      <c r="AD8841" s="35"/>
      <c r="AE8841" s="35"/>
      <c r="AF8841" s="35"/>
      <c r="AG8841" s="35"/>
      <c r="AH8841" s="35"/>
      <c r="AI8841" s="35"/>
      <c r="AJ8841" s="35"/>
      <c r="AK8841" s="35"/>
      <c r="AL8841" s="35"/>
    </row>
    <row r="8842">
      <c r="A8842" s="457"/>
      <c r="B8842" s="475"/>
      <c r="C8842" s="476"/>
      <c r="D8842" s="477"/>
      <c r="E8842" s="96"/>
      <c r="F8842" s="96"/>
      <c r="G8842" s="325"/>
      <c r="H8842" s="96"/>
      <c r="I8842" s="478"/>
      <c r="J8842" s="96"/>
      <c r="K8842" s="96"/>
      <c r="L8842" s="107"/>
      <c r="M8842" s="107"/>
      <c r="N8842" s="107"/>
      <c r="O8842" s="107"/>
      <c r="P8842" s="109"/>
      <c r="Q8842" s="107"/>
      <c r="R8842" s="107"/>
      <c r="S8842" s="107"/>
      <c r="T8842" s="479"/>
      <c r="U8842" s="296"/>
      <c r="V8842" s="50"/>
      <c r="W8842" s="49"/>
      <c r="X8842" s="49"/>
      <c r="Y8842" s="35"/>
      <c r="Z8842" s="35"/>
      <c r="AA8842" s="35"/>
      <c r="AB8842" s="35"/>
      <c r="AC8842" s="35"/>
      <c r="AD8842" s="35"/>
      <c r="AE8842" s="35"/>
      <c r="AF8842" s="35"/>
      <c r="AG8842" s="35"/>
      <c r="AH8842" s="35"/>
      <c r="AI8842" s="35"/>
      <c r="AJ8842" s="35"/>
      <c r="AK8842" s="35"/>
      <c r="AL8842" s="35"/>
    </row>
    <row r="8843">
      <c r="A8843" s="457"/>
      <c r="B8843" s="475"/>
      <c r="C8843" s="476"/>
      <c r="D8843" s="477"/>
      <c r="E8843" s="96"/>
      <c r="F8843" s="96"/>
      <c r="G8843" s="325"/>
      <c r="H8843" s="96"/>
      <c r="I8843" s="478"/>
      <c r="J8843" s="96"/>
      <c r="K8843" s="96"/>
      <c r="L8843" s="107"/>
      <c r="M8843" s="107"/>
      <c r="N8843" s="107"/>
      <c r="O8843" s="107"/>
      <c r="P8843" s="109"/>
      <c r="Q8843" s="107"/>
      <c r="R8843" s="107"/>
      <c r="S8843" s="107"/>
      <c r="T8843" s="479"/>
      <c r="U8843" s="296"/>
      <c r="V8843" s="50"/>
      <c r="W8843" s="49"/>
      <c r="X8843" s="49"/>
      <c r="Y8843" s="35"/>
      <c r="Z8843" s="35"/>
      <c r="AA8843" s="35"/>
      <c r="AB8843" s="35"/>
      <c r="AC8843" s="35"/>
      <c r="AD8843" s="35"/>
      <c r="AE8843" s="35"/>
      <c r="AF8843" s="35"/>
      <c r="AG8843" s="35"/>
      <c r="AH8843" s="35"/>
      <c r="AI8843" s="35"/>
      <c r="AJ8843" s="35"/>
      <c r="AK8843" s="35"/>
      <c r="AL8843" s="35"/>
    </row>
    <row r="8844">
      <c r="A8844" s="457"/>
      <c r="B8844" s="475"/>
      <c r="C8844" s="476"/>
      <c r="D8844" s="477"/>
      <c r="E8844" s="96"/>
      <c r="F8844" s="96"/>
      <c r="G8844" s="325"/>
      <c r="H8844" s="96"/>
      <c r="I8844" s="478"/>
      <c r="J8844" s="96"/>
      <c r="K8844" s="96"/>
      <c r="L8844" s="107"/>
      <c r="M8844" s="107"/>
      <c r="N8844" s="107"/>
      <c r="O8844" s="107"/>
      <c r="P8844" s="109"/>
      <c r="Q8844" s="107"/>
      <c r="R8844" s="107"/>
      <c r="S8844" s="107"/>
      <c r="T8844" s="479"/>
      <c r="U8844" s="296"/>
      <c r="V8844" s="50"/>
      <c r="W8844" s="49"/>
      <c r="X8844" s="49"/>
      <c r="Y8844" s="35"/>
      <c r="Z8844" s="35"/>
      <c r="AA8844" s="35"/>
      <c r="AB8844" s="35"/>
      <c r="AC8844" s="35"/>
      <c r="AD8844" s="35"/>
      <c r="AE8844" s="35"/>
      <c r="AF8844" s="35"/>
      <c r="AG8844" s="35"/>
      <c r="AH8844" s="35"/>
      <c r="AI8844" s="35"/>
      <c r="AJ8844" s="35"/>
      <c r="AK8844" s="35"/>
      <c r="AL8844" s="35"/>
    </row>
    <row r="8845">
      <c r="A8845" s="457"/>
      <c r="B8845" s="475"/>
      <c r="C8845" s="476"/>
      <c r="D8845" s="477"/>
      <c r="E8845" s="96"/>
      <c r="F8845" s="96"/>
      <c r="G8845" s="325"/>
      <c r="H8845" s="96"/>
      <c r="I8845" s="478"/>
      <c r="J8845" s="96"/>
      <c r="K8845" s="96"/>
      <c r="L8845" s="107"/>
      <c r="M8845" s="107"/>
      <c r="N8845" s="107"/>
      <c r="O8845" s="107"/>
      <c r="P8845" s="109"/>
      <c r="Q8845" s="107"/>
      <c r="R8845" s="107"/>
      <c r="S8845" s="107"/>
      <c r="T8845" s="479"/>
      <c r="U8845" s="296"/>
      <c r="V8845" s="50"/>
      <c r="W8845" s="49"/>
      <c r="X8845" s="49"/>
      <c r="Y8845" s="35"/>
      <c r="Z8845" s="35"/>
      <c r="AA8845" s="35"/>
      <c r="AB8845" s="35"/>
      <c r="AC8845" s="35"/>
      <c r="AD8845" s="35"/>
      <c r="AE8845" s="35"/>
      <c r="AF8845" s="35"/>
      <c r="AG8845" s="35"/>
      <c r="AH8845" s="35"/>
      <c r="AI8845" s="35"/>
      <c r="AJ8845" s="35"/>
      <c r="AK8845" s="35"/>
      <c r="AL8845" s="35"/>
    </row>
    <row r="8846">
      <c r="A8846" s="457"/>
      <c r="B8846" s="475"/>
      <c r="C8846" s="476"/>
      <c r="D8846" s="477"/>
      <c r="E8846" s="96"/>
      <c r="F8846" s="96"/>
      <c r="G8846" s="325"/>
      <c r="H8846" s="96"/>
      <c r="I8846" s="478"/>
      <c r="J8846" s="96"/>
      <c r="K8846" s="96"/>
      <c r="L8846" s="107"/>
      <c r="M8846" s="107"/>
      <c r="N8846" s="107"/>
      <c r="O8846" s="107"/>
      <c r="P8846" s="109"/>
      <c r="Q8846" s="107"/>
      <c r="R8846" s="107"/>
      <c r="S8846" s="107"/>
      <c r="T8846" s="479"/>
      <c r="U8846" s="296"/>
      <c r="V8846" s="50"/>
      <c r="W8846" s="49"/>
      <c r="X8846" s="49"/>
      <c r="Y8846" s="35"/>
      <c r="Z8846" s="35"/>
      <c r="AA8846" s="35"/>
      <c r="AB8846" s="35"/>
      <c r="AC8846" s="35"/>
      <c r="AD8846" s="35"/>
      <c r="AE8846" s="35"/>
      <c r="AF8846" s="35"/>
      <c r="AG8846" s="35"/>
      <c r="AH8846" s="35"/>
      <c r="AI8846" s="35"/>
      <c r="AJ8846" s="35"/>
      <c r="AK8846" s="35"/>
      <c r="AL8846" s="35"/>
    </row>
    <row r="8847">
      <c r="A8847" s="457"/>
      <c r="B8847" s="475"/>
      <c r="C8847" s="476"/>
      <c r="D8847" s="477"/>
      <c r="E8847" s="96"/>
      <c r="F8847" s="96"/>
      <c r="G8847" s="325"/>
      <c r="H8847" s="96"/>
      <c r="I8847" s="478"/>
      <c r="J8847" s="96"/>
      <c r="K8847" s="96"/>
      <c r="L8847" s="107"/>
      <c r="M8847" s="107"/>
      <c r="N8847" s="107"/>
      <c r="O8847" s="107"/>
      <c r="P8847" s="109"/>
      <c r="Q8847" s="107"/>
      <c r="R8847" s="107"/>
      <c r="S8847" s="107"/>
      <c r="T8847" s="479"/>
      <c r="U8847" s="296"/>
      <c r="V8847" s="50"/>
      <c r="W8847" s="49"/>
      <c r="X8847" s="49"/>
      <c r="Y8847" s="35"/>
      <c r="Z8847" s="35"/>
      <c r="AA8847" s="35"/>
      <c r="AB8847" s="35"/>
      <c r="AC8847" s="35"/>
      <c r="AD8847" s="35"/>
      <c r="AE8847" s="35"/>
      <c r="AF8847" s="35"/>
      <c r="AG8847" s="35"/>
      <c r="AH8847" s="35"/>
      <c r="AI8847" s="35"/>
      <c r="AJ8847" s="35"/>
      <c r="AK8847" s="35"/>
      <c r="AL8847" s="35"/>
    </row>
    <row r="8848">
      <c r="A8848" s="457"/>
      <c r="B8848" s="475"/>
      <c r="C8848" s="476"/>
      <c r="D8848" s="477"/>
      <c r="E8848" s="96"/>
      <c r="F8848" s="96"/>
      <c r="G8848" s="325"/>
      <c r="H8848" s="96"/>
      <c r="I8848" s="478"/>
      <c r="J8848" s="96"/>
      <c r="K8848" s="96"/>
      <c r="L8848" s="107"/>
      <c r="M8848" s="107"/>
      <c r="N8848" s="107"/>
      <c r="O8848" s="107"/>
      <c r="P8848" s="109"/>
      <c r="Q8848" s="107"/>
      <c r="R8848" s="107"/>
      <c r="S8848" s="107"/>
      <c r="T8848" s="479"/>
      <c r="U8848" s="296"/>
      <c r="V8848" s="50"/>
      <c r="W8848" s="49"/>
      <c r="X8848" s="49"/>
      <c r="Y8848" s="35"/>
      <c r="Z8848" s="35"/>
      <c r="AA8848" s="35"/>
      <c r="AB8848" s="35"/>
      <c r="AC8848" s="35"/>
      <c r="AD8848" s="35"/>
      <c r="AE8848" s="35"/>
      <c r="AF8848" s="35"/>
      <c r="AG8848" s="35"/>
      <c r="AH8848" s="35"/>
      <c r="AI8848" s="35"/>
      <c r="AJ8848" s="35"/>
      <c r="AK8848" s="35"/>
      <c r="AL8848" s="35"/>
    </row>
    <row r="8849">
      <c r="A8849" s="457"/>
      <c r="B8849" s="475"/>
      <c r="C8849" s="476"/>
      <c r="D8849" s="477"/>
      <c r="E8849" s="96"/>
      <c r="F8849" s="96"/>
      <c r="G8849" s="325"/>
      <c r="H8849" s="96"/>
      <c r="I8849" s="478"/>
      <c r="J8849" s="96"/>
      <c r="K8849" s="96"/>
      <c r="L8849" s="107"/>
      <c r="M8849" s="107"/>
      <c r="N8849" s="107"/>
      <c r="O8849" s="107"/>
      <c r="P8849" s="109"/>
      <c r="Q8849" s="107"/>
      <c r="R8849" s="107"/>
      <c r="S8849" s="107"/>
      <c r="T8849" s="479"/>
      <c r="U8849" s="296"/>
      <c r="V8849" s="50"/>
      <c r="W8849" s="49"/>
      <c r="X8849" s="49"/>
      <c r="Y8849" s="35"/>
      <c r="Z8849" s="35"/>
      <c r="AA8849" s="35"/>
      <c r="AB8849" s="35"/>
      <c r="AC8849" s="35"/>
      <c r="AD8849" s="35"/>
      <c r="AE8849" s="35"/>
      <c r="AF8849" s="35"/>
      <c r="AG8849" s="35"/>
      <c r="AH8849" s="35"/>
      <c r="AI8849" s="35"/>
      <c r="AJ8849" s="35"/>
      <c r="AK8849" s="35"/>
      <c r="AL8849" s="35"/>
    </row>
    <row r="8850">
      <c r="A8850" s="457"/>
      <c r="B8850" s="475"/>
      <c r="C8850" s="476"/>
      <c r="D8850" s="477"/>
      <c r="E8850" s="96"/>
      <c r="F8850" s="96"/>
      <c r="G8850" s="325"/>
      <c r="H8850" s="96"/>
      <c r="I8850" s="478"/>
      <c r="J8850" s="96"/>
      <c r="K8850" s="96"/>
      <c r="L8850" s="107"/>
      <c r="M8850" s="107"/>
      <c r="N8850" s="107"/>
      <c r="O8850" s="107"/>
      <c r="P8850" s="109"/>
      <c r="Q8850" s="107"/>
      <c r="R8850" s="107"/>
      <c r="S8850" s="107"/>
      <c r="T8850" s="479"/>
      <c r="U8850" s="296"/>
      <c r="V8850" s="50"/>
      <c r="W8850" s="49"/>
      <c r="X8850" s="49"/>
      <c r="Y8850" s="35"/>
      <c r="Z8850" s="35"/>
      <c r="AA8850" s="35"/>
      <c r="AB8850" s="35"/>
      <c r="AC8850" s="35"/>
      <c r="AD8850" s="35"/>
      <c r="AE8850" s="35"/>
      <c r="AF8850" s="35"/>
      <c r="AG8850" s="35"/>
      <c r="AH8850" s="35"/>
      <c r="AI8850" s="35"/>
      <c r="AJ8850" s="35"/>
      <c r="AK8850" s="35"/>
      <c r="AL8850" s="35"/>
    </row>
    <row r="8851">
      <c r="A8851" s="457"/>
      <c r="B8851" s="475"/>
      <c r="C8851" s="476"/>
      <c r="D8851" s="477"/>
      <c r="E8851" s="96"/>
      <c r="F8851" s="96"/>
      <c r="G8851" s="325"/>
      <c r="H8851" s="96"/>
      <c r="I8851" s="478"/>
      <c r="J8851" s="96"/>
      <c r="K8851" s="96"/>
      <c r="L8851" s="107"/>
      <c r="M8851" s="107"/>
      <c r="N8851" s="107"/>
      <c r="O8851" s="107"/>
      <c r="P8851" s="109"/>
      <c r="Q8851" s="107"/>
      <c r="R8851" s="107"/>
      <c r="S8851" s="107"/>
      <c r="T8851" s="479"/>
      <c r="U8851" s="296"/>
      <c r="V8851" s="50"/>
      <c r="W8851" s="49"/>
      <c r="X8851" s="49"/>
      <c r="Y8851" s="35"/>
      <c r="Z8851" s="35"/>
      <c r="AA8851" s="35"/>
      <c r="AB8851" s="35"/>
      <c r="AC8851" s="35"/>
      <c r="AD8851" s="35"/>
      <c r="AE8851" s="35"/>
      <c r="AF8851" s="35"/>
      <c r="AG8851" s="35"/>
      <c r="AH8851" s="35"/>
      <c r="AI8851" s="35"/>
      <c r="AJ8851" s="35"/>
      <c r="AK8851" s="35"/>
      <c r="AL8851" s="35"/>
    </row>
  </sheetData>
  <autoFilter ref="$B$2:$C$2"/>
  <mergeCells count="1583">
    <mergeCell ref="E1:I1"/>
    <mergeCell ref="J1:K1"/>
    <mergeCell ref="N1:T1"/>
    <mergeCell ref="B2:C2"/>
    <mergeCell ref="L12:T12"/>
    <mergeCell ref="L22:T22"/>
    <mergeCell ref="L24:T24"/>
    <mergeCell ref="L26:T26"/>
    <mergeCell ref="L37:T37"/>
    <mergeCell ref="L43:T43"/>
    <mergeCell ref="L76:T76"/>
    <mergeCell ref="L78:T78"/>
    <mergeCell ref="L82:T82"/>
    <mergeCell ref="L89:T89"/>
    <mergeCell ref="L90:T90"/>
    <mergeCell ref="L91:T91"/>
    <mergeCell ref="L101:T101"/>
    <mergeCell ref="L104:T104"/>
    <mergeCell ref="L115:T115"/>
    <mergeCell ref="L166:T166"/>
    <mergeCell ref="L178:T178"/>
    <mergeCell ref="L201:T201"/>
    <mergeCell ref="L230:T230"/>
    <mergeCell ref="L231:T231"/>
    <mergeCell ref="L258:T258"/>
    <mergeCell ref="L260:T260"/>
    <mergeCell ref="L281:T281"/>
    <mergeCell ref="L293:T293"/>
    <mergeCell ref="L294:T294"/>
    <mergeCell ref="L295:T295"/>
    <mergeCell ref="L299:T299"/>
    <mergeCell ref="L313:T313"/>
    <mergeCell ref="L379:T379"/>
    <mergeCell ref="L380:T380"/>
    <mergeCell ref="L396:T396"/>
    <mergeCell ref="L397:T397"/>
    <mergeCell ref="L398:T398"/>
    <mergeCell ref="L405:T405"/>
    <mergeCell ref="L409:T409"/>
    <mergeCell ref="L410:T410"/>
    <mergeCell ref="L413:T413"/>
    <mergeCell ref="L414:T414"/>
    <mergeCell ref="L415:T415"/>
    <mergeCell ref="L417:T417"/>
    <mergeCell ref="L418:T418"/>
    <mergeCell ref="L419:T419"/>
    <mergeCell ref="L422:T422"/>
    <mergeCell ref="L425:T425"/>
    <mergeCell ref="L426:T426"/>
    <mergeCell ref="L430:T430"/>
    <mergeCell ref="L434:T434"/>
    <mergeCell ref="L438:T438"/>
    <mergeCell ref="L440:T440"/>
    <mergeCell ref="L443:T443"/>
    <mergeCell ref="L446:T446"/>
    <mergeCell ref="L452:T452"/>
    <mergeCell ref="L453:T453"/>
    <mergeCell ref="L456:T456"/>
    <mergeCell ref="L457:T457"/>
    <mergeCell ref="L459:T459"/>
    <mergeCell ref="L463:T463"/>
    <mergeCell ref="L475:T475"/>
    <mergeCell ref="L495:T495"/>
    <mergeCell ref="L497:T497"/>
    <mergeCell ref="L501:T501"/>
    <mergeCell ref="L502:T502"/>
    <mergeCell ref="L512:T512"/>
    <mergeCell ref="L515:T515"/>
    <mergeCell ref="L521:T521"/>
    <mergeCell ref="L528:T528"/>
    <mergeCell ref="L532:T532"/>
    <mergeCell ref="L533:T533"/>
    <mergeCell ref="L534:T534"/>
    <mergeCell ref="L535:T535"/>
    <mergeCell ref="L538:T538"/>
    <mergeCell ref="L553:T553"/>
    <mergeCell ref="L554:T554"/>
    <mergeCell ref="L560:T560"/>
    <mergeCell ref="L576:T576"/>
    <mergeCell ref="L583:T583"/>
    <mergeCell ref="L595:T595"/>
    <mergeCell ref="L605:T605"/>
    <mergeCell ref="L610:T610"/>
    <mergeCell ref="L612:T612"/>
    <mergeCell ref="L614:T614"/>
    <mergeCell ref="L615:T615"/>
    <mergeCell ref="L616:T616"/>
    <mergeCell ref="L617:T617"/>
    <mergeCell ref="L618:T618"/>
    <mergeCell ref="L620:T620"/>
    <mergeCell ref="L626:T626"/>
    <mergeCell ref="L630:T630"/>
    <mergeCell ref="L634:T634"/>
    <mergeCell ref="L635:T635"/>
    <mergeCell ref="L649:T649"/>
    <mergeCell ref="L653:T653"/>
    <mergeCell ref="L666:T666"/>
    <mergeCell ref="L668:T668"/>
    <mergeCell ref="L680:T680"/>
    <mergeCell ref="L709:T709"/>
    <mergeCell ref="L713:T713"/>
    <mergeCell ref="L724:T724"/>
    <mergeCell ref="L725:T725"/>
    <mergeCell ref="L726:T726"/>
    <mergeCell ref="L734:T734"/>
    <mergeCell ref="L737:T737"/>
    <mergeCell ref="L742:T742"/>
    <mergeCell ref="L744:T744"/>
    <mergeCell ref="L748:T748"/>
    <mergeCell ref="L751:T751"/>
    <mergeCell ref="L752:T752"/>
    <mergeCell ref="L757:T757"/>
    <mergeCell ref="L760:T760"/>
    <mergeCell ref="L766:T766"/>
    <mergeCell ref="L776:T776"/>
    <mergeCell ref="L781:T781"/>
    <mergeCell ref="L782:T782"/>
    <mergeCell ref="L787:T787"/>
    <mergeCell ref="L795:T795"/>
    <mergeCell ref="L799:T799"/>
    <mergeCell ref="L802:T802"/>
    <mergeCell ref="L808:T808"/>
    <mergeCell ref="L809:T809"/>
    <mergeCell ref="L810:T810"/>
    <mergeCell ref="L811:T811"/>
    <mergeCell ref="L812:T812"/>
    <mergeCell ref="L813:T813"/>
    <mergeCell ref="L814:T814"/>
    <mergeCell ref="L815:T815"/>
    <mergeCell ref="L816:T816"/>
    <mergeCell ref="L817:T817"/>
    <mergeCell ref="L818:T818"/>
    <mergeCell ref="L819:T819"/>
    <mergeCell ref="L820:T820"/>
    <mergeCell ref="L821:T821"/>
    <mergeCell ref="L822:T822"/>
    <mergeCell ref="L823:T823"/>
    <mergeCell ref="L824:T824"/>
    <mergeCell ref="L825:T825"/>
    <mergeCell ref="L826:T826"/>
    <mergeCell ref="L827:T827"/>
    <mergeCell ref="L828:T828"/>
    <mergeCell ref="L829:T829"/>
    <mergeCell ref="L830:T830"/>
    <mergeCell ref="L831:T831"/>
    <mergeCell ref="L832:T832"/>
    <mergeCell ref="L833:T833"/>
    <mergeCell ref="L834:T834"/>
    <mergeCell ref="L835:T835"/>
    <mergeCell ref="L836:T836"/>
    <mergeCell ref="L837:T837"/>
    <mergeCell ref="L838:T838"/>
    <mergeCell ref="L839:T839"/>
    <mergeCell ref="L840:T840"/>
    <mergeCell ref="L841:T841"/>
    <mergeCell ref="L842:T842"/>
    <mergeCell ref="L843:T843"/>
    <mergeCell ref="L849:T849"/>
    <mergeCell ref="L863:T863"/>
    <mergeCell ref="L869:T869"/>
    <mergeCell ref="L885:T885"/>
    <mergeCell ref="L886:T886"/>
    <mergeCell ref="L892:T892"/>
    <mergeCell ref="L895:T895"/>
    <mergeCell ref="L898:T898"/>
    <mergeCell ref="L904:T904"/>
    <mergeCell ref="L906:T906"/>
    <mergeCell ref="L916:T916"/>
    <mergeCell ref="L917:T917"/>
    <mergeCell ref="L925:T925"/>
    <mergeCell ref="L926:T926"/>
    <mergeCell ref="L927:T927"/>
    <mergeCell ref="L928:T928"/>
    <mergeCell ref="L947:T947"/>
    <mergeCell ref="L956:T956"/>
    <mergeCell ref="L973:T973"/>
    <mergeCell ref="L998:T998"/>
    <mergeCell ref="L1027:T1027"/>
    <mergeCell ref="L1033:T1033"/>
    <mergeCell ref="L1035:T1035"/>
    <mergeCell ref="L1040:T1040"/>
    <mergeCell ref="L1045:T1045"/>
    <mergeCell ref="L1058:T1058"/>
    <mergeCell ref="L1059:T1059"/>
    <mergeCell ref="L1068:T1068"/>
    <mergeCell ref="L1078:T1078"/>
    <mergeCell ref="L1081:T1081"/>
    <mergeCell ref="L1109:T1109"/>
    <mergeCell ref="L1151:T1151"/>
    <mergeCell ref="L1187:T1187"/>
    <mergeCell ref="L1196:T1196"/>
    <mergeCell ref="L1204:T1204"/>
    <mergeCell ref="L1259:T1259"/>
    <mergeCell ref="L1260:T1260"/>
    <mergeCell ref="L1302:T1302"/>
    <mergeCell ref="L1322:T1322"/>
    <mergeCell ref="L1367:T1367"/>
    <mergeCell ref="L1375:T1375"/>
    <mergeCell ref="L1378:T1378"/>
    <mergeCell ref="L1395:T1395"/>
    <mergeCell ref="L1398:T1398"/>
    <mergeCell ref="L1409:T1409"/>
    <mergeCell ref="L1424:T1424"/>
    <mergeCell ref="L1434:T1434"/>
    <mergeCell ref="L1473:T1473"/>
    <mergeCell ref="L1481:T1481"/>
    <mergeCell ref="L1491:T1491"/>
    <mergeCell ref="L1494:T1494"/>
    <mergeCell ref="L1496:T1496"/>
    <mergeCell ref="L1515:T1515"/>
    <mergeCell ref="L1529:T1529"/>
    <mergeCell ref="L1530:T1530"/>
    <mergeCell ref="L1538:T1538"/>
    <mergeCell ref="L1539:T1539"/>
    <mergeCell ref="L1540:T1540"/>
    <mergeCell ref="L1541:T1541"/>
    <mergeCell ref="L1542:T1542"/>
    <mergeCell ref="L1543:T1543"/>
    <mergeCell ref="L1549:T1549"/>
    <mergeCell ref="L1555:T1555"/>
    <mergeCell ref="L1556:T1556"/>
    <mergeCell ref="L1563:T1563"/>
    <mergeCell ref="L1577:T1577"/>
    <mergeCell ref="L1581:T1581"/>
    <mergeCell ref="L1582:T1582"/>
    <mergeCell ref="L1586:T1586"/>
    <mergeCell ref="L1587:T1587"/>
    <mergeCell ref="L1588:T1588"/>
    <mergeCell ref="L1590:T1590"/>
    <mergeCell ref="L1594:T1594"/>
    <mergeCell ref="L1598:T1598"/>
    <mergeCell ref="L1601:T1601"/>
    <mergeCell ref="L1605:T1605"/>
    <mergeCell ref="L1606:T1606"/>
    <mergeCell ref="L1616:T1616"/>
    <mergeCell ref="L1617:T1617"/>
    <mergeCell ref="L1618:T1618"/>
    <mergeCell ref="L1619:T1619"/>
    <mergeCell ref="L1620:T1620"/>
    <mergeCell ref="L1621:T1621"/>
    <mergeCell ref="L1622:T1622"/>
    <mergeCell ref="L1623:T1623"/>
    <mergeCell ref="L1624:T1624"/>
    <mergeCell ref="L1625:T1625"/>
    <mergeCell ref="L1626:T1626"/>
    <mergeCell ref="L1627:T1627"/>
    <mergeCell ref="L1628:T1628"/>
    <mergeCell ref="L1629:T1629"/>
    <mergeCell ref="L1630:T1630"/>
    <mergeCell ref="L1631:T1631"/>
    <mergeCell ref="L1632:T1632"/>
    <mergeCell ref="L1633:T1633"/>
    <mergeCell ref="L1634:T1634"/>
    <mergeCell ref="L1635:T1635"/>
    <mergeCell ref="L1636:T1636"/>
    <mergeCell ref="L1637:T1637"/>
    <mergeCell ref="L1638:T1638"/>
    <mergeCell ref="L1639:T1639"/>
    <mergeCell ref="L1640:T1640"/>
    <mergeCell ref="L1648:T1648"/>
    <mergeCell ref="L1649:T1649"/>
    <mergeCell ref="L1670:T1670"/>
    <mergeCell ref="L1689:T1689"/>
    <mergeCell ref="L1690:T1690"/>
    <mergeCell ref="L1695:T1695"/>
    <mergeCell ref="L1697:T1697"/>
    <mergeCell ref="L1714:T1714"/>
    <mergeCell ref="L1724:T1724"/>
    <mergeCell ref="L1725:T1725"/>
    <mergeCell ref="L1754:T1754"/>
    <mergeCell ref="L1756:T1756"/>
    <mergeCell ref="L1764:T1764"/>
    <mergeCell ref="L1766:T1766"/>
    <mergeCell ref="L1767:T1767"/>
    <mergeCell ref="L1791:T1791"/>
    <mergeCell ref="L1792:T1792"/>
    <mergeCell ref="L1793:T1793"/>
    <mergeCell ref="L1799:T1799"/>
    <mergeCell ref="L1804:T1804"/>
    <mergeCell ref="L1806:T1806"/>
    <mergeCell ref="L1807:T1807"/>
    <mergeCell ref="L1835:T1835"/>
    <mergeCell ref="L1855:T1855"/>
    <mergeCell ref="L1861:T1861"/>
    <mergeCell ref="L1863:T1863"/>
    <mergeCell ref="L1864:T1864"/>
    <mergeCell ref="L1881:T1881"/>
    <mergeCell ref="L1918:T1918"/>
    <mergeCell ref="L1930:T1930"/>
    <mergeCell ref="L1936:T1936"/>
    <mergeCell ref="L1939:T1939"/>
    <mergeCell ref="L1953:T1953"/>
    <mergeCell ref="L1970:T1970"/>
    <mergeCell ref="L1976:T1976"/>
    <mergeCell ref="L1978:T1978"/>
    <mergeCell ref="L1980:T1980"/>
    <mergeCell ref="L1981:T1981"/>
    <mergeCell ref="L1983:T1983"/>
    <mergeCell ref="L1984:T1984"/>
    <mergeCell ref="L1986:T1986"/>
    <mergeCell ref="L1987:T1987"/>
    <mergeCell ref="L1988:T1988"/>
    <mergeCell ref="L1989:T1989"/>
    <mergeCell ref="L1991:T1991"/>
    <mergeCell ref="L1993:T1993"/>
    <mergeCell ref="L1999:T1999"/>
    <mergeCell ref="L2012:T2012"/>
    <mergeCell ref="L2015:T2015"/>
    <mergeCell ref="L2023:T2023"/>
    <mergeCell ref="L2053:T2053"/>
    <mergeCell ref="L2054:T2054"/>
    <mergeCell ref="L2055:T2055"/>
    <mergeCell ref="L2056:T2056"/>
    <mergeCell ref="L2057:T2057"/>
    <mergeCell ref="L2058:T2058"/>
    <mergeCell ref="L2059:T2059"/>
    <mergeCell ref="L2060:T2060"/>
    <mergeCell ref="L2061:T2061"/>
    <mergeCell ref="L2062:T2062"/>
    <mergeCell ref="L2063:T2063"/>
    <mergeCell ref="L2064:T2064"/>
    <mergeCell ref="L2065:T2065"/>
    <mergeCell ref="L2066:T2066"/>
    <mergeCell ref="L2067:T2067"/>
    <mergeCell ref="L2068:T2068"/>
    <mergeCell ref="L2069:T2069"/>
    <mergeCell ref="L2070:T2070"/>
    <mergeCell ref="L2074:T2074"/>
    <mergeCell ref="L2106:T2106"/>
    <mergeCell ref="L2109:T2109"/>
    <mergeCell ref="L2111:T2111"/>
    <mergeCell ref="L2127:T2127"/>
    <mergeCell ref="L2131:T2131"/>
    <mergeCell ref="L2140:T2140"/>
    <mergeCell ref="L2143:T2143"/>
    <mergeCell ref="L2144:T2144"/>
    <mergeCell ref="L2145:T2145"/>
    <mergeCell ref="L2146:T2146"/>
    <mergeCell ref="L2147:T2147"/>
    <mergeCell ref="L2148:T2148"/>
    <mergeCell ref="L2149:T2149"/>
    <mergeCell ref="L2150:T2150"/>
    <mergeCell ref="L2151:T2151"/>
    <mergeCell ref="L2212:T2212"/>
    <mergeCell ref="L2214:T2214"/>
    <mergeCell ref="L2215:T2215"/>
    <mergeCell ref="L2216:T2216"/>
    <mergeCell ref="L2217:T2217"/>
    <mergeCell ref="L2220:T2220"/>
    <mergeCell ref="L2221:T2221"/>
    <mergeCell ref="L2222:T2222"/>
    <mergeCell ref="L2223:T2223"/>
    <mergeCell ref="L2224:T2224"/>
    <mergeCell ref="L2225:T2225"/>
    <mergeCell ref="L2228:T2228"/>
    <mergeCell ref="L2231:T2231"/>
    <mergeCell ref="L2232:T2232"/>
    <mergeCell ref="L2234:T2234"/>
    <mergeCell ref="L2235:T2235"/>
    <mergeCell ref="L2236:T2236"/>
    <mergeCell ref="L2237:T2237"/>
    <mergeCell ref="L2240:T2240"/>
    <mergeCell ref="L2242:T2242"/>
    <mergeCell ref="L2243:T2243"/>
    <mergeCell ref="L2244:T2244"/>
    <mergeCell ref="L2245:T2245"/>
    <mergeCell ref="L2250:T2250"/>
    <mergeCell ref="L2251:T2251"/>
    <mergeCell ref="L2252:T2252"/>
    <mergeCell ref="L2255:T2255"/>
    <mergeCell ref="L2258:T2258"/>
    <mergeCell ref="L2264:T2264"/>
    <mergeCell ref="L2273:T2273"/>
    <mergeCell ref="L2295:T2295"/>
    <mergeCell ref="L2298:T2298"/>
    <mergeCell ref="L2305:T2305"/>
    <mergeCell ref="L2311:T2311"/>
    <mergeCell ref="L2316:T2316"/>
    <mergeCell ref="L2317:T2317"/>
    <mergeCell ref="L2318:T2318"/>
    <mergeCell ref="L2381:T2381"/>
    <mergeCell ref="L2385:T2385"/>
    <mergeCell ref="L2386:T2386"/>
    <mergeCell ref="L2389:T2389"/>
    <mergeCell ref="L2391:T2391"/>
    <mergeCell ref="L2152:T2152"/>
    <mergeCell ref="L2153:T2153"/>
    <mergeCell ref="L2154:T2154"/>
    <mergeCell ref="L2155:T2155"/>
    <mergeCell ref="L2156:T2156"/>
    <mergeCell ref="L2157:T2157"/>
    <mergeCell ref="L2158:T2158"/>
    <mergeCell ref="L2159:T2159"/>
    <mergeCell ref="L2160:T2160"/>
    <mergeCell ref="L2161:T2161"/>
    <mergeCell ref="L2162:T2162"/>
    <mergeCell ref="L2163:T2163"/>
    <mergeCell ref="L2164:T2164"/>
    <mergeCell ref="L2165:T2165"/>
    <mergeCell ref="L2166:T2166"/>
    <mergeCell ref="L2167:T2167"/>
    <mergeCell ref="L2168:T2168"/>
    <mergeCell ref="L2169:T2169"/>
    <mergeCell ref="L2170:T2170"/>
    <mergeCell ref="L2171:T2171"/>
    <mergeCell ref="L2172:T2172"/>
    <mergeCell ref="L2173:T2173"/>
    <mergeCell ref="L2174:T2174"/>
    <mergeCell ref="L2175:T2175"/>
    <mergeCell ref="L2176:T2176"/>
    <mergeCell ref="L2177:T2177"/>
    <mergeCell ref="L2179:T2179"/>
    <mergeCell ref="L2180:T2180"/>
    <mergeCell ref="L2183:T2183"/>
    <mergeCell ref="L2184:T2184"/>
    <mergeCell ref="L2189:T2189"/>
    <mergeCell ref="L2191:T2191"/>
    <mergeCell ref="L2192:T2192"/>
    <mergeCell ref="L2195:T2195"/>
    <mergeCell ref="L2196:T2196"/>
    <mergeCell ref="L2199:T2199"/>
    <mergeCell ref="L2200:T2200"/>
    <mergeCell ref="L2202:T2202"/>
    <mergeCell ref="L2203:T2203"/>
    <mergeCell ref="L2204:T2204"/>
    <mergeCell ref="L2205:T2205"/>
    <mergeCell ref="L2206:T2206"/>
    <mergeCell ref="L2415:T2415"/>
    <mergeCell ref="L2416:T2416"/>
    <mergeCell ref="L2418:T2418"/>
    <mergeCell ref="L2437:T2437"/>
    <mergeCell ref="L2457:T2457"/>
    <mergeCell ref="L2480:T2480"/>
    <mergeCell ref="L2513:T2513"/>
    <mergeCell ref="L2515:T2515"/>
    <mergeCell ref="L2532:T2532"/>
    <mergeCell ref="L2537:T2537"/>
    <mergeCell ref="L2566:T2566"/>
    <mergeCell ref="L2567:T2567"/>
    <mergeCell ref="L2568:T2568"/>
    <mergeCell ref="L2569:T2569"/>
    <mergeCell ref="L2570:T2570"/>
    <mergeCell ref="L2571:T2571"/>
    <mergeCell ref="L2572:T2572"/>
    <mergeCell ref="L2573:T2573"/>
    <mergeCell ref="L2574:T2574"/>
    <mergeCell ref="L2575:T2575"/>
    <mergeCell ref="L2576:T2576"/>
    <mergeCell ref="L2577:T2577"/>
    <mergeCell ref="L2578:T2578"/>
    <mergeCell ref="L2579:T2579"/>
    <mergeCell ref="L2580:T2580"/>
    <mergeCell ref="L2581:T2581"/>
    <mergeCell ref="L2582:T2582"/>
    <mergeCell ref="L2583:T2583"/>
    <mergeCell ref="L2584:T2584"/>
    <mergeCell ref="L2585:T2585"/>
    <mergeCell ref="L2594:T2594"/>
    <mergeCell ref="L2597:T2597"/>
    <mergeCell ref="L2598:T2598"/>
    <mergeCell ref="L2599:T2599"/>
    <mergeCell ref="L2611:T2611"/>
    <mergeCell ref="L2613:T2613"/>
    <mergeCell ref="L2614:T2614"/>
    <mergeCell ref="L2615:T2615"/>
    <mergeCell ref="L2623:T2623"/>
    <mergeCell ref="L2639:T2639"/>
    <mergeCell ref="L2651:T2651"/>
    <mergeCell ref="L2675:T2675"/>
    <mergeCell ref="L2678:T2678"/>
    <mergeCell ref="L2679:T2679"/>
    <mergeCell ref="L2683:T2683"/>
    <mergeCell ref="L2685:T2685"/>
    <mergeCell ref="L2687:T2687"/>
    <mergeCell ref="L2693:T2693"/>
    <mergeCell ref="L2698:T2698"/>
    <mergeCell ref="L2702:T2702"/>
    <mergeCell ref="L2706:T2706"/>
    <mergeCell ref="L2708:T2708"/>
    <mergeCell ref="L2709:T2709"/>
    <mergeCell ref="L2710:T2710"/>
    <mergeCell ref="L2717:T2717"/>
    <mergeCell ref="L2718:T2718"/>
    <mergeCell ref="L2734:T2734"/>
    <mergeCell ref="L2735:T2735"/>
    <mergeCell ref="L2736:T2736"/>
    <mergeCell ref="L2752:T2752"/>
    <mergeCell ref="L2753:T2753"/>
    <mergeCell ref="L2774:T2774"/>
    <mergeCell ref="L2778:T2778"/>
    <mergeCell ref="L2786:T2786"/>
    <mergeCell ref="L2793:T2793"/>
    <mergeCell ref="L2794:T2794"/>
    <mergeCell ref="L2797:T2797"/>
    <mergeCell ref="L2800:T2800"/>
    <mergeCell ref="L2832:T2832"/>
    <mergeCell ref="L2836:T2836"/>
    <mergeCell ref="L2838:T2838"/>
    <mergeCell ref="L2846:T2846"/>
    <mergeCell ref="L2854:T2854"/>
    <mergeCell ref="L2855:T2855"/>
    <mergeCell ref="L2856:T2856"/>
    <mergeCell ref="L2859:T2859"/>
    <mergeCell ref="L2860:T2860"/>
    <mergeCell ref="L2875:T2875"/>
    <mergeCell ref="L2876:T2876"/>
    <mergeCell ref="L2889:T2889"/>
    <mergeCell ref="L2901:T2901"/>
    <mergeCell ref="L2902:T2902"/>
    <mergeCell ref="L2903:T2903"/>
    <mergeCell ref="L2904:T2904"/>
    <mergeCell ref="L2905:T2905"/>
    <mergeCell ref="L2906:T2906"/>
    <mergeCell ref="L2907:T2907"/>
    <mergeCell ref="L2908:T2908"/>
    <mergeCell ref="L2909:T2909"/>
    <mergeCell ref="L2910:T2910"/>
    <mergeCell ref="L2911:T2911"/>
    <mergeCell ref="L2912:T2912"/>
    <mergeCell ref="L2913:T2913"/>
    <mergeCell ref="L2915:T2915"/>
    <mergeCell ref="L2916:T2916"/>
    <mergeCell ref="L2917:T2917"/>
    <mergeCell ref="L2918:T2918"/>
    <mergeCell ref="L2919:T2919"/>
    <mergeCell ref="L2920:T2920"/>
    <mergeCell ref="L2923:T2923"/>
    <mergeCell ref="L2924:T2924"/>
    <mergeCell ref="L2925:T2925"/>
    <mergeCell ref="L2928:T2928"/>
    <mergeCell ref="L2929:T2929"/>
    <mergeCell ref="L2930:T2930"/>
    <mergeCell ref="L2931:T2931"/>
    <mergeCell ref="L2932:T2932"/>
    <mergeCell ref="L2933:T2933"/>
    <mergeCell ref="L2934:T2934"/>
    <mergeCell ref="L2935:T2935"/>
    <mergeCell ref="L2936:T2936"/>
    <mergeCell ref="L2937:T2937"/>
    <mergeCell ref="L2938:T2938"/>
    <mergeCell ref="L2940:T2940"/>
    <mergeCell ref="L2941:T2941"/>
    <mergeCell ref="L2942:T2942"/>
    <mergeCell ref="L2943:T2943"/>
    <mergeCell ref="L2946:T2946"/>
    <mergeCell ref="L2947:T2947"/>
    <mergeCell ref="L2949:T2949"/>
    <mergeCell ref="L2956:T2956"/>
    <mergeCell ref="L2958:T2958"/>
    <mergeCell ref="L2964:T2964"/>
    <mergeCell ref="L2965:T2965"/>
    <mergeCell ref="L2966:T2966"/>
    <mergeCell ref="L2967:T2967"/>
    <mergeCell ref="L2968:T2968"/>
    <mergeCell ref="L2969:T2969"/>
    <mergeCell ref="L2970:T2970"/>
    <mergeCell ref="L2971:T2971"/>
    <mergeCell ref="L2972:T2972"/>
    <mergeCell ref="L2973:T2973"/>
    <mergeCell ref="L2974:T2974"/>
    <mergeCell ref="L2975:T2975"/>
    <mergeCell ref="L2976:T2976"/>
    <mergeCell ref="L2977:T2977"/>
    <mergeCell ref="L2980:T2980"/>
    <mergeCell ref="L2983:T2983"/>
    <mergeCell ref="L2984:T2984"/>
    <mergeCell ref="L2989:T2989"/>
    <mergeCell ref="L2992:T2992"/>
    <mergeCell ref="L2997:T2997"/>
    <mergeCell ref="L2999:T2999"/>
    <mergeCell ref="L3001:T3001"/>
    <mergeCell ref="L3005:T3005"/>
    <mergeCell ref="L3019:T3019"/>
    <mergeCell ref="L3020:T3020"/>
    <mergeCell ref="L3021:T3021"/>
    <mergeCell ref="L3022:T3022"/>
    <mergeCell ref="L3023:T3023"/>
    <mergeCell ref="L3024:T3024"/>
    <mergeCell ref="L3025:T3025"/>
    <mergeCell ref="L3026:T3026"/>
    <mergeCell ref="L3027:T3027"/>
    <mergeCell ref="L4547:T4547"/>
    <mergeCell ref="L4551:T4551"/>
    <mergeCell ref="L4552:T4552"/>
    <mergeCell ref="L4556:T4556"/>
    <mergeCell ref="L4560:T4560"/>
    <mergeCell ref="L4563:T4563"/>
    <mergeCell ref="L4568:T4568"/>
    <mergeCell ref="L4569:T4569"/>
    <mergeCell ref="L4599:T4599"/>
    <mergeCell ref="L4614:T4614"/>
    <mergeCell ref="L4617:T4617"/>
    <mergeCell ref="L4621:T4621"/>
    <mergeCell ref="L4629:T4629"/>
    <mergeCell ref="L4636:T4636"/>
    <mergeCell ref="L4338:T4338"/>
    <mergeCell ref="L4339:T4339"/>
    <mergeCell ref="L4340:T4340"/>
    <mergeCell ref="L4341:T4341"/>
    <mergeCell ref="L4342:T4342"/>
    <mergeCell ref="L4343:T4343"/>
    <mergeCell ref="L4344:T4344"/>
    <mergeCell ref="L4345:T4345"/>
    <mergeCell ref="L4346:T4346"/>
    <mergeCell ref="L4347:T4347"/>
    <mergeCell ref="L4348:T4348"/>
    <mergeCell ref="L4349:T4349"/>
    <mergeCell ref="L4350:T4350"/>
    <mergeCell ref="L4351:T4351"/>
    <mergeCell ref="L4352:T4352"/>
    <mergeCell ref="L4353:T4353"/>
    <mergeCell ref="L4354:T4354"/>
    <mergeCell ref="L4356:T4356"/>
    <mergeCell ref="L4367:T4367"/>
    <mergeCell ref="L4368:T4368"/>
    <mergeCell ref="L4371:T4371"/>
    <mergeCell ref="L4374:T4374"/>
    <mergeCell ref="L4378:T4378"/>
    <mergeCell ref="L4379:T4379"/>
    <mergeCell ref="L4381:T4381"/>
    <mergeCell ref="L4382:T4382"/>
    <mergeCell ref="L4383:T4383"/>
    <mergeCell ref="L4401:T4401"/>
    <mergeCell ref="L4423:T4423"/>
    <mergeCell ref="L4425:T4425"/>
    <mergeCell ref="L4426:T4426"/>
    <mergeCell ref="L4433:T4433"/>
    <mergeCell ref="L4435:T4435"/>
    <mergeCell ref="L4437:T4437"/>
    <mergeCell ref="L4456:T4456"/>
    <mergeCell ref="L4460:T4460"/>
    <mergeCell ref="L4466:T4466"/>
    <mergeCell ref="L4470:T4470"/>
    <mergeCell ref="L4472:T4472"/>
    <mergeCell ref="L4486:T4486"/>
    <mergeCell ref="L4489:T4489"/>
    <mergeCell ref="L4535:T4535"/>
    <mergeCell ref="L4697:T4697"/>
    <mergeCell ref="L4699:T4699"/>
    <mergeCell ref="L4700:T4700"/>
    <mergeCell ref="L4702:T4702"/>
    <mergeCell ref="L4703:T4703"/>
    <mergeCell ref="L4704:T4704"/>
    <mergeCell ref="L4710:T4710"/>
    <mergeCell ref="L3028:T3028"/>
    <mergeCell ref="L3128:T3128"/>
    <mergeCell ref="L3132:T3132"/>
    <mergeCell ref="L3133:T3133"/>
    <mergeCell ref="L3134:T3134"/>
    <mergeCell ref="L3135:T3135"/>
    <mergeCell ref="L3136:T3136"/>
    <mergeCell ref="L3137:T3137"/>
    <mergeCell ref="L3138:T3138"/>
    <mergeCell ref="L3139:T3139"/>
    <mergeCell ref="L3140:T3140"/>
    <mergeCell ref="L3141:T3141"/>
    <mergeCell ref="L3142:T3142"/>
    <mergeCell ref="L3143:T3143"/>
    <mergeCell ref="L3144:T3144"/>
    <mergeCell ref="L3145:T3145"/>
    <mergeCell ref="L3146:T3146"/>
    <mergeCell ref="L3147:T3147"/>
    <mergeCell ref="L3148:T3148"/>
    <mergeCell ref="L3149:T3149"/>
    <mergeCell ref="L3150:T3150"/>
    <mergeCell ref="L3151:T3151"/>
    <mergeCell ref="L3152:T3152"/>
    <mergeCell ref="L3153:T3153"/>
    <mergeCell ref="L3154:T3154"/>
    <mergeCell ref="L3155:T3155"/>
    <mergeCell ref="L3156:T3156"/>
    <mergeCell ref="L3157:T3157"/>
    <mergeCell ref="L3158:T3158"/>
    <mergeCell ref="L3159:T3159"/>
    <mergeCell ref="L3160:T3160"/>
    <mergeCell ref="L3161:T3161"/>
    <mergeCell ref="L3162:T3162"/>
    <mergeCell ref="L3163:T3163"/>
    <mergeCell ref="L3164:T3164"/>
    <mergeCell ref="L3165:T3165"/>
    <mergeCell ref="L3166:T3166"/>
    <mergeCell ref="L3167:T3167"/>
    <mergeCell ref="L3168:T3168"/>
    <mergeCell ref="L3169:T3169"/>
    <mergeCell ref="L3170:T3170"/>
    <mergeCell ref="L3171:T3171"/>
    <mergeCell ref="L3172:T3172"/>
    <mergeCell ref="L3173:T3173"/>
    <mergeCell ref="L3174:T3174"/>
    <mergeCell ref="L3175:T3175"/>
    <mergeCell ref="L3176:T3176"/>
    <mergeCell ref="L3177:T3177"/>
    <mergeCell ref="L3178:T3178"/>
    <mergeCell ref="L3179:T3179"/>
    <mergeCell ref="L3180:T3180"/>
    <mergeCell ref="L3181:T3181"/>
    <mergeCell ref="L3182:T3182"/>
    <mergeCell ref="L3183:T3183"/>
    <mergeCell ref="L3184:T3184"/>
    <mergeCell ref="L3185:T3185"/>
    <mergeCell ref="L3186:T3186"/>
    <mergeCell ref="L3187:T3187"/>
    <mergeCell ref="L3188:T3188"/>
    <mergeCell ref="L3189:T3189"/>
    <mergeCell ref="L3190:T3190"/>
    <mergeCell ref="L3191:T3191"/>
    <mergeCell ref="L3192:T3192"/>
    <mergeCell ref="L3193:T3193"/>
    <mergeCell ref="L3194:T3194"/>
    <mergeCell ref="L3195:T3195"/>
    <mergeCell ref="L3196:T3196"/>
    <mergeCell ref="L3197:T3197"/>
    <mergeCell ref="L3198:T3198"/>
    <mergeCell ref="L3199:T3199"/>
    <mergeCell ref="L3200:T3200"/>
    <mergeCell ref="L3201:T3201"/>
    <mergeCell ref="L3202:T3202"/>
    <mergeCell ref="L3203:T3203"/>
    <mergeCell ref="L3204:T3204"/>
    <mergeCell ref="L3205:T3205"/>
    <mergeCell ref="L3206:T3206"/>
    <mergeCell ref="L3207:T3207"/>
    <mergeCell ref="L3208:T3208"/>
    <mergeCell ref="L3209:T3209"/>
    <mergeCell ref="L3210:T3210"/>
    <mergeCell ref="L3211:T3211"/>
    <mergeCell ref="L3212:T3212"/>
    <mergeCell ref="L3213:T3213"/>
    <mergeCell ref="L3214:T3214"/>
    <mergeCell ref="L3215:T3215"/>
    <mergeCell ref="L3216:T3216"/>
    <mergeCell ref="L3217:T3217"/>
    <mergeCell ref="L3218:T3218"/>
    <mergeCell ref="L3219:T3219"/>
    <mergeCell ref="L3220:T3220"/>
    <mergeCell ref="L3221:T3221"/>
    <mergeCell ref="L3222:T3222"/>
    <mergeCell ref="L3223:T3223"/>
    <mergeCell ref="L3224:T3224"/>
    <mergeCell ref="L3225:T3225"/>
    <mergeCell ref="L3229:T3229"/>
    <mergeCell ref="L3233:T3233"/>
    <mergeCell ref="L3249:T3249"/>
    <mergeCell ref="L3262:T3262"/>
    <mergeCell ref="L3283:T3283"/>
    <mergeCell ref="L3344:T3344"/>
    <mergeCell ref="L3369:T3369"/>
    <mergeCell ref="L3370:T3370"/>
    <mergeCell ref="L3371:T3371"/>
    <mergeCell ref="L3372:T3372"/>
    <mergeCell ref="L3373:T3373"/>
    <mergeCell ref="L3374:T3374"/>
    <mergeCell ref="L3375:T3375"/>
    <mergeCell ref="L3376:T3376"/>
    <mergeCell ref="L3377:T3377"/>
    <mergeCell ref="L3378:T3378"/>
    <mergeCell ref="L3379:T3379"/>
    <mergeCell ref="L3380:T3380"/>
    <mergeCell ref="L3381:T3381"/>
    <mergeCell ref="L3382:T3382"/>
    <mergeCell ref="L3383:T3383"/>
    <mergeCell ref="L3384:T3384"/>
    <mergeCell ref="L3385:T3385"/>
    <mergeCell ref="L3386:T3386"/>
    <mergeCell ref="L3387:T3387"/>
    <mergeCell ref="L3388:T3388"/>
    <mergeCell ref="L3510:T3510"/>
    <mergeCell ref="L3518:T3518"/>
    <mergeCell ref="L3520:T3520"/>
    <mergeCell ref="L3535:T3535"/>
    <mergeCell ref="L3551:T3551"/>
    <mergeCell ref="L3577:T3577"/>
    <mergeCell ref="L3601:T3601"/>
    <mergeCell ref="L3616:T3616"/>
    <mergeCell ref="L3624:T3624"/>
    <mergeCell ref="L3629:T3629"/>
    <mergeCell ref="L3634:T3634"/>
    <mergeCell ref="L3645:T3645"/>
    <mergeCell ref="L3661:T3661"/>
    <mergeCell ref="L3687:T3687"/>
    <mergeCell ref="L3690:T3690"/>
    <mergeCell ref="L3693:T3693"/>
    <mergeCell ref="L3700:T3700"/>
    <mergeCell ref="L3703:T3703"/>
    <mergeCell ref="L3704:T3704"/>
    <mergeCell ref="L3737:T3737"/>
    <mergeCell ref="L3825:T3825"/>
    <mergeCell ref="L3826:T3826"/>
    <mergeCell ref="L3827:T3827"/>
    <mergeCell ref="L3828:T3828"/>
    <mergeCell ref="L3829:T3829"/>
    <mergeCell ref="L3830:T3830"/>
    <mergeCell ref="L3831:T3831"/>
    <mergeCell ref="L3832:T3832"/>
    <mergeCell ref="L3833:T3833"/>
    <mergeCell ref="L3834:T3834"/>
    <mergeCell ref="L3835:T3835"/>
    <mergeCell ref="L3836:T3836"/>
    <mergeCell ref="L3837:T3837"/>
    <mergeCell ref="L3838:T3838"/>
    <mergeCell ref="L3839:T3839"/>
    <mergeCell ref="L3840:T3840"/>
    <mergeCell ref="L3841:T3841"/>
    <mergeCell ref="L3842:T3842"/>
    <mergeCell ref="L3843:T3843"/>
    <mergeCell ref="L3844:T3844"/>
    <mergeCell ref="L3856:T3856"/>
    <mergeCell ref="L3861:T3861"/>
    <mergeCell ref="L3862:T3862"/>
    <mergeCell ref="L3872:T3872"/>
    <mergeCell ref="L3889:T3889"/>
    <mergeCell ref="L3890:T3890"/>
    <mergeCell ref="L3894:T3894"/>
    <mergeCell ref="L3895:T3895"/>
    <mergeCell ref="L3896:T3896"/>
    <mergeCell ref="L3900:T3900"/>
    <mergeCell ref="L3908:T3908"/>
    <mergeCell ref="L3909:T3909"/>
    <mergeCell ref="L3910:T3910"/>
    <mergeCell ref="L3911:T3911"/>
    <mergeCell ref="L3912:T3912"/>
    <mergeCell ref="L3913:T3913"/>
    <mergeCell ref="L3916:T3916"/>
    <mergeCell ref="L3917:T3917"/>
    <mergeCell ref="L3918:T3918"/>
    <mergeCell ref="L3919:T3919"/>
    <mergeCell ref="L3920:T3920"/>
    <mergeCell ref="L3921:T3921"/>
    <mergeCell ref="L3923:T3923"/>
    <mergeCell ref="L3924:T3924"/>
    <mergeCell ref="L3925:T3925"/>
    <mergeCell ref="L3927:T3927"/>
    <mergeCell ref="L3928:T3928"/>
    <mergeCell ref="L3929:T3929"/>
    <mergeCell ref="L3930:T3930"/>
    <mergeCell ref="L3931:T3931"/>
    <mergeCell ref="L3933:T3933"/>
    <mergeCell ref="L3974:T3974"/>
    <mergeCell ref="L3990:T3990"/>
    <mergeCell ref="L3991:T3991"/>
    <mergeCell ref="L4003:T4003"/>
    <mergeCell ref="L4054:T4054"/>
    <mergeCell ref="L4055:T4055"/>
    <mergeCell ref="L4074:T4074"/>
    <mergeCell ref="L4077:T4077"/>
    <mergeCell ref="L4085:T4085"/>
    <mergeCell ref="L4086:T4086"/>
    <mergeCell ref="L4087:T4087"/>
    <mergeCell ref="L4107:T4107"/>
    <mergeCell ref="L4115:T4115"/>
    <mergeCell ref="L4117:T4117"/>
    <mergeCell ref="L4122:T4122"/>
    <mergeCell ref="L4125:T4125"/>
    <mergeCell ref="L4126:T4126"/>
    <mergeCell ref="L4127:T4127"/>
    <mergeCell ref="L4148:T4148"/>
    <mergeCell ref="L4149:T4149"/>
    <mergeCell ref="L4155:T4155"/>
    <mergeCell ref="L4160:T4160"/>
    <mergeCell ref="L4165:T4165"/>
    <mergeCell ref="L4166:T4166"/>
    <mergeCell ref="L4167:T4167"/>
    <mergeCell ref="L4168:T4168"/>
    <mergeCell ref="L4183:T4183"/>
    <mergeCell ref="L4187:T4187"/>
    <mergeCell ref="L4188:T4188"/>
    <mergeCell ref="L4189:T4189"/>
    <mergeCell ref="L4191:T4191"/>
    <mergeCell ref="L4197:T4197"/>
    <mergeCell ref="L4200:T4200"/>
    <mergeCell ref="L4221:T4221"/>
    <mergeCell ref="L4242:T4242"/>
    <mergeCell ref="L4246:T4246"/>
    <mergeCell ref="L4251:T4251"/>
    <mergeCell ref="L4252:T4252"/>
    <mergeCell ref="L4256:T4256"/>
    <mergeCell ref="L4258:T4258"/>
    <mergeCell ref="L4266:T4266"/>
    <mergeCell ref="L4268:T4268"/>
    <mergeCell ref="L4272:T4272"/>
    <mergeCell ref="L4296:T4296"/>
    <mergeCell ref="L4297:T4297"/>
    <mergeCell ref="L4308:T4308"/>
    <mergeCell ref="L4309:T4309"/>
    <mergeCell ref="L4333:T4333"/>
    <mergeCell ref="L4334:T4334"/>
    <mergeCell ref="L4335:T4335"/>
    <mergeCell ref="L4336:T4336"/>
    <mergeCell ref="L4337:T4337"/>
    <mergeCell ref="L4653:T4653"/>
    <mergeCell ref="L4666:T4666"/>
    <mergeCell ref="L4671:T4671"/>
    <mergeCell ref="L4676:T4676"/>
    <mergeCell ref="L4677:T4677"/>
    <mergeCell ref="L4678:T4678"/>
    <mergeCell ref="L4681:T4681"/>
    <mergeCell ref="L4682:T4682"/>
    <mergeCell ref="L4684:T4684"/>
    <mergeCell ref="L4687:T4687"/>
    <mergeCell ref="L4691:T4691"/>
    <mergeCell ref="L4692:T4692"/>
    <mergeCell ref="L4693:T4693"/>
    <mergeCell ref="L4694:T4694"/>
    <mergeCell ref="L4878:T4878"/>
    <mergeCell ref="L4883:T4883"/>
    <mergeCell ref="L4884:T4884"/>
    <mergeCell ref="L4889:T4889"/>
    <mergeCell ref="L4899:T4899"/>
    <mergeCell ref="L4915:T4915"/>
    <mergeCell ref="L4917:T4917"/>
    <mergeCell ref="L4918:T4918"/>
    <mergeCell ref="L4919:T4919"/>
    <mergeCell ref="L4924:T4924"/>
    <mergeCell ref="L4926:T4926"/>
    <mergeCell ref="L4927:T4927"/>
    <mergeCell ref="L4929:T4929"/>
    <mergeCell ref="L4931:T4931"/>
    <mergeCell ref="L4933:T4933"/>
    <mergeCell ref="L4936:T4936"/>
    <mergeCell ref="L4944:T4944"/>
    <mergeCell ref="L4955:T4955"/>
    <mergeCell ref="L4956:T4956"/>
    <mergeCell ref="L4958:T4958"/>
    <mergeCell ref="L4959:T4959"/>
    <mergeCell ref="L4960:T4960"/>
    <mergeCell ref="L4972:T4972"/>
    <mergeCell ref="L4978:T4978"/>
    <mergeCell ref="L4981:T4981"/>
    <mergeCell ref="L4989:T4989"/>
    <mergeCell ref="L4990:T4990"/>
    <mergeCell ref="L4991:T4991"/>
    <mergeCell ref="L4714:T4714"/>
    <mergeCell ref="L4719:T4719"/>
    <mergeCell ref="L4720:T4720"/>
    <mergeCell ref="L4721:T4721"/>
    <mergeCell ref="L4728:T4728"/>
    <mergeCell ref="L4729:T4729"/>
    <mergeCell ref="L4730:T4730"/>
    <mergeCell ref="L4732:T4732"/>
    <mergeCell ref="L4733:T4733"/>
    <mergeCell ref="L4734:T4734"/>
    <mergeCell ref="L4735:T4735"/>
    <mergeCell ref="L4741:T4741"/>
    <mergeCell ref="L4742:T4742"/>
    <mergeCell ref="L4746:T4746"/>
    <mergeCell ref="L4747:T4747"/>
    <mergeCell ref="L4748:T4748"/>
    <mergeCell ref="L4749:T4749"/>
    <mergeCell ref="L4751:T4751"/>
    <mergeCell ref="L4757:T4757"/>
    <mergeCell ref="L4760:T4760"/>
    <mergeCell ref="L4763:T4763"/>
    <mergeCell ref="L4768:T4768"/>
    <mergeCell ref="L4771:T4771"/>
    <mergeCell ref="L4779:T4779"/>
    <mergeCell ref="L4781:T4781"/>
    <mergeCell ref="L4784:T4784"/>
    <mergeCell ref="L4788:T4788"/>
    <mergeCell ref="L4789:T4789"/>
    <mergeCell ref="L4793:T4793"/>
    <mergeCell ref="L4797:T4797"/>
    <mergeCell ref="L4813:T4813"/>
    <mergeCell ref="L4818:T4818"/>
    <mergeCell ref="L4819:T4819"/>
    <mergeCell ref="L4820:T4820"/>
    <mergeCell ref="L4823:T4823"/>
    <mergeCell ref="L4827:T4827"/>
    <mergeCell ref="L4835:T4835"/>
    <mergeCell ref="L4836:T4836"/>
    <mergeCell ref="L4841:T4841"/>
    <mergeCell ref="L4849:T4849"/>
    <mergeCell ref="L4867:T4867"/>
    <mergeCell ref="L4871:T4871"/>
    <mergeCell ref="L4994:T4994"/>
    <mergeCell ref="L4997:T4997"/>
    <mergeCell ref="L5002:T5002"/>
    <mergeCell ref="L5017:T5017"/>
    <mergeCell ref="L5019:T5019"/>
    <mergeCell ref="L5020:T5020"/>
    <mergeCell ref="L5026:T5026"/>
    <mergeCell ref="L5027:T5027"/>
    <mergeCell ref="L5029:T5029"/>
    <mergeCell ref="L5044:T5044"/>
    <mergeCell ref="L5045:T5045"/>
    <mergeCell ref="L5049:T5049"/>
    <mergeCell ref="L5050:T5050"/>
    <mergeCell ref="L5051:T5051"/>
    <mergeCell ref="L5052:T5052"/>
    <mergeCell ref="L5055:T5055"/>
    <mergeCell ref="L5056:T5056"/>
    <mergeCell ref="L5065:T5065"/>
    <mergeCell ref="L5066:T5066"/>
    <mergeCell ref="L5083:T5083"/>
    <mergeCell ref="L5093:T5093"/>
    <mergeCell ref="L5103:T5103"/>
    <mergeCell ref="L5106:T5106"/>
    <mergeCell ref="L5107:T5107"/>
    <mergeCell ref="L5109:T5109"/>
    <mergeCell ref="L5110:T5110"/>
    <mergeCell ref="L5111:T5111"/>
    <mergeCell ref="L5113:T5113"/>
    <mergeCell ref="L5114:T5114"/>
    <mergeCell ref="L5115:T5115"/>
    <mergeCell ref="L5117:T5117"/>
    <mergeCell ref="L5118:T5118"/>
    <mergeCell ref="L5122:T5122"/>
    <mergeCell ref="L5125:T5125"/>
    <mergeCell ref="L5130:T5130"/>
    <mergeCell ref="L5132:T5132"/>
    <mergeCell ref="L5140:T5140"/>
    <mergeCell ref="L5143:T5143"/>
    <mergeCell ref="L5149:T5149"/>
    <mergeCell ref="L5152:T5152"/>
    <mergeCell ref="L5153:T5153"/>
    <mergeCell ref="L5159:T5159"/>
    <mergeCell ref="L5163:T5163"/>
    <mergeCell ref="L5173:T5173"/>
    <mergeCell ref="L5176:T5176"/>
    <mergeCell ref="L5188:T5188"/>
    <mergeCell ref="L5189:T5189"/>
    <mergeCell ref="L5192:T5192"/>
    <mergeCell ref="L5193:T5193"/>
    <mergeCell ref="L5203:T5203"/>
    <mergeCell ref="L5204:T5204"/>
    <mergeCell ref="L5209:T5209"/>
    <mergeCell ref="L5210:T5210"/>
    <mergeCell ref="L5211:T5211"/>
    <mergeCell ref="L5217:T5217"/>
    <mergeCell ref="L5235:T5235"/>
    <mergeCell ref="L5535:T5535"/>
    <mergeCell ref="L5540:T5540"/>
    <mergeCell ref="L5542:T5542"/>
    <mergeCell ref="L5544:T5544"/>
    <mergeCell ref="L5545:T5545"/>
    <mergeCell ref="L5550:T5550"/>
    <mergeCell ref="L5551:T5551"/>
    <mergeCell ref="L5552:T5552"/>
    <mergeCell ref="L5553:T5553"/>
    <mergeCell ref="L5558:T5558"/>
    <mergeCell ref="L5561:T5561"/>
    <mergeCell ref="L5569:T5569"/>
    <mergeCell ref="L5584:T5584"/>
    <mergeCell ref="L5596:T5596"/>
    <mergeCell ref="L5239:T5239"/>
    <mergeCell ref="L5241:T5241"/>
    <mergeCell ref="L5252:T5252"/>
    <mergeCell ref="L5273:T5273"/>
    <mergeCell ref="L5274:T5274"/>
    <mergeCell ref="L5275:T5275"/>
    <mergeCell ref="L5278:T5278"/>
    <mergeCell ref="L5282:T5282"/>
    <mergeCell ref="L5285:T5285"/>
    <mergeCell ref="L5290:T5290"/>
    <mergeCell ref="L5297:T5297"/>
    <mergeCell ref="L5298:T5298"/>
    <mergeCell ref="L5300:T5300"/>
    <mergeCell ref="L5302:T5302"/>
    <mergeCell ref="L5303:T5303"/>
    <mergeCell ref="L5314:T5314"/>
    <mergeCell ref="L5315:T5315"/>
    <mergeCell ref="L5322:T5322"/>
    <mergeCell ref="L5323:T5323"/>
    <mergeCell ref="L5324:T5324"/>
    <mergeCell ref="L5332:T5332"/>
    <mergeCell ref="L5340:T5340"/>
    <mergeCell ref="L5346:T5346"/>
    <mergeCell ref="L5347:T5347"/>
    <mergeCell ref="L5348:T5348"/>
    <mergeCell ref="L5353:T5353"/>
    <mergeCell ref="L5355:T5355"/>
    <mergeCell ref="L5356:T5356"/>
    <mergeCell ref="L5357:T5357"/>
    <mergeCell ref="L5364:T5364"/>
    <mergeCell ref="L5369:T5369"/>
    <mergeCell ref="L5407:T5407"/>
    <mergeCell ref="L5425:T5425"/>
    <mergeCell ref="L5427:T5427"/>
    <mergeCell ref="L5450:T5450"/>
    <mergeCell ref="L5456:T5456"/>
    <mergeCell ref="L5504:T5504"/>
    <mergeCell ref="L5505:T5505"/>
    <mergeCell ref="L5510:T5510"/>
    <mergeCell ref="L5511:T5511"/>
    <mergeCell ref="L5512:T5512"/>
    <mergeCell ref="L5526:T5526"/>
    <mergeCell ref="L5600:T5600"/>
    <mergeCell ref="L5601:T5601"/>
    <mergeCell ref="L5617:T5617"/>
    <mergeCell ref="L5618:T5618"/>
    <mergeCell ref="L5621:T5621"/>
    <mergeCell ref="L5654:T5654"/>
    <mergeCell ref="L5656:T5656"/>
    <mergeCell ref="L5662:T5662"/>
    <mergeCell ref="L5666:T5666"/>
    <mergeCell ref="L5677:T5677"/>
    <mergeCell ref="L5684:T5684"/>
    <mergeCell ref="L5689:T5689"/>
    <mergeCell ref="L5695:T5695"/>
    <mergeCell ref="L5697:T5697"/>
    <mergeCell ref="L5698:T5698"/>
    <mergeCell ref="L5720:T5720"/>
    <mergeCell ref="L5729:T5729"/>
    <mergeCell ref="L5738:T5738"/>
    <mergeCell ref="L5752:T5752"/>
    <mergeCell ref="L5759:T5759"/>
    <mergeCell ref="L5784:T5784"/>
    <mergeCell ref="L5796:T5796"/>
    <mergeCell ref="L5812:T5812"/>
    <mergeCell ref="L5814:T5814"/>
    <mergeCell ref="L5815:T5815"/>
    <mergeCell ref="L5817:T5817"/>
    <mergeCell ref="L5818:T5818"/>
    <mergeCell ref="L5819:T5819"/>
    <mergeCell ref="L5820:T5820"/>
    <mergeCell ref="L5821:T5821"/>
    <mergeCell ref="L5822:T5822"/>
    <mergeCell ref="L5823:T5823"/>
    <mergeCell ref="L5824:T5824"/>
    <mergeCell ref="L5825:T5825"/>
    <mergeCell ref="L5826:T5826"/>
    <mergeCell ref="L5827:T5827"/>
    <mergeCell ref="L5828:T5828"/>
    <mergeCell ref="L5829:T5829"/>
    <mergeCell ref="L5830:T5830"/>
    <mergeCell ref="L5831:T5831"/>
    <mergeCell ref="L5832:T5832"/>
    <mergeCell ref="L5834:T5834"/>
    <mergeCell ref="L5835:T5835"/>
    <mergeCell ref="L5836:T5836"/>
    <mergeCell ref="L5837:T5837"/>
    <mergeCell ref="L5838:T5838"/>
    <mergeCell ref="L5839:T5839"/>
    <mergeCell ref="L5840:T5840"/>
    <mergeCell ref="L5841:T5841"/>
    <mergeCell ref="L5842:T5842"/>
    <mergeCell ref="L5843:T5843"/>
    <mergeCell ref="L5844:T5844"/>
    <mergeCell ref="L5845:T5845"/>
    <mergeCell ref="L5846:T5846"/>
    <mergeCell ref="L5847:T5847"/>
    <mergeCell ref="L5848:T5848"/>
    <mergeCell ref="L5849:T5849"/>
    <mergeCell ref="L5850:T5850"/>
    <mergeCell ref="L5851:T5851"/>
    <mergeCell ref="L5852:T5852"/>
    <mergeCell ref="L5853:T5853"/>
    <mergeCell ref="L5854:T5854"/>
    <mergeCell ref="L5855:T5855"/>
    <mergeCell ref="L5856:T5856"/>
    <mergeCell ref="L5857:T5857"/>
    <mergeCell ref="L5858:T5858"/>
    <mergeCell ref="L5859:T5859"/>
    <mergeCell ref="L5860:T5860"/>
    <mergeCell ref="L5861:T5861"/>
    <mergeCell ref="L5862:T5862"/>
    <mergeCell ref="L5863:T5863"/>
    <mergeCell ref="L5864:T5864"/>
    <mergeCell ref="L5865:T5865"/>
    <mergeCell ref="L5867:T5867"/>
    <mergeCell ref="L5869:T5869"/>
    <mergeCell ref="L5870:T5870"/>
    <mergeCell ref="L5871:T5871"/>
    <mergeCell ref="L5872:T5872"/>
    <mergeCell ref="L5873:T5873"/>
    <mergeCell ref="L5874:T5874"/>
    <mergeCell ref="L5884:T5884"/>
    <mergeCell ref="L5889:T5889"/>
    <mergeCell ref="L5906:T5906"/>
    <mergeCell ref="L5908:T5908"/>
    <mergeCell ref="L5914:T5914"/>
    <mergeCell ref="L5917:T5917"/>
    <mergeCell ref="L5923:T5923"/>
    <mergeCell ref="L5936:T5936"/>
    <mergeCell ref="L5937:T5937"/>
    <mergeCell ref="L5952:T5952"/>
    <mergeCell ref="L5965:T5965"/>
    <mergeCell ref="L5970:T5970"/>
    <mergeCell ref="L5971:T5971"/>
    <mergeCell ref="L5980:T5980"/>
    <mergeCell ref="L5982:T5982"/>
    <mergeCell ref="L5983:T5983"/>
    <mergeCell ref="L5985:T5985"/>
    <mergeCell ref="L6002:T6002"/>
    <mergeCell ref="L6004:T6004"/>
    <mergeCell ref="L6014:T6014"/>
    <mergeCell ref="L6018:T6018"/>
    <mergeCell ref="L6019:T6019"/>
    <mergeCell ref="L6024:T6024"/>
    <mergeCell ref="L6025:T6025"/>
    <mergeCell ref="L6026:T6026"/>
    <mergeCell ref="L7327:T7327"/>
    <mergeCell ref="L7345:T7345"/>
    <mergeCell ref="L7346:T7346"/>
    <mergeCell ref="L7347:T7347"/>
    <mergeCell ref="L7349:T7349"/>
    <mergeCell ref="L7352:T7352"/>
    <mergeCell ref="L7353:T7353"/>
    <mergeCell ref="L7355:T7355"/>
    <mergeCell ref="L7356:T7356"/>
    <mergeCell ref="L7357:T7357"/>
    <mergeCell ref="L7372:T7372"/>
    <mergeCell ref="L7381:T7381"/>
    <mergeCell ref="L7389:T7389"/>
    <mergeCell ref="L7396:T7396"/>
    <mergeCell ref="L7400:T7400"/>
    <mergeCell ref="L7401:T7401"/>
    <mergeCell ref="L7402:T7402"/>
    <mergeCell ref="L7403:T7403"/>
    <mergeCell ref="L7404:T7404"/>
    <mergeCell ref="L7405:T7405"/>
    <mergeCell ref="L7406:T7406"/>
    <mergeCell ref="L7410:T7410"/>
    <mergeCell ref="L7416:T7416"/>
    <mergeCell ref="L7417:T7417"/>
    <mergeCell ref="L7418:T7418"/>
    <mergeCell ref="L7419:T7419"/>
    <mergeCell ref="L7421:T7421"/>
    <mergeCell ref="L7444:T7444"/>
    <mergeCell ref="L7056:S7056"/>
    <mergeCell ref="L7057:S7057"/>
    <mergeCell ref="L7058:S7058"/>
    <mergeCell ref="L7059:S7059"/>
    <mergeCell ref="L7060:S7060"/>
    <mergeCell ref="L7061:S7061"/>
    <mergeCell ref="L7062:S7062"/>
    <mergeCell ref="L7063:S7063"/>
    <mergeCell ref="L7064:S7064"/>
    <mergeCell ref="L7065:S7065"/>
    <mergeCell ref="L7066:S7066"/>
    <mergeCell ref="L7067:S7067"/>
    <mergeCell ref="L7068:S7068"/>
    <mergeCell ref="L7069:S7069"/>
    <mergeCell ref="L7070:S7070"/>
    <mergeCell ref="L7071:S7071"/>
    <mergeCell ref="L7072:S7072"/>
    <mergeCell ref="L7073:S7073"/>
    <mergeCell ref="L7074:S7074"/>
    <mergeCell ref="L7080:T7080"/>
    <mergeCell ref="L7081:T7081"/>
    <mergeCell ref="L7109:T7109"/>
    <mergeCell ref="L7110:T7110"/>
    <mergeCell ref="L7147:T7147"/>
    <mergeCell ref="L7150:T7150"/>
    <mergeCell ref="L7151:T7151"/>
    <mergeCell ref="L7154:T7154"/>
    <mergeCell ref="L7155:T7155"/>
    <mergeCell ref="L7165:T7165"/>
    <mergeCell ref="L7166:T7166"/>
    <mergeCell ref="L7170:T7170"/>
    <mergeCell ref="L7174:T7174"/>
    <mergeCell ref="L7183:T7183"/>
    <mergeCell ref="L7203:T7203"/>
    <mergeCell ref="L7229:T7229"/>
    <mergeCell ref="L7230:T7230"/>
    <mergeCell ref="L7241:T7241"/>
    <mergeCell ref="L7243:T7243"/>
    <mergeCell ref="L7244:T7244"/>
    <mergeCell ref="L7245:T7245"/>
    <mergeCell ref="L7247:T7247"/>
    <mergeCell ref="L7248:T7248"/>
    <mergeCell ref="L7452:T7452"/>
    <mergeCell ref="L7457:T7457"/>
    <mergeCell ref="L7459:T7459"/>
    <mergeCell ref="L7470:T7470"/>
    <mergeCell ref="L7471:T7471"/>
    <mergeCell ref="L7472:T7472"/>
    <mergeCell ref="L7510:T7510"/>
    <mergeCell ref="L7933:T7933"/>
    <mergeCell ref="L7934:T7934"/>
    <mergeCell ref="L7935:T7935"/>
    <mergeCell ref="L7936:T7936"/>
    <mergeCell ref="L7937:T7937"/>
    <mergeCell ref="L7938:T7938"/>
    <mergeCell ref="L7939:T7939"/>
    <mergeCell ref="L7940:T7940"/>
    <mergeCell ref="L7941:T7941"/>
    <mergeCell ref="L7942:T7942"/>
    <mergeCell ref="L7943:T7943"/>
    <mergeCell ref="L7944:T7944"/>
    <mergeCell ref="L7945:T7945"/>
    <mergeCell ref="L7946:T7946"/>
    <mergeCell ref="L7954:T7954"/>
    <mergeCell ref="L7955:T7955"/>
    <mergeCell ref="L7956:T7956"/>
    <mergeCell ref="L7957:T7957"/>
    <mergeCell ref="L7958:T7958"/>
    <mergeCell ref="L7962:T7962"/>
    <mergeCell ref="L7991:T7991"/>
    <mergeCell ref="L7993:T7993"/>
    <mergeCell ref="L7947:T7947"/>
    <mergeCell ref="L7948:T7948"/>
    <mergeCell ref="L7949:T7949"/>
    <mergeCell ref="L7950:T7950"/>
    <mergeCell ref="L7951:T7951"/>
    <mergeCell ref="L7952:T7952"/>
    <mergeCell ref="L7953:T7953"/>
    <mergeCell ref="L7515:T7515"/>
    <mergeCell ref="L7519:T7519"/>
    <mergeCell ref="L7527:T7527"/>
    <mergeCell ref="L7590:T7590"/>
    <mergeCell ref="L7607:T7607"/>
    <mergeCell ref="L7608:T7608"/>
    <mergeCell ref="L7609:T7609"/>
    <mergeCell ref="L7612:T7612"/>
    <mergeCell ref="L7613:T7613"/>
    <mergeCell ref="L7617:T7617"/>
    <mergeCell ref="L7618:T7618"/>
    <mergeCell ref="L7621:T7621"/>
    <mergeCell ref="L7622:T7622"/>
    <mergeCell ref="L7623:T7623"/>
    <mergeCell ref="L7625:T7625"/>
    <mergeCell ref="L7627:T7627"/>
    <mergeCell ref="L7633:T7633"/>
    <mergeCell ref="L7634:T7634"/>
    <mergeCell ref="L7639:T7639"/>
    <mergeCell ref="L7640:T7640"/>
    <mergeCell ref="L7645:T7645"/>
    <mergeCell ref="L7647:T7647"/>
    <mergeCell ref="L7659:T7659"/>
    <mergeCell ref="L7667:T7667"/>
    <mergeCell ref="L7678:T7678"/>
    <mergeCell ref="L7680:T7680"/>
    <mergeCell ref="L7683:T7683"/>
    <mergeCell ref="L7684:T7684"/>
    <mergeCell ref="L7687:T7687"/>
    <mergeCell ref="L7700:T7700"/>
    <mergeCell ref="L7708:T7708"/>
    <mergeCell ref="L7732:T7732"/>
    <mergeCell ref="L7734:T7734"/>
    <mergeCell ref="L7902:T7902"/>
    <mergeCell ref="L7904:T7904"/>
    <mergeCell ref="L7909:T7909"/>
    <mergeCell ref="L7920:T7920"/>
    <mergeCell ref="L7921:T7921"/>
    <mergeCell ref="L7922:T7922"/>
    <mergeCell ref="L7923:T7923"/>
    <mergeCell ref="L7924:T7924"/>
    <mergeCell ref="L7925:T7925"/>
    <mergeCell ref="L7926:T7926"/>
    <mergeCell ref="L7927:T7927"/>
    <mergeCell ref="L7928:T7928"/>
    <mergeCell ref="L7929:T7929"/>
    <mergeCell ref="L7930:T7930"/>
    <mergeCell ref="L7931:T7931"/>
    <mergeCell ref="L7932:T7932"/>
    <mergeCell ref="L6059:T6059"/>
    <mergeCell ref="L6062:T6062"/>
    <mergeCell ref="L6064:T6064"/>
    <mergeCell ref="L6066:T6066"/>
    <mergeCell ref="L6078:T6078"/>
    <mergeCell ref="L6080:T6080"/>
    <mergeCell ref="L6081:T6081"/>
    <mergeCell ref="L6082:T6082"/>
    <mergeCell ref="L6083:T6083"/>
    <mergeCell ref="L6085:T6085"/>
    <mergeCell ref="L6087:T6087"/>
    <mergeCell ref="L6117:T6117"/>
    <mergeCell ref="L6122:T6122"/>
    <mergeCell ref="L6125:T6125"/>
    <mergeCell ref="L6130:T6130"/>
    <mergeCell ref="L6131:T6131"/>
    <mergeCell ref="L6132:T6132"/>
    <mergeCell ref="L6133:T6133"/>
    <mergeCell ref="L6134:T6134"/>
    <mergeCell ref="L6136:T6136"/>
    <mergeCell ref="L6137:T6137"/>
    <mergeCell ref="L6140:T6140"/>
    <mergeCell ref="L6143:T6143"/>
    <mergeCell ref="L6170:T6170"/>
    <mergeCell ref="L6178:T6178"/>
    <mergeCell ref="L6184:T6184"/>
    <mergeCell ref="L6185:T6185"/>
    <mergeCell ref="L6186:T6186"/>
    <mergeCell ref="L6190:T6190"/>
    <mergeCell ref="L6191:T6191"/>
    <mergeCell ref="L6192:T6192"/>
    <mergeCell ref="L6193:T6193"/>
    <mergeCell ref="L6194:T6194"/>
    <mergeCell ref="L6195:T6195"/>
    <mergeCell ref="L6200:T6200"/>
    <mergeCell ref="L6204:T6204"/>
    <mergeCell ref="L6210:T6210"/>
    <mergeCell ref="L6217:T6217"/>
    <mergeCell ref="L6235:T6235"/>
    <mergeCell ref="L6236:T6236"/>
    <mergeCell ref="L6249:T6249"/>
    <mergeCell ref="L6251:T6251"/>
    <mergeCell ref="L6255:T6255"/>
    <mergeCell ref="L6256:T6256"/>
    <mergeCell ref="L6261:T6261"/>
    <mergeCell ref="L6262:T6262"/>
    <mergeCell ref="L6263:T6263"/>
    <mergeCell ref="L6264:T6264"/>
    <mergeCell ref="L6265:T6265"/>
    <mergeCell ref="L6266:T6266"/>
    <mergeCell ref="L6267:T6267"/>
    <mergeCell ref="L6268:T6268"/>
    <mergeCell ref="L6269:T6269"/>
    <mergeCell ref="L6270:T6270"/>
    <mergeCell ref="L6271:T6271"/>
    <mergeCell ref="L6272:T6272"/>
    <mergeCell ref="L6273:T6273"/>
    <mergeCell ref="L6274:T6274"/>
    <mergeCell ref="L6275:T6275"/>
    <mergeCell ref="L6276:T6276"/>
    <mergeCell ref="L6277:T6277"/>
    <mergeCell ref="L6278:T6278"/>
    <mergeCell ref="L6279:T6279"/>
    <mergeCell ref="L6280:T6280"/>
    <mergeCell ref="L6281:T6281"/>
    <mergeCell ref="L6282:T6282"/>
    <mergeCell ref="L6283:T6283"/>
    <mergeCell ref="L6284:T6284"/>
    <mergeCell ref="L6285:T6285"/>
    <mergeCell ref="L6286:T6286"/>
    <mergeCell ref="L6287:T6287"/>
    <mergeCell ref="L6288:T6288"/>
    <mergeCell ref="L6289:T6289"/>
    <mergeCell ref="L6290:T6290"/>
    <mergeCell ref="L6291:T6291"/>
    <mergeCell ref="L6294:T6294"/>
    <mergeCell ref="L6295:T6295"/>
    <mergeCell ref="L6296:T6296"/>
    <mergeCell ref="L6297:T6297"/>
    <mergeCell ref="L6300:T6300"/>
    <mergeCell ref="L6301:T6301"/>
    <mergeCell ref="L6302:T6302"/>
    <mergeCell ref="L6303:T6303"/>
    <mergeCell ref="L6304:T6304"/>
    <mergeCell ref="L6305:T6305"/>
    <mergeCell ref="L6306:T6306"/>
    <mergeCell ref="L6307:T6307"/>
    <mergeCell ref="L6308:T6308"/>
    <mergeCell ref="L6309:T6309"/>
    <mergeCell ref="L6310:T6310"/>
    <mergeCell ref="L6311:T6311"/>
    <mergeCell ref="L6312:T6312"/>
    <mergeCell ref="L6313:T6313"/>
    <mergeCell ref="L6331:T6331"/>
    <mergeCell ref="L6350:T6350"/>
    <mergeCell ref="L6352:T6352"/>
    <mergeCell ref="L6353:T6353"/>
    <mergeCell ref="L6356:T6356"/>
    <mergeCell ref="L6896:T6896"/>
    <mergeCell ref="L6897:T6897"/>
    <mergeCell ref="L6898:T6898"/>
    <mergeCell ref="L6899:T6899"/>
    <mergeCell ref="L6900:T6900"/>
    <mergeCell ref="L6901:T6901"/>
    <mergeCell ref="L6902:T6902"/>
    <mergeCell ref="L6903:T6903"/>
    <mergeCell ref="L6908:T6908"/>
    <mergeCell ref="L6911:T6911"/>
    <mergeCell ref="L6912:T6912"/>
    <mergeCell ref="L6914:T6914"/>
    <mergeCell ref="L6916:T6916"/>
    <mergeCell ref="L6918:T6918"/>
    <mergeCell ref="L6921:T6921"/>
    <mergeCell ref="L6930:T6930"/>
    <mergeCell ref="L6933:T6933"/>
    <mergeCell ref="L6934:T6934"/>
    <mergeCell ref="L6935:T6935"/>
    <mergeCell ref="L6936:T6936"/>
    <mergeCell ref="L6937:T6937"/>
    <mergeCell ref="L6938:T6938"/>
    <mergeCell ref="L6939:T6939"/>
    <mergeCell ref="L6940:T6940"/>
    <mergeCell ref="L6943:T6943"/>
    <mergeCell ref="L6944:T6944"/>
    <mergeCell ref="L6951:T6951"/>
    <mergeCell ref="L6976:T6976"/>
    <mergeCell ref="L6401:T6401"/>
    <mergeCell ref="L6403:T6403"/>
    <mergeCell ref="L6426:T6426"/>
    <mergeCell ref="L6427:T6427"/>
    <mergeCell ref="L6429:T6429"/>
    <mergeCell ref="L6430:T6430"/>
    <mergeCell ref="L6459:T6459"/>
    <mergeCell ref="L6460:T6460"/>
    <mergeCell ref="L6462:T6462"/>
    <mergeCell ref="L6463:T6463"/>
    <mergeCell ref="L6465:T6465"/>
    <mergeCell ref="L6471:T6471"/>
    <mergeCell ref="L6472:T6472"/>
    <mergeCell ref="L6490:T6490"/>
    <mergeCell ref="L6493:T6493"/>
    <mergeCell ref="L6496:T6496"/>
    <mergeCell ref="L6499:T6499"/>
    <mergeCell ref="L6525:T6525"/>
    <mergeCell ref="L6526:T6526"/>
    <mergeCell ref="L6556:T6556"/>
    <mergeCell ref="L6558:T6558"/>
    <mergeCell ref="L6560:T6560"/>
    <mergeCell ref="L6568:T6568"/>
    <mergeCell ref="L6573:T6573"/>
    <mergeCell ref="L6579:T6579"/>
    <mergeCell ref="L6585:T6585"/>
    <mergeCell ref="L6593:T6593"/>
    <mergeCell ref="L6610:T6610"/>
    <mergeCell ref="L6622:T6622"/>
    <mergeCell ref="L6636:T6636"/>
    <mergeCell ref="L6640:T6640"/>
    <mergeCell ref="L6641:T6641"/>
    <mergeCell ref="L6712:T6712"/>
    <mergeCell ref="L6714:T6714"/>
    <mergeCell ref="L6732:T6732"/>
    <mergeCell ref="L6743:T6743"/>
    <mergeCell ref="L6744:T6744"/>
    <mergeCell ref="L6752:T6752"/>
    <mergeCell ref="L6855:T6855"/>
    <mergeCell ref="L6865:T6865"/>
    <mergeCell ref="L6868:T6868"/>
    <mergeCell ref="L6879:T6879"/>
    <mergeCell ref="L6981:T6981"/>
    <mergeCell ref="L6983:T6983"/>
    <mergeCell ref="L6985:T6985"/>
    <mergeCell ref="L6992:T6992"/>
    <mergeCell ref="L7000:T7000"/>
    <mergeCell ref="L7002:T7002"/>
    <mergeCell ref="L7003:T7003"/>
    <mergeCell ref="L7006:T7006"/>
    <mergeCell ref="L7007:T7007"/>
    <mergeCell ref="L7009:T7009"/>
    <mergeCell ref="L7010:T7010"/>
    <mergeCell ref="L7011:T7011"/>
    <mergeCell ref="L7012:T7012"/>
    <mergeCell ref="L7013:T7013"/>
    <mergeCell ref="L7014:T7014"/>
    <mergeCell ref="L7015:T7015"/>
    <mergeCell ref="L7016:T7016"/>
    <mergeCell ref="L7017:T7017"/>
    <mergeCell ref="L7018:T7018"/>
    <mergeCell ref="L7019:T7019"/>
    <mergeCell ref="L7020:T7020"/>
    <mergeCell ref="L7021:T7021"/>
    <mergeCell ref="L7022:T7022"/>
    <mergeCell ref="L7023:T7023"/>
    <mergeCell ref="L7024:T7024"/>
    <mergeCell ref="L7025:T7025"/>
    <mergeCell ref="L7026:T7026"/>
    <mergeCell ref="L7027:T7027"/>
    <mergeCell ref="L7028:T7028"/>
    <mergeCell ref="L7029:T7029"/>
    <mergeCell ref="L7030:T7030"/>
    <mergeCell ref="L7031:T7031"/>
    <mergeCell ref="L7032:T7032"/>
    <mergeCell ref="L7033:T7033"/>
    <mergeCell ref="L7034:T7034"/>
    <mergeCell ref="L7035:T7035"/>
    <mergeCell ref="L7036:T7036"/>
    <mergeCell ref="L7037:T7037"/>
    <mergeCell ref="L7038:T7038"/>
    <mergeCell ref="L7039:T7039"/>
    <mergeCell ref="L7040:T7040"/>
    <mergeCell ref="L7041:T7041"/>
    <mergeCell ref="L7042:T7042"/>
    <mergeCell ref="L7043:T7043"/>
    <mergeCell ref="L7044:T7044"/>
    <mergeCell ref="L7045:T7045"/>
    <mergeCell ref="L7046:T7046"/>
    <mergeCell ref="L7047:T7047"/>
    <mergeCell ref="L7048:S7048"/>
    <mergeCell ref="L7049:T7049"/>
    <mergeCell ref="L7050:T7050"/>
    <mergeCell ref="L7051:S7051"/>
    <mergeCell ref="L7052:S7052"/>
    <mergeCell ref="L7053:S7053"/>
    <mergeCell ref="L7054:S7054"/>
    <mergeCell ref="L7055:S7055"/>
    <mergeCell ref="L7249:T7249"/>
    <mergeCell ref="L7253:T7253"/>
    <mergeCell ref="L7258:T7258"/>
    <mergeCell ref="L7259:T7259"/>
    <mergeCell ref="L7263:T7263"/>
    <mergeCell ref="L7265:T7265"/>
    <mergeCell ref="L7267:T7267"/>
    <mergeCell ref="L7271:T7271"/>
    <mergeCell ref="L7273:T7273"/>
    <mergeCell ref="L7286:T7286"/>
    <mergeCell ref="L7287:T7287"/>
    <mergeCell ref="L7289:T7289"/>
    <mergeCell ref="L7290:T7290"/>
    <mergeCell ref="L7298:T7298"/>
  </mergeCells>
  <hyperlinks>
    <hyperlink r:id="rId1" ref="U3"/>
    <hyperlink r:id="rId2" ref="U5"/>
    <hyperlink r:id="rId3" ref="U11"/>
    <hyperlink r:id="rId4" ref="U12"/>
    <hyperlink r:id="rId5" ref="U16"/>
    <hyperlink r:id="rId6" ref="U17"/>
    <hyperlink r:id="rId7" ref="U18"/>
    <hyperlink r:id="rId8" ref="U21"/>
    <hyperlink r:id="rId9" ref="U23"/>
    <hyperlink r:id="rId10" ref="U24"/>
    <hyperlink r:id="rId11" ref="U25"/>
    <hyperlink r:id="rId12" ref="U27"/>
    <hyperlink r:id="rId13" ref="U29"/>
    <hyperlink r:id="rId14" ref="U36"/>
    <hyperlink r:id="rId15" ref="U37"/>
    <hyperlink r:id="rId16" ref="U38"/>
    <hyperlink r:id="rId17" ref="U39"/>
    <hyperlink r:id="rId18" ref="U40"/>
    <hyperlink r:id="rId19" ref="U41"/>
    <hyperlink r:id="rId20" ref="U42"/>
    <hyperlink r:id="rId21" ref="U43"/>
    <hyperlink r:id="rId22" ref="U44"/>
    <hyperlink r:id="rId23" ref="U45"/>
    <hyperlink r:id="rId24" ref="U46"/>
    <hyperlink r:id="rId25" ref="U47"/>
    <hyperlink r:id="rId26" ref="U48"/>
    <hyperlink r:id="rId27" ref="U49"/>
    <hyperlink r:id="rId28" ref="U50"/>
    <hyperlink r:id="rId29" ref="U51"/>
    <hyperlink r:id="rId30" ref="U52"/>
    <hyperlink r:id="rId31" ref="U53"/>
    <hyperlink r:id="rId32" ref="U54"/>
    <hyperlink r:id="rId33" ref="U55"/>
    <hyperlink r:id="rId34" ref="U56"/>
    <hyperlink r:id="rId35" ref="U57"/>
    <hyperlink r:id="rId36" ref="U58"/>
    <hyperlink r:id="rId37" ref="U59"/>
    <hyperlink r:id="rId38" ref="U60"/>
    <hyperlink r:id="rId39" ref="U61"/>
    <hyperlink r:id="rId40" ref="U62"/>
    <hyperlink r:id="rId41" ref="U63"/>
    <hyperlink r:id="rId42" ref="U64"/>
    <hyperlink r:id="rId43" ref="U65"/>
    <hyperlink r:id="rId44" ref="U66"/>
    <hyperlink r:id="rId45" ref="U67"/>
    <hyperlink r:id="rId46" ref="U68"/>
    <hyperlink r:id="rId47" ref="U69"/>
    <hyperlink r:id="rId48" ref="U70"/>
    <hyperlink r:id="rId49" ref="U71"/>
    <hyperlink r:id="rId50" ref="U72"/>
    <hyperlink r:id="rId51" ref="U73"/>
    <hyperlink r:id="rId52" ref="U74"/>
    <hyperlink r:id="rId53" ref="U75"/>
    <hyperlink r:id="rId54" ref="U76"/>
    <hyperlink r:id="rId55" ref="U77"/>
    <hyperlink r:id="rId56" ref="U78"/>
    <hyperlink r:id="rId57" ref="U79"/>
    <hyperlink r:id="rId58" ref="U80"/>
    <hyperlink r:id="rId59" ref="U81"/>
    <hyperlink r:id="rId60" ref="U82"/>
    <hyperlink r:id="rId61" ref="U97"/>
    <hyperlink r:id="rId62" ref="U105"/>
    <hyperlink r:id="rId63" ref="U124"/>
    <hyperlink r:id="rId64" ref="U131"/>
    <hyperlink r:id="rId65" ref="U160"/>
    <hyperlink r:id="rId66" ref="U204"/>
    <hyperlink r:id="rId67" ref="U227"/>
    <hyperlink r:id="rId68" ref="U237"/>
    <hyperlink r:id="rId69" ref="U239"/>
    <hyperlink r:id="rId70" ref="U242"/>
    <hyperlink r:id="rId71" ref="U244"/>
    <hyperlink r:id="rId72" ref="U246"/>
    <hyperlink r:id="rId73" ref="U247"/>
    <hyperlink r:id="rId74" ref="U252"/>
    <hyperlink r:id="rId75" ref="U253"/>
    <hyperlink r:id="rId76" ref="U254"/>
    <hyperlink r:id="rId77" ref="U255"/>
    <hyperlink r:id="rId78" ref="U256"/>
    <hyperlink r:id="rId79" ref="U257"/>
    <hyperlink r:id="rId80" ref="U258"/>
    <hyperlink r:id="rId81" ref="U262"/>
    <hyperlink r:id="rId82" ref="U265"/>
    <hyperlink r:id="rId83" ref="U266"/>
    <hyperlink r:id="rId84" ref="U267"/>
    <hyperlink r:id="rId85" ref="U269"/>
    <hyperlink r:id="rId86" ref="U270"/>
    <hyperlink r:id="rId87" ref="U271"/>
    <hyperlink r:id="rId88" ref="U272"/>
    <hyperlink r:id="rId89" ref="U273"/>
    <hyperlink r:id="rId90" ref="U290"/>
    <hyperlink r:id="rId91" ref="U291"/>
    <hyperlink r:id="rId92" ref="U292"/>
    <hyperlink r:id="rId93" ref="U293"/>
    <hyperlink r:id="rId94" ref="U294"/>
    <hyperlink r:id="rId95" ref="U295"/>
    <hyperlink r:id="rId96" ref="U296"/>
    <hyperlink r:id="rId97" ref="U297"/>
    <hyperlink r:id="rId98" ref="U298"/>
    <hyperlink r:id="rId99" ref="U299"/>
    <hyperlink r:id="rId100" ref="U300"/>
    <hyperlink r:id="rId101" ref="U301"/>
    <hyperlink r:id="rId102" ref="U302"/>
    <hyperlink r:id="rId103" ref="U311"/>
    <hyperlink r:id="rId104" ref="U331"/>
    <hyperlink r:id="rId105" ref="U336"/>
    <hyperlink r:id="rId106" ref="U356"/>
    <hyperlink r:id="rId107" ref="U357"/>
    <hyperlink r:id="rId108" ref="U358"/>
    <hyperlink r:id="rId109" ref="U359"/>
    <hyperlink r:id="rId110" ref="U360"/>
    <hyperlink r:id="rId111" ref="U361"/>
    <hyperlink r:id="rId112" ref="U374"/>
    <hyperlink r:id="rId113" ref="U379"/>
    <hyperlink r:id="rId114" ref="U381"/>
    <hyperlink r:id="rId115" ref="U386"/>
    <hyperlink r:id="rId116" ref="U387"/>
    <hyperlink r:id="rId117" ref="U388"/>
    <hyperlink r:id="rId118" ref="U391"/>
    <hyperlink r:id="rId119" ref="U392"/>
    <hyperlink r:id="rId120" ref="U393"/>
    <hyperlink r:id="rId121" ref="U394"/>
    <hyperlink r:id="rId122" ref="U395"/>
    <hyperlink r:id="rId123" ref="U396"/>
    <hyperlink r:id="rId124" ref="U397"/>
    <hyperlink r:id="rId125" ref="U398"/>
    <hyperlink r:id="rId126" ref="U399"/>
    <hyperlink r:id="rId127" ref="U400"/>
    <hyperlink r:id="rId128" ref="U401"/>
    <hyperlink r:id="rId129" ref="U402"/>
    <hyperlink r:id="rId130" ref="U403"/>
    <hyperlink r:id="rId131" ref="U404"/>
    <hyperlink r:id="rId132" ref="U405"/>
    <hyperlink r:id="rId133" ref="U406"/>
    <hyperlink r:id="rId134" ref="U407"/>
    <hyperlink r:id="rId135" ref="U409"/>
    <hyperlink r:id="rId136" ref="U410"/>
    <hyperlink r:id="rId137" ref="U411"/>
    <hyperlink r:id="rId138" ref="U412"/>
    <hyperlink r:id="rId139" ref="U413"/>
    <hyperlink r:id="rId140" ref="U414"/>
    <hyperlink r:id="rId141" ref="U415"/>
    <hyperlink r:id="rId142" ref="U416"/>
    <hyperlink r:id="rId143" ref="U417"/>
    <hyperlink r:id="rId144" ref="U418"/>
    <hyperlink r:id="rId145" ref="U419"/>
    <hyperlink r:id="rId146" ref="U420"/>
    <hyperlink r:id="rId147" ref="U421"/>
    <hyperlink r:id="rId148" ref="U422"/>
    <hyperlink r:id="rId149" ref="U423"/>
    <hyperlink r:id="rId150" ref="U424"/>
    <hyperlink r:id="rId151" ref="U425"/>
    <hyperlink r:id="rId152" ref="U426"/>
    <hyperlink r:id="rId153" ref="U427"/>
    <hyperlink r:id="rId154" ref="U428"/>
    <hyperlink r:id="rId155" ref="U429"/>
    <hyperlink r:id="rId156" ref="U430"/>
    <hyperlink r:id="rId157" ref="U431"/>
    <hyperlink r:id="rId158" ref="U432"/>
    <hyperlink r:id="rId159" ref="U433"/>
    <hyperlink r:id="rId160" ref="U434"/>
    <hyperlink r:id="rId161" ref="U435"/>
    <hyperlink r:id="rId162" ref="U436"/>
    <hyperlink r:id="rId163" ref="U437"/>
    <hyperlink r:id="rId164" ref="U438"/>
    <hyperlink r:id="rId165" ref="U439"/>
    <hyperlink r:id="rId166" ref="U440"/>
    <hyperlink r:id="rId167" ref="U441"/>
    <hyperlink r:id="rId168" ref="U442"/>
    <hyperlink r:id="rId169" ref="U443"/>
    <hyperlink r:id="rId170" ref="U444"/>
    <hyperlink r:id="rId171" ref="U445"/>
    <hyperlink r:id="rId172" ref="U446"/>
    <hyperlink r:id="rId173" ref="U447"/>
    <hyperlink r:id="rId174" ref="U448"/>
    <hyperlink r:id="rId175" ref="U449"/>
    <hyperlink r:id="rId176" ref="U450"/>
    <hyperlink r:id="rId177" ref="U451"/>
    <hyperlink r:id="rId178" ref="U452"/>
    <hyperlink r:id="rId179" ref="U453"/>
    <hyperlink r:id="rId180" ref="U454"/>
    <hyperlink r:id="rId181" ref="U455"/>
    <hyperlink r:id="rId182" ref="U456"/>
    <hyperlink r:id="rId183" ref="U457"/>
    <hyperlink r:id="rId184" ref="U492"/>
    <hyperlink r:id="rId185" ref="U493"/>
    <hyperlink r:id="rId186" ref="U495"/>
    <hyperlink r:id="rId187" ref="U496"/>
    <hyperlink r:id="rId188" ref="U497"/>
    <hyperlink r:id="rId189" ref="U498"/>
    <hyperlink r:id="rId190" ref="U499"/>
    <hyperlink r:id="rId191" ref="U500"/>
    <hyperlink r:id="rId192" ref="U501"/>
    <hyperlink r:id="rId193" ref="U502"/>
    <hyperlink r:id="rId194" ref="U503"/>
    <hyperlink r:id="rId195" ref="U504"/>
    <hyperlink r:id="rId196" ref="U507"/>
    <hyperlink r:id="rId197" ref="U508"/>
    <hyperlink r:id="rId198" ref="U510"/>
    <hyperlink r:id="rId199" ref="U511"/>
    <hyperlink r:id="rId200" ref="U512"/>
    <hyperlink r:id="rId201" ref="U513"/>
    <hyperlink r:id="rId202" ref="U514"/>
    <hyperlink r:id="rId203" ref="U515"/>
    <hyperlink r:id="rId204" ref="U516"/>
    <hyperlink r:id="rId205" ref="U517"/>
    <hyperlink r:id="rId206" ref="U518"/>
    <hyperlink r:id="rId207" ref="U519"/>
    <hyperlink r:id="rId208" ref="U520"/>
    <hyperlink r:id="rId209" ref="U521"/>
    <hyperlink r:id="rId210" ref="U522"/>
    <hyperlink r:id="rId211" ref="U523"/>
    <hyperlink r:id="rId212" ref="U524"/>
    <hyperlink r:id="rId213" ref="U548"/>
    <hyperlink r:id="rId214" ref="U550"/>
    <hyperlink r:id="rId215" ref="U552"/>
    <hyperlink r:id="rId216" ref="U554"/>
    <hyperlink r:id="rId217" ref="U555"/>
    <hyperlink r:id="rId218" ref="U557"/>
    <hyperlink r:id="rId219" ref="U559"/>
    <hyperlink r:id="rId220" ref="U562"/>
    <hyperlink r:id="rId221" ref="U564"/>
    <hyperlink r:id="rId222" ref="U565"/>
    <hyperlink r:id="rId223" ref="U570"/>
    <hyperlink r:id="rId224" ref="U571"/>
    <hyperlink r:id="rId225" ref="U573"/>
    <hyperlink r:id="rId226" ref="U574"/>
    <hyperlink r:id="rId227" ref="U575"/>
    <hyperlink r:id="rId228" ref="U577"/>
    <hyperlink r:id="rId229" ref="U578"/>
    <hyperlink r:id="rId230" ref="U579"/>
    <hyperlink r:id="rId231" ref="U580"/>
    <hyperlink r:id="rId232" ref="U581"/>
    <hyperlink r:id="rId233" ref="U582"/>
    <hyperlink r:id="rId234" ref="U586"/>
    <hyperlink r:id="rId235" ref="U587"/>
    <hyperlink r:id="rId236" ref="U588"/>
    <hyperlink r:id="rId237" ref="U589"/>
    <hyperlink r:id="rId238" ref="U590"/>
    <hyperlink r:id="rId239" ref="U591"/>
    <hyperlink r:id="rId240" ref="U592"/>
    <hyperlink r:id="rId241" ref="U593"/>
    <hyperlink r:id="rId242" ref="U594"/>
    <hyperlink r:id="rId243" ref="U608"/>
    <hyperlink r:id="rId244" ref="U609"/>
    <hyperlink r:id="rId245" ref="U610"/>
    <hyperlink r:id="rId246" ref="U611"/>
    <hyperlink r:id="rId247" ref="U612"/>
    <hyperlink r:id="rId248" ref="U613"/>
    <hyperlink r:id="rId249" ref="U614"/>
    <hyperlink r:id="rId250" ref="U615"/>
    <hyperlink r:id="rId251" ref="U616"/>
    <hyperlink r:id="rId252" ref="U617"/>
    <hyperlink r:id="rId253" ref="U618"/>
    <hyperlink r:id="rId254" ref="U619"/>
    <hyperlink r:id="rId255" ref="U620"/>
    <hyperlink r:id="rId256" ref="U621"/>
    <hyperlink r:id="rId257" ref="U622"/>
    <hyperlink r:id="rId258" ref="U623"/>
    <hyperlink r:id="rId259" ref="U624"/>
    <hyperlink r:id="rId260" ref="U648"/>
    <hyperlink r:id="rId261" ref="U650"/>
    <hyperlink r:id="rId262" ref="U651"/>
    <hyperlink r:id="rId263" ref="U652"/>
    <hyperlink r:id="rId264" ref="U653"/>
    <hyperlink r:id="rId265" ref="U654"/>
    <hyperlink r:id="rId266" ref="U655"/>
    <hyperlink r:id="rId267" ref="U656"/>
    <hyperlink r:id="rId268" ref="U657"/>
    <hyperlink r:id="rId269" ref="U658"/>
    <hyperlink r:id="rId270" ref="U659"/>
    <hyperlink r:id="rId271" ref="U660"/>
    <hyperlink r:id="rId272" ref="U665"/>
    <hyperlink r:id="rId273" ref="U666"/>
    <hyperlink r:id="rId274" ref="U667"/>
    <hyperlink r:id="rId275" ref="U668"/>
    <hyperlink r:id="rId276" ref="U669"/>
    <hyperlink r:id="rId277" ref="U670"/>
    <hyperlink r:id="rId278" ref="U671"/>
    <hyperlink r:id="rId279" ref="U676"/>
    <hyperlink r:id="rId280" ref="U678"/>
    <hyperlink r:id="rId281" ref="U679"/>
    <hyperlink r:id="rId282" ref="U680"/>
    <hyperlink r:id="rId283" ref="U681"/>
    <hyperlink r:id="rId284" ref="U682"/>
    <hyperlink r:id="rId285" ref="U683"/>
    <hyperlink r:id="rId286" ref="U684"/>
    <hyperlink r:id="rId287" ref="U685"/>
    <hyperlink r:id="rId288" ref="U686"/>
    <hyperlink r:id="rId289" ref="U687"/>
    <hyperlink r:id="rId290" ref="U688"/>
    <hyperlink r:id="rId291" ref="U689"/>
    <hyperlink r:id="rId292" ref="U690"/>
    <hyperlink r:id="rId293" ref="U692"/>
    <hyperlink r:id="rId294" ref="U693"/>
    <hyperlink r:id="rId295" ref="U694"/>
    <hyperlink r:id="rId296" ref="U695"/>
    <hyperlink r:id="rId297" ref="U696"/>
    <hyperlink r:id="rId298" ref="U697"/>
    <hyperlink r:id="rId299" ref="U698"/>
    <hyperlink r:id="rId300" ref="U702"/>
    <hyperlink r:id="rId301" ref="U705"/>
    <hyperlink r:id="rId302" ref="U708"/>
    <hyperlink r:id="rId303" ref="U709"/>
    <hyperlink r:id="rId304" ref="U710"/>
    <hyperlink r:id="rId305" ref="U711"/>
    <hyperlink r:id="rId306" ref="U712"/>
    <hyperlink r:id="rId307" ref="U713"/>
    <hyperlink r:id="rId308" ref="U718"/>
    <hyperlink r:id="rId309" ref="U722"/>
    <hyperlink r:id="rId310" ref="U723"/>
    <hyperlink r:id="rId311" ref="U724"/>
    <hyperlink r:id="rId312" ref="U725"/>
    <hyperlink r:id="rId313" ref="U726"/>
    <hyperlink r:id="rId314" ref="U727"/>
    <hyperlink r:id="rId315" ref="U728"/>
    <hyperlink r:id="rId316" ref="U729"/>
    <hyperlink r:id="rId317" ref="U730"/>
    <hyperlink r:id="rId318" ref="U733"/>
    <hyperlink r:id="rId319" ref="U734"/>
    <hyperlink r:id="rId320" ref="U735"/>
    <hyperlink r:id="rId321" ref="U736"/>
    <hyperlink r:id="rId322" ref="U737"/>
    <hyperlink r:id="rId323" ref="U738"/>
    <hyperlink r:id="rId324" ref="U739"/>
    <hyperlink r:id="rId325" ref="U740"/>
    <hyperlink r:id="rId326" ref="U741"/>
    <hyperlink r:id="rId327" ref="U742"/>
    <hyperlink r:id="rId328" ref="U743"/>
    <hyperlink r:id="rId329" ref="U744"/>
    <hyperlink r:id="rId330" ref="U745"/>
    <hyperlink r:id="rId331" ref="U746"/>
    <hyperlink r:id="rId332" ref="U747"/>
    <hyperlink r:id="rId333" ref="U748"/>
    <hyperlink r:id="rId334" ref="U749"/>
    <hyperlink r:id="rId335" ref="U750"/>
    <hyperlink r:id="rId336" ref="U763"/>
    <hyperlink r:id="rId337" location="%20" ref="U770"/>
    <hyperlink r:id="rId338" ref="U794"/>
    <hyperlink r:id="rId339" ref="U795"/>
    <hyperlink r:id="rId340" ref="U796"/>
    <hyperlink r:id="rId341" ref="U797"/>
    <hyperlink r:id="rId342" ref="U798"/>
    <hyperlink r:id="rId343" ref="U802"/>
    <hyperlink r:id="rId344" ref="U803"/>
    <hyperlink r:id="rId345" ref="U804"/>
    <hyperlink r:id="rId346" ref="U805"/>
    <hyperlink r:id="rId347" ref="U806"/>
    <hyperlink r:id="rId348" ref="U807"/>
    <hyperlink r:id="rId349" ref="U808"/>
    <hyperlink r:id="rId350" ref="U809"/>
    <hyperlink r:id="rId351" ref="U810"/>
    <hyperlink r:id="rId352" ref="U811"/>
    <hyperlink r:id="rId353" ref="U812"/>
    <hyperlink r:id="rId354" ref="U813"/>
    <hyperlink r:id="rId355" ref="U814"/>
    <hyperlink r:id="rId356" ref="U815"/>
    <hyperlink r:id="rId357" ref="U816"/>
    <hyperlink r:id="rId358" ref="U817"/>
    <hyperlink r:id="rId359" ref="U818"/>
    <hyperlink r:id="rId360" ref="U819"/>
    <hyperlink r:id="rId361" ref="U820"/>
    <hyperlink r:id="rId362" ref="U821"/>
    <hyperlink r:id="rId363" ref="U822"/>
    <hyperlink r:id="rId364" ref="U823"/>
    <hyperlink r:id="rId365" ref="U824"/>
    <hyperlink r:id="rId366" ref="U825"/>
    <hyperlink r:id="rId367" ref="U826"/>
    <hyperlink r:id="rId368" ref="U827"/>
    <hyperlink r:id="rId369" ref="U828"/>
    <hyperlink r:id="rId370" ref="U829"/>
    <hyperlink r:id="rId371" ref="U830"/>
    <hyperlink r:id="rId372" ref="U831"/>
    <hyperlink r:id="rId373" ref="U832"/>
    <hyperlink r:id="rId374" ref="U833"/>
    <hyperlink r:id="rId375" ref="U834"/>
    <hyperlink r:id="rId376" ref="U844"/>
    <hyperlink r:id="rId377" ref="U845"/>
    <hyperlink r:id="rId378" ref="U846"/>
    <hyperlink r:id="rId379" ref="U847"/>
    <hyperlink r:id="rId380" ref="U848"/>
    <hyperlink r:id="rId381" ref="U849"/>
    <hyperlink r:id="rId382" ref="U850"/>
    <hyperlink r:id="rId383" ref="U855"/>
    <hyperlink r:id="rId384" ref="U859"/>
    <hyperlink r:id="rId385" ref="U860"/>
    <hyperlink r:id="rId386" ref="U861"/>
    <hyperlink r:id="rId387" ref="U862"/>
    <hyperlink r:id="rId388" ref="U863"/>
    <hyperlink r:id="rId389" ref="U864"/>
    <hyperlink r:id="rId390" ref="U865"/>
    <hyperlink r:id="rId391" ref="U866"/>
    <hyperlink r:id="rId392" ref="U868"/>
    <hyperlink r:id="rId393" ref="U883"/>
    <hyperlink r:id="rId394" ref="U886"/>
    <hyperlink r:id="rId395" ref="U887"/>
    <hyperlink r:id="rId396" ref="U898"/>
    <hyperlink r:id="rId397" ref="U908"/>
    <hyperlink r:id="rId398" ref="U909"/>
    <hyperlink r:id="rId399" ref="U910"/>
    <hyperlink r:id="rId400" ref="U911"/>
    <hyperlink r:id="rId401" ref="U912"/>
    <hyperlink r:id="rId402" ref="U913"/>
    <hyperlink r:id="rId403" ref="U914"/>
    <hyperlink r:id="rId404" ref="U915"/>
    <hyperlink r:id="rId405" ref="U918"/>
    <hyperlink r:id="rId406" ref="U954"/>
    <hyperlink r:id="rId407" ref="U955"/>
    <hyperlink r:id="rId408" ref="U956"/>
    <hyperlink r:id="rId409" ref="U958"/>
    <hyperlink r:id="rId410" ref="U959"/>
    <hyperlink r:id="rId411" ref="U960"/>
    <hyperlink r:id="rId412" ref="U961"/>
    <hyperlink r:id="rId413" ref="U963"/>
    <hyperlink r:id="rId414" ref="U964"/>
    <hyperlink r:id="rId415" ref="U965"/>
    <hyperlink r:id="rId416" ref="U967"/>
    <hyperlink r:id="rId417" ref="U968"/>
    <hyperlink r:id="rId418" ref="U969"/>
    <hyperlink r:id="rId419" ref="U974"/>
    <hyperlink r:id="rId420" ref="U975"/>
    <hyperlink r:id="rId421" ref="U976"/>
    <hyperlink r:id="rId422" ref="U990"/>
    <hyperlink r:id="rId423" ref="U991"/>
    <hyperlink r:id="rId424" ref="U992"/>
    <hyperlink r:id="rId425" ref="U994"/>
    <hyperlink r:id="rId426" ref="U995"/>
    <hyperlink r:id="rId427" ref="U996"/>
    <hyperlink r:id="rId428" ref="U997"/>
    <hyperlink r:id="rId429" ref="U998"/>
    <hyperlink r:id="rId430" ref="U999"/>
    <hyperlink r:id="rId431" ref="U1000"/>
    <hyperlink r:id="rId432" ref="U1020"/>
    <hyperlink r:id="rId433" ref="U1025"/>
    <hyperlink r:id="rId434" ref="U1026"/>
    <hyperlink r:id="rId435" ref="U1027"/>
    <hyperlink r:id="rId436" ref="U1028"/>
    <hyperlink r:id="rId437" ref="U1029"/>
    <hyperlink r:id="rId438" ref="U1030"/>
    <hyperlink r:id="rId439" ref="U1033"/>
    <hyperlink r:id="rId440" ref="U1034"/>
    <hyperlink r:id="rId441" ref="U1035"/>
    <hyperlink r:id="rId442" ref="U1036"/>
    <hyperlink r:id="rId443" ref="U1037"/>
    <hyperlink r:id="rId444" ref="U1045"/>
    <hyperlink r:id="rId445" ref="U1051"/>
    <hyperlink r:id="rId446" ref="U1052"/>
    <hyperlink r:id="rId447" ref="U1053"/>
    <hyperlink r:id="rId448" ref="U1101"/>
    <hyperlink r:id="rId449" ref="U1102"/>
    <hyperlink r:id="rId450" ref="U1106"/>
    <hyperlink r:id="rId451" ref="U1107"/>
    <hyperlink r:id="rId452" ref="U1108"/>
    <hyperlink r:id="rId453" ref="U1109"/>
    <hyperlink r:id="rId454" ref="U1110"/>
    <hyperlink r:id="rId455" ref="U1111"/>
    <hyperlink r:id="rId456" ref="U1112"/>
    <hyperlink r:id="rId457" ref="U1113"/>
    <hyperlink r:id="rId458" ref="U1148"/>
    <hyperlink r:id="rId459" ref="U1149"/>
    <hyperlink r:id="rId460" ref="U1150"/>
    <hyperlink r:id="rId461" ref="U1151"/>
    <hyperlink r:id="rId462" ref="U1152"/>
    <hyperlink r:id="rId463" ref="U1154"/>
    <hyperlink r:id="rId464" ref="U1161"/>
    <hyperlink r:id="rId465" ref="U1162"/>
    <hyperlink r:id="rId466" ref="U1163"/>
    <hyperlink r:id="rId467" ref="U1164"/>
    <hyperlink r:id="rId468" ref="U1165"/>
    <hyperlink r:id="rId469" ref="U1166"/>
    <hyperlink r:id="rId470" ref="U1167"/>
    <hyperlink r:id="rId471" ref="U1168"/>
    <hyperlink r:id="rId472" ref="U1169"/>
    <hyperlink r:id="rId473" ref="U1170"/>
    <hyperlink r:id="rId474" ref="U1171"/>
    <hyperlink r:id="rId475" ref="U1172"/>
    <hyperlink r:id="rId476" ref="U1173"/>
    <hyperlink r:id="rId477" ref="U1174"/>
    <hyperlink r:id="rId478" ref="U1175"/>
    <hyperlink r:id="rId479" ref="U1176"/>
    <hyperlink r:id="rId480" ref="U1177"/>
    <hyperlink r:id="rId481" ref="U1181"/>
    <hyperlink r:id="rId482" ref="U1184"/>
    <hyperlink r:id="rId483" ref="U1185"/>
    <hyperlink r:id="rId484" ref="U1186"/>
    <hyperlink r:id="rId485" ref="U1187"/>
    <hyperlink r:id="rId486" ref="U1190"/>
    <hyperlink r:id="rId487" ref="U1191"/>
    <hyperlink r:id="rId488" ref="U1192"/>
    <hyperlink r:id="rId489" ref="U1195"/>
    <hyperlink r:id="rId490" ref="U1204"/>
    <hyperlink r:id="rId491" ref="U1208"/>
    <hyperlink r:id="rId492" ref="U1209"/>
    <hyperlink r:id="rId493" ref="U1210"/>
    <hyperlink r:id="rId494" ref="U1211"/>
    <hyperlink r:id="rId495" ref="U1212"/>
    <hyperlink r:id="rId496" ref="U1213"/>
    <hyperlink r:id="rId497" ref="U1227"/>
    <hyperlink r:id="rId498" ref="U1237"/>
    <hyperlink r:id="rId499" ref="U1239"/>
    <hyperlink r:id="rId500" ref="U1240"/>
    <hyperlink r:id="rId501" ref="U1242"/>
    <hyperlink r:id="rId502" ref="U1243"/>
    <hyperlink r:id="rId503" ref="U1244"/>
    <hyperlink r:id="rId504" ref="U1245"/>
    <hyperlink r:id="rId505" ref="U1248"/>
    <hyperlink r:id="rId506" ref="U1250"/>
    <hyperlink r:id="rId507" ref="U1251"/>
    <hyperlink r:id="rId508" ref="U1259"/>
    <hyperlink r:id="rId509" ref="U1260"/>
    <hyperlink r:id="rId510" ref="U1261"/>
    <hyperlink r:id="rId511" ref="U1262"/>
    <hyperlink r:id="rId512" ref="U1275"/>
    <hyperlink r:id="rId513" ref="U1277"/>
    <hyperlink r:id="rId514" ref="U1278"/>
    <hyperlink r:id="rId515" ref="U1279"/>
    <hyperlink r:id="rId516" ref="U1283"/>
    <hyperlink r:id="rId517" ref="U1288"/>
    <hyperlink r:id="rId518" ref="U1289"/>
    <hyperlink r:id="rId519" ref="U1290"/>
    <hyperlink r:id="rId520" ref="U1292"/>
    <hyperlink r:id="rId521" ref="U1308"/>
    <hyperlink r:id="rId522" ref="U1309"/>
    <hyperlink r:id="rId523" ref="U1310"/>
    <hyperlink r:id="rId524" ref="U1320"/>
    <hyperlink r:id="rId525" ref="U1321"/>
    <hyperlink r:id="rId526" ref="U1322"/>
    <hyperlink r:id="rId527" ref="U1323"/>
    <hyperlink r:id="rId528" ref="U1326"/>
    <hyperlink r:id="rId529" ref="U1329"/>
    <hyperlink r:id="rId530" ref="U1330"/>
    <hyperlink r:id="rId531" ref="U1340"/>
    <hyperlink r:id="rId532" ref="U1348"/>
    <hyperlink r:id="rId533" ref="U1349"/>
    <hyperlink r:id="rId534" ref="U1350"/>
    <hyperlink r:id="rId535" ref="U1351"/>
    <hyperlink r:id="rId536" ref="U1354"/>
    <hyperlink r:id="rId537" ref="U1355"/>
    <hyperlink r:id="rId538" ref="U1356"/>
    <hyperlink r:id="rId539" ref="U1357"/>
    <hyperlink r:id="rId540" ref="U1358"/>
    <hyperlink r:id="rId541" ref="U1359"/>
    <hyperlink r:id="rId542" ref="U1360"/>
    <hyperlink r:id="rId543" ref="U1361"/>
    <hyperlink r:id="rId544" ref="U1362"/>
    <hyperlink r:id="rId545" ref="U1363"/>
    <hyperlink r:id="rId546" ref="U1367"/>
    <hyperlink r:id="rId547" ref="U1368"/>
    <hyperlink r:id="rId548" ref="U1369"/>
    <hyperlink r:id="rId549" ref="U1376"/>
    <hyperlink r:id="rId550" ref="U1387"/>
    <hyperlink r:id="rId551" ref="U1390"/>
    <hyperlink r:id="rId552" ref="U1391"/>
    <hyperlink r:id="rId553" ref="U1392"/>
    <hyperlink r:id="rId554" ref="U1393"/>
    <hyperlink r:id="rId555" ref="U1394"/>
    <hyperlink r:id="rId556" ref="U1395"/>
    <hyperlink r:id="rId557" ref="U1396"/>
    <hyperlink r:id="rId558" ref="U1397"/>
    <hyperlink r:id="rId559" ref="U1398"/>
    <hyperlink r:id="rId560" ref="U1399"/>
    <hyperlink r:id="rId561" ref="U1400"/>
    <hyperlink r:id="rId562" ref="U1401"/>
    <hyperlink r:id="rId563" ref="U1403"/>
    <hyperlink r:id="rId564" ref="U1406"/>
    <hyperlink r:id="rId565" ref="U1407"/>
    <hyperlink r:id="rId566" ref="U1411"/>
    <hyperlink r:id="rId567" ref="U1412"/>
    <hyperlink r:id="rId568" ref="U1414"/>
    <hyperlink r:id="rId569" ref="U1418"/>
    <hyperlink r:id="rId570" ref="U1419"/>
    <hyperlink r:id="rId571" ref="U1420"/>
    <hyperlink r:id="rId572" ref="U1426"/>
    <hyperlink r:id="rId573" ref="U1432"/>
    <hyperlink r:id="rId574" ref="U1433"/>
    <hyperlink r:id="rId575" ref="U1434"/>
    <hyperlink r:id="rId576" ref="U1435"/>
    <hyperlink r:id="rId577" ref="U1436"/>
    <hyperlink r:id="rId578" ref="U1437"/>
    <hyperlink r:id="rId579" ref="U1439"/>
    <hyperlink r:id="rId580" ref="U1441"/>
    <hyperlink r:id="rId581" ref="U1442"/>
    <hyperlink r:id="rId582" ref="U1450"/>
    <hyperlink r:id="rId583" ref="U1462"/>
    <hyperlink r:id="rId584" ref="U1464"/>
    <hyperlink r:id="rId585" ref="U1467"/>
    <hyperlink r:id="rId586" ref="U1470"/>
    <hyperlink r:id="rId587" ref="U1471"/>
    <hyperlink r:id="rId588" ref="U1472"/>
    <hyperlink r:id="rId589" ref="U1473"/>
    <hyperlink r:id="rId590" ref="U1474"/>
    <hyperlink r:id="rId591" ref="U1484"/>
    <hyperlink r:id="rId592" ref="U1485"/>
    <hyperlink r:id="rId593" ref="U1486"/>
    <hyperlink r:id="rId594" ref="U1488"/>
    <hyperlink r:id="rId595" ref="U1489"/>
    <hyperlink r:id="rId596" ref="U1491"/>
    <hyperlink r:id="rId597" ref="U1492"/>
    <hyperlink r:id="rId598" ref="U1493"/>
    <hyperlink r:id="rId599" ref="U1495"/>
    <hyperlink r:id="rId600" ref="U1520"/>
    <hyperlink r:id="rId601" ref="U1527"/>
    <hyperlink r:id="rId602" ref="U1530"/>
    <hyperlink r:id="rId603" ref="U1546"/>
    <hyperlink r:id="rId604" ref="U1547"/>
    <hyperlink r:id="rId605" ref="U1553"/>
    <hyperlink r:id="rId606" ref="U1556"/>
    <hyperlink r:id="rId607" ref="U1557"/>
    <hyperlink r:id="rId608" ref="U1558"/>
    <hyperlink r:id="rId609" ref="U1563"/>
    <hyperlink r:id="rId610" ref="U1564"/>
    <hyperlink r:id="rId611" ref="U1565"/>
    <hyperlink r:id="rId612" ref="U1566"/>
    <hyperlink r:id="rId613" ref="U1567"/>
    <hyperlink r:id="rId614" ref="U1569"/>
    <hyperlink r:id="rId615" ref="U1570"/>
    <hyperlink r:id="rId616" ref="U1571"/>
    <hyperlink r:id="rId617" ref="U1576"/>
    <hyperlink r:id="rId618" ref="U1577"/>
    <hyperlink r:id="rId619" ref="U1578"/>
    <hyperlink r:id="rId620" ref="U1580"/>
    <hyperlink r:id="rId621" ref="U1583"/>
    <hyperlink r:id="rId622" ref="U1586"/>
    <hyperlink r:id="rId623" ref="U1587"/>
    <hyperlink r:id="rId624" ref="U1588"/>
    <hyperlink r:id="rId625" ref="U1589"/>
    <hyperlink r:id="rId626" ref="U1590"/>
    <hyperlink r:id="rId627" ref="U1591"/>
    <hyperlink r:id="rId628" ref="U1592"/>
    <hyperlink r:id="rId629" ref="U1593"/>
    <hyperlink r:id="rId630" ref="U1594"/>
    <hyperlink r:id="rId631" ref="U1595"/>
    <hyperlink r:id="rId632" ref="U1596"/>
    <hyperlink r:id="rId633" ref="U1597"/>
    <hyperlink r:id="rId634" ref="U1598"/>
    <hyperlink r:id="rId635" ref="U1616"/>
    <hyperlink r:id="rId636" ref="U1617"/>
    <hyperlink r:id="rId637" ref="U1618"/>
    <hyperlink r:id="rId638" ref="U1619"/>
    <hyperlink r:id="rId639" ref="U1620"/>
    <hyperlink r:id="rId640" ref="U1621"/>
    <hyperlink r:id="rId641" ref="U1622"/>
    <hyperlink r:id="rId642" ref="U1623"/>
    <hyperlink r:id="rId643" ref="U1624"/>
    <hyperlink r:id="rId644" ref="U1625"/>
    <hyperlink r:id="rId645" ref="U1626"/>
    <hyperlink r:id="rId646" ref="U1629"/>
    <hyperlink r:id="rId647" ref="U1631"/>
    <hyperlink r:id="rId648" ref="U1634"/>
    <hyperlink r:id="rId649" ref="U1636"/>
    <hyperlink r:id="rId650" ref="U1637"/>
    <hyperlink r:id="rId651" ref="U1640"/>
    <hyperlink r:id="rId652" ref="U1641"/>
    <hyperlink r:id="rId653" ref="U1642"/>
    <hyperlink r:id="rId654" ref="U1643"/>
    <hyperlink r:id="rId655" ref="U1644"/>
    <hyperlink r:id="rId656" ref="U1645"/>
    <hyperlink r:id="rId657" ref="U1646"/>
    <hyperlink r:id="rId658" ref="U1649"/>
    <hyperlink r:id="rId659" ref="U1650"/>
    <hyperlink r:id="rId660" ref="U1651"/>
    <hyperlink r:id="rId661" ref="U1652"/>
    <hyperlink r:id="rId662" ref="U1653"/>
    <hyperlink r:id="rId663" ref="U1654"/>
    <hyperlink r:id="rId664" ref="U1661"/>
    <hyperlink r:id="rId665" ref="U1665"/>
    <hyperlink r:id="rId666" ref="U1666"/>
    <hyperlink r:id="rId667" ref="U1667"/>
    <hyperlink r:id="rId668" ref="U1671"/>
    <hyperlink r:id="rId669" ref="U1675"/>
    <hyperlink r:id="rId670" ref="U1682"/>
    <hyperlink r:id="rId671" ref="U1683"/>
    <hyperlink r:id="rId672" ref="U1684"/>
    <hyperlink r:id="rId673" ref="U1685"/>
    <hyperlink r:id="rId674" ref="U1686"/>
    <hyperlink r:id="rId675" ref="U1687"/>
    <hyperlink r:id="rId676" ref="U1688"/>
    <hyperlink r:id="rId677" ref="U1689"/>
    <hyperlink r:id="rId678" ref="U1690"/>
    <hyperlink r:id="rId679" ref="U1691"/>
    <hyperlink r:id="rId680" ref="U1692"/>
    <hyperlink r:id="rId681" ref="U1693"/>
    <hyperlink r:id="rId682" ref="U1694"/>
    <hyperlink r:id="rId683" ref="U1700"/>
    <hyperlink r:id="rId684" ref="U1703"/>
    <hyperlink r:id="rId685" ref="U1706"/>
    <hyperlink r:id="rId686" ref="U1713"/>
    <hyperlink r:id="rId687" ref="U1716"/>
    <hyperlink r:id="rId688" ref="U1721"/>
    <hyperlink r:id="rId689" ref="U1728"/>
    <hyperlink r:id="rId690" ref="U1734"/>
    <hyperlink r:id="rId691" ref="U1735"/>
    <hyperlink r:id="rId692" ref="U1738"/>
    <hyperlink r:id="rId693" ref="U1739"/>
    <hyperlink r:id="rId694" ref="U1740"/>
    <hyperlink r:id="rId695" ref="U1741"/>
    <hyperlink r:id="rId696" ref="U1749"/>
    <hyperlink r:id="rId697" ref="U1770"/>
    <hyperlink r:id="rId698" ref="U1771"/>
    <hyperlink r:id="rId699" ref="U1772"/>
    <hyperlink r:id="rId700" ref="U1785"/>
    <hyperlink r:id="rId701" ref="U1787"/>
    <hyperlink r:id="rId702" ref="U1788"/>
    <hyperlink r:id="rId703" ref="U1792"/>
    <hyperlink r:id="rId704" ref="U1796"/>
    <hyperlink r:id="rId705" ref="U1797"/>
    <hyperlink r:id="rId706" ref="U1798"/>
    <hyperlink r:id="rId707" ref="U1800"/>
    <hyperlink r:id="rId708" ref="U1802"/>
    <hyperlink r:id="rId709" ref="U1803"/>
    <hyperlink r:id="rId710" ref="U1805"/>
    <hyperlink r:id="rId711" ref="U1806"/>
    <hyperlink r:id="rId712" ref="U1807"/>
    <hyperlink r:id="rId713" ref="U1810"/>
    <hyperlink r:id="rId714" ref="U1813"/>
    <hyperlink r:id="rId715" ref="U1814"/>
    <hyperlink r:id="rId716" ref="U1815"/>
    <hyperlink r:id="rId717" ref="U1816"/>
    <hyperlink r:id="rId718" ref="U1817"/>
    <hyperlink r:id="rId719" ref="U1818"/>
    <hyperlink r:id="rId720" ref="U1819"/>
    <hyperlink r:id="rId721" ref="U1820"/>
    <hyperlink r:id="rId722" ref="U1821"/>
    <hyperlink r:id="rId723" ref="U1828"/>
    <hyperlink r:id="rId724" ref="U1829"/>
    <hyperlink r:id="rId725" ref="U1833"/>
    <hyperlink r:id="rId726" ref="U1834"/>
    <hyperlink r:id="rId727" ref="U1835"/>
    <hyperlink r:id="rId728" ref="U1836"/>
    <hyperlink r:id="rId729" ref="U1839"/>
    <hyperlink r:id="rId730" ref="U1849"/>
    <hyperlink r:id="rId731" ref="U1850"/>
    <hyperlink r:id="rId732" ref="U1851"/>
    <hyperlink r:id="rId733" ref="U1852"/>
    <hyperlink r:id="rId734" ref="U1853"/>
    <hyperlink r:id="rId735" ref="U1854"/>
    <hyperlink r:id="rId736" ref="U1855"/>
    <hyperlink r:id="rId737" ref="U1856"/>
    <hyperlink r:id="rId738" ref="U1857"/>
    <hyperlink r:id="rId739" ref="U1858"/>
    <hyperlink r:id="rId740" ref="U1859"/>
    <hyperlink r:id="rId741" ref="U1860"/>
    <hyperlink r:id="rId742" ref="U1861"/>
    <hyperlink r:id="rId743" ref="U1862"/>
    <hyperlink r:id="rId744" ref="U1863"/>
    <hyperlink r:id="rId745" ref="U1864"/>
    <hyperlink r:id="rId746" ref="U1865"/>
    <hyperlink r:id="rId747" ref="U1866"/>
    <hyperlink r:id="rId748" ref="U1883"/>
    <hyperlink r:id="rId749" ref="U1885"/>
    <hyperlink r:id="rId750" ref="U1886"/>
    <hyperlink r:id="rId751" ref="U1887"/>
    <hyperlink r:id="rId752" ref="U1888"/>
    <hyperlink r:id="rId753" ref="U1889"/>
    <hyperlink r:id="rId754" ref="U1890"/>
    <hyperlink r:id="rId755" ref="U1895"/>
    <hyperlink r:id="rId756" ref="U1896"/>
    <hyperlink r:id="rId757" ref="U1897"/>
    <hyperlink r:id="rId758" ref="U1898"/>
    <hyperlink r:id="rId759" ref="U1899"/>
    <hyperlink r:id="rId760" ref="U1900"/>
    <hyperlink r:id="rId761" ref="U1902"/>
    <hyperlink r:id="rId762" ref="U1903"/>
    <hyperlink r:id="rId763" ref="U1904"/>
    <hyperlink r:id="rId764" ref="U1905"/>
    <hyperlink r:id="rId765" ref="U1906"/>
    <hyperlink r:id="rId766" ref="U1911"/>
    <hyperlink r:id="rId767" ref="U1912"/>
    <hyperlink r:id="rId768" ref="U1913"/>
    <hyperlink r:id="rId769" ref="U1914"/>
    <hyperlink r:id="rId770" ref="U1915"/>
    <hyperlink r:id="rId771" ref="U1916"/>
    <hyperlink r:id="rId772" ref="U1917"/>
    <hyperlink r:id="rId773" ref="U1918"/>
    <hyperlink r:id="rId774" ref="U1919"/>
    <hyperlink r:id="rId775" ref="T1920"/>
    <hyperlink r:id="rId776" ref="U1920"/>
    <hyperlink r:id="rId777" ref="U1921"/>
    <hyperlink r:id="rId778" ref="U1922"/>
    <hyperlink r:id="rId779" ref="U1923"/>
    <hyperlink r:id="rId780" ref="U1924"/>
    <hyperlink r:id="rId781" ref="U1925"/>
    <hyperlink r:id="rId782" ref="U1926"/>
    <hyperlink r:id="rId783" ref="U1927"/>
    <hyperlink r:id="rId784" ref="U1928"/>
    <hyperlink r:id="rId785" ref="U1929"/>
    <hyperlink r:id="rId786" ref="U1930"/>
    <hyperlink r:id="rId787" ref="U1936"/>
    <hyperlink r:id="rId788" ref="U1940"/>
    <hyperlink r:id="rId789" ref="U1941"/>
    <hyperlink r:id="rId790" ref="U1942"/>
    <hyperlink r:id="rId791" ref="U1945"/>
    <hyperlink r:id="rId792" ref="U1949"/>
    <hyperlink r:id="rId793" ref="U1950"/>
    <hyperlink r:id="rId794" ref="U1951"/>
    <hyperlink r:id="rId795" ref="U1964"/>
    <hyperlink r:id="rId796" ref="U1965"/>
    <hyperlink r:id="rId797" ref="U1966"/>
    <hyperlink r:id="rId798" ref="U1968"/>
    <hyperlink r:id="rId799" ref="U1969"/>
    <hyperlink r:id="rId800" ref="U1970"/>
    <hyperlink r:id="rId801" ref="U1971"/>
    <hyperlink r:id="rId802" ref="U1972"/>
    <hyperlink r:id="rId803" ref="U1973"/>
    <hyperlink r:id="rId804" ref="U1974"/>
    <hyperlink r:id="rId805" ref="U1975"/>
    <hyperlink r:id="rId806" ref="U1976"/>
    <hyperlink r:id="rId807" ref="U1977"/>
    <hyperlink r:id="rId808" ref="U1978"/>
    <hyperlink r:id="rId809" ref="U1979"/>
    <hyperlink r:id="rId810" ref="U1980"/>
    <hyperlink r:id="rId811" ref="U1981"/>
    <hyperlink r:id="rId812" ref="U1982"/>
    <hyperlink r:id="rId813" ref="U1983"/>
    <hyperlink r:id="rId814" ref="U1984"/>
    <hyperlink r:id="rId815" ref="U1985"/>
    <hyperlink r:id="rId816" ref="U1986"/>
    <hyperlink r:id="rId817" ref="U1987"/>
    <hyperlink r:id="rId818" ref="U1988"/>
    <hyperlink r:id="rId819" ref="U1989"/>
    <hyperlink r:id="rId820" ref="U1990"/>
    <hyperlink r:id="rId821" ref="U1991"/>
    <hyperlink r:id="rId822" ref="U1992"/>
    <hyperlink r:id="rId823" ref="U1993"/>
    <hyperlink r:id="rId824" ref="U1994"/>
    <hyperlink r:id="rId825" ref="U1995"/>
    <hyperlink r:id="rId826" ref="U1996"/>
    <hyperlink r:id="rId827" ref="U1997"/>
    <hyperlink r:id="rId828" ref="U1998"/>
    <hyperlink r:id="rId829" ref="U1999"/>
    <hyperlink r:id="rId830" ref="U2000"/>
    <hyperlink r:id="rId831" ref="U2001"/>
    <hyperlink r:id="rId832" ref="U2002"/>
    <hyperlink r:id="rId833" ref="U2003"/>
    <hyperlink r:id="rId834" ref="U2004"/>
    <hyperlink r:id="rId835" ref="U2005"/>
    <hyperlink r:id="rId836" ref="U2006"/>
    <hyperlink r:id="rId837" ref="U2007"/>
    <hyperlink r:id="rId838" ref="U2008"/>
    <hyperlink r:id="rId839" ref="U2009"/>
    <hyperlink r:id="rId840" ref="U2010"/>
    <hyperlink r:id="rId841" ref="U2011"/>
    <hyperlink r:id="rId842" ref="U2012"/>
    <hyperlink r:id="rId843" ref="U2013"/>
    <hyperlink r:id="rId844" ref="U2014"/>
    <hyperlink r:id="rId845" ref="U2015"/>
    <hyperlink r:id="rId846" ref="U2016"/>
    <hyperlink r:id="rId847" ref="U2017"/>
    <hyperlink r:id="rId848" ref="U2029"/>
    <hyperlink r:id="rId849" ref="U2039"/>
    <hyperlink r:id="rId850" ref="U2040"/>
    <hyperlink r:id="rId851" ref="U2045"/>
    <hyperlink r:id="rId852" ref="U2046"/>
    <hyperlink r:id="rId853" ref="U2048"/>
    <hyperlink r:id="rId854" ref="U2049"/>
    <hyperlink r:id="rId855" ref="U2050"/>
    <hyperlink r:id="rId856" ref="U2053"/>
    <hyperlink r:id="rId857" ref="U2054"/>
    <hyperlink r:id="rId858" ref="U2055"/>
    <hyperlink r:id="rId859" ref="U2056"/>
    <hyperlink r:id="rId860" ref="U2057"/>
    <hyperlink r:id="rId861" ref="U2058"/>
    <hyperlink r:id="rId862" ref="U2071"/>
    <hyperlink r:id="rId863" ref="U2072"/>
    <hyperlink r:id="rId864" ref="U2073"/>
    <hyperlink r:id="rId865" ref="U2074"/>
    <hyperlink r:id="rId866" ref="U2075"/>
    <hyperlink r:id="rId867" ref="U2085"/>
    <hyperlink r:id="rId868" ref="U2086"/>
    <hyperlink r:id="rId869" ref="U2090"/>
    <hyperlink r:id="rId870" ref="U2091"/>
    <hyperlink r:id="rId871" ref="U2092"/>
    <hyperlink r:id="rId872" ref="U2099"/>
    <hyperlink r:id="rId873" ref="U2103"/>
    <hyperlink r:id="rId874" ref="U2104"/>
    <hyperlink r:id="rId875" ref="U2106"/>
    <hyperlink r:id="rId876" ref="U2107"/>
    <hyperlink r:id="rId877" ref="U2108"/>
    <hyperlink r:id="rId878" ref="U2109"/>
    <hyperlink r:id="rId879" ref="U2110"/>
    <hyperlink r:id="rId880" ref="U2113"/>
    <hyperlink r:id="rId881" ref="U2115"/>
    <hyperlink r:id="rId882" ref="U2116"/>
    <hyperlink r:id="rId883" ref="U2119"/>
    <hyperlink r:id="rId884" ref="U2120"/>
    <hyperlink r:id="rId885" ref="U2122"/>
    <hyperlink r:id="rId886" ref="U2127"/>
    <hyperlink r:id="rId887" ref="U2138"/>
    <hyperlink r:id="rId888" ref="U2139"/>
    <hyperlink r:id="rId889" ref="U2140"/>
    <hyperlink r:id="rId890" ref="U2142"/>
    <hyperlink r:id="rId891" ref="U2147"/>
    <hyperlink r:id="rId892" ref="U2149"/>
    <hyperlink r:id="rId893" ref="U2150"/>
    <hyperlink r:id="rId894" ref="U2161"/>
    <hyperlink r:id="rId895" ref="U2166"/>
    <hyperlink r:id="rId896" ref="U2167"/>
    <hyperlink r:id="rId897" ref="U2168"/>
    <hyperlink r:id="rId898" ref="U2169"/>
    <hyperlink r:id="rId899" ref="U2170"/>
    <hyperlink r:id="rId900" ref="U2171"/>
    <hyperlink r:id="rId901" ref="U2172"/>
    <hyperlink r:id="rId902" ref="U2178"/>
    <hyperlink r:id="rId903" ref="U2179"/>
    <hyperlink r:id="rId904" ref="U2181"/>
    <hyperlink r:id="rId905" ref="U2183"/>
    <hyperlink r:id="rId906" ref="U2184"/>
    <hyperlink r:id="rId907" ref="U2185"/>
    <hyperlink r:id="rId908" ref="U2186"/>
    <hyperlink r:id="rId909" ref="U2187"/>
    <hyperlink r:id="rId910" ref="U2188"/>
    <hyperlink r:id="rId911" ref="U2189"/>
    <hyperlink r:id="rId912" ref="U2190"/>
    <hyperlink r:id="rId913" ref="U2191"/>
    <hyperlink r:id="rId914" ref="U2192"/>
    <hyperlink r:id="rId915" ref="U2193"/>
    <hyperlink r:id="rId916" ref="U2194"/>
    <hyperlink r:id="rId917" ref="U2195"/>
    <hyperlink r:id="rId918" ref="U2196"/>
    <hyperlink r:id="rId919" ref="U2197"/>
    <hyperlink r:id="rId920" ref="U2198"/>
    <hyperlink r:id="rId921" ref="U2199"/>
    <hyperlink r:id="rId922" ref="U2200"/>
    <hyperlink r:id="rId923" ref="U2201"/>
    <hyperlink r:id="rId924" ref="U2202"/>
    <hyperlink r:id="rId925" ref="U2203"/>
    <hyperlink r:id="rId926" ref="U2204"/>
    <hyperlink r:id="rId927" ref="U2205"/>
    <hyperlink r:id="rId928" ref="U2206"/>
    <hyperlink r:id="rId929" ref="U2207"/>
    <hyperlink r:id="rId930" ref="U2208"/>
    <hyperlink r:id="rId931" ref="U2209"/>
    <hyperlink r:id="rId932" ref="U2210"/>
    <hyperlink r:id="rId933" ref="U2211"/>
    <hyperlink r:id="rId934" ref="U2212"/>
    <hyperlink r:id="rId935" ref="U2213"/>
    <hyperlink r:id="rId936" ref="U2214"/>
    <hyperlink r:id="rId937" ref="U2216"/>
    <hyperlink r:id="rId938" ref="U2217"/>
    <hyperlink r:id="rId939" ref="U2218"/>
    <hyperlink r:id="rId940" ref="U2219"/>
    <hyperlink r:id="rId941" ref="U2220"/>
    <hyperlink r:id="rId942" ref="U2249"/>
    <hyperlink r:id="rId943" ref="U2260"/>
    <hyperlink r:id="rId944" ref="U2261"/>
    <hyperlink r:id="rId945" ref="U2263"/>
    <hyperlink r:id="rId946" ref="U2264"/>
    <hyperlink r:id="rId947" ref="U2265"/>
    <hyperlink r:id="rId948" ref="U2266"/>
    <hyperlink r:id="rId949" ref="U2267"/>
    <hyperlink r:id="rId950" ref="U2268"/>
    <hyperlink r:id="rId951" ref="U2269"/>
    <hyperlink r:id="rId952" ref="U2270"/>
    <hyperlink r:id="rId953" ref="U2271"/>
    <hyperlink r:id="rId954" ref="U2272"/>
    <hyperlink r:id="rId955" ref="U2273"/>
    <hyperlink r:id="rId956" ref="U2274"/>
    <hyperlink r:id="rId957" ref="U2277"/>
    <hyperlink r:id="rId958" ref="U2284"/>
    <hyperlink r:id="rId959" ref="U2288"/>
    <hyperlink r:id="rId960" ref="U2290"/>
    <hyperlink r:id="rId961" ref="U2291"/>
    <hyperlink r:id="rId962" ref="U2294"/>
    <hyperlink r:id="rId963" ref="U2295"/>
    <hyperlink r:id="rId964" ref="U2296"/>
    <hyperlink r:id="rId965" ref="U2297"/>
    <hyperlink r:id="rId966" ref="U2301"/>
    <hyperlink r:id="rId967" ref="U2309"/>
    <hyperlink r:id="rId968" ref="U2310"/>
    <hyperlink r:id="rId969" ref="U2311"/>
    <hyperlink r:id="rId970" ref="U2312"/>
    <hyperlink r:id="rId971" ref="U2313"/>
    <hyperlink r:id="rId972" ref="U2314"/>
    <hyperlink r:id="rId973" ref="U2315"/>
    <hyperlink r:id="rId974" ref="U2316"/>
    <hyperlink r:id="rId975" ref="U2317"/>
    <hyperlink r:id="rId976" ref="U2331"/>
    <hyperlink r:id="rId977" ref="U2342"/>
    <hyperlink r:id="rId978" ref="U2348"/>
    <hyperlink r:id="rId979" ref="U2349"/>
    <hyperlink r:id="rId980" ref="U2355"/>
    <hyperlink r:id="rId981" ref="U2358"/>
    <hyperlink r:id="rId982" ref="U2359"/>
    <hyperlink r:id="rId983" ref="U2364"/>
    <hyperlink r:id="rId984" ref="U2365"/>
    <hyperlink r:id="rId985" ref="U2367"/>
    <hyperlink r:id="rId986" ref="U2368"/>
    <hyperlink r:id="rId987" ref="U2369"/>
    <hyperlink r:id="rId988" ref="U2370"/>
    <hyperlink r:id="rId989" ref="U2378"/>
    <hyperlink r:id="rId990" ref="U2379"/>
    <hyperlink r:id="rId991" ref="U2380"/>
    <hyperlink r:id="rId992" ref="U2381"/>
    <hyperlink r:id="rId993" ref="U2382"/>
    <hyperlink r:id="rId994" ref="U2383"/>
    <hyperlink r:id="rId995" ref="U2403"/>
    <hyperlink r:id="rId996" ref="U2404"/>
    <hyperlink r:id="rId997" ref="U2405"/>
    <hyperlink r:id="rId998" ref="U2406"/>
    <hyperlink r:id="rId999" ref="U2410"/>
    <hyperlink r:id="rId1000" ref="U2415"/>
    <hyperlink r:id="rId1001" ref="U2420"/>
    <hyperlink r:id="rId1002" ref="U2428"/>
    <hyperlink r:id="rId1003" ref="U2429"/>
    <hyperlink r:id="rId1004" ref="U2430"/>
    <hyperlink r:id="rId1005" ref="U2433"/>
    <hyperlink r:id="rId1006" ref="U2438"/>
    <hyperlink r:id="rId1007" ref="U2441"/>
    <hyperlink r:id="rId1008" ref="U2442"/>
    <hyperlink r:id="rId1009" ref="U2443"/>
    <hyperlink r:id="rId1010" ref="U2462"/>
    <hyperlink r:id="rId1011" ref="U2463"/>
    <hyperlink r:id="rId1012" ref="U2464"/>
    <hyperlink r:id="rId1013" ref="U2465"/>
    <hyperlink r:id="rId1014" ref="U2478"/>
    <hyperlink r:id="rId1015" ref="U2488"/>
    <hyperlink r:id="rId1016" ref="U2489"/>
    <hyperlink r:id="rId1017" ref="U2496"/>
    <hyperlink r:id="rId1018" ref="U2501"/>
    <hyperlink r:id="rId1019" ref="U2509"/>
    <hyperlink r:id="rId1020" ref="U2510"/>
    <hyperlink r:id="rId1021" ref="U2520"/>
    <hyperlink r:id="rId1022" ref="U2521"/>
    <hyperlink r:id="rId1023" ref="U2522"/>
    <hyperlink r:id="rId1024" ref="U2525"/>
    <hyperlink r:id="rId1025" ref="U2528"/>
    <hyperlink r:id="rId1026" ref="U2535"/>
    <hyperlink r:id="rId1027" ref="U2536"/>
    <hyperlink r:id="rId1028" ref="U2537"/>
    <hyperlink r:id="rId1029" ref="U2538"/>
    <hyperlink r:id="rId1030" ref="U2539"/>
    <hyperlink r:id="rId1031" ref="U2540"/>
    <hyperlink r:id="rId1032" ref="U2541"/>
    <hyperlink r:id="rId1033" ref="U2542"/>
    <hyperlink r:id="rId1034" ref="U2543"/>
    <hyperlink r:id="rId1035" ref="U2544"/>
    <hyperlink r:id="rId1036" ref="U2545"/>
    <hyperlink r:id="rId1037" ref="U2546"/>
    <hyperlink r:id="rId1038" ref="U2547"/>
    <hyperlink r:id="rId1039" ref="U2548"/>
    <hyperlink r:id="rId1040" ref="U2549"/>
    <hyperlink r:id="rId1041" ref="U2550"/>
    <hyperlink r:id="rId1042" ref="U2551"/>
    <hyperlink r:id="rId1043" ref="U2553"/>
    <hyperlink r:id="rId1044" ref="U2554"/>
    <hyperlink r:id="rId1045" ref="U2555"/>
    <hyperlink r:id="rId1046" ref="U2556"/>
    <hyperlink r:id="rId1047" ref="U2557"/>
    <hyperlink r:id="rId1048" ref="U2558"/>
    <hyperlink r:id="rId1049" ref="U2559"/>
    <hyperlink r:id="rId1050" ref="U2560"/>
    <hyperlink r:id="rId1051" ref="U2561"/>
    <hyperlink r:id="rId1052" ref="U2562"/>
    <hyperlink r:id="rId1053" ref="U2563"/>
    <hyperlink r:id="rId1054" ref="U2564"/>
    <hyperlink r:id="rId1055" ref="U2565"/>
    <hyperlink r:id="rId1056" ref="U2566"/>
    <hyperlink r:id="rId1057" ref="U2567"/>
    <hyperlink r:id="rId1058" ref="U2568"/>
    <hyperlink r:id="rId1059" ref="U2569"/>
    <hyperlink r:id="rId1060" ref="U2570"/>
    <hyperlink r:id="rId1061" ref="U2571"/>
    <hyperlink r:id="rId1062" ref="U2573"/>
    <hyperlink r:id="rId1063" ref="U2574"/>
    <hyperlink r:id="rId1064" ref="U2575"/>
    <hyperlink r:id="rId1065" ref="U2576"/>
    <hyperlink r:id="rId1066" ref="U2578"/>
    <hyperlink r:id="rId1067" ref="U2579"/>
    <hyperlink r:id="rId1068" ref="U2580"/>
    <hyperlink r:id="rId1069" ref="U2581"/>
    <hyperlink r:id="rId1070" ref="U2582"/>
    <hyperlink r:id="rId1071" ref="U2586"/>
    <hyperlink r:id="rId1072" ref="U2591"/>
    <hyperlink r:id="rId1073" ref="U2592"/>
    <hyperlink r:id="rId1074" ref="U2593"/>
    <hyperlink r:id="rId1075" ref="U2595"/>
    <hyperlink r:id="rId1076" ref="U2599"/>
    <hyperlink r:id="rId1077" ref="U2600"/>
    <hyperlink r:id="rId1078" ref="U2604"/>
    <hyperlink r:id="rId1079" ref="U2606"/>
    <hyperlink r:id="rId1080" ref="U2610"/>
    <hyperlink r:id="rId1081" ref="U2611"/>
    <hyperlink r:id="rId1082" ref="U2612"/>
    <hyperlink r:id="rId1083" ref="U2613"/>
    <hyperlink r:id="rId1084" ref="U2614"/>
    <hyperlink r:id="rId1085" ref="U2615"/>
    <hyperlink r:id="rId1086" ref="U2622"/>
    <hyperlink r:id="rId1087" ref="U2623"/>
    <hyperlink r:id="rId1088" ref="U2624"/>
    <hyperlink r:id="rId1089" ref="U2625"/>
    <hyperlink r:id="rId1090" ref="U2626"/>
    <hyperlink r:id="rId1091" ref="U2627"/>
    <hyperlink r:id="rId1092" ref="U2640"/>
    <hyperlink r:id="rId1093" ref="U2641"/>
    <hyperlink r:id="rId1094" ref="U2643"/>
    <hyperlink r:id="rId1095" ref="U2644"/>
    <hyperlink r:id="rId1096" ref="U2646"/>
    <hyperlink r:id="rId1097" ref="U2647"/>
    <hyperlink r:id="rId1098" ref="U2648"/>
    <hyperlink r:id="rId1099" ref="U2650"/>
    <hyperlink r:id="rId1100" ref="U2652"/>
    <hyperlink r:id="rId1101" ref="U2662"/>
    <hyperlink r:id="rId1102" ref="U2669"/>
    <hyperlink r:id="rId1103" ref="U2674"/>
    <hyperlink r:id="rId1104" ref="U2675"/>
    <hyperlink r:id="rId1105" ref="U2676"/>
    <hyperlink r:id="rId1106" ref="U2677"/>
    <hyperlink r:id="rId1107" ref="U2678"/>
    <hyperlink r:id="rId1108" ref="U2679"/>
    <hyperlink r:id="rId1109" ref="U2680"/>
    <hyperlink r:id="rId1110" ref="U2681"/>
    <hyperlink r:id="rId1111" ref="U2682"/>
    <hyperlink r:id="rId1112" ref="U2683"/>
    <hyperlink r:id="rId1113" ref="U2684"/>
    <hyperlink r:id="rId1114" ref="U2685"/>
    <hyperlink r:id="rId1115" ref="U2686"/>
    <hyperlink r:id="rId1116" ref="U2687"/>
    <hyperlink r:id="rId1117" ref="U2688"/>
    <hyperlink r:id="rId1118" ref="U2689"/>
    <hyperlink r:id="rId1119" ref="U2690"/>
    <hyperlink r:id="rId1120" ref="U2691"/>
    <hyperlink r:id="rId1121" ref="U2692"/>
    <hyperlink r:id="rId1122" ref="U2693"/>
    <hyperlink r:id="rId1123" ref="U2694"/>
    <hyperlink r:id="rId1124" ref="U2695"/>
    <hyperlink r:id="rId1125" ref="U2696"/>
    <hyperlink r:id="rId1126" ref="U2697"/>
    <hyperlink r:id="rId1127" ref="U2698"/>
    <hyperlink r:id="rId1128" ref="U2699"/>
    <hyperlink r:id="rId1129" ref="U2700"/>
    <hyperlink r:id="rId1130" ref="U2701"/>
    <hyperlink r:id="rId1131" ref="U2702"/>
    <hyperlink r:id="rId1132" ref="U2703"/>
    <hyperlink r:id="rId1133" ref="U2704"/>
    <hyperlink r:id="rId1134" ref="U2705"/>
    <hyperlink r:id="rId1135" ref="U2706"/>
    <hyperlink r:id="rId1136" ref="U2707"/>
    <hyperlink r:id="rId1137" ref="U2708"/>
    <hyperlink r:id="rId1138" ref="U2709"/>
    <hyperlink r:id="rId1139" ref="U2710"/>
    <hyperlink r:id="rId1140" ref="U2711"/>
    <hyperlink r:id="rId1141" ref="U2712"/>
    <hyperlink r:id="rId1142" ref="U2767"/>
    <hyperlink r:id="rId1143" ref="U2768"/>
    <hyperlink r:id="rId1144" ref="U2791"/>
    <hyperlink r:id="rId1145" ref="U2793"/>
    <hyperlink r:id="rId1146" ref="U2795"/>
    <hyperlink r:id="rId1147" ref="U2796"/>
    <hyperlink r:id="rId1148" ref="U2797"/>
    <hyperlink r:id="rId1149" ref="U2798"/>
    <hyperlink r:id="rId1150" ref="U2799"/>
    <hyperlink r:id="rId1151" ref="U2800"/>
    <hyperlink r:id="rId1152" ref="U2801"/>
    <hyperlink r:id="rId1153" ref="U2802"/>
    <hyperlink r:id="rId1154" ref="U2810"/>
    <hyperlink r:id="rId1155" ref="U2817"/>
    <hyperlink r:id="rId1156" ref="U2828"/>
    <hyperlink r:id="rId1157" ref="U2831"/>
    <hyperlink r:id="rId1158" ref="U2834"/>
    <hyperlink r:id="rId1159" ref="U2835"/>
    <hyperlink r:id="rId1160" ref="U2836"/>
    <hyperlink r:id="rId1161" ref="U2845"/>
    <hyperlink r:id="rId1162" ref="U2853"/>
    <hyperlink r:id="rId1163" ref="U2854"/>
    <hyperlink r:id="rId1164" ref="U2855"/>
    <hyperlink r:id="rId1165" ref="U2856"/>
    <hyperlink r:id="rId1166" ref="U2859"/>
    <hyperlink r:id="rId1167" ref="U2860"/>
    <hyperlink r:id="rId1168" ref="U2868"/>
    <hyperlink r:id="rId1169" ref="U2876"/>
    <hyperlink r:id="rId1170" ref="U2878"/>
    <hyperlink r:id="rId1171" ref="U2879"/>
    <hyperlink r:id="rId1172" ref="U2883"/>
    <hyperlink r:id="rId1173" ref="U2886"/>
    <hyperlink r:id="rId1174" ref="U2898"/>
    <hyperlink r:id="rId1175" ref="U2901"/>
    <hyperlink r:id="rId1176" ref="U2914"/>
    <hyperlink r:id="rId1177" ref="U2920"/>
    <hyperlink r:id="rId1178" ref="U2922"/>
    <hyperlink r:id="rId1179" ref="U2944"/>
    <hyperlink r:id="rId1180" ref="U2951"/>
    <hyperlink r:id="rId1181" ref="U2978"/>
    <hyperlink r:id="rId1182" ref="U2980"/>
    <hyperlink r:id="rId1183" ref="U2981"/>
    <hyperlink r:id="rId1184" ref="U2982"/>
    <hyperlink r:id="rId1185" ref="U2983"/>
    <hyperlink r:id="rId1186" ref="U2984"/>
    <hyperlink r:id="rId1187" ref="U2985"/>
    <hyperlink r:id="rId1188" ref="U2986"/>
    <hyperlink r:id="rId1189" ref="U2987"/>
    <hyperlink r:id="rId1190" ref="U3011"/>
    <hyperlink r:id="rId1191" ref="U3012"/>
    <hyperlink r:id="rId1192" ref="U3019"/>
    <hyperlink r:id="rId1193" ref="U3020"/>
    <hyperlink r:id="rId1194" ref="U3021"/>
    <hyperlink r:id="rId1195" ref="U3029"/>
    <hyperlink r:id="rId1196" ref="U3030"/>
    <hyperlink r:id="rId1197" ref="U3031"/>
    <hyperlink r:id="rId1198" ref="U3032"/>
    <hyperlink r:id="rId1199" ref="U3033"/>
    <hyperlink r:id="rId1200" ref="U3034"/>
    <hyperlink r:id="rId1201" ref="U3035"/>
    <hyperlink r:id="rId1202" ref="U3036"/>
    <hyperlink r:id="rId1203" ref="U3037"/>
    <hyperlink r:id="rId1204" ref="U3038"/>
    <hyperlink r:id="rId1205" ref="U3039"/>
    <hyperlink r:id="rId1206" ref="U3040"/>
    <hyperlink r:id="rId1207" ref="U3041"/>
    <hyperlink r:id="rId1208" ref="U3042"/>
    <hyperlink r:id="rId1209" ref="U3043"/>
    <hyperlink r:id="rId1210" ref="U3044"/>
    <hyperlink r:id="rId1211" ref="U3045"/>
    <hyperlink r:id="rId1212" ref="U3066"/>
    <hyperlink r:id="rId1213" ref="U3067"/>
    <hyperlink r:id="rId1214" ref="U3073"/>
    <hyperlink r:id="rId1215" ref="U3074"/>
    <hyperlink r:id="rId1216" ref="U3079"/>
    <hyperlink r:id="rId1217" ref="U3090"/>
    <hyperlink r:id="rId1218" ref="U3094"/>
    <hyperlink r:id="rId1219" ref="U3132"/>
    <hyperlink r:id="rId1220" ref="U3133"/>
    <hyperlink r:id="rId1221" ref="U3135"/>
    <hyperlink r:id="rId1222" ref="U3136"/>
    <hyperlink r:id="rId1223" ref="U3137"/>
    <hyperlink r:id="rId1224" ref="U3138"/>
    <hyperlink r:id="rId1225" ref="U3139"/>
    <hyperlink r:id="rId1226" ref="U3140"/>
    <hyperlink r:id="rId1227" ref="U3141"/>
    <hyperlink r:id="rId1228" ref="U3142"/>
    <hyperlink r:id="rId1229" ref="U3143"/>
    <hyperlink r:id="rId1230" ref="U3144"/>
    <hyperlink r:id="rId1231" ref="U3145"/>
    <hyperlink r:id="rId1232" ref="U3146"/>
    <hyperlink r:id="rId1233" ref="U3147"/>
    <hyperlink r:id="rId1234" ref="U3148"/>
    <hyperlink r:id="rId1235" ref="U3149"/>
    <hyperlink r:id="rId1236" ref="U3150"/>
    <hyperlink r:id="rId1237" ref="U3151"/>
    <hyperlink r:id="rId1238" ref="U3152"/>
    <hyperlink r:id="rId1239" ref="U3153"/>
    <hyperlink r:id="rId1240" ref="U3154"/>
    <hyperlink r:id="rId1241" ref="U3155"/>
    <hyperlink r:id="rId1242" ref="U3187"/>
    <hyperlink r:id="rId1243" ref="U3223"/>
    <hyperlink r:id="rId1244" ref="U3225"/>
    <hyperlink r:id="rId1245" ref="U3226"/>
    <hyperlink r:id="rId1246" ref="U3227"/>
    <hyperlink r:id="rId1247" ref="U3229"/>
    <hyperlink r:id="rId1248" ref="U3230"/>
    <hyperlink r:id="rId1249" ref="U3231"/>
    <hyperlink r:id="rId1250" ref="U3233"/>
    <hyperlink r:id="rId1251" ref="U3234"/>
    <hyperlink r:id="rId1252" ref="U3255"/>
    <hyperlink r:id="rId1253" ref="U3283"/>
    <hyperlink r:id="rId1254" ref="U3285"/>
    <hyperlink r:id="rId1255" ref="U3287"/>
    <hyperlink r:id="rId1256" ref="U3288"/>
    <hyperlink r:id="rId1257" ref="U3290"/>
    <hyperlink r:id="rId1258" ref="U3293"/>
    <hyperlink r:id="rId1259" ref="U3294"/>
    <hyperlink r:id="rId1260" ref="U3295"/>
    <hyperlink r:id="rId1261" ref="U3303"/>
    <hyperlink r:id="rId1262" ref="U3305"/>
    <hyperlink r:id="rId1263" ref="U3306"/>
    <hyperlink r:id="rId1264" ref="U3307"/>
    <hyperlink r:id="rId1265" ref="U3308"/>
    <hyperlink r:id="rId1266" ref="U3309"/>
    <hyperlink r:id="rId1267" ref="U3315"/>
    <hyperlink r:id="rId1268" ref="U3316"/>
    <hyperlink r:id="rId1269" ref="U3317"/>
    <hyperlink r:id="rId1270" ref="U3318"/>
    <hyperlink r:id="rId1271" ref="U3319"/>
    <hyperlink r:id="rId1272" ref="U3321"/>
    <hyperlink r:id="rId1273" ref="U3322"/>
    <hyperlink r:id="rId1274" ref="U3323"/>
    <hyperlink r:id="rId1275" ref="U3324"/>
    <hyperlink r:id="rId1276" ref="U3325"/>
    <hyperlink r:id="rId1277" ref="U3326"/>
    <hyperlink r:id="rId1278" ref="U3327"/>
    <hyperlink r:id="rId1279" ref="U3328"/>
    <hyperlink r:id="rId1280" ref="U3329"/>
    <hyperlink r:id="rId1281" ref="U3330"/>
    <hyperlink r:id="rId1282" ref="U3331"/>
    <hyperlink r:id="rId1283" ref="U3332"/>
    <hyperlink r:id="rId1284" ref="U3333"/>
    <hyperlink r:id="rId1285" ref="U3334"/>
    <hyperlink r:id="rId1286" ref="U3335"/>
    <hyperlink r:id="rId1287" ref="U3336"/>
    <hyperlink r:id="rId1288" ref="U3337"/>
    <hyperlink r:id="rId1289" ref="U3338"/>
    <hyperlink r:id="rId1290" ref="U3343"/>
    <hyperlink r:id="rId1291" ref="U3344"/>
    <hyperlink r:id="rId1292" ref="U3345"/>
    <hyperlink r:id="rId1293" ref="U3346"/>
    <hyperlink r:id="rId1294" ref="U3347"/>
    <hyperlink r:id="rId1295" ref="U3348"/>
    <hyperlink r:id="rId1296" ref="U3349"/>
    <hyperlink r:id="rId1297" ref="U3350"/>
    <hyperlink r:id="rId1298" ref="U3351"/>
    <hyperlink r:id="rId1299" ref="U3352"/>
    <hyperlink r:id="rId1300" ref="U3353"/>
    <hyperlink r:id="rId1301" ref="U3354"/>
    <hyperlink r:id="rId1302" ref="U3355"/>
    <hyperlink r:id="rId1303" ref="U3369"/>
    <hyperlink r:id="rId1304" ref="U3370"/>
    <hyperlink r:id="rId1305" ref="U3371"/>
    <hyperlink r:id="rId1306" ref="U3372"/>
    <hyperlink r:id="rId1307" ref="U3373"/>
    <hyperlink r:id="rId1308" ref="U3374"/>
    <hyperlink r:id="rId1309" ref="U3375"/>
    <hyperlink r:id="rId1310" ref="U3376"/>
    <hyperlink r:id="rId1311" ref="U3377"/>
    <hyperlink r:id="rId1312" ref="U3378"/>
    <hyperlink r:id="rId1313" ref="U3379"/>
    <hyperlink r:id="rId1314" ref="U3389"/>
    <hyperlink r:id="rId1315" ref="U3390"/>
    <hyperlink r:id="rId1316" ref="U3394"/>
    <hyperlink r:id="rId1317" ref="U3456"/>
    <hyperlink r:id="rId1318" ref="U3461"/>
    <hyperlink r:id="rId1319" ref="U3462"/>
    <hyperlink r:id="rId1320" ref="U3482"/>
    <hyperlink r:id="rId1321" ref="U3483"/>
    <hyperlink r:id="rId1322" ref="U3484"/>
    <hyperlink r:id="rId1323" ref="U3493"/>
    <hyperlink r:id="rId1324" ref="U3494"/>
    <hyperlink r:id="rId1325" ref="U3495"/>
    <hyperlink r:id="rId1326" ref="U3499"/>
    <hyperlink r:id="rId1327" ref="U3506"/>
    <hyperlink r:id="rId1328" ref="U3507"/>
    <hyperlink r:id="rId1329" ref="U3508"/>
    <hyperlink r:id="rId1330" ref="U3516"/>
    <hyperlink r:id="rId1331" ref="U3517"/>
    <hyperlink r:id="rId1332" ref="U3518"/>
    <hyperlink r:id="rId1333" ref="U3519"/>
    <hyperlink r:id="rId1334" ref="U3520"/>
    <hyperlink r:id="rId1335" ref="U3521"/>
    <hyperlink r:id="rId1336" ref="U3522"/>
    <hyperlink r:id="rId1337" ref="U3523"/>
    <hyperlink r:id="rId1338" ref="U3524"/>
    <hyperlink r:id="rId1339" ref="U3526"/>
    <hyperlink r:id="rId1340" ref="U3541"/>
    <hyperlink r:id="rId1341" ref="U3577"/>
    <hyperlink r:id="rId1342" ref="U3581"/>
    <hyperlink r:id="rId1343" ref="U3587"/>
    <hyperlink r:id="rId1344" ref="U3589"/>
    <hyperlink r:id="rId1345" ref="U3590"/>
    <hyperlink r:id="rId1346" ref="U3597"/>
    <hyperlink r:id="rId1347" ref="U3598"/>
    <hyperlink r:id="rId1348" ref="U3599"/>
    <hyperlink r:id="rId1349" ref="U3600"/>
    <hyperlink r:id="rId1350" ref="U3601"/>
    <hyperlink r:id="rId1351" ref="U3602"/>
    <hyperlink r:id="rId1352" ref="U3603"/>
    <hyperlink r:id="rId1353" ref="U3604"/>
    <hyperlink r:id="rId1354" ref="U3622"/>
    <hyperlink r:id="rId1355" ref="U3623"/>
    <hyperlink r:id="rId1356" ref="U3624"/>
    <hyperlink r:id="rId1357" ref="U3629"/>
    <hyperlink r:id="rId1358" ref="U3633"/>
    <hyperlink r:id="rId1359" ref="U3634"/>
    <hyperlink r:id="rId1360" ref="U3644"/>
    <hyperlink r:id="rId1361" ref="U3645"/>
    <hyperlink r:id="rId1362" ref="U3646"/>
    <hyperlink r:id="rId1363" ref="U3647"/>
    <hyperlink r:id="rId1364" ref="U3650"/>
    <hyperlink r:id="rId1365" ref="U3651"/>
    <hyperlink r:id="rId1366" ref="U3652"/>
    <hyperlink r:id="rId1367" ref="U3653"/>
    <hyperlink r:id="rId1368" ref="U3654"/>
    <hyperlink r:id="rId1369" ref="U3655"/>
    <hyperlink r:id="rId1370" ref="U3656"/>
    <hyperlink r:id="rId1371" ref="U3657"/>
    <hyperlink r:id="rId1372" ref="U3658"/>
    <hyperlink r:id="rId1373" ref="U3659"/>
    <hyperlink r:id="rId1374" ref="U3660"/>
    <hyperlink r:id="rId1375" ref="U3674"/>
    <hyperlink r:id="rId1376" ref="U3675"/>
    <hyperlink r:id="rId1377" ref="U3676"/>
    <hyperlink r:id="rId1378" ref="U3677"/>
    <hyperlink r:id="rId1379" ref="U3678"/>
    <hyperlink r:id="rId1380" ref="U3685"/>
    <hyperlink r:id="rId1381" ref="U3686"/>
    <hyperlink r:id="rId1382" ref="U3687"/>
    <hyperlink r:id="rId1383" ref="U3688"/>
    <hyperlink r:id="rId1384" ref="U3689"/>
    <hyperlink r:id="rId1385" ref="U3690"/>
    <hyperlink r:id="rId1386" ref="U3692"/>
    <hyperlink r:id="rId1387" ref="U3693"/>
    <hyperlink r:id="rId1388" ref="U3694"/>
    <hyperlink r:id="rId1389" ref="U3695"/>
    <hyperlink r:id="rId1390" ref="U3712"/>
    <hyperlink r:id="rId1391" ref="U3726"/>
    <hyperlink r:id="rId1392" ref="U3727"/>
    <hyperlink r:id="rId1393" ref="U3733"/>
    <hyperlink r:id="rId1394" ref="U3734"/>
    <hyperlink r:id="rId1395" ref="U3735"/>
    <hyperlink r:id="rId1396" ref="U3736"/>
    <hyperlink r:id="rId1397" ref="U3737"/>
    <hyperlink r:id="rId1398" ref="U3739"/>
    <hyperlink r:id="rId1399" ref="U3756"/>
    <hyperlink r:id="rId1400" ref="U3757"/>
    <hyperlink r:id="rId1401" ref="U3762"/>
    <hyperlink r:id="rId1402" ref="U3774"/>
    <hyperlink r:id="rId1403" ref="U3775"/>
    <hyperlink r:id="rId1404" ref="U3776"/>
    <hyperlink r:id="rId1405" ref="U3779"/>
    <hyperlink r:id="rId1406" ref="U3794"/>
    <hyperlink r:id="rId1407" ref="U3795"/>
    <hyperlink r:id="rId1408" ref="U3825"/>
    <hyperlink r:id="rId1409" ref="U3826"/>
    <hyperlink r:id="rId1410" ref="U3827"/>
    <hyperlink r:id="rId1411" ref="U3832"/>
    <hyperlink r:id="rId1412" ref="U3842"/>
    <hyperlink r:id="rId1413" ref="U3843"/>
    <hyperlink r:id="rId1414" ref="U3845"/>
    <hyperlink r:id="rId1415" ref="U3846"/>
    <hyperlink r:id="rId1416" ref="U3847"/>
    <hyperlink r:id="rId1417" ref="U3848"/>
    <hyperlink r:id="rId1418" ref="U3849"/>
    <hyperlink r:id="rId1419" ref="U3850"/>
    <hyperlink r:id="rId1420" ref="U3851"/>
    <hyperlink r:id="rId1421" ref="U3852"/>
    <hyperlink r:id="rId1422" ref="U3853"/>
    <hyperlink r:id="rId1423" ref="U3854"/>
    <hyperlink r:id="rId1424" ref="U3855"/>
    <hyperlink r:id="rId1425" ref="U3856"/>
    <hyperlink r:id="rId1426" ref="U3857"/>
    <hyperlink r:id="rId1427" ref="U3858"/>
    <hyperlink r:id="rId1428" ref="U3859"/>
    <hyperlink r:id="rId1429" ref="U3860"/>
    <hyperlink r:id="rId1430" ref="U3861"/>
    <hyperlink r:id="rId1431" ref="U3862"/>
    <hyperlink r:id="rId1432" ref="U3863"/>
    <hyperlink r:id="rId1433" ref="U3864"/>
    <hyperlink r:id="rId1434" ref="U3875"/>
    <hyperlink r:id="rId1435" ref="U3891"/>
    <hyperlink r:id="rId1436" ref="U3892"/>
    <hyperlink r:id="rId1437" ref="U3893"/>
    <hyperlink r:id="rId1438" ref="U3894"/>
    <hyperlink r:id="rId1439" ref="U3897"/>
    <hyperlink r:id="rId1440" ref="U3898"/>
    <hyperlink r:id="rId1441" ref="U3899"/>
    <hyperlink r:id="rId1442" ref="U3901"/>
    <hyperlink r:id="rId1443" ref="U3903"/>
    <hyperlink r:id="rId1444" ref="U3904"/>
    <hyperlink r:id="rId1445" ref="U3908"/>
    <hyperlink r:id="rId1446" ref="U3909"/>
    <hyperlink r:id="rId1447" ref="U3910"/>
    <hyperlink r:id="rId1448" ref="U3911"/>
    <hyperlink r:id="rId1449" ref="U3912"/>
    <hyperlink r:id="rId1450" ref="U3914"/>
    <hyperlink r:id="rId1451" ref="U3917"/>
    <hyperlink r:id="rId1452" ref="U3918"/>
    <hyperlink r:id="rId1453" ref="U3919"/>
    <hyperlink r:id="rId1454" ref="U3920"/>
    <hyperlink r:id="rId1455" ref="U3921"/>
    <hyperlink r:id="rId1456" ref="U3922"/>
    <hyperlink r:id="rId1457" ref="U3923"/>
    <hyperlink r:id="rId1458" ref="U3924"/>
    <hyperlink r:id="rId1459" ref="U3925"/>
    <hyperlink r:id="rId1460" ref="U3926"/>
    <hyperlink r:id="rId1461" ref="U3935"/>
    <hyperlink r:id="rId1462" ref="U3936"/>
    <hyperlink r:id="rId1463" ref="U3937"/>
    <hyperlink r:id="rId1464" ref="U3938"/>
    <hyperlink r:id="rId1465" ref="U3941"/>
    <hyperlink r:id="rId1466" ref="U3942"/>
    <hyperlink r:id="rId1467" ref="U3943"/>
    <hyperlink r:id="rId1468" ref="U3944"/>
    <hyperlink r:id="rId1469" ref="U3945"/>
    <hyperlink r:id="rId1470" ref="U3946"/>
    <hyperlink r:id="rId1471" ref="U3947"/>
    <hyperlink r:id="rId1472" ref="U3948"/>
    <hyperlink r:id="rId1473" ref="U3949"/>
    <hyperlink r:id="rId1474" ref="U3950"/>
    <hyperlink r:id="rId1475" ref="U3951"/>
    <hyperlink r:id="rId1476" ref="U3952"/>
    <hyperlink r:id="rId1477" ref="U3953"/>
    <hyperlink r:id="rId1478" ref="U3954"/>
    <hyperlink r:id="rId1479" ref="U3955"/>
    <hyperlink r:id="rId1480" ref="U3956"/>
    <hyperlink r:id="rId1481" ref="U3957"/>
    <hyperlink r:id="rId1482" ref="U3958"/>
    <hyperlink r:id="rId1483" ref="U3959"/>
    <hyperlink r:id="rId1484" ref="U3960"/>
    <hyperlink r:id="rId1485" ref="U3961"/>
    <hyperlink r:id="rId1486" ref="U3962"/>
    <hyperlink r:id="rId1487" ref="U3963"/>
    <hyperlink r:id="rId1488" ref="U3964"/>
    <hyperlink r:id="rId1489" ref="U3965"/>
    <hyperlink r:id="rId1490" ref="U3966"/>
    <hyperlink r:id="rId1491" ref="U3967"/>
    <hyperlink r:id="rId1492" ref="U3968"/>
    <hyperlink r:id="rId1493" ref="U3969"/>
    <hyperlink r:id="rId1494" ref="U3971"/>
    <hyperlink r:id="rId1495" ref="U3972"/>
    <hyperlink r:id="rId1496" ref="U3973"/>
    <hyperlink r:id="rId1497" ref="U3974"/>
    <hyperlink r:id="rId1498" ref="U3975"/>
    <hyperlink r:id="rId1499" ref="U3976"/>
    <hyperlink r:id="rId1500" ref="U3977"/>
    <hyperlink r:id="rId1501" ref="U3978"/>
    <hyperlink r:id="rId1502" ref="U3979"/>
    <hyperlink r:id="rId1503" ref="U3980"/>
    <hyperlink r:id="rId1504" ref="U3994"/>
    <hyperlink r:id="rId1505" ref="U3998"/>
    <hyperlink r:id="rId1506" ref="U3999"/>
    <hyperlink r:id="rId1507" ref="U4035"/>
    <hyperlink r:id="rId1508" ref="U4036"/>
    <hyperlink r:id="rId1509" ref="U4037"/>
    <hyperlink r:id="rId1510" ref="U4038"/>
    <hyperlink r:id="rId1511" ref="U4039"/>
    <hyperlink r:id="rId1512" ref="U4040"/>
    <hyperlink r:id="rId1513" ref="U4041"/>
    <hyperlink r:id="rId1514" ref="U4042"/>
    <hyperlink r:id="rId1515" ref="U4043"/>
    <hyperlink r:id="rId1516" ref="U4044"/>
    <hyperlink r:id="rId1517" ref="U4045"/>
    <hyperlink r:id="rId1518" ref="U4046"/>
    <hyperlink r:id="rId1519" ref="U4047"/>
    <hyperlink r:id="rId1520" ref="U4048"/>
    <hyperlink r:id="rId1521" ref="U4049"/>
    <hyperlink r:id="rId1522" ref="U4050"/>
    <hyperlink r:id="rId1523" ref="U4051"/>
    <hyperlink r:id="rId1524" ref="U4052"/>
    <hyperlink r:id="rId1525" ref="U4069"/>
    <hyperlink r:id="rId1526" ref="U4070"/>
    <hyperlink r:id="rId1527" ref="U4074"/>
    <hyperlink r:id="rId1528" ref="U4075"/>
    <hyperlink r:id="rId1529" ref="U4076"/>
    <hyperlink r:id="rId1530" ref="U4077"/>
    <hyperlink r:id="rId1531" ref="U4079"/>
    <hyperlink r:id="rId1532" ref="U4080"/>
    <hyperlink r:id="rId1533" ref="U4081"/>
    <hyperlink r:id="rId1534" ref="U4082"/>
    <hyperlink r:id="rId1535" ref="U4084"/>
    <hyperlink r:id="rId1536" ref="U4085"/>
    <hyperlink r:id="rId1537" ref="U4086"/>
    <hyperlink r:id="rId1538" ref="U4087"/>
    <hyperlink r:id="rId1539" ref="U4088"/>
    <hyperlink r:id="rId1540" ref="U4089"/>
    <hyperlink r:id="rId1541" ref="U4090"/>
    <hyperlink r:id="rId1542" ref="U4091"/>
    <hyperlink r:id="rId1543" ref="U4092"/>
    <hyperlink r:id="rId1544" ref="U4093"/>
    <hyperlink r:id="rId1545" ref="U4094"/>
    <hyperlink r:id="rId1546" ref="U4095"/>
    <hyperlink r:id="rId1547" ref="U4096"/>
    <hyperlink r:id="rId1548" ref="U4097"/>
    <hyperlink r:id="rId1549" ref="U4098"/>
    <hyperlink r:id="rId1550" ref="U4099"/>
    <hyperlink r:id="rId1551" ref="U4103"/>
    <hyperlink r:id="rId1552" ref="U4104"/>
    <hyperlink r:id="rId1553" ref="U4105"/>
    <hyperlink r:id="rId1554" ref="U4106"/>
    <hyperlink r:id="rId1555" ref="U4107"/>
    <hyperlink r:id="rId1556" ref="U4108"/>
    <hyperlink r:id="rId1557" ref="U4109"/>
    <hyperlink r:id="rId1558" ref="U4110"/>
    <hyperlink r:id="rId1559" ref="U4111"/>
    <hyperlink r:id="rId1560" ref="U4112"/>
    <hyperlink r:id="rId1561" ref="U4113"/>
    <hyperlink r:id="rId1562" ref="U4114"/>
    <hyperlink r:id="rId1563" ref="U4115"/>
    <hyperlink r:id="rId1564" ref="U4121"/>
    <hyperlink r:id="rId1565" ref="U4128"/>
    <hyperlink r:id="rId1566" ref="U4144"/>
    <hyperlink r:id="rId1567" ref="U4146"/>
    <hyperlink r:id="rId1568" ref="U4147"/>
    <hyperlink r:id="rId1569" ref="U4148"/>
    <hyperlink r:id="rId1570" ref="U4149"/>
    <hyperlink r:id="rId1571" ref="U4150"/>
    <hyperlink r:id="rId1572" ref="U4151"/>
    <hyperlink r:id="rId1573" ref="U4152"/>
    <hyperlink r:id="rId1574" ref="U4153"/>
    <hyperlink r:id="rId1575" ref="U4165"/>
    <hyperlink r:id="rId1576" ref="U4166"/>
    <hyperlink r:id="rId1577" ref="U4167"/>
    <hyperlink r:id="rId1578" ref="U4170"/>
    <hyperlink r:id="rId1579" ref="U4178"/>
    <hyperlink r:id="rId1580" ref="U4179"/>
    <hyperlink r:id="rId1581" ref="U4180"/>
    <hyperlink r:id="rId1582" ref="U4181"/>
    <hyperlink r:id="rId1583" ref="U4182"/>
    <hyperlink r:id="rId1584" ref="U4183"/>
    <hyperlink r:id="rId1585" ref="U4184"/>
    <hyperlink r:id="rId1586" ref="U4185"/>
    <hyperlink r:id="rId1587" ref="U4186"/>
    <hyperlink r:id="rId1588" ref="U4187"/>
    <hyperlink r:id="rId1589" ref="U4188"/>
    <hyperlink r:id="rId1590" ref="U4189"/>
    <hyperlink r:id="rId1591" ref="U4190"/>
    <hyperlink r:id="rId1592" ref="U4191"/>
    <hyperlink r:id="rId1593" ref="U4192"/>
    <hyperlink r:id="rId1594" ref="U4193"/>
    <hyperlink r:id="rId1595" ref="U4203"/>
    <hyperlink r:id="rId1596" ref="U4204"/>
    <hyperlink r:id="rId1597" ref="U4215"/>
    <hyperlink r:id="rId1598" ref="U4218"/>
    <hyperlink r:id="rId1599" ref="U4220"/>
    <hyperlink r:id="rId1600" ref="U4221"/>
    <hyperlink r:id="rId1601" ref="U4222"/>
    <hyperlink r:id="rId1602" ref="U4223"/>
    <hyperlink r:id="rId1603" ref="U4224"/>
    <hyperlink r:id="rId1604" ref="U4225"/>
    <hyperlink r:id="rId1605" ref="U4226"/>
    <hyperlink r:id="rId1606" ref="U4229"/>
    <hyperlink r:id="rId1607" ref="U4230"/>
    <hyperlink r:id="rId1608" ref="U4231"/>
    <hyperlink r:id="rId1609" ref="U4232"/>
    <hyperlink r:id="rId1610" ref="U4233"/>
    <hyperlink r:id="rId1611" ref="U4234"/>
    <hyperlink r:id="rId1612" ref="U4235"/>
    <hyperlink r:id="rId1613" ref="U4236"/>
    <hyperlink r:id="rId1614" ref="U4238"/>
    <hyperlink r:id="rId1615" ref="U4239"/>
    <hyperlink r:id="rId1616" ref="U4242"/>
    <hyperlink r:id="rId1617" ref="U4243"/>
    <hyperlink r:id="rId1618" ref="U4244"/>
    <hyperlink r:id="rId1619" ref="U4245"/>
    <hyperlink r:id="rId1620" ref="U4246"/>
    <hyperlink r:id="rId1621" ref="U4247"/>
    <hyperlink r:id="rId1622" ref="U4249"/>
    <hyperlink r:id="rId1623" ref="U4250"/>
    <hyperlink r:id="rId1624" ref="U4251"/>
    <hyperlink r:id="rId1625" ref="U4252"/>
    <hyperlink r:id="rId1626" ref="U4253"/>
    <hyperlink r:id="rId1627" ref="U4254"/>
    <hyperlink r:id="rId1628" ref="U4255"/>
    <hyperlink r:id="rId1629" ref="U4256"/>
    <hyperlink r:id="rId1630" ref="U4257"/>
    <hyperlink r:id="rId1631" ref="U4258"/>
    <hyperlink r:id="rId1632" ref="U4281"/>
    <hyperlink r:id="rId1633" ref="U4282"/>
    <hyperlink r:id="rId1634" ref="U4289"/>
    <hyperlink r:id="rId1635" ref="U4290"/>
    <hyperlink r:id="rId1636" ref="U4291"/>
    <hyperlink r:id="rId1637" ref="U4292"/>
    <hyperlink r:id="rId1638" ref="U4294"/>
    <hyperlink r:id="rId1639" ref="U4295"/>
    <hyperlink r:id="rId1640" ref="U4296"/>
    <hyperlink r:id="rId1641" ref="U4297"/>
    <hyperlink r:id="rId1642" ref="U4298"/>
    <hyperlink r:id="rId1643" ref="U4300"/>
    <hyperlink r:id="rId1644" ref="U4301"/>
    <hyperlink r:id="rId1645" ref="U4306"/>
    <hyperlink r:id="rId1646" ref="U4314"/>
    <hyperlink r:id="rId1647" ref="U4333"/>
    <hyperlink r:id="rId1648" ref="U4334"/>
    <hyperlink r:id="rId1649" ref="U4335"/>
    <hyperlink r:id="rId1650" location="!/vizhome/laserterapia-pt/evidence-map" ref="L4336"/>
    <hyperlink r:id="rId1651" ref="U4336"/>
    <hyperlink r:id="rId1652" ref="U4337"/>
    <hyperlink r:id="rId1653" ref="U4338"/>
    <hyperlink r:id="rId1654" ref="U4339"/>
    <hyperlink r:id="rId1655" ref="U4363"/>
    <hyperlink r:id="rId1656" ref="U4364"/>
    <hyperlink r:id="rId1657" ref="U4365"/>
    <hyperlink r:id="rId1658" ref="U4366"/>
    <hyperlink r:id="rId1659" ref="U4367"/>
    <hyperlink r:id="rId1660" ref="U4368"/>
    <hyperlink r:id="rId1661" ref="U4369"/>
    <hyperlink r:id="rId1662" ref="U4370"/>
    <hyperlink r:id="rId1663" ref="U4371"/>
    <hyperlink r:id="rId1664" ref="U4372"/>
    <hyperlink r:id="rId1665" ref="U4373"/>
    <hyperlink r:id="rId1666" ref="U4374"/>
    <hyperlink r:id="rId1667" ref="U4375"/>
    <hyperlink r:id="rId1668" ref="U4376"/>
    <hyperlink r:id="rId1669" ref="U4377"/>
    <hyperlink r:id="rId1670" ref="U4378"/>
    <hyperlink r:id="rId1671" ref="U4379"/>
    <hyperlink r:id="rId1672" ref="U4380"/>
    <hyperlink r:id="rId1673" ref="T4398"/>
    <hyperlink r:id="rId1674" ref="U4398"/>
    <hyperlink r:id="rId1675" ref="U4399"/>
    <hyperlink r:id="rId1676" ref="U4402"/>
    <hyperlink r:id="rId1677" ref="U4407"/>
    <hyperlink r:id="rId1678" ref="U4409"/>
    <hyperlink r:id="rId1679" ref="U4410"/>
    <hyperlink r:id="rId1680" ref="U4411"/>
    <hyperlink r:id="rId1681" ref="U4412"/>
    <hyperlink r:id="rId1682" ref="U4423"/>
    <hyperlink r:id="rId1683" ref="U4424"/>
    <hyperlink r:id="rId1684" ref="U4425"/>
    <hyperlink r:id="rId1685" ref="U4426"/>
    <hyperlink r:id="rId1686" ref="U4427"/>
    <hyperlink r:id="rId1687" ref="U4428"/>
    <hyperlink r:id="rId1688" ref="U4429"/>
    <hyperlink r:id="rId1689" ref="U4430"/>
    <hyperlink r:id="rId1690" ref="U4431"/>
    <hyperlink r:id="rId1691" ref="U4432"/>
    <hyperlink r:id="rId1692" ref="U4433"/>
    <hyperlink r:id="rId1693" ref="U4434"/>
    <hyperlink r:id="rId1694" ref="U4435"/>
    <hyperlink r:id="rId1695" ref="U4445"/>
    <hyperlink r:id="rId1696" ref="U4448"/>
    <hyperlink r:id="rId1697" ref="U4449"/>
    <hyperlink r:id="rId1698" ref="U4450"/>
    <hyperlink r:id="rId1699" ref="U4451"/>
    <hyperlink r:id="rId1700" ref="U4452"/>
    <hyperlink r:id="rId1701" ref="U4456"/>
    <hyperlink r:id="rId1702" ref="U4457"/>
    <hyperlink r:id="rId1703" ref="U4458"/>
    <hyperlink r:id="rId1704" ref="U4459"/>
    <hyperlink r:id="rId1705" ref="U4460"/>
    <hyperlink r:id="rId1706" ref="U4461"/>
    <hyperlink r:id="rId1707" ref="U4462"/>
    <hyperlink r:id="rId1708" ref="U4463"/>
    <hyperlink r:id="rId1709" ref="U4464"/>
    <hyperlink r:id="rId1710" ref="U4465"/>
    <hyperlink r:id="rId1711" ref="U4466"/>
    <hyperlink r:id="rId1712" ref="U4467"/>
    <hyperlink r:id="rId1713" ref="U4468"/>
    <hyperlink r:id="rId1714" ref="U4469"/>
    <hyperlink r:id="rId1715" ref="U4470"/>
    <hyperlink r:id="rId1716" ref="U4471"/>
    <hyperlink r:id="rId1717" ref="U4472"/>
    <hyperlink r:id="rId1718" ref="U4473"/>
    <hyperlink r:id="rId1719" ref="U4474"/>
    <hyperlink r:id="rId1720" ref="U4475"/>
    <hyperlink r:id="rId1721" ref="U4476"/>
    <hyperlink r:id="rId1722" ref="U4477"/>
    <hyperlink r:id="rId1723" ref="U4478"/>
    <hyperlink r:id="rId1724" ref="U4479"/>
    <hyperlink r:id="rId1725" ref="U4480"/>
    <hyperlink r:id="rId1726" ref="U4481"/>
    <hyperlink r:id="rId1727" ref="U4482"/>
    <hyperlink r:id="rId1728" ref="U4483"/>
    <hyperlink r:id="rId1729" ref="U4484"/>
    <hyperlink r:id="rId1730" ref="U4485"/>
    <hyperlink r:id="rId1731" ref="U4486"/>
    <hyperlink r:id="rId1732" ref="U4487"/>
    <hyperlink r:id="rId1733" ref="U4488"/>
    <hyperlink r:id="rId1734" ref="U4489"/>
    <hyperlink r:id="rId1735" ref="U4490"/>
    <hyperlink r:id="rId1736" ref="U4497"/>
    <hyperlink r:id="rId1737" ref="U4503"/>
    <hyperlink r:id="rId1738" ref="U4527"/>
    <hyperlink r:id="rId1739" ref="U4528"/>
    <hyperlink r:id="rId1740" ref="U4532"/>
    <hyperlink r:id="rId1741" ref="U4533"/>
    <hyperlink r:id="rId1742" ref="U4535"/>
    <hyperlink r:id="rId1743" ref="U4536"/>
    <hyperlink r:id="rId1744" ref="U4537"/>
    <hyperlink r:id="rId1745" ref="U4538"/>
    <hyperlink r:id="rId1746" ref="U4539"/>
    <hyperlink r:id="rId1747" ref="U4544"/>
    <hyperlink r:id="rId1748" ref="U4545"/>
    <hyperlink r:id="rId1749" ref="U4550"/>
    <hyperlink r:id="rId1750" ref="U4551"/>
    <hyperlink r:id="rId1751" ref="U4552"/>
    <hyperlink r:id="rId1752" ref="U4553"/>
    <hyperlink r:id="rId1753" ref="U4554"/>
    <hyperlink r:id="rId1754" ref="U4555"/>
    <hyperlink r:id="rId1755" ref="U4556"/>
    <hyperlink r:id="rId1756" ref="U4557"/>
    <hyperlink r:id="rId1757" ref="U4558"/>
    <hyperlink r:id="rId1758" ref="U4559"/>
    <hyperlink r:id="rId1759" ref="U4560"/>
    <hyperlink r:id="rId1760" ref="U4561"/>
    <hyperlink r:id="rId1761" ref="U4562"/>
    <hyperlink r:id="rId1762" ref="U4563"/>
    <hyperlink r:id="rId1763" ref="U4564"/>
    <hyperlink r:id="rId1764" ref="U4577"/>
    <hyperlink r:id="rId1765" location="full-view-affiliation-1" ref="U4578"/>
    <hyperlink r:id="rId1766" ref="U4579"/>
    <hyperlink r:id="rId1767" ref="U4583"/>
    <hyperlink r:id="rId1768" ref="U4585"/>
    <hyperlink r:id="rId1769" ref="U4590"/>
    <hyperlink r:id="rId1770" ref="U4596"/>
    <hyperlink r:id="rId1771" ref="U4599"/>
    <hyperlink r:id="rId1772" ref="U4600"/>
    <hyperlink r:id="rId1773" ref="U4604"/>
    <hyperlink r:id="rId1774" ref="U4605"/>
    <hyperlink r:id="rId1775" ref="U4606"/>
    <hyperlink r:id="rId1776" ref="U4607"/>
    <hyperlink r:id="rId1777" ref="U4608"/>
    <hyperlink r:id="rId1778" ref="U4609"/>
    <hyperlink r:id="rId1779" ref="U4610"/>
    <hyperlink r:id="rId1780" ref="U4611"/>
    <hyperlink r:id="rId1781" ref="U4612"/>
    <hyperlink r:id="rId1782" ref="U4613"/>
    <hyperlink r:id="rId1783" ref="U4614"/>
    <hyperlink r:id="rId1784" ref="U4615"/>
    <hyperlink r:id="rId1785" ref="U4616"/>
    <hyperlink r:id="rId1786" ref="U4617"/>
    <hyperlink r:id="rId1787" ref="U4618"/>
    <hyperlink r:id="rId1788" ref="U4619"/>
    <hyperlink r:id="rId1789" ref="U4620"/>
    <hyperlink r:id="rId1790" ref="U4621"/>
    <hyperlink r:id="rId1791" ref="U4622"/>
    <hyperlink r:id="rId1792" ref="U4632"/>
    <hyperlink r:id="rId1793" ref="U4640"/>
    <hyperlink r:id="rId1794" ref="U4644"/>
    <hyperlink r:id="rId1795" ref="U4646"/>
    <hyperlink r:id="rId1796" ref="U4647"/>
    <hyperlink r:id="rId1797" ref="U4648"/>
    <hyperlink r:id="rId1798" ref="U4649"/>
    <hyperlink r:id="rId1799" ref="U4653"/>
    <hyperlink r:id="rId1800" ref="U4655"/>
    <hyperlink r:id="rId1801" ref="U4657"/>
    <hyperlink r:id="rId1802" ref="U4658"/>
    <hyperlink r:id="rId1803" ref="U4665"/>
    <hyperlink r:id="rId1804" ref="U4670"/>
    <hyperlink r:id="rId1805" ref="U4671"/>
    <hyperlink r:id="rId1806" ref="U4672"/>
    <hyperlink r:id="rId1807" ref="U4674"/>
    <hyperlink r:id="rId1808" ref="U4675"/>
    <hyperlink r:id="rId1809" ref="U4676"/>
    <hyperlink r:id="rId1810" ref="U4677"/>
    <hyperlink r:id="rId1811" ref="U4678"/>
    <hyperlink r:id="rId1812" ref="U4679"/>
    <hyperlink r:id="rId1813" ref="U4680"/>
    <hyperlink r:id="rId1814" ref="U4681"/>
    <hyperlink r:id="rId1815" ref="U4682"/>
    <hyperlink r:id="rId1816" ref="U4683"/>
    <hyperlink r:id="rId1817" ref="U4684"/>
    <hyperlink r:id="rId1818" ref="U4685"/>
    <hyperlink r:id="rId1819" ref="U4686"/>
    <hyperlink r:id="rId1820" ref="U4687"/>
    <hyperlink r:id="rId1821" ref="U4688"/>
    <hyperlink r:id="rId1822" ref="U4689"/>
    <hyperlink r:id="rId1823" ref="U4690"/>
    <hyperlink r:id="rId1824" ref="U4691"/>
    <hyperlink r:id="rId1825" ref="U4692"/>
    <hyperlink r:id="rId1826" ref="U4693"/>
    <hyperlink r:id="rId1827" ref="U4694"/>
    <hyperlink r:id="rId1828" ref="U4695"/>
    <hyperlink r:id="rId1829" ref="U4696"/>
    <hyperlink r:id="rId1830" ref="U4697"/>
    <hyperlink r:id="rId1831" ref="U4698"/>
    <hyperlink r:id="rId1832" ref="U4699"/>
    <hyperlink r:id="rId1833" ref="U4700"/>
    <hyperlink r:id="rId1834" ref="U4701"/>
    <hyperlink r:id="rId1835" ref="U4702"/>
    <hyperlink r:id="rId1836" ref="U4703"/>
    <hyperlink r:id="rId1837" ref="U4704"/>
    <hyperlink r:id="rId1838" ref="U4705"/>
    <hyperlink r:id="rId1839" ref="U4706"/>
    <hyperlink r:id="rId1840" ref="U4707"/>
    <hyperlink r:id="rId1841" ref="U4708"/>
    <hyperlink r:id="rId1842" ref="U4709"/>
    <hyperlink r:id="rId1843" ref="U4710"/>
    <hyperlink r:id="rId1844" ref="U4711"/>
    <hyperlink r:id="rId1845" ref="U4712"/>
    <hyperlink r:id="rId1846" ref="U4713"/>
    <hyperlink r:id="rId1847" ref="U4714"/>
    <hyperlink r:id="rId1848" ref="U4715"/>
    <hyperlink r:id="rId1849" ref="U4716"/>
    <hyperlink r:id="rId1850" ref="U4717"/>
    <hyperlink r:id="rId1851" ref="U4718"/>
    <hyperlink r:id="rId1852" ref="U4719"/>
    <hyperlink r:id="rId1853" ref="U4720"/>
    <hyperlink r:id="rId1854" ref="U4722"/>
    <hyperlink r:id="rId1855" ref="U4723"/>
    <hyperlink r:id="rId1856" ref="U4724"/>
    <hyperlink r:id="rId1857" ref="U4725"/>
    <hyperlink r:id="rId1858" ref="U4726"/>
    <hyperlink r:id="rId1859" ref="U4727"/>
    <hyperlink r:id="rId1860" ref="U4728"/>
    <hyperlink r:id="rId1861" ref="U4729"/>
    <hyperlink r:id="rId1862" ref="U4730"/>
    <hyperlink r:id="rId1863" ref="U4731"/>
    <hyperlink r:id="rId1864" ref="U4732"/>
    <hyperlink r:id="rId1865" ref="U4733"/>
    <hyperlink r:id="rId1866" ref="U4735"/>
    <hyperlink r:id="rId1867" ref="U4736"/>
    <hyperlink r:id="rId1868" ref="U4737"/>
    <hyperlink r:id="rId1869" ref="U4738"/>
    <hyperlink r:id="rId1870" ref="U4739"/>
    <hyperlink r:id="rId1871" ref="U4740"/>
    <hyperlink r:id="rId1872" ref="U4741"/>
    <hyperlink r:id="rId1873" ref="U4742"/>
    <hyperlink r:id="rId1874" ref="U4743"/>
    <hyperlink r:id="rId1875" ref="U4744"/>
    <hyperlink r:id="rId1876" ref="U4745"/>
    <hyperlink r:id="rId1877" ref="U4746"/>
    <hyperlink r:id="rId1878" ref="U4747"/>
    <hyperlink r:id="rId1879" ref="U4748"/>
    <hyperlink r:id="rId1880" ref="U4749"/>
    <hyperlink r:id="rId1881" ref="U4750"/>
    <hyperlink r:id="rId1882" ref="U4751"/>
    <hyperlink r:id="rId1883" ref="U4752"/>
    <hyperlink r:id="rId1884" ref="U4753"/>
    <hyperlink r:id="rId1885" ref="U4754"/>
    <hyperlink r:id="rId1886" ref="U4755"/>
    <hyperlink r:id="rId1887" ref="U4756"/>
    <hyperlink r:id="rId1888" ref="U4806"/>
    <hyperlink r:id="rId1889" ref="U4816"/>
    <hyperlink r:id="rId1890" ref="U4881"/>
    <hyperlink r:id="rId1891" ref="U4886"/>
    <hyperlink r:id="rId1892" ref="U4887"/>
    <hyperlink r:id="rId1893" ref="U4888"/>
    <hyperlink r:id="rId1894" ref="U4898"/>
    <hyperlink r:id="rId1895" ref="U4899"/>
    <hyperlink r:id="rId1896" ref="U4900"/>
    <hyperlink r:id="rId1897" ref="U4910"/>
    <hyperlink r:id="rId1898" ref="U4911"/>
    <hyperlink r:id="rId1899" ref="U4912"/>
    <hyperlink r:id="rId1900" ref="U4915"/>
    <hyperlink r:id="rId1901" ref="U4916"/>
    <hyperlink r:id="rId1902" ref="U4917"/>
    <hyperlink r:id="rId1903" ref="U4918"/>
    <hyperlink r:id="rId1904" ref="U4919"/>
    <hyperlink r:id="rId1905" ref="U4920"/>
    <hyperlink r:id="rId1906" ref="U4926"/>
    <hyperlink r:id="rId1907" ref="U4931"/>
    <hyperlink r:id="rId1908" ref="U4933"/>
    <hyperlink r:id="rId1909" ref="U4934"/>
    <hyperlink r:id="rId1910" location="!" ref="U4935"/>
    <hyperlink r:id="rId1911" ref="U4941"/>
    <hyperlink r:id="rId1912" ref="U4942"/>
    <hyperlink r:id="rId1913" ref="U4943"/>
    <hyperlink r:id="rId1914" ref="U4944"/>
    <hyperlink r:id="rId1915" ref="U4945"/>
    <hyperlink r:id="rId1916" ref="U4954"/>
    <hyperlink r:id="rId1917" ref="U4955"/>
    <hyperlink r:id="rId1918" ref="U4956"/>
    <hyperlink r:id="rId1919" ref="U4957"/>
    <hyperlink r:id="rId1920" ref="U4958"/>
    <hyperlink r:id="rId1921" ref="U4959"/>
    <hyperlink r:id="rId1922" ref="U4960"/>
    <hyperlink r:id="rId1923" ref="U4961"/>
    <hyperlink r:id="rId1924" ref="U4962"/>
    <hyperlink r:id="rId1925" ref="U4971"/>
    <hyperlink r:id="rId1926" ref="U4972"/>
    <hyperlink r:id="rId1927" ref="U4976"/>
    <hyperlink r:id="rId1928" ref="U4977"/>
    <hyperlink r:id="rId1929" ref="U4978"/>
    <hyperlink r:id="rId1930" ref="U4979"/>
    <hyperlink r:id="rId1931" ref="U4980"/>
    <hyperlink r:id="rId1932" ref="U4981"/>
    <hyperlink r:id="rId1933" ref="U4982"/>
    <hyperlink r:id="rId1934" ref="U4983"/>
    <hyperlink r:id="rId1935" ref="U4984"/>
    <hyperlink r:id="rId1936" ref="U4985"/>
    <hyperlink r:id="rId1937" ref="U4986"/>
    <hyperlink r:id="rId1938" ref="U4987"/>
    <hyperlink r:id="rId1939" ref="U4988"/>
    <hyperlink r:id="rId1940" ref="U4989"/>
    <hyperlink r:id="rId1941" ref="U4990"/>
    <hyperlink r:id="rId1942" ref="U4991"/>
    <hyperlink r:id="rId1943" ref="U4992"/>
    <hyperlink r:id="rId1944" ref="U4993"/>
    <hyperlink r:id="rId1945" ref="U4994"/>
    <hyperlink r:id="rId1946" ref="U4995"/>
    <hyperlink r:id="rId1947" ref="U4996"/>
    <hyperlink r:id="rId1948" ref="U4997"/>
    <hyperlink r:id="rId1949" ref="U4998"/>
    <hyperlink r:id="rId1950" ref="U5007"/>
    <hyperlink r:id="rId1951" ref="U5008"/>
    <hyperlink r:id="rId1952" ref="U5023"/>
    <hyperlink r:id="rId1953" ref="U5042"/>
    <hyperlink r:id="rId1954" ref="U5043"/>
    <hyperlink r:id="rId1955" ref="U5044"/>
    <hyperlink r:id="rId1956" ref="U5049"/>
    <hyperlink r:id="rId1957" ref="U5052"/>
    <hyperlink r:id="rId1958" ref="U5053"/>
    <hyperlink r:id="rId1959" ref="U5054"/>
    <hyperlink r:id="rId1960" ref="U5055"/>
    <hyperlink r:id="rId1961" ref="U5056"/>
    <hyperlink r:id="rId1962" ref="U5057"/>
    <hyperlink r:id="rId1963" ref="U5058"/>
    <hyperlink r:id="rId1964" ref="U5059"/>
    <hyperlink r:id="rId1965" ref="U5060"/>
    <hyperlink r:id="rId1966" ref="U5061"/>
    <hyperlink r:id="rId1967" ref="U5071"/>
    <hyperlink r:id="rId1968" ref="U5074"/>
    <hyperlink r:id="rId1969" ref="U5079"/>
    <hyperlink r:id="rId1970" ref="U5080"/>
    <hyperlink r:id="rId1971" ref="U5081"/>
    <hyperlink r:id="rId1972" ref="U5082"/>
    <hyperlink r:id="rId1973" ref="U5083"/>
    <hyperlink r:id="rId1974" ref="U5084"/>
    <hyperlink r:id="rId1975" ref="U5085"/>
    <hyperlink r:id="rId1976" ref="U5086"/>
    <hyperlink r:id="rId1977" ref="U5087"/>
    <hyperlink r:id="rId1978" ref="U5088"/>
    <hyperlink r:id="rId1979" ref="U5089"/>
    <hyperlink r:id="rId1980" ref="U5100"/>
    <hyperlink r:id="rId1981" ref="U5101"/>
    <hyperlink r:id="rId1982" ref="U5102"/>
    <hyperlink r:id="rId1983" ref="U5103"/>
    <hyperlink r:id="rId1984" ref="U5104"/>
    <hyperlink r:id="rId1985" ref="U5105"/>
    <hyperlink r:id="rId1986" ref="U5106"/>
    <hyperlink r:id="rId1987" ref="U5107"/>
    <hyperlink r:id="rId1988" ref="U5108"/>
    <hyperlink r:id="rId1989" ref="U5109"/>
    <hyperlink r:id="rId1990" ref="U5110"/>
    <hyperlink r:id="rId1991" ref="U5111"/>
    <hyperlink r:id="rId1992" ref="U5112"/>
    <hyperlink r:id="rId1993" ref="U5113"/>
    <hyperlink r:id="rId1994" ref="U5114"/>
    <hyperlink r:id="rId1995" ref="U5115"/>
    <hyperlink r:id="rId1996" ref="U5116"/>
    <hyperlink r:id="rId1997" ref="U5117"/>
    <hyperlink r:id="rId1998" ref="U5118"/>
    <hyperlink r:id="rId1999" ref="U5119"/>
    <hyperlink r:id="rId2000" ref="U5120"/>
    <hyperlink r:id="rId2001" ref="U5121"/>
    <hyperlink r:id="rId2002" ref="U5122"/>
    <hyperlink r:id="rId2003" ref="U5123"/>
    <hyperlink r:id="rId2004" ref="U5124"/>
    <hyperlink r:id="rId2005" ref="U5125"/>
    <hyperlink r:id="rId2006" ref="U5126"/>
    <hyperlink r:id="rId2007" ref="U5127"/>
    <hyperlink r:id="rId2008" ref="U5128"/>
    <hyperlink r:id="rId2009" ref="U5129"/>
    <hyperlink r:id="rId2010" ref="U5130"/>
    <hyperlink r:id="rId2011" ref="U5131"/>
    <hyperlink r:id="rId2012" ref="U5132"/>
    <hyperlink r:id="rId2013" ref="U5133"/>
    <hyperlink r:id="rId2014" ref="U5134"/>
    <hyperlink r:id="rId2015" ref="U5135"/>
    <hyperlink r:id="rId2016" ref="U5136"/>
    <hyperlink r:id="rId2017" ref="U5137"/>
    <hyperlink r:id="rId2018" ref="U5138"/>
    <hyperlink r:id="rId2019" ref="U5139"/>
    <hyperlink r:id="rId2020" ref="U5141"/>
    <hyperlink r:id="rId2021" ref="U5142"/>
    <hyperlink r:id="rId2022" ref="U5143"/>
    <hyperlink r:id="rId2023" ref="U5144"/>
    <hyperlink r:id="rId2024" ref="U5145"/>
    <hyperlink r:id="rId2025" ref="U5146"/>
    <hyperlink r:id="rId2026" ref="U5147"/>
    <hyperlink r:id="rId2027" ref="U5148"/>
    <hyperlink r:id="rId2028" ref="U5149"/>
    <hyperlink r:id="rId2029" ref="U5150"/>
    <hyperlink r:id="rId2030" ref="U5151"/>
    <hyperlink r:id="rId2031" ref="U5198"/>
    <hyperlink r:id="rId2032" ref="U5225"/>
    <hyperlink r:id="rId2033" ref="U5229"/>
    <hyperlink r:id="rId2034" ref="U5232"/>
    <hyperlink r:id="rId2035" ref="U5233"/>
    <hyperlink r:id="rId2036" ref="U5234"/>
    <hyperlink r:id="rId2037" ref="U5235"/>
    <hyperlink r:id="rId2038" ref="U5236"/>
    <hyperlink r:id="rId2039" ref="U5237"/>
    <hyperlink r:id="rId2040" ref="U5238"/>
    <hyperlink r:id="rId2041" ref="U5239"/>
    <hyperlink r:id="rId2042" ref="U5240"/>
    <hyperlink r:id="rId2043" ref="U5241"/>
    <hyperlink r:id="rId2044" ref="U5242"/>
    <hyperlink r:id="rId2045" ref="U5243"/>
    <hyperlink r:id="rId2046" ref="U5244"/>
    <hyperlink r:id="rId2047" ref="U5245"/>
    <hyperlink r:id="rId2048" ref="U5246"/>
    <hyperlink r:id="rId2049" ref="U5247"/>
    <hyperlink r:id="rId2050" ref="U5248"/>
    <hyperlink r:id="rId2051" ref="U5249"/>
    <hyperlink r:id="rId2052" ref="U5250"/>
    <hyperlink r:id="rId2053" ref="U5269"/>
    <hyperlink r:id="rId2054" ref="U5271"/>
    <hyperlink r:id="rId2055" ref="U5273"/>
    <hyperlink r:id="rId2056" ref="U5274"/>
    <hyperlink r:id="rId2057" ref="U5287"/>
    <hyperlink r:id="rId2058" ref="U5288"/>
    <hyperlink r:id="rId2059" ref="U5289"/>
    <hyperlink r:id="rId2060" ref="U5290"/>
    <hyperlink r:id="rId2061" ref="U5291"/>
    <hyperlink r:id="rId2062" ref="U5292"/>
    <hyperlink r:id="rId2063" ref="U5293"/>
    <hyperlink r:id="rId2064" ref="U5294"/>
    <hyperlink r:id="rId2065" ref="U5295"/>
    <hyperlink r:id="rId2066" ref="U5296"/>
    <hyperlink r:id="rId2067" ref="U5297"/>
    <hyperlink r:id="rId2068" ref="U5298"/>
    <hyperlink r:id="rId2069" ref="U5299"/>
    <hyperlink r:id="rId2070" ref="U5300"/>
    <hyperlink r:id="rId2071" ref="U5301"/>
    <hyperlink r:id="rId2072" ref="U5302"/>
    <hyperlink r:id="rId2073" ref="U5303"/>
    <hyperlink r:id="rId2074" ref="U5325"/>
    <hyperlink r:id="rId2075" ref="U5340"/>
    <hyperlink r:id="rId2076" ref="U5342"/>
    <hyperlink r:id="rId2077" ref="U5343"/>
    <hyperlink r:id="rId2078" ref="U5346"/>
    <hyperlink r:id="rId2079" ref="U5351"/>
    <hyperlink r:id="rId2080" ref="U5352"/>
    <hyperlink r:id="rId2081" ref="U5353"/>
    <hyperlink r:id="rId2082" ref="U5354"/>
    <hyperlink r:id="rId2083" ref="U5355"/>
    <hyperlink r:id="rId2084" ref="U5358"/>
    <hyperlink r:id="rId2085" ref="U5359"/>
    <hyperlink r:id="rId2086" ref="U5360"/>
    <hyperlink r:id="rId2087" ref="U5361"/>
    <hyperlink r:id="rId2088" ref="U5362"/>
    <hyperlink r:id="rId2089" ref="U5363"/>
    <hyperlink r:id="rId2090" ref="U5364"/>
    <hyperlink r:id="rId2091" ref="U5365"/>
    <hyperlink r:id="rId2092" ref="U5373"/>
    <hyperlink r:id="rId2093" ref="U5374"/>
    <hyperlink r:id="rId2094" ref="U5375"/>
    <hyperlink r:id="rId2095" ref="U5376"/>
    <hyperlink r:id="rId2096" ref="U5377"/>
    <hyperlink r:id="rId2097" ref="U5378"/>
    <hyperlink r:id="rId2098" ref="U5401"/>
    <hyperlink r:id="rId2099" ref="U5402"/>
    <hyperlink r:id="rId2100" ref="U5403"/>
    <hyperlink r:id="rId2101" ref="U5404"/>
    <hyperlink r:id="rId2102" ref="U5405"/>
    <hyperlink r:id="rId2103" ref="U5406"/>
    <hyperlink r:id="rId2104" ref="U5407"/>
    <hyperlink r:id="rId2105" ref="U5408"/>
    <hyperlink r:id="rId2106" ref="U5409"/>
    <hyperlink r:id="rId2107" ref="U5410"/>
    <hyperlink r:id="rId2108" ref="U5411"/>
    <hyperlink r:id="rId2109" ref="U5412"/>
    <hyperlink r:id="rId2110" ref="U5413"/>
    <hyperlink r:id="rId2111" ref="U5414"/>
    <hyperlink r:id="rId2112" ref="U5415"/>
    <hyperlink r:id="rId2113" ref="U5416"/>
    <hyperlink r:id="rId2114" ref="U5417"/>
    <hyperlink r:id="rId2115" ref="U5418"/>
    <hyperlink r:id="rId2116" ref="U5419"/>
    <hyperlink r:id="rId2117" ref="U5420"/>
    <hyperlink r:id="rId2118" ref="U5421"/>
    <hyperlink r:id="rId2119" ref="U5422"/>
    <hyperlink r:id="rId2120" ref="U5423"/>
    <hyperlink r:id="rId2121" ref="U5424"/>
    <hyperlink r:id="rId2122" ref="U5425"/>
    <hyperlink r:id="rId2123" ref="U5426"/>
    <hyperlink r:id="rId2124" ref="U5427"/>
    <hyperlink r:id="rId2125" ref="U5428"/>
    <hyperlink r:id="rId2126" ref="U5429"/>
    <hyperlink r:id="rId2127" ref="U5430"/>
    <hyperlink r:id="rId2128" ref="U5431"/>
    <hyperlink r:id="rId2129" ref="U5432"/>
    <hyperlink r:id="rId2130" ref="U5433"/>
    <hyperlink r:id="rId2131" ref="U5434"/>
    <hyperlink r:id="rId2132" ref="U5435"/>
    <hyperlink r:id="rId2133" ref="U5436"/>
    <hyperlink r:id="rId2134" ref="U5437"/>
    <hyperlink r:id="rId2135" ref="U5438"/>
    <hyperlink r:id="rId2136" ref="U5439"/>
    <hyperlink r:id="rId2137" ref="U5440"/>
    <hyperlink r:id="rId2138" ref="U5441"/>
    <hyperlink r:id="rId2139" ref="U5442"/>
    <hyperlink r:id="rId2140" ref="U5443"/>
    <hyperlink r:id="rId2141" ref="U5444"/>
    <hyperlink r:id="rId2142" ref="U5445"/>
    <hyperlink r:id="rId2143" ref="U5446"/>
    <hyperlink r:id="rId2144" ref="U5447"/>
    <hyperlink r:id="rId2145" ref="U5448"/>
    <hyperlink r:id="rId2146" ref="U5449"/>
    <hyperlink r:id="rId2147" ref="U5450"/>
    <hyperlink r:id="rId2148" ref="U5451"/>
    <hyperlink r:id="rId2149" ref="U5452"/>
    <hyperlink r:id="rId2150" ref="U5453"/>
    <hyperlink r:id="rId2151" ref="U5454"/>
    <hyperlink r:id="rId2152" ref="U5472"/>
    <hyperlink r:id="rId2153" ref="U5473"/>
    <hyperlink r:id="rId2154" ref="U5485"/>
    <hyperlink r:id="rId2155" ref="U5488"/>
    <hyperlink r:id="rId2156" ref="U5489"/>
    <hyperlink r:id="rId2157" ref="U5490"/>
    <hyperlink r:id="rId2158" ref="U5491"/>
    <hyperlink r:id="rId2159" ref="U5492"/>
    <hyperlink r:id="rId2160" ref="U5506"/>
    <hyperlink r:id="rId2161" ref="U5507"/>
    <hyperlink r:id="rId2162" ref="U5508"/>
    <hyperlink r:id="rId2163" ref="U5509"/>
    <hyperlink r:id="rId2164" ref="U5510"/>
    <hyperlink r:id="rId2165" ref="U5511"/>
    <hyperlink r:id="rId2166" ref="U5512"/>
    <hyperlink r:id="rId2167" ref="U5513"/>
    <hyperlink r:id="rId2168" ref="U5522"/>
    <hyperlink r:id="rId2169" ref="U5523"/>
    <hyperlink r:id="rId2170" ref="U5524"/>
    <hyperlink r:id="rId2171" ref="U5525"/>
    <hyperlink r:id="rId2172" ref="U5526"/>
    <hyperlink r:id="rId2173" ref="U5527"/>
    <hyperlink r:id="rId2174" ref="U5528"/>
    <hyperlink r:id="rId2175" ref="U5529"/>
    <hyperlink r:id="rId2176" ref="U5530"/>
    <hyperlink r:id="rId2177" ref="U5531"/>
    <hyperlink r:id="rId2178" ref="U5532"/>
    <hyperlink r:id="rId2179" ref="U5533"/>
    <hyperlink r:id="rId2180" ref="U5534"/>
    <hyperlink r:id="rId2181" ref="U5535"/>
    <hyperlink r:id="rId2182" ref="U5536"/>
    <hyperlink r:id="rId2183" ref="U5537"/>
    <hyperlink r:id="rId2184" ref="U5538"/>
    <hyperlink r:id="rId2185" ref="U5539"/>
    <hyperlink r:id="rId2186" ref="U5540"/>
    <hyperlink r:id="rId2187" ref="U5541"/>
    <hyperlink r:id="rId2188" ref="U5542"/>
    <hyperlink r:id="rId2189" ref="U5543"/>
    <hyperlink r:id="rId2190" ref="U5544"/>
    <hyperlink r:id="rId2191" ref="U5545"/>
    <hyperlink r:id="rId2192" ref="U5546"/>
    <hyperlink r:id="rId2193" ref="U5547"/>
    <hyperlink r:id="rId2194" ref="U5548"/>
    <hyperlink r:id="rId2195" ref="U5549"/>
    <hyperlink r:id="rId2196" ref="U5550"/>
    <hyperlink r:id="rId2197" ref="U5551"/>
    <hyperlink r:id="rId2198" ref="U5552"/>
    <hyperlink r:id="rId2199" ref="U5553"/>
    <hyperlink r:id="rId2200" ref="U5554"/>
    <hyperlink r:id="rId2201" ref="U5555"/>
    <hyperlink r:id="rId2202" ref="U5556"/>
    <hyperlink r:id="rId2203" ref="U5557"/>
    <hyperlink r:id="rId2204" ref="U5558"/>
    <hyperlink r:id="rId2205" ref="U5559"/>
    <hyperlink r:id="rId2206" ref="U5560"/>
    <hyperlink r:id="rId2207" ref="U5561"/>
    <hyperlink r:id="rId2208" ref="U5562"/>
    <hyperlink r:id="rId2209" ref="U5566"/>
    <hyperlink r:id="rId2210" ref="U5591"/>
    <hyperlink r:id="rId2211" ref="U5606"/>
    <hyperlink r:id="rId2212" ref="U5622"/>
    <hyperlink r:id="rId2213" ref="U5630"/>
    <hyperlink r:id="rId2214" ref="U5640"/>
    <hyperlink r:id="rId2215" ref="U5642"/>
    <hyperlink r:id="rId2216" ref="U5647"/>
    <hyperlink r:id="rId2217" ref="U5648"/>
    <hyperlink r:id="rId2218" ref="U5649"/>
    <hyperlink r:id="rId2219" ref="U5651"/>
    <hyperlink r:id="rId2220" ref="U5652"/>
    <hyperlink r:id="rId2221" ref="U5653"/>
    <hyperlink r:id="rId2222" ref="U5654"/>
    <hyperlink r:id="rId2223" ref="U5655"/>
    <hyperlink r:id="rId2224" ref="U5656"/>
    <hyperlink r:id="rId2225" ref="U5657"/>
    <hyperlink r:id="rId2226" ref="U5658"/>
    <hyperlink r:id="rId2227" ref="U5659"/>
    <hyperlink r:id="rId2228" ref="U5660"/>
    <hyperlink r:id="rId2229" ref="U5661"/>
    <hyperlink r:id="rId2230" ref="U5662"/>
    <hyperlink r:id="rId2231" ref="U5663"/>
    <hyperlink r:id="rId2232" ref="U5664"/>
    <hyperlink r:id="rId2233" ref="U5665"/>
    <hyperlink r:id="rId2234" ref="U5666"/>
    <hyperlink r:id="rId2235" ref="U5667"/>
    <hyperlink r:id="rId2236" ref="U5668"/>
    <hyperlink r:id="rId2237" ref="U5669"/>
    <hyperlink r:id="rId2238" ref="U5670"/>
    <hyperlink r:id="rId2239" ref="U5671"/>
    <hyperlink r:id="rId2240" ref="U5672"/>
    <hyperlink r:id="rId2241" ref="U5673"/>
    <hyperlink r:id="rId2242" ref="U5674"/>
    <hyperlink r:id="rId2243" ref="U5675"/>
    <hyperlink r:id="rId2244" ref="U5676"/>
    <hyperlink r:id="rId2245" ref="U5677"/>
    <hyperlink r:id="rId2246" ref="U5678"/>
    <hyperlink r:id="rId2247" ref="U5679"/>
    <hyperlink r:id="rId2248" ref="U5680"/>
    <hyperlink r:id="rId2249" ref="U5681"/>
    <hyperlink r:id="rId2250" ref="U5682"/>
    <hyperlink r:id="rId2251" ref="U5683"/>
    <hyperlink r:id="rId2252" ref="U5684"/>
    <hyperlink r:id="rId2253" ref="U5685"/>
    <hyperlink r:id="rId2254" ref="U5686"/>
    <hyperlink r:id="rId2255" ref="U5687"/>
    <hyperlink r:id="rId2256" ref="U5688"/>
    <hyperlink r:id="rId2257" ref="U5689"/>
    <hyperlink r:id="rId2258" ref="U5690"/>
    <hyperlink r:id="rId2259" ref="U5691"/>
    <hyperlink r:id="rId2260" ref="U5692"/>
    <hyperlink r:id="rId2261" ref="U5693"/>
    <hyperlink r:id="rId2262" ref="U5694"/>
    <hyperlink r:id="rId2263" ref="U5695"/>
    <hyperlink r:id="rId2264" ref="U5696"/>
    <hyperlink r:id="rId2265" ref="U5697"/>
    <hyperlink r:id="rId2266" ref="U5698"/>
    <hyperlink r:id="rId2267" ref="U5699"/>
    <hyperlink r:id="rId2268" ref="U5700"/>
    <hyperlink r:id="rId2269" ref="U5701"/>
    <hyperlink r:id="rId2270" ref="U5702"/>
    <hyperlink r:id="rId2271" ref="U5703"/>
    <hyperlink r:id="rId2272" ref="U5704"/>
    <hyperlink r:id="rId2273" ref="U5705"/>
    <hyperlink r:id="rId2274" ref="U5706"/>
    <hyperlink r:id="rId2275" ref="U5707"/>
    <hyperlink r:id="rId2276" ref="U5708"/>
    <hyperlink r:id="rId2277" ref="U5709"/>
    <hyperlink r:id="rId2278" ref="U5746"/>
    <hyperlink r:id="rId2279" ref="U5757"/>
    <hyperlink r:id="rId2280" ref="U5767"/>
    <hyperlink r:id="rId2281" ref="U5780"/>
    <hyperlink r:id="rId2282" ref="U5781"/>
    <hyperlink r:id="rId2283" ref="U5782"/>
    <hyperlink r:id="rId2284" ref="U5783"/>
    <hyperlink r:id="rId2285" ref="U5787"/>
    <hyperlink r:id="rId2286" ref="U5791"/>
    <hyperlink r:id="rId2287" ref="U5792"/>
    <hyperlink r:id="rId2288" ref="U5793"/>
    <hyperlink r:id="rId2289" ref="U5794"/>
    <hyperlink r:id="rId2290" ref="U5796"/>
    <hyperlink r:id="rId2291" ref="U5797"/>
    <hyperlink r:id="rId2292" ref="U5798"/>
    <hyperlink r:id="rId2293" ref="U5799"/>
    <hyperlink r:id="rId2294" ref="U5802"/>
    <hyperlink r:id="rId2295" ref="U5808"/>
    <hyperlink r:id="rId2296" ref="U5815"/>
    <hyperlink r:id="rId2297" ref="U5816"/>
    <hyperlink r:id="rId2298" ref="U5817"/>
    <hyperlink r:id="rId2299" ref="U5818"/>
    <hyperlink r:id="rId2300" ref="U5819"/>
    <hyperlink r:id="rId2301" ref="U5820"/>
    <hyperlink r:id="rId2302" ref="U5821"/>
    <hyperlink r:id="rId2303" ref="U5822"/>
    <hyperlink r:id="rId2304" ref="U5824"/>
    <hyperlink r:id="rId2305" ref="U5825"/>
    <hyperlink r:id="rId2306" ref="U5826"/>
    <hyperlink r:id="rId2307" ref="U5827"/>
    <hyperlink r:id="rId2308" ref="U5828"/>
    <hyperlink r:id="rId2309" ref="U5829"/>
    <hyperlink r:id="rId2310" ref="U5830"/>
    <hyperlink r:id="rId2311" ref="U5831"/>
    <hyperlink r:id="rId2312" ref="U5832"/>
    <hyperlink r:id="rId2313" ref="U5833"/>
    <hyperlink r:id="rId2314" ref="U5834"/>
    <hyperlink r:id="rId2315" ref="U5835"/>
    <hyperlink r:id="rId2316" ref="U5836"/>
    <hyperlink r:id="rId2317" ref="U5837"/>
    <hyperlink r:id="rId2318" ref="U5838"/>
    <hyperlink r:id="rId2319" ref="U5839"/>
    <hyperlink r:id="rId2320" ref="U5840"/>
    <hyperlink r:id="rId2321" ref="U5841"/>
    <hyperlink r:id="rId2322" ref="U5863"/>
    <hyperlink r:id="rId2323" ref="U5865"/>
    <hyperlink r:id="rId2324" ref="U5866"/>
    <hyperlink r:id="rId2325" ref="U5867"/>
    <hyperlink r:id="rId2326" ref="U5868"/>
    <hyperlink r:id="rId2327" ref="U5869"/>
    <hyperlink r:id="rId2328" ref="U5870"/>
    <hyperlink r:id="rId2329" ref="U5875"/>
    <hyperlink r:id="rId2330" ref="U5876"/>
    <hyperlink r:id="rId2331" ref="U5877"/>
    <hyperlink r:id="rId2332" ref="U5878"/>
    <hyperlink r:id="rId2333" ref="U5880"/>
    <hyperlink r:id="rId2334" ref="U5884"/>
    <hyperlink r:id="rId2335" ref="U5885"/>
    <hyperlink r:id="rId2336" ref="U5892"/>
    <hyperlink r:id="rId2337" ref="U5907"/>
    <hyperlink r:id="rId2338" ref="U5908"/>
    <hyperlink r:id="rId2339" ref="U5909"/>
    <hyperlink r:id="rId2340" ref="U5910"/>
    <hyperlink r:id="rId2341" ref="U5911"/>
    <hyperlink r:id="rId2342" ref="U5912"/>
    <hyperlink r:id="rId2343" ref="U5913"/>
    <hyperlink r:id="rId2344" ref="U5914"/>
    <hyperlink r:id="rId2345" ref="U5915"/>
    <hyperlink r:id="rId2346" ref="U5916"/>
    <hyperlink r:id="rId2347" ref="U5917"/>
    <hyperlink r:id="rId2348" ref="U5918"/>
    <hyperlink r:id="rId2349" ref="U5919"/>
    <hyperlink r:id="rId2350" ref="U5920"/>
    <hyperlink r:id="rId2351" ref="U5921"/>
    <hyperlink r:id="rId2352" ref="U5922"/>
    <hyperlink r:id="rId2353" ref="U5923"/>
    <hyperlink r:id="rId2354" ref="U5959"/>
    <hyperlink r:id="rId2355" ref="T5960"/>
    <hyperlink r:id="rId2356" ref="U5961"/>
    <hyperlink r:id="rId2357" ref="U5964"/>
    <hyperlink r:id="rId2358" ref="U5966"/>
    <hyperlink r:id="rId2359" ref="U5967"/>
    <hyperlink r:id="rId2360" ref="U5968"/>
    <hyperlink r:id="rId2361" ref="U5969"/>
    <hyperlink r:id="rId2362" ref="U5970"/>
    <hyperlink r:id="rId2363" ref="U5972"/>
    <hyperlink r:id="rId2364" ref="U5973"/>
    <hyperlink r:id="rId2365" ref="U5974"/>
    <hyperlink r:id="rId2366" ref="U5975"/>
    <hyperlink r:id="rId2367" ref="U5976"/>
    <hyperlink r:id="rId2368" ref="U5977"/>
    <hyperlink r:id="rId2369" ref="U5978"/>
    <hyperlink r:id="rId2370" ref="U5979"/>
    <hyperlink r:id="rId2371" ref="U5990"/>
    <hyperlink r:id="rId2372" ref="U5998"/>
    <hyperlink r:id="rId2373" ref="U6001"/>
    <hyperlink r:id="rId2374" ref="U6002"/>
    <hyperlink r:id="rId2375" ref="U6005"/>
    <hyperlink r:id="rId2376" ref="U6007"/>
    <hyperlink r:id="rId2377" ref="U6008"/>
    <hyperlink r:id="rId2378" ref="U6011"/>
    <hyperlink r:id="rId2379" ref="U6012"/>
    <hyperlink r:id="rId2380" ref="U6013"/>
    <hyperlink r:id="rId2381" ref="U6014"/>
    <hyperlink r:id="rId2382" ref="U6015"/>
    <hyperlink r:id="rId2383" ref="U6016"/>
    <hyperlink r:id="rId2384" ref="U6017"/>
    <hyperlink r:id="rId2385" ref="U6018"/>
    <hyperlink r:id="rId2386" ref="U6019"/>
    <hyperlink r:id="rId2387" ref="U6020"/>
    <hyperlink r:id="rId2388" ref="U6021"/>
    <hyperlink r:id="rId2389" ref="U6022"/>
    <hyperlink r:id="rId2390" ref="U6027"/>
    <hyperlink r:id="rId2391" ref="U6036"/>
    <hyperlink r:id="rId2392" ref="U6037"/>
    <hyperlink r:id="rId2393" ref="U6048"/>
    <hyperlink r:id="rId2394" ref="U6050"/>
    <hyperlink r:id="rId2395" ref="U6052"/>
    <hyperlink r:id="rId2396" ref="U6053"/>
    <hyperlink r:id="rId2397" ref="U6054"/>
    <hyperlink r:id="rId2398" ref="U6055"/>
    <hyperlink r:id="rId2399" ref="U6058"/>
    <hyperlink r:id="rId2400" ref="U6059"/>
    <hyperlink r:id="rId2401" ref="U6078"/>
    <hyperlink r:id="rId2402" ref="U6079"/>
    <hyperlink r:id="rId2403" ref="U6080"/>
    <hyperlink r:id="rId2404" ref="U6081"/>
    <hyperlink r:id="rId2405" ref="U6086"/>
    <hyperlink r:id="rId2406" ref="U6087"/>
    <hyperlink r:id="rId2407" ref="U6088"/>
    <hyperlink r:id="rId2408" ref="U6089"/>
    <hyperlink r:id="rId2409" ref="U6090"/>
    <hyperlink r:id="rId2410" ref="U6097"/>
    <hyperlink r:id="rId2411" ref="U6116"/>
    <hyperlink r:id="rId2412" ref="L6117"/>
    <hyperlink r:id="rId2413" ref="U6117"/>
    <hyperlink r:id="rId2414" ref="U6118"/>
    <hyperlink r:id="rId2415" ref="U6119"/>
    <hyperlink r:id="rId2416" ref="U6120"/>
    <hyperlink r:id="rId2417" ref="U6121"/>
    <hyperlink r:id="rId2418" ref="U6122"/>
    <hyperlink r:id="rId2419" ref="U6123"/>
    <hyperlink r:id="rId2420" ref="U6124"/>
    <hyperlink r:id="rId2421" ref="U6125"/>
    <hyperlink r:id="rId2422" ref="U6126"/>
    <hyperlink r:id="rId2423" ref="U6143"/>
    <hyperlink r:id="rId2424" ref="U6144"/>
    <hyperlink r:id="rId2425" ref="U6145"/>
    <hyperlink r:id="rId2426" ref="U6146"/>
    <hyperlink r:id="rId2427" ref="U6147"/>
    <hyperlink r:id="rId2428" ref="U6148"/>
    <hyperlink r:id="rId2429" ref="U6149"/>
    <hyperlink r:id="rId2430" ref="U6150"/>
    <hyperlink r:id="rId2431" ref="U6164"/>
    <hyperlink r:id="rId2432" ref="U6165"/>
    <hyperlink r:id="rId2433" ref="U6166"/>
    <hyperlink r:id="rId2434" ref="U6167"/>
    <hyperlink r:id="rId2435" ref="U6171"/>
    <hyperlink r:id="rId2436" ref="V6171"/>
    <hyperlink r:id="rId2437" ref="U6177"/>
    <hyperlink r:id="rId2438" ref="U6179"/>
    <hyperlink r:id="rId2439" ref="U6180"/>
    <hyperlink r:id="rId2440" ref="U6181"/>
    <hyperlink r:id="rId2441" ref="U6182"/>
    <hyperlink r:id="rId2442" ref="U6183"/>
    <hyperlink r:id="rId2443" ref="U6190"/>
    <hyperlink r:id="rId2444" ref="U6191"/>
    <hyperlink r:id="rId2445" ref="U6192"/>
    <hyperlink r:id="rId2446" ref="U6197"/>
    <hyperlink r:id="rId2447" ref="U6198"/>
    <hyperlink r:id="rId2448" ref="U6199"/>
    <hyperlink r:id="rId2449" ref="U6200"/>
    <hyperlink r:id="rId2450" ref="U6201"/>
    <hyperlink r:id="rId2451" ref="U6202"/>
    <hyperlink r:id="rId2452" ref="U6203"/>
    <hyperlink r:id="rId2453" ref="U6204"/>
    <hyperlink r:id="rId2454" ref="U6205"/>
    <hyperlink r:id="rId2455" ref="U6206"/>
    <hyperlink r:id="rId2456" ref="U6207"/>
    <hyperlink r:id="rId2457" ref="U6208"/>
    <hyperlink r:id="rId2458" ref="U6209"/>
    <hyperlink r:id="rId2459" ref="U6213"/>
    <hyperlink r:id="rId2460" ref="U6235"/>
    <hyperlink r:id="rId2461" ref="U6236"/>
    <hyperlink r:id="rId2462" ref="U6237"/>
    <hyperlink r:id="rId2463" ref="U6239"/>
    <hyperlink r:id="rId2464" ref="U6247"/>
    <hyperlink r:id="rId2465" ref="U6248"/>
    <hyperlink r:id="rId2466" ref="U6249"/>
    <hyperlink r:id="rId2467" ref="U6252"/>
    <hyperlink r:id="rId2468" ref="U6271"/>
    <hyperlink r:id="rId2469" ref="U6272"/>
    <hyperlink r:id="rId2470" ref="U6273"/>
    <hyperlink r:id="rId2471" ref="U6274"/>
    <hyperlink r:id="rId2472" ref="U6275"/>
    <hyperlink r:id="rId2473" ref="U6276"/>
    <hyperlink r:id="rId2474" ref="U6277"/>
    <hyperlink r:id="rId2475" ref="U6280"/>
    <hyperlink r:id="rId2476" ref="U6281"/>
    <hyperlink r:id="rId2477" ref="U6291"/>
    <hyperlink r:id="rId2478" ref="U6292"/>
    <hyperlink r:id="rId2479" ref="U6294"/>
    <hyperlink r:id="rId2480" ref="U6314"/>
    <hyperlink r:id="rId2481" ref="U6315"/>
    <hyperlink r:id="rId2482" ref="U6316"/>
    <hyperlink r:id="rId2483" ref="U6318"/>
    <hyperlink r:id="rId2484" ref="U6323"/>
    <hyperlink r:id="rId2485" ref="U6325"/>
    <hyperlink r:id="rId2486" ref="U6326"/>
    <hyperlink r:id="rId2487" ref="U6345"/>
    <hyperlink r:id="rId2488" ref="U6347"/>
    <hyperlink r:id="rId2489" ref="U6348"/>
    <hyperlink r:id="rId2490" ref="U6361"/>
    <hyperlink r:id="rId2491" ref="U6362"/>
    <hyperlink r:id="rId2492" ref="U6364"/>
    <hyperlink r:id="rId2493" ref="U6367"/>
    <hyperlink r:id="rId2494" ref="U6369"/>
    <hyperlink r:id="rId2495" ref="U6370"/>
    <hyperlink r:id="rId2496" ref="U6371"/>
    <hyperlink r:id="rId2497" ref="U6376"/>
    <hyperlink r:id="rId2498" ref="U6379"/>
    <hyperlink r:id="rId2499" ref="U6383"/>
    <hyperlink r:id="rId2500" ref="U6385"/>
    <hyperlink r:id="rId2501" ref="U6389"/>
    <hyperlink r:id="rId2502" ref="U6401"/>
    <hyperlink r:id="rId2503" ref="U6403"/>
    <hyperlink r:id="rId2504" ref="U6407"/>
    <hyperlink r:id="rId2505" ref="U6414"/>
    <hyperlink r:id="rId2506" ref="U6415"/>
    <hyperlink r:id="rId2507" ref="U6416"/>
    <hyperlink r:id="rId2508" ref="U6417"/>
    <hyperlink r:id="rId2509" ref="U6426"/>
    <hyperlink r:id="rId2510" ref="U6427"/>
    <hyperlink r:id="rId2511" ref="U6437"/>
    <hyperlink r:id="rId2512" ref="U6438"/>
    <hyperlink r:id="rId2513" ref="U6443"/>
    <hyperlink r:id="rId2514" ref="U6444"/>
    <hyperlink r:id="rId2515" ref="U6445"/>
    <hyperlink r:id="rId2516" ref="U6446"/>
    <hyperlink r:id="rId2517" ref="U6447"/>
    <hyperlink r:id="rId2518" ref="U6448"/>
    <hyperlink r:id="rId2519" ref="U6453"/>
    <hyperlink r:id="rId2520" ref="U6454"/>
    <hyperlink r:id="rId2521" ref="U6455"/>
    <hyperlink r:id="rId2522" ref="U6456"/>
    <hyperlink r:id="rId2523" ref="U6458"/>
    <hyperlink r:id="rId2524" ref="U6459"/>
    <hyperlink r:id="rId2525" ref="U6460"/>
    <hyperlink r:id="rId2526" ref="U6469"/>
    <hyperlink r:id="rId2527" ref="U6471"/>
    <hyperlink r:id="rId2528" ref="U6472"/>
    <hyperlink r:id="rId2529" ref="U6481"/>
    <hyperlink r:id="rId2530" ref="U6482"/>
    <hyperlink r:id="rId2531" ref="U6486"/>
    <hyperlink r:id="rId2532" ref="U6487"/>
    <hyperlink r:id="rId2533" ref="U6489"/>
    <hyperlink r:id="rId2534" ref="U6490"/>
    <hyperlink r:id="rId2535" ref="U6493"/>
    <hyperlink r:id="rId2536" ref="U6494"/>
    <hyperlink r:id="rId2537" ref="U6495"/>
    <hyperlink r:id="rId2538" ref="U6496"/>
    <hyperlink r:id="rId2539" ref="U6497"/>
    <hyperlink r:id="rId2540" ref="U6498"/>
    <hyperlink r:id="rId2541" ref="U6499"/>
    <hyperlink r:id="rId2542" ref="U6500"/>
    <hyperlink r:id="rId2543" ref="U6501"/>
    <hyperlink r:id="rId2544" ref="U6502"/>
    <hyperlink r:id="rId2545" ref="U6503"/>
    <hyperlink r:id="rId2546" ref="U6504"/>
    <hyperlink r:id="rId2547" ref="U6505"/>
    <hyperlink r:id="rId2548" ref="U6506"/>
    <hyperlink r:id="rId2549" ref="U6507"/>
    <hyperlink r:id="rId2550" ref="U6508"/>
    <hyperlink r:id="rId2551" ref="U6509"/>
    <hyperlink r:id="rId2552" ref="U6510"/>
    <hyperlink r:id="rId2553" ref="U6511"/>
    <hyperlink r:id="rId2554" ref="U6512"/>
    <hyperlink r:id="rId2555" ref="U6513"/>
    <hyperlink r:id="rId2556" ref="U6514"/>
    <hyperlink r:id="rId2557" ref="U6516"/>
    <hyperlink r:id="rId2558" ref="U6526"/>
    <hyperlink r:id="rId2559" ref="U6555"/>
    <hyperlink r:id="rId2560" ref="U6556"/>
    <hyperlink r:id="rId2561" ref="U6557"/>
    <hyperlink r:id="rId2562" ref="U6558"/>
    <hyperlink r:id="rId2563" ref="U6559"/>
    <hyperlink r:id="rId2564" ref="U6563"/>
    <hyperlink r:id="rId2565" ref="U6565"/>
    <hyperlink r:id="rId2566" ref="U6568"/>
    <hyperlink r:id="rId2567" ref="U6569"/>
    <hyperlink r:id="rId2568" ref="U6570"/>
    <hyperlink r:id="rId2569" ref="U6571"/>
    <hyperlink r:id="rId2570" ref="U6572"/>
    <hyperlink r:id="rId2571" ref="U6573"/>
    <hyperlink r:id="rId2572" ref="U6574"/>
    <hyperlink r:id="rId2573" ref="U6575"/>
    <hyperlink r:id="rId2574" ref="U6576"/>
    <hyperlink r:id="rId2575" ref="U6577"/>
    <hyperlink r:id="rId2576" ref="U6579"/>
    <hyperlink r:id="rId2577" ref="U6581"/>
    <hyperlink r:id="rId2578" ref="U6587"/>
    <hyperlink r:id="rId2579" ref="U6594"/>
    <hyperlink r:id="rId2580" ref="U6598"/>
    <hyperlink r:id="rId2581" ref="U6600"/>
    <hyperlink r:id="rId2582" ref="U6607"/>
    <hyperlink r:id="rId2583" ref="U6608"/>
    <hyperlink r:id="rId2584" ref="U6609"/>
    <hyperlink r:id="rId2585" ref="U6610"/>
    <hyperlink r:id="rId2586" ref="U6611"/>
    <hyperlink r:id="rId2587" ref="U6620"/>
    <hyperlink r:id="rId2588" ref="U6621"/>
    <hyperlink r:id="rId2589" ref="U6622"/>
    <hyperlink r:id="rId2590" ref="U6625"/>
    <hyperlink r:id="rId2591" ref="U6636"/>
    <hyperlink r:id="rId2592" ref="U6640"/>
    <hyperlink r:id="rId2593" ref="U6641"/>
    <hyperlink r:id="rId2594" ref="U6657"/>
    <hyperlink r:id="rId2595" ref="U6658"/>
    <hyperlink r:id="rId2596" ref="U6659"/>
    <hyperlink r:id="rId2597" ref="U6660"/>
    <hyperlink r:id="rId2598" ref="U6661"/>
    <hyperlink r:id="rId2599" ref="U6664"/>
    <hyperlink r:id="rId2600" ref="U6665"/>
    <hyperlink r:id="rId2601" ref="U6670"/>
    <hyperlink r:id="rId2602" ref="U6671"/>
    <hyperlink r:id="rId2603" ref="U6672"/>
    <hyperlink r:id="rId2604" ref="U6673"/>
    <hyperlink r:id="rId2605" ref="U6674"/>
    <hyperlink r:id="rId2606" ref="U6677"/>
    <hyperlink r:id="rId2607" ref="U6679"/>
    <hyperlink r:id="rId2608" ref="U6681"/>
    <hyperlink r:id="rId2609" ref="U6682"/>
    <hyperlink r:id="rId2610" ref="U6686"/>
    <hyperlink r:id="rId2611" ref="U6691"/>
    <hyperlink r:id="rId2612" ref="U6692"/>
    <hyperlink r:id="rId2613" ref="U6696"/>
    <hyperlink r:id="rId2614" ref="U6699"/>
    <hyperlink r:id="rId2615" ref="U6700"/>
    <hyperlink r:id="rId2616" ref="U6701"/>
    <hyperlink r:id="rId2617" ref="U6702"/>
    <hyperlink r:id="rId2618" ref="U6707"/>
    <hyperlink r:id="rId2619" ref="U6708"/>
    <hyperlink r:id="rId2620" ref="U6709"/>
    <hyperlink r:id="rId2621" ref="U6714"/>
    <hyperlink r:id="rId2622" ref="U6715"/>
    <hyperlink r:id="rId2623" ref="U6719"/>
    <hyperlink r:id="rId2624" ref="U6720"/>
    <hyperlink r:id="rId2625" ref="U6721"/>
    <hyperlink r:id="rId2626" ref="U6728"/>
    <hyperlink r:id="rId2627" ref="U6730"/>
    <hyperlink r:id="rId2628" ref="U6734"/>
    <hyperlink r:id="rId2629" ref="U6735"/>
    <hyperlink r:id="rId2630" ref="U6736"/>
    <hyperlink r:id="rId2631" ref="U6739"/>
    <hyperlink r:id="rId2632" ref="U6743"/>
    <hyperlink r:id="rId2633" ref="U6744"/>
    <hyperlink r:id="rId2634" ref="U6746"/>
    <hyperlink r:id="rId2635" ref="U6747"/>
    <hyperlink r:id="rId2636" ref="U6748"/>
    <hyperlink r:id="rId2637" ref="U6749"/>
    <hyperlink r:id="rId2638" ref="U6750"/>
    <hyperlink r:id="rId2639" ref="U6751"/>
    <hyperlink r:id="rId2640" ref="U6752"/>
    <hyperlink r:id="rId2641" ref="U6753"/>
    <hyperlink r:id="rId2642" ref="U6754"/>
    <hyperlink r:id="rId2643" ref="U6757"/>
    <hyperlink r:id="rId2644" ref="U6760"/>
    <hyperlink r:id="rId2645" ref="U6765"/>
    <hyperlink r:id="rId2646" ref="U6768"/>
    <hyperlink r:id="rId2647" ref="U6769"/>
    <hyperlink r:id="rId2648" ref="U6771"/>
    <hyperlink r:id="rId2649" ref="U6774"/>
    <hyperlink r:id="rId2650" ref="U6777"/>
    <hyperlink r:id="rId2651" ref="U6778"/>
    <hyperlink r:id="rId2652" ref="U6779"/>
    <hyperlink r:id="rId2653" ref="U6780"/>
    <hyperlink r:id="rId2654" ref="U6781"/>
    <hyperlink r:id="rId2655" ref="U6782"/>
    <hyperlink r:id="rId2656" ref="U6783"/>
    <hyperlink r:id="rId2657" ref="U6784"/>
    <hyperlink r:id="rId2658" ref="U6785"/>
    <hyperlink r:id="rId2659" ref="U6786"/>
    <hyperlink r:id="rId2660" ref="U6787"/>
    <hyperlink r:id="rId2661" ref="U6788"/>
    <hyperlink r:id="rId2662" ref="U6789"/>
    <hyperlink r:id="rId2663" ref="U6790"/>
    <hyperlink r:id="rId2664" ref="U6791"/>
    <hyperlink r:id="rId2665" ref="U6792"/>
    <hyperlink r:id="rId2666" ref="U6793"/>
    <hyperlink r:id="rId2667" ref="U6794"/>
    <hyperlink r:id="rId2668" ref="U6795"/>
    <hyperlink r:id="rId2669" ref="U6796"/>
    <hyperlink r:id="rId2670" ref="U6797"/>
    <hyperlink r:id="rId2671" ref="U6798"/>
    <hyperlink r:id="rId2672" ref="U6799"/>
    <hyperlink r:id="rId2673" ref="U6800"/>
    <hyperlink r:id="rId2674" ref="U6808"/>
    <hyperlink r:id="rId2675" ref="U6809"/>
    <hyperlink r:id="rId2676" ref="U6810"/>
    <hyperlink r:id="rId2677" ref="U6811"/>
    <hyperlink r:id="rId2678" ref="U6812"/>
    <hyperlink r:id="rId2679" ref="U6813"/>
    <hyperlink r:id="rId2680" ref="U6814"/>
    <hyperlink r:id="rId2681" ref="U6815"/>
    <hyperlink r:id="rId2682" ref="U6816"/>
    <hyperlink r:id="rId2683" ref="U6817"/>
    <hyperlink r:id="rId2684" ref="U6818"/>
    <hyperlink r:id="rId2685" ref="U6819"/>
    <hyperlink r:id="rId2686" ref="U6820"/>
    <hyperlink r:id="rId2687" ref="U6821"/>
    <hyperlink r:id="rId2688" ref="U6822"/>
    <hyperlink r:id="rId2689" ref="U6823"/>
    <hyperlink r:id="rId2690" ref="U6833"/>
    <hyperlink r:id="rId2691" ref="U6838"/>
    <hyperlink r:id="rId2692" ref="U6839"/>
    <hyperlink r:id="rId2693" ref="U6840"/>
    <hyperlink r:id="rId2694" ref="U6841"/>
    <hyperlink r:id="rId2695" ref="U6843"/>
    <hyperlink r:id="rId2696" ref="U6844"/>
    <hyperlink r:id="rId2697" ref="U6846"/>
    <hyperlink r:id="rId2698" ref="U6847"/>
    <hyperlink r:id="rId2699" ref="U6848"/>
    <hyperlink r:id="rId2700" ref="U6849"/>
    <hyperlink r:id="rId2701" ref="U6850"/>
    <hyperlink r:id="rId2702" ref="U6851"/>
    <hyperlink r:id="rId2703" ref="U6853"/>
    <hyperlink r:id="rId2704" ref="U6855"/>
    <hyperlink r:id="rId2705" ref="U6857"/>
    <hyperlink r:id="rId2706" ref="U6858"/>
    <hyperlink r:id="rId2707" ref="U6859"/>
    <hyperlink r:id="rId2708" ref="U6860"/>
    <hyperlink r:id="rId2709" ref="U6861"/>
    <hyperlink r:id="rId2710" ref="U6862"/>
    <hyperlink r:id="rId2711" ref="U6863"/>
    <hyperlink r:id="rId2712" ref="U6864"/>
    <hyperlink r:id="rId2713" ref="U6865"/>
    <hyperlink r:id="rId2714" ref="U6866"/>
    <hyperlink r:id="rId2715" ref="U6867"/>
    <hyperlink r:id="rId2716" ref="U6868"/>
    <hyperlink r:id="rId2717" ref="U6869"/>
    <hyperlink r:id="rId2718" ref="U6884"/>
    <hyperlink r:id="rId2719" ref="U6885"/>
    <hyperlink r:id="rId2720" ref="U6886"/>
    <hyperlink r:id="rId2721" ref="U6889"/>
    <hyperlink r:id="rId2722" ref="U6890"/>
    <hyperlink r:id="rId2723" ref="U6891"/>
    <hyperlink r:id="rId2724" ref="U6894"/>
    <hyperlink r:id="rId2725" ref="U6896"/>
    <hyperlink r:id="rId2726" ref="U6897"/>
    <hyperlink r:id="rId2727" ref="U6898"/>
    <hyperlink r:id="rId2728" ref="U6904"/>
    <hyperlink r:id="rId2729" ref="U6908"/>
    <hyperlink r:id="rId2730" ref="U6911"/>
    <hyperlink r:id="rId2731" ref="U6926"/>
    <hyperlink r:id="rId2732" ref="U6928"/>
    <hyperlink r:id="rId2733" ref="U6929"/>
    <hyperlink r:id="rId2734" ref="U6930"/>
    <hyperlink r:id="rId2735" ref="U6931"/>
    <hyperlink r:id="rId2736" ref="U6932"/>
    <hyperlink r:id="rId2737" ref="U6933"/>
    <hyperlink r:id="rId2738" ref="U6934"/>
    <hyperlink r:id="rId2739" ref="U6935"/>
    <hyperlink r:id="rId2740" ref="U6936"/>
    <hyperlink r:id="rId2741" ref="U6937"/>
    <hyperlink r:id="rId2742" ref="U6938"/>
    <hyperlink r:id="rId2743" ref="U6939"/>
    <hyperlink r:id="rId2744" ref="U6940"/>
    <hyperlink r:id="rId2745" ref="U6941"/>
    <hyperlink r:id="rId2746" ref="U6942"/>
    <hyperlink r:id="rId2747" ref="U6943"/>
    <hyperlink r:id="rId2748" ref="U6944"/>
    <hyperlink r:id="rId2749" ref="U6945"/>
    <hyperlink r:id="rId2750" ref="U6946"/>
    <hyperlink r:id="rId2751" ref="U6947"/>
    <hyperlink r:id="rId2752" ref="U6948"/>
    <hyperlink r:id="rId2753" ref="U6949"/>
    <hyperlink r:id="rId2754" ref="U6950"/>
    <hyperlink r:id="rId2755" ref="U6951"/>
    <hyperlink r:id="rId2756" ref="U6952"/>
    <hyperlink r:id="rId2757" ref="U6953"/>
    <hyperlink r:id="rId2758" ref="U6954"/>
    <hyperlink r:id="rId2759" ref="U6955"/>
    <hyperlink r:id="rId2760" ref="U6956"/>
    <hyperlink r:id="rId2761" ref="U6957"/>
    <hyperlink r:id="rId2762" ref="U6958"/>
    <hyperlink r:id="rId2763" ref="U6959"/>
    <hyperlink r:id="rId2764" ref="U6960"/>
    <hyperlink r:id="rId2765" ref="U6961"/>
    <hyperlink r:id="rId2766" ref="U6962"/>
    <hyperlink r:id="rId2767" ref="U6963"/>
    <hyperlink r:id="rId2768" ref="U6964"/>
    <hyperlink r:id="rId2769" ref="U6965"/>
    <hyperlink r:id="rId2770" ref="U6966"/>
    <hyperlink r:id="rId2771" ref="U6967"/>
    <hyperlink r:id="rId2772" ref="U6968"/>
    <hyperlink r:id="rId2773" ref="U6969"/>
    <hyperlink r:id="rId2774" ref="U6970"/>
    <hyperlink r:id="rId2775" ref="U6971"/>
    <hyperlink r:id="rId2776" ref="U6972"/>
    <hyperlink r:id="rId2777" ref="U6973"/>
    <hyperlink r:id="rId2778" ref="U6974"/>
    <hyperlink r:id="rId2779" ref="U6975"/>
    <hyperlink r:id="rId2780" ref="U6976"/>
    <hyperlink r:id="rId2781" ref="U6977"/>
    <hyperlink r:id="rId2782" ref="U6978"/>
    <hyperlink r:id="rId2783" ref="U6979"/>
    <hyperlink r:id="rId2784" ref="U6980"/>
    <hyperlink r:id="rId2785" ref="U6981"/>
    <hyperlink r:id="rId2786" ref="U6982"/>
    <hyperlink r:id="rId2787" ref="U6983"/>
    <hyperlink r:id="rId2788" ref="U6984"/>
    <hyperlink r:id="rId2789" ref="U6985"/>
    <hyperlink r:id="rId2790" ref="U6986"/>
    <hyperlink r:id="rId2791" ref="U6987"/>
    <hyperlink r:id="rId2792" ref="U6988"/>
    <hyperlink r:id="rId2793" ref="U6989"/>
    <hyperlink r:id="rId2794" ref="U6990"/>
    <hyperlink r:id="rId2795" ref="U6991"/>
    <hyperlink r:id="rId2796" ref="U6992"/>
    <hyperlink r:id="rId2797" ref="U6993"/>
    <hyperlink r:id="rId2798" ref="U6994"/>
    <hyperlink r:id="rId2799" ref="U6995"/>
    <hyperlink r:id="rId2800" ref="U6996"/>
    <hyperlink r:id="rId2801" ref="U6997"/>
    <hyperlink r:id="rId2802" ref="U6998"/>
    <hyperlink r:id="rId2803" ref="U6999"/>
    <hyperlink r:id="rId2804" ref="U7000"/>
    <hyperlink r:id="rId2805" ref="U7001"/>
    <hyperlink r:id="rId2806" ref="U7002"/>
    <hyperlink r:id="rId2807" ref="U7003"/>
    <hyperlink r:id="rId2808" ref="U7004"/>
    <hyperlink r:id="rId2809" ref="U7005"/>
    <hyperlink r:id="rId2810" ref="U7006"/>
    <hyperlink r:id="rId2811" ref="U7007"/>
    <hyperlink r:id="rId2812" ref="U7008"/>
    <hyperlink r:id="rId2813" ref="U7009"/>
    <hyperlink r:id="rId2814" ref="U7010"/>
    <hyperlink r:id="rId2815" ref="U7011"/>
    <hyperlink r:id="rId2816" ref="U7012"/>
    <hyperlink r:id="rId2817" ref="U7013"/>
    <hyperlink r:id="rId2818" location="!" ref="U7014"/>
    <hyperlink r:id="rId2819" ref="U7015"/>
    <hyperlink r:id="rId2820" ref="U7016"/>
    <hyperlink r:id="rId2821" ref="U7018"/>
    <hyperlink r:id="rId2822" ref="U7019"/>
    <hyperlink r:id="rId2823" ref="U7020"/>
    <hyperlink r:id="rId2824" ref="U7021"/>
    <hyperlink r:id="rId2825" ref="U7022"/>
    <hyperlink r:id="rId2826" ref="U7023"/>
    <hyperlink r:id="rId2827" ref="U7024"/>
    <hyperlink r:id="rId2828" ref="U7025"/>
    <hyperlink r:id="rId2829" ref="U7027"/>
    <hyperlink r:id="rId2830" ref="U7029"/>
    <hyperlink r:id="rId2831" ref="U7030"/>
    <hyperlink r:id="rId2832" ref="U7031"/>
    <hyperlink r:id="rId2833" ref="U7032"/>
    <hyperlink r:id="rId2834" ref="U7033"/>
    <hyperlink r:id="rId2835" ref="U7034"/>
    <hyperlink r:id="rId2836" ref="U7036"/>
    <hyperlink r:id="rId2837" ref="U7037"/>
    <hyperlink r:id="rId2838" ref="U7038"/>
    <hyperlink r:id="rId2839" ref="U7039"/>
    <hyperlink r:id="rId2840" ref="U7040"/>
    <hyperlink r:id="rId2841" ref="U7041"/>
    <hyperlink r:id="rId2842" ref="U7042"/>
    <hyperlink r:id="rId2843" ref="U7043"/>
    <hyperlink r:id="rId2844" ref="U7044"/>
    <hyperlink r:id="rId2845" ref="U7045"/>
    <hyperlink r:id="rId2846" ref="U7046"/>
    <hyperlink r:id="rId2847" ref="U7047"/>
    <hyperlink r:id="rId2848" ref="U7048"/>
    <hyperlink r:id="rId2849" ref="U7049"/>
    <hyperlink r:id="rId2850" ref="U7050"/>
    <hyperlink r:id="rId2851" ref="U7051"/>
    <hyperlink r:id="rId2852" ref="U7052"/>
    <hyperlink r:id="rId2853" ref="U7053"/>
    <hyperlink r:id="rId2854" ref="U7054"/>
    <hyperlink r:id="rId2855" ref="U7055"/>
    <hyperlink r:id="rId2856" ref="U7056"/>
    <hyperlink r:id="rId2857" ref="U7057"/>
    <hyperlink r:id="rId2858" ref="U7058"/>
    <hyperlink r:id="rId2859" ref="U7059"/>
    <hyperlink r:id="rId2860" ref="U7060"/>
    <hyperlink r:id="rId2861" ref="U7061"/>
    <hyperlink r:id="rId2862" ref="U7062"/>
    <hyperlink r:id="rId2863" ref="U7063"/>
    <hyperlink r:id="rId2864" ref="U7064"/>
    <hyperlink r:id="rId2865" ref="U7065"/>
    <hyperlink r:id="rId2866" ref="U7066"/>
    <hyperlink r:id="rId2867" ref="U7067"/>
    <hyperlink r:id="rId2868" ref="U7068"/>
    <hyperlink r:id="rId2869" ref="U7069"/>
    <hyperlink r:id="rId2870" ref="U7070"/>
    <hyperlink r:id="rId2871" ref="U7071"/>
    <hyperlink r:id="rId2872" ref="U7072"/>
    <hyperlink r:id="rId2873" ref="U7073"/>
    <hyperlink r:id="rId2874" ref="U7074"/>
    <hyperlink r:id="rId2875" ref="U7075"/>
    <hyperlink r:id="rId2876" ref="U7076"/>
    <hyperlink r:id="rId2877" ref="U7080"/>
    <hyperlink r:id="rId2878" ref="U7094"/>
    <hyperlink r:id="rId2879" ref="U7095"/>
    <hyperlink r:id="rId2880" ref="U7097"/>
    <hyperlink r:id="rId2881" ref="U7102"/>
    <hyperlink r:id="rId2882" ref="U7103"/>
    <hyperlink r:id="rId2883" ref="U7104"/>
    <hyperlink r:id="rId2884" ref="U7107"/>
    <hyperlink r:id="rId2885" ref="U7110"/>
    <hyperlink r:id="rId2886" ref="U7111"/>
    <hyperlink r:id="rId2887" ref="U7112"/>
    <hyperlink r:id="rId2888" ref="U7113"/>
    <hyperlink r:id="rId2889" ref="U7134"/>
    <hyperlink r:id="rId2890" ref="U7146"/>
    <hyperlink r:id="rId2891" ref="U7147"/>
    <hyperlink r:id="rId2892" ref="U7148"/>
    <hyperlink r:id="rId2893" ref="U7149"/>
    <hyperlink r:id="rId2894" ref="U7152"/>
    <hyperlink r:id="rId2895" ref="U7153"/>
    <hyperlink r:id="rId2896" ref="U7154"/>
    <hyperlink r:id="rId2897" ref="U7157"/>
    <hyperlink r:id="rId2898" ref="U7158"/>
    <hyperlink r:id="rId2899" ref="U7159"/>
    <hyperlink r:id="rId2900" ref="U7160"/>
    <hyperlink r:id="rId2901" ref="U7161"/>
    <hyperlink r:id="rId2902" ref="U7163"/>
    <hyperlink r:id="rId2903" ref="U7164"/>
    <hyperlink r:id="rId2904" ref="U7173"/>
    <hyperlink r:id="rId2905" ref="U7228"/>
    <hyperlink r:id="rId2906" ref="U7229"/>
    <hyperlink r:id="rId2907" ref="U7230"/>
    <hyperlink r:id="rId2908" ref="U7235"/>
    <hyperlink r:id="rId2909" ref="U7243"/>
    <hyperlink r:id="rId2910" ref="U7244"/>
    <hyperlink r:id="rId2911" ref="U7247"/>
    <hyperlink r:id="rId2912" ref="U7248"/>
    <hyperlink r:id="rId2913" ref="U7250"/>
    <hyperlink r:id="rId2914" ref="U7251"/>
    <hyperlink r:id="rId2915" ref="U7260"/>
    <hyperlink r:id="rId2916" ref="U7284"/>
    <hyperlink r:id="rId2917" ref="U7285"/>
    <hyperlink r:id="rId2918" ref="U7296"/>
    <hyperlink r:id="rId2919" ref="U7297"/>
    <hyperlink r:id="rId2920" ref="U7298"/>
    <hyperlink r:id="rId2921" ref="U7299"/>
    <hyperlink r:id="rId2922" ref="U7303"/>
    <hyperlink r:id="rId2923" ref="U7304"/>
    <hyperlink r:id="rId2924" ref="U7305"/>
    <hyperlink r:id="rId2925" ref="U7306"/>
    <hyperlink r:id="rId2926" ref="U7310"/>
    <hyperlink r:id="rId2927" ref="U7311"/>
    <hyperlink r:id="rId2928" ref="U7313"/>
    <hyperlink r:id="rId2929" ref="U7314"/>
    <hyperlink r:id="rId2930" ref="U7315"/>
    <hyperlink r:id="rId2931" ref="U7316"/>
    <hyperlink r:id="rId2932" ref="U7317"/>
    <hyperlink r:id="rId2933" ref="U7318"/>
    <hyperlink r:id="rId2934" ref="U7319"/>
    <hyperlink r:id="rId2935" ref="U7320"/>
    <hyperlink r:id="rId2936" ref="U7321"/>
    <hyperlink r:id="rId2937" ref="U7322"/>
    <hyperlink r:id="rId2938" ref="U7323"/>
    <hyperlink r:id="rId2939" ref="U7342"/>
    <hyperlink r:id="rId2940" ref="U7348"/>
    <hyperlink r:id="rId2941" ref="U7357"/>
    <hyperlink r:id="rId2942" ref="U7358"/>
    <hyperlink r:id="rId2943" ref="U7359"/>
    <hyperlink r:id="rId2944" ref="U7360"/>
    <hyperlink r:id="rId2945" ref="U7367"/>
    <hyperlink r:id="rId2946" ref="U7368"/>
    <hyperlink r:id="rId2947" ref="U7369"/>
    <hyperlink r:id="rId2948" ref="U7370"/>
    <hyperlink r:id="rId2949" ref="U7372"/>
    <hyperlink r:id="rId2950" ref="U7373"/>
    <hyperlink r:id="rId2951" ref="U7374"/>
    <hyperlink r:id="rId2952" ref="U7375"/>
    <hyperlink r:id="rId2953" ref="U7376"/>
    <hyperlink r:id="rId2954" ref="U7377"/>
    <hyperlink r:id="rId2955" ref="U7378"/>
    <hyperlink r:id="rId2956" ref="U7379"/>
    <hyperlink r:id="rId2957" ref="U7380"/>
    <hyperlink r:id="rId2958" ref="U7382"/>
    <hyperlink r:id="rId2959" ref="U7383"/>
    <hyperlink r:id="rId2960" ref="U7384"/>
    <hyperlink r:id="rId2961" ref="U7385"/>
    <hyperlink r:id="rId2962" ref="U7387"/>
    <hyperlink r:id="rId2963" ref="U7388"/>
    <hyperlink r:id="rId2964" ref="U7390"/>
    <hyperlink r:id="rId2965" ref="U7391"/>
    <hyperlink r:id="rId2966" ref="U7400"/>
    <hyperlink r:id="rId2967" ref="U7401"/>
    <hyperlink r:id="rId2968" ref="U7402"/>
    <hyperlink r:id="rId2969" ref="U7407"/>
    <hyperlink r:id="rId2970" ref="U7410"/>
    <hyperlink r:id="rId2971" ref="U7413"/>
    <hyperlink r:id="rId2972" ref="U7414"/>
    <hyperlink r:id="rId2973" ref="U7416"/>
    <hyperlink r:id="rId2974" ref="U7417"/>
    <hyperlink r:id="rId2975" ref="U7418"/>
    <hyperlink r:id="rId2976" ref="U7419"/>
    <hyperlink r:id="rId2977" ref="U7420"/>
    <hyperlink r:id="rId2978" ref="U7421"/>
    <hyperlink r:id="rId2979" ref="U7422"/>
    <hyperlink r:id="rId2980" ref="U7423"/>
    <hyperlink r:id="rId2981" ref="U7425"/>
    <hyperlink r:id="rId2982" ref="U7426"/>
    <hyperlink r:id="rId2983" ref="U7427"/>
    <hyperlink r:id="rId2984" ref="U7428"/>
    <hyperlink r:id="rId2985" ref="U7429"/>
    <hyperlink r:id="rId2986" ref="U7438"/>
    <hyperlink r:id="rId2987" ref="U7444"/>
    <hyperlink r:id="rId2988" ref="U7447"/>
    <hyperlink r:id="rId2989" ref="U7448"/>
    <hyperlink r:id="rId2990" ref="U7449"/>
    <hyperlink r:id="rId2991" ref="U7450"/>
    <hyperlink r:id="rId2992" ref="U7465"/>
    <hyperlink r:id="rId2993" ref="U7466"/>
    <hyperlink r:id="rId2994" ref="U7467"/>
    <hyperlink r:id="rId2995" ref="U7468"/>
    <hyperlink r:id="rId2996" ref="U7469"/>
    <hyperlink r:id="rId2997" ref="U7470"/>
    <hyperlink r:id="rId2998" ref="U7482"/>
    <hyperlink r:id="rId2999" ref="U7483"/>
    <hyperlink r:id="rId3000" ref="U7488"/>
    <hyperlink r:id="rId3001" ref="U7489"/>
    <hyperlink r:id="rId3002" ref="U7490"/>
    <hyperlink r:id="rId3003" ref="U7491"/>
    <hyperlink r:id="rId3004" ref="U7492"/>
    <hyperlink r:id="rId3005" ref="U7493"/>
    <hyperlink r:id="rId3006" ref="U7503"/>
    <hyperlink r:id="rId3007" ref="U7504"/>
    <hyperlink r:id="rId3008" ref="U7505"/>
    <hyperlink r:id="rId3009" ref="U7506"/>
    <hyperlink r:id="rId3010" ref="U7507"/>
    <hyperlink r:id="rId3011" ref="U7508"/>
    <hyperlink r:id="rId3012" ref="U7509"/>
    <hyperlink r:id="rId3013" ref="U7510"/>
    <hyperlink r:id="rId3014" ref="U7511"/>
    <hyperlink r:id="rId3015" ref="U7512"/>
    <hyperlink r:id="rId3016" ref="U7513"/>
    <hyperlink r:id="rId3017" location="!" ref="U7514"/>
    <hyperlink r:id="rId3018" ref="U7515"/>
    <hyperlink r:id="rId3019" ref="U7516"/>
    <hyperlink r:id="rId3020" ref="U7523"/>
    <hyperlink r:id="rId3021" ref="U7529"/>
    <hyperlink r:id="rId3022" ref="U7571"/>
    <hyperlink r:id="rId3023" ref="U7572"/>
    <hyperlink r:id="rId3024" ref="U7573"/>
    <hyperlink r:id="rId3025" ref="U7574"/>
    <hyperlink r:id="rId3026" ref="U7575"/>
    <hyperlink r:id="rId3027" ref="U7576"/>
    <hyperlink r:id="rId3028" ref="U7577"/>
    <hyperlink r:id="rId3029" ref="U7578"/>
    <hyperlink r:id="rId3030" ref="U7579"/>
    <hyperlink r:id="rId3031" ref="U7580"/>
    <hyperlink r:id="rId3032" ref="U7581"/>
    <hyperlink r:id="rId3033" ref="U7586"/>
    <hyperlink r:id="rId3034" ref="U7589"/>
    <hyperlink r:id="rId3035" ref="U7596"/>
    <hyperlink r:id="rId3036" ref="U7597"/>
    <hyperlink r:id="rId3037" ref="U7598"/>
    <hyperlink r:id="rId3038" ref="T7599"/>
    <hyperlink r:id="rId3039" ref="U7599"/>
    <hyperlink r:id="rId3040" ref="U7600"/>
    <hyperlink r:id="rId3041" ref="U7601"/>
    <hyperlink r:id="rId3042" ref="U7603"/>
    <hyperlink r:id="rId3043" ref="U7604"/>
    <hyperlink r:id="rId3044" ref="U7605"/>
    <hyperlink r:id="rId3045" ref="U7606"/>
    <hyperlink r:id="rId3046" ref="U7607"/>
    <hyperlink r:id="rId3047" ref="U7608"/>
    <hyperlink r:id="rId3048" ref="U7609"/>
    <hyperlink r:id="rId3049" ref="U7610"/>
    <hyperlink r:id="rId3050" ref="U7611"/>
    <hyperlink r:id="rId3051" ref="U7612"/>
    <hyperlink r:id="rId3052" ref="U7614"/>
    <hyperlink r:id="rId3053" ref="U7615"/>
    <hyperlink r:id="rId3054" ref="U7616"/>
    <hyperlink r:id="rId3055" ref="U7617"/>
    <hyperlink r:id="rId3056" ref="U7618"/>
    <hyperlink r:id="rId3057" ref="U7619"/>
    <hyperlink r:id="rId3058" ref="U7620"/>
    <hyperlink r:id="rId3059" ref="U7621"/>
    <hyperlink r:id="rId3060" ref="U7622"/>
    <hyperlink r:id="rId3061" ref="U7623"/>
    <hyperlink r:id="rId3062" ref="U7624"/>
    <hyperlink r:id="rId3063" ref="U7625"/>
    <hyperlink r:id="rId3064" ref="U7632"/>
    <hyperlink r:id="rId3065" ref="U7638"/>
    <hyperlink r:id="rId3066" ref="U7643"/>
    <hyperlink r:id="rId3067" ref="U7653"/>
    <hyperlink r:id="rId3068" ref="U7658"/>
    <hyperlink r:id="rId3069" ref="U7659"/>
    <hyperlink r:id="rId3070" ref="U7660"/>
    <hyperlink r:id="rId3071" ref="U7661"/>
    <hyperlink r:id="rId3072" ref="U7662"/>
    <hyperlink r:id="rId3073" ref="U7663"/>
    <hyperlink r:id="rId3074" ref="U7664"/>
    <hyperlink r:id="rId3075" ref="U7665"/>
    <hyperlink r:id="rId3076" ref="U7666"/>
    <hyperlink r:id="rId3077" ref="U7667"/>
    <hyperlink r:id="rId3078" ref="U7668"/>
    <hyperlink r:id="rId3079" ref="U7669"/>
    <hyperlink r:id="rId3080" ref="U7670"/>
    <hyperlink r:id="rId3081" ref="U7671"/>
    <hyperlink r:id="rId3082" ref="U7672"/>
    <hyperlink r:id="rId3083" ref="U7673"/>
    <hyperlink r:id="rId3084" ref="U7674"/>
    <hyperlink r:id="rId3085" ref="U7675"/>
    <hyperlink r:id="rId3086" ref="U7676"/>
    <hyperlink r:id="rId3087" ref="U7677"/>
    <hyperlink r:id="rId3088" ref="U7678"/>
    <hyperlink r:id="rId3089" ref="U7679"/>
    <hyperlink r:id="rId3090" ref="U7680"/>
    <hyperlink r:id="rId3091" ref="U7681"/>
    <hyperlink r:id="rId3092" ref="U7682"/>
    <hyperlink r:id="rId3093" ref="U7683"/>
    <hyperlink r:id="rId3094" ref="U7684"/>
    <hyperlink r:id="rId3095" ref="U7686"/>
    <hyperlink r:id="rId3096" ref="U7697"/>
    <hyperlink r:id="rId3097" ref="U7706"/>
    <hyperlink r:id="rId3098" ref="U7733"/>
    <hyperlink r:id="rId3099" ref="U7736"/>
    <hyperlink r:id="rId3100" ref="U7738"/>
    <hyperlink r:id="rId3101" ref="U7739"/>
    <hyperlink r:id="rId3102" ref="U7740"/>
    <hyperlink r:id="rId3103" ref="U7741"/>
    <hyperlink r:id="rId3104" ref="U7742"/>
    <hyperlink r:id="rId3105" ref="U7743"/>
    <hyperlink r:id="rId3106" ref="U7744"/>
    <hyperlink r:id="rId3107" ref="U7745"/>
    <hyperlink r:id="rId3108" ref="U7746"/>
    <hyperlink r:id="rId3109" ref="U7747"/>
    <hyperlink r:id="rId3110" ref="U7748"/>
    <hyperlink r:id="rId3111" ref="U7749"/>
    <hyperlink r:id="rId3112" ref="U7750"/>
    <hyperlink r:id="rId3113" ref="U7751"/>
    <hyperlink r:id="rId3114" ref="U7752"/>
    <hyperlink r:id="rId3115" ref="U7753"/>
    <hyperlink r:id="rId3116" ref="U7754"/>
    <hyperlink r:id="rId3117" ref="U7756"/>
    <hyperlink r:id="rId3118" ref="U7757"/>
    <hyperlink r:id="rId3119" ref="U7758"/>
    <hyperlink r:id="rId3120" ref="U7759"/>
    <hyperlink r:id="rId3121" ref="U7760"/>
    <hyperlink r:id="rId3122" ref="U7761"/>
    <hyperlink r:id="rId3123" ref="U7771"/>
    <hyperlink r:id="rId3124" ref="U7775"/>
    <hyperlink r:id="rId3125" ref="U7789"/>
    <hyperlink r:id="rId3126" ref="U7794"/>
    <hyperlink r:id="rId3127" ref="U7801"/>
    <hyperlink r:id="rId3128" ref="U7809"/>
    <hyperlink r:id="rId3129" ref="U7824"/>
    <hyperlink r:id="rId3130" ref="U7884"/>
    <hyperlink r:id="rId3131" ref="U7887"/>
    <hyperlink r:id="rId3132" ref="U7888"/>
    <hyperlink r:id="rId3133" ref="U7889"/>
    <hyperlink r:id="rId3134" ref="U7893"/>
    <hyperlink r:id="rId3135" ref="U7896"/>
    <hyperlink r:id="rId3136" ref="U7897"/>
    <hyperlink r:id="rId3137" ref="U7902"/>
    <hyperlink r:id="rId3138" ref="U7903"/>
    <hyperlink r:id="rId3139" ref="T7912"/>
    <hyperlink r:id="rId3140" ref="T7915"/>
    <hyperlink r:id="rId3141" ref="T7917"/>
    <hyperlink r:id="rId3142" ref="U7920"/>
    <hyperlink r:id="rId3143" ref="U7921"/>
    <hyperlink r:id="rId3144" ref="U7922"/>
    <hyperlink r:id="rId3145" ref="U7923"/>
    <hyperlink r:id="rId3146" ref="U7924"/>
    <hyperlink r:id="rId3147" ref="U7925"/>
    <hyperlink r:id="rId3148" ref="U7926"/>
    <hyperlink r:id="rId3149" ref="U7927"/>
    <hyperlink r:id="rId3150" ref="U7928"/>
    <hyperlink r:id="rId3151" ref="U7929"/>
    <hyperlink r:id="rId3152" ref="U7953"/>
    <hyperlink r:id="rId3153" ref="U7962"/>
    <hyperlink r:id="rId3154" ref="U7964"/>
    <hyperlink r:id="rId3155" ref="U7965"/>
    <hyperlink r:id="rId3156" ref="U7974"/>
    <hyperlink r:id="rId3157" ref="U7975"/>
    <hyperlink r:id="rId3158" ref="U8000"/>
    <hyperlink r:id="rId3159" ref="U8001"/>
    <hyperlink r:id="rId3160" ref="U8005"/>
    <hyperlink r:id="rId3161" ref="U8006"/>
  </hyperlinks>
  <drawing r:id="rId316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4.25"/>
    <col customWidth="1" min="2" max="2" width="22.63"/>
    <col customWidth="1" min="3" max="3" width="28.25"/>
    <col customWidth="1" min="4" max="4" width="25.0"/>
    <col customWidth="1" min="5" max="5" width="75.0"/>
    <col customWidth="1" min="6" max="6" width="34.63"/>
  </cols>
  <sheetData>
    <row r="1" ht="27.75" customHeight="1">
      <c r="A1" s="480" t="s">
        <v>36909</v>
      </c>
      <c r="B1" s="480"/>
      <c r="C1" s="480"/>
      <c r="D1" s="480"/>
      <c r="E1" s="480"/>
      <c r="F1" s="480"/>
      <c r="G1" s="481"/>
      <c r="H1" s="481"/>
      <c r="I1" s="481"/>
      <c r="J1" s="481"/>
      <c r="K1" s="481"/>
      <c r="L1" s="481"/>
      <c r="M1" s="481"/>
      <c r="N1" s="481"/>
      <c r="O1" s="481"/>
      <c r="P1" s="481"/>
      <c r="Q1" s="481"/>
      <c r="R1" s="481"/>
      <c r="S1" s="481"/>
      <c r="T1" s="481"/>
      <c r="U1" s="481"/>
      <c r="V1" s="481"/>
      <c r="W1" s="481"/>
      <c r="X1" s="481"/>
      <c r="Y1" s="481"/>
      <c r="Z1" s="481"/>
    </row>
    <row r="2">
      <c r="A2" s="482" t="s">
        <v>36910</v>
      </c>
      <c r="B2" s="483" t="s">
        <v>36911</v>
      </c>
      <c r="C2" s="483" t="s">
        <v>36912</v>
      </c>
      <c r="D2" s="483" t="s">
        <v>36913</v>
      </c>
      <c r="E2" s="483" t="s">
        <v>36914</v>
      </c>
      <c r="F2" s="483" t="s">
        <v>36915</v>
      </c>
      <c r="G2" s="484"/>
      <c r="H2" s="484"/>
      <c r="I2" s="484"/>
      <c r="J2" s="484"/>
      <c r="K2" s="484"/>
      <c r="L2" s="484"/>
      <c r="M2" s="484"/>
      <c r="N2" s="484"/>
      <c r="O2" s="484"/>
      <c r="P2" s="484"/>
      <c r="Q2" s="484"/>
      <c r="R2" s="484"/>
      <c r="S2" s="484"/>
      <c r="T2" s="484"/>
      <c r="U2" s="484"/>
      <c r="V2" s="484"/>
      <c r="W2" s="484"/>
      <c r="X2" s="484"/>
      <c r="Y2" s="484"/>
      <c r="Z2" s="484"/>
    </row>
    <row r="3">
      <c r="A3" s="485" t="s">
        <v>36916</v>
      </c>
      <c r="B3" s="486" t="s">
        <v>36917</v>
      </c>
      <c r="C3" s="487" t="s">
        <v>1310</v>
      </c>
      <c r="D3" s="486" t="s">
        <v>36918</v>
      </c>
      <c r="E3" s="488" t="s">
        <v>36919</v>
      </c>
      <c r="F3" s="489" t="s">
        <v>36920</v>
      </c>
      <c r="G3" s="484"/>
      <c r="H3" s="484"/>
      <c r="I3" s="484"/>
      <c r="J3" s="484"/>
      <c r="K3" s="484"/>
      <c r="L3" s="484"/>
      <c r="M3" s="484"/>
      <c r="N3" s="484"/>
      <c r="O3" s="484"/>
      <c r="P3" s="484"/>
      <c r="Q3" s="484"/>
      <c r="R3" s="484"/>
      <c r="S3" s="484"/>
      <c r="T3" s="484"/>
      <c r="U3" s="484"/>
      <c r="V3" s="484"/>
      <c r="W3" s="484"/>
      <c r="X3" s="484"/>
      <c r="Y3" s="484"/>
      <c r="Z3" s="484"/>
    </row>
    <row r="4">
      <c r="B4" s="486" t="s">
        <v>36921</v>
      </c>
      <c r="C4" s="490" t="s">
        <v>36922</v>
      </c>
      <c r="D4" s="486" t="s">
        <v>36923</v>
      </c>
      <c r="E4" s="488" t="s">
        <v>36924</v>
      </c>
      <c r="F4" s="489" t="s">
        <v>36920</v>
      </c>
      <c r="G4" s="484"/>
      <c r="H4" s="484"/>
      <c r="I4" s="484"/>
      <c r="J4" s="484"/>
      <c r="K4" s="484"/>
      <c r="L4" s="484"/>
      <c r="M4" s="484"/>
      <c r="N4" s="484"/>
      <c r="O4" s="484"/>
      <c r="P4" s="484"/>
      <c r="Q4" s="484"/>
      <c r="R4" s="484"/>
      <c r="S4" s="484"/>
      <c r="T4" s="484"/>
      <c r="U4" s="484"/>
      <c r="V4" s="484"/>
      <c r="W4" s="484"/>
      <c r="X4" s="484"/>
      <c r="Y4" s="484"/>
      <c r="Z4" s="484"/>
    </row>
    <row r="5">
      <c r="B5" s="486" t="s">
        <v>6177</v>
      </c>
      <c r="C5" s="490" t="s">
        <v>36925</v>
      </c>
      <c r="D5" s="491" t="s">
        <v>36926</v>
      </c>
      <c r="E5" s="488" t="s">
        <v>36927</v>
      </c>
      <c r="F5" s="489" t="s">
        <v>36920</v>
      </c>
      <c r="G5" s="484"/>
      <c r="H5" s="484"/>
      <c r="I5" s="484"/>
      <c r="J5" s="484"/>
      <c r="K5" s="484"/>
      <c r="L5" s="484"/>
      <c r="M5" s="484"/>
      <c r="N5" s="484"/>
      <c r="O5" s="484"/>
      <c r="P5" s="484"/>
      <c r="Q5" s="484"/>
      <c r="R5" s="484"/>
      <c r="S5" s="484"/>
      <c r="T5" s="484"/>
      <c r="U5" s="484"/>
      <c r="V5" s="484"/>
      <c r="W5" s="484"/>
      <c r="X5" s="484"/>
      <c r="Y5" s="484"/>
      <c r="Z5" s="484"/>
    </row>
    <row r="6">
      <c r="B6" s="486" t="s">
        <v>6255</v>
      </c>
      <c r="C6" s="490" t="s">
        <v>36928</v>
      </c>
      <c r="D6" s="486" t="s">
        <v>36929</v>
      </c>
      <c r="E6" s="488" t="s">
        <v>36930</v>
      </c>
      <c r="F6" s="489" t="s">
        <v>36920</v>
      </c>
      <c r="G6" s="484"/>
      <c r="H6" s="484"/>
      <c r="I6" s="484"/>
      <c r="J6" s="484"/>
      <c r="K6" s="484"/>
      <c r="L6" s="484"/>
      <c r="M6" s="484"/>
      <c r="N6" s="484"/>
      <c r="O6" s="484"/>
      <c r="P6" s="484"/>
      <c r="Q6" s="484"/>
      <c r="R6" s="484"/>
      <c r="S6" s="484"/>
      <c r="T6" s="484"/>
      <c r="U6" s="484"/>
      <c r="V6" s="484"/>
      <c r="W6" s="484"/>
      <c r="X6" s="484"/>
      <c r="Y6" s="484"/>
      <c r="Z6" s="484"/>
    </row>
    <row r="7">
      <c r="B7" s="486" t="s">
        <v>36931</v>
      </c>
      <c r="C7" s="490" t="s">
        <v>36932</v>
      </c>
      <c r="D7" s="486" t="s">
        <v>36933</v>
      </c>
      <c r="E7" s="492" t="s">
        <v>36934</v>
      </c>
      <c r="F7" s="489" t="s">
        <v>36920</v>
      </c>
      <c r="G7" s="484"/>
      <c r="H7" s="484"/>
      <c r="I7" s="484"/>
      <c r="J7" s="484"/>
      <c r="K7" s="484"/>
      <c r="L7" s="484"/>
      <c r="M7" s="484"/>
      <c r="N7" s="484"/>
      <c r="O7" s="484"/>
      <c r="P7" s="484"/>
      <c r="Q7" s="484"/>
      <c r="R7" s="484"/>
      <c r="S7" s="484"/>
      <c r="T7" s="484"/>
      <c r="U7" s="484"/>
      <c r="V7" s="484"/>
      <c r="W7" s="484"/>
      <c r="X7" s="484"/>
      <c r="Y7" s="484"/>
      <c r="Z7" s="484"/>
    </row>
    <row r="8">
      <c r="B8" s="486" t="s">
        <v>36935</v>
      </c>
      <c r="C8" s="493"/>
      <c r="D8" s="493"/>
      <c r="E8" s="493"/>
      <c r="F8" s="489" t="s">
        <v>36936</v>
      </c>
      <c r="G8" s="484"/>
      <c r="H8" s="484"/>
      <c r="I8" s="484"/>
      <c r="J8" s="484"/>
      <c r="K8" s="484"/>
      <c r="L8" s="484"/>
      <c r="M8" s="484"/>
      <c r="N8" s="484"/>
      <c r="O8" s="484"/>
      <c r="P8" s="484"/>
      <c r="Q8" s="484"/>
      <c r="R8" s="484"/>
      <c r="S8" s="484"/>
      <c r="T8" s="484"/>
      <c r="U8" s="484"/>
      <c r="V8" s="484"/>
      <c r="W8" s="484"/>
      <c r="X8" s="484"/>
      <c r="Y8" s="484"/>
      <c r="Z8" s="484"/>
    </row>
    <row r="9">
      <c r="B9" s="486" t="s">
        <v>36937</v>
      </c>
      <c r="C9" s="487" t="s">
        <v>36938</v>
      </c>
      <c r="D9" s="486" t="s">
        <v>36939</v>
      </c>
      <c r="E9" s="488" t="s">
        <v>36940</v>
      </c>
      <c r="F9" s="489" t="s">
        <v>36920</v>
      </c>
      <c r="G9" s="484"/>
      <c r="H9" s="484"/>
      <c r="I9" s="484"/>
      <c r="J9" s="484"/>
      <c r="K9" s="484"/>
      <c r="L9" s="484"/>
      <c r="M9" s="484"/>
      <c r="N9" s="484"/>
      <c r="O9" s="484"/>
      <c r="P9" s="484"/>
      <c r="Q9" s="484"/>
      <c r="R9" s="484"/>
      <c r="S9" s="484"/>
      <c r="T9" s="484"/>
      <c r="U9" s="484"/>
      <c r="V9" s="484"/>
      <c r="W9" s="484"/>
      <c r="X9" s="484"/>
      <c r="Y9" s="484"/>
      <c r="Z9" s="484"/>
    </row>
    <row r="10">
      <c r="B10" s="486" t="s">
        <v>6361</v>
      </c>
      <c r="C10" s="487" t="s">
        <v>32421</v>
      </c>
      <c r="D10" s="486" t="s">
        <v>36941</v>
      </c>
      <c r="E10" s="494" t="s">
        <v>58</v>
      </c>
      <c r="F10" s="489" t="s">
        <v>36936</v>
      </c>
      <c r="G10" s="484"/>
      <c r="H10" s="484"/>
      <c r="I10" s="484"/>
      <c r="J10" s="484"/>
      <c r="K10" s="484"/>
      <c r="L10" s="484"/>
      <c r="M10" s="484"/>
      <c r="N10" s="484"/>
      <c r="O10" s="484"/>
      <c r="P10" s="484"/>
      <c r="Q10" s="484"/>
      <c r="R10" s="484"/>
      <c r="S10" s="484"/>
      <c r="T10" s="484"/>
      <c r="U10" s="484"/>
      <c r="V10" s="484"/>
      <c r="W10" s="484"/>
      <c r="X10" s="484"/>
      <c r="Y10" s="484"/>
      <c r="Z10" s="484"/>
    </row>
    <row r="11">
      <c r="B11" s="486" t="s">
        <v>36942</v>
      </c>
      <c r="C11" s="493"/>
      <c r="D11" s="486" t="s">
        <v>36943</v>
      </c>
      <c r="E11" s="493"/>
      <c r="F11" s="489" t="s">
        <v>36936</v>
      </c>
      <c r="G11" s="484"/>
      <c r="H11" s="484"/>
      <c r="I11" s="484"/>
      <c r="J11" s="484"/>
      <c r="K11" s="484"/>
      <c r="L11" s="484"/>
      <c r="M11" s="484"/>
      <c r="N11" s="484"/>
      <c r="O11" s="484"/>
      <c r="P11" s="484"/>
      <c r="Q11" s="484"/>
      <c r="R11" s="484"/>
      <c r="S11" s="484"/>
      <c r="T11" s="484"/>
      <c r="U11" s="484"/>
      <c r="V11" s="484"/>
      <c r="W11" s="484"/>
      <c r="X11" s="484"/>
      <c r="Y11" s="484"/>
      <c r="Z11" s="484"/>
    </row>
    <row r="12">
      <c r="B12" s="486" t="s">
        <v>36277</v>
      </c>
      <c r="C12" s="487" t="s">
        <v>36944</v>
      </c>
      <c r="D12" s="486" t="s">
        <v>36939</v>
      </c>
      <c r="E12" s="495" t="s">
        <v>36945</v>
      </c>
      <c r="F12" s="489" t="s">
        <v>36936</v>
      </c>
      <c r="G12" s="484"/>
      <c r="H12" s="484"/>
      <c r="I12" s="484"/>
      <c r="J12" s="484"/>
      <c r="K12" s="484"/>
      <c r="L12" s="484"/>
      <c r="M12" s="484"/>
      <c r="N12" s="484"/>
      <c r="O12" s="484"/>
      <c r="P12" s="484"/>
      <c r="Q12" s="484"/>
      <c r="R12" s="484"/>
      <c r="S12" s="484"/>
      <c r="T12" s="484"/>
      <c r="U12" s="484"/>
      <c r="V12" s="484"/>
      <c r="W12" s="484"/>
      <c r="X12" s="484"/>
      <c r="Y12" s="484"/>
      <c r="Z12" s="484"/>
    </row>
    <row r="13">
      <c r="B13" s="486" t="s">
        <v>6455</v>
      </c>
      <c r="C13" s="487" t="s">
        <v>36946</v>
      </c>
      <c r="D13" s="493"/>
      <c r="E13" s="493"/>
      <c r="F13" s="489" t="s">
        <v>36936</v>
      </c>
      <c r="G13" s="484"/>
      <c r="H13" s="484"/>
      <c r="I13" s="484"/>
      <c r="J13" s="484"/>
      <c r="K13" s="484"/>
      <c r="L13" s="484"/>
      <c r="M13" s="484"/>
      <c r="N13" s="484"/>
      <c r="O13" s="484"/>
      <c r="P13" s="484"/>
      <c r="Q13" s="484"/>
      <c r="R13" s="484"/>
      <c r="S13" s="484"/>
      <c r="T13" s="484"/>
      <c r="U13" s="484"/>
      <c r="V13" s="484"/>
      <c r="W13" s="484"/>
      <c r="X13" s="484"/>
      <c r="Y13" s="484"/>
      <c r="Z13" s="484"/>
    </row>
    <row r="14">
      <c r="B14" s="486" t="s">
        <v>6515</v>
      </c>
      <c r="C14" s="487" t="s">
        <v>36947</v>
      </c>
      <c r="D14" s="491" t="s">
        <v>36948</v>
      </c>
      <c r="E14" s="493"/>
      <c r="F14" s="489" t="s">
        <v>36936</v>
      </c>
      <c r="G14" s="484"/>
      <c r="H14" s="484"/>
      <c r="I14" s="484"/>
      <c r="J14" s="484"/>
      <c r="K14" s="484"/>
      <c r="L14" s="484"/>
      <c r="M14" s="484"/>
      <c r="N14" s="484"/>
      <c r="O14" s="484"/>
      <c r="P14" s="484"/>
      <c r="Q14" s="484"/>
      <c r="R14" s="484"/>
      <c r="S14" s="484"/>
      <c r="T14" s="484"/>
      <c r="U14" s="484"/>
      <c r="V14" s="484"/>
      <c r="W14" s="484"/>
      <c r="X14" s="484"/>
      <c r="Y14" s="484"/>
      <c r="Z14" s="484"/>
    </row>
    <row r="15">
      <c r="B15" s="486" t="s">
        <v>36949</v>
      </c>
      <c r="C15" s="493"/>
      <c r="D15" s="493"/>
      <c r="E15" s="493"/>
      <c r="F15" s="489" t="s">
        <v>36936</v>
      </c>
      <c r="G15" s="484"/>
      <c r="H15" s="484"/>
      <c r="I15" s="484"/>
      <c r="J15" s="484"/>
      <c r="K15" s="484"/>
      <c r="L15" s="484"/>
      <c r="M15" s="484"/>
      <c r="N15" s="484"/>
      <c r="O15" s="484"/>
      <c r="P15" s="484"/>
      <c r="Q15" s="484"/>
      <c r="R15" s="484"/>
      <c r="S15" s="484"/>
      <c r="T15" s="484"/>
      <c r="U15" s="484"/>
      <c r="V15" s="484"/>
      <c r="W15" s="484"/>
      <c r="X15" s="484"/>
      <c r="Y15" s="484"/>
      <c r="Z15" s="484"/>
    </row>
    <row r="16">
      <c r="B16" s="486" t="s">
        <v>36950</v>
      </c>
      <c r="C16" s="493"/>
      <c r="D16" s="486" t="s">
        <v>36951</v>
      </c>
      <c r="E16" s="486" t="s">
        <v>36952</v>
      </c>
      <c r="F16" s="489" t="s">
        <v>36936</v>
      </c>
      <c r="G16" s="484"/>
      <c r="H16" s="484"/>
      <c r="I16" s="484"/>
      <c r="J16" s="484"/>
      <c r="K16" s="484"/>
      <c r="L16" s="484"/>
      <c r="M16" s="484"/>
      <c r="N16" s="484"/>
      <c r="O16" s="484"/>
      <c r="P16" s="484"/>
      <c r="Q16" s="484"/>
      <c r="R16" s="484"/>
      <c r="S16" s="484"/>
      <c r="T16" s="484"/>
      <c r="U16" s="484"/>
      <c r="V16" s="484"/>
      <c r="W16" s="484"/>
      <c r="X16" s="484"/>
      <c r="Y16" s="484"/>
      <c r="Z16" s="484"/>
    </row>
    <row r="17">
      <c r="B17" s="486" t="s">
        <v>6815</v>
      </c>
      <c r="C17" s="493"/>
      <c r="D17" s="493"/>
      <c r="E17" s="493"/>
      <c r="F17" s="489" t="s">
        <v>36936</v>
      </c>
      <c r="G17" s="484"/>
      <c r="H17" s="484"/>
      <c r="I17" s="484"/>
      <c r="J17" s="484"/>
      <c r="K17" s="484"/>
      <c r="L17" s="484"/>
      <c r="M17" s="484"/>
      <c r="N17" s="484"/>
      <c r="O17" s="484"/>
      <c r="P17" s="484"/>
      <c r="Q17" s="484"/>
      <c r="R17" s="484"/>
      <c r="S17" s="484"/>
      <c r="T17" s="484"/>
      <c r="U17" s="484"/>
      <c r="V17" s="484"/>
      <c r="W17" s="484"/>
      <c r="X17" s="484"/>
      <c r="Y17" s="484"/>
      <c r="Z17" s="484"/>
    </row>
    <row r="18">
      <c r="B18" s="486" t="s">
        <v>6840</v>
      </c>
      <c r="C18" s="493"/>
      <c r="D18" s="493"/>
      <c r="E18" s="493"/>
      <c r="F18" s="489" t="s">
        <v>36936</v>
      </c>
      <c r="G18" s="484"/>
      <c r="H18" s="484"/>
      <c r="I18" s="484"/>
      <c r="J18" s="484"/>
      <c r="K18" s="484"/>
      <c r="L18" s="484"/>
      <c r="M18" s="484"/>
      <c r="N18" s="484"/>
      <c r="O18" s="484"/>
      <c r="P18" s="484"/>
      <c r="Q18" s="484"/>
      <c r="R18" s="484"/>
      <c r="S18" s="484"/>
      <c r="T18" s="484"/>
      <c r="U18" s="484"/>
      <c r="V18" s="484"/>
      <c r="W18" s="484"/>
      <c r="X18" s="484"/>
      <c r="Y18" s="484"/>
      <c r="Z18" s="484"/>
    </row>
    <row r="19">
      <c r="B19" s="486" t="s">
        <v>36953</v>
      </c>
      <c r="C19" s="493"/>
      <c r="D19" s="493"/>
      <c r="E19" s="493"/>
      <c r="F19" s="489" t="s">
        <v>36936</v>
      </c>
      <c r="G19" s="484"/>
      <c r="H19" s="484"/>
      <c r="I19" s="484"/>
      <c r="J19" s="484"/>
      <c r="K19" s="484"/>
      <c r="L19" s="484"/>
      <c r="M19" s="484"/>
      <c r="N19" s="484"/>
      <c r="O19" s="484"/>
      <c r="P19" s="484"/>
      <c r="Q19" s="484"/>
      <c r="R19" s="484"/>
      <c r="S19" s="484"/>
      <c r="T19" s="484"/>
      <c r="U19" s="484"/>
      <c r="V19" s="484"/>
      <c r="W19" s="484"/>
      <c r="X19" s="484"/>
      <c r="Y19" s="484"/>
      <c r="Z19" s="484"/>
    </row>
    <row r="20">
      <c r="A20" s="496" t="s">
        <v>7033</v>
      </c>
      <c r="B20" s="497" t="s">
        <v>7047</v>
      </c>
      <c r="C20" s="498" t="s">
        <v>36954</v>
      </c>
      <c r="D20" s="497" t="s">
        <v>36955</v>
      </c>
      <c r="E20" s="497" t="s">
        <v>36956</v>
      </c>
      <c r="F20" s="489" t="s">
        <v>36936</v>
      </c>
      <c r="G20" s="484"/>
      <c r="H20" s="484"/>
      <c r="I20" s="484"/>
      <c r="J20" s="484"/>
      <c r="K20" s="484"/>
      <c r="L20" s="484"/>
      <c r="M20" s="484"/>
      <c r="N20" s="484"/>
      <c r="O20" s="484"/>
      <c r="P20" s="484"/>
      <c r="Q20" s="484"/>
      <c r="R20" s="484"/>
      <c r="S20" s="484"/>
      <c r="T20" s="484"/>
      <c r="U20" s="484"/>
      <c r="V20" s="484"/>
      <c r="W20" s="484"/>
      <c r="X20" s="484"/>
      <c r="Y20" s="484"/>
      <c r="Z20" s="484"/>
    </row>
    <row r="21">
      <c r="A21" s="499"/>
      <c r="D21" s="497"/>
      <c r="E21" s="497" t="s">
        <v>36957</v>
      </c>
      <c r="F21" s="489" t="s">
        <v>36936</v>
      </c>
      <c r="G21" s="484"/>
      <c r="H21" s="484"/>
      <c r="I21" s="484"/>
      <c r="J21" s="484"/>
      <c r="K21" s="484"/>
      <c r="L21" s="484"/>
      <c r="M21" s="484"/>
      <c r="N21" s="484"/>
      <c r="O21" s="484"/>
      <c r="P21" s="484"/>
      <c r="Q21" s="484"/>
      <c r="R21" s="484"/>
      <c r="S21" s="484"/>
      <c r="T21" s="484"/>
      <c r="U21" s="484"/>
      <c r="V21" s="484"/>
      <c r="W21" s="484"/>
      <c r="X21" s="484"/>
      <c r="Y21" s="484"/>
      <c r="Z21" s="484"/>
    </row>
    <row r="22">
      <c r="A22" s="499"/>
      <c r="B22" s="497" t="s">
        <v>7351</v>
      </c>
      <c r="C22" s="498" t="s">
        <v>6828</v>
      </c>
      <c r="D22" s="497" t="s">
        <v>36941</v>
      </c>
      <c r="E22" s="500"/>
      <c r="F22" s="489" t="s">
        <v>36936</v>
      </c>
      <c r="G22" s="484"/>
      <c r="H22" s="484"/>
      <c r="I22" s="484"/>
      <c r="J22" s="484"/>
      <c r="K22" s="484"/>
      <c r="L22" s="484"/>
      <c r="M22" s="484"/>
      <c r="N22" s="484"/>
      <c r="O22" s="484"/>
      <c r="P22" s="484"/>
      <c r="Q22" s="484"/>
      <c r="R22" s="484"/>
      <c r="S22" s="484"/>
      <c r="T22" s="484"/>
      <c r="U22" s="484"/>
      <c r="V22" s="484"/>
      <c r="W22" s="484"/>
      <c r="X22" s="484"/>
      <c r="Y22" s="484"/>
      <c r="Z22" s="484"/>
    </row>
    <row r="23">
      <c r="A23" s="499"/>
      <c r="B23" s="497" t="s">
        <v>10849</v>
      </c>
      <c r="C23" s="498" t="s">
        <v>36958</v>
      </c>
      <c r="D23" s="497" t="s">
        <v>36959</v>
      </c>
      <c r="E23" s="500"/>
      <c r="F23" s="489" t="s">
        <v>36936</v>
      </c>
      <c r="G23" s="484"/>
      <c r="H23" s="484"/>
      <c r="I23" s="484"/>
      <c r="J23" s="484"/>
      <c r="K23" s="484"/>
      <c r="L23" s="484"/>
      <c r="M23" s="484"/>
      <c r="N23" s="484"/>
      <c r="O23" s="484"/>
      <c r="P23" s="484"/>
      <c r="Q23" s="484"/>
      <c r="R23" s="484"/>
      <c r="S23" s="484"/>
      <c r="T23" s="484"/>
      <c r="U23" s="484"/>
      <c r="V23" s="484"/>
      <c r="W23" s="484"/>
      <c r="X23" s="484"/>
      <c r="Y23" s="484"/>
      <c r="Z23" s="484"/>
    </row>
    <row r="24">
      <c r="A24" s="499"/>
      <c r="D24" s="497" t="s">
        <v>36939</v>
      </c>
      <c r="E24" s="500"/>
      <c r="F24" s="489" t="s">
        <v>36936</v>
      </c>
      <c r="G24" s="484"/>
      <c r="H24" s="484"/>
      <c r="I24" s="484"/>
      <c r="J24" s="484"/>
      <c r="K24" s="484"/>
      <c r="L24" s="484"/>
      <c r="M24" s="484"/>
      <c r="N24" s="484"/>
      <c r="O24" s="484"/>
      <c r="P24" s="484"/>
      <c r="Q24" s="484"/>
      <c r="R24" s="484"/>
      <c r="S24" s="484"/>
      <c r="T24" s="484"/>
      <c r="U24" s="484"/>
      <c r="V24" s="484"/>
      <c r="W24" s="484"/>
      <c r="X24" s="484"/>
      <c r="Y24" s="484"/>
      <c r="Z24" s="484"/>
    </row>
    <row r="25">
      <c r="A25" s="499"/>
      <c r="B25" s="497" t="s">
        <v>10871</v>
      </c>
      <c r="C25" s="498" t="s">
        <v>36960</v>
      </c>
      <c r="D25" s="497" t="s">
        <v>36961</v>
      </c>
      <c r="E25" s="500"/>
      <c r="F25" s="489" t="s">
        <v>36936</v>
      </c>
      <c r="G25" s="484"/>
      <c r="H25" s="484"/>
      <c r="I25" s="484"/>
      <c r="J25" s="484"/>
      <c r="K25" s="484"/>
      <c r="L25" s="484"/>
      <c r="M25" s="484"/>
      <c r="N25" s="484"/>
      <c r="O25" s="484"/>
      <c r="P25" s="484"/>
      <c r="Q25" s="484"/>
      <c r="R25" s="484"/>
      <c r="S25" s="484"/>
      <c r="T25" s="484"/>
      <c r="U25" s="484"/>
      <c r="V25" s="484"/>
      <c r="W25" s="484"/>
      <c r="X25" s="484"/>
      <c r="Y25" s="484"/>
      <c r="Z25" s="484"/>
    </row>
    <row r="26">
      <c r="A26" s="499"/>
      <c r="B26" s="497" t="s">
        <v>7356</v>
      </c>
      <c r="C26" s="497" t="s">
        <v>36962</v>
      </c>
      <c r="D26" s="497" t="s">
        <v>36959</v>
      </c>
      <c r="E26" s="500"/>
      <c r="F26" s="489" t="s">
        <v>36936</v>
      </c>
      <c r="G26" s="484"/>
      <c r="H26" s="484"/>
      <c r="I26" s="484"/>
      <c r="J26" s="484"/>
      <c r="K26" s="484"/>
      <c r="L26" s="484"/>
      <c r="M26" s="484"/>
      <c r="N26" s="484"/>
      <c r="O26" s="484"/>
      <c r="P26" s="484"/>
      <c r="Q26" s="484"/>
      <c r="R26" s="484"/>
      <c r="S26" s="484"/>
      <c r="T26" s="484"/>
      <c r="U26" s="484"/>
      <c r="V26" s="484"/>
      <c r="W26" s="484"/>
      <c r="X26" s="484"/>
      <c r="Y26" s="484"/>
      <c r="Z26" s="484"/>
    </row>
    <row r="27">
      <c r="A27" s="499"/>
      <c r="B27" s="497"/>
      <c r="C27" s="497"/>
      <c r="D27" s="497" t="s">
        <v>36963</v>
      </c>
      <c r="E27" s="500"/>
      <c r="F27" s="489" t="s">
        <v>36936</v>
      </c>
      <c r="G27" s="484"/>
      <c r="H27" s="484"/>
      <c r="I27" s="484"/>
      <c r="J27" s="484"/>
      <c r="K27" s="484"/>
      <c r="L27" s="484"/>
      <c r="M27" s="484"/>
      <c r="N27" s="484"/>
      <c r="O27" s="484"/>
      <c r="P27" s="484"/>
      <c r="Q27" s="484"/>
      <c r="R27" s="484"/>
      <c r="S27" s="484"/>
      <c r="T27" s="484"/>
      <c r="U27" s="484"/>
      <c r="V27" s="484"/>
      <c r="W27" s="484"/>
      <c r="X27" s="484"/>
      <c r="Y27" s="484"/>
      <c r="Z27" s="484"/>
    </row>
    <row r="28">
      <c r="A28" s="499"/>
      <c r="B28" s="497" t="s">
        <v>8523</v>
      </c>
      <c r="C28" s="498" t="s">
        <v>36964</v>
      </c>
      <c r="D28" s="497" t="s">
        <v>36965</v>
      </c>
      <c r="E28" s="500"/>
      <c r="F28" s="489" t="s">
        <v>36936</v>
      </c>
      <c r="G28" s="484"/>
      <c r="H28" s="484"/>
      <c r="I28" s="484"/>
      <c r="J28" s="484"/>
      <c r="K28" s="484"/>
      <c r="L28" s="484"/>
      <c r="M28" s="484"/>
      <c r="N28" s="484"/>
      <c r="O28" s="484"/>
      <c r="P28" s="484"/>
      <c r="Q28" s="484"/>
      <c r="R28" s="484"/>
      <c r="S28" s="484"/>
      <c r="T28" s="484"/>
      <c r="U28" s="484"/>
      <c r="V28" s="484"/>
      <c r="W28" s="484"/>
      <c r="X28" s="484"/>
      <c r="Y28" s="484"/>
      <c r="Z28" s="484"/>
    </row>
    <row r="29">
      <c r="A29" s="499"/>
      <c r="B29" s="497" t="s">
        <v>11227</v>
      </c>
      <c r="C29" s="498" t="s">
        <v>36966</v>
      </c>
      <c r="D29" s="497" t="s">
        <v>36951</v>
      </c>
      <c r="E29" s="500"/>
      <c r="F29" s="489" t="s">
        <v>36936</v>
      </c>
      <c r="G29" s="484"/>
      <c r="H29" s="484"/>
      <c r="I29" s="484"/>
      <c r="J29" s="484"/>
      <c r="K29" s="484"/>
      <c r="L29" s="484"/>
      <c r="M29" s="484"/>
      <c r="N29" s="484"/>
      <c r="O29" s="484"/>
      <c r="P29" s="484"/>
      <c r="Q29" s="484"/>
      <c r="R29" s="484"/>
      <c r="S29" s="484"/>
      <c r="T29" s="484"/>
      <c r="U29" s="484"/>
      <c r="V29" s="484"/>
      <c r="W29" s="484"/>
      <c r="X29" s="484"/>
      <c r="Y29" s="484"/>
      <c r="Z29" s="484"/>
    </row>
    <row r="30">
      <c r="A30" s="499"/>
      <c r="B30" s="497" t="s">
        <v>7439</v>
      </c>
      <c r="C30" s="498" t="s">
        <v>1416</v>
      </c>
      <c r="D30" s="497" t="s">
        <v>36939</v>
      </c>
      <c r="E30" s="497" t="s">
        <v>36967</v>
      </c>
      <c r="F30" s="489" t="s">
        <v>36936</v>
      </c>
      <c r="G30" s="484"/>
      <c r="H30" s="484"/>
      <c r="I30" s="484"/>
      <c r="J30" s="484"/>
      <c r="K30" s="484"/>
      <c r="L30" s="484"/>
      <c r="M30" s="484"/>
      <c r="N30" s="484"/>
      <c r="O30" s="484"/>
      <c r="P30" s="484"/>
      <c r="Q30" s="484"/>
      <c r="R30" s="484"/>
      <c r="S30" s="484"/>
      <c r="T30" s="484"/>
      <c r="U30" s="484"/>
      <c r="V30" s="484"/>
      <c r="W30" s="484"/>
      <c r="X30" s="484"/>
      <c r="Y30" s="484"/>
      <c r="Z30" s="484"/>
    </row>
    <row r="31">
      <c r="A31" s="499"/>
      <c r="B31" s="497" t="s">
        <v>7453</v>
      </c>
      <c r="C31" s="498" t="s">
        <v>10116</v>
      </c>
      <c r="D31" s="497" t="s">
        <v>36968</v>
      </c>
      <c r="E31" s="497" t="s">
        <v>36969</v>
      </c>
      <c r="F31" s="489" t="s">
        <v>36936</v>
      </c>
      <c r="G31" s="484"/>
      <c r="H31" s="484"/>
      <c r="I31" s="484"/>
      <c r="J31" s="484"/>
      <c r="K31" s="484"/>
      <c r="L31" s="484"/>
      <c r="M31" s="484"/>
      <c r="N31" s="484"/>
      <c r="O31" s="484"/>
      <c r="P31" s="484"/>
      <c r="Q31" s="484"/>
      <c r="R31" s="484"/>
      <c r="S31" s="484"/>
      <c r="T31" s="484"/>
      <c r="U31" s="484"/>
      <c r="V31" s="484"/>
      <c r="W31" s="484"/>
      <c r="X31" s="484"/>
      <c r="Y31" s="484"/>
      <c r="Z31" s="484"/>
    </row>
    <row r="32">
      <c r="A32" s="499"/>
      <c r="B32" s="497" t="s">
        <v>36970</v>
      </c>
      <c r="C32" s="498" t="s">
        <v>6828</v>
      </c>
      <c r="D32" s="497" t="s">
        <v>36941</v>
      </c>
      <c r="E32" s="500"/>
      <c r="F32" s="489" t="s">
        <v>36936</v>
      </c>
      <c r="G32" s="484"/>
      <c r="H32" s="484"/>
      <c r="I32" s="484"/>
      <c r="J32" s="484"/>
      <c r="K32" s="484"/>
      <c r="L32" s="484"/>
      <c r="M32" s="484"/>
      <c r="N32" s="484"/>
      <c r="O32" s="484"/>
      <c r="P32" s="484"/>
      <c r="Q32" s="484"/>
      <c r="R32" s="484"/>
      <c r="S32" s="484"/>
      <c r="T32" s="484"/>
      <c r="U32" s="484"/>
      <c r="V32" s="484"/>
      <c r="W32" s="484"/>
      <c r="X32" s="484"/>
      <c r="Y32" s="484"/>
      <c r="Z32" s="484"/>
    </row>
    <row r="33">
      <c r="A33" s="501"/>
      <c r="B33" s="497" t="s">
        <v>7479</v>
      </c>
      <c r="C33" s="498" t="s">
        <v>36971</v>
      </c>
      <c r="D33" s="497" t="s">
        <v>36939</v>
      </c>
      <c r="E33" s="497" t="s">
        <v>36972</v>
      </c>
      <c r="F33" s="489" t="s">
        <v>36936</v>
      </c>
      <c r="G33" s="484"/>
      <c r="H33" s="484"/>
      <c r="I33" s="484"/>
      <c r="J33" s="484"/>
      <c r="K33" s="484"/>
      <c r="L33" s="484"/>
      <c r="M33" s="484"/>
      <c r="N33" s="484"/>
      <c r="O33" s="484"/>
      <c r="P33" s="484"/>
      <c r="Q33" s="484"/>
      <c r="R33" s="484"/>
      <c r="S33" s="484"/>
      <c r="T33" s="484"/>
      <c r="U33" s="484"/>
      <c r="V33" s="484"/>
      <c r="W33" s="484"/>
      <c r="X33" s="484"/>
      <c r="Y33" s="484"/>
      <c r="Z33" s="484"/>
    </row>
    <row r="34">
      <c r="A34" s="499"/>
      <c r="B34" s="497" t="s">
        <v>7497</v>
      </c>
      <c r="C34" s="498" t="s">
        <v>36973</v>
      </c>
      <c r="D34" s="497" t="s">
        <v>36974</v>
      </c>
      <c r="E34" s="500"/>
      <c r="F34" s="489" t="s">
        <v>36936</v>
      </c>
      <c r="G34" s="484"/>
      <c r="H34" s="484"/>
      <c r="I34" s="484"/>
      <c r="J34" s="484"/>
      <c r="K34" s="484"/>
      <c r="L34" s="484"/>
      <c r="M34" s="484"/>
      <c r="N34" s="484"/>
      <c r="O34" s="484"/>
      <c r="P34" s="484"/>
      <c r="Q34" s="484"/>
      <c r="R34" s="484"/>
      <c r="S34" s="484"/>
      <c r="T34" s="484"/>
      <c r="U34" s="484"/>
      <c r="V34" s="484"/>
      <c r="W34" s="484"/>
      <c r="X34" s="484"/>
      <c r="Y34" s="484"/>
      <c r="Z34" s="484"/>
    </row>
    <row r="35">
      <c r="A35" s="499"/>
      <c r="B35" s="497" t="s">
        <v>11239</v>
      </c>
      <c r="C35" s="498" t="s">
        <v>3864</v>
      </c>
      <c r="D35" s="497" t="s">
        <v>36959</v>
      </c>
      <c r="E35" s="497" t="s">
        <v>36975</v>
      </c>
      <c r="F35" s="489" t="s">
        <v>36936</v>
      </c>
      <c r="G35" s="484"/>
      <c r="H35" s="484"/>
      <c r="I35" s="484"/>
      <c r="J35" s="484"/>
      <c r="K35" s="484"/>
      <c r="L35" s="484"/>
      <c r="M35" s="484"/>
      <c r="N35" s="484"/>
      <c r="O35" s="484"/>
      <c r="P35" s="484"/>
      <c r="Q35" s="484"/>
      <c r="R35" s="484"/>
      <c r="S35" s="484"/>
      <c r="T35" s="484"/>
      <c r="U35" s="484"/>
      <c r="V35" s="484"/>
      <c r="W35" s="484"/>
      <c r="X35" s="484"/>
      <c r="Y35" s="484"/>
      <c r="Z35" s="484"/>
    </row>
    <row r="36">
      <c r="A36" s="499"/>
      <c r="B36" s="497" t="s">
        <v>36976</v>
      </c>
      <c r="C36" s="498" t="s">
        <v>36977</v>
      </c>
      <c r="D36" s="497" t="s">
        <v>36978</v>
      </c>
      <c r="E36" s="500"/>
      <c r="F36" s="489" t="s">
        <v>36936</v>
      </c>
      <c r="G36" s="484"/>
      <c r="H36" s="484"/>
      <c r="I36" s="484"/>
      <c r="J36" s="484"/>
      <c r="K36" s="484"/>
      <c r="L36" s="484"/>
      <c r="M36" s="484"/>
      <c r="N36" s="484"/>
      <c r="O36" s="484"/>
      <c r="P36" s="484"/>
      <c r="Q36" s="484"/>
      <c r="R36" s="484"/>
      <c r="S36" s="484"/>
      <c r="T36" s="484"/>
      <c r="U36" s="484"/>
      <c r="V36" s="484"/>
      <c r="W36" s="484"/>
      <c r="X36" s="484"/>
      <c r="Y36" s="484"/>
      <c r="Z36" s="484"/>
    </row>
    <row r="37">
      <c r="A37" s="499"/>
      <c r="B37" s="497" t="s">
        <v>7852</v>
      </c>
      <c r="C37" s="498" t="s">
        <v>1392</v>
      </c>
      <c r="D37" s="497" t="s">
        <v>36979</v>
      </c>
      <c r="E37" s="500"/>
      <c r="F37" s="489" t="s">
        <v>36936</v>
      </c>
      <c r="G37" s="484"/>
      <c r="H37" s="484"/>
      <c r="I37" s="484"/>
      <c r="J37" s="484"/>
      <c r="K37" s="484"/>
      <c r="L37" s="484"/>
      <c r="M37" s="484"/>
      <c r="N37" s="484"/>
      <c r="O37" s="484"/>
      <c r="P37" s="484"/>
      <c r="Q37" s="484"/>
      <c r="R37" s="484"/>
      <c r="S37" s="484"/>
      <c r="T37" s="484"/>
      <c r="U37" s="484"/>
      <c r="V37" s="484"/>
      <c r="W37" s="484"/>
      <c r="X37" s="484"/>
      <c r="Y37" s="484"/>
      <c r="Z37" s="484"/>
    </row>
    <row r="38">
      <c r="A38" s="499"/>
      <c r="B38" s="497" t="s">
        <v>7623</v>
      </c>
      <c r="C38" s="498" t="s">
        <v>36980</v>
      </c>
      <c r="D38" s="497" t="s">
        <v>36981</v>
      </c>
      <c r="E38" s="500"/>
      <c r="F38" s="489" t="s">
        <v>36936</v>
      </c>
      <c r="G38" s="484"/>
      <c r="H38" s="484"/>
      <c r="I38" s="484"/>
      <c r="J38" s="484"/>
      <c r="K38" s="484"/>
      <c r="L38" s="484"/>
      <c r="M38" s="484"/>
      <c r="N38" s="484"/>
      <c r="O38" s="484"/>
      <c r="P38" s="484"/>
      <c r="Q38" s="484"/>
      <c r="R38" s="484"/>
      <c r="S38" s="484"/>
      <c r="T38" s="484"/>
      <c r="U38" s="484"/>
      <c r="V38" s="484"/>
      <c r="W38" s="484"/>
      <c r="X38" s="484"/>
      <c r="Y38" s="484"/>
      <c r="Z38" s="484"/>
    </row>
    <row r="39">
      <c r="A39" s="499"/>
      <c r="D39" s="497" t="s">
        <v>36982</v>
      </c>
      <c r="E39" s="500"/>
      <c r="F39" s="489" t="s">
        <v>36936</v>
      </c>
      <c r="G39" s="484"/>
      <c r="H39" s="484"/>
      <c r="I39" s="484"/>
      <c r="J39" s="484"/>
      <c r="K39" s="484"/>
      <c r="L39" s="484"/>
      <c r="M39" s="484"/>
      <c r="N39" s="484"/>
      <c r="O39" s="484"/>
      <c r="P39" s="484"/>
      <c r="Q39" s="484"/>
      <c r="R39" s="484"/>
      <c r="S39" s="484"/>
      <c r="T39" s="484"/>
      <c r="U39" s="484"/>
      <c r="V39" s="484"/>
      <c r="W39" s="484"/>
      <c r="X39" s="484"/>
      <c r="Y39" s="484"/>
      <c r="Z39" s="484"/>
    </row>
    <row r="40">
      <c r="A40" s="499"/>
      <c r="B40" s="497" t="s">
        <v>7749</v>
      </c>
      <c r="C40" s="498" t="s">
        <v>36983</v>
      </c>
      <c r="D40" s="497" t="s">
        <v>36984</v>
      </c>
      <c r="E40" s="500"/>
      <c r="F40" s="489" t="s">
        <v>36936</v>
      </c>
      <c r="G40" s="484"/>
      <c r="H40" s="484"/>
      <c r="I40" s="484"/>
      <c r="J40" s="484"/>
      <c r="K40" s="484"/>
      <c r="L40" s="484"/>
      <c r="M40" s="484"/>
      <c r="N40" s="484"/>
      <c r="O40" s="484"/>
      <c r="P40" s="484"/>
      <c r="Q40" s="484"/>
      <c r="R40" s="484"/>
      <c r="S40" s="484"/>
      <c r="T40" s="484"/>
      <c r="U40" s="484"/>
      <c r="V40" s="484"/>
      <c r="W40" s="484"/>
      <c r="X40" s="484"/>
      <c r="Y40" s="484"/>
      <c r="Z40" s="484"/>
    </row>
    <row r="41">
      <c r="A41" s="499"/>
      <c r="B41" s="497" t="s">
        <v>36985</v>
      </c>
      <c r="C41" s="498" t="s">
        <v>36986</v>
      </c>
      <c r="D41" s="500"/>
      <c r="E41" s="500"/>
      <c r="F41" s="489" t="s">
        <v>36936</v>
      </c>
      <c r="G41" s="484"/>
      <c r="H41" s="484"/>
      <c r="I41" s="484"/>
      <c r="J41" s="484"/>
      <c r="K41" s="484"/>
      <c r="L41" s="484"/>
      <c r="M41" s="484"/>
      <c r="N41" s="484"/>
      <c r="O41" s="484"/>
      <c r="P41" s="484"/>
      <c r="Q41" s="484"/>
      <c r="R41" s="484"/>
      <c r="S41" s="484"/>
      <c r="T41" s="484"/>
      <c r="U41" s="484"/>
      <c r="V41" s="484"/>
      <c r="W41" s="484"/>
      <c r="X41" s="484"/>
      <c r="Y41" s="484"/>
      <c r="Z41" s="484"/>
    </row>
    <row r="42">
      <c r="A42" s="499"/>
      <c r="B42" s="497" t="s">
        <v>11333</v>
      </c>
      <c r="C42" s="498" t="s">
        <v>36987</v>
      </c>
      <c r="D42" s="497" t="s">
        <v>36988</v>
      </c>
      <c r="E42" s="500"/>
      <c r="F42" s="489" t="s">
        <v>36936</v>
      </c>
      <c r="G42" s="484"/>
      <c r="H42" s="484"/>
      <c r="I42" s="484"/>
      <c r="J42" s="484"/>
      <c r="K42" s="484"/>
      <c r="L42" s="484"/>
      <c r="M42" s="484"/>
      <c r="N42" s="484"/>
      <c r="O42" s="484"/>
      <c r="P42" s="484"/>
      <c r="Q42" s="484"/>
      <c r="R42" s="484"/>
      <c r="S42" s="484"/>
      <c r="T42" s="484"/>
      <c r="U42" s="484"/>
      <c r="V42" s="484"/>
      <c r="W42" s="484"/>
      <c r="X42" s="484"/>
      <c r="Y42" s="484"/>
      <c r="Z42" s="484"/>
    </row>
    <row r="43">
      <c r="A43" s="499"/>
      <c r="B43" s="497" t="s">
        <v>11345</v>
      </c>
      <c r="C43" s="498" t="s">
        <v>1392</v>
      </c>
      <c r="D43" s="497" t="s">
        <v>36989</v>
      </c>
      <c r="E43" s="500"/>
      <c r="F43" s="489" t="s">
        <v>36936</v>
      </c>
      <c r="G43" s="484"/>
      <c r="H43" s="484"/>
      <c r="I43" s="484"/>
      <c r="J43" s="484"/>
      <c r="K43" s="484"/>
      <c r="L43" s="484"/>
      <c r="M43" s="484"/>
      <c r="N43" s="484"/>
      <c r="O43" s="484"/>
      <c r="P43" s="484"/>
      <c r="Q43" s="484"/>
      <c r="R43" s="484"/>
      <c r="S43" s="484"/>
      <c r="T43" s="484"/>
      <c r="U43" s="484"/>
      <c r="V43" s="484"/>
      <c r="W43" s="484"/>
      <c r="X43" s="484"/>
      <c r="Y43" s="484"/>
      <c r="Z43" s="484"/>
    </row>
    <row r="44">
      <c r="A44" s="499"/>
      <c r="B44" s="497" t="s">
        <v>8060</v>
      </c>
      <c r="C44" s="498" t="s">
        <v>36990</v>
      </c>
      <c r="D44" s="497" t="s">
        <v>36991</v>
      </c>
      <c r="E44" s="500"/>
      <c r="F44" s="489" t="s">
        <v>36936</v>
      </c>
      <c r="G44" s="484"/>
      <c r="H44" s="484"/>
      <c r="I44" s="484"/>
      <c r="J44" s="484"/>
      <c r="K44" s="484"/>
      <c r="L44" s="484"/>
      <c r="M44" s="484"/>
      <c r="N44" s="484"/>
      <c r="O44" s="484"/>
      <c r="P44" s="484"/>
      <c r="Q44" s="484"/>
      <c r="R44" s="484"/>
      <c r="S44" s="484"/>
      <c r="T44" s="484"/>
      <c r="U44" s="484"/>
      <c r="V44" s="484"/>
      <c r="W44" s="484"/>
      <c r="X44" s="484"/>
      <c r="Y44" s="484"/>
      <c r="Z44" s="484"/>
    </row>
    <row r="45">
      <c r="A45" s="499"/>
      <c r="B45" s="497" t="s">
        <v>36992</v>
      </c>
      <c r="C45" s="500"/>
      <c r="D45" s="497" t="s">
        <v>36993</v>
      </c>
      <c r="E45" s="502" t="s">
        <v>36994</v>
      </c>
      <c r="F45" s="489" t="s">
        <v>36936</v>
      </c>
      <c r="G45" s="484"/>
      <c r="H45" s="484"/>
      <c r="I45" s="484"/>
      <c r="J45" s="484"/>
      <c r="K45" s="484"/>
      <c r="L45" s="484"/>
      <c r="M45" s="484"/>
      <c r="N45" s="484"/>
      <c r="O45" s="484"/>
      <c r="P45" s="484"/>
      <c r="Q45" s="484"/>
      <c r="R45" s="484"/>
      <c r="S45" s="484"/>
      <c r="T45" s="484"/>
      <c r="U45" s="484"/>
      <c r="V45" s="484"/>
      <c r="W45" s="484"/>
      <c r="X45" s="484"/>
      <c r="Y45" s="484"/>
      <c r="Z45" s="484"/>
    </row>
    <row r="46">
      <c r="A46" s="501"/>
      <c r="B46" s="497" t="s">
        <v>8126</v>
      </c>
      <c r="C46" s="498" t="s">
        <v>36995</v>
      </c>
      <c r="D46" s="497" t="s">
        <v>36941</v>
      </c>
      <c r="E46" s="500"/>
      <c r="F46" s="489" t="s">
        <v>36936</v>
      </c>
      <c r="G46" s="484"/>
      <c r="H46" s="484"/>
      <c r="I46" s="484"/>
      <c r="J46" s="484"/>
      <c r="K46" s="484"/>
      <c r="L46" s="484"/>
      <c r="M46" s="484"/>
      <c r="N46" s="484"/>
      <c r="O46" s="484"/>
      <c r="P46" s="484"/>
      <c r="Q46" s="484"/>
      <c r="R46" s="484"/>
      <c r="S46" s="484"/>
      <c r="T46" s="484"/>
      <c r="U46" s="484"/>
      <c r="V46" s="484"/>
      <c r="W46" s="484"/>
      <c r="X46" s="484"/>
      <c r="Y46" s="484"/>
      <c r="Z46" s="484"/>
    </row>
    <row r="47">
      <c r="A47" s="499"/>
      <c r="B47" s="497" t="s">
        <v>8131</v>
      </c>
      <c r="C47" s="498" t="s">
        <v>36996</v>
      </c>
      <c r="D47" s="497" t="s">
        <v>36997</v>
      </c>
      <c r="E47" s="500"/>
      <c r="F47" s="489" t="s">
        <v>36936</v>
      </c>
      <c r="G47" s="484"/>
      <c r="H47" s="484"/>
      <c r="I47" s="484"/>
      <c r="J47" s="484"/>
      <c r="K47" s="484"/>
      <c r="L47" s="484"/>
      <c r="M47" s="484"/>
      <c r="N47" s="484"/>
      <c r="O47" s="484"/>
      <c r="P47" s="484"/>
      <c r="Q47" s="484"/>
      <c r="R47" s="484"/>
      <c r="S47" s="484"/>
      <c r="T47" s="484"/>
      <c r="U47" s="484"/>
      <c r="V47" s="484"/>
      <c r="W47" s="484"/>
      <c r="X47" s="484"/>
      <c r="Y47" s="484"/>
      <c r="Z47" s="484"/>
    </row>
    <row r="48">
      <c r="A48" s="499"/>
      <c r="B48" s="497" t="s">
        <v>8171</v>
      </c>
      <c r="C48" s="498" t="s">
        <v>36998</v>
      </c>
      <c r="D48" s="500"/>
      <c r="E48" s="500"/>
      <c r="F48" s="489" t="s">
        <v>36936</v>
      </c>
      <c r="G48" s="484"/>
      <c r="H48" s="484"/>
      <c r="I48" s="484"/>
      <c r="J48" s="484"/>
      <c r="K48" s="484"/>
      <c r="L48" s="484"/>
      <c r="M48" s="484"/>
      <c r="N48" s="484"/>
      <c r="O48" s="484"/>
      <c r="P48" s="484"/>
      <c r="Q48" s="484"/>
      <c r="R48" s="484"/>
      <c r="S48" s="484"/>
      <c r="T48" s="484"/>
      <c r="U48" s="484"/>
      <c r="V48" s="484"/>
      <c r="W48" s="484"/>
      <c r="X48" s="484"/>
      <c r="Y48" s="484"/>
      <c r="Z48" s="484"/>
    </row>
    <row r="49">
      <c r="A49" s="499"/>
      <c r="B49" s="497" t="s">
        <v>8299</v>
      </c>
      <c r="C49" s="500"/>
      <c r="D49" s="497" t="s">
        <v>36999</v>
      </c>
      <c r="E49" s="500"/>
      <c r="F49" s="489" t="s">
        <v>36936</v>
      </c>
      <c r="G49" s="484"/>
      <c r="H49" s="484"/>
      <c r="I49" s="484"/>
      <c r="J49" s="484"/>
      <c r="K49" s="484"/>
      <c r="L49" s="484"/>
      <c r="M49" s="484"/>
      <c r="N49" s="484"/>
      <c r="O49" s="484"/>
      <c r="P49" s="484"/>
      <c r="Q49" s="484"/>
      <c r="R49" s="484"/>
      <c r="S49" s="484"/>
      <c r="T49" s="484"/>
      <c r="U49" s="484"/>
      <c r="V49" s="484"/>
      <c r="W49" s="484"/>
      <c r="X49" s="484"/>
      <c r="Y49" s="484"/>
      <c r="Z49" s="484"/>
    </row>
    <row r="50">
      <c r="A50" s="499"/>
      <c r="B50" s="497" t="s">
        <v>8406</v>
      </c>
      <c r="C50" s="498" t="s">
        <v>37000</v>
      </c>
      <c r="D50" s="497" t="s">
        <v>37001</v>
      </c>
      <c r="E50" s="500"/>
      <c r="F50" s="489" t="s">
        <v>36936</v>
      </c>
      <c r="G50" s="484"/>
      <c r="H50" s="484"/>
      <c r="I50" s="484"/>
      <c r="J50" s="484"/>
      <c r="K50" s="484"/>
      <c r="L50" s="484"/>
      <c r="M50" s="484"/>
      <c r="N50" s="484"/>
      <c r="O50" s="484"/>
      <c r="P50" s="484"/>
      <c r="Q50" s="484"/>
      <c r="R50" s="484"/>
      <c r="S50" s="484"/>
      <c r="T50" s="484"/>
      <c r="U50" s="484"/>
      <c r="V50" s="484"/>
      <c r="W50" s="484"/>
      <c r="X50" s="484"/>
      <c r="Y50" s="484"/>
      <c r="Z50" s="484"/>
    </row>
    <row r="51">
      <c r="A51" s="499"/>
      <c r="B51" s="497" t="s">
        <v>37002</v>
      </c>
      <c r="C51" s="498" t="s">
        <v>3864</v>
      </c>
      <c r="D51" s="497" t="s">
        <v>36959</v>
      </c>
      <c r="E51" s="500"/>
      <c r="F51" s="489" t="s">
        <v>36936</v>
      </c>
      <c r="G51" s="484"/>
      <c r="H51" s="484"/>
      <c r="I51" s="484"/>
      <c r="J51" s="484"/>
      <c r="K51" s="484"/>
      <c r="L51" s="484"/>
      <c r="M51" s="484"/>
      <c r="N51" s="484"/>
      <c r="O51" s="484"/>
      <c r="P51" s="484"/>
      <c r="Q51" s="484"/>
      <c r="R51" s="484"/>
      <c r="S51" s="484"/>
      <c r="T51" s="484"/>
      <c r="U51" s="484"/>
      <c r="V51" s="484"/>
      <c r="W51" s="484"/>
      <c r="X51" s="484"/>
      <c r="Y51" s="484"/>
      <c r="Z51" s="484"/>
    </row>
    <row r="52">
      <c r="A52" s="499"/>
      <c r="B52" s="497" t="s">
        <v>37003</v>
      </c>
      <c r="C52" s="498" t="s">
        <v>37004</v>
      </c>
      <c r="D52" s="497" t="s">
        <v>37005</v>
      </c>
      <c r="E52" s="500"/>
      <c r="F52" s="489" t="s">
        <v>36936</v>
      </c>
      <c r="G52" s="484"/>
      <c r="H52" s="484"/>
      <c r="I52" s="484"/>
      <c r="J52" s="484"/>
      <c r="K52" s="484"/>
      <c r="L52" s="484"/>
      <c r="M52" s="484"/>
      <c r="N52" s="484"/>
      <c r="O52" s="484"/>
      <c r="P52" s="484"/>
      <c r="Q52" s="484"/>
      <c r="R52" s="484"/>
      <c r="S52" s="484"/>
      <c r="T52" s="484"/>
      <c r="U52" s="484"/>
      <c r="V52" s="484"/>
      <c r="W52" s="484"/>
      <c r="X52" s="484"/>
      <c r="Y52" s="484"/>
      <c r="Z52" s="484"/>
    </row>
    <row r="53">
      <c r="A53" s="499"/>
      <c r="B53" s="497" t="s">
        <v>13943</v>
      </c>
      <c r="C53" s="498" t="s">
        <v>37006</v>
      </c>
      <c r="D53" s="497" t="s">
        <v>37007</v>
      </c>
      <c r="E53" s="500"/>
      <c r="F53" s="489" t="s">
        <v>36936</v>
      </c>
      <c r="G53" s="484"/>
      <c r="H53" s="484"/>
      <c r="I53" s="484"/>
      <c r="J53" s="484"/>
      <c r="K53" s="484"/>
      <c r="L53" s="484"/>
      <c r="M53" s="484"/>
      <c r="N53" s="484"/>
      <c r="O53" s="484"/>
      <c r="P53" s="484"/>
      <c r="Q53" s="484"/>
      <c r="R53" s="484"/>
      <c r="S53" s="484"/>
      <c r="T53" s="484"/>
      <c r="U53" s="484"/>
      <c r="V53" s="484"/>
      <c r="W53" s="484"/>
      <c r="X53" s="484"/>
      <c r="Y53" s="484"/>
      <c r="Z53" s="484"/>
    </row>
    <row r="54">
      <c r="A54" s="499"/>
      <c r="B54" s="497" t="s">
        <v>8576</v>
      </c>
      <c r="C54" s="498" t="s">
        <v>37008</v>
      </c>
      <c r="D54" s="497" t="s">
        <v>37009</v>
      </c>
      <c r="E54" s="500"/>
      <c r="F54" s="489" t="s">
        <v>36936</v>
      </c>
      <c r="G54" s="484"/>
      <c r="H54" s="484"/>
      <c r="I54" s="484"/>
      <c r="J54" s="484"/>
      <c r="K54" s="484"/>
      <c r="L54" s="484"/>
      <c r="M54" s="484"/>
      <c r="N54" s="484"/>
      <c r="O54" s="484"/>
      <c r="P54" s="484"/>
      <c r="Q54" s="484"/>
      <c r="R54" s="484"/>
      <c r="S54" s="484"/>
      <c r="T54" s="484"/>
      <c r="U54" s="484"/>
      <c r="V54" s="484"/>
      <c r="W54" s="484"/>
      <c r="X54" s="484"/>
      <c r="Y54" s="484"/>
      <c r="Z54" s="484"/>
    </row>
    <row r="55">
      <c r="A55" s="499"/>
      <c r="B55" s="497" t="s">
        <v>37010</v>
      </c>
      <c r="C55" s="498" t="s">
        <v>37011</v>
      </c>
      <c r="D55" s="497" t="s">
        <v>1773</v>
      </c>
      <c r="E55" s="500"/>
      <c r="F55" s="489" t="s">
        <v>36936</v>
      </c>
      <c r="G55" s="484"/>
      <c r="H55" s="484"/>
      <c r="I55" s="484"/>
      <c r="J55" s="484"/>
      <c r="K55" s="484"/>
      <c r="L55" s="484"/>
      <c r="M55" s="484"/>
      <c r="N55" s="484"/>
      <c r="O55" s="484"/>
      <c r="P55" s="484"/>
      <c r="Q55" s="484"/>
      <c r="R55" s="484"/>
      <c r="S55" s="484"/>
      <c r="T55" s="484"/>
      <c r="U55" s="484"/>
      <c r="V55" s="484"/>
      <c r="W55" s="484"/>
      <c r="X55" s="484"/>
      <c r="Y55" s="484"/>
      <c r="Z55" s="484"/>
    </row>
    <row r="56">
      <c r="A56" s="499"/>
      <c r="D56" s="497" t="s">
        <v>1773</v>
      </c>
      <c r="E56" s="500"/>
      <c r="F56" s="489" t="s">
        <v>36936</v>
      </c>
      <c r="G56" s="484"/>
      <c r="H56" s="484"/>
      <c r="I56" s="484"/>
      <c r="J56" s="484"/>
      <c r="K56" s="484"/>
      <c r="L56" s="484"/>
      <c r="M56" s="484"/>
      <c r="N56" s="484"/>
      <c r="O56" s="484"/>
      <c r="P56" s="484"/>
      <c r="Q56" s="484"/>
      <c r="R56" s="484"/>
      <c r="S56" s="484"/>
      <c r="T56" s="484"/>
      <c r="U56" s="484"/>
      <c r="V56" s="484"/>
      <c r="W56" s="484"/>
      <c r="X56" s="484"/>
      <c r="Y56" s="484"/>
      <c r="Z56" s="484"/>
    </row>
    <row r="57">
      <c r="A57" s="499"/>
      <c r="B57" s="497" t="s">
        <v>37012</v>
      </c>
      <c r="C57" s="498" t="s">
        <v>37013</v>
      </c>
      <c r="D57" s="500"/>
      <c r="E57" s="500"/>
      <c r="F57" s="489" t="s">
        <v>36936</v>
      </c>
      <c r="G57" s="484"/>
      <c r="H57" s="484"/>
      <c r="I57" s="484"/>
      <c r="J57" s="484"/>
      <c r="K57" s="484"/>
      <c r="L57" s="484"/>
      <c r="M57" s="484"/>
      <c r="N57" s="484"/>
      <c r="O57" s="484"/>
      <c r="P57" s="484"/>
      <c r="Q57" s="484"/>
      <c r="R57" s="484"/>
      <c r="S57" s="484"/>
      <c r="T57" s="484"/>
      <c r="U57" s="484"/>
      <c r="V57" s="484"/>
      <c r="W57" s="484"/>
      <c r="X57" s="484"/>
      <c r="Y57" s="484"/>
      <c r="Z57" s="484"/>
    </row>
    <row r="58">
      <c r="A58" s="499"/>
      <c r="B58" s="497" t="s">
        <v>8871</v>
      </c>
      <c r="C58" s="498" t="s">
        <v>1416</v>
      </c>
      <c r="D58" s="497" t="s">
        <v>36941</v>
      </c>
      <c r="E58" s="503"/>
      <c r="F58" s="489" t="s">
        <v>36936</v>
      </c>
      <c r="G58" s="484"/>
      <c r="H58" s="484"/>
      <c r="I58" s="484"/>
      <c r="J58" s="484"/>
      <c r="K58" s="484"/>
      <c r="L58" s="484"/>
      <c r="M58" s="484"/>
      <c r="N58" s="484"/>
      <c r="O58" s="484"/>
      <c r="P58" s="484"/>
      <c r="Q58" s="484"/>
      <c r="R58" s="484"/>
      <c r="S58" s="484"/>
      <c r="T58" s="484"/>
      <c r="U58" s="484"/>
      <c r="V58" s="484"/>
      <c r="W58" s="484"/>
      <c r="X58" s="484"/>
      <c r="Y58" s="484"/>
      <c r="Z58" s="484"/>
    </row>
    <row r="59">
      <c r="A59" s="501"/>
      <c r="B59" s="497" t="s">
        <v>8889</v>
      </c>
      <c r="C59" s="498" t="s">
        <v>37014</v>
      </c>
      <c r="D59" s="497" t="s">
        <v>37015</v>
      </c>
      <c r="E59" s="503"/>
      <c r="F59" s="489" t="s">
        <v>36936</v>
      </c>
      <c r="G59" s="484"/>
      <c r="H59" s="484"/>
      <c r="I59" s="484"/>
      <c r="J59" s="484"/>
      <c r="K59" s="484"/>
      <c r="L59" s="484"/>
      <c r="M59" s="484"/>
      <c r="N59" s="484"/>
      <c r="O59" s="484"/>
      <c r="P59" s="484"/>
      <c r="Q59" s="484"/>
      <c r="R59" s="484"/>
      <c r="S59" s="484"/>
      <c r="T59" s="484"/>
      <c r="U59" s="484"/>
      <c r="V59" s="484"/>
      <c r="W59" s="484"/>
      <c r="X59" s="484"/>
      <c r="Y59" s="484"/>
      <c r="Z59" s="484"/>
    </row>
    <row r="60">
      <c r="A60" s="499"/>
      <c r="B60" s="497" t="s">
        <v>37016</v>
      </c>
      <c r="C60" s="498" t="s">
        <v>37017</v>
      </c>
      <c r="D60" s="497" t="s">
        <v>37018</v>
      </c>
      <c r="E60" s="503"/>
      <c r="F60" s="489" t="s">
        <v>36936</v>
      </c>
      <c r="G60" s="484"/>
      <c r="H60" s="484"/>
      <c r="I60" s="484"/>
      <c r="J60" s="484"/>
      <c r="K60" s="484"/>
      <c r="L60" s="484"/>
      <c r="M60" s="484"/>
      <c r="N60" s="484"/>
      <c r="O60" s="484"/>
      <c r="P60" s="484"/>
      <c r="Q60" s="484"/>
      <c r="R60" s="484"/>
      <c r="S60" s="484"/>
      <c r="T60" s="484"/>
      <c r="U60" s="484"/>
      <c r="V60" s="484"/>
      <c r="W60" s="484"/>
      <c r="X60" s="484"/>
      <c r="Y60" s="484"/>
      <c r="Z60" s="484"/>
    </row>
    <row r="61">
      <c r="A61" s="499"/>
      <c r="B61" s="497" t="s">
        <v>36719</v>
      </c>
      <c r="C61" s="498" t="s">
        <v>37019</v>
      </c>
      <c r="D61" s="503"/>
      <c r="E61" s="503"/>
      <c r="F61" s="489" t="s">
        <v>36936</v>
      </c>
      <c r="G61" s="484"/>
      <c r="H61" s="484"/>
      <c r="I61" s="484"/>
      <c r="J61" s="484"/>
      <c r="K61" s="484"/>
      <c r="L61" s="484"/>
      <c r="M61" s="484"/>
      <c r="N61" s="484"/>
      <c r="O61" s="484"/>
      <c r="P61" s="484"/>
      <c r="Q61" s="484"/>
      <c r="R61" s="484"/>
      <c r="S61" s="484"/>
      <c r="T61" s="484"/>
      <c r="U61" s="484"/>
      <c r="V61" s="484"/>
      <c r="W61" s="484"/>
      <c r="X61" s="484"/>
      <c r="Y61" s="484"/>
      <c r="Z61" s="484"/>
    </row>
    <row r="62">
      <c r="A62" s="499"/>
      <c r="B62" s="497" t="s">
        <v>37020</v>
      </c>
      <c r="C62" s="498" t="s">
        <v>11479</v>
      </c>
      <c r="D62" s="497" t="s">
        <v>37021</v>
      </c>
      <c r="E62" s="503"/>
      <c r="F62" s="489" t="s">
        <v>36936</v>
      </c>
      <c r="G62" s="484"/>
      <c r="H62" s="484"/>
      <c r="I62" s="484"/>
      <c r="J62" s="484"/>
      <c r="K62" s="484"/>
      <c r="L62" s="484"/>
      <c r="M62" s="484"/>
      <c r="N62" s="484"/>
      <c r="O62" s="484"/>
      <c r="P62" s="484"/>
      <c r="Q62" s="484"/>
      <c r="R62" s="484"/>
      <c r="S62" s="484"/>
      <c r="T62" s="484"/>
      <c r="U62" s="484"/>
      <c r="V62" s="484"/>
      <c r="W62" s="484"/>
      <c r="X62" s="484"/>
      <c r="Y62" s="484"/>
      <c r="Z62" s="484"/>
    </row>
    <row r="63">
      <c r="A63" s="499"/>
      <c r="B63" s="504"/>
      <c r="C63" s="498" t="s">
        <v>1337</v>
      </c>
      <c r="D63" s="497" t="s">
        <v>37022</v>
      </c>
      <c r="E63" s="497" t="s">
        <v>37023</v>
      </c>
      <c r="F63" s="489" t="s">
        <v>36936</v>
      </c>
      <c r="G63" s="484"/>
      <c r="H63" s="484"/>
      <c r="I63" s="484"/>
      <c r="J63" s="484"/>
      <c r="K63" s="484"/>
      <c r="L63" s="484"/>
      <c r="M63" s="484"/>
      <c r="N63" s="484"/>
      <c r="O63" s="484"/>
      <c r="P63" s="484"/>
      <c r="Q63" s="484"/>
      <c r="R63" s="484"/>
      <c r="S63" s="484"/>
      <c r="T63" s="484"/>
      <c r="U63" s="484"/>
      <c r="V63" s="484"/>
      <c r="W63" s="484"/>
      <c r="X63" s="484"/>
      <c r="Y63" s="484"/>
      <c r="Z63" s="484"/>
    </row>
    <row r="64">
      <c r="A64" s="505" t="s">
        <v>37024</v>
      </c>
      <c r="B64" s="506" t="s">
        <v>17556</v>
      </c>
      <c r="C64" s="507" t="s">
        <v>3932</v>
      </c>
      <c r="D64" s="506" t="s">
        <v>36993</v>
      </c>
      <c r="E64" s="506" t="s">
        <v>37025</v>
      </c>
      <c r="F64" s="489" t="s">
        <v>36936</v>
      </c>
      <c r="G64" s="484"/>
      <c r="H64" s="484"/>
      <c r="I64" s="484"/>
      <c r="J64" s="484"/>
      <c r="K64" s="484"/>
      <c r="L64" s="484"/>
      <c r="M64" s="484"/>
      <c r="N64" s="484"/>
      <c r="O64" s="484"/>
      <c r="P64" s="484"/>
      <c r="Q64" s="484"/>
      <c r="R64" s="484"/>
      <c r="S64" s="484"/>
      <c r="T64" s="484"/>
      <c r="U64" s="484"/>
      <c r="V64" s="484"/>
      <c r="W64" s="484"/>
      <c r="X64" s="484"/>
      <c r="Y64" s="484"/>
      <c r="Z64" s="484"/>
    </row>
    <row r="65">
      <c r="A65" s="499"/>
      <c r="B65" s="508" t="s">
        <v>37026</v>
      </c>
      <c r="C65" s="509" t="s">
        <v>400</v>
      </c>
      <c r="D65" s="508"/>
      <c r="E65" s="508"/>
      <c r="F65" s="489"/>
      <c r="G65" s="484"/>
      <c r="H65" s="484"/>
      <c r="I65" s="484"/>
      <c r="J65" s="484"/>
      <c r="K65" s="484"/>
      <c r="L65" s="484"/>
      <c r="M65" s="484"/>
      <c r="N65" s="484"/>
      <c r="O65" s="484"/>
      <c r="P65" s="484"/>
      <c r="Q65" s="484"/>
      <c r="R65" s="484"/>
      <c r="S65" s="484"/>
      <c r="T65" s="484"/>
      <c r="U65" s="484"/>
      <c r="V65" s="484"/>
      <c r="W65" s="484"/>
      <c r="X65" s="484"/>
      <c r="Y65" s="484"/>
      <c r="Z65" s="484"/>
    </row>
    <row r="66">
      <c r="A66" s="499"/>
      <c r="B66" s="508" t="s">
        <v>37027</v>
      </c>
      <c r="C66" s="509" t="s">
        <v>400</v>
      </c>
      <c r="D66" s="508" t="s">
        <v>37028</v>
      </c>
      <c r="E66" s="510"/>
      <c r="F66" s="489" t="s">
        <v>36936</v>
      </c>
      <c r="G66" s="484"/>
      <c r="H66" s="484"/>
      <c r="I66" s="484"/>
      <c r="J66" s="484"/>
      <c r="K66" s="484"/>
      <c r="L66" s="484"/>
      <c r="M66" s="484"/>
      <c r="N66" s="484"/>
      <c r="O66" s="484"/>
      <c r="P66" s="484"/>
      <c r="Q66" s="484"/>
      <c r="R66" s="484"/>
      <c r="S66" s="484"/>
      <c r="T66" s="484"/>
      <c r="U66" s="484"/>
      <c r="V66" s="484"/>
      <c r="W66" s="484"/>
      <c r="X66" s="484"/>
      <c r="Y66" s="484"/>
      <c r="Z66" s="484"/>
    </row>
    <row r="67">
      <c r="A67" s="511" t="s">
        <v>37029</v>
      </c>
      <c r="B67" s="512" t="s">
        <v>37030</v>
      </c>
      <c r="C67" s="513" t="s">
        <v>37031</v>
      </c>
      <c r="D67" s="512" t="s">
        <v>37032</v>
      </c>
      <c r="E67" s="514" t="s">
        <v>37033</v>
      </c>
      <c r="F67" s="489" t="s">
        <v>36936</v>
      </c>
      <c r="G67" s="484"/>
      <c r="H67" s="484"/>
      <c r="I67" s="484"/>
      <c r="J67" s="484"/>
      <c r="K67" s="484"/>
      <c r="L67" s="484"/>
      <c r="M67" s="484"/>
      <c r="N67" s="484"/>
      <c r="O67" s="484"/>
      <c r="P67" s="484"/>
      <c r="Q67" s="484"/>
      <c r="R67" s="484"/>
      <c r="S67" s="484"/>
      <c r="T67" s="484"/>
      <c r="U67" s="484"/>
      <c r="V67" s="484"/>
      <c r="W67" s="484"/>
      <c r="X67" s="484"/>
      <c r="Y67" s="484"/>
      <c r="Z67" s="484"/>
    </row>
    <row r="68">
      <c r="A68" s="499"/>
      <c r="B68" s="515" t="s">
        <v>33826</v>
      </c>
      <c r="C68" s="516" t="s">
        <v>37034</v>
      </c>
      <c r="D68" s="517"/>
      <c r="E68" s="517"/>
      <c r="F68" s="489" t="s">
        <v>36936</v>
      </c>
      <c r="G68" s="484"/>
      <c r="H68" s="484"/>
      <c r="I68" s="484"/>
      <c r="J68" s="484"/>
      <c r="K68" s="484"/>
      <c r="L68" s="484"/>
      <c r="M68" s="484"/>
      <c r="N68" s="484"/>
      <c r="O68" s="484"/>
      <c r="P68" s="484"/>
      <c r="Q68" s="484"/>
      <c r="R68" s="484"/>
      <c r="S68" s="484"/>
      <c r="T68" s="484"/>
      <c r="U68" s="484"/>
      <c r="V68" s="484"/>
      <c r="W68" s="484"/>
      <c r="X68" s="484"/>
      <c r="Y68" s="484"/>
      <c r="Z68" s="484"/>
    </row>
    <row r="69">
      <c r="A69" s="499"/>
      <c r="B69" s="515" t="s">
        <v>37035</v>
      </c>
      <c r="C69" s="516" t="s">
        <v>10116</v>
      </c>
      <c r="D69" s="515" t="s">
        <v>37036</v>
      </c>
      <c r="E69" s="517"/>
      <c r="F69" s="489" t="s">
        <v>36936</v>
      </c>
      <c r="G69" s="484"/>
      <c r="H69" s="484"/>
      <c r="I69" s="484"/>
      <c r="J69" s="484"/>
      <c r="K69" s="484"/>
      <c r="L69" s="484"/>
      <c r="M69" s="484"/>
      <c r="N69" s="484"/>
      <c r="O69" s="484"/>
      <c r="P69" s="484"/>
      <c r="Q69" s="484"/>
      <c r="R69" s="484"/>
      <c r="S69" s="484"/>
      <c r="T69" s="484"/>
      <c r="U69" s="484"/>
      <c r="V69" s="484"/>
      <c r="W69" s="484"/>
      <c r="X69" s="484"/>
      <c r="Y69" s="484"/>
      <c r="Z69" s="484"/>
    </row>
    <row r="70">
      <c r="A70" s="499"/>
      <c r="B70" s="515" t="s">
        <v>37037</v>
      </c>
      <c r="C70" s="516" t="s">
        <v>400</v>
      </c>
      <c r="D70" s="515" t="s">
        <v>36939</v>
      </c>
      <c r="E70" s="517"/>
      <c r="F70" s="489" t="s">
        <v>36936</v>
      </c>
      <c r="G70" s="484"/>
      <c r="H70" s="484"/>
      <c r="I70" s="484"/>
      <c r="J70" s="484"/>
      <c r="K70" s="484"/>
      <c r="L70" s="484"/>
      <c r="M70" s="484"/>
      <c r="N70" s="484"/>
      <c r="O70" s="484"/>
      <c r="P70" s="484"/>
      <c r="Q70" s="484"/>
      <c r="R70" s="484"/>
      <c r="S70" s="484"/>
      <c r="T70" s="484"/>
      <c r="U70" s="484"/>
      <c r="V70" s="484"/>
      <c r="W70" s="484"/>
      <c r="X70" s="484"/>
      <c r="Y70" s="484"/>
      <c r="Z70" s="484"/>
    </row>
    <row r="71">
      <c r="A71" s="499"/>
      <c r="B71" s="515" t="s">
        <v>33897</v>
      </c>
      <c r="C71" s="516" t="s">
        <v>6828</v>
      </c>
      <c r="D71" s="517"/>
      <c r="E71" s="515" t="s">
        <v>37038</v>
      </c>
      <c r="F71" s="489" t="s">
        <v>36936</v>
      </c>
      <c r="G71" s="484"/>
      <c r="H71" s="484"/>
      <c r="I71" s="484"/>
      <c r="J71" s="484"/>
      <c r="K71" s="484"/>
      <c r="L71" s="484"/>
      <c r="M71" s="484"/>
      <c r="N71" s="484"/>
      <c r="O71" s="484"/>
      <c r="P71" s="484"/>
      <c r="Q71" s="484"/>
      <c r="R71" s="484"/>
      <c r="S71" s="484"/>
      <c r="T71" s="484"/>
      <c r="U71" s="484"/>
      <c r="V71" s="484"/>
      <c r="W71" s="484"/>
      <c r="X71" s="484"/>
      <c r="Y71" s="484"/>
      <c r="Z71" s="484"/>
    </row>
    <row r="72">
      <c r="A72" s="496" t="s">
        <v>10481</v>
      </c>
      <c r="B72" s="518" t="s">
        <v>10482</v>
      </c>
      <c r="C72" s="519" t="s">
        <v>400</v>
      </c>
      <c r="D72" s="518" t="s">
        <v>36951</v>
      </c>
      <c r="E72" s="520"/>
      <c r="F72" s="489" t="s">
        <v>36936</v>
      </c>
      <c r="G72" s="484"/>
      <c r="H72" s="484"/>
      <c r="I72" s="484"/>
      <c r="J72" s="484"/>
      <c r="K72" s="484"/>
      <c r="L72" s="484"/>
      <c r="M72" s="484"/>
      <c r="N72" s="484"/>
      <c r="O72" s="484"/>
      <c r="P72" s="484"/>
      <c r="Q72" s="484"/>
      <c r="R72" s="484"/>
      <c r="S72" s="484"/>
      <c r="T72" s="484"/>
      <c r="U72" s="484"/>
      <c r="V72" s="484"/>
      <c r="W72" s="484"/>
      <c r="X72" s="484"/>
      <c r="Y72" s="484"/>
      <c r="Z72" s="484"/>
    </row>
    <row r="73">
      <c r="A73" s="499"/>
      <c r="B73" s="497" t="s">
        <v>10486</v>
      </c>
      <c r="C73" s="498" t="s">
        <v>4724</v>
      </c>
      <c r="D73" s="497" t="s">
        <v>37039</v>
      </c>
      <c r="E73" s="503"/>
      <c r="F73" s="489" t="s">
        <v>36936</v>
      </c>
      <c r="G73" s="484"/>
      <c r="H73" s="484"/>
      <c r="I73" s="484"/>
      <c r="J73" s="484"/>
      <c r="K73" s="484"/>
      <c r="L73" s="484"/>
      <c r="M73" s="484"/>
      <c r="N73" s="484"/>
      <c r="O73" s="484"/>
      <c r="P73" s="484"/>
      <c r="Q73" s="484"/>
      <c r="R73" s="484"/>
      <c r="S73" s="484"/>
      <c r="T73" s="484"/>
      <c r="U73" s="484"/>
      <c r="V73" s="484"/>
      <c r="W73" s="484"/>
      <c r="X73" s="484"/>
      <c r="Y73" s="484"/>
      <c r="Z73" s="484"/>
    </row>
    <row r="74">
      <c r="A74" s="499"/>
      <c r="B74" s="497" t="s">
        <v>10494</v>
      </c>
      <c r="C74" s="498" t="s">
        <v>10116</v>
      </c>
      <c r="D74" s="497" t="s">
        <v>36951</v>
      </c>
      <c r="E74" s="503"/>
      <c r="F74" s="489" t="s">
        <v>36936</v>
      </c>
      <c r="G74" s="484"/>
      <c r="H74" s="484"/>
      <c r="I74" s="484"/>
      <c r="J74" s="484"/>
      <c r="K74" s="484"/>
      <c r="L74" s="484"/>
      <c r="M74" s="484"/>
      <c r="N74" s="484"/>
      <c r="O74" s="484"/>
      <c r="P74" s="484"/>
      <c r="Q74" s="484"/>
      <c r="R74" s="484"/>
      <c r="S74" s="484"/>
      <c r="T74" s="484"/>
      <c r="U74" s="484"/>
      <c r="V74" s="484"/>
      <c r="W74" s="484"/>
      <c r="X74" s="484"/>
      <c r="Y74" s="484"/>
      <c r="Z74" s="484"/>
    </row>
    <row r="75">
      <c r="A75" s="499"/>
      <c r="B75" s="497" t="s">
        <v>10505</v>
      </c>
      <c r="C75" s="498" t="s">
        <v>37040</v>
      </c>
      <c r="D75" s="497" t="s">
        <v>37041</v>
      </c>
      <c r="E75" s="503"/>
      <c r="F75" s="489" t="s">
        <v>36936</v>
      </c>
      <c r="G75" s="484"/>
      <c r="H75" s="484"/>
      <c r="I75" s="484"/>
      <c r="J75" s="484"/>
      <c r="K75" s="484"/>
      <c r="L75" s="484"/>
      <c r="M75" s="484"/>
      <c r="N75" s="484"/>
      <c r="O75" s="484"/>
      <c r="P75" s="484"/>
      <c r="Q75" s="484"/>
      <c r="R75" s="484"/>
      <c r="S75" s="484"/>
      <c r="T75" s="484"/>
      <c r="U75" s="484"/>
      <c r="V75" s="484"/>
      <c r="W75" s="484"/>
      <c r="X75" s="484"/>
      <c r="Y75" s="484"/>
      <c r="Z75" s="484"/>
    </row>
    <row r="76">
      <c r="A76" s="499"/>
      <c r="B76" s="497" t="s">
        <v>10536</v>
      </c>
      <c r="C76" s="498" t="s">
        <v>1337</v>
      </c>
      <c r="D76" s="497" t="s">
        <v>37042</v>
      </c>
      <c r="E76" s="503"/>
      <c r="F76" s="489" t="s">
        <v>36936</v>
      </c>
      <c r="G76" s="484"/>
      <c r="H76" s="484"/>
      <c r="I76" s="484"/>
      <c r="J76" s="484"/>
      <c r="K76" s="484"/>
      <c r="L76" s="484"/>
      <c r="M76" s="484"/>
      <c r="N76" s="484"/>
      <c r="O76" s="484"/>
      <c r="P76" s="484"/>
      <c r="Q76" s="484"/>
      <c r="R76" s="484"/>
      <c r="S76" s="484"/>
      <c r="T76" s="484"/>
      <c r="U76" s="484"/>
      <c r="V76" s="484"/>
      <c r="W76" s="484"/>
      <c r="X76" s="484"/>
      <c r="Y76" s="484"/>
      <c r="Z76" s="484"/>
    </row>
    <row r="77">
      <c r="A77" s="499"/>
      <c r="B77" s="497" t="s">
        <v>10560</v>
      </c>
      <c r="C77" s="498" t="s">
        <v>37043</v>
      </c>
      <c r="D77" s="497" t="s">
        <v>37044</v>
      </c>
      <c r="E77" s="503"/>
      <c r="F77" s="489" t="s">
        <v>36936</v>
      </c>
      <c r="G77" s="484"/>
      <c r="H77" s="484"/>
      <c r="I77" s="484"/>
      <c r="J77" s="484"/>
      <c r="K77" s="484"/>
      <c r="L77" s="484"/>
      <c r="M77" s="484"/>
      <c r="N77" s="484"/>
      <c r="O77" s="484"/>
      <c r="P77" s="484"/>
      <c r="Q77" s="484"/>
      <c r="R77" s="484"/>
      <c r="S77" s="484"/>
      <c r="T77" s="484"/>
      <c r="U77" s="484"/>
      <c r="V77" s="484"/>
      <c r="W77" s="484"/>
      <c r="X77" s="484"/>
      <c r="Y77" s="484"/>
      <c r="Z77" s="484"/>
    </row>
    <row r="78">
      <c r="A78" s="499"/>
      <c r="B78" s="497" t="s">
        <v>3674</v>
      </c>
      <c r="C78" s="498" t="s">
        <v>1337</v>
      </c>
      <c r="D78" s="497" t="s">
        <v>37045</v>
      </c>
      <c r="E78" s="503"/>
      <c r="F78" s="489" t="s">
        <v>36936</v>
      </c>
      <c r="G78" s="484"/>
      <c r="H78" s="484"/>
      <c r="I78" s="484"/>
      <c r="J78" s="484"/>
      <c r="K78" s="484"/>
      <c r="L78" s="484"/>
      <c r="M78" s="484"/>
      <c r="N78" s="484"/>
      <c r="O78" s="484"/>
      <c r="P78" s="484"/>
      <c r="Q78" s="484"/>
      <c r="R78" s="484"/>
      <c r="S78" s="484"/>
      <c r="T78" s="484"/>
      <c r="U78" s="484"/>
      <c r="V78" s="484"/>
      <c r="W78" s="484"/>
      <c r="X78" s="484"/>
      <c r="Y78" s="484"/>
      <c r="Z78" s="484"/>
    </row>
    <row r="79">
      <c r="A79" s="499"/>
      <c r="B79" s="497" t="s">
        <v>37046</v>
      </c>
      <c r="C79" s="498" t="s">
        <v>30747</v>
      </c>
      <c r="D79" s="497" t="s">
        <v>36951</v>
      </c>
      <c r="E79" s="503"/>
      <c r="F79" s="489" t="s">
        <v>36936</v>
      </c>
      <c r="G79" s="484"/>
      <c r="H79" s="484"/>
      <c r="I79" s="484"/>
      <c r="J79" s="484"/>
      <c r="K79" s="484"/>
      <c r="L79" s="484"/>
      <c r="M79" s="484"/>
      <c r="N79" s="484"/>
      <c r="O79" s="484"/>
      <c r="P79" s="484"/>
      <c r="Q79" s="484"/>
      <c r="R79" s="484"/>
      <c r="S79" s="484"/>
      <c r="T79" s="484"/>
      <c r="U79" s="484"/>
      <c r="V79" s="484"/>
      <c r="W79" s="484"/>
      <c r="X79" s="484"/>
      <c r="Y79" s="484"/>
      <c r="Z79" s="484"/>
    </row>
    <row r="80">
      <c r="A80" s="499"/>
      <c r="F80" s="489" t="s">
        <v>36936</v>
      </c>
      <c r="G80" s="484"/>
      <c r="H80" s="484"/>
      <c r="I80" s="484"/>
      <c r="J80" s="484"/>
      <c r="K80" s="484"/>
      <c r="L80" s="484"/>
      <c r="M80" s="484"/>
      <c r="N80" s="484"/>
      <c r="O80" s="484"/>
      <c r="P80" s="484"/>
      <c r="Q80" s="484"/>
      <c r="R80" s="484"/>
      <c r="S80" s="484"/>
      <c r="T80" s="484"/>
      <c r="U80" s="484"/>
      <c r="V80" s="484"/>
      <c r="W80" s="484"/>
      <c r="X80" s="484"/>
      <c r="Y80" s="484"/>
      <c r="Z80" s="484"/>
    </row>
    <row r="81">
      <c r="A81" s="499"/>
      <c r="B81" s="497" t="s">
        <v>37047</v>
      </c>
      <c r="C81" s="498" t="s">
        <v>748</v>
      </c>
      <c r="D81" s="497" t="s">
        <v>36993</v>
      </c>
      <c r="E81" s="503"/>
      <c r="F81" s="489" t="s">
        <v>36936</v>
      </c>
      <c r="G81" s="484"/>
      <c r="H81" s="484"/>
      <c r="I81" s="484"/>
      <c r="J81" s="484"/>
      <c r="K81" s="484"/>
      <c r="L81" s="484"/>
      <c r="M81" s="484"/>
      <c r="N81" s="484"/>
      <c r="O81" s="484"/>
      <c r="P81" s="484"/>
      <c r="Q81" s="484"/>
      <c r="R81" s="484"/>
      <c r="S81" s="484"/>
      <c r="T81" s="484"/>
      <c r="U81" s="484"/>
      <c r="V81" s="484"/>
      <c r="W81" s="484"/>
      <c r="X81" s="484"/>
      <c r="Y81" s="484"/>
      <c r="Z81" s="484"/>
    </row>
    <row r="82">
      <c r="A82" s="499"/>
      <c r="B82" s="497" t="s">
        <v>37048</v>
      </c>
      <c r="C82" s="498" t="s">
        <v>37049</v>
      </c>
      <c r="D82" s="497" t="s">
        <v>36959</v>
      </c>
      <c r="E82" s="503"/>
      <c r="F82" s="489" t="s">
        <v>36936</v>
      </c>
      <c r="G82" s="484"/>
      <c r="H82" s="484"/>
      <c r="I82" s="484"/>
      <c r="J82" s="484"/>
      <c r="K82" s="484"/>
      <c r="L82" s="484"/>
      <c r="M82" s="484"/>
      <c r="N82" s="484"/>
      <c r="O82" s="484"/>
      <c r="P82" s="484"/>
      <c r="Q82" s="484"/>
      <c r="R82" s="484"/>
      <c r="S82" s="484"/>
      <c r="T82" s="484"/>
      <c r="U82" s="484"/>
      <c r="V82" s="484"/>
      <c r="W82" s="484"/>
      <c r="X82" s="484"/>
      <c r="Y82" s="484"/>
      <c r="Z82" s="484"/>
    </row>
    <row r="83">
      <c r="A83" s="499"/>
      <c r="D83" s="497" t="s">
        <v>36939</v>
      </c>
      <c r="E83" s="503"/>
      <c r="F83" s="489" t="s">
        <v>36936</v>
      </c>
      <c r="G83" s="484"/>
      <c r="H83" s="484"/>
      <c r="I83" s="484"/>
      <c r="J83" s="484"/>
      <c r="K83" s="484"/>
      <c r="L83" s="484"/>
      <c r="M83" s="484"/>
      <c r="N83" s="484"/>
      <c r="O83" s="484"/>
      <c r="P83" s="484"/>
      <c r="Q83" s="484"/>
      <c r="R83" s="484"/>
      <c r="S83" s="484"/>
      <c r="T83" s="484"/>
      <c r="U83" s="484"/>
      <c r="V83" s="484"/>
      <c r="W83" s="484"/>
      <c r="X83" s="484"/>
      <c r="Y83" s="484"/>
      <c r="Z83" s="484"/>
    </row>
    <row r="84">
      <c r="A84" s="499"/>
      <c r="B84" s="497" t="s">
        <v>10614</v>
      </c>
      <c r="C84" s="498" t="s">
        <v>400</v>
      </c>
      <c r="D84" s="503"/>
      <c r="E84" s="503"/>
      <c r="F84" s="489" t="s">
        <v>36936</v>
      </c>
      <c r="G84" s="484"/>
      <c r="H84" s="484"/>
      <c r="I84" s="484"/>
      <c r="J84" s="484"/>
      <c r="K84" s="484"/>
      <c r="L84" s="484"/>
      <c r="M84" s="484"/>
      <c r="N84" s="484"/>
      <c r="O84" s="484"/>
      <c r="P84" s="484"/>
      <c r="Q84" s="484"/>
      <c r="R84" s="484"/>
      <c r="S84" s="484"/>
      <c r="T84" s="484"/>
      <c r="U84" s="484"/>
      <c r="V84" s="484"/>
      <c r="W84" s="484"/>
      <c r="X84" s="484"/>
      <c r="Y84" s="484"/>
      <c r="Z84" s="484"/>
    </row>
    <row r="85">
      <c r="A85" s="499"/>
      <c r="B85" s="497" t="s">
        <v>10618</v>
      </c>
      <c r="C85" s="498" t="s">
        <v>6828</v>
      </c>
      <c r="D85" s="497" t="s">
        <v>36939</v>
      </c>
      <c r="E85" s="503"/>
      <c r="F85" s="489" t="s">
        <v>36936</v>
      </c>
      <c r="G85" s="484"/>
      <c r="H85" s="484"/>
      <c r="I85" s="484"/>
      <c r="J85" s="484"/>
      <c r="K85" s="484"/>
      <c r="L85" s="484"/>
      <c r="M85" s="484"/>
      <c r="N85" s="484"/>
      <c r="O85" s="484"/>
      <c r="P85" s="484"/>
      <c r="Q85" s="484"/>
      <c r="R85" s="484"/>
      <c r="S85" s="484"/>
      <c r="T85" s="484"/>
      <c r="U85" s="484"/>
      <c r="V85" s="484"/>
      <c r="W85" s="484"/>
      <c r="X85" s="484"/>
      <c r="Y85" s="484"/>
      <c r="Z85" s="484"/>
    </row>
    <row r="86">
      <c r="A86" s="499"/>
      <c r="B86" s="497" t="s">
        <v>14060</v>
      </c>
      <c r="C86" s="498" t="s">
        <v>400</v>
      </c>
      <c r="D86" s="497" t="s">
        <v>37050</v>
      </c>
      <c r="E86" s="503"/>
      <c r="F86" s="489" t="s">
        <v>36936</v>
      </c>
      <c r="G86" s="484"/>
      <c r="H86" s="484"/>
      <c r="I86" s="484"/>
      <c r="J86" s="484"/>
      <c r="K86" s="484"/>
      <c r="L86" s="484"/>
      <c r="M86" s="484"/>
      <c r="N86" s="484"/>
      <c r="O86" s="484"/>
      <c r="P86" s="484"/>
      <c r="Q86" s="484"/>
      <c r="R86" s="484"/>
      <c r="S86" s="484"/>
      <c r="T86" s="484"/>
      <c r="U86" s="484"/>
      <c r="V86" s="484"/>
      <c r="W86" s="484"/>
      <c r="X86" s="484"/>
      <c r="Y86" s="484"/>
      <c r="Z86" s="484"/>
    </row>
    <row r="87">
      <c r="A87" s="505" t="s">
        <v>37051</v>
      </c>
      <c r="B87" s="506" t="s">
        <v>37052</v>
      </c>
      <c r="C87" s="507" t="s">
        <v>400</v>
      </c>
      <c r="D87" s="506" t="s">
        <v>36939</v>
      </c>
      <c r="E87" s="506" t="s">
        <v>37053</v>
      </c>
      <c r="F87" s="489" t="s">
        <v>36936</v>
      </c>
      <c r="G87" s="484"/>
      <c r="H87" s="484"/>
      <c r="I87" s="484"/>
      <c r="J87" s="484"/>
      <c r="K87" s="484"/>
      <c r="L87" s="484"/>
      <c r="M87" s="484"/>
      <c r="N87" s="484"/>
      <c r="O87" s="484"/>
      <c r="P87" s="484"/>
      <c r="Q87" s="484"/>
      <c r="R87" s="484"/>
      <c r="S87" s="484"/>
      <c r="T87" s="484"/>
      <c r="U87" s="484"/>
      <c r="V87" s="484"/>
      <c r="W87" s="484"/>
      <c r="X87" s="484"/>
      <c r="Y87" s="484"/>
      <c r="Z87" s="484"/>
    </row>
    <row r="88">
      <c r="A88" s="499"/>
      <c r="B88" s="508" t="s">
        <v>12362</v>
      </c>
      <c r="C88" s="509" t="s">
        <v>37054</v>
      </c>
      <c r="D88" s="510"/>
      <c r="E88" s="508" t="s">
        <v>37055</v>
      </c>
      <c r="F88" s="489" t="s">
        <v>36936</v>
      </c>
      <c r="G88" s="484"/>
      <c r="H88" s="484"/>
      <c r="I88" s="484"/>
      <c r="J88" s="484"/>
      <c r="K88" s="484"/>
      <c r="L88" s="484"/>
      <c r="M88" s="484"/>
      <c r="N88" s="484"/>
      <c r="O88" s="484"/>
      <c r="P88" s="484"/>
      <c r="Q88" s="484"/>
      <c r="R88" s="484"/>
      <c r="S88" s="484"/>
      <c r="T88" s="484"/>
      <c r="U88" s="484"/>
      <c r="V88" s="484"/>
      <c r="W88" s="484"/>
      <c r="X88" s="484"/>
      <c r="Y88" s="484"/>
      <c r="Z88" s="484"/>
    </row>
    <row r="89">
      <c r="A89" s="511" t="s">
        <v>37056</v>
      </c>
      <c r="B89" s="512" t="s">
        <v>37057</v>
      </c>
      <c r="C89" s="513" t="s">
        <v>400</v>
      </c>
      <c r="D89" s="512" t="s">
        <v>37058</v>
      </c>
      <c r="E89" s="512" t="s">
        <v>37059</v>
      </c>
      <c r="F89" s="489" t="s">
        <v>36936</v>
      </c>
      <c r="G89" s="484"/>
      <c r="H89" s="484"/>
      <c r="I89" s="484"/>
      <c r="J89" s="484"/>
      <c r="K89" s="484"/>
      <c r="L89" s="484"/>
      <c r="M89" s="484"/>
      <c r="N89" s="484"/>
      <c r="O89" s="484"/>
      <c r="P89" s="484"/>
      <c r="Q89" s="484"/>
      <c r="R89" s="484"/>
      <c r="S89" s="484"/>
      <c r="T89" s="484"/>
      <c r="U89" s="484"/>
      <c r="V89" s="484"/>
      <c r="W89" s="484"/>
      <c r="X89" s="484"/>
      <c r="Y89" s="484"/>
      <c r="Z89" s="484"/>
    </row>
    <row r="90">
      <c r="A90" s="499"/>
      <c r="B90" s="515" t="s">
        <v>37060</v>
      </c>
      <c r="C90" s="516" t="s">
        <v>814</v>
      </c>
      <c r="D90" s="515" t="s">
        <v>36951</v>
      </c>
      <c r="E90" s="521"/>
      <c r="F90" s="489" t="s">
        <v>36936</v>
      </c>
      <c r="G90" s="484"/>
      <c r="H90" s="484"/>
      <c r="I90" s="484"/>
      <c r="J90" s="484"/>
      <c r="K90" s="484"/>
      <c r="L90" s="484"/>
      <c r="M90" s="484"/>
      <c r="N90" s="484"/>
      <c r="O90" s="484"/>
      <c r="P90" s="484"/>
      <c r="Q90" s="484"/>
      <c r="R90" s="484"/>
      <c r="S90" s="484"/>
      <c r="T90" s="484"/>
      <c r="U90" s="484"/>
      <c r="V90" s="484"/>
      <c r="W90" s="484"/>
      <c r="X90" s="484"/>
      <c r="Y90" s="484"/>
      <c r="Z90" s="484"/>
    </row>
    <row r="91">
      <c r="A91" s="499"/>
      <c r="B91" s="515" t="s">
        <v>37061</v>
      </c>
      <c r="C91" s="516" t="s">
        <v>37062</v>
      </c>
      <c r="D91" s="515" t="s">
        <v>37063</v>
      </c>
      <c r="E91" s="521"/>
      <c r="F91" s="489" t="s">
        <v>36936</v>
      </c>
      <c r="G91" s="484"/>
      <c r="H91" s="484"/>
      <c r="I91" s="484"/>
      <c r="J91" s="484"/>
      <c r="K91" s="484"/>
      <c r="L91" s="484"/>
      <c r="M91" s="484"/>
      <c r="N91" s="484"/>
      <c r="O91" s="484"/>
      <c r="P91" s="484"/>
      <c r="Q91" s="484"/>
      <c r="R91" s="484"/>
      <c r="S91" s="484"/>
      <c r="T91" s="484"/>
      <c r="U91" s="484"/>
      <c r="V91" s="484"/>
      <c r="W91" s="484"/>
      <c r="X91" s="484"/>
      <c r="Y91" s="484"/>
      <c r="Z91" s="484"/>
    </row>
    <row r="92">
      <c r="A92" s="499"/>
      <c r="B92" s="515" t="s">
        <v>37064</v>
      </c>
      <c r="C92" s="521"/>
      <c r="D92" s="517"/>
      <c r="E92" s="515" t="s">
        <v>37065</v>
      </c>
      <c r="F92" s="489" t="s">
        <v>36936</v>
      </c>
      <c r="G92" s="484"/>
      <c r="H92" s="484"/>
      <c r="I92" s="484"/>
      <c r="J92" s="484"/>
      <c r="K92" s="484"/>
      <c r="L92" s="484"/>
      <c r="M92" s="484"/>
      <c r="N92" s="484"/>
      <c r="O92" s="484"/>
      <c r="P92" s="484"/>
      <c r="Q92" s="484"/>
      <c r="R92" s="484"/>
      <c r="S92" s="484"/>
      <c r="T92" s="484"/>
      <c r="U92" s="484"/>
      <c r="V92" s="484"/>
      <c r="W92" s="484"/>
      <c r="X92" s="484"/>
      <c r="Y92" s="484"/>
      <c r="Z92" s="484"/>
    </row>
    <row r="93">
      <c r="A93" s="499"/>
      <c r="B93" s="515" t="s">
        <v>32969</v>
      </c>
      <c r="C93" s="516" t="s">
        <v>400</v>
      </c>
      <c r="D93" s="515" t="s">
        <v>36993</v>
      </c>
      <c r="E93" s="515" t="s">
        <v>37066</v>
      </c>
      <c r="F93" s="489" t="s">
        <v>36936</v>
      </c>
      <c r="G93" s="484"/>
      <c r="H93" s="484"/>
      <c r="I93" s="484"/>
      <c r="J93" s="484"/>
      <c r="K93" s="484"/>
      <c r="L93" s="484"/>
      <c r="M93" s="484"/>
      <c r="N93" s="484"/>
      <c r="O93" s="484"/>
      <c r="P93" s="484"/>
      <c r="Q93" s="484"/>
      <c r="R93" s="484"/>
      <c r="S93" s="484"/>
      <c r="T93" s="484"/>
      <c r="U93" s="484"/>
      <c r="V93" s="484"/>
      <c r="W93" s="484"/>
      <c r="X93" s="484"/>
      <c r="Y93" s="484"/>
      <c r="Z93" s="484"/>
    </row>
    <row r="94">
      <c r="A94" s="499"/>
      <c r="B94" s="515" t="s">
        <v>37067</v>
      </c>
      <c r="C94" s="521"/>
      <c r="D94" s="517"/>
      <c r="E94" s="521"/>
      <c r="F94" s="489" t="s">
        <v>36936</v>
      </c>
      <c r="G94" s="484"/>
      <c r="H94" s="484"/>
      <c r="I94" s="484"/>
      <c r="J94" s="484"/>
      <c r="K94" s="484"/>
      <c r="L94" s="484"/>
      <c r="M94" s="484"/>
      <c r="N94" s="484"/>
      <c r="O94" s="484"/>
      <c r="P94" s="484"/>
      <c r="Q94" s="484"/>
      <c r="R94" s="484"/>
      <c r="S94" s="484"/>
      <c r="T94" s="484"/>
      <c r="U94" s="484"/>
      <c r="V94" s="484"/>
      <c r="W94" s="484"/>
      <c r="X94" s="484"/>
      <c r="Y94" s="484"/>
      <c r="Z94" s="484"/>
    </row>
    <row r="95">
      <c r="A95" s="499"/>
      <c r="B95" s="515" t="s">
        <v>33126</v>
      </c>
      <c r="C95" s="516" t="s">
        <v>400</v>
      </c>
      <c r="D95" s="515" t="s">
        <v>37068</v>
      </c>
      <c r="E95" s="521"/>
      <c r="F95" s="489" t="s">
        <v>36936</v>
      </c>
      <c r="G95" s="484"/>
      <c r="H95" s="484"/>
      <c r="I95" s="484"/>
      <c r="J95" s="484"/>
      <c r="K95" s="484"/>
      <c r="L95" s="484"/>
      <c r="M95" s="484"/>
      <c r="N95" s="484"/>
      <c r="O95" s="484"/>
      <c r="P95" s="484"/>
      <c r="Q95" s="484"/>
      <c r="R95" s="484"/>
      <c r="S95" s="484"/>
      <c r="T95" s="484"/>
      <c r="U95" s="484"/>
      <c r="V95" s="484"/>
      <c r="W95" s="484"/>
      <c r="X95" s="484"/>
      <c r="Y95" s="484"/>
      <c r="Z95" s="484"/>
    </row>
    <row r="96">
      <c r="A96" s="496" t="s">
        <v>37069</v>
      </c>
      <c r="B96" s="518" t="s">
        <v>37070</v>
      </c>
      <c r="C96" s="519" t="s">
        <v>2698</v>
      </c>
      <c r="D96" s="518" t="s">
        <v>37015</v>
      </c>
      <c r="E96" s="520"/>
      <c r="F96" s="489" t="s">
        <v>36936</v>
      </c>
      <c r="G96" s="484"/>
      <c r="H96" s="484"/>
      <c r="I96" s="484"/>
      <c r="J96" s="484"/>
      <c r="K96" s="484"/>
      <c r="L96" s="484"/>
      <c r="M96" s="484"/>
      <c r="N96" s="484"/>
      <c r="O96" s="484"/>
      <c r="P96" s="484"/>
      <c r="Q96" s="484"/>
      <c r="R96" s="484"/>
      <c r="S96" s="484"/>
      <c r="T96" s="484"/>
      <c r="U96" s="484"/>
      <c r="V96" s="484"/>
      <c r="W96" s="484"/>
      <c r="X96" s="484"/>
      <c r="Y96" s="484"/>
      <c r="Z96" s="484"/>
    </row>
    <row r="97">
      <c r="A97" s="499"/>
      <c r="B97" s="497" t="s">
        <v>37071</v>
      </c>
      <c r="C97" s="498" t="s">
        <v>37072</v>
      </c>
      <c r="D97" s="497" t="s">
        <v>37073</v>
      </c>
      <c r="E97" s="497" t="s">
        <v>37074</v>
      </c>
      <c r="F97" s="489" t="s">
        <v>36936</v>
      </c>
      <c r="G97" s="484"/>
      <c r="H97" s="484"/>
      <c r="I97" s="484"/>
      <c r="J97" s="484"/>
      <c r="K97" s="484"/>
      <c r="L97" s="484"/>
      <c r="M97" s="484"/>
      <c r="N97" s="484"/>
      <c r="O97" s="484"/>
      <c r="P97" s="484"/>
      <c r="Q97" s="484"/>
      <c r="R97" s="484"/>
      <c r="S97" s="484"/>
      <c r="T97" s="484"/>
      <c r="U97" s="484"/>
      <c r="V97" s="484"/>
      <c r="W97" s="484"/>
      <c r="X97" s="484"/>
      <c r="Y97" s="484"/>
      <c r="Z97" s="484"/>
    </row>
    <row r="98">
      <c r="A98" s="499"/>
      <c r="B98" s="497" t="s">
        <v>37075</v>
      </c>
      <c r="C98" s="498" t="s">
        <v>400</v>
      </c>
      <c r="D98" s="497" t="s">
        <v>36993</v>
      </c>
      <c r="E98" s="503"/>
      <c r="F98" s="489" t="s">
        <v>36936</v>
      </c>
      <c r="G98" s="484"/>
      <c r="H98" s="484"/>
      <c r="I98" s="484"/>
      <c r="J98" s="484"/>
      <c r="K98" s="484"/>
      <c r="L98" s="484"/>
      <c r="M98" s="484"/>
      <c r="N98" s="484"/>
      <c r="O98" s="484"/>
      <c r="P98" s="484"/>
      <c r="Q98" s="484"/>
      <c r="R98" s="484"/>
      <c r="S98" s="484"/>
      <c r="T98" s="484"/>
      <c r="U98" s="484"/>
      <c r="V98" s="484"/>
      <c r="W98" s="484"/>
      <c r="X98" s="484"/>
      <c r="Y98" s="484"/>
      <c r="Z98" s="484"/>
    </row>
    <row r="99">
      <c r="A99" s="499"/>
      <c r="B99" s="497" t="s">
        <v>37076</v>
      </c>
      <c r="C99" s="498" t="s">
        <v>3414</v>
      </c>
      <c r="D99" s="497" t="s">
        <v>36959</v>
      </c>
      <c r="E99" s="503"/>
      <c r="F99" s="489" t="s">
        <v>36936</v>
      </c>
      <c r="G99" s="484"/>
      <c r="H99" s="484"/>
      <c r="I99" s="484"/>
      <c r="J99" s="484"/>
      <c r="K99" s="484"/>
      <c r="L99" s="484"/>
      <c r="M99" s="484"/>
      <c r="N99" s="484"/>
      <c r="O99" s="484"/>
      <c r="P99" s="484"/>
      <c r="Q99" s="484"/>
      <c r="R99" s="484"/>
      <c r="S99" s="484"/>
      <c r="T99" s="484"/>
      <c r="U99" s="484"/>
      <c r="V99" s="484"/>
      <c r="W99" s="484"/>
      <c r="X99" s="484"/>
      <c r="Y99" s="484"/>
      <c r="Z99" s="484"/>
    </row>
    <row r="100">
      <c r="A100" s="499"/>
      <c r="B100" s="497" t="s">
        <v>30261</v>
      </c>
      <c r="C100" s="498" t="s">
        <v>37077</v>
      </c>
      <c r="D100" s="497" t="s">
        <v>37078</v>
      </c>
      <c r="E100" s="503"/>
      <c r="F100" s="489" t="s">
        <v>36936</v>
      </c>
      <c r="G100" s="484"/>
      <c r="H100" s="484"/>
      <c r="I100" s="484"/>
      <c r="J100" s="484"/>
      <c r="K100" s="484"/>
      <c r="L100" s="484"/>
      <c r="M100" s="484"/>
      <c r="N100" s="484"/>
      <c r="O100" s="484"/>
      <c r="P100" s="484"/>
      <c r="Q100" s="484"/>
      <c r="R100" s="484"/>
      <c r="S100" s="484"/>
      <c r="T100" s="484"/>
      <c r="U100" s="484"/>
      <c r="V100" s="484"/>
      <c r="W100" s="484"/>
      <c r="X100" s="484"/>
      <c r="Y100" s="484"/>
      <c r="Z100" s="484"/>
    </row>
    <row r="101">
      <c r="A101" s="499"/>
      <c r="B101" s="497" t="s">
        <v>37079</v>
      </c>
      <c r="C101" s="498" t="s">
        <v>10116</v>
      </c>
      <c r="D101" s="497" t="s">
        <v>36993</v>
      </c>
      <c r="E101" s="503"/>
      <c r="F101" s="489" t="s">
        <v>36936</v>
      </c>
      <c r="G101" s="484"/>
      <c r="H101" s="484"/>
      <c r="I101" s="484"/>
      <c r="J101" s="484"/>
      <c r="K101" s="484"/>
      <c r="L101" s="484"/>
      <c r="M101" s="484"/>
      <c r="N101" s="484"/>
      <c r="O101" s="484"/>
      <c r="P101" s="484"/>
      <c r="Q101" s="484"/>
      <c r="R101" s="484"/>
      <c r="S101" s="484"/>
      <c r="T101" s="484"/>
      <c r="U101" s="484"/>
      <c r="V101" s="484"/>
      <c r="W101" s="484"/>
      <c r="X101" s="484"/>
      <c r="Y101" s="484"/>
      <c r="Z101" s="484"/>
    </row>
    <row r="102">
      <c r="A102" s="499"/>
      <c r="B102" s="497" t="s">
        <v>30333</v>
      </c>
      <c r="C102" s="498" t="s">
        <v>37080</v>
      </c>
      <c r="D102" s="497" t="s">
        <v>37081</v>
      </c>
      <c r="E102" s="503"/>
      <c r="F102" s="489" t="s">
        <v>36936</v>
      </c>
      <c r="G102" s="484"/>
      <c r="H102" s="484"/>
      <c r="I102" s="484"/>
      <c r="J102" s="484"/>
      <c r="K102" s="484"/>
      <c r="L102" s="484"/>
      <c r="M102" s="484"/>
      <c r="N102" s="484"/>
      <c r="O102" s="484"/>
      <c r="P102" s="484"/>
      <c r="Q102" s="484"/>
      <c r="R102" s="484"/>
      <c r="S102" s="484"/>
      <c r="T102" s="484"/>
      <c r="U102" s="484"/>
      <c r="V102" s="484"/>
      <c r="W102" s="484"/>
      <c r="X102" s="484"/>
      <c r="Y102" s="484"/>
      <c r="Z102" s="484"/>
    </row>
    <row r="103">
      <c r="A103" s="499"/>
      <c r="B103" s="497" t="s">
        <v>37082</v>
      </c>
      <c r="C103" s="498" t="s">
        <v>28268</v>
      </c>
      <c r="D103" s="497" t="s">
        <v>36959</v>
      </c>
      <c r="E103" s="503"/>
      <c r="F103" s="489"/>
      <c r="G103" s="484"/>
      <c r="H103" s="484"/>
      <c r="I103" s="484"/>
      <c r="J103" s="484"/>
      <c r="K103" s="484"/>
      <c r="L103" s="484"/>
      <c r="M103" s="484"/>
      <c r="N103" s="484"/>
      <c r="O103" s="484"/>
      <c r="P103" s="484"/>
      <c r="Q103" s="484"/>
      <c r="R103" s="484"/>
      <c r="S103" s="484"/>
      <c r="T103" s="484"/>
      <c r="U103" s="484"/>
      <c r="V103" s="484"/>
      <c r="W103" s="484"/>
      <c r="X103" s="484"/>
      <c r="Y103" s="484"/>
      <c r="Z103" s="484"/>
    </row>
    <row r="104">
      <c r="A104" s="499"/>
      <c r="B104" s="497" t="s">
        <v>37083</v>
      </c>
      <c r="C104" s="498" t="s">
        <v>400</v>
      </c>
      <c r="D104" s="497" t="s">
        <v>36951</v>
      </c>
      <c r="E104" s="503"/>
      <c r="F104" s="489" t="s">
        <v>36936</v>
      </c>
      <c r="G104" s="484"/>
      <c r="H104" s="484"/>
      <c r="I104" s="484"/>
      <c r="J104" s="484"/>
      <c r="K104" s="484"/>
      <c r="L104" s="484"/>
      <c r="M104" s="484"/>
      <c r="N104" s="484"/>
      <c r="O104" s="484"/>
      <c r="P104" s="484"/>
      <c r="Q104" s="484"/>
      <c r="R104" s="484"/>
      <c r="S104" s="484"/>
      <c r="T104" s="484"/>
      <c r="U104" s="484"/>
      <c r="V104" s="484"/>
      <c r="W104" s="484"/>
      <c r="X104" s="484"/>
      <c r="Y104" s="484"/>
      <c r="Z104" s="484"/>
    </row>
    <row r="105">
      <c r="A105" s="499"/>
      <c r="B105" s="497" t="s">
        <v>30377</v>
      </c>
      <c r="C105" s="498" t="s">
        <v>37084</v>
      </c>
      <c r="D105" s="497" t="s">
        <v>37085</v>
      </c>
      <c r="E105" s="503"/>
      <c r="F105" s="489" t="s">
        <v>36936</v>
      </c>
      <c r="G105" s="484"/>
      <c r="H105" s="484"/>
      <c r="I105" s="484"/>
      <c r="J105" s="484"/>
      <c r="K105" s="484"/>
      <c r="L105" s="484"/>
      <c r="M105" s="484"/>
      <c r="N105" s="484"/>
      <c r="O105" s="484"/>
      <c r="P105" s="484"/>
      <c r="Q105" s="484"/>
      <c r="R105" s="484"/>
      <c r="S105" s="484"/>
      <c r="T105" s="484"/>
      <c r="U105" s="484"/>
      <c r="V105" s="484"/>
      <c r="W105" s="484"/>
      <c r="X105" s="484"/>
      <c r="Y105" s="484"/>
      <c r="Z105" s="484"/>
    </row>
    <row r="106">
      <c r="A106" s="499"/>
      <c r="B106" s="497" t="s">
        <v>37086</v>
      </c>
      <c r="C106" s="498" t="s">
        <v>13861</v>
      </c>
      <c r="D106" s="497" t="s">
        <v>36939</v>
      </c>
      <c r="E106" s="503"/>
      <c r="F106" s="489" t="s">
        <v>36936</v>
      </c>
      <c r="G106" s="484"/>
      <c r="H106" s="484"/>
      <c r="I106" s="484"/>
      <c r="J106" s="484"/>
      <c r="K106" s="484"/>
      <c r="L106" s="484"/>
      <c r="M106" s="484"/>
      <c r="N106" s="484"/>
      <c r="O106" s="484"/>
      <c r="P106" s="484"/>
      <c r="Q106" s="484"/>
      <c r="R106" s="484"/>
      <c r="S106" s="484"/>
      <c r="T106" s="484"/>
      <c r="U106" s="484"/>
      <c r="V106" s="484"/>
      <c r="W106" s="484"/>
      <c r="X106" s="484"/>
      <c r="Y106" s="484"/>
      <c r="Z106" s="484"/>
    </row>
    <row r="107">
      <c r="A107" s="499"/>
      <c r="B107" s="497" t="s">
        <v>37087</v>
      </c>
      <c r="C107" s="498" t="s">
        <v>4724</v>
      </c>
      <c r="D107" s="497" t="s">
        <v>36951</v>
      </c>
      <c r="E107" s="497" t="s">
        <v>37088</v>
      </c>
      <c r="F107" s="489" t="s">
        <v>36936</v>
      </c>
      <c r="G107" s="484"/>
      <c r="H107" s="484"/>
      <c r="I107" s="484"/>
      <c r="J107" s="484"/>
      <c r="K107" s="484"/>
      <c r="L107" s="484"/>
      <c r="M107" s="484"/>
      <c r="N107" s="484"/>
      <c r="O107" s="484"/>
      <c r="P107" s="484"/>
      <c r="Q107" s="484"/>
      <c r="R107" s="484"/>
      <c r="S107" s="484"/>
      <c r="T107" s="484"/>
      <c r="U107" s="484"/>
      <c r="V107" s="484"/>
      <c r="W107" s="484"/>
      <c r="X107" s="484"/>
      <c r="Y107" s="484"/>
      <c r="Z107" s="484"/>
    </row>
    <row r="108">
      <c r="A108" s="499"/>
      <c r="B108" s="497" t="s">
        <v>30434</v>
      </c>
      <c r="C108" s="498" t="s">
        <v>814</v>
      </c>
      <c r="D108" s="497" t="s">
        <v>36951</v>
      </c>
      <c r="E108" s="497" t="s">
        <v>37089</v>
      </c>
      <c r="F108" s="489" t="s">
        <v>36936</v>
      </c>
      <c r="G108" s="484"/>
      <c r="H108" s="484"/>
      <c r="I108" s="484"/>
      <c r="J108" s="484"/>
      <c r="K108" s="484"/>
      <c r="L108" s="484"/>
      <c r="M108" s="484"/>
      <c r="N108" s="484"/>
      <c r="O108" s="484"/>
      <c r="P108" s="484"/>
      <c r="Q108" s="484"/>
      <c r="R108" s="484"/>
      <c r="S108" s="484"/>
      <c r="T108" s="484"/>
      <c r="U108" s="484"/>
      <c r="V108" s="484"/>
      <c r="W108" s="484"/>
      <c r="X108" s="484"/>
      <c r="Y108" s="484"/>
      <c r="Z108" s="484"/>
    </row>
    <row r="109">
      <c r="A109" s="499"/>
      <c r="B109" s="497" t="s">
        <v>37090</v>
      </c>
      <c r="C109" s="498" t="s">
        <v>400</v>
      </c>
      <c r="D109" s="497" t="s">
        <v>36951</v>
      </c>
      <c r="E109" s="503"/>
      <c r="F109" s="489" t="s">
        <v>36936</v>
      </c>
      <c r="G109" s="484"/>
      <c r="H109" s="484"/>
      <c r="I109" s="484"/>
      <c r="J109" s="484"/>
      <c r="K109" s="484"/>
      <c r="L109" s="484"/>
      <c r="M109" s="484"/>
      <c r="N109" s="484"/>
      <c r="O109" s="484"/>
      <c r="P109" s="484"/>
      <c r="Q109" s="484"/>
      <c r="R109" s="484"/>
      <c r="S109" s="484"/>
      <c r="T109" s="484"/>
      <c r="U109" s="484"/>
      <c r="V109" s="484"/>
      <c r="W109" s="484"/>
      <c r="X109" s="484"/>
      <c r="Y109" s="484"/>
      <c r="Z109" s="484"/>
    </row>
    <row r="110">
      <c r="A110" s="499"/>
      <c r="B110" s="497" t="s">
        <v>30471</v>
      </c>
      <c r="C110" s="498" t="s">
        <v>36971</v>
      </c>
      <c r="D110" s="497" t="s">
        <v>37091</v>
      </c>
      <c r="E110" s="503"/>
      <c r="F110" s="489" t="s">
        <v>36936</v>
      </c>
      <c r="G110" s="484"/>
      <c r="H110" s="484"/>
      <c r="I110" s="484"/>
      <c r="J110" s="484"/>
      <c r="K110" s="484"/>
      <c r="L110" s="484"/>
      <c r="M110" s="484"/>
      <c r="N110" s="484"/>
      <c r="O110" s="484"/>
      <c r="P110" s="484"/>
      <c r="Q110" s="484"/>
      <c r="R110" s="484"/>
      <c r="S110" s="484"/>
      <c r="T110" s="484"/>
      <c r="U110" s="484"/>
      <c r="V110" s="484"/>
      <c r="W110" s="484"/>
      <c r="X110" s="484"/>
      <c r="Y110" s="484"/>
      <c r="Z110" s="484"/>
    </row>
    <row r="111">
      <c r="A111" s="499"/>
      <c r="B111" s="497" t="s">
        <v>37092</v>
      </c>
      <c r="C111" s="498" t="s">
        <v>3473</v>
      </c>
      <c r="D111" s="497" t="s">
        <v>36941</v>
      </c>
      <c r="E111" s="497" t="s">
        <v>37093</v>
      </c>
      <c r="F111" s="489" t="s">
        <v>36936</v>
      </c>
      <c r="G111" s="484"/>
      <c r="H111" s="484"/>
      <c r="I111" s="484"/>
      <c r="J111" s="484"/>
      <c r="K111" s="484"/>
      <c r="L111" s="484"/>
      <c r="M111" s="484"/>
      <c r="N111" s="484"/>
      <c r="O111" s="484"/>
      <c r="P111" s="484"/>
      <c r="Q111" s="484"/>
      <c r="R111" s="484"/>
      <c r="S111" s="484"/>
      <c r="T111" s="484"/>
      <c r="U111" s="484"/>
      <c r="V111" s="484"/>
      <c r="W111" s="484"/>
      <c r="X111" s="484"/>
      <c r="Y111" s="484"/>
      <c r="Z111" s="484"/>
    </row>
    <row r="112">
      <c r="A112" s="499"/>
      <c r="B112" s="497" t="s">
        <v>37094</v>
      </c>
      <c r="C112" s="498" t="s">
        <v>37095</v>
      </c>
      <c r="D112" s="497" t="s">
        <v>37096</v>
      </c>
      <c r="E112" s="503"/>
      <c r="F112" s="489" t="s">
        <v>36936</v>
      </c>
      <c r="G112" s="484"/>
      <c r="H112" s="484"/>
      <c r="I112" s="484"/>
      <c r="J112" s="484"/>
      <c r="K112" s="484"/>
      <c r="L112" s="484"/>
      <c r="M112" s="484"/>
      <c r="N112" s="484"/>
      <c r="O112" s="484"/>
      <c r="P112" s="484"/>
      <c r="Q112" s="484"/>
      <c r="R112" s="484"/>
      <c r="S112" s="484"/>
      <c r="T112" s="484"/>
      <c r="U112" s="484"/>
      <c r="V112" s="484"/>
      <c r="W112" s="484"/>
      <c r="X112" s="484"/>
      <c r="Y112" s="484"/>
      <c r="Z112" s="484"/>
    </row>
    <row r="113">
      <c r="A113" s="499"/>
      <c r="B113" s="497" t="s">
        <v>37097</v>
      </c>
      <c r="C113" s="498" t="s">
        <v>37098</v>
      </c>
      <c r="D113" s="497" t="s">
        <v>36959</v>
      </c>
      <c r="E113" s="497" t="s">
        <v>37099</v>
      </c>
      <c r="F113" s="489" t="s">
        <v>36936</v>
      </c>
      <c r="G113" s="484"/>
      <c r="H113" s="484"/>
      <c r="I113" s="484"/>
      <c r="J113" s="484"/>
      <c r="K113" s="484"/>
      <c r="L113" s="484"/>
      <c r="M113" s="484"/>
      <c r="N113" s="484"/>
      <c r="O113" s="484"/>
      <c r="P113" s="484"/>
      <c r="Q113" s="484"/>
      <c r="R113" s="484"/>
      <c r="S113" s="484"/>
      <c r="T113" s="484"/>
      <c r="U113" s="484"/>
      <c r="V113" s="484"/>
      <c r="W113" s="484"/>
      <c r="X113" s="484"/>
      <c r="Y113" s="484"/>
      <c r="Z113" s="484"/>
    </row>
    <row r="114">
      <c r="A114" s="499"/>
      <c r="B114" s="497" t="s">
        <v>37100</v>
      </c>
      <c r="C114" s="498" t="s">
        <v>37101</v>
      </c>
      <c r="D114" s="497" t="s">
        <v>37102</v>
      </c>
      <c r="E114" s="503"/>
      <c r="F114" s="489" t="s">
        <v>36936</v>
      </c>
      <c r="G114" s="484"/>
      <c r="H114" s="484"/>
      <c r="I114" s="484"/>
      <c r="J114" s="484"/>
      <c r="K114" s="484"/>
      <c r="L114" s="484"/>
      <c r="M114" s="484"/>
      <c r="N114" s="484"/>
      <c r="O114" s="484"/>
      <c r="P114" s="484"/>
      <c r="Q114" s="484"/>
      <c r="R114" s="484"/>
      <c r="S114" s="484"/>
      <c r="T114" s="484"/>
      <c r="U114" s="484"/>
      <c r="V114" s="484"/>
      <c r="W114" s="484"/>
      <c r="X114" s="484"/>
      <c r="Y114" s="484"/>
      <c r="Z114" s="484"/>
    </row>
    <row r="115">
      <c r="A115" s="499"/>
      <c r="B115" s="497" t="s">
        <v>30758</v>
      </c>
      <c r="C115" s="498" t="s">
        <v>1310</v>
      </c>
      <c r="D115" s="497" t="s">
        <v>36993</v>
      </c>
      <c r="E115" s="503"/>
      <c r="F115" s="489" t="s">
        <v>36936</v>
      </c>
      <c r="G115" s="484"/>
      <c r="H115" s="484"/>
      <c r="I115" s="484"/>
      <c r="J115" s="484"/>
      <c r="K115" s="484"/>
      <c r="L115" s="484"/>
      <c r="M115" s="484"/>
      <c r="N115" s="484"/>
      <c r="O115" s="484"/>
      <c r="P115" s="484"/>
      <c r="Q115" s="484"/>
      <c r="R115" s="484"/>
      <c r="S115" s="484"/>
      <c r="T115" s="484"/>
      <c r="U115" s="484"/>
      <c r="V115" s="484"/>
      <c r="W115" s="484"/>
      <c r="X115" s="484"/>
      <c r="Y115" s="484"/>
      <c r="Z115" s="484"/>
    </row>
    <row r="116">
      <c r="A116" s="505" t="s">
        <v>37103</v>
      </c>
      <c r="B116" s="506" t="s">
        <v>12740</v>
      </c>
      <c r="C116" s="507" t="s">
        <v>21703</v>
      </c>
      <c r="D116" s="506" t="s">
        <v>36959</v>
      </c>
      <c r="E116" s="506" t="s">
        <v>37104</v>
      </c>
      <c r="F116" s="489" t="s">
        <v>36936</v>
      </c>
      <c r="G116" s="484"/>
      <c r="H116" s="484"/>
      <c r="I116" s="484"/>
      <c r="J116" s="484"/>
      <c r="K116" s="484"/>
      <c r="L116" s="484"/>
      <c r="M116" s="484"/>
      <c r="N116" s="484"/>
      <c r="O116" s="484"/>
      <c r="P116" s="484"/>
      <c r="Q116" s="484"/>
      <c r="R116" s="484"/>
      <c r="S116" s="484"/>
      <c r="T116" s="484"/>
      <c r="U116" s="484"/>
      <c r="V116" s="484"/>
      <c r="W116" s="484"/>
      <c r="X116" s="484"/>
      <c r="Y116" s="484"/>
      <c r="Z116" s="484"/>
    </row>
    <row r="117">
      <c r="A117" s="499"/>
      <c r="B117" s="508" t="s">
        <v>12746</v>
      </c>
      <c r="C117" s="509" t="s">
        <v>400</v>
      </c>
      <c r="D117" s="508" t="s">
        <v>36993</v>
      </c>
      <c r="E117" s="508" t="s">
        <v>37105</v>
      </c>
      <c r="F117" s="489" t="s">
        <v>36936</v>
      </c>
      <c r="G117" s="484"/>
      <c r="H117" s="484"/>
      <c r="I117" s="484"/>
      <c r="J117" s="484"/>
      <c r="K117" s="484"/>
      <c r="L117" s="484"/>
      <c r="M117" s="484"/>
      <c r="N117" s="484"/>
      <c r="O117" s="484"/>
      <c r="P117" s="484"/>
      <c r="Q117" s="484"/>
      <c r="R117" s="484"/>
      <c r="S117" s="484"/>
      <c r="T117" s="484"/>
      <c r="U117" s="484"/>
      <c r="V117" s="484"/>
      <c r="W117" s="484"/>
      <c r="X117" s="484"/>
      <c r="Y117" s="484"/>
      <c r="Z117" s="484"/>
    </row>
    <row r="118">
      <c r="A118" s="499"/>
      <c r="B118" s="508" t="s">
        <v>1911</v>
      </c>
      <c r="C118" s="509" t="s">
        <v>814</v>
      </c>
      <c r="D118" s="508" t="s">
        <v>36951</v>
      </c>
      <c r="E118" s="508" t="s">
        <v>37106</v>
      </c>
      <c r="F118" s="489" t="s">
        <v>36936</v>
      </c>
      <c r="G118" s="484"/>
      <c r="H118" s="484"/>
      <c r="I118" s="484"/>
      <c r="J118" s="484"/>
      <c r="K118" s="484"/>
      <c r="L118" s="484"/>
      <c r="M118" s="484"/>
      <c r="N118" s="484"/>
      <c r="O118" s="484"/>
      <c r="P118" s="484"/>
      <c r="Q118" s="484"/>
      <c r="R118" s="484"/>
      <c r="S118" s="484"/>
      <c r="T118" s="484"/>
      <c r="U118" s="484"/>
      <c r="V118" s="484"/>
      <c r="W118" s="484"/>
      <c r="X118" s="484"/>
      <c r="Y118" s="484"/>
      <c r="Z118" s="484"/>
    </row>
    <row r="119">
      <c r="A119" s="511" t="s">
        <v>37107</v>
      </c>
      <c r="B119" s="512" t="s">
        <v>17537</v>
      </c>
      <c r="C119" s="513" t="s">
        <v>37108</v>
      </c>
      <c r="D119" s="512" t="s">
        <v>36941</v>
      </c>
      <c r="E119" s="513" t="s">
        <v>37109</v>
      </c>
      <c r="F119" s="489" t="s">
        <v>36936</v>
      </c>
      <c r="G119" s="484"/>
      <c r="H119" s="484"/>
      <c r="I119" s="484"/>
      <c r="J119" s="484"/>
      <c r="K119" s="484"/>
      <c r="L119" s="484"/>
      <c r="M119" s="484"/>
      <c r="N119" s="484"/>
      <c r="O119" s="484"/>
      <c r="P119" s="484"/>
      <c r="Q119" s="484"/>
      <c r="R119" s="484"/>
      <c r="S119" s="484"/>
      <c r="T119" s="484"/>
      <c r="U119" s="484"/>
      <c r="V119" s="484"/>
      <c r="W119" s="484"/>
      <c r="X119" s="484"/>
      <c r="Y119" s="484"/>
      <c r="Z119" s="484"/>
    </row>
    <row r="120">
      <c r="A120" s="499"/>
      <c r="B120" s="515" t="s">
        <v>37110</v>
      </c>
      <c r="C120" s="516" t="s">
        <v>3864</v>
      </c>
      <c r="D120" s="515" t="s">
        <v>36959</v>
      </c>
      <c r="E120" s="517"/>
      <c r="F120" s="489" t="s">
        <v>36936</v>
      </c>
      <c r="G120" s="484"/>
      <c r="H120" s="484"/>
      <c r="I120" s="484"/>
      <c r="J120" s="484"/>
      <c r="K120" s="484"/>
      <c r="L120" s="484"/>
      <c r="M120" s="484"/>
      <c r="N120" s="484"/>
      <c r="O120" s="484"/>
      <c r="P120" s="484"/>
      <c r="Q120" s="484"/>
      <c r="R120" s="484"/>
      <c r="S120" s="484"/>
      <c r="T120" s="484"/>
      <c r="U120" s="484"/>
      <c r="V120" s="484"/>
      <c r="W120" s="484"/>
      <c r="X120" s="484"/>
      <c r="Y120" s="484"/>
      <c r="Z120" s="484"/>
    </row>
    <row r="121">
      <c r="A121" s="499"/>
      <c r="B121" s="515" t="s">
        <v>37111</v>
      </c>
      <c r="C121" s="516" t="s">
        <v>37112</v>
      </c>
      <c r="D121" s="515" t="s">
        <v>37113</v>
      </c>
      <c r="E121" s="517"/>
      <c r="F121" s="489" t="s">
        <v>36936</v>
      </c>
      <c r="G121" s="484"/>
      <c r="H121" s="484"/>
      <c r="I121" s="484"/>
      <c r="J121" s="484"/>
      <c r="K121" s="484"/>
      <c r="L121" s="484"/>
      <c r="M121" s="484"/>
      <c r="N121" s="484"/>
      <c r="O121" s="484"/>
      <c r="P121" s="484"/>
      <c r="Q121" s="484"/>
      <c r="R121" s="484"/>
      <c r="S121" s="484"/>
      <c r="T121" s="484"/>
      <c r="U121" s="484"/>
      <c r="V121" s="484"/>
      <c r="W121" s="484"/>
      <c r="X121" s="484"/>
      <c r="Y121" s="484"/>
      <c r="Z121" s="484"/>
    </row>
    <row r="122">
      <c r="A122" s="499"/>
      <c r="B122" s="515" t="s">
        <v>37114</v>
      </c>
      <c r="C122" s="516" t="s">
        <v>37115</v>
      </c>
      <c r="D122" s="515" t="s">
        <v>37116</v>
      </c>
      <c r="E122" s="516" t="s">
        <v>37117</v>
      </c>
      <c r="F122" s="489" t="s">
        <v>36936</v>
      </c>
      <c r="G122" s="484"/>
      <c r="H122" s="484"/>
      <c r="I122" s="484"/>
      <c r="J122" s="484"/>
      <c r="K122" s="484"/>
      <c r="L122" s="484"/>
      <c r="M122" s="484"/>
      <c r="N122" s="484"/>
      <c r="O122" s="484"/>
      <c r="P122" s="484"/>
      <c r="Q122" s="484"/>
      <c r="R122" s="484"/>
      <c r="S122" s="484"/>
      <c r="T122" s="484"/>
      <c r="U122" s="484"/>
      <c r="V122" s="484"/>
      <c r="W122" s="484"/>
      <c r="X122" s="484"/>
      <c r="Y122" s="484"/>
      <c r="Z122" s="484"/>
    </row>
    <row r="123">
      <c r="A123" s="499"/>
      <c r="F123" s="489" t="s">
        <v>36936</v>
      </c>
      <c r="G123" s="484"/>
      <c r="H123" s="484"/>
      <c r="I123" s="484"/>
      <c r="J123" s="484"/>
      <c r="K123" s="484"/>
      <c r="L123" s="484"/>
      <c r="M123" s="484"/>
      <c r="N123" s="484"/>
      <c r="O123" s="484"/>
      <c r="P123" s="484"/>
      <c r="Q123" s="484"/>
      <c r="R123" s="484"/>
      <c r="S123" s="484"/>
      <c r="T123" s="484"/>
      <c r="U123" s="484"/>
      <c r="V123" s="484"/>
      <c r="W123" s="484"/>
      <c r="X123" s="484"/>
      <c r="Y123" s="484"/>
      <c r="Z123" s="484"/>
    </row>
    <row r="124">
      <c r="A124" s="499"/>
      <c r="D124" s="515" t="s">
        <v>37118</v>
      </c>
      <c r="E124" s="516" t="s">
        <v>37119</v>
      </c>
      <c r="F124" s="489" t="s">
        <v>36936</v>
      </c>
      <c r="G124" s="484"/>
      <c r="H124" s="484"/>
      <c r="I124" s="484"/>
      <c r="J124" s="484"/>
      <c r="K124" s="484"/>
      <c r="L124" s="484"/>
      <c r="M124" s="484"/>
      <c r="N124" s="484"/>
      <c r="O124" s="484"/>
      <c r="P124" s="484"/>
      <c r="Q124" s="484"/>
      <c r="R124" s="484"/>
      <c r="S124" s="484"/>
      <c r="T124" s="484"/>
      <c r="U124" s="484"/>
      <c r="V124" s="484"/>
      <c r="W124" s="484"/>
      <c r="X124" s="484"/>
      <c r="Y124" s="484"/>
      <c r="Z124" s="484"/>
    </row>
    <row r="125">
      <c r="A125" s="499"/>
      <c r="B125" s="515" t="s">
        <v>37120</v>
      </c>
      <c r="C125" s="516" t="s">
        <v>37121</v>
      </c>
      <c r="D125" s="515" t="s">
        <v>37122</v>
      </c>
      <c r="E125" s="517"/>
      <c r="F125" s="489" t="s">
        <v>36936</v>
      </c>
      <c r="G125" s="484"/>
      <c r="H125" s="484"/>
      <c r="I125" s="484"/>
      <c r="J125" s="484"/>
      <c r="K125" s="484"/>
      <c r="L125" s="484"/>
      <c r="M125" s="484"/>
      <c r="N125" s="484"/>
      <c r="O125" s="484"/>
      <c r="P125" s="484"/>
      <c r="Q125" s="484"/>
      <c r="R125" s="484"/>
      <c r="S125" s="484"/>
      <c r="T125" s="484"/>
      <c r="U125" s="484"/>
      <c r="V125" s="484"/>
      <c r="W125" s="484"/>
      <c r="X125" s="484"/>
      <c r="Y125" s="484"/>
      <c r="Z125" s="484"/>
    </row>
    <row r="126">
      <c r="A126" s="499"/>
      <c r="B126" s="515" t="s">
        <v>37123</v>
      </c>
      <c r="C126" s="516" t="s">
        <v>748</v>
      </c>
      <c r="D126" s="515" t="s">
        <v>36959</v>
      </c>
      <c r="E126" s="516" t="s">
        <v>37124</v>
      </c>
      <c r="F126" s="489" t="s">
        <v>36936</v>
      </c>
      <c r="G126" s="484"/>
      <c r="H126" s="484"/>
      <c r="I126" s="484"/>
      <c r="J126" s="484"/>
      <c r="K126" s="484"/>
      <c r="L126" s="484"/>
      <c r="M126" s="484"/>
      <c r="N126" s="484"/>
      <c r="O126" s="484"/>
      <c r="P126" s="484"/>
      <c r="Q126" s="484"/>
      <c r="R126" s="484"/>
      <c r="S126" s="484"/>
      <c r="T126" s="484"/>
      <c r="U126" s="484"/>
      <c r="V126" s="484"/>
      <c r="W126" s="484"/>
      <c r="X126" s="484"/>
      <c r="Y126" s="484"/>
      <c r="Z126" s="484"/>
    </row>
    <row r="127">
      <c r="A127" s="499"/>
      <c r="B127" s="515" t="s">
        <v>37125</v>
      </c>
      <c r="C127" s="516" t="s">
        <v>37126</v>
      </c>
      <c r="D127" s="515" t="s">
        <v>37127</v>
      </c>
      <c r="E127" s="516" t="s">
        <v>37128</v>
      </c>
      <c r="F127" s="489" t="s">
        <v>36936</v>
      </c>
      <c r="G127" s="484"/>
      <c r="H127" s="484"/>
      <c r="I127" s="484"/>
      <c r="J127" s="484"/>
      <c r="K127" s="484"/>
      <c r="L127" s="484"/>
      <c r="M127" s="484"/>
      <c r="N127" s="484"/>
      <c r="O127" s="484"/>
      <c r="P127" s="484"/>
      <c r="Q127" s="484"/>
      <c r="R127" s="484"/>
      <c r="S127" s="484"/>
      <c r="T127" s="484"/>
      <c r="U127" s="484"/>
      <c r="V127" s="484"/>
      <c r="W127" s="484"/>
      <c r="X127" s="484"/>
      <c r="Y127" s="484"/>
      <c r="Z127" s="484"/>
    </row>
    <row r="128">
      <c r="A128" s="499"/>
      <c r="B128" s="515" t="s">
        <v>37129</v>
      </c>
      <c r="C128" s="516" t="s">
        <v>37130</v>
      </c>
      <c r="D128" s="515" t="s">
        <v>36974</v>
      </c>
      <c r="E128" s="516" t="s">
        <v>37131</v>
      </c>
      <c r="F128" s="489" t="s">
        <v>36936</v>
      </c>
      <c r="G128" s="484"/>
      <c r="H128" s="484"/>
      <c r="I128" s="484"/>
      <c r="J128" s="484"/>
      <c r="K128" s="484"/>
      <c r="L128" s="484"/>
      <c r="M128" s="484"/>
      <c r="N128" s="484"/>
      <c r="O128" s="484"/>
      <c r="P128" s="484"/>
      <c r="Q128" s="484"/>
      <c r="R128" s="484"/>
      <c r="S128" s="484"/>
      <c r="T128" s="484"/>
      <c r="U128" s="484"/>
      <c r="V128" s="484"/>
      <c r="W128" s="484"/>
      <c r="X128" s="484"/>
      <c r="Y128" s="484"/>
      <c r="Z128" s="484"/>
    </row>
    <row r="129">
      <c r="A129" s="499"/>
      <c r="D129" s="515" t="s">
        <v>36939</v>
      </c>
      <c r="E129" s="516" t="s">
        <v>37132</v>
      </c>
      <c r="F129" s="489" t="s">
        <v>36936</v>
      </c>
      <c r="G129" s="484"/>
      <c r="H129" s="484"/>
      <c r="I129" s="484"/>
      <c r="J129" s="484"/>
      <c r="K129" s="484"/>
      <c r="L129" s="484"/>
      <c r="M129" s="484"/>
      <c r="N129" s="484"/>
      <c r="O129" s="484"/>
      <c r="P129" s="484"/>
      <c r="Q129" s="484"/>
      <c r="R129" s="484"/>
      <c r="S129" s="484"/>
      <c r="T129" s="484"/>
      <c r="U129" s="484"/>
      <c r="V129" s="484"/>
      <c r="W129" s="484"/>
      <c r="X129" s="484"/>
      <c r="Y129" s="484"/>
      <c r="Z129" s="484"/>
    </row>
    <row r="130">
      <c r="A130" s="499"/>
      <c r="B130" s="515" t="s">
        <v>2759</v>
      </c>
      <c r="C130" s="516" t="s">
        <v>37133</v>
      </c>
      <c r="D130" s="515" t="s">
        <v>37134</v>
      </c>
      <c r="E130" s="516" t="s">
        <v>37135</v>
      </c>
      <c r="F130" s="489" t="s">
        <v>36936</v>
      </c>
      <c r="G130" s="484"/>
      <c r="H130" s="484"/>
      <c r="I130" s="484"/>
      <c r="J130" s="484"/>
      <c r="K130" s="484"/>
      <c r="L130" s="484"/>
      <c r="M130" s="484"/>
      <c r="N130" s="484"/>
      <c r="O130" s="484"/>
      <c r="P130" s="484"/>
      <c r="Q130" s="484"/>
      <c r="R130" s="484"/>
      <c r="S130" s="484"/>
      <c r="T130" s="484"/>
      <c r="U130" s="484"/>
      <c r="V130" s="484"/>
      <c r="W130" s="484"/>
      <c r="X130" s="484"/>
      <c r="Y130" s="484"/>
      <c r="Z130" s="484"/>
    </row>
    <row r="131">
      <c r="A131" s="499"/>
      <c r="D131" s="515" t="s">
        <v>37136</v>
      </c>
      <c r="E131" s="516" t="s">
        <v>37137</v>
      </c>
      <c r="F131" s="489" t="s">
        <v>36936</v>
      </c>
      <c r="G131" s="484"/>
      <c r="H131" s="484"/>
      <c r="I131" s="484"/>
      <c r="J131" s="484"/>
      <c r="K131" s="484"/>
      <c r="L131" s="484"/>
      <c r="M131" s="484"/>
      <c r="N131" s="484"/>
      <c r="O131" s="484"/>
      <c r="P131" s="484"/>
      <c r="Q131" s="484"/>
      <c r="R131" s="484"/>
      <c r="S131" s="484"/>
      <c r="T131" s="484"/>
      <c r="U131" s="484"/>
      <c r="V131" s="484"/>
      <c r="W131" s="484"/>
      <c r="X131" s="484"/>
      <c r="Y131" s="484"/>
      <c r="Z131" s="484"/>
    </row>
    <row r="132">
      <c r="A132" s="499"/>
      <c r="B132" s="515" t="s">
        <v>2994</v>
      </c>
      <c r="C132" s="516" t="s">
        <v>1416</v>
      </c>
      <c r="D132" s="515" t="s">
        <v>37009</v>
      </c>
      <c r="E132" s="516" t="s">
        <v>37138</v>
      </c>
      <c r="F132" s="489" t="s">
        <v>36936</v>
      </c>
      <c r="G132" s="484"/>
      <c r="H132" s="484"/>
      <c r="I132" s="484"/>
      <c r="J132" s="484"/>
      <c r="K132" s="484"/>
      <c r="L132" s="484"/>
      <c r="M132" s="484"/>
      <c r="N132" s="484"/>
      <c r="O132" s="484"/>
      <c r="P132" s="484"/>
      <c r="Q132" s="484"/>
      <c r="R132" s="484"/>
      <c r="S132" s="484"/>
      <c r="T132" s="484"/>
      <c r="U132" s="484"/>
      <c r="V132" s="484"/>
      <c r="W132" s="484"/>
      <c r="X132" s="484"/>
      <c r="Y132" s="484"/>
      <c r="Z132" s="484"/>
    </row>
    <row r="133">
      <c r="A133" s="499"/>
      <c r="B133" s="515" t="s">
        <v>3152</v>
      </c>
      <c r="C133" s="516" t="s">
        <v>37139</v>
      </c>
      <c r="D133" s="515" t="s">
        <v>37140</v>
      </c>
      <c r="E133" s="516" t="s">
        <v>37141</v>
      </c>
      <c r="F133" s="489" t="s">
        <v>36936</v>
      </c>
      <c r="G133" s="484"/>
      <c r="H133" s="484"/>
      <c r="I133" s="484"/>
      <c r="J133" s="484"/>
      <c r="K133" s="484"/>
      <c r="L133" s="484"/>
      <c r="M133" s="484"/>
      <c r="N133" s="484"/>
      <c r="O133" s="484"/>
      <c r="P133" s="484"/>
      <c r="Q133" s="484"/>
      <c r="R133" s="484"/>
      <c r="S133" s="484"/>
      <c r="T133" s="484"/>
      <c r="U133" s="484"/>
      <c r="V133" s="484"/>
      <c r="W133" s="484"/>
      <c r="X133" s="484"/>
      <c r="Y133" s="484"/>
      <c r="Z133" s="484"/>
    </row>
    <row r="134">
      <c r="A134" s="499"/>
      <c r="D134" s="515" t="s">
        <v>37142</v>
      </c>
      <c r="E134" s="516" t="s">
        <v>37143</v>
      </c>
      <c r="F134" s="489" t="s">
        <v>36936</v>
      </c>
      <c r="G134" s="484"/>
      <c r="H134" s="484"/>
      <c r="I134" s="484"/>
      <c r="J134" s="484"/>
      <c r="K134" s="484"/>
      <c r="L134" s="484"/>
      <c r="M134" s="484"/>
      <c r="N134" s="484"/>
      <c r="O134" s="484"/>
      <c r="P134" s="484"/>
      <c r="Q134" s="484"/>
      <c r="R134" s="484"/>
      <c r="S134" s="484"/>
      <c r="T134" s="484"/>
      <c r="U134" s="484"/>
      <c r="V134" s="484"/>
      <c r="W134" s="484"/>
      <c r="X134" s="484"/>
      <c r="Y134" s="484"/>
      <c r="Z134" s="484"/>
    </row>
    <row r="135">
      <c r="A135" s="499"/>
      <c r="B135" s="515" t="s">
        <v>28108</v>
      </c>
      <c r="C135" s="516" t="s">
        <v>400</v>
      </c>
      <c r="D135" s="515" t="s">
        <v>36939</v>
      </c>
      <c r="E135" s="516" t="s">
        <v>37144</v>
      </c>
      <c r="F135" s="489" t="s">
        <v>36936</v>
      </c>
      <c r="G135" s="484"/>
      <c r="H135" s="484"/>
      <c r="I135" s="484"/>
      <c r="J135" s="484"/>
      <c r="K135" s="484"/>
      <c r="L135" s="484"/>
      <c r="M135" s="484"/>
      <c r="N135" s="484"/>
      <c r="O135" s="484"/>
      <c r="P135" s="484"/>
      <c r="Q135" s="484"/>
      <c r="R135" s="484"/>
      <c r="S135" s="484"/>
      <c r="T135" s="484"/>
      <c r="U135" s="484"/>
      <c r="V135" s="484"/>
      <c r="W135" s="484"/>
      <c r="X135" s="484"/>
      <c r="Y135" s="484"/>
      <c r="Z135" s="484"/>
    </row>
    <row r="136">
      <c r="A136" s="522"/>
      <c r="B136" s="515" t="s">
        <v>3274</v>
      </c>
      <c r="C136" s="516" t="s">
        <v>36996</v>
      </c>
      <c r="D136" s="515" t="s">
        <v>36941</v>
      </c>
      <c r="E136" s="516" t="s">
        <v>37145</v>
      </c>
      <c r="F136" s="489" t="s">
        <v>36936</v>
      </c>
      <c r="G136" s="484"/>
      <c r="H136" s="484"/>
      <c r="I136" s="484"/>
      <c r="J136" s="484"/>
      <c r="K136" s="484"/>
      <c r="L136" s="484"/>
      <c r="M136" s="484"/>
      <c r="N136" s="484"/>
      <c r="O136" s="484"/>
      <c r="P136" s="484"/>
      <c r="Q136" s="484"/>
      <c r="R136" s="484"/>
      <c r="S136" s="484"/>
      <c r="T136" s="484"/>
      <c r="U136" s="484"/>
      <c r="V136" s="484"/>
      <c r="W136" s="484"/>
      <c r="X136" s="484"/>
      <c r="Y136" s="484"/>
      <c r="Z136" s="484"/>
    </row>
    <row r="137">
      <c r="A137" s="499"/>
      <c r="B137" s="515" t="s">
        <v>17762</v>
      </c>
      <c r="C137" s="516" t="s">
        <v>37146</v>
      </c>
      <c r="D137" s="515" t="s">
        <v>37147</v>
      </c>
      <c r="E137" s="517"/>
      <c r="F137" s="489" t="s">
        <v>36936</v>
      </c>
      <c r="G137" s="484"/>
      <c r="H137" s="484"/>
      <c r="I137" s="484"/>
      <c r="J137" s="484"/>
      <c r="K137" s="484"/>
      <c r="L137" s="484"/>
      <c r="M137" s="484"/>
      <c r="N137" s="484"/>
      <c r="O137" s="484"/>
      <c r="P137" s="484"/>
      <c r="Q137" s="484"/>
      <c r="R137" s="484"/>
      <c r="S137" s="484"/>
      <c r="T137" s="484"/>
      <c r="U137" s="484"/>
      <c r="V137" s="484"/>
      <c r="W137" s="484"/>
      <c r="X137" s="484"/>
      <c r="Y137" s="484"/>
      <c r="Z137" s="484"/>
    </row>
    <row r="138">
      <c r="A138" s="499"/>
      <c r="D138" s="515" t="s">
        <v>37148</v>
      </c>
      <c r="F138" s="489" t="s">
        <v>36936</v>
      </c>
      <c r="G138" s="484"/>
      <c r="H138" s="484"/>
      <c r="I138" s="484"/>
      <c r="J138" s="484"/>
      <c r="K138" s="484"/>
      <c r="L138" s="484"/>
      <c r="M138" s="484"/>
      <c r="N138" s="484"/>
      <c r="O138" s="484"/>
      <c r="P138" s="484"/>
      <c r="Q138" s="484"/>
      <c r="R138" s="484"/>
      <c r="S138" s="484"/>
      <c r="T138" s="484"/>
      <c r="U138" s="484"/>
      <c r="V138" s="484"/>
      <c r="W138" s="484"/>
      <c r="X138" s="484"/>
      <c r="Y138" s="484"/>
      <c r="Z138" s="484"/>
    </row>
    <row r="139">
      <c r="A139" s="499"/>
      <c r="B139" s="515" t="s">
        <v>37149</v>
      </c>
      <c r="C139" s="516" t="s">
        <v>37150</v>
      </c>
      <c r="D139" s="515" t="s">
        <v>37042</v>
      </c>
      <c r="E139" s="516" t="s">
        <v>37151</v>
      </c>
      <c r="F139" s="489" t="s">
        <v>36936</v>
      </c>
      <c r="G139" s="484"/>
      <c r="H139" s="484"/>
      <c r="I139" s="484"/>
      <c r="J139" s="484"/>
      <c r="K139" s="484"/>
      <c r="L139" s="484"/>
      <c r="M139" s="484"/>
      <c r="N139" s="484"/>
      <c r="O139" s="484"/>
      <c r="P139" s="484"/>
      <c r="Q139" s="484"/>
      <c r="R139" s="484"/>
      <c r="S139" s="484"/>
      <c r="T139" s="484"/>
      <c r="U139" s="484"/>
      <c r="V139" s="484"/>
      <c r="W139" s="484"/>
      <c r="X139" s="484"/>
      <c r="Y139" s="484"/>
      <c r="Z139" s="484"/>
    </row>
    <row r="140">
      <c r="A140" s="499"/>
      <c r="B140" s="515" t="s">
        <v>37152</v>
      </c>
      <c r="C140" s="516" t="s">
        <v>37153</v>
      </c>
      <c r="D140" s="515" t="s">
        <v>37154</v>
      </c>
      <c r="E140" s="517"/>
      <c r="F140" s="489" t="s">
        <v>36936</v>
      </c>
      <c r="G140" s="484"/>
      <c r="H140" s="484"/>
      <c r="I140" s="484"/>
      <c r="J140" s="484"/>
      <c r="K140" s="484"/>
      <c r="L140" s="484"/>
      <c r="M140" s="484"/>
      <c r="N140" s="484"/>
      <c r="O140" s="484"/>
      <c r="P140" s="484"/>
      <c r="Q140" s="484"/>
      <c r="R140" s="484"/>
      <c r="S140" s="484"/>
      <c r="T140" s="484"/>
      <c r="U140" s="484"/>
      <c r="V140" s="484"/>
      <c r="W140" s="484"/>
      <c r="X140" s="484"/>
      <c r="Y140" s="484"/>
      <c r="Z140" s="484"/>
    </row>
    <row r="141">
      <c r="A141" s="499"/>
      <c r="B141" s="515" t="s">
        <v>37155</v>
      </c>
      <c r="C141" s="517"/>
      <c r="D141" s="517"/>
      <c r="E141" s="517"/>
      <c r="F141" s="489" t="s">
        <v>36936</v>
      </c>
      <c r="G141" s="484"/>
      <c r="H141" s="484"/>
      <c r="I141" s="484"/>
      <c r="J141" s="484"/>
      <c r="K141" s="484"/>
      <c r="L141" s="484"/>
      <c r="M141" s="484"/>
      <c r="N141" s="484"/>
      <c r="O141" s="484"/>
      <c r="P141" s="484"/>
      <c r="Q141" s="484"/>
      <c r="R141" s="484"/>
      <c r="S141" s="484"/>
      <c r="T141" s="484"/>
      <c r="U141" s="484"/>
      <c r="V141" s="484"/>
      <c r="W141" s="484"/>
      <c r="X141" s="484"/>
      <c r="Y141" s="484"/>
      <c r="Z141" s="484"/>
    </row>
    <row r="142">
      <c r="A142" s="499"/>
      <c r="B142" s="515" t="s">
        <v>37156</v>
      </c>
      <c r="C142" s="516" t="s">
        <v>37157</v>
      </c>
      <c r="D142" s="515" t="s">
        <v>37158</v>
      </c>
      <c r="E142" s="517"/>
      <c r="F142" s="489" t="s">
        <v>36936</v>
      </c>
      <c r="G142" s="484"/>
      <c r="H142" s="484"/>
      <c r="I142" s="484"/>
      <c r="J142" s="484"/>
      <c r="K142" s="484"/>
      <c r="L142" s="484"/>
      <c r="M142" s="484"/>
      <c r="N142" s="484"/>
      <c r="O142" s="484"/>
      <c r="P142" s="484"/>
      <c r="Q142" s="484"/>
      <c r="R142" s="484"/>
      <c r="S142" s="484"/>
      <c r="T142" s="484"/>
      <c r="U142" s="484"/>
      <c r="V142" s="484"/>
      <c r="W142" s="484"/>
      <c r="X142" s="484"/>
      <c r="Y142" s="484"/>
      <c r="Z142" s="484"/>
    </row>
    <row r="143">
      <c r="A143" s="499"/>
      <c r="B143" s="515" t="s">
        <v>3698</v>
      </c>
      <c r="C143" s="516" t="s">
        <v>37108</v>
      </c>
      <c r="D143" s="515" t="s">
        <v>36941</v>
      </c>
      <c r="E143" s="516" t="s">
        <v>37159</v>
      </c>
      <c r="F143" s="489" t="s">
        <v>36936</v>
      </c>
      <c r="G143" s="484"/>
      <c r="H143" s="484"/>
      <c r="I143" s="484"/>
      <c r="J143" s="484"/>
      <c r="K143" s="484"/>
      <c r="L143" s="484"/>
      <c r="M143" s="484"/>
      <c r="N143" s="484"/>
      <c r="O143" s="484"/>
      <c r="P143" s="484"/>
      <c r="Q143" s="484"/>
      <c r="R143" s="484"/>
      <c r="S143" s="484"/>
      <c r="T143" s="484"/>
      <c r="U143" s="484"/>
      <c r="V143" s="484"/>
      <c r="W143" s="484"/>
      <c r="X143" s="484"/>
      <c r="Y143" s="484"/>
      <c r="Z143" s="484"/>
    </row>
    <row r="144">
      <c r="A144" s="499"/>
      <c r="B144" s="515" t="s">
        <v>37160</v>
      </c>
      <c r="C144" s="516" t="s">
        <v>37161</v>
      </c>
      <c r="D144" s="515" t="s">
        <v>36959</v>
      </c>
      <c r="E144" s="516" t="s">
        <v>37162</v>
      </c>
      <c r="F144" s="489" t="s">
        <v>36936</v>
      </c>
      <c r="G144" s="484"/>
      <c r="H144" s="484"/>
      <c r="I144" s="484"/>
      <c r="J144" s="484"/>
      <c r="K144" s="484"/>
      <c r="L144" s="484"/>
      <c r="M144" s="484"/>
      <c r="N144" s="484"/>
      <c r="O144" s="484"/>
      <c r="P144" s="484"/>
      <c r="Q144" s="484"/>
      <c r="R144" s="484"/>
      <c r="S144" s="484"/>
      <c r="T144" s="484"/>
      <c r="U144" s="484"/>
      <c r="V144" s="484"/>
      <c r="W144" s="484"/>
      <c r="X144" s="484"/>
      <c r="Y144" s="484"/>
      <c r="Z144" s="484"/>
    </row>
    <row r="145">
      <c r="A145" s="499"/>
      <c r="D145" s="515" t="s">
        <v>37041</v>
      </c>
      <c r="E145" s="516" t="s">
        <v>37163</v>
      </c>
      <c r="F145" s="489" t="s">
        <v>36936</v>
      </c>
      <c r="G145" s="484"/>
      <c r="H145" s="484"/>
      <c r="I145" s="484"/>
      <c r="J145" s="484"/>
      <c r="K145" s="484"/>
      <c r="L145" s="484"/>
      <c r="M145" s="484"/>
      <c r="N145" s="484"/>
      <c r="O145" s="484"/>
      <c r="P145" s="484"/>
      <c r="Q145" s="484"/>
      <c r="R145" s="484"/>
      <c r="S145" s="484"/>
      <c r="T145" s="484"/>
      <c r="U145" s="484"/>
      <c r="V145" s="484"/>
      <c r="W145" s="484"/>
      <c r="X145" s="484"/>
      <c r="Y145" s="484"/>
      <c r="Z145" s="484"/>
    </row>
    <row r="146">
      <c r="A146" s="499"/>
      <c r="B146" s="515" t="s">
        <v>3889</v>
      </c>
      <c r="C146" s="516" t="s">
        <v>37164</v>
      </c>
      <c r="D146" s="515" t="s">
        <v>37127</v>
      </c>
      <c r="E146" s="516" t="s">
        <v>37165</v>
      </c>
      <c r="F146" s="489" t="s">
        <v>36936</v>
      </c>
      <c r="G146" s="484"/>
      <c r="H146" s="484"/>
      <c r="I146" s="484"/>
      <c r="J146" s="484"/>
      <c r="K146" s="484"/>
      <c r="L146" s="484"/>
      <c r="M146" s="484"/>
      <c r="N146" s="484"/>
      <c r="O146" s="484"/>
      <c r="P146" s="484"/>
      <c r="Q146" s="484"/>
      <c r="R146" s="484"/>
      <c r="S146" s="484"/>
      <c r="T146" s="484"/>
      <c r="U146" s="484"/>
      <c r="V146" s="484"/>
      <c r="W146" s="484"/>
      <c r="X146" s="484"/>
      <c r="Y146" s="484"/>
      <c r="Z146" s="484"/>
    </row>
    <row r="147">
      <c r="A147" s="499"/>
      <c r="B147" s="515" t="s">
        <v>37166</v>
      </c>
      <c r="C147" s="516" t="s">
        <v>37167</v>
      </c>
      <c r="D147" s="515" t="s">
        <v>37168</v>
      </c>
      <c r="E147" s="523" t="s">
        <v>37169</v>
      </c>
      <c r="F147" s="489" t="s">
        <v>36936</v>
      </c>
      <c r="G147" s="484"/>
      <c r="H147" s="484"/>
      <c r="I147" s="484"/>
      <c r="J147" s="484"/>
      <c r="K147" s="484"/>
      <c r="L147" s="484"/>
      <c r="M147" s="484"/>
      <c r="N147" s="484"/>
      <c r="O147" s="484"/>
      <c r="P147" s="484"/>
      <c r="Q147" s="484"/>
      <c r="R147" s="484"/>
      <c r="S147" s="484"/>
      <c r="T147" s="484"/>
      <c r="U147" s="484"/>
      <c r="V147" s="484"/>
      <c r="W147" s="484"/>
      <c r="X147" s="484"/>
      <c r="Y147" s="484"/>
      <c r="Z147" s="484"/>
    </row>
    <row r="148">
      <c r="A148" s="499"/>
      <c r="B148" s="515" t="s">
        <v>31264</v>
      </c>
      <c r="C148" s="516" t="s">
        <v>6828</v>
      </c>
      <c r="D148" s="515" t="s">
        <v>37170</v>
      </c>
      <c r="E148" s="524" t="s">
        <v>37171</v>
      </c>
      <c r="F148" s="489" t="s">
        <v>36936</v>
      </c>
      <c r="G148" s="484"/>
      <c r="H148" s="484"/>
      <c r="I148" s="484"/>
      <c r="J148" s="484"/>
      <c r="K148" s="484"/>
      <c r="L148" s="484"/>
      <c r="M148" s="484"/>
      <c r="N148" s="484"/>
      <c r="O148" s="484"/>
      <c r="P148" s="484"/>
      <c r="Q148" s="484"/>
      <c r="R148" s="484"/>
      <c r="S148" s="484"/>
      <c r="T148" s="484"/>
      <c r="U148" s="484"/>
      <c r="V148" s="484"/>
      <c r="W148" s="484"/>
      <c r="X148" s="484"/>
      <c r="Y148" s="484"/>
      <c r="Z148" s="484"/>
    </row>
    <row r="149">
      <c r="A149" s="499"/>
      <c r="B149" s="515" t="s">
        <v>37172</v>
      </c>
      <c r="C149" s="516" t="s">
        <v>37173</v>
      </c>
      <c r="D149" s="515" t="s">
        <v>37174</v>
      </c>
      <c r="E149" s="516" t="s">
        <v>37175</v>
      </c>
      <c r="F149" s="489" t="s">
        <v>36936</v>
      </c>
      <c r="G149" s="484"/>
      <c r="H149" s="484"/>
      <c r="I149" s="484"/>
      <c r="J149" s="484"/>
      <c r="K149" s="484"/>
      <c r="L149" s="484"/>
      <c r="M149" s="484"/>
      <c r="N149" s="484"/>
      <c r="O149" s="484"/>
      <c r="P149" s="484"/>
      <c r="Q149" s="484"/>
      <c r="R149" s="484"/>
      <c r="S149" s="484"/>
      <c r="T149" s="484"/>
      <c r="U149" s="484"/>
      <c r="V149" s="484"/>
      <c r="W149" s="484"/>
      <c r="X149" s="484"/>
      <c r="Y149" s="484"/>
      <c r="Z149" s="484"/>
    </row>
    <row r="150">
      <c r="A150" s="499"/>
      <c r="D150" s="515" t="s">
        <v>37176</v>
      </c>
      <c r="E150" s="516" t="s">
        <v>37177</v>
      </c>
      <c r="F150" s="489" t="s">
        <v>36936</v>
      </c>
      <c r="G150" s="484"/>
      <c r="H150" s="484"/>
      <c r="I150" s="484"/>
      <c r="J150" s="484"/>
      <c r="K150" s="484"/>
      <c r="L150" s="484"/>
      <c r="M150" s="484"/>
      <c r="N150" s="484"/>
      <c r="O150" s="484"/>
      <c r="P150" s="484"/>
      <c r="Q150" s="484"/>
      <c r="R150" s="484"/>
      <c r="S150" s="484"/>
      <c r="T150" s="484"/>
      <c r="U150" s="484"/>
      <c r="V150" s="484"/>
      <c r="W150" s="484"/>
      <c r="X150" s="484"/>
      <c r="Y150" s="484"/>
      <c r="Z150" s="484"/>
    </row>
    <row r="151">
      <c r="A151" s="499"/>
      <c r="B151" s="515" t="s">
        <v>4204</v>
      </c>
      <c r="C151" s="516" t="s">
        <v>10116</v>
      </c>
      <c r="D151" s="515" t="s">
        <v>36939</v>
      </c>
      <c r="E151" s="516" t="s">
        <v>37178</v>
      </c>
      <c r="F151" s="489" t="s">
        <v>36936</v>
      </c>
      <c r="G151" s="484"/>
      <c r="H151" s="484"/>
      <c r="I151" s="484"/>
      <c r="J151" s="484"/>
      <c r="K151" s="484"/>
      <c r="L151" s="484"/>
      <c r="M151" s="484"/>
      <c r="N151" s="484"/>
      <c r="O151" s="484"/>
      <c r="P151" s="484"/>
      <c r="Q151" s="484"/>
      <c r="R151" s="484"/>
      <c r="S151" s="484"/>
      <c r="T151" s="484"/>
      <c r="U151" s="484"/>
      <c r="V151" s="484"/>
      <c r="W151" s="484"/>
      <c r="X151" s="484"/>
      <c r="Y151" s="484"/>
      <c r="Z151" s="484"/>
    </row>
    <row r="152">
      <c r="A152" s="522"/>
      <c r="B152" s="515" t="s">
        <v>37179</v>
      </c>
      <c r="C152" s="516" t="s">
        <v>37180</v>
      </c>
      <c r="D152" s="515" t="s">
        <v>37042</v>
      </c>
      <c r="E152" s="516" t="s">
        <v>37181</v>
      </c>
      <c r="F152" s="489" t="s">
        <v>36936</v>
      </c>
      <c r="G152" s="484"/>
      <c r="H152" s="484"/>
      <c r="I152" s="484"/>
      <c r="J152" s="484"/>
      <c r="K152" s="484"/>
      <c r="L152" s="484"/>
      <c r="M152" s="484"/>
      <c r="N152" s="484"/>
      <c r="O152" s="484"/>
      <c r="P152" s="484"/>
      <c r="Q152" s="484"/>
      <c r="R152" s="484"/>
      <c r="S152" s="484"/>
      <c r="T152" s="484"/>
      <c r="U152" s="484"/>
      <c r="V152" s="484"/>
      <c r="W152" s="484"/>
      <c r="X152" s="484"/>
      <c r="Y152" s="484"/>
      <c r="Z152" s="484"/>
    </row>
    <row r="153">
      <c r="A153" s="499"/>
      <c r="B153" s="515" t="s">
        <v>37182</v>
      </c>
      <c r="C153" s="517"/>
      <c r="D153" s="517"/>
      <c r="E153" s="517"/>
      <c r="F153" s="489" t="s">
        <v>36936</v>
      </c>
      <c r="G153" s="484"/>
      <c r="H153" s="484"/>
      <c r="I153" s="484"/>
      <c r="J153" s="484"/>
      <c r="K153" s="484"/>
      <c r="L153" s="484"/>
      <c r="M153" s="484"/>
      <c r="N153" s="484"/>
      <c r="O153" s="484"/>
      <c r="P153" s="484"/>
      <c r="Q153" s="484"/>
      <c r="R153" s="484"/>
      <c r="S153" s="484"/>
      <c r="T153" s="484"/>
      <c r="U153" s="484"/>
      <c r="V153" s="484"/>
      <c r="W153" s="484"/>
      <c r="X153" s="484"/>
      <c r="Y153" s="484"/>
      <c r="Z153" s="484"/>
    </row>
    <row r="154">
      <c r="A154" s="499"/>
      <c r="B154" s="515" t="s">
        <v>37183</v>
      </c>
      <c r="C154" s="516" t="s">
        <v>37184</v>
      </c>
      <c r="D154" s="517"/>
      <c r="E154" s="517"/>
      <c r="F154" s="489" t="s">
        <v>36936</v>
      </c>
      <c r="G154" s="484"/>
      <c r="H154" s="484"/>
      <c r="I154" s="484"/>
      <c r="J154" s="484"/>
      <c r="K154" s="484"/>
      <c r="L154" s="484"/>
      <c r="M154" s="484"/>
      <c r="N154" s="484"/>
      <c r="O154" s="484"/>
      <c r="P154" s="484"/>
      <c r="Q154" s="484"/>
      <c r="R154" s="484"/>
      <c r="S154" s="484"/>
      <c r="T154" s="484"/>
      <c r="U154" s="484"/>
      <c r="V154" s="484"/>
      <c r="W154" s="484"/>
      <c r="X154" s="484"/>
      <c r="Y154" s="484"/>
      <c r="Z154" s="484"/>
    </row>
    <row r="155">
      <c r="A155" s="499"/>
      <c r="B155" s="515" t="s">
        <v>37185</v>
      </c>
      <c r="C155" s="517"/>
      <c r="D155" s="517"/>
      <c r="E155" s="517"/>
      <c r="F155" s="489" t="s">
        <v>36936</v>
      </c>
      <c r="G155" s="484"/>
      <c r="H155" s="484"/>
      <c r="I155" s="484"/>
      <c r="J155" s="484"/>
      <c r="K155" s="484"/>
      <c r="L155" s="484"/>
      <c r="M155" s="484"/>
      <c r="N155" s="484"/>
      <c r="O155" s="484"/>
      <c r="P155" s="484"/>
      <c r="Q155" s="484"/>
      <c r="R155" s="484"/>
      <c r="S155" s="484"/>
      <c r="T155" s="484"/>
      <c r="U155" s="484"/>
      <c r="V155" s="484"/>
      <c r="W155" s="484"/>
      <c r="X155" s="484"/>
      <c r="Y155" s="484"/>
      <c r="Z155" s="484"/>
    </row>
    <row r="156">
      <c r="A156" s="499"/>
      <c r="B156" s="515" t="s">
        <v>37186</v>
      </c>
      <c r="C156" s="516" t="s">
        <v>748</v>
      </c>
      <c r="D156" s="515" t="s">
        <v>36959</v>
      </c>
      <c r="E156" s="516" t="s">
        <v>37187</v>
      </c>
      <c r="F156" s="489" t="s">
        <v>36936</v>
      </c>
      <c r="G156" s="484"/>
      <c r="H156" s="484"/>
      <c r="I156" s="484"/>
      <c r="J156" s="484"/>
      <c r="K156" s="484"/>
      <c r="L156" s="484"/>
      <c r="M156" s="484"/>
      <c r="N156" s="484"/>
      <c r="O156" s="484"/>
      <c r="P156" s="484"/>
      <c r="Q156" s="484"/>
      <c r="R156" s="484"/>
      <c r="S156" s="484"/>
      <c r="T156" s="484"/>
      <c r="U156" s="484"/>
      <c r="V156" s="484"/>
      <c r="W156" s="484"/>
      <c r="X156" s="484"/>
      <c r="Y156" s="484"/>
      <c r="Z156" s="484"/>
    </row>
    <row r="157">
      <c r="A157" s="496" t="s">
        <v>18350</v>
      </c>
      <c r="B157" s="518" t="s">
        <v>31661</v>
      </c>
      <c r="C157" s="519" t="s">
        <v>3864</v>
      </c>
      <c r="D157" s="518" t="s">
        <v>36959</v>
      </c>
      <c r="E157" s="518" t="s">
        <v>37188</v>
      </c>
      <c r="F157" s="489" t="s">
        <v>36936</v>
      </c>
      <c r="G157" s="484"/>
      <c r="H157" s="484"/>
      <c r="I157" s="484"/>
      <c r="J157" s="484"/>
      <c r="K157" s="484"/>
      <c r="L157" s="484"/>
      <c r="M157" s="484"/>
      <c r="N157" s="484"/>
      <c r="O157" s="484"/>
      <c r="P157" s="484"/>
      <c r="Q157" s="484"/>
      <c r="R157" s="484"/>
      <c r="S157" s="484"/>
      <c r="T157" s="484"/>
      <c r="U157" s="484"/>
      <c r="V157" s="484"/>
      <c r="W157" s="484"/>
      <c r="X157" s="484"/>
      <c r="Y157" s="484"/>
      <c r="Z157" s="484"/>
    </row>
    <row r="158">
      <c r="A158" s="499"/>
      <c r="B158" s="497" t="s">
        <v>31671</v>
      </c>
      <c r="C158" s="498" t="s">
        <v>10116</v>
      </c>
      <c r="D158" s="497" t="s">
        <v>36993</v>
      </c>
      <c r="E158" s="497" t="s">
        <v>37189</v>
      </c>
      <c r="F158" s="489" t="s">
        <v>36936</v>
      </c>
      <c r="G158" s="484"/>
      <c r="H158" s="484"/>
      <c r="I158" s="484"/>
      <c r="J158" s="484"/>
      <c r="K158" s="484"/>
      <c r="L158" s="484"/>
      <c r="M158" s="484"/>
      <c r="N158" s="484"/>
      <c r="O158" s="484"/>
      <c r="P158" s="484"/>
      <c r="Q158" s="484"/>
      <c r="R158" s="484"/>
      <c r="S158" s="484"/>
      <c r="T158" s="484"/>
      <c r="U158" s="484"/>
      <c r="V158" s="484"/>
      <c r="W158" s="484"/>
      <c r="X158" s="484"/>
      <c r="Y158" s="484"/>
      <c r="Z158" s="484"/>
    </row>
    <row r="159">
      <c r="A159" s="499"/>
      <c r="B159" s="497" t="s">
        <v>31686</v>
      </c>
      <c r="C159" s="498" t="s">
        <v>10116</v>
      </c>
      <c r="D159" s="497" t="s">
        <v>36959</v>
      </c>
      <c r="E159" s="497" t="s">
        <v>37190</v>
      </c>
      <c r="F159" s="489" t="s">
        <v>36936</v>
      </c>
      <c r="G159" s="484"/>
      <c r="H159" s="484"/>
      <c r="I159" s="484"/>
      <c r="J159" s="484"/>
      <c r="K159" s="484"/>
      <c r="L159" s="484"/>
      <c r="M159" s="484"/>
      <c r="N159" s="484"/>
      <c r="O159" s="484"/>
      <c r="P159" s="484"/>
      <c r="Q159" s="484"/>
      <c r="R159" s="484"/>
      <c r="S159" s="484"/>
      <c r="T159" s="484"/>
      <c r="U159" s="484"/>
      <c r="V159" s="484"/>
      <c r="W159" s="484"/>
      <c r="X159" s="484"/>
      <c r="Y159" s="484"/>
      <c r="Z159" s="484"/>
    </row>
    <row r="160">
      <c r="A160" s="499"/>
      <c r="B160" s="497" t="s">
        <v>31691</v>
      </c>
      <c r="C160" s="498" t="s">
        <v>37034</v>
      </c>
      <c r="D160" s="497" t="s">
        <v>37015</v>
      </c>
      <c r="E160" s="497" t="s">
        <v>37191</v>
      </c>
      <c r="F160" s="489" t="s">
        <v>36936</v>
      </c>
      <c r="G160" s="484"/>
      <c r="H160" s="484"/>
      <c r="I160" s="484"/>
      <c r="J160" s="484"/>
      <c r="K160" s="484"/>
      <c r="L160" s="484"/>
      <c r="M160" s="484"/>
      <c r="N160" s="484"/>
      <c r="O160" s="484"/>
      <c r="P160" s="484"/>
      <c r="Q160" s="484"/>
      <c r="R160" s="484"/>
      <c r="S160" s="484"/>
      <c r="T160" s="484"/>
      <c r="U160" s="484"/>
      <c r="V160" s="484"/>
      <c r="W160" s="484"/>
      <c r="X160" s="484"/>
      <c r="Y160" s="484"/>
      <c r="Z160" s="484"/>
    </row>
    <row r="161">
      <c r="A161" s="499"/>
      <c r="B161" s="497"/>
      <c r="C161" s="498"/>
      <c r="D161" s="497"/>
      <c r="E161" s="497"/>
      <c r="F161" s="489" t="s">
        <v>36936</v>
      </c>
      <c r="G161" s="484"/>
      <c r="H161" s="484"/>
      <c r="I161" s="484"/>
      <c r="J161" s="484"/>
      <c r="K161" s="484"/>
      <c r="L161" s="484"/>
      <c r="M161" s="484"/>
      <c r="N161" s="484"/>
      <c r="O161" s="484"/>
      <c r="P161" s="484"/>
      <c r="Q161" s="484"/>
      <c r="R161" s="484"/>
      <c r="S161" s="484"/>
      <c r="T161" s="484"/>
      <c r="U161" s="484"/>
      <c r="V161" s="484"/>
      <c r="W161" s="484"/>
      <c r="X161" s="484"/>
      <c r="Y161" s="484"/>
      <c r="Z161" s="484"/>
    </row>
    <row r="162">
      <c r="A162" s="505" t="s">
        <v>37192</v>
      </c>
      <c r="B162" s="506" t="s">
        <v>28065</v>
      </c>
      <c r="C162" s="507" t="s">
        <v>400</v>
      </c>
      <c r="D162" s="506" t="s">
        <v>36951</v>
      </c>
      <c r="E162" s="506" t="s">
        <v>37193</v>
      </c>
      <c r="F162" s="489" t="s">
        <v>36936</v>
      </c>
      <c r="G162" s="484"/>
      <c r="H162" s="484"/>
      <c r="I162" s="484"/>
      <c r="J162" s="484"/>
      <c r="K162" s="484"/>
      <c r="L162" s="484"/>
      <c r="M162" s="484"/>
      <c r="N162" s="484"/>
      <c r="O162" s="484"/>
      <c r="P162" s="484"/>
      <c r="Q162" s="484"/>
      <c r="R162" s="484"/>
      <c r="S162" s="484"/>
      <c r="T162" s="484"/>
      <c r="U162" s="484"/>
      <c r="V162" s="484"/>
      <c r="W162" s="484"/>
      <c r="X162" s="484"/>
      <c r="Y162" s="484"/>
      <c r="Z162" s="484"/>
    </row>
    <row r="163">
      <c r="A163" s="499"/>
      <c r="B163" s="508" t="s">
        <v>37194</v>
      </c>
      <c r="C163" s="525"/>
      <c r="D163" s="525"/>
      <c r="E163" s="525"/>
      <c r="F163" s="489" t="s">
        <v>36936</v>
      </c>
      <c r="G163" s="484"/>
      <c r="H163" s="484"/>
      <c r="I163" s="484"/>
      <c r="J163" s="484"/>
      <c r="K163" s="484"/>
      <c r="L163" s="484"/>
      <c r="M163" s="484"/>
      <c r="N163" s="484"/>
      <c r="O163" s="484"/>
      <c r="P163" s="484"/>
      <c r="Q163" s="484"/>
      <c r="R163" s="484"/>
      <c r="S163" s="484"/>
      <c r="T163" s="484"/>
      <c r="U163" s="484"/>
      <c r="V163" s="484"/>
      <c r="W163" s="484"/>
      <c r="X163" s="484"/>
      <c r="Y163" s="484"/>
      <c r="Z163" s="484"/>
    </row>
    <row r="164">
      <c r="A164" s="499"/>
      <c r="B164" s="508" t="s">
        <v>18773</v>
      </c>
      <c r="C164" s="509" t="s">
        <v>37195</v>
      </c>
      <c r="D164" s="508" t="s">
        <v>36993</v>
      </c>
      <c r="E164" s="508" t="s">
        <v>37196</v>
      </c>
      <c r="F164" s="489" t="s">
        <v>36936</v>
      </c>
      <c r="G164" s="484"/>
      <c r="H164" s="484"/>
      <c r="I164" s="484"/>
      <c r="J164" s="484"/>
      <c r="K164" s="484"/>
      <c r="L164" s="484"/>
      <c r="M164" s="484"/>
      <c r="N164" s="484"/>
      <c r="O164" s="484"/>
      <c r="P164" s="484"/>
      <c r="Q164" s="484"/>
      <c r="R164" s="484"/>
      <c r="S164" s="484"/>
      <c r="T164" s="484"/>
      <c r="U164" s="484"/>
      <c r="V164" s="484"/>
      <c r="W164" s="484"/>
      <c r="X164" s="484"/>
      <c r="Y164" s="484"/>
      <c r="Z164" s="484"/>
    </row>
    <row r="165">
      <c r="A165" s="499"/>
      <c r="B165" s="508" t="s">
        <v>37197</v>
      </c>
      <c r="C165" s="509" t="s">
        <v>4149</v>
      </c>
      <c r="D165" s="508" t="s">
        <v>36993</v>
      </c>
      <c r="E165" s="508" t="s">
        <v>37198</v>
      </c>
      <c r="F165" s="489" t="s">
        <v>36936</v>
      </c>
      <c r="G165" s="484"/>
      <c r="H165" s="484"/>
      <c r="I165" s="484"/>
      <c r="J165" s="484"/>
      <c r="K165" s="484"/>
      <c r="L165" s="484"/>
      <c r="M165" s="484"/>
      <c r="N165" s="484"/>
      <c r="O165" s="484"/>
      <c r="P165" s="484"/>
      <c r="Q165" s="484"/>
      <c r="R165" s="484"/>
      <c r="S165" s="484"/>
      <c r="T165" s="484"/>
      <c r="U165" s="484"/>
      <c r="V165" s="484"/>
      <c r="W165" s="484"/>
      <c r="X165" s="484"/>
      <c r="Y165" s="484"/>
      <c r="Z165" s="484"/>
    </row>
    <row r="166">
      <c r="A166" s="499"/>
      <c r="B166" s="508" t="s">
        <v>18645</v>
      </c>
      <c r="C166" s="509"/>
      <c r="D166" s="508"/>
      <c r="E166" s="508"/>
      <c r="F166" s="489"/>
      <c r="G166" s="484"/>
      <c r="H166" s="484"/>
      <c r="I166" s="484"/>
      <c r="J166" s="484"/>
      <c r="K166" s="484"/>
      <c r="L166" s="484"/>
      <c r="M166" s="484"/>
      <c r="N166" s="484"/>
      <c r="O166" s="484"/>
      <c r="P166" s="484"/>
      <c r="Q166" s="484"/>
      <c r="R166" s="484"/>
      <c r="S166" s="484"/>
      <c r="T166" s="484"/>
      <c r="U166" s="484"/>
      <c r="V166" s="484"/>
      <c r="W166" s="484"/>
      <c r="X166" s="484"/>
      <c r="Y166" s="484"/>
      <c r="Z166" s="484"/>
    </row>
    <row r="167">
      <c r="A167" s="499"/>
      <c r="B167" s="508" t="s">
        <v>18738</v>
      </c>
      <c r="C167" s="509" t="s">
        <v>37199</v>
      </c>
      <c r="D167" s="525"/>
      <c r="E167" s="525"/>
      <c r="F167" s="489" t="s">
        <v>36936</v>
      </c>
      <c r="G167" s="484"/>
      <c r="H167" s="484"/>
      <c r="I167" s="484"/>
      <c r="J167" s="484"/>
      <c r="K167" s="484"/>
      <c r="L167" s="484"/>
      <c r="M167" s="484"/>
      <c r="N167" s="484"/>
      <c r="O167" s="484"/>
      <c r="P167" s="484"/>
      <c r="Q167" s="484"/>
      <c r="R167" s="484"/>
      <c r="S167" s="484"/>
      <c r="T167" s="484"/>
      <c r="U167" s="484"/>
      <c r="V167" s="484"/>
      <c r="W167" s="484"/>
      <c r="X167" s="484"/>
      <c r="Y167" s="484"/>
      <c r="Z167" s="484"/>
    </row>
    <row r="168">
      <c r="A168" s="499"/>
      <c r="B168" s="508" t="s">
        <v>37200</v>
      </c>
      <c r="C168" s="525"/>
      <c r="D168" s="508" t="s">
        <v>36959</v>
      </c>
      <c r="E168" s="508" t="s">
        <v>37201</v>
      </c>
      <c r="F168" s="489" t="s">
        <v>36936</v>
      </c>
      <c r="G168" s="484"/>
      <c r="H168" s="484"/>
      <c r="I168" s="484"/>
      <c r="J168" s="484"/>
      <c r="K168" s="484"/>
      <c r="L168" s="484"/>
      <c r="M168" s="484"/>
      <c r="N168" s="484"/>
      <c r="O168" s="484"/>
      <c r="P168" s="484"/>
      <c r="Q168" s="484"/>
      <c r="R168" s="484"/>
      <c r="S168" s="484"/>
      <c r="T168" s="484"/>
      <c r="U168" s="484"/>
      <c r="V168" s="484"/>
      <c r="W168" s="484"/>
      <c r="X168" s="484"/>
      <c r="Y168" s="484"/>
      <c r="Z168" s="484"/>
    </row>
    <row r="169">
      <c r="A169" s="499"/>
      <c r="B169" s="508" t="s">
        <v>37202</v>
      </c>
      <c r="C169" s="525"/>
      <c r="D169" s="525"/>
      <c r="E169" s="525"/>
      <c r="F169" s="489" t="s">
        <v>36936</v>
      </c>
      <c r="G169" s="484"/>
      <c r="H169" s="484"/>
      <c r="I169" s="484"/>
      <c r="J169" s="484"/>
      <c r="K169" s="484"/>
      <c r="L169" s="484"/>
      <c r="M169" s="484"/>
      <c r="N169" s="484"/>
      <c r="O169" s="484"/>
      <c r="P169" s="484"/>
      <c r="Q169" s="484"/>
      <c r="R169" s="484"/>
      <c r="S169" s="484"/>
      <c r="T169" s="484"/>
      <c r="U169" s="484"/>
      <c r="V169" s="484"/>
      <c r="W169" s="484"/>
      <c r="X169" s="484"/>
      <c r="Y169" s="484"/>
      <c r="Z169" s="484"/>
    </row>
    <row r="170">
      <c r="A170" s="499"/>
      <c r="B170" s="508" t="s">
        <v>19174</v>
      </c>
      <c r="C170" s="525"/>
      <c r="D170" s="525"/>
      <c r="E170" s="525"/>
      <c r="F170" s="489" t="s">
        <v>36936</v>
      </c>
      <c r="G170" s="484"/>
      <c r="H170" s="484"/>
      <c r="I170" s="484"/>
      <c r="J170" s="484"/>
      <c r="K170" s="484"/>
      <c r="L170" s="484"/>
      <c r="M170" s="484"/>
      <c r="N170" s="484"/>
      <c r="O170" s="484"/>
      <c r="P170" s="484"/>
      <c r="Q170" s="484"/>
      <c r="R170" s="484"/>
      <c r="S170" s="484"/>
      <c r="T170" s="484"/>
      <c r="U170" s="484"/>
      <c r="V170" s="484"/>
      <c r="W170" s="484"/>
      <c r="X170" s="484"/>
      <c r="Y170" s="484"/>
      <c r="Z170" s="484"/>
    </row>
    <row r="171">
      <c r="A171" s="511" t="s">
        <v>9994</v>
      </c>
      <c r="B171" s="512" t="s">
        <v>37203</v>
      </c>
      <c r="C171" s="513" t="s">
        <v>37204</v>
      </c>
      <c r="D171" s="512" t="s">
        <v>37205</v>
      </c>
      <c r="E171" s="526"/>
      <c r="F171" s="489" t="s">
        <v>36936</v>
      </c>
      <c r="G171" s="484"/>
      <c r="H171" s="484"/>
      <c r="I171" s="484"/>
      <c r="J171" s="484"/>
      <c r="K171" s="484"/>
      <c r="L171" s="484"/>
      <c r="M171" s="484"/>
      <c r="N171" s="484"/>
      <c r="O171" s="484"/>
      <c r="P171" s="484"/>
      <c r="Q171" s="484"/>
      <c r="R171" s="484"/>
      <c r="S171" s="484"/>
      <c r="T171" s="484"/>
      <c r="U171" s="484"/>
      <c r="V171" s="484"/>
      <c r="W171" s="484"/>
      <c r="X171" s="484"/>
      <c r="Y171" s="484"/>
      <c r="Z171" s="484"/>
    </row>
    <row r="172">
      <c r="A172" s="499"/>
      <c r="D172" s="515" t="s">
        <v>37206</v>
      </c>
      <c r="E172" s="521"/>
      <c r="F172" s="489" t="s">
        <v>36936</v>
      </c>
      <c r="G172" s="484"/>
      <c r="H172" s="484"/>
      <c r="I172" s="484"/>
      <c r="J172" s="484"/>
      <c r="K172" s="484"/>
      <c r="L172" s="484"/>
      <c r="M172" s="484"/>
      <c r="N172" s="484"/>
      <c r="O172" s="484"/>
      <c r="P172" s="484"/>
      <c r="Q172" s="484"/>
      <c r="R172" s="484"/>
      <c r="S172" s="484"/>
      <c r="T172" s="484"/>
      <c r="U172" s="484"/>
      <c r="V172" s="484"/>
      <c r="W172" s="484"/>
      <c r="X172" s="484"/>
      <c r="Y172" s="484"/>
      <c r="Z172" s="484"/>
    </row>
    <row r="173">
      <c r="A173" s="499"/>
      <c r="B173" s="515" t="s">
        <v>9548</v>
      </c>
      <c r="C173" s="516" t="s">
        <v>2604</v>
      </c>
      <c r="D173" s="515" t="s">
        <v>36993</v>
      </c>
      <c r="E173" s="521"/>
      <c r="F173" s="489" t="s">
        <v>36936</v>
      </c>
      <c r="G173" s="484"/>
      <c r="H173" s="484"/>
      <c r="I173" s="484"/>
      <c r="J173" s="484"/>
      <c r="K173" s="484"/>
      <c r="L173" s="484"/>
      <c r="M173" s="484"/>
      <c r="N173" s="484"/>
      <c r="O173" s="484"/>
      <c r="P173" s="484"/>
      <c r="Q173" s="484"/>
      <c r="R173" s="484"/>
      <c r="S173" s="484"/>
      <c r="T173" s="484"/>
      <c r="U173" s="484"/>
      <c r="V173" s="484"/>
      <c r="W173" s="484"/>
      <c r="X173" s="484"/>
      <c r="Y173" s="484"/>
      <c r="Z173" s="484"/>
    </row>
    <row r="174">
      <c r="A174" s="499"/>
      <c r="B174" s="515" t="s">
        <v>9559</v>
      </c>
      <c r="C174" s="516" t="s">
        <v>6828</v>
      </c>
      <c r="D174" s="515" t="s">
        <v>36951</v>
      </c>
      <c r="E174" s="521"/>
      <c r="F174" s="489" t="s">
        <v>36936</v>
      </c>
      <c r="G174" s="484"/>
      <c r="H174" s="484"/>
      <c r="I174" s="484"/>
      <c r="J174" s="484"/>
      <c r="K174" s="484"/>
      <c r="L174" s="484"/>
      <c r="M174" s="484"/>
      <c r="N174" s="484"/>
      <c r="O174" s="484"/>
      <c r="P174" s="484"/>
      <c r="Q174" s="484"/>
      <c r="R174" s="484"/>
      <c r="S174" s="484"/>
      <c r="T174" s="484"/>
      <c r="U174" s="484"/>
      <c r="V174" s="484"/>
      <c r="W174" s="484"/>
      <c r="X174" s="484"/>
      <c r="Y174" s="484"/>
      <c r="Z174" s="484"/>
    </row>
    <row r="175">
      <c r="A175" s="499"/>
      <c r="B175" s="515" t="s">
        <v>9563</v>
      </c>
      <c r="C175" s="516" t="s">
        <v>36944</v>
      </c>
      <c r="D175" s="515" t="s">
        <v>36968</v>
      </c>
      <c r="E175" s="521"/>
      <c r="F175" s="489" t="s">
        <v>36936</v>
      </c>
      <c r="G175" s="484"/>
      <c r="H175" s="484"/>
      <c r="I175" s="484"/>
      <c r="J175" s="484"/>
      <c r="K175" s="484"/>
      <c r="L175" s="484"/>
      <c r="M175" s="484"/>
      <c r="N175" s="484"/>
      <c r="O175" s="484"/>
      <c r="P175" s="484"/>
      <c r="Q175" s="484"/>
      <c r="R175" s="484"/>
      <c r="S175" s="484"/>
      <c r="T175" s="484"/>
      <c r="U175" s="484"/>
      <c r="V175" s="484"/>
      <c r="W175" s="484"/>
      <c r="X175" s="484"/>
      <c r="Y175" s="484"/>
      <c r="Z175" s="484"/>
    </row>
    <row r="176">
      <c r="A176" s="499"/>
      <c r="B176" s="515" t="s">
        <v>37207</v>
      </c>
      <c r="C176" s="516" t="s">
        <v>37208</v>
      </c>
      <c r="D176" s="515" t="s">
        <v>36959</v>
      </c>
      <c r="E176" s="515" t="s">
        <v>37209</v>
      </c>
      <c r="F176" s="489" t="s">
        <v>36936</v>
      </c>
      <c r="G176" s="484"/>
      <c r="H176" s="484"/>
      <c r="I176" s="484"/>
      <c r="J176" s="484"/>
      <c r="K176" s="484"/>
      <c r="L176" s="484"/>
      <c r="M176" s="484"/>
      <c r="N176" s="484"/>
      <c r="O176" s="484"/>
      <c r="P176" s="484"/>
      <c r="Q176" s="484"/>
      <c r="R176" s="484"/>
      <c r="S176" s="484"/>
      <c r="T176" s="484"/>
      <c r="U176" s="484"/>
      <c r="V176" s="484"/>
      <c r="W176" s="484"/>
      <c r="X176" s="484"/>
      <c r="Y176" s="484"/>
      <c r="Z176" s="484"/>
    </row>
    <row r="177">
      <c r="A177" s="499"/>
      <c r="B177" s="515" t="s">
        <v>9579</v>
      </c>
      <c r="C177" s="516" t="s">
        <v>10116</v>
      </c>
      <c r="D177" s="515" t="s">
        <v>37210</v>
      </c>
      <c r="E177" s="521"/>
      <c r="F177" s="489" t="s">
        <v>36936</v>
      </c>
      <c r="G177" s="484"/>
      <c r="H177" s="484"/>
      <c r="I177" s="484"/>
      <c r="J177" s="484"/>
      <c r="K177" s="484"/>
      <c r="L177" s="484"/>
      <c r="M177" s="484"/>
      <c r="N177" s="484"/>
      <c r="O177" s="484"/>
      <c r="P177" s="484"/>
      <c r="Q177" s="484"/>
      <c r="R177" s="484"/>
      <c r="S177" s="484"/>
      <c r="T177" s="484"/>
      <c r="U177" s="484"/>
      <c r="V177" s="484"/>
      <c r="W177" s="484"/>
      <c r="X177" s="484"/>
      <c r="Y177" s="484"/>
      <c r="Z177" s="484"/>
    </row>
    <row r="178">
      <c r="A178" s="499"/>
      <c r="B178" s="515" t="s">
        <v>9585</v>
      </c>
      <c r="C178" s="516"/>
      <c r="D178" s="515" t="s">
        <v>36993</v>
      </c>
      <c r="E178" s="521"/>
      <c r="F178" s="489"/>
      <c r="G178" s="484"/>
      <c r="H178" s="484"/>
      <c r="I178" s="484"/>
      <c r="J178" s="484"/>
      <c r="K178" s="484"/>
      <c r="L178" s="484"/>
      <c r="M178" s="484"/>
      <c r="N178" s="484"/>
      <c r="O178" s="484"/>
      <c r="P178" s="484"/>
      <c r="Q178" s="484"/>
      <c r="R178" s="484"/>
      <c r="S178" s="484"/>
      <c r="T178" s="484"/>
      <c r="U178" s="484"/>
      <c r="V178" s="484"/>
      <c r="W178" s="484"/>
      <c r="X178" s="484"/>
      <c r="Y178" s="484"/>
      <c r="Z178" s="484"/>
    </row>
    <row r="179">
      <c r="A179" s="499"/>
      <c r="B179" s="515" t="s">
        <v>9591</v>
      </c>
      <c r="C179" s="516" t="s">
        <v>37211</v>
      </c>
      <c r="D179" s="515" t="s">
        <v>36959</v>
      </c>
      <c r="E179" s="521"/>
      <c r="F179" s="489" t="s">
        <v>36936</v>
      </c>
      <c r="G179" s="484"/>
      <c r="H179" s="484"/>
      <c r="I179" s="484"/>
      <c r="J179" s="484"/>
      <c r="K179" s="484"/>
      <c r="L179" s="484"/>
      <c r="M179" s="484"/>
      <c r="N179" s="484"/>
      <c r="O179" s="484"/>
      <c r="P179" s="484"/>
      <c r="Q179" s="484"/>
      <c r="R179" s="484"/>
      <c r="S179" s="484"/>
      <c r="T179" s="484"/>
      <c r="U179" s="484"/>
      <c r="V179" s="484"/>
      <c r="W179" s="484"/>
      <c r="X179" s="484"/>
      <c r="Y179" s="484"/>
      <c r="Z179" s="484"/>
    </row>
    <row r="180">
      <c r="A180" s="499"/>
      <c r="D180" s="515" t="s">
        <v>37212</v>
      </c>
      <c r="E180" s="521"/>
      <c r="F180" s="489" t="s">
        <v>36936</v>
      </c>
      <c r="G180" s="484"/>
      <c r="H180" s="484"/>
      <c r="I180" s="484"/>
      <c r="J180" s="484"/>
      <c r="K180" s="484"/>
      <c r="L180" s="484"/>
      <c r="M180" s="484"/>
      <c r="N180" s="484"/>
      <c r="O180" s="484"/>
      <c r="P180" s="484"/>
      <c r="Q180" s="484"/>
      <c r="R180" s="484"/>
      <c r="S180" s="484"/>
      <c r="T180" s="484"/>
      <c r="U180" s="484"/>
      <c r="V180" s="484"/>
      <c r="W180" s="484"/>
      <c r="X180" s="484"/>
      <c r="Y180" s="484"/>
      <c r="Z180" s="484"/>
    </row>
    <row r="181">
      <c r="A181" s="499"/>
      <c r="B181" s="515" t="s">
        <v>9617</v>
      </c>
      <c r="C181" s="516" t="s">
        <v>37213</v>
      </c>
      <c r="D181" s="515" t="s">
        <v>37214</v>
      </c>
      <c r="E181" s="521"/>
      <c r="F181" s="489" t="s">
        <v>36936</v>
      </c>
      <c r="G181" s="484"/>
      <c r="H181" s="484"/>
      <c r="I181" s="484"/>
      <c r="J181" s="484"/>
      <c r="K181" s="484"/>
      <c r="L181" s="484"/>
      <c r="M181" s="484"/>
      <c r="N181" s="484"/>
      <c r="O181" s="484"/>
      <c r="P181" s="484"/>
      <c r="Q181" s="484"/>
      <c r="R181" s="484"/>
      <c r="S181" s="484"/>
      <c r="T181" s="484"/>
      <c r="U181" s="484"/>
      <c r="V181" s="484"/>
      <c r="W181" s="484"/>
      <c r="X181" s="484"/>
      <c r="Y181" s="484"/>
      <c r="Z181" s="484"/>
    </row>
    <row r="182">
      <c r="A182" s="499"/>
      <c r="D182" s="515" t="s">
        <v>37215</v>
      </c>
      <c r="E182" s="521"/>
      <c r="F182" s="489" t="s">
        <v>36936</v>
      </c>
      <c r="G182" s="484"/>
      <c r="H182" s="484"/>
      <c r="I182" s="484"/>
      <c r="J182" s="484"/>
      <c r="K182" s="484"/>
      <c r="L182" s="484"/>
      <c r="M182" s="484"/>
      <c r="N182" s="484"/>
      <c r="O182" s="484"/>
      <c r="P182" s="484"/>
      <c r="Q182" s="484"/>
      <c r="R182" s="484"/>
      <c r="S182" s="484"/>
      <c r="T182" s="484"/>
      <c r="U182" s="484"/>
      <c r="V182" s="484"/>
      <c r="W182" s="484"/>
      <c r="X182" s="484"/>
      <c r="Y182" s="484"/>
      <c r="Z182" s="484"/>
    </row>
    <row r="183">
      <c r="A183" s="499"/>
      <c r="B183" s="515" t="s">
        <v>9659</v>
      </c>
      <c r="C183" s="516" t="s">
        <v>37216</v>
      </c>
      <c r="D183" s="515" t="s">
        <v>37217</v>
      </c>
      <c r="E183" s="521"/>
      <c r="F183" s="489" t="s">
        <v>36936</v>
      </c>
      <c r="G183" s="484"/>
      <c r="H183" s="484"/>
      <c r="I183" s="484"/>
      <c r="J183" s="484"/>
      <c r="K183" s="484"/>
      <c r="L183" s="484"/>
      <c r="M183" s="484"/>
      <c r="N183" s="484"/>
      <c r="O183" s="484"/>
      <c r="P183" s="484"/>
      <c r="Q183" s="484"/>
      <c r="R183" s="484"/>
      <c r="S183" s="484"/>
      <c r="T183" s="484"/>
      <c r="U183" s="484"/>
      <c r="V183" s="484"/>
      <c r="W183" s="484"/>
      <c r="X183" s="484"/>
      <c r="Y183" s="484"/>
      <c r="Z183" s="484"/>
    </row>
    <row r="184">
      <c r="A184" s="499"/>
      <c r="B184" s="515" t="s">
        <v>9707</v>
      </c>
      <c r="C184" s="516" t="s">
        <v>37218</v>
      </c>
      <c r="D184" s="521"/>
      <c r="E184" s="521"/>
      <c r="F184" s="489" t="s">
        <v>36936</v>
      </c>
      <c r="G184" s="484"/>
      <c r="H184" s="484"/>
      <c r="I184" s="484"/>
      <c r="J184" s="484"/>
      <c r="K184" s="484"/>
      <c r="L184" s="484"/>
      <c r="M184" s="484"/>
      <c r="N184" s="484"/>
      <c r="O184" s="484"/>
      <c r="P184" s="484"/>
      <c r="Q184" s="484"/>
      <c r="R184" s="484"/>
      <c r="S184" s="484"/>
      <c r="T184" s="484"/>
      <c r="U184" s="484"/>
      <c r="V184" s="484"/>
      <c r="W184" s="484"/>
      <c r="X184" s="484"/>
      <c r="Y184" s="484"/>
      <c r="Z184" s="484"/>
    </row>
    <row r="185">
      <c r="A185" s="499"/>
      <c r="F185" s="489" t="s">
        <v>36936</v>
      </c>
      <c r="G185" s="484"/>
      <c r="H185" s="484"/>
      <c r="I185" s="484"/>
      <c r="J185" s="484"/>
      <c r="K185" s="484"/>
      <c r="L185" s="484"/>
      <c r="M185" s="484"/>
      <c r="N185" s="484"/>
      <c r="O185" s="484"/>
      <c r="P185" s="484"/>
      <c r="Q185" s="484"/>
      <c r="R185" s="484"/>
      <c r="S185" s="484"/>
      <c r="T185" s="484"/>
      <c r="U185" s="484"/>
      <c r="V185" s="484"/>
      <c r="W185" s="484"/>
      <c r="X185" s="484"/>
      <c r="Y185" s="484"/>
      <c r="Z185" s="484"/>
    </row>
    <row r="186">
      <c r="A186" s="499"/>
      <c r="B186" s="515" t="s">
        <v>37219</v>
      </c>
      <c r="C186" s="516" t="s">
        <v>4724</v>
      </c>
      <c r="D186" s="521"/>
      <c r="E186" s="521"/>
      <c r="F186" s="489" t="s">
        <v>36936</v>
      </c>
      <c r="G186" s="484"/>
      <c r="H186" s="484"/>
      <c r="I186" s="484"/>
      <c r="J186" s="484"/>
      <c r="K186" s="484"/>
      <c r="L186" s="484"/>
      <c r="M186" s="484"/>
      <c r="N186" s="484"/>
      <c r="O186" s="484"/>
      <c r="P186" s="484"/>
      <c r="Q186" s="484"/>
      <c r="R186" s="484"/>
      <c r="S186" s="484"/>
      <c r="T186" s="484"/>
      <c r="U186" s="484"/>
      <c r="V186" s="484"/>
      <c r="W186" s="484"/>
      <c r="X186" s="484"/>
      <c r="Y186" s="484"/>
      <c r="Z186" s="484"/>
    </row>
    <row r="187">
      <c r="A187" s="499"/>
      <c r="B187" s="515" t="s">
        <v>9840</v>
      </c>
      <c r="C187" s="516" t="s">
        <v>2604</v>
      </c>
      <c r="D187" s="515" t="s">
        <v>37220</v>
      </c>
      <c r="E187" s="521"/>
      <c r="F187" s="489" t="s">
        <v>36936</v>
      </c>
      <c r="G187" s="484"/>
      <c r="H187" s="484"/>
      <c r="I187" s="484"/>
      <c r="J187" s="484"/>
      <c r="K187" s="484"/>
      <c r="L187" s="484"/>
      <c r="M187" s="484"/>
      <c r="N187" s="484"/>
      <c r="O187" s="484"/>
      <c r="P187" s="484"/>
      <c r="Q187" s="484"/>
      <c r="R187" s="484"/>
      <c r="S187" s="484"/>
      <c r="T187" s="484"/>
      <c r="U187" s="484"/>
      <c r="V187" s="484"/>
      <c r="W187" s="484"/>
      <c r="X187" s="484"/>
      <c r="Y187" s="484"/>
      <c r="Z187" s="484"/>
    </row>
    <row r="188">
      <c r="A188" s="499"/>
      <c r="F188" s="489" t="s">
        <v>36936</v>
      </c>
      <c r="G188" s="484"/>
      <c r="H188" s="484"/>
      <c r="I188" s="484"/>
      <c r="J188" s="484"/>
      <c r="K188" s="484"/>
      <c r="L188" s="484"/>
      <c r="M188" s="484"/>
      <c r="N188" s="484"/>
      <c r="O188" s="484"/>
      <c r="P188" s="484"/>
      <c r="Q188" s="484"/>
      <c r="R188" s="484"/>
      <c r="S188" s="484"/>
      <c r="T188" s="484"/>
      <c r="U188" s="484"/>
      <c r="V188" s="484"/>
      <c r="W188" s="484"/>
      <c r="X188" s="484"/>
      <c r="Y188" s="484"/>
      <c r="Z188" s="484"/>
    </row>
    <row r="189">
      <c r="A189" s="522"/>
      <c r="B189" s="515" t="s">
        <v>9861</v>
      </c>
      <c r="C189" s="516" t="s">
        <v>14112</v>
      </c>
      <c r="D189" s="515" t="s">
        <v>37221</v>
      </c>
      <c r="E189" s="515" t="s">
        <v>37222</v>
      </c>
      <c r="F189" s="489" t="s">
        <v>36936</v>
      </c>
      <c r="G189" s="484"/>
      <c r="H189" s="484"/>
      <c r="I189" s="484"/>
      <c r="J189" s="484"/>
      <c r="K189" s="484"/>
      <c r="L189" s="484"/>
      <c r="M189" s="484"/>
      <c r="N189" s="484"/>
      <c r="O189" s="484"/>
      <c r="P189" s="484"/>
      <c r="Q189" s="484"/>
      <c r="R189" s="484"/>
      <c r="S189" s="484"/>
      <c r="T189" s="484"/>
      <c r="U189" s="484"/>
      <c r="V189" s="484"/>
      <c r="W189" s="484"/>
      <c r="X189" s="484"/>
      <c r="Y189" s="484"/>
      <c r="Z189" s="484"/>
    </row>
    <row r="190">
      <c r="A190" s="499"/>
      <c r="B190" s="515" t="s">
        <v>9897</v>
      </c>
      <c r="C190" s="516" t="s">
        <v>37223</v>
      </c>
      <c r="D190" s="521"/>
      <c r="E190" s="521"/>
      <c r="F190" s="489" t="s">
        <v>36936</v>
      </c>
      <c r="G190" s="484"/>
      <c r="H190" s="484"/>
      <c r="I190" s="484"/>
      <c r="J190" s="484"/>
      <c r="K190" s="484"/>
      <c r="L190" s="484"/>
      <c r="M190" s="484"/>
      <c r="N190" s="484"/>
      <c r="O190" s="484"/>
      <c r="P190" s="484"/>
      <c r="Q190" s="484"/>
      <c r="R190" s="484"/>
      <c r="S190" s="484"/>
      <c r="T190" s="484"/>
      <c r="U190" s="484"/>
      <c r="V190" s="484"/>
      <c r="W190" s="484"/>
      <c r="X190" s="484"/>
      <c r="Y190" s="484"/>
      <c r="Z190" s="484"/>
    </row>
    <row r="191">
      <c r="A191" s="499"/>
      <c r="B191" s="515" t="s">
        <v>37224</v>
      </c>
      <c r="C191" s="516" t="s">
        <v>37225</v>
      </c>
      <c r="D191" s="515" t="s">
        <v>37226</v>
      </c>
      <c r="E191" s="521"/>
      <c r="F191" s="489" t="s">
        <v>36936</v>
      </c>
      <c r="G191" s="484"/>
      <c r="H191" s="484"/>
      <c r="I191" s="484"/>
      <c r="J191" s="484"/>
      <c r="K191" s="484"/>
      <c r="L191" s="484"/>
      <c r="M191" s="484"/>
      <c r="N191" s="484"/>
      <c r="O191" s="484"/>
      <c r="P191" s="484"/>
      <c r="Q191" s="484"/>
      <c r="R191" s="484"/>
      <c r="S191" s="484"/>
      <c r="T191" s="484"/>
      <c r="U191" s="484"/>
      <c r="V191" s="484"/>
      <c r="W191" s="484"/>
      <c r="X191" s="484"/>
      <c r="Y191" s="484"/>
      <c r="Z191" s="484"/>
    </row>
    <row r="192">
      <c r="A192" s="499"/>
      <c r="B192" s="515" t="s">
        <v>9976</v>
      </c>
      <c r="C192" s="516" t="s">
        <v>37227</v>
      </c>
      <c r="D192" s="515" t="s">
        <v>36951</v>
      </c>
      <c r="E192" s="521"/>
      <c r="F192" s="489" t="s">
        <v>36936</v>
      </c>
      <c r="G192" s="484"/>
      <c r="H192" s="484"/>
      <c r="I192" s="484"/>
      <c r="J192" s="484"/>
      <c r="K192" s="484"/>
      <c r="L192" s="484"/>
      <c r="M192" s="484"/>
      <c r="N192" s="484"/>
      <c r="O192" s="484"/>
      <c r="P192" s="484"/>
      <c r="Q192" s="484"/>
      <c r="R192" s="484"/>
      <c r="S192" s="484"/>
      <c r="T192" s="484"/>
      <c r="U192" s="484"/>
      <c r="V192" s="484"/>
      <c r="W192" s="484"/>
      <c r="X192" s="484"/>
      <c r="Y192" s="484"/>
      <c r="Z192" s="484"/>
    </row>
    <row r="193">
      <c r="A193" s="499"/>
      <c r="B193" s="515" t="s">
        <v>9982</v>
      </c>
      <c r="C193" s="521"/>
      <c r="D193" s="521"/>
      <c r="E193" s="521"/>
      <c r="F193" s="489" t="s">
        <v>36936</v>
      </c>
      <c r="G193" s="484"/>
      <c r="H193" s="484"/>
      <c r="I193" s="484"/>
      <c r="J193" s="484"/>
      <c r="K193" s="484"/>
      <c r="L193" s="484"/>
      <c r="M193" s="484"/>
      <c r="N193" s="484"/>
      <c r="O193" s="484"/>
      <c r="P193" s="484"/>
      <c r="Q193" s="484"/>
      <c r="R193" s="484"/>
      <c r="S193" s="484"/>
      <c r="T193" s="484"/>
      <c r="U193" s="484"/>
      <c r="V193" s="484"/>
      <c r="W193" s="484"/>
      <c r="X193" s="484"/>
      <c r="Y193" s="484"/>
      <c r="Z193" s="484"/>
    </row>
    <row r="194">
      <c r="A194" s="499"/>
      <c r="B194" s="515" t="s">
        <v>10233</v>
      </c>
      <c r="C194" s="521"/>
      <c r="D194" s="521"/>
      <c r="E194" s="521"/>
      <c r="F194" s="489" t="s">
        <v>36936</v>
      </c>
      <c r="G194" s="484"/>
      <c r="H194" s="484"/>
      <c r="I194" s="484"/>
      <c r="J194" s="484"/>
      <c r="K194" s="484"/>
      <c r="L194" s="484"/>
      <c r="M194" s="484"/>
      <c r="N194" s="484"/>
      <c r="O194" s="484"/>
      <c r="P194" s="484"/>
      <c r="Q194" s="484"/>
      <c r="R194" s="484"/>
      <c r="S194" s="484"/>
      <c r="T194" s="484"/>
      <c r="U194" s="484"/>
      <c r="V194" s="484"/>
      <c r="W194" s="484"/>
      <c r="X194" s="484"/>
      <c r="Y194" s="484"/>
      <c r="Z194" s="484"/>
    </row>
    <row r="195">
      <c r="A195" s="499"/>
      <c r="B195" s="515" t="s">
        <v>37228</v>
      </c>
      <c r="C195" s="521"/>
      <c r="D195" s="521"/>
      <c r="E195" s="521"/>
      <c r="F195" s="489" t="s">
        <v>36936</v>
      </c>
      <c r="G195" s="484"/>
      <c r="H195" s="484"/>
      <c r="I195" s="484"/>
      <c r="J195" s="484"/>
      <c r="K195" s="484"/>
      <c r="L195" s="484"/>
      <c r="M195" s="484"/>
      <c r="N195" s="484"/>
      <c r="O195" s="484"/>
      <c r="P195" s="484"/>
      <c r="Q195" s="484"/>
      <c r="R195" s="484"/>
      <c r="S195" s="484"/>
      <c r="T195" s="484"/>
      <c r="U195" s="484"/>
      <c r="V195" s="484"/>
      <c r="W195" s="484"/>
      <c r="X195" s="484"/>
      <c r="Y195" s="484"/>
      <c r="Z195" s="484"/>
    </row>
    <row r="196">
      <c r="A196" s="499"/>
      <c r="B196" s="515" t="s">
        <v>37229</v>
      </c>
      <c r="C196" s="521"/>
      <c r="D196" s="521"/>
      <c r="E196" s="521"/>
      <c r="F196" s="489" t="s">
        <v>36936</v>
      </c>
      <c r="G196" s="484"/>
      <c r="H196" s="484"/>
      <c r="I196" s="484"/>
      <c r="J196" s="484"/>
      <c r="K196" s="484"/>
      <c r="L196" s="484"/>
      <c r="M196" s="484"/>
      <c r="N196" s="484"/>
      <c r="O196" s="484"/>
      <c r="P196" s="484"/>
      <c r="Q196" s="484"/>
      <c r="R196" s="484"/>
      <c r="S196" s="484"/>
      <c r="T196" s="484"/>
      <c r="U196" s="484"/>
      <c r="V196" s="484"/>
      <c r="W196" s="484"/>
      <c r="X196" s="484"/>
      <c r="Y196" s="484"/>
      <c r="Z196" s="484"/>
    </row>
    <row r="197">
      <c r="A197" s="499"/>
      <c r="B197" s="515" t="s">
        <v>37230</v>
      </c>
      <c r="C197" s="521"/>
      <c r="D197" s="521"/>
      <c r="E197" s="521"/>
      <c r="F197" s="489" t="s">
        <v>36936</v>
      </c>
      <c r="G197" s="484"/>
      <c r="H197" s="484"/>
      <c r="I197" s="484"/>
      <c r="J197" s="484"/>
      <c r="K197" s="484"/>
      <c r="L197" s="484"/>
      <c r="M197" s="484"/>
      <c r="N197" s="484"/>
      <c r="O197" s="484"/>
      <c r="P197" s="484"/>
      <c r="Q197" s="484"/>
      <c r="R197" s="484"/>
      <c r="S197" s="484"/>
      <c r="T197" s="484"/>
      <c r="U197" s="484"/>
      <c r="V197" s="484"/>
      <c r="W197" s="484"/>
      <c r="X197" s="484"/>
      <c r="Y197" s="484"/>
      <c r="Z197" s="484"/>
    </row>
    <row r="198">
      <c r="A198" s="499"/>
      <c r="B198" s="515" t="s">
        <v>10340</v>
      </c>
      <c r="C198" s="521"/>
      <c r="D198" s="521"/>
      <c r="E198" s="521"/>
      <c r="F198" s="489" t="s">
        <v>36936</v>
      </c>
      <c r="G198" s="484"/>
      <c r="H198" s="484"/>
      <c r="I198" s="484"/>
      <c r="J198" s="484"/>
      <c r="K198" s="484"/>
      <c r="L198" s="484"/>
      <c r="M198" s="484"/>
      <c r="N198" s="484"/>
      <c r="O198" s="484"/>
      <c r="P198" s="484"/>
      <c r="Q198" s="484"/>
      <c r="R198" s="484"/>
      <c r="S198" s="484"/>
      <c r="T198" s="484"/>
      <c r="U198" s="484"/>
      <c r="V198" s="484"/>
      <c r="W198" s="484"/>
      <c r="X198" s="484"/>
      <c r="Y198" s="484"/>
      <c r="Z198" s="484"/>
    </row>
    <row r="199">
      <c r="A199" s="499"/>
      <c r="B199" s="515" t="s">
        <v>10441</v>
      </c>
      <c r="C199" s="516" t="s">
        <v>1392</v>
      </c>
      <c r="D199" s="515" t="s">
        <v>36959</v>
      </c>
      <c r="E199" s="515" t="s">
        <v>37231</v>
      </c>
      <c r="F199" s="489" t="s">
        <v>36936</v>
      </c>
      <c r="G199" s="484"/>
      <c r="H199" s="484"/>
      <c r="I199" s="484"/>
      <c r="J199" s="484"/>
      <c r="K199" s="484"/>
      <c r="L199" s="484"/>
      <c r="M199" s="484"/>
      <c r="N199" s="484"/>
      <c r="O199" s="484"/>
      <c r="P199" s="484"/>
      <c r="Q199" s="484"/>
      <c r="R199" s="484"/>
      <c r="S199" s="484"/>
      <c r="T199" s="484"/>
      <c r="U199" s="484"/>
      <c r="V199" s="484"/>
      <c r="W199" s="484"/>
      <c r="X199" s="484"/>
      <c r="Y199" s="484"/>
      <c r="Z199" s="484"/>
    </row>
    <row r="200">
      <c r="A200" s="499"/>
      <c r="B200" s="515" t="s">
        <v>10447</v>
      </c>
      <c r="C200" s="521"/>
      <c r="D200" s="521"/>
      <c r="E200" s="521"/>
      <c r="F200" s="489" t="s">
        <v>36936</v>
      </c>
      <c r="G200" s="484"/>
      <c r="H200" s="484"/>
      <c r="I200" s="484"/>
      <c r="J200" s="484"/>
      <c r="K200" s="484"/>
      <c r="L200" s="484"/>
      <c r="M200" s="484"/>
      <c r="N200" s="484"/>
      <c r="O200" s="484"/>
      <c r="P200" s="484"/>
      <c r="Q200" s="484"/>
      <c r="R200" s="484"/>
      <c r="S200" s="484"/>
      <c r="T200" s="484"/>
      <c r="U200" s="484"/>
      <c r="V200" s="484"/>
      <c r="W200" s="484"/>
      <c r="X200" s="484"/>
      <c r="Y200" s="484"/>
      <c r="Z200" s="484"/>
    </row>
    <row r="201">
      <c r="A201" s="496" t="s">
        <v>37232</v>
      </c>
      <c r="B201" s="518" t="s">
        <v>37233</v>
      </c>
      <c r="C201" s="520"/>
      <c r="D201" s="518" t="s">
        <v>37234</v>
      </c>
      <c r="E201" s="520"/>
      <c r="F201" s="489" t="s">
        <v>36936</v>
      </c>
      <c r="G201" s="484"/>
      <c r="H201" s="484"/>
      <c r="I201" s="484"/>
      <c r="J201" s="484"/>
      <c r="K201" s="484"/>
      <c r="L201" s="484"/>
      <c r="M201" s="484"/>
      <c r="N201" s="484"/>
      <c r="O201" s="484"/>
      <c r="P201" s="484"/>
      <c r="Q201" s="484"/>
      <c r="R201" s="484"/>
      <c r="S201" s="484"/>
      <c r="T201" s="484"/>
      <c r="U201" s="484"/>
      <c r="V201" s="484"/>
      <c r="W201" s="484"/>
      <c r="X201" s="484"/>
      <c r="Y201" s="484"/>
      <c r="Z201" s="484"/>
    </row>
    <row r="202">
      <c r="A202" s="499"/>
      <c r="B202" s="497" t="s">
        <v>37235</v>
      </c>
      <c r="C202" s="503"/>
      <c r="D202" s="503"/>
      <c r="E202" s="503"/>
      <c r="F202" s="489" t="s">
        <v>36936</v>
      </c>
      <c r="G202" s="484"/>
      <c r="H202" s="484"/>
      <c r="I202" s="484"/>
      <c r="J202" s="484"/>
      <c r="K202" s="484"/>
      <c r="L202" s="484"/>
      <c r="M202" s="484"/>
      <c r="N202" s="484"/>
      <c r="O202" s="484"/>
      <c r="P202" s="484"/>
      <c r="Q202" s="484"/>
      <c r="R202" s="484"/>
      <c r="S202" s="484"/>
      <c r="T202" s="484"/>
      <c r="U202" s="484"/>
      <c r="V202" s="484"/>
      <c r="W202" s="484"/>
      <c r="X202" s="484"/>
      <c r="Y202" s="484"/>
      <c r="Z202" s="484"/>
    </row>
    <row r="203">
      <c r="A203" s="499"/>
      <c r="B203" s="497" t="s">
        <v>37236</v>
      </c>
      <c r="C203" s="503"/>
      <c r="D203" s="503"/>
      <c r="E203" s="503"/>
      <c r="F203" s="489" t="s">
        <v>36936</v>
      </c>
      <c r="G203" s="484"/>
      <c r="H203" s="484"/>
      <c r="I203" s="484"/>
      <c r="J203" s="484"/>
      <c r="K203" s="484"/>
      <c r="L203" s="484"/>
      <c r="M203" s="484"/>
      <c r="N203" s="484"/>
      <c r="O203" s="484"/>
      <c r="P203" s="484"/>
      <c r="Q203" s="484"/>
      <c r="R203" s="484"/>
      <c r="S203" s="484"/>
      <c r="T203" s="484"/>
      <c r="U203" s="484"/>
      <c r="V203" s="484"/>
      <c r="W203" s="484"/>
      <c r="X203" s="484"/>
      <c r="Y203" s="484"/>
      <c r="Z203" s="484"/>
    </row>
    <row r="204">
      <c r="A204" s="499"/>
      <c r="B204" s="497" t="s">
        <v>37237</v>
      </c>
      <c r="C204" s="498" t="s">
        <v>4724</v>
      </c>
      <c r="D204" s="503"/>
      <c r="E204" s="497" t="s">
        <v>37238</v>
      </c>
      <c r="F204" s="489" t="s">
        <v>36936</v>
      </c>
      <c r="G204" s="484"/>
      <c r="H204" s="484"/>
      <c r="I204" s="484"/>
      <c r="J204" s="484"/>
      <c r="K204" s="484"/>
      <c r="L204" s="484"/>
      <c r="M204" s="484"/>
      <c r="N204" s="484"/>
      <c r="O204" s="484"/>
      <c r="P204" s="484"/>
      <c r="Q204" s="484"/>
      <c r="R204" s="484"/>
      <c r="S204" s="484"/>
      <c r="T204" s="484"/>
      <c r="U204" s="484"/>
      <c r="V204" s="484"/>
      <c r="W204" s="484"/>
      <c r="X204" s="484"/>
      <c r="Y204" s="484"/>
      <c r="Z204" s="484"/>
    </row>
    <row r="205">
      <c r="A205" s="505" t="s">
        <v>37239</v>
      </c>
      <c r="B205" s="506" t="s">
        <v>19848</v>
      </c>
      <c r="C205" s="507" t="s">
        <v>37240</v>
      </c>
      <c r="D205" s="506" t="s">
        <v>37241</v>
      </c>
      <c r="E205" s="527"/>
      <c r="F205" s="489" t="s">
        <v>36936</v>
      </c>
      <c r="G205" s="484"/>
      <c r="H205" s="484"/>
      <c r="I205" s="484"/>
      <c r="J205" s="484"/>
      <c r="K205" s="484"/>
      <c r="L205" s="484"/>
      <c r="M205" s="484"/>
      <c r="N205" s="484"/>
      <c r="O205" s="484"/>
      <c r="P205" s="484"/>
      <c r="Q205" s="484"/>
      <c r="R205" s="484"/>
      <c r="S205" s="484"/>
      <c r="T205" s="484"/>
      <c r="U205" s="484"/>
      <c r="V205" s="484"/>
      <c r="W205" s="484"/>
      <c r="X205" s="484"/>
      <c r="Y205" s="484"/>
      <c r="Z205" s="484"/>
    </row>
    <row r="206">
      <c r="A206" s="499"/>
      <c r="B206" s="508" t="s">
        <v>19993</v>
      </c>
      <c r="C206" s="509" t="s">
        <v>36365</v>
      </c>
      <c r="D206" s="508" t="s">
        <v>37242</v>
      </c>
      <c r="E206" s="525"/>
      <c r="F206" s="489" t="s">
        <v>36936</v>
      </c>
      <c r="G206" s="484"/>
      <c r="H206" s="484"/>
      <c r="I206" s="484"/>
      <c r="J206" s="484"/>
      <c r="K206" s="484"/>
      <c r="L206" s="484"/>
      <c r="M206" s="484"/>
      <c r="N206" s="484"/>
      <c r="O206" s="484"/>
      <c r="P206" s="484"/>
      <c r="Q206" s="484"/>
      <c r="R206" s="484"/>
      <c r="S206" s="484"/>
      <c r="T206" s="484"/>
      <c r="U206" s="484"/>
      <c r="V206" s="484"/>
      <c r="W206" s="484"/>
      <c r="X206" s="484"/>
      <c r="Y206" s="484"/>
      <c r="Z206" s="484"/>
    </row>
    <row r="207">
      <c r="A207" s="499"/>
      <c r="B207" s="508" t="s">
        <v>37243</v>
      </c>
      <c r="C207" s="509" t="s">
        <v>37244</v>
      </c>
      <c r="D207" s="508" t="s">
        <v>37015</v>
      </c>
      <c r="E207" s="525"/>
      <c r="F207" s="489" t="s">
        <v>36936</v>
      </c>
      <c r="G207" s="484"/>
      <c r="H207" s="484"/>
      <c r="I207" s="484"/>
      <c r="J207" s="484"/>
      <c r="K207" s="484"/>
      <c r="L207" s="484"/>
      <c r="M207" s="484"/>
      <c r="N207" s="484"/>
      <c r="O207" s="484"/>
      <c r="P207" s="484"/>
      <c r="Q207" s="484"/>
      <c r="R207" s="484"/>
      <c r="S207" s="484"/>
      <c r="T207" s="484"/>
      <c r="U207" s="484"/>
      <c r="V207" s="484"/>
      <c r="W207" s="484"/>
      <c r="X207" s="484"/>
      <c r="Y207" s="484"/>
      <c r="Z207" s="484"/>
    </row>
    <row r="208">
      <c r="A208" s="499"/>
      <c r="B208" s="508" t="s">
        <v>20032</v>
      </c>
      <c r="C208" s="509" t="s">
        <v>400</v>
      </c>
      <c r="D208" s="508" t="s">
        <v>36941</v>
      </c>
      <c r="E208" s="525"/>
      <c r="F208" s="489" t="s">
        <v>36936</v>
      </c>
      <c r="G208" s="484"/>
      <c r="H208" s="484"/>
      <c r="I208" s="484"/>
      <c r="J208" s="484"/>
      <c r="K208" s="484"/>
      <c r="L208" s="484"/>
      <c r="M208" s="484"/>
      <c r="N208" s="484"/>
      <c r="O208" s="484"/>
      <c r="P208" s="484"/>
      <c r="Q208" s="484"/>
      <c r="R208" s="484"/>
      <c r="S208" s="484"/>
      <c r="T208" s="484"/>
      <c r="U208" s="484"/>
      <c r="V208" s="484"/>
      <c r="W208" s="484"/>
      <c r="X208" s="484"/>
      <c r="Y208" s="484"/>
      <c r="Z208" s="484"/>
    </row>
    <row r="209">
      <c r="A209" s="499"/>
      <c r="B209" s="508" t="s">
        <v>21774</v>
      </c>
      <c r="C209" s="525"/>
      <c r="D209" s="525"/>
      <c r="E209" s="525"/>
      <c r="F209" s="489" t="s">
        <v>36936</v>
      </c>
      <c r="G209" s="484"/>
      <c r="H209" s="484"/>
      <c r="I209" s="484"/>
      <c r="J209" s="484"/>
      <c r="K209" s="484"/>
      <c r="L209" s="484"/>
      <c r="M209" s="484"/>
      <c r="N209" s="484"/>
      <c r="O209" s="484"/>
      <c r="P209" s="484"/>
      <c r="Q209" s="484"/>
      <c r="R209" s="484"/>
      <c r="S209" s="484"/>
      <c r="T209" s="484"/>
      <c r="U209" s="484"/>
      <c r="V209" s="484"/>
      <c r="W209" s="484"/>
      <c r="X209" s="484"/>
      <c r="Y209" s="484"/>
      <c r="Z209" s="484"/>
    </row>
    <row r="210">
      <c r="A210" s="499"/>
      <c r="B210" s="508" t="s">
        <v>37245</v>
      </c>
      <c r="C210" s="509" t="s">
        <v>400</v>
      </c>
      <c r="D210" s="508" t="s">
        <v>37234</v>
      </c>
      <c r="E210" s="525"/>
      <c r="F210" s="489" t="s">
        <v>36936</v>
      </c>
      <c r="G210" s="484"/>
      <c r="H210" s="484"/>
      <c r="I210" s="484"/>
      <c r="J210" s="484"/>
      <c r="K210" s="484"/>
      <c r="L210" s="484"/>
      <c r="M210" s="484"/>
      <c r="N210" s="484"/>
      <c r="O210" s="484"/>
      <c r="P210" s="484"/>
      <c r="Q210" s="484"/>
      <c r="R210" s="484"/>
      <c r="S210" s="484"/>
      <c r="T210" s="484"/>
      <c r="U210" s="484"/>
      <c r="V210" s="484"/>
      <c r="W210" s="484"/>
      <c r="X210" s="484"/>
      <c r="Y210" s="484"/>
      <c r="Z210" s="484"/>
    </row>
    <row r="211">
      <c r="A211" s="499"/>
      <c r="B211" s="508" t="s">
        <v>37246</v>
      </c>
      <c r="C211" s="525"/>
      <c r="D211" s="525"/>
      <c r="E211" s="525"/>
      <c r="F211" s="489" t="s">
        <v>36936</v>
      </c>
      <c r="G211" s="484"/>
      <c r="H211" s="484"/>
      <c r="I211" s="484"/>
      <c r="J211" s="484"/>
      <c r="K211" s="484"/>
      <c r="L211" s="484"/>
      <c r="M211" s="484"/>
      <c r="N211" s="484"/>
      <c r="O211" s="484"/>
      <c r="P211" s="484"/>
      <c r="Q211" s="484"/>
      <c r="R211" s="484"/>
      <c r="S211" s="484"/>
      <c r="T211" s="484"/>
      <c r="U211" s="484"/>
      <c r="V211" s="484"/>
      <c r="W211" s="484"/>
      <c r="X211" s="484"/>
      <c r="Y211" s="484"/>
      <c r="Z211" s="484"/>
    </row>
    <row r="212">
      <c r="A212" s="499"/>
      <c r="B212" s="508" t="s">
        <v>37247</v>
      </c>
      <c r="C212" s="525"/>
      <c r="D212" s="525"/>
      <c r="E212" s="525"/>
      <c r="F212" s="489" t="s">
        <v>36936</v>
      </c>
      <c r="G212" s="484"/>
      <c r="H212" s="484"/>
      <c r="I212" s="484"/>
      <c r="J212" s="484"/>
      <c r="K212" s="484"/>
      <c r="L212" s="484"/>
      <c r="M212" s="484"/>
      <c r="N212" s="484"/>
      <c r="O212" s="484"/>
      <c r="P212" s="484"/>
      <c r="Q212" s="484"/>
      <c r="R212" s="484"/>
      <c r="S212" s="484"/>
      <c r="T212" s="484"/>
      <c r="U212" s="484"/>
      <c r="V212" s="484"/>
      <c r="W212" s="484"/>
      <c r="X212" s="484"/>
      <c r="Y212" s="484"/>
      <c r="Z212" s="484"/>
    </row>
    <row r="213">
      <c r="A213" s="499"/>
      <c r="B213" s="508" t="s">
        <v>37248</v>
      </c>
      <c r="C213" s="525"/>
      <c r="D213" s="525"/>
      <c r="E213" s="525"/>
      <c r="F213" s="528" t="s">
        <v>36936</v>
      </c>
      <c r="G213" s="484"/>
      <c r="H213" s="484"/>
      <c r="I213" s="484"/>
      <c r="J213" s="484"/>
      <c r="K213" s="484"/>
      <c r="L213" s="484"/>
      <c r="M213" s="484"/>
      <c r="N213" s="484"/>
      <c r="O213" s="484"/>
      <c r="P213" s="484"/>
      <c r="Q213" s="484"/>
      <c r="R213" s="484"/>
      <c r="S213" s="484"/>
      <c r="T213" s="484"/>
      <c r="U213" s="484"/>
      <c r="V213" s="484"/>
      <c r="W213" s="484"/>
      <c r="X213" s="484"/>
      <c r="Y213" s="484"/>
      <c r="Z213" s="484"/>
    </row>
    <row r="214">
      <c r="A214" s="499"/>
      <c r="B214" s="508" t="s">
        <v>20427</v>
      </c>
      <c r="C214" s="525"/>
      <c r="D214" s="525"/>
      <c r="E214" s="525"/>
      <c r="F214" s="528" t="s">
        <v>36936</v>
      </c>
      <c r="G214" s="484"/>
      <c r="H214" s="484"/>
      <c r="I214" s="484"/>
      <c r="J214" s="484"/>
      <c r="K214" s="484"/>
      <c r="L214" s="484"/>
      <c r="M214" s="484"/>
      <c r="N214" s="484"/>
      <c r="O214" s="484"/>
      <c r="P214" s="484"/>
      <c r="Q214" s="484"/>
      <c r="R214" s="484"/>
      <c r="S214" s="484"/>
      <c r="T214" s="484"/>
      <c r="U214" s="484"/>
      <c r="V214" s="484"/>
      <c r="W214" s="484"/>
      <c r="X214" s="484"/>
      <c r="Y214" s="484"/>
      <c r="Z214" s="484"/>
    </row>
    <row r="215">
      <c r="A215" s="499"/>
      <c r="B215" s="508" t="s">
        <v>20757</v>
      </c>
      <c r="C215" s="509" t="s">
        <v>37249</v>
      </c>
      <c r="D215" s="525"/>
      <c r="E215" s="525"/>
      <c r="F215" s="528" t="s">
        <v>36936</v>
      </c>
      <c r="G215" s="484"/>
      <c r="H215" s="484"/>
      <c r="I215" s="484"/>
      <c r="J215" s="484"/>
      <c r="K215" s="484"/>
      <c r="L215" s="484"/>
      <c r="M215" s="484"/>
      <c r="N215" s="484"/>
      <c r="O215" s="484"/>
      <c r="P215" s="484"/>
      <c r="Q215" s="484"/>
      <c r="R215" s="484"/>
      <c r="S215" s="484"/>
      <c r="T215" s="484"/>
      <c r="U215" s="484"/>
      <c r="V215" s="484"/>
      <c r="W215" s="484"/>
      <c r="X215" s="484"/>
      <c r="Y215" s="484"/>
      <c r="Z215" s="484"/>
    </row>
    <row r="216">
      <c r="A216" s="499"/>
      <c r="B216" s="508" t="s">
        <v>37250</v>
      </c>
      <c r="C216" s="509" t="s">
        <v>37251</v>
      </c>
      <c r="D216" s="525"/>
      <c r="E216" s="525"/>
      <c r="F216" s="528" t="s">
        <v>36936</v>
      </c>
      <c r="G216" s="484"/>
      <c r="H216" s="484"/>
      <c r="I216" s="484"/>
      <c r="J216" s="484"/>
      <c r="K216" s="484"/>
      <c r="L216" s="484"/>
      <c r="M216" s="484"/>
      <c r="N216" s="484"/>
      <c r="O216" s="484"/>
      <c r="P216" s="484"/>
      <c r="Q216" s="484"/>
      <c r="R216" s="484"/>
      <c r="S216" s="484"/>
      <c r="T216" s="484"/>
      <c r="U216" s="484"/>
      <c r="V216" s="484"/>
      <c r="W216" s="484"/>
      <c r="X216" s="484"/>
      <c r="Y216" s="484"/>
      <c r="Z216" s="484"/>
    </row>
    <row r="217">
      <c r="A217" s="499"/>
      <c r="B217" s="508" t="s">
        <v>20969</v>
      </c>
      <c r="C217" s="525"/>
      <c r="D217" s="525"/>
      <c r="E217" s="525"/>
      <c r="F217" s="528" t="s">
        <v>36936</v>
      </c>
      <c r="G217" s="484"/>
      <c r="H217" s="484"/>
      <c r="I217" s="484"/>
      <c r="J217" s="484"/>
      <c r="K217" s="484"/>
      <c r="L217" s="484"/>
      <c r="M217" s="484"/>
      <c r="N217" s="484"/>
      <c r="O217" s="484"/>
      <c r="P217" s="484"/>
      <c r="Q217" s="484"/>
      <c r="R217" s="484"/>
      <c r="S217" s="484"/>
      <c r="T217" s="484"/>
      <c r="U217" s="484"/>
      <c r="V217" s="484"/>
      <c r="W217" s="484"/>
      <c r="X217" s="484"/>
      <c r="Y217" s="484"/>
      <c r="Z217" s="484"/>
    </row>
    <row r="218">
      <c r="A218" s="499"/>
      <c r="B218" s="508" t="s">
        <v>21531</v>
      </c>
      <c r="C218" s="509" t="s">
        <v>37252</v>
      </c>
      <c r="D218" s="525"/>
      <c r="E218" s="525"/>
      <c r="F218" s="528" t="s">
        <v>36936</v>
      </c>
      <c r="G218" s="484"/>
      <c r="H218" s="484"/>
      <c r="I218" s="484"/>
      <c r="J218" s="484"/>
      <c r="K218" s="484"/>
      <c r="L218" s="484"/>
      <c r="M218" s="484"/>
      <c r="N218" s="484"/>
      <c r="O218" s="484"/>
      <c r="P218" s="484"/>
      <c r="Q218" s="484"/>
      <c r="R218" s="484"/>
      <c r="S218" s="484"/>
      <c r="T218" s="484"/>
      <c r="U218" s="484"/>
      <c r="V218" s="484"/>
      <c r="W218" s="484"/>
      <c r="X218" s="484"/>
      <c r="Y218" s="484"/>
      <c r="Z218" s="484"/>
    </row>
    <row r="219">
      <c r="A219" s="499"/>
      <c r="B219" s="508" t="s">
        <v>21577</v>
      </c>
      <c r="C219" s="509" t="s">
        <v>1416</v>
      </c>
      <c r="D219" s="525"/>
      <c r="E219" s="525"/>
      <c r="F219" s="528" t="s">
        <v>36936</v>
      </c>
      <c r="G219" s="484"/>
      <c r="H219" s="484"/>
      <c r="I219" s="484"/>
      <c r="J219" s="484"/>
      <c r="K219" s="484"/>
      <c r="L219" s="484"/>
      <c r="M219" s="484"/>
      <c r="N219" s="484"/>
      <c r="O219" s="484"/>
      <c r="P219" s="484"/>
      <c r="Q219" s="484"/>
      <c r="R219" s="484"/>
      <c r="S219" s="484"/>
      <c r="T219" s="484"/>
      <c r="U219" s="484"/>
      <c r="V219" s="484"/>
      <c r="W219" s="484"/>
      <c r="X219" s="484"/>
      <c r="Y219" s="484"/>
      <c r="Z219" s="484"/>
    </row>
    <row r="220">
      <c r="A220" s="499"/>
      <c r="B220" s="508" t="s">
        <v>6447</v>
      </c>
      <c r="C220" s="509"/>
      <c r="D220" s="525"/>
      <c r="E220" s="525"/>
      <c r="F220" s="528"/>
      <c r="G220" s="484"/>
      <c r="H220" s="484"/>
      <c r="I220" s="484"/>
      <c r="J220" s="484"/>
      <c r="K220" s="484"/>
      <c r="L220" s="484"/>
      <c r="M220" s="484"/>
      <c r="N220" s="484"/>
      <c r="O220" s="484"/>
      <c r="P220" s="484"/>
      <c r="Q220" s="484"/>
      <c r="R220" s="484"/>
      <c r="S220" s="484"/>
      <c r="T220" s="484"/>
      <c r="U220" s="484"/>
      <c r="V220" s="484"/>
      <c r="W220" s="484"/>
      <c r="X220" s="484"/>
      <c r="Y220" s="484"/>
      <c r="Z220" s="484"/>
    </row>
    <row r="221">
      <c r="A221" s="499"/>
      <c r="B221" s="508" t="s">
        <v>37253</v>
      </c>
      <c r="C221" s="509" t="s">
        <v>400</v>
      </c>
      <c r="D221" s="508" t="s">
        <v>37234</v>
      </c>
      <c r="E221" s="525"/>
      <c r="F221" s="528" t="s">
        <v>36936</v>
      </c>
      <c r="G221" s="484"/>
      <c r="H221" s="484"/>
      <c r="I221" s="484"/>
      <c r="J221" s="484"/>
      <c r="K221" s="484"/>
      <c r="L221" s="484"/>
      <c r="M221" s="484"/>
      <c r="N221" s="484"/>
      <c r="O221" s="484"/>
      <c r="P221" s="484"/>
      <c r="Q221" s="484"/>
      <c r="R221" s="484"/>
      <c r="S221" s="484"/>
      <c r="T221" s="484"/>
      <c r="U221" s="484"/>
      <c r="V221" s="484"/>
      <c r="W221" s="484"/>
      <c r="X221" s="484"/>
      <c r="Y221" s="484"/>
      <c r="Z221" s="484"/>
    </row>
    <row r="222">
      <c r="A222" s="499"/>
      <c r="B222" s="508" t="s">
        <v>21605</v>
      </c>
      <c r="C222" s="509" t="s">
        <v>37254</v>
      </c>
      <c r="D222" s="525"/>
      <c r="E222" s="525"/>
      <c r="F222" s="528" t="s">
        <v>36936</v>
      </c>
      <c r="G222" s="484"/>
      <c r="H222" s="484"/>
      <c r="I222" s="484"/>
      <c r="J222" s="484"/>
      <c r="K222" s="484"/>
      <c r="L222" s="484"/>
      <c r="M222" s="484"/>
      <c r="N222" s="484"/>
      <c r="O222" s="484"/>
      <c r="P222" s="484"/>
      <c r="Q222" s="484"/>
      <c r="R222" s="484"/>
      <c r="S222" s="484"/>
      <c r="T222" s="484"/>
      <c r="U222" s="484"/>
      <c r="V222" s="484"/>
      <c r="W222" s="484"/>
      <c r="X222" s="484"/>
      <c r="Y222" s="484"/>
      <c r="Z222" s="484"/>
    </row>
    <row r="223">
      <c r="A223" s="499"/>
      <c r="B223" s="508" t="s">
        <v>21617</v>
      </c>
      <c r="C223" s="509" t="s">
        <v>37255</v>
      </c>
      <c r="D223" s="525"/>
      <c r="E223" s="525"/>
      <c r="F223" s="528" t="s">
        <v>36936</v>
      </c>
      <c r="G223" s="484"/>
      <c r="H223" s="484"/>
      <c r="I223" s="484"/>
      <c r="J223" s="484"/>
      <c r="K223" s="484"/>
      <c r="L223" s="484"/>
      <c r="M223" s="484"/>
      <c r="N223" s="484"/>
      <c r="O223" s="484"/>
      <c r="P223" s="484"/>
      <c r="Q223" s="484"/>
      <c r="R223" s="484"/>
      <c r="S223" s="484"/>
      <c r="T223" s="484"/>
      <c r="U223" s="484"/>
      <c r="V223" s="484"/>
      <c r="W223" s="484"/>
      <c r="X223" s="484"/>
      <c r="Y223" s="484"/>
      <c r="Z223" s="484"/>
    </row>
    <row r="224">
      <c r="A224" s="499"/>
      <c r="B224" s="508" t="s">
        <v>21881</v>
      </c>
      <c r="C224" s="509" t="s">
        <v>400</v>
      </c>
      <c r="D224" s="508" t="s">
        <v>36941</v>
      </c>
      <c r="E224" s="525"/>
      <c r="F224" s="528" t="s">
        <v>36936</v>
      </c>
      <c r="G224" s="484"/>
      <c r="H224" s="484"/>
      <c r="I224" s="484"/>
      <c r="J224" s="484"/>
      <c r="K224" s="484"/>
      <c r="L224" s="484"/>
      <c r="M224" s="484"/>
      <c r="N224" s="484"/>
      <c r="O224" s="484"/>
      <c r="P224" s="484"/>
      <c r="Q224" s="484"/>
      <c r="R224" s="484"/>
      <c r="S224" s="484"/>
      <c r="T224" s="484"/>
      <c r="U224" s="484"/>
      <c r="V224" s="484"/>
      <c r="W224" s="484"/>
      <c r="X224" s="484"/>
      <c r="Y224" s="484"/>
      <c r="Z224" s="484"/>
    </row>
    <row r="225">
      <c r="A225" s="499"/>
      <c r="B225" s="508" t="s">
        <v>22170</v>
      </c>
      <c r="C225" s="525"/>
      <c r="D225" s="508" t="s">
        <v>37007</v>
      </c>
      <c r="E225" s="525"/>
      <c r="F225" s="528" t="s">
        <v>36936</v>
      </c>
      <c r="G225" s="484"/>
      <c r="H225" s="484"/>
      <c r="I225" s="484"/>
      <c r="J225" s="484"/>
      <c r="K225" s="484"/>
      <c r="L225" s="484"/>
      <c r="M225" s="484"/>
      <c r="N225" s="484"/>
      <c r="O225" s="484"/>
      <c r="P225" s="484"/>
      <c r="Q225" s="484"/>
      <c r="R225" s="484"/>
      <c r="S225" s="484"/>
      <c r="T225" s="484"/>
      <c r="U225" s="484"/>
      <c r="V225" s="484"/>
      <c r="W225" s="484"/>
      <c r="X225" s="484"/>
      <c r="Y225" s="484"/>
      <c r="Z225" s="484"/>
    </row>
    <row r="226">
      <c r="A226" s="499"/>
      <c r="B226" s="508" t="s">
        <v>37256</v>
      </c>
      <c r="C226" s="525"/>
      <c r="D226" s="525"/>
      <c r="E226" s="525"/>
      <c r="F226" s="528" t="s">
        <v>36936</v>
      </c>
      <c r="G226" s="484"/>
      <c r="H226" s="484"/>
      <c r="I226" s="484"/>
      <c r="J226" s="484"/>
      <c r="K226" s="484"/>
      <c r="L226" s="484"/>
      <c r="M226" s="484"/>
      <c r="N226" s="484"/>
      <c r="O226" s="484"/>
      <c r="P226" s="484"/>
      <c r="Q226" s="484"/>
      <c r="R226" s="484"/>
      <c r="S226" s="484"/>
      <c r="T226" s="484"/>
      <c r="U226" s="484"/>
      <c r="V226" s="484"/>
      <c r="W226" s="484"/>
      <c r="X226" s="484"/>
      <c r="Y226" s="484"/>
      <c r="Z226" s="484"/>
    </row>
    <row r="227">
      <c r="A227" s="499"/>
      <c r="B227" s="508" t="s">
        <v>37257</v>
      </c>
      <c r="C227" s="509" t="s">
        <v>11479</v>
      </c>
      <c r="D227" s="508" t="s">
        <v>36993</v>
      </c>
      <c r="E227" s="508" t="s">
        <v>37258</v>
      </c>
      <c r="F227" s="528" t="s">
        <v>36936</v>
      </c>
      <c r="G227" s="484"/>
      <c r="H227" s="484"/>
      <c r="I227" s="484"/>
      <c r="J227" s="484"/>
      <c r="K227" s="484"/>
      <c r="L227" s="484"/>
      <c r="M227" s="484"/>
      <c r="N227" s="484"/>
      <c r="O227" s="484"/>
      <c r="P227" s="484"/>
      <c r="Q227" s="484"/>
      <c r="R227" s="484"/>
      <c r="S227" s="484"/>
      <c r="T227" s="484"/>
      <c r="U227" s="484"/>
      <c r="V227" s="484"/>
      <c r="W227" s="484"/>
      <c r="X227" s="484"/>
      <c r="Y227" s="484"/>
      <c r="Z227" s="484"/>
    </row>
    <row r="228">
      <c r="A228" s="499"/>
      <c r="B228" s="508" t="s">
        <v>37259</v>
      </c>
      <c r="C228" s="525"/>
      <c r="D228" s="525"/>
      <c r="E228" s="525"/>
      <c r="F228" s="528" t="s">
        <v>36936</v>
      </c>
      <c r="G228" s="484"/>
      <c r="H228" s="484"/>
      <c r="I228" s="484"/>
      <c r="J228" s="484"/>
      <c r="K228" s="484"/>
      <c r="L228" s="484"/>
      <c r="M228" s="484"/>
      <c r="N228" s="484"/>
      <c r="O228" s="484"/>
      <c r="P228" s="484"/>
      <c r="Q228" s="484"/>
      <c r="R228" s="484"/>
      <c r="S228" s="484"/>
      <c r="T228" s="484"/>
      <c r="U228" s="484"/>
      <c r="V228" s="484"/>
      <c r="W228" s="484"/>
      <c r="X228" s="484"/>
      <c r="Y228" s="484"/>
      <c r="Z228" s="484"/>
    </row>
    <row r="229">
      <c r="A229" s="499"/>
      <c r="B229" s="508" t="s">
        <v>563</v>
      </c>
      <c r="C229" s="525"/>
      <c r="D229" s="525"/>
      <c r="E229" s="525"/>
      <c r="F229" s="528" t="s">
        <v>36936</v>
      </c>
      <c r="G229" s="484"/>
      <c r="H229" s="484"/>
      <c r="I229" s="484"/>
      <c r="J229" s="484"/>
      <c r="K229" s="484"/>
      <c r="L229" s="484"/>
      <c r="M229" s="484"/>
      <c r="N229" s="484"/>
      <c r="O229" s="484"/>
      <c r="P229" s="484"/>
      <c r="Q229" s="484"/>
      <c r="R229" s="484"/>
      <c r="S229" s="484"/>
      <c r="T229" s="484"/>
      <c r="U229" s="484"/>
      <c r="V229" s="484"/>
      <c r="W229" s="484"/>
      <c r="X229" s="484"/>
      <c r="Y229" s="484"/>
      <c r="Z229" s="484"/>
    </row>
    <row r="230">
      <c r="A230" s="511" t="s">
        <v>27442</v>
      </c>
      <c r="B230" s="512" t="s">
        <v>27749</v>
      </c>
      <c r="C230" s="513" t="s">
        <v>37260</v>
      </c>
      <c r="D230" s="526"/>
      <c r="E230" s="526"/>
      <c r="F230" s="528" t="s">
        <v>36936</v>
      </c>
      <c r="G230" s="484"/>
      <c r="H230" s="484"/>
      <c r="I230" s="484"/>
      <c r="J230" s="484"/>
      <c r="K230" s="484"/>
      <c r="L230" s="484"/>
      <c r="M230" s="484"/>
      <c r="N230" s="484"/>
      <c r="O230" s="484"/>
      <c r="P230" s="484"/>
      <c r="Q230" s="484"/>
      <c r="R230" s="484"/>
      <c r="S230" s="484"/>
      <c r="T230" s="484"/>
      <c r="U230" s="484"/>
      <c r="V230" s="484"/>
      <c r="W230" s="484"/>
      <c r="X230" s="484"/>
      <c r="Y230" s="484"/>
      <c r="Z230" s="484"/>
    </row>
    <row r="231">
      <c r="A231" s="499"/>
      <c r="B231" s="515" t="s">
        <v>37261</v>
      </c>
      <c r="C231" s="516" t="s">
        <v>400</v>
      </c>
      <c r="D231" s="515" t="s">
        <v>37262</v>
      </c>
      <c r="E231" s="529" t="s">
        <v>37263</v>
      </c>
      <c r="F231" s="528" t="s">
        <v>36936</v>
      </c>
      <c r="G231" s="484"/>
      <c r="H231" s="484"/>
      <c r="I231" s="484"/>
      <c r="J231" s="484"/>
      <c r="K231" s="484"/>
      <c r="L231" s="484"/>
      <c r="M231" s="484"/>
      <c r="N231" s="484"/>
      <c r="O231" s="484"/>
      <c r="P231" s="484"/>
      <c r="Q231" s="484"/>
      <c r="R231" s="484"/>
      <c r="S231" s="484"/>
      <c r="T231" s="484"/>
      <c r="U231" s="484"/>
      <c r="V231" s="484"/>
      <c r="W231" s="484"/>
      <c r="X231" s="484"/>
      <c r="Y231" s="484"/>
      <c r="Z231" s="484"/>
    </row>
    <row r="232">
      <c r="A232" s="499"/>
      <c r="B232" s="515" t="s">
        <v>306</v>
      </c>
      <c r="C232" s="516" t="s">
        <v>37264</v>
      </c>
      <c r="D232" s="515" t="s">
        <v>37265</v>
      </c>
      <c r="E232" s="529" t="s">
        <v>37266</v>
      </c>
      <c r="F232" s="528" t="s">
        <v>36936</v>
      </c>
      <c r="G232" s="484"/>
      <c r="H232" s="484"/>
      <c r="I232" s="484"/>
      <c r="J232" s="484"/>
      <c r="K232" s="484"/>
      <c r="L232" s="484"/>
      <c r="M232" s="484"/>
      <c r="N232" s="484"/>
      <c r="O232" s="484"/>
      <c r="P232" s="484"/>
      <c r="Q232" s="484"/>
      <c r="R232" s="484"/>
      <c r="S232" s="484"/>
      <c r="T232" s="484"/>
      <c r="U232" s="484"/>
      <c r="V232" s="484"/>
      <c r="W232" s="484"/>
      <c r="X232" s="484"/>
      <c r="Y232" s="484"/>
      <c r="Z232" s="484"/>
    </row>
    <row r="233">
      <c r="A233" s="499"/>
      <c r="B233" s="515" t="s">
        <v>37267</v>
      </c>
      <c r="C233" s="516" t="s">
        <v>37268</v>
      </c>
      <c r="D233" s="515" t="s">
        <v>37073</v>
      </c>
      <c r="E233" s="515" t="s">
        <v>37269</v>
      </c>
      <c r="F233" s="528" t="s">
        <v>36936</v>
      </c>
      <c r="G233" s="484"/>
      <c r="H233" s="484"/>
      <c r="I233" s="484"/>
      <c r="J233" s="484"/>
      <c r="K233" s="484"/>
      <c r="L233" s="484"/>
      <c r="M233" s="484"/>
      <c r="N233" s="484"/>
      <c r="O233" s="484"/>
      <c r="P233" s="484"/>
      <c r="Q233" s="484"/>
      <c r="R233" s="484"/>
      <c r="S233" s="484"/>
      <c r="T233" s="484"/>
      <c r="U233" s="484"/>
      <c r="V233" s="484"/>
      <c r="W233" s="484"/>
      <c r="X233" s="484"/>
      <c r="Y233" s="484"/>
      <c r="Z233" s="484"/>
    </row>
    <row r="234">
      <c r="A234" s="499"/>
      <c r="D234" s="515" t="s">
        <v>37270</v>
      </c>
      <c r="E234" s="515" t="s">
        <v>37271</v>
      </c>
      <c r="F234" s="528" t="s">
        <v>36936</v>
      </c>
      <c r="G234" s="484"/>
      <c r="H234" s="484"/>
      <c r="I234" s="484"/>
      <c r="J234" s="484"/>
      <c r="K234" s="484"/>
      <c r="L234" s="484"/>
      <c r="M234" s="484"/>
      <c r="N234" s="484"/>
      <c r="O234" s="484"/>
      <c r="P234" s="484"/>
      <c r="Q234" s="484"/>
      <c r="R234" s="484"/>
      <c r="S234" s="484"/>
      <c r="T234" s="484"/>
      <c r="U234" s="484"/>
      <c r="V234" s="484"/>
      <c r="W234" s="484"/>
      <c r="X234" s="484"/>
      <c r="Y234" s="484"/>
      <c r="Z234" s="484"/>
    </row>
    <row r="235">
      <c r="A235" s="499"/>
      <c r="B235" s="515" t="s">
        <v>37272</v>
      </c>
      <c r="C235" s="521"/>
      <c r="D235" s="521"/>
      <c r="E235" s="529" t="s">
        <v>37273</v>
      </c>
      <c r="F235" s="528" t="s">
        <v>36936</v>
      </c>
      <c r="G235" s="484"/>
      <c r="H235" s="484"/>
      <c r="I235" s="484"/>
      <c r="J235" s="484"/>
      <c r="K235" s="484"/>
      <c r="L235" s="484"/>
      <c r="M235" s="484"/>
      <c r="N235" s="484"/>
      <c r="O235" s="484"/>
      <c r="P235" s="484"/>
      <c r="Q235" s="484"/>
      <c r="R235" s="484"/>
      <c r="S235" s="484"/>
      <c r="T235" s="484"/>
      <c r="U235" s="484"/>
      <c r="V235" s="484"/>
      <c r="W235" s="484"/>
      <c r="X235" s="484"/>
      <c r="Y235" s="484"/>
      <c r="Z235" s="484"/>
    </row>
    <row r="236">
      <c r="A236" s="499"/>
      <c r="B236" s="515" t="s">
        <v>28344</v>
      </c>
      <c r="C236" s="516" t="s">
        <v>37274</v>
      </c>
      <c r="D236" s="515" t="s">
        <v>37275</v>
      </c>
      <c r="E236" s="521"/>
      <c r="F236" s="528" t="s">
        <v>36936</v>
      </c>
      <c r="G236" s="484"/>
      <c r="H236" s="484"/>
      <c r="I236" s="484"/>
      <c r="J236" s="484"/>
      <c r="K236" s="484"/>
      <c r="L236" s="484"/>
      <c r="M236" s="484"/>
      <c r="N236" s="484"/>
      <c r="O236" s="484"/>
      <c r="P236" s="484"/>
      <c r="Q236" s="484"/>
      <c r="R236" s="484"/>
      <c r="S236" s="484"/>
      <c r="T236" s="484"/>
      <c r="U236" s="484"/>
      <c r="V236" s="484"/>
      <c r="W236" s="484"/>
      <c r="X236" s="484"/>
      <c r="Y236" s="484"/>
      <c r="Z236" s="484"/>
    </row>
    <row r="237">
      <c r="A237" s="499"/>
      <c r="B237" s="515" t="s">
        <v>32975</v>
      </c>
      <c r="C237" s="516" t="s">
        <v>400</v>
      </c>
      <c r="D237" s="515" t="s">
        <v>36959</v>
      </c>
      <c r="E237" s="515" t="s">
        <v>37276</v>
      </c>
      <c r="F237" s="528" t="s">
        <v>36936</v>
      </c>
      <c r="G237" s="484"/>
      <c r="H237" s="484"/>
      <c r="I237" s="484"/>
      <c r="J237" s="484"/>
      <c r="K237" s="484"/>
      <c r="L237" s="484"/>
      <c r="M237" s="484"/>
      <c r="N237" s="484"/>
      <c r="O237" s="484"/>
      <c r="P237" s="484"/>
      <c r="Q237" s="484"/>
      <c r="R237" s="484"/>
      <c r="S237" s="484"/>
      <c r="T237" s="484"/>
      <c r="U237" s="484"/>
      <c r="V237" s="484"/>
      <c r="W237" s="484"/>
      <c r="X237" s="484"/>
      <c r="Y237" s="484"/>
      <c r="Z237" s="484"/>
    </row>
    <row r="238">
      <c r="A238" s="499"/>
      <c r="B238" s="515" t="s">
        <v>1918</v>
      </c>
      <c r="C238" s="516" t="s">
        <v>37277</v>
      </c>
      <c r="D238" s="521"/>
      <c r="E238" s="521"/>
      <c r="F238" s="528" t="s">
        <v>36936</v>
      </c>
      <c r="G238" s="484"/>
      <c r="H238" s="484"/>
      <c r="I238" s="484"/>
      <c r="J238" s="484"/>
      <c r="K238" s="484"/>
      <c r="L238" s="484"/>
      <c r="M238" s="484"/>
      <c r="N238" s="484"/>
      <c r="O238" s="484"/>
      <c r="P238" s="484"/>
      <c r="Q238" s="484"/>
      <c r="R238" s="484"/>
      <c r="S238" s="484"/>
      <c r="T238" s="484"/>
      <c r="U238" s="484"/>
      <c r="V238" s="484"/>
      <c r="W238" s="484"/>
      <c r="X238" s="484"/>
      <c r="Y238" s="484"/>
      <c r="Z238" s="484"/>
    </row>
    <row r="239">
      <c r="A239" s="499"/>
      <c r="B239" s="515" t="s">
        <v>33565</v>
      </c>
      <c r="C239" s="516" t="s">
        <v>10116</v>
      </c>
      <c r="D239" s="515" t="s">
        <v>36993</v>
      </c>
      <c r="E239" s="515" t="s">
        <v>37278</v>
      </c>
      <c r="F239" s="528" t="s">
        <v>36936</v>
      </c>
      <c r="G239" s="484"/>
      <c r="H239" s="484"/>
      <c r="I239" s="484"/>
      <c r="J239" s="484"/>
      <c r="K239" s="484"/>
      <c r="L239" s="484"/>
      <c r="M239" s="484"/>
      <c r="N239" s="484"/>
      <c r="O239" s="484"/>
      <c r="P239" s="484"/>
      <c r="Q239" s="484"/>
      <c r="R239" s="484"/>
      <c r="S239" s="484"/>
      <c r="T239" s="484"/>
      <c r="U239" s="484"/>
      <c r="V239" s="484"/>
      <c r="W239" s="484"/>
      <c r="X239" s="484"/>
      <c r="Y239" s="484"/>
      <c r="Z239" s="484"/>
    </row>
    <row r="240">
      <c r="A240" s="499"/>
      <c r="B240" s="515" t="s">
        <v>37279</v>
      </c>
      <c r="C240" s="516" t="s">
        <v>400</v>
      </c>
      <c r="D240" s="515" t="s">
        <v>36993</v>
      </c>
      <c r="E240" s="521"/>
      <c r="F240" s="528" t="s">
        <v>36936</v>
      </c>
      <c r="G240" s="484"/>
      <c r="H240" s="484"/>
      <c r="I240" s="484"/>
      <c r="J240" s="484"/>
      <c r="K240" s="484"/>
      <c r="L240" s="484"/>
      <c r="M240" s="484"/>
      <c r="N240" s="484"/>
      <c r="O240" s="484"/>
      <c r="P240" s="484"/>
      <c r="Q240" s="484"/>
      <c r="R240" s="484"/>
      <c r="S240" s="484"/>
      <c r="T240" s="484"/>
      <c r="U240" s="484"/>
      <c r="V240" s="484"/>
      <c r="W240" s="484"/>
      <c r="X240" s="484"/>
      <c r="Y240" s="484"/>
      <c r="Z240" s="484"/>
    </row>
    <row r="241">
      <c r="A241" s="499"/>
      <c r="B241" s="515" t="s">
        <v>37280</v>
      </c>
      <c r="C241" s="516" t="s">
        <v>4769</v>
      </c>
      <c r="D241" s="515" t="s">
        <v>36959</v>
      </c>
      <c r="E241" s="521"/>
      <c r="F241" s="528" t="s">
        <v>36936</v>
      </c>
      <c r="G241" s="484"/>
      <c r="H241" s="484"/>
      <c r="I241" s="484"/>
      <c r="J241" s="484"/>
      <c r="K241" s="484"/>
      <c r="L241" s="484"/>
      <c r="M241" s="484"/>
      <c r="N241" s="484"/>
      <c r="O241" s="484"/>
      <c r="P241" s="484"/>
      <c r="Q241" s="484"/>
      <c r="R241" s="484"/>
      <c r="S241" s="484"/>
      <c r="T241" s="484"/>
      <c r="U241" s="484"/>
      <c r="V241" s="484"/>
      <c r="W241" s="484"/>
      <c r="X241" s="484"/>
      <c r="Y241" s="484"/>
      <c r="Z241" s="484"/>
    </row>
    <row r="242">
      <c r="A242" s="499"/>
      <c r="B242" s="515" t="s">
        <v>29226</v>
      </c>
      <c r="C242" s="516" t="s">
        <v>400</v>
      </c>
      <c r="D242" s="515" t="s">
        <v>36951</v>
      </c>
      <c r="E242" s="521"/>
      <c r="F242" s="528" t="s">
        <v>36936</v>
      </c>
      <c r="G242" s="484"/>
      <c r="H242" s="484"/>
      <c r="I242" s="484"/>
      <c r="J242" s="484"/>
      <c r="K242" s="484"/>
      <c r="L242" s="484"/>
      <c r="M242" s="484"/>
      <c r="N242" s="484"/>
      <c r="O242" s="484"/>
      <c r="P242" s="484"/>
      <c r="Q242" s="484"/>
      <c r="R242" s="484"/>
      <c r="S242" s="484"/>
      <c r="T242" s="484"/>
      <c r="U242" s="484"/>
      <c r="V242" s="484"/>
      <c r="W242" s="484"/>
      <c r="X242" s="484"/>
      <c r="Y242" s="484"/>
      <c r="Z242" s="484"/>
    </row>
    <row r="243">
      <c r="A243" s="499"/>
      <c r="B243" s="515" t="s">
        <v>37281</v>
      </c>
      <c r="C243" s="516" t="s">
        <v>37282</v>
      </c>
      <c r="D243" s="515" t="s">
        <v>37283</v>
      </c>
      <c r="E243" s="521"/>
      <c r="F243" s="528" t="s">
        <v>36936</v>
      </c>
      <c r="G243" s="484"/>
      <c r="H243" s="484"/>
      <c r="I243" s="484"/>
      <c r="J243" s="484"/>
      <c r="K243" s="484"/>
      <c r="L243" s="484"/>
      <c r="M243" s="484"/>
      <c r="N243" s="484"/>
      <c r="O243" s="484"/>
      <c r="P243" s="484"/>
      <c r="Q243" s="484"/>
      <c r="R243" s="484"/>
      <c r="S243" s="484"/>
      <c r="T243" s="484"/>
      <c r="U243" s="484"/>
      <c r="V243" s="484"/>
      <c r="W243" s="484"/>
      <c r="X243" s="484"/>
      <c r="Y243" s="484"/>
      <c r="Z243" s="484"/>
    </row>
    <row r="244">
      <c r="A244" s="499"/>
      <c r="B244" s="515" t="s">
        <v>33599</v>
      </c>
      <c r="C244" s="516" t="s">
        <v>37284</v>
      </c>
      <c r="D244" s="515" t="s">
        <v>37285</v>
      </c>
      <c r="E244" s="521"/>
      <c r="F244" s="528" t="s">
        <v>36936</v>
      </c>
      <c r="G244" s="484"/>
      <c r="H244" s="484"/>
      <c r="I244" s="484"/>
      <c r="J244" s="484"/>
      <c r="K244" s="484"/>
      <c r="L244" s="484"/>
      <c r="M244" s="484"/>
      <c r="N244" s="484"/>
      <c r="O244" s="484"/>
      <c r="P244" s="484"/>
      <c r="Q244" s="484"/>
      <c r="R244" s="484"/>
      <c r="S244" s="484"/>
      <c r="T244" s="484"/>
      <c r="U244" s="484"/>
      <c r="V244" s="484"/>
      <c r="W244" s="484"/>
      <c r="X244" s="484"/>
      <c r="Y244" s="484"/>
      <c r="Z244" s="484"/>
    </row>
    <row r="245">
      <c r="A245" s="496" t="s">
        <v>37286</v>
      </c>
      <c r="B245" s="518" t="s">
        <v>30784</v>
      </c>
      <c r="C245" s="519" t="s">
        <v>37287</v>
      </c>
      <c r="D245" s="518" t="s">
        <v>37288</v>
      </c>
      <c r="E245" s="520"/>
      <c r="F245" s="528" t="s">
        <v>36936</v>
      </c>
      <c r="G245" s="484"/>
      <c r="H245" s="484"/>
      <c r="I245" s="484"/>
      <c r="J245" s="484"/>
      <c r="K245" s="484"/>
      <c r="L245" s="484"/>
      <c r="M245" s="484"/>
      <c r="N245" s="484"/>
      <c r="O245" s="484"/>
      <c r="P245" s="484"/>
      <c r="Q245" s="484"/>
      <c r="R245" s="484"/>
      <c r="S245" s="484"/>
      <c r="T245" s="484"/>
      <c r="U245" s="484"/>
      <c r="V245" s="484"/>
      <c r="W245" s="484"/>
      <c r="X245" s="484"/>
      <c r="Y245" s="484"/>
      <c r="Z245" s="484"/>
    </row>
    <row r="246">
      <c r="A246" s="499"/>
      <c r="D246" s="497" t="s">
        <v>37289</v>
      </c>
      <c r="E246" s="503"/>
      <c r="F246" s="528" t="s">
        <v>36936</v>
      </c>
      <c r="G246" s="484"/>
      <c r="H246" s="484"/>
      <c r="I246" s="484"/>
      <c r="J246" s="484"/>
      <c r="K246" s="484"/>
      <c r="L246" s="484"/>
      <c r="M246" s="484"/>
      <c r="N246" s="484"/>
      <c r="O246" s="484"/>
      <c r="P246" s="484"/>
      <c r="Q246" s="484"/>
      <c r="R246" s="484"/>
      <c r="S246" s="484"/>
      <c r="T246" s="484"/>
      <c r="U246" s="484"/>
      <c r="V246" s="484"/>
      <c r="W246" s="484"/>
      <c r="X246" s="484"/>
      <c r="Y246" s="484"/>
      <c r="Z246" s="484"/>
    </row>
    <row r="247">
      <c r="A247" s="499"/>
      <c r="B247" s="497" t="s">
        <v>11371</v>
      </c>
      <c r="C247" s="498" t="s">
        <v>6828</v>
      </c>
      <c r="D247" s="497" t="s">
        <v>37290</v>
      </c>
      <c r="E247" s="497" t="s">
        <v>37291</v>
      </c>
      <c r="F247" s="528" t="s">
        <v>36936</v>
      </c>
      <c r="G247" s="484"/>
      <c r="H247" s="484"/>
      <c r="I247" s="484"/>
      <c r="J247" s="484"/>
      <c r="K247" s="484"/>
      <c r="L247" s="484"/>
      <c r="M247" s="484"/>
      <c r="N247" s="484"/>
      <c r="O247" s="484"/>
      <c r="P247" s="484"/>
      <c r="Q247" s="484"/>
      <c r="R247" s="484"/>
      <c r="S247" s="484"/>
      <c r="T247" s="484"/>
      <c r="U247" s="484"/>
      <c r="V247" s="484"/>
      <c r="W247" s="484"/>
      <c r="X247" s="484"/>
      <c r="Y247" s="484"/>
      <c r="Z247" s="484"/>
    </row>
    <row r="248">
      <c r="A248" s="499"/>
      <c r="B248" s="497" t="s">
        <v>11385</v>
      </c>
      <c r="C248" s="498" t="s">
        <v>37292</v>
      </c>
      <c r="D248" s="497" t="s">
        <v>36993</v>
      </c>
      <c r="E248" s="497" t="s">
        <v>37293</v>
      </c>
      <c r="F248" s="528" t="s">
        <v>36936</v>
      </c>
      <c r="G248" s="484"/>
      <c r="H248" s="484"/>
      <c r="I248" s="484"/>
      <c r="J248" s="484"/>
      <c r="K248" s="484"/>
      <c r="L248" s="484"/>
      <c r="M248" s="484"/>
      <c r="N248" s="484"/>
      <c r="O248" s="484"/>
      <c r="P248" s="484"/>
      <c r="Q248" s="484"/>
      <c r="R248" s="484"/>
      <c r="S248" s="484"/>
      <c r="T248" s="484"/>
      <c r="U248" s="484"/>
      <c r="V248" s="484"/>
      <c r="W248" s="484"/>
      <c r="X248" s="484"/>
      <c r="Y248" s="484"/>
      <c r="Z248" s="484"/>
    </row>
    <row r="249">
      <c r="A249" s="499"/>
      <c r="D249" s="497" t="s">
        <v>37294</v>
      </c>
      <c r="E249" s="497" t="s">
        <v>37295</v>
      </c>
      <c r="F249" s="528" t="s">
        <v>36936</v>
      </c>
      <c r="G249" s="484"/>
      <c r="H249" s="484"/>
      <c r="I249" s="484"/>
      <c r="J249" s="484"/>
      <c r="K249" s="484"/>
      <c r="L249" s="484"/>
      <c r="M249" s="484"/>
      <c r="N249" s="484"/>
      <c r="O249" s="484"/>
      <c r="P249" s="484"/>
      <c r="Q249" s="484"/>
      <c r="R249" s="484"/>
      <c r="S249" s="484"/>
      <c r="T249" s="484"/>
      <c r="U249" s="484"/>
      <c r="V249" s="484"/>
      <c r="W249" s="484"/>
      <c r="X249" s="484"/>
      <c r="Y249" s="484"/>
      <c r="Z249" s="484"/>
    </row>
    <row r="250">
      <c r="A250" s="499"/>
      <c r="B250" s="497" t="s">
        <v>11444</v>
      </c>
      <c r="C250" s="498" t="s">
        <v>1392</v>
      </c>
      <c r="D250" s="497" t="s">
        <v>36959</v>
      </c>
      <c r="E250" s="497" t="s">
        <v>37296</v>
      </c>
      <c r="F250" s="528" t="s">
        <v>36936</v>
      </c>
      <c r="G250" s="484"/>
      <c r="H250" s="484"/>
      <c r="I250" s="484"/>
      <c r="J250" s="484"/>
      <c r="K250" s="484"/>
      <c r="L250" s="484"/>
      <c r="M250" s="484"/>
      <c r="N250" s="484"/>
      <c r="O250" s="484"/>
      <c r="P250" s="484"/>
      <c r="Q250" s="484"/>
      <c r="R250" s="484"/>
      <c r="S250" s="484"/>
      <c r="T250" s="484"/>
      <c r="U250" s="484"/>
      <c r="V250" s="484"/>
      <c r="W250" s="484"/>
      <c r="X250" s="484"/>
      <c r="Y250" s="484"/>
      <c r="Z250" s="484"/>
    </row>
    <row r="251">
      <c r="A251" s="499"/>
      <c r="B251" s="497" t="s">
        <v>31251</v>
      </c>
      <c r="C251" s="503"/>
      <c r="D251" s="503"/>
      <c r="E251" s="503"/>
      <c r="F251" s="528" t="s">
        <v>36936</v>
      </c>
      <c r="G251" s="484"/>
      <c r="H251" s="484"/>
      <c r="I251" s="484"/>
      <c r="J251" s="484"/>
      <c r="K251" s="484"/>
      <c r="L251" s="484"/>
      <c r="M251" s="484"/>
      <c r="N251" s="484"/>
      <c r="O251" s="484"/>
      <c r="P251" s="484"/>
      <c r="Q251" s="484"/>
      <c r="R251" s="484"/>
      <c r="S251" s="484"/>
      <c r="T251" s="484"/>
      <c r="U251" s="484"/>
      <c r="V251" s="484"/>
      <c r="W251" s="484"/>
      <c r="X251" s="484"/>
      <c r="Y251" s="484"/>
      <c r="Z251" s="484"/>
    </row>
    <row r="252">
      <c r="A252" s="499"/>
      <c r="B252" s="497" t="s">
        <v>31302</v>
      </c>
      <c r="C252" s="498" t="s">
        <v>37297</v>
      </c>
      <c r="D252" s="497" t="s">
        <v>37298</v>
      </c>
      <c r="E252" s="503"/>
      <c r="F252" s="528" t="s">
        <v>36936</v>
      </c>
      <c r="G252" s="484"/>
      <c r="H252" s="484"/>
      <c r="I252" s="484"/>
      <c r="J252" s="484"/>
      <c r="K252" s="484"/>
      <c r="L252" s="484"/>
      <c r="M252" s="484"/>
      <c r="N252" s="484"/>
      <c r="O252" s="484"/>
      <c r="P252" s="484"/>
      <c r="Q252" s="484"/>
      <c r="R252" s="484"/>
      <c r="S252" s="484"/>
      <c r="T252" s="484"/>
      <c r="U252" s="484"/>
      <c r="V252" s="484"/>
      <c r="W252" s="484"/>
      <c r="X252" s="484"/>
      <c r="Y252" s="484"/>
      <c r="Z252" s="484"/>
    </row>
    <row r="253">
      <c r="A253" s="499"/>
      <c r="B253" s="497" t="s">
        <v>37299</v>
      </c>
      <c r="C253" s="498" t="s">
        <v>748</v>
      </c>
      <c r="D253" s="497" t="s">
        <v>36959</v>
      </c>
      <c r="E253" s="497" t="s">
        <v>37300</v>
      </c>
      <c r="F253" s="528" t="s">
        <v>36936</v>
      </c>
      <c r="G253" s="484"/>
      <c r="H253" s="484"/>
      <c r="I253" s="484"/>
      <c r="J253" s="484"/>
      <c r="K253" s="484"/>
      <c r="L253" s="484"/>
      <c r="M253" s="484"/>
      <c r="N253" s="484"/>
      <c r="O253" s="484"/>
      <c r="P253" s="484"/>
      <c r="Q253" s="484"/>
      <c r="R253" s="484"/>
      <c r="S253" s="484"/>
      <c r="T253" s="484"/>
      <c r="U253" s="484"/>
      <c r="V253" s="484"/>
      <c r="W253" s="484"/>
      <c r="X253" s="484"/>
      <c r="Y253" s="484"/>
      <c r="Z253" s="484"/>
    </row>
    <row r="254">
      <c r="A254" s="499"/>
      <c r="B254" s="497" t="s">
        <v>11457</v>
      </c>
      <c r="C254" s="498" t="s">
        <v>37301</v>
      </c>
      <c r="D254" s="497" t="s">
        <v>37302</v>
      </c>
      <c r="E254" s="503"/>
      <c r="F254" s="528" t="s">
        <v>36936</v>
      </c>
      <c r="G254" s="484"/>
      <c r="H254" s="484"/>
      <c r="I254" s="484"/>
      <c r="J254" s="484"/>
      <c r="K254" s="484"/>
      <c r="L254" s="484"/>
      <c r="M254" s="484"/>
      <c r="N254" s="484"/>
      <c r="O254" s="484"/>
      <c r="P254" s="484"/>
      <c r="Q254" s="484"/>
      <c r="R254" s="484"/>
      <c r="S254" s="484"/>
      <c r="T254" s="484"/>
      <c r="U254" s="484"/>
      <c r="V254" s="484"/>
      <c r="W254" s="484"/>
      <c r="X254" s="484"/>
      <c r="Y254" s="484"/>
      <c r="Z254" s="484"/>
    </row>
    <row r="255">
      <c r="A255" s="499"/>
      <c r="D255" s="497" t="s">
        <v>36951</v>
      </c>
      <c r="E255" s="503"/>
      <c r="F255" s="528" t="s">
        <v>36936</v>
      </c>
      <c r="G255" s="484"/>
      <c r="H255" s="484"/>
      <c r="I255" s="484"/>
      <c r="J255" s="484"/>
      <c r="K255" s="484"/>
      <c r="L255" s="484"/>
      <c r="M255" s="484"/>
      <c r="N255" s="484"/>
      <c r="O255" s="484"/>
      <c r="P255" s="484"/>
      <c r="Q255" s="484"/>
      <c r="R255" s="484"/>
      <c r="S255" s="484"/>
      <c r="T255" s="484"/>
      <c r="U255" s="484"/>
      <c r="V255" s="484"/>
      <c r="W255" s="484"/>
      <c r="X255" s="484"/>
      <c r="Y255" s="484"/>
      <c r="Z255" s="484"/>
    </row>
    <row r="256">
      <c r="A256" s="499"/>
      <c r="B256" s="497" t="s">
        <v>37303</v>
      </c>
      <c r="C256" s="498" t="s">
        <v>4724</v>
      </c>
      <c r="D256" s="497" t="s">
        <v>37221</v>
      </c>
      <c r="E256" s="503"/>
      <c r="F256" s="528" t="s">
        <v>36936</v>
      </c>
      <c r="G256" s="484"/>
      <c r="H256" s="484"/>
      <c r="I256" s="484"/>
      <c r="J256" s="484"/>
      <c r="K256" s="484"/>
      <c r="L256" s="484"/>
      <c r="M256" s="484"/>
      <c r="N256" s="484"/>
      <c r="O256" s="484"/>
      <c r="P256" s="484"/>
      <c r="Q256" s="484"/>
      <c r="R256" s="484"/>
      <c r="S256" s="484"/>
      <c r="T256" s="484"/>
      <c r="U256" s="484"/>
      <c r="V256" s="484"/>
      <c r="W256" s="484"/>
      <c r="X256" s="484"/>
      <c r="Y256" s="484"/>
      <c r="Z256" s="484"/>
    </row>
    <row r="257">
      <c r="A257" s="499"/>
      <c r="B257" s="497" t="s">
        <v>34317</v>
      </c>
      <c r="C257" s="498" t="s">
        <v>36971</v>
      </c>
      <c r="D257" s="497" t="s">
        <v>36993</v>
      </c>
      <c r="E257" s="497" t="s">
        <v>37304</v>
      </c>
      <c r="F257" s="528" t="s">
        <v>36936</v>
      </c>
      <c r="G257" s="484"/>
      <c r="H257" s="484"/>
      <c r="I257" s="484"/>
      <c r="J257" s="484"/>
      <c r="K257" s="484"/>
      <c r="L257" s="484"/>
      <c r="M257" s="484"/>
      <c r="N257" s="484"/>
      <c r="O257" s="484"/>
      <c r="P257" s="484"/>
      <c r="Q257" s="484"/>
      <c r="R257" s="484"/>
      <c r="S257" s="484"/>
      <c r="T257" s="484"/>
      <c r="U257" s="484"/>
      <c r="V257" s="484"/>
      <c r="W257" s="484"/>
      <c r="X257" s="484"/>
      <c r="Y257" s="484"/>
      <c r="Z257" s="484"/>
    </row>
    <row r="258">
      <c r="A258" s="499"/>
      <c r="B258" s="497" t="s">
        <v>37305</v>
      </c>
      <c r="C258" s="498" t="s">
        <v>10116</v>
      </c>
      <c r="D258" s="497" t="s">
        <v>37058</v>
      </c>
      <c r="E258" s="497" t="s">
        <v>37306</v>
      </c>
      <c r="F258" s="528" t="s">
        <v>36936</v>
      </c>
      <c r="G258" s="484"/>
      <c r="H258" s="484"/>
      <c r="I258" s="484"/>
      <c r="J258" s="484"/>
      <c r="K258" s="484"/>
      <c r="L258" s="484"/>
      <c r="M258" s="484"/>
      <c r="N258" s="484"/>
      <c r="O258" s="484"/>
      <c r="P258" s="484"/>
      <c r="Q258" s="484"/>
      <c r="R258" s="484"/>
      <c r="S258" s="484"/>
      <c r="T258" s="484"/>
      <c r="U258" s="484"/>
      <c r="V258" s="484"/>
      <c r="W258" s="484"/>
      <c r="X258" s="484"/>
      <c r="Y258" s="484"/>
      <c r="Z258" s="484"/>
    </row>
    <row r="259">
      <c r="A259" s="505" t="s">
        <v>33011</v>
      </c>
      <c r="B259" s="506" t="s">
        <v>37307</v>
      </c>
      <c r="C259" s="507" t="s">
        <v>10477</v>
      </c>
      <c r="D259" s="506" t="s">
        <v>36959</v>
      </c>
      <c r="E259" s="506" t="s">
        <v>37308</v>
      </c>
      <c r="F259" s="528" t="s">
        <v>36936</v>
      </c>
      <c r="G259" s="484"/>
      <c r="H259" s="484"/>
      <c r="I259" s="484"/>
      <c r="J259" s="484"/>
      <c r="K259" s="484"/>
      <c r="L259" s="484"/>
      <c r="M259" s="484"/>
      <c r="N259" s="484"/>
      <c r="O259" s="484"/>
      <c r="P259" s="484"/>
      <c r="Q259" s="484"/>
      <c r="R259" s="484"/>
      <c r="S259" s="484"/>
      <c r="T259" s="484"/>
      <c r="U259" s="484"/>
      <c r="V259" s="484"/>
      <c r="W259" s="484"/>
      <c r="X259" s="484"/>
      <c r="Y259" s="484"/>
      <c r="Z259" s="484"/>
    </row>
    <row r="260">
      <c r="A260" s="499"/>
      <c r="B260" s="508" t="s">
        <v>36452</v>
      </c>
      <c r="C260" s="509" t="s">
        <v>37309</v>
      </c>
      <c r="D260" s="508" t="s">
        <v>37310</v>
      </c>
      <c r="E260" s="525"/>
      <c r="F260" s="528" t="s">
        <v>36936</v>
      </c>
      <c r="G260" s="484"/>
      <c r="H260" s="484"/>
      <c r="I260" s="484"/>
      <c r="J260" s="484"/>
      <c r="K260" s="484"/>
      <c r="L260" s="484"/>
      <c r="M260" s="484"/>
      <c r="N260" s="484"/>
      <c r="O260" s="484"/>
      <c r="P260" s="484"/>
      <c r="Q260" s="484"/>
      <c r="R260" s="484"/>
      <c r="S260" s="484"/>
      <c r="T260" s="484"/>
      <c r="U260" s="484"/>
      <c r="V260" s="484"/>
      <c r="W260" s="484"/>
      <c r="X260" s="484"/>
      <c r="Y260" s="484"/>
      <c r="Z260" s="484"/>
    </row>
    <row r="261">
      <c r="A261" s="499"/>
      <c r="B261" s="508" t="s">
        <v>37311</v>
      </c>
      <c r="C261" s="509"/>
      <c r="D261" s="508"/>
      <c r="E261" s="508"/>
      <c r="F261" s="528" t="s">
        <v>36936</v>
      </c>
      <c r="G261" s="484"/>
      <c r="H261" s="484"/>
      <c r="I261" s="484"/>
      <c r="J261" s="484"/>
      <c r="K261" s="484"/>
      <c r="L261" s="484"/>
      <c r="M261" s="484"/>
      <c r="N261" s="484"/>
      <c r="O261" s="484"/>
      <c r="P261" s="484"/>
      <c r="Q261" s="484"/>
      <c r="R261" s="484"/>
      <c r="S261" s="484"/>
      <c r="T261" s="484"/>
      <c r="U261" s="484"/>
      <c r="V261" s="484"/>
      <c r="W261" s="484"/>
      <c r="X261" s="484"/>
      <c r="Y261" s="484"/>
      <c r="Z261" s="484"/>
    </row>
    <row r="262">
      <c r="A262" s="511" t="s">
        <v>37312</v>
      </c>
      <c r="B262" s="512" t="s">
        <v>2672</v>
      </c>
      <c r="C262" s="513" t="s">
        <v>37313</v>
      </c>
      <c r="D262" s="512" t="s">
        <v>37015</v>
      </c>
      <c r="E262" s="512" t="s">
        <v>37314</v>
      </c>
      <c r="F262" s="528" t="s">
        <v>36936</v>
      </c>
      <c r="G262" s="484"/>
      <c r="H262" s="484"/>
      <c r="I262" s="484"/>
      <c r="J262" s="484"/>
      <c r="K262" s="484"/>
      <c r="L262" s="484"/>
      <c r="M262" s="484"/>
      <c r="N262" s="484"/>
      <c r="O262" s="484"/>
      <c r="P262" s="484"/>
      <c r="Q262" s="484"/>
      <c r="R262" s="484"/>
      <c r="S262" s="484"/>
      <c r="T262" s="484"/>
      <c r="U262" s="484"/>
      <c r="V262" s="484"/>
      <c r="W262" s="484"/>
      <c r="X262" s="484"/>
      <c r="Y262" s="484"/>
      <c r="Z262" s="484"/>
    </row>
    <row r="263">
      <c r="A263" s="499"/>
      <c r="B263" s="515" t="s">
        <v>37315</v>
      </c>
      <c r="C263" s="516" t="s">
        <v>37316</v>
      </c>
      <c r="D263" s="515" t="s">
        <v>36997</v>
      </c>
      <c r="E263" s="515" t="s">
        <v>37317</v>
      </c>
      <c r="F263" s="489" t="s">
        <v>36936</v>
      </c>
      <c r="G263" s="484"/>
      <c r="H263" s="484"/>
      <c r="I263" s="484"/>
      <c r="J263" s="484"/>
      <c r="K263" s="484"/>
      <c r="L263" s="484"/>
      <c r="M263" s="484"/>
      <c r="N263" s="484"/>
      <c r="O263" s="484"/>
      <c r="P263" s="484"/>
      <c r="Q263" s="484"/>
      <c r="R263" s="484"/>
      <c r="S263" s="484"/>
      <c r="T263" s="484"/>
      <c r="U263" s="484"/>
      <c r="V263" s="484"/>
      <c r="W263" s="484"/>
      <c r="X263" s="484"/>
      <c r="Y263" s="484"/>
      <c r="Z263" s="484"/>
    </row>
    <row r="264">
      <c r="A264" s="499"/>
      <c r="B264" s="515" t="s">
        <v>3290</v>
      </c>
      <c r="C264" s="516" t="s">
        <v>37318</v>
      </c>
      <c r="D264" s="515" t="s">
        <v>37319</v>
      </c>
      <c r="E264" s="515" t="s">
        <v>37320</v>
      </c>
      <c r="F264" s="489" t="s">
        <v>36936</v>
      </c>
      <c r="G264" s="484"/>
      <c r="H264" s="484"/>
      <c r="I264" s="484"/>
      <c r="J264" s="484"/>
      <c r="K264" s="484"/>
      <c r="L264" s="484"/>
      <c r="M264" s="484"/>
      <c r="N264" s="484"/>
      <c r="O264" s="484"/>
      <c r="P264" s="484"/>
      <c r="Q264" s="484"/>
      <c r="R264" s="484"/>
      <c r="S264" s="484"/>
      <c r="T264" s="484"/>
      <c r="U264" s="484"/>
      <c r="V264" s="484"/>
      <c r="W264" s="484"/>
      <c r="X264" s="484"/>
      <c r="Y264" s="484"/>
      <c r="Z264" s="484"/>
    </row>
    <row r="265">
      <c r="A265" s="499"/>
      <c r="D265" s="515" t="s">
        <v>37321</v>
      </c>
      <c r="E265" s="515" t="s">
        <v>37322</v>
      </c>
      <c r="F265" s="489" t="s">
        <v>36936</v>
      </c>
      <c r="G265" s="484"/>
      <c r="H265" s="484"/>
      <c r="I265" s="484"/>
      <c r="J265" s="484"/>
      <c r="K265" s="484"/>
      <c r="L265" s="484"/>
      <c r="M265" s="484"/>
      <c r="N265" s="484"/>
      <c r="O265" s="484"/>
      <c r="P265" s="484"/>
      <c r="Q265" s="484"/>
      <c r="R265" s="484"/>
      <c r="S265" s="484"/>
      <c r="T265" s="484"/>
      <c r="U265" s="484"/>
      <c r="V265" s="484"/>
      <c r="W265" s="484"/>
      <c r="X265" s="484"/>
      <c r="Y265" s="484"/>
      <c r="Z265" s="484"/>
    </row>
    <row r="266">
      <c r="A266" s="499"/>
      <c r="B266" s="515" t="s">
        <v>28119</v>
      </c>
      <c r="C266" s="516" t="s">
        <v>37323</v>
      </c>
      <c r="D266" s="515" t="s">
        <v>37324</v>
      </c>
      <c r="E266" s="517"/>
      <c r="F266" s="489" t="s">
        <v>36936</v>
      </c>
      <c r="G266" s="484"/>
      <c r="H266" s="484"/>
      <c r="I266" s="484"/>
      <c r="J266" s="484"/>
      <c r="K266" s="484"/>
      <c r="L266" s="484"/>
      <c r="M266" s="484"/>
      <c r="N266" s="484"/>
      <c r="O266" s="484"/>
      <c r="P266" s="484"/>
      <c r="Q266" s="484"/>
      <c r="R266" s="484"/>
      <c r="S266" s="484"/>
      <c r="T266" s="484"/>
      <c r="U266" s="484"/>
      <c r="V266" s="484"/>
      <c r="W266" s="484"/>
      <c r="X266" s="484"/>
      <c r="Y266" s="484"/>
      <c r="Z266" s="484"/>
    </row>
    <row r="267">
      <c r="A267" s="499"/>
      <c r="B267" s="515" t="s">
        <v>37325</v>
      </c>
      <c r="C267" s="516" t="s">
        <v>36971</v>
      </c>
      <c r="D267" s="515" t="s">
        <v>36959</v>
      </c>
      <c r="E267" s="515" t="s">
        <v>37326</v>
      </c>
      <c r="F267" s="528" t="s">
        <v>36936</v>
      </c>
      <c r="G267" s="484"/>
      <c r="H267" s="484"/>
      <c r="I267" s="484"/>
      <c r="J267" s="484"/>
      <c r="K267" s="484"/>
      <c r="L267" s="484"/>
      <c r="M267" s="484"/>
      <c r="N267" s="484"/>
      <c r="O267" s="484"/>
      <c r="P267" s="484"/>
      <c r="Q267" s="484"/>
      <c r="R267" s="484"/>
      <c r="S267" s="484"/>
      <c r="T267" s="484"/>
      <c r="U267" s="484"/>
      <c r="V267" s="484"/>
      <c r="W267" s="484"/>
      <c r="X267" s="484"/>
      <c r="Y267" s="484"/>
      <c r="Z267" s="484"/>
    </row>
    <row r="268">
      <c r="A268" s="496" t="s">
        <v>37327</v>
      </c>
      <c r="B268" s="518" t="s">
        <v>37328</v>
      </c>
      <c r="C268" s="519" t="s">
        <v>400</v>
      </c>
      <c r="D268" s="518" t="s">
        <v>37329</v>
      </c>
      <c r="E268" s="530"/>
      <c r="F268" s="528" t="s">
        <v>36936</v>
      </c>
      <c r="G268" s="484"/>
      <c r="H268" s="484"/>
      <c r="I268" s="484"/>
      <c r="J268" s="484"/>
      <c r="K268" s="484"/>
      <c r="L268" s="484"/>
      <c r="M268" s="484"/>
      <c r="N268" s="484"/>
      <c r="O268" s="484"/>
      <c r="P268" s="484"/>
      <c r="Q268" s="484"/>
      <c r="R268" s="484"/>
      <c r="S268" s="484"/>
      <c r="T268" s="484"/>
      <c r="U268" s="484"/>
      <c r="V268" s="484"/>
      <c r="W268" s="484"/>
      <c r="X268" s="484"/>
      <c r="Y268" s="484"/>
      <c r="Z268" s="484"/>
    </row>
    <row r="269">
      <c r="A269" s="505" t="s">
        <v>37330</v>
      </c>
      <c r="B269" s="506" t="s">
        <v>30997</v>
      </c>
      <c r="C269" s="507" t="s">
        <v>37331</v>
      </c>
      <c r="D269" s="506" t="s">
        <v>37073</v>
      </c>
      <c r="E269" s="531"/>
      <c r="F269" s="528" t="s">
        <v>36936</v>
      </c>
      <c r="G269" s="484"/>
      <c r="H269" s="484"/>
      <c r="I269" s="484"/>
      <c r="J269" s="484"/>
      <c r="K269" s="484"/>
      <c r="L269" s="484"/>
      <c r="M269" s="484"/>
      <c r="N269" s="484"/>
      <c r="O269" s="484"/>
      <c r="P269" s="484"/>
      <c r="Q269" s="484"/>
      <c r="R269" s="484"/>
      <c r="S269" s="484"/>
      <c r="T269" s="484"/>
      <c r="U269" s="484"/>
      <c r="V269" s="484"/>
      <c r="W269" s="484"/>
      <c r="X269" s="484"/>
      <c r="Y269" s="484"/>
      <c r="Z269" s="484"/>
    </row>
    <row r="270">
      <c r="A270" s="499"/>
      <c r="D270" s="508" t="s">
        <v>37142</v>
      </c>
      <c r="E270" s="510"/>
      <c r="F270" s="532" t="s">
        <v>36936</v>
      </c>
      <c r="G270" s="484"/>
      <c r="H270" s="484"/>
      <c r="I270" s="484"/>
      <c r="J270" s="484"/>
      <c r="K270" s="484"/>
      <c r="L270" s="484"/>
      <c r="M270" s="484"/>
      <c r="N270" s="484"/>
      <c r="O270" s="484"/>
      <c r="P270" s="484"/>
      <c r="Q270" s="484"/>
      <c r="R270" s="484"/>
      <c r="S270" s="484"/>
      <c r="T270" s="484"/>
      <c r="U270" s="484"/>
      <c r="V270" s="484"/>
      <c r="W270" s="484"/>
      <c r="X270" s="484"/>
      <c r="Y270" s="484"/>
      <c r="Z270" s="484"/>
    </row>
    <row r="271">
      <c r="A271" s="499"/>
      <c r="B271" s="508" t="s">
        <v>37332</v>
      </c>
      <c r="C271" s="509" t="s">
        <v>37333</v>
      </c>
      <c r="D271" s="508" t="s">
        <v>37334</v>
      </c>
      <c r="E271" s="510"/>
      <c r="F271" s="532" t="s">
        <v>36936</v>
      </c>
      <c r="G271" s="484"/>
      <c r="H271" s="484"/>
      <c r="I271" s="484"/>
      <c r="J271" s="484"/>
      <c r="K271" s="484"/>
      <c r="L271" s="484"/>
      <c r="M271" s="484"/>
      <c r="N271" s="484"/>
      <c r="O271" s="484"/>
      <c r="P271" s="484"/>
      <c r="Q271" s="484"/>
      <c r="R271" s="484"/>
      <c r="S271" s="484"/>
      <c r="T271" s="484"/>
      <c r="U271" s="484"/>
      <c r="V271" s="484"/>
      <c r="W271" s="484"/>
      <c r="X271" s="484"/>
      <c r="Y271" s="484"/>
      <c r="Z271" s="484"/>
    </row>
    <row r="272">
      <c r="A272" s="499"/>
      <c r="D272" s="508" t="s">
        <v>37335</v>
      </c>
      <c r="E272" s="510"/>
      <c r="F272" s="532" t="s">
        <v>36936</v>
      </c>
      <c r="G272" s="484"/>
      <c r="H272" s="484"/>
      <c r="I272" s="484"/>
      <c r="J272" s="484"/>
      <c r="K272" s="484"/>
      <c r="L272" s="484"/>
      <c r="M272" s="484"/>
      <c r="N272" s="484"/>
      <c r="O272" s="484"/>
      <c r="P272" s="484"/>
      <c r="Q272" s="484"/>
      <c r="R272" s="484"/>
      <c r="S272" s="484"/>
      <c r="T272" s="484"/>
      <c r="U272" s="484"/>
      <c r="V272" s="484"/>
      <c r="W272" s="484"/>
      <c r="X272" s="484"/>
      <c r="Y272" s="484"/>
      <c r="Z272" s="484"/>
    </row>
    <row r="273">
      <c r="A273" s="499"/>
      <c r="B273" s="508" t="s">
        <v>37336</v>
      </c>
      <c r="C273" s="509" t="s">
        <v>400</v>
      </c>
      <c r="D273" s="508" t="s">
        <v>36951</v>
      </c>
      <c r="E273" s="510"/>
      <c r="F273" s="532" t="s">
        <v>36936</v>
      </c>
      <c r="G273" s="484"/>
      <c r="H273" s="484"/>
      <c r="I273" s="484"/>
      <c r="J273" s="484"/>
      <c r="K273" s="484"/>
      <c r="L273" s="484"/>
      <c r="M273" s="484"/>
      <c r="N273" s="484"/>
      <c r="O273" s="484"/>
      <c r="P273" s="484"/>
      <c r="Q273" s="484"/>
      <c r="R273" s="484"/>
      <c r="S273" s="484"/>
      <c r="T273" s="484"/>
      <c r="U273" s="484"/>
      <c r="V273" s="484"/>
      <c r="W273" s="484"/>
      <c r="X273" s="484"/>
      <c r="Y273" s="484"/>
      <c r="Z273" s="484"/>
    </row>
    <row r="274">
      <c r="A274" s="499"/>
      <c r="B274" s="508" t="s">
        <v>31118</v>
      </c>
      <c r="C274" s="509" t="s">
        <v>1416</v>
      </c>
      <c r="D274" s="508" t="s">
        <v>36993</v>
      </c>
      <c r="E274" s="510"/>
      <c r="F274" s="532" t="s">
        <v>36936</v>
      </c>
      <c r="G274" s="484"/>
      <c r="H274" s="484"/>
      <c r="I274" s="484"/>
      <c r="J274" s="484"/>
      <c r="K274" s="484"/>
      <c r="L274" s="484"/>
      <c r="M274" s="484"/>
      <c r="N274" s="484"/>
      <c r="O274" s="484"/>
      <c r="P274" s="484"/>
      <c r="Q274" s="484"/>
      <c r="R274" s="484"/>
      <c r="S274" s="484"/>
      <c r="T274" s="484"/>
      <c r="U274" s="484"/>
      <c r="V274" s="484"/>
      <c r="W274" s="484"/>
      <c r="X274" s="484"/>
      <c r="Y274" s="484"/>
      <c r="Z274" s="484"/>
    </row>
    <row r="275">
      <c r="A275" s="499"/>
      <c r="B275" s="508" t="s">
        <v>31127</v>
      </c>
      <c r="C275" s="509" t="s">
        <v>37337</v>
      </c>
      <c r="D275" s="508" t="s">
        <v>37335</v>
      </c>
      <c r="E275" s="510"/>
      <c r="F275" s="532" t="s">
        <v>36936</v>
      </c>
      <c r="G275" s="484"/>
      <c r="H275" s="484"/>
      <c r="I275" s="484"/>
      <c r="J275" s="484"/>
      <c r="K275" s="484"/>
      <c r="L275" s="484"/>
      <c r="M275" s="484"/>
      <c r="N275" s="484"/>
      <c r="O275" s="484"/>
      <c r="P275" s="484"/>
      <c r="Q275" s="484"/>
      <c r="R275" s="484"/>
      <c r="S275" s="484"/>
      <c r="T275" s="484"/>
      <c r="U275" s="484"/>
      <c r="V275" s="484"/>
      <c r="W275" s="484"/>
      <c r="X275" s="484"/>
      <c r="Y275" s="484"/>
      <c r="Z275" s="484"/>
    </row>
    <row r="276">
      <c r="A276" s="499"/>
      <c r="B276" s="508" t="s">
        <v>31134</v>
      </c>
      <c r="C276" s="509" t="s">
        <v>400</v>
      </c>
      <c r="D276" s="508" t="s">
        <v>36951</v>
      </c>
      <c r="E276" s="510"/>
      <c r="F276" s="532" t="s">
        <v>36936</v>
      </c>
      <c r="G276" s="484"/>
      <c r="H276" s="484"/>
      <c r="I276" s="484"/>
      <c r="J276" s="484"/>
      <c r="K276" s="484"/>
      <c r="L276" s="484"/>
      <c r="M276" s="484"/>
      <c r="N276" s="484"/>
      <c r="O276" s="484"/>
      <c r="P276" s="484"/>
      <c r="Q276" s="484"/>
      <c r="R276" s="484"/>
      <c r="S276" s="484"/>
      <c r="T276" s="484"/>
      <c r="U276" s="484"/>
      <c r="V276" s="484"/>
      <c r="W276" s="484"/>
      <c r="X276" s="484"/>
      <c r="Y276" s="484"/>
      <c r="Z276" s="484"/>
    </row>
    <row r="277">
      <c r="A277" s="499"/>
      <c r="B277" s="508" t="s">
        <v>31139</v>
      </c>
      <c r="C277" s="509" t="s">
        <v>400</v>
      </c>
      <c r="D277" s="508" t="s">
        <v>37226</v>
      </c>
      <c r="E277" s="510"/>
      <c r="F277" s="532" t="s">
        <v>36936</v>
      </c>
      <c r="G277" s="484"/>
      <c r="H277" s="484"/>
      <c r="I277" s="484"/>
      <c r="J277" s="484"/>
      <c r="K277" s="484"/>
      <c r="L277" s="484"/>
      <c r="M277" s="484"/>
      <c r="N277" s="484"/>
      <c r="O277" s="484"/>
      <c r="P277" s="484"/>
      <c r="Q277" s="484"/>
      <c r="R277" s="484"/>
      <c r="S277" s="484"/>
      <c r="T277" s="484"/>
      <c r="U277" s="484"/>
      <c r="V277" s="484"/>
      <c r="W277" s="484"/>
      <c r="X277" s="484"/>
      <c r="Y277" s="484"/>
      <c r="Z277" s="484"/>
    </row>
    <row r="278">
      <c r="A278" s="499"/>
      <c r="B278" s="508" t="s">
        <v>31202</v>
      </c>
      <c r="C278" s="509" t="s">
        <v>400</v>
      </c>
      <c r="D278" s="508" t="s">
        <v>37338</v>
      </c>
      <c r="E278" s="510"/>
      <c r="F278" s="532" t="s">
        <v>36936</v>
      </c>
      <c r="G278" s="484"/>
      <c r="H278" s="484"/>
      <c r="I278" s="484"/>
      <c r="J278" s="484"/>
      <c r="K278" s="484"/>
      <c r="L278" s="484"/>
      <c r="M278" s="484"/>
      <c r="N278" s="484"/>
      <c r="O278" s="484"/>
      <c r="P278" s="484"/>
      <c r="Q278" s="484"/>
      <c r="R278" s="484"/>
      <c r="S278" s="484"/>
      <c r="T278" s="484"/>
      <c r="U278" s="484"/>
      <c r="V278" s="484"/>
      <c r="W278" s="484"/>
      <c r="X278" s="484"/>
      <c r="Y278" s="484"/>
      <c r="Z278" s="484"/>
    </row>
    <row r="279">
      <c r="A279" s="499"/>
      <c r="F279" s="532" t="s">
        <v>36936</v>
      </c>
      <c r="G279" s="484"/>
      <c r="H279" s="484"/>
      <c r="I279" s="484"/>
      <c r="J279" s="484"/>
      <c r="K279" s="484"/>
      <c r="L279" s="484"/>
      <c r="M279" s="484"/>
      <c r="N279" s="484"/>
      <c r="O279" s="484"/>
      <c r="P279" s="484"/>
      <c r="Q279" s="484"/>
      <c r="R279" s="484"/>
      <c r="S279" s="484"/>
      <c r="T279" s="484"/>
      <c r="U279" s="484"/>
      <c r="V279" s="484"/>
      <c r="W279" s="484"/>
      <c r="X279" s="484"/>
      <c r="Y279" s="484"/>
      <c r="Z279" s="484"/>
    </row>
    <row r="280">
      <c r="A280" s="499"/>
      <c r="B280" s="508" t="s">
        <v>31279</v>
      </c>
      <c r="C280" s="509" t="s">
        <v>400</v>
      </c>
      <c r="D280" s="508" t="s">
        <v>37339</v>
      </c>
      <c r="E280" s="510"/>
      <c r="F280" s="532" t="s">
        <v>36936</v>
      </c>
      <c r="G280" s="484"/>
      <c r="H280" s="484"/>
      <c r="I280" s="484"/>
      <c r="J280" s="484"/>
      <c r="K280" s="484"/>
      <c r="L280" s="484"/>
      <c r="M280" s="484"/>
      <c r="N280" s="484"/>
      <c r="O280" s="484"/>
      <c r="P280" s="484"/>
      <c r="Q280" s="484"/>
      <c r="R280" s="484"/>
      <c r="S280" s="484"/>
      <c r="T280" s="484"/>
      <c r="U280" s="484"/>
      <c r="V280" s="484"/>
      <c r="W280" s="484"/>
      <c r="X280" s="484"/>
      <c r="Y280" s="484"/>
      <c r="Z280" s="484"/>
    </row>
    <row r="281">
      <c r="A281" s="499"/>
      <c r="B281" s="508" t="s">
        <v>31294</v>
      </c>
      <c r="C281" s="509" t="s">
        <v>400</v>
      </c>
      <c r="D281" s="508" t="s">
        <v>36959</v>
      </c>
      <c r="E281" s="510"/>
      <c r="F281" s="532" t="s">
        <v>36936</v>
      </c>
      <c r="G281" s="484"/>
      <c r="H281" s="484"/>
      <c r="I281" s="484"/>
      <c r="J281" s="484"/>
      <c r="K281" s="484"/>
      <c r="L281" s="484"/>
      <c r="M281" s="484"/>
      <c r="N281" s="484"/>
      <c r="O281" s="484"/>
      <c r="P281" s="484"/>
      <c r="Q281" s="484"/>
      <c r="R281" s="484"/>
      <c r="S281" s="484"/>
      <c r="T281" s="484"/>
      <c r="U281" s="484"/>
      <c r="V281" s="484"/>
      <c r="W281" s="484"/>
      <c r="X281" s="484"/>
      <c r="Y281" s="484"/>
      <c r="Z281" s="484"/>
    </row>
    <row r="282">
      <c r="A282" s="499"/>
      <c r="D282" s="508" t="s">
        <v>36939</v>
      </c>
      <c r="E282" s="510"/>
      <c r="F282" s="532" t="s">
        <v>36936</v>
      </c>
      <c r="G282" s="484"/>
      <c r="H282" s="484"/>
      <c r="I282" s="484"/>
      <c r="J282" s="484"/>
      <c r="K282" s="484"/>
      <c r="L282" s="484"/>
      <c r="M282" s="484"/>
      <c r="N282" s="484"/>
      <c r="O282" s="484"/>
      <c r="P282" s="484"/>
      <c r="Q282" s="484"/>
      <c r="R282" s="484"/>
      <c r="S282" s="484"/>
      <c r="T282" s="484"/>
      <c r="U282" s="484"/>
      <c r="V282" s="484"/>
      <c r="W282" s="484"/>
      <c r="X282" s="484"/>
      <c r="Y282" s="484"/>
      <c r="Z282" s="484"/>
    </row>
    <row r="283">
      <c r="A283" s="511" t="s">
        <v>31371</v>
      </c>
      <c r="B283" s="512" t="s">
        <v>37340</v>
      </c>
      <c r="C283" s="512" t="s">
        <v>37341</v>
      </c>
      <c r="D283" s="512" t="s">
        <v>37342</v>
      </c>
      <c r="E283" s="533"/>
      <c r="F283" s="532" t="s">
        <v>36936</v>
      </c>
      <c r="G283" s="484"/>
      <c r="H283" s="484"/>
      <c r="I283" s="484"/>
      <c r="J283" s="484"/>
      <c r="K283" s="484"/>
      <c r="L283" s="484"/>
      <c r="M283" s="484"/>
      <c r="N283" s="484"/>
      <c r="O283" s="484"/>
      <c r="P283" s="484"/>
      <c r="Q283" s="484"/>
      <c r="R283" s="484"/>
      <c r="S283" s="484"/>
      <c r="T283" s="484"/>
      <c r="U283" s="484"/>
      <c r="V283" s="484"/>
      <c r="W283" s="484"/>
      <c r="X283" s="484"/>
      <c r="Y283" s="484"/>
      <c r="Z283" s="484"/>
    </row>
    <row r="284">
      <c r="A284" s="499"/>
      <c r="D284" s="515" t="s">
        <v>37343</v>
      </c>
      <c r="E284" s="517"/>
      <c r="F284" s="532" t="s">
        <v>36936</v>
      </c>
      <c r="G284" s="484"/>
      <c r="H284" s="484"/>
      <c r="I284" s="484"/>
      <c r="J284" s="484"/>
      <c r="K284" s="484"/>
      <c r="L284" s="484"/>
      <c r="M284" s="484"/>
      <c r="N284" s="484"/>
      <c r="O284" s="484"/>
      <c r="P284" s="484"/>
      <c r="Q284" s="484"/>
      <c r="R284" s="484"/>
      <c r="S284" s="484"/>
      <c r="T284" s="484"/>
      <c r="U284" s="484"/>
      <c r="V284" s="484"/>
      <c r="W284" s="484"/>
      <c r="X284" s="484"/>
      <c r="Y284" s="484"/>
      <c r="Z284" s="484"/>
    </row>
    <row r="285">
      <c r="A285" s="499"/>
      <c r="B285" s="515" t="s">
        <v>37344</v>
      </c>
      <c r="C285" s="516" t="s">
        <v>37345</v>
      </c>
      <c r="D285" s="515" t="s">
        <v>37346</v>
      </c>
      <c r="E285" s="517"/>
      <c r="F285" s="532" t="s">
        <v>36936</v>
      </c>
      <c r="G285" s="484"/>
      <c r="H285" s="484"/>
      <c r="I285" s="484"/>
      <c r="J285" s="484"/>
      <c r="K285" s="484"/>
      <c r="L285" s="484"/>
      <c r="M285" s="484"/>
      <c r="N285" s="484"/>
      <c r="O285" s="484"/>
      <c r="P285" s="484"/>
      <c r="Q285" s="484"/>
      <c r="R285" s="484"/>
      <c r="S285" s="484"/>
      <c r="T285" s="484"/>
      <c r="U285" s="484"/>
      <c r="V285" s="484"/>
      <c r="W285" s="484"/>
      <c r="X285" s="484"/>
      <c r="Y285" s="484"/>
      <c r="Z285" s="484"/>
    </row>
    <row r="286">
      <c r="A286" s="499"/>
      <c r="B286" s="515" t="s">
        <v>6659</v>
      </c>
      <c r="C286" s="516" t="s">
        <v>37347</v>
      </c>
      <c r="D286" s="515" t="s">
        <v>37078</v>
      </c>
      <c r="E286" s="517"/>
      <c r="F286" s="532" t="s">
        <v>36936</v>
      </c>
      <c r="G286" s="484"/>
      <c r="H286" s="484"/>
      <c r="I286" s="484"/>
      <c r="J286" s="484"/>
      <c r="K286" s="484"/>
      <c r="L286" s="484"/>
      <c r="M286" s="484"/>
      <c r="N286" s="484"/>
      <c r="O286" s="484"/>
      <c r="P286" s="484"/>
      <c r="Q286" s="484"/>
      <c r="R286" s="484"/>
      <c r="S286" s="484"/>
      <c r="T286" s="484"/>
      <c r="U286" s="484"/>
      <c r="V286" s="484"/>
      <c r="W286" s="484"/>
      <c r="X286" s="484"/>
      <c r="Y286" s="484"/>
      <c r="Z286" s="484"/>
    </row>
    <row r="287">
      <c r="A287" s="496" t="s">
        <v>31524</v>
      </c>
      <c r="B287" s="518" t="s">
        <v>37348</v>
      </c>
      <c r="C287" s="530"/>
      <c r="D287" s="530"/>
      <c r="E287" s="530"/>
      <c r="F287" s="532" t="s">
        <v>36936</v>
      </c>
      <c r="G287" s="484"/>
      <c r="H287" s="484"/>
      <c r="I287" s="484"/>
      <c r="J287" s="484"/>
      <c r="K287" s="484"/>
      <c r="L287" s="484"/>
      <c r="M287" s="484"/>
      <c r="N287" s="484"/>
      <c r="O287" s="484"/>
      <c r="P287" s="484"/>
      <c r="Q287" s="484"/>
      <c r="R287" s="484"/>
      <c r="S287" s="484"/>
      <c r="T287" s="484"/>
      <c r="U287" s="484"/>
      <c r="V287" s="484"/>
      <c r="W287" s="484"/>
      <c r="X287" s="484"/>
      <c r="Y287" s="484"/>
      <c r="Z287" s="484"/>
    </row>
    <row r="288">
      <c r="A288" s="499"/>
      <c r="B288" s="497" t="s">
        <v>37349</v>
      </c>
      <c r="C288" s="498" t="s">
        <v>400</v>
      </c>
      <c r="D288" s="497" t="s">
        <v>36993</v>
      </c>
      <c r="E288" s="497" t="s">
        <v>37350</v>
      </c>
      <c r="F288" s="532" t="s">
        <v>36936</v>
      </c>
      <c r="G288" s="484"/>
      <c r="H288" s="484"/>
      <c r="I288" s="484"/>
      <c r="J288" s="484"/>
      <c r="K288" s="484"/>
      <c r="L288" s="484"/>
      <c r="M288" s="484"/>
      <c r="N288" s="484"/>
      <c r="O288" s="484"/>
      <c r="P288" s="484"/>
      <c r="Q288" s="484"/>
      <c r="R288" s="484"/>
      <c r="S288" s="484"/>
      <c r="T288" s="484"/>
      <c r="U288" s="484"/>
      <c r="V288" s="484"/>
      <c r="W288" s="484"/>
      <c r="X288" s="484"/>
      <c r="Y288" s="484"/>
      <c r="Z288" s="484"/>
    </row>
    <row r="289">
      <c r="A289" s="499"/>
      <c r="B289" s="497" t="s">
        <v>31581</v>
      </c>
      <c r="C289" s="498" t="s">
        <v>10116</v>
      </c>
      <c r="D289" s="497" t="s">
        <v>36993</v>
      </c>
      <c r="E289" s="497" t="s">
        <v>37351</v>
      </c>
      <c r="F289" s="532" t="s">
        <v>36936</v>
      </c>
      <c r="G289" s="484"/>
      <c r="H289" s="484"/>
      <c r="I289" s="484"/>
      <c r="J289" s="484"/>
      <c r="K289" s="484"/>
      <c r="L289" s="484"/>
      <c r="M289" s="484"/>
      <c r="N289" s="484"/>
      <c r="O289" s="484"/>
      <c r="P289" s="484"/>
      <c r="Q289" s="484"/>
      <c r="R289" s="484"/>
      <c r="S289" s="484"/>
      <c r="T289" s="484"/>
      <c r="U289" s="484"/>
      <c r="V289" s="484"/>
      <c r="W289" s="484"/>
      <c r="X289" s="484"/>
      <c r="Y289" s="484"/>
      <c r="Z289" s="484"/>
    </row>
    <row r="290">
      <c r="A290" s="505" t="s">
        <v>34103</v>
      </c>
      <c r="B290" s="506" t="s">
        <v>37352</v>
      </c>
      <c r="C290" s="507" t="s">
        <v>37098</v>
      </c>
      <c r="D290" s="506" t="s">
        <v>37353</v>
      </c>
      <c r="E290" s="506" t="s">
        <v>37354</v>
      </c>
      <c r="F290" s="532" t="s">
        <v>36936</v>
      </c>
      <c r="G290" s="484"/>
      <c r="H290" s="484"/>
      <c r="I290" s="484"/>
      <c r="J290" s="484"/>
      <c r="K290" s="484"/>
      <c r="L290" s="484"/>
      <c r="M290" s="484"/>
      <c r="N290" s="484"/>
      <c r="O290" s="484"/>
      <c r="P290" s="484"/>
      <c r="Q290" s="484"/>
      <c r="R290" s="484"/>
      <c r="S290" s="484"/>
      <c r="T290" s="484"/>
      <c r="U290" s="484"/>
      <c r="V290" s="484"/>
      <c r="W290" s="484"/>
      <c r="X290" s="484"/>
      <c r="Y290" s="484"/>
      <c r="Z290" s="484"/>
    </row>
    <row r="291">
      <c r="A291" s="499"/>
      <c r="B291" s="508" t="s">
        <v>17755</v>
      </c>
      <c r="C291" s="509" t="s">
        <v>37355</v>
      </c>
      <c r="D291" s="508" t="s">
        <v>37353</v>
      </c>
      <c r="E291" s="508" t="s">
        <v>37356</v>
      </c>
      <c r="F291" s="532" t="s">
        <v>36936</v>
      </c>
      <c r="G291" s="484"/>
      <c r="H291" s="484"/>
      <c r="I291" s="484"/>
      <c r="J291" s="484"/>
      <c r="K291" s="484"/>
      <c r="L291" s="484"/>
      <c r="M291" s="484"/>
      <c r="N291" s="484"/>
      <c r="O291" s="484"/>
      <c r="P291" s="484"/>
      <c r="Q291" s="484"/>
      <c r="R291" s="484"/>
      <c r="S291" s="484"/>
      <c r="T291" s="484"/>
      <c r="U291" s="484"/>
      <c r="V291" s="484"/>
      <c r="W291" s="484"/>
      <c r="X291" s="484"/>
      <c r="Y291" s="484"/>
      <c r="Z291" s="484"/>
    </row>
    <row r="292">
      <c r="A292" s="499"/>
      <c r="B292" s="508" t="s">
        <v>31619</v>
      </c>
      <c r="C292" s="509" t="s">
        <v>37357</v>
      </c>
      <c r="D292" s="508" t="s">
        <v>37358</v>
      </c>
      <c r="E292" s="508" t="s">
        <v>37359</v>
      </c>
      <c r="F292" s="532" t="s">
        <v>36936</v>
      </c>
      <c r="G292" s="484"/>
      <c r="H292" s="484"/>
      <c r="I292" s="484"/>
      <c r="J292" s="484"/>
      <c r="K292" s="484"/>
      <c r="L292" s="484"/>
      <c r="M292" s="484"/>
      <c r="N292" s="484"/>
      <c r="O292" s="484"/>
      <c r="P292" s="484"/>
      <c r="Q292" s="484"/>
      <c r="R292" s="484"/>
      <c r="S292" s="484"/>
      <c r="T292" s="484"/>
      <c r="U292" s="484"/>
      <c r="V292" s="484"/>
      <c r="W292" s="484"/>
      <c r="X292" s="484"/>
      <c r="Y292" s="484"/>
      <c r="Z292" s="484"/>
    </row>
    <row r="293">
      <c r="A293" s="499"/>
      <c r="B293" s="508" t="s">
        <v>37360</v>
      </c>
      <c r="C293" s="509" t="s">
        <v>400</v>
      </c>
      <c r="D293" s="510"/>
      <c r="E293" s="510"/>
      <c r="F293" s="532" t="s">
        <v>36936</v>
      </c>
      <c r="G293" s="484"/>
      <c r="H293" s="484"/>
      <c r="I293" s="484"/>
      <c r="J293" s="484"/>
      <c r="K293" s="484"/>
      <c r="L293" s="484"/>
      <c r="M293" s="484"/>
      <c r="N293" s="484"/>
      <c r="O293" s="484"/>
      <c r="P293" s="484"/>
      <c r="Q293" s="484"/>
      <c r="R293" s="484"/>
      <c r="S293" s="484"/>
      <c r="T293" s="484"/>
      <c r="U293" s="484"/>
      <c r="V293" s="484"/>
      <c r="W293" s="484"/>
      <c r="X293" s="484"/>
      <c r="Y293" s="484"/>
      <c r="Z293" s="484"/>
    </row>
    <row r="294">
      <c r="A294" s="499"/>
      <c r="B294" s="508" t="s">
        <v>31706</v>
      </c>
      <c r="C294" s="509" t="s">
        <v>1392</v>
      </c>
      <c r="D294" s="508" t="s">
        <v>37361</v>
      </c>
      <c r="E294" s="508" t="s">
        <v>37362</v>
      </c>
      <c r="F294" s="532" t="s">
        <v>36936</v>
      </c>
      <c r="G294" s="484"/>
      <c r="H294" s="484"/>
      <c r="I294" s="484"/>
      <c r="J294" s="484"/>
      <c r="K294" s="484"/>
      <c r="L294" s="484"/>
      <c r="M294" s="484"/>
      <c r="N294" s="484"/>
      <c r="O294" s="484"/>
      <c r="P294" s="484"/>
      <c r="Q294" s="484"/>
      <c r="R294" s="484"/>
      <c r="S294" s="484"/>
      <c r="T294" s="484"/>
      <c r="U294" s="484"/>
      <c r="V294" s="484"/>
      <c r="W294" s="484"/>
      <c r="X294" s="484"/>
      <c r="Y294" s="484"/>
      <c r="Z294" s="484"/>
    </row>
    <row r="295">
      <c r="A295" s="499"/>
      <c r="B295" s="534" t="s">
        <v>2044</v>
      </c>
      <c r="C295" s="535" t="s">
        <v>37363</v>
      </c>
      <c r="D295" s="534" t="s">
        <v>37364</v>
      </c>
      <c r="E295" s="536"/>
      <c r="F295" s="537" t="s">
        <v>36936</v>
      </c>
      <c r="G295" s="538"/>
      <c r="H295" s="538"/>
      <c r="I295" s="538"/>
      <c r="J295" s="538"/>
      <c r="K295" s="538"/>
      <c r="L295" s="538"/>
      <c r="M295" s="538"/>
      <c r="N295" s="538"/>
      <c r="O295" s="538"/>
      <c r="P295" s="538"/>
      <c r="Q295" s="538"/>
      <c r="R295" s="538"/>
      <c r="S295" s="538"/>
      <c r="T295" s="538"/>
      <c r="U295" s="538"/>
      <c r="V295" s="538"/>
      <c r="W295" s="538"/>
      <c r="X295" s="538"/>
      <c r="Y295" s="538"/>
      <c r="Z295" s="538"/>
    </row>
  </sheetData>
  <mergeCells count="96">
    <mergeCell ref="B38:B39"/>
    <mergeCell ref="C38:C39"/>
    <mergeCell ref="A3:A19"/>
    <mergeCell ref="A20:A32"/>
    <mergeCell ref="B20:B21"/>
    <mergeCell ref="C20:C21"/>
    <mergeCell ref="B23:B24"/>
    <mergeCell ref="C23:C24"/>
    <mergeCell ref="A33:A45"/>
    <mergeCell ref="B79:B80"/>
    <mergeCell ref="C79:C80"/>
    <mergeCell ref="D79:D80"/>
    <mergeCell ref="E79:E80"/>
    <mergeCell ref="B82:B83"/>
    <mergeCell ref="C82:C83"/>
    <mergeCell ref="A46:A58"/>
    <mergeCell ref="B55:B56"/>
    <mergeCell ref="C55:C56"/>
    <mergeCell ref="A59:A63"/>
    <mergeCell ref="A64:A66"/>
    <mergeCell ref="A67:A71"/>
    <mergeCell ref="A72:A86"/>
    <mergeCell ref="D122:D123"/>
    <mergeCell ref="E122:E123"/>
    <mergeCell ref="E137:E138"/>
    <mergeCell ref="B128:B129"/>
    <mergeCell ref="C128:C129"/>
    <mergeCell ref="A87:A88"/>
    <mergeCell ref="A89:A95"/>
    <mergeCell ref="A96:A115"/>
    <mergeCell ref="A116:A118"/>
    <mergeCell ref="A119:A135"/>
    <mergeCell ref="C122:C124"/>
    <mergeCell ref="A136:A151"/>
    <mergeCell ref="B122:B124"/>
    <mergeCell ref="B137:B138"/>
    <mergeCell ref="B171:B172"/>
    <mergeCell ref="B179:B180"/>
    <mergeCell ref="B181:B182"/>
    <mergeCell ref="B184:B185"/>
    <mergeCell ref="B187:B188"/>
    <mergeCell ref="B254:B255"/>
    <mergeCell ref="B264:B265"/>
    <mergeCell ref="C264:C265"/>
    <mergeCell ref="B233:B234"/>
    <mergeCell ref="C233:C234"/>
    <mergeCell ref="B245:B246"/>
    <mergeCell ref="C245:C246"/>
    <mergeCell ref="B248:B249"/>
    <mergeCell ref="C248:C249"/>
    <mergeCell ref="C254:C255"/>
    <mergeCell ref="B278:B279"/>
    <mergeCell ref="C278:C279"/>
    <mergeCell ref="B281:B282"/>
    <mergeCell ref="C281:C282"/>
    <mergeCell ref="A283:A286"/>
    <mergeCell ref="B283:B284"/>
    <mergeCell ref="C283:C284"/>
    <mergeCell ref="A287:A289"/>
    <mergeCell ref="A290:A295"/>
    <mergeCell ref="A230:A244"/>
    <mergeCell ref="A245:A258"/>
    <mergeCell ref="A259:A261"/>
    <mergeCell ref="A262:A267"/>
    <mergeCell ref="A269:A282"/>
    <mergeCell ref="B269:B270"/>
    <mergeCell ref="C269:C270"/>
    <mergeCell ref="B130:B131"/>
    <mergeCell ref="C130:C131"/>
    <mergeCell ref="B133:B134"/>
    <mergeCell ref="C133:C134"/>
    <mergeCell ref="C137:C138"/>
    <mergeCell ref="B144:B145"/>
    <mergeCell ref="C144:C145"/>
    <mergeCell ref="C184:C185"/>
    <mergeCell ref="C187:C188"/>
    <mergeCell ref="D187:D188"/>
    <mergeCell ref="E187:E188"/>
    <mergeCell ref="B149:B150"/>
    <mergeCell ref="C149:C150"/>
    <mergeCell ref="C171:C172"/>
    <mergeCell ref="C179:C180"/>
    <mergeCell ref="C181:C182"/>
    <mergeCell ref="D184:D185"/>
    <mergeCell ref="E184:E185"/>
    <mergeCell ref="A152:A156"/>
    <mergeCell ref="A157:A161"/>
    <mergeCell ref="A162:A170"/>
    <mergeCell ref="A171:A188"/>
    <mergeCell ref="A189:A200"/>
    <mergeCell ref="A201:A204"/>
    <mergeCell ref="A205:A229"/>
    <mergeCell ref="B271:B272"/>
    <mergeCell ref="C271:C272"/>
    <mergeCell ref="D278:D279"/>
    <mergeCell ref="E278:E279"/>
  </mergeCells>
  <hyperlinks>
    <hyperlink r:id="rId1" ref="E3"/>
    <hyperlink r:id="rId2" ref="E4"/>
    <hyperlink r:id="rId3" ref="E5"/>
    <hyperlink r:id="rId4" ref="E6"/>
    <hyperlink r:id="rId5" ref="E9"/>
    <hyperlink r:id="rId6" ref="E12"/>
    <hyperlink r:id="rId7" ref="E16"/>
    <hyperlink r:id="rId8" ref="E21"/>
    <hyperlink r:id="rId9" ref="E30"/>
    <hyperlink r:id="rId10" ref="E31"/>
    <hyperlink r:id="rId11" ref="E33"/>
    <hyperlink r:id="rId12" ref="E35"/>
    <hyperlink r:id="rId13" ref="E45"/>
    <hyperlink r:id="rId14" ref="E64"/>
    <hyperlink r:id="rId15" ref="E67"/>
    <hyperlink r:id="rId16" ref="E71"/>
    <hyperlink r:id="rId17" ref="E87"/>
    <hyperlink r:id="rId18" ref="E89"/>
    <hyperlink r:id="rId19" ref="E93"/>
    <hyperlink r:id="rId20" ref="E97"/>
    <hyperlink r:id="rId21" ref="E107"/>
    <hyperlink r:id="rId22" ref="E108"/>
    <hyperlink r:id="rId23" ref="E111"/>
    <hyperlink r:id="rId24" ref="E113"/>
    <hyperlink r:id="rId25" ref="E116"/>
    <hyperlink r:id="rId26" ref="E117"/>
    <hyperlink r:id="rId27" ref="E118"/>
    <hyperlink r:id="rId28" ref="E119"/>
    <hyperlink r:id="rId29" ref="E122"/>
    <hyperlink r:id="rId30" ref="E124"/>
    <hyperlink r:id="rId31" ref="E126"/>
    <hyperlink r:id="rId32" ref="E127"/>
    <hyperlink r:id="rId33" ref="E128"/>
    <hyperlink r:id="rId34" ref="E129"/>
    <hyperlink r:id="rId35" ref="E130"/>
    <hyperlink r:id="rId36" ref="E131"/>
    <hyperlink r:id="rId37" ref="E132"/>
    <hyperlink r:id="rId38" ref="E133"/>
    <hyperlink r:id="rId39" ref="E134"/>
    <hyperlink r:id="rId40" ref="E135"/>
    <hyperlink r:id="rId41" ref="E136"/>
    <hyperlink r:id="rId42" ref="E139"/>
    <hyperlink r:id="rId43" ref="E143"/>
    <hyperlink r:id="rId44" ref="E144"/>
    <hyperlink r:id="rId45" ref="E145"/>
    <hyperlink r:id="rId46" ref="E146"/>
    <hyperlink r:id="rId47" ref="E148"/>
    <hyperlink r:id="rId48" ref="E149"/>
    <hyperlink r:id="rId49" ref="E150"/>
    <hyperlink r:id="rId50" ref="E151"/>
    <hyperlink r:id="rId51" ref="E152"/>
    <hyperlink r:id="rId52" ref="E156"/>
    <hyperlink r:id="rId53" ref="E157"/>
    <hyperlink r:id="rId54" ref="E158"/>
    <hyperlink r:id="rId55" ref="E159"/>
    <hyperlink r:id="rId56" ref="E160"/>
    <hyperlink r:id="rId57" ref="E162"/>
    <hyperlink r:id="rId58" ref="E164"/>
    <hyperlink r:id="rId59" ref="E165"/>
    <hyperlink r:id="rId60" ref="E168"/>
    <hyperlink r:id="rId61" ref="E176"/>
    <hyperlink r:id="rId62" ref="E189"/>
    <hyperlink r:id="rId63" ref="E199"/>
    <hyperlink r:id="rId64" ref="E204"/>
    <hyperlink r:id="rId65" ref="E227"/>
    <hyperlink r:id="rId66" ref="E231"/>
    <hyperlink r:id="rId67" ref="E232"/>
    <hyperlink r:id="rId68" ref="E233"/>
    <hyperlink r:id="rId69" ref="E234"/>
    <hyperlink r:id="rId70" ref="E235"/>
    <hyperlink r:id="rId71" ref="E237"/>
    <hyperlink r:id="rId72" ref="E239"/>
    <hyperlink r:id="rId73" ref="E247"/>
    <hyperlink r:id="rId74" ref="E248"/>
    <hyperlink r:id="rId75" ref="E249"/>
    <hyperlink r:id="rId76" ref="E250"/>
    <hyperlink r:id="rId77" ref="E253"/>
    <hyperlink r:id="rId78" ref="E257"/>
    <hyperlink r:id="rId79" ref="E258"/>
    <hyperlink r:id="rId80" ref="E259"/>
    <hyperlink r:id="rId81" ref="E262"/>
    <hyperlink r:id="rId82" ref="E263"/>
    <hyperlink r:id="rId83" ref="E264"/>
    <hyperlink r:id="rId84" ref="E265"/>
    <hyperlink r:id="rId85" ref="E267"/>
    <hyperlink r:id="rId86" ref="E288"/>
    <hyperlink r:id="rId87" ref="E289"/>
    <hyperlink r:id="rId88" ref="E290"/>
    <hyperlink r:id="rId89" ref="E291"/>
    <hyperlink r:id="rId90" ref="E292"/>
    <hyperlink r:id="rId91" ref="E294"/>
  </hyperlinks>
  <drawing r:id="rId92"/>
  <tableParts count="1">
    <tablePart r:id="rId94"/>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28.38"/>
    <col customWidth="1" min="2" max="2" width="11.38"/>
    <col customWidth="1" min="3" max="3" width="14.75"/>
    <col customWidth="1" min="4" max="4" width="20.13"/>
    <col customWidth="1" min="5" max="5" width="97.0"/>
  </cols>
  <sheetData>
    <row r="1" ht="39.0" customHeight="1">
      <c r="A1" s="539" t="s">
        <v>37365</v>
      </c>
    </row>
    <row r="2">
      <c r="A2" s="540" t="s">
        <v>37366</v>
      </c>
      <c r="B2" s="8" t="s">
        <v>37367</v>
      </c>
      <c r="C2" s="8" t="s">
        <v>3</v>
      </c>
      <c r="D2" s="8" t="s">
        <v>37368</v>
      </c>
      <c r="E2" s="8" t="s">
        <v>37369</v>
      </c>
    </row>
    <row r="3">
      <c r="A3" s="541" t="s">
        <v>37370</v>
      </c>
      <c r="B3" s="542" t="s">
        <v>37371</v>
      </c>
      <c r="C3" s="542"/>
      <c r="D3" s="542" t="s">
        <v>37372</v>
      </c>
      <c r="E3" s="543"/>
    </row>
    <row r="4">
      <c r="A4" s="541" t="s">
        <v>37373</v>
      </c>
      <c r="B4" s="543"/>
      <c r="C4" s="542" t="s">
        <v>37374</v>
      </c>
      <c r="D4" s="543"/>
      <c r="E4" s="543"/>
    </row>
    <row r="5">
      <c r="A5" s="541" t="s">
        <v>37375</v>
      </c>
      <c r="B5" s="543"/>
      <c r="C5" s="542" t="s">
        <v>37374</v>
      </c>
      <c r="D5" s="543"/>
      <c r="E5" s="543"/>
    </row>
    <row r="6">
      <c r="A6" s="541" t="s">
        <v>37376</v>
      </c>
      <c r="B6" s="542" t="s">
        <v>37377</v>
      </c>
      <c r="C6" s="542" t="s">
        <v>37374</v>
      </c>
      <c r="D6" s="543"/>
      <c r="E6" s="543"/>
    </row>
    <row r="7">
      <c r="A7" s="541" t="s">
        <v>37378</v>
      </c>
      <c r="B7" s="543"/>
      <c r="C7" s="542" t="s">
        <v>37379</v>
      </c>
      <c r="D7" s="543"/>
      <c r="E7" s="543"/>
    </row>
    <row r="8">
      <c r="A8" s="541" t="s">
        <v>37380</v>
      </c>
      <c r="B8" s="543"/>
      <c r="C8" s="542" t="s">
        <v>37374</v>
      </c>
      <c r="D8" s="543"/>
      <c r="E8" s="543"/>
    </row>
    <row r="9">
      <c r="A9" s="541" t="s">
        <v>37381</v>
      </c>
      <c r="B9" s="543"/>
      <c r="C9" s="542" t="s">
        <v>37374</v>
      </c>
      <c r="D9" s="542"/>
      <c r="E9" s="543"/>
    </row>
    <row r="10">
      <c r="A10" s="541" t="s">
        <v>37382</v>
      </c>
      <c r="B10" s="543"/>
      <c r="C10" s="542" t="s">
        <v>37374</v>
      </c>
      <c r="D10" s="542" t="s">
        <v>37383</v>
      </c>
      <c r="E10" s="544" t="s">
        <v>37384</v>
      </c>
    </row>
    <row r="11">
      <c r="A11" s="541" t="s">
        <v>37385</v>
      </c>
      <c r="B11" s="542"/>
      <c r="C11" s="542" t="s">
        <v>37386</v>
      </c>
      <c r="D11" s="542"/>
      <c r="E11" s="542"/>
    </row>
    <row r="12">
      <c r="A12" s="541" t="s">
        <v>37387</v>
      </c>
      <c r="B12" s="542"/>
      <c r="C12" s="542" t="s">
        <v>37386</v>
      </c>
      <c r="D12" s="542"/>
      <c r="E12" s="542"/>
    </row>
    <row r="13">
      <c r="A13" s="541" t="s">
        <v>37388</v>
      </c>
      <c r="B13" s="542"/>
      <c r="C13" s="542" t="s">
        <v>37386</v>
      </c>
      <c r="D13" s="542"/>
      <c r="E13" s="542"/>
    </row>
    <row r="14">
      <c r="A14" s="541" t="s">
        <v>37389</v>
      </c>
      <c r="B14" s="542" t="s">
        <v>37390</v>
      </c>
      <c r="C14" s="542" t="s">
        <v>37386</v>
      </c>
      <c r="D14" s="542"/>
      <c r="E14" s="544" t="s">
        <v>37391</v>
      </c>
    </row>
    <row r="15">
      <c r="A15" s="541" t="s">
        <v>37392</v>
      </c>
      <c r="B15" s="542"/>
      <c r="C15" s="542" t="s">
        <v>37386</v>
      </c>
      <c r="D15" s="542"/>
      <c r="E15" s="542" t="s">
        <v>37393</v>
      </c>
    </row>
    <row r="16">
      <c r="A16" s="541" t="s">
        <v>37394</v>
      </c>
      <c r="B16" s="542" t="s">
        <v>37395</v>
      </c>
      <c r="C16" s="542" t="s">
        <v>37386</v>
      </c>
      <c r="D16" s="542"/>
      <c r="E16" s="542"/>
    </row>
    <row r="17">
      <c r="A17" s="541" t="s">
        <v>37396</v>
      </c>
      <c r="B17" s="542"/>
      <c r="C17" s="542" t="s">
        <v>37386</v>
      </c>
      <c r="D17" s="542"/>
      <c r="E17" s="542" t="s">
        <v>37397</v>
      </c>
    </row>
    <row r="18">
      <c r="A18" s="541" t="s">
        <v>37398</v>
      </c>
      <c r="B18" s="542"/>
      <c r="C18" s="542" t="s">
        <v>37386</v>
      </c>
      <c r="D18" s="542"/>
      <c r="E18" s="542"/>
    </row>
    <row r="19">
      <c r="A19" s="541" t="s">
        <v>37399</v>
      </c>
      <c r="B19" s="542" t="s">
        <v>37400</v>
      </c>
      <c r="C19" s="542" t="s">
        <v>37386</v>
      </c>
      <c r="D19" s="542"/>
      <c r="E19" s="542"/>
    </row>
    <row r="20">
      <c r="A20" s="541" t="s">
        <v>37401</v>
      </c>
      <c r="B20" s="542"/>
      <c r="C20" s="542" t="s">
        <v>37386</v>
      </c>
      <c r="D20" s="542"/>
      <c r="E20" s="542"/>
    </row>
    <row r="21">
      <c r="A21" s="541" t="s">
        <v>37402</v>
      </c>
      <c r="B21" s="542"/>
      <c r="C21" s="542" t="s">
        <v>37386</v>
      </c>
      <c r="D21" s="542"/>
      <c r="E21" s="542"/>
    </row>
    <row r="22">
      <c r="A22" s="541" t="s">
        <v>37403</v>
      </c>
      <c r="B22" s="542"/>
      <c r="C22" s="542" t="s">
        <v>37386</v>
      </c>
      <c r="D22" s="542"/>
      <c r="E22" s="542"/>
    </row>
    <row r="23">
      <c r="A23" s="541" t="s">
        <v>37404</v>
      </c>
      <c r="B23" s="543"/>
      <c r="C23" s="542" t="s">
        <v>37374</v>
      </c>
      <c r="D23" s="543"/>
      <c r="E23" s="543"/>
    </row>
    <row r="24">
      <c r="A24" s="541" t="s">
        <v>37405</v>
      </c>
      <c r="B24" s="543"/>
      <c r="C24" s="542" t="s">
        <v>37374</v>
      </c>
      <c r="D24" s="543"/>
      <c r="E24" s="543"/>
    </row>
    <row r="25">
      <c r="A25" s="541" t="s">
        <v>37406</v>
      </c>
      <c r="B25" s="543"/>
      <c r="C25" s="542" t="s">
        <v>37386</v>
      </c>
      <c r="D25" s="543"/>
      <c r="E25" s="543"/>
    </row>
    <row r="26">
      <c r="A26" s="541" t="s">
        <v>37407</v>
      </c>
      <c r="B26" s="542" t="s">
        <v>37408</v>
      </c>
      <c r="C26" s="542" t="s">
        <v>37374</v>
      </c>
      <c r="D26" s="543"/>
      <c r="E26" s="543"/>
    </row>
    <row r="27">
      <c r="A27" s="541" t="s">
        <v>37409</v>
      </c>
      <c r="B27" s="542" t="s">
        <v>37410</v>
      </c>
      <c r="C27" s="542" t="s">
        <v>37379</v>
      </c>
      <c r="D27" s="542"/>
      <c r="E27" s="543"/>
    </row>
    <row r="28">
      <c r="A28" s="541" t="s">
        <v>37411</v>
      </c>
      <c r="B28" s="542" t="s">
        <v>37412</v>
      </c>
      <c r="C28" s="542" t="s">
        <v>37379</v>
      </c>
      <c r="D28" s="542"/>
      <c r="E28" s="543"/>
    </row>
    <row r="29">
      <c r="A29" s="541" t="s">
        <v>27552</v>
      </c>
      <c r="B29" s="542" t="s">
        <v>37413</v>
      </c>
      <c r="C29" s="542" t="s">
        <v>37374</v>
      </c>
      <c r="D29" s="542" t="s">
        <v>37414</v>
      </c>
      <c r="E29" s="545"/>
    </row>
    <row r="30">
      <c r="A30" s="541" t="s">
        <v>37415</v>
      </c>
      <c r="B30" s="542" t="s">
        <v>24924</v>
      </c>
      <c r="C30" s="542" t="s">
        <v>37374</v>
      </c>
      <c r="D30" s="543"/>
      <c r="E30" s="544" t="s">
        <v>37416</v>
      </c>
    </row>
    <row r="31">
      <c r="A31" s="541" t="s">
        <v>37417</v>
      </c>
      <c r="B31" s="542" t="s">
        <v>37418</v>
      </c>
      <c r="C31" s="542" t="s">
        <v>37374</v>
      </c>
      <c r="D31" s="543"/>
      <c r="E31" s="543"/>
    </row>
    <row r="32">
      <c r="A32" s="541" t="s">
        <v>37419</v>
      </c>
      <c r="B32" s="543"/>
      <c r="C32" s="542" t="s">
        <v>37374</v>
      </c>
      <c r="D32" s="543"/>
      <c r="E32" s="543"/>
    </row>
    <row r="33">
      <c r="A33" s="541" t="s">
        <v>37420</v>
      </c>
      <c r="B33" s="543"/>
      <c r="C33" s="542" t="s">
        <v>37374</v>
      </c>
      <c r="D33" s="543"/>
      <c r="E33" s="544" t="s">
        <v>37421</v>
      </c>
    </row>
    <row r="34">
      <c r="A34" s="541" t="s">
        <v>37422</v>
      </c>
      <c r="B34" s="543"/>
      <c r="C34" s="542" t="s">
        <v>37374</v>
      </c>
      <c r="D34" s="543"/>
      <c r="E34" s="543"/>
    </row>
    <row r="35">
      <c r="A35" s="541" t="s">
        <v>37423</v>
      </c>
      <c r="B35" s="543"/>
      <c r="C35" s="542" t="s">
        <v>37374</v>
      </c>
      <c r="D35" s="543"/>
      <c r="E35" s="543"/>
    </row>
    <row r="36">
      <c r="A36" s="546"/>
      <c r="B36" s="546"/>
      <c r="C36" s="546"/>
      <c r="D36" s="546"/>
      <c r="E36" s="546"/>
    </row>
    <row r="37">
      <c r="A37" s="546"/>
      <c r="B37" s="546"/>
      <c r="C37" s="546"/>
      <c r="D37" s="546"/>
      <c r="E37" s="546"/>
    </row>
    <row r="38">
      <c r="A38" s="546"/>
      <c r="B38" s="546"/>
      <c r="C38" s="546"/>
      <c r="D38" s="546"/>
      <c r="E38" s="546"/>
    </row>
    <row r="39">
      <c r="A39" s="546"/>
      <c r="B39" s="546"/>
      <c r="C39" s="546"/>
      <c r="D39" s="546"/>
      <c r="E39" s="546"/>
    </row>
    <row r="40">
      <c r="A40" s="546"/>
      <c r="B40" s="546"/>
      <c r="C40" s="546"/>
      <c r="D40" s="546"/>
      <c r="E40" s="546"/>
    </row>
    <row r="41">
      <c r="A41" s="546"/>
      <c r="B41" s="546"/>
      <c r="C41" s="546"/>
      <c r="D41" s="546"/>
      <c r="E41" s="546"/>
    </row>
    <row r="42">
      <c r="A42" s="546"/>
      <c r="B42" s="547"/>
      <c r="C42" s="546"/>
      <c r="D42" s="546"/>
      <c r="E42" s="546"/>
    </row>
    <row r="43">
      <c r="B43" s="548"/>
    </row>
    <row r="44">
      <c r="B44" s="548"/>
    </row>
    <row r="45">
      <c r="B45" s="548"/>
    </row>
    <row r="46">
      <c r="B46" s="548"/>
    </row>
    <row r="47">
      <c r="B47" s="548"/>
    </row>
    <row r="48">
      <c r="B48" s="548"/>
    </row>
    <row r="49">
      <c r="B49" s="548"/>
    </row>
  </sheetData>
  <mergeCells count="1">
    <mergeCell ref="A1:E1"/>
  </mergeCells>
  <hyperlinks>
    <hyperlink r:id="rId1" ref="E10"/>
    <hyperlink r:id="rId2" ref="E14"/>
    <hyperlink r:id="rId3" ref="E30"/>
    <hyperlink r:id="rId4" ref="E33"/>
  </hyperlinks>
  <drawing r:id="rId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
    <col customWidth="1" min="2" max="2" width="22.63"/>
    <col customWidth="1" min="3" max="3" width="20.25"/>
    <col customWidth="1" min="4" max="4" width="24.13"/>
    <col customWidth="1" min="5" max="5" width="20.75"/>
    <col customWidth="1" min="6" max="6" width="19.75"/>
    <col customWidth="1" min="7" max="7" width="36.63"/>
    <col customWidth="1" min="8" max="8" width="5.5"/>
    <col customWidth="1" min="9" max="10" width="19.13"/>
    <col customWidth="1" min="11" max="11" width="19.38"/>
    <col customWidth="1" min="12" max="12" width="2.38"/>
    <col customWidth="1" min="13" max="13" width="6.25"/>
    <col customWidth="1" min="14" max="14" width="23.63"/>
    <col customWidth="1" min="15" max="15" width="22.63"/>
    <col customWidth="1" min="16" max="16" width="21.13"/>
    <col customWidth="1" min="17" max="17" width="19.63"/>
    <col customWidth="1" min="18" max="18" width="21.25"/>
  </cols>
  <sheetData>
    <row r="1">
      <c r="A1" s="549" t="s">
        <v>37424</v>
      </c>
      <c r="B1" s="550"/>
      <c r="C1" s="550"/>
      <c r="D1" s="550"/>
      <c r="E1" s="550"/>
      <c r="F1" s="550"/>
      <c r="G1" s="550"/>
      <c r="H1" s="551"/>
      <c r="I1" s="552"/>
      <c r="J1" s="552"/>
      <c r="K1" s="552"/>
      <c r="L1" s="552"/>
      <c r="M1" s="552"/>
    </row>
    <row r="2">
      <c r="A2" s="553"/>
      <c r="B2" s="431"/>
      <c r="C2" s="431"/>
      <c r="D2" s="431"/>
      <c r="E2" s="431"/>
      <c r="F2" s="431"/>
      <c r="G2" s="431"/>
      <c r="H2" s="440"/>
      <c r="I2" s="552"/>
      <c r="J2" s="552"/>
      <c r="K2" s="552"/>
      <c r="L2" s="552"/>
      <c r="M2" s="552"/>
    </row>
    <row r="3">
      <c r="A3" s="554"/>
    </row>
    <row r="4">
      <c r="A4" s="555"/>
      <c r="B4" s="556" t="s">
        <v>37425</v>
      </c>
      <c r="C4" s="44"/>
      <c r="D4" s="44"/>
      <c r="E4" s="44"/>
      <c r="F4" s="44"/>
      <c r="G4" s="45"/>
    </row>
    <row r="5">
      <c r="B5" s="557" t="s">
        <v>37426</v>
      </c>
      <c r="C5" s="45"/>
      <c r="D5" s="558" t="s">
        <v>37427</v>
      </c>
      <c r="E5" s="557" t="s">
        <v>37428</v>
      </c>
      <c r="F5" s="45"/>
      <c r="G5" s="558" t="s">
        <v>37429</v>
      </c>
    </row>
    <row r="6">
      <c r="B6" s="559" t="s">
        <v>18640</v>
      </c>
      <c r="C6" s="551"/>
      <c r="D6" s="560" t="s">
        <v>37430</v>
      </c>
      <c r="E6" s="561">
        <v>2180.0</v>
      </c>
      <c r="F6" s="45"/>
      <c r="G6" s="499"/>
      <c r="S6" s="562"/>
    </row>
    <row r="7">
      <c r="B7" s="563"/>
      <c r="C7" s="499"/>
      <c r="D7" s="560" t="s">
        <v>37431</v>
      </c>
      <c r="E7" s="561">
        <v>1220.0</v>
      </c>
      <c r="F7" s="45"/>
      <c r="G7" s="499"/>
      <c r="S7" s="564"/>
    </row>
    <row r="8">
      <c r="B8" s="563"/>
      <c r="C8" s="499"/>
      <c r="D8" s="565" t="s">
        <v>37432</v>
      </c>
      <c r="E8" s="566">
        <v>720.0</v>
      </c>
      <c r="G8" s="567" t="s">
        <v>37433</v>
      </c>
      <c r="S8" s="564"/>
    </row>
    <row r="9">
      <c r="B9" s="563"/>
      <c r="C9" s="499"/>
      <c r="D9" s="560" t="s">
        <v>37434</v>
      </c>
      <c r="E9" s="561">
        <v>270.0</v>
      </c>
      <c r="F9" s="45"/>
      <c r="G9" s="568"/>
      <c r="S9" s="564"/>
    </row>
    <row r="10">
      <c r="B10" s="553"/>
      <c r="C10" s="440"/>
      <c r="D10" s="569" t="s">
        <v>37435</v>
      </c>
      <c r="E10" s="561">
        <v>280.0</v>
      </c>
      <c r="F10" s="45"/>
      <c r="G10" s="570"/>
      <c r="S10" s="564"/>
    </row>
    <row r="11">
      <c r="B11" s="571" t="s">
        <v>37436</v>
      </c>
      <c r="C11" s="551"/>
      <c r="D11" s="572" t="s">
        <v>37430</v>
      </c>
      <c r="E11" s="573">
        <v>1980.0</v>
      </c>
      <c r="F11" s="45"/>
      <c r="G11" s="574" t="s">
        <v>37437</v>
      </c>
      <c r="S11" s="564"/>
    </row>
    <row r="12">
      <c r="B12" s="563"/>
      <c r="C12" s="499"/>
      <c r="D12" s="575" t="s">
        <v>37438</v>
      </c>
      <c r="E12" s="573">
        <v>1250.0</v>
      </c>
      <c r="F12" s="45"/>
      <c r="G12" s="576"/>
      <c r="S12" s="564"/>
    </row>
    <row r="13">
      <c r="B13" s="563"/>
      <c r="C13" s="499"/>
      <c r="D13" s="575" t="s">
        <v>37439</v>
      </c>
      <c r="E13" s="573">
        <v>410.0</v>
      </c>
      <c r="F13" s="45"/>
      <c r="G13" s="576"/>
      <c r="S13" s="564"/>
    </row>
    <row r="14">
      <c r="B14" s="563"/>
      <c r="C14" s="499"/>
      <c r="D14" s="575" t="s">
        <v>37440</v>
      </c>
      <c r="E14" s="573">
        <v>130.0</v>
      </c>
      <c r="F14" s="45"/>
      <c r="G14" s="576"/>
      <c r="S14" s="564"/>
    </row>
    <row r="15">
      <c r="B15" s="553"/>
      <c r="C15" s="440"/>
      <c r="D15" s="577" t="s">
        <v>37435</v>
      </c>
      <c r="E15" s="573">
        <v>280.0</v>
      </c>
      <c r="F15" s="45"/>
      <c r="G15" s="570"/>
      <c r="S15" s="564"/>
    </row>
    <row r="16">
      <c r="B16" s="559" t="s">
        <v>37441</v>
      </c>
      <c r="C16" s="551"/>
      <c r="D16" s="560" t="s">
        <v>37430</v>
      </c>
      <c r="E16" s="561">
        <v>1220.0</v>
      </c>
      <c r="F16" s="45"/>
      <c r="G16" s="578"/>
      <c r="S16" s="564"/>
    </row>
    <row r="17">
      <c r="B17" s="553"/>
      <c r="C17" s="440"/>
      <c r="D17" s="569" t="s">
        <v>37435</v>
      </c>
      <c r="E17" s="561">
        <v>190.0</v>
      </c>
      <c r="F17" s="45"/>
      <c r="G17" s="570"/>
      <c r="S17" s="564"/>
    </row>
    <row r="18">
      <c r="B18" s="579" t="s">
        <v>37442</v>
      </c>
      <c r="C18" s="45"/>
      <c r="D18" s="575"/>
      <c r="E18" s="573">
        <v>640.0</v>
      </c>
      <c r="F18" s="45"/>
      <c r="G18" s="580"/>
      <c r="S18" s="564"/>
    </row>
    <row r="19">
      <c r="B19" s="559" t="s">
        <v>37443</v>
      </c>
      <c r="C19" s="551"/>
      <c r="D19" s="560" t="s">
        <v>37430</v>
      </c>
      <c r="E19" s="561">
        <v>360.0</v>
      </c>
      <c r="F19" s="45"/>
      <c r="G19" s="578"/>
      <c r="S19" s="564"/>
    </row>
    <row r="20">
      <c r="B20" s="553"/>
      <c r="C20" s="440"/>
      <c r="D20" s="560" t="s">
        <v>37444</v>
      </c>
      <c r="E20" s="561">
        <v>160.0</v>
      </c>
      <c r="F20" s="45"/>
      <c r="G20" s="570"/>
      <c r="S20" s="564"/>
    </row>
    <row r="21">
      <c r="A21" s="581"/>
      <c r="S21" s="564"/>
    </row>
    <row r="22">
      <c r="A22" s="581"/>
      <c r="S22" s="564"/>
    </row>
    <row r="23">
      <c r="B23" s="582" t="s">
        <v>37445</v>
      </c>
      <c r="C23" s="44"/>
      <c r="D23" s="44"/>
      <c r="E23" s="44"/>
      <c r="F23" s="44"/>
      <c r="G23" s="45"/>
      <c r="S23" s="564"/>
    </row>
    <row r="24">
      <c r="B24" s="583" t="s">
        <v>37446</v>
      </c>
      <c r="C24" s="584" t="s">
        <v>5</v>
      </c>
      <c r="D24" s="44"/>
      <c r="E24" s="44"/>
      <c r="F24" s="44"/>
      <c r="G24" s="45"/>
      <c r="O24" s="585"/>
      <c r="P24" s="586"/>
    </row>
    <row r="25">
      <c r="B25" s="587" t="s">
        <v>37447</v>
      </c>
      <c r="C25" s="588" t="s">
        <v>400</v>
      </c>
      <c r="D25" s="44"/>
      <c r="E25" s="44"/>
      <c r="F25" s="44"/>
      <c r="G25" s="45"/>
      <c r="O25" s="589"/>
      <c r="P25" s="586"/>
    </row>
    <row r="26">
      <c r="B26" s="590" t="s">
        <v>37448</v>
      </c>
      <c r="C26" s="591" t="s">
        <v>37449</v>
      </c>
      <c r="D26" s="44"/>
      <c r="E26" s="44"/>
      <c r="F26" s="44"/>
      <c r="G26" s="45"/>
      <c r="O26" s="586"/>
      <c r="P26" s="586"/>
    </row>
    <row r="27">
      <c r="B27" s="587" t="s">
        <v>37450</v>
      </c>
      <c r="C27" s="588" t="s">
        <v>37451</v>
      </c>
      <c r="D27" s="44"/>
      <c r="E27" s="44"/>
      <c r="F27" s="44"/>
      <c r="G27" s="45"/>
      <c r="O27" s="586"/>
      <c r="P27" s="586"/>
    </row>
    <row r="28">
      <c r="B28" s="590" t="s">
        <v>37452</v>
      </c>
      <c r="C28" s="591" t="s">
        <v>37453</v>
      </c>
      <c r="D28" s="44"/>
      <c r="E28" s="44"/>
      <c r="F28" s="44"/>
      <c r="G28" s="45"/>
      <c r="O28" s="586"/>
      <c r="P28" s="586"/>
    </row>
    <row r="29">
      <c r="B29" s="587" t="s">
        <v>37454</v>
      </c>
      <c r="C29" s="588" t="s">
        <v>37455</v>
      </c>
      <c r="D29" s="44"/>
      <c r="E29" s="44"/>
      <c r="F29" s="44"/>
      <c r="G29" s="45"/>
      <c r="O29" s="586"/>
      <c r="P29" s="586"/>
    </row>
    <row r="30">
      <c r="B30" s="590" t="s">
        <v>37456</v>
      </c>
      <c r="C30" s="591" t="s">
        <v>37457</v>
      </c>
      <c r="D30" s="44"/>
      <c r="E30" s="44"/>
      <c r="F30" s="44"/>
      <c r="G30" s="45"/>
      <c r="O30" s="589"/>
      <c r="P30" s="586"/>
    </row>
    <row r="31">
      <c r="B31" s="587" t="s">
        <v>37458</v>
      </c>
      <c r="C31" s="588" t="s">
        <v>37459</v>
      </c>
      <c r="D31" s="44"/>
      <c r="E31" s="44"/>
      <c r="F31" s="44"/>
      <c r="G31" s="45"/>
      <c r="O31" s="586"/>
      <c r="P31" s="586"/>
    </row>
    <row r="32">
      <c r="B32" s="592" t="s">
        <v>37460</v>
      </c>
      <c r="C32" s="591" t="s">
        <v>37461</v>
      </c>
      <c r="D32" s="44"/>
      <c r="E32" s="44"/>
      <c r="F32" s="44"/>
      <c r="G32" s="45"/>
      <c r="O32" s="586"/>
      <c r="P32" s="586"/>
    </row>
    <row r="33">
      <c r="O33" s="589"/>
      <c r="P33" s="586"/>
    </row>
    <row r="34">
      <c r="A34" s="581"/>
      <c r="B34" s="548" t="s">
        <v>37462</v>
      </c>
      <c r="O34" s="586"/>
      <c r="P34" s="586"/>
    </row>
    <row r="35">
      <c r="A35" s="593"/>
      <c r="B35" s="594" t="s">
        <v>37463</v>
      </c>
      <c r="C35" s="44"/>
      <c r="D35" s="45"/>
    </row>
    <row r="36">
      <c r="A36" s="595"/>
      <c r="B36" s="596" t="s">
        <v>6</v>
      </c>
      <c r="C36" s="597" t="s">
        <v>37464</v>
      </c>
      <c r="D36" s="598" t="s">
        <v>37465</v>
      </c>
    </row>
    <row r="37" ht="10.5" customHeight="1">
      <c r="A37" s="599"/>
      <c r="B37" s="600">
        <v>1980.0</v>
      </c>
      <c r="C37" s="601">
        <v>2.0</v>
      </c>
      <c r="D37" s="602">
        <f>C37</f>
        <v>2</v>
      </c>
    </row>
    <row r="38" ht="10.5" customHeight="1">
      <c r="A38" s="599"/>
      <c r="B38" s="600">
        <v>1981.0</v>
      </c>
      <c r="C38" s="601">
        <v>4.0</v>
      </c>
      <c r="D38" s="602">
        <f t="shared" ref="D38:D79" si="1">C38+D37</f>
        <v>6</v>
      </c>
    </row>
    <row r="39" ht="10.5" customHeight="1">
      <c r="A39" s="599"/>
      <c r="B39" s="600">
        <v>1982.0</v>
      </c>
      <c r="C39" s="601">
        <v>3.0</v>
      </c>
      <c r="D39" s="602">
        <f t="shared" si="1"/>
        <v>9</v>
      </c>
    </row>
    <row r="40" ht="10.5" customHeight="1">
      <c r="A40" s="599"/>
      <c r="B40" s="600">
        <v>1983.0</v>
      </c>
      <c r="C40" s="601">
        <v>5.0</v>
      </c>
      <c r="D40" s="602">
        <f t="shared" si="1"/>
        <v>14</v>
      </c>
    </row>
    <row r="41" ht="10.5" customHeight="1">
      <c r="A41" s="599"/>
      <c r="B41" s="600">
        <v>1984.0</v>
      </c>
      <c r="C41" s="601">
        <v>17.0</v>
      </c>
      <c r="D41" s="602">
        <f t="shared" si="1"/>
        <v>31</v>
      </c>
    </row>
    <row r="42" ht="10.5" customHeight="1">
      <c r="A42" s="599"/>
      <c r="B42" s="600">
        <v>1985.0</v>
      </c>
      <c r="C42" s="601">
        <v>6.0</v>
      </c>
      <c r="D42" s="602">
        <f t="shared" si="1"/>
        <v>37</v>
      </c>
    </row>
    <row r="43" ht="10.5" customHeight="1">
      <c r="A43" s="599"/>
      <c r="B43" s="600">
        <v>1986.0</v>
      </c>
      <c r="C43" s="601">
        <v>11.0</v>
      </c>
      <c r="D43" s="602">
        <f t="shared" si="1"/>
        <v>48</v>
      </c>
    </row>
    <row r="44" ht="10.5" customHeight="1">
      <c r="A44" s="599"/>
      <c r="B44" s="600">
        <v>1987.0</v>
      </c>
      <c r="C44" s="601">
        <v>16.0</v>
      </c>
      <c r="D44" s="602">
        <f t="shared" si="1"/>
        <v>64</v>
      </c>
    </row>
    <row r="45" ht="10.5" customHeight="1">
      <c r="A45" s="599"/>
      <c r="B45" s="600">
        <v>1988.0</v>
      </c>
      <c r="C45" s="603">
        <v>25.0</v>
      </c>
      <c r="D45" s="602">
        <f t="shared" si="1"/>
        <v>89</v>
      </c>
    </row>
    <row r="46" ht="10.5" customHeight="1">
      <c r="A46" s="599"/>
      <c r="B46" s="600">
        <v>1989.0</v>
      </c>
      <c r="C46" s="603">
        <v>37.0</v>
      </c>
      <c r="D46" s="602">
        <f t="shared" si="1"/>
        <v>126</v>
      </c>
    </row>
    <row r="47" ht="10.5" customHeight="1">
      <c r="A47" s="599"/>
      <c r="B47" s="600">
        <v>1990.0</v>
      </c>
      <c r="C47" s="603">
        <v>40.0</v>
      </c>
      <c r="D47" s="602">
        <f t="shared" si="1"/>
        <v>166</v>
      </c>
    </row>
    <row r="48" ht="10.5" customHeight="1">
      <c r="A48" s="604"/>
      <c r="B48" s="601">
        <v>1991.0</v>
      </c>
      <c r="C48" s="603">
        <v>55.0</v>
      </c>
      <c r="D48" s="602">
        <f t="shared" si="1"/>
        <v>221</v>
      </c>
    </row>
    <row r="49" ht="10.5" customHeight="1">
      <c r="A49" s="604"/>
      <c r="B49" s="601">
        <v>1992.0</v>
      </c>
      <c r="C49" s="603">
        <v>53.0</v>
      </c>
      <c r="D49" s="602">
        <f t="shared" si="1"/>
        <v>274</v>
      </c>
    </row>
    <row r="50" ht="10.5" customHeight="1">
      <c r="A50" s="599"/>
      <c r="B50" s="600">
        <v>1993.0</v>
      </c>
      <c r="C50" s="603">
        <v>56.0</v>
      </c>
      <c r="D50" s="602">
        <f t="shared" si="1"/>
        <v>330</v>
      </c>
    </row>
    <row r="51" ht="10.5" customHeight="1">
      <c r="A51" s="604"/>
      <c r="B51" s="601">
        <v>1994.0</v>
      </c>
      <c r="C51" s="603">
        <v>43.0</v>
      </c>
      <c r="D51" s="602">
        <f t="shared" si="1"/>
        <v>373</v>
      </c>
    </row>
    <row r="52" ht="10.5" customHeight="1">
      <c r="A52" s="604"/>
      <c r="B52" s="601">
        <v>1995.0</v>
      </c>
      <c r="C52" s="603">
        <v>33.0</v>
      </c>
      <c r="D52" s="602">
        <f t="shared" si="1"/>
        <v>406</v>
      </c>
    </row>
    <row r="53" ht="10.5" customHeight="1">
      <c r="A53" s="599"/>
      <c r="B53" s="600">
        <v>1996.0</v>
      </c>
      <c r="C53" s="603">
        <v>33.0</v>
      </c>
      <c r="D53" s="602">
        <f t="shared" si="1"/>
        <v>439</v>
      </c>
    </row>
    <row r="54" ht="10.5" customHeight="1">
      <c r="A54" s="604"/>
      <c r="B54" s="601">
        <v>1997.0</v>
      </c>
      <c r="C54" s="603">
        <v>43.0</v>
      </c>
      <c r="D54" s="602">
        <f t="shared" si="1"/>
        <v>482</v>
      </c>
    </row>
    <row r="55" ht="10.5" customHeight="1">
      <c r="A55" s="604"/>
      <c r="B55" s="601">
        <v>1998.0</v>
      </c>
      <c r="C55" s="603">
        <v>35.0</v>
      </c>
      <c r="D55" s="602">
        <f t="shared" si="1"/>
        <v>517</v>
      </c>
    </row>
    <row r="56" ht="10.5" customHeight="1">
      <c r="A56" s="599"/>
      <c r="B56" s="600">
        <v>1999.0</v>
      </c>
      <c r="C56" s="603">
        <v>42.0</v>
      </c>
      <c r="D56" s="602">
        <f t="shared" si="1"/>
        <v>559</v>
      </c>
    </row>
    <row r="57" ht="10.5" customHeight="1">
      <c r="A57" s="604"/>
      <c r="B57" s="601">
        <v>2000.0</v>
      </c>
      <c r="C57" s="603">
        <v>59.0</v>
      </c>
      <c r="D57" s="602">
        <f t="shared" si="1"/>
        <v>618</v>
      </c>
    </row>
    <row r="58" ht="10.5" customHeight="1">
      <c r="A58" s="604"/>
      <c r="B58" s="601">
        <v>2001.0</v>
      </c>
      <c r="C58" s="603">
        <v>52.0</v>
      </c>
      <c r="D58" s="602">
        <f t="shared" si="1"/>
        <v>670</v>
      </c>
    </row>
    <row r="59" ht="10.5" customHeight="1">
      <c r="A59" s="599"/>
      <c r="B59" s="600">
        <v>2002.0</v>
      </c>
      <c r="C59" s="603">
        <v>45.0</v>
      </c>
      <c r="D59" s="602">
        <f t="shared" si="1"/>
        <v>715</v>
      </c>
    </row>
    <row r="60" ht="10.5" customHeight="1">
      <c r="A60" s="604"/>
      <c r="B60" s="601">
        <v>2003.0</v>
      </c>
      <c r="C60" s="603">
        <v>58.0</v>
      </c>
      <c r="D60" s="602">
        <f t="shared" si="1"/>
        <v>773</v>
      </c>
    </row>
    <row r="61" ht="10.5" customHeight="1">
      <c r="A61" s="604"/>
      <c r="B61" s="601">
        <v>2004.0</v>
      </c>
      <c r="C61" s="603">
        <v>83.0</v>
      </c>
      <c r="D61" s="602">
        <f t="shared" si="1"/>
        <v>856</v>
      </c>
    </row>
    <row r="62" ht="10.5" customHeight="1">
      <c r="A62" s="599"/>
      <c r="B62" s="600">
        <v>2005.0</v>
      </c>
      <c r="C62" s="603">
        <v>101.0</v>
      </c>
      <c r="D62" s="602">
        <f t="shared" si="1"/>
        <v>957</v>
      </c>
    </row>
    <row r="63" ht="10.5" customHeight="1">
      <c r="A63" s="604"/>
      <c r="B63" s="601">
        <v>2006.0</v>
      </c>
      <c r="C63" s="603">
        <v>117.0</v>
      </c>
      <c r="D63" s="602">
        <f t="shared" si="1"/>
        <v>1074</v>
      </c>
    </row>
    <row r="64" ht="10.5" customHeight="1">
      <c r="A64" s="604"/>
      <c r="B64" s="601">
        <v>2007.0</v>
      </c>
      <c r="C64" s="603">
        <v>130.0</v>
      </c>
      <c r="D64" s="602">
        <f t="shared" si="1"/>
        <v>1204</v>
      </c>
    </row>
    <row r="65" ht="10.5" customHeight="1">
      <c r="A65" s="599"/>
      <c r="B65" s="600">
        <v>2008.0</v>
      </c>
      <c r="C65" s="603">
        <v>124.0</v>
      </c>
      <c r="D65" s="602">
        <f t="shared" si="1"/>
        <v>1328</v>
      </c>
    </row>
    <row r="66" ht="10.5" customHeight="1">
      <c r="A66" s="604"/>
      <c r="B66" s="601">
        <v>2009.0</v>
      </c>
      <c r="C66" s="603">
        <v>182.0</v>
      </c>
      <c r="D66" s="602">
        <f t="shared" si="1"/>
        <v>1510</v>
      </c>
    </row>
    <row r="67" ht="10.5" customHeight="1">
      <c r="A67" s="604"/>
      <c r="B67" s="601">
        <v>2010.0</v>
      </c>
      <c r="C67" s="603">
        <v>200.0</v>
      </c>
      <c r="D67" s="602">
        <f t="shared" si="1"/>
        <v>1710</v>
      </c>
    </row>
    <row r="68" ht="10.5" customHeight="1">
      <c r="A68" s="599"/>
      <c r="B68" s="600">
        <v>2011.0</v>
      </c>
      <c r="C68" s="603">
        <v>182.0</v>
      </c>
      <c r="D68" s="602">
        <f t="shared" si="1"/>
        <v>1892</v>
      </c>
    </row>
    <row r="69" ht="10.5" customHeight="1">
      <c r="A69" s="604"/>
      <c r="B69" s="601">
        <v>2012.0</v>
      </c>
      <c r="C69" s="603">
        <v>229.0</v>
      </c>
      <c r="D69" s="602">
        <f t="shared" si="1"/>
        <v>2121</v>
      </c>
    </row>
    <row r="70" ht="10.5" customHeight="1">
      <c r="A70" s="604"/>
      <c r="B70" s="601">
        <v>2013.0</v>
      </c>
      <c r="C70" s="603">
        <v>270.0</v>
      </c>
      <c r="D70" s="602">
        <f t="shared" si="1"/>
        <v>2391</v>
      </c>
    </row>
    <row r="71" ht="10.5" customHeight="1">
      <c r="A71" s="599"/>
      <c r="B71" s="600">
        <v>2014.0</v>
      </c>
      <c r="C71" s="603">
        <v>345.0</v>
      </c>
      <c r="D71" s="602">
        <f t="shared" si="1"/>
        <v>2736</v>
      </c>
    </row>
    <row r="72" ht="10.5" customHeight="1">
      <c r="A72" s="604"/>
      <c r="B72" s="601">
        <v>2015.0</v>
      </c>
      <c r="C72" s="603">
        <v>350.0</v>
      </c>
      <c r="D72" s="602">
        <f t="shared" si="1"/>
        <v>3086</v>
      </c>
    </row>
    <row r="73" ht="10.5" customHeight="1">
      <c r="A73" s="604"/>
      <c r="B73" s="601">
        <v>2016.0</v>
      </c>
      <c r="C73" s="603">
        <v>397.0</v>
      </c>
      <c r="D73" s="602">
        <f t="shared" si="1"/>
        <v>3483</v>
      </c>
    </row>
    <row r="74" ht="10.5" customHeight="1">
      <c r="A74" s="599"/>
      <c r="B74" s="600">
        <v>2017.0</v>
      </c>
      <c r="C74" s="603">
        <v>449.0</v>
      </c>
      <c r="D74" s="602">
        <f t="shared" si="1"/>
        <v>3932</v>
      </c>
    </row>
    <row r="75" ht="10.5" customHeight="1">
      <c r="A75" s="604"/>
      <c r="B75" s="601">
        <v>2018.0</v>
      </c>
      <c r="C75" s="603">
        <v>491.0</v>
      </c>
      <c r="D75" s="602">
        <f t="shared" si="1"/>
        <v>4423</v>
      </c>
    </row>
    <row r="76" ht="10.5" customHeight="1">
      <c r="A76" s="604"/>
      <c r="B76" s="603">
        <v>2019.0</v>
      </c>
      <c r="C76" s="603">
        <v>536.0</v>
      </c>
      <c r="D76" s="602">
        <f t="shared" si="1"/>
        <v>4959</v>
      </c>
    </row>
    <row r="77" ht="10.5" customHeight="1">
      <c r="A77" s="604"/>
      <c r="B77" s="603">
        <v>2020.0</v>
      </c>
      <c r="C77" s="603">
        <v>573.0</v>
      </c>
      <c r="D77" s="602">
        <f t="shared" si="1"/>
        <v>5532</v>
      </c>
    </row>
    <row r="78" ht="10.5" customHeight="1">
      <c r="A78" s="604"/>
      <c r="B78" s="603">
        <v>2021.0</v>
      </c>
      <c r="C78" s="603">
        <v>667.0</v>
      </c>
      <c r="D78" s="602">
        <f t="shared" si="1"/>
        <v>6199</v>
      </c>
    </row>
    <row r="79" ht="10.5" customHeight="1">
      <c r="A79" s="604"/>
      <c r="B79" s="603">
        <v>2022.0</v>
      </c>
      <c r="C79" s="603">
        <v>424.0</v>
      </c>
      <c r="D79" s="602">
        <f t="shared" si="1"/>
        <v>6623</v>
      </c>
    </row>
    <row r="80">
      <c r="A80" s="581"/>
    </row>
    <row r="81" ht="20.25" customHeight="1">
      <c r="A81" s="581"/>
    </row>
    <row r="82">
      <c r="A82" s="581"/>
    </row>
    <row r="83">
      <c r="A83" s="581"/>
    </row>
    <row r="84">
      <c r="A84" s="581"/>
      <c r="B84" s="605" t="s">
        <v>37466</v>
      </c>
      <c r="C84" s="44"/>
      <c r="D84" s="44"/>
      <c r="E84" s="44"/>
      <c r="F84" s="44"/>
      <c r="G84" s="45"/>
    </row>
    <row r="85">
      <c r="A85" s="581"/>
      <c r="B85" s="587" t="s">
        <v>37467</v>
      </c>
      <c r="C85" s="588" t="s">
        <v>2686</v>
      </c>
      <c r="D85" s="45"/>
      <c r="E85" s="588" t="s">
        <v>37468</v>
      </c>
      <c r="F85" s="45"/>
      <c r="G85" s="587" t="s">
        <v>37469</v>
      </c>
      <c r="H85" s="606"/>
    </row>
    <row r="86">
      <c r="A86" s="607"/>
      <c r="B86" s="587" t="s">
        <v>37470</v>
      </c>
      <c r="C86" s="588" t="s">
        <v>37471</v>
      </c>
      <c r="D86" s="45"/>
      <c r="E86" s="588" t="s">
        <v>37472</v>
      </c>
      <c r="F86" s="45"/>
      <c r="G86" s="587" t="s">
        <v>27552</v>
      </c>
    </row>
    <row r="87">
      <c r="A87" s="608"/>
      <c r="B87" s="587" t="s">
        <v>37473</v>
      </c>
      <c r="C87" s="588" t="s">
        <v>37474</v>
      </c>
      <c r="D87" s="45"/>
      <c r="E87" s="588" t="s">
        <v>37475</v>
      </c>
      <c r="F87" s="45"/>
      <c r="G87" s="587" t="s">
        <v>37476</v>
      </c>
    </row>
    <row r="88">
      <c r="A88" s="608"/>
      <c r="B88" s="587" t="s">
        <v>37477</v>
      </c>
      <c r="C88" s="588" t="s">
        <v>37478</v>
      </c>
      <c r="D88" s="45"/>
      <c r="E88" s="588" t="s">
        <v>37479</v>
      </c>
      <c r="F88" s="45"/>
      <c r="G88" s="587" t="s">
        <v>37480</v>
      </c>
    </row>
    <row r="89">
      <c r="A89" s="608"/>
      <c r="B89" s="587" t="s">
        <v>37481</v>
      </c>
      <c r="C89" s="588" t="s">
        <v>37482</v>
      </c>
      <c r="D89" s="45"/>
      <c r="E89" s="588" t="s">
        <v>37483</v>
      </c>
      <c r="F89" s="45"/>
      <c r="G89" s="587" t="s">
        <v>37484</v>
      </c>
    </row>
    <row r="90">
      <c r="A90" s="608"/>
      <c r="B90" s="587" t="s">
        <v>37485</v>
      </c>
      <c r="C90" s="588" t="s">
        <v>157</v>
      </c>
      <c r="D90" s="45"/>
      <c r="E90" s="588" t="s">
        <v>37486</v>
      </c>
      <c r="F90" s="45"/>
      <c r="G90" s="587" t="s">
        <v>37487</v>
      </c>
    </row>
    <row r="91">
      <c r="A91" s="608"/>
      <c r="B91" s="587" t="s">
        <v>37488</v>
      </c>
      <c r="C91" s="588" t="s">
        <v>37489</v>
      </c>
      <c r="D91" s="45"/>
      <c r="E91" s="588" t="s">
        <v>37490</v>
      </c>
      <c r="F91" s="45"/>
      <c r="G91" s="587" t="s">
        <v>37491</v>
      </c>
    </row>
    <row r="92">
      <c r="A92" s="608"/>
      <c r="B92" s="587" t="s">
        <v>37492</v>
      </c>
      <c r="C92" s="588" t="s">
        <v>37493</v>
      </c>
      <c r="D92" s="45"/>
      <c r="E92" s="588" t="s">
        <v>37494</v>
      </c>
      <c r="F92" s="45"/>
      <c r="G92" s="587" t="s">
        <v>37495</v>
      </c>
    </row>
    <row r="93">
      <c r="A93" s="608"/>
      <c r="B93" s="587" t="s">
        <v>37496</v>
      </c>
      <c r="C93" s="588" t="s">
        <v>37497</v>
      </c>
      <c r="D93" s="45"/>
      <c r="E93" s="588" t="s">
        <v>37498</v>
      </c>
      <c r="F93" s="45"/>
      <c r="G93" s="587" t="s">
        <v>37499</v>
      </c>
    </row>
    <row r="94">
      <c r="A94" s="608"/>
      <c r="B94" s="587" t="s">
        <v>37500</v>
      </c>
      <c r="C94" s="588" t="s">
        <v>37501</v>
      </c>
      <c r="D94" s="45"/>
      <c r="E94" s="588" t="s">
        <v>37502</v>
      </c>
      <c r="F94" s="45"/>
      <c r="G94" s="587" t="s">
        <v>37503</v>
      </c>
    </row>
    <row r="95">
      <c r="A95" s="608"/>
      <c r="B95" s="587" t="s">
        <v>37504</v>
      </c>
      <c r="C95" s="588" t="s">
        <v>37505</v>
      </c>
      <c r="D95" s="45"/>
      <c r="E95" s="588" t="s">
        <v>37506</v>
      </c>
      <c r="F95" s="45"/>
      <c r="G95" s="587" t="s">
        <v>37507</v>
      </c>
    </row>
    <row r="96">
      <c r="A96" s="608"/>
      <c r="B96" s="587" t="s">
        <v>37508</v>
      </c>
      <c r="C96" s="588" t="s">
        <v>37509</v>
      </c>
      <c r="D96" s="45"/>
      <c r="E96" s="588" t="s">
        <v>37510</v>
      </c>
      <c r="F96" s="45"/>
      <c r="G96" s="587" t="s">
        <v>37511</v>
      </c>
    </row>
    <row r="97">
      <c r="A97" s="608"/>
      <c r="B97" s="587" t="s">
        <v>37512</v>
      </c>
      <c r="C97" s="588" t="s">
        <v>37513</v>
      </c>
      <c r="D97" s="45"/>
      <c r="E97" s="588" t="s">
        <v>37514</v>
      </c>
      <c r="F97" s="45"/>
      <c r="G97" s="587" t="s">
        <v>37515</v>
      </c>
    </row>
    <row r="98">
      <c r="A98" s="608"/>
      <c r="B98" s="587" t="s">
        <v>37516</v>
      </c>
      <c r="C98" s="588" t="s">
        <v>37517</v>
      </c>
      <c r="D98" s="45"/>
      <c r="E98" s="588" t="s">
        <v>37518</v>
      </c>
      <c r="F98" s="45"/>
      <c r="G98" s="587" t="s">
        <v>37519</v>
      </c>
    </row>
    <row r="99">
      <c r="A99" s="608"/>
      <c r="B99" s="587" t="s">
        <v>37520</v>
      </c>
      <c r="C99" s="588" t="s">
        <v>37521</v>
      </c>
      <c r="D99" s="45"/>
      <c r="E99" s="588" t="s">
        <v>37522</v>
      </c>
      <c r="F99" s="45"/>
      <c r="G99" s="587" t="s">
        <v>37523</v>
      </c>
    </row>
    <row r="100">
      <c r="A100" s="608"/>
      <c r="B100" s="587" t="s">
        <v>37524</v>
      </c>
      <c r="C100" s="588" t="s">
        <v>37525</v>
      </c>
      <c r="D100" s="45"/>
      <c r="E100" s="588" t="s">
        <v>37526</v>
      </c>
      <c r="F100" s="45"/>
      <c r="G100" s="587" t="s">
        <v>37527</v>
      </c>
    </row>
    <row r="101">
      <c r="A101" s="608"/>
      <c r="B101" s="587" t="s">
        <v>37528</v>
      </c>
      <c r="C101" s="588" t="s">
        <v>37468</v>
      </c>
      <c r="D101" s="45"/>
      <c r="E101" s="588" t="s">
        <v>37529</v>
      </c>
      <c r="F101" s="45"/>
      <c r="G101" s="587" t="s">
        <v>34347</v>
      </c>
    </row>
    <row r="102">
      <c r="A102" s="608"/>
      <c r="B102" s="587" t="s">
        <v>37530</v>
      </c>
      <c r="C102" s="588" t="s">
        <v>37472</v>
      </c>
      <c r="D102" s="45"/>
      <c r="E102" s="588" t="s">
        <v>37531</v>
      </c>
      <c r="F102" s="45"/>
      <c r="G102" s="587"/>
    </row>
    <row r="103">
      <c r="A103" s="608"/>
      <c r="B103" s="587" t="s">
        <v>37532</v>
      </c>
      <c r="C103" s="588" t="s">
        <v>37475</v>
      </c>
      <c r="D103" s="45"/>
      <c r="E103" s="588" t="s">
        <v>37533</v>
      </c>
      <c r="F103" s="45"/>
      <c r="G103" s="609"/>
    </row>
    <row r="104">
      <c r="A104" s="608"/>
    </row>
    <row r="105">
      <c r="A105" s="608"/>
    </row>
    <row r="106">
      <c r="A106" s="608"/>
    </row>
    <row r="107">
      <c r="A107" s="581"/>
      <c r="B107" s="605" t="s">
        <v>37534</v>
      </c>
      <c r="C107" s="44"/>
      <c r="D107" s="44"/>
      <c r="E107" s="44"/>
      <c r="F107" s="44"/>
      <c r="G107" s="45"/>
    </row>
    <row r="108">
      <c r="A108" s="581"/>
      <c r="B108" s="610" t="s">
        <v>37535</v>
      </c>
      <c r="C108" s="610" t="s">
        <v>14730</v>
      </c>
      <c r="D108" s="610" t="s">
        <v>37536</v>
      </c>
      <c r="E108" s="610" t="s">
        <v>14260</v>
      </c>
      <c r="F108" s="610" t="s">
        <v>37537</v>
      </c>
      <c r="G108" s="610" t="s">
        <v>37538</v>
      </c>
    </row>
    <row r="109">
      <c r="A109" s="581"/>
      <c r="B109" s="610" t="s">
        <v>37340</v>
      </c>
      <c r="C109" s="610" t="s">
        <v>37539</v>
      </c>
      <c r="D109" s="610" t="s">
        <v>37540</v>
      </c>
      <c r="E109" s="610" t="s">
        <v>31127</v>
      </c>
      <c r="F109" s="610" t="s">
        <v>37541</v>
      </c>
      <c r="G109" s="610" t="s">
        <v>10363</v>
      </c>
    </row>
    <row r="110">
      <c r="A110" s="581"/>
      <c r="B110" s="610" t="s">
        <v>37328</v>
      </c>
      <c r="C110" s="610" t="s">
        <v>37542</v>
      </c>
      <c r="D110" s="610" t="s">
        <v>37543</v>
      </c>
      <c r="E110" s="610" t="s">
        <v>31134</v>
      </c>
      <c r="F110" s="610" t="s">
        <v>10250</v>
      </c>
      <c r="G110" s="610" t="s">
        <v>13769</v>
      </c>
    </row>
    <row r="111">
      <c r="A111" s="581"/>
      <c r="B111" s="610" t="s">
        <v>30773</v>
      </c>
      <c r="C111" s="610" t="s">
        <v>37544</v>
      </c>
      <c r="D111" s="610" t="s">
        <v>11762</v>
      </c>
      <c r="E111" s="610" t="s">
        <v>37545</v>
      </c>
      <c r="F111" s="610" t="s">
        <v>18738</v>
      </c>
      <c r="G111" s="610" t="s">
        <v>37546</v>
      </c>
    </row>
    <row r="112">
      <c r="A112" s="581"/>
      <c r="B112" s="610" t="s">
        <v>37052</v>
      </c>
      <c r="C112" s="610" t="s">
        <v>10505</v>
      </c>
      <c r="D112" s="610" t="s">
        <v>37547</v>
      </c>
      <c r="E112" s="610" t="s">
        <v>31202</v>
      </c>
      <c r="F112" s="610" t="s">
        <v>37548</v>
      </c>
      <c r="G112" s="610" t="s">
        <v>37549</v>
      </c>
    </row>
    <row r="113">
      <c r="A113" s="581"/>
      <c r="B113" s="610" t="s">
        <v>9394</v>
      </c>
      <c r="C113" s="610" t="s">
        <v>37550</v>
      </c>
      <c r="D113" s="610" t="s">
        <v>37551</v>
      </c>
      <c r="E113" s="610" t="s">
        <v>14586</v>
      </c>
      <c r="F113" s="610" t="s">
        <v>37552</v>
      </c>
      <c r="G113" s="610" t="s">
        <v>29226</v>
      </c>
    </row>
    <row r="114">
      <c r="A114" s="581"/>
      <c r="B114" s="610" t="s">
        <v>37553</v>
      </c>
      <c r="C114" s="610" t="s">
        <v>31054</v>
      </c>
      <c r="D114" s="610" t="s">
        <v>36277</v>
      </c>
      <c r="E114" s="610" t="s">
        <v>37554</v>
      </c>
      <c r="F114" s="610" t="s">
        <v>13142</v>
      </c>
      <c r="G114" s="610" t="s">
        <v>37555</v>
      </c>
    </row>
    <row r="115">
      <c r="A115" s="581"/>
      <c r="B115" s="610" t="s">
        <v>37556</v>
      </c>
      <c r="C115" s="610" t="s">
        <v>37557</v>
      </c>
      <c r="D115" s="610" t="s">
        <v>6451</v>
      </c>
      <c r="E115" s="610" t="s">
        <v>37558</v>
      </c>
      <c r="F115" s="610" t="s">
        <v>37559</v>
      </c>
      <c r="G115" s="610" t="s">
        <v>37560</v>
      </c>
    </row>
    <row r="116">
      <c r="A116" s="581"/>
      <c r="B116" s="610" t="s">
        <v>30784</v>
      </c>
      <c r="C116" s="610" t="s">
        <v>37561</v>
      </c>
      <c r="D116" s="610" t="s">
        <v>37562</v>
      </c>
      <c r="E116" s="610" t="s">
        <v>37563</v>
      </c>
      <c r="F116" s="610" t="s">
        <v>1911</v>
      </c>
      <c r="G116" s="610" t="s">
        <v>37564</v>
      </c>
    </row>
    <row r="117">
      <c r="A117" s="581"/>
      <c r="B117" s="610" t="s">
        <v>27673</v>
      </c>
      <c r="C117" s="610" t="s">
        <v>37565</v>
      </c>
      <c r="D117" s="610" t="s">
        <v>28491</v>
      </c>
      <c r="E117" s="610" t="s">
        <v>37566</v>
      </c>
      <c r="F117" s="610" t="s">
        <v>1918</v>
      </c>
      <c r="G117" s="610" t="s">
        <v>4441</v>
      </c>
    </row>
    <row r="118">
      <c r="A118" s="581"/>
      <c r="B118" s="610" t="s">
        <v>37567</v>
      </c>
      <c r="C118" s="610" t="s">
        <v>37568</v>
      </c>
      <c r="D118" s="610" t="s">
        <v>6455</v>
      </c>
      <c r="E118" s="610" t="s">
        <v>37569</v>
      </c>
      <c r="F118" s="610" t="s">
        <v>37570</v>
      </c>
      <c r="G118" s="610" t="s">
        <v>37571</v>
      </c>
    </row>
    <row r="119">
      <c r="A119" s="581"/>
      <c r="B119" s="610" t="s">
        <v>37572</v>
      </c>
      <c r="C119" s="610" t="s">
        <v>37573</v>
      </c>
      <c r="D119" s="610" t="s">
        <v>37574</v>
      </c>
      <c r="E119" s="610" t="s">
        <v>16939</v>
      </c>
      <c r="F119" s="610" t="s">
        <v>37575</v>
      </c>
      <c r="G119" s="610" t="s">
        <v>37576</v>
      </c>
    </row>
    <row r="120">
      <c r="A120" s="581"/>
      <c r="B120" s="610" t="s">
        <v>10486</v>
      </c>
      <c r="C120" s="610" t="s">
        <v>3290</v>
      </c>
      <c r="D120" s="610" t="s">
        <v>15491</v>
      </c>
      <c r="E120" s="610" t="s">
        <v>37577</v>
      </c>
      <c r="F120" s="610" t="s">
        <v>37578</v>
      </c>
      <c r="G120" s="610" t="s">
        <v>25953</v>
      </c>
    </row>
    <row r="121">
      <c r="A121" s="581"/>
      <c r="B121" s="610" t="s">
        <v>37579</v>
      </c>
      <c r="C121" s="610" t="s">
        <v>37580</v>
      </c>
      <c r="D121" s="610" t="s">
        <v>37581</v>
      </c>
      <c r="E121" s="610" t="s">
        <v>37582</v>
      </c>
      <c r="F121" s="610" t="s">
        <v>37583</v>
      </c>
      <c r="G121" s="610" t="s">
        <v>37584</v>
      </c>
    </row>
    <row r="122">
      <c r="A122" s="581"/>
      <c r="B122" s="610" t="s">
        <v>37585</v>
      </c>
      <c r="C122" s="610" t="s">
        <v>37586</v>
      </c>
      <c r="D122" s="610" t="s">
        <v>37587</v>
      </c>
      <c r="E122" s="610" t="s">
        <v>37588</v>
      </c>
      <c r="F122" s="610" t="s">
        <v>25269</v>
      </c>
      <c r="G122" s="610" t="s">
        <v>33563</v>
      </c>
    </row>
    <row r="123">
      <c r="A123" s="581"/>
      <c r="B123" s="610" t="s">
        <v>37589</v>
      </c>
      <c r="C123" s="610" t="s">
        <v>37590</v>
      </c>
      <c r="D123" s="610" t="s">
        <v>37591</v>
      </c>
      <c r="E123" s="610" t="s">
        <v>37592</v>
      </c>
      <c r="F123" s="610" t="s">
        <v>30023</v>
      </c>
      <c r="G123" s="610" t="s">
        <v>37593</v>
      </c>
    </row>
    <row r="124">
      <c r="A124" s="581"/>
      <c r="B124" s="610" t="s">
        <v>37594</v>
      </c>
      <c r="C124" s="610" t="s">
        <v>37595</v>
      </c>
      <c r="D124" s="610" t="s">
        <v>37596</v>
      </c>
      <c r="E124" s="610" t="s">
        <v>34005</v>
      </c>
      <c r="F124" s="610" t="s">
        <v>37597</v>
      </c>
      <c r="G124" s="610" t="s">
        <v>11457</v>
      </c>
    </row>
    <row r="125">
      <c r="A125" s="581"/>
      <c r="B125" s="610" t="s">
        <v>6255</v>
      </c>
      <c r="C125" s="610" t="s">
        <v>9659</v>
      </c>
      <c r="D125" s="610" t="s">
        <v>37598</v>
      </c>
      <c r="E125" s="610" t="s">
        <v>37599</v>
      </c>
      <c r="F125" s="610" t="s">
        <v>37600</v>
      </c>
      <c r="G125" s="610" t="s">
        <v>37303</v>
      </c>
    </row>
    <row r="126">
      <c r="A126" s="581"/>
      <c r="B126" s="610" t="s">
        <v>10494</v>
      </c>
      <c r="C126" s="610" t="s">
        <v>37601</v>
      </c>
      <c r="D126" s="610" t="s">
        <v>37602</v>
      </c>
      <c r="E126" s="610" t="s">
        <v>37603</v>
      </c>
      <c r="F126" s="610" t="s">
        <v>31279</v>
      </c>
      <c r="G126" s="611" t="s">
        <v>37604</v>
      </c>
    </row>
    <row r="127">
      <c r="A127" s="581"/>
      <c r="B127" s="610" t="s">
        <v>11371</v>
      </c>
      <c r="C127" s="610" t="s">
        <v>37605</v>
      </c>
      <c r="D127" s="610" t="s">
        <v>12218</v>
      </c>
      <c r="E127" s="610" t="s">
        <v>37606</v>
      </c>
      <c r="F127" s="610" t="s">
        <v>36452</v>
      </c>
      <c r="G127" s="610" t="s">
        <v>37607</v>
      </c>
    </row>
    <row r="128">
      <c r="A128" s="581"/>
      <c r="B128" s="610" t="s">
        <v>37608</v>
      </c>
      <c r="C128" s="610" t="s">
        <v>9707</v>
      </c>
      <c r="D128" s="610" t="s">
        <v>14231</v>
      </c>
      <c r="E128" s="610" t="s">
        <v>37609</v>
      </c>
      <c r="F128" s="610" t="s">
        <v>10618</v>
      </c>
      <c r="G128" s="610" t="s">
        <v>37610</v>
      </c>
    </row>
    <row r="129">
      <c r="A129" s="581"/>
      <c r="B129" s="610" t="s">
        <v>235</v>
      </c>
      <c r="C129" s="610" t="s">
        <v>37611</v>
      </c>
      <c r="D129" s="610" t="s">
        <v>37612</v>
      </c>
      <c r="E129" s="610" t="s">
        <v>37613</v>
      </c>
      <c r="F129" s="610" t="s">
        <v>37614</v>
      </c>
      <c r="G129" s="610" t="s">
        <v>6113</v>
      </c>
    </row>
    <row r="130">
      <c r="A130" s="581"/>
      <c r="B130" s="611" t="s">
        <v>37615</v>
      </c>
      <c r="C130" s="611" t="s">
        <v>37616</v>
      </c>
      <c r="D130" s="249"/>
      <c r="E130" s="612"/>
      <c r="F130" s="612"/>
      <c r="G130" s="612"/>
    </row>
    <row r="131">
      <c r="A131" s="581"/>
    </row>
    <row r="132">
      <c r="A132" s="581"/>
    </row>
    <row r="133">
      <c r="A133" s="581"/>
      <c r="B133" s="605" t="s">
        <v>37617</v>
      </c>
      <c r="C133" s="44"/>
      <c r="D133" s="44"/>
      <c r="E133" s="44"/>
      <c r="F133" s="44"/>
      <c r="G133" s="45"/>
    </row>
    <row r="134">
      <c r="A134" s="581"/>
      <c r="B134" s="613" t="s">
        <v>37340</v>
      </c>
      <c r="C134" s="613" t="s">
        <v>37618</v>
      </c>
      <c r="D134" s="613" t="s">
        <v>31118</v>
      </c>
      <c r="E134" s="613" t="s">
        <v>37619</v>
      </c>
      <c r="F134" s="613" t="s">
        <v>7759</v>
      </c>
      <c r="G134" s="613" t="s">
        <v>37620</v>
      </c>
    </row>
    <row r="135">
      <c r="A135" s="581"/>
      <c r="B135" s="613" t="s">
        <v>37535</v>
      </c>
      <c r="C135" s="613" t="s">
        <v>37621</v>
      </c>
      <c r="D135" s="613" t="s">
        <v>37622</v>
      </c>
      <c r="E135" s="613" t="s">
        <v>37623</v>
      </c>
      <c r="F135" s="613" t="s">
        <v>37624</v>
      </c>
      <c r="G135" s="613" t="s">
        <v>37348</v>
      </c>
    </row>
    <row r="136">
      <c r="A136" s="581"/>
      <c r="B136" s="613" t="s">
        <v>9394</v>
      </c>
      <c r="C136" s="613" t="s">
        <v>37625</v>
      </c>
      <c r="D136" s="613" t="s">
        <v>37536</v>
      </c>
      <c r="E136" s="613" t="s">
        <v>37626</v>
      </c>
      <c r="F136" s="613" t="s">
        <v>37627</v>
      </c>
      <c r="G136" s="613" t="s">
        <v>37230</v>
      </c>
    </row>
    <row r="137">
      <c r="A137" s="581"/>
      <c r="B137" s="613" t="s">
        <v>30784</v>
      </c>
      <c r="C137" s="613" t="s">
        <v>37628</v>
      </c>
      <c r="D137" s="613" t="s">
        <v>28119</v>
      </c>
      <c r="E137" s="613" t="s">
        <v>6515</v>
      </c>
      <c r="F137" s="613" t="s">
        <v>37629</v>
      </c>
      <c r="G137" s="613" t="s">
        <v>13769</v>
      </c>
    </row>
    <row r="138">
      <c r="A138" s="581"/>
      <c r="B138" s="613" t="s">
        <v>37630</v>
      </c>
      <c r="C138" s="613" t="s">
        <v>37631</v>
      </c>
      <c r="D138" s="613" t="s">
        <v>37267</v>
      </c>
      <c r="E138" s="613" t="s">
        <v>37632</v>
      </c>
      <c r="F138" s="613" t="s">
        <v>37633</v>
      </c>
      <c r="G138" s="613" t="s">
        <v>37634</v>
      </c>
    </row>
    <row r="139">
      <c r="A139" s="581"/>
      <c r="B139" s="613" t="s">
        <v>9548</v>
      </c>
      <c r="C139" s="613" t="s">
        <v>37635</v>
      </c>
      <c r="D139" s="613" t="s">
        <v>29344</v>
      </c>
      <c r="E139" s="613" t="s">
        <v>37636</v>
      </c>
      <c r="F139" s="613" t="s">
        <v>37637</v>
      </c>
      <c r="G139" s="613" t="s">
        <v>33579</v>
      </c>
    </row>
    <row r="140">
      <c r="A140" s="581"/>
      <c r="B140" s="613" t="s">
        <v>37638</v>
      </c>
      <c r="C140" s="613" t="s">
        <v>37639</v>
      </c>
      <c r="D140" s="613" t="s">
        <v>37640</v>
      </c>
      <c r="E140" s="613" t="s">
        <v>37641</v>
      </c>
      <c r="F140" s="613" t="s">
        <v>37642</v>
      </c>
      <c r="G140" s="613" t="s">
        <v>37643</v>
      </c>
    </row>
    <row r="141">
      <c r="A141" s="581"/>
      <c r="B141" s="613" t="s">
        <v>12862</v>
      </c>
      <c r="C141" s="613" t="s">
        <v>3152</v>
      </c>
      <c r="D141" s="613" t="s">
        <v>37644</v>
      </c>
      <c r="E141" s="613" t="s">
        <v>37645</v>
      </c>
      <c r="F141" s="613" t="s">
        <v>37646</v>
      </c>
      <c r="G141" s="613" t="s">
        <v>37647</v>
      </c>
    </row>
    <row r="142">
      <c r="A142" s="581"/>
      <c r="B142" s="613" t="s">
        <v>37648</v>
      </c>
      <c r="C142" s="613" t="s">
        <v>31054</v>
      </c>
      <c r="D142" s="613" t="s">
        <v>37649</v>
      </c>
      <c r="E142" s="613" t="s">
        <v>37650</v>
      </c>
      <c r="F142" s="613" t="s">
        <v>37651</v>
      </c>
      <c r="G142" s="613" t="s">
        <v>37183</v>
      </c>
    </row>
    <row r="143">
      <c r="A143" s="581"/>
      <c r="B143" s="613" t="s">
        <v>37652</v>
      </c>
      <c r="C143" s="613" t="s">
        <v>37246</v>
      </c>
      <c r="D143" s="613" t="s">
        <v>37653</v>
      </c>
      <c r="E143" s="613" t="s">
        <v>18738</v>
      </c>
      <c r="F143" s="613" t="s">
        <v>37654</v>
      </c>
      <c r="G143" s="613" t="s">
        <v>37655</v>
      </c>
    </row>
    <row r="144">
      <c r="A144" s="581"/>
      <c r="B144" s="613" t="s">
        <v>37120</v>
      </c>
      <c r="C144" s="613" t="s">
        <v>37656</v>
      </c>
      <c r="D144" s="613" t="s">
        <v>37657</v>
      </c>
      <c r="E144" s="613" t="s">
        <v>37658</v>
      </c>
      <c r="F144" s="613" t="s">
        <v>37659</v>
      </c>
      <c r="G144" s="613" t="s">
        <v>37660</v>
      </c>
    </row>
    <row r="145">
      <c r="A145" s="581"/>
      <c r="B145" s="613" t="s">
        <v>37661</v>
      </c>
      <c r="C145" s="613" t="s">
        <v>20427</v>
      </c>
      <c r="D145" s="613" t="s">
        <v>33826</v>
      </c>
      <c r="E145" s="613" t="s">
        <v>23778</v>
      </c>
      <c r="F145" s="613" t="s">
        <v>37662</v>
      </c>
      <c r="G145" s="613" t="s">
        <v>37663</v>
      </c>
    </row>
    <row r="146">
      <c r="A146" s="581"/>
      <c r="B146" s="613" t="s">
        <v>37664</v>
      </c>
      <c r="C146" s="613" t="s">
        <v>3290</v>
      </c>
      <c r="D146" s="613" t="s">
        <v>37665</v>
      </c>
      <c r="E146" s="613" t="s">
        <v>37552</v>
      </c>
      <c r="F146" s="613" t="s">
        <v>36452</v>
      </c>
      <c r="G146" s="613" t="s">
        <v>11457</v>
      </c>
    </row>
    <row r="147">
      <c r="A147" s="581"/>
      <c r="B147" s="613" t="s">
        <v>6900</v>
      </c>
      <c r="C147" s="613" t="s">
        <v>35147</v>
      </c>
      <c r="D147" s="613" t="s">
        <v>37666</v>
      </c>
      <c r="E147" s="613" t="s">
        <v>13142</v>
      </c>
      <c r="F147" s="613" t="s">
        <v>37667</v>
      </c>
      <c r="G147" s="613" t="s">
        <v>37668</v>
      </c>
    </row>
    <row r="148">
      <c r="A148" s="581"/>
      <c r="B148" s="613" t="s">
        <v>37669</v>
      </c>
      <c r="C148" s="613" t="s">
        <v>37670</v>
      </c>
      <c r="D148" s="613" t="s">
        <v>21617</v>
      </c>
      <c r="E148" s="613" t="s">
        <v>37671</v>
      </c>
      <c r="F148" s="613" t="s">
        <v>8171</v>
      </c>
      <c r="G148" s="613" t="s">
        <v>37672</v>
      </c>
    </row>
    <row r="149">
      <c r="A149" s="581"/>
      <c r="B149" s="613" t="s">
        <v>8498</v>
      </c>
      <c r="C149" s="613" t="s">
        <v>37673</v>
      </c>
      <c r="D149" s="613" t="s">
        <v>37674</v>
      </c>
      <c r="E149" s="613" t="s">
        <v>37675</v>
      </c>
      <c r="F149" s="613" t="s">
        <v>37676</v>
      </c>
      <c r="G149" s="613" t="s">
        <v>37677</v>
      </c>
    </row>
    <row r="150">
      <c r="A150" s="581"/>
      <c r="B150" s="613" t="s">
        <v>19848</v>
      </c>
      <c r="C150" s="613" t="s">
        <v>37678</v>
      </c>
      <c r="D150" s="613" t="s">
        <v>14586</v>
      </c>
      <c r="E150" s="613" t="s">
        <v>37679</v>
      </c>
      <c r="F150" s="613" t="s">
        <v>37680</v>
      </c>
      <c r="G150" s="613" t="s">
        <v>34317</v>
      </c>
    </row>
    <row r="151">
      <c r="A151" s="581"/>
      <c r="B151" s="613" t="s">
        <v>37681</v>
      </c>
      <c r="C151" s="613" t="s">
        <v>30261</v>
      </c>
      <c r="D151" s="613" t="s">
        <v>37682</v>
      </c>
      <c r="E151" s="613" t="s">
        <v>37683</v>
      </c>
      <c r="F151" s="613" t="s">
        <v>37684</v>
      </c>
      <c r="G151" s="613" t="s">
        <v>6113</v>
      </c>
    </row>
    <row r="152">
      <c r="A152" s="581"/>
      <c r="B152" s="613" t="s">
        <v>4674</v>
      </c>
      <c r="C152" s="614"/>
      <c r="D152" s="614"/>
      <c r="E152" s="615" t="s">
        <v>37685</v>
      </c>
      <c r="F152" s="44"/>
      <c r="G152" s="45"/>
    </row>
    <row r="153">
      <c r="A153" s="581"/>
    </row>
    <row r="154">
      <c r="A154" s="581"/>
      <c r="B154" s="616" t="s">
        <v>37686</v>
      </c>
    </row>
    <row r="155">
      <c r="A155" s="581"/>
      <c r="B155" s="617" t="s">
        <v>37687</v>
      </c>
      <c r="C155" s="618" t="s">
        <v>37688</v>
      </c>
    </row>
    <row r="156">
      <c r="A156" s="581"/>
      <c r="B156" s="619"/>
      <c r="C156" s="620" t="s">
        <v>37689</v>
      </c>
    </row>
    <row r="157">
      <c r="A157" s="581"/>
      <c r="B157" s="621"/>
      <c r="C157" s="622" t="s">
        <v>37690</v>
      </c>
    </row>
    <row r="158">
      <c r="A158" s="581"/>
      <c r="B158" s="623" t="s">
        <v>37691</v>
      </c>
      <c r="C158" s="624" t="s">
        <v>37692</v>
      </c>
    </row>
    <row r="159">
      <c r="A159" s="581"/>
      <c r="B159" s="625"/>
      <c r="C159" s="626" t="s">
        <v>37693</v>
      </c>
    </row>
    <row r="160">
      <c r="A160" s="581"/>
      <c r="B160" s="627"/>
      <c r="C160" s="628" t="s">
        <v>37694</v>
      </c>
    </row>
    <row r="161">
      <c r="A161" s="581"/>
      <c r="B161" s="629" t="s">
        <v>37695</v>
      </c>
      <c r="C161" s="630" t="s">
        <v>37696</v>
      </c>
    </row>
    <row r="162">
      <c r="A162" s="581"/>
      <c r="B162" s="631"/>
      <c r="C162" s="632" t="s">
        <v>37697</v>
      </c>
    </row>
    <row r="163">
      <c r="A163" s="581"/>
      <c r="B163" s="633"/>
      <c r="C163" s="634" t="s">
        <v>37698</v>
      </c>
    </row>
    <row r="164">
      <c r="A164" s="581"/>
      <c r="B164" s="635" t="s">
        <v>37699</v>
      </c>
      <c r="C164" s="636" t="s">
        <v>37700</v>
      </c>
    </row>
    <row r="165">
      <c r="A165" s="581"/>
      <c r="B165" s="637"/>
      <c r="C165" s="638" t="s">
        <v>37701</v>
      </c>
    </row>
    <row r="166">
      <c r="A166" s="581"/>
      <c r="B166" s="639" t="s">
        <v>37702</v>
      </c>
      <c r="C166" s="640" t="s">
        <v>37703</v>
      </c>
    </row>
    <row r="167">
      <c r="A167" s="581"/>
      <c r="B167" s="641"/>
      <c r="C167" s="642" t="s">
        <v>37704</v>
      </c>
    </row>
    <row r="168">
      <c r="A168" s="581"/>
      <c r="B168" s="643"/>
      <c r="C168" s="644" t="s">
        <v>37705</v>
      </c>
    </row>
    <row r="169">
      <c r="A169" s="581"/>
      <c r="B169" s="645" t="s">
        <v>37706</v>
      </c>
      <c r="C169" s="646" t="s">
        <v>37706</v>
      </c>
    </row>
    <row r="170">
      <c r="A170" s="581"/>
      <c r="B170" s="647" t="s">
        <v>37707</v>
      </c>
      <c r="C170" s="648" t="s">
        <v>37708</v>
      </c>
    </row>
    <row r="171">
      <c r="A171" s="581"/>
      <c r="B171" s="649"/>
      <c r="C171" s="650" t="s">
        <v>37709</v>
      </c>
    </row>
    <row r="172">
      <c r="A172" s="581"/>
      <c r="B172" s="651"/>
      <c r="C172" s="652" t="s">
        <v>37710</v>
      </c>
    </row>
    <row r="173">
      <c r="A173" s="581"/>
    </row>
    <row r="174">
      <c r="A174" s="581"/>
    </row>
    <row r="175">
      <c r="A175" s="581"/>
    </row>
    <row r="176">
      <c r="A176" s="581"/>
    </row>
    <row r="177">
      <c r="A177" s="581"/>
    </row>
    <row r="178">
      <c r="A178" s="581"/>
    </row>
    <row r="179">
      <c r="A179" s="581"/>
      <c r="C179" s="653"/>
      <c r="D179" s="653"/>
    </row>
    <row r="180">
      <c r="A180" s="581"/>
      <c r="B180" s="654"/>
    </row>
    <row r="181">
      <c r="A181" s="581"/>
    </row>
    <row r="182">
      <c r="A182" s="581"/>
    </row>
    <row r="183">
      <c r="A183" s="581"/>
    </row>
    <row r="184">
      <c r="A184" s="581"/>
    </row>
    <row r="185">
      <c r="A185" s="581"/>
    </row>
    <row r="186">
      <c r="A186" s="581"/>
    </row>
    <row r="187">
      <c r="A187" s="581"/>
    </row>
    <row r="188">
      <c r="A188" s="581"/>
    </row>
    <row r="189">
      <c r="A189" s="581"/>
    </row>
    <row r="190">
      <c r="A190" s="581"/>
    </row>
    <row r="191">
      <c r="A191" s="581"/>
    </row>
    <row r="192">
      <c r="A192" s="581"/>
    </row>
    <row r="193">
      <c r="A193" s="581"/>
    </row>
    <row r="194">
      <c r="A194" s="581"/>
    </row>
    <row r="195">
      <c r="A195" s="581"/>
    </row>
    <row r="196">
      <c r="A196" s="581"/>
    </row>
    <row r="197">
      <c r="A197" s="581"/>
    </row>
    <row r="198">
      <c r="A198" s="581"/>
    </row>
    <row r="199">
      <c r="A199" s="581"/>
    </row>
    <row r="200">
      <c r="A200" s="581"/>
    </row>
    <row r="201">
      <c r="A201" s="581"/>
    </row>
    <row r="202">
      <c r="A202" s="581"/>
    </row>
    <row r="203">
      <c r="A203" s="581"/>
    </row>
    <row r="204">
      <c r="A204" s="581"/>
    </row>
    <row r="205">
      <c r="A205" s="581"/>
    </row>
    <row r="206">
      <c r="A206" s="581"/>
    </row>
    <row r="207">
      <c r="A207" s="581"/>
    </row>
    <row r="208">
      <c r="A208" s="581"/>
    </row>
    <row r="209">
      <c r="A209" s="581"/>
    </row>
    <row r="210">
      <c r="A210" s="581"/>
    </row>
    <row r="211">
      <c r="A211" s="581"/>
    </row>
    <row r="212">
      <c r="A212" s="581"/>
    </row>
    <row r="213">
      <c r="A213" s="581"/>
    </row>
    <row r="214">
      <c r="A214" s="581"/>
    </row>
    <row r="215">
      <c r="A215" s="581"/>
    </row>
    <row r="216">
      <c r="A216" s="581"/>
    </row>
    <row r="217">
      <c r="A217" s="581"/>
    </row>
    <row r="218">
      <c r="A218" s="581"/>
    </row>
    <row r="219">
      <c r="A219" s="581"/>
    </row>
    <row r="220">
      <c r="A220" s="581"/>
    </row>
    <row r="221">
      <c r="A221" s="581"/>
    </row>
    <row r="222">
      <c r="A222" s="581"/>
    </row>
    <row r="223">
      <c r="A223" s="581"/>
    </row>
    <row r="224">
      <c r="A224" s="581"/>
    </row>
    <row r="225">
      <c r="A225" s="581"/>
    </row>
    <row r="226">
      <c r="A226" s="581"/>
    </row>
    <row r="227">
      <c r="A227" s="581"/>
    </row>
    <row r="228">
      <c r="A228" s="581"/>
    </row>
    <row r="229">
      <c r="A229" s="581"/>
    </row>
    <row r="230">
      <c r="A230" s="581"/>
    </row>
    <row r="231">
      <c r="A231" s="581"/>
    </row>
    <row r="232">
      <c r="A232" s="581"/>
    </row>
    <row r="233">
      <c r="A233" s="581"/>
    </row>
    <row r="234">
      <c r="A234" s="581"/>
    </row>
    <row r="235">
      <c r="A235" s="581"/>
    </row>
    <row r="236">
      <c r="A236" s="581"/>
    </row>
    <row r="237">
      <c r="A237" s="581"/>
    </row>
    <row r="238">
      <c r="A238" s="581"/>
    </row>
    <row r="239">
      <c r="A239" s="581"/>
    </row>
    <row r="240">
      <c r="A240" s="581"/>
    </row>
    <row r="241">
      <c r="A241" s="581"/>
    </row>
    <row r="242">
      <c r="A242" s="581"/>
    </row>
    <row r="243">
      <c r="A243" s="581"/>
    </row>
    <row r="244">
      <c r="A244" s="581"/>
    </row>
    <row r="245">
      <c r="A245" s="581"/>
    </row>
    <row r="246">
      <c r="A246" s="581"/>
    </row>
    <row r="247">
      <c r="A247" s="581"/>
    </row>
    <row r="248">
      <c r="A248" s="581"/>
    </row>
    <row r="249">
      <c r="A249" s="581"/>
    </row>
    <row r="250">
      <c r="A250" s="581"/>
    </row>
    <row r="251">
      <c r="A251" s="581"/>
    </row>
    <row r="252">
      <c r="A252" s="581"/>
    </row>
    <row r="253">
      <c r="A253" s="581"/>
    </row>
    <row r="254">
      <c r="A254" s="581"/>
    </row>
    <row r="255">
      <c r="A255" s="581"/>
    </row>
    <row r="256">
      <c r="A256" s="581"/>
    </row>
    <row r="257">
      <c r="A257" s="581"/>
    </row>
    <row r="258">
      <c r="A258" s="581"/>
    </row>
    <row r="259">
      <c r="A259" s="581"/>
    </row>
    <row r="260">
      <c r="A260" s="581"/>
    </row>
    <row r="261">
      <c r="A261" s="581"/>
    </row>
    <row r="262">
      <c r="A262" s="581"/>
    </row>
    <row r="263">
      <c r="A263" s="581"/>
    </row>
    <row r="264">
      <c r="A264" s="581"/>
    </row>
    <row r="265">
      <c r="A265" s="581"/>
    </row>
    <row r="266">
      <c r="A266" s="581"/>
    </row>
    <row r="267">
      <c r="A267" s="581"/>
    </row>
    <row r="268">
      <c r="A268" s="581"/>
    </row>
    <row r="269">
      <c r="A269" s="581"/>
    </row>
    <row r="270">
      <c r="A270" s="581"/>
    </row>
    <row r="271">
      <c r="A271" s="581"/>
    </row>
    <row r="272">
      <c r="A272" s="581"/>
    </row>
    <row r="273">
      <c r="A273" s="581"/>
    </row>
    <row r="274">
      <c r="A274" s="581"/>
    </row>
    <row r="275">
      <c r="A275" s="581"/>
    </row>
    <row r="276">
      <c r="A276" s="581"/>
    </row>
    <row r="277">
      <c r="A277" s="581"/>
    </row>
    <row r="278">
      <c r="A278" s="581"/>
    </row>
    <row r="279">
      <c r="A279" s="581"/>
    </row>
    <row r="280">
      <c r="A280" s="581"/>
    </row>
    <row r="281">
      <c r="A281" s="581"/>
    </row>
    <row r="282">
      <c r="A282" s="581"/>
    </row>
    <row r="283">
      <c r="A283" s="581"/>
    </row>
    <row r="284">
      <c r="A284" s="581"/>
    </row>
    <row r="285">
      <c r="A285" s="581"/>
    </row>
    <row r="286">
      <c r="A286" s="581"/>
    </row>
    <row r="287">
      <c r="A287" s="581"/>
    </row>
    <row r="288">
      <c r="A288" s="581"/>
    </row>
    <row r="289">
      <c r="A289" s="581"/>
    </row>
    <row r="290">
      <c r="A290" s="581"/>
    </row>
    <row r="291">
      <c r="A291" s="581"/>
    </row>
    <row r="292">
      <c r="A292" s="581"/>
    </row>
    <row r="293">
      <c r="A293" s="581"/>
    </row>
    <row r="294">
      <c r="A294" s="581"/>
    </row>
    <row r="295">
      <c r="A295" s="581"/>
    </row>
    <row r="296">
      <c r="A296" s="581"/>
    </row>
    <row r="297">
      <c r="A297" s="581"/>
    </row>
    <row r="298">
      <c r="A298" s="581"/>
    </row>
    <row r="299">
      <c r="A299" s="581"/>
    </row>
    <row r="300">
      <c r="A300" s="581"/>
    </row>
    <row r="301">
      <c r="A301" s="581"/>
    </row>
    <row r="302">
      <c r="A302" s="581"/>
    </row>
    <row r="303">
      <c r="A303" s="581"/>
    </row>
    <row r="304">
      <c r="A304" s="581"/>
    </row>
    <row r="305">
      <c r="A305" s="581"/>
    </row>
    <row r="306">
      <c r="A306" s="581"/>
    </row>
    <row r="307">
      <c r="A307" s="581"/>
    </row>
    <row r="308">
      <c r="A308" s="581"/>
    </row>
    <row r="309">
      <c r="A309" s="581"/>
    </row>
    <row r="310">
      <c r="A310" s="581"/>
    </row>
    <row r="311">
      <c r="A311" s="581"/>
    </row>
    <row r="312">
      <c r="A312" s="581"/>
    </row>
    <row r="313">
      <c r="A313" s="581"/>
    </row>
    <row r="314">
      <c r="A314" s="581"/>
    </row>
    <row r="315">
      <c r="A315" s="581"/>
    </row>
    <row r="316">
      <c r="A316" s="581"/>
    </row>
    <row r="317">
      <c r="A317" s="581"/>
    </row>
    <row r="318">
      <c r="A318" s="581"/>
    </row>
    <row r="319">
      <c r="A319" s="581"/>
    </row>
    <row r="320">
      <c r="A320" s="581"/>
    </row>
    <row r="321">
      <c r="A321" s="581"/>
    </row>
    <row r="322">
      <c r="A322" s="581"/>
    </row>
    <row r="323">
      <c r="A323" s="581"/>
    </row>
    <row r="324">
      <c r="A324" s="581"/>
    </row>
    <row r="325">
      <c r="A325" s="581"/>
    </row>
    <row r="326">
      <c r="A326" s="581"/>
    </row>
    <row r="327">
      <c r="A327" s="581"/>
    </row>
    <row r="328">
      <c r="A328" s="581"/>
    </row>
    <row r="329">
      <c r="A329" s="581"/>
    </row>
    <row r="330">
      <c r="A330" s="581"/>
    </row>
    <row r="331">
      <c r="A331" s="581"/>
    </row>
    <row r="332">
      <c r="A332" s="581"/>
    </row>
    <row r="333">
      <c r="A333" s="581"/>
    </row>
    <row r="334">
      <c r="A334" s="581"/>
    </row>
    <row r="335">
      <c r="A335" s="581"/>
    </row>
    <row r="336">
      <c r="A336" s="581"/>
    </row>
    <row r="337">
      <c r="A337" s="581"/>
    </row>
    <row r="338">
      <c r="A338" s="581"/>
    </row>
    <row r="339">
      <c r="A339" s="581"/>
    </row>
    <row r="340">
      <c r="A340" s="581"/>
    </row>
    <row r="341">
      <c r="A341" s="581"/>
    </row>
    <row r="342">
      <c r="A342" s="581"/>
    </row>
    <row r="343">
      <c r="A343" s="581"/>
    </row>
    <row r="344">
      <c r="A344" s="581"/>
    </row>
    <row r="345">
      <c r="A345" s="581"/>
    </row>
    <row r="346">
      <c r="A346" s="581"/>
    </row>
    <row r="347">
      <c r="A347" s="581"/>
    </row>
    <row r="348">
      <c r="A348" s="581"/>
    </row>
    <row r="349">
      <c r="A349" s="581"/>
    </row>
    <row r="350">
      <c r="A350" s="581"/>
    </row>
    <row r="351">
      <c r="A351" s="581"/>
    </row>
    <row r="352">
      <c r="A352" s="581"/>
    </row>
    <row r="353">
      <c r="A353" s="581"/>
    </row>
    <row r="354">
      <c r="A354" s="581"/>
    </row>
    <row r="355">
      <c r="A355" s="581"/>
    </row>
    <row r="356">
      <c r="A356" s="581"/>
    </row>
    <row r="357">
      <c r="A357" s="581"/>
    </row>
    <row r="358">
      <c r="A358" s="581"/>
    </row>
    <row r="359">
      <c r="A359" s="581"/>
    </row>
    <row r="360">
      <c r="A360" s="581"/>
    </row>
    <row r="361">
      <c r="A361" s="581"/>
    </row>
    <row r="362">
      <c r="A362" s="581"/>
    </row>
    <row r="363">
      <c r="A363" s="581"/>
    </row>
    <row r="364">
      <c r="A364" s="581"/>
    </row>
    <row r="365">
      <c r="A365" s="581"/>
    </row>
    <row r="366">
      <c r="A366" s="581"/>
    </row>
    <row r="367">
      <c r="A367" s="581"/>
    </row>
    <row r="368">
      <c r="A368" s="581"/>
    </row>
    <row r="369">
      <c r="A369" s="581"/>
    </row>
    <row r="370">
      <c r="A370" s="581"/>
    </row>
    <row r="371">
      <c r="A371" s="581"/>
    </row>
    <row r="372">
      <c r="A372" s="581"/>
    </row>
    <row r="373">
      <c r="A373" s="581"/>
    </row>
    <row r="374">
      <c r="A374" s="581"/>
    </row>
    <row r="375">
      <c r="A375" s="581"/>
    </row>
    <row r="376">
      <c r="A376" s="581"/>
    </row>
    <row r="377">
      <c r="A377" s="581"/>
    </row>
    <row r="378">
      <c r="A378" s="581"/>
    </row>
    <row r="379">
      <c r="A379" s="581"/>
    </row>
    <row r="380">
      <c r="A380" s="581"/>
    </row>
    <row r="381">
      <c r="A381" s="581"/>
    </row>
    <row r="382">
      <c r="A382" s="581"/>
    </row>
    <row r="383">
      <c r="A383" s="581"/>
    </row>
    <row r="384">
      <c r="A384" s="581"/>
    </row>
    <row r="385">
      <c r="A385" s="581"/>
    </row>
    <row r="386">
      <c r="A386" s="581"/>
    </row>
    <row r="387">
      <c r="A387" s="581"/>
    </row>
    <row r="388">
      <c r="A388" s="581"/>
    </row>
    <row r="389">
      <c r="A389" s="581"/>
    </row>
    <row r="390">
      <c r="A390" s="581"/>
    </row>
    <row r="391">
      <c r="A391" s="581"/>
    </row>
    <row r="392">
      <c r="A392" s="581"/>
    </row>
    <row r="393">
      <c r="A393" s="581"/>
    </row>
    <row r="394">
      <c r="A394" s="581"/>
    </row>
    <row r="395">
      <c r="A395" s="581"/>
    </row>
    <row r="396">
      <c r="A396" s="581"/>
    </row>
    <row r="397">
      <c r="A397" s="581"/>
    </row>
    <row r="398">
      <c r="A398" s="581"/>
    </row>
    <row r="399">
      <c r="A399" s="581"/>
    </row>
    <row r="400">
      <c r="A400" s="581"/>
    </row>
    <row r="401">
      <c r="A401" s="581"/>
    </row>
    <row r="402">
      <c r="A402" s="581"/>
    </row>
    <row r="403">
      <c r="A403" s="581"/>
    </row>
    <row r="404">
      <c r="A404" s="581"/>
    </row>
    <row r="405">
      <c r="A405" s="581"/>
    </row>
    <row r="406">
      <c r="A406" s="581"/>
    </row>
    <row r="407">
      <c r="A407" s="581"/>
    </row>
    <row r="408">
      <c r="A408" s="581"/>
    </row>
    <row r="409">
      <c r="A409" s="581"/>
    </row>
    <row r="410">
      <c r="A410" s="581"/>
    </row>
    <row r="411">
      <c r="A411" s="581"/>
    </row>
    <row r="412">
      <c r="A412" s="581"/>
    </row>
    <row r="413">
      <c r="A413" s="581"/>
    </row>
    <row r="414">
      <c r="A414" s="581"/>
    </row>
    <row r="415">
      <c r="A415" s="581"/>
    </row>
    <row r="416">
      <c r="A416" s="581"/>
    </row>
    <row r="417">
      <c r="A417" s="581"/>
    </row>
    <row r="418">
      <c r="A418" s="581"/>
    </row>
    <row r="419">
      <c r="A419" s="581"/>
    </row>
    <row r="420">
      <c r="A420" s="581"/>
    </row>
    <row r="421">
      <c r="A421" s="581"/>
    </row>
    <row r="422">
      <c r="A422" s="581"/>
    </row>
    <row r="423">
      <c r="A423" s="581"/>
    </row>
    <row r="424">
      <c r="A424" s="581"/>
    </row>
    <row r="425">
      <c r="A425" s="581"/>
    </row>
    <row r="426">
      <c r="A426" s="581"/>
    </row>
    <row r="427">
      <c r="A427" s="581"/>
    </row>
    <row r="428">
      <c r="A428" s="581"/>
    </row>
    <row r="429">
      <c r="A429" s="581"/>
    </row>
    <row r="430">
      <c r="A430" s="581"/>
    </row>
    <row r="431">
      <c r="A431" s="581"/>
    </row>
    <row r="432">
      <c r="A432" s="581"/>
    </row>
    <row r="433">
      <c r="A433" s="581"/>
    </row>
    <row r="434">
      <c r="A434" s="581"/>
    </row>
    <row r="435">
      <c r="A435" s="581"/>
    </row>
    <row r="436">
      <c r="A436" s="581"/>
    </row>
    <row r="437">
      <c r="A437" s="581"/>
    </row>
    <row r="438">
      <c r="A438" s="581"/>
    </row>
    <row r="439">
      <c r="A439" s="581"/>
    </row>
    <row r="440">
      <c r="A440" s="581"/>
    </row>
    <row r="441">
      <c r="A441" s="581"/>
    </row>
    <row r="442">
      <c r="A442" s="581"/>
    </row>
    <row r="443">
      <c r="A443" s="581"/>
    </row>
    <row r="444">
      <c r="A444" s="581"/>
    </row>
    <row r="445">
      <c r="A445" s="581"/>
    </row>
    <row r="446">
      <c r="A446" s="581"/>
    </row>
    <row r="447">
      <c r="A447" s="581"/>
    </row>
    <row r="448">
      <c r="A448" s="581"/>
    </row>
    <row r="449">
      <c r="A449" s="581"/>
    </row>
    <row r="450">
      <c r="A450" s="581"/>
    </row>
    <row r="451">
      <c r="A451" s="581"/>
    </row>
    <row r="452">
      <c r="A452" s="581"/>
    </row>
    <row r="453">
      <c r="A453" s="581"/>
    </row>
    <row r="454">
      <c r="A454" s="581"/>
    </row>
    <row r="455">
      <c r="A455" s="581"/>
    </row>
    <row r="456">
      <c r="A456" s="581"/>
    </row>
    <row r="457">
      <c r="A457" s="581"/>
    </row>
    <row r="458">
      <c r="A458" s="581"/>
    </row>
    <row r="459">
      <c r="A459" s="581"/>
    </row>
    <row r="460">
      <c r="A460" s="581"/>
    </row>
    <row r="461">
      <c r="A461" s="581"/>
    </row>
    <row r="462">
      <c r="A462" s="581"/>
    </row>
    <row r="463">
      <c r="A463" s="581"/>
    </row>
    <row r="464">
      <c r="A464" s="581"/>
    </row>
    <row r="465">
      <c r="A465" s="581"/>
    </row>
    <row r="466">
      <c r="A466" s="581"/>
    </row>
    <row r="467">
      <c r="A467" s="581"/>
    </row>
    <row r="468">
      <c r="A468" s="581"/>
    </row>
    <row r="469">
      <c r="A469" s="581"/>
    </row>
    <row r="470">
      <c r="A470" s="581"/>
    </row>
    <row r="471">
      <c r="A471" s="581"/>
    </row>
    <row r="472">
      <c r="A472" s="581"/>
    </row>
    <row r="473">
      <c r="A473" s="581"/>
    </row>
    <row r="474">
      <c r="A474" s="581"/>
    </row>
    <row r="475">
      <c r="A475" s="581"/>
    </row>
    <row r="476">
      <c r="A476" s="581"/>
    </row>
    <row r="477">
      <c r="A477" s="581"/>
    </row>
    <row r="478">
      <c r="A478" s="581"/>
    </row>
    <row r="479">
      <c r="A479" s="581"/>
    </row>
    <row r="480">
      <c r="A480" s="581"/>
    </row>
    <row r="481">
      <c r="A481" s="581"/>
    </row>
    <row r="482">
      <c r="A482" s="581"/>
    </row>
    <row r="483">
      <c r="A483" s="581"/>
    </row>
    <row r="484">
      <c r="A484" s="581"/>
    </row>
    <row r="485">
      <c r="A485" s="581"/>
    </row>
    <row r="486">
      <c r="A486" s="581"/>
    </row>
    <row r="487">
      <c r="A487" s="581"/>
    </row>
    <row r="488">
      <c r="A488" s="581"/>
    </row>
    <row r="489">
      <c r="A489" s="581"/>
    </row>
    <row r="490">
      <c r="A490" s="581"/>
    </row>
    <row r="491">
      <c r="A491" s="581"/>
    </row>
    <row r="492">
      <c r="A492" s="581"/>
    </row>
    <row r="493">
      <c r="A493" s="581"/>
    </row>
    <row r="494">
      <c r="A494" s="581"/>
    </row>
    <row r="495">
      <c r="A495" s="581"/>
    </row>
    <row r="496">
      <c r="A496" s="581"/>
    </row>
    <row r="497">
      <c r="A497" s="581"/>
    </row>
    <row r="498">
      <c r="A498" s="581"/>
    </row>
    <row r="499">
      <c r="A499" s="581"/>
    </row>
    <row r="500">
      <c r="A500" s="581"/>
    </row>
    <row r="501">
      <c r="A501" s="581"/>
    </row>
    <row r="502">
      <c r="A502" s="581"/>
    </row>
    <row r="503">
      <c r="A503" s="581"/>
    </row>
    <row r="504">
      <c r="A504" s="581"/>
    </row>
    <row r="505">
      <c r="A505" s="581"/>
    </row>
    <row r="506">
      <c r="A506" s="581"/>
    </row>
    <row r="507">
      <c r="A507" s="581"/>
    </row>
    <row r="508">
      <c r="A508" s="581"/>
    </row>
    <row r="509">
      <c r="A509" s="581"/>
    </row>
    <row r="510">
      <c r="A510" s="581"/>
    </row>
    <row r="511">
      <c r="A511" s="581"/>
    </row>
    <row r="512">
      <c r="A512" s="581"/>
    </row>
    <row r="513">
      <c r="A513" s="581"/>
    </row>
    <row r="514">
      <c r="A514" s="581"/>
    </row>
    <row r="515">
      <c r="A515" s="581"/>
    </row>
    <row r="516">
      <c r="A516" s="581"/>
    </row>
    <row r="517">
      <c r="A517" s="581"/>
    </row>
    <row r="518">
      <c r="A518" s="581"/>
    </row>
    <row r="519">
      <c r="A519" s="581"/>
    </row>
    <row r="520">
      <c r="A520" s="581"/>
    </row>
    <row r="521">
      <c r="A521" s="581"/>
    </row>
    <row r="522">
      <c r="A522" s="581"/>
    </row>
    <row r="523">
      <c r="A523" s="581"/>
    </row>
    <row r="524">
      <c r="A524" s="581"/>
    </row>
    <row r="525">
      <c r="A525" s="581"/>
    </row>
    <row r="526">
      <c r="A526" s="581"/>
    </row>
    <row r="527">
      <c r="A527" s="581"/>
    </row>
    <row r="528">
      <c r="A528" s="581"/>
    </row>
    <row r="529">
      <c r="A529" s="581"/>
    </row>
    <row r="530">
      <c r="A530" s="581"/>
    </row>
    <row r="531">
      <c r="A531" s="581"/>
    </row>
    <row r="532">
      <c r="A532" s="581"/>
    </row>
    <row r="533">
      <c r="A533" s="581"/>
    </row>
    <row r="534">
      <c r="A534" s="581"/>
    </row>
    <row r="535">
      <c r="A535" s="581"/>
    </row>
    <row r="536">
      <c r="A536" s="581"/>
    </row>
    <row r="537">
      <c r="A537" s="581"/>
    </row>
    <row r="538">
      <c r="A538" s="581"/>
    </row>
    <row r="539">
      <c r="A539" s="581"/>
    </row>
    <row r="540">
      <c r="A540" s="581"/>
    </row>
    <row r="541">
      <c r="A541" s="581"/>
    </row>
    <row r="542">
      <c r="A542" s="581"/>
    </row>
    <row r="543">
      <c r="A543" s="581"/>
    </row>
    <row r="544">
      <c r="A544" s="581"/>
    </row>
    <row r="545">
      <c r="A545" s="581"/>
    </row>
    <row r="546">
      <c r="A546" s="581"/>
    </row>
    <row r="547">
      <c r="A547" s="581"/>
    </row>
    <row r="548">
      <c r="A548" s="581"/>
    </row>
    <row r="549">
      <c r="A549" s="581"/>
    </row>
    <row r="550">
      <c r="A550" s="581"/>
    </row>
    <row r="551">
      <c r="A551" s="581"/>
    </row>
    <row r="552">
      <c r="A552" s="581"/>
    </row>
    <row r="553">
      <c r="A553" s="581"/>
    </row>
    <row r="554">
      <c r="A554" s="581"/>
    </row>
    <row r="555">
      <c r="A555" s="581"/>
    </row>
    <row r="556">
      <c r="A556" s="581"/>
    </row>
    <row r="557">
      <c r="A557" s="581"/>
    </row>
    <row r="558">
      <c r="A558" s="581"/>
    </row>
    <row r="559">
      <c r="A559" s="581"/>
    </row>
    <row r="560">
      <c r="A560" s="581"/>
    </row>
    <row r="561">
      <c r="A561" s="581"/>
    </row>
    <row r="562">
      <c r="A562" s="581"/>
    </row>
    <row r="563">
      <c r="A563" s="581"/>
    </row>
    <row r="564">
      <c r="A564" s="581"/>
    </row>
    <row r="565">
      <c r="A565" s="581"/>
    </row>
    <row r="566">
      <c r="A566" s="581"/>
    </row>
    <row r="567">
      <c r="A567" s="581"/>
    </row>
    <row r="568">
      <c r="A568" s="581"/>
    </row>
    <row r="569">
      <c r="A569" s="581"/>
    </row>
    <row r="570">
      <c r="A570" s="581"/>
    </row>
    <row r="571">
      <c r="A571" s="581"/>
    </row>
    <row r="572">
      <c r="A572" s="581"/>
    </row>
    <row r="573">
      <c r="A573" s="581"/>
    </row>
    <row r="574">
      <c r="A574" s="581"/>
    </row>
    <row r="575">
      <c r="A575" s="581"/>
    </row>
    <row r="576">
      <c r="A576" s="581"/>
    </row>
    <row r="577">
      <c r="A577" s="581"/>
    </row>
    <row r="578">
      <c r="A578" s="581"/>
    </row>
    <row r="579">
      <c r="A579" s="581"/>
    </row>
    <row r="580">
      <c r="A580" s="581"/>
    </row>
    <row r="581">
      <c r="A581" s="581"/>
    </row>
    <row r="582">
      <c r="A582" s="581"/>
    </row>
    <row r="583">
      <c r="A583" s="581"/>
    </row>
    <row r="584">
      <c r="A584" s="581"/>
    </row>
    <row r="585">
      <c r="A585" s="581"/>
    </row>
    <row r="586">
      <c r="A586" s="581"/>
    </row>
    <row r="587">
      <c r="A587" s="581"/>
    </row>
    <row r="588">
      <c r="A588" s="581"/>
    </row>
    <row r="589">
      <c r="A589" s="581"/>
    </row>
    <row r="590">
      <c r="A590" s="581"/>
    </row>
    <row r="591">
      <c r="A591" s="581"/>
    </row>
    <row r="592">
      <c r="A592" s="581"/>
    </row>
    <row r="593">
      <c r="A593" s="581"/>
    </row>
    <row r="594">
      <c r="A594" s="581"/>
    </row>
    <row r="595">
      <c r="A595" s="581"/>
    </row>
    <row r="596">
      <c r="A596" s="581"/>
    </row>
    <row r="597">
      <c r="A597" s="581"/>
    </row>
    <row r="598">
      <c r="A598" s="581"/>
    </row>
    <row r="599">
      <c r="A599" s="581"/>
    </row>
    <row r="600">
      <c r="A600" s="581"/>
    </row>
    <row r="601">
      <c r="A601" s="581"/>
    </row>
    <row r="602">
      <c r="A602" s="581"/>
    </row>
    <row r="603">
      <c r="A603" s="581"/>
    </row>
    <row r="604">
      <c r="A604" s="581"/>
    </row>
    <row r="605">
      <c r="A605" s="581"/>
    </row>
    <row r="606">
      <c r="A606" s="581"/>
    </row>
    <row r="607">
      <c r="A607" s="581"/>
    </row>
    <row r="608">
      <c r="A608" s="581"/>
    </row>
    <row r="609">
      <c r="A609" s="581"/>
    </row>
    <row r="610">
      <c r="A610" s="581"/>
    </row>
    <row r="611">
      <c r="A611" s="581"/>
    </row>
    <row r="612">
      <c r="A612" s="581"/>
    </row>
    <row r="613">
      <c r="A613" s="581"/>
    </row>
    <row r="614">
      <c r="A614" s="581"/>
    </row>
    <row r="615">
      <c r="A615" s="581"/>
    </row>
    <row r="616">
      <c r="A616" s="581"/>
    </row>
    <row r="617">
      <c r="A617" s="581"/>
    </row>
    <row r="618">
      <c r="A618" s="581"/>
    </row>
    <row r="619">
      <c r="A619" s="581"/>
    </row>
    <row r="620">
      <c r="A620" s="581"/>
    </row>
    <row r="621">
      <c r="A621" s="581"/>
    </row>
    <row r="622">
      <c r="A622" s="581"/>
    </row>
    <row r="623">
      <c r="A623" s="581"/>
    </row>
    <row r="624">
      <c r="A624" s="581"/>
    </row>
    <row r="625">
      <c r="A625" s="581"/>
    </row>
    <row r="626">
      <c r="A626" s="581"/>
    </row>
    <row r="627">
      <c r="A627" s="581"/>
    </row>
    <row r="628">
      <c r="A628" s="581"/>
    </row>
    <row r="629">
      <c r="A629" s="581"/>
    </row>
    <row r="630">
      <c r="A630" s="581"/>
    </row>
    <row r="631">
      <c r="A631" s="581"/>
    </row>
    <row r="632">
      <c r="A632" s="581"/>
    </row>
    <row r="633">
      <c r="A633" s="581"/>
    </row>
    <row r="634">
      <c r="A634" s="581"/>
    </row>
    <row r="635">
      <c r="A635" s="581"/>
    </row>
    <row r="636">
      <c r="A636" s="581"/>
    </row>
    <row r="637">
      <c r="A637" s="581"/>
    </row>
    <row r="638">
      <c r="A638" s="581"/>
    </row>
    <row r="639">
      <c r="A639" s="581"/>
    </row>
    <row r="640">
      <c r="A640" s="581"/>
    </row>
    <row r="641">
      <c r="A641" s="581"/>
    </row>
    <row r="642">
      <c r="A642" s="581"/>
    </row>
    <row r="643">
      <c r="A643" s="581"/>
    </row>
    <row r="644">
      <c r="A644" s="581"/>
    </row>
    <row r="645">
      <c r="A645" s="581"/>
    </row>
    <row r="646">
      <c r="A646" s="581"/>
    </row>
    <row r="647">
      <c r="A647" s="581"/>
    </row>
    <row r="648">
      <c r="A648" s="581"/>
    </row>
    <row r="649">
      <c r="A649" s="581"/>
    </row>
    <row r="650">
      <c r="A650" s="581"/>
    </row>
    <row r="651">
      <c r="A651" s="581"/>
    </row>
    <row r="652">
      <c r="A652" s="581"/>
    </row>
    <row r="653">
      <c r="A653" s="581"/>
    </row>
    <row r="654">
      <c r="A654" s="581"/>
    </row>
    <row r="655">
      <c r="A655" s="581"/>
    </row>
    <row r="656">
      <c r="A656" s="581"/>
    </row>
    <row r="657">
      <c r="A657" s="581"/>
    </row>
    <row r="658">
      <c r="A658" s="581"/>
    </row>
    <row r="659">
      <c r="A659" s="581"/>
    </row>
    <row r="660">
      <c r="A660" s="581"/>
    </row>
    <row r="661">
      <c r="A661" s="581"/>
    </row>
    <row r="662">
      <c r="A662" s="581"/>
    </row>
    <row r="663">
      <c r="A663" s="581"/>
    </row>
    <row r="664">
      <c r="A664" s="581"/>
    </row>
    <row r="665">
      <c r="A665" s="581"/>
    </row>
    <row r="666">
      <c r="A666" s="581"/>
    </row>
    <row r="667">
      <c r="A667" s="581"/>
    </row>
    <row r="668">
      <c r="A668" s="581"/>
    </row>
    <row r="669">
      <c r="A669" s="581"/>
    </row>
    <row r="670">
      <c r="A670" s="581"/>
    </row>
    <row r="671">
      <c r="A671" s="581"/>
    </row>
    <row r="672">
      <c r="A672" s="581"/>
    </row>
    <row r="673">
      <c r="A673" s="581"/>
    </row>
    <row r="674">
      <c r="A674" s="581"/>
    </row>
    <row r="675">
      <c r="A675" s="581"/>
    </row>
    <row r="676">
      <c r="A676" s="581"/>
    </row>
    <row r="677">
      <c r="A677" s="581"/>
    </row>
    <row r="678">
      <c r="A678" s="581"/>
    </row>
    <row r="679">
      <c r="A679" s="581"/>
    </row>
    <row r="680">
      <c r="A680" s="581"/>
    </row>
    <row r="681">
      <c r="A681" s="581"/>
    </row>
    <row r="682">
      <c r="A682" s="581"/>
    </row>
    <row r="683">
      <c r="A683" s="581"/>
    </row>
    <row r="684">
      <c r="A684" s="581"/>
    </row>
    <row r="685">
      <c r="A685" s="581"/>
    </row>
    <row r="686">
      <c r="A686" s="581"/>
    </row>
    <row r="687">
      <c r="A687" s="581"/>
    </row>
    <row r="688">
      <c r="A688" s="581"/>
    </row>
    <row r="689">
      <c r="A689" s="581"/>
    </row>
    <row r="690">
      <c r="A690" s="581"/>
    </row>
    <row r="691">
      <c r="A691" s="581"/>
    </row>
    <row r="692">
      <c r="A692" s="581"/>
    </row>
    <row r="693">
      <c r="A693" s="581"/>
    </row>
    <row r="694">
      <c r="A694" s="581"/>
    </row>
    <row r="695">
      <c r="A695" s="581"/>
    </row>
    <row r="696">
      <c r="A696" s="581"/>
    </row>
    <row r="697">
      <c r="A697" s="581"/>
    </row>
    <row r="698">
      <c r="A698" s="581"/>
    </row>
    <row r="699">
      <c r="A699" s="581"/>
    </row>
    <row r="700">
      <c r="A700" s="581"/>
    </row>
    <row r="701">
      <c r="A701" s="581"/>
    </row>
    <row r="702">
      <c r="A702" s="581"/>
    </row>
    <row r="703">
      <c r="A703" s="581"/>
    </row>
    <row r="704">
      <c r="A704" s="581"/>
    </row>
    <row r="705">
      <c r="A705" s="581"/>
    </row>
    <row r="706">
      <c r="A706" s="581"/>
    </row>
    <row r="707">
      <c r="A707" s="581"/>
    </row>
    <row r="708">
      <c r="A708" s="581"/>
    </row>
    <row r="709">
      <c r="A709" s="581"/>
    </row>
    <row r="710">
      <c r="A710" s="581"/>
    </row>
    <row r="711">
      <c r="A711" s="581"/>
    </row>
    <row r="712">
      <c r="A712" s="581"/>
    </row>
    <row r="713">
      <c r="A713" s="581"/>
    </row>
    <row r="714">
      <c r="A714" s="581"/>
    </row>
    <row r="715">
      <c r="A715" s="581"/>
    </row>
    <row r="716">
      <c r="A716" s="581"/>
    </row>
    <row r="717">
      <c r="A717" s="581"/>
    </row>
    <row r="718">
      <c r="A718" s="581"/>
    </row>
    <row r="719">
      <c r="A719" s="581"/>
    </row>
    <row r="720">
      <c r="A720" s="581"/>
    </row>
    <row r="721">
      <c r="A721" s="581"/>
    </row>
    <row r="722">
      <c r="A722" s="581"/>
    </row>
    <row r="723">
      <c r="A723" s="581"/>
    </row>
    <row r="724">
      <c r="A724" s="581"/>
    </row>
    <row r="725">
      <c r="A725" s="581"/>
    </row>
    <row r="726">
      <c r="A726" s="581"/>
    </row>
    <row r="727">
      <c r="A727" s="581"/>
    </row>
    <row r="728">
      <c r="A728" s="581"/>
    </row>
    <row r="729">
      <c r="A729" s="581"/>
    </row>
    <row r="730">
      <c r="A730" s="581"/>
    </row>
    <row r="731">
      <c r="A731" s="581"/>
    </row>
    <row r="732">
      <c r="A732" s="581"/>
    </row>
    <row r="733">
      <c r="A733" s="581"/>
    </row>
    <row r="734">
      <c r="A734" s="581"/>
    </row>
    <row r="735">
      <c r="A735" s="581"/>
    </row>
    <row r="736">
      <c r="A736" s="581"/>
    </row>
    <row r="737">
      <c r="A737" s="581"/>
    </row>
    <row r="738">
      <c r="A738" s="581"/>
    </row>
    <row r="739">
      <c r="A739" s="581"/>
    </row>
    <row r="740">
      <c r="A740" s="581"/>
    </row>
    <row r="741">
      <c r="A741" s="581"/>
    </row>
    <row r="742">
      <c r="A742" s="581"/>
    </row>
    <row r="743">
      <c r="A743" s="581"/>
    </row>
    <row r="744">
      <c r="A744" s="581"/>
    </row>
    <row r="745">
      <c r="A745" s="581"/>
    </row>
    <row r="746">
      <c r="A746" s="581"/>
    </row>
    <row r="747">
      <c r="A747" s="581"/>
    </row>
    <row r="748">
      <c r="A748" s="581"/>
    </row>
    <row r="749">
      <c r="A749" s="581"/>
    </row>
    <row r="750">
      <c r="A750" s="581"/>
    </row>
    <row r="751">
      <c r="A751" s="581"/>
    </row>
    <row r="752">
      <c r="A752" s="581"/>
    </row>
    <row r="753">
      <c r="A753" s="581"/>
    </row>
    <row r="754">
      <c r="A754" s="581"/>
    </row>
    <row r="755">
      <c r="A755" s="581"/>
    </row>
    <row r="756">
      <c r="A756" s="581"/>
    </row>
    <row r="757">
      <c r="A757" s="581"/>
    </row>
    <row r="758">
      <c r="A758" s="581"/>
    </row>
    <row r="759">
      <c r="A759" s="581"/>
    </row>
    <row r="760">
      <c r="A760" s="581"/>
    </row>
    <row r="761">
      <c r="A761" s="581"/>
    </row>
    <row r="762">
      <c r="A762" s="581"/>
    </row>
    <row r="763">
      <c r="A763" s="581"/>
    </row>
    <row r="764">
      <c r="A764" s="581"/>
    </row>
    <row r="765">
      <c r="A765" s="581"/>
    </row>
    <row r="766">
      <c r="A766" s="581"/>
    </row>
    <row r="767">
      <c r="A767" s="581"/>
    </row>
    <row r="768">
      <c r="A768" s="581"/>
    </row>
    <row r="769">
      <c r="A769" s="581"/>
    </row>
    <row r="770">
      <c r="A770" s="581"/>
    </row>
    <row r="771">
      <c r="A771" s="581"/>
    </row>
    <row r="772">
      <c r="A772" s="581"/>
    </row>
    <row r="773">
      <c r="A773" s="581"/>
    </row>
    <row r="774">
      <c r="A774" s="581"/>
    </row>
    <row r="775">
      <c r="A775" s="581"/>
    </row>
    <row r="776">
      <c r="A776" s="581"/>
    </row>
    <row r="777">
      <c r="A777" s="581"/>
    </row>
    <row r="778">
      <c r="A778" s="581"/>
    </row>
    <row r="779">
      <c r="A779" s="581"/>
    </row>
    <row r="780">
      <c r="A780" s="581"/>
    </row>
    <row r="781">
      <c r="A781" s="581"/>
    </row>
    <row r="782">
      <c r="A782" s="581"/>
    </row>
    <row r="783">
      <c r="A783" s="581"/>
    </row>
    <row r="784">
      <c r="A784" s="581"/>
    </row>
    <row r="785">
      <c r="A785" s="581"/>
    </row>
    <row r="786">
      <c r="A786" s="581"/>
    </row>
    <row r="787">
      <c r="A787" s="581"/>
    </row>
    <row r="788">
      <c r="A788" s="581"/>
    </row>
    <row r="789">
      <c r="A789" s="581"/>
    </row>
    <row r="790">
      <c r="A790" s="581"/>
    </row>
    <row r="791">
      <c r="A791" s="581"/>
    </row>
    <row r="792">
      <c r="A792" s="581"/>
    </row>
    <row r="793">
      <c r="A793" s="581"/>
    </row>
    <row r="794">
      <c r="A794" s="581"/>
    </row>
    <row r="795">
      <c r="A795" s="581"/>
    </row>
    <row r="796">
      <c r="A796" s="581"/>
    </row>
    <row r="797">
      <c r="A797" s="581"/>
    </row>
    <row r="798">
      <c r="A798" s="581"/>
    </row>
    <row r="799">
      <c r="A799" s="581"/>
    </row>
    <row r="800">
      <c r="A800" s="581"/>
    </row>
    <row r="801">
      <c r="A801" s="581"/>
    </row>
    <row r="802">
      <c r="A802" s="581"/>
    </row>
    <row r="803">
      <c r="A803" s="581"/>
    </row>
    <row r="804">
      <c r="A804" s="581"/>
    </row>
    <row r="805">
      <c r="A805" s="581"/>
    </row>
    <row r="806">
      <c r="A806" s="581"/>
    </row>
    <row r="807">
      <c r="A807" s="581"/>
    </row>
    <row r="808">
      <c r="A808" s="581"/>
    </row>
    <row r="809">
      <c r="A809" s="581"/>
    </row>
    <row r="810">
      <c r="A810" s="581"/>
    </row>
    <row r="811">
      <c r="A811" s="581"/>
    </row>
    <row r="812">
      <c r="A812" s="581"/>
    </row>
    <row r="813">
      <c r="A813" s="581"/>
    </row>
    <row r="814">
      <c r="A814" s="581"/>
    </row>
    <row r="815">
      <c r="A815" s="581"/>
    </row>
    <row r="816">
      <c r="A816" s="581"/>
    </row>
    <row r="817">
      <c r="A817" s="581"/>
    </row>
    <row r="818">
      <c r="A818" s="581"/>
    </row>
    <row r="819">
      <c r="A819" s="581"/>
    </row>
    <row r="820">
      <c r="A820" s="581"/>
    </row>
    <row r="821">
      <c r="A821" s="581"/>
    </row>
    <row r="822">
      <c r="A822" s="581"/>
    </row>
    <row r="823">
      <c r="A823" s="581"/>
    </row>
    <row r="824">
      <c r="A824" s="581"/>
    </row>
    <row r="825">
      <c r="A825" s="581"/>
    </row>
    <row r="826">
      <c r="A826" s="581"/>
    </row>
    <row r="827">
      <c r="A827" s="581"/>
    </row>
    <row r="828">
      <c r="A828" s="581"/>
    </row>
    <row r="829">
      <c r="A829" s="581"/>
    </row>
    <row r="830">
      <c r="A830" s="581"/>
    </row>
    <row r="831">
      <c r="A831" s="581"/>
    </row>
    <row r="832">
      <c r="A832" s="581"/>
    </row>
    <row r="833">
      <c r="A833" s="581"/>
    </row>
    <row r="834">
      <c r="A834" s="581"/>
    </row>
    <row r="835">
      <c r="A835" s="581"/>
    </row>
    <row r="836">
      <c r="A836" s="581"/>
    </row>
    <row r="837">
      <c r="A837" s="581"/>
    </row>
    <row r="838">
      <c r="A838" s="581"/>
    </row>
    <row r="839">
      <c r="A839" s="581"/>
    </row>
    <row r="840">
      <c r="A840" s="581"/>
    </row>
    <row r="841">
      <c r="A841" s="581"/>
    </row>
    <row r="842">
      <c r="A842" s="581"/>
    </row>
    <row r="843">
      <c r="A843" s="581"/>
    </row>
    <row r="844">
      <c r="A844" s="581"/>
    </row>
    <row r="845">
      <c r="A845" s="581"/>
    </row>
    <row r="846">
      <c r="A846" s="581"/>
    </row>
    <row r="847">
      <c r="A847" s="581"/>
    </row>
    <row r="848">
      <c r="A848" s="581"/>
    </row>
    <row r="849">
      <c r="A849" s="581"/>
    </row>
    <row r="850">
      <c r="A850" s="581"/>
    </row>
    <row r="851">
      <c r="A851" s="581"/>
    </row>
    <row r="852">
      <c r="A852" s="581"/>
    </row>
    <row r="853">
      <c r="A853" s="581"/>
    </row>
    <row r="854">
      <c r="A854" s="581"/>
    </row>
    <row r="855">
      <c r="A855" s="581"/>
    </row>
    <row r="856">
      <c r="A856" s="581"/>
    </row>
    <row r="857">
      <c r="A857" s="581"/>
    </row>
    <row r="858">
      <c r="A858" s="581"/>
    </row>
    <row r="859">
      <c r="A859" s="581"/>
    </row>
    <row r="860">
      <c r="A860" s="581"/>
    </row>
    <row r="861">
      <c r="A861" s="581"/>
    </row>
    <row r="862">
      <c r="A862" s="581"/>
    </row>
    <row r="863">
      <c r="A863" s="581"/>
    </row>
    <row r="864">
      <c r="A864" s="581"/>
    </row>
    <row r="865">
      <c r="A865" s="581"/>
    </row>
    <row r="866">
      <c r="A866" s="581"/>
    </row>
    <row r="867">
      <c r="A867" s="581"/>
    </row>
    <row r="868">
      <c r="A868" s="581"/>
    </row>
    <row r="869">
      <c r="A869" s="581"/>
    </row>
    <row r="870">
      <c r="A870" s="581"/>
    </row>
    <row r="871">
      <c r="A871" s="581"/>
    </row>
    <row r="872">
      <c r="A872" s="581"/>
    </row>
    <row r="873">
      <c r="A873" s="581"/>
    </row>
    <row r="874">
      <c r="A874" s="581"/>
    </row>
    <row r="875">
      <c r="A875" s="581"/>
    </row>
    <row r="876">
      <c r="A876" s="581"/>
    </row>
    <row r="877">
      <c r="A877" s="581"/>
    </row>
    <row r="878">
      <c r="A878" s="581"/>
    </row>
    <row r="879">
      <c r="A879" s="581"/>
    </row>
    <row r="880">
      <c r="A880" s="581"/>
    </row>
    <row r="881">
      <c r="A881" s="581"/>
    </row>
    <row r="882">
      <c r="A882" s="581"/>
    </row>
    <row r="883">
      <c r="A883" s="581"/>
    </row>
    <row r="884">
      <c r="A884" s="581"/>
    </row>
    <row r="885">
      <c r="A885" s="581"/>
    </row>
    <row r="886">
      <c r="A886" s="581"/>
    </row>
    <row r="887">
      <c r="A887" s="581"/>
    </row>
    <row r="888">
      <c r="A888" s="581"/>
    </row>
    <row r="889">
      <c r="A889" s="581"/>
    </row>
    <row r="890">
      <c r="A890" s="581"/>
    </row>
    <row r="891">
      <c r="A891" s="581"/>
    </row>
    <row r="892">
      <c r="A892" s="581"/>
    </row>
    <row r="893">
      <c r="A893" s="581"/>
    </row>
    <row r="894">
      <c r="A894" s="581"/>
    </row>
    <row r="895">
      <c r="A895" s="581"/>
    </row>
    <row r="896">
      <c r="A896" s="581"/>
    </row>
    <row r="897">
      <c r="A897" s="581"/>
    </row>
    <row r="898">
      <c r="A898" s="581"/>
    </row>
    <row r="899">
      <c r="A899" s="581"/>
    </row>
    <row r="900">
      <c r="A900" s="581"/>
    </row>
    <row r="901">
      <c r="A901" s="581"/>
    </row>
    <row r="902">
      <c r="A902" s="581"/>
    </row>
    <row r="903">
      <c r="A903" s="581"/>
    </row>
    <row r="904">
      <c r="A904" s="581"/>
    </row>
    <row r="905">
      <c r="A905" s="581"/>
    </row>
    <row r="906">
      <c r="A906" s="581"/>
    </row>
    <row r="907">
      <c r="A907" s="581"/>
    </row>
    <row r="908">
      <c r="A908" s="581"/>
    </row>
    <row r="909">
      <c r="A909" s="581"/>
    </row>
    <row r="910">
      <c r="A910" s="581"/>
    </row>
    <row r="911">
      <c r="A911" s="581"/>
    </row>
    <row r="912">
      <c r="A912" s="581"/>
    </row>
    <row r="913">
      <c r="A913" s="581"/>
    </row>
    <row r="914">
      <c r="A914" s="581"/>
    </row>
    <row r="915">
      <c r="A915" s="581"/>
    </row>
    <row r="916">
      <c r="A916" s="581"/>
    </row>
    <row r="917">
      <c r="A917" s="581"/>
    </row>
    <row r="918">
      <c r="A918" s="581"/>
    </row>
    <row r="919">
      <c r="A919" s="581"/>
    </row>
    <row r="920">
      <c r="A920" s="581"/>
    </row>
    <row r="921">
      <c r="A921" s="581"/>
    </row>
    <row r="922">
      <c r="A922" s="581"/>
    </row>
    <row r="923">
      <c r="A923" s="581"/>
    </row>
    <row r="924">
      <c r="A924" s="581"/>
    </row>
    <row r="925">
      <c r="A925" s="581"/>
    </row>
    <row r="926">
      <c r="A926" s="581"/>
    </row>
    <row r="927">
      <c r="A927" s="581"/>
    </row>
    <row r="928">
      <c r="A928" s="581"/>
    </row>
    <row r="929">
      <c r="A929" s="581"/>
    </row>
    <row r="930">
      <c r="A930" s="581"/>
    </row>
    <row r="931">
      <c r="A931" s="581"/>
    </row>
    <row r="932">
      <c r="A932" s="581"/>
    </row>
    <row r="933">
      <c r="A933" s="581"/>
    </row>
    <row r="934">
      <c r="A934" s="581"/>
    </row>
    <row r="935">
      <c r="A935" s="581"/>
    </row>
    <row r="936">
      <c r="A936" s="581"/>
    </row>
    <row r="937">
      <c r="A937" s="581"/>
    </row>
    <row r="938">
      <c r="A938" s="581"/>
    </row>
    <row r="939">
      <c r="A939" s="581"/>
    </row>
    <row r="940">
      <c r="A940" s="581"/>
    </row>
    <row r="941">
      <c r="A941" s="581"/>
    </row>
    <row r="942">
      <c r="A942" s="581"/>
    </row>
    <row r="943">
      <c r="A943" s="581"/>
    </row>
    <row r="944">
      <c r="A944" s="581"/>
    </row>
    <row r="945">
      <c r="A945" s="581"/>
    </row>
    <row r="946">
      <c r="A946" s="581"/>
    </row>
    <row r="947">
      <c r="A947" s="581"/>
    </row>
    <row r="948">
      <c r="A948" s="581"/>
    </row>
    <row r="949">
      <c r="A949" s="581"/>
    </row>
    <row r="950">
      <c r="A950" s="581"/>
    </row>
    <row r="951">
      <c r="A951" s="581"/>
    </row>
    <row r="952">
      <c r="A952" s="581"/>
    </row>
    <row r="953">
      <c r="A953" s="581"/>
    </row>
    <row r="954">
      <c r="A954" s="581"/>
    </row>
    <row r="955">
      <c r="A955" s="581"/>
    </row>
    <row r="956">
      <c r="A956" s="581"/>
    </row>
    <row r="957">
      <c r="A957" s="581"/>
    </row>
    <row r="958">
      <c r="A958" s="581"/>
    </row>
    <row r="959">
      <c r="A959" s="581"/>
    </row>
    <row r="960">
      <c r="A960" s="581"/>
    </row>
    <row r="961">
      <c r="A961" s="581"/>
    </row>
    <row r="962">
      <c r="A962" s="581"/>
    </row>
    <row r="963">
      <c r="A963" s="581"/>
    </row>
    <row r="964">
      <c r="A964" s="581"/>
    </row>
    <row r="965">
      <c r="A965" s="581"/>
    </row>
    <row r="966">
      <c r="A966" s="581"/>
    </row>
    <row r="967">
      <c r="A967" s="581"/>
    </row>
    <row r="968">
      <c r="A968" s="581"/>
    </row>
    <row r="969">
      <c r="A969" s="581"/>
    </row>
    <row r="970">
      <c r="A970" s="581"/>
    </row>
    <row r="971">
      <c r="A971" s="581"/>
    </row>
    <row r="972">
      <c r="A972" s="581"/>
    </row>
    <row r="973">
      <c r="A973" s="581"/>
    </row>
    <row r="974">
      <c r="A974" s="581"/>
    </row>
    <row r="975">
      <c r="A975" s="581"/>
    </row>
    <row r="976">
      <c r="A976" s="581"/>
    </row>
    <row r="977">
      <c r="A977" s="581"/>
    </row>
    <row r="978">
      <c r="A978" s="581"/>
    </row>
    <row r="979">
      <c r="A979" s="581"/>
    </row>
    <row r="980">
      <c r="A980" s="581"/>
    </row>
    <row r="981">
      <c r="A981" s="581"/>
    </row>
    <row r="982">
      <c r="A982" s="581"/>
    </row>
    <row r="983">
      <c r="A983" s="581"/>
    </row>
    <row r="984">
      <c r="A984" s="581"/>
    </row>
    <row r="985">
      <c r="A985" s="581"/>
    </row>
    <row r="986">
      <c r="A986" s="581"/>
    </row>
    <row r="987">
      <c r="A987" s="581"/>
    </row>
    <row r="988">
      <c r="A988" s="581"/>
    </row>
    <row r="989">
      <c r="A989" s="581"/>
    </row>
    <row r="990">
      <c r="A990" s="581"/>
    </row>
    <row r="991">
      <c r="A991" s="581"/>
    </row>
    <row r="992">
      <c r="A992" s="581"/>
    </row>
    <row r="993">
      <c r="A993" s="581"/>
    </row>
    <row r="994">
      <c r="A994" s="581"/>
    </row>
    <row r="995">
      <c r="A995" s="581"/>
    </row>
    <row r="996">
      <c r="A996" s="581"/>
    </row>
    <row r="997">
      <c r="A997" s="581"/>
    </row>
    <row r="998">
      <c r="A998" s="581"/>
    </row>
    <row r="999">
      <c r="A999" s="581"/>
    </row>
    <row r="1000">
      <c r="A1000" s="581"/>
    </row>
    <row r="1001">
      <c r="A1001" s="581"/>
    </row>
    <row r="1002">
      <c r="A1002" s="581"/>
    </row>
    <row r="1003">
      <c r="A1003" s="581"/>
    </row>
    <row r="1004">
      <c r="A1004" s="581"/>
    </row>
    <row r="1005">
      <c r="A1005" s="581"/>
    </row>
    <row r="1006">
      <c r="A1006" s="581"/>
    </row>
    <row r="1007">
      <c r="A1007" s="581"/>
    </row>
    <row r="1008">
      <c r="A1008" s="581"/>
    </row>
    <row r="1009">
      <c r="A1009" s="581"/>
    </row>
    <row r="1010">
      <c r="A1010" s="581"/>
    </row>
    <row r="1011">
      <c r="A1011" s="581"/>
    </row>
    <row r="1012">
      <c r="A1012" s="581"/>
    </row>
    <row r="1013">
      <c r="A1013" s="581"/>
    </row>
    <row r="1014">
      <c r="A1014" s="581"/>
    </row>
    <row r="1015">
      <c r="A1015" s="581"/>
    </row>
    <row r="1016">
      <c r="A1016" s="581"/>
    </row>
    <row r="1017">
      <c r="A1017" s="581"/>
    </row>
    <row r="1018">
      <c r="A1018" s="581"/>
    </row>
    <row r="1019">
      <c r="A1019" s="581"/>
    </row>
    <row r="1020">
      <c r="A1020" s="581"/>
    </row>
  </sheetData>
  <mergeCells count="93">
    <mergeCell ref="E5:F5"/>
    <mergeCell ref="E6:F6"/>
    <mergeCell ref="G6:G7"/>
    <mergeCell ref="E7:F7"/>
    <mergeCell ref="E8:F8"/>
    <mergeCell ref="E9:F9"/>
    <mergeCell ref="G9:G10"/>
    <mergeCell ref="E10:F10"/>
    <mergeCell ref="B6:C10"/>
    <mergeCell ref="B16:C17"/>
    <mergeCell ref="G11:G15"/>
    <mergeCell ref="G16:G17"/>
    <mergeCell ref="E17:F17"/>
    <mergeCell ref="B18:C18"/>
    <mergeCell ref="B11:C15"/>
    <mergeCell ref="E11:F11"/>
    <mergeCell ref="E12:F12"/>
    <mergeCell ref="E13:F13"/>
    <mergeCell ref="E14:F14"/>
    <mergeCell ref="E15:F15"/>
    <mergeCell ref="G19:G20"/>
    <mergeCell ref="A21:G21"/>
    <mergeCell ref="B22:H22"/>
    <mergeCell ref="B23:G23"/>
    <mergeCell ref="C25:G25"/>
    <mergeCell ref="C26:G26"/>
    <mergeCell ref="C27:G27"/>
    <mergeCell ref="C28:G28"/>
    <mergeCell ref="C29:G29"/>
    <mergeCell ref="C30:G30"/>
    <mergeCell ref="C31:G31"/>
    <mergeCell ref="C32:G32"/>
    <mergeCell ref="E90:F90"/>
    <mergeCell ref="E91:F91"/>
    <mergeCell ref="E92:F92"/>
    <mergeCell ref="E93:F93"/>
    <mergeCell ref="E94:F94"/>
    <mergeCell ref="E95:F95"/>
    <mergeCell ref="E96:F96"/>
    <mergeCell ref="E152:G152"/>
    <mergeCell ref="B180:D180"/>
    <mergeCell ref="E97:F97"/>
    <mergeCell ref="E98:F98"/>
    <mergeCell ref="E99:F99"/>
    <mergeCell ref="E100:F100"/>
    <mergeCell ref="E101:F101"/>
    <mergeCell ref="E102:F102"/>
    <mergeCell ref="E103:F103"/>
    <mergeCell ref="A1:H2"/>
    <mergeCell ref="A3:H3"/>
    <mergeCell ref="A4:A20"/>
    <mergeCell ref="B4:G4"/>
    <mergeCell ref="H4:H21"/>
    <mergeCell ref="B5:C5"/>
    <mergeCell ref="E16:F16"/>
    <mergeCell ref="E18:F18"/>
    <mergeCell ref="B19:C20"/>
    <mergeCell ref="E19:F19"/>
    <mergeCell ref="E20:F20"/>
    <mergeCell ref="A22:A33"/>
    <mergeCell ref="H23:H33"/>
    <mergeCell ref="C24:G24"/>
    <mergeCell ref="B33:G33"/>
    <mergeCell ref="B34:H34"/>
    <mergeCell ref="B35:D35"/>
    <mergeCell ref="F35:I81"/>
    <mergeCell ref="B84:G84"/>
    <mergeCell ref="C85:D85"/>
    <mergeCell ref="E85:F85"/>
    <mergeCell ref="C86:D86"/>
    <mergeCell ref="E86:F86"/>
    <mergeCell ref="C87:D87"/>
    <mergeCell ref="E87:F87"/>
    <mergeCell ref="C88:D88"/>
    <mergeCell ref="E88:F88"/>
    <mergeCell ref="E89:F89"/>
    <mergeCell ref="C96:D96"/>
    <mergeCell ref="C97:D97"/>
    <mergeCell ref="C98:D98"/>
    <mergeCell ref="C99:D99"/>
    <mergeCell ref="C100:D100"/>
    <mergeCell ref="C101:D101"/>
    <mergeCell ref="C102:D102"/>
    <mergeCell ref="C103:D103"/>
    <mergeCell ref="C89:D89"/>
    <mergeCell ref="C90:D90"/>
    <mergeCell ref="C91:D91"/>
    <mergeCell ref="C92:D92"/>
    <mergeCell ref="C93:D93"/>
    <mergeCell ref="C94:D94"/>
    <mergeCell ref="C95:D95"/>
    <mergeCell ref="B107:G107"/>
    <mergeCell ref="B133:G133"/>
  </mergeCells>
  <hyperlinks>
    <hyperlink r:id="rId1" ref="B108"/>
    <hyperlink r:id="rId2" ref="C108"/>
    <hyperlink r:id="rId3" ref="D108"/>
    <hyperlink r:id="rId4" ref="E108"/>
    <hyperlink r:id="rId5" ref="F108"/>
    <hyperlink r:id="rId6" ref="G108"/>
    <hyperlink r:id="rId7" ref="B109"/>
    <hyperlink r:id="rId8" ref="C109"/>
    <hyperlink r:id="rId9" ref="D109"/>
    <hyperlink r:id="rId10" ref="E109"/>
    <hyperlink r:id="rId11" ref="F109"/>
    <hyperlink r:id="rId12" ref="G109"/>
    <hyperlink r:id="rId13" ref="B110"/>
    <hyperlink r:id="rId14" ref="C110"/>
    <hyperlink r:id="rId15" ref="D110"/>
    <hyperlink r:id="rId16" ref="E110"/>
    <hyperlink r:id="rId17" ref="F110"/>
    <hyperlink r:id="rId18" ref="G110"/>
    <hyperlink r:id="rId19" ref="B111"/>
    <hyperlink r:id="rId20" ref="C111"/>
    <hyperlink r:id="rId21" ref="D111"/>
    <hyperlink r:id="rId22" ref="E111"/>
    <hyperlink r:id="rId23" ref="F111"/>
    <hyperlink r:id="rId24" ref="G111"/>
    <hyperlink r:id="rId25" ref="B112"/>
    <hyperlink r:id="rId26" ref="C112"/>
    <hyperlink r:id="rId27" ref="D112"/>
    <hyperlink r:id="rId28" ref="E112"/>
    <hyperlink r:id="rId29" ref="F112"/>
    <hyperlink r:id="rId30" ref="G112"/>
    <hyperlink r:id="rId31" ref="B113"/>
    <hyperlink r:id="rId32" ref="C113"/>
    <hyperlink r:id="rId33" ref="D113"/>
    <hyperlink r:id="rId34" ref="E113"/>
    <hyperlink r:id="rId35" ref="F113"/>
    <hyperlink r:id="rId36" ref="G113"/>
    <hyperlink r:id="rId37" ref="B114"/>
    <hyperlink r:id="rId38" ref="C114"/>
    <hyperlink r:id="rId39" ref="D114"/>
    <hyperlink r:id="rId40" ref="E114"/>
    <hyperlink r:id="rId41" ref="F114"/>
    <hyperlink r:id="rId42" ref="G114"/>
    <hyperlink r:id="rId43" ref="B115"/>
    <hyperlink r:id="rId44" ref="C115"/>
    <hyperlink r:id="rId45" ref="D115"/>
    <hyperlink r:id="rId46" ref="E115"/>
    <hyperlink r:id="rId47" ref="F115"/>
    <hyperlink r:id="rId48" ref="G115"/>
    <hyperlink r:id="rId49" ref="B116"/>
    <hyperlink r:id="rId50" ref="C116"/>
    <hyperlink r:id="rId51" ref="D116"/>
    <hyperlink r:id="rId52" ref="E116"/>
    <hyperlink r:id="rId53" ref="F116"/>
    <hyperlink r:id="rId54" ref="G116"/>
    <hyperlink r:id="rId55" ref="B117"/>
    <hyperlink r:id="rId56" ref="C117"/>
    <hyperlink r:id="rId57" ref="D117"/>
    <hyperlink r:id="rId58" ref="E117"/>
    <hyperlink r:id="rId59" ref="F117"/>
    <hyperlink r:id="rId60" ref="G117"/>
    <hyperlink r:id="rId61" ref="B118"/>
    <hyperlink r:id="rId62" ref="C118"/>
    <hyperlink r:id="rId63" ref="D118"/>
    <hyperlink r:id="rId64" ref="E118"/>
    <hyperlink r:id="rId65" ref="F118"/>
    <hyperlink r:id="rId66" ref="G118"/>
    <hyperlink r:id="rId67" ref="B119"/>
    <hyperlink r:id="rId68" ref="C119"/>
    <hyperlink r:id="rId69" ref="D119"/>
    <hyperlink r:id="rId70" ref="E119"/>
    <hyperlink r:id="rId71" ref="F119"/>
    <hyperlink r:id="rId72" ref="G119"/>
    <hyperlink r:id="rId73" ref="B120"/>
    <hyperlink r:id="rId74" ref="C120"/>
    <hyperlink r:id="rId75" ref="D120"/>
    <hyperlink r:id="rId76" ref="E120"/>
    <hyperlink r:id="rId77" ref="F120"/>
    <hyperlink r:id="rId78" ref="G120"/>
    <hyperlink r:id="rId79" ref="B121"/>
    <hyperlink r:id="rId80" ref="C121"/>
    <hyperlink r:id="rId81" ref="D121"/>
    <hyperlink r:id="rId82" ref="E121"/>
    <hyperlink r:id="rId83" ref="F121"/>
    <hyperlink r:id="rId84" ref="G121"/>
    <hyperlink r:id="rId85" ref="B122"/>
    <hyperlink r:id="rId86" ref="C122"/>
    <hyperlink r:id="rId87" ref="D122"/>
    <hyperlink r:id="rId88" ref="E122"/>
    <hyperlink r:id="rId89" ref="F122"/>
    <hyperlink r:id="rId90" ref="G122"/>
    <hyperlink r:id="rId91" ref="B123"/>
    <hyperlink r:id="rId92" ref="C123"/>
    <hyperlink r:id="rId93" ref="D123"/>
    <hyperlink r:id="rId94" ref="E123"/>
    <hyperlink r:id="rId95" ref="F123"/>
    <hyperlink r:id="rId96" ref="G123"/>
    <hyperlink r:id="rId97" ref="B124"/>
    <hyperlink r:id="rId98" ref="C124"/>
    <hyperlink r:id="rId99" ref="D124"/>
    <hyperlink r:id="rId100" ref="E124"/>
    <hyperlink r:id="rId101" ref="F124"/>
    <hyperlink r:id="rId102" ref="G124"/>
    <hyperlink r:id="rId103" ref="B125"/>
    <hyperlink r:id="rId104" ref="C125"/>
    <hyperlink r:id="rId105" ref="D125"/>
    <hyperlink r:id="rId106" ref="E125"/>
    <hyperlink r:id="rId107" ref="F125"/>
    <hyperlink r:id="rId108" ref="G125"/>
    <hyperlink r:id="rId109" ref="B126"/>
    <hyperlink r:id="rId110" ref="C126"/>
    <hyperlink r:id="rId111" ref="D126"/>
    <hyperlink r:id="rId112" ref="E126"/>
    <hyperlink r:id="rId113" ref="F126"/>
    <hyperlink r:id="rId114" ref="G126"/>
    <hyperlink r:id="rId115" ref="B127"/>
    <hyperlink r:id="rId116" ref="C127"/>
    <hyperlink r:id="rId117" ref="D127"/>
    <hyperlink r:id="rId118" ref="E127"/>
    <hyperlink r:id="rId119" ref="F127"/>
    <hyperlink r:id="rId120" ref="G127"/>
    <hyperlink r:id="rId121" ref="B128"/>
    <hyperlink r:id="rId122" ref="C128"/>
    <hyperlink r:id="rId123" ref="D128"/>
    <hyperlink r:id="rId124" ref="E128"/>
    <hyperlink r:id="rId125" ref="F128"/>
    <hyperlink r:id="rId126" ref="G128"/>
    <hyperlink r:id="rId127" ref="B129"/>
    <hyperlink r:id="rId128" ref="C129"/>
    <hyperlink r:id="rId129" ref="D129"/>
    <hyperlink r:id="rId130" ref="E129"/>
    <hyperlink r:id="rId131" ref="F129"/>
    <hyperlink r:id="rId132" ref="G129"/>
    <hyperlink r:id="rId133" ref="B130"/>
    <hyperlink r:id="rId134" ref="C130"/>
    <hyperlink r:id="rId135" ref="B134"/>
    <hyperlink r:id="rId136" ref="C134"/>
    <hyperlink r:id="rId137" ref="D134"/>
    <hyperlink r:id="rId138" ref="E134"/>
    <hyperlink r:id="rId139" ref="F134"/>
    <hyperlink r:id="rId140" ref="G134"/>
    <hyperlink r:id="rId141" ref="B135"/>
    <hyperlink r:id="rId142" ref="C135"/>
    <hyperlink r:id="rId143" ref="D135"/>
    <hyperlink r:id="rId144" ref="E135"/>
    <hyperlink r:id="rId145" ref="F135"/>
    <hyperlink r:id="rId146" ref="G135"/>
    <hyperlink r:id="rId147" ref="B136"/>
    <hyperlink r:id="rId148" ref="C136"/>
    <hyperlink r:id="rId149" ref="D136"/>
    <hyperlink r:id="rId150" ref="E136"/>
    <hyperlink r:id="rId151" ref="F136"/>
    <hyperlink r:id="rId152" ref="G136"/>
    <hyperlink r:id="rId153" ref="B137"/>
    <hyperlink r:id="rId154" ref="C137"/>
    <hyperlink r:id="rId155" ref="D137"/>
    <hyperlink r:id="rId156" ref="E137"/>
    <hyperlink r:id="rId157" ref="F137"/>
    <hyperlink r:id="rId158" ref="G137"/>
    <hyperlink r:id="rId159" ref="B138"/>
    <hyperlink r:id="rId160" ref="C138"/>
    <hyperlink r:id="rId161" ref="D138"/>
    <hyperlink r:id="rId162" ref="E138"/>
    <hyperlink r:id="rId163" ref="F138"/>
    <hyperlink r:id="rId164" ref="G138"/>
    <hyperlink r:id="rId165" ref="B139"/>
    <hyperlink r:id="rId166" ref="C139"/>
    <hyperlink r:id="rId167" ref="D139"/>
    <hyperlink r:id="rId168" ref="E139"/>
    <hyperlink r:id="rId169" ref="F139"/>
    <hyperlink r:id="rId170" ref="G139"/>
    <hyperlink r:id="rId171" ref="B140"/>
    <hyperlink r:id="rId172" ref="C140"/>
    <hyperlink r:id="rId173" ref="D140"/>
    <hyperlink r:id="rId174" ref="E140"/>
    <hyperlink r:id="rId175" ref="F140"/>
    <hyperlink r:id="rId176" ref="G140"/>
    <hyperlink r:id="rId177" ref="B141"/>
    <hyperlink r:id="rId178" ref="C141"/>
    <hyperlink r:id="rId179" ref="D141"/>
    <hyperlink r:id="rId180" ref="E141"/>
    <hyperlink r:id="rId181" ref="F141"/>
    <hyperlink r:id="rId182" ref="G141"/>
    <hyperlink r:id="rId183" ref="B142"/>
    <hyperlink r:id="rId184" ref="C142"/>
    <hyperlink r:id="rId185" ref="D142"/>
    <hyperlink r:id="rId186" ref="E142"/>
    <hyperlink r:id="rId187" ref="F142"/>
    <hyperlink r:id="rId188" ref="G142"/>
    <hyperlink r:id="rId189" ref="B143"/>
    <hyperlink r:id="rId190" ref="C143"/>
    <hyperlink r:id="rId191" ref="D143"/>
    <hyperlink r:id="rId192" ref="E143"/>
    <hyperlink r:id="rId193" ref="F143"/>
    <hyperlink r:id="rId194" ref="G143"/>
    <hyperlink r:id="rId195" ref="B144"/>
    <hyperlink r:id="rId196" ref="C144"/>
    <hyperlink r:id="rId197" ref="D144"/>
    <hyperlink r:id="rId198" ref="E144"/>
    <hyperlink r:id="rId199" ref="F144"/>
    <hyperlink r:id="rId200" ref="G144"/>
    <hyperlink r:id="rId201" ref="B145"/>
    <hyperlink r:id="rId202" ref="C145"/>
    <hyperlink r:id="rId203" ref="D145"/>
    <hyperlink r:id="rId204" ref="E145"/>
    <hyperlink r:id="rId205" ref="F145"/>
    <hyperlink r:id="rId206" ref="G145"/>
    <hyperlink r:id="rId207" ref="B146"/>
    <hyperlink r:id="rId208" ref="C146"/>
    <hyperlink r:id="rId209" ref="D146"/>
    <hyperlink r:id="rId210" ref="E146"/>
    <hyperlink r:id="rId211" ref="F146"/>
    <hyperlink r:id="rId212" ref="G146"/>
    <hyperlink r:id="rId213" ref="B147"/>
    <hyperlink r:id="rId214" ref="C147"/>
    <hyperlink r:id="rId215" ref="D147"/>
    <hyperlink r:id="rId216" ref="E147"/>
    <hyperlink r:id="rId217" ref="F147"/>
    <hyperlink r:id="rId218" ref="G147"/>
    <hyperlink r:id="rId219" ref="B148"/>
    <hyperlink r:id="rId220" ref="C148"/>
    <hyperlink r:id="rId221" ref="D148"/>
    <hyperlink r:id="rId222" ref="E148"/>
    <hyperlink r:id="rId223" ref="F148"/>
    <hyperlink r:id="rId224" ref="G148"/>
    <hyperlink r:id="rId225" ref="B149"/>
    <hyperlink r:id="rId226" ref="C149"/>
    <hyperlink r:id="rId227" ref="D149"/>
    <hyperlink r:id="rId228" ref="E149"/>
    <hyperlink r:id="rId229" ref="F149"/>
    <hyperlink r:id="rId230" ref="G149"/>
    <hyperlink r:id="rId231" ref="B150"/>
    <hyperlink r:id="rId232" ref="C150"/>
    <hyperlink r:id="rId233" ref="D150"/>
    <hyperlink r:id="rId234" ref="E150"/>
    <hyperlink r:id="rId235" ref="F150"/>
    <hyperlink r:id="rId236" ref="G150"/>
    <hyperlink r:id="rId237" ref="B151"/>
    <hyperlink r:id="rId238" ref="C151"/>
    <hyperlink r:id="rId239" ref="D151"/>
    <hyperlink r:id="rId240" ref="E151"/>
    <hyperlink r:id="rId241" ref="F151"/>
    <hyperlink r:id="rId242" ref="G151"/>
    <hyperlink r:id="rId243" ref="B152"/>
  </hyperlinks>
  <drawing r:id="rId24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8"/>
    <col customWidth="1" min="2" max="2" width="20.13"/>
    <col customWidth="1" min="3" max="3" width="1.63"/>
    <col customWidth="1" min="4" max="4" width="9.38"/>
    <col customWidth="1" min="5" max="5" width="22.88"/>
    <col customWidth="1" min="6" max="6" width="43.63"/>
    <col customWidth="1" min="7" max="7" width="24.13"/>
    <col customWidth="1" min="9" max="9" width="11.63"/>
    <col customWidth="1" min="10" max="10" width="5.38"/>
    <col customWidth="1" min="12" max="12" width="23.5"/>
  </cols>
  <sheetData>
    <row r="1">
      <c r="A1" s="655"/>
      <c r="B1" s="656" t="s">
        <v>36911</v>
      </c>
      <c r="C1" s="657"/>
      <c r="D1" s="656" t="s">
        <v>5</v>
      </c>
      <c r="E1" s="658" t="s">
        <v>37711</v>
      </c>
      <c r="F1" s="656" t="s">
        <v>8</v>
      </c>
      <c r="G1" s="656" t="s">
        <v>37712</v>
      </c>
      <c r="H1" s="656" t="s">
        <v>37713</v>
      </c>
      <c r="I1" s="659" t="s">
        <v>37714</v>
      </c>
      <c r="J1" s="431"/>
      <c r="K1" s="656" t="s">
        <v>37715</v>
      </c>
      <c r="L1" s="9" t="s">
        <v>37429</v>
      </c>
      <c r="M1" s="8" t="s">
        <v>37716</v>
      </c>
      <c r="N1" s="35"/>
      <c r="O1" s="35"/>
      <c r="P1" s="35"/>
      <c r="Q1" s="35"/>
      <c r="R1" s="35"/>
      <c r="S1" s="35"/>
      <c r="T1" s="35"/>
      <c r="U1" s="35"/>
      <c r="V1" s="35"/>
      <c r="W1" s="35"/>
      <c r="X1" s="35"/>
      <c r="Y1" s="35"/>
      <c r="Z1" s="35"/>
      <c r="AA1" s="35"/>
    </row>
    <row r="2" ht="38.25" customHeight="1">
      <c r="A2" s="660"/>
      <c r="B2" s="391" t="s">
        <v>37717</v>
      </c>
      <c r="C2" s="657"/>
      <c r="D2" s="661" t="s">
        <v>36792</v>
      </c>
      <c r="E2" s="661" t="s">
        <v>37718</v>
      </c>
      <c r="F2" s="662" t="s">
        <v>37719</v>
      </c>
      <c r="G2" s="661" t="s">
        <v>37720</v>
      </c>
      <c r="H2" s="663" t="s">
        <v>37721</v>
      </c>
      <c r="I2" s="664" t="s">
        <v>37722</v>
      </c>
      <c r="J2" s="665" t="s">
        <v>37723</v>
      </c>
      <c r="K2" s="117" t="str">
        <f>HYPERLINK("https://clinicaltrials.gov/ct2/show/NCT03743441","NCT03743441")</f>
        <v>NCT03743441</v>
      </c>
      <c r="L2" s="49"/>
      <c r="M2" s="35"/>
      <c r="N2" s="35"/>
      <c r="O2" s="35"/>
      <c r="P2" s="35"/>
      <c r="Q2" s="35"/>
      <c r="R2" s="35"/>
      <c r="S2" s="35"/>
      <c r="T2" s="35"/>
      <c r="U2" s="35"/>
      <c r="V2" s="35"/>
      <c r="W2" s="35"/>
      <c r="X2" s="35"/>
      <c r="Y2" s="35"/>
      <c r="Z2" s="35"/>
      <c r="AA2" s="35"/>
    </row>
    <row r="3">
      <c r="A3" s="660"/>
      <c r="B3" s="391" t="s">
        <v>188</v>
      </c>
      <c r="C3" s="657"/>
      <c r="D3" s="661" t="s">
        <v>12068</v>
      </c>
      <c r="E3" s="661" t="s">
        <v>37724</v>
      </c>
      <c r="F3" s="662" t="s">
        <v>37725</v>
      </c>
      <c r="G3" s="661" t="s">
        <v>37726</v>
      </c>
      <c r="H3" s="663" t="s">
        <v>37727</v>
      </c>
      <c r="I3" s="666" t="s">
        <v>37728</v>
      </c>
      <c r="J3" s="667" t="s">
        <v>37729</v>
      </c>
      <c r="K3" s="117" t="str">
        <f>HYPERLINK("https://clinicaltrials.gov/ct2/show/NCT04202900","NCT04202900")</f>
        <v>NCT04202900</v>
      </c>
      <c r="L3" s="49"/>
      <c r="M3" s="35"/>
      <c r="N3" s="35"/>
      <c r="O3" s="35"/>
      <c r="P3" s="35"/>
      <c r="Q3" s="35"/>
      <c r="R3" s="35"/>
      <c r="S3" s="35"/>
      <c r="T3" s="35"/>
      <c r="U3" s="35"/>
      <c r="V3" s="35"/>
      <c r="W3" s="35"/>
      <c r="X3" s="35"/>
      <c r="Y3" s="35"/>
      <c r="Z3" s="35"/>
      <c r="AA3" s="35"/>
    </row>
    <row r="4">
      <c r="A4" s="660"/>
      <c r="B4" s="391" t="s">
        <v>37730</v>
      </c>
      <c r="C4" s="657"/>
      <c r="D4" s="661" t="s">
        <v>2161</v>
      </c>
      <c r="E4" s="661" t="s">
        <v>37731</v>
      </c>
      <c r="F4" s="662" t="s">
        <v>37732</v>
      </c>
      <c r="G4" s="661" t="s">
        <v>37733</v>
      </c>
      <c r="H4" s="663" t="s">
        <v>37721</v>
      </c>
      <c r="I4" s="666" t="s">
        <v>37734</v>
      </c>
      <c r="J4" s="667" t="s">
        <v>37735</v>
      </c>
      <c r="K4" s="117" t="str">
        <f>HYPERLINK("https://clinicaltrials.gov/ct2/show/NCT03551392","NCT03551392")</f>
        <v>NCT03551392</v>
      </c>
      <c r="L4" s="49"/>
      <c r="M4" s="35"/>
      <c r="N4" s="35"/>
      <c r="O4" s="35"/>
      <c r="P4" s="35"/>
      <c r="Q4" s="35"/>
      <c r="R4" s="35"/>
      <c r="S4" s="35"/>
      <c r="T4" s="35"/>
      <c r="U4" s="35"/>
      <c r="V4" s="35"/>
      <c r="W4" s="35"/>
      <c r="X4" s="35"/>
      <c r="Y4" s="35"/>
      <c r="Z4" s="35"/>
      <c r="AA4" s="35"/>
    </row>
    <row r="5">
      <c r="A5" s="660"/>
      <c r="B5" s="391" t="s">
        <v>33181</v>
      </c>
      <c r="C5" s="657"/>
      <c r="D5" s="661" t="s">
        <v>2161</v>
      </c>
      <c r="E5" s="661" t="s">
        <v>37736</v>
      </c>
      <c r="F5" s="662" t="s">
        <v>37737</v>
      </c>
      <c r="G5" s="661" t="s">
        <v>37738</v>
      </c>
      <c r="H5" s="663" t="s">
        <v>37721</v>
      </c>
      <c r="I5" s="666" t="s">
        <v>37739</v>
      </c>
      <c r="J5" s="667" t="s">
        <v>37740</v>
      </c>
      <c r="K5" s="426" t="str">
        <f>HYPERLINK("https://clinicaltrials.gov/ct2/show/NCT03405662","NCT03405662")</f>
        <v>NCT03405662</v>
      </c>
      <c r="L5" s="49"/>
      <c r="M5" s="35"/>
      <c r="N5" s="35"/>
      <c r="O5" s="35"/>
      <c r="P5" s="35"/>
      <c r="Q5" s="35"/>
      <c r="R5" s="35"/>
      <c r="S5" s="35"/>
      <c r="T5" s="35"/>
      <c r="U5" s="35"/>
      <c r="V5" s="35"/>
      <c r="W5" s="35"/>
      <c r="X5" s="35"/>
      <c r="Y5" s="35"/>
      <c r="Z5" s="35"/>
      <c r="AA5" s="35"/>
    </row>
    <row r="6">
      <c r="A6" s="660"/>
      <c r="B6" s="391" t="s">
        <v>33181</v>
      </c>
      <c r="C6" s="657"/>
      <c r="D6" s="661" t="s">
        <v>2535</v>
      </c>
      <c r="E6" s="661" t="s">
        <v>37741</v>
      </c>
      <c r="F6" s="662" t="s">
        <v>37742</v>
      </c>
      <c r="G6" s="661" t="s">
        <v>37743</v>
      </c>
      <c r="H6" s="668" t="s">
        <v>37744</v>
      </c>
      <c r="I6" s="666" t="s">
        <v>37745</v>
      </c>
      <c r="J6" s="667" t="s">
        <v>37746</v>
      </c>
      <c r="K6" s="117" t="str">
        <f>HYPERLINK("https://clinicaltrials.gov/ct2/show/NCT03484143","NCT03484143")</f>
        <v>NCT03484143</v>
      </c>
      <c r="L6" s="49"/>
      <c r="M6" s="35"/>
      <c r="N6" s="35"/>
      <c r="O6" s="35"/>
      <c r="P6" s="35"/>
      <c r="Q6" s="35"/>
      <c r="R6" s="35"/>
      <c r="S6" s="35"/>
      <c r="T6" s="35"/>
      <c r="U6" s="35"/>
      <c r="V6" s="35"/>
      <c r="W6" s="35"/>
      <c r="X6" s="35"/>
      <c r="Y6" s="35"/>
      <c r="Z6" s="35"/>
      <c r="AA6" s="35"/>
    </row>
    <row r="7">
      <c r="A7" s="660"/>
      <c r="B7" s="669" t="s">
        <v>2136</v>
      </c>
      <c r="C7" s="657"/>
      <c r="D7" s="669" t="s">
        <v>2161</v>
      </c>
      <c r="E7" s="661" t="s">
        <v>37747</v>
      </c>
      <c r="F7" s="670" t="s">
        <v>37748</v>
      </c>
      <c r="G7" s="669" t="s">
        <v>37749</v>
      </c>
      <c r="H7" s="663" t="s">
        <v>37721</v>
      </c>
      <c r="I7" s="666" t="s">
        <v>37750</v>
      </c>
      <c r="J7" s="667" t="s">
        <v>37751</v>
      </c>
      <c r="K7" s="123" t="str">
        <f>HYPERLINK("https://clinicaltrials.gov/ct2/show/NCT03750409","NCT03750409")</f>
        <v>NCT03750409</v>
      </c>
      <c r="L7" s="671"/>
      <c r="M7" s="672" t="s">
        <v>37752</v>
      </c>
      <c r="N7" s="35"/>
      <c r="O7" s="35"/>
      <c r="P7" s="35"/>
      <c r="Q7" s="35"/>
      <c r="R7" s="35"/>
      <c r="S7" s="35"/>
      <c r="T7" s="35"/>
      <c r="U7" s="35"/>
      <c r="V7" s="35"/>
      <c r="W7" s="35"/>
      <c r="X7" s="35"/>
      <c r="Y7" s="35"/>
      <c r="Z7" s="35"/>
      <c r="AA7" s="35"/>
    </row>
    <row r="8">
      <c r="A8" s="660"/>
      <c r="B8" s="669" t="s">
        <v>2136</v>
      </c>
      <c r="C8" s="657"/>
      <c r="D8" s="669" t="s">
        <v>2161</v>
      </c>
      <c r="E8" s="661" t="s">
        <v>37753</v>
      </c>
      <c r="F8" s="673" t="s">
        <v>37754</v>
      </c>
      <c r="G8" s="669" t="s">
        <v>37755</v>
      </c>
      <c r="H8" s="663" t="s">
        <v>37721</v>
      </c>
      <c r="I8" s="666" t="s">
        <v>37756</v>
      </c>
      <c r="J8" s="667" t="s">
        <v>37757</v>
      </c>
      <c r="K8" s="123" t="str">
        <f>HYPERLINK("https://clinicaltrials.gov/ct2/show/NCT03859245","NCT03859245")</f>
        <v>NCT03859245</v>
      </c>
      <c r="L8" s="671"/>
      <c r="M8" s="672" t="s">
        <v>37752</v>
      </c>
      <c r="N8" s="35"/>
      <c r="O8" s="35"/>
      <c r="P8" s="35"/>
      <c r="Q8" s="35"/>
      <c r="R8" s="35"/>
      <c r="S8" s="35"/>
      <c r="T8" s="35"/>
      <c r="U8" s="35"/>
      <c r="V8" s="35"/>
      <c r="W8" s="35"/>
      <c r="X8" s="35"/>
      <c r="Y8" s="35"/>
      <c r="Z8" s="35"/>
      <c r="AA8" s="35"/>
    </row>
    <row r="9">
      <c r="A9" s="660"/>
      <c r="B9" s="391" t="s">
        <v>37758</v>
      </c>
      <c r="C9" s="657"/>
      <c r="D9" s="661" t="s">
        <v>2161</v>
      </c>
      <c r="E9" s="661" t="s">
        <v>37759</v>
      </c>
      <c r="F9" s="662" t="s">
        <v>37760</v>
      </c>
      <c r="G9" s="661" t="s">
        <v>37761</v>
      </c>
      <c r="H9" s="674" t="s">
        <v>37762</v>
      </c>
      <c r="I9" s="666" t="s">
        <v>37763</v>
      </c>
      <c r="J9" s="667" t="s">
        <v>37764</v>
      </c>
      <c r="K9" s="117" t="str">
        <f>HYPERLINK("https://clinicaltrials.gov/ct2/show/NCT03420456","NCT03420456")</f>
        <v>NCT03420456</v>
      </c>
      <c r="L9" s="49"/>
      <c r="M9" s="35"/>
      <c r="N9" s="35"/>
      <c r="O9" s="35"/>
      <c r="P9" s="35"/>
      <c r="Q9" s="35"/>
      <c r="R9" s="35"/>
      <c r="S9" s="35"/>
      <c r="T9" s="35"/>
      <c r="U9" s="35"/>
      <c r="V9" s="35"/>
      <c r="W9" s="35"/>
      <c r="X9" s="35"/>
      <c r="Y9" s="35"/>
      <c r="Z9" s="35"/>
      <c r="AA9" s="35"/>
    </row>
    <row r="10">
      <c r="A10" s="660"/>
      <c r="B10" s="391" t="s">
        <v>37765</v>
      </c>
      <c r="C10" s="657"/>
      <c r="D10" s="661" t="s">
        <v>2161</v>
      </c>
      <c r="E10" s="661" t="s">
        <v>37766</v>
      </c>
      <c r="F10" s="662" t="s">
        <v>37767</v>
      </c>
      <c r="G10" s="661" t="s">
        <v>37768</v>
      </c>
      <c r="H10" s="663" t="s">
        <v>37721</v>
      </c>
      <c r="I10" s="666" t="s">
        <v>37769</v>
      </c>
      <c r="J10" s="667" t="s">
        <v>37770</v>
      </c>
      <c r="K10" s="426" t="str">
        <f>HYPERLINK("https://clinicaltrials.gov/ct2/show/NCT03724552","NCT03724552")</f>
        <v>NCT03724552</v>
      </c>
      <c r="L10" s="49"/>
      <c r="M10" s="35"/>
      <c r="N10" s="35"/>
      <c r="O10" s="35"/>
      <c r="P10" s="35"/>
      <c r="Q10" s="35"/>
      <c r="R10" s="35"/>
      <c r="S10" s="35"/>
      <c r="T10" s="35"/>
      <c r="U10" s="35"/>
      <c r="V10" s="35"/>
      <c r="W10" s="35"/>
      <c r="X10" s="35"/>
      <c r="Y10" s="35"/>
      <c r="Z10" s="35"/>
      <c r="AA10" s="35"/>
    </row>
    <row r="11">
      <c r="A11" s="660"/>
      <c r="B11" s="391" t="s">
        <v>37771</v>
      </c>
      <c r="C11" s="657"/>
      <c r="D11" s="675" t="s">
        <v>400</v>
      </c>
      <c r="E11" s="675" t="s">
        <v>37772</v>
      </c>
      <c r="F11" s="676" t="s">
        <v>37773</v>
      </c>
      <c r="G11" s="661" t="s">
        <v>37774</v>
      </c>
      <c r="H11" s="663" t="s">
        <v>37721</v>
      </c>
      <c r="I11" s="666" t="s">
        <v>37775</v>
      </c>
      <c r="J11" s="667" t="s">
        <v>37776</v>
      </c>
      <c r="K11" s="677" t="str">
        <f>HYPERLINK("https://clinicaltrials.gov/ct2/show/NCT03699852","NCT03699852")</f>
        <v>NCT03699852</v>
      </c>
      <c r="L11" s="49"/>
      <c r="M11" s="35"/>
      <c r="N11" s="35"/>
      <c r="O11" s="35"/>
      <c r="P11" s="35"/>
      <c r="Q11" s="35"/>
      <c r="R11" s="35"/>
      <c r="S11" s="35"/>
      <c r="T11" s="35"/>
      <c r="U11" s="35"/>
      <c r="V11" s="35"/>
      <c r="W11" s="35"/>
      <c r="X11" s="35"/>
      <c r="Y11" s="35"/>
      <c r="Z11" s="35"/>
      <c r="AA11" s="35"/>
    </row>
    <row r="12">
      <c r="A12" s="660"/>
      <c r="B12" s="391" t="s">
        <v>27749</v>
      </c>
      <c r="C12" s="657"/>
      <c r="D12" s="661" t="s">
        <v>400</v>
      </c>
      <c r="E12" s="661" t="s">
        <v>37777</v>
      </c>
      <c r="F12" s="662" t="s">
        <v>37778</v>
      </c>
      <c r="G12" s="661" t="s">
        <v>37779</v>
      </c>
      <c r="H12" s="678" t="s">
        <v>37780</v>
      </c>
      <c r="I12" s="666" t="s">
        <v>37781</v>
      </c>
      <c r="J12" s="667" t="s">
        <v>37782</v>
      </c>
      <c r="K12" s="426" t="s">
        <v>37783</v>
      </c>
      <c r="L12" s="49"/>
      <c r="M12" s="35"/>
      <c r="N12" s="35"/>
      <c r="O12" s="35"/>
      <c r="P12" s="35"/>
      <c r="Q12" s="35"/>
      <c r="R12" s="35"/>
      <c r="S12" s="35"/>
      <c r="T12" s="35"/>
      <c r="U12" s="35"/>
      <c r="V12" s="35"/>
      <c r="W12" s="35"/>
      <c r="X12" s="35"/>
      <c r="Y12" s="35"/>
      <c r="Z12" s="35"/>
      <c r="AA12" s="35"/>
    </row>
    <row r="13">
      <c r="A13" s="660"/>
      <c r="B13" s="391" t="s">
        <v>27749</v>
      </c>
      <c r="C13" s="657"/>
      <c r="D13" s="661" t="s">
        <v>12068</v>
      </c>
      <c r="E13" s="661" t="s">
        <v>37784</v>
      </c>
      <c r="F13" s="662" t="s">
        <v>37785</v>
      </c>
      <c r="G13" s="661" t="s">
        <v>37786</v>
      </c>
      <c r="H13" s="678" t="s">
        <v>37780</v>
      </c>
      <c r="I13" s="666" t="s">
        <v>37787</v>
      </c>
      <c r="J13" s="667" t="s">
        <v>37788</v>
      </c>
      <c r="K13" s="426" t="s">
        <v>37789</v>
      </c>
      <c r="L13" s="49"/>
      <c r="M13" s="35"/>
      <c r="N13" s="35"/>
      <c r="O13" s="35"/>
      <c r="P13" s="35"/>
      <c r="Q13" s="35"/>
      <c r="R13" s="35"/>
      <c r="S13" s="35"/>
      <c r="T13" s="35"/>
      <c r="U13" s="35"/>
      <c r="V13" s="35"/>
      <c r="W13" s="35"/>
      <c r="X13" s="35"/>
      <c r="Y13" s="35"/>
      <c r="Z13" s="35"/>
      <c r="AA13" s="35"/>
    </row>
    <row r="14">
      <c r="A14" s="660"/>
      <c r="B14" s="391" t="s">
        <v>27749</v>
      </c>
      <c r="C14" s="657"/>
      <c r="D14" s="661" t="s">
        <v>1310</v>
      </c>
      <c r="E14" s="661" t="s">
        <v>37790</v>
      </c>
      <c r="F14" s="662" t="s">
        <v>37791</v>
      </c>
      <c r="G14" s="661" t="s">
        <v>37720</v>
      </c>
      <c r="H14" s="663" t="s">
        <v>37727</v>
      </c>
      <c r="I14" s="666" t="s">
        <v>37792</v>
      </c>
      <c r="J14" s="667" t="s">
        <v>37793</v>
      </c>
      <c r="K14" s="117" t="str">
        <f>HYPERLINK("https://clinicaltrials.gov/ct2/show/NCT02665507","NCT02665507")</f>
        <v>NCT02665507</v>
      </c>
      <c r="L14" s="49"/>
      <c r="M14" s="35"/>
      <c r="N14" s="35"/>
      <c r="O14" s="35"/>
      <c r="P14" s="35"/>
      <c r="Q14" s="35"/>
      <c r="R14" s="35"/>
      <c r="S14" s="35"/>
      <c r="T14" s="35"/>
      <c r="U14" s="35"/>
      <c r="V14" s="35"/>
      <c r="W14" s="35"/>
      <c r="X14" s="35"/>
      <c r="Y14" s="35"/>
      <c r="Z14" s="35"/>
      <c r="AA14" s="35"/>
    </row>
    <row r="15">
      <c r="A15" s="660"/>
      <c r="B15" s="391" t="s">
        <v>37794</v>
      </c>
      <c r="C15" s="657"/>
      <c r="D15" s="661" t="s">
        <v>2161</v>
      </c>
      <c r="E15" s="661" t="s">
        <v>37795</v>
      </c>
      <c r="F15" s="662" t="s">
        <v>37796</v>
      </c>
      <c r="G15" s="661" t="s">
        <v>37797</v>
      </c>
      <c r="H15" s="663" t="s">
        <v>37721</v>
      </c>
      <c r="I15" s="666" t="s">
        <v>37798</v>
      </c>
      <c r="J15" s="667" t="s">
        <v>37799</v>
      </c>
      <c r="K15" s="117" t="str">
        <f>HYPERLINK("https://clinicaltrials.gov/ct2/show/NCT02370199","NCT02370199")</f>
        <v>NCT02370199</v>
      </c>
      <c r="L15" s="49"/>
      <c r="M15" s="35"/>
      <c r="N15" s="35"/>
      <c r="O15" s="35"/>
      <c r="P15" s="35"/>
      <c r="Q15" s="35"/>
      <c r="R15" s="35"/>
      <c r="S15" s="35"/>
      <c r="T15" s="35"/>
      <c r="U15" s="35"/>
      <c r="V15" s="35"/>
      <c r="W15" s="35"/>
      <c r="X15" s="35"/>
      <c r="Y15" s="35"/>
      <c r="Z15" s="35"/>
      <c r="AA15" s="35"/>
    </row>
    <row r="16">
      <c r="A16" s="660"/>
      <c r="B16" s="391" t="s">
        <v>6900</v>
      </c>
      <c r="C16" s="657"/>
      <c r="D16" s="661" t="s">
        <v>2161</v>
      </c>
      <c r="E16" s="661" t="s">
        <v>37800</v>
      </c>
      <c r="F16" s="662" t="s">
        <v>37801</v>
      </c>
      <c r="G16" s="661" t="s">
        <v>37802</v>
      </c>
      <c r="H16" s="678" t="s">
        <v>37780</v>
      </c>
      <c r="I16" s="666" t="s">
        <v>37803</v>
      </c>
      <c r="J16" s="667" t="s">
        <v>37804</v>
      </c>
      <c r="K16" s="117" t="str">
        <f>HYPERLINK("https://clinicaltrials.gov/ct2/show/NCT03470272","NCT03470272")</f>
        <v>NCT03470272</v>
      </c>
      <c r="L16" s="49"/>
      <c r="M16" s="35"/>
      <c r="N16" s="35"/>
      <c r="O16" s="35"/>
      <c r="P16" s="35"/>
      <c r="Q16" s="35"/>
      <c r="R16" s="35"/>
      <c r="S16" s="35"/>
      <c r="T16" s="35"/>
      <c r="U16" s="35"/>
      <c r="V16" s="35"/>
      <c r="W16" s="35"/>
      <c r="X16" s="35"/>
      <c r="Y16" s="35"/>
      <c r="Z16" s="35"/>
      <c r="AA16" s="35"/>
    </row>
    <row r="17">
      <c r="A17" s="660"/>
      <c r="B17" s="391" t="s">
        <v>37608</v>
      </c>
      <c r="C17" s="657"/>
      <c r="D17" s="661" t="s">
        <v>400</v>
      </c>
      <c r="E17" s="661" t="s">
        <v>37772</v>
      </c>
      <c r="F17" s="662" t="s">
        <v>37805</v>
      </c>
      <c r="G17" s="661" t="s">
        <v>37806</v>
      </c>
      <c r="H17" s="678" t="s">
        <v>37780</v>
      </c>
      <c r="I17" s="666" t="s">
        <v>37807</v>
      </c>
      <c r="J17" s="667" t="s">
        <v>37808</v>
      </c>
      <c r="K17" s="117" t="str">
        <f>HYPERLINK("https://clinicaltrials.gov/ct2/show/NCT04038645","NCT04038645")</f>
        <v>NCT04038645</v>
      </c>
      <c r="L17" s="49"/>
      <c r="M17" s="35"/>
      <c r="N17" s="35"/>
      <c r="O17" s="35"/>
      <c r="P17" s="35"/>
      <c r="Q17" s="35"/>
      <c r="R17" s="35"/>
      <c r="S17" s="35"/>
      <c r="T17" s="35"/>
      <c r="U17" s="35"/>
      <c r="V17" s="35"/>
      <c r="W17" s="35"/>
      <c r="X17" s="35"/>
      <c r="Y17" s="35"/>
      <c r="Z17" s="35"/>
      <c r="AA17" s="35"/>
    </row>
    <row r="18">
      <c r="A18" s="660"/>
      <c r="B18" s="391" t="s">
        <v>37608</v>
      </c>
      <c r="C18" s="657"/>
      <c r="D18" s="661" t="s">
        <v>36792</v>
      </c>
      <c r="E18" s="661" t="s">
        <v>37809</v>
      </c>
      <c r="F18" s="662" t="s">
        <v>37810</v>
      </c>
      <c r="G18" s="661" t="s">
        <v>37811</v>
      </c>
      <c r="H18" s="663" t="s">
        <v>37721</v>
      </c>
      <c r="I18" s="666" t="s">
        <v>37812</v>
      </c>
      <c r="J18" s="667" t="s">
        <v>37813</v>
      </c>
      <c r="K18" s="117" t="str">
        <f>HYPERLINK("https://clinicaltrials.gov/ct2/show/NCT03014024","NCT03014024")</f>
        <v>NCT03014024</v>
      </c>
      <c r="L18" s="49"/>
      <c r="M18" s="35"/>
      <c r="N18" s="35"/>
      <c r="O18" s="35"/>
      <c r="P18" s="35"/>
      <c r="Q18" s="35"/>
      <c r="R18" s="35"/>
      <c r="S18" s="35"/>
      <c r="T18" s="35"/>
      <c r="U18" s="35"/>
      <c r="V18" s="35"/>
      <c r="W18" s="35"/>
      <c r="X18" s="35"/>
      <c r="Y18" s="35"/>
      <c r="Z18" s="35"/>
      <c r="AA18" s="35"/>
    </row>
    <row r="19">
      <c r="A19" s="660"/>
      <c r="B19" s="391" t="s">
        <v>37608</v>
      </c>
      <c r="C19" s="657"/>
      <c r="D19" s="661" t="s">
        <v>36792</v>
      </c>
      <c r="E19" s="661" t="s">
        <v>37814</v>
      </c>
      <c r="F19" s="662" t="s">
        <v>37815</v>
      </c>
      <c r="G19" s="661" t="s">
        <v>37720</v>
      </c>
      <c r="H19" s="668" t="s">
        <v>37744</v>
      </c>
      <c r="I19" s="666" t="s">
        <v>37816</v>
      </c>
      <c r="J19" s="667" t="s">
        <v>37817</v>
      </c>
      <c r="K19" s="117" t="str">
        <f>HYPERLINK("https://clinicaltrials.gov/ct2/show/NCT02749929","NCT02749929")</f>
        <v>NCT02749929</v>
      </c>
      <c r="L19" s="49"/>
      <c r="M19" s="35"/>
      <c r="N19" s="35"/>
      <c r="O19" s="35"/>
      <c r="P19" s="35"/>
      <c r="Q19" s="35"/>
      <c r="R19" s="35"/>
      <c r="S19" s="35"/>
      <c r="T19" s="35"/>
      <c r="U19" s="35"/>
      <c r="V19" s="35"/>
      <c r="W19" s="35"/>
      <c r="X19" s="35"/>
      <c r="Y19" s="35"/>
      <c r="Z19" s="35"/>
      <c r="AA19" s="35"/>
    </row>
    <row r="20">
      <c r="A20" s="660"/>
      <c r="B20" s="391" t="s">
        <v>37615</v>
      </c>
      <c r="C20" s="657"/>
      <c r="D20" s="661" t="s">
        <v>400</v>
      </c>
      <c r="E20" s="661" t="s">
        <v>37818</v>
      </c>
      <c r="F20" s="662" t="s">
        <v>37819</v>
      </c>
      <c r="G20" s="661" t="s">
        <v>37820</v>
      </c>
      <c r="H20" s="674" t="s">
        <v>37762</v>
      </c>
      <c r="I20" s="666" t="s">
        <v>37821</v>
      </c>
      <c r="J20" s="667" t="s">
        <v>37822</v>
      </c>
      <c r="K20" s="117" t="str">
        <f>HYPERLINK("https://clinicaltrials.gov/ct2/show/NCT03343353","NCT03343353")</f>
        <v>NCT03343353</v>
      </c>
      <c r="L20" s="49"/>
      <c r="M20" s="35"/>
      <c r="N20" s="35"/>
      <c r="O20" s="35"/>
      <c r="P20" s="35"/>
      <c r="Q20" s="35"/>
      <c r="R20" s="35"/>
      <c r="S20" s="35"/>
      <c r="T20" s="35"/>
      <c r="U20" s="35"/>
      <c r="V20" s="35"/>
      <c r="W20" s="35"/>
      <c r="X20" s="35"/>
      <c r="Y20" s="35"/>
      <c r="Z20" s="35"/>
      <c r="AA20" s="35"/>
    </row>
    <row r="21">
      <c r="A21" s="660"/>
      <c r="B21" s="391" t="s">
        <v>37823</v>
      </c>
      <c r="C21" s="657"/>
      <c r="D21" s="661" t="s">
        <v>12068</v>
      </c>
      <c r="E21" s="661" t="s">
        <v>37824</v>
      </c>
      <c r="F21" s="662" t="s">
        <v>37825</v>
      </c>
      <c r="G21" s="661" t="s">
        <v>37826</v>
      </c>
      <c r="H21" s="663" t="s">
        <v>37721</v>
      </c>
      <c r="I21" s="666" t="s">
        <v>37827</v>
      </c>
      <c r="J21" s="667" t="s">
        <v>37828</v>
      </c>
      <c r="K21" s="117" t="str">
        <f>HYPERLINK("https://clinicaltrials.gov/ct2/show/NCT03580265","NCT03580265")</f>
        <v>NCT03580265</v>
      </c>
      <c r="L21" s="31" t="s">
        <v>2686</v>
      </c>
      <c r="M21" s="35"/>
      <c r="N21" s="35"/>
      <c r="O21" s="35"/>
      <c r="P21" s="35"/>
      <c r="Q21" s="35"/>
      <c r="R21" s="35"/>
      <c r="S21" s="35"/>
      <c r="T21" s="35"/>
      <c r="U21" s="35"/>
      <c r="V21" s="35"/>
      <c r="W21" s="35"/>
      <c r="X21" s="35"/>
      <c r="Y21" s="35"/>
      <c r="Z21" s="35"/>
      <c r="AA21" s="35"/>
    </row>
    <row r="22">
      <c r="A22" s="660"/>
      <c r="B22" s="391" t="s">
        <v>37829</v>
      </c>
      <c r="C22" s="657"/>
      <c r="D22" s="661" t="s">
        <v>2161</v>
      </c>
      <c r="E22" s="661" t="s">
        <v>37766</v>
      </c>
      <c r="F22" s="662" t="s">
        <v>37830</v>
      </c>
      <c r="G22" s="661" t="s">
        <v>37831</v>
      </c>
      <c r="H22" s="668" t="s">
        <v>37744</v>
      </c>
      <c r="I22" s="666" t="s">
        <v>37832</v>
      </c>
      <c r="J22" s="667" t="s">
        <v>37833</v>
      </c>
      <c r="K22" s="117" t="str">
        <f>HYPERLINK("https://clinicaltrials.gov/ct2/show/NCT03740152","NCT03740152")</f>
        <v>NCT03740152</v>
      </c>
      <c r="L22" s="49"/>
      <c r="M22" s="35"/>
      <c r="N22" s="35"/>
      <c r="O22" s="35"/>
      <c r="P22" s="35"/>
      <c r="Q22" s="35"/>
      <c r="R22" s="35"/>
      <c r="S22" s="35"/>
      <c r="T22" s="35"/>
      <c r="U22" s="35"/>
      <c r="V22" s="35"/>
      <c r="W22" s="35"/>
      <c r="X22" s="35"/>
      <c r="Y22" s="35"/>
      <c r="Z22" s="35"/>
      <c r="AA22" s="35"/>
    </row>
    <row r="23">
      <c r="A23" s="660"/>
      <c r="B23" s="391" t="s">
        <v>37834</v>
      </c>
      <c r="C23" s="657"/>
      <c r="D23" s="661" t="s">
        <v>4149</v>
      </c>
      <c r="E23" s="661" t="s">
        <v>37835</v>
      </c>
      <c r="F23" s="662" t="s">
        <v>37836</v>
      </c>
      <c r="G23" s="661" t="s">
        <v>37837</v>
      </c>
      <c r="H23" s="663" t="s">
        <v>37721</v>
      </c>
      <c r="I23" s="666" t="s">
        <v>37838</v>
      </c>
      <c r="J23" s="667" t="s">
        <v>37839</v>
      </c>
      <c r="K23" s="426" t="str">
        <f>HYPERLINK("https://clinicaltrials.gov/ct2/show/NCT03391271","NCT03391271")</f>
        <v>NCT03391271</v>
      </c>
      <c r="L23" s="49"/>
      <c r="M23" s="35"/>
      <c r="N23" s="35"/>
      <c r="O23" s="35"/>
      <c r="P23" s="35"/>
      <c r="Q23" s="35"/>
      <c r="R23" s="35"/>
      <c r="S23" s="35"/>
      <c r="T23" s="35"/>
      <c r="U23" s="35"/>
      <c r="V23" s="35"/>
      <c r="W23" s="35"/>
      <c r="X23" s="35"/>
      <c r="Y23" s="35"/>
      <c r="Z23" s="35"/>
      <c r="AA23" s="35"/>
    </row>
    <row r="24">
      <c r="A24" s="660"/>
      <c r="B24" s="391" t="s">
        <v>37840</v>
      </c>
      <c r="C24" s="657"/>
      <c r="D24" s="661" t="s">
        <v>400</v>
      </c>
      <c r="E24" s="661" t="s">
        <v>37841</v>
      </c>
      <c r="F24" s="662" t="s">
        <v>37842</v>
      </c>
      <c r="G24" s="661" t="s">
        <v>37843</v>
      </c>
      <c r="H24" s="674" t="s">
        <v>37762</v>
      </c>
      <c r="I24" s="666" t="s">
        <v>37844</v>
      </c>
      <c r="J24" s="667" t="s">
        <v>37845</v>
      </c>
      <c r="K24" s="117" t="str">
        <f>HYPERLINK("https://clinicaltrials.gov/ct2/show/NCT03498950","NCT03498950")</f>
        <v>NCT03498950</v>
      </c>
      <c r="L24" s="49"/>
      <c r="M24" s="35"/>
      <c r="N24" s="35"/>
      <c r="O24" s="35"/>
      <c r="P24" s="35"/>
      <c r="Q24" s="35"/>
      <c r="R24" s="35"/>
      <c r="S24" s="35"/>
      <c r="T24" s="35"/>
      <c r="U24" s="35"/>
      <c r="V24" s="35"/>
      <c r="W24" s="35"/>
      <c r="X24" s="35"/>
      <c r="Y24" s="35"/>
      <c r="Z24" s="35"/>
      <c r="AA24" s="35"/>
    </row>
    <row r="25">
      <c r="A25" s="660"/>
      <c r="B25" s="391" t="s">
        <v>37846</v>
      </c>
      <c r="C25" s="657"/>
      <c r="D25" s="661" t="s">
        <v>400</v>
      </c>
      <c r="E25" s="661" t="s">
        <v>37847</v>
      </c>
      <c r="F25" s="662" t="s">
        <v>37848</v>
      </c>
      <c r="G25" s="661" t="s">
        <v>37849</v>
      </c>
      <c r="H25" s="674" t="s">
        <v>37762</v>
      </c>
      <c r="I25" s="666" t="s">
        <v>37850</v>
      </c>
      <c r="J25" s="667" t="s">
        <v>37851</v>
      </c>
      <c r="K25" s="117" t="str">
        <f>HYPERLINK("https://clinicaltrials.gov/ct2/show/NCT03250715","NCT03250715")</f>
        <v>NCT03250715</v>
      </c>
      <c r="L25" s="49"/>
      <c r="M25" s="35"/>
      <c r="N25" s="35"/>
      <c r="O25" s="35"/>
      <c r="P25" s="35"/>
      <c r="Q25" s="35"/>
      <c r="R25" s="35"/>
      <c r="S25" s="35"/>
      <c r="T25" s="35"/>
      <c r="U25" s="35"/>
      <c r="V25" s="35"/>
      <c r="W25" s="35"/>
      <c r="X25" s="35"/>
      <c r="Y25" s="35"/>
      <c r="Z25" s="35"/>
      <c r="AA25" s="35"/>
    </row>
    <row r="26">
      <c r="A26" s="660"/>
      <c r="B26" s="391" t="s">
        <v>37852</v>
      </c>
      <c r="C26" s="657"/>
      <c r="D26" s="661" t="s">
        <v>7954</v>
      </c>
      <c r="E26" s="661" t="s">
        <v>37853</v>
      </c>
      <c r="F26" s="662" t="s">
        <v>37854</v>
      </c>
      <c r="G26" s="661" t="s">
        <v>37837</v>
      </c>
      <c r="H26" s="663" t="s">
        <v>37721</v>
      </c>
      <c r="I26" s="666" t="s">
        <v>37855</v>
      </c>
      <c r="J26" s="667" t="s">
        <v>37856</v>
      </c>
      <c r="K26" s="426" t="str">
        <f>HYPERLINK("https://clinicaltrials.gov/ct2/show/NCT04300205","NCT04300205")</f>
        <v>NCT04300205</v>
      </c>
      <c r="L26" s="49"/>
      <c r="M26" s="35"/>
      <c r="N26" s="35"/>
      <c r="O26" s="35"/>
      <c r="P26" s="35"/>
      <c r="Q26" s="35"/>
      <c r="R26" s="35"/>
      <c r="S26" s="35"/>
      <c r="T26" s="35"/>
      <c r="U26" s="35"/>
      <c r="V26" s="35"/>
      <c r="W26" s="35"/>
      <c r="X26" s="35"/>
      <c r="Y26" s="35"/>
      <c r="Z26" s="35"/>
      <c r="AA26" s="35"/>
    </row>
    <row r="27">
      <c r="A27" s="679" t="s">
        <v>37857</v>
      </c>
      <c r="B27" s="391" t="s">
        <v>37858</v>
      </c>
      <c r="C27" s="657"/>
      <c r="D27" s="661" t="s">
        <v>2161</v>
      </c>
      <c r="E27" s="661" t="s">
        <v>37859</v>
      </c>
      <c r="F27" s="662" t="s">
        <v>37860</v>
      </c>
      <c r="G27" s="661" t="s">
        <v>37861</v>
      </c>
      <c r="H27" s="674" t="s">
        <v>37762</v>
      </c>
      <c r="I27" s="666" t="s">
        <v>37862</v>
      </c>
      <c r="J27" s="667" t="s">
        <v>37863</v>
      </c>
      <c r="K27" s="117" t="str">
        <f>HYPERLINK("https://clinicaltrials.gov/ct2/show/NCT02964000","NCT02964000")</f>
        <v>NCT02964000</v>
      </c>
      <c r="L27" s="49"/>
      <c r="M27" s="35"/>
      <c r="N27" s="35"/>
      <c r="O27" s="35"/>
      <c r="P27" s="35"/>
      <c r="Q27" s="35"/>
      <c r="R27" s="35"/>
      <c r="S27" s="35"/>
      <c r="T27" s="35"/>
      <c r="U27" s="35"/>
      <c r="V27" s="35"/>
      <c r="W27" s="35"/>
      <c r="X27" s="35"/>
      <c r="Y27" s="35"/>
      <c r="Z27" s="35"/>
      <c r="AA27" s="35"/>
    </row>
    <row r="28">
      <c r="A28" s="660"/>
      <c r="B28" s="391" t="s">
        <v>37864</v>
      </c>
      <c r="C28" s="657"/>
      <c r="D28" s="661" t="s">
        <v>400</v>
      </c>
      <c r="E28" s="661" t="s">
        <v>37847</v>
      </c>
      <c r="F28" s="662" t="s">
        <v>37865</v>
      </c>
      <c r="G28" s="661" t="s">
        <v>37866</v>
      </c>
      <c r="H28" s="668" t="s">
        <v>37744</v>
      </c>
      <c r="I28" s="666" t="s">
        <v>37867</v>
      </c>
      <c r="J28" s="667" t="s">
        <v>37868</v>
      </c>
      <c r="K28" s="117" t="str">
        <f>HYPERLINK("https://clinicaltrials.gov/ct2/show/NCT03252184","NCT03252184")</f>
        <v>NCT03252184</v>
      </c>
      <c r="L28" s="49"/>
      <c r="M28" s="35"/>
      <c r="N28" s="35"/>
      <c r="O28" s="35"/>
      <c r="P28" s="35"/>
      <c r="Q28" s="35"/>
      <c r="R28" s="35"/>
      <c r="S28" s="35"/>
      <c r="T28" s="35"/>
      <c r="U28" s="35"/>
      <c r="V28" s="35"/>
      <c r="W28" s="35"/>
      <c r="X28" s="35"/>
      <c r="Y28" s="35"/>
      <c r="Z28" s="35"/>
      <c r="AA28" s="35"/>
    </row>
    <row r="29">
      <c r="A29" s="660"/>
      <c r="B29" s="391" t="s">
        <v>37864</v>
      </c>
      <c r="C29" s="657"/>
      <c r="D29" s="661" t="s">
        <v>2161</v>
      </c>
      <c r="E29" s="661" t="s">
        <v>37869</v>
      </c>
      <c r="F29" s="662" t="s">
        <v>37870</v>
      </c>
      <c r="G29" s="661" t="s">
        <v>37797</v>
      </c>
      <c r="H29" s="663" t="s">
        <v>37721</v>
      </c>
      <c r="I29" s="666" t="s">
        <v>37871</v>
      </c>
      <c r="J29" s="667" t="s">
        <v>37872</v>
      </c>
      <c r="K29" s="117" t="str">
        <f>HYPERLINK("https://clinicaltrials.gov/ct2/show/NCT04006158","NCT04006158")</f>
        <v>NCT04006158</v>
      </c>
      <c r="L29" s="49"/>
      <c r="M29" s="35"/>
      <c r="N29" s="35"/>
      <c r="O29" s="35"/>
      <c r="P29" s="35"/>
      <c r="Q29" s="35"/>
      <c r="R29" s="35"/>
      <c r="S29" s="35"/>
      <c r="T29" s="35"/>
      <c r="U29" s="35"/>
      <c r="V29" s="35"/>
      <c r="W29" s="35"/>
      <c r="X29" s="35"/>
      <c r="Y29" s="35"/>
      <c r="Z29" s="35"/>
      <c r="AA29" s="35"/>
    </row>
    <row r="30">
      <c r="A30" s="660"/>
      <c r="B30" s="669" t="s">
        <v>17694</v>
      </c>
      <c r="C30" s="657"/>
      <c r="D30" s="669" t="s">
        <v>400</v>
      </c>
      <c r="E30" s="661" t="s">
        <v>37873</v>
      </c>
      <c r="F30" s="670" t="s">
        <v>37874</v>
      </c>
      <c r="G30" s="669" t="s">
        <v>37875</v>
      </c>
      <c r="H30" s="678" t="s">
        <v>37780</v>
      </c>
      <c r="I30" s="666" t="s">
        <v>37876</v>
      </c>
      <c r="J30" s="667" t="s">
        <v>37877</v>
      </c>
      <c r="K30" s="123" t="str">
        <f>HYPERLINK("https://clinicaltrials.gov/ct2/show/NCT03751306","NCT03751306")</f>
        <v>NCT03751306</v>
      </c>
      <c r="L30" s="671"/>
      <c r="M30" s="672" t="s">
        <v>37752</v>
      </c>
      <c r="N30" s="35"/>
      <c r="O30" s="35"/>
      <c r="P30" s="35"/>
      <c r="Q30" s="35"/>
      <c r="R30" s="35"/>
      <c r="S30" s="35"/>
      <c r="T30" s="35"/>
      <c r="U30" s="35"/>
      <c r="V30" s="35"/>
      <c r="W30" s="35"/>
      <c r="X30" s="35"/>
      <c r="Y30" s="35"/>
      <c r="Z30" s="35"/>
      <c r="AA30" s="35"/>
    </row>
    <row r="31">
      <c r="A31" s="660"/>
      <c r="B31" s="391" t="s">
        <v>37878</v>
      </c>
      <c r="C31" s="657"/>
      <c r="D31" s="661" t="s">
        <v>2161</v>
      </c>
      <c r="E31" s="661" t="s">
        <v>37879</v>
      </c>
      <c r="F31" s="662" t="s">
        <v>37880</v>
      </c>
      <c r="G31" s="661" t="s">
        <v>37881</v>
      </c>
      <c r="H31" s="668" t="s">
        <v>37744</v>
      </c>
      <c r="I31" s="666" t="s">
        <v>37882</v>
      </c>
      <c r="J31" s="667" t="s">
        <v>37883</v>
      </c>
      <c r="K31" s="117" t="str">
        <f>HYPERLINK("https://clinicaltrials.gov/ct2/show/NCT01782378","NCT01782378")</f>
        <v>NCT01782378</v>
      </c>
      <c r="L31" s="49"/>
      <c r="M31" s="35"/>
      <c r="N31" s="35"/>
      <c r="O31" s="35"/>
      <c r="P31" s="35"/>
      <c r="Q31" s="35"/>
      <c r="R31" s="35"/>
      <c r="S31" s="35"/>
      <c r="T31" s="35"/>
      <c r="U31" s="35"/>
      <c r="V31" s="35"/>
      <c r="W31" s="35"/>
      <c r="X31" s="35"/>
      <c r="Y31" s="35"/>
      <c r="Z31" s="35"/>
      <c r="AA31" s="35"/>
    </row>
    <row r="32">
      <c r="A32" s="660"/>
      <c r="B32" s="391" t="s">
        <v>37884</v>
      </c>
      <c r="C32" s="657"/>
      <c r="D32" s="661" t="s">
        <v>2161</v>
      </c>
      <c r="E32" s="661" t="s">
        <v>37885</v>
      </c>
      <c r="F32" s="662" t="s">
        <v>37886</v>
      </c>
      <c r="G32" s="661" t="s">
        <v>37887</v>
      </c>
      <c r="H32" s="678" t="s">
        <v>37780</v>
      </c>
      <c r="I32" s="666" t="s">
        <v>37888</v>
      </c>
      <c r="J32" s="667" t="s">
        <v>37889</v>
      </c>
      <c r="K32" s="117" t="str">
        <f>HYPERLINK("https://clinicaltrials.gov/ct2/show/NCT04018092","NCT04018092")</f>
        <v>NCT04018092</v>
      </c>
      <c r="L32" s="49"/>
      <c r="M32" s="35"/>
      <c r="N32" s="35"/>
      <c r="O32" s="35"/>
      <c r="P32" s="35"/>
      <c r="Q32" s="35"/>
      <c r="R32" s="35"/>
      <c r="S32" s="35"/>
      <c r="T32" s="35"/>
      <c r="U32" s="35"/>
      <c r="V32" s="35"/>
      <c r="W32" s="35"/>
      <c r="X32" s="35"/>
      <c r="Y32" s="35"/>
      <c r="Z32" s="35"/>
      <c r="AA32" s="35"/>
    </row>
    <row r="33">
      <c r="A33" s="660"/>
      <c r="B33" s="391" t="s">
        <v>3152</v>
      </c>
      <c r="C33" s="657"/>
      <c r="D33" s="661" t="s">
        <v>2161</v>
      </c>
      <c r="E33" s="661" t="s">
        <v>37766</v>
      </c>
      <c r="F33" s="662" t="s">
        <v>37890</v>
      </c>
      <c r="G33" s="661" t="s">
        <v>37837</v>
      </c>
      <c r="H33" s="663" t="s">
        <v>37721</v>
      </c>
      <c r="I33" s="666" t="s">
        <v>37891</v>
      </c>
      <c r="J33" s="667" t="s">
        <v>37892</v>
      </c>
      <c r="K33" s="117" t="str">
        <f>HYPERLINK("https://clinicaltrials.gov/ct2/show/NCT02817061","NCT02817061")</f>
        <v>NCT02817061</v>
      </c>
      <c r="L33" s="49"/>
      <c r="M33" s="35"/>
      <c r="N33" s="35"/>
      <c r="O33" s="35"/>
      <c r="P33" s="35"/>
      <c r="Q33" s="35"/>
      <c r="R33" s="35"/>
      <c r="S33" s="35"/>
      <c r="T33" s="35"/>
      <c r="U33" s="35"/>
      <c r="V33" s="35"/>
      <c r="W33" s="35"/>
      <c r="X33" s="35"/>
      <c r="Y33" s="35"/>
      <c r="Z33" s="35"/>
      <c r="AA33" s="35"/>
    </row>
    <row r="34">
      <c r="A34" s="660"/>
      <c r="B34" s="391" t="s">
        <v>3152</v>
      </c>
      <c r="C34" s="657"/>
      <c r="D34" s="661" t="s">
        <v>2161</v>
      </c>
      <c r="E34" s="661" t="s">
        <v>37893</v>
      </c>
      <c r="F34" s="662" t="s">
        <v>37894</v>
      </c>
      <c r="G34" s="661" t="s">
        <v>37895</v>
      </c>
      <c r="H34" s="663" t="s">
        <v>37721</v>
      </c>
      <c r="I34" s="666" t="s">
        <v>37896</v>
      </c>
      <c r="J34" s="667" t="s">
        <v>37897</v>
      </c>
      <c r="K34" s="117" t="str">
        <f>HYPERLINK("https://clinicaltrials.gov/ct2/show/NCT02851173","NCT02851173")</f>
        <v>NCT02851173</v>
      </c>
      <c r="L34" s="49"/>
      <c r="M34" s="35"/>
      <c r="N34" s="35"/>
      <c r="O34" s="35"/>
      <c r="P34" s="35"/>
      <c r="Q34" s="35"/>
      <c r="R34" s="35"/>
      <c r="S34" s="35"/>
      <c r="T34" s="35"/>
      <c r="U34" s="35"/>
      <c r="V34" s="35"/>
      <c r="W34" s="35"/>
      <c r="X34" s="35"/>
      <c r="Y34" s="35"/>
      <c r="Z34" s="35"/>
      <c r="AA34" s="35"/>
    </row>
    <row r="35">
      <c r="A35" s="660"/>
      <c r="B35" s="391" t="s">
        <v>3152</v>
      </c>
      <c r="C35" s="657"/>
      <c r="D35" s="661" t="s">
        <v>6828</v>
      </c>
      <c r="E35" s="661" t="s">
        <v>37898</v>
      </c>
      <c r="F35" s="662" t="s">
        <v>37899</v>
      </c>
      <c r="G35" s="661" t="s">
        <v>37887</v>
      </c>
      <c r="H35" s="678" t="s">
        <v>37780</v>
      </c>
      <c r="I35" s="664" t="s">
        <v>37900</v>
      </c>
      <c r="J35" s="665" t="s">
        <v>37901</v>
      </c>
      <c r="K35" s="117" t="str">
        <f>HYPERLINK("https://clinicaltrials.gov/ct2/show/NCT03192670","NCT03192670")</f>
        <v>NCT03192670</v>
      </c>
      <c r="L35" s="49"/>
      <c r="M35" s="35"/>
      <c r="N35" s="35"/>
      <c r="O35" s="35"/>
      <c r="P35" s="35"/>
      <c r="Q35" s="35"/>
      <c r="R35" s="35"/>
      <c r="S35" s="35"/>
      <c r="T35" s="35"/>
      <c r="U35" s="35"/>
      <c r="V35" s="35"/>
      <c r="W35" s="35"/>
      <c r="X35" s="35"/>
      <c r="Y35" s="35"/>
      <c r="Z35" s="35"/>
      <c r="AA35" s="35"/>
    </row>
    <row r="36">
      <c r="A36" s="660"/>
      <c r="B36" s="669" t="s">
        <v>37902</v>
      </c>
      <c r="C36" s="657"/>
      <c r="D36" s="669" t="s">
        <v>7954</v>
      </c>
      <c r="E36" s="661" t="s">
        <v>37903</v>
      </c>
      <c r="F36" s="673" t="s">
        <v>37904</v>
      </c>
      <c r="G36" s="669" t="s">
        <v>37905</v>
      </c>
      <c r="H36" s="678" t="s">
        <v>37780</v>
      </c>
      <c r="I36" s="664" t="s">
        <v>37906</v>
      </c>
      <c r="J36" s="665" t="s">
        <v>37907</v>
      </c>
      <c r="K36" s="123" t="str">
        <f>HYPERLINK("https://clinicaltrials.gov/ct2/show/NCT03819062","NCT03819062")</f>
        <v>NCT03819062</v>
      </c>
      <c r="L36" s="671"/>
      <c r="M36" s="672" t="s">
        <v>37752</v>
      </c>
      <c r="N36" s="35"/>
      <c r="O36" s="35"/>
      <c r="P36" s="35"/>
      <c r="Q36" s="35"/>
      <c r="R36" s="35"/>
      <c r="S36" s="35"/>
      <c r="T36" s="35"/>
      <c r="U36" s="35"/>
      <c r="V36" s="35"/>
      <c r="W36" s="35"/>
      <c r="X36" s="35"/>
      <c r="Y36" s="35"/>
      <c r="Z36" s="35"/>
      <c r="AA36" s="35"/>
    </row>
    <row r="37">
      <c r="A37" s="660"/>
      <c r="B37" s="661" t="s">
        <v>31054</v>
      </c>
      <c r="C37" s="657"/>
      <c r="D37" s="661" t="s">
        <v>400</v>
      </c>
      <c r="E37" s="661" t="s">
        <v>37772</v>
      </c>
      <c r="F37" s="680" t="s">
        <v>37908</v>
      </c>
      <c r="G37" s="661" t="s">
        <v>37909</v>
      </c>
      <c r="H37" s="678" t="s">
        <v>37780</v>
      </c>
      <c r="I37" s="664" t="s">
        <v>37910</v>
      </c>
      <c r="J37" s="665" t="s">
        <v>37911</v>
      </c>
      <c r="K37" s="426" t="str">
        <f>HYPERLINK("https://clinicaltrials.gov/ct2/show/NCT04010084","NCT04010084")</f>
        <v>NCT04010084</v>
      </c>
      <c r="L37" s="671"/>
      <c r="M37" s="672"/>
      <c r="N37" s="35"/>
      <c r="O37" s="35"/>
      <c r="P37" s="35"/>
      <c r="Q37" s="35"/>
      <c r="R37" s="35"/>
      <c r="S37" s="35"/>
      <c r="T37" s="35"/>
      <c r="U37" s="35"/>
      <c r="V37" s="35"/>
      <c r="W37" s="35"/>
      <c r="X37" s="35"/>
      <c r="Y37" s="35"/>
      <c r="Z37" s="35"/>
      <c r="AA37" s="35"/>
    </row>
    <row r="38">
      <c r="A38" s="660"/>
      <c r="B38" s="661" t="s">
        <v>12517</v>
      </c>
      <c r="C38" s="657"/>
      <c r="D38" s="661" t="s">
        <v>7954</v>
      </c>
      <c r="E38" s="661" t="s">
        <v>37741</v>
      </c>
      <c r="F38" s="680" t="s">
        <v>37912</v>
      </c>
      <c r="G38" s="661" t="s">
        <v>37913</v>
      </c>
      <c r="H38" s="678" t="s">
        <v>37780</v>
      </c>
      <c r="I38" s="664" t="s">
        <v>37914</v>
      </c>
      <c r="J38" s="665" t="s">
        <v>37915</v>
      </c>
      <c r="K38" s="426" t="s">
        <v>37916</v>
      </c>
      <c r="L38" s="671"/>
      <c r="M38" s="672"/>
      <c r="N38" s="35"/>
      <c r="O38" s="35"/>
      <c r="P38" s="35"/>
      <c r="Q38" s="35"/>
      <c r="R38" s="35"/>
      <c r="S38" s="35"/>
      <c r="T38" s="35"/>
      <c r="U38" s="35"/>
      <c r="V38" s="35"/>
      <c r="W38" s="35"/>
      <c r="X38" s="35"/>
      <c r="Y38" s="35"/>
      <c r="Z38" s="35"/>
      <c r="AA38" s="35"/>
    </row>
    <row r="39">
      <c r="A39" s="660"/>
      <c r="B39" s="661" t="s">
        <v>12517</v>
      </c>
      <c r="C39" s="657"/>
      <c r="D39" s="661" t="s">
        <v>2161</v>
      </c>
      <c r="E39" s="661" t="s">
        <v>37917</v>
      </c>
      <c r="F39" s="680" t="s">
        <v>37918</v>
      </c>
      <c r="G39" s="661" t="s">
        <v>37919</v>
      </c>
      <c r="H39" s="663" t="s">
        <v>37721</v>
      </c>
      <c r="I39" s="664" t="s">
        <v>37920</v>
      </c>
      <c r="J39" s="665" t="s">
        <v>37921</v>
      </c>
      <c r="K39" s="426" t="s">
        <v>37922</v>
      </c>
      <c r="L39" s="671"/>
      <c r="M39" s="672"/>
      <c r="N39" s="35"/>
      <c r="O39" s="35"/>
      <c r="P39" s="35"/>
      <c r="Q39" s="35"/>
      <c r="R39" s="35"/>
      <c r="S39" s="35"/>
      <c r="T39" s="35"/>
      <c r="U39" s="35"/>
      <c r="V39" s="35"/>
      <c r="W39" s="35"/>
      <c r="X39" s="35"/>
      <c r="Y39" s="35"/>
      <c r="Z39" s="35"/>
      <c r="AA39" s="35"/>
    </row>
    <row r="40">
      <c r="A40" s="660"/>
      <c r="B40" s="661" t="s">
        <v>12517</v>
      </c>
      <c r="C40" s="657"/>
      <c r="D40" s="661" t="s">
        <v>400</v>
      </c>
      <c r="E40" s="661" t="s">
        <v>37923</v>
      </c>
      <c r="F40" s="680" t="s">
        <v>37924</v>
      </c>
      <c r="G40" s="661" t="s">
        <v>37925</v>
      </c>
      <c r="H40" s="678" t="s">
        <v>37780</v>
      </c>
      <c r="I40" s="664" t="s">
        <v>37926</v>
      </c>
      <c r="J40" s="665" t="s">
        <v>37927</v>
      </c>
      <c r="K40" s="426" t="s">
        <v>37928</v>
      </c>
      <c r="L40" s="671"/>
      <c r="M40" s="672"/>
      <c r="N40" s="35"/>
      <c r="O40" s="35"/>
      <c r="P40" s="35"/>
      <c r="Q40" s="35"/>
      <c r="R40" s="35"/>
      <c r="S40" s="35"/>
      <c r="T40" s="35"/>
      <c r="U40" s="35"/>
      <c r="V40" s="35"/>
      <c r="W40" s="35"/>
      <c r="X40" s="35"/>
      <c r="Y40" s="35"/>
      <c r="Z40" s="35"/>
      <c r="AA40" s="35"/>
    </row>
    <row r="41">
      <c r="A41" s="660"/>
      <c r="B41" s="391" t="s">
        <v>3290</v>
      </c>
      <c r="C41" s="657"/>
      <c r="D41" s="661" t="s">
        <v>2161</v>
      </c>
      <c r="E41" s="661" t="s">
        <v>37929</v>
      </c>
      <c r="F41" s="662" t="s">
        <v>37930</v>
      </c>
      <c r="G41" s="661" t="s">
        <v>37931</v>
      </c>
      <c r="H41" s="678" t="s">
        <v>37780</v>
      </c>
      <c r="I41" s="664" t="s">
        <v>37932</v>
      </c>
      <c r="J41" s="665" t="s">
        <v>37933</v>
      </c>
      <c r="K41" s="426" t="s">
        <v>37934</v>
      </c>
      <c r="L41" s="49"/>
      <c r="M41" s="35"/>
      <c r="N41" s="35"/>
      <c r="O41" s="35"/>
      <c r="P41" s="35"/>
      <c r="Q41" s="35"/>
      <c r="R41" s="35"/>
      <c r="S41" s="35"/>
      <c r="T41" s="35"/>
      <c r="U41" s="35"/>
      <c r="V41" s="35"/>
      <c r="W41" s="35"/>
      <c r="X41" s="35"/>
      <c r="Y41" s="35"/>
      <c r="Z41" s="35"/>
      <c r="AA41" s="35"/>
    </row>
    <row r="42">
      <c r="A42" s="660"/>
      <c r="B42" s="391" t="s">
        <v>3290</v>
      </c>
      <c r="C42" s="657"/>
      <c r="D42" s="661" t="s">
        <v>2161</v>
      </c>
      <c r="E42" s="661" t="s">
        <v>37935</v>
      </c>
      <c r="F42" s="662" t="s">
        <v>37936</v>
      </c>
      <c r="G42" s="661" t="s">
        <v>37937</v>
      </c>
      <c r="H42" s="678" t="s">
        <v>37780</v>
      </c>
      <c r="I42" s="664" t="s">
        <v>37938</v>
      </c>
      <c r="J42" s="665" t="s">
        <v>37939</v>
      </c>
      <c r="K42" s="426" t="s">
        <v>37940</v>
      </c>
      <c r="L42" s="49"/>
      <c r="M42" s="35"/>
      <c r="N42" s="35"/>
      <c r="O42" s="35"/>
      <c r="P42" s="35"/>
      <c r="Q42" s="35"/>
      <c r="R42" s="35"/>
      <c r="S42" s="35"/>
      <c r="T42" s="35"/>
      <c r="U42" s="35"/>
      <c r="V42" s="35"/>
      <c r="W42" s="35"/>
      <c r="X42" s="35"/>
      <c r="Y42" s="35"/>
      <c r="Z42" s="35"/>
      <c r="AA42" s="35"/>
    </row>
    <row r="43">
      <c r="A43" s="660"/>
      <c r="B43" s="391" t="s">
        <v>3290</v>
      </c>
      <c r="C43" s="657"/>
      <c r="D43" s="661" t="s">
        <v>2161</v>
      </c>
      <c r="E43" s="661" t="s">
        <v>37941</v>
      </c>
      <c r="F43" s="662" t="s">
        <v>37942</v>
      </c>
      <c r="G43" s="661" t="s">
        <v>37943</v>
      </c>
      <c r="H43" s="663" t="s">
        <v>37721</v>
      </c>
      <c r="I43" s="664" t="s">
        <v>37944</v>
      </c>
      <c r="J43" s="665" t="s">
        <v>37945</v>
      </c>
      <c r="K43" s="117" t="str">
        <f>HYPERLINK("https://clinicaltrials.gov/ct2/show/NCT02959307","NCT02959307")</f>
        <v>NCT02959307</v>
      </c>
      <c r="L43" s="49"/>
      <c r="M43" s="35"/>
      <c r="N43" s="35"/>
      <c r="O43" s="35"/>
      <c r="P43" s="35"/>
      <c r="Q43" s="35"/>
      <c r="R43" s="35"/>
      <c r="S43" s="35"/>
      <c r="T43" s="35"/>
      <c r="U43" s="35"/>
      <c r="V43" s="35"/>
      <c r="W43" s="35"/>
      <c r="X43" s="35"/>
      <c r="Y43" s="35"/>
      <c r="Z43" s="35"/>
      <c r="AA43" s="35"/>
    </row>
    <row r="44">
      <c r="A44" s="660"/>
      <c r="B44" s="391" t="s">
        <v>3290</v>
      </c>
      <c r="C44" s="657"/>
      <c r="D44" s="661" t="s">
        <v>2161</v>
      </c>
      <c r="E44" s="661" t="s">
        <v>37893</v>
      </c>
      <c r="F44" s="662" t="s">
        <v>37946</v>
      </c>
      <c r="G44" s="661" t="s">
        <v>37947</v>
      </c>
      <c r="H44" s="663" t="s">
        <v>37721</v>
      </c>
      <c r="I44" s="664" t="s">
        <v>37948</v>
      </c>
      <c r="J44" s="665" t="s">
        <v>37949</v>
      </c>
      <c r="K44" s="117" t="str">
        <f>HYPERLINK("https://clinicaltrials.gov/ct2/show/NCT02898233","NCT02898233")</f>
        <v>NCT02898233</v>
      </c>
      <c r="L44" s="49"/>
      <c r="M44" s="35"/>
      <c r="N44" s="35"/>
      <c r="O44" s="35"/>
      <c r="P44" s="35"/>
      <c r="Q44" s="35"/>
      <c r="R44" s="35"/>
      <c r="S44" s="35"/>
      <c r="T44" s="35"/>
      <c r="U44" s="35"/>
      <c r="V44" s="35"/>
      <c r="W44" s="35"/>
      <c r="X44" s="35"/>
      <c r="Y44" s="35"/>
      <c r="Z44" s="35"/>
      <c r="AA44" s="35"/>
    </row>
    <row r="45">
      <c r="A45" s="660"/>
      <c r="B45" s="391" t="s">
        <v>37950</v>
      </c>
      <c r="C45" s="657"/>
      <c r="D45" s="661" t="s">
        <v>400</v>
      </c>
      <c r="E45" s="661" t="s">
        <v>37951</v>
      </c>
      <c r="F45" s="662" t="s">
        <v>37952</v>
      </c>
      <c r="G45" s="661" t="s">
        <v>37953</v>
      </c>
      <c r="H45" s="678" t="s">
        <v>37780</v>
      </c>
      <c r="I45" s="664" t="s">
        <v>37954</v>
      </c>
      <c r="J45" s="665" t="s">
        <v>37955</v>
      </c>
      <c r="K45" s="117" t="str">
        <f>HYPERLINK("https://clinicaltrials.gov/ct2/show/NCT03369834","NCT03369834")</f>
        <v>NCT03369834</v>
      </c>
      <c r="L45" s="49"/>
      <c r="M45" s="35"/>
      <c r="N45" s="35"/>
      <c r="O45" s="35"/>
      <c r="P45" s="35"/>
      <c r="Q45" s="35"/>
      <c r="R45" s="35"/>
      <c r="S45" s="35"/>
      <c r="T45" s="35"/>
      <c r="U45" s="35"/>
      <c r="V45" s="35"/>
      <c r="W45" s="35"/>
      <c r="X45" s="35"/>
      <c r="Y45" s="35"/>
      <c r="Z45" s="35"/>
      <c r="AA45" s="35"/>
    </row>
    <row r="46">
      <c r="A46" s="660"/>
      <c r="B46" s="391" t="s">
        <v>37956</v>
      </c>
      <c r="C46" s="657"/>
      <c r="D46" s="661" t="s">
        <v>400</v>
      </c>
      <c r="E46" s="661" t="s">
        <v>37772</v>
      </c>
      <c r="F46" s="662" t="s">
        <v>37957</v>
      </c>
      <c r="G46" s="661" t="s">
        <v>37826</v>
      </c>
      <c r="H46" s="678" t="s">
        <v>37780</v>
      </c>
      <c r="I46" s="666" t="s">
        <v>37958</v>
      </c>
      <c r="J46" s="667" t="s">
        <v>37959</v>
      </c>
      <c r="K46" s="117" t="str">
        <f>HYPERLINK("https://clinicaltrials.gov/ct2/show/NCT02883751","NCT02883751")</f>
        <v>NCT02883751</v>
      </c>
      <c r="L46" s="49"/>
      <c r="M46" s="35"/>
      <c r="N46" s="35"/>
      <c r="O46" s="35"/>
      <c r="P46" s="35"/>
      <c r="Q46" s="35"/>
      <c r="R46" s="35"/>
      <c r="S46" s="35"/>
      <c r="T46" s="35"/>
      <c r="U46" s="35"/>
      <c r="V46" s="35"/>
      <c r="W46" s="35"/>
      <c r="X46" s="35"/>
      <c r="Y46" s="35"/>
      <c r="Z46" s="35"/>
      <c r="AA46" s="35"/>
    </row>
    <row r="47">
      <c r="A47" s="660"/>
      <c r="B47" s="391" t="s">
        <v>35147</v>
      </c>
      <c r="C47" s="657"/>
      <c r="D47" s="661" t="s">
        <v>3414</v>
      </c>
      <c r="E47" s="661" t="s">
        <v>37960</v>
      </c>
      <c r="F47" s="662" t="s">
        <v>37961</v>
      </c>
      <c r="G47" s="661" t="s">
        <v>37962</v>
      </c>
      <c r="H47" s="663" t="s">
        <v>37721</v>
      </c>
      <c r="I47" s="666" t="s">
        <v>37963</v>
      </c>
      <c r="J47" s="667" t="s">
        <v>37964</v>
      </c>
      <c r="K47" s="426" t="s">
        <v>37965</v>
      </c>
      <c r="L47" s="49"/>
      <c r="M47" s="35"/>
      <c r="N47" s="35"/>
      <c r="O47" s="35"/>
      <c r="P47" s="35"/>
      <c r="Q47" s="35"/>
      <c r="R47" s="35"/>
      <c r="S47" s="35"/>
      <c r="T47" s="35"/>
      <c r="U47" s="35"/>
      <c r="V47" s="35"/>
      <c r="W47" s="35"/>
      <c r="X47" s="35"/>
      <c r="Y47" s="35"/>
      <c r="Z47" s="35"/>
      <c r="AA47" s="35"/>
    </row>
    <row r="48">
      <c r="A48" s="660"/>
      <c r="B48" s="391" t="s">
        <v>35147</v>
      </c>
      <c r="C48" s="657"/>
      <c r="D48" s="661" t="s">
        <v>1310</v>
      </c>
      <c r="E48" s="661" t="s">
        <v>37966</v>
      </c>
      <c r="F48" s="662" t="s">
        <v>37967</v>
      </c>
      <c r="G48" s="661" t="s">
        <v>37968</v>
      </c>
      <c r="H48" s="678" t="s">
        <v>37780</v>
      </c>
      <c r="I48" s="666" t="s">
        <v>37969</v>
      </c>
      <c r="J48" s="667" t="s">
        <v>37970</v>
      </c>
      <c r="K48" s="117" t="str">
        <f>HYPERLINK("https://clinicaltrials.gov/ct2/show/NCT03687320","NCT03687320")</f>
        <v>NCT03687320</v>
      </c>
      <c r="L48" s="49"/>
      <c r="M48" s="35"/>
      <c r="N48" s="35"/>
      <c r="O48" s="35"/>
      <c r="P48" s="35"/>
      <c r="Q48" s="35"/>
      <c r="R48" s="35"/>
      <c r="S48" s="35"/>
      <c r="T48" s="35"/>
      <c r="U48" s="35"/>
      <c r="V48" s="35"/>
      <c r="W48" s="35"/>
      <c r="X48" s="35"/>
      <c r="Y48" s="35"/>
      <c r="Z48" s="35"/>
      <c r="AA48" s="35"/>
    </row>
    <row r="49">
      <c r="A49" s="660"/>
      <c r="B49" s="391" t="s">
        <v>35147</v>
      </c>
      <c r="C49" s="657"/>
      <c r="D49" s="661" t="s">
        <v>7954</v>
      </c>
      <c r="E49" s="661" t="s">
        <v>37971</v>
      </c>
      <c r="F49" s="662" t="s">
        <v>37972</v>
      </c>
      <c r="G49" s="661" t="s">
        <v>37968</v>
      </c>
      <c r="H49" s="678" t="s">
        <v>37780</v>
      </c>
      <c r="I49" s="666" t="s">
        <v>37973</v>
      </c>
      <c r="J49" s="667" t="s">
        <v>37974</v>
      </c>
      <c r="K49" s="117" t="str">
        <f>HYPERLINK("https://clinicaltrials.gov/ct2/show/NCT03687580","NCT03687580")</f>
        <v>NCT03687580</v>
      </c>
      <c r="L49" s="49"/>
      <c r="M49" s="35"/>
      <c r="N49" s="35"/>
      <c r="O49" s="35"/>
      <c r="P49" s="35"/>
      <c r="Q49" s="35"/>
      <c r="R49" s="35"/>
      <c r="S49" s="35"/>
      <c r="T49" s="35"/>
      <c r="U49" s="35"/>
      <c r="V49" s="35"/>
      <c r="W49" s="35"/>
      <c r="X49" s="35"/>
      <c r="Y49" s="35"/>
      <c r="Z49" s="35"/>
      <c r="AA49" s="35"/>
    </row>
    <row r="50">
      <c r="A50" s="660"/>
      <c r="B50" s="391" t="s">
        <v>35147</v>
      </c>
      <c r="C50" s="657"/>
      <c r="D50" s="661" t="s">
        <v>400</v>
      </c>
      <c r="E50" s="661" t="s">
        <v>37818</v>
      </c>
      <c r="F50" s="662" t="s">
        <v>37975</v>
      </c>
      <c r="G50" s="661" t="s">
        <v>37976</v>
      </c>
      <c r="H50" s="678" t="s">
        <v>37780</v>
      </c>
      <c r="I50" s="666" t="s">
        <v>37977</v>
      </c>
      <c r="J50" s="667" t="s">
        <v>37978</v>
      </c>
      <c r="K50" s="117" t="str">
        <f>HYPERLINK("https://clinicaltrials.gov/ct2/show/NCT03250533","NCT03250533")</f>
        <v>NCT03250533</v>
      </c>
      <c r="L50" s="49"/>
      <c r="M50" s="35"/>
      <c r="N50" s="35"/>
      <c r="O50" s="35"/>
      <c r="P50" s="35"/>
      <c r="Q50" s="35"/>
      <c r="R50" s="35"/>
      <c r="S50" s="35"/>
      <c r="T50" s="35"/>
      <c r="U50" s="35"/>
      <c r="V50" s="35"/>
      <c r="W50" s="35"/>
      <c r="X50" s="35"/>
      <c r="Y50" s="35"/>
      <c r="Z50" s="35"/>
      <c r="AA50" s="35"/>
    </row>
    <row r="51">
      <c r="A51" s="660"/>
      <c r="B51" s="391" t="s">
        <v>35147</v>
      </c>
      <c r="C51" s="657"/>
      <c r="D51" s="661" t="s">
        <v>1310</v>
      </c>
      <c r="E51" s="661" t="s">
        <v>37979</v>
      </c>
      <c r="F51" s="662" t="s">
        <v>37980</v>
      </c>
      <c r="G51" s="661" t="s">
        <v>37981</v>
      </c>
      <c r="H51" s="663" t="s">
        <v>37721</v>
      </c>
      <c r="I51" s="666" t="s">
        <v>37982</v>
      </c>
      <c r="J51" s="667" t="s">
        <v>37983</v>
      </c>
      <c r="K51" s="117" t="str">
        <f>HYPERLINK("https://clinicaltrials.gov/ct2/show/NCT03204149","NCT03204149")</f>
        <v>NCT03204149</v>
      </c>
      <c r="L51" s="49"/>
      <c r="M51" s="35"/>
      <c r="N51" s="35"/>
      <c r="O51" s="35"/>
      <c r="P51" s="35"/>
      <c r="Q51" s="35"/>
      <c r="R51" s="35"/>
      <c r="S51" s="35"/>
      <c r="T51" s="35"/>
      <c r="U51" s="35"/>
      <c r="V51" s="35"/>
      <c r="W51" s="35"/>
      <c r="X51" s="35"/>
      <c r="Y51" s="35"/>
      <c r="Z51" s="35"/>
      <c r="AA51" s="35"/>
    </row>
    <row r="52">
      <c r="A52" s="660"/>
      <c r="B52" s="669" t="s">
        <v>35147</v>
      </c>
      <c r="C52" s="657"/>
      <c r="D52" s="669" t="s">
        <v>32421</v>
      </c>
      <c r="E52" s="661" t="s">
        <v>37984</v>
      </c>
      <c r="F52" s="670" t="s">
        <v>37985</v>
      </c>
      <c r="G52" s="669" t="s">
        <v>37895</v>
      </c>
      <c r="H52" s="663" t="s">
        <v>37721</v>
      </c>
      <c r="I52" s="666" t="s">
        <v>37986</v>
      </c>
      <c r="J52" s="667" t="s">
        <v>37987</v>
      </c>
      <c r="K52" s="123" t="str">
        <f>HYPERLINK("https://clinicaltrials.gov/ct2/show/NCT03788642","NCT03788642")</f>
        <v>NCT03788642</v>
      </c>
      <c r="L52" s="671"/>
      <c r="M52" s="672" t="s">
        <v>37752</v>
      </c>
      <c r="N52" s="35"/>
      <c r="O52" s="35"/>
      <c r="P52" s="35"/>
      <c r="Q52" s="35"/>
      <c r="R52" s="35"/>
      <c r="S52" s="35"/>
      <c r="T52" s="35"/>
      <c r="U52" s="35"/>
      <c r="V52" s="35"/>
      <c r="W52" s="35"/>
      <c r="X52" s="35"/>
      <c r="Y52" s="35"/>
      <c r="Z52" s="35"/>
      <c r="AA52" s="35"/>
    </row>
    <row r="53">
      <c r="A53" s="660"/>
      <c r="B53" s="669" t="s">
        <v>30261</v>
      </c>
      <c r="C53" s="657"/>
      <c r="D53" s="669" t="s">
        <v>10116</v>
      </c>
      <c r="E53" s="661" t="s">
        <v>37988</v>
      </c>
      <c r="F53" s="673" t="s">
        <v>37989</v>
      </c>
      <c r="G53" s="669" t="s">
        <v>37990</v>
      </c>
      <c r="H53" s="678" t="s">
        <v>37780</v>
      </c>
      <c r="I53" s="666" t="s">
        <v>37991</v>
      </c>
      <c r="J53" s="667" t="s">
        <v>37992</v>
      </c>
      <c r="K53" s="123" t="str">
        <f>HYPERLINK("https://clinicaltrials.gov/ct2/show/NCT03953716","NCT03953716")</f>
        <v>NCT03953716</v>
      </c>
      <c r="L53" s="671"/>
      <c r="M53" s="672" t="s">
        <v>37752</v>
      </c>
      <c r="N53" s="35"/>
      <c r="O53" s="35"/>
      <c r="P53" s="35"/>
      <c r="Q53" s="35"/>
      <c r="R53" s="35"/>
      <c r="S53" s="35"/>
      <c r="T53" s="35"/>
      <c r="U53" s="35"/>
      <c r="V53" s="35"/>
      <c r="W53" s="35"/>
      <c r="X53" s="35"/>
      <c r="Y53" s="35"/>
      <c r="Z53" s="35"/>
      <c r="AA53" s="35"/>
    </row>
    <row r="54" ht="38.25" customHeight="1">
      <c r="A54" s="679"/>
      <c r="B54" s="391" t="s">
        <v>37993</v>
      </c>
      <c r="C54" s="657"/>
      <c r="D54" s="661" t="s">
        <v>3414</v>
      </c>
      <c r="E54" s="661" t="s">
        <v>37994</v>
      </c>
      <c r="F54" s="662" t="s">
        <v>37995</v>
      </c>
      <c r="G54" s="661" t="s">
        <v>37996</v>
      </c>
      <c r="H54" s="663" t="s">
        <v>37721</v>
      </c>
      <c r="I54" s="666" t="s">
        <v>37997</v>
      </c>
      <c r="J54" s="667" t="s">
        <v>37998</v>
      </c>
      <c r="K54" s="117" t="str">
        <f>HYPERLINK("https://clinicaltrials.gov/ct2/show/NCT04006717","NCT04006717")</f>
        <v>NCT04006717</v>
      </c>
      <c r="L54" s="49"/>
      <c r="M54" s="35"/>
      <c r="N54" s="35"/>
      <c r="O54" s="35"/>
      <c r="P54" s="35"/>
      <c r="Q54" s="35"/>
      <c r="R54" s="35"/>
      <c r="S54" s="35"/>
      <c r="T54" s="35"/>
      <c r="U54" s="35"/>
      <c r="V54" s="35"/>
      <c r="W54" s="35"/>
      <c r="X54" s="35"/>
      <c r="Y54" s="35"/>
      <c r="Z54" s="35"/>
      <c r="AA54" s="35"/>
    </row>
    <row r="55">
      <c r="A55" s="679" t="s">
        <v>37857</v>
      </c>
      <c r="B55" s="391" t="s">
        <v>37999</v>
      </c>
      <c r="C55" s="657"/>
      <c r="D55" s="661" t="s">
        <v>4724</v>
      </c>
      <c r="E55" s="661" t="s">
        <v>38000</v>
      </c>
      <c r="F55" s="662" t="s">
        <v>38001</v>
      </c>
      <c r="G55" s="661" t="s">
        <v>38002</v>
      </c>
      <c r="H55" s="663" t="s">
        <v>37721</v>
      </c>
      <c r="I55" s="666" t="s">
        <v>38003</v>
      </c>
      <c r="J55" s="667" t="s">
        <v>38004</v>
      </c>
      <c r="K55" s="117" t="str">
        <f>HYPERLINK("https://clinicaltrials.gov/ct2/show/NCT03023761","NCT03023761")</f>
        <v>NCT03023761</v>
      </c>
      <c r="L55" s="49"/>
      <c r="M55" s="35"/>
      <c r="N55" s="35"/>
      <c r="O55" s="35"/>
      <c r="P55" s="35"/>
      <c r="Q55" s="35"/>
      <c r="R55" s="35"/>
      <c r="S55" s="35"/>
      <c r="T55" s="35"/>
      <c r="U55" s="35"/>
      <c r="V55" s="35"/>
      <c r="W55" s="35"/>
      <c r="X55" s="35"/>
      <c r="Y55" s="35"/>
      <c r="Z55" s="35"/>
      <c r="AA55" s="35"/>
    </row>
    <row r="56">
      <c r="A56" s="660"/>
      <c r="B56" s="669" t="s">
        <v>16211</v>
      </c>
      <c r="C56" s="657"/>
      <c r="D56" s="669" t="s">
        <v>400</v>
      </c>
      <c r="E56" s="661" t="s">
        <v>37772</v>
      </c>
      <c r="F56" s="673" t="s">
        <v>38005</v>
      </c>
      <c r="G56" s="669" t="s">
        <v>37720</v>
      </c>
      <c r="H56" s="663" t="s">
        <v>37721</v>
      </c>
      <c r="I56" s="666" t="s">
        <v>38006</v>
      </c>
      <c r="J56" s="667" t="s">
        <v>38007</v>
      </c>
      <c r="K56" s="123" t="str">
        <f>HYPERLINK("https://clinicaltrials.gov/ct2/show/NCT03858179","NCT03858179")</f>
        <v>NCT03858179</v>
      </c>
      <c r="L56" s="671"/>
      <c r="M56" s="672" t="s">
        <v>37752</v>
      </c>
      <c r="N56" s="35"/>
      <c r="O56" s="35"/>
      <c r="P56" s="35"/>
      <c r="Q56" s="35"/>
      <c r="R56" s="35"/>
      <c r="S56" s="35"/>
      <c r="T56" s="35"/>
      <c r="U56" s="35"/>
      <c r="V56" s="35"/>
      <c r="W56" s="35"/>
      <c r="X56" s="35"/>
      <c r="Y56" s="35"/>
      <c r="Z56" s="35"/>
      <c r="AA56" s="35"/>
    </row>
    <row r="57">
      <c r="A57" s="660"/>
      <c r="B57" s="669" t="s">
        <v>16211</v>
      </c>
      <c r="C57" s="657"/>
      <c r="D57" s="669" t="s">
        <v>400</v>
      </c>
      <c r="E57" s="661" t="s">
        <v>37772</v>
      </c>
      <c r="F57" s="673" t="s">
        <v>38008</v>
      </c>
      <c r="G57" s="669" t="s">
        <v>37968</v>
      </c>
      <c r="H57" s="663" t="s">
        <v>37721</v>
      </c>
      <c r="I57" s="666" t="s">
        <v>38009</v>
      </c>
      <c r="J57" s="667" t="s">
        <v>38010</v>
      </c>
      <c r="K57" s="123" t="str">
        <f>HYPERLINK("https://clinicaltrials.gov/ct2/show/NCT03879226","NCT03879226")</f>
        <v>NCT03879226</v>
      </c>
      <c r="L57" s="671"/>
      <c r="M57" s="672" t="s">
        <v>37752</v>
      </c>
      <c r="N57" s="35"/>
      <c r="O57" s="35"/>
      <c r="P57" s="35"/>
      <c r="Q57" s="35"/>
      <c r="R57" s="35"/>
      <c r="S57" s="35"/>
      <c r="T57" s="35"/>
      <c r="U57" s="35"/>
      <c r="V57" s="35"/>
      <c r="W57" s="35"/>
      <c r="X57" s="35"/>
      <c r="Y57" s="35"/>
      <c r="Z57" s="35"/>
      <c r="AA57" s="35"/>
    </row>
    <row r="58">
      <c r="A58" s="660"/>
      <c r="B58" s="669" t="s">
        <v>16211</v>
      </c>
      <c r="C58" s="657"/>
      <c r="D58" s="669" t="s">
        <v>400</v>
      </c>
      <c r="E58" s="661" t="s">
        <v>37818</v>
      </c>
      <c r="F58" s="673" t="s">
        <v>38011</v>
      </c>
      <c r="G58" s="669" t="s">
        <v>38012</v>
      </c>
      <c r="H58" s="678" t="s">
        <v>37780</v>
      </c>
      <c r="I58" s="666" t="s">
        <v>38013</v>
      </c>
      <c r="J58" s="667" t="s">
        <v>38014</v>
      </c>
      <c r="K58" s="123" t="str">
        <f>HYPERLINK("https://clinicaltrials.gov/ct2/show/NCT03860766","NCT03860766")</f>
        <v>NCT03860766</v>
      </c>
      <c r="L58" s="671"/>
      <c r="M58" s="672" t="s">
        <v>37752</v>
      </c>
      <c r="N58" s="35"/>
      <c r="O58" s="35"/>
      <c r="P58" s="35"/>
      <c r="Q58" s="35"/>
      <c r="R58" s="35"/>
      <c r="S58" s="35"/>
      <c r="T58" s="35"/>
      <c r="U58" s="35"/>
      <c r="V58" s="35"/>
      <c r="W58" s="35"/>
      <c r="X58" s="35"/>
      <c r="Y58" s="35"/>
      <c r="Z58" s="35"/>
      <c r="AA58" s="35"/>
    </row>
    <row r="59">
      <c r="A59" s="660"/>
      <c r="B59" s="681" t="s">
        <v>37536</v>
      </c>
      <c r="C59" s="657"/>
      <c r="D59" s="675" t="s">
        <v>400</v>
      </c>
      <c r="E59" s="661" t="s">
        <v>37818</v>
      </c>
      <c r="F59" s="662" t="s">
        <v>38015</v>
      </c>
      <c r="G59" s="669" t="s">
        <v>38012</v>
      </c>
      <c r="H59" s="678" t="s">
        <v>37780</v>
      </c>
      <c r="I59" s="666" t="s">
        <v>38016</v>
      </c>
      <c r="J59" s="667" t="s">
        <v>38017</v>
      </c>
      <c r="K59" s="426" t="str">
        <f>HYPERLINK("https://clinicaltrials.gov/ct2/show/NCT04281446","NCT04281446")</f>
        <v>NCT04281446</v>
      </c>
      <c r="L59" s="49"/>
      <c r="M59" s="35"/>
      <c r="N59" s="35"/>
      <c r="O59" s="35"/>
      <c r="P59" s="35"/>
      <c r="Q59" s="35"/>
      <c r="R59" s="35"/>
      <c r="S59" s="35"/>
      <c r="T59" s="35"/>
      <c r="U59" s="35"/>
      <c r="V59" s="35"/>
      <c r="W59" s="35"/>
      <c r="X59" s="35"/>
      <c r="Y59" s="35"/>
      <c r="Z59" s="35"/>
      <c r="AA59" s="35"/>
    </row>
    <row r="60">
      <c r="A60" s="660"/>
      <c r="B60" s="681" t="s">
        <v>37536</v>
      </c>
      <c r="C60" s="657"/>
      <c r="D60" s="675" t="s">
        <v>400</v>
      </c>
      <c r="E60" s="675" t="s">
        <v>38018</v>
      </c>
      <c r="F60" s="676" t="s">
        <v>38019</v>
      </c>
      <c r="G60" s="661" t="s">
        <v>38020</v>
      </c>
      <c r="H60" s="663" t="s">
        <v>37721</v>
      </c>
      <c r="I60" s="666" t="s">
        <v>38021</v>
      </c>
      <c r="J60" s="667" t="s">
        <v>38022</v>
      </c>
      <c r="K60" s="682" t="str">
        <f>HYPERLINK("https://clinicaltrials.gov/ct2/show/NCT03695458","NCT03695458")</f>
        <v>NCT03695458</v>
      </c>
      <c r="L60" s="49"/>
      <c r="M60" s="35"/>
      <c r="N60" s="35"/>
      <c r="O60" s="35"/>
      <c r="P60" s="35"/>
      <c r="Q60" s="35"/>
      <c r="R60" s="35"/>
      <c r="S60" s="35"/>
      <c r="T60" s="35"/>
      <c r="U60" s="35"/>
      <c r="V60" s="35"/>
      <c r="W60" s="35"/>
      <c r="X60" s="35"/>
      <c r="Y60" s="35"/>
      <c r="Z60" s="35"/>
      <c r="AA60" s="35"/>
    </row>
    <row r="61">
      <c r="A61" s="660"/>
      <c r="B61" s="681" t="s">
        <v>37536</v>
      </c>
      <c r="C61" s="657"/>
      <c r="D61" s="675" t="s">
        <v>400</v>
      </c>
      <c r="E61" s="675" t="s">
        <v>37772</v>
      </c>
      <c r="F61" s="662" t="s">
        <v>38023</v>
      </c>
      <c r="G61" s="661" t="s">
        <v>37962</v>
      </c>
      <c r="H61" s="663" t="s">
        <v>37721</v>
      </c>
      <c r="I61" s="666" t="s">
        <v>38024</v>
      </c>
      <c r="J61" s="667" t="s">
        <v>38025</v>
      </c>
      <c r="K61" s="426" t="str">
        <f>HYPERLINK("https://clinicaltrials.gov/ct2/show/NCT03420391","NCT03420391")</f>
        <v>NCT03420391</v>
      </c>
      <c r="L61" s="49"/>
      <c r="M61" s="35"/>
      <c r="N61" s="35"/>
      <c r="O61" s="35"/>
      <c r="P61" s="35"/>
      <c r="Q61" s="35"/>
      <c r="R61" s="35"/>
      <c r="S61" s="35"/>
      <c r="T61" s="35"/>
      <c r="U61" s="35"/>
      <c r="V61" s="35"/>
      <c r="W61" s="35"/>
      <c r="X61" s="35"/>
      <c r="Y61" s="35"/>
      <c r="Z61" s="35"/>
      <c r="AA61" s="35"/>
    </row>
    <row r="62">
      <c r="A62" s="660"/>
      <c r="B62" s="391" t="s">
        <v>37536</v>
      </c>
      <c r="C62" s="657"/>
      <c r="D62" s="661" t="s">
        <v>400</v>
      </c>
      <c r="E62" s="661" t="s">
        <v>38026</v>
      </c>
      <c r="F62" s="662" t="s">
        <v>38027</v>
      </c>
      <c r="G62" s="661" t="s">
        <v>38028</v>
      </c>
      <c r="H62" s="678" t="s">
        <v>37780</v>
      </c>
      <c r="I62" s="666" t="s">
        <v>38029</v>
      </c>
      <c r="J62" s="667" t="s">
        <v>38030</v>
      </c>
      <c r="K62" s="117" t="str">
        <f>HYPERLINK("https://clinicaltrials.gov/ct2/show/NCT03728439","NCT03728439")</f>
        <v>NCT03728439</v>
      </c>
      <c r="L62" s="49"/>
      <c r="M62" s="35"/>
      <c r="N62" s="35"/>
      <c r="O62" s="35"/>
      <c r="P62" s="35"/>
      <c r="Q62" s="35"/>
      <c r="R62" s="35"/>
      <c r="S62" s="35"/>
      <c r="T62" s="35"/>
      <c r="U62" s="35"/>
      <c r="V62" s="35"/>
      <c r="W62" s="35"/>
      <c r="X62" s="35"/>
      <c r="Y62" s="35"/>
      <c r="Z62" s="35"/>
      <c r="AA62" s="35"/>
    </row>
    <row r="63">
      <c r="A63" s="660"/>
      <c r="B63" s="391" t="s">
        <v>37536</v>
      </c>
      <c r="C63" s="657"/>
      <c r="D63" s="661" t="s">
        <v>400</v>
      </c>
      <c r="E63" s="661" t="s">
        <v>37818</v>
      </c>
      <c r="F63" s="662" t="s">
        <v>38031</v>
      </c>
      <c r="G63" s="661" t="s">
        <v>38032</v>
      </c>
      <c r="H63" s="663" t="s">
        <v>37721</v>
      </c>
      <c r="I63" s="666" t="s">
        <v>38033</v>
      </c>
      <c r="J63" s="667" t="s">
        <v>38034</v>
      </c>
      <c r="K63" s="117" t="str">
        <f>HYPERLINK("https://clinicaltrials.gov/ct2/show/NCT03225976","NCT03225976")</f>
        <v>NCT03225976</v>
      </c>
      <c r="L63" s="49"/>
      <c r="M63" s="35"/>
      <c r="N63" s="35"/>
      <c r="O63" s="35"/>
      <c r="P63" s="35"/>
      <c r="Q63" s="35"/>
      <c r="R63" s="35"/>
      <c r="S63" s="35"/>
      <c r="T63" s="35"/>
      <c r="U63" s="35"/>
      <c r="V63" s="35"/>
      <c r="W63" s="35"/>
      <c r="X63" s="35"/>
      <c r="Y63" s="35"/>
      <c r="Z63" s="35"/>
      <c r="AA63" s="35"/>
    </row>
    <row r="64">
      <c r="A64" s="660"/>
      <c r="B64" s="391" t="s">
        <v>16841</v>
      </c>
      <c r="C64" s="657"/>
      <c r="D64" s="661" t="s">
        <v>400</v>
      </c>
      <c r="E64" s="675" t="s">
        <v>37772</v>
      </c>
      <c r="F64" s="662" t="s">
        <v>38035</v>
      </c>
      <c r="G64" s="661" t="s">
        <v>37968</v>
      </c>
      <c r="H64" s="663" t="s">
        <v>37721</v>
      </c>
      <c r="I64" s="666" t="s">
        <v>38036</v>
      </c>
      <c r="J64" s="667" t="s">
        <v>38037</v>
      </c>
      <c r="K64" s="426" t="str">
        <f>HYPERLINK("https://clinicaltrials.gov/ct2/show/NCT03593746","NCT03593746")</f>
        <v>NCT03593746</v>
      </c>
      <c r="L64" s="49"/>
      <c r="M64" s="35"/>
      <c r="N64" s="35"/>
      <c r="O64" s="35"/>
      <c r="P64" s="35"/>
      <c r="Q64" s="35"/>
      <c r="R64" s="35"/>
      <c r="S64" s="35"/>
      <c r="T64" s="35"/>
      <c r="U64" s="35"/>
      <c r="V64" s="35"/>
      <c r="W64" s="35"/>
      <c r="X64" s="35"/>
      <c r="Y64" s="35"/>
      <c r="Z64" s="35"/>
      <c r="AA64" s="35"/>
    </row>
    <row r="65">
      <c r="A65" s="660"/>
      <c r="B65" s="669" t="s">
        <v>38038</v>
      </c>
      <c r="C65" s="657"/>
      <c r="D65" s="669" t="s">
        <v>2161</v>
      </c>
      <c r="E65" s="661" t="s">
        <v>38039</v>
      </c>
      <c r="F65" s="673" t="s">
        <v>38040</v>
      </c>
      <c r="G65" s="669" t="s">
        <v>38041</v>
      </c>
      <c r="H65" s="663" t="s">
        <v>37721</v>
      </c>
      <c r="I65" s="666" t="s">
        <v>38042</v>
      </c>
      <c r="J65" s="667" t="s">
        <v>38043</v>
      </c>
      <c r="K65" s="123" t="str">
        <f>HYPERLINK("https://clinicaltrials.gov/ct2/show/NCT03878420","NCT03878420")</f>
        <v>NCT03878420</v>
      </c>
      <c r="L65" s="671"/>
      <c r="M65" s="672" t="s">
        <v>37752</v>
      </c>
      <c r="N65" s="35"/>
      <c r="O65" s="35"/>
      <c r="P65" s="35"/>
      <c r="Q65" s="35"/>
      <c r="R65" s="35"/>
      <c r="S65" s="35"/>
      <c r="T65" s="35"/>
      <c r="U65" s="35"/>
      <c r="V65" s="35"/>
      <c r="W65" s="35"/>
      <c r="X65" s="35"/>
      <c r="Y65" s="35"/>
      <c r="Z65" s="35"/>
      <c r="AA65" s="35"/>
    </row>
    <row r="66">
      <c r="A66" s="660"/>
      <c r="B66" s="669" t="s">
        <v>38038</v>
      </c>
      <c r="C66" s="657"/>
      <c r="D66" s="669" t="s">
        <v>2161</v>
      </c>
      <c r="E66" s="661" t="s">
        <v>38039</v>
      </c>
      <c r="F66" s="680" t="s">
        <v>38044</v>
      </c>
      <c r="G66" s="669" t="s">
        <v>38041</v>
      </c>
      <c r="H66" s="663" t="s">
        <v>37721</v>
      </c>
      <c r="I66" s="666" t="s">
        <v>38045</v>
      </c>
      <c r="J66" s="667" t="s">
        <v>38046</v>
      </c>
      <c r="K66" s="426" t="str">
        <f>HYPERLINK("https://clinicaltrials.gov/ct2/show/NCT04065490","NCT04065490")</f>
        <v>NCT04065490</v>
      </c>
      <c r="L66" s="671"/>
      <c r="M66" s="113" t="s">
        <v>38047</v>
      </c>
      <c r="N66" s="35"/>
      <c r="O66" s="35"/>
      <c r="P66" s="35"/>
      <c r="Q66" s="35"/>
      <c r="R66" s="35"/>
      <c r="S66" s="35"/>
      <c r="T66" s="35"/>
      <c r="U66" s="35"/>
      <c r="V66" s="35"/>
      <c r="W66" s="35"/>
      <c r="X66" s="35"/>
      <c r="Y66" s="35"/>
      <c r="Z66" s="35"/>
      <c r="AA66" s="35"/>
    </row>
    <row r="67">
      <c r="A67" s="660"/>
      <c r="B67" s="669" t="s">
        <v>38048</v>
      </c>
      <c r="C67" s="657"/>
      <c r="D67" s="669" t="s">
        <v>2161</v>
      </c>
      <c r="E67" s="661" t="s">
        <v>38049</v>
      </c>
      <c r="F67" s="673" t="s">
        <v>38050</v>
      </c>
      <c r="G67" s="669" t="s">
        <v>38051</v>
      </c>
      <c r="H67" s="663" t="s">
        <v>37721</v>
      </c>
      <c r="I67" s="666" t="s">
        <v>38052</v>
      </c>
      <c r="J67" s="667" t="s">
        <v>38053</v>
      </c>
      <c r="K67" s="123" t="str">
        <f>HYPERLINK("https://clinicaltrials.gov/ct2/show/NCT03866473","NCT03866473")</f>
        <v>NCT03866473</v>
      </c>
      <c r="L67" s="671"/>
      <c r="M67" s="672" t="s">
        <v>37752</v>
      </c>
      <c r="N67" s="35"/>
      <c r="O67" s="35"/>
      <c r="P67" s="35"/>
      <c r="Q67" s="35"/>
      <c r="R67" s="35"/>
      <c r="S67" s="35"/>
      <c r="T67" s="35"/>
      <c r="U67" s="35"/>
      <c r="V67" s="35"/>
      <c r="W67" s="35"/>
      <c r="X67" s="35"/>
      <c r="Y67" s="35"/>
      <c r="Z67" s="35"/>
      <c r="AA67" s="35"/>
    </row>
    <row r="68">
      <c r="A68" s="660"/>
      <c r="B68" s="391" t="s">
        <v>38054</v>
      </c>
      <c r="C68" s="657"/>
      <c r="D68" s="661" t="s">
        <v>10116</v>
      </c>
      <c r="E68" s="661" t="s">
        <v>38055</v>
      </c>
      <c r="F68" s="662" t="s">
        <v>38056</v>
      </c>
      <c r="G68" s="661" t="s">
        <v>38057</v>
      </c>
      <c r="H68" s="663" t="s">
        <v>37721</v>
      </c>
      <c r="I68" s="666" t="s">
        <v>38058</v>
      </c>
      <c r="J68" s="667" t="s">
        <v>38059</v>
      </c>
      <c r="K68" s="117" t="str">
        <f>HYPERLINK("https://clinicaltrials.gov/ct2/show/NCT03592797","NCT03592797")</f>
        <v>NCT03592797</v>
      </c>
      <c r="L68" s="49"/>
      <c r="M68" s="35"/>
      <c r="N68" s="35"/>
      <c r="O68" s="35"/>
      <c r="P68" s="35"/>
      <c r="Q68" s="35"/>
      <c r="R68" s="35"/>
      <c r="S68" s="35"/>
      <c r="T68" s="35"/>
      <c r="U68" s="35"/>
      <c r="V68" s="35"/>
      <c r="W68" s="35"/>
      <c r="X68" s="35"/>
      <c r="Y68" s="35"/>
      <c r="Z68" s="35"/>
      <c r="AA68" s="35"/>
    </row>
    <row r="69">
      <c r="A69" s="660"/>
      <c r="B69" s="391" t="s">
        <v>28119</v>
      </c>
      <c r="C69" s="657"/>
      <c r="D69" s="661" t="s">
        <v>400</v>
      </c>
      <c r="E69" s="661" t="s">
        <v>38060</v>
      </c>
      <c r="F69" s="662" t="s">
        <v>38061</v>
      </c>
      <c r="G69" s="661" t="s">
        <v>37875</v>
      </c>
      <c r="H69" s="678" t="s">
        <v>37780</v>
      </c>
      <c r="I69" s="666" t="s">
        <v>38062</v>
      </c>
      <c r="J69" s="667" t="s">
        <v>38063</v>
      </c>
      <c r="K69" s="117" t="str">
        <f>HYPERLINK("https://clinicaltrials.gov/ct2/show/NCT04322812","NCT04322812")</f>
        <v>NCT04322812</v>
      </c>
      <c r="L69" s="49"/>
      <c r="M69" s="35"/>
      <c r="N69" s="35"/>
      <c r="O69" s="35"/>
      <c r="P69" s="35"/>
      <c r="Q69" s="35"/>
      <c r="R69" s="35"/>
      <c r="S69" s="35"/>
      <c r="T69" s="35"/>
      <c r="U69" s="35"/>
      <c r="V69" s="35"/>
      <c r="W69" s="35"/>
      <c r="X69" s="35"/>
      <c r="Y69" s="35"/>
      <c r="Z69" s="35"/>
      <c r="AA69" s="35"/>
    </row>
    <row r="70">
      <c r="A70" s="660"/>
      <c r="B70" s="669" t="s">
        <v>38064</v>
      </c>
      <c r="C70" s="657"/>
      <c r="D70" s="669" t="s">
        <v>30255</v>
      </c>
      <c r="E70" s="661" t="s">
        <v>38065</v>
      </c>
      <c r="F70" s="673" t="s">
        <v>38066</v>
      </c>
      <c r="G70" s="669" t="s">
        <v>38067</v>
      </c>
      <c r="H70" s="663" t="s">
        <v>37721</v>
      </c>
      <c r="I70" s="666" t="s">
        <v>38068</v>
      </c>
      <c r="J70" s="667" t="s">
        <v>38069</v>
      </c>
      <c r="K70" s="123" t="str">
        <f>HYPERLINK("https://clinicaltrials.gov/ct2/show/NCT03873961","NCT03873961")</f>
        <v>NCT03873961</v>
      </c>
      <c r="L70" s="671"/>
      <c r="M70" s="672" t="s">
        <v>37752</v>
      </c>
      <c r="N70" s="35"/>
      <c r="O70" s="35"/>
      <c r="P70" s="35"/>
      <c r="Q70" s="35"/>
      <c r="R70" s="35"/>
      <c r="S70" s="35"/>
      <c r="T70" s="35"/>
      <c r="U70" s="35"/>
      <c r="V70" s="35"/>
      <c r="W70" s="35"/>
      <c r="X70" s="35"/>
      <c r="Y70" s="35"/>
      <c r="Z70" s="35"/>
      <c r="AA70" s="35"/>
    </row>
    <row r="71">
      <c r="A71" s="660"/>
      <c r="B71" s="669" t="s">
        <v>38070</v>
      </c>
      <c r="C71" s="657"/>
      <c r="D71" s="669" t="s">
        <v>400</v>
      </c>
      <c r="E71" s="661" t="s">
        <v>38071</v>
      </c>
      <c r="F71" s="673" t="s">
        <v>38072</v>
      </c>
      <c r="G71" s="669" t="s">
        <v>38073</v>
      </c>
      <c r="H71" s="678" t="s">
        <v>37780</v>
      </c>
      <c r="I71" s="666" t="s">
        <v>38074</v>
      </c>
      <c r="J71" s="667" t="s">
        <v>38075</v>
      </c>
      <c r="K71" s="123" t="str">
        <f>HYPERLINK("https://clinicaltrials.gov/ct2/show/NCT03833726","NCT03833726")</f>
        <v>NCT03833726</v>
      </c>
      <c r="L71" s="671"/>
      <c r="M71" s="672" t="s">
        <v>37752</v>
      </c>
      <c r="N71" s="35"/>
      <c r="O71" s="35"/>
      <c r="P71" s="35"/>
      <c r="Q71" s="35"/>
      <c r="R71" s="35"/>
      <c r="S71" s="35"/>
      <c r="T71" s="35"/>
      <c r="U71" s="35"/>
      <c r="V71" s="35"/>
      <c r="W71" s="35"/>
      <c r="X71" s="35"/>
      <c r="Y71" s="35"/>
      <c r="Z71" s="35"/>
      <c r="AA71" s="35"/>
    </row>
    <row r="72">
      <c r="A72" s="660"/>
      <c r="B72" s="661" t="s">
        <v>38076</v>
      </c>
      <c r="C72" s="657"/>
      <c r="D72" s="661" t="s">
        <v>4149</v>
      </c>
      <c r="E72" s="661" t="s">
        <v>38077</v>
      </c>
      <c r="F72" s="680" t="s">
        <v>38078</v>
      </c>
      <c r="G72" s="661" t="s">
        <v>37909</v>
      </c>
      <c r="H72" s="678" t="s">
        <v>37780</v>
      </c>
      <c r="I72" s="666" t="s">
        <v>38079</v>
      </c>
      <c r="J72" s="667" t="s">
        <v>38080</v>
      </c>
      <c r="K72" s="426" t="str">
        <f>HYPERLINK("https://clinicaltrials.gov/ct2/show/NCT04036994","NCT04036994")</f>
        <v>NCT04036994</v>
      </c>
      <c r="L72" s="671"/>
      <c r="M72" s="113" t="s">
        <v>38081</v>
      </c>
      <c r="N72" s="35"/>
      <c r="O72" s="35"/>
      <c r="P72" s="35"/>
      <c r="Q72" s="35"/>
      <c r="R72" s="35"/>
      <c r="S72" s="35"/>
      <c r="T72" s="35"/>
      <c r="U72" s="35"/>
      <c r="V72" s="35"/>
      <c r="W72" s="35"/>
      <c r="X72" s="35"/>
      <c r="Y72" s="35"/>
      <c r="Z72" s="35"/>
      <c r="AA72" s="35"/>
    </row>
    <row r="73">
      <c r="A73" s="660"/>
      <c r="B73" s="669" t="s">
        <v>10848</v>
      </c>
      <c r="C73" s="657"/>
      <c r="D73" s="669" t="s">
        <v>2161</v>
      </c>
      <c r="E73" s="661" t="s">
        <v>38082</v>
      </c>
      <c r="F73" s="673" t="s">
        <v>38083</v>
      </c>
      <c r="G73" s="669" t="s">
        <v>38084</v>
      </c>
      <c r="H73" s="663" t="s">
        <v>37721</v>
      </c>
      <c r="I73" s="666" t="s">
        <v>38085</v>
      </c>
      <c r="J73" s="667" t="s">
        <v>38086</v>
      </c>
      <c r="K73" s="123" t="str">
        <f>HYPERLINK("https://clinicaltrials.gov/ct2/show/NCT03938948","NCT03938948")</f>
        <v>NCT03938948</v>
      </c>
      <c r="L73" s="671"/>
      <c r="M73" s="672" t="s">
        <v>37752</v>
      </c>
      <c r="N73" s="35"/>
      <c r="O73" s="35"/>
      <c r="P73" s="35"/>
      <c r="Q73" s="35"/>
      <c r="R73" s="35"/>
      <c r="S73" s="35"/>
      <c r="T73" s="35"/>
      <c r="U73" s="35"/>
      <c r="V73" s="35"/>
      <c r="W73" s="35"/>
      <c r="X73" s="35"/>
      <c r="Y73" s="35"/>
      <c r="Z73" s="35"/>
      <c r="AA73" s="35"/>
    </row>
    <row r="74">
      <c r="A74" s="660"/>
      <c r="B74" s="661" t="s">
        <v>38087</v>
      </c>
      <c r="C74" s="657"/>
      <c r="D74" s="661" t="s">
        <v>10477</v>
      </c>
      <c r="E74" s="661" t="s">
        <v>38088</v>
      </c>
      <c r="F74" s="680" t="s">
        <v>38089</v>
      </c>
      <c r="G74" s="661" t="s">
        <v>38090</v>
      </c>
      <c r="H74" s="678" t="s">
        <v>37780</v>
      </c>
      <c r="I74" s="666" t="s">
        <v>38091</v>
      </c>
      <c r="J74" s="667" t="s">
        <v>38092</v>
      </c>
      <c r="K74" s="426" t="s">
        <v>38093</v>
      </c>
      <c r="L74" s="671"/>
      <c r="M74" s="672"/>
      <c r="N74" s="35"/>
      <c r="O74" s="35"/>
      <c r="P74" s="35"/>
      <c r="Q74" s="35"/>
      <c r="R74" s="35"/>
      <c r="S74" s="35"/>
      <c r="T74" s="35"/>
      <c r="U74" s="35"/>
      <c r="V74" s="35"/>
      <c r="W74" s="35"/>
      <c r="X74" s="35"/>
      <c r="Y74" s="35"/>
      <c r="Z74" s="35"/>
      <c r="AA74" s="35"/>
    </row>
    <row r="75">
      <c r="A75" s="660"/>
      <c r="B75" s="661" t="s">
        <v>11762</v>
      </c>
      <c r="C75" s="657"/>
      <c r="D75" s="661" t="s">
        <v>12068</v>
      </c>
      <c r="E75" s="661" t="s">
        <v>38094</v>
      </c>
      <c r="F75" s="680" t="s">
        <v>38095</v>
      </c>
      <c r="G75" s="661" t="s">
        <v>38096</v>
      </c>
      <c r="H75" s="663" t="s">
        <v>37721</v>
      </c>
      <c r="I75" s="666" t="s">
        <v>38097</v>
      </c>
      <c r="J75" s="667" t="s">
        <v>38098</v>
      </c>
      <c r="K75" s="426" t="s">
        <v>38099</v>
      </c>
      <c r="L75" s="671"/>
      <c r="M75" s="672"/>
      <c r="N75" s="35"/>
      <c r="O75" s="35"/>
      <c r="P75" s="35"/>
      <c r="Q75" s="35"/>
      <c r="R75" s="35"/>
      <c r="S75" s="35"/>
      <c r="T75" s="35"/>
      <c r="U75" s="35"/>
      <c r="V75" s="35"/>
      <c r="W75" s="35"/>
      <c r="X75" s="35"/>
      <c r="Y75" s="35"/>
      <c r="Z75" s="35"/>
      <c r="AA75" s="35"/>
    </row>
    <row r="76">
      <c r="A76" s="660"/>
      <c r="B76" s="391" t="s">
        <v>38100</v>
      </c>
      <c r="C76" s="657"/>
      <c r="D76" s="675" t="s">
        <v>400</v>
      </c>
      <c r="E76" s="675" t="s">
        <v>37772</v>
      </c>
      <c r="F76" s="662" t="s">
        <v>38101</v>
      </c>
      <c r="G76" s="661" t="s">
        <v>38102</v>
      </c>
      <c r="H76" s="663" t="s">
        <v>37721</v>
      </c>
      <c r="I76" s="666" t="s">
        <v>38103</v>
      </c>
      <c r="J76" s="667" t="s">
        <v>38104</v>
      </c>
      <c r="K76" s="117" t="str">
        <f>HYPERLINK("https://clinicaltrials.gov/ct2/show/NCT03496857","NCT03496857")</f>
        <v>NCT03496857</v>
      </c>
      <c r="L76" s="49"/>
      <c r="M76" s="35"/>
      <c r="N76" s="35"/>
      <c r="O76" s="35"/>
      <c r="P76" s="35"/>
      <c r="Q76" s="35"/>
      <c r="R76" s="35"/>
      <c r="S76" s="35"/>
      <c r="T76" s="35"/>
      <c r="U76" s="35"/>
      <c r="V76" s="35"/>
      <c r="W76" s="35"/>
      <c r="X76" s="35"/>
      <c r="Y76" s="35"/>
      <c r="Z76" s="35"/>
      <c r="AA76" s="35"/>
    </row>
    <row r="77">
      <c r="A77" s="660"/>
      <c r="B77" s="391" t="s">
        <v>38105</v>
      </c>
      <c r="C77" s="657"/>
      <c r="D77" s="661" t="s">
        <v>400</v>
      </c>
      <c r="E77" s="661" t="s">
        <v>38106</v>
      </c>
      <c r="F77" s="662" t="s">
        <v>38107</v>
      </c>
      <c r="G77" s="661" t="s">
        <v>38108</v>
      </c>
      <c r="H77" s="663" t="s">
        <v>37721</v>
      </c>
      <c r="I77" s="666" t="s">
        <v>38109</v>
      </c>
      <c r="J77" s="667" t="s">
        <v>38110</v>
      </c>
      <c r="K77" s="117" t="str">
        <f>HYPERLINK("https://clinicaltrials.gov/ct2/show/NCT03072004","NCT03072004")</f>
        <v>NCT03072004</v>
      </c>
      <c r="L77" s="49"/>
      <c r="M77" s="35"/>
      <c r="N77" s="35"/>
      <c r="O77" s="35"/>
      <c r="P77" s="35"/>
      <c r="Q77" s="35"/>
      <c r="R77" s="35"/>
      <c r="S77" s="35"/>
      <c r="T77" s="35"/>
      <c r="U77" s="35"/>
      <c r="V77" s="35"/>
      <c r="W77" s="35"/>
      <c r="X77" s="35"/>
      <c r="Y77" s="35"/>
      <c r="Z77" s="35"/>
      <c r="AA77" s="35"/>
    </row>
    <row r="78">
      <c r="A78" s="660"/>
      <c r="B78" s="391" t="s">
        <v>37674</v>
      </c>
      <c r="C78" s="657"/>
      <c r="D78" s="661" t="s">
        <v>400</v>
      </c>
      <c r="E78" s="661" t="s">
        <v>38111</v>
      </c>
      <c r="F78" s="662" t="s">
        <v>38112</v>
      </c>
      <c r="G78" s="661" t="s">
        <v>37875</v>
      </c>
      <c r="H78" s="678" t="s">
        <v>37780</v>
      </c>
      <c r="I78" s="666" t="s">
        <v>38113</v>
      </c>
      <c r="J78" s="667" t="s">
        <v>38114</v>
      </c>
      <c r="K78" s="117" t="str">
        <f>HYPERLINK("https://clinicaltrials.gov/ct2/show/NCT04287725","NCT04287725")</f>
        <v>NCT04287725</v>
      </c>
      <c r="L78" s="49"/>
      <c r="M78" s="35"/>
      <c r="N78" s="35"/>
      <c r="O78" s="35"/>
      <c r="P78" s="35"/>
      <c r="Q78" s="35"/>
      <c r="R78" s="35"/>
      <c r="S78" s="35"/>
      <c r="T78" s="35"/>
      <c r="U78" s="35"/>
      <c r="V78" s="35"/>
      <c r="W78" s="35"/>
      <c r="X78" s="35"/>
      <c r="Y78" s="35"/>
      <c r="Z78" s="35"/>
      <c r="AA78" s="35"/>
    </row>
    <row r="79">
      <c r="A79" s="660"/>
      <c r="B79" s="391" t="s">
        <v>37674</v>
      </c>
      <c r="C79" s="657"/>
      <c r="D79" s="661" t="s">
        <v>400</v>
      </c>
      <c r="E79" s="661" t="s">
        <v>37772</v>
      </c>
      <c r="F79" s="662" t="s">
        <v>38115</v>
      </c>
      <c r="G79" s="661" t="s">
        <v>38116</v>
      </c>
      <c r="H79" s="678" t="s">
        <v>37780</v>
      </c>
      <c r="I79" s="666" t="s">
        <v>38117</v>
      </c>
      <c r="J79" s="667" t="s">
        <v>38118</v>
      </c>
      <c r="K79" s="117" t="str">
        <f>HYPERLINK("https://clinicaltrials.gov/ct2/show/NCT04003545","NCT04003545")</f>
        <v>NCT04003545</v>
      </c>
      <c r="L79" s="49"/>
      <c r="M79" s="35"/>
      <c r="N79" s="35"/>
      <c r="O79" s="35"/>
      <c r="P79" s="35"/>
      <c r="Q79" s="35"/>
      <c r="R79" s="35"/>
      <c r="S79" s="35"/>
      <c r="T79" s="35"/>
      <c r="U79" s="35"/>
      <c r="V79" s="35"/>
      <c r="W79" s="35"/>
      <c r="X79" s="35"/>
      <c r="Y79" s="35"/>
      <c r="Z79" s="35"/>
      <c r="AA79" s="35"/>
    </row>
    <row r="80">
      <c r="A80" s="660"/>
      <c r="B80" s="391" t="s">
        <v>37674</v>
      </c>
      <c r="C80" s="657"/>
      <c r="D80" s="661" t="s">
        <v>400</v>
      </c>
      <c r="E80" s="661" t="s">
        <v>38119</v>
      </c>
      <c r="F80" s="662" t="s">
        <v>38120</v>
      </c>
      <c r="G80" s="661" t="s">
        <v>38121</v>
      </c>
      <c r="H80" s="663" t="s">
        <v>37721</v>
      </c>
      <c r="I80" s="666" t="s">
        <v>38122</v>
      </c>
      <c r="J80" s="667" t="s">
        <v>38123</v>
      </c>
      <c r="K80" s="117" t="str">
        <f>HYPERLINK("https://clinicaltrials.gov/ct2/show/NCT03089424","NCT03089424")</f>
        <v>NCT03089424</v>
      </c>
      <c r="L80" s="49"/>
      <c r="M80" s="35"/>
      <c r="N80" s="35"/>
      <c r="O80" s="35"/>
      <c r="P80" s="35"/>
      <c r="Q80" s="35"/>
      <c r="R80" s="35"/>
      <c r="S80" s="35"/>
      <c r="T80" s="35"/>
      <c r="U80" s="35"/>
      <c r="V80" s="35"/>
      <c r="W80" s="35"/>
      <c r="X80" s="35"/>
      <c r="Y80" s="35"/>
      <c r="Z80" s="35"/>
      <c r="AA80" s="35"/>
    </row>
    <row r="81">
      <c r="A81" s="660"/>
      <c r="B81" s="391" t="s">
        <v>37674</v>
      </c>
      <c r="C81" s="657"/>
      <c r="D81" s="661" t="s">
        <v>400</v>
      </c>
      <c r="E81" s="661" t="s">
        <v>38124</v>
      </c>
      <c r="F81" s="662" t="s">
        <v>38125</v>
      </c>
      <c r="G81" s="661" t="s">
        <v>38126</v>
      </c>
      <c r="H81" s="668" t="s">
        <v>37744</v>
      </c>
      <c r="I81" s="666" t="s">
        <v>38127</v>
      </c>
      <c r="J81" s="667" t="s">
        <v>38128</v>
      </c>
      <c r="K81" s="117" t="str">
        <f>HYPERLINK("https://clinicaltrials.gov/ct2/show/NCT03465228","NCT03465228")</f>
        <v>NCT03465228</v>
      </c>
      <c r="L81" s="49"/>
      <c r="M81" s="35"/>
      <c r="N81" s="35"/>
      <c r="O81" s="35"/>
      <c r="P81" s="35"/>
      <c r="Q81" s="35"/>
      <c r="R81" s="35"/>
      <c r="S81" s="35"/>
      <c r="T81" s="35"/>
      <c r="U81" s="35"/>
      <c r="V81" s="35"/>
      <c r="W81" s="35"/>
      <c r="X81" s="35"/>
      <c r="Y81" s="35"/>
      <c r="Z81" s="35"/>
      <c r="AA81" s="35"/>
    </row>
    <row r="82">
      <c r="A82" s="660"/>
      <c r="B82" s="391" t="s">
        <v>38129</v>
      </c>
      <c r="C82" s="657"/>
      <c r="D82" s="661" t="s">
        <v>2161</v>
      </c>
      <c r="E82" s="661" t="s">
        <v>38130</v>
      </c>
      <c r="F82" s="662" t="s">
        <v>38131</v>
      </c>
      <c r="G82" s="661" t="s">
        <v>38132</v>
      </c>
      <c r="H82" s="663" t="s">
        <v>37721</v>
      </c>
      <c r="I82" s="666" t="s">
        <v>38133</v>
      </c>
      <c r="J82" s="667" t="s">
        <v>38134</v>
      </c>
      <c r="K82" s="117" t="str">
        <f>HYPERLINK("https://clinicaltrials.gov/ct2/show/NCT03738332","NCT03738332")</f>
        <v>NCT03738332</v>
      </c>
      <c r="L82" s="49"/>
      <c r="M82" s="35"/>
      <c r="N82" s="35"/>
      <c r="O82" s="35"/>
      <c r="P82" s="35"/>
      <c r="Q82" s="35"/>
      <c r="R82" s="35"/>
      <c r="S82" s="35"/>
      <c r="T82" s="35"/>
      <c r="U82" s="35"/>
      <c r="V82" s="35"/>
      <c r="W82" s="35"/>
      <c r="X82" s="35"/>
      <c r="Y82" s="35"/>
      <c r="Z82" s="35"/>
      <c r="AA82" s="35"/>
    </row>
    <row r="83">
      <c r="A83" s="660"/>
      <c r="B83" s="391" t="s">
        <v>38135</v>
      </c>
      <c r="C83" s="657"/>
      <c r="D83" s="661" t="s">
        <v>400</v>
      </c>
      <c r="E83" s="661" t="s">
        <v>37772</v>
      </c>
      <c r="F83" s="662" t="s">
        <v>38136</v>
      </c>
      <c r="G83" s="661" t="s">
        <v>38137</v>
      </c>
      <c r="H83" s="663" t="s">
        <v>37727</v>
      </c>
      <c r="I83" s="666" t="s">
        <v>38138</v>
      </c>
      <c r="J83" s="667" t="s">
        <v>38139</v>
      </c>
      <c r="K83" s="117" t="str">
        <f>HYPERLINK("https://clinicaltrials.gov/ct2/show/NCT03355313","NCT03355313")</f>
        <v>NCT03355313</v>
      </c>
      <c r="L83" s="49"/>
      <c r="M83" s="35"/>
      <c r="N83" s="35"/>
      <c r="O83" s="35"/>
      <c r="P83" s="35"/>
      <c r="Q83" s="35"/>
      <c r="R83" s="35"/>
      <c r="S83" s="35"/>
      <c r="T83" s="35"/>
      <c r="U83" s="35"/>
      <c r="V83" s="35"/>
      <c r="W83" s="35"/>
      <c r="X83" s="35"/>
      <c r="Y83" s="35"/>
      <c r="Z83" s="35"/>
      <c r="AA83" s="35"/>
    </row>
    <row r="84">
      <c r="A84" s="660"/>
      <c r="B84" s="391" t="s">
        <v>38140</v>
      </c>
      <c r="C84" s="657"/>
      <c r="D84" s="661" t="s">
        <v>3414</v>
      </c>
      <c r="E84" s="661" t="s">
        <v>38141</v>
      </c>
      <c r="F84" s="662" t="s">
        <v>38142</v>
      </c>
      <c r="G84" s="661" t="s">
        <v>38143</v>
      </c>
      <c r="H84" s="663" t="s">
        <v>37727</v>
      </c>
      <c r="I84" s="666" t="s">
        <v>38144</v>
      </c>
      <c r="J84" s="667" t="s">
        <v>38145</v>
      </c>
      <c r="K84" s="426" t="s">
        <v>38146</v>
      </c>
      <c r="L84" s="49"/>
      <c r="M84" s="35"/>
      <c r="N84" s="35"/>
      <c r="O84" s="35"/>
      <c r="P84" s="35"/>
      <c r="Q84" s="35"/>
      <c r="R84" s="35"/>
      <c r="S84" s="35"/>
      <c r="T84" s="35"/>
      <c r="U84" s="35"/>
      <c r="V84" s="35"/>
      <c r="W84" s="35"/>
      <c r="X84" s="35"/>
      <c r="Y84" s="35"/>
      <c r="Z84" s="35"/>
      <c r="AA84" s="35"/>
    </row>
    <row r="85">
      <c r="A85" s="660"/>
      <c r="B85" s="391" t="s">
        <v>9300</v>
      </c>
      <c r="C85" s="657"/>
      <c r="D85" s="661" t="s">
        <v>3414</v>
      </c>
      <c r="E85" s="661" t="s">
        <v>38141</v>
      </c>
      <c r="F85" s="662" t="s">
        <v>38147</v>
      </c>
      <c r="G85" s="661" t="s">
        <v>38148</v>
      </c>
      <c r="H85" s="663" t="s">
        <v>37721</v>
      </c>
      <c r="I85" s="666" t="s">
        <v>38149</v>
      </c>
      <c r="J85" s="667" t="s">
        <v>38150</v>
      </c>
      <c r="K85" s="426" t="s">
        <v>38151</v>
      </c>
      <c r="L85" s="49"/>
      <c r="M85" s="35"/>
      <c r="N85" s="35"/>
      <c r="O85" s="35"/>
      <c r="P85" s="35"/>
      <c r="Q85" s="35"/>
      <c r="R85" s="35"/>
      <c r="S85" s="35"/>
      <c r="T85" s="35"/>
      <c r="U85" s="35"/>
      <c r="V85" s="35"/>
      <c r="W85" s="35"/>
      <c r="X85" s="35"/>
      <c r="Y85" s="35"/>
      <c r="Z85" s="35"/>
      <c r="AA85" s="35"/>
    </row>
    <row r="86">
      <c r="A86" s="660"/>
      <c r="B86" s="391" t="s">
        <v>6515</v>
      </c>
      <c r="C86" s="657"/>
      <c r="D86" s="661" t="s">
        <v>1310</v>
      </c>
      <c r="E86" s="661" t="s">
        <v>38152</v>
      </c>
      <c r="F86" s="662" t="s">
        <v>38153</v>
      </c>
      <c r="G86" s="661" t="s">
        <v>38154</v>
      </c>
      <c r="H86" s="663" t="s">
        <v>37721</v>
      </c>
      <c r="I86" s="666" t="s">
        <v>38155</v>
      </c>
      <c r="J86" s="667" t="s">
        <v>38156</v>
      </c>
      <c r="K86" s="117" t="str">
        <f>HYPERLINK("https://clinicaltrials.gov/ct2/show/NCT03357523","NCT03357523")</f>
        <v>NCT03357523</v>
      </c>
      <c r="L86" s="49"/>
      <c r="M86" s="35"/>
      <c r="N86" s="35"/>
      <c r="O86" s="35"/>
      <c r="P86" s="35"/>
      <c r="Q86" s="35"/>
      <c r="R86" s="35"/>
      <c r="S86" s="35"/>
      <c r="T86" s="35"/>
      <c r="U86" s="35"/>
      <c r="V86" s="35"/>
      <c r="W86" s="35"/>
      <c r="X86" s="35"/>
      <c r="Y86" s="35"/>
      <c r="Z86" s="35"/>
      <c r="AA86" s="35"/>
    </row>
    <row r="87">
      <c r="A87" s="679" t="s">
        <v>37857</v>
      </c>
      <c r="B87" s="391" t="s">
        <v>38157</v>
      </c>
      <c r="C87" s="657"/>
      <c r="D87" s="661" t="s">
        <v>2161</v>
      </c>
      <c r="E87" s="661" t="s">
        <v>38158</v>
      </c>
      <c r="F87" s="662" t="s">
        <v>38159</v>
      </c>
      <c r="G87" s="661" t="s">
        <v>37968</v>
      </c>
      <c r="H87" s="663" t="s">
        <v>37721</v>
      </c>
      <c r="I87" s="666" t="s">
        <v>38160</v>
      </c>
      <c r="J87" s="667" t="s">
        <v>38161</v>
      </c>
      <c r="K87" s="117" t="str">
        <f>HYPERLINK("https://clinicaltrials.gov/ct2/show/NCT02969642","NCT02969642")</f>
        <v>NCT02969642</v>
      </c>
      <c r="L87" s="49"/>
      <c r="M87" s="35"/>
      <c r="N87" s="35"/>
      <c r="O87" s="35"/>
      <c r="P87" s="35"/>
      <c r="Q87" s="35"/>
      <c r="R87" s="35"/>
      <c r="S87" s="35"/>
      <c r="T87" s="35"/>
      <c r="U87" s="35"/>
      <c r="V87" s="35"/>
      <c r="W87" s="35"/>
      <c r="X87" s="35"/>
      <c r="Y87" s="35"/>
      <c r="Z87" s="35"/>
      <c r="AA87" s="35"/>
    </row>
    <row r="88">
      <c r="A88" s="660"/>
      <c r="B88" s="681" t="s">
        <v>3795</v>
      </c>
      <c r="C88" s="657"/>
      <c r="D88" s="675" t="s">
        <v>2161</v>
      </c>
      <c r="E88" s="675" t="s">
        <v>38162</v>
      </c>
      <c r="F88" s="676" t="s">
        <v>38163</v>
      </c>
      <c r="G88" s="675" t="s">
        <v>37909</v>
      </c>
      <c r="H88" s="663" t="s">
        <v>37721</v>
      </c>
      <c r="I88" s="666" t="s">
        <v>38164</v>
      </c>
      <c r="J88" s="667" t="s">
        <v>38165</v>
      </c>
      <c r="K88" s="682" t="str">
        <f>HYPERLINK("https://clinicaltrials.gov/ct2/show/NCT03691766","NCT03691766")</f>
        <v>NCT03691766</v>
      </c>
      <c r="L88" s="49"/>
      <c r="M88" s="35"/>
      <c r="N88" s="35"/>
      <c r="O88" s="35"/>
      <c r="P88" s="35"/>
      <c r="Q88" s="35"/>
      <c r="R88" s="35"/>
      <c r="S88" s="35"/>
      <c r="T88" s="35"/>
      <c r="U88" s="35"/>
      <c r="V88" s="35"/>
      <c r="W88" s="35"/>
      <c r="X88" s="35"/>
      <c r="Y88" s="35"/>
      <c r="Z88" s="35"/>
      <c r="AA88" s="35"/>
    </row>
    <row r="89">
      <c r="A89" s="660"/>
      <c r="B89" s="681" t="s">
        <v>3795</v>
      </c>
      <c r="C89" s="657"/>
      <c r="D89" s="675" t="s">
        <v>400</v>
      </c>
      <c r="E89" s="675" t="s">
        <v>37772</v>
      </c>
      <c r="F89" s="662" t="s">
        <v>38166</v>
      </c>
      <c r="G89" s="661" t="s">
        <v>38167</v>
      </c>
      <c r="H89" s="663" t="s">
        <v>37721</v>
      </c>
      <c r="I89" s="666" t="s">
        <v>38168</v>
      </c>
      <c r="J89" s="667" t="s">
        <v>38169</v>
      </c>
      <c r="K89" s="426" t="str">
        <f>HYPERLINK("https://clinicaltrials.gov/ct2/show/NCT03360487","NCT03360487")</f>
        <v>NCT03360487</v>
      </c>
      <c r="L89" s="49"/>
      <c r="M89" s="35"/>
      <c r="N89" s="35"/>
      <c r="O89" s="35"/>
      <c r="P89" s="35"/>
      <c r="Q89" s="35"/>
      <c r="R89" s="35"/>
      <c r="S89" s="35"/>
      <c r="T89" s="35"/>
      <c r="U89" s="35"/>
      <c r="V89" s="35"/>
      <c r="W89" s="35"/>
      <c r="X89" s="35"/>
      <c r="Y89" s="35"/>
      <c r="Z89" s="35"/>
      <c r="AA89" s="35"/>
    </row>
    <row r="90">
      <c r="A90" s="660"/>
      <c r="B90" s="669" t="s">
        <v>16968</v>
      </c>
      <c r="C90" s="657"/>
      <c r="D90" s="669" t="s">
        <v>400</v>
      </c>
      <c r="E90" s="661" t="s">
        <v>37873</v>
      </c>
      <c r="F90" s="670" t="s">
        <v>38170</v>
      </c>
      <c r="G90" s="669" t="s">
        <v>37962</v>
      </c>
      <c r="H90" s="663" t="s">
        <v>37721</v>
      </c>
      <c r="I90" s="666" t="s">
        <v>38171</v>
      </c>
      <c r="J90" s="667" t="s">
        <v>38172</v>
      </c>
      <c r="K90" s="123" t="str">
        <f>HYPERLINK("https://clinicaltrials.gov/ct2/show/NCT03753984﻿","NCT03753984﻿")</f>
        <v>NCT03753984﻿</v>
      </c>
      <c r="L90" s="671"/>
      <c r="M90" s="672" t="s">
        <v>37752</v>
      </c>
      <c r="N90" s="35"/>
      <c r="O90" s="35"/>
      <c r="P90" s="35"/>
      <c r="Q90" s="35"/>
      <c r="R90" s="35"/>
      <c r="S90" s="35"/>
      <c r="T90" s="35"/>
      <c r="U90" s="35"/>
      <c r="V90" s="35"/>
      <c r="W90" s="35"/>
      <c r="X90" s="35"/>
      <c r="Y90" s="35"/>
      <c r="Z90" s="35"/>
      <c r="AA90" s="35"/>
    </row>
    <row r="91">
      <c r="A91" s="660"/>
      <c r="B91" s="669" t="s">
        <v>16968</v>
      </c>
      <c r="C91" s="657"/>
      <c r="D91" s="669" t="s">
        <v>400</v>
      </c>
      <c r="E91" s="661" t="s">
        <v>37818</v>
      </c>
      <c r="F91" s="673" t="s">
        <v>38173</v>
      </c>
      <c r="G91" s="669" t="s">
        <v>38057</v>
      </c>
      <c r="H91" s="663" t="s">
        <v>37721</v>
      </c>
      <c r="I91" s="666" t="s">
        <v>38174</v>
      </c>
      <c r="J91" s="667" t="s">
        <v>38175</v>
      </c>
      <c r="K91" s="123" t="str">
        <f>HYPERLINK("https://clinicaltrials.gov/ct2/show/NCT03972007","NCT03972007")</f>
        <v>NCT03972007</v>
      </c>
      <c r="L91" s="671"/>
      <c r="M91" s="672" t="s">
        <v>37752</v>
      </c>
      <c r="N91" s="35"/>
      <c r="O91" s="35"/>
      <c r="P91" s="35"/>
      <c r="Q91" s="35"/>
      <c r="R91" s="35"/>
      <c r="S91" s="35"/>
      <c r="T91" s="35"/>
      <c r="U91" s="35"/>
      <c r="V91" s="35"/>
      <c r="W91" s="35"/>
      <c r="X91" s="35"/>
      <c r="Y91" s="35"/>
      <c r="Z91" s="35"/>
      <c r="AA91" s="35"/>
    </row>
    <row r="92">
      <c r="A92" s="660"/>
      <c r="B92" s="681" t="s">
        <v>38176</v>
      </c>
      <c r="C92" s="657"/>
      <c r="D92" s="675" t="s">
        <v>400</v>
      </c>
      <c r="E92" s="675" t="s">
        <v>37772</v>
      </c>
      <c r="F92" s="676" t="s">
        <v>38177</v>
      </c>
      <c r="G92" s="675" t="s">
        <v>38178</v>
      </c>
      <c r="H92" s="663" t="s">
        <v>37727</v>
      </c>
      <c r="I92" s="666" t="s">
        <v>38179</v>
      </c>
      <c r="J92" s="667" t="s">
        <v>38180</v>
      </c>
      <c r="K92" s="682" t="str">
        <f>HYPERLINK("https://clinicaltrials.gov/ct2/show/NCT03593733","NCT03593733")</f>
        <v>NCT03593733</v>
      </c>
      <c r="L92" s="49"/>
      <c r="M92" s="35"/>
      <c r="N92" s="35"/>
      <c r="O92" s="35"/>
      <c r="P92" s="35"/>
      <c r="Q92" s="35"/>
      <c r="R92" s="35"/>
      <c r="S92" s="35"/>
      <c r="T92" s="35"/>
      <c r="U92" s="35"/>
      <c r="V92" s="35"/>
      <c r="W92" s="35"/>
      <c r="X92" s="35"/>
      <c r="Y92" s="35"/>
      <c r="Z92" s="35"/>
      <c r="AA92" s="35"/>
    </row>
    <row r="93">
      <c r="A93" s="660"/>
      <c r="B93" s="681" t="s">
        <v>38176</v>
      </c>
      <c r="C93" s="657"/>
      <c r="D93" s="675" t="s">
        <v>400</v>
      </c>
      <c r="E93" s="675" t="s">
        <v>37772</v>
      </c>
      <c r="F93" s="662" t="s">
        <v>38181</v>
      </c>
      <c r="G93" s="661" t="s">
        <v>38182</v>
      </c>
      <c r="H93" s="663" t="s">
        <v>37721</v>
      </c>
      <c r="I93" s="666" t="s">
        <v>38183</v>
      </c>
      <c r="J93" s="667" t="s">
        <v>38184</v>
      </c>
      <c r="K93" s="426" t="str">
        <f>HYPERLINK("https://clinicaltrials.gov/ct2/show/NCT03416998","NCT03416998")</f>
        <v>NCT03416998</v>
      </c>
      <c r="L93" s="49"/>
      <c r="M93" s="35"/>
      <c r="N93" s="35"/>
      <c r="O93" s="35"/>
      <c r="P93" s="35"/>
      <c r="Q93" s="35"/>
      <c r="R93" s="35"/>
      <c r="S93" s="35"/>
      <c r="T93" s="35"/>
      <c r="U93" s="35"/>
      <c r="V93" s="35"/>
      <c r="W93" s="35"/>
      <c r="X93" s="35"/>
      <c r="Y93" s="35"/>
      <c r="Z93" s="35"/>
      <c r="AA93" s="35"/>
    </row>
    <row r="94">
      <c r="A94" s="660"/>
      <c r="B94" s="391" t="s">
        <v>38185</v>
      </c>
      <c r="C94" s="657"/>
      <c r="D94" s="661" t="s">
        <v>400</v>
      </c>
      <c r="E94" s="675" t="s">
        <v>37772</v>
      </c>
      <c r="F94" s="662" t="s">
        <v>38186</v>
      </c>
      <c r="G94" s="661" t="s">
        <v>37925</v>
      </c>
      <c r="H94" s="678" t="s">
        <v>37780</v>
      </c>
      <c r="I94" s="666" t="s">
        <v>38187</v>
      </c>
      <c r="J94" s="667" t="s">
        <v>38188</v>
      </c>
      <c r="K94" s="426" t="s">
        <v>38189</v>
      </c>
      <c r="L94" s="49"/>
      <c r="M94" s="113"/>
      <c r="N94" s="35"/>
      <c r="O94" s="35"/>
      <c r="P94" s="35"/>
      <c r="Q94" s="35"/>
      <c r="R94" s="35"/>
      <c r="S94" s="35"/>
      <c r="T94" s="35"/>
      <c r="U94" s="35"/>
      <c r="V94" s="35"/>
      <c r="W94" s="35"/>
      <c r="X94" s="35"/>
      <c r="Y94" s="35"/>
      <c r="Z94" s="35"/>
      <c r="AA94" s="35"/>
    </row>
    <row r="95">
      <c r="A95" s="660"/>
      <c r="B95" s="391" t="s">
        <v>38185</v>
      </c>
      <c r="C95" s="657"/>
      <c r="D95" s="661" t="s">
        <v>400</v>
      </c>
      <c r="E95" s="675" t="s">
        <v>37772</v>
      </c>
      <c r="F95" s="662" t="s">
        <v>38190</v>
      </c>
      <c r="G95" s="661" t="s">
        <v>37909</v>
      </c>
      <c r="H95" s="678" t="s">
        <v>37780</v>
      </c>
      <c r="I95" s="666" t="s">
        <v>38191</v>
      </c>
      <c r="J95" s="667" t="s">
        <v>38192</v>
      </c>
      <c r="K95" s="426" t="str">
        <f>HYPERLINK("https://clinicaltrials.gov/ct2/show/NCT04035863","NCT04035863")</f>
        <v>NCT04035863</v>
      </c>
      <c r="L95" s="49"/>
      <c r="M95" s="113" t="s">
        <v>38047</v>
      </c>
      <c r="N95" s="35"/>
      <c r="O95" s="35"/>
      <c r="P95" s="35"/>
      <c r="Q95" s="35"/>
      <c r="R95" s="35"/>
      <c r="S95" s="35"/>
      <c r="T95" s="35"/>
      <c r="U95" s="35"/>
      <c r="V95" s="35"/>
      <c r="W95" s="35"/>
      <c r="X95" s="35"/>
      <c r="Y95" s="35"/>
      <c r="Z95" s="35"/>
      <c r="AA95" s="35"/>
    </row>
    <row r="96">
      <c r="A96" s="660"/>
      <c r="B96" s="391" t="s">
        <v>37344</v>
      </c>
      <c r="C96" s="657"/>
      <c r="D96" s="661" t="s">
        <v>38193</v>
      </c>
      <c r="E96" s="661" t="s">
        <v>38194</v>
      </c>
      <c r="F96" s="662" t="s">
        <v>38195</v>
      </c>
      <c r="G96" s="661" t="s">
        <v>37962</v>
      </c>
      <c r="H96" s="678" t="s">
        <v>37780</v>
      </c>
      <c r="I96" s="666" t="s">
        <v>38196</v>
      </c>
      <c r="J96" s="667" t="s">
        <v>38197</v>
      </c>
      <c r="K96" s="426" t="s">
        <v>38198</v>
      </c>
      <c r="L96" s="49"/>
      <c r="M96" s="35"/>
      <c r="N96" s="35"/>
      <c r="O96" s="35"/>
      <c r="P96" s="35"/>
      <c r="Q96" s="35"/>
      <c r="R96" s="35"/>
      <c r="S96" s="35"/>
      <c r="T96" s="35"/>
      <c r="U96" s="35"/>
      <c r="V96" s="35"/>
      <c r="W96" s="35"/>
      <c r="X96" s="35"/>
      <c r="Y96" s="35"/>
      <c r="Z96" s="35"/>
      <c r="AA96" s="35"/>
    </row>
    <row r="97">
      <c r="A97" s="660"/>
      <c r="B97" s="391" t="s">
        <v>37344</v>
      </c>
      <c r="C97" s="657"/>
      <c r="D97" s="661" t="s">
        <v>400</v>
      </c>
      <c r="E97" s="661" t="s">
        <v>38199</v>
      </c>
      <c r="F97" s="662" t="s">
        <v>38200</v>
      </c>
      <c r="G97" s="661" t="s">
        <v>37837</v>
      </c>
      <c r="H97" s="663" t="s">
        <v>37721</v>
      </c>
      <c r="I97" s="666" t="s">
        <v>38201</v>
      </c>
      <c r="J97" s="667" t="s">
        <v>38202</v>
      </c>
      <c r="K97" s="117" t="str">
        <f>HYPERLINK("https://clinicaltrials.gov/ct2/show/NCT03375229","NCT03375229")</f>
        <v>NCT03375229</v>
      </c>
      <c r="L97" s="49"/>
      <c r="M97" s="35"/>
      <c r="N97" s="35"/>
      <c r="O97" s="35"/>
      <c r="P97" s="35"/>
      <c r="Q97" s="35"/>
      <c r="R97" s="35"/>
      <c r="S97" s="35"/>
      <c r="T97" s="35"/>
      <c r="U97" s="35"/>
      <c r="V97" s="35"/>
      <c r="W97" s="35"/>
      <c r="X97" s="35"/>
      <c r="Y97" s="35"/>
      <c r="Z97" s="35"/>
      <c r="AA97" s="35"/>
    </row>
    <row r="98">
      <c r="A98" s="660"/>
      <c r="B98" s="669" t="s">
        <v>37641</v>
      </c>
      <c r="C98" s="657"/>
      <c r="D98" s="661" t="s">
        <v>400</v>
      </c>
      <c r="E98" s="661" t="s">
        <v>38203</v>
      </c>
      <c r="F98" s="680" t="s">
        <v>38204</v>
      </c>
      <c r="G98" s="661" t="s">
        <v>38205</v>
      </c>
      <c r="H98" s="678" t="s">
        <v>37780</v>
      </c>
      <c r="I98" s="666" t="s">
        <v>38206</v>
      </c>
      <c r="J98" s="667" t="s">
        <v>38207</v>
      </c>
      <c r="K98" s="426" t="str">
        <f>HYPERLINK("https://clinicaltrials.gov/ct2/show/NCT04020861","NCT04020861")</f>
        <v>NCT04020861</v>
      </c>
      <c r="L98" s="671"/>
      <c r="M98" s="672"/>
      <c r="N98" s="35"/>
      <c r="O98" s="35"/>
      <c r="P98" s="35"/>
      <c r="Q98" s="35"/>
      <c r="R98" s="35"/>
      <c r="S98" s="35"/>
      <c r="T98" s="35"/>
      <c r="U98" s="35"/>
      <c r="V98" s="35"/>
      <c r="W98" s="35"/>
      <c r="X98" s="35"/>
      <c r="Y98" s="35"/>
      <c r="Z98" s="35"/>
      <c r="AA98" s="35"/>
    </row>
    <row r="99">
      <c r="A99" s="660"/>
      <c r="B99" s="669" t="s">
        <v>37641</v>
      </c>
      <c r="C99" s="657"/>
      <c r="D99" s="669" t="s">
        <v>2161</v>
      </c>
      <c r="E99" s="661" t="s">
        <v>38208</v>
      </c>
      <c r="F99" s="673" t="s">
        <v>38209</v>
      </c>
      <c r="G99" s="669" t="s">
        <v>38210</v>
      </c>
      <c r="H99" s="678" t="s">
        <v>37780</v>
      </c>
      <c r="I99" s="666" t="s">
        <v>38211</v>
      </c>
      <c r="J99" s="667" t="s">
        <v>38212</v>
      </c>
      <c r="K99" s="123" t="str">
        <f>HYPERLINK("https://clinicaltrials.gov/ct2/show/NCT03945240","NCT03945240")</f>
        <v>NCT03945240</v>
      </c>
      <c r="L99" s="671"/>
      <c r="M99" s="672" t="s">
        <v>37752</v>
      </c>
      <c r="N99" s="35"/>
      <c r="O99" s="35"/>
      <c r="P99" s="35"/>
      <c r="Q99" s="35"/>
      <c r="R99" s="35"/>
      <c r="S99" s="35"/>
      <c r="T99" s="35"/>
      <c r="U99" s="35"/>
      <c r="V99" s="35"/>
      <c r="W99" s="35"/>
      <c r="X99" s="35"/>
      <c r="Y99" s="35"/>
      <c r="Z99" s="35"/>
      <c r="AA99" s="35"/>
    </row>
    <row r="100" ht="39.0" customHeight="1">
      <c r="A100" s="660"/>
      <c r="B100" s="391" t="s">
        <v>38213</v>
      </c>
      <c r="C100" s="657"/>
      <c r="D100" s="661" t="s">
        <v>2161</v>
      </c>
      <c r="E100" s="661" t="s">
        <v>38214</v>
      </c>
      <c r="F100" s="662" t="s">
        <v>38215</v>
      </c>
      <c r="G100" s="661" t="s">
        <v>38216</v>
      </c>
      <c r="H100" s="663" t="s">
        <v>37721</v>
      </c>
      <c r="I100" s="666" t="s">
        <v>38217</v>
      </c>
      <c r="J100" s="667" t="s">
        <v>38218</v>
      </c>
      <c r="K100" s="426" t="str">
        <f>HYPERLINK("https://clinicaltrials.gov/ct2/show/NCT04006392","NCT04006392")</f>
        <v>NCT04006392</v>
      </c>
      <c r="L100" s="49"/>
      <c r="M100" s="35"/>
      <c r="N100" s="35"/>
      <c r="O100" s="35"/>
      <c r="P100" s="35"/>
      <c r="Q100" s="35"/>
      <c r="R100" s="35"/>
      <c r="S100" s="35"/>
      <c r="T100" s="35"/>
      <c r="U100" s="35"/>
      <c r="V100" s="35"/>
      <c r="W100" s="35"/>
      <c r="X100" s="35"/>
      <c r="Y100" s="35"/>
      <c r="Z100" s="35"/>
      <c r="AA100" s="35"/>
    </row>
    <row r="101">
      <c r="A101" s="660"/>
      <c r="B101" s="391" t="s">
        <v>38219</v>
      </c>
      <c r="C101" s="657"/>
      <c r="D101" s="661" t="s">
        <v>2161</v>
      </c>
      <c r="E101" s="661" t="s">
        <v>38220</v>
      </c>
      <c r="F101" s="662" t="s">
        <v>38221</v>
      </c>
      <c r="G101" s="661" t="s">
        <v>38222</v>
      </c>
      <c r="H101" s="678" t="s">
        <v>37780</v>
      </c>
      <c r="I101" s="666" t="s">
        <v>38223</v>
      </c>
      <c r="J101" s="667" t="s">
        <v>38224</v>
      </c>
      <c r="K101" s="426" t="str">
        <f>HYPERLINK("https://clinicaltrials.gov/ct2/show/NCT03195868?term=photobiomodulation&amp;recrs=abdf&amp;rank=19","NCT03195868")</f>
        <v>NCT03195868</v>
      </c>
      <c r="L101" s="49"/>
      <c r="M101" s="35"/>
      <c r="N101" s="35"/>
      <c r="O101" s="35"/>
      <c r="P101" s="35"/>
      <c r="Q101" s="35"/>
      <c r="R101" s="35"/>
      <c r="S101" s="35"/>
      <c r="T101" s="35"/>
      <c r="U101" s="35"/>
      <c r="V101" s="35"/>
      <c r="W101" s="35"/>
      <c r="X101" s="35"/>
      <c r="Y101" s="35"/>
      <c r="Z101" s="35"/>
      <c r="AA101" s="35"/>
    </row>
    <row r="102">
      <c r="A102" s="660"/>
      <c r="B102" s="391" t="s">
        <v>38225</v>
      </c>
      <c r="C102" s="657"/>
      <c r="D102" s="661" t="s">
        <v>400</v>
      </c>
      <c r="E102" s="661" t="s">
        <v>37772</v>
      </c>
      <c r="F102" s="662" t="s">
        <v>38226</v>
      </c>
      <c r="G102" s="661" t="s">
        <v>38227</v>
      </c>
      <c r="H102" s="678" t="s">
        <v>37780</v>
      </c>
      <c r="I102" s="666" t="s">
        <v>38228</v>
      </c>
      <c r="J102" s="667" t="s">
        <v>38229</v>
      </c>
      <c r="K102" s="117" t="str">
        <f>HYPERLINK("https://clinicaltrials.gov/ct2/show/NCT03496753","NCT03496753")</f>
        <v>NCT03496753</v>
      </c>
      <c r="L102" s="49"/>
      <c r="M102" s="35"/>
      <c r="N102" s="35"/>
      <c r="O102" s="35"/>
      <c r="P102" s="35"/>
      <c r="Q102" s="35"/>
      <c r="R102" s="35"/>
      <c r="S102" s="35"/>
      <c r="T102" s="35"/>
      <c r="U102" s="35"/>
      <c r="V102" s="35"/>
      <c r="W102" s="35"/>
      <c r="X102" s="35"/>
      <c r="Y102" s="35"/>
      <c r="Z102" s="35"/>
      <c r="AA102" s="35"/>
    </row>
    <row r="103">
      <c r="A103" s="660"/>
      <c r="B103" s="391" t="s">
        <v>38230</v>
      </c>
      <c r="C103" s="657"/>
      <c r="D103" s="661" t="s">
        <v>2161</v>
      </c>
      <c r="E103" s="661" t="s">
        <v>38231</v>
      </c>
      <c r="F103" s="662" t="s">
        <v>38232</v>
      </c>
      <c r="G103" s="661" t="s">
        <v>38233</v>
      </c>
      <c r="H103" s="668" t="s">
        <v>37744</v>
      </c>
      <c r="I103" s="666" t="s">
        <v>38234</v>
      </c>
      <c r="J103" s="667" t="s">
        <v>38235</v>
      </c>
      <c r="K103" s="426" t="s">
        <v>38236</v>
      </c>
      <c r="L103" s="49"/>
      <c r="M103" s="35"/>
      <c r="N103" s="35"/>
      <c r="O103" s="35"/>
      <c r="P103" s="35"/>
      <c r="Q103" s="35"/>
      <c r="R103" s="35"/>
      <c r="S103" s="35"/>
      <c r="T103" s="35"/>
      <c r="U103" s="35"/>
      <c r="V103" s="35"/>
      <c r="W103" s="35"/>
      <c r="X103" s="35"/>
      <c r="Y103" s="35"/>
      <c r="Z103" s="35"/>
      <c r="AA103" s="35"/>
    </row>
    <row r="104">
      <c r="A104" s="660"/>
      <c r="B104" s="391" t="s">
        <v>38237</v>
      </c>
      <c r="C104" s="657"/>
      <c r="D104" s="661" t="s">
        <v>400</v>
      </c>
      <c r="E104" s="661" t="s">
        <v>37818</v>
      </c>
      <c r="F104" s="662" t="s">
        <v>38238</v>
      </c>
      <c r="G104" s="661" t="s">
        <v>38239</v>
      </c>
      <c r="H104" s="663" t="s">
        <v>37721</v>
      </c>
      <c r="I104" s="666" t="s">
        <v>38240</v>
      </c>
      <c r="J104" s="667" t="s">
        <v>38241</v>
      </c>
      <c r="K104" s="117" t="str">
        <f>HYPERLINK("https://clinicaltrials.gov/ct2/show/NCT03553407","NCT03553407")</f>
        <v>NCT03553407</v>
      </c>
      <c r="L104" s="49"/>
      <c r="M104" s="35"/>
      <c r="N104" s="35"/>
      <c r="O104" s="35"/>
      <c r="P104" s="35"/>
      <c r="Q104" s="35"/>
      <c r="R104" s="35"/>
      <c r="S104" s="35"/>
      <c r="T104" s="35"/>
      <c r="U104" s="35"/>
      <c r="V104" s="35"/>
      <c r="W104" s="35"/>
      <c r="X104" s="35"/>
      <c r="Y104" s="35"/>
      <c r="Z104" s="35"/>
      <c r="AA104" s="35"/>
    </row>
    <row r="105">
      <c r="A105" s="660"/>
      <c r="B105" s="391" t="s">
        <v>38242</v>
      </c>
      <c r="C105" s="657"/>
      <c r="D105" s="661" t="s">
        <v>12068</v>
      </c>
      <c r="E105" s="661" t="s">
        <v>38243</v>
      </c>
      <c r="F105" s="662" t="s">
        <v>38244</v>
      </c>
      <c r="G105" s="661" t="s">
        <v>38245</v>
      </c>
      <c r="H105" s="663" t="s">
        <v>37721</v>
      </c>
      <c r="I105" s="666" t="s">
        <v>38246</v>
      </c>
      <c r="J105" s="667" t="s">
        <v>38247</v>
      </c>
      <c r="K105" s="117" t="str">
        <f>HYPERLINK("https://clinicaltrials.gov/ct2/show/NCT03553290","NCT03553290")</f>
        <v>NCT03553290</v>
      </c>
      <c r="L105" s="49"/>
      <c r="M105" s="35"/>
      <c r="N105" s="35"/>
      <c r="O105" s="35"/>
      <c r="P105" s="35"/>
      <c r="Q105" s="35"/>
      <c r="R105" s="35"/>
      <c r="S105" s="35"/>
      <c r="T105" s="35"/>
      <c r="U105" s="35"/>
      <c r="V105" s="35"/>
      <c r="W105" s="35"/>
      <c r="X105" s="35"/>
      <c r="Y105" s="35"/>
      <c r="Z105" s="35"/>
      <c r="AA105" s="35"/>
    </row>
    <row r="106">
      <c r="A106" s="679" t="s">
        <v>37857</v>
      </c>
      <c r="B106" s="391" t="s">
        <v>38248</v>
      </c>
      <c r="C106" s="657"/>
      <c r="D106" s="661" t="s">
        <v>400</v>
      </c>
      <c r="E106" s="661" t="s">
        <v>38249</v>
      </c>
      <c r="F106" s="662" t="s">
        <v>38250</v>
      </c>
      <c r="G106" s="661" t="s">
        <v>37909</v>
      </c>
      <c r="H106" s="663" t="s">
        <v>37721</v>
      </c>
      <c r="I106" s="666" t="s">
        <v>38251</v>
      </c>
      <c r="J106" s="667" t="s">
        <v>38252</v>
      </c>
      <c r="K106" s="117" t="str">
        <f>HYPERLINK("https://clinicaltrials.gov/ct2/show/NCT02995070","NCT02995070")</f>
        <v>NCT02995070</v>
      </c>
      <c r="L106" s="49"/>
      <c r="M106" s="35"/>
      <c r="N106" s="35"/>
      <c r="O106" s="35"/>
      <c r="P106" s="35"/>
      <c r="Q106" s="35"/>
      <c r="R106" s="35"/>
      <c r="S106" s="35"/>
      <c r="T106" s="35"/>
      <c r="U106" s="35"/>
      <c r="V106" s="35"/>
      <c r="W106" s="35"/>
      <c r="X106" s="35"/>
      <c r="Y106" s="35"/>
      <c r="Z106" s="35"/>
      <c r="AA106" s="35"/>
    </row>
    <row r="107">
      <c r="A107" s="660"/>
      <c r="B107" s="391" t="s">
        <v>38253</v>
      </c>
      <c r="C107" s="657"/>
      <c r="D107" s="675" t="s">
        <v>400</v>
      </c>
      <c r="E107" s="661" t="s">
        <v>37818</v>
      </c>
      <c r="F107" s="662" t="s">
        <v>38254</v>
      </c>
      <c r="G107" s="661" t="s">
        <v>37837</v>
      </c>
      <c r="H107" s="663" t="s">
        <v>37721</v>
      </c>
      <c r="I107" s="666" t="s">
        <v>38255</v>
      </c>
      <c r="J107" s="667" t="s">
        <v>38256</v>
      </c>
      <c r="K107" s="426" t="str">
        <f>HYPERLINK("https://clinicaltrials.gov/ct2/show/NCT03462368","NCT03462368")</f>
        <v>NCT03462368</v>
      </c>
      <c r="L107" s="49"/>
      <c r="M107" s="35"/>
      <c r="N107" s="35"/>
      <c r="O107" s="35"/>
      <c r="P107" s="35"/>
      <c r="Q107" s="35"/>
      <c r="R107" s="35"/>
      <c r="S107" s="35"/>
      <c r="T107" s="35"/>
      <c r="U107" s="35"/>
      <c r="V107" s="35"/>
      <c r="W107" s="35"/>
      <c r="X107" s="35"/>
      <c r="Y107" s="35"/>
      <c r="Z107" s="35"/>
      <c r="AA107" s="35"/>
    </row>
    <row r="108">
      <c r="A108" s="660"/>
      <c r="B108" s="391" t="s">
        <v>38257</v>
      </c>
      <c r="C108" s="657"/>
      <c r="D108" s="675" t="s">
        <v>400</v>
      </c>
      <c r="E108" s="675" t="s">
        <v>37772</v>
      </c>
      <c r="F108" s="676" t="s">
        <v>38258</v>
      </c>
      <c r="G108" s="661" t="s">
        <v>37837</v>
      </c>
      <c r="H108" s="663" t="s">
        <v>37721</v>
      </c>
      <c r="I108" s="666" t="s">
        <v>38259</v>
      </c>
      <c r="J108" s="667" t="s">
        <v>38260</v>
      </c>
      <c r="K108" s="682" t="str">
        <f>HYPERLINK("https://clinicaltrials.gov/ct2/show/NCT03632096","NCT03632096")</f>
        <v>NCT03632096</v>
      </c>
      <c r="L108" s="49"/>
      <c r="M108" s="35"/>
      <c r="N108" s="35"/>
      <c r="O108" s="35"/>
      <c r="P108" s="35"/>
      <c r="Q108" s="35"/>
      <c r="R108" s="35"/>
      <c r="S108" s="35"/>
      <c r="T108" s="35"/>
      <c r="U108" s="35"/>
      <c r="V108" s="35"/>
      <c r="W108" s="35"/>
      <c r="X108" s="35"/>
      <c r="Y108" s="35"/>
      <c r="Z108" s="35"/>
      <c r="AA108" s="35"/>
    </row>
    <row r="109">
      <c r="A109" s="660"/>
      <c r="B109" s="391" t="s">
        <v>38261</v>
      </c>
      <c r="C109" s="657"/>
      <c r="D109" s="661" t="s">
        <v>3414</v>
      </c>
      <c r="E109" s="661" t="s">
        <v>38262</v>
      </c>
      <c r="F109" s="662" t="s">
        <v>38263</v>
      </c>
      <c r="G109" s="661" t="s">
        <v>38264</v>
      </c>
      <c r="H109" s="663" t="s">
        <v>37721</v>
      </c>
      <c r="I109" s="666" t="s">
        <v>38265</v>
      </c>
      <c r="J109" s="667" t="s">
        <v>38266</v>
      </c>
      <c r="K109" s="117" t="str">
        <f>HYPERLINK("https://clinicaltrials.gov/ct2/show/NCT03540316","NCT03540316")</f>
        <v>NCT03540316</v>
      </c>
      <c r="L109" s="49"/>
      <c r="M109" s="35"/>
      <c r="N109" s="35"/>
      <c r="O109" s="35"/>
      <c r="P109" s="35"/>
      <c r="Q109" s="35"/>
      <c r="R109" s="35"/>
      <c r="S109" s="35"/>
      <c r="T109" s="35"/>
      <c r="U109" s="35"/>
      <c r="V109" s="35"/>
      <c r="W109" s="35"/>
      <c r="X109" s="35"/>
      <c r="Y109" s="35"/>
      <c r="Z109" s="35"/>
      <c r="AA109" s="35"/>
    </row>
    <row r="110">
      <c r="A110" s="660"/>
      <c r="B110" s="391" t="s">
        <v>38267</v>
      </c>
      <c r="C110" s="657"/>
      <c r="D110" s="675" t="s">
        <v>400</v>
      </c>
      <c r="E110" s="675" t="s">
        <v>37772</v>
      </c>
      <c r="F110" s="662" t="s">
        <v>38268</v>
      </c>
      <c r="G110" s="661" t="s">
        <v>38269</v>
      </c>
      <c r="H110" s="678" t="s">
        <v>37780</v>
      </c>
      <c r="I110" s="666" t="s">
        <v>38270</v>
      </c>
      <c r="J110" s="667" t="s">
        <v>38271</v>
      </c>
      <c r="K110" s="117" t="str">
        <f>HYPERLINK("https://clinicaltrials.gov/ct2/show/NCT03320460","NCT03320460")</f>
        <v>NCT03320460</v>
      </c>
      <c r="L110" s="49"/>
      <c r="M110" s="35"/>
      <c r="N110" s="35"/>
      <c r="O110" s="35"/>
      <c r="P110" s="35"/>
      <c r="Q110" s="35"/>
      <c r="R110" s="35"/>
      <c r="S110" s="35"/>
      <c r="T110" s="35"/>
      <c r="U110" s="35"/>
      <c r="V110" s="35"/>
      <c r="W110" s="35"/>
      <c r="X110" s="35"/>
      <c r="Y110" s="35"/>
      <c r="Z110" s="35"/>
      <c r="AA110" s="35"/>
    </row>
    <row r="111">
      <c r="A111" s="660"/>
      <c r="B111" s="669" t="s">
        <v>38272</v>
      </c>
      <c r="C111" s="657"/>
      <c r="D111" s="669" t="s">
        <v>3414</v>
      </c>
      <c r="E111" s="661" t="s">
        <v>38141</v>
      </c>
      <c r="F111" s="670" t="s">
        <v>38273</v>
      </c>
      <c r="G111" s="669" t="s">
        <v>38274</v>
      </c>
      <c r="H111" s="678" t="s">
        <v>37780</v>
      </c>
      <c r="I111" s="666" t="s">
        <v>38275</v>
      </c>
      <c r="J111" s="667" t="s">
        <v>38276</v>
      </c>
      <c r="K111" s="123" t="str">
        <f>HYPERLINK("https://clinicaltrials.gov/ct2/show/NCT03771768","NCT03771768")</f>
        <v>NCT03771768</v>
      </c>
      <c r="L111" s="671"/>
      <c r="M111" s="672" t="s">
        <v>37752</v>
      </c>
      <c r="N111" s="35"/>
      <c r="O111" s="35"/>
      <c r="P111" s="35"/>
      <c r="Q111" s="35"/>
      <c r="R111" s="35"/>
      <c r="S111" s="35"/>
      <c r="T111" s="35"/>
      <c r="U111" s="35"/>
      <c r="V111" s="35"/>
      <c r="W111" s="35"/>
      <c r="X111" s="35"/>
      <c r="Y111" s="35"/>
      <c r="Z111" s="35"/>
      <c r="AA111" s="35"/>
    </row>
    <row r="112">
      <c r="A112" s="660"/>
      <c r="B112" s="669" t="s">
        <v>38277</v>
      </c>
      <c r="C112" s="657"/>
      <c r="D112" s="661" t="s">
        <v>8256</v>
      </c>
      <c r="E112" s="661" t="s">
        <v>38278</v>
      </c>
      <c r="F112" s="662" t="s">
        <v>38279</v>
      </c>
      <c r="G112" s="661" t="s">
        <v>38280</v>
      </c>
      <c r="H112" s="678" t="s">
        <v>37780</v>
      </c>
      <c r="I112" s="666" t="s">
        <v>38281</v>
      </c>
      <c r="J112" s="667" t="s">
        <v>38282</v>
      </c>
      <c r="K112" s="426" t="s">
        <v>38283</v>
      </c>
      <c r="L112" s="49"/>
      <c r="M112" s="35"/>
      <c r="N112" s="35"/>
      <c r="O112" s="35"/>
      <c r="P112" s="35"/>
      <c r="Q112" s="35"/>
      <c r="R112" s="35"/>
      <c r="S112" s="35"/>
      <c r="T112" s="35"/>
      <c r="U112" s="35"/>
      <c r="V112" s="35"/>
      <c r="W112" s="35"/>
      <c r="X112" s="35"/>
      <c r="Y112" s="35"/>
      <c r="Z112" s="35"/>
      <c r="AA112" s="35"/>
    </row>
    <row r="113">
      <c r="A113" s="660"/>
      <c r="B113" s="669" t="s">
        <v>38277</v>
      </c>
      <c r="C113" s="657"/>
      <c r="D113" s="661" t="s">
        <v>2161</v>
      </c>
      <c r="E113" s="661" t="s">
        <v>38284</v>
      </c>
      <c r="F113" s="662" t="s">
        <v>38285</v>
      </c>
      <c r="G113" s="661" t="s">
        <v>38286</v>
      </c>
      <c r="H113" s="663" t="s">
        <v>37721</v>
      </c>
      <c r="I113" s="666" t="s">
        <v>38287</v>
      </c>
      <c r="J113" s="667" t="s">
        <v>38288</v>
      </c>
      <c r="K113" s="426" t="s">
        <v>38289</v>
      </c>
      <c r="L113" s="49"/>
      <c r="M113" s="35"/>
      <c r="N113" s="35"/>
      <c r="O113" s="35"/>
      <c r="P113" s="35"/>
      <c r="Q113" s="35"/>
      <c r="R113" s="35"/>
      <c r="S113" s="35"/>
      <c r="T113" s="35"/>
      <c r="U113" s="35"/>
      <c r="V113" s="35"/>
      <c r="W113" s="35"/>
      <c r="X113" s="35"/>
      <c r="Y113" s="35"/>
      <c r="Z113" s="35"/>
      <c r="AA113" s="35"/>
    </row>
    <row r="114">
      <c r="A114" s="660"/>
      <c r="B114" s="669" t="s">
        <v>38277</v>
      </c>
      <c r="C114" s="657"/>
      <c r="D114" s="661" t="s">
        <v>2161</v>
      </c>
      <c r="E114" s="661" t="s">
        <v>38290</v>
      </c>
      <c r="F114" s="662" t="s">
        <v>38291</v>
      </c>
      <c r="G114" s="661" t="s">
        <v>38292</v>
      </c>
      <c r="H114" s="678" t="s">
        <v>37780</v>
      </c>
      <c r="I114" s="666" t="s">
        <v>38293</v>
      </c>
      <c r="J114" s="667" t="s">
        <v>38294</v>
      </c>
      <c r="K114" s="117" t="str">
        <f>HYPERLINK("https://clinicaltrials.gov/ct2/show/NCT04227340","NCT04227340")</f>
        <v>NCT04227340</v>
      </c>
      <c r="L114" s="49"/>
      <c r="M114" s="35"/>
      <c r="N114" s="35"/>
      <c r="O114" s="35"/>
      <c r="P114" s="35"/>
      <c r="Q114" s="35"/>
      <c r="R114" s="35"/>
      <c r="S114" s="35"/>
      <c r="T114" s="35"/>
      <c r="U114" s="35"/>
      <c r="V114" s="35"/>
      <c r="W114" s="35"/>
      <c r="X114" s="35"/>
      <c r="Y114" s="35"/>
      <c r="Z114" s="35"/>
      <c r="AA114" s="35"/>
    </row>
    <row r="115">
      <c r="A115" s="660"/>
      <c r="B115" s="669" t="s">
        <v>38277</v>
      </c>
      <c r="C115" s="657"/>
      <c r="D115" s="661" t="s">
        <v>2161</v>
      </c>
      <c r="E115" s="661" t="s">
        <v>38295</v>
      </c>
      <c r="F115" s="662" t="s">
        <v>38296</v>
      </c>
      <c r="G115" s="661" t="s">
        <v>38297</v>
      </c>
      <c r="H115" s="663" t="s">
        <v>37721</v>
      </c>
      <c r="I115" s="666" t="s">
        <v>38298</v>
      </c>
      <c r="J115" s="667" t="s">
        <v>38299</v>
      </c>
      <c r="K115" s="117" t="str">
        <f>HYPERLINK("https://clinicaltrials.gov/ct2/show/NCT02682992","NCT02682992")</f>
        <v>NCT02682992</v>
      </c>
      <c r="L115" s="49"/>
      <c r="M115" s="35"/>
      <c r="N115" s="35"/>
      <c r="O115" s="35"/>
      <c r="P115" s="35"/>
      <c r="Q115" s="35"/>
      <c r="R115" s="35"/>
      <c r="S115" s="35"/>
      <c r="T115" s="35"/>
      <c r="U115" s="35"/>
      <c r="V115" s="35"/>
      <c r="W115" s="35"/>
      <c r="X115" s="35"/>
      <c r="Y115" s="35"/>
      <c r="Z115" s="35"/>
      <c r="AA115" s="35"/>
    </row>
    <row r="116">
      <c r="A116" s="660"/>
      <c r="B116" s="669" t="s">
        <v>38277</v>
      </c>
      <c r="C116" s="657"/>
      <c r="D116" s="661" t="s">
        <v>8256</v>
      </c>
      <c r="E116" s="661" t="s">
        <v>38300</v>
      </c>
      <c r="F116" s="662" t="s">
        <v>38301</v>
      </c>
      <c r="G116" s="661" t="s">
        <v>38302</v>
      </c>
      <c r="H116" s="663" t="s">
        <v>37721</v>
      </c>
      <c r="I116" s="666" t="s">
        <v>38303</v>
      </c>
      <c r="J116" s="667" t="s">
        <v>38304</v>
      </c>
      <c r="K116" s="117" t="str">
        <f>HYPERLINK("https://clinicaltrials.gov/ct2/show/NCT02696408","NCT02696408")</f>
        <v>NCT02696408</v>
      </c>
      <c r="L116" s="49"/>
      <c r="M116" s="35"/>
      <c r="N116" s="35"/>
      <c r="O116" s="35"/>
      <c r="P116" s="35"/>
      <c r="Q116" s="35"/>
      <c r="R116" s="35"/>
      <c r="S116" s="35"/>
      <c r="T116" s="35"/>
      <c r="U116" s="35"/>
      <c r="V116" s="35"/>
      <c r="W116" s="35"/>
      <c r="X116" s="35"/>
      <c r="Y116" s="35"/>
      <c r="Z116" s="35"/>
      <c r="AA116" s="35"/>
    </row>
    <row r="117">
      <c r="A117" s="660"/>
      <c r="B117" s="669" t="s">
        <v>38277</v>
      </c>
      <c r="C117" s="657"/>
      <c r="D117" s="661" t="s">
        <v>2161</v>
      </c>
      <c r="E117" s="661" t="s">
        <v>38305</v>
      </c>
      <c r="F117" s="662" t="s">
        <v>38296</v>
      </c>
      <c r="G117" s="661" t="s">
        <v>38132</v>
      </c>
      <c r="H117" s="663" t="s">
        <v>37721</v>
      </c>
      <c r="I117" s="666" t="s">
        <v>38306</v>
      </c>
      <c r="J117" s="667" t="s">
        <v>38307</v>
      </c>
      <c r="K117" s="117" t="str">
        <f>HYPERLINK("https://clinicaltrials.gov/ct2/show/NCT02723604","NCT02723604")</f>
        <v>NCT02723604</v>
      </c>
      <c r="L117" s="49"/>
      <c r="M117" s="35"/>
      <c r="N117" s="35"/>
      <c r="O117" s="35"/>
      <c r="P117" s="35"/>
      <c r="Q117" s="35"/>
      <c r="R117" s="35"/>
      <c r="S117" s="35"/>
      <c r="T117" s="35"/>
      <c r="U117" s="35"/>
      <c r="V117" s="35"/>
      <c r="W117" s="35"/>
      <c r="X117" s="35"/>
      <c r="Y117" s="35"/>
      <c r="Z117" s="35"/>
      <c r="AA117" s="35"/>
    </row>
    <row r="118">
      <c r="A118" s="660"/>
      <c r="B118" s="669" t="s">
        <v>38277</v>
      </c>
      <c r="C118" s="657"/>
      <c r="D118" s="661" t="s">
        <v>8256</v>
      </c>
      <c r="E118" s="661" t="s">
        <v>38308</v>
      </c>
      <c r="F118" s="662" t="s">
        <v>38309</v>
      </c>
      <c r="G118" s="661" t="s">
        <v>37895</v>
      </c>
      <c r="H118" s="663" t="s">
        <v>37721</v>
      </c>
      <c r="I118" s="666" t="s">
        <v>38310</v>
      </c>
      <c r="J118" s="667" t="s">
        <v>38311</v>
      </c>
      <c r="K118" s="117" t="str">
        <f>HYPERLINK("https://clinicaltrials.gov/ct2/show/NCT01772706","NCT01772706")</f>
        <v>NCT01772706</v>
      </c>
      <c r="L118" s="49"/>
      <c r="M118" s="35"/>
      <c r="N118" s="35"/>
      <c r="O118" s="35"/>
      <c r="P118" s="35"/>
      <c r="Q118" s="35"/>
      <c r="R118" s="35"/>
      <c r="S118" s="35"/>
      <c r="T118" s="35"/>
      <c r="U118" s="35"/>
      <c r="V118" s="35"/>
      <c r="W118" s="35"/>
      <c r="X118" s="35"/>
      <c r="Y118" s="35"/>
      <c r="Z118" s="35"/>
      <c r="AA118" s="35"/>
    </row>
    <row r="119">
      <c r="A119" s="660"/>
      <c r="B119" s="669" t="s">
        <v>38277</v>
      </c>
      <c r="C119" s="657"/>
      <c r="D119" s="669" t="s">
        <v>2161</v>
      </c>
      <c r="E119" s="661" t="s">
        <v>38312</v>
      </c>
      <c r="F119" s="673" t="s">
        <v>38313</v>
      </c>
      <c r="G119" s="669" t="s">
        <v>38314</v>
      </c>
      <c r="H119" s="678" t="s">
        <v>37780</v>
      </c>
      <c r="I119" s="666" t="s">
        <v>38315</v>
      </c>
      <c r="J119" s="667" t="s">
        <v>38316</v>
      </c>
      <c r="K119" s="123" t="str">
        <f>HYPERLINK("https://clinicaltrials.gov/ct2/show/NCT03972527","NCT03972527")</f>
        <v>NCT03972527</v>
      </c>
      <c r="L119" s="671"/>
      <c r="M119" s="672" t="s">
        <v>37752</v>
      </c>
      <c r="N119" s="35"/>
      <c r="O119" s="35"/>
      <c r="P119" s="35"/>
      <c r="Q119" s="35"/>
      <c r="R119" s="35"/>
      <c r="S119" s="35"/>
      <c r="T119" s="35"/>
      <c r="U119" s="35"/>
      <c r="V119" s="35"/>
      <c r="W119" s="35"/>
      <c r="X119" s="35"/>
      <c r="Y119" s="35"/>
      <c r="Z119" s="35"/>
      <c r="AA119" s="35"/>
    </row>
    <row r="120">
      <c r="A120" s="660"/>
      <c r="B120" s="669" t="s">
        <v>38277</v>
      </c>
      <c r="C120" s="657"/>
      <c r="D120" s="669" t="s">
        <v>8256</v>
      </c>
      <c r="E120" s="661" t="s">
        <v>38317</v>
      </c>
      <c r="F120" s="673" t="s">
        <v>38318</v>
      </c>
      <c r="G120" s="669" t="s">
        <v>38319</v>
      </c>
      <c r="H120" s="678" t="s">
        <v>37780</v>
      </c>
      <c r="I120" s="666" t="s">
        <v>38320</v>
      </c>
      <c r="J120" s="667" t="s">
        <v>38321</v>
      </c>
      <c r="K120" s="123" t="str">
        <f>HYPERLINK("https://clinicaltrials.gov/ct2/show/NCT03955224","NCT03955224")</f>
        <v>NCT03955224</v>
      </c>
      <c r="L120" s="671"/>
      <c r="M120" s="672" t="s">
        <v>37752</v>
      </c>
      <c r="N120" s="35"/>
      <c r="O120" s="35"/>
      <c r="P120" s="35"/>
      <c r="Q120" s="35"/>
      <c r="R120" s="35"/>
      <c r="S120" s="35"/>
      <c r="T120" s="35"/>
      <c r="U120" s="35"/>
      <c r="V120" s="35"/>
      <c r="W120" s="35"/>
      <c r="X120" s="35"/>
      <c r="Y120" s="35"/>
      <c r="Z120" s="35"/>
      <c r="AA120" s="35"/>
    </row>
    <row r="121">
      <c r="A121" s="660"/>
      <c r="B121" s="669" t="s">
        <v>38322</v>
      </c>
      <c r="C121" s="657"/>
      <c r="D121" s="669" t="s">
        <v>8256</v>
      </c>
      <c r="E121" s="661" t="s">
        <v>38323</v>
      </c>
      <c r="F121" s="670" t="s">
        <v>38324</v>
      </c>
      <c r="G121" s="669" t="s">
        <v>38325</v>
      </c>
      <c r="H121" s="678" t="s">
        <v>37780</v>
      </c>
      <c r="I121" s="666" t="s">
        <v>38326</v>
      </c>
      <c r="J121" s="667" t="s">
        <v>38327</v>
      </c>
      <c r="K121" s="123" t="str">
        <f>HYPERLINK("https://clinicaltrials.gov/ct2/show/NCT03988556","NCT03988556")</f>
        <v>NCT03988556</v>
      </c>
      <c r="L121" s="671"/>
      <c r="M121" s="672" t="s">
        <v>38328</v>
      </c>
      <c r="N121" s="35"/>
      <c r="O121" s="35"/>
      <c r="P121" s="35"/>
      <c r="Q121" s="35"/>
      <c r="R121" s="35"/>
      <c r="S121" s="35"/>
      <c r="T121" s="35"/>
      <c r="U121" s="35"/>
      <c r="V121" s="35"/>
      <c r="W121" s="35"/>
      <c r="X121" s="35"/>
      <c r="Y121" s="35"/>
      <c r="Z121" s="35"/>
      <c r="AA121" s="35"/>
    </row>
    <row r="122">
      <c r="A122" s="660"/>
      <c r="B122" s="669" t="s">
        <v>38329</v>
      </c>
      <c r="C122" s="657"/>
      <c r="D122" s="669" t="s">
        <v>400</v>
      </c>
      <c r="E122" s="661" t="s">
        <v>37772</v>
      </c>
      <c r="F122" s="673" t="s">
        <v>38330</v>
      </c>
      <c r="G122" s="669" t="s">
        <v>38319</v>
      </c>
      <c r="H122" s="663" t="s">
        <v>37721</v>
      </c>
      <c r="I122" s="666" t="s">
        <v>38331</v>
      </c>
      <c r="J122" s="667" t="s">
        <v>38332</v>
      </c>
      <c r="K122" s="123" t="str">
        <f>HYPERLINK("https://clinicaltrials.gov/ct2/show/NCT03814525","NCT03814525")</f>
        <v>NCT03814525</v>
      </c>
      <c r="L122" s="671"/>
      <c r="M122" s="672" t="s">
        <v>37752</v>
      </c>
      <c r="N122" s="35"/>
      <c r="O122" s="35"/>
      <c r="P122" s="35"/>
      <c r="Q122" s="35"/>
      <c r="R122" s="35"/>
      <c r="S122" s="35"/>
      <c r="T122" s="35"/>
      <c r="U122" s="35"/>
      <c r="V122" s="35"/>
      <c r="W122" s="35"/>
      <c r="X122" s="35"/>
      <c r="Y122" s="35"/>
      <c r="Z122" s="35"/>
      <c r="AA122" s="35"/>
    </row>
    <row r="123">
      <c r="A123" s="660"/>
      <c r="B123" s="669" t="s">
        <v>38333</v>
      </c>
      <c r="C123" s="657"/>
      <c r="D123" s="661" t="s">
        <v>21703</v>
      </c>
      <c r="E123" s="661" t="s">
        <v>38334</v>
      </c>
      <c r="F123" s="662" t="s">
        <v>38335</v>
      </c>
      <c r="G123" s="661" t="s">
        <v>38336</v>
      </c>
      <c r="H123" s="678" t="s">
        <v>37780</v>
      </c>
      <c r="I123" s="666" t="s">
        <v>38337</v>
      </c>
      <c r="J123" s="667" t="s">
        <v>38338</v>
      </c>
      <c r="K123" s="426" t="str">
        <f>HYPERLINK("https://clinicaltrials.gov/ct2/show/NCT04230096","NCT04230096")</f>
        <v>NCT04230096</v>
      </c>
      <c r="L123" s="671"/>
      <c r="M123" s="113"/>
      <c r="N123" s="35"/>
      <c r="O123" s="35"/>
      <c r="P123" s="35"/>
      <c r="Q123" s="35"/>
      <c r="R123" s="35"/>
      <c r="S123" s="35"/>
      <c r="T123" s="35"/>
      <c r="U123" s="35"/>
      <c r="V123" s="35"/>
      <c r="W123" s="35"/>
      <c r="X123" s="35"/>
      <c r="Y123" s="35"/>
      <c r="Z123" s="35"/>
      <c r="AA123" s="35"/>
    </row>
    <row r="124">
      <c r="A124" s="660"/>
      <c r="B124" s="669" t="s">
        <v>38333</v>
      </c>
      <c r="C124" s="657"/>
      <c r="D124" s="661" t="s">
        <v>400</v>
      </c>
      <c r="E124" s="661" t="s">
        <v>37772</v>
      </c>
      <c r="F124" s="662" t="s">
        <v>38339</v>
      </c>
      <c r="G124" s="661" t="s">
        <v>38167</v>
      </c>
      <c r="H124" s="678" t="s">
        <v>37780</v>
      </c>
      <c r="I124" s="666" t="s">
        <v>38340</v>
      </c>
      <c r="J124" s="667" t="s">
        <v>38341</v>
      </c>
      <c r="K124" s="426" t="str">
        <f>HYPERLINK("https://clinicaltrials.gov/ct2/show/NCT04036539","NCT04036539")</f>
        <v>NCT04036539</v>
      </c>
      <c r="L124" s="671"/>
      <c r="M124" s="113" t="s">
        <v>38081</v>
      </c>
      <c r="N124" s="35"/>
      <c r="O124" s="35"/>
      <c r="P124" s="35"/>
      <c r="Q124" s="35"/>
      <c r="R124" s="35"/>
      <c r="S124" s="35"/>
      <c r="T124" s="35"/>
      <c r="U124" s="35"/>
      <c r="V124" s="35"/>
      <c r="W124" s="35"/>
      <c r="X124" s="35"/>
      <c r="Y124" s="35"/>
      <c r="Z124" s="35"/>
      <c r="AA124" s="35"/>
    </row>
    <row r="125">
      <c r="A125" s="660"/>
      <c r="B125" s="669" t="s">
        <v>38333</v>
      </c>
      <c r="C125" s="657"/>
      <c r="D125" s="661" t="s">
        <v>814</v>
      </c>
      <c r="E125" s="661" t="s">
        <v>38342</v>
      </c>
      <c r="F125" s="662" t="s">
        <v>38343</v>
      </c>
      <c r="G125" s="661" t="s">
        <v>38344</v>
      </c>
      <c r="H125" s="678" t="s">
        <v>37780</v>
      </c>
      <c r="I125" s="666" t="s">
        <v>38345</v>
      </c>
      <c r="J125" s="667" t="s">
        <v>38346</v>
      </c>
      <c r="K125" s="426" t="str">
        <f>HYPERLINK("https://clinicaltrials.gov/ct2/show/NCT04022252","NCT04022252")</f>
        <v>NCT04022252</v>
      </c>
      <c r="L125" s="671"/>
      <c r="M125" s="672"/>
      <c r="N125" s="35"/>
      <c r="O125" s="35"/>
      <c r="P125" s="35"/>
      <c r="Q125" s="35"/>
      <c r="R125" s="35"/>
      <c r="S125" s="35"/>
      <c r="T125" s="35"/>
      <c r="U125" s="35"/>
      <c r="V125" s="35"/>
      <c r="W125" s="35"/>
      <c r="X125" s="35"/>
      <c r="Y125" s="35"/>
      <c r="Z125" s="35"/>
      <c r="AA125" s="35"/>
    </row>
    <row r="126">
      <c r="A126" s="660"/>
      <c r="B126" s="669" t="s">
        <v>38333</v>
      </c>
      <c r="C126" s="657"/>
      <c r="D126" s="669" t="s">
        <v>10116</v>
      </c>
      <c r="E126" s="661" t="s">
        <v>38347</v>
      </c>
      <c r="F126" s="670" t="s">
        <v>38348</v>
      </c>
      <c r="G126" s="669" t="s">
        <v>38349</v>
      </c>
      <c r="H126" s="663" t="s">
        <v>37721</v>
      </c>
      <c r="I126" s="666" t="s">
        <v>38350</v>
      </c>
      <c r="J126" s="667" t="s">
        <v>38351</v>
      </c>
      <c r="K126" s="123" t="str">
        <f>HYPERLINK("https://clinicaltrials.gov/ct2/show/NCT03765151","NCT03765151")</f>
        <v>NCT03765151</v>
      </c>
      <c r="L126" s="671"/>
      <c r="M126" s="672" t="s">
        <v>37752</v>
      </c>
      <c r="N126" s="35"/>
      <c r="O126" s="35"/>
      <c r="P126" s="35"/>
      <c r="Q126" s="35"/>
      <c r="R126" s="35"/>
      <c r="S126" s="35"/>
      <c r="T126" s="35"/>
      <c r="U126" s="35"/>
      <c r="V126" s="35"/>
      <c r="W126" s="35"/>
      <c r="X126" s="35"/>
      <c r="Y126" s="35"/>
      <c r="Z126" s="35"/>
      <c r="AA126" s="35"/>
    </row>
    <row r="127">
      <c r="A127" s="660"/>
      <c r="B127" s="669" t="s">
        <v>38333</v>
      </c>
      <c r="C127" s="657"/>
      <c r="D127" s="669" t="s">
        <v>400</v>
      </c>
      <c r="E127" s="661" t="s">
        <v>37772</v>
      </c>
      <c r="F127" s="673" t="s">
        <v>38352</v>
      </c>
      <c r="G127" s="669" t="s">
        <v>38319</v>
      </c>
      <c r="H127" s="678" t="s">
        <v>37780</v>
      </c>
      <c r="I127" s="666" t="s">
        <v>38353</v>
      </c>
      <c r="J127" s="667" t="s">
        <v>38354</v>
      </c>
      <c r="K127" s="123" t="str">
        <f>HYPERLINK("https://clinicaltrials.gov/ct2/show/NCT03939988","NCT03939988")</f>
        <v>NCT03939988</v>
      </c>
      <c r="L127" s="671"/>
      <c r="M127" s="672" t="s">
        <v>37752</v>
      </c>
      <c r="N127" s="35"/>
      <c r="O127" s="35"/>
      <c r="P127" s="35"/>
      <c r="Q127" s="35"/>
      <c r="R127" s="35"/>
      <c r="S127" s="35"/>
      <c r="T127" s="35"/>
      <c r="U127" s="35"/>
      <c r="V127" s="35"/>
      <c r="W127" s="35"/>
      <c r="X127" s="35"/>
      <c r="Y127" s="35"/>
      <c r="Z127" s="35"/>
      <c r="AA127" s="35"/>
    </row>
    <row r="128">
      <c r="A128" s="660"/>
      <c r="B128" s="669" t="s">
        <v>38333</v>
      </c>
      <c r="C128" s="657"/>
      <c r="D128" s="669" t="s">
        <v>38355</v>
      </c>
      <c r="E128" s="661" t="s">
        <v>38356</v>
      </c>
      <c r="F128" s="673" t="s">
        <v>38357</v>
      </c>
      <c r="G128" s="669" t="s">
        <v>38358</v>
      </c>
      <c r="H128" s="663" t="s">
        <v>37721</v>
      </c>
      <c r="I128" s="666" t="s">
        <v>38359</v>
      </c>
      <c r="J128" s="667" t="s">
        <v>38360</v>
      </c>
      <c r="K128" s="123" t="str">
        <f>HYPERLINK("https://clinicaltrials.gov/ct2/show/NCT03999307","NCT03999307")</f>
        <v>NCT03999307</v>
      </c>
      <c r="L128" s="671"/>
      <c r="M128" s="672" t="s">
        <v>38328</v>
      </c>
      <c r="N128" s="35"/>
      <c r="O128" s="35"/>
      <c r="P128" s="35"/>
      <c r="Q128" s="35"/>
      <c r="R128" s="35"/>
      <c r="S128" s="35"/>
      <c r="T128" s="35"/>
      <c r="U128" s="35"/>
      <c r="V128" s="35"/>
      <c r="W128" s="35"/>
      <c r="X128" s="35"/>
      <c r="Y128" s="35"/>
      <c r="Z128" s="35"/>
      <c r="AA128" s="35"/>
    </row>
    <row r="129">
      <c r="A129" s="660"/>
      <c r="B129" s="669" t="s">
        <v>38333</v>
      </c>
      <c r="C129" s="657"/>
      <c r="D129" s="661" t="s">
        <v>38355</v>
      </c>
      <c r="E129" s="661" t="s">
        <v>38356</v>
      </c>
      <c r="F129" s="662" t="s">
        <v>38361</v>
      </c>
      <c r="G129" s="661" t="s">
        <v>37837</v>
      </c>
      <c r="H129" s="663" t="s">
        <v>37721</v>
      </c>
      <c r="I129" s="666" t="s">
        <v>38362</v>
      </c>
      <c r="J129" s="667" t="s">
        <v>38363</v>
      </c>
      <c r="K129" s="117" t="str">
        <f>HYPERLINK("https://clinicaltrials.gov/ct2/show/NCT03400111","NCT03400111")</f>
        <v>NCT03400111</v>
      </c>
      <c r="L129" s="49"/>
      <c r="M129" s="35"/>
      <c r="N129" s="35"/>
      <c r="O129" s="35"/>
      <c r="P129" s="35"/>
      <c r="Q129" s="35"/>
      <c r="R129" s="35"/>
      <c r="S129" s="35"/>
      <c r="T129" s="35"/>
      <c r="U129" s="35"/>
      <c r="V129" s="35"/>
      <c r="W129" s="35"/>
      <c r="X129" s="35"/>
      <c r="Y129" s="35"/>
      <c r="Z129" s="35"/>
      <c r="AA129" s="35"/>
    </row>
    <row r="130">
      <c r="A130" s="660"/>
      <c r="B130" s="669" t="s">
        <v>38333</v>
      </c>
      <c r="C130" s="657"/>
      <c r="D130" s="661" t="s">
        <v>7954</v>
      </c>
      <c r="E130" s="661" t="s">
        <v>38364</v>
      </c>
      <c r="F130" s="662" t="s">
        <v>38365</v>
      </c>
      <c r="G130" s="661" t="s">
        <v>38366</v>
      </c>
      <c r="H130" s="668" t="s">
        <v>37744</v>
      </c>
      <c r="I130" s="666" t="s">
        <v>38367</v>
      </c>
      <c r="J130" s="667" t="s">
        <v>38368</v>
      </c>
      <c r="K130" s="117" t="str">
        <f>HYPERLINK("https://clinicaltrials.gov/ct2/show/NCT02954133","NCT02954133")</f>
        <v>NCT02954133</v>
      </c>
      <c r="L130" s="49"/>
      <c r="M130" s="35"/>
      <c r="N130" s="35"/>
      <c r="O130" s="35"/>
      <c r="P130" s="35"/>
      <c r="Q130" s="35"/>
      <c r="R130" s="35"/>
      <c r="S130" s="35"/>
      <c r="T130" s="35"/>
      <c r="U130" s="35"/>
      <c r="V130" s="35"/>
      <c r="W130" s="35"/>
      <c r="X130" s="35"/>
      <c r="Y130" s="35"/>
      <c r="Z130" s="35"/>
      <c r="AA130" s="35"/>
    </row>
    <row r="131">
      <c r="A131" s="660"/>
      <c r="B131" s="669" t="s">
        <v>38333</v>
      </c>
      <c r="C131" s="657"/>
      <c r="D131" s="661" t="s">
        <v>7954</v>
      </c>
      <c r="E131" s="661" t="s">
        <v>38364</v>
      </c>
      <c r="F131" s="662" t="s">
        <v>38369</v>
      </c>
      <c r="G131" s="661" t="s">
        <v>38370</v>
      </c>
      <c r="H131" s="663" t="s">
        <v>37721</v>
      </c>
      <c r="I131" s="666" t="s">
        <v>38371</v>
      </c>
      <c r="J131" s="667" t="s">
        <v>38372</v>
      </c>
      <c r="K131" s="117" t="str">
        <f>HYPERLINK("https://clinicaltrials.gov/ct2/show/NCT03202355","NCT03202355")</f>
        <v>NCT03202355</v>
      </c>
      <c r="L131" s="49"/>
      <c r="M131" s="35"/>
      <c r="N131" s="35"/>
      <c r="O131" s="35"/>
      <c r="P131" s="35"/>
      <c r="Q131" s="35"/>
      <c r="R131" s="35"/>
      <c r="S131" s="35"/>
      <c r="T131" s="35"/>
      <c r="U131" s="35"/>
      <c r="V131" s="35"/>
      <c r="W131" s="35"/>
      <c r="X131" s="35"/>
      <c r="Y131" s="35"/>
      <c r="Z131" s="35"/>
      <c r="AA131" s="35"/>
    </row>
    <row r="132">
      <c r="A132" s="660"/>
      <c r="B132" s="669" t="s">
        <v>38333</v>
      </c>
      <c r="C132" s="657"/>
      <c r="D132" s="661" t="s">
        <v>2161</v>
      </c>
      <c r="E132" s="661" t="s">
        <v>38364</v>
      </c>
      <c r="F132" s="662" t="s">
        <v>38373</v>
      </c>
      <c r="G132" s="661" t="s">
        <v>38374</v>
      </c>
      <c r="H132" s="663" t="s">
        <v>37721</v>
      </c>
      <c r="I132" s="666" t="s">
        <v>38375</v>
      </c>
      <c r="J132" s="667" t="s">
        <v>38376</v>
      </c>
      <c r="K132" s="117" t="str">
        <f>HYPERLINK("https://clinicaltrials.gov/ct2/show/NCT03683017","NCT03683017")</f>
        <v>NCT03683017</v>
      </c>
      <c r="L132" s="49"/>
      <c r="M132" s="35"/>
      <c r="N132" s="35"/>
      <c r="O132" s="35"/>
      <c r="P132" s="35"/>
      <c r="Q132" s="35"/>
      <c r="R132" s="35"/>
      <c r="S132" s="35"/>
      <c r="T132" s="35"/>
      <c r="U132" s="35"/>
      <c r="V132" s="35"/>
      <c r="W132" s="35"/>
      <c r="X132" s="35"/>
      <c r="Y132" s="35"/>
      <c r="Z132" s="35"/>
      <c r="AA132" s="35"/>
    </row>
    <row r="133">
      <c r="A133" s="660"/>
      <c r="B133" s="669" t="s">
        <v>38333</v>
      </c>
      <c r="C133" s="657"/>
      <c r="D133" s="661" t="s">
        <v>7954</v>
      </c>
      <c r="E133" s="661" t="s">
        <v>38377</v>
      </c>
      <c r="F133" s="662" t="s">
        <v>38378</v>
      </c>
      <c r="G133" s="661" t="s">
        <v>38379</v>
      </c>
      <c r="H133" s="663" t="s">
        <v>37721</v>
      </c>
      <c r="I133" s="666" t="s">
        <v>38380</v>
      </c>
      <c r="J133" s="667" t="s">
        <v>38381</v>
      </c>
      <c r="K133" s="426" t="s">
        <v>38382</v>
      </c>
      <c r="L133" s="49"/>
      <c r="M133" s="35"/>
      <c r="N133" s="35"/>
      <c r="O133" s="35"/>
      <c r="P133" s="35"/>
      <c r="Q133" s="35"/>
      <c r="R133" s="35"/>
      <c r="S133" s="35"/>
      <c r="T133" s="35"/>
      <c r="U133" s="35"/>
      <c r="V133" s="35"/>
      <c r="W133" s="35"/>
      <c r="X133" s="35"/>
      <c r="Y133" s="35"/>
      <c r="Z133" s="35"/>
      <c r="AA133" s="35"/>
    </row>
    <row r="134">
      <c r="A134" s="660"/>
      <c r="B134" s="669" t="s">
        <v>38333</v>
      </c>
      <c r="C134" s="657"/>
      <c r="D134" s="661" t="s">
        <v>38355</v>
      </c>
      <c r="E134" s="661" t="s">
        <v>38356</v>
      </c>
      <c r="F134" s="662" t="s">
        <v>38383</v>
      </c>
      <c r="G134" s="661" t="s">
        <v>38384</v>
      </c>
      <c r="H134" s="663" t="s">
        <v>37721</v>
      </c>
      <c r="I134" s="666" t="s">
        <v>38385</v>
      </c>
      <c r="J134" s="667" t="s">
        <v>38386</v>
      </c>
      <c r="K134" s="117" t="str">
        <f>HYPERLINK("https://clinicaltrials.gov/ct2/show/NCT03646942","NCT03646942")</f>
        <v>NCT03646942</v>
      </c>
      <c r="L134" s="49"/>
      <c r="M134" s="35"/>
      <c r="N134" s="35"/>
      <c r="O134" s="35"/>
      <c r="P134" s="35"/>
      <c r="Q134" s="35"/>
      <c r="R134" s="35"/>
      <c r="S134" s="35"/>
      <c r="T134" s="35"/>
      <c r="U134" s="35"/>
      <c r="V134" s="35"/>
      <c r="W134" s="35"/>
      <c r="X134" s="35"/>
      <c r="Y134" s="35"/>
      <c r="Z134" s="35"/>
      <c r="AA134" s="35"/>
    </row>
    <row r="135">
      <c r="A135" s="660"/>
      <c r="B135" s="669" t="s">
        <v>38333</v>
      </c>
      <c r="C135" s="657"/>
      <c r="D135" s="661" t="s">
        <v>38355</v>
      </c>
      <c r="E135" s="661" t="s">
        <v>38356</v>
      </c>
      <c r="F135" s="662" t="s">
        <v>38387</v>
      </c>
      <c r="G135" s="661" t="s">
        <v>37826</v>
      </c>
      <c r="H135" s="668" t="s">
        <v>37744</v>
      </c>
      <c r="I135" s="666" t="s">
        <v>38388</v>
      </c>
      <c r="J135" s="667" t="s">
        <v>38389</v>
      </c>
      <c r="K135" s="117" t="str">
        <f>HYPERLINK("https://clinicaltrials.gov/ct2/show/NCT03239912","NCT03239912")</f>
        <v>NCT03239912</v>
      </c>
      <c r="L135" s="49"/>
      <c r="M135" s="35"/>
      <c r="N135" s="35"/>
      <c r="O135" s="35"/>
      <c r="P135" s="35"/>
      <c r="Q135" s="35"/>
      <c r="R135" s="35"/>
      <c r="S135" s="35"/>
      <c r="T135" s="35"/>
      <c r="U135" s="35"/>
      <c r="V135" s="35"/>
      <c r="W135" s="35"/>
      <c r="X135" s="35"/>
      <c r="Y135" s="35"/>
      <c r="Z135" s="35"/>
      <c r="AA135" s="35"/>
    </row>
    <row r="136">
      <c r="A136" s="660"/>
      <c r="B136" s="391" t="s">
        <v>38390</v>
      </c>
      <c r="C136" s="657"/>
      <c r="D136" s="661" t="s">
        <v>2161</v>
      </c>
      <c r="E136" s="661" t="s">
        <v>38391</v>
      </c>
      <c r="F136" s="662" t="s">
        <v>38392</v>
      </c>
      <c r="G136" s="661" t="s">
        <v>38393</v>
      </c>
      <c r="H136" s="678" t="s">
        <v>37780</v>
      </c>
      <c r="I136" s="666" t="s">
        <v>38394</v>
      </c>
      <c r="J136" s="667" t="s">
        <v>38395</v>
      </c>
      <c r="K136" s="426" t="s">
        <v>38396</v>
      </c>
      <c r="L136" s="49"/>
      <c r="M136" s="35"/>
      <c r="N136" s="35"/>
      <c r="O136" s="35"/>
      <c r="P136" s="35"/>
      <c r="Q136" s="35"/>
      <c r="R136" s="35"/>
      <c r="S136" s="35"/>
      <c r="T136" s="35"/>
      <c r="U136" s="35"/>
      <c r="V136" s="35"/>
      <c r="W136" s="35"/>
      <c r="X136" s="35"/>
      <c r="Y136" s="35"/>
      <c r="Z136" s="35"/>
      <c r="AA136" s="35"/>
    </row>
    <row r="137">
      <c r="A137" s="660"/>
      <c r="B137" s="391" t="s">
        <v>38390</v>
      </c>
      <c r="C137" s="657"/>
      <c r="D137" s="661" t="s">
        <v>814</v>
      </c>
      <c r="E137" s="661" t="s">
        <v>38397</v>
      </c>
      <c r="F137" s="662" t="s">
        <v>38398</v>
      </c>
      <c r="G137" s="661" t="s">
        <v>38143</v>
      </c>
      <c r="H137" s="663" t="s">
        <v>37721</v>
      </c>
      <c r="I137" s="666" t="s">
        <v>38399</v>
      </c>
      <c r="J137" s="667" t="s">
        <v>38400</v>
      </c>
      <c r="K137" s="426" t="s">
        <v>38401</v>
      </c>
      <c r="L137" s="49"/>
      <c r="M137" s="35"/>
      <c r="N137" s="35"/>
      <c r="O137" s="35"/>
      <c r="P137" s="35"/>
      <c r="Q137" s="35"/>
      <c r="R137" s="35"/>
      <c r="S137" s="35"/>
      <c r="T137" s="35"/>
      <c r="U137" s="35"/>
      <c r="V137" s="35"/>
      <c r="W137" s="35"/>
      <c r="X137" s="35"/>
      <c r="Y137" s="35"/>
      <c r="Z137" s="35"/>
      <c r="AA137" s="35"/>
    </row>
    <row r="138">
      <c r="A138" s="660"/>
      <c r="B138" s="391" t="s">
        <v>38390</v>
      </c>
      <c r="C138" s="657"/>
      <c r="D138" s="675" t="s">
        <v>400</v>
      </c>
      <c r="E138" s="675" t="s">
        <v>37772</v>
      </c>
      <c r="F138" s="676" t="s">
        <v>38402</v>
      </c>
      <c r="G138" s="675" t="s">
        <v>38403</v>
      </c>
      <c r="H138" s="663" t="s">
        <v>37721</v>
      </c>
      <c r="I138" s="666" t="s">
        <v>38404</v>
      </c>
      <c r="J138" s="667" t="s">
        <v>38405</v>
      </c>
      <c r="K138" s="682" t="str">
        <f>HYPERLINK("https://clinicaltrials.gov/ct2/show/NCT03696706","NCT03696706")</f>
        <v>NCT03696706</v>
      </c>
      <c r="L138" s="49"/>
      <c r="M138" s="35"/>
      <c r="N138" s="35"/>
      <c r="O138" s="35"/>
      <c r="P138" s="35"/>
      <c r="Q138" s="35"/>
      <c r="R138" s="35"/>
      <c r="S138" s="35"/>
      <c r="T138" s="35"/>
      <c r="U138" s="35"/>
      <c r="V138" s="35"/>
      <c r="W138" s="35"/>
      <c r="X138" s="35"/>
      <c r="Y138" s="35"/>
      <c r="Z138" s="35"/>
      <c r="AA138" s="35"/>
    </row>
    <row r="139">
      <c r="A139" s="660"/>
      <c r="B139" s="391" t="s">
        <v>38390</v>
      </c>
      <c r="C139" s="657"/>
      <c r="D139" s="661" t="s">
        <v>400</v>
      </c>
      <c r="E139" s="661" t="s">
        <v>37772</v>
      </c>
      <c r="F139" s="662" t="s">
        <v>38406</v>
      </c>
      <c r="G139" s="661" t="s">
        <v>38407</v>
      </c>
      <c r="H139" s="663" t="s">
        <v>37721</v>
      </c>
      <c r="I139" s="666" t="s">
        <v>38408</v>
      </c>
      <c r="J139" s="667" t="s">
        <v>38409</v>
      </c>
      <c r="K139" s="117" t="str">
        <f>HYPERLINK("https://clinicaltrials.gov/ct2/show/NCT03096301","NCT03096301")</f>
        <v>NCT03096301</v>
      </c>
      <c r="L139" s="49"/>
      <c r="M139" s="35"/>
      <c r="N139" s="35"/>
      <c r="O139" s="35"/>
      <c r="P139" s="35"/>
      <c r="Q139" s="35"/>
      <c r="R139" s="35"/>
      <c r="S139" s="35"/>
      <c r="T139" s="35"/>
      <c r="U139" s="35"/>
      <c r="V139" s="35"/>
      <c r="W139" s="35"/>
      <c r="X139" s="35"/>
      <c r="Y139" s="35"/>
      <c r="Z139" s="35"/>
      <c r="AA139" s="35"/>
    </row>
    <row r="140">
      <c r="A140" s="660"/>
      <c r="B140" s="391" t="s">
        <v>38390</v>
      </c>
      <c r="C140" s="657"/>
      <c r="D140" s="661" t="s">
        <v>400</v>
      </c>
      <c r="E140" s="661" t="s">
        <v>37772</v>
      </c>
      <c r="F140" s="662" t="s">
        <v>38410</v>
      </c>
      <c r="G140" s="661" t="s">
        <v>38411</v>
      </c>
      <c r="H140" s="663" t="s">
        <v>37721</v>
      </c>
      <c r="I140" s="666" t="s">
        <v>38412</v>
      </c>
      <c r="J140" s="667" t="s">
        <v>38413</v>
      </c>
      <c r="K140" s="117" t="str">
        <f>HYPERLINK("https://clinicaltrials.gov/ct2/show/NCT03257748","NCT03257748")</f>
        <v>NCT03257748</v>
      </c>
      <c r="L140" s="49"/>
      <c r="M140" s="35"/>
      <c r="N140" s="35"/>
      <c r="O140" s="35"/>
      <c r="P140" s="35"/>
      <c r="Q140" s="35"/>
      <c r="R140" s="35"/>
      <c r="S140" s="35"/>
      <c r="T140" s="35"/>
      <c r="U140" s="35"/>
      <c r="V140" s="35"/>
      <c r="W140" s="35"/>
      <c r="X140" s="35"/>
      <c r="Y140" s="35"/>
      <c r="Z140" s="35"/>
      <c r="AA140" s="35"/>
    </row>
    <row r="141">
      <c r="A141" s="679" t="s">
        <v>37857</v>
      </c>
      <c r="B141" s="391" t="s">
        <v>38414</v>
      </c>
      <c r="C141" s="657"/>
      <c r="D141" s="661" t="s">
        <v>400</v>
      </c>
      <c r="E141" s="661" t="s">
        <v>37772</v>
      </c>
      <c r="F141" s="662" t="s">
        <v>38415</v>
      </c>
      <c r="G141" s="661" t="s">
        <v>38416</v>
      </c>
      <c r="H141" s="663" t="s">
        <v>37721</v>
      </c>
      <c r="I141" s="666" t="s">
        <v>38417</v>
      </c>
      <c r="J141" s="667" t="s">
        <v>38418</v>
      </c>
      <c r="K141" s="117" t="str">
        <f>HYPERLINK("https://clinicaltrials.gov/ct2/show/NCT02928809","NCT02928809")</f>
        <v>NCT02928809</v>
      </c>
      <c r="L141" s="49"/>
      <c r="M141" s="35"/>
      <c r="N141" s="35"/>
      <c r="O141" s="35"/>
      <c r="P141" s="35"/>
      <c r="Q141" s="35"/>
      <c r="R141" s="35"/>
      <c r="S141" s="35"/>
      <c r="T141" s="35"/>
      <c r="U141" s="35"/>
      <c r="V141" s="35"/>
      <c r="W141" s="35"/>
      <c r="X141" s="35"/>
      <c r="Y141" s="35"/>
      <c r="Z141" s="35"/>
      <c r="AA141" s="35"/>
    </row>
    <row r="142">
      <c r="A142" s="660"/>
      <c r="B142" s="391" t="s">
        <v>38414</v>
      </c>
      <c r="C142" s="657"/>
      <c r="D142" s="661" t="s">
        <v>400</v>
      </c>
      <c r="E142" s="661" t="s">
        <v>37772</v>
      </c>
      <c r="F142" s="662" t="s">
        <v>38419</v>
      </c>
      <c r="G142" s="661" t="s">
        <v>38420</v>
      </c>
      <c r="H142" s="663" t="s">
        <v>37721</v>
      </c>
      <c r="I142" s="666" t="s">
        <v>38421</v>
      </c>
      <c r="J142" s="667" t="s">
        <v>38422</v>
      </c>
      <c r="K142" s="117" t="str">
        <f>HYPERLINK("https://clinicaltrials.gov/ct2/show/NCT03460639","NCT03460639")</f>
        <v>NCT03460639</v>
      </c>
      <c r="L142" s="49"/>
      <c r="M142" s="35"/>
      <c r="N142" s="35"/>
      <c r="O142" s="35"/>
      <c r="P142" s="35"/>
      <c r="Q142" s="35"/>
      <c r="R142" s="35"/>
      <c r="S142" s="35"/>
      <c r="T142" s="35"/>
      <c r="U142" s="35"/>
      <c r="V142" s="35"/>
      <c r="W142" s="35"/>
      <c r="X142" s="35"/>
      <c r="Y142" s="35"/>
      <c r="Z142" s="35"/>
      <c r="AA142" s="35"/>
    </row>
    <row r="143">
      <c r="A143" s="660"/>
      <c r="B143" s="391" t="s">
        <v>38423</v>
      </c>
      <c r="C143" s="657"/>
      <c r="D143" s="661" t="s">
        <v>4125</v>
      </c>
      <c r="E143" s="661" t="s">
        <v>38424</v>
      </c>
      <c r="F143" s="662" t="s">
        <v>38425</v>
      </c>
      <c r="G143" s="661" t="s">
        <v>38426</v>
      </c>
      <c r="H143" s="663" t="s">
        <v>37721</v>
      </c>
      <c r="I143" s="666" t="s">
        <v>38427</v>
      </c>
      <c r="J143" s="667" t="s">
        <v>38428</v>
      </c>
      <c r="K143" s="426" t="s">
        <v>38429</v>
      </c>
      <c r="L143" s="49"/>
      <c r="M143" s="35"/>
      <c r="N143" s="35"/>
      <c r="O143" s="35"/>
      <c r="P143" s="35"/>
      <c r="Q143" s="35"/>
      <c r="R143" s="35"/>
      <c r="S143" s="35"/>
      <c r="T143" s="35"/>
      <c r="U143" s="35"/>
      <c r="V143" s="35"/>
      <c r="W143" s="35"/>
      <c r="X143" s="35"/>
      <c r="Y143" s="35"/>
      <c r="Z143" s="35"/>
      <c r="AA143" s="35"/>
    </row>
    <row r="144">
      <c r="A144" s="660"/>
      <c r="B144" s="391" t="s">
        <v>38423</v>
      </c>
      <c r="C144" s="657"/>
      <c r="D144" s="661" t="s">
        <v>38430</v>
      </c>
      <c r="E144" s="661" t="s">
        <v>38431</v>
      </c>
      <c r="F144" s="662" t="s">
        <v>38432</v>
      </c>
      <c r="G144" s="661" t="s">
        <v>37909</v>
      </c>
      <c r="H144" s="663" t="s">
        <v>37721</v>
      </c>
      <c r="I144" s="666" t="s">
        <v>38433</v>
      </c>
      <c r="J144" s="667" t="s">
        <v>38434</v>
      </c>
      <c r="K144" s="426" t="str">
        <f>HYPERLINK("https://clinicaltrials.gov/ct2/show/NCT04280809","NCT04280809")</f>
        <v>NCT04280809</v>
      </c>
      <c r="L144" s="49"/>
      <c r="M144" s="35"/>
      <c r="N144" s="35"/>
      <c r="O144" s="35"/>
      <c r="P144" s="35"/>
      <c r="Q144" s="35"/>
      <c r="R144" s="35"/>
      <c r="S144" s="35"/>
      <c r="T144" s="35"/>
      <c r="U144" s="35"/>
      <c r="V144" s="35"/>
      <c r="W144" s="35"/>
      <c r="X144" s="35"/>
      <c r="Y144" s="35"/>
      <c r="Z144" s="35"/>
      <c r="AA144" s="35"/>
    </row>
    <row r="145">
      <c r="A145" s="660"/>
      <c r="B145" s="391" t="s">
        <v>38423</v>
      </c>
      <c r="C145" s="657"/>
      <c r="D145" s="675" t="s">
        <v>400</v>
      </c>
      <c r="E145" s="675" t="s">
        <v>37772</v>
      </c>
      <c r="F145" s="662" t="s">
        <v>38435</v>
      </c>
      <c r="G145" s="661" t="s">
        <v>38167</v>
      </c>
      <c r="H145" s="663" t="s">
        <v>37721</v>
      </c>
      <c r="I145" s="666" t="s">
        <v>38436</v>
      </c>
      <c r="J145" s="667" t="s">
        <v>38437</v>
      </c>
      <c r="K145" s="426" t="str">
        <f>HYPERLINK("https://clinicaltrials.gov/ct2/show/NCT03442166","NCT03442166")</f>
        <v>NCT03442166</v>
      </c>
      <c r="L145" s="49"/>
      <c r="M145" s="35"/>
      <c r="N145" s="35"/>
      <c r="O145" s="35"/>
      <c r="P145" s="35"/>
      <c r="Q145" s="35"/>
      <c r="R145" s="35"/>
      <c r="S145" s="35"/>
      <c r="T145" s="35"/>
      <c r="U145" s="35"/>
      <c r="V145" s="35"/>
      <c r="W145" s="35"/>
      <c r="X145" s="35"/>
      <c r="Y145" s="35"/>
      <c r="Z145" s="35"/>
      <c r="AA145" s="35"/>
    </row>
    <row r="146">
      <c r="A146" s="660"/>
      <c r="B146" s="669" t="s">
        <v>13142</v>
      </c>
      <c r="C146" s="657"/>
      <c r="D146" s="669" t="s">
        <v>400</v>
      </c>
      <c r="E146" s="661" t="s">
        <v>37818</v>
      </c>
      <c r="F146" s="673" t="s">
        <v>38438</v>
      </c>
      <c r="G146" s="669" t="s">
        <v>37837</v>
      </c>
      <c r="H146" s="678" t="s">
        <v>37780</v>
      </c>
      <c r="I146" s="666" t="s">
        <v>38439</v>
      </c>
      <c r="J146" s="667" t="s">
        <v>38440</v>
      </c>
      <c r="K146" s="123" t="str">
        <f>HYPERLINK("https://clinicaltrials.gov/ct2/show/NCT03924128","NCT03924128")</f>
        <v>NCT03924128</v>
      </c>
      <c r="L146" s="671"/>
      <c r="M146" s="672" t="s">
        <v>37752</v>
      </c>
      <c r="N146" s="35"/>
      <c r="O146" s="35"/>
      <c r="P146" s="35"/>
      <c r="Q146" s="35"/>
      <c r="R146" s="35"/>
      <c r="S146" s="35"/>
      <c r="T146" s="35"/>
      <c r="U146" s="35"/>
      <c r="V146" s="35"/>
      <c r="W146" s="35"/>
      <c r="X146" s="35"/>
      <c r="Y146" s="35"/>
      <c r="Z146" s="35"/>
      <c r="AA146" s="35"/>
    </row>
    <row r="147">
      <c r="A147" s="660"/>
      <c r="B147" s="669" t="s">
        <v>13336</v>
      </c>
      <c r="C147" s="657"/>
      <c r="D147" s="661" t="s">
        <v>10477</v>
      </c>
      <c r="E147" s="661" t="s">
        <v>38088</v>
      </c>
      <c r="F147" s="662" t="s">
        <v>38441</v>
      </c>
      <c r="G147" s="661" t="s">
        <v>37843</v>
      </c>
      <c r="H147" s="678" t="s">
        <v>37780</v>
      </c>
      <c r="I147" s="666" t="s">
        <v>38442</v>
      </c>
      <c r="J147" s="667" t="s">
        <v>38443</v>
      </c>
      <c r="K147" s="426" t="s">
        <v>38444</v>
      </c>
      <c r="L147" s="671"/>
      <c r="M147" s="672"/>
      <c r="N147" s="35"/>
      <c r="O147" s="35"/>
      <c r="P147" s="35"/>
      <c r="Q147" s="35"/>
      <c r="R147" s="35"/>
      <c r="S147" s="35"/>
      <c r="T147" s="35"/>
      <c r="U147" s="35"/>
      <c r="V147" s="35"/>
      <c r="W147" s="35"/>
      <c r="X147" s="35"/>
      <c r="Y147" s="35"/>
      <c r="Z147" s="35"/>
      <c r="AA147" s="35"/>
    </row>
    <row r="148">
      <c r="A148" s="660"/>
      <c r="B148" s="669" t="s">
        <v>13336</v>
      </c>
      <c r="C148" s="657"/>
      <c r="D148" s="661" t="s">
        <v>9274</v>
      </c>
      <c r="E148" s="661" t="s">
        <v>38445</v>
      </c>
      <c r="F148" s="662" t="s">
        <v>38446</v>
      </c>
      <c r="G148" s="661" t="s">
        <v>38447</v>
      </c>
      <c r="H148" s="663" t="s">
        <v>37721</v>
      </c>
      <c r="I148" s="666" t="s">
        <v>38448</v>
      </c>
      <c r="J148" s="667" t="s">
        <v>38449</v>
      </c>
      <c r="K148" s="426" t="str">
        <f>HYPERLINK("https://clinicaltrials.gov/ct2/show/NCT04313907","NCT04313907")</f>
        <v>NCT04313907</v>
      </c>
      <c r="L148" s="671"/>
      <c r="M148" s="672"/>
      <c r="N148" s="35"/>
      <c r="O148" s="35"/>
      <c r="P148" s="35"/>
      <c r="Q148" s="35"/>
      <c r="R148" s="35"/>
      <c r="S148" s="35"/>
      <c r="T148" s="35"/>
      <c r="U148" s="35"/>
      <c r="V148" s="35"/>
      <c r="W148" s="35"/>
      <c r="X148" s="35"/>
      <c r="Y148" s="35"/>
      <c r="Z148" s="35"/>
      <c r="AA148" s="35"/>
    </row>
    <row r="149">
      <c r="A149" s="660"/>
      <c r="B149" s="669" t="s">
        <v>13336</v>
      </c>
      <c r="C149" s="657"/>
      <c r="D149" s="661" t="s">
        <v>1310</v>
      </c>
      <c r="E149" s="661" t="s">
        <v>38450</v>
      </c>
      <c r="F149" s="662" t="s">
        <v>38451</v>
      </c>
      <c r="G149" s="661" t="s">
        <v>38452</v>
      </c>
      <c r="H149" s="678" t="s">
        <v>37780</v>
      </c>
      <c r="I149" s="666" t="s">
        <v>38453</v>
      </c>
      <c r="J149" s="667" t="s">
        <v>38454</v>
      </c>
      <c r="K149" s="426" t="str">
        <f>HYPERLINK("https://clinicaltrials.gov/ct2/show/NCT04276038","NCT04276038")</f>
        <v>NCT04276038</v>
      </c>
      <c r="L149" s="671"/>
      <c r="M149" s="672"/>
      <c r="N149" s="35"/>
      <c r="O149" s="35"/>
      <c r="P149" s="35"/>
      <c r="Q149" s="35"/>
      <c r="R149" s="35"/>
      <c r="S149" s="35"/>
      <c r="T149" s="35"/>
      <c r="U149" s="35"/>
      <c r="V149" s="35"/>
      <c r="W149" s="35"/>
      <c r="X149" s="35"/>
      <c r="Y149" s="35"/>
      <c r="Z149" s="35"/>
      <c r="AA149" s="35"/>
    </row>
    <row r="150">
      <c r="A150" s="660"/>
      <c r="B150" s="669" t="s">
        <v>13336</v>
      </c>
      <c r="C150" s="657"/>
      <c r="D150" s="669" t="s">
        <v>36792</v>
      </c>
      <c r="E150" s="661" t="s">
        <v>38455</v>
      </c>
      <c r="F150" s="670" t="s">
        <v>38455</v>
      </c>
      <c r="G150" s="669" t="s">
        <v>37962</v>
      </c>
      <c r="H150" s="663" t="s">
        <v>37721</v>
      </c>
      <c r="I150" s="666" t="s">
        <v>38456</v>
      </c>
      <c r="J150" s="667" t="s">
        <v>38457</v>
      </c>
      <c r="K150" s="123" t="str">
        <f>HYPERLINK("https://clinicaltrials.gov/ct2/show/NCT03750279","NCT03750279")</f>
        <v>NCT03750279</v>
      </c>
      <c r="L150" s="671"/>
      <c r="M150" s="672" t="s">
        <v>37752</v>
      </c>
      <c r="N150" s="35"/>
      <c r="O150" s="35"/>
      <c r="P150" s="35"/>
      <c r="Q150" s="35"/>
      <c r="R150" s="35"/>
      <c r="S150" s="35"/>
      <c r="T150" s="35"/>
      <c r="U150" s="35"/>
      <c r="V150" s="35"/>
      <c r="W150" s="35"/>
      <c r="X150" s="35"/>
      <c r="Y150" s="35"/>
      <c r="Z150" s="35"/>
      <c r="AA150" s="35"/>
    </row>
    <row r="151">
      <c r="A151" s="660"/>
      <c r="B151" s="391" t="s">
        <v>38458</v>
      </c>
      <c r="C151" s="657"/>
      <c r="D151" s="661" t="s">
        <v>3864</v>
      </c>
      <c r="E151" s="661" t="s">
        <v>38459</v>
      </c>
      <c r="F151" s="662" t="s">
        <v>38460</v>
      </c>
      <c r="G151" s="661" t="s">
        <v>37837</v>
      </c>
      <c r="H151" s="663" t="s">
        <v>37727</v>
      </c>
      <c r="I151" s="666" t="s">
        <v>38461</v>
      </c>
      <c r="J151" s="667" t="s">
        <v>38462</v>
      </c>
      <c r="K151" s="117" t="str">
        <f>HYPERLINK("https://clinicaltrials.gov/ct2/show/NCT03385408","NCT03385408")</f>
        <v>NCT03385408</v>
      </c>
      <c r="L151" s="49"/>
      <c r="M151" s="35"/>
      <c r="N151" s="35"/>
      <c r="O151" s="35"/>
      <c r="P151" s="35"/>
      <c r="Q151" s="35"/>
      <c r="R151" s="35"/>
      <c r="S151" s="35"/>
      <c r="T151" s="35"/>
      <c r="U151" s="35"/>
      <c r="V151" s="35"/>
      <c r="W151" s="35"/>
      <c r="X151" s="35"/>
      <c r="Y151" s="35"/>
      <c r="Z151" s="35"/>
      <c r="AA151" s="35"/>
    </row>
    <row r="152">
      <c r="A152" s="660"/>
      <c r="B152" s="669" t="s">
        <v>34075</v>
      </c>
      <c r="C152" s="657"/>
      <c r="D152" s="669" t="s">
        <v>38463</v>
      </c>
      <c r="E152" s="661" t="s">
        <v>38464</v>
      </c>
      <c r="F152" s="673" t="s">
        <v>38464</v>
      </c>
      <c r="G152" s="669" t="s">
        <v>37925</v>
      </c>
      <c r="H152" s="663" t="s">
        <v>37721</v>
      </c>
      <c r="I152" s="666" t="s">
        <v>38465</v>
      </c>
      <c r="J152" s="667" t="s">
        <v>38466</v>
      </c>
      <c r="K152" s="123" t="str">
        <f>HYPERLINK("https://clinicaltrials.gov/ct2/show/NCT03829137","NCT03829137")</f>
        <v>NCT03829137</v>
      </c>
      <c r="L152" s="671"/>
      <c r="M152" s="672" t="s">
        <v>37752</v>
      </c>
      <c r="N152" s="35"/>
      <c r="O152" s="35"/>
      <c r="P152" s="35"/>
      <c r="Q152" s="35"/>
      <c r="R152" s="35"/>
      <c r="S152" s="35"/>
      <c r="T152" s="35"/>
      <c r="U152" s="35"/>
      <c r="V152" s="35"/>
      <c r="W152" s="35"/>
      <c r="X152" s="35"/>
      <c r="Y152" s="35"/>
      <c r="Z152" s="35"/>
      <c r="AA152" s="35"/>
    </row>
    <row r="153">
      <c r="A153" s="660"/>
      <c r="B153" s="391" t="s">
        <v>38467</v>
      </c>
      <c r="C153" s="657"/>
      <c r="D153" s="661" t="s">
        <v>7954</v>
      </c>
      <c r="E153" s="661" t="s">
        <v>38468</v>
      </c>
      <c r="F153" s="662" t="s">
        <v>38469</v>
      </c>
      <c r="G153" s="661" t="s">
        <v>38470</v>
      </c>
      <c r="H153" s="678" t="s">
        <v>37780</v>
      </c>
      <c r="I153" s="666" t="s">
        <v>38471</v>
      </c>
      <c r="J153" s="667" t="s">
        <v>38472</v>
      </c>
      <c r="K153" s="117" t="str">
        <f>HYPERLINK("https://clinicaltrials.gov/ct2/show/NCT03741062","NCT03741062")</f>
        <v>NCT03741062</v>
      </c>
      <c r="L153" s="49"/>
      <c r="M153" s="35"/>
      <c r="N153" s="35"/>
      <c r="O153" s="35"/>
      <c r="P153" s="35"/>
      <c r="Q153" s="35"/>
      <c r="R153" s="35"/>
      <c r="S153" s="35"/>
      <c r="T153" s="35"/>
      <c r="U153" s="35"/>
      <c r="V153" s="35"/>
      <c r="W153" s="35"/>
      <c r="X153" s="35"/>
      <c r="Y153" s="35"/>
      <c r="Z153" s="35"/>
      <c r="AA153" s="35"/>
    </row>
    <row r="154">
      <c r="A154" s="660"/>
      <c r="B154" s="391" t="s">
        <v>38473</v>
      </c>
      <c r="C154" s="657"/>
      <c r="D154" s="661" t="s">
        <v>400</v>
      </c>
      <c r="E154" s="661" t="s">
        <v>37772</v>
      </c>
      <c r="F154" s="662" t="s">
        <v>38474</v>
      </c>
      <c r="G154" s="661" t="s">
        <v>37826</v>
      </c>
      <c r="H154" s="678" t="s">
        <v>37780</v>
      </c>
      <c r="I154" s="666" t="s">
        <v>38475</v>
      </c>
      <c r="J154" s="667" t="s">
        <v>38476</v>
      </c>
      <c r="K154" s="117" t="str">
        <f>HYPERLINK("https://clinicaltrials.gov/ct2/show/NCT04028817","NCT04028817")</f>
        <v>NCT04028817</v>
      </c>
      <c r="L154" s="49"/>
      <c r="M154" s="35"/>
      <c r="N154" s="35"/>
      <c r="O154" s="35"/>
      <c r="P154" s="35"/>
      <c r="Q154" s="35"/>
      <c r="R154" s="35"/>
      <c r="S154" s="35"/>
      <c r="T154" s="35"/>
      <c r="U154" s="35"/>
      <c r="V154" s="35"/>
      <c r="W154" s="35"/>
      <c r="X154" s="35"/>
      <c r="Y154" s="35"/>
      <c r="Z154" s="35"/>
      <c r="AA154" s="35"/>
    </row>
    <row r="155">
      <c r="A155" s="660"/>
      <c r="B155" s="391" t="s">
        <v>38477</v>
      </c>
      <c r="C155" s="657"/>
      <c r="D155" s="661" t="s">
        <v>14371</v>
      </c>
      <c r="E155" s="661" t="s">
        <v>38478</v>
      </c>
      <c r="F155" s="662" t="s">
        <v>38479</v>
      </c>
      <c r="G155" s="661" t="s">
        <v>37968</v>
      </c>
      <c r="H155" s="663" t="s">
        <v>37721</v>
      </c>
      <c r="I155" s="666" t="s">
        <v>38480</v>
      </c>
      <c r="J155" s="665" t="s">
        <v>38481</v>
      </c>
      <c r="K155" s="117" t="str">
        <f>HYPERLINK("https://clinicaltrials.gov/ct2/show/NCT02789735","NCT02789735")</f>
        <v>NCT02789735</v>
      </c>
      <c r="L155" s="49"/>
      <c r="M155" s="35"/>
      <c r="N155" s="35"/>
      <c r="O155" s="35"/>
      <c r="P155" s="35"/>
      <c r="Q155" s="35"/>
      <c r="R155" s="35"/>
      <c r="S155" s="35"/>
      <c r="T155" s="35"/>
      <c r="U155" s="35"/>
      <c r="V155" s="35"/>
      <c r="W155" s="35"/>
      <c r="X155" s="35"/>
      <c r="Y155" s="35"/>
      <c r="Z155" s="35"/>
      <c r="AA155" s="35"/>
    </row>
    <row r="156">
      <c r="A156" s="660"/>
      <c r="B156" s="391" t="s">
        <v>38477</v>
      </c>
      <c r="C156" s="657"/>
      <c r="D156" s="661" t="s">
        <v>3414</v>
      </c>
      <c r="E156" s="661" t="s">
        <v>38141</v>
      </c>
      <c r="F156" s="662" t="s">
        <v>38482</v>
      </c>
      <c r="G156" s="661" t="s">
        <v>37968</v>
      </c>
      <c r="H156" s="668" t="s">
        <v>37744</v>
      </c>
      <c r="I156" s="666" t="s">
        <v>38483</v>
      </c>
      <c r="J156" s="665" t="s">
        <v>38484</v>
      </c>
      <c r="K156" s="117" t="str">
        <f>HYPERLINK("https://clinicaltrials.gov/ct2/show/NCT03606720","NCT03606720")</f>
        <v>NCT03606720</v>
      </c>
      <c r="L156" s="49"/>
      <c r="M156" s="35"/>
      <c r="N156" s="35"/>
      <c r="O156" s="35"/>
      <c r="P156" s="35"/>
      <c r="Q156" s="35"/>
      <c r="R156" s="35"/>
      <c r="S156" s="35"/>
      <c r="T156" s="35"/>
      <c r="U156" s="35"/>
      <c r="V156" s="35"/>
      <c r="W156" s="35"/>
      <c r="X156" s="35"/>
      <c r="Y156" s="35"/>
      <c r="Z156" s="35"/>
      <c r="AA156" s="35"/>
    </row>
    <row r="157">
      <c r="A157" s="679"/>
      <c r="B157" s="391" t="s">
        <v>37671</v>
      </c>
      <c r="C157" s="657"/>
      <c r="D157" s="661" t="s">
        <v>12068</v>
      </c>
      <c r="E157" s="661" t="s">
        <v>38243</v>
      </c>
      <c r="F157" s="662" t="s">
        <v>38485</v>
      </c>
      <c r="G157" s="661" t="s">
        <v>38486</v>
      </c>
      <c r="H157" s="663" t="s">
        <v>37721</v>
      </c>
      <c r="I157" s="666" t="s">
        <v>38487</v>
      </c>
      <c r="J157" s="665" t="s">
        <v>38488</v>
      </c>
      <c r="K157" s="117" t="str">
        <f>HYPERLINK("https://clinicaltrials.gov/ct2/show/NCT03557814","NCT03557814")</f>
        <v>NCT03557814</v>
      </c>
      <c r="L157" s="49"/>
      <c r="M157" s="35"/>
      <c r="N157" s="35"/>
      <c r="O157" s="35"/>
      <c r="P157" s="35"/>
      <c r="Q157" s="35"/>
      <c r="R157" s="35"/>
      <c r="S157" s="35"/>
      <c r="T157" s="35"/>
      <c r="U157" s="35"/>
      <c r="V157" s="35"/>
      <c r="W157" s="35"/>
      <c r="X157" s="35"/>
      <c r="Y157" s="35"/>
      <c r="Z157" s="35"/>
      <c r="AA157" s="35"/>
    </row>
    <row r="158">
      <c r="A158" s="660"/>
      <c r="B158" s="391" t="s">
        <v>38489</v>
      </c>
      <c r="C158" s="657"/>
      <c r="D158" s="661" t="s">
        <v>2161</v>
      </c>
      <c r="E158" s="661" t="s">
        <v>37795</v>
      </c>
      <c r="F158" s="662" t="s">
        <v>38490</v>
      </c>
      <c r="G158" s="661" t="s">
        <v>37797</v>
      </c>
      <c r="H158" s="663" t="s">
        <v>37721</v>
      </c>
      <c r="I158" s="666" t="s">
        <v>38491</v>
      </c>
      <c r="J158" s="665" t="s">
        <v>38492</v>
      </c>
      <c r="K158" s="117" t="str">
        <f>HYPERLINK("https://clinicaltrials.gov/ct2/show/NCT03203239","NCT03203239")</f>
        <v>NCT03203239</v>
      </c>
      <c r="L158" s="49"/>
      <c r="M158" s="35"/>
      <c r="N158" s="35"/>
      <c r="O158" s="35"/>
      <c r="P158" s="35"/>
      <c r="Q158" s="35"/>
      <c r="R158" s="35"/>
      <c r="S158" s="35"/>
      <c r="T158" s="35"/>
      <c r="U158" s="35"/>
      <c r="V158" s="35"/>
      <c r="W158" s="35"/>
      <c r="X158" s="35"/>
      <c r="Y158" s="35"/>
      <c r="Z158" s="35"/>
      <c r="AA158" s="35"/>
    </row>
    <row r="159">
      <c r="A159" s="660"/>
      <c r="B159" s="391" t="s">
        <v>38493</v>
      </c>
      <c r="C159" s="657"/>
      <c r="D159" s="661" t="s">
        <v>2161</v>
      </c>
      <c r="E159" s="661" t="s">
        <v>37893</v>
      </c>
      <c r="F159" s="662" t="s">
        <v>38494</v>
      </c>
      <c r="G159" s="661" t="s">
        <v>38393</v>
      </c>
      <c r="H159" s="663" t="s">
        <v>37721</v>
      </c>
      <c r="I159" s="666" t="s">
        <v>38495</v>
      </c>
      <c r="J159" s="665" t="s">
        <v>38496</v>
      </c>
      <c r="K159" s="117" t="str">
        <f>HYPERLINK("https://clinicaltrials.gov/ct2/show/NCT02926352","NCT02926352")</f>
        <v>NCT02926352</v>
      </c>
      <c r="L159" s="49"/>
      <c r="M159" s="35"/>
      <c r="N159" s="35"/>
      <c r="O159" s="35"/>
      <c r="P159" s="35"/>
      <c r="Q159" s="35"/>
      <c r="R159" s="35"/>
      <c r="S159" s="35"/>
      <c r="T159" s="35"/>
      <c r="U159" s="35"/>
      <c r="V159" s="35"/>
      <c r="W159" s="35"/>
      <c r="X159" s="35"/>
      <c r="Y159" s="35"/>
      <c r="Z159" s="35"/>
      <c r="AA159" s="35"/>
    </row>
    <row r="160">
      <c r="A160" s="660"/>
      <c r="B160" s="391" t="s">
        <v>37679</v>
      </c>
      <c r="C160" s="657"/>
      <c r="D160" s="661" t="s">
        <v>2604</v>
      </c>
      <c r="E160" s="661" t="s">
        <v>38497</v>
      </c>
      <c r="F160" s="662" t="s">
        <v>38498</v>
      </c>
      <c r="G160" s="661" t="s">
        <v>38499</v>
      </c>
      <c r="H160" s="668" t="s">
        <v>37744</v>
      </c>
      <c r="I160" s="666" t="s">
        <v>38500</v>
      </c>
      <c r="J160" s="665" t="s">
        <v>38501</v>
      </c>
      <c r="K160" s="117" t="str">
        <f>HYPERLINK("https://clinicaltrials.gov/ct2/show/NCT03015116","NCT03015116")</f>
        <v>NCT03015116</v>
      </c>
      <c r="L160" s="49"/>
      <c r="M160" s="35"/>
      <c r="N160" s="35"/>
      <c r="O160" s="35"/>
      <c r="P160" s="35"/>
      <c r="Q160" s="35"/>
      <c r="R160" s="35"/>
      <c r="S160" s="35"/>
      <c r="T160" s="35"/>
      <c r="U160" s="35"/>
      <c r="V160" s="35"/>
      <c r="W160" s="35"/>
      <c r="X160" s="35"/>
      <c r="Y160" s="35"/>
      <c r="Z160" s="35"/>
      <c r="AA160" s="35"/>
    </row>
    <row r="161">
      <c r="A161" s="660"/>
      <c r="B161" s="391" t="s">
        <v>38502</v>
      </c>
      <c r="C161" s="657"/>
      <c r="D161" s="661" t="s">
        <v>400</v>
      </c>
      <c r="E161" s="661" t="s">
        <v>38503</v>
      </c>
      <c r="F161" s="662" t="s">
        <v>38504</v>
      </c>
      <c r="G161" s="661" t="s">
        <v>38505</v>
      </c>
      <c r="H161" s="678" t="s">
        <v>37780</v>
      </c>
      <c r="I161" s="666" t="s">
        <v>38506</v>
      </c>
      <c r="J161" s="665" t="s">
        <v>38507</v>
      </c>
      <c r="K161" s="117" t="str">
        <f>HYPERLINK("https://clinicaltrials.gov/ct2/show/NCT04190797","NCT04190797")</f>
        <v>NCT04190797</v>
      </c>
      <c r="L161" s="49"/>
      <c r="M161" s="35"/>
      <c r="N161" s="35"/>
      <c r="O161" s="35"/>
      <c r="P161" s="35"/>
      <c r="Q161" s="35"/>
      <c r="R161" s="35"/>
      <c r="S161" s="35"/>
      <c r="T161" s="35"/>
      <c r="U161" s="35"/>
      <c r="V161" s="35"/>
      <c r="W161" s="35"/>
      <c r="X161" s="35"/>
      <c r="Y161" s="35"/>
      <c r="Z161" s="35"/>
      <c r="AA161" s="35"/>
    </row>
    <row r="162">
      <c r="A162" s="660"/>
      <c r="B162" s="391" t="s">
        <v>37179</v>
      </c>
      <c r="C162" s="657"/>
      <c r="D162" s="661" t="s">
        <v>2161</v>
      </c>
      <c r="E162" s="661" t="s">
        <v>38508</v>
      </c>
      <c r="F162" s="662" t="s">
        <v>38509</v>
      </c>
      <c r="G162" s="661" t="s">
        <v>38510</v>
      </c>
      <c r="H162" s="663" t="s">
        <v>37721</v>
      </c>
      <c r="I162" s="666" t="s">
        <v>38511</v>
      </c>
      <c r="J162" s="665" t="s">
        <v>38512</v>
      </c>
      <c r="K162" s="117" t="str">
        <f>HYPERLINK("https://clinicaltrials.gov/ct2/show/NCT03209882","NCT03209882")</f>
        <v>NCT03209882</v>
      </c>
      <c r="L162" s="49"/>
      <c r="M162" s="35"/>
      <c r="N162" s="35"/>
      <c r="O162" s="35"/>
      <c r="P162" s="35"/>
      <c r="Q162" s="35"/>
      <c r="R162" s="35"/>
      <c r="S162" s="35"/>
      <c r="T162" s="35"/>
      <c r="U162" s="35"/>
      <c r="V162" s="35"/>
      <c r="W162" s="35"/>
      <c r="X162" s="35"/>
      <c r="Y162" s="35"/>
      <c r="Z162" s="35"/>
      <c r="AA162" s="35"/>
    </row>
    <row r="163">
      <c r="A163" s="660"/>
      <c r="B163" s="391" t="s">
        <v>36452</v>
      </c>
      <c r="C163" s="657"/>
      <c r="D163" s="661" t="s">
        <v>400</v>
      </c>
      <c r="E163" s="661" t="s">
        <v>38513</v>
      </c>
      <c r="F163" s="662" t="s">
        <v>38514</v>
      </c>
      <c r="G163" s="661" t="s">
        <v>38515</v>
      </c>
      <c r="H163" s="663" t="s">
        <v>37721</v>
      </c>
      <c r="I163" s="666" t="s">
        <v>38516</v>
      </c>
      <c r="J163" s="665" t="s">
        <v>38517</v>
      </c>
      <c r="K163" s="117" t="str">
        <f>HYPERLINK("https://clinicaltrials.gov/ct2/show/NCT02296697","NCT02296697")</f>
        <v>NCT02296697</v>
      </c>
      <c r="L163" s="49"/>
      <c r="M163" s="35"/>
      <c r="N163" s="35"/>
      <c r="O163" s="35"/>
      <c r="P163" s="35"/>
      <c r="Q163" s="35"/>
      <c r="R163" s="35"/>
      <c r="S163" s="35"/>
      <c r="T163" s="35"/>
      <c r="U163" s="35"/>
      <c r="V163" s="35"/>
      <c r="W163" s="35"/>
      <c r="X163" s="35"/>
      <c r="Y163" s="35"/>
      <c r="Z163" s="35"/>
      <c r="AA163" s="35"/>
    </row>
    <row r="164">
      <c r="A164" s="660"/>
      <c r="B164" s="391" t="s">
        <v>8131</v>
      </c>
      <c r="C164" s="657"/>
      <c r="D164" s="661" t="s">
        <v>38518</v>
      </c>
      <c r="E164" s="661" t="s">
        <v>38519</v>
      </c>
      <c r="F164" s="662" t="s">
        <v>38520</v>
      </c>
      <c r="G164" s="661" t="s">
        <v>38521</v>
      </c>
      <c r="H164" s="678" t="s">
        <v>37780</v>
      </c>
      <c r="I164" s="666" t="s">
        <v>38522</v>
      </c>
      <c r="J164" s="665" t="s">
        <v>38523</v>
      </c>
      <c r="K164" s="117" t="str">
        <f>HYPERLINK("https://clinicaltrials.gov/ct2/show/NCT03507946","NCT03507946")</f>
        <v>NCT03507946</v>
      </c>
      <c r="L164" s="49"/>
      <c r="M164" s="35"/>
      <c r="N164" s="35"/>
      <c r="O164" s="35"/>
      <c r="P164" s="35"/>
      <c r="Q164" s="35"/>
      <c r="R164" s="35"/>
      <c r="S164" s="35"/>
      <c r="T164" s="35"/>
      <c r="U164" s="35"/>
      <c r="V164" s="35"/>
      <c r="W164" s="35"/>
      <c r="X164" s="35"/>
      <c r="Y164" s="35"/>
      <c r="Z164" s="35"/>
      <c r="AA164" s="35"/>
    </row>
    <row r="165">
      <c r="A165" s="660"/>
      <c r="B165" s="391" t="s">
        <v>8171</v>
      </c>
      <c r="C165" s="657"/>
      <c r="D165" s="661" t="s">
        <v>400</v>
      </c>
      <c r="E165" s="661" t="s">
        <v>38524</v>
      </c>
      <c r="F165" s="662" t="s">
        <v>38525</v>
      </c>
      <c r="G165" s="661" t="s">
        <v>38526</v>
      </c>
      <c r="H165" s="663" t="s">
        <v>37721</v>
      </c>
      <c r="I165" s="666" t="s">
        <v>38527</v>
      </c>
      <c r="J165" s="665" t="s">
        <v>38528</v>
      </c>
      <c r="K165" s="117" t="str">
        <f>HYPERLINK("https://clinicaltrials.gov/ct2/show/NCT04059809","NCT04059809")</f>
        <v>NCT04059809</v>
      </c>
      <c r="L165" s="49"/>
      <c r="M165" s="22" t="s">
        <v>38081</v>
      </c>
      <c r="N165" s="35"/>
      <c r="O165" s="35"/>
      <c r="P165" s="35"/>
      <c r="Q165" s="35"/>
      <c r="R165" s="35"/>
      <c r="S165" s="35"/>
      <c r="T165" s="35"/>
      <c r="U165" s="35"/>
      <c r="V165" s="35"/>
      <c r="W165" s="35"/>
      <c r="X165" s="35"/>
      <c r="Y165" s="35"/>
      <c r="Z165" s="35"/>
      <c r="AA165" s="35"/>
    </row>
    <row r="166">
      <c r="A166" s="660"/>
      <c r="B166" s="391" t="s">
        <v>8171</v>
      </c>
      <c r="C166" s="657"/>
      <c r="D166" s="661" t="s">
        <v>4149</v>
      </c>
      <c r="E166" s="661" t="s">
        <v>37835</v>
      </c>
      <c r="F166" s="662" t="s">
        <v>38529</v>
      </c>
      <c r="G166" s="661" t="s">
        <v>37837</v>
      </c>
      <c r="H166" s="663" t="s">
        <v>37721</v>
      </c>
      <c r="I166" s="666" t="s">
        <v>38530</v>
      </c>
      <c r="J166" s="665" t="s">
        <v>38531</v>
      </c>
      <c r="K166" s="117" t="str">
        <f>HYPERLINK("https://clinicaltrials.gov/ct2/show/NCT02738268","NCT02738268")</f>
        <v>NCT02738268</v>
      </c>
      <c r="L166" s="49"/>
      <c r="M166" s="35"/>
      <c r="N166" s="35"/>
      <c r="O166" s="35"/>
      <c r="P166" s="35"/>
      <c r="Q166" s="35"/>
      <c r="R166" s="35"/>
      <c r="S166" s="35"/>
      <c r="T166" s="35"/>
      <c r="U166" s="35"/>
      <c r="V166" s="35"/>
      <c r="W166" s="35"/>
      <c r="X166" s="35"/>
      <c r="Y166" s="35"/>
      <c r="Z166" s="35"/>
      <c r="AA166" s="35"/>
    </row>
    <row r="167">
      <c r="A167" s="660"/>
      <c r="B167" s="391" t="s">
        <v>8171</v>
      </c>
      <c r="C167" s="657"/>
      <c r="D167" s="661" t="s">
        <v>2161</v>
      </c>
      <c r="E167" s="661" t="s">
        <v>38532</v>
      </c>
      <c r="F167" s="662" t="s">
        <v>38533</v>
      </c>
      <c r="G167" s="661" t="s">
        <v>38534</v>
      </c>
      <c r="H167" s="663" t="s">
        <v>37721</v>
      </c>
      <c r="I167" s="666" t="s">
        <v>38535</v>
      </c>
      <c r="J167" s="665" t="s">
        <v>38536</v>
      </c>
      <c r="K167" s="117" t="str">
        <f>HYPERLINK("https://clinicaltrials.gov/ct2/show/NCT02384434","NCT02384434")</f>
        <v>NCT02384434</v>
      </c>
      <c r="L167" s="49"/>
      <c r="M167" s="35"/>
      <c r="N167" s="35"/>
      <c r="O167" s="35"/>
      <c r="P167" s="35"/>
      <c r="Q167" s="35"/>
      <c r="R167" s="35"/>
      <c r="S167" s="35"/>
      <c r="T167" s="35"/>
      <c r="U167" s="35"/>
      <c r="V167" s="35"/>
      <c r="W167" s="35"/>
      <c r="X167" s="35"/>
      <c r="Y167" s="35"/>
      <c r="Z167" s="35"/>
      <c r="AA167" s="35"/>
    </row>
    <row r="168">
      <c r="A168" s="660"/>
      <c r="B168" s="669" t="s">
        <v>8171</v>
      </c>
      <c r="C168" s="657"/>
      <c r="D168" s="669" t="s">
        <v>4149</v>
      </c>
      <c r="E168" s="661" t="s">
        <v>38537</v>
      </c>
      <c r="F168" s="673" t="s">
        <v>38538</v>
      </c>
      <c r="G168" s="669" t="s">
        <v>37895</v>
      </c>
      <c r="H168" s="663" t="s">
        <v>37721</v>
      </c>
      <c r="I168" s="666" t="s">
        <v>38539</v>
      </c>
      <c r="J168" s="665" t="s">
        <v>38540</v>
      </c>
      <c r="K168" s="123" t="str">
        <f>HYPERLINK("https://clinicaltrials.gov/ct2/show/NCT03924011","NCT03924011")</f>
        <v>NCT03924011</v>
      </c>
      <c r="L168" s="671"/>
      <c r="M168" s="672" t="s">
        <v>37752</v>
      </c>
      <c r="N168" s="35"/>
      <c r="O168" s="35"/>
      <c r="P168" s="35"/>
      <c r="Q168" s="35"/>
      <c r="R168" s="35"/>
      <c r="S168" s="35"/>
      <c r="T168" s="35"/>
      <c r="U168" s="35"/>
      <c r="V168" s="35"/>
      <c r="W168" s="35"/>
      <c r="X168" s="35"/>
      <c r="Y168" s="35"/>
      <c r="Z168" s="35"/>
      <c r="AA168" s="35"/>
    </row>
    <row r="169">
      <c r="A169" s="660"/>
      <c r="B169" s="391" t="s">
        <v>38541</v>
      </c>
      <c r="C169" s="657"/>
      <c r="D169" s="661" t="s">
        <v>2161</v>
      </c>
      <c r="E169" s="661" t="s">
        <v>38542</v>
      </c>
      <c r="F169" s="662" t="s">
        <v>38543</v>
      </c>
      <c r="G169" s="661" t="s">
        <v>37837</v>
      </c>
      <c r="H169" s="663" t="s">
        <v>37721</v>
      </c>
      <c r="I169" s="666" t="s">
        <v>38544</v>
      </c>
      <c r="J169" s="665" t="s">
        <v>38545</v>
      </c>
      <c r="K169" s="117" t="str">
        <f>HYPERLINK("https://clinicaltrials.gov/ct2/show/NCT03433222","NCT03433222")</f>
        <v>NCT03433222</v>
      </c>
      <c r="L169" s="49"/>
      <c r="M169" s="35"/>
      <c r="N169" s="35"/>
      <c r="O169" s="35"/>
      <c r="P169" s="35"/>
      <c r="Q169" s="35"/>
      <c r="R169" s="35"/>
      <c r="S169" s="35"/>
      <c r="T169" s="35"/>
      <c r="U169" s="35"/>
      <c r="V169" s="35"/>
      <c r="W169" s="35"/>
      <c r="X169" s="35"/>
      <c r="Y169" s="35"/>
      <c r="Z169" s="35"/>
      <c r="AA169" s="35"/>
    </row>
    <row r="170">
      <c r="A170" s="660"/>
      <c r="B170" s="669" t="s">
        <v>38546</v>
      </c>
      <c r="C170" s="657"/>
      <c r="D170" s="669" t="s">
        <v>2161</v>
      </c>
      <c r="E170" s="661" t="s">
        <v>38547</v>
      </c>
      <c r="F170" s="670" t="s">
        <v>38548</v>
      </c>
      <c r="G170" s="669" t="s">
        <v>37909</v>
      </c>
      <c r="H170" s="663" t="s">
        <v>37721</v>
      </c>
      <c r="I170" s="666" t="s">
        <v>38549</v>
      </c>
      <c r="J170" s="665" t="s">
        <v>38550</v>
      </c>
      <c r="K170" s="123" t="str">
        <f>HYPERLINK("https://clinicaltrials.gov/ct2/show/NCT03795116","NCT03795116")</f>
        <v>NCT03795116</v>
      </c>
      <c r="L170" s="671"/>
      <c r="M170" s="672" t="s">
        <v>37752</v>
      </c>
      <c r="N170" s="35"/>
      <c r="O170" s="35"/>
      <c r="P170" s="35"/>
      <c r="Q170" s="35"/>
      <c r="R170" s="35"/>
      <c r="S170" s="35"/>
      <c r="T170" s="35"/>
      <c r="U170" s="35"/>
      <c r="V170" s="35"/>
      <c r="W170" s="35"/>
      <c r="X170" s="35"/>
      <c r="Y170" s="35"/>
      <c r="Z170" s="35"/>
      <c r="AA170" s="35"/>
    </row>
    <row r="171">
      <c r="A171" s="660"/>
      <c r="B171" s="669" t="s">
        <v>29230</v>
      </c>
      <c r="C171" s="657"/>
      <c r="D171" s="669" t="s">
        <v>814</v>
      </c>
      <c r="E171" s="661" t="s">
        <v>38551</v>
      </c>
      <c r="F171" s="673" t="s">
        <v>38552</v>
      </c>
      <c r="G171" s="669" t="s">
        <v>38553</v>
      </c>
      <c r="H171" s="663" t="s">
        <v>37721</v>
      </c>
      <c r="I171" s="666" t="s">
        <v>38554</v>
      </c>
      <c r="J171" s="665" t="s">
        <v>38555</v>
      </c>
      <c r="K171" s="123" t="str">
        <f>HYPERLINK("https://clinicaltrials.gov/ct2/show/NCT03929276","NCT03929276")</f>
        <v>NCT03929276</v>
      </c>
      <c r="L171" s="671"/>
      <c r="M171" s="672" t="s">
        <v>37752</v>
      </c>
      <c r="N171" s="35"/>
      <c r="O171" s="35"/>
      <c r="P171" s="35"/>
      <c r="Q171" s="35"/>
      <c r="R171" s="35"/>
      <c r="S171" s="35"/>
      <c r="T171" s="35"/>
      <c r="U171" s="35"/>
      <c r="V171" s="35"/>
      <c r="W171" s="35"/>
      <c r="X171" s="35"/>
      <c r="Y171" s="35"/>
      <c r="Z171" s="35"/>
      <c r="AA171" s="35"/>
    </row>
    <row r="172">
      <c r="A172" s="660"/>
      <c r="B172" s="391" t="s">
        <v>38556</v>
      </c>
      <c r="C172" s="657"/>
      <c r="D172" s="661" t="s">
        <v>7954</v>
      </c>
      <c r="E172" s="661" t="s">
        <v>38557</v>
      </c>
      <c r="F172" s="662" t="s">
        <v>38558</v>
      </c>
      <c r="G172" s="661" t="s">
        <v>38559</v>
      </c>
      <c r="H172" s="663" t="s">
        <v>37721</v>
      </c>
      <c r="I172" s="666" t="s">
        <v>38560</v>
      </c>
      <c r="J172" s="665" t="s">
        <v>38561</v>
      </c>
      <c r="K172" s="117" t="str">
        <f>HYPERLINK("https://clinicaltrials.gov/ct2/show/NCT04308421","NCT04308421")</f>
        <v>NCT04308421</v>
      </c>
      <c r="L172" s="49"/>
      <c r="M172" s="35"/>
      <c r="N172" s="35"/>
      <c r="O172" s="35"/>
      <c r="P172" s="35"/>
      <c r="Q172" s="35"/>
      <c r="R172" s="35"/>
      <c r="S172" s="35"/>
      <c r="T172" s="35"/>
      <c r="U172" s="35"/>
      <c r="V172" s="35"/>
      <c r="W172" s="35"/>
      <c r="X172" s="35"/>
      <c r="Y172" s="35"/>
      <c r="Z172" s="35"/>
      <c r="AA172" s="35"/>
    </row>
    <row r="173">
      <c r="A173" s="660"/>
      <c r="B173" s="391" t="s">
        <v>37643</v>
      </c>
      <c r="C173" s="657"/>
      <c r="D173" s="661" t="s">
        <v>400</v>
      </c>
      <c r="E173" s="661" t="s">
        <v>37772</v>
      </c>
      <c r="F173" s="662" t="s">
        <v>38562</v>
      </c>
      <c r="G173" s="661" t="s">
        <v>38563</v>
      </c>
      <c r="H173" s="678" t="s">
        <v>37780</v>
      </c>
      <c r="I173" s="666" t="s">
        <v>38564</v>
      </c>
      <c r="J173" s="665" t="s">
        <v>38565</v>
      </c>
      <c r="K173" s="117" t="str">
        <f>HYPERLINK("https://clinicaltrials.gov/ct2/show/NCT04145999","NCT04145999")</f>
        <v>NCT04145999</v>
      </c>
      <c r="L173" s="49"/>
      <c r="M173" s="35"/>
      <c r="N173" s="35"/>
      <c r="O173" s="35"/>
      <c r="P173" s="35"/>
      <c r="Q173" s="35"/>
      <c r="R173" s="35"/>
      <c r="S173" s="35"/>
      <c r="T173" s="35"/>
      <c r="U173" s="35"/>
      <c r="V173" s="35"/>
      <c r="W173" s="35"/>
      <c r="X173" s="35"/>
      <c r="Y173" s="35"/>
      <c r="Z173" s="35"/>
      <c r="AA173" s="35"/>
    </row>
    <row r="174">
      <c r="A174" s="660"/>
      <c r="B174" s="391" t="s">
        <v>37643</v>
      </c>
      <c r="C174" s="657"/>
      <c r="D174" s="661" t="s">
        <v>2161</v>
      </c>
      <c r="E174" s="661" t="s">
        <v>38566</v>
      </c>
      <c r="F174" s="662" t="s">
        <v>38567</v>
      </c>
      <c r="G174" s="661" t="s">
        <v>38568</v>
      </c>
      <c r="H174" s="668" t="s">
        <v>37744</v>
      </c>
      <c r="I174" s="666" t="s">
        <v>38569</v>
      </c>
      <c r="J174" s="667" t="s">
        <v>38570</v>
      </c>
      <c r="K174" s="117" t="str">
        <f>HYPERLINK("https://clinicaltrials.gov/ct2/show/NCT03243981","NCT03243981")</f>
        <v>NCT03243981</v>
      </c>
      <c r="L174" s="49"/>
      <c r="M174" s="35"/>
      <c r="N174" s="35"/>
      <c r="O174" s="35"/>
      <c r="P174" s="35"/>
      <c r="Q174" s="35"/>
      <c r="R174" s="35"/>
      <c r="S174" s="35"/>
      <c r="T174" s="35"/>
      <c r="U174" s="35"/>
      <c r="V174" s="35"/>
      <c r="W174" s="35"/>
      <c r="X174" s="35"/>
      <c r="Y174" s="35"/>
      <c r="Z174" s="35"/>
      <c r="AA174" s="35"/>
    </row>
    <row r="175">
      <c r="A175" s="660"/>
      <c r="B175" s="391" t="s">
        <v>37349</v>
      </c>
      <c r="C175" s="657"/>
      <c r="D175" s="675" t="s">
        <v>400</v>
      </c>
      <c r="E175" s="675" t="s">
        <v>37772</v>
      </c>
      <c r="F175" s="662" t="s">
        <v>38571</v>
      </c>
      <c r="G175" s="661" t="s">
        <v>38470</v>
      </c>
      <c r="H175" s="663" t="s">
        <v>37721</v>
      </c>
      <c r="I175" s="666" t="s">
        <v>38572</v>
      </c>
      <c r="J175" s="667" t="s">
        <v>38573</v>
      </c>
      <c r="K175" s="117" t="str">
        <f>HYPERLINK("https://clinicaltrials.gov/ct2/show/NCT03710174","NCT03710174")</f>
        <v>NCT03710174</v>
      </c>
      <c r="L175" s="49"/>
      <c r="M175" s="35"/>
      <c r="N175" s="35"/>
      <c r="O175" s="35"/>
      <c r="P175" s="35"/>
      <c r="Q175" s="35"/>
      <c r="R175" s="35"/>
      <c r="S175" s="35"/>
      <c r="T175" s="35"/>
      <c r="U175" s="35"/>
      <c r="V175" s="35"/>
      <c r="W175" s="35"/>
      <c r="X175" s="35"/>
      <c r="Y175" s="35"/>
      <c r="Z175" s="35"/>
      <c r="AA175" s="35"/>
    </row>
    <row r="176">
      <c r="A176" s="660"/>
      <c r="B176" s="669" t="s">
        <v>38574</v>
      </c>
      <c r="C176" s="657"/>
      <c r="D176" s="669" t="s">
        <v>21703</v>
      </c>
      <c r="E176" s="661" t="s">
        <v>38575</v>
      </c>
      <c r="F176" s="673" t="s">
        <v>38576</v>
      </c>
      <c r="G176" s="669" t="s">
        <v>38577</v>
      </c>
      <c r="H176" s="663" t="s">
        <v>37727</v>
      </c>
      <c r="I176" s="666" t="s">
        <v>38578</v>
      </c>
      <c r="J176" s="667" t="s">
        <v>38579</v>
      </c>
      <c r="K176" s="123" t="str">
        <f>HYPERLINK("https://clinicaltrials.gov/ct2/show/NCT03816826","NCT03816826")</f>
        <v>NCT03816826</v>
      </c>
      <c r="L176" s="671"/>
      <c r="M176" s="672" t="s">
        <v>37752</v>
      </c>
      <c r="N176" s="35"/>
      <c r="O176" s="35"/>
      <c r="P176" s="35"/>
      <c r="Q176" s="35"/>
      <c r="R176" s="35"/>
      <c r="S176" s="35"/>
      <c r="T176" s="35"/>
      <c r="U176" s="35"/>
      <c r="V176" s="35"/>
      <c r="W176" s="35"/>
      <c r="X176" s="35"/>
      <c r="Y176" s="35"/>
      <c r="Z176" s="35"/>
      <c r="AA176" s="35"/>
    </row>
    <row r="177">
      <c r="A177" s="679" t="s">
        <v>37857</v>
      </c>
      <c r="B177" s="391" t="s">
        <v>37564</v>
      </c>
      <c r="C177" s="657"/>
      <c r="D177" s="661" t="s">
        <v>400</v>
      </c>
      <c r="E177" s="661" t="s">
        <v>37772</v>
      </c>
      <c r="F177" s="662" t="s">
        <v>38580</v>
      </c>
      <c r="G177" s="661" t="s">
        <v>37909</v>
      </c>
      <c r="H177" s="663" t="s">
        <v>37721</v>
      </c>
      <c r="I177" s="666" t="s">
        <v>38581</v>
      </c>
      <c r="J177" s="667" t="s">
        <v>38582</v>
      </c>
      <c r="K177" s="117" t="str">
        <f>HYPERLINK("https://clinicaltrials.gov/ct2/show/NCT03031223","NCT03031223")</f>
        <v>NCT03031223</v>
      </c>
      <c r="L177" s="49"/>
      <c r="M177" s="35"/>
      <c r="N177" s="35"/>
      <c r="O177" s="35"/>
      <c r="P177" s="35"/>
      <c r="Q177" s="35"/>
      <c r="R177" s="35"/>
      <c r="S177" s="35"/>
      <c r="T177" s="35"/>
      <c r="U177" s="35"/>
      <c r="V177" s="35"/>
      <c r="W177" s="35"/>
      <c r="X177" s="35"/>
      <c r="Y177" s="35"/>
      <c r="Z177" s="35"/>
      <c r="AA177" s="35"/>
    </row>
    <row r="178">
      <c r="A178" s="660"/>
      <c r="B178" s="391" t="s">
        <v>38583</v>
      </c>
      <c r="C178" s="657"/>
      <c r="D178" s="661" t="s">
        <v>3414</v>
      </c>
      <c r="E178" s="661" t="s">
        <v>38141</v>
      </c>
      <c r="F178" s="662" t="s">
        <v>38584</v>
      </c>
      <c r="G178" s="661" t="s">
        <v>38167</v>
      </c>
      <c r="H178" s="678" t="s">
        <v>37780</v>
      </c>
      <c r="I178" s="666" t="s">
        <v>38585</v>
      </c>
      <c r="J178" s="667" t="s">
        <v>38586</v>
      </c>
      <c r="K178" s="117" t="str">
        <f>HYPERLINK("https://clinicaltrials.gov/ct2/show/NCT03688737","NCT03688737")</f>
        <v>NCT03688737</v>
      </c>
      <c r="L178" s="49"/>
      <c r="M178" s="35"/>
      <c r="N178" s="35"/>
      <c r="O178" s="35"/>
      <c r="P178" s="35"/>
      <c r="Q178" s="35"/>
      <c r="R178" s="35"/>
      <c r="S178" s="35"/>
      <c r="T178" s="35"/>
      <c r="U178" s="35"/>
      <c r="V178" s="35"/>
      <c r="W178" s="35"/>
      <c r="X178" s="35"/>
      <c r="Y178" s="35"/>
      <c r="Z178" s="35"/>
      <c r="AA178" s="35"/>
    </row>
    <row r="179">
      <c r="A179" s="660"/>
      <c r="B179" s="391" t="s">
        <v>37607</v>
      </c>
      <c r="C179" s="657"/>
      <c r="D179" s="661" t="s">
        <v>2161</v>
      </c>
      <c r="E179" s="661" t="s">
        <v>38587</v>
      </c>
      <c r="F179" s="662" t="s">
        <v>38588</v>
      </c>
      <c r="G179" s="661" t="s">
        <v>38589</v>
      </c>
      <c r="H179" s="663" t="s">
        <v>37721</v>
      </c>
      <c r="I179" s="666" t="s">
        <v>38590</v>
      </c>
      <c r="J179" s="667" t="s">
        <v>38591</v>
      </c>
      <c r="K179" s="117" t="str">
        <f>HYPERLINK("https://clinicaltrials.gov/ct2/show/NCT04230577","NCT04230577")</f>
        <v>NCT04230577</v>
      </c>
      <c r="L179" s="49"/>
      <c r="M179" s="35"/>
      <c r="N179" s="35"/>
      <c r="O179" s="35"/>
      <c r="P179" s="35"/>
      <c r="Q179" s="35"/>
      <c r="R179" s="35"/>
      <c r="S179" s="35"/>
      <c r="T179" s="35"/>
      <c r="U179" s="35"/>
      <c r="V179" s="35"/>
      <c r="W179" s="35"/>
      <c r="X179" s="35"/>
      <c r="Y179" s="35"/>
      <c r="Z179" s="35"/>
      <c r="AA179" s="35"/>
    </row>
    <row r="180">
      <c r="A180" s="660"/>
      <c r="B180" s="391" t="s">
        <v>37607</v>
      </c>
      <c r="C180" s="657"/>
      <c r="D180" s="661" t="s">
        <v>2161</v>
      </c>
      <c r="E180" s="661" t="s">
        <v>37766</v>
      </c>
      <c r="F180" s="662" t="s">
        <v>38592</v>
      </c>
      <c r="G180" s="661" t="s">
        <v>38416</v>
      </c>
      <c r="H180" s="663" t="s">
        <v>37721</v>
      </c>
      <c r="I180" s="666" t="s">
        <v>38593</v>
      </c>
      <c r="J180" s="667" t="s">
        <v>38594</v>
      </c>
      <c r="K180" s="117" t="str">
        <f>HYPERLINK("https://clinicaltrials.gov/ct2/show/NCT02233413","NCT02233413")</f>
        <v>NCT02233413</v>
      </c>
      <c r="L180" s="49"/>
      <c r="M180" s="35"/>
      <c r="N180" s="35"/>
      <c r="O180" s="35"/>
      <c r="P180" s="35"/>
      <c r="Q180" s="35"/>
      <c r="R180" s="35"/>
      <c r="S180" s="35"/>
      <c r="T180" s="35"/>
      <c r="U180" s="35"/>
      <c r="V180" s="35"/>
      <c r="W180" s="35"/>
      <c r="X180" s="35"/>
      <c r="Y180" s="35"/>
      <c r="Z180" s="35"/>
      <c r="AA180" s="35"/>
    </row>
    <row r="181">
      <c r="A181" s="660"/>
      <c r="B181" s="391" t="s">
        <v>37607</v>
      </c>
      <c r="C181" s="657"/>
      <c r="D181" s="661" t="s">
        <v>2161</v>
      </c>
      <c r="E181" s="661" t="s">
        <v>37879</v>
      </c>
      <c r="F181" s="662" t="s">
        <v>38595</v>
      </c>
      <c r="G181" s="661" t="s">
        <v>38057</v>
      </c>
      <c r="H181" s="663" t="s">
        <v>37721</v>
      </c>
      <c r="I181" s="666" t="s">
        <v>38596</v>
      </c>
      <c r="J181" s="667" t="s">
        <v>38597</v>
      </c>
      <c r="K181" s="117" t="str">
        <f>HYPERLINK("https://clinicaltrials.gov/ct2/show/NCT02404402","NCT02404402")</f>
        <v>NCT02404402</v>
      </c>
      <c r="L181" s="49"/>
      <c r="M181" s="35"/>
      <c r="N181" s="35"/>
      <c r="O181" s="35"/>
      <c r="P181" s="35"/>
      <c r="Q181" s="35"/>
      <c r="R181" s="35"/>
      <c r="S181" s="35"/>
      <c r="T181" s="35"/>
      <c r="U181" s="35"/>
      <c r="V181" s="35"/>
      <c r="W181" s="35"/>
      <c r="X181" s="35"/>
      <c r="Y181" s="35"/>
      <c r="Z181" s="35"/>
      <c r="AA181" s="35"/>
    </row>
    <row r="182">
      <c r="A182" s="660"/>
      <c r="B182" s="391" t="s">
        <v>37607</v>
      </c>
      <c r="C182" s="657"/>
      <c r="D182" s="661" t="s">
        <v>400</v>
      </c>
      <c r="E182" s="661" t="s">
        <v>38503</v>
      </c>
      <c r="F182" s="662" t="s">
        <v>38598</v>
      </c>
      <c r="G182" s="661" t="s">
        <v>37925</v>
      </c>
      <c r="H182" s="663" t="s">
        <v>37721</v>
      </c>
      <c r="I182" s="666" t="s">
        <v>38599</v>
      </c>
      <c r="J182" s="667" t="s">
        <v>38600</v>
      </c>
      <c r="K182" s="117" t="str">
        <f>HYPERLINK("https://clinicaltrials.gov/ct2/show/NCT03281759","NCT03281759")</f>
        <v>NCT03281759</v>
      </c>
      <c r="L182" s="49"/>
      <c r="M182" s="35"/>
      <c r="N182" s="35"/>
      <c r="O182" s="35"/>
      <c r="P182" s="35"/>
      <c r="Q182" s="35"/>
      <c r="R182" s="35"/>
      <c r="S182" s="35"/>
      <c r="T182" s="35"/>
      <c r="U182" s="35"/>
      <c r="V182" s="35"/>
      <c r="W182" s="35"/>
      <c r="X182" s="35"/>
      <c r="Y182" s="35"/>
      <c r="Z182" s="35"/>
      <c r="AA182" s="35"/>
    </row>
    <row r="183">
      <c r="A183" s="660"/>
      <c r="B183" s="391" t="s">
        <v>38601</v>
      </c>
      <c r="C183" s="657"/>
      <c r="D183" s="661" t="s">
        <v>2161</v>
      </c>
      <c r="E183" s="661" t="s">
        <v>37879</v>
      </c>
      <c r="F183" s="662" t="s">
        <v>38602</v>
      </c>
      <c r="G183" s="661" t="s">
        <v>38603</v>
      </c>
      <c r="H183" s="663" t="s">
        <v>37721</v>
      </c>
      <c r="I183" s="666" t="s">
        <v>38604</v>
      </c>
      <c r="J183" s="667" t="s">
        <v>38605</v>
      </c>
      <c r="K183" s="117" t="str">
        <f>HYPERLINK("https://clinicaltrials.gov/ct2/show/NCT02356861","NCT02356861")</f>
        <v>NCT02356861</v>
      </c>
      <c r="L183" s="49"/>
      <c r="M183" s="35"/>
      <c r="N183" s="35"/>
      <c r="O183" s="35"/>
      <c r="P183" s="35"/>
      <c r="Q183" s="35"/>
      <c r="R183" s="35"/>
      <c r="S183" s="35"/>
      <c r="T183" s="35"/>
      <c r="U183" s="35"/>
      <c r="V183" s="35"/>
      <c r="W183" s="35"/>
      <c r="X183" s="35"/>
      <c r="Y183" s="35"/>
      <c r="Z183" s="35"/>
      <c r="AA183" s="35"/>
    </row>
    <row r="184">
      <c r="A184" s="660"/>
      <c r="B184" s="391" t="s">
        <v>38606</v>
      </c>
      <c r="C184" s="657"/>
      <c r="D184" s="661" t="s">
        <v>400</v>
      </c>
      <c r="E184" s="661" t="s">
        <v>37772</v>
      </c>
      <c r="F184" s="662" t="s">
        <v>38607</v>
      </c>
      <c r="G184" s="661" t="s">
        <v>38608</v>
      </c>
      <c r="H184" s="678" t="s">
        <v>37780</v>
      </c>
      <c r="I184" s="666" t="s">
        <v>38609</v>
      </c>
      <c r="J184" s="667" t="s">
        <v>38610</v>
      </c>
      <c r="K184" s="426" t="s">
        <v>38611</v>
      </c>
      <c r="L184" s="49"/>
      <c r="M184" s="35"/>
      <c r="N184" s="35"/>
      <c r="O184" s="35"/>
      <c r="P184" s="35"/>
      <c r="Q184" s="35"/>
      <c r="R184" s="35"/>
      <c r="S184" s="35"/>
      <c r="T184" s="35"/>
      <c r="U184" s="35"/>
      <c r="V184" s="35"/>
      <c r="W184" s="35"/>
      <c r="X184" s="35"/>
      <c r="Y184" s="35"/>
      <c r="Z184" s="35"/>
      <c r="AA184" s="35"/>
    </row>
    <row r="185">
      <c r="A185" s="660"/>
      <c r="B185" s="391" t="s">
        <v>38612</v>
      </c>
      <c r="C185" s="657"/>
      <c r="D185" s="661" t="s">
        <v>400</v>
      </c>
      <c r="E185" s="661" t="s">
        <v>38613</v>
      </c>
      <c r="F185" s="662" t="s">
        <v>38614</v>
      </c>
      <c r="G185" s="661" t="s">
        <v>38615</v>
      </c>
      <c r="H185" s="678" t="s">
        <v>37780</v>
      </c>
      <c r="I185" s="666" t="s">
        <v>38616</v>
      </c>
      <c r="J185" s="667" t="s">
        <v>38617</v>
      </c>
      <c r="K185" s="117" t="str">
        <f>HYPERLINK("https://clinicaltrials.gov/ct2/show/NCT02972879","NCT02972879")</f>
        <v>NCT02972879</v>
      </c>
      <c r="L185" s="49"/>
      <c r="M185" s="35"/>
      <c r="N185" s="35"/>
      <c r="O185" s="35"/>
      <c r="P185" s="35"/>
      <c r="Q185" s="35"/>
      <c r="R185" s="35"/>
      <c r="S185" s="35"/>
      <c r="T185" s="35"/>
      <c r="U185" s="35"/>
      <c r="V185" s="35"/>
      <c r="W185" s="35"/>
      <c r="X185" s="35"/>
      <c r="Y185" s="35"/>
      <c r="Z185" s="35"/>
      <c r="AA185" s="35"/>
    </row>
    <row r="186">
      <c r="A186" s="660"/>
      <c r="B186" s="391" t="s">
        <v>37672</v>
      </c>
      <c r="C186" s="657"/>
      <c r="D186" s="661" t="s">
        <v>2161</v>
      </c>
      <c r="E186" s="661" t="s">
        <v>38618</v>
      </c>
      <c r="F186" s="662" t="s">
        <v>38619</v>
      </c>
      <c r="G186" s="661" t="s">
        <v>38620</v>
      </c>
      <c r="H186" s="663" t="s">
        <v>37721</v>
      </c>
      <c r="I186" s="666" t="s">
        <v>38621</v>
      </c>
      <c r="J186" s="667" t="s">
        <v>38622</v>
      </c>
      <c r="K186" s="117" t="str">
        <f>HYPERLINK("https://clinicaltrials.gov/ct2/show/NCT03716167","NCT03716167")</f>
        <v>NCT03716167</v>
      </c>
      <c r="L186" s="49"/>
      <c r="M186" s="35"/>
      <c r="N186" s="35"/>
      <c r="O186" s="35"/>
      <c r="P186" s="35"/>
      <c r="Q186" s="35"/>
      <c r="R186" s="35"/>
      <c r="S186" s="35"/>
      <c r="T186" s="35"/>
      <c r="U186" s="35"/>
      <c r="V186" s="35"/>
      <c r="W186" s="35"/>
      <c r="X186" s="35"/>
      <c r="Y186" s="35"/>
      <c r="Z186" s="35"/>
      <c r="AA186" s="35"/>
    </row>
    <row r="187">
      <c r="A187" s="660"/>
      <c r="B187" s="391"/>
      <c r="C187" s="657"/>
      <c r="D187" s="661"/>
      <c r="E187" s="661"/>
      <c r="F187" s="662"/>
      <c r="G187" s="661"/>
      <c r="H187" s="668"/>
      <c r="I187" s="664"/>
      <c r="J187" s="665"/>
      <c r="K187" s="683"/>
      <c r="L187" s="49"/>
      <c r="M187" s="35"/>
      <c r="N187" s="35"/>
      <c r="O187" s="35"/>
      <c r="P187" s="35"/>
      <c r="Q187" s="35"/>
      <c r="R187" s="35"/>
      <c r="S187" s="35"/>
      <c r="T187" s="35"/>
      <c r="U187" s="35"/>
      <c r="V187" s="35"/>
      <c r="W187" s="35"/>
      <c r="X187" s="35"/>
      <c r="Y187" s="35"/>
      <c r="Z187" s="35"/>
      <c r="AA187" s="35"/>
    </row>
    <row r="188">
      <c r="A188" s="660"/>
      <c r="B188" s="391"/>
      <c r="C188" s="657"/>
      <c r="D188" s="661"/>
      <c r="E188" s="661"/>
      <c r="F188" s="662"/>
      <c r="G188" s="661"/>
      <c r="H188" s="668"/>
      <c r="I188" s="664"/>
      <c r="J188" s="665"/>
      <c r="K188" s="683"/>
      <c r="L188" s="49"/>
      <c r="M188" s="35"/>
      <c r="N188" s="35"/>
      <c r="O188" s="35"/>
      <c r="P188" s="35"/>
      <c r="Q188" s="35"/>
      <c r="R188" s="35"/>
      <c r="S188" s="35"/>
      <c r="T188" s="35"/>
      <c r="U188" s="35"/>
      <c r="V188" s="35"/>
      <c r="W188" s="35"/>
      <c r="X188" s="35"/>
      <c r="Y188" s="35"/>
      <c r="Z188" s="35"/>
      <c r="AA188" s="35"/>
    </row>
    <row r="189">
      <c r="A189" s="660"/>
      <c r="B189" s="391"/>
      <c r="C189" s="657"/>
      <c r="D189" s="661"/>
      <c r="E189" s="661"/>
      <c r="F189" s="662"/>
      <c r="G189" s="661"/>
      <c r="H189" s="668"/>
      <c r="I189" s="664"/>
      <c r="J189" s="665"/>
      <c r="K189" s="683"/>
      <c r="L189" s="49"/>
      <c r="M189" s="35"/>
      <c r="N189" s="35"/>
      <c r="O189" s="35"/>
      <c r="P189" s="35"/>
      <c r="Q189" s="35"/>
      <c r="R189" s="35"/>
      <c r="S189" s="35"/>
      <c r="T189" s="35"/>
      <c r="U189" s="35"/>
      <c r="V189" s="35"/>
      <c r="W189" s="35"/>
      <c r="X189" s="35"/>
      <c r="Y189" s="35"/>
      <c r="Z189" s="35"/>
      <c r="AA189" s="35"/>
    </row>
    <row r="190">
      <c r="A190" s="660"/>
      <c r="B190" s="391"/>
      <c r="C190" s="657"/>
      <c r="D190" s="661"/>
      <c r="E190" s="661"/>
      <c r="F190" s="662"/>
      <c r="G190" s="661"/>
      <c r="H190" s="668"/>
      <c r="I190" s="664"/>
      <c r="J190" s="665"/>
      <c r="K190" s="683"/>
      <c r="L190" s="49"/>
      <c r="M190" s="35"/>
      <c r="N190" s="35"/>
      <c r="O190" s="35"/>
      <c r="P190" s="35"/>
      <c r="Q190" s="35"/>
      <c r="R190" s="35"/>
      <c r="S190" s="35"/>
      <c r="T190" s="35"/>
      <c r="U190" s="35"/>
      <c r="V190" s="35"/>
      <c r="W190" s="35"/>
      <c r="X190" s="35"/>
      <c r="Y190" s="35"/>
      <c r="Z190" s="35"/>
      <c r="AA190" s="35"/>
    </row>
    <row r="191">
      <c r="A191" s="660"/>
      <c r="B191" s="391"/>
      <c r="C191" s="657"/>
      <c r="D191" s="661"/>
      <c r="E191" s="661"/>
      <c r="F191" s="662"/>
      <c r="G191" s="661"/>
      <c r="H191" s="668"/>
      <c r="I191" s="664"/>
      <c r="J191" s="665"/>
      <c r="K191" s="683"/>
      <c r="L191" s="49"/>
      <c r="M191" s="35"/>
      <c r="N191" s="35"/>
      <c r="O191" s="35"/>
      <c r="P191" s="35"/>
      <c r="Q191" s="35"/>
      <c r="R191" s="35"/>
      <c r="S191" s="35"/>
      <c r="T191" s="35"/>
      <c r="U191" s="35"/>
      <c r="V191" s="35"/>
      <c r="W191" s="35"/>
      <c r="X191" s="35"/>
      <c r="Y191" s="35"/>
      <c r="Z191" s="35"/>
      <c r="AA191" s="35"/>
    </row>
    <row r="192">
      <c r="A192" s="660"/>
      <c r="B192" s="391"/>
      <c r="C192" s="657"/>
      <c r="D192" s="661"/>
      <c r="E192" s="661"/>
      <c r="F192" s="662"/>
      <c r="G192" s="661"/>
      <c r="H192" s="668"/>
      <c r="I192" s="664"/>
      <c r="J192" s="665"/>
      <c r="K192" s="683"/>
      <c r="L192" s="49"/>
      <c r="M192" s="35"/>
      <c r="N192" s="35"/>
      <c r="O192" s="35"/>
      <c r="P192" s="35"/>
      <c r="Q192" s="35"/>
      <c r="R192" s="35"/>
      <c r="S192" s="35"/>
      <c r="T192" s="35"/>
      <c r="U192" s="35"/>
      <c r="V192" s="35"/>
      <c r="W192" s="35"/>
      <c r="X192" s="35"/>
      <c r="Y192" s="35"/>
      <c r="Z192" s="35"/>
      <c r="AA192" s="35"/>
    </row>
    <row r="193">
      <c r="A193" s="660"/>
      <c r="B193" s="391"/>
      <c r="C193" s="657"/>
      <c r="D193" s="661"/>
      <c r="E193" s="661"/>
      <c r="F193" s="662"/>
      <c r="G193" s="661"/>
      <c r="H193" s="668"/>
      <c r="I193" s="664"/>
      <c r="J193" s="665"/>
      <c r="K193" s="683"/>
      <c r="L193" s="49"/>
      <c r="M193" s="35"/>
      <c r="N193" s="35"/>
      <c r="O193" s="35"/>
      <c r="P193" s="35"/>
      <c r="Q193" s="35"/>
      <c r="R193" s="35"/>
      <c r="S193" s="35"/>
      <c r="T193" s="35"/>
      <c r="U193" s="35"/>
      <c r="V193" s="35"/>
      <c r="W193" s="35"/>
      <c r="X193" s="35"/>
      <c r="Y193" s="35"/>
      <c r="Z193" s="35"/>
      <c r="AA193" s="35"/>
    </row>
    <row r="194">
      <c r="A194" s="660"/>
      <c r="B194" s="391"/>
      <c r="C194" s="657"/>
      <c r="D194" s="661"/>
      <c r="E194" s="661"/>
      <c r="F194" s="662"/>
      <c r="G194" s="661"/>
      <c r="H194" s="668"/>
      <c r="I194" s="664"/>
      <c r="J194" s="665"/>
      <c r="K194" s="683"/>
      <c r="L194" s="49"/>
      <c r="M194" s="35"/>
      <c r="N194" s="35"/>
      <c r="O194" s="35"/>
      <c r="P194" s="35"/>
      <c r="Q194" s="35"/>
      <c r="R194" s="35"/>
      <c r="S194" s="35"/>
      <c r="T194" s="35"/>
      <c r="U194" s="35"/>
      <c r="V194" s="35"/>
      <c r="W194" s="35"/>
      <c r="X194" s="35"/>
      <c r="Y194" s="35"/>
      <c r="Z194" s="35"/>
      <c r="AA194" s="35"/>
    </row>
    <row r="195">
      <c r="A195" s="660"/>
      <c r="B195" s="391"/>
      <c r="C195" s="657"/>
      <c r="D195" s="661"/>
      <c r="E195" s="661"/>
      <c r="F195" s="662"/>
      <c r="G195" s="661"/>
      <c r="H195" s="668"/>
      <c r="I195" s="664"/>
      <c r="J195" s="665"/>
      <c r="K195" s="683"/>
      <c r="L195" s="49"/>
      <c r="M195" s="35"/>
      <c r="N195" s="35"/>
      <c r="O195" s="35"/>
      <c r="P195" s="35"/>
      <c r="Q195" s="35"/>
      <c r="R195" s="35"/>
      <c r="S195" s="35"/>
      <c r="T195" s="35"/>
      <c r="U195" s="35"/>
      <c r="V195" s="35"/>
      <c r="W195" s="35"/>
      <c r="X195" s="35"/>
      <c r="Y195" s="35"/>
      <c r="Z195" s="35"/>
      <c r="AA195" s="35"/>
    </row>
    <row r="196">
      <c r="A196" s="660"/>
      <c r="B196" s="391"/>
      <c r="C196" s="657"/>
      <c r="D196" s="661"/>
      <c r="E196" s="661"/>
      <c r="F196" s="662"/>
      <c r="G196" s="661"/>
      <c r="H196" s="668"/>
      <c r="I196" s="664"/>
      <c r="J196" s="665"/>
      <c r="K196" s="683"/>
      <c r="L196" s="49"/>
      <c r="M196" s="35"/>
      <c r="N196" s="35"/>
      <c r="O196" s="35"/>
      <c r="P196" s="35"/>
      <c r="Q196" s="35"/>
      <c r="R196" s="35"/>
      <c r="S196" s="35"/>
      <c r="T196" s="35"/>
      <c r="U196" s="35"/>
      <c r="V196" s="35"/>
      <c r="W196" s="35"/>
      <c r="X196" s="35"/>
      <c r="Y196" s="35"/>
      <c r="Z196" s="35"/>
      <c r="AA196" s="35"/>
    </row>
    <row r="197">
      <c r="A197" s="660"/>
      <c r="B197" s="391"/>
      <c r="C197" s="657"/>
      <c r="D197" s="661"/>
      <c r="E197" s="661"/>
      <c r="F197" s="662"/>
      <c r="G197" s="661"/>
      <c r="H197" s="668"/>
      <c r="I197" s="664"/>
      <c r="J197" s="665"/>
      <c r="K197" s="683"/>
      <c r="L197" s="49"/>
      <c r="M197" s="35"/>
      <c r="N197" s="35"/>
      <c r="O197" s="35"/>
      <c r="P197" s="35"/>
      <c r="Q197" s="35"/>
      <c r="R197" s="35"/>
      <c r="S197" s="35"/>
      <c r="T197" s="35"/>
      <c r="U197" s="35"/>
      <c r="V197" s="35"/>
      <c r="W197" s="35"/>
      <c r="X197" s="35"/>
      <c r="Y197" s="35"/>
      <c r="Z197" s="35"/>
      <c r="AA197" s="35"/>
    </row>
    <row r="198">
      <c r="A198" s="660"/>
      <c r="B198" s="391"/>
      <c r="C198" s="657"/>
      <c r="D198" s="661"/>
      <c r="E198" s="661"/>
      <c r="F198" s="662"/>
      <c r="G198" s="661"/>
      <c r="H198" s="668"/>
      <c r="I198" s="664"/>
      <c r="J198" s="665"/>
      <c r="K198" s="683"/>
      <c r="L198" s="49"/>
      <c r="M198" s="35"/>
      <c r="N198" s="35"/>
      <c r="O198" s="35"/>
      <c r="P198" s="35"/>
      <c r="Q198" s="35"/>
      <c r="R198" s="35"/>
      <c r="S198" s="35"/>
      <c r="T198" s="35"/>
      <c r="U198" s="35"/>
      <c r="V198" s="35"/>
      <c r="W198" s="35"/>
      <c r="X198" s="35"/>
      <c r="Y198" s="35"/>
      <c r="Z198" s="35"/>
      <c r="AA198" s="35"/>
    </row>
    <row r="199">
      <c r="A199" s="660"/>
      <c r="B199" s="391"/>
      <c r="C199" s="657"/>
      <c r="D199" s="661"/>
      <c r="E199" s="661"/>
      <c r="F199" s="662"/>
      <c r="G199" s="661"/>
      <c r="H199" s="668"/>
      <c r="I199" s="664"/>
      <c r="J199" s="665"/>
      <c r="K199" s="683"/>
      <c r="L199" s="49"/>
      <c r="M199" s="35"/>
      <c r="N199" s="35"/>
      <c r="O199" s="35"/>
      <c r="P199" s="35"/>
      <c r="Q199" s="35"/>
      <c r="R199" s="35"/>
      <c r="S199" s="35"/>
      <c r="T199" s="35"/>
      <c r="U199" s="35"/>
      <c r="V199" s="35"/>
      <c r="W199" s="35"/>
      <c r="X199" s="35"/>
      <c r="Y199" s="35"/>
      <c r="Z199" s="35"/>
      <c r="AA199" s="35"/>
    </row>
    <row r="200">
      <c r="A200" s="660"/>
      <c r="B200" s="391"/>
      <c r="C200" s="657"/>
      <c r="D200" s="661"/>
      <c r="E200" s="661"/>
      <c r="F200" s="662"/>
      <c r="G200" s="661"/>
      <c r="H200" s="668"/>
      <c r="I200" s="664"/>
      <c r="J200" s="665"/>
      <c r="K200" s="683"/>
      <c r="L200" s="49"/>
      <c r="M200" s="35"/>
      <c r="N200" s="35"/>
      <c r="O200" s="35"/>
      <c r="P200" s="35"/>
      <c r="Q200" s="35"/>
      <c r="R200" s="35"/>
      <c r="S200" s="35"/>
      <c r="T200" s="35"/>
      <c r="U200" s="35"/>
      <c r="V200" s="35"/>
      <c r="W200" s="35"/>
      <c r="X200" s="35"/>
      <c r="Y200" s="35"/>
      <c r="Z200" s="35"/>
      <c r="AA200" s="35"/>
    </row>
    <row r="201">
      <c r="A201" s="660"/>
      <c r="B201" s="391"/>
      <c r="C201" s="657"/>
      <c r="D201" s="661"/>
      <c r="E201" s="661"/>
      <c r="F201" s="662"/>
      <c r="G201" s="661"/>
      <c r="H201" s="668"/>
      <c r="I201" s="664"/>
      <c r="J201" s="665"/>
      <c r="K201" s="683"/>
      <c r="L201" s="49"/>
      <c r="M201" s="35"/>
      <c r="N201" s="35"/>
      <c r="O201" s="35"/>
      <c r="P201" s="35"/>
      <c r="Q201" s="35"/>
      <c r="R201" s="35"/>
      <c r="S201" s="35"/>
      <c r="T201" s="35"/>
      <c r="U201" s="35"/>
      <c r="V201" s="35"/>
      <c r="W201" s="35"/>
      <c r="X201" s="35"/>
      <c r="Y201" s="35"/>
      <c r="Z201" s="35"/>
      <c r="AA201" s="35"/>
    </row>
    <row r="202">
      <c r="A202" s="660"/>
      <c r="B202" s="391"/>
      <c r="C202" s="657"/>
      <c r="D202" s="661"/>
      <c r="E202" s="661"/>
      <c r="F202" s="662"/>
      <c r="G202" s="661"/>
      <c r="H202" s="668"/>
      <c r="I202" s="664"/>
      <c r="J202" s="665"/>
      <c r="K202" s="683"/>
      <c r="L202" s="49"/>
      <c r="M202" s="35"/>
      <c r="N202" s="35"/>
      <c r="O202" s="35"/>
      <c r="P202" s="35"/>
      <c r="Q202" s="35"/>
      <c r="R202" s="35"/>
      <c r="S202" s="35"/>
      <c r="T202" s="35"/>
      <c r="U202" s="35"/>
      <c r="V202" s="35"/>
      <c r="W202" s="35"/>
      <c r="X202" s="35"/>
      <c r="Y202" s="35"/>
      <c r="Z202" s="35"/>
      <c r="AA202" s="35"/>
    </row>
    <row r="203">
      <c r="A203" s="660"/>
      <c r="B203" s="391"/>
      <c r="C203" s="657"/>
      <c r="D203" s="661"/>
      <c r="E203" s="661"/>
      <c r="F203" s="662"/>
      <c r="G203" s="661"/>
      <c r="H203" s="668"/>
      <c r="I203" s="664"/>
      <c r="J203" s="665"/>
      <c r="K203" s="683"/>
      <c r="L203" s="49"/>
      <c r="M203" s="35"/>
      <c r="N203" s="35"/>
      <c r="O203" s="35"/>
      <c r="P203" s="35"/>
      <c r="Q203" s="35"/>
      <c r="R203" s="35"/>
      <c r="S203" s="35"/>
      <c r="T203" s="35"/>
      <c r="U203" s="35"/>
      <c r="V203" s="35"/>
      <c r="W203" s="35"/>
      <c r="X203" s="35"/>
      <c r="Y203" s="35"/>
      <c r="Z203" s="35"/>
      <c r="AA203" s="35"/>
    </row>
    <row r="204">
      <c r="A204" s="660"/>
      <c r="B204" s="391"/>
      <c r="C204" s="657"/>
      <c r="D204" s="661"/>
      <c r="E204" s="661"/>
      <c r="F204" s="662"/>
      <c r="G204" s="661"/>
      <c r="H204" s="668"/>
      <c r="I204" s="664"/>
      <c r="J204" s="665"/>
      <c r="K204" s="683"/>
      <c r="L204" s="49"/>
      <c r="M204" s="35"/>
      <c r="N204" s="35"/>
      <c r="O204" s="35"/>
      <c r="P204" s="35"/>
      <c r="Q204" s="35"/>
      <c r="R204" s="35"/>
      <c r="S204" s="35"/>
      <c r="T204" s="35"/>
      <c r="U204" s="35"/>
      <c r="V204" s="35"/>
      <c r="W204" s="35"/>
      <c r="X204" s="35"/>
      <c r="Y204" s="35"/>
      <c r="Z204" s="35"/>
      <c r="AA204" s="35"/>
    </row>
    <row r="205">
      <c r="A205" s="660"/>
      <c r="B205" s="391"/>
      <c r="C205" s="657"/>
      <c r="D205" s="661"/>
      <c r="E205" s="661"/>
      <c r="F205" s="662"/>
      <c r="G205" s="661"/>
      <c r="H205" s="668"/>
      <c r="I205" s="664"/>
      <c r="J205" s="665"/>
      <c r="K205" s="683"/>
      <c r="L205" s="49"/>
      <c r="M205" s="35"/>
      <c r="N205" s="35"/>
      <c r="O205" s="35"/>
      <c r="P205" s="35"/>
      <c r="Q205" s="35"/>
      <c r="R205" s="35"/>
      <c r="S205" s="35"/>
      <c r="T205" s="35"/>
      <c r="U205" s="35"/>
      <c r="V205" s="35"/>
      <c r="W205" s="35"/>
      <c r="X205" s="35"/>
      <c r="Y205" s="35"/>
      <c r="Z205" s="35"/>
      <c r="AA205" s="35"/>
    </row>
    <row r="206">
      <c r="A206" s="660"/>
      <c r="B206" s="391"/>
      <c r="C206" s="657"/>
      <c r="D206" s="661"/>
      <c r="E206" s="661"/>
      <c r="F206" s="662"/>
      <c r="G206" s="661"/>
      <c r="H206" s="668"/>
      <c r="I206" s="664"/>
      <c r="J206" s="665"/>
      <c r="K206" s="683"/>
      <c r="L206" s="49"/>
      <c r="M206" s="35"/>
      <c r="N206" s="35"/>
      <c r="O206" s="35"/>
      <c r="P206" s="35"/>
      <c r="Q206" s="35"/>
      <c r="R206" s="35"/>
      <c r="S206" s="35"/>
      <c r="T206" s="35"/>
      <c r="U206" s="35"/>
      <c r="V206" s="35"/>
      <c r="W206" s="35"/>
      <c r="X206" s="35"/>
      <c r="Y206" s="35"/>
      <c r="Z206" s="35"/>
      <c r="AA206" s="35"/>
    </row>
    <row r="207">
      <c r="A207" s="660"/>
      <c r="B207" s="391"/>
      <c r="C207" s="657"/>
      <c r="D207" s="661"/>
      <c r="E207" s="661"/>
      <c r="F207" s="662"/>
      <c r="G207" s="661"/>
      <c r="H207" s="668"/>
      <c r="I207" s="664"/>
      <c r="J207" s="665"/>
      <c r="K207" s="683"/>
      <c r="L207" s="49"/>
      <c r="M207" s="35"/>
      <c r="N207" s="35"/>
      <c r="O207" s="35"/>
      <c r="P207" s="35"/>
      <c r="Q207" s="35"/>
      <c r="R207" s="35"/>
      <c r="S207" s="35"/>
      <c r="T207" s="35"/>
      <c r="U207" s="35"/>
      <c r="V207" s="35"/>
      <c r="W207" s="35"/>
      <c r="X207" s="35"/>
      <c r="Y207" s="35"/>
      <c r="Z207" s="35"/>
      <c r="AA207" s="35"/>
    </row>
    <row r="208">
      <c r="A208" s="660"/>
      <c r="B208" s="391"/>
      <c r="C208" s="657"/>
      <c r="D208" s="661"/>
      <c r="E208" s="661"/>
      <c r="F208" s="662"/>
      <c r="G208" s="661"/>
      <c r="H208" s="668"/>
      <c r="I208" s="664"/>
      <c r="J208" s="665"/>
      <c r="K208" s="683"/>
      <c r="L208" s="49"/>
      <c r="M208" s="35"/>
      <c r="N208" s="35"/>
      <c r="O208" s="35"/>
      <c r="P208" s="35"/>
      <c r="Q208" s="35"/>
      <c r="R208" s="35"/>
      <c r="S208" s="35"/>
      <c r="T208" s="35"/>
      <c r="U208" s="35"/>
      <c r="V208" s="35"/>
      <c r="W208" s="35"/>
      <c r="X208" s="35"/>
      <c r="Y208" s="35"/>
      <c r="Z208" s="35"/>
      <c r="AA208" s="35"/>
    </row>
    <row r="209">
      <c r="A209" s="660"/>
      <c r="B209" s="391"/>
      <c r="C209" s="657"/>
      <c r="D209" s="661"/>
      <c r="E209" s="661"/>
      <c r="F209" s="662"/>
      <c r="G209" s="661"/>
      <c r="H209" s="668"/>
      <c r="I209" s="664"/>
      <c r="J209" s="665"/>
      <c r="K209" s="683"/>
      <c r="L209" s="49"/>
      <c r="M209" s="35"/>
      <c r="N209" s="35"/>
      <c r="O209" s="35"/>
      <c r="P209" s="35"/>
      <c r="Q209" s="35"/>
      <c r="R209" s="35"/>
      <c r="S209" s="35"/>
      <c r="T209" s="35"/>
      <c r="U209" s="35"/>
      <c r="V209" s="35"/>
      <c r="W209" s="35"/>
      <c r="X209" s="35"/>
      <c r="Y209" s="35"/>
      <c r="Z209" s="35"/>
      <c r="AA209" s="35"/>
    </row>
    <row r="210">
      <c r="A210" s="660"/>
      <c r="B210" s="391"/>
      <c r="C210" s="657"/>
      <c r="D210" s="661"/>
      <c r="E210" s="661"/>
      <c r="F210" s="662"/>
      <c r="G210" s="661"/>
      <c r="H210" s="668"/>
      <c r="I210" s="664"/>
      <c r="J210" s="665"/>
      <c r="K210" s="683"/>
      <c r="L210" s="49"/>
      <c r="M210" s="35"/>
      <c r="N210" s="35"/>
      <c r="O210" s="35"/>
      <c r="P210" s="35"/>
      <c r="Q210" s="35"/>
      <c r="R210" s="35"/>
      <c r="S210" s="35"/>
      <c r="T210" s="35"/>
      <c r="U210" s="35"/>
      <c r="V210" s="35"/>
      <c r="W210" s="35"/>
      <c r="X210" s="35"/>
      <c r="Y210" s="35"/>
      <c r="Z210" s="35"/>
      <c r="AA210" s="35"/>
    </row>
    <row r="211">
      <c r="A211" s="660"/>
      <c r="B211" s="391"/>
      <c r="C211" s="657"/>
      <c r="D211" s="661"/>
      <c r="E211" s="661"/>
      <c r="F211" s="662"/>
      <c r="G211" s="661"/>
      <c r="H211" s="668"/>
      <c r="I211" s="664"/>
      <c r="J211" s="665"/>
      <c r="K211" s="683"/>
      <c r="L211" s="49"/>
      <c r="M211" s="35"/>
      <c r="N211" s="35"/>
      <c r="O211" s="35"/>
      <c r="P211" s="35"/>
      <c r="Q211" s="35"/>
      <c r="R211" s="35"/>
      <c r="S211" s="35"/>
      <c r="T211" s="35"/>
      <c r="U211" s="35"/>
      <c r="V211" s="35"/>
      <c r="W211" s="35"/>
      <c r="X211" s="35"/>
      <c r="Y211" s="35"/>
      <c r="Z211" s="35"/>
      <c r="AA211" s="35"/>
    </row>
  </sheetData>
  <mergeCells count="1">
    <mergeCell ref="I1:J1"/>
  </mergeCells>
  <hyperlinks>
    <hyperlink r:id="rId1" ref="K12"/>
    <hyperlink r:id="rId2" ref="K13"/>
    <hyperlink r:id="rId3" ref="K38"/>
    <hyperlink r:id="rId4" ref="K39"/>
    <hyperlink r:id="rId5" ref="K40"/>
    <hyperlink r:id="rId6" ref="K41"/>
    <hyperlink r:id="rId7" ref="K42"/>
    <hyperlink r:id="rId8" ref="K47"/>
    <hyperlink r:id="rId9" ref="K74"/>
    <hyperlink r:id="rId10" ref="K75"/>
    <hyperlink r:id="rId11" ref="K84"/>
    <hyperlink r:id="rId12" ref="K85"/>
    <hyperlink r:id="rId13" ref="K94"/>
    <hyperlink r:id="rId14" ref="K96"/>
    <hyperlink r:id="rId15" ref="K103"/>
    <hyperlink r:id="rId16" ref="K113"/>
    <hyperlink r:id="rId17" ref="K133"/>
    <hyperlink r:id="rId18" ref="K136"/>
    <hyperlink r:id="rId19" ref="K137"/>
    <hyperlink r:id="rId20" ref="K143"/>
    <hyperlink r:id="rId21" ref="K147"/>
    <hyperlink r:id="rId22" ref="K184"/>
  </hyperlinks>
  <drawing r:id="rId2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33.0"/>
    <col customWidth="1" min="2" max="2" width="4.88"/>
    <col customWidth="1" min="3" max="3" width="88.5"/>
    <col customWidth="1" hidden="1" min="4" max="4" width="17.13"/>
    <col customWidth="1" hidden="1" min="5" max="5" width="32.38"/>
    <col customWidth="1" min="6" max="6" width="19.5"/>
  </cols>
  <sheetData>
    <row r="1">
      <c r="A1" s="684" t="s">
        <v>38623</v>
      </c>
      <c r="B1" s="431"/>
      <c r="C1" s="431"/>
      <c r="D1" s="431"/>
      <c r="E1" s="431"/>
      <c r="F1" s="685"/>
    </row>
    <row r="2">
      <c r="A2" s="686" t="s">
        <v>7</v>
      </c>
      <c r="B2" s="687" t="s">
        <v>38624</v>
      </c>
      <c r="C2" s="688" t="s">
        <v>8</v>
      </c>
      <c r="D2" s="689" t="s">
        <v>9</v>
      </c>
      <c r="E2" s="690" t="s">
        <v>38625</v>
      </c>
      <c r="F2" s="685" t="s">
        <v>38626</v>
      </c>
    </row>
    <row r="3">
      <c r="A3" s="691" t="s">
        <v>38627</v>
      </c>
      <c r="B3" s="692">
        <v>84.7</v>
      </c>
      <c r="C3" s="693" t="s">
        <v>4332</v>
      </c>
      <c r="D3" s="694"/>
      <c r="E3" s="695"/>
      <c r="F3" s="685"/>
    </row>
    <row r="4">
      <c r="A4" s="691" t="s">
        <v>38628</v>
      </c>
      <c r="B4" s="692">
        <v>74.4</v>
      </c>
      <c r="C4" s="696" t="str">
        <f>HYPERLINK("https://www.nature.com/articles/s41578-019-0167-3","Multifunctional materials for implantable and wearable photonic healthcare devices")</f>
        <v>Multifunctional materials for implantable and wearable photonic healthcare devices</v>
      </c>
      <c r="D4" s="694"/>
      <c r="E4" s="695"/>
      <c r="F4" s="685"/>
    </row>
    <row r="5">
      <c r="A5" s="691" t="s">
        <v>38629</v>
      </c>
      <c r="B5" s="692" t="s">
        <v>38630</v>
      </c>
      <c r="C5" s="693" t="s">
        <v>8181</v>
      </c>
      <c r="D5" s="694"/>
      <c r="E5" s="695"/>
      <c r="F5" s="685"/>
    </row>
    <row r="6">
      <c r="A6" s="697" t="s">
        <v>38631</v>
      </c>
      <c r="B6" s="698">
        <v>53.3</v>
      </c>
      <c r="C6" s="699" t="s">
        <v>38632</v>
      </c>
      <c r="D6" s="694" t="s">
        <v>38633</v>
      </c>
      <c r="E6" s="695" t="s">
        <v>38634</v>
      </c>
      <c r="F6" s="685"/>
    </row>
    <row r="7">
      <c r="A7" s="697" t="s">
        <v>1633</v>
      </c>
      <c r="B7" s="698">
        <v>45.0</v>
      </c>
      <c r="C7" s="700" t="s">
        <v>38635</v>
      </c>
      <c r="D7" s="694" t="s">
        <v>10220</v>
      </c>
      <c r="E7" s="695" t="s">
        <v>38636</v>
      </c>
      <c r="F7" s="685"/>
    </row>
    <row r="8">
      <c r="A8" s="691" t="s">
        <v>38637</v>
      </c>
      <c r="B8" s="692">
        <v>39.0</v>
      </c>
      <c r="C8" s="693" t="s">
        <v>33919</v>
      </c>
      <c r="D8" s="694"/>
      <c r="E8" s="695"/>
      <c r="F8" s="685"/>
    </row>
    <row r="9">
      <c r="A9" s="691" t="s">
        <v>38638</v>
      </c>
      <c r="B9" s="692">
        <v>29.2</v>
      </c>
      <c r="C9" s="693" t="s">
        <v>38639</v>
      </c>
      <c r="D9" s="694"/>
      <c r="E9" s="695"/>
      <c r="F9" s="685"/>
    </row>
    <row r="10">
      <c r="A10" s="691" t="s">
        <v>38640</v>
      </c>
      <c r="B10" s="692">
        <v>24.9</v>
      </c>
      <c r="C10" s="693" t="s">
        <v>1628</v>
      </c>
      <c r="D10" s="694"/>
      <c r="E10" s="695"/>
      <c r="F10" s="685"/>
    </row>
    <row r="11">
      <c r="A11" s="691" t="s">
        <v>38641</v>
      </c>
      <c r="B11" s="701">
        <v>44068.0</v>
      </c>
      <c r="C11" s="693" t="str">
        <f>HYPERLINK("https://www.ncbi.nlm.nih.gov/pubmed/32142190","Organic Light-Emitting Diodes: Pushing toward the Limits and Beyond.")</f>
        <v>Organic Light-Emitting Diodes: Pushing toward the Limits and Beyond.</v>
      </c>
      <c r="D11" s="694"/>
      <c r="E11" s="695"/>
      <c r="F11" s="685"/>
    </row>
    <row r="12">
      <c r="A12" s="702" t="s">
        <v>3034</v>
      </c>
      <c r="B12" s="703">
        <v>18.9</v>
      </c>
      <c r="C12" s="700" t="s">
        <v>38642</v>
      </c>
      <c r="D12" s="694" t="s">
        <v>14801</v>
      </c>
      <c r="E12" s="695" t="s">
        <v>38643</v>
      </c>
      <c r="F12" s="685"/>
    </row>
    <row r="13">
      <c r="A13" s="570"/>
      <c r="B13" s="440"/>
      <c r="C13" s="700" t="s">
        <v>6843</v>
      </c>
      <c r="D13" s="694" t="s">
        <v>14801</v>
      </c>
      <c r="E13" s="695" t="s">
        <v>38644</v>
      </c>
      <c r="F13" s="685"/>
    </row>
    <row r="14">
      <c r="A14" s="691" t="s">
        <v>38645</v>
      </c>
      <c r="B14" s="692">
        <v>17.8</v>
      </c>
      <c r="C14" s="693" t="s">
        <v>2363</v>
      </c>
      <c r="D14" s="694"/>
      <c r="E14" s="695"/>
      <c r="F14" s="685"/>
    </row>
    <row r="15">
      <c r="A15" s="697" t="s">
        <v>38646</v>
      </c>
      <c r="B15" s="698">
        <v>16.8</v>
      </c>
      <c r="C15" s="700" t="s">
        <v>38647</v>
      </c>
      <c r="D15" s="694" t="s">
        <v>14801</v>
      </c>
      <c r="E15" s="695" t="s">
        <v>38648</v>
      </c>
      <c r="F15" s="685"/>
    </row>
    <row r="16">
      <c r="A16" s="702" t="s">
        <v>38649</v>
      </c>
      <c r="B16" s="703">
        <v>16.7</v>
      </c>
      <c r="C16" s="700" t="s">
        <v>38650</v>
      </c>
      <c r="D16" s="694" t="s">
        <v>14801</v>
      </c>
      <c r="E16" s="695" t="s">
        <v>38651</v>
      </c>
      <c r="F16" s="685"/>
    </row>
    <row r="17">
      <c r="A17" s="570"/>
      <c r="B17" s="440"/>
      <c r="C17" s="700" t="s">
        <v>38652</v>
      </c>
      <c r="D17" s="694" t="s">
        <v>14801</v>
      </c>
      <c r="E17" s="695" t="s">
        <v>38653</v>
      </c>
      <c r="F17" s="685"/>
    </row>
    <row r="18">
      <c r="A18" s="691" t="s">
        <v>38654</v>
      </c>
      <c r="B18" s="692">
        <v>16.6</v>
      </c>
      <c r="C18" s="693" t="s">
        <v>3668</v>
      </c>
      <c r="D18" s="694"/>
      <c r="E18" s="695"/>
      <c r="F18" s="685"/>
    </row>
    <row r="19">
      <c r="A19" s="691" t="s">
        <v>38655</v>
      </c>
      <c r="B19" s="692">
        <v>15.1</v>
      </c>
      <c r="C19" s="693" t="s">
        <v>2198</v>
      </c>
      <c r="D19" s="694"/>
      <c r="E19" s="695"/>
      <c r="F19" s="685"/>
    </row>
    <row r="20">
      <c r="A20" s="697" t="s">
        <v>6283</v>
      </c>
      <c r="B20" s="698">
        <v>15.1</v>
      </c>
      <c r="C20" s="700" t="s">
        <v>38656</v>
      </c>
      <c r="D20" s="694" t="s">
        <v>14801</v>
      </c>
      <c r="E20" s="695" t="s">
        <v>38657</v>
      </c>
      <c r="F20" s="685"/>
    </row>
    <row r="21">
      <c r="A21" s="704" t="s">
        <v>38658</v>
      </c>
      <c r="B21" s="705">
        <v>14.1</v>
      </c>
      <c r="C21" s="693" t="s">
        <v>9142</v>
      </c>
      <c r="D21" s="694"/>
      <c r="E21" s="695"/>
      <c r="F21" s="685"/>
    </row>
    <row r="22">
      <c r="A22" s="570"/>
      <c r="B22" s="440"/>
      <c r="C22" s="693" t="s">
        <v>3161</v>
      </c>
      <c r="D22" s="694"/>
      <c r="E22" s="695"/>
      <c r="F22" s="685"/>
    </row>
    <row r="23">
      <c r="A23" s="697" t="s">
        <v>1768</v>
      </c>
      <c r="B23" s="698">
        <v>13.7</v>
      </c>
      <c r="C23" s="700" t="s">
        <v>1769</v>
      </c>
      <c r="D23" s="694" t="s">
        <v>14801</v>
      </c>
      <c r="E23" s="695" t="s">
        <v>38659</v>
      </c>
      <c r="F23" s="685"/>
    </row>
    <row r="24">
      <c r="A24" s="704" t="s">
        <v>9994</v>
      </c>
      <c r="B24" s="705">
        <v>13.4</v>
      </c>
      <c r="C24" s="693" t="s">
        <v>10156</v>
      </c>
      <c r="D24" s="694"/>
      <c r="E24" s="695"/>
      <c r="F24" s="685"/>
    </row>
    <row r="25">
      <c r="A25" s="576"/>
      <c r="B25" s="499"/>
      <c r="C25" s="693" t="s">
        <v>10163</v>
      </c>
      <c r="D25" s="694"/>
      <c r="E25" s="695"/>
      <c r="F25" s="685"/>
    </row>
    <row r="26">
      <c r="A26" s="570"/>
      <c r="B26" s="440"/>
      <c r="C26" s="693" t="s">
        <v>38660</v>
      </c>
      <c r="D26" s="694"/>
      <c r="E26" s="695"/>
      <c r="F26" s="685"/>
    </row>
    <row r="27">
      <c r="A27" s="702" t="s">
        <v>17879</v>
      </c>
      <c r="B27" s="703">
        <v>13.4</v>
      </c>
      <c r="C27" s="700" t="s">
        <v>38661</v>
      </c>
      <c r="D27" s="694" t="s">
        <v>14801</v>
      </c>
      <c r="E27" s="695" t="s">
        <v>38662</v>
      </c>
      <c r="F27" s="685"/>
    </row>
    <row r="28">
      <c r="A28" s="576"/>
      <c r="B28" s="499"/>
      <c r="C28" s="700" t="s">
        <v>38663</v>
      </c>
      <c r="D28" s="694" t="s">
        <v>14801</v>
      </c>
      <c r="E28" s="695" t="s">
        <v>38664</v>
      </c>
      <c r="F28" s="685"/>
    </row>
    <row r="29">
      <c r="A29" s="570"/>
      <c r="B29" s="440"/>
      <c r="C29" s="700" t="s">
        <v>38665</v>
      </c>
      <c r="D29" s="694" t="s">
        <v>14801</v>
      </c>
      <c r="E29" s="695" t="s">
        <v>38666</v>
      </c>
      <c r="F29" s="685"/>
    </row>
    <row r="30">
      <c r="A30" s="691" t="s">
        <v>38667</v>
      </c>
      <c r="B30" s="692">
        <v>12.4</v>
      </c>
      <c r="C30" s="693" t="s">
        <v>4244</v>
      </c>
      <c r="D30" s="694"/>
      <c r="E30" s="695"/>
      <c r="F30" s="685"/>
    </row>
    <row r="31">
      <c r="A31" s="697" t="s">
        <v>38668</v>
      </c>
      <c r="B31" s="698">
        <v>12.4</v>
      </c>
      <c r="C31" s="700" t="s">
        <v>13903</v>
      </c>
      <c r="D31" s="694" t="s">
        <v>14801</v>
      </c>
      <c r="E31" s="695" t="s">
        <v>38669</v>
      </c>
      <c r="F31" s="685"/>
    </row>
    <row r="32">
      <c r="A32" s="697" t="s">
        <v>38670</v>
      </c>
      <c r="B32" s="698">
        <v>11.6</v>
      </c>
      <c r="C32" s="700" t="s">
        <v>38671</v>
      </c>
      <c r="D32" s="694" t="s">
        <v>14801</v>
      </c>
      <c r="E32" s="695" t="s">
        <v>38672</v>
      </c>
      <c r="F32" s="685"/>
    </row>
    <row r="33">
      <c r="A33" s="706" t="s">
        <v>2038</v>
      </c>
      <c r="B33" s="705">
        <v>11.6</v>
      </c>
      <c r="C33" s="693" t="s">
        <v>2339</v>
      </c>
      <c r="D33" s="694"/>
      <c r="E33" s="695"/>
      <c r="F33" s="685"/>
    </row>
    <row r="34">
      <c r="A34" s="576"/>
      <c r="B34" s="499"/>
      <c r="C34" s="693" t="s">
        <v>3487</v>
      </c>
      <c r="D34" s="694"/>
      <c r="E34" s="695"/>
      <c r="F34" s="685"/>
    </row>
    <row r="35">
      <c r="A35" s="570"/>
      <c r="B35" s="440"/>
      <c r="C35" s="693" t="s">
        <v>9090</v>
      </c>
      <c r="D35" s="694"/>
      <c r="E35" s="695"/>
      <c r="F35" s="685"/>
    </row>
    <row r="36">
      <c r="A36" s="697" t="s">
        <v>38673</v>
      </c>
      <c r="B36" s="698">
        <v>11.5</v>
      </c>
      <c r="C36" s="700" t="s">
        <v>38674</v>
      </c>
      <c r="D36" s="694" t="s">
        <v>2036</v>
      </c>
      <c r="E36" s="695" t="s">
        <v>38675</v>
      </c>
      <c r="F36" s="685"/>
    </row>
    <row r="37">
      <c r="A37" s="691" t="s">
        <v>38676</v>
      </c>
      <c r="B37" s="692">
        <v>10.7</v>
      </c>
      <c r="C37" s="700" t="s">
        <v>6124</v>
      </c>
      <c r="D37" s="694"/>
      <c r="E37" s="695"/>
      <c r="F37" s="685"/>
    </row>
    <row r="38">
      <c r="A38" s="697" t="s">
        <v>38677</v>
      </c>
      <c r="B38" s="698">
        <v>10.2</v>
      </c>
      <c r="C38" s="700" t="s">
        <v>38678</v>
      </c>
      <c r="D38" s="694" t="s">
        <v>14801</v>
      </c>
      <c r="E38" s="695" t="s">
        <v>38679</v>
      </c>
      <c r="F38" s="685"/>
    </row>
    <row r="39">
      <c r="A39" s="691" t="s">
        <v>38680</v>
      </c>
      <c r="B39" s="692">
        <v>9.6</v>
      </c>
      <c r="C39" s="693" t="s">
        <v>3585</v>
      </c>
      <c r="D39" s="694"/>
      <c r="E39" s="695"/>
      <c r="F39" s="685"/>
    </row>
    <row r="40">
      <c r="A40" s="697" t="s">
        <v>38681</v>
      </c>
      <c r="B40" s="698">
        <v>9.5</v>
      </c>
      <c r="C40" s="700" t="s">
        <v>38682</v>
      </c>
      <c r="D40" s="694" t="s">
        <v>14801</v>
      </c>
      <c r="E40" s="695" t="s">
        <v>38683</v>
      </c>
      <c r="F40" s="685"/>
    </row>
    <row r="41">
      <c r="A41" s="702" t="s">
        <v>1858</v>
      </c>
      <c r="B41" s="703">
        <v>8.8</v>
      </c>
      <c r="C41" s="693" t="s">
        <v>36403</v>
      </c>
      <c r="D41" s="694" t="s">
        <v>14801</v>
      </c>
      <c r="E41" s="695" t="s">
        <v>38684</v>
      </c>
      <c r="F41" s="685"/>
    </row>
    <row r="42">
      <c r="A42" s="576"/>
      <c r="B42" s="499"/>
      <c r="C42" s="700" t="s">
        <v>1859</v>
      </c>
      <c r="D42" s="694"/>
      <c r="E42" s="695"/>
      <c r="F42" s="685"/>
    </row>
    <row r="43">
      <c r="A43" s="570"/>
      <c r="B43" s="440"/>
      <c r="C43" s="700" t="s">
        <v>32159</v>
      </c>
      <c r="D43" s="694" t="s">
        <v>14801</v>
      </c>
      <c r="E43" s="695" t="s">
        <v>38685</v>
      </c>
      <c r="F43" s="685"/>
    </row>
    <row r="44">
      <c r="A44" s="691" t="s">
        <v>38686</v>
      </c>
      <c r="B44" s="692">
        <v>8.2</v>
      </c>
      <c r="C44" s="693" t="s">
        <v>10020</v>
      </c>
      <c r="D44" s="707"/>
      <c r="E44" s="708"/>
      <c r="F44" s="709"/>
    </row>
    <row r="45">
      <c r="A45" s="697" t="s">
        <v>38687</v>
      </c>
      <c r="B45" s="698">
        <v>8.1</v>
      </c>
      <c r="C45" s="700" t="s">
        <v>38688</v>
      </c>
      <c r="D45" s="707"/>
      <c r="E45" s="708"/>
      <c r="F45" s="709" t="s">
        <v>38689</v>
      </c>
    </row>
    <row r="46">
      <c r="A46" s="702" t="s">
        <v>38690</v>
      </c>
      <c r="B46" s="703">
        <v>7.9</v>
      </c>
      <c r="C46" s="700" t="s">
        <v>33456</v>
      </c>
      <c r="D46" s="694" t="s">
        <v>14801</v>
      </c>
      <c r="E46" s="695" t="s">
        <v>38691</v>
      </c>
      <c r="F46" s="685"/>
    </row>
    <row r="47">
      <c r="A47" s="570"/>
      <c r="B47" s="440"/>
      <c r="C47" s="700" t="s">
        <v>38692</v>
      </c>
      <c r="D47" s="694" t="s">
        <v>32728</v>
      </c>
      <c r="E47" s="695" t="s">
        <v>38693</v>
      </c>
      <c r="F47" s="685"/>
    </row>
    <row r="48">
      <c r="A48" s="691" t="s">
        <v>38694</v>
      </c>
      <c r="B48" s="692">
        <v>7.8</v>
      </c>
      <c r="C48" s="693" t="s">
        <v>9180</v>
      </c>
      <c r="D48" s="707"/>
      <c r="E48" s="708"/>
      <c r="F48" s="685"/>
    </row>
    <row r="49">
      <c r="A49" s="691" t="s">
        <v>2392</v>
      </c>
      <c r="B49" s="692">
        <v>7.7</v>
      </c>
      <c r="C49" s="693" t="s">
        <v>8034</v>
      </c>
      <c r="D49" s="707"/>
      <c r="E49" s="708"/>
      <c r="F49" s="685"/>
    </row>
    <row r="50">
      <c r="A50" s="691" t="s">
        <v>38695</v>
      </c>
      <c r="B50" s="692">
        <v>7.6</v>
      </c>
      <c r="C50" s="693" t="s">
        <v>30998</v>
      </c>
      <c r="D50" s="707"/>
      <c r="E50" s="708"/>
      <c r="F50" s="685"/>
    </row>
    <row r="51">
      <c r="A51" s="697" t="s">
        <v>38696</v>
      </c>
      <c r="B51" s="692">
        <v>7.4</v>
      </c>
      <c r="C51" s="700" t="s">
        <v>38697</v>
      </c>
      <c r="D51" s="707"/>
      <c r="E51" s="708"/>
      <c r="F51" s="685"/>
    </row>
    <row r="52">
      <c r="A52" s="704" t="s">
        <v>2433</v>
      </c>
      <c r="B52" s="705">
        <v>7.3</v>
      </c>
      <c r="C52" s="693" t="s">
        <v>38698</v>
      </c>
      <c r="D52" s="694"/>
      <c r="E52" s="695"/>
      <c r="F52" s="685"/>
    </row>
    <row r="53">
      <c r="A53" s="570"/>
      <c r="B53" s="440"/>
      <c r="C53" s="693" t="str">
        <f>HYPERLINK("https://www.ncbi.nlm.nih.gov/pubmed/31663252","Activation of PKA/SIRT1 signaling pathway by photobiomodulation therapy reduces Aβ levels in Alzheimer's disease models.")</f>
        <v>Activation of PKA/SIRT1 signaling pathway by photobiomodulation therapy reduces Aβ levels in Alzheimer's disease models.</v>
      </c>
      <c r="D53" s="694"/>
      <c r="E53" s="695"/>
      <c r="F53" s="685"/>
    </row>
    <row r="54">
      <c r="A54" s="691" t="s">
        <v>9689</v>
      </c>
      <c r="B54" s="692">
        <v>7.2</v>
      </c>
      <c r="C54" s="693" t="str">
        <f>HYPERLINK("https://www.ncbi.nlm.nih.gov/pubmed/29167189","Photobiomodulation Inhibits Long-term Structural and Functional Lesions of Diabetic Retinopathy.")</f>
        <v>Photobiomodulation Inhibits Long-term Structural and Functional Lesions of Diabetic Retinopathy.</v>
      </c>
      <c r="D54" s="694"/>
      <c r="E54" s="695"/>
      <c r="F54" s="685"/>
    </row>
    <row r="55">
      <c r="A55" s="697" t="s">
        <v>38699</v>
      </c>
      <c r="B55" s="698">
        <v>7.1</v>
      </c>
      <c r="C55" s="700" t="s">
        <v>5345</v>
      </c>
      <c r="D55" s="694" t="s">
        <v>14801</v>
      </c>
      <c r="E55" s="695" t="s">
        <v>38700</v>
      </c>
      <c r="F55" s="685"/>
    </row>
    <row r="56">
      <c r="A56" s="702" t="s">
        <v>38701</v>
      </c>
      <c r="B56" s="703">
        <v>6.9</v>
      </c>
      <c r="C56" s="700" t="s">
        <v>38702</v>
      </c>
      <c r="D56" s="707"/>
      <c r="E56" s="708"/>
      <c r="F56" s="685"/>
    </row>
    <row r="57">
      <c r="A57" s="576"/>
      <c r="B57" s="499"/>
      <c r="C57" s="700" t="s">
        <v>38703</v>
      </c>
      <c r="D57" s="707"/>
      <c r="E57" s="708"/>
      <c r="F57" s="685"/>
    </row>
    <row r="58">
      <c r="A58" s="570"/>
      <c r="B58" s="440"/>
      <c r="C58" s="700" t="s">
        <v>38704</v>
      </c>
      <c r="D58" s="707"/>
      <c r="E58" s="708"/>
      <c r="F58" s="685"/>
    </row>
    <row r="59">
      <c r="A59" s="691" t="s">
        <v>31017</v>
      </c>
      <c r="B59" s="692">
        <v>6.8</v>
      </c>
      <c r="C59" s="693" t="str">
        <f>HYPERLINK("https://www.ncbi.nlm.nih.gov/pubmed/31140603","Light-emitting diode-based photobiomodulation reduces features of allergic asthma in mice.")</f>
        <v>Light-emitting diode-based photobiomodulation reduces features of allergic asthma in mice.</v>
      </c>
      <c r="D59" s="694"/>
      <c r="E59" s="695"/>
      <c r="F59" s="685"/>
    </row>
    <row r="60">
      <c r="A60" s="702" t="s">
        <v>38705</v>
      </c>
      <c r="B60" s="703">
        <v>6.8</v>
      </c>
      <c r="C60" s="700" t="s">
        <v>38706</v>
      </c>
      <c r="D60" s="694" t="s">
        <v>38633</v>
      </c>
      <c r="E60" s="695" t="s">
        <v>38707</v>
      </c>
      <c r="F60" s="685"/>
    </row>
    <row r="61">
      <c r="A61" s="576"/>
      <c r="B61" s="499"/>
      <c r="C61" s="700" t="s">
        <v>38708</v>
      </c>
      <c r="D61" s="694" t="s">
        <v>38633</v>
      </c>
      <c r="E61" s="695" t="s">
        <v>38707</v>
      </c>
      <c r="F61" s="685"/>
    </row>
    <row r="62">
      <c r="A62" s="576"/>
      <c r="B62" s="499"/>
      <c r="C62" s="700" t="s">
        <v>38709</v>
      </c>
      <c r="D62" s="694" t="s">
        <v>38633</v>
      </c>
      <c r="E62" s="695" t="s">
        <v>38710</v>
      </c>
      <c r="F62" s="685"/>
    </row>
    <row r="63">
      <c r="A63" s="576"/>
      <c r="B63" s="499"/>
      <c r="C63" s="700" t="s">
        <v>38711</v>
      </c>
      <c r="D63" s="694" t="s">
        <v>38633</v>
      </c>
      <c r="E63" s="695" t="s">
        <v>38712</v>
      </c>
      <c r="F63" s="685"/>
    </row>
    <row r="64">
      <c r="A64" s="570"/>
      <c r="B64" s="440"/>
      <c r="C64" s="700" t="s">
        <v>38713</v>
      </c>
      <c r="D64" s="694" t="s">
        <v>38633</v>
      </c>
      <c r="E64" s="695" t="s">
        <v>38714</v>
      </c>
      <c r="F64" s="685"/>
    </row>
    <row r="65">
      <c r="A65" s="691" t="s">
        <v>38715</v>
      </c>
      <c r="B65" s="692">
        <v>6.7</v>
      </c>
      <c r="C65" s="693" t="s">
        <v>4413</v>
      </c>
      <c r="D65" s="694"/>
      <c r="E65" s="695"/>
      <c r="F65" s="685"/>
    </row>
    <row r="66">
      <c r="A66" s="691" t="s">
        <v>38716</v>
      </c>
      <c r="B66" s="692">
        <v>6.7</v>
      </c>
      <c r="C66" s="693" t="s">
        <v>30560</v>
      </c>
      <c r="D66" s="694"/>
      <c r="E66" s="695"/>
      <c r="F66" s="685"/>
    </row>
    <row r="67">
      <c r="A67" s="697" t="s">
        <v>38717</v>
      </c>
      <c r="B67" s="698">
        <v>6.8</v>
      </c>
      <c r="C67" s="700" t="s">
        <v>38718</v>
      </c>
      <c r="D67" s="694" t="s">
        <v>2036</v>
      </c>
      <c r="E67" s="695" t="s">
        <v>38719</v>
      </c>
      <c r="F67" s="685"/>
    </row>
    <row r="68">
      <c r="A68" s="702" t="s">
        <v>14730</v>
      </c>
      <c r="B68" s="703">
        <v>6.5</v>
      </c>
      <c r="C68" s="700" t="s">
        <v>38720</v>
      </c>
      <c r="D68" s="707"/>
      <c r="E68" s="695" t="s">
        <v>38721</v>
      </c>
      <c r="F68" s="685"/>
    </row>
    <row r="69">
      <c r="A69" s="570"/>
      <c r="B69" s="440"/>
      <c r="C69" s="700" t="s">
        <v>23231</v>
      </c>
      <c r="D69" s="707"/>
      <c r="E69" s="708"/>
      <c r="F69" s="685"/>
    </row>
    <row r="70">
      <c r="A70" s="702" t="s">
        <v>38722</v>
      </c>
      <c r="B70" s="703">
        <v>6.5</v>
      </c>
      <c r="C70" s="700" t="s">
        <v>38723</v>
      </c>
      <c r="D70" s="694" t="s">
        <v>14801</v>
      </c>
      <c r="E70" s="695" t="s">
        <v>38724</v>
      </c>
      <c r="F70" s="685"/>
    </row>
    <row r="71">
      <c r="A71" s="570"/>
      <c r="B71" s="440"/>
      <c r="C71" s="700" t="s">
        <v>6174</v>
      </c>
      <c r="D71" s="694" t="s">
        <v>14801</v>
      </c>
      <c r="E71" s="695" t="s">
        <v>38725</v>
      </c>
      <c r="F71" s="685"/>
    </row>
    <row r="72">
      <c r="A72" s="697" t="s">
        <v>38726</v>
      </c>
      <c r="B72" s="698">
        <v>6.4</v>
      </c>
      <c r="C72" s="700" t="s">
        <v>38727</v>
      </c>
      <c r="D72" s="694" t="s">
        <v>14801</v>
      </c>
      <c r="E72" s="695" t="s">
        <v>38728</v>
      </c>
      <c r="F72" s="685"/>
    </row>
    <row r="73">
      <c r="A73" s="691" t="s">
        <v>38729</v>
      </c>
      <c r="B73" s="692">
        <v>6.4</v>
      </c>
      <c r="C73" s="693" t="s">
        <v>11672</v>
      </c>
      <c r="D73" s="694"/>
      <c r="E73" s="695"/>
      <c r="F73" s="685"/>
    </row>
    <row r="74">
      <c r="A74" s="702" t="s">
        <v>38730</v>
      </c>
      <c r="B74" s="703">
        <v>6.4</v>
      </c>
      <c r="C74" s="693" t="str">
        <f>HYPERLINK("https://www.ncbi.nlm.nih.gov/pubmed/27729279","A Protective Mechanism of Visible Red Light in Normal Human Dermal Fibroblasts: Enhancement of GADD45A-Mediated DNA Repair Activity.")</f>
        <v>A Protective Mechanism of Visible Red Light in Normal Human Dermal Fibroblasts: Enhancement of GADD45A-Mediated DNA Repair Activity.</v>
      </c>
      <c r="D74" s="694"/>
      <c r="E74" s="695"/>
      <c r="F74" s="685"/>
    </row>
    <row r="75">
      <c r="A75" s="576"/>
      <c r="B75" s="499"/>
      <c r="C75" s="700" t="s">
        <v>38731</v>
      </c>
      <c r="D75" s="694" t="s">
        <v>14801</v>
      </c>
      <c r="E75" s="695" t="s">
        <v>38732</v>
      </c>
      <c r="F75" s="685"/>
    </row>
    <row r="76">
      <c r="A76" s="576"/>
      <c r="B76" s="499"/>
      <c r="C76" s="700" t="s">
        <v>38733</v>
      </c>
      <c r="D76" s="694" t="s">
        <v>14801</v>
      </c>
      <c r="E76" s="695" t="s">
        <v>38734</v>
      </c>
      <c r="F76" s="685"/>
    </row>
    <row r="77">
      <c r="A77" s="576"/>
      <c r="B77" s="499"/>
      <c r="C77" s="700" t="s">
        <v>38735</v>
      </c>
      <c r="D77" s="694" t="s">
        <v>14801</v>
      </c>
      <c r="E77" s="695" t="s">
        <v>38736</v>
      </c>
      <c r="F77" s="685"/>
    </row>
    <row r="78">
      <c r="A78" s="576"/>
      <c r="B78" s="499"/>
      <c r="C78" s="700" t="s">
        <v>8994</v>
      </c>
      <c r="D78" s="694" t="s">
        <v>14801</v>
      </c>
      <c r="E78" s="695" t="s">
        <v>38737</v>
      </c>
      <c r="F78" s="685"/>
    </row>
    <row r="79">
      <c r="A79" s="576"/>
      <c r="B79" s="499"/>
      <c r="C79" s="700" t="s">
        <v>8992</v>
      </c>
      <c r="D79" s="694" t="s">
        <v>14801</v>
      </c>
      <c r="E79" s="708"/>
      <c r="F79" s="685"/>
    </row>
    <row r="80">
      <c r="A80" s="576"/>
      <c r="B80" s="499"/>
      <c r="C80" s="700" t="s">
        <v>38738</v>
      </c>
      <c r="D80" s="694" t="s">
        <v>8962</v>
      </c>
      <c r="E80" s="695" t="s">
        <v>38739</v>
      </c>
      <c r="F80" s="685"/>
    </row>
    <row r="81">
      <c r="A81" s="576"/>
      <c r="B81" s="499"/>
      <c r="C81" s="700" t="s">
        <v>38740</v>
      </c>
      <c r="D81" s="694" t="s">
        <v>14801</v>
      </c>
      <c r="E81" s="695" t="s">
        <v>38741</v>
      </c>
      <c r="F81" s="685"/>
    </row>
    <row r="82">
      <c r="A82" s="576"/>
      <c r="B82" s="499"/>
      <c r="C82" s="700" t="s">
        <v>38742</v>
      </c>
      <c r="D82" s="694" t="s">
        <v>14801</v>
      </c>
      <c r="E82" s="695" t="s">
        <v>38743</v>
      </c>
      <c r="F82" s="685"/>
    </row>
    <row r="83">
      <c r="A83" s="576"/>
      <c r="B83" s="499"/>
      <c r="C83" s="700" t="s">
        <v>38744</v>
      </c>
      <c r="D83" s="694" t="s">
        <v>14801</v>
      </c>
      <c r="E83" s="695" t="s">
        <v>38745</v>
      </c>
      <c r="F83" s="685"/>
    </row>
    <row r="84">
      <c r="A84" s="570"/>
      <c r="B84" s="440"/>
      <c r="C84" s="700" t="s">
        <v>38746</v>
      </c>
      <c r="D84" s="694" t="s">
        <v>14801</v>
      </c>
      <c r="E84" s="695" t="s">
        <v>38747</v>
      </c>
      <c r="F84" s="685"/>
    </row>
    <row r="85">
      <c r="A85" s="691" t="s">
        <v>38748</v>
      </c>
      <c r="B85" s="701">
        <v>43561.0</v>
      </c>
      <c r="C85" s="693" t="str">
        <f>HYPERLINK("https://www.ncbi.nlm.nih.gov/pubmed/30890300","Role of the PI3K/AKT (mTOR and GSK3β) signalling pathway and photobiomodulation in diabetic wound healing.")</f>
        <v>Role of the PI3K/AKT (mTOR and GSK3β) signalling pathway and photobiomodulation in diabetic wound healing.</v>
      </c>
      <c r="D85" s="707"/>
      <c r="E85" s="708"/>
      <c r="F85" s="685"/>
    </row>
    <row r="86">
      <c r="A86" s="691" t="s">
        <v>38749</v>
      </c>
      <c r="B86" s="701">
        <v>44991.0</v>
      </c>
      <c r="C86" s="693" t="s">
        <v>15986</v>
      </c>
      <c r="D86" s="707"/>
      <c r="E86" s="708"/>
      <c r="F86" s="685"/>
    </row>
    <row r="87">
      <c r="A87" s="697" t="s">
        <v>38750</v>
      </c>
      <c r="B87" s="698">
        <v>6.3</v>
      </c>
      <c r="C87" s="700" t="s">
        <v>6100</v>
      </c>
      <c r="D87" s="707"/>
      <c r="E87" s="708"/>
      <c r="F87" s="685"/>
    </row>
    <row r="88">
      <c r="A88" s="697" t="s">
        <v>38751</v>
      </c>
      <c r="B88" s="698">
        <v>6.2</v>
      </c>
      <c r="C88" s="700" t="s">
        <v>38752</v>
      </c>
      <c r="D88" s="707"/>
      <c r="E88" s="708"/>
      <c r="F88" s="709" t="s">
        <v>38753</v>
      </c>
    </row>
    <row r="89">
      <c r="A89" s="702" t="s">
        <v>4441</v>
      </c>
      <c r="B89" s="703">
        <v>6.2</v>
      </c>
      <c r="C89" s="700" t="s">
        <v>38754</v>
      </c>
      <c r="D89" s="707"/>
      <c r="E89" s="695" t="s">
        <v>38755</v>
      </c>
      <c r="F89" s="685"/>
    </row>
    <row r="90">
      <c r="A90" s="576"/>
      <c r="B90" s="499"/>
      <c r="C90" s="700" t="s">
        <v>38756</v>
      </c>
      <c r="D90" s="707"/>
      <c r="E90" s="695" t="s">
        <v>38757</v>
      </c>
      <c r="F90" s="685"/>
    </row>
    <row r="91">
      <c r="A91" s="576"/>
      <c r="B91" s="499"/>
      <c r="C91" s="700" t="s">
        <v>4635</v>
      </c>
      <c r="D91" s="707"/>
      <c r="E91" s="695" t="s">
        <v>38758</v>
      </c>
      <c r="F91" s="685"/>
    </row>
    <row r="92">
      <c r="A92" s="576"/>
      <c r="B92" s="499"/>
      <c r="C92" s="700" t="s">
        <v>38759</v>
      </c>
      <c r="D92" s="707"/>
      <c r="E92" s="695" t="s">
        <v>38760</v>
      </c>
      <c r="F92" s="685"/>
    </row>
    <row r="93">
      <c r="A93" s="576"/>
      <c r="B93" s="499"/>
      <c r="C93" s="700" t="s">
        <v>38761</v>
      </c>
      <c r="D93" s="707"/>
      <c r="E93" s="695" t="s">
        <v>38762</v>
      </c>
      <c r="F93" s="685"/>
    </row>
    <row r="94">
      <c r="A94" s="570"/>
      <c r="B94" s="440"/>
      <c r="C94" s="700" t="s">
        <v>38763</v>
      </c>
      <c r="D94" s="707"/>
      <c r="E94" s="695" t="s">
        <v>38764</v>
      </c>
      <c r="F94" s="685"/>
    </row>
    <row r="95">
      <c r="A95" s="702" t="s">
        <v>38765</v>
      </c>
      <c r="B95" s="703">
        <v>6.1</v>
      </c>
      <c r="C95" s="700" t="s">
        <v>38766</v>
      </c>
      <c r="D95" s="707"/>
      <c r="E95" s="708"/>
      <c r="F95" s="685"/>
    </row>
    <row r="96">
      <c r="A96" s="576"/>
      <c r="B96" s="499"/>
      <c r="C96" s="700" t="s">
        <v>38767</v>
      </c>
      <c r="D96" s="707"/>
      <c r="E96" s="708"/>
      <c r="F96" s="685"/>
    </row>
    <row r="97">
      <c r="A97" s="570"/>
      <c r="B97" s="440"/>
      <c r="C97" s="700" t="s">
        <v>8984</v>
      </c>
      <c r="D97" s="707"/>
      <c r="E97" s="695" t="s">
        <v>38768</v>
      </c>
      <c r="F97" s="685"/>
    </row>
    <row r="98">
      <c r="A98" s="697" t="s">
        <v>38769</v>
      </c>
      <c r="B98" s="698">
        <v>6.1</v>
      </c>
      <c r="C98" s="700" t="s">
        <v>38770</v>
      </c>
      <c r="D98" s="707"/>
      <c r="E98" s="708"/>
      <c r="F98" s="685"/>
    </row>
    <row r="99">
      <c r="A99" s="697" t="s">
        <v>38771</v>
      </c>
      <c r="B99" s="698">
        <v>6.1</v>
      </c>
      <c r="C99" s="700" t="s">
        <v>38772</v>
      </c>
      <c r="D99" s="707"/>
      <c r="E99" s="708"/>
      <c r="F99" s="685"/>
    </row>
    <row r="100">
      <c r="A100" s="702" t="s">
        <v>38773</v>
      </c>
      <c r="B100" s="703">
        <v>6.0</v>
      </c>
      <c r="C100" s="700" t="s">
        <v>38774</v>
      </c>
      <c r="D100" s="707"/>
      <c r="E100" s="695" t="s">
        <v>38775</v>
      </c>
      <c r="F100" s="685"/>
    </row>
    <row r="101">
      <c r="A101" s="570"/>
      <c r="B101" s="440"/>
      <c r="C101" s="700" t="s">
        <v>38776</v>
      </c>
      <c r="D101" s="707"/>
      <c r="E101" s="695" t="s">
        <v>38777</v>
      </c>
      <c r="F101" s="685"/>
    </row>
    <row r="102">
      <c r="A102" s="697" t="s">
        <v>38778</v>
      </c>
      <c r="B102" s="698">
        <v>6.0</v>
      </c>
      <c r="C102" s="700" t="s">
        <v>38779</v>
      </c>
      <c r="D102" s="707"/>
      <c r="E102" s="695" t="s">
        <v>38780</v>
      </c>
      <c r="F102" s="685"/>
    </row>
    <row r="103">
      <c r="A103" s="702" t="s">
        <v>38781</v>
      </c>
      <c r="B103" s="703">
        <v>6.0</v>
      </c>
      <c r="C103" s="693" t="str">
        <f>HYPERLINK("https://www.ncbi.nlm.nih.gov/pubmed/31112450","Non-invasive treatment with near-infrared light: A novel mechanisms-based strategy that evokes sustained reduction in brain injury after stroke.")</f>
        <v>Non-invasive treatment with near-infrared light: A novel mechanisms-based strategy that evokes sustained reduction in brain injury after stroke.</v>
      </c>
      <c r="D103" s="707"/>
      <c r="E103" s="708"/>
      <c r="F103" s="685"/>
    </row>
    <row r="104">
      <c r="A104" s="576"/>
      <c r="B104" s="499"/>
      <c r="C104" s="700" t="s">
        <v>38782</v>
      </c>
      <c r="D104" s="707"/>
      <c r="E104" s="708"/>
      <c r="F104" s="685"/>
    </row>
    <row r="105">
      <c r="A105" s="570"/>
      <c r="B105" s="440"/>
      <c r="C105" s="700" t="s">
        <v>2925</v>
      </c>
      <c r="D105" s="707"/>
      <c r="E105" s="708"/>
      <c r="F105" s="685"/>
    </row>
    <row r="106">
      <c r="A106" s="691" t="s">
        <v>38783</v>
      </c>
      <c r="B106" s="692">
        <v>5.8</v>
      </c>
      <c r="C106" s="693" t="s">
        <v>22521</v>
      </c>
      <c r="D106" s="707"/>
      <c r="E106" s="708"/>
      <c r="F106" s="685"/>
    </row>
    <row r="107">
      <c r="A107" s="697" t="s">
        <v>38784</v>
      </c>
      <c r="B107" s="698">
        <v>5.7</v>
      </c>
      <c r="C107" s="700" t="s">
        <v>12011</v>
      </c>
      <c r="D107" s="707"/>
      <c r="E107" s="708"/>
      <c r="F107" s="685"/>
    </row>
    <row r="108">
      <c r="A108" s="691" t="s">
        <v>38785</v>
      </c>
      <c r="B108" s="701">
        <v>45112.0</v>
      </c>
      <c r="C108" s="693" t="s">
        <v>2231</v>
      </c>
      <c r="D108" s="707"/>
      <c r="E108" s="708"/>
      <c r="F108" s="685"/>
    </row>
    <row r="109">
      <c r="A109" s="702" t="s">
        <v>7020</v>
      </c>
      <c r="B109" s="703">
        <v>5.6</v>
      </c>
      <c r="C109" s="700" t="s">
        <v>38786</v>
      </c>
      <c r="D109" s="694" t="s">
        <v>14801</v>
      </c>
      <c r="E109" s="695" t="s">
        <v>38787</v>
      </c>
      <c r="F109" s="685"/>
    </row>
    <row r="110">
      <c r="A110" s="576"/>
      <c r="B110" s="499"/>
      <c r="C110" s="700" t="s">
        <v>38788</v>
      </c>
      <c r="D110" s="694" t="s">
        <v>14801</v>
      </c>
      <c r="E110" s="695" t="s">
        <v>38789</v>
      </c>
      <c r="F110" s="685"/>
    </row>
    <row r="111">
      <c r="A111" s="576"/>
      <c r="B111" s="499"/>
      <c r="C111" s="700" t="s">
        <v>21832</v>
      </c>
      <c r="D111" s="707"/>
      <c r="E111" s="695" t="s">
        <v>38790</v>
      </c>
      <c r="F111" s="685"/>
    </row>
    <row r="112">
      <c r="A112" s="576"/>
      <c r="B112" s="499"/>
      <c r="C112" s="700" t="s">
        <v>38791</v>
      </c>
      <c r="D112" s="694" t="s">
        <v>38633</v>
      </c>
      <c r="E112" s="695" t="s">
        <v>38792</v>
      </c>
      <c r="F112" s="685"/>
    </row>
    <row r="113">
      <c r="A113" s="576"/>
      <c r="B113" s="499"/>
      <c r="C113" s="700" t="s">
        <v>38793</v>
      </c>
      <c r="D113" s="707"/>
      <c r="E113" s="695" t="s">
        <v>38794</v>
      </c>
      <c r="F113" s="685"/>
    </row>
    <row r="114">
      <c r="A114" s="570"/>
      <c r="B114" s="440"/>
      <c r="C114" s="700" t="s">
        <v>38795</v>
      </c>
      <c r="D114" s="707"/>
      <c r="E114" s="708"/>
      <c r="F114" s="685"/>
    </row>
    <row r="115">
      <c r="A115" s="702" t="s">
        <v>38796</v>
      </c>
      <c r="B115" s="703">
        <v>5.6</v>
      </c>
      <c r="C115" s="700" t="s">
        <v>38797</v>
      </c>
      <c r="D115" s="707"/>
      <c r="E115" s="708"/>
      <c r="F115" s="685"/>
    </row>
    <row r="116">
      <c r="A116" s="570"/>
      <c r="B116" s="440"/>
      <c r="C116" s="700" t="s">
        <v>23226</v>
      </c>
      <c r="D116" s="707"/>
      <c r="E116" s="708"/>
      <c r="F116" s="685"/>
    </row>
    <row r="117">
      <c r="A117" s="691" t="s">
        <v>38798</v>
      </c>
      <c r="B117" s="692">
        <v>5.5</v>
      </c>
      <c r="C117" s="693" t="s">
        <v>4344</v>
      </c>
      <c r="D117" s="707"/>
      <c r="E117" s="708"/>
      <c r="F117" s="685"/>
    </row>
    <row r="118">
      <c r="A118" s="697" t="s">
        <v>38799</v>
      </c>
      <c r="B118" s="698">
        <v>5.5</v>
      </c>
      <c r="C118" s="700" t="s">
        <v>38800</v>
      </c>
      <c r="D118" s="707"/>
      <c r="E118" s="708"/>
      <c r="F118" s="685"/>
    </row>
    <row r="119">
      <c r="A119" s="702" t="s">
        <v>38801</v>
      </c>
      <c r="B119" s="703">
        <v>5.5</v>
      </c>
      <c r="C119" s="700" t="s">
        <v>38802</v>
      </c>
      <c r="D119" s="707"/>
      <c r="E119" s="708"/>
      <c r="F119" s="685"/>
    </row>
    <row r="120">
      <c r="A120" s="576"/>
      <c r="B120" s="499"/>
      <c r="C120" s="700" t="s">
        <v>38803</v>
      </c>
      <c r="D120" s="707"/>
      <c r="E120" s="708"/>
      <c r="F120" s="685"/>
    </row>
    <row r="121">
      <c r="A121" s="570"/>
      <c r="B121" s="440"/>
      <c r="C121" s="700" t="s">
        <v>38804</v>
      </c>
      <c r="D121" s="707"/>
      <c r="E121" s="708"/>
      <c r="F121" s="685"/>
    </row>
    <row r="122">
      <c r="A122" s="691" t="s">
        <v>38805</v>
      </c>
      <c r="B122" s="692">
        <v>5.4</v>
      </c>
      <c r="C122" s="693" t="s">
        <v>2173</v>
      </c>
      <c r="D122" s="707"/>
      <c r="E122" s="708"/>
      <c r="F122" s="685"/>
    </row>
    <row r="123">
      <c r="A123" s="702" t="s">
        <v>38806</v>
      </c>
      <c r="B123" s="703">
        <v>5.4</v>
      </c>
      <c r="C123" s="700" t="s">
        <v>38807</v>
      </c>
      <c r="D123" s="707"/>
      <c r="E123" s="708"/>
      <c r="F123" s="685"/>
    </row>
    <row r="124">
      <c r="A124" s="576"/>
      <c r="B124" s="499"/>
      <c r="C124" s="700" t="s">
        <v>15325</v>
      </c>
      <c r="D124" s="707"/>
      <c r="E124" s="708"/>
      <c r="F124" s="685"/>
    </row>
    <row r="125">
      <c r="A125" s="576"/>
      <c r="B125" s="499"/>
      <c r="C125" s="700" t="s">
        <v>21484</v>
      </c>
      <c r="D125" s="707"/>
      <c r="E125" s="708"/>
      <c r="F125" s="685"/>
    </row>
    <row r="126">
      <c r="A126" s="570"/>
      <c r="B126" s="440"/>
      <c r="C126" s="700" t="s">
        <v>38808</v>
      </c>
      <c r="D126" s="707"/>
      <c r="E126" s="708"/>
      <c r="F126" s="685"/>
    </row>
    <row r="127">
      <c r="A127" s="691" t="s">
        <v>4270</v>
      </c>
      <c r="B127" s="692">
        <v>5.3</v>
      </c>
      <c r="C127" s="693" t="s">
        <v>4271</v>
      </c>
      <c r="D127" s="707"/>
      <c r="E127" s="708"/>
      <c r="F127" s="685"/>
    </row>
    <row r="128">
      <c r="A128" s="691" t="s">
        <v>38809</v>
      </c>
      <c r="B128" s="692">
        <v>5.3</v>
      </c>
      <c r="C128" s="693" t="s">
        <v>31271</v>
      </c>
      <c r="D128" s="707"/>
      <c r="E128" s="708"/>
      <c r="F128" s="685"/>
    </row>
    <row r="129">
      <c r="A129" s="702" t="s">
        <v>38810</v>
      </c>
      <c r="B129" s="703">
        <v>5.3</v>
      </c>
      <c r="C129" s="700" t="s">
        <v>38811</v>
      </c>
      <c r="D129" s="707"/>
      <c r="E129" s="708"/>
      <c r="F129" s="685"/>
    </row>
    <row r="130">
      <c r="A130" s="570"/>
      <c r="B130" s="440"/>
      <c r="C130" s="700" t="s">
        <v>38812</v>
      </c>
      <c r="D130" s="707"/>
      <c r="E130" s="708"/>
      <c r="F130" s="685"/>
    </row>
    <row r="131">
      <c r="A131" s="702" t="s">
        <v>38813</v>
      </c>
      <c r="B131" s="703">
        <v>5.2</v>
      </c>
      <c r="C131" s="700" t="s">
        <v>38814</v>
      </c>
      <c r="D131" s="707"/>
      <c r="E131" s="708"/>
      <c r="F131" s="685"/>
    </row>
    <row r="132">
      <c r="A132" s="570"/>
      <c r="B132" s="440"/>
      <c r="C132" s="700" t="s">
        <v>38815</v>
      </c>
      <c r="D132" s="707"/>
      <c r="E132" s="708"/>
      <c r="F132" s="685"/>
    </row>
    <row r="133">
      <c r="A133" s="702" t="s">
        <v>38816</v>
      </c>
      <c r="B133" s="703">
        <v>5.2</v>
      </c>
      <c r="C133" s="693" t="str">
        <f>HYPERLINK("https://www.ncbi.nlm.nih.gov/pubmed/31287006","Light-emitting diode therapy protects against ventricular arrhythmias by neuro-immune modulation in myocardial ischemia and reperfusion rat model.")</f>
        <v>Light-emitting diode therapy protects against ventricular arrhythmias by neuro-immune modulation in myocardial ischemia and reperfusion rat model.</v>
      </c>
      <c r="D133" s="707"/>
      <c r="E133" s="708"/>
      <c r="F133" s="685"/>
    </row>
    <row r="134">
      <c r="A134" s="576"/>
      <c r="B134" s="499"/>
      <c r="C134" s="700" t="s">
        <v>38817</v>
      </c>
      <c r="D134" s="707"/>
      <c r="E134" s="708"/>
      <c r="F134" s="685"/>
    </row>
    <row r="135">
      <c r="A135" s="576"/>
      <c r="B135" s="499"/>
      <c r="C135" s="700" t="s">
        <v>38818</v>
      </c>
      <c r="D135" s="707"/>
      <c r="E135" s="708"/>
      <c r="F135" s="685"/>
    </row>
    <row r="136">
      <c r="A136" s="570"/>
      <c r="B136" s="440"/>
      <c r="C136" s="700" t="s">
        <v>9528</v>
      </c>
      <c r="D136" s="707"/>
      <c r="E136" s="708"/>
      <c r="F136" s="685"/>
    </row>
    <row r="137">
      <c r="A137" s="702" t="s">
        <v>31371</v>
      </c>
      <c r="B137" s="703">
        <v>5.2</v>
      </c>
      <c r="C137" s="700" t="s">
        <v>29419</v>
      </c>
      <c r="D137" s="707"/>
      <c r="E137" s="695" t="s">
        <v>38819</v>
      </c>
      <c r="F137" s="685"/>
    </row>
    <row r="138">
      <c r="A138" s="570"/>
      <c r="B138" s="440"/>
      <c r="C138" s="700" t="s">
        <v>13876</v>
      </c>
      <c r="D138" s="707"/>
      <c r="E138" s="695" t="s">
        <v>38820</v>
      </c>
      <c r="F138" s="685"/>
    </row>
    <row r="139">
      <c r="A139" s="704" t="s">
        <v>38821</v>
      </c>
      <c r="B139" s="705">
        <v>5.2</v>
      </c>
      <c r="C139" s="693" t="s">
        <v>4235</v>
      </c>
      <c r="D139" s="707"/>
      <c r="E139" s="708"/>
      <c r="F139" s="685"/>
    </row>
    <row r="140">
      <c r="A140" s="570"/>
      <c r="B140" s="440"/>
      <c r="C140" s="693" t="s">
        <v>4248</v>
      </c>
      <c r="D140" s="707"/>
      <c r="E140" s="708"/>
      <c r="F140" s="685"/>
    </row>
    <row r="141">
      <c r="A141" s="691" t="s">
        <v>38822</v>
      </c>
      <c r="B141" s="692">
        <v>5.1</v>
      </c>
      <c r="C141" s="693" t="str">
        <f>HYPERLINK("https://www.ncbi.nlm.nih.gov/pubmed/32098898","Combined therapy of photobiomodulation and adipose-derived stem cells synergistically improve healing in an ischemic, infected and delayed healing wound model in rats with type 1 diabetes mellitus.")</f>
        <v>Combined therapy of photobiomodulation and adipose-derived stem cells synergistically improve healing in an ischemic, infected and delayed healing wound model in rats with type 1 diabetes mellitus.</v>
      </c>
      <c r="D141" s="707"/>
      <c r="E141" s="708"/>
      <c r="F141" s="685"/>
    </row>
    <row r="142">
      <c r="A142" s="697" t="s">
        <v>38823</v>
      </c>
      <c r="B142" s="698">
        <v>5.1</v>
      </c>
      <c r="C142" s="700" t="s">
        <v>38824</v>
      </c>
      <c r="D142" s="707"/>
      <c r="E142" s="708"/>
      <c r="F142" s="685"/>
    </row>
    <row r="143">
      <c r="A143" s="702" t="s">
        <v>38825</v>
      </c>
      <c r="B143" s="703">
        <v>5.1</v>
      </c>
      <c r="C143" s="700" t="s">
        <v>38826</v>
      </c>
      <c r="D143" s="707"/>
      <c r="E143" s="708"/>
      <c r="F143" s="685"/>
    </row>
    <row r="144">
      <c r="A144" s="570"/>
      <c r="B144" s="440"/>
      <c r="C144" s="700" t="s">
        <v>27662</v>
      </c>
      <c r="D144" s="707"/>
      <c r="E144" s="708"/>
      <c r="F144" s="685"/>
    </row>
    <row r="145">
      <c r="A145" s="691" t="s">
        <v>38827</v>
      </c>
      <c r="B145" s="692">
        <v>5.0</v>
      </c>
      <c r="C145" s="693" t="s">
        <v>2827</v>
      </c>
      <c r="D145" s="707"/>
      <c r="E145" s="708"/>
      <c r="F145" s="685"/>
    </row>
    <row r="146">
      <c r="A146" s="697" t="s">
        <v>38828</v>
      </c>
      <c r="B146" s="698">
        <v>5.0</v>
      </c>
      <c r="C146" s="700" t="s">
        <v>38829</v>
      </c>
      <c r="D146" s="707"/>
      <c r="E146" s="708"/>
      <c r="F146" s="685"/>
    </row>
    <row r="147">
      <c r="A147" s="702" t="s">
        <v>38830</v>
      </c>
      <c r="B147" s="703">
        <v>5.0</v>
      </c>
      <c r="C147" s="693" t="str">
        <f>HYPERLINK("https://www.ncbi.nlm.nih.gov/pubmed/31791407","Combination of laser and human adipose-derived stem cells in repair of rabbit anal sphincter injury: a new therapeutic approach.")</f>
        <v>Combination of laser and human adipose-derived stem cells in repair of rabbit anal sphincter injury: a new therapeutic approach.</v>
      </c>
      <c r="D147" s="707"/>
      <c r="E147" s="708"/>
      <c r="F147" s="685"/>
    </row>
    <row r="148">
      <c r="A148" s="576"/>
      <c r="B148" s="499"/>
      <c r="C148" s="700" t="s">
        <v>38831</v>
      </c>
      <c r="D148" s="707"/>
      <c r="E148" s="708"/>
      <c r="F148" s="685"/>
    </row>
    <row r="149">
      <c r="A149" s="570"/>
      <c r="B149" s="440"/>
      <c r="C149" s="693" t="str">
        <f>HYPERLINK("https://www.ncbi.nlm.nih.gov/pubmed/31234929","Co-administration of human adipose-derived stem cells and low-level laser to alleviate neuropathic pain after experimental spinal cord injury.")</f>
        <v>Co-administration of human adipose-derived stem cells and low-level laser to alleviate neuropathic pain after experimental spinal cord injury.</v>
      </c>
      <c r="D149" s="707"/>
      <c r="E149" s="708"/>
      <c r="F149" s="685"/>
    </row>
    <row r="150">
      <c r="A150" s="702" t="s">
        <v>38832</v>
      </c>
      <c r="B150" s="703">
        <v>5.0</v>
      </c>
      <c r="C150" s="700" t="s">
        <v>38833</v>
      </c>
      <c r="D150" s="707"/>
      <c r="E150" s="708"/>
      <c r="F150" s="685"/>
    </row>
    <row r="151">
      <c r="A151" s="576"/>
      <c r="B151" s="499"/>
      <c r="C151" s="700" t="s">
        <v>2959</v>
      </c>
      <c r="D151" s="707"/>
      <c r="E151" s="708"/>
      <c r="F151" s="685"/>
    </row>
    <row r="152">
      <c r="A152" s="576"/>
      <c r="B152" s="499"/>
      <c r="C152" s="700" t="s">
        <v>38834</v>
      </c>
      <c r="D152" s="707"/>
      <c r="E152" s="708"/>
      <c r="F152" s="685"/>
    </row>
    <row r="153">
      <c r="A153" s="576"/>
      <c r="B153" s="499"/>
      <c r="C153" s="700" t="s">
        <v>38835</v>
      </c>
      <c r="D153" s="707"/>
      <c r="E153" s="708"/>
      <c r="F153" s="685"/>
    </row>
    <row r="154">
      <c r="A154" s="576"/>
      <c r="B154" s="499"/>
      <c r="C154" s="700" t="s">
        <v>2929</v>
      </c>
      <c r="D154" s="707"/>
      <c r="E154" s="708"/>
      <c r="F154" s="685"/>
    </row>
    <row r="155">
      <c r="A155" s="570"/>
      <c r="B155" s="440"/>
      <c r="C155" s="700" t="s">
        <v>10267</v>
      </c>
      <c r="D155" s="707"/>
      <c r="E155" s="708"/>
      <c r="F155" s="685"/>
    </row>
    <row r="156">
      <c r="A156" s="697" t="s">
        <v>2575</v>
      </c>
      <c r="B156" s="698">
        <v>5.0</v>
      </c>
      <c r="C156" s="700" t="s">
        <v>38836</v>
      </c>
      <c r="D156" s="694" t="s">
        <v>14801</v>
      </c>
      <c r="E156" s="695" t="s">
        <v>38837</v>
      </c>
      <c r="F156" s="685"/>
    </row>
    <row r="157">
      <c r="A157" s="691" t="s">
        <v>38838</v>
      </c>
      <c r="B157" s="692">
        <v>4.9</v>
      </c>
      <c r="C157" s="693" t="str">
        <f>HYPERLINK("https://www.ncbi.nlm.nih.gov/pubmed/30891589","The effects of photobiomodulation on inflammatory infiltrate during muscle repair in advanced-age rats.")</f>
        <v>The effects of photobiomodulation on inflammatory infiltrate during muscle repair in advanced-age rats.</v>
      </c>
      <c r="D157" s="694"/>
      <c r="E157" s="695"/>
      <c r="F157" s="685"/>
    </row>
    <row r="158">
      <c r="A158" s="691" t="s">
        <v>38839</v>
      </c>
      <c r="B158" s="692">
        <v>4.9</v>
      </c>
      <c r="C158" s="693" t="s">
        <v>4488</v>
      </c>
      <c r="D158" s="694"/>
      <c r="E158" s="695"/>
      <c r="F158" s="685"/>
    </row>
    <row r="159">
      <c r="A159" s="691" t="s">
        <v>38840</v>
      </c>
      <c r="B159" s="692">
        <v>4.9</v>
      </c>
      <c r="C159" s="693" t="str">
        <f>HYPERLINK("https://www.ncbi.nlm.nih.gov/pubmed/32258218","Enhanced Inner-Ear Organoid Formation from Mouse Embryonic Stem Cells by Photobiomodulation.")</f>
        <v>Enhanced Inner-Ear Organoid Formation from Mouse Embryonic Stem Cells by Photobiomodulation.</v>
      </c>
      <c r="D159" s="694"/>
      <c r="E159" s="695"/>
      <c r="F159" s="685"/>
    </row>
    <row r="160">
      <c r="A160" s="702" t="s">
        <v>38841</v>
      </c>
      <c r="B160" s="703">
        <v>4.9</v>
      </c>
      <c r="C160" s="700" t="s">
        <v>31079</v>
      </c>
      <c r="D160" s="694" t="s">
        <v>14801</v>
      </c>
      <c r="E160" s="695"/>
      <c r="F160" s="685"/>
    </row>
    <row r="161">
      <c r="A161" s="570"/>
      <c r="B161" s="440"/>
      <c r="C161" s="710" t="s">
        <v>6657</v>
      </c>
      <c r="D161" s="694" t="s">
        <v>14801</v>
      </c>
      <c r="E161" s="695"/>
      <c r="F161" s="685"/>
    </row>
    <row r="162">
      <c r="A162" s="702" t="s">
        <v>38842</v>
      </c>
      <c r="B162" s="703">
        <v>4.9</v>
      </c>
      <c r="C162" s="700" t="s">
        <v>38843</v>
      </c>
      <c r="D162" s="707"/>
      <c r="E162" s="708"/>
      <c r="F162" s="685"/>
    </row>
    <row r="163">
      <c r="A163" s="570"/>
      <c r="B163" s="440"/>
      <c r="C163" s="700" t="s">
        <v>23021</v>
      </c>
      <c r="D163" s="707"/>
      <c r="E163" s="708"/>
      <c r="F163" s="685"/>
    </row>
    <row r="164">
      <c r="A164" s="697" t="s">
        <v>38844</v>
      </c>
      <c r="B164" s="698">
        <v>4.9</v>
      </c>
      <c r="C164" s="700" t="s">
        <v>38845</v>
      </c>
      <c r="D164" s="707"/>
      <c r="E164" s="708"/>
      <c r="F164" s="685"/>
    </row>
    <row r="165">
      <c r="A165" s="711" t="s">
        <v>38846</v>
      </c>
      <c r="B165" s="692">
        <v>4.7</v>
      </c>
      <c r="C165" s="693" t="s">
        <v>3891</v>
      </c>
      <c r="D165" s="707"/>
      <c r="E165" s="708"/>
      <c r="F165" s="685"/>
    </row>
    <row r="166">
      <c r="A166" s="711" t="s">
        <v>38847</v>
      </c>
      <c r="B166" s="692">
        <v>4.7</v>
      </c>
      <c r="C166" s="693" t="s">
        <v>6823</v>
      </c>
      <c r="D166" s="707"/>
      <c r="E166" s="708"/>
      <c r="F166" s="685"/>
    </row>
    <row r="167">
      <c r="A167" s="711" t="s">
        <v>38848</v>
      </c>
      <c r="B167" s="692">
        <v>4.7</v>
      </c>
      <c r="C167" s="693" t="str">
        <f>HYPERLINK("https://www.ncbi.nlm.nih.gov/pubmed/31811895","Sustained Release of Growth Factors from Photoactivated Platelet Rich Plasma (PRP).")</f>
        <v>Sustained Release of Growth Factors from Photoactivated Platelet Rich Plasma (PRP).</v>
      </c>
      <c r="D167" s="707"/>
      <c r="E167" s="708"/>
      <c r="F167" s="685"/>
    </row>
    <row r="168">
      <c r="A168" s="702" t="s">
        <v>38849</v>
      </c>
      <c r="B168" s="703">
        <v>4.7</v>
      </c>
      <c r="C168" s="700" t="s">
        <v>38850</v>
      </c>
      <c r="D168" s="707"/>
      <c r="E168" s="708"/>
      <c r="F168" s="685"/>
    </row>
    <row r="169">
      <c r="A169" s="570"/>
      <c r="B169" s="440"/>
      <c r="C169" s="700" t="s">
        <v>38851</v>
      </c>
      <c r="D169" s="707"/>
      <c r="E169" s="708"/>
      <c r="F169" s="685"/>
    </row>
    <row r="170">
      <c r="A170" s="704" t="s">
        <v>584</v>
      </c>
      <c r="B170" s="705">
        <v>4.7</v>
      </c>
      <c r="C170" s="696" t="str">
        <f>HYPERLINK("https://www.ncbi.nlm.nih.gov/pubmed/31590236","Photobiomodulation Mitigates Cerebrovascular Leakage Induced by the Parkinsonian Neurotoxin MPTP.")</f>
        <v>Photobiomodulation Mitigates Cerebrovascular Leakage Induced by the Parkinsonian Neurotoxin MPTP.</v>
      </c>
      <c r="D170" s="707"/>
      <c r="E170" s="708"/>
      <c r="F170" s="685"/>
    </row>
    <row r="171">
      <c r="A171" s="570"/>
      <c r="B171" s="440"/>
      <c r="C171" s="696" t="str">
        <f>HYPERLINK("https://www.ncbi.nlm.nih.gov/pubmed/31430990","Effect of Photobiomodulation in Rescuing Lipopolysaccharide-Induced Dopaminergic Cell Loss in the Male Sprague-Dawley Rat.")</f>
        <v>Effect of Photobiomodulation in Rescuing Lipopolysaccharide-Induced Dopaminergic Cell Loss in the Male Sprague-Dawley Rat.</v>
      </c>
      <c r="D171" s="707"/>
      <c r="E171" s="708"/>
      <c r="F171" s="685"/>
    </row>
    <row r="172">
      <c r="A172" s="697" t="s">
        <v>38852</v>
      </c>
      <c r="B172" s="698">
        <v>4.7</v>
      </c>
      <c r="C172" s="700" t="s">
        <v>38853</v>
      </c>
      <c r="D172" s="707"/>
      <c r="E172" s="708"/>
      <c r="F172" s="685"/>
    </row>
    <row r="173">
      <c r="A173" s="697" t="s">
        <v>38854</v>
      </c>
      <c r="B173" s="698">
        <v>4.7</v>
      </c>
      <c r="C173" s="700" t="s">
        <v>38855</v>
      </c>
      <c r="D173" s="707"/>
      <c r="E173" s="708"/>
      <c r="F173" s="685"/>
    </row>
    <row r="174">
      <c r="A174" s="697" t="s">
        <v>38856</v>
      </c>
      <c r="B174" s="698">
        <v>4.7</v>
      </c>
      <c r="C174" s="700" t="s">
        <v>38857</v>
      </c>
      <c r="D174" s="707"/>
      <c r="E174" s="708"/>
      <c r="F174" s="685"/>
    </row>
    <row r="175">
      <c r="A175" s="691" t="s">
        <v>30308</v>
      </c>
      <c r="B175" s="692">
        <v>4.6</v>
      </c>
      <c r="C175" s="693" t="s">
        <v>30309</v>
      </c>
      <c r="D175" s="707"/>
      <c r="E175" s="708"/>
      <c r="F175" s="685"/>
    </row>
    <row r="176">
      <c r="A176" s="702" t="s">
        <v>38858</v>
      </c>
      <c r="B176" s="703">
        <v>4.6</v>
      </c>
      <c r="C176" s="693" t="str">
        <f>HYPERLINK("https://www.ncbi.nlm.nih.gov/pubmed/32062592","Effectiveness of low-level laser therapy for oral mucositis prevention in patients undergoing chemoradiotherapy for the treatment of head and neck cancer: A systematic review and meta-analysis.")</f>
        <v>Effectiveness of low-level laser therapy for oral mucositis prevention in patients undergoing chemoradiotherapy for the treatment of head and neck cancer: A systematic review and meta-analysis.</v>
      </c>
      <c r="D176" s="707"/>
      <c r="E176" s="708"/>
      <c r="F176" s="685"/>
    </row>
    <row r="177">
      <c r="A177" s="576"/>
      <c r="B177" s="499"/>
      <c r="C177" s="700" t="s">
        <v>38859</v>
      </c>
      <c r="D177" s="707"/>
      <c r="E177" s="708"/>
      <c r="F177" s="685"/>
    </row>
    <row r="178">
      <c r="A178" s="576"/>
      <c r="B178" s="499"/>
      <c r="C178" s="700" t="s">
        <v>38860</v>
      </c>
      <c r="D178" s="707"/>
      <c r="E178" s="708"/>
      <c r="F178" s="685"/>
    </row>
    <row r="179">
      <c r="A179" s="576"/>
      <c r="B179" s="499"/>
      <c r="C179" s="700" t="s">
        <v>22814</v>
      </c>
      <c r="D179" s="707"/>
      <c r="E179" s="708"/>
      <c r="F179" s="685"/>
    </row>
    <row r="180">
      <c r="A180" s="576"/>
      <c r="B180" s="499"/>
      <c r="C180" s="700" t="s">
        <v>38861</v>
      </c>
      <c r="D180" s="707"/>
      <c r="E180" s="708"/>
      <c r="F180" s="685"/>
    </row>
    <row r="181">
      <c r="A181" s="570"/>
      <c r="B181" s="440"/>
      <c r="C181" s="700" t="s">
        <v>38862</v>
      </c>
      <c r="D181" s="707"/>
      <c r="E181" s="708"/>
      <c r="F181" s="685"/>
    </row>
    <row r="182">
      <c r="A182" s="697" t="s">
        <v>38863</v>
      </c>
      <c r="B182" s="698">
        <v>4.5</v>
      </c>
      <c r="C182" s="700" t="s">
        <v>38864</v>
      </c>
      <c r="D182" s="707"/>
      <c r="E182" s="708"/>
      <c r="F182" s="685"/>
    </row>
    <row r="183">
      <c r="A183" s="702" t="s">
        <v>221</v>
      </c>
      <c r="B183" s="703">
        <v>4.5</v>
      </c>
      <c r="C183" s="700" t="s">
        <v>38865</v>
      </c>
      <c r="D183" s="707"/>
      <c r="E183" s="708"/>
      <c r="F183" s="685"/>
    </row>
    <row r="184">
      <c r="A184" s="570"/>
      <c r="B184" s="440"/>
      <c r="C184" s="700" t="s">
        <v>1421</v>
      </c>
      <c r="D184" s="707"/>
      <c r="E184" s="708"/>
      <c r="F184" s="685"/>
    </row>
    <row r="185">
      <c r="A185" s="691" t="s">
        <v>3138</v>
      </c>
      <c r="B185" s="701">
        <v>43559.0</v>
      </c>
      <c r="C185" s="693" t="str">
        <f>HYPERLINK("https://www.ncbi.nlm.nih.gov/pubmed/31704275","Can Mild Cognitive Impairment Be Stabilized By Showering Brain Mitochondria With Laser Photons?")</f>
        <v>Can Mild Cognitive Impairment Be Stabilized By Showering Brain Mitochondria With Laser Photons?</v>
      </c>
      <c r="D185" s="707"/>
      <c r="E185" s="708"/>
      <c r="F185" s="685"/>
    </row>
    <row r="186">
      <c r="A186" s="697" t="s">
        <v>38866</v>
      </c>
      <c r="B186" s="698">
        <v>4.4</v>
      </c>
      <c r="C186" s="700" t="s">
        <v>38867</v>
      </c>
      <c r="D186" s="707"/>
      <c r="E186" s="708"/>
      <c r="F186" s="685" t="s">
        <v>38868</v>
      </c>
    </row>
    <row r="187">
      <c r="A187" s="697" t="s">
        <v>38869</v>
      </c>
      <c r="B187" s="698">
        <v>4.4</v>
      </c>
      <c r="C187" s="700" t="s">
        <v>19008</v>
      </c>
      <c r="D187" s="694" t="s">
        <v>14801</v>
      </c>
      <c r="E187" s="695" t="s">
        <v>38870</v>
      </c>
      <c r="F187" s="685"/>
    </row>
    <row r="188">
      <c r="A188" s="691" t="s">
        <v>38871</v>
      </c>
      <c r="B188" s="692">
        <v>4.4</v>
      </c>
      <c r="C188" s="693" t="s">
        <v>10170</v>
      </c>
      <c r="D188" s="694"/>
      <c r="E188" s="695"/>
      <c r="F188" s="685"/>
    </row>
    <row r="189">
      <c r="A189" s="702" t="s">
        <v>38872</v>
      </c>
      <c r="B189" s="703">
        <v>4.3</v>
      </c>
      <c r="C189" s="693" t="s">
        <v>6266</v>
      </c>
      <c r="D189" s="707"/>
      <c r="E189" s="708"/>
      <c r="F189" s="685"/>
    </row>
    <row r="190">
      <c r="A190" s="576"/>
      <c r="B190" s="499"/>
      <c r="C190" s="693" t="str">
        <f>HYPERLINK("https://www.ncbi.nlm.nih.gov/pubmed/31667932","Low-level laser therapy 810-nm up-regulates macrophage secretion of neurotrophic factors via PKA-CREB and promotes neuronal axon regeneration in vitro.")</f>
        <v>Low-level laser therapy 810-nm up-regulates macrophage secretion of neurotrophic factors via PKA-CREB and promotes neuronal axon regeneration in vitro.</v>
      </c>
      <c r="D190" s="707"/>
      <c r="E190" s="708"/>
      <c r="F190" s="685"/>
    </row>
    <row r="191">
      <c r="A191" s="570"/>
      <c r="B191" s="440"/>
      <c r="C191" s="700" t="s">
        <v>11901</v>
      </c>
      <c r="D191" s="707"/>
      <c r="E191" s="708"/>
      <c r="F191" s="685"/>
    </row>
    <row r="192">
      <c r="A192" s="697" t="s">
        <v>38873</v>
      </c>
      <c r="B192" s="698">
        <v>4.3</v>
      </c>
      <c r="C192" s="700" t="s">
        <v>38874</v>
      </c>
      <c r="D192" s="707"/>
      <c r="E192" s="708"/>
      <c r="F192" s="685"/>
    </row>
    <row r="193">
      <c r="A193" s="697" t="s">
        <v>38875</v>
      </c>
      <c r="B193" s="698">
        <v>4.3</v>
      </c>
      <c r="C193" s="700" t="s">
        <v>38876</v>
      </c>
      <c r="D193" s="707"/>
      <c r="E193" s="708"/>
      <c r="F193" s="685"/>
    </row>
    <row r="194">
      <c r="A194" s="702" t="s">
        <v>38877</v>
      </c>
      <c r="B194" s="703">
        <v>4.3</v>
      </c>
      <c r="C194" s="700" t="s">
        <v>38878</v>
      </c>
      <c r="D194" s="707"/>
      <c r="E194" s="708"/>
      <c r="F194" s="685"/>
    </row>
    <row r="195">
      <c r="A195" s="576"/>
      <c r="B195" s="499"/>
      <c r="C195" s="700" t="s">
        <v>38879</v>
      </c>
      <c r="D195" s="707"/>
      <c r="E195" s="708"/>
      <c r="F195" s="685"/>
    </row>
    <row r="196">
      <c r="A196" s="576"/>
      <c r="B196" s="499"/>
      <c r="C196" s="700" t="s">
        <v>38880</v>
      </c>
      <c r="D196" s="707"/>
      <c r="E196" s="708"/>
      <c r="F196" s="685"/>
    </row>
    <row r="197">
      <c r="A197" s="576"/>
      <c r="B197" s="499"/>
      <c r="C197" s="710" t="s">
        <v>1867</v>
      </c>
      <c r="D197" s="712" t="s">
        <v>14801</v>
      </c>
      <c r="E197" s="708"/>
      <c r="F197" s="685"/>
    </row>
    <row r="198">
      <c r="A198" s="576"/>
      <c r="B198" s="499"/>
      <c r="C198" s="710" t="s">
        <v>20387</v>
      </c>
      <c r="D198" s="712"/>
      <c r="E198" s="708"/>
      <c r="F198" s="685"/>
    </row>
    <row r="199">
      <c r="A199" s="570"/>
      <c r="B199" s="440"/>
      <c r="C199" s="700" t="s">
        <v>38881</v>
      </c>
      <c r="D199" s="707"/>
      <c r="E199" s="708"/>
      <c r="F199" s="685"/>
    </row>
    <row r="200">
      <c r="A200" s="702" t="s">
        <v>38882</v>
      </c>
      <c r="B200" s="703">
        <v>4.3</v>
      </c>
      <c r="C200" s="700" t="s">
        <v>38883</v>
      </c>
      <c r="D200" s="707"/>
      <c r="E200" s="708"/>
      <c r="F200" s="685"/>
    </row>
    <row r="201">
      <c r="A201" s="570"/>
      <c r="B201" s="440"/>
      <c r="C201" s="700" t="s">
        <v>13616</v>
      </c>
      <c r="D201" s="707"/>
      <c r="E201" s="708"/>
      <c r="F201" s="685"/>
    </row>
    <row r="202">
      <c r="A202" s="702" t="s">
        <v>38884</v>
      </c>
      <c r="B202" s="703">
        <v>4.3</v>
      </c>
      <c r="C202" s="700" t="s">
        <v>38885</v>
      </c>
      <c r="D202" s="707"/>
      <c r="E202" s="708"/>
      <c r="F202" s="685"/>
    </row>
    <row r="203">
      <c r="A203" s="570"/>
      <c r="B203" s="440"/>
      <c r="C203" s="700" t="s">
        <v>38886</v>
      </c>
      <c r="D203" s="707"/>
      <c r="E203" s="708"/>
      <c r="F203" s="685"/>
    </row>
    <row r="204">
      <c r="A204" s="702" t="s">
        <v>38887</v>
      </c>
      <c r="B204" s="703">
        <v>4.2</v>
      </c>
      <c r="C204" s="700" t="s">
        <v>15353</v>
      </c>
      <c r="D204" s="707"/>
      <c r="E204" s="708"/>
      <c r="F204" s="685"/>
    </row>
    <row r="205">
      <c r="A205" s="570"/>
      <c r="B205" s="440"/>
      <c r="C205" s="700" t="s">
        <v>4666</v>
      </c>
      <c r="D205" s="707"/>
      <c r="E205" s="708"/>
      <c r="F205" s="685"/>
    </row>
    <row r="206">
      <c r="A206" s="691" t="s">
        <v>38888</v>
      </c>
      <c r="B206" s="692">
        <v>4.2</v>
      </c>
      <c r="C206" s="693" t="s">
        <v>35850</v>
      </c>
      <c r="D206" s="707"/>
      <c r="E206" s="708"/>
      <c r="F206" s="685"/>
    </row>
    <row r="207">
      <c r="A207" s="697" t="s">
        <v>38889</v>
      </c>
      <c r="B207" s="698">
        <v>4.2</v>
      </c>
      <c r="C207" s="700" t="s">
        <v>38890</v>
      </c>
      <c r="D207" s="707"/>
      <c r="E207" s="708"/>
      <c r="F207" s="685"/>
    </row>
    <row r="208">
      <c r="A208" s="691" t="s">
        <v>38891</v>
      </c>
      <c r="B208" s="692">
        <v>4.2</v>
      </c>
      <c r="C208" s="693" t="s">
        <v>15079</v>
      </c>
      <c r="D208" s="707"/>
      <c r="E208" s="708"/>
      <c r="F208" s="685"/>
    </row>
    <row r="209">
      <c r="A209" s="711" t="s">
        <v>38892</v>
      </c>
      <c r="B209" s="692">
        <v>4.1</v>
      </c>
      <c r="C209" s="693" t="s">
        <v>31801</v>
      </c>
      <c r="D209" s="707"/>
      <c r="E209" s="708"/>
      <c r="F209" s="685"/>
    </row>
    <row r="210">
      <c r="A210" s="702" t="s">
        <v>38893</v>
      </c>
      <c r="B210" s="703">
        <v>4.1</v>
      </c>
      <c r="C210" s="700" t="s">
        <v>38894</v>
      </c>
      <c r="D210" s="707"/>
      <c r="E210" s="708"/>
      <c r="F210" s="685"/>
    </row>
    <row r="211">
      <c r="A211" s="576"/>
      <c r="B211" s="499"/>
      <c r="C211" s="710" t="s">
        <v>31829</v>
      </c>
      <c r="D211" s="707"/>
      <c r="E211" s="708"/>
      <c r="F211" s="685"/>
    </row>
    <row r="212">
      <c r="A212" s="570"/>
      <c r="B212" s="440"/>
      <c r="C212" s="700" t="s">
        <v>2016</v>
      </c>
      <c r="D212" s="707"/>
      <c r="E212" s="708"/>
      <c r="F212" s="685"/>
    </row>
    <row r="213">
      <c r="A213" s="702" t="s">
        <v>38895</v>
      </c>
      <c r="B213" s="703">
        <v>4.1</v>
      </c>
      <c r="C213" s="700" t="s">
        <v>38896</v>
      </c>
      <c r="D213" s="707"/>
      <c r="E213" s="708"/>
      <c r="F213" s="685"/>
    </row>
    <row r="214">
      <c r="A214" s="576"/>
      <c r="B214" s="499"/>
      <c r="C214" s="700" t="s">
        <v>38897</v>
      </c>
      <c r="D214" s="707"/>
      <c r="E214" s="708"/>
      <c r="F214" s="685"/>
    </row>
    <row r="215">
      <c r="A215" s="576"/>
      <c r="B215" s="499"/>
      <c r="C215" s="700" t="s">
        <v>30608</v>
      </c>
      <c r="D215" s="707"/>
      <c r="E215" s="708"/>
      <c r="F215" s="685"/>
    </row>
    <row r="216">
      <c r="A216" s="576"/>
      <c r="B216" s="499"/>
      <c r="C216" s="710" t="s">
        <v>32012</v>
      </c>
      <c r="D216" s="707"/>
      <c r="E216" s="708"/>
      <c r="F216" s="685"/>
    </row>
    <row r="217">
      <c r="A217" s="570"/>
      <c r="B217" s="440"/>
      <c r="C217" s="700" t="s">
        <v>38898</v>
      </c>
      <c r="D217" s="707"/>
      <c r="E217" s="708"/>
      <c r="F217" s="685"/>
    </row>
    <row r="218">
      <c r="A218" s="702" t="s">
        <v>38899</v>
      </c>
      <c r="B218" s="703">
        <v>4.1</v>
      </c>
      <c r="C218" s="700" t="s">
        <v>38900</v>
      </c>
      <c r="D218" s="707"/>
      <c r="E218" s="708"/>
      <c r="F218" s="685"/>
    </row>
    <row r="219">
      <c r="A219" s="570"/>
      <c r="B219" s="440"/>
      <c r="C219" s="700" t="s">
        <v>5240</v>
      </c>
      <c r="D219" s="694" t="s">
        <v>14801</v>
      </c>
      <c r="E219" s="695" t="s">
        <v>38901</v>
      </c>
      <c r="F219" s="685"/>
    </row>
    <row r="220">
      <c r="A220" s="691" t="s">
        <v>29102</v>
      </c>
      <c r="B220" s="692">
        <v>4.0</v>
      </c>
      <c r="C220" s="693" t="s">
        <v>29103</v>
      </c>
      <c r="D220" s="707"/>
      <c r="E220" s="708"/>
      <c r="F220" s="685"/>
    </row>
    <row r="221">
      <c r="A221" s="691" t="s">
        <v>38902</v>
      </c>
      <c r="B221" s="692">
        <v>4.0</v>
      </c>
      <c r="C221" s="693" t="s">
        <v>38903</v>
      </c>
      <c r="D221" s="707"/>
      <c r="E221" s="708"/>
      <c r="F221" s="685"/>
    </row>
    <row r="222">
      <c r="A222" s="691" t="s">
        <v>38904</v>
      </c>
      <c r="B222" s="692">
        <v>4.0</v>
      </c>
      <c r="C222" s="693" t="s">
        <v>10176</v>
      </c>
      <c r="D222" s="707"/>
      <c r="E222" s="708"/>
      <c r="F222" s="685"/>
    </row>
    <row r="223">
      <c r="A223" s="697" t="s">
        <v>38905</v>
      </c>
      <c r="B223" s="698">
        <v>4.0</v>
      </c>
      <c r="C223" s="700" t="s">
        <v>38906</v>
      </c>
      <c r="D223" s="707"/>
      <c r="E223" s="708"/>
      <c r="F223" s="685"/>
    </row>
    <row r="224">
      <c r="A224" s="697" t="s">
        <v>38907</v>
      </c>
      <c r="B224" s="698">
        <v>4.0</v>
      </c>
      <c r="C224" s="700" t="s">
        <v>38908</v>
      </c>
      <c r="D224" s="707"/>
      <c r="E224" s="708"/>
      <c r="F224" s="685"/>
    </row>
    <row r="225">
      <c r="A225" s="697" t="s">
        <v>38909</v>
      </c>
      <c r="B225" s="698">
        <v>4.0</v>
      </c>
      <c r="C225" s="700" t="s">
        <v>38910</v>
      </c>
      <c r="D225" s="707"/>
      <c r="E225" s="708"/>
      <c r="F225" s="685"/>
    </row>
    <row r="226">
      <c r="A226" s="697" t="s">
        <v>6141</v>
      </c>
      <c r="B226" s="698">
        <v>4.0</v>
      </c>
      <c r="C226" s="700" t="s">
        <v>38911</v>
      </c>
      <c r="D226" s="707"/>
      <c r="E226" s="708"/>
      <c r="F226" s="685"/>
    </row>
    <row r="227">
      <c r="A227" s="691" t="s">
        <v>38912</v>
      </c>
      <c r="B227" s="692">
        <v>4.0</v>
      </c>
      <c r="C227" s="693" t="s">
        <v>31899</v>
      </c>
      <c r="D227" s="707"/>
      <c r="E227" s="708"/>
      <c r="F227" s="685"/>
    </row>
    <row r="228">
      <c r="A228" s="702" t="s">
        <v>38913</v>
      </c>
      <c r="B228" s="703">
        <v>3.9</v>
      </c>
      <c r="C228" s="700" t="s">
        <v>38914</v>
      </c>
      <c r="D228" s="707"/>
      <c r="E228" s="708"/>
      <c r="F228" s="685"/>
    </row>
    <row r="229">
      <c r="A229" s="576"/>
      <c r="B229" s="499"/>
      <c r="C229" s="700" t="s">
        <v>38915</v>
      </c>
      <c r="D229" s="707"/>
      <c r="E229" s="708"/>
      <c r="F229" s="685"/>
    </row>
    <row r="230">
      <c r="A230" s="576"/>
      <c r="B230" s="499"/>
      <c r="C230" s="700" t="s">
        <v>5787</v>
      </c>
      <c r="D230" s="707"/>
      <c r="E230" s="708"/>
      <c r="F230" s="685"/>
    </row>
    <row r="231">
      <c r="A231" s="576"/>
      <c r="B231" s="499"/>
      <c r="C231" s="700" t="s">
        <v>6063</v>
      </c>
      <c r="D231" s="707"/>
      <c r="E231" s="708"/>
      <c r="F231" s="685"/>
    </row>
    <row r="232">
      <c r="A232" s="576"/>
      <c r="B232" s="499"/>
      <c r="C232" s="700" t="s">
        <v>6066</v>
      </c>
      <c r="D232" s="707"/>
      <c r="E232" s="708"/>
      <c r="F232" s="685"/>
    </row>
    <row r="233">
      <c r="A233" s="576"/>
      <c r="B233" s="499"/>
      <c r="C233" s="700" t="s">
        <v>8945</v>
      </c>
      <c r="D233" s="707"/>
      <c r="E233" s="708"/>
      <c r="F233" s="685"/>
    </row>
    <row r="234">
      <c r="A234" s="576"/>
      <c r="B234" s="499"/>
      <c r="C234" s="700" t="s">
        <v>6049</v>
      </c>
      <c r="D234" s="707"/>
      <c r="E234" s="708"/>
      <c r="F234" s="685"/>
    </row>
    <row r="235">
      <c r="A235" s="576"/>
      <c r="B235" s="499"/>
      <c r="C235" s="700" t="s">
        <v>38916</v>
      </c>
      <c r="D235" s="707"/>
      <c r="E235" s="708"/>
      <c r="F235" s="685"/>
    </row>
    <row r="236">
      <c r="A236" s="570"/>
      <c r="B236" s="440"/>
      <c r="C236" s="700" t="s">
        <v>5010</v>
      </c>
      <c r="D236" s="707"/>
      <c r="E236" s="708"/>
      <c r="F236" s="685"/>
    </row>
    <row r="237">
      <c r="A237" s="702" t="s">
        <v>38917</v>
      </c>
      <c r="B237" s="703">
        <v>3.9</v>
      </c>
      <c r="C237" s="700" t="s">
        <v>23277</v>
      </c>
      <c r="D237" s="707"/>
      <c r="E237" s="708"/>
      <c r="F237" s="685"/>
    </row>
    <row r="238">
      <c r="A238" s="576"/>
      <c r="B238" s="499"/>
      <c r="C238" s="700" t="s">
        <v>38918</v>
      </c>
      <c r="D238" s="707"/>
      <c r="E238" s="708"/>
      <c r="F238" s="685"/>
    </row>
    <row r="239">
      <c r="A239" s="576"/>
      <c r="B239" s="499"/>
      <c r="C239" s="700" t="s">
        <v>38919</v>
      </c>
      <c r="D239" s="707"/>
      <c r="E239" s="708"/>
      <c r="F239" s="685"/>
    </row>
    <row r="240">
      <c r="A240" s="576"/>
      <c r="B240" s="499"/>
      <c r="C240" s="700" t="s">
        <v>38920</v>
      </c>
      <c r="D240" s="707"/>
      <c r="E240" s="708"/>
      <c r="F240" s="685"/>
    </row>
    <row r="241">
      <c r="A241" s="576"/>
      <c r="B241" s="499"/>
      <c r="C241" s="700" t="s">
        <v>38921</v>
      </c>
      <c r="D241" s="707"/>
      <c r="E241" s="708"/>
      <c r="F241" s="685"/>
    </row>
    <row r="242">
      <c r="A242" s="576"/>
      <c r="B242" s="499"/>
      <c r="C242" s="700" t="s">
        <v>38922</v>
      </c>
      <c r="D242" s="707"/>
      <c r="E242" s="708"/>
      <c r="F242" s="685"/>
    </row>
    <row r="243">
      <c r="A243" s="570"/>
      <c r="B243" s="440"/>
      <c r="C243" s="700" t="s">
        <v>38923</v>
      </c>
      <c r="D243" s="707"/>
      <c r="E243" s="708"/>
      <c r="F243" s="685"/>
    </row>
    <row r="244">
      <c r="A244" s="702" t="s">
        <v>38924</v>
      </c>
      <c r="B244" s="703">
        <v>3.9</v>
      </c>
      <c r="C244" s="700" t="s">
        <v>38925</v>
      </c>
      <c r="D244" s="707"/>
      <c r="E244" s="708"/>
      <c r="F244" s="685"/>
    </row>
    <row r="245">
      <c r="A245" s="570"/>
      <c r="B245" s="440"/>
      <c r="C245" s="700" t="s">
        <v>38926</v>
      </c>
      <c r="D245" s="707"/>
      <c r="E245" s="708"/>
      <c r="F245" s="685"/>
    </row>
    <row r="246">
      <c r="A246" s="697" t="s">
        <v>38927</v>
      </c>
      <c r="B246" s="698">
        <v>3.9</v>
      </c>
      <c r="C246" s="700" t="s">
        <v>38928</v>
      </c>
      <c r="D246" s="707"/>
      <c r="E246" s="708"/>
      <c r="F246" s="685"/>
    </row>
    <row r="247">
      <c r="A247" s="691" t="s">
        <v>38929</v>
      </c>
      <c r="B247" s="692">
        <v>3.9</v>
      </c>
      <c r="C247" s="693" t="s">
        <v>30420</v>
      </c>
      <c r="D247" s="707"/>
      <c r="E247" s="708"/>
      <c r="F247" s="685"/>
    </row>
    <row r="248">
      <c r="A248" s="702" t="s">
        <v>38930</v>
      </c>
      <c r="B248" s="703">
        <v>3.8</v>
      </c>
      <c r="C248" s="700" t="s">
        <v>38931</v>
      </c>
      <c r="D248" s="707"/>
      <c r="E248" s="708"/>
      <c r="F248" s="685"/>
    </row>
    <row r="249">
      <c r="A249" s="576"/>
      <c r="B249" s="499"/>
      <c r="C249" s="700" t="s">
        <v>38932</v>
      </c>
      <c r="D249" s="707"/>
      <c r="E249" s="708"/>
      <c r="F249" s="685"/>
    </row>
    <row r="250">
      <c r="A250" s="576"/>
      <c r="B250" s="499"/>
      <c r="C250" s="700" t="s">
        <v>38933</v>
      </c>
      <c r="D250" s="707"/>
      <c r="E250" s="708"/>
      <c r="F250" s="685"/>
    </row>
    <row r="251">
      <c r="A251" s="576"/>
      <c r="B251" s="499"/>
      <c r="C251" s="700" t="s">
        <v>38934</v>
      </c>
      <c r="D251" s="707"/>
      <c r="E251" s="708"/>
      <c r="F251" s="685"/>
    </row>
    <row r="252">
      <c r="A252" s="576"/>
      <c r="B252" s="499"/>
      <c r="C252" s="700" t="s">
        <v>38935</v>
      </c>
      <c r="D252" s="707"/>
      <c r="E252" s="708"/>
      <c r="F252" s="685"/>
    </row>
    <row r="253">
      <c r="A253" s="576"/>
      <c r="B253" s="499"/>
      <c r="C253" s="700" t="s">
        <v>38936</v>
      </c>
      <c r="D253" s="707"/>
      <c r="E253" s="708"/>
      <c r="F253" s="685"/>
    </row>
    <row r="254">
      <c r="A254" s="576"/>
      <c r="B254" s="499"/>
      <c r="C254" s="700" t="s">
        <v>38937</v>
      </c>
      <c r="D254" s="707"/>
      <c r="E254" s="708"/>
      <c r="F254" s="685"/>
    </row>
    <row r="255">
      <c r="A255" s="576"/>
      <c r="B255" s="499"/>
      <c r="C255" s="700" t="s">
        <v>38938</v>
      </c>
      <c r="D255" s="707"/>
      <c r="E255" s="708"/>
      <c r="F255" s="685"/>
    </row>
    <row r="256">
      <c r="A256" s="576"/>
      <c r="B256" s="499"/>
      <c r="C256" s="700" t="s">
        <v>38939</v>
      </c>
      <c r="D256" s="707"/>
      <c r="E256" s="708"/>
      <c r="F256" s="685"/>
    </row>
    <row r="257">
      <c r="A257" s="576"/>
      <c r="B257" s="499"/>
      <c r="C257" s="700" t="s">
        <v>38940</v>
      </c>
      <c r="D257" s="707"/>
      <c r="E257" s="708"/>
      <c r="F257" s="685"/>
    </row>
    <row r="258">
      <c r="A258" s="576"/>
      <c r="B258" s="499"/>
      <c r="C258" s="700" t="s">
        <v>38941</v>
      </c>
      <c r="D258" s="707"/>
      <c r="E258" s="708"/>
      <c r="F258" s="685"/>
    </row>
    <row r="259">
      <c r="A259" s="576"/>
      <c r="B259" s="499"/>
      <c r="C259" s="700" t="s">
        <v>38942</v>
      </c>
      <c r="D259" s="707"/>
      <c r="E259" s="708"/>
      <c r="F259" s="685"/>
    </row>
    <row r="260">
      <c r="A260" s="576"/>
      <c r="B260" s="499"/>
      <c r="C260" s="700" t="s">
        <v>38943</v>
      </c>
      <c r="D260" s="707"/>
      <c r="E260" s="708"/>
      <c r="F260" s="685"/>
    </row>
    <row r="261">
      <c r="A261" s="576"/>
      <c r="B261" s="499"/>
      <c r="C261" s="700" t="s">
        <v>38944</v>
      </c>
      <c r="D261" s="707"/>
      <c r="E261" s="708"/>
      <c r="F261" s="685"/>
    </row>
    <row r="262">
      <c r="A262" s="576"/>
      <c r="B262" s="499"/>
      <c r="C262" s="700" t="s">
        <v>38945</v>
      </c>
      <c r="D262" s="707"/>
      <c r="E262" s="708"/>
      <c r="F262" s="685"/>
    </row>
    <row r="263">
      <c r="A263" s="576"/>
      <c r="B263" s="499"/>
      <c r="C263" s="700" t="s">
        <v>38946</v>
      </c>
      <c r="D263" s="707"/>
      <c r="E263" s="708"/>
      <c r="F263" s="685"/>
    </row>
    <row r="264">
      <c r="A264" s="576"/>
      <c r="B264" s="499"/>
      <c r="C264" s="700" t="s">
        <v>38947</v>
      </c>
      <c r="D264" s="707"/>
      <c r="E264" s="708"/>
      <c r="F264" s="685"/>
    </row>
    <row r="265">
      <c r="A265" s="576"/>
      <c r="B265" s="499"/>
      <c r="C265" s="700" t="s">
        <v>38948</v>
      </c>
      <c r="D265" s="707"/>
      <c r="E265" s="708"/>
      <c r="F265" s="685"/>
    </row>
    <row r="266">
      <c r="A266" s="570"/>
      <c r="B266" s="440"/>
      <c r="C266" s="700" t="s">
        <v>38949</v>
      </c>
      <c r="D266" s="707"/>
      <c r="E266" s="708"/>
      <c r="F266" s="685"/>
    </row>
    <row r="267">
      <c r="A267" s="697" t="s">
        <v>38950</v>
      </c>
      <c r="B267" s="698">
        <v>3.8</v>
      </c>
      <c r="C267" s="700" t="s">
        <v>3380</v>
      </c>
      <c r="D267" s="694" t="s">
        <v>2036</v>
      </c>
      <c r="E267" s="695" t="s">
        <v>38951</v>
      </c>
      <c r="F267" s="685"/>
    </row>
    <row r="268">
      <c r="A268" s="697" t="s">
        <v>38952</v>
      </c>
      <c r="B268" s="698">
        <v>3.8</v>
      </c>
      <c r="C268" s="700" t="s">
        <v>38953</v>
      </c>
      <c r="D268" s="707"/>
      <c r="E268" s="708"/>
      <c r="F268" s="685"/>
    </row>
    <row r="269">
      <c r="A269" s="697" t="s">
        <v>38954</v>
      </c>
      <c r="B269" s="698">
        <v>3.8</v>
      </c>
      <c r="C269" s="700" t="s">
        <v>11743</v>
      </c>
      <c r="D269" s="707"/>
      <c r="E269" s="708"/>
      <c r="F269" s="685"/>
    </row>
    <row r="270">
      <c r="A270" s="702" t="s">
        <v>38955</v>
      </c>
      <c r="B270" s="703">
        <v>3.7</v>
      </c>
      <c r="C270" s="700" t="s">
        <v>38956</v>
      </c>
      <c r="D270" s="707"/>
      <c r="E270" s="708"/>
      <c r="F270" s="685"/>
    </row>
    <row r="271">
      <c r="A271" s="570"/>
      <c r="B271" s="440"/>
      <c r="C271" s="710" t="s">
        <v>11322</v>
      </c>
      <c r="D271" s="712" t="s">
        <v>14801</v>
      </c>
      <c r="E271" s="708"/>
      <c r="F271" s="685"/>
    </row>
    <row r="272">
      <c r="A272" s="702" t="s">
        <v>38957</v>
      </c>
      <c r="B272" s="703">
        <v>3.7</v>
      </c>
      <c r="C272" s="700" t="s">
        <v>38958</v>
      </c>
      <c r="D272" s="707"/>
      <c r="E272" s="708"/>
      <c r="F272" s="685"/>
    </row>
    <row r="273">
      <c r="A273" s="576"/>
      <c r="B273" s="499"/>
      <c r="C273" s="710" t="s">
        <v>18761</v>
      </c>
      <c r="D273" s="707"/>
      <c r="E273" s="708"/>
      <c r="F273" s="685"/>
    </row>
    <row r="274">
      <c r="A274" s="570"/>
      <c r="B274" s="440"/>
      <c r="C274" s="700" t="s">
        <v>23198</v>
      </c>
      <c r="D274" s="707"/>
      <c r="E274" s="708"/>
      <c r="F274" s="685"/>
    </row>
    <row r="275">
      <c r="A275" s="697" t="s">
        <v>38959</v>
      </c>
      <c r="B275" s="698">
        <v>3.7</v>
      </c>
      <c r="C275" s="700" t="s">
        <v>38960</v>
      </c>
      <c r="D275" s="707"/>
      <c r="E275" s="708"/>
      <c r="F275" s="685"/>
    </row>
    <row r="276">
      <c r="A276" s="691" t="s">
        <v>38961</v>
      </c>
      <c r="B276" s="698">
        <v>3.7</v>
      </c>
      <c r="C276" s="693" t="s">
        <v>2118</v>
      </c>
      <c r="D276" s="707"/>
      <c r="E276" s="708"/>
      <c r="F276" s="685"/>
    </row>
    <row r="277">
      <c r="A277" s="691" t="s">
        <v>38962</v>
      </c>
      <c r="B277" s="692">
        <v>3.7</v>
      </c>
      <c r="C277" s="693" t="s">
        <v>226</v>
      </c>
      <c r="D277" s="707"/>
      <c r="E277" s="708"/>
      <c r="F277" s="685"/>
    </row>
    <row r="278">
      <c r="A278" s="697" t="s">
        <v>38963</v>
      </c>
      <c r="B278" s="698">
        <v>3.7</v>
      </c>
      <c r="C278" s="700" t="s">
        <v>38964</v>
      </c>
      <c r="D278" s="707"/>
      <c r="E278" s="708"/>
      <c r="F278" s="685"/>
    </row>
    <row r="279">
      <c r="A279" s="697" t="s">
        <v>38965</v>
      </c>
      <c r="B279" s="698">
        <v>3.7</v>
      </c>
      <c r="C279" s="710" t="s">
        <v>25891</v>
      </c>
      <c r="D279" s="707"/>
      <c r="E279" s="708"/>
      <c r="F279" s="685"/>
    </row>
    <row r="280">
      <c r="A280" s="691" t="s">
        <v>38966</v>
      </c>
      <c r="B280" s="698">
        <v>3.6</v>
      </c>
      <c r="C280" s="693" t="s">
        <v>4338</v>
      </c>
      <c r="D280" s="707"/>
      <c r="E280" s="708"/>
      <c r="F280" s="685"/>
    </row>
    <row r="281">
      <c r="A281" s="697" t="s">
        <v>38967</v>
      </c>
      <c r="B281" s="698">
        <v>3.6</v>
      </c>
      <c r="C281" s="700" t="s">
        <v>2034</v>
      </c>
      <c r="D281" s="707"/>
      <c r="E281" s="708"/>
      <c r="F281" s="685"/>
    </row>
    <row r="282">
      <c r="A282" s="697" t="s">
        <v>38968</v>
      </c>
      <c r="B282" s="698">
        <v>3.5</v>
      </c>
      <c r="C282" s="700" t="s">
        <v>27709</v>
      </c>
      <c r="D282" s="707"/>
      <c r="E282" s="708"/>
      <c r="F282" s="685"/>
    </row>
    <row r="283">
      <c r="A283" s="697" t="s">
        <v>38969</v>
      </c>
      <c r="B283" s="698">
        <v>3.5</v>
      </c>
      <c r="C283" s="700" t="s">
        <v>38970</v>
      </c>
      <c r="D283" s="707"/>
      <c r="E283" s="708"/>
      <c r="F283" s="685"/>
    </row>
    <row r="284">
      <c r="A284" s="702" t="s">
        <v>38971</v>
      </c>
      <c r="B284" s="703">
        <v>3.5</v>
      </c>
      <c r="C284" s="693" t="str">
        <f>HYPERLINK("https://www.ncbi.nlm.nih.gov/pubmed/31809873","Photobiomodulation therapy decreases free fatty acid generation and release in adipocytes to ameliorate insulin resistance in type 2 diabetes.")</f>
        <v>Photobiomodulation therapy decreases free fatty acid generation and release in adipocytes to ameliorate insulin resistance in type 2 diabetes.</v>
      </c>
      <c r="D284" s="707"/>
      <c r="E284" s="708"/>
      <c r="F284" s="685"/>
    </row>
    <row r="285">
      <c r="A285" s="576"/>
      <c r="B285" s="499"/>
      <c r="C285" s="700" t="s">
        <v>6047</v>
      </c>
      <c r="D285" s="707"/>
      <c r="E285" s="708"/>
      <c r="F285" s="685"/>
    </row>
    <row r="286">
      <c r="A286" s="576"/>
      <c r="B286" s="499"/>
      <c r="C286" s="700" t="s">
        <v>2598</v>
      </c>
      <c r="D286" s="707"/>
      <c r="E286" s="708"/>
      <c r="F286" s="685"/>
    </row>
    <row r="287">
      <c r="A287" s="570"/>
      <c r="B287" s="440"/>
      <c r="C287" s="700" t="s">
        <v>6045</v>
      </c>
      <c r="D287" s="707"/>
      <c r="E287" s="708"/>
      <c r="F287" s="685"/>
    </row>
    <row r="288">
      <c r="A288" s="697" t="s">
        <v>38972</v>
      </c>
      <c r="B288" s="698">
        <v>3.5</v>
      </c>
      <c r="C288" s="710" t="s">
        <v>3917</v>
      </c>
      <c r="D288" s="712" t="s">
        <v>14801</v>
      </c>
      <c r="E288" s="708"/>
      <c r="F288" s="685"/>
    </row>
    <row r="289">
      <c r="A289" s="691" t="s">
        <v>38973</v>
      </c>
      <c r="B289" s="692">
        <v>3.5</v>
      </c>
      <c r="C289" s="693" t="s">
        <v>30457</v>
      </c>
      <c r="D289" s="712"/>
      <c r="E289" s="708"/>
      <c r="F289" s="685"/>
    </row>
    <row r="290">
      <c r="A290" s="702" t="s">
        <v>38974</v>
      </c>
      <c r="B290" s="703">
        <v>3.5</v>
      </c>
      <c r="C290" s="700" t="s">
        <v>38975</v>
      </c>
      <c r="D290" s="707"/>
      <c r="E290" s="708"/>
      <c r="F290" s="685"/>
    </row>
    <row r="291">
      <c r="A291" s="570"/>
      <c r="B291" s="440"/>
      <c r="C291" s="700" t="s">
        <v>38976</v>
      </c>
      <c r="D291" s="707"/>
      <c r="E291" s="708"/>
      <c r="F291" s="685"/>
    </row>
    <row r="292">
      <c r="A292" s="697" t="s">
        <v>38977</v>
      </c>
      <c r="B292" s="698">
        <v>3.5</v>
      </c>
      <c r="C292" s="700" t="s">
        <v>38978</v>
      </c>
      <c r="D292" s="707"/>
      <c r="E292" s="708"/>
      <c r="F292" s="685"/>
    </row>
    <row r="293">
      <c r="A293" s="702" t="s">
        <v>38979</v>
      </c>
      <c r="B293" s="703">
        <v>3.5</v>
      </c>
      <c r="C293" s="700" t="s">
        <v>38980</v>
      </c>
      <c r="D293" s="707"/>
      <c r="E293" s="708"/>
      <c r="F293" s="685"/>
    </row>
    <row r="294">
      <c r="A294" s="576"/>
      <c r="B294" s="499"/>
      <c r="C294" s="700" t="s">
        <v>12308</v>
      </c>
      <c r="D294" s="707"/>
      <c r="E294" s="708"/>
      <c r="F294" s="685"/>
    </row>
    <row r="295">
      <c r="A295" s="570"/>
      <c r="B295" s="440"/>
      <c r="C295" s="700" t="s">
        <v>38981</v>
      </c>
      <c r="D295" s="707"/>
      <c r="E295" s="708"/>
      <c r="F295" s="685"/>
    </row>
    <row r="296">
      <c r="A296" s="697" t="s">
        <v>38982</v>
      </c>
      <c r="B296" s="698">
        <v>3.5</v>
      </c>
      <c r="C296" s="700" t="s">
        <v>6674</v>
      </c>
      <c r="D296" s="707"/>
      <c r="E296" s="708"/>
      <c r="F296" s="685" t="s">
        <v>38983</v>
      </c>
    </row>
    <row r="297">
      <c r="A297" s="691" t="s">
        <v>38984</v>
      </c>
      <c r="B297" s="698">
        <v>3.5</v>
      </c>
      <c r="C297" s="693" t="s">
        <v>8362</v>
      </c>
      <c r="D297" s="707"/>
      <c r="E297" s="708"/>
      <c r="F297" s="685"/>
    </row>
    <row r="298">
      <c r="A298" s="702" t="s">
        <v>38985</v>
      </c>
      <c r="B298" s="703">
        <v>3.5</v>
      </c>
      <c r="C298" s="700" t="s">
        <v>130</v>
      </c>
      <c r="D298" s="707"/>
      <c r="E298" s="708"/>
      <c r="F298" s="685"/>
    </row>
    <row r="299">
      <c r="A299" s="570"/>
      <c r="B299" s="440"/>
      <c r="C299" s="700" t="s">
        <v>38986</v>
      </c>
      <c r="D299" s="707"/>
      <c r="E299" s="708"/>
      <c r="F299" s="685"/>
    </row>
    <row r="300">
      <c r="A300" s="697" t="s">
        <v>38987</v>
      </c>
      <c r="B300" s="698">
        <v>3.4</v>
      </c>
      <c r="C300" s="700" t="s">
        <v>15321</v>
      </c>
      <c r="D300" s="694" t="s">
        <v>2036</v>
      </c>
      <c r="E300" s="708"/>
      <c r="F300" s="685"/>
    </row>
    <row r="301">
      <c r="A301" s="697" t="s">
        <v>38988</v>
      </c>
      <c r="B301" s="698">
        <v>3.4</v>
      </c>
      <c r="C301" s="700" t="s">
        <v>38989</v>
      </c>
      <c r="D301" s="694" t="s">
        <v>38990</v>
      </c>
      <c r="E301" s="708"/>
      <c r="F301" s="685"/>
    </row>
    <row r="302">
      <c r="A302" s="697" t="s">
        <v>38991</v>
      </c>
      <c r="B302" s="698">
        <v>3.4</v>
      </c>
      <c r="C302" s="700" t="s">
        <v>9703</v>
      </c>
      <c r="D302" s="707"/>
      <c r="E302" s="708"/>
      <c r="F302" s="685"/>
    </row>
    <row r="303">
      <c r="A303" s="697" t="s">
        <v>38992</v>
      </c>
      <c r="B303" s="698">
        <v>3.4</v>
      </c>
      <c r="C303" s="700" t="s">
        <v>4178</v>
      </c>
      <c r="D303" s="707"/>
      <c r="E303" s="708"/>
      <c r="F303" s="685"/>
    </row>
    <row r="304">
      <c r="A304" s="691" t="s">
        <v>38993</v>
      </c>
      <c r="B304" s="698">
        <v>3.4</v>
      </c>
      <c r="C304" s="710" t="s">
        <v>30427</v>
      </c>
      <c r="D304" s="707"/>
      <c r="E304" s="708"/>
      <c r="F304" s="685"/>
    </row>
    <row r="305">
      <c r="A305" s="691" t="s">
        <v>38994</v>
      </c>
      <c r="B305" s="692">
        <v>3.4</v>
      </c>
      <c r="C305" s="693" t="str">
        <f>HYPERLINK("https://www.ncbi.nlm.nih.gov/pubmed/30385146","Near-infrared photobiomodulation combined with coenzyme Q10 for depression in a mouse model of restraint stress: reduction in oxidative stress, neuroinflammation, and apoptosis.")</f>
        <v>Near-infrared photobiomodulation combined with coenzyme Q10 for depression in a mouse model of restraint stress: reduction in oxidative stress, neuroinflammation, and apoptosis.</v>
      </c>
      <c r="D305" s="707"/>
      <c r="E305" s="708"/>
      <c r="F305" s="685"/>
    </row>
    <row r="306">
      <c r="A306" s="697" t="s">
        <v>38995</v>
      </c>
      <c r="B306" s="698">
        <v>3.4</v>
      </c>
      <c r="C306" s="700" t="s">
        <v>9653</v>
      </c>
      <c r="D306" s="707"/>
      <c r="E306" s="708"/>
      <c r="F306" s="685"/>
    </row>
    <row r="307">
      <c r="A307" s="702" t="s">
        <v>2612</v>
      </c>
      <c r="B307" s="703">
        <v>3.4</v>
      </c>
      <c r="C307" s="700" t="s">
        <v>38996</v>
      </c>
      <c r="D307" s="707"/>
      <c r="E307" s="708"/>
      <c r="F307" s="685"/>
    </row>
    <row r="308">
      <c r="A308" s="576"/>
      <c r="B308" s="499"/>
      <c r="C308" s="700" t="s">
        <v>38997</v>
      </c>
      <c r="D308" s="707"/>
      <c r="E308" s="708"/>
      <c r="F308" s="685"/>
    </row>
    <row r="309">
      <c r="A309" s="576"/>
      <c r="B309" s="499"/>
      <c r="C309" s="700" t="s">
        <v>38998</v>
      </c>
      <c r="D309" s="707"/>
      <c r="E309" s="708"/>
      <c r="F309" s="685"/>
    </row>
    <row r="310">
      <c r="A310" s="576"/>
      <c r="B310" s="499"/>
      <c r="C310" s="700" t="s">
        <v>38999</v>
      </c>
      <c r="D310" s="707"/>
      <c r="E310" s="708"/>
      <c r="F310" s="685"/>
    </row>
    <row r="311">
      <c r="A311" s="576"/>
      <c r="B311" s="499"/>
      <c r="C311" s="700" t="s">
        <v>39000</v>
      </c>
      <c r="D311" s="707"/>
      <c r="E311" s="708"/>
      <c r="F311" s="685"/>
    </row>
    <row r="312">
      <c r="A312" s="576"/>
      <c r="B312" s="499"/>
      <c r="C312" s="700" t="s">
        <v>39001</v>
      </c>
      <c r="D312" s="707"/>
      <c r="E312" s="708"/>
      <c r="F312" s="685"/>
    </row>
    <row r="313">
      <c r="A313" s="576"/>
      <c r="B313" s="499"/>
      <c r="C313" s="700" t="s">
        <v>4192</v>
      </c>
      <c r="D313" s="707"/>
      <c r="E313" s="708"/>
      <c r="F313" s="685"/>
    </row>
    <row r="314">
      <c r="A314" s="570"/>
      <c r="B314" s="440"/>
      <c r="C314" s="700" t="s">
        <v>39002</v>
      </c>
      <c r="D314" s="707"/>
      <c r="E314" s="708"/>
      <c r="F314" s="685"/>
    </row>
    <row r="315">
      <c r="A315" s="691" t="s">
        <v>39003</v>
      </c>
      <c r="B315" s="692">
        <v>3.4</v>
      </c>
      <c r="C315" s="693" t="str">
        <f>HYPERLINK("https://www.ncbi.nlm.nih.gov/pubmed/31956296","Anti-cancer effect of gallic acid in presence of low level laser irradiation: ROS production and induction of apoptosis and ferroptosis.")</f>
        <v>Anti-cancer effect of gallic acid in presence of low level laser irradiation: ROS production and induction of apoptosis and ferroptosis.</v>
      </c>
      <c r="D315" s="707"/>
      <c r="E315" s="708"/>
      <c r="F315" s="685"/>
    </row>
    <row r="316">
      <c r="A316" s="691" t="s">
        <v>39004</v>
      </c>
      <c r="B316" s="692">
        <v>3.3</v>
      </c>
      <c r="C316" s="693" t="s">
        <v>30832</v>
      </c>
      <c r="D316" s="707"/>
      <c r="E316" s="708"/>
      <c r="F316" s="685"/>
    </row>
    <row r="317">
      <c r="A317" s="697" t="s">
        <v>39005</v>
      </c>
      <c r="B317" s="698">
        <v>3.3</v>
      </c>
      <c r="C317" s="700" t="s">
        <v>30981</v>
      </c>
      <c r="D317" s="707"/>
      <c r="E317" s="708"/>
      <c r="F317" s="685"/>
    </row>
    <row r="318">
      <c r="A318" s="697" t="s">
        <v>39006</v>
      </c>
      <c r="B318" s="698">
        <v>3.3</v>
      </c>
      <c r="C318" s="700" t="s">
        <v>39007</v>
      </c>
      <c r="D318" s="707"/>
      <c r="E318" s="708"/>
      <c r="F318" s="685"/>
    </row>
    <row r="319">
      <c r="A319" s="702" t="s">
        <v>39008</v>
      </c>
      <c r="B319" s="703">
        <v>3.3</v>
      </c>
      <c r="C319" s="710" t="s">
        <v>39009</v>
      </c>
      <c r="D319" s="707"/>
      <c r="E319" s="708"/>
      <c r="F319" s="685"/>
    </row>
    <row r="320">
      <c r="A320" s="570"/>
      <c r="B320" s="440"/>
      <c r="C320" s="710" t="s">
        <v>31721</v>
      </c>
      <c r="D320" s="707"/>
      <c r="E320" s="708"/>
      <c r="F320" s="685"/>
    </row>
    <row r="321" ht="15.0" customHeight="1">
      <c r="A321" s="691" t="s">
        <v>39010</v>
      </c>
      <c r="B321" s="692">
        <v>3.3</v>
      </c>
      <c r="C321" s="693" t="s">
        <v>2258</v>
      </c>
      <c r="D321" s="707"/>
      <c r="E321" s="708"/>
      <c r="F321" s="685"/>
    </row>
    <row r="322" ht="15.0" customHeight="1">
      <c r="A322" s="697" t="s">
        <v>14601</v>
      </c>
      <c r="B322" s="698">
        <v>3.3</v>
      </c>
      <c r="C322" s="700" t="s">
        <v>19306</v>
      </c>
      <c r="D322" s="707"/>
      <c r="E322" s="708"/>
      <c r="F322" s="685"/>
    </row>
    <row r="323">
      <c r="A323" s="697" t="s">
        <v>10357</v>
      </c>
      <c r="B323" s="698">
        <v>3.3</v>
      </c>
      <c r="C323" s="700" t="s">
        <v>10242</v>
      </c>
      <c r="D323" s="707"/>
      <c r="E323" s="708"/>
      <c r="F323" s="685"/>
    </row>
    <row r="324">
      <c r="A324" s="702" t="s">
        <v>39011</v>
      </c>
      <c r="B324" s="703">
        <v>3.3</v>
      </c>
      <c r="C324" s="700" t="s">
        <v>39012</v>
      </c>
      <c r="D324" s="707"/>
      <c r="E324" s="708"/>
      <c r="F324" s="685"/>
    </row>
    <row r="325">
      <c r="A325" s="570"/>
      <c r="B325" s="440"/>
      <c r="C325" s="700" t="s">
        <v>39013</v>
      </c>
      <c r="D325" s="707"/>
      <c r="E325" s="708"/>
      <c r="F325" s="685"/>
    </row>
    <row r="326">
      <c r="A326" s="702" t="s">
        <v>4633</v>
      </c>
      <c r="B326" s="703">
        <v>3.2</v>
      </c>
      <c r="C326" s="700" t="s">
        <v>39014</v>
      </c>
      <c r="D326" s="707"/>
      <c r="E326" s="708"/>
      <c r="F326" s="685"/>
    </row>
    <row r="327">
      <c r="A327" s="576"/>
      <c r="B327" s="499"/>
      <c r="C327" s="700" t="s">
        <v>15431</v>
      </c>
      <c r="D327" s="707"/>
      <c r="E327" s="708"/>
      <c r="F327" s="685"/>
    </row>
    <row r="328">
      <c r="A328" s="570"/>
      <c r="B328" s="440"/>
      <c r="C328" s="700" t="s">
        <v>39015</v>
      </c>
      <c r="D328" s="707"/>
      <c r="E328" s="708"/>
      <c r="F328" s="685"/>
    </row>
    <row r="329">
      <c r="A329" s="697" t="s">
        <v>39016</v>
      </c>
      <c r="B329" s="698">
        <v>3.2</v>
      </c>
      <c r="C329" s="700" t="s">
        <v>2013</v>
      </c>
      <c r="D329" s="707"/>
      <c r="E329" s="708"/>
      <c r="F329" s="685"/>
    </row>
    <row r="330">
      <c r="A330" s="704" t="s">
        <v>39017</v>
      </c>
      <c r="B330" s="705">
        <v>3.2</v>
      </c>
      <c r="C330" s="693" t="str">
        <f>HYPERLINK("https://www.ncbi.nlm.nih.gov/pubmed/31527154","Radiotherapy mucositis in head and neck cancer: prevention by low-energy surface laser.")</f>
        <v>Radiotherapy mucositis in head and neck cancer: prevention by low-energy surface laser.</v>
      </c>
      <c r="D330" s="707"/>
      <c r="E330" s="708"/>
      <c r="F330" s="685"/>
    </row>
    <row r="331">
      <c r="A331" s="570"/>
      <c r="B331" s="440"/>
      <c r="C331" s="693" t="str">
        <f>HYPERLINK("https://www.ncbi.nlm.nih.gov/pubmed/25818385","Guideline for the prevention of oral and oropharyngeal mucositis in children receiving treatment for cancer or undergoing haematopoietic stem cell transplantation.")</f>
        <v>Guideline for the prevention of oral and oropharyngeal mucositis in children receiving treatment for cancer or undergoing haematopoietic stem cell transplantation.</v>
      </c>
      <c r="D331" s="707"/>
      <c r="E331" s="708"/>
      <c r="F331" s="685"/>
    </row>
    <row r="332">
      <c r="A332" s="697" t="s">
        <v>39018</v>
      </c>
      <c r="B332" s="698">
        <v>3.2</v>
      </c>
      <c r="C332" s="700" t="s">
        <v>39019</v>
      </c>
      <c r="D332" s="707"/>
      <c r="E332" s="708"/>
      <c r="F332" s="685"/>
    </row>
    <row r="333">
      <c r="A333" s="691" t="s">
        <v>39020</v>
      </c>
      <c r="B333" s="698">
        <v>3.2</v>
      </c>
      <c r="C333" s="693" t="s">
        <v>35558</v>
      </c>
      <c r="D333" s="707"/>
      <c r="E333" s="708"/>
      <c r="F333" s="685"/>
    </row>
    <row r="334">
      <c r="A334" s="702" t="s">
        <v>39021</v>
      </c>
      <c r="B334" s="703">
        <v>3.2</v>
      </c>
      <c r="C334" s="700" t="s">
        <v>39022</v>
      </c>
      <c r="D334" s="707"/>
      <c r="E334" s="708"/>
      <c r="F334" s="685"/>
    </row>
    <row r="335">
      <c r="A335" s="576"/>
      <c r="B335" s="499"/>
      <c r="C335" s="700" t="s">
        <v>39023</v>
      </c>
      <c r="D335" s="707"/>
      <c r="E335" s="708"/>
      <c r="F335" s="685"/>
    </row>
    <row r="336">
      <c r="A336" s="576"/>
      <c r="B336" s="499"/>
      <c r="C336" s="700" t="s">
        <v>39024</v>
      </c>
      <c r="D336" s="707"/>
      <c r="E336" s="708"/>
      <c r="F336" s="685"/>
    </row>
    <row r="337">
      <c r="A337" s="576"/>
      <c r="B337" s="499"/>
      <c r="C337" s="700" t="s">
        <v>39025</v>
      </c>
      <c r="D337" s="707"/>
      <c r="E337" s="708"/>
      <c r="F337" s="685"/>
    </row>
    <row r="338">
      <c r="A338" s="576"/>
      <c r="B338" s="499"/>
      <c r="C338" s="700" t="s">
        <v>39026</v>
      </c>
      <c r="D338" s="707"/>
      <c r="E338" s="708"/>
      <c r="F338" s="685"/>
    </row>
    <row r="339">
      <c r="A339" s="576"/>
      <c r="B339" s="499"/>
      <c r="C339" s="700" t="s">
        <v>39027</v>
      </c>
      <c r="D339" s="707"/>
      <c r="E339" s="708"/>
      <c r="F339" s="685"/>
    </row>
    <row r="340">
      <c r="A340" s="570"/>
      <c r="B340" s="440"/>
      <c r="C340" s="700" t="s">
        <v>39028</v>
      </c>
      <c r="D340" s="707"/>
      <c r="E340" s="708"/>
      <c r="F340" s="685"/>
    </row>
    <row r="341">
      <c r="A341" s="702" t="s">
        <v>39029</v>
      </c>
      <c r="B341" s="703">
        <v>3.2</v>
      </c>
      <c r="C341" s="700" t="s">
        <v>39030</v>
      </c>
      <c r="D341" s="707"/>
      <c r="E341" s="708"/>
      <c r="F341" s="685"/>
    </row>
    <row r="342">
      <c r="A342" s="570"/>
      <c r="B342" s="440"/>
      <c r="C342" s="700" t="s">
        <v>39031</v>
      </c>
      <c r="D342" s="707"/>
      <c r="E342" s="708"/>
      <c r="F342" s="685"/>
    </row>
    <row r="343">
      <c r="A343" s="702" t="s">
        <v>39032</v>
      </c>
      <c r="B343" s="703">
        <v>3.2</v>
      </c>
      <c r="C343" s="700" t="s">
        <v>39033</v>
      </c>
      <c r="D343" s="712" t="s">
        <v>14801</v>
      </c>
      <c r="E343" s="708"/>
      <c r="F343" s="685"/>
    </row>
    <row r="344">
      <c r="A344" s="576"/>
      <c r="B344" s="499"/>
      <c r="C344" s="710" t="s">
        <v>9928</v>
      </c>
      <c r="D344" s="712" t="s">
        <v>14801</v>
      </c>
      <c r="E344" s="708"/>
      <c r="F344" s="685"/>
    </row>
    <row r="345">
      <c r="A345" s="570"/>
      <c r="B345" s="440"/>
      <c r="C345" s="700" t="s">
        <v>9974</v>
      </c>
      <c r="D345" s="712" t="s">
        <v>14801</v>
      </c>
      <c r="E345" s="708"/>
      <c r="F345" s="685"/>
    </row>
    <row r="346">
      <c r="A346" s="697" t="s">
        <v>39034</v>
      </c>
      <c r="B346" s="698">
        <v>3.2</v>
      </c>
      <c r="C346" s="700" t="s">
        <v>14360</v>
      </c>
      <c r="D346" s="707"/>
      <c r="E346" s="708"/>
      <c r="F346" s="685"/>
    </row>
    <row r="347">
      <c r="A347" s="702" t="s">
        <v>39035</v>
      </c>
      <c r="B347" s="703">
        <v>3.2</v>
      </c>
      <c r="C347" s="700" t="s">
        <v>39036</v>
      </c>
      <c r="D347" s="707"/>
      <c r="E347" s="708"/>
      <c r="F347" s="685"/>
    </row>
    <row r="348">
      <c r="A348" s="570"/>
      <c r="B348" s="440"/>
      <c r="C348" s="700" t="s">
        <v>39037</v>
      </c>
      <c r="D348" s="707"/>
      <c r="E348" s="708"/>
      <c r="F348" s="685"/>
    </row>
    <row r="349">
      <c r="A349" s="702" t="s">
        <v>39038</v>
      </c>
      <c r="B349" s="698">
        <v>3.2</v>
      </c>
      <c r="C349" s="700" t="s">
        <v>39039</v>
      </c>
      <c r="D349" s="707"/>
      <c r="E349" s="708"/>
      <c r="F349" s="685"/>
    </row>
    <row r="350">
      <c r="A350" s="576"/>
      <c r="B350" s="698">
        <v>3.2</v>
      </c>
      <c r="C350" s="700" t="s">
        <v>39040</v>
      </c>
      <c r="D350" s="707"/>
      <c r="E350" s="708"/>
      <c r="F350" s="685"/>
    </row>
    <row r="351">
      <c r="A351" s="576"/>
      <c r="B351" s="698">
        <v>3.2</v>
      </c>
      <c r="C351" s="700" t="s">
        <v>39041</v>
      </c>
      <c r="D351" s="707"/>
      <c r="E351" s="708"/>
      <c r="F351" s="685"/>
    </row>
    <row r="352">
      <c r="A352" s="576"/>
      <c r="B352" s="698">
        <v>3.2</v>
      </c>
      <c r="C352" s="700" t="s">
        <v>39042</v>
      </c>
      <c r="D352" s="707"/>
      <c r="E352" s="708"/>
      <c r="F352" s="685"/>
    </row>
    <row r="353">
      <c r="A353" s="576"/>
      <c r="B353" s="698">
        <v>3.2</v>
      </c>
      <c r="C353" s="700" t="s">
        <v>39043</v>
      </c>
      <c r="D353" s="707"/>
      <c r="E353" s="708"/>
      <c r="F353" s="685"/>
    </row>
    <row r="354">
      <c r="A354" s="576"/>
      <c r="B354" s="698">
        <v>3.2</v>
      </c>
      <c r="C354" s="700" t="s">
        <v>39044</v>
      </c>
      <c r="D354" s="707"/>
      <c r="E354" s="708"/>
      <c r="F354" s="685"/>
    </row>
    <row r="355">
      <c r="A355" s="576"/>
      <c r="B355" s="698">
        <v>3.2</v>
      </c>
      <c r="C355" s="700" t="s">
        <v>39045</v>
      </c>
      <c r="D355" s="707"/>
      <c r="E355" s="708"/>
      <c r="F355" s="685"/>
    </row>
    <row r="356">
      <c r="A356" s="576"/>
      <c r="B356" s="698">
        <v>3.2</v>
      </c>
      <c r="C356" s="700" t="s">
        <v>39046</v>
      </c>
      <c r="D356" s="707"/>
      <c r="E356" s="708"/>
      <c r="F356" s="685"/>
    </row>
    <row r="357">
      <c r="A357" s="576"/>
      <c r="B357" s="698">
        <v>3.2</v>
      </c>
      <c r="C357" s="700" t="s">
        <v>15337</v>
      </c>
      <c r="D357" s="707"/>
      <c r="E357" s="708"/>
      <c r="F357" s="685"/>
    </row>
    <row r="358">
      <c r="A358" s="576"/>
      <c r="B358" s="698">
        <v>3.2</v>
      </c>
      <c r="C358" s="700" t="s">
        <v>39047</v>
      </c>
      <c r="D358" s="707"/>
      <c r="E358" s="708"/>
      <c r="F358" s="685"/>
    </row>
    <row r="359">
      <c r="A359" s="576"/>
      <c r="B359" s="698">
        <v>3.2</v>
      </c>
      <c r="C359" s="700" t="s">
        <v>39048</v>
      </c>
      <c r="D359" s="707"/>
      <c r="E359" s="708"/>
      <c r="F359" s="685"/>
    </row>
    <row r="360">
      <c r="A360" s="576"/>
      <c r="B360" s="698">
        <v>3.2</v>
      </c>
      <c r="C360" s="700" t="s">
        <v>39049</v>
      </c>
      <c r="D360" s="707"/>
      <c r="E360" s="708"/>
      <c r="F360" s="685"/>
    </row>
    <row r="361">
      <c r="A361" s="576"/>
      <c r="B361" s="698">
        <v>3.2</v>
      </c>
      <c r="C361" s="700" t="s">
        <v>39050</v>
      </c>
      <c r="D361" s="707"/>
      <c r="E361" s="708"/>
      <c r="F361" s="685"/>
    </row>
    <row r="362">
      <c r="A362" s="576"/>
      <c r="B362" s="698">
        <v>3.2</v>
      </c>
      <c r="C362" s="700" t="s">
        <v>16884</v>
      </c>
      <c r="D362" s="707"/>
      <c r="E362" s="708"/>
      <c r="F362" s="685"/>
    </row>
    <row r="363">
      <c r="A363" s="576"/>
      <c r="B363" s="698">
        <v>3.2</v>
      </c>
      <c r="C363" s="700" t="s">
        <v>39051</v>
      </c>
      <c r="D363" s="707"/>
      <c r="E363" s="708"/>
      <c r="F363" s="685"/>
    </row>
    <row r="364">
      <c r="A364" s="576"/>
      <c r="B364" s="698">
        <v>3.2</v>
      </c>
      <c r="C364" s="700" t="s">
        <v>39052</v>
      </c>
      <c r="D364" s="707"/>
      <c r="E364" s="708"/>
      <c r="F364" s="685"/>
    </row>
    <row r="365">
      <c r="A365" s="576"/>
      <c r="B365" s="698">
        <v>3.2</v>
      </c>
      <c r="C365" s="700" t="s">
        <v>39053</v>
      </c>
      <c r="D365" s="707"/>
      <c r="E365" s="708"/>
      <c r="F365" s="685"/>
    </row>
    <row r="366">
      <c r="A366" s="576"/>
      <c r="B366" s="698">
        <v>3.2</v>
      </c>
      <c r="C366" s="700" t="s">
        <v>39054</v>
      </c>
      <c r="D366" s="707"/>
      <c r="E366" s="708"/>
      <c r="F366" s="685"/>
    </row>
    <row r="367">
      <c r="A367" s="576"/>
      <c r="B367" s="698">
        <v>3.2</v>
      </c>
      <c r="C367" s="700" t="s">
        <v>39055</v>
      </c>
      <c r="D367" s="707"/>
      <c r="E367" s="708"/>
      <c r="F367" s="685"/>
    </row>
    <row r="368">
      <c r="A368" s="570"/>
      <c r="B368" s="698">
        <v>3.2</v>
      </c>
      <c r="C368" s="700" t="s">
        <v>39056</v>
      </c>
      <c r="D368" s="707"/>
      <c r="E368" s="708"/>
      <c r="F368" s="685"/>
    </row>
    <row r="369">
      <c r="A369" s="713" t="s">
        <v>39057</v>
      </c>
      <c r="B369" s="698">
        <v>3.2</v>
      </c>
      <c r="C369" s="700" t="s">
        <v>39058</v>
      </c>
      <c r="D369" s="707"/>
      <c r="E369" s="708"/>
      <c r="F369" s="685"/>
    </row>
    <row r="370">
      <c r="A370" s="576"/>
      <c r="B370" s="698">
        <v>3.2</v>
      </c>
      <c r="C370" s="700" t="s">
        <v>39059</v>
      </c>
      <c r="D370" s="707"/>
      <c r="E370" s="708"/>
      <c r="F370" s="685"/>
    </row>
    <row r="371">
      <c r="A371" s="576"/>
      <c r="B371" s="698">
        <v>3.2</v>
      </c>
      <c r="C371" s="700" t="s">
        <v>39060</v>
      </c>
      <c r="D371" s="707"/>
      <c r="E371" s="708"/>
      <c r="F371" s="685"/>
    </row>
    <row r="372">
      <c r="A372" s="576"/>
      <c r="B372" s="698">
        <v>3.2</v>
      </c>
      <c r="C372" s="700" t="s">
        <v>39061</v>
      </c>
      <c r="D372" s="707"/>
      <c r="E372" s="708"/>
      <c r="F372" s="685"/>
    </row>
    <row r="373">
      <c r="A373" s="576"/>
      <c r="B373" s="698">
        <v>3.2</v>
      </c>
      <c r="C373" s="700" t="s">
        <v>39062</v>
      </c>
      <c r="D373" s="707"/>
      <c r="E373" s="708"/>
      <c r="F373" s="685"/>
    </row>
    <row r="374">
      <c r="A374" s="576"/>
      <c r="B374" s="698">
        <v>3.2</v>
      </c>
      <c r="C374" s="700" t="s">
        <v>39063</v>
      </c>
      <c r="D374" s="707"/>
      <c r="E374" s="708"/>
      <c r="F374" s="685"/>
    </row>
    <row r="375">
      <c r="A375" s="576"/>
      <c r="B375" s="698">
        <v>3.2</v>
      </c>
      <c r="C375" s="700" t="s">
        <v>39064</v>
      </c>
      <c r="D375" s="707"/>
      <c r="E375" s="708"/>
      <c r="F375" s="685"/>
    </row>
    <row r="376">
      <c r="A376" s="576"/>
      <c r="B376" s="698">
        <v>3.2</v>
      </c>
      <c r="C376" s="700" t="s">
        <v>39065</v>
      </c>
      <c r="D376" s="707"/>
      <c r="E376" s="708"/>
      <c r="F376" s="685"/>
    </row>
    <row r="377">
      <c r="A377" s="576"/>
      <c r="B377" s="698">
        <v>3.2</v>
      </c>
      <c r="C377" s="700" t="s">
        <v>39066</v>
      </c>
      <c r="D377" s="707"/>
      <c r="E377" s="708"/>
      <c r="F377" s="685"/>
    </row>
    <row r="378">
      <c r="A378" s="576"/>
      <c r="B378" s="698">
        <v>3.2</v>
      </c>
      <c r="C378" s="700" t="s">
        <v>39067</v>
      </c>
      <c r="D378" s="707"/>
      <c r="E378" s="708"/>
      <c r="F378" s="685"/>
    </row>
    <row r="379">
      <c r="A379" s="576"/>
      <c r="B379" s="698">
        <v>3.2</v>
      </c>
      <c r="C379" s="700" t="s">
        <v>39068</v>
      </c>
      <c r="D379" s="707"/>
      <c r="E379" s="708"/>
      <c r="F379" s="685"/>
    </row>
    <row r="380">
      <c r="A380" s="576"/>
      <c r="B380" s="698">
        <v>3.2</v>
      </c>
      <c r="C380" s="700" t="s">
        <v>39069</v>
      </c>
      <c r="D380" s="707"/>
      <c r="E380" s="708"/>
      <c r="F380" s="685"/>
    </row>
    <row r="381">
      <c r="A381" s="576"/>
      <c r="B381" s="698">
        <v>3.2</v>
      </c>
      <c r="C381" s="700" t="s">
        <v>39070</v>
      </c>
      <c r="D381" s="707"/>
      <c r="E381" s="708"/>
      <c r="F381" s="685"/>
    </row>
    <row r="382">
      <c r="A382" s="576"/>
      <c r="B382" s="698">
        <v>3.2</v>
      </c>
      <c r="C382" s="700" t="s">
        <v>39071</v>
      </c>
      <c r="D382" s="707"/>
      <c r="E382" s="708"/>
      <c r="F382" s="685"/>
    </row>
    <row r="383">
      <c r="A383" s="576"/>
      <c r="B383" s="698">
        <v>3.2</v>
      </c>
      <c r="C383" s="700" t="s">
        <v>39072</v>
      </c>
      <c r="D383" s="707"/>
      <c r="E383" s="708"/>
      <c r="F383" s="685"/>
    </row>
    <row r="384">
      <c r="A384" s="576"/>
      <c r="B384" s="698">
        <v>3.2</v>
      </c>
      <c r="C384" s="700" t="s">
        <v>39073</v>
      </c>
      <c r="D384" s="707"/>
      <c r="E384" s="708"/>
      <c r="F384" s="685"/>
    </row>
    <row r="385">
      <c r="A385" s="570"/>
      <c r="B385" s="698">
        <v>3.2</v>
      </c>
      <c r="C385" s="700" t="s">
        <v>39074</v>
      </c>
      <c r="D385" s="707"/>
      <c r="E385" s="708"/>
      <c r="F385" s="685"/>
    </row>
    <row r="386">
      <c r="A386" s="714" t="s">
        <v>39057</v>
      </c>
      <c r="B386" s="698">
        <v>3.2</v>
      </c>
      <c r="C386" s="700" t="s">
        <v>39075</v>
      </c>
      <c r="D386" s="707"/>
      <c r="E386" s="708"/>
      <c r="F386" s="685"/>
    </row>
    <row r="387">
      <c r="A387" s="499"/>
      <c r="B387" s="698">
        <v>3.2</v>
      </c>
      <c r="C387" s="700" t="s">
        <v>39076</v>
      </c>
      <c r="D387" s="707"/>
      <c r="E387" s="708"/>
      <c r="F387" s="685"/>
    </row>
    <row r="388">
      <c r="A388" s="499"/>
      <c r="B388" s="698">
        <v>3.2</v>
      </c>
      <c r="C388" s="700" t="s">
        <v>39077</v>
      </c>
      <c r="D388" s="707"/>
      <c r="E388" s="708"/>
      <c r="F388" s="685"/>
    </row>
    <row r="389">
      <c r="A389" s="499"/>
      <c r="B389" s="698">
        <v>3.2</v>
      </c>
      <c r="C389" s="700" t="s">
        <v>39078</v>
      </c>
      <c r="D389" s="707"/>
      <c r="E389" s="708"/>
      <c r="F389" s="685"/>
    </row>
    <row r="390">
      <c r="A390" s="499"/>
      <c r="B390" s="698">
        <v>3.2</v>
      </c>
      <c r="C390" s="700" t="s">
        <v>39079</v>
      </c>
      <c r="D390" s="707"/>
      <c r="E390" s="708"/>
      <c r="F390" s="685"/>
    </row>
    <row r="391">
      <c r="A391" s="499"/>
      <c r="B391" s="698">
        <v>3.2</v>
      </c>
      <c r="C391" s="700" t="s">
        <v>39080</v>
      </c>
      <c r="D391" s="707"/>
      <c r="E391" s="708"/>
      <c r="F391" s="685"/>
    </row>
    <row r="392">
      <c r="A392" s="499"/>
      <c r="B392" s="698">
        <v>3.2</v>
      </c>
      <c r="C392" s="700" t="s">
        <v>39081</v>
      </c>
      <c r="D392" s="707"/>
      <c r="E392" s="708"/>
      <c r="F392" s="685"/>
    </row>
    <row r="393">
      <c r="A393" s="499"/>
      <c r="B393" s="698">
        <v>3.2</v>
      </c>
      <c r="C393" s="700" t="s">
        <v>39082</v>
      </c>
      <c r="D393" s="707"/>
      <c r="E393" s="708"/>
      <c r="F393" s="685"/>
    </row>
    <row r="394">
      <c r="A394" s="499"/>
      <c r="B394" s="698">
        <v>3.2</v>
      </c>
      <c r="C394" s="700" t="s">
        <v>39083</v>
      </c>
      <c r="D394" s="707"/>
      <c r="E394" s="708"/>
      <c r="F394" s="685"/>
    </row>
    <row r="395">
      <c r="A395" s="499"/>
      <c r="B395" s="698">
        <v>3.2</v>
      </c>
      <c r="C395" s="700" t="s">
        <v>39084</v>
      </c>
      <c r="D395" s="707"/>
      <c r="E395" s="708"/>
      <c r="F395" s="685"/>
    </row>
    <row r="396">
      <c r="A396" s="499"/>
      <c r="B396" s="698">
        <v>3.2</v>
      </c>
      <c r="C396" s="700" t="s">
        <v>39085</v>
      </c>
      <c r="D396" s="707"/>
      <c r="E396" s="708"/>
      <c r="F396" s="685"/>
    </row>
    <row r="397">
      <c r="A397" s="499"/>
      <c r="B397" s="698">
        <v>3.2</v>
      </c>
      <c r="C397" s="700" t="s">
        <v>39086</v>
      </c>
      <c r="D397" s="707"/>
      <c r="E397" s="708"/>
      <c r="F397" s="685"/>
    </row>
    <row r="398">
      <c r="A398" s="499"/>
      <c r="B398" s="698">
        <v>3.2</v>
      </c>
      <c r="C398" s="700" t="s">
        <v>19092</v>
      </c>
      <c r="D398" s="707"/>
      <c r="E398" s="708"/>
      <c r="F398" s="685"/>
    </row>
    <row r="399">
      <c r="A399" s="499"/>
      <c r="B399" s="698">
        <v>3.2</v>
      </c>
      <c r="C399" s="700" t="s">
        <v>39087</v>
      </c>
      <c r="D399" s="707"/>
      <c r="E399" s="708"/>
      <c r="F399" s="685"/>
    </row>
    <row r="400">
      <c r="A400" s="499"/>
      <c r="B400" s="698">
        <v>3.2</v>
      </c>
      <c r="C400" s="700" t="s">
        <v>39088</v>
      </c>
      <c r="D400" s="707"/>
      <c r="E400" s="708"/>
      <c r="F400" s="685"/>
    </row>
    <row r="401">
      <c r="A401" s="499"/>
      <c r="B401" s="698">
        <v>3.2</v>
      </c>
      <c r="C401" s="700" t="s">
        <v>39089</v>
      </c>
      <c r="D401" s="707"/>
      <c r="E401" s="708"/>
      <c r="F401" s="685"/>
    </row>
    <row r="402">
      <c r="A402" s="499"/>
      <c r="B402" s="698">
        <v>3.2</v>
      </c>
      <c r="C402" s="700" t="s">
        <v>39090</v>
      </c>
      <c r="D402" s="707"/>
      <c r="E402" s="708"/>
      <c r="F402" s="685"/>
    </row>
    <row r="403">
      <c r="A403" s="440"/>
      <c r="B403" s="698">
        <v>3.2</v>
      </c>
      <c r="C403" s="700" t="s">
        <v>39091</v>
      </c>
      <c r="D403" s="707"/>
      <c r="E403" s="708"/>
      <c r="F403" s="685"/>
    </row>
    <row r="404">
      <c r="A404" s="713" t="s">
        <v>39057</v>
      </c>
      <c r="B404" s="698">
        <v>3.2</v>
      </c>
      <c r="C404" s="700" t="s">
        <v>39092</v>
      </c>
      <c r="D404" s="707"/>
      <c r="E404" s="708"/>
      <c r="F404" s="685"/>
    </row>
    <row r="405">
      <c r="A405" s="576"/>
      <c r="B405" s="698">
        <v>3.2</v>
      </c>
      <c r="C405" s="700" t="s">
        <v>39093</v>
      </c>
      <c r="D405" s="707"/>
      <c r="E405" s="708"/>
      <c r="F405" s="685"/>
    </row>
    <row r="406">
      <c r="A406" s="576"/>
      <c r="B406" s="698">
        <v>3.2</v>
      </c>
      <c r="C406" s="700" t="s">
        <v>39094</v>
      </c>
      <c r="D406" s="707"/>
      <c r="E406" s="708"/>
      <c r="F406" s="685"/>
    </row>
    <row r="407">
      <c r="A407" s="576"/>
      <c r="B407" s="698">
        <v>3.2</v>
      </c>
      <c r="C407" s="700" t="s">
        <v>39095</v>
      </c>
      <c r="D407" s="707"/>
      <c r="E407" s="708"/>
      <c r="F407" s="685"/>
    </row>
    <row r="408">
      <c r="A408" s="570"/>
      <c r="B408" s="698">
        <v>3.2</v>
      </c>
      <c r="C408" s="700" t="s">
        <v>10521</v>
      </c>
      <c r="D408" s="707"/>
      <c r="E408" s="708"/>
      <c r="F408" s="685"/>
    </row>
    <row r="409">
      <c r="A409" s="697" t="s">
        <v>39096</v>
      </c>
      <c r="B409" s="698">
        <v>3.2</v>
      </c>
      <c r="C409" s="710" t="s">
        <v>12758</v>
      </c>
      <c r="D409" s="707"/>
      <c r="E409" s="708"/>
      <c r="F409" s="685"/>
    </row>
    <row r="410">
      <c r="A410" s="691" t="s">
        <v>39097</v>
      </c>
      <c r="B410" s="692">
        <v>3.2</v>
      </c>
      <c r="C410" s="693" t="s">
        <v>3540</v>
      </c>
      <c r="D410" s="707"/>
      <c r="E410" s="708"/>
      <c r="F410" s="685"/>
    </row>
    <row r="411">
      <c r="A411" s="691" t="s">
        <v>39098</v>
      </c>
      <c r="B411" s="692">
        <v>3.1</v>
      </c>
      <c r="C411" s="693" t="str">
        <f>HYPERLINK("https://www.ncbi.nlm.nih.gov/pubmed/32318813","Acute physiological responses to combined blood flow restriction and low-level laser.")</f>
        <v>Acute physiological responses to combined blood flow restriction and low-level laser.</v>
      </c>
      <c r="D411" s="707"/>
      <c r="E411" s="708"/>
      <c r="F411" s="685"/>
    </row>
    <row r="412">
      <c r="A412" s="697" t="s">
        <v>39099</v>
      </c>
      <c r="B412" s="698">
        <v>3.1</v>
      </c>
      <c r="C412" s="700" t="s">
        <v>39100</v>
      </c>
      <c r="D412" s="707"/>
      <c r="E412" s="708"/>
      <c r="F412" s="685"/>
    </row>
    <row r="413">
      <c r="A413" s="697" t="s">
        <v>39101</v>
      </c>
      <c r="B413" s="698">
        <v>3.1</v>
      </c>
      <c r="C413" s="700" t="s">
        <v>39102</v>
      </c>
      <c r="D413" s="707"/>
      <c r="E413" s="708"/>
      <c r="F413" s="685"/>
    </row>
    <row r="414">
      <c r="A414" s="697" t="s">
        <v>4733</v>
      </c>
      <c r="B414" s="698">
        <v>3.1</v>
      </c>
      <c r="C414" s="710" t="s">
        <v>29188</v>
      </c>
      <c r="D414" s="707"/>
      <c r="E414" s="708"/>
      <c r="F414" s="685"/>
    </row>
    <row r="415">
      <c r="A415" s="697" t="s">
        <v>39103</v>
      </c>
      <c r="B415" s="698">
        <v>3.1</v>
      </c>
      <c r="C415" s="710" t="s">
        <v>6597</v>
      </c>
      <c r="D415" s="707"/>
      <c r="E415" s="708"/>
      <c r="F415" s="685"/>
    </row>
    <row r="416">
      <c r="A416" s="691" t="s">
        <v>39104</v>
      </c>
      <c r="B416" s="692">
        <v>3.0</v>
      </c>
      <c r="C416" s="693" t="s">
        <v>8641</v>
      </c>
      <c r="D416" s="707"/>
      <c r="E416" s="708"/>
      <c r="F416" s="685"/>
    </row>
    <row r="417">
      <c r="A417" s="697" t="s">
        <v>39105</v>
      </c>
      <c r="B417" s="698">
        <v>3.0</v>
      </c>
      <c r="C417" s="700" t="s">
        <v>39106</v>
      </c>
      <c r="D417" s="707"/>
      <c r="E417" s="708"/>
      <c r="F417" s="685"/>
    </row>
    <row r="418">
      <c r="A418" s="715" t="s">
        <v>39107</v>
      </c>
      <c r="B418" s="716">
        <v>3.0</v>
      </c>
      <c r="C418" s="717" t="s">
        <v>35777</v>
      </c>
      <c r="D418" s="718"/>
      <c r="E418" s="719"/>
      <c r="F418" s="685"/>
    </row>
    <row r="419">
      <c r="A419" s="720" t="s">
        <v>39108</v>
      </c>
      <c r="B419" s="431"/>
      <c r="C419" s="431"/>
      <c r="D419" s="431"/>
      <c r="E419" s="431"/>
      <c r="F419" s="685"/>
    </row>
    <row r="420">
      <c r="A420" s="697" t="s">
        <v>39109</v>
      </c>
      <c r="B420" s="698">
        <v>3.0</v>
      </c>
      <c r="C420" s="700" t="s">
        <v>39110</v>
      </c>
      <c r="D420" s="707"/>
      <c r="E420" s="708"/>
      <c r="F420" s="685" t="s">
        <v>39111</v>
      </c>
    </row>
    <row r="421">
      <c r="A421" s="697" t="s">
        <v>39112</v>
      </c>
      <c r="B421" s="698">
        <v>2.8</v>
      </c>
      <c r="C421" s="700" t="s">
        <v>39113</v>
      </c>
      <c r="D421" s="707"/>
      <c r="E421" s="708"/>
      <c r="F421" s="685"/>
    </row>
    <row r="422">
      <c r="A422" s="697" t="s">
        <v>39114</v>
      </c>
      <c r="B422" s="698">
        <v>2.8</v>
      </c>
      <c r="C422" s="700" t="s">
        <v>39115</v>
      </c>
      <c r="D422" s="707"/>
      <c r="E422" s="708"/>
      <c r="F422" s="685"/>
    </row>
    <row r="423">
      <c r="A423" s="697" t="s">
        <v>39114</v>
      </c>
      <c r="B423" s="698">
        <v>2.8</v>
      </c>
      <c r="C423" s="700" t="s">
        <v>39116</v>
      </c>
      <c r="D423" s="707"/>
      <c r="E423" s="708"/>
      <c r="F423" s="685"/>
    </row>
    <row r="424">
      <c r="A424" s="697" t="s">
        <v>39114</v>
      </c>
      <c r="B424" s="698">
        <v>2.8</v>
      </c>
      <c r="C424" s="700" t="s">
        <v>39117</v>
      </c>
      <c r="D424" s="707"/>
      <c r="E424" s="708"/>
      <c r="F424" s="685"/>
    </row>
    <row r="425">
      <c r="A425" s="697" t="s">
        <v>39114</v>
      </c>
      <c r="B425" s="698">
        <v>2.8</v>
      </c>
      <c r="C425" s="700" t="s">
        <v>39118</v>
      </c>
      <c r="D425" s="707"/>
      <c r="E425" s="708"/>
      <c r="F425" s="685"/>
    </row>
    <row r="426">
      <c r="A426" s="697" t="s">
        <v>39114</v>
      </c>
      <c r="B426" s="698">
        <v>2.8</v>
      </c>
      <c r="C426" s="700" t="s">
        <v>39119</v>
      </c>
      <c r="D426" s="707"/>
      <c r="E426" s="708"/>
      <c r="F426" s="685"/>
    </row>
    <row r="427">
      <c r="A427" s="697" t="s">
        <v>39114</v>
      </c>
      <c r="B427" s="698">
        <v>2.8</v>
      </c>
      <c r="C427" s="700" t="s">
        <v>39120</v>
      </c>
      <c r="D427" s="707"/>
      <c r="E427" s="708"/>
      <c r="F427" s="685"/>
    </row>
    <row r="428">
      <c r="A428" s="697" t="s">
        <v>39114</v>
      </c>
      <c r="B428" s="698">
        <v>2.8</v>
      </c>
      <c r="C428" s="700" t="s">
        <v>39121</v>
      </c>
      <c r="D428" s="707"/>
      <c r="E428" s="708"/>
      <c r="F428" s="685"/>
    </row>
    <row r="429">
      <c r="A429" s="697" t="s">
        <v>39114</v>
      </c>
      <c r="B429" s="698">
        <v>2.8</v>
      </c>
      <c r="C429" s="700" t="s">
        <v>10264</v>
      </c>
      <c r="D429" s="707"/>
      <c r="E429" s="708"/>
      <c r="F429" s="685"/>
    </row>
    <row r="430">
      <c r="A430" s="697" t="s">
        <v>39114</v>
      </c>
      <c r="B430" s="698">
        <v>2.8</v>
      </c>
      <c r="C430" s="700" t="s">
        <v>39122</v>
      </c>
      <c r="D430" s="707"/>
      <c r="E430" s="708"/>
      <c r="F430" s="685"/>
    </row>
    <row r="431">
      <c r="A431" s="697" t="s">
        <v>39114</v>
      </c>
      <c r="B431" s="698">
        <v>2.8</v>
      </c>
      <c r="C431" s="700" t="s">
        <v>9518</v>
      </c>
      <c r="D431" s="707"/>
      <c r="E431" s="708"/>
      <c r="F431" s="685"/>
    </row>
    <row r="432">
      <c r="A432" s="697" t="s">
        <v>39114</v>
      </c>
      <c r="B432" s="698">
        <v>2.8</v>
      </c>
      <c r="C432" s="700" t="s">
        <v>39123</v>
      </c>
      <c r="D432" s="707"/>
      <c r="E432" s="708"/>
      <c r="F432" s="685"/>
    </row>
    <row r="433">
      <c r="A433" s="697" t="s">
        <v>39114</v>
      </c>
      <c r="B433" s="698">
        <v>2.8</v>
      </c>
      <c r="C433" s="700" t="s">
        <v>39124</v>
      </c>
      <c r="D433" s="707"/>
      <c r="E433" s="708"/>
      <c r="F433" s="685"/>
    </row>
    <row r="434">
      <c r="A434" s="697" t="s">
        <v>39114</v>
      </c>
      <c r="B434" s="698">
        <v>2.8</v>
      </c>
      <c r="C434" s="700" t="s">
        <v>39125</v>
      </c>
      <c r="D434" s="707"/>
      <c r="E434" s="708"/>
      <c r="F434" s="685"/>
    </row>
    <row r="435">
      <c r="A435" s="697" t="s">
        <v>39114</v>
      </c>
      <c r="B435" s="698">
        <v>2.8</v>
      </c>
      <c r="C435" s="700" t="s">
        <v>39126</v>
      </c>
      <c r="D435" s="707"/>
      <c r="E435" s="708"/>
      <c r="F435" s="685"/>
    </row>
    <row r="436">
      <c r="A436" s="697" t="s">
        <v>39114</v>
      </c>
      <c r="B436" s="698">
        <v>2.8</v>
      </c>
      <c r="C436" s="700" t="s">
        <v>39127</v>
      </c>
      <c r="D436" s="707"/>
      <c r="E436" s="708"/>
      <c r="F436" s="685"/>
    </row>
    <row r="437">
      <c r="A437" s="697" t="s">
        <v>39114</v>
      </c>
      <c r="B437" s="698">
        <v>2.8</v>
      </c>
      <c r="C437" s="700" t="s">
        <v>29876</v>
      </c>
      <c r="D437" s="707"/>
      <c r="E437" s="708"/>
      <c r="F437" s="685"/>
    </row>
    <row r="438">
      <c r="A438" s="697" t="s">
        <v>39114</v>
      </c>
      <c r="B438" s="698">
        <v>2.8</v>
      </c>
      <c r="C438" s="700" t="s">
        <v>39128</v>
      </c>
      <c r="D438" s="707"/>
      <c r="E438" s="708"/>
      <c r="F438" s="685"/>
    </row>
    <row r="439">
      <c r="A439" s="697" t="s">
        <v>39114</v>
      </c>
      <c r="B439" s="698">
        <v>2.8</v>
      </c>
      <c r="C439" s="700" t="s">
        <v>39129</v>
      </c>
      <c r="D439" s="707"/>
      <c r="E439" s="708"/>
      <c r="F439" s="685"/>
    </row>
    <row r="440">
      <c r="A440" s="697" t="s">
        <v>39114</v>
      </c>
      <c r="B440" s="698">
        <v>2.8</v>
      </c>
      <c r="C440" s="700" t="s">
        <v>39130</v>
      </c>
      <c r="D440" s="707"/>
      <c r="E440" s="708"/>
      <c r="F440" s="685"/>
    </row>
    <row r="441">
      <c r="A441" s="697" t="s">
        <v>39114</v>
      </c>
      <c r="B441" s="698">
        <v>2.8</v>
      </c>
      <c r="C441" s="700" t="s">
        <v>39131</v>
      </c>
      <c r="D441" s="707"/>
      <c r="E441" s="708"/>
      <c r="F441" s="685"/>
    </row>
    <row r="442">
      <c r="A442" s="697" t="s">
        <v>39114</v>
      </c>
      <c r="B442" s="698">
        <v>2.8</v>
      </c>
      <c r="C442" s="700" t="s">
        <v>39132</v>
      </c>
      <c r="D442" s="707"/>
      <c r="E442" s="708"/>
      <c r="F442" s="685"/>
    </row>
    <row r="443">
      <c r="A443" s="697" t="s">
        <v>39114</v>
      </c>
      <c r="B443" s="698">
        <v>2.8</v>
      </c>
      <c r="C443" s="700" t="s">
        <v>39133</v>
      </c>
      <c r="D443" s="707"/>
      <c r="E443" s="708"/>
      <c r="F443" s="685"/>
    </row>
    <row r="444">
      <c r="A444" s="697" t="s">
        <v>39114</v>
      </c>
      <c r="B444" s="698">
        <v>2.8</v>
      </c>
      <c r="C444" s="700" t="s">
        <v>39134</v>
      </c>
      <c r="D444" s="707"/>
      <c r="E444" s="708"/>
      <c r="F444" s="685"/>
    </row>
    <row r="445">
      <c r="A445" s="697" t="s">
        <v>39114</v>
      </c>
      <c r="B445" s="698">
        <v>2.8</v>
      </c>
      <c r="C445" s="700" t="s">
        <v>39135</v>
      </c>
      <c r="D445" s="707"/>
      <c r="E445" s="708"/>
      <c r="F445" s="685"/>
    </row>
    <row r="446">
      <c r="A446" s="697" t="s">
        <v>39114</v>
      </c>
      <c r="B446" s="698">
        <v>2.8</v>
      </c>
      <c r="C446" s="700" t="s">
        <v>39136</v>
      </c>
      <c r="D446" s="707"/>
      <c r="E446" s="708"/>
      <c r="F446" s="685"/>
    </row>
    <row r="447">
      <c r="A447" s="697" t="s">
        <v>39114</v>
      </c>
      <c r="B447" s="698">
        <v>2.8</v>
      </c>
      <c r="C447" s="700" t="s">
        <v>39137</v>
      </c>
      <c r="D447" s="707"/>
      <c r="E447" s="708"/>
      <c r="F447" s="685"/>
    </row>
    <row r="448">
      <c r="A448" s="702" t="s">
        <v>39138</v>
      </c>
      <c r="B448" s="703">
        <v>2.8</v>
      </c>
      <c r="C448" s="700" t="s">
        <v>11091</v>
      </c>
      <c r="D448" s="694" t="s">
        <v>32728</v>
      </c>
      <c r="E448" s="695" t="s">
        <v>39139</v>
      </c>
      <c r="F448" s="685"/>
    </row>
    <row r="449">
      <c r="A449" s="570"/>
      <c r="B449" s="440"/>
      <c r="C449" s="700" t="s">
        <v>8550</v>
      </c>
      <c r="D449" s="694" t="s">
        <v>2036</v>
      </c>
      <c r="E449" s="695" t="s">
        <v>39140</v>
      </c>
      <c r="F449" s="685"/>
    </row>
    <row r="450">
      <c r="A450" s="697" t="s">
        <v>39141</v>
      </c>
      <c r="B450" s="698">
        <v>2.4</v>
      </c>
      <c r="C450" s="700" t="s">
        <v>39142</v>
      </c>
      <c r="D450" s="707"/>
      <c r="E450" s="708"/>
      <c r="F450" s="685"/>
    </row>
    <row r="451">
      <c r="B451" s="721"/>
      <c r="C451" s="722"/>
    </row>
    <row r="452">
      <c r="B452" s="721"/>
      <c r="C452" s="722"/>
    </row>
    <row r="453">
      <c r="B453" s="721"/>
      <c r="C453" s="722"/>
    </row>
    <row r="454">
      <c r="B454" s="721"/>
      <c r="C454" s="722"/>
    </row>
    <row r="455">
      <c r="B455" s="721"/>
      <c r="C455" s="722"/>
    </row>
    <row r="456">
      <c r="B456" s="721"/>
      <c r="C456" s="722"/>
    </row>
    <row r="457">
      <c r="B457" s="721"/>
      <c r="C457" s="722"/>
    </row>
    <row r="458">
      <c r="B458" s="721"/>
      <c r="C458" s="722"/>
    </row>
    <row r="459">
      <c r="B459" s="721"/>
      <c r="C459" s="722"/>
    </row>
    <row r="460">
      <c r="B460" s="721"/>
      <c r="C460" s="722"/>
    </row>
    <row r="461">
      <c r="B461" s="721"/>
      <c r="C461" s="722"/>
    </row>
    <row r="462">
      <c r="B462" s="721"/>
      <c r="C462" s="722"/>
    </row>
    <row r="463">
      <c r="B463" s="721"/>
      <c r="C463" s="722"/>
    </row>
    <row r="464">
      <c r="B464" s="721"/>
      <c r="C464" s="722"/>
    </row>
    <row r="465">
      <c r="B465" s="721"/>
      <c r="C465" s="722"/>
    </row>
    <row r="466">
      <c r="B466" s="721"/>
      <c r="C466" s="722"/>
    </row>
    <row r="467">
      <c r="B467" s="721"/>
      <c r="C467" s="722"/>
    </row>
    <row r="468">
      <c r="B468" s="721"/>
      <c r="C468" s="722"/>
    </row>
    <row r="469">
      <c r="B469" s="721"/>
      <c r="C469" s="722"/>
    </row>
    <row r="470">
      <c r="B470" s="721"/>
      <c r="C470" s="722"/>
    </row>
    <row r="471">
      <c r="B471" s="721"/>
      <c r="C471" s="722"/>
    </row>
    <row r="472">
      <c r="B472" s="721"/>
      <c r="C472" s="722"/>
    </row>
    <row r="473">
      <c r="B473" s="721"/>
      <c r="C473" s="722"/>
    </row>
    <row r="474">
      <c r="B474" s="721"/>
      <c r="C474" s="722"/>
    </row>
    <row r="475">
      <c r="B475" s="721"/>
      <c r="C475" s="722"/>
    </row>
    <row r="476">
      <c r="B476" s="721"/>
      <c r="C476" s="722"/>
    </row>
    <row r="477">
      <c r="B477" s="721"/>
      <c r="C477" s="722"/>
    </row>
    <row r="478">
      <c r="B478" s="721"/>
      <c r="C478" s="722"/>
    </row>
    <row r="479">
      <c r="B479" s="721"/>
      <c r="C479" s="722"/>
    </row>
    <row r="480">
      <c r="B480" s="721"/>
      <c r="C480" s="722"/>
    </row>
    <row r="481">
      <c r="B481" s="721"/>
      <c r="C481" s="722"/>
    </row>
    <row r="482">
      <c r="B482" s="721"/>
      <c r="C482" s="722"/>
    </row>
    <row r="483">
      <c r="B483" s="721"/>
      <c r="C483" s="722"/>
    </row>
    <row r="484">
      <c r="B484" s="721"/>
      <c r="C484" s="722"/>
    </row>
    <row r="485">
      <c r="B485" s="721"/>
      <c r="C485" s="722"/>
    </row>
    <row r="486">
      <c r="B486" s="721"/>
      <c r="C486" s="722"/>
    </row>
    <row r="487">
      <c r="B487" s="721"/>
      <c r="C487" s="722"/>
    </row>
    <row r="488">
      <c r="B488" s="721"/>
      <c r="C488" s="722"/>
    </row>
    <row r="489">
      <c r="B489" s="721"/>
      <c r="C489" s="722"/>
    </row>
    <row r="490">
      <c r="B490" s="721"/>
      <c r="C490" s="722"/>
    </row>
    <row r="491">
      <c r="B491" s="721"/>
      <c r="C491" s="722"/>
    </row>
    <row r="492">
      <c r="B492" s="721"/>
      <c r="C492" s="722"/>
    </row>
    <row r="493">
      <c r="B493" s="721"/>
      <c r="C493" s="722"/>
    </row>
    <row r="494">
      <c r="B494" s="721"/>
      <c r="C494" s="722"/>
    </row>
    <row r="495">
      <c r="B495" s="721"/>
      <c r="C495" s="722"/>
    </row>
    <row r="496">
      <c r="B496" s="721"/>
      <c r="C496" s="722"/>
    </row>
    <row r="497">
      <c r="B497" s="721"/>
      <c r="C497" s="722"/>
    </row>
    <row r="498">
      <c r="B498" s="721"/>
      <c r="C498" s="722"/>
    </row>
    <row r="499">
      <c r="B499" s="721"/>
      <c r="C499" s="722"/>
    </row>
    <row r="500">
      <c r="B500" s="721"/>
      <c r="C500" s="722"/>
    </row>
    <row r="501">
      <c r="B501" s="721"/>
      <c r="C501" s="722"/>
    </row>
    <row r="502">
      <c r="B502" s="721"/>
      <c r="C502" s="722"/>
    </row>
    <row r="503">
      <c r="B503" s="721"/>
      <c r="C503" s="722"/>
    </row>
    <row r="504">
      <c r="B504" s="721"/>
      <c r="C504" s="722"/>
    </row>
    <row r="505">
      <c r="B505" s="721"/>
      <c r="C505" s="722"/>
    </row>
    <row r="506">
      <c r="B506" s="721"/>
      <c r="C506" s="722"/>
    </row>
    <row r="507">
      <c r="B507" s="721"/>
      <c r="C507" s="722"/>
    </row>
    <row r="508">
      <c r="B508" s="721"/>
      <c r="C508" s="722"/>
    </row>
    <row r="509">
      <c r="B509" s="721"/>
      <c r="C509" s="722"/>
    </row>
    <row r="510">
      <c r="B510" s="721"/>
      <c r="C510" s="722"/>
    </row>
    <row r="511">
      <c r="B511" s="721"/>
      <c r="C511" s="722"/>
    </row>
    <row r="512">
      <c r="B512" s="721"/>
      <c r="C512" s="722"/>
    </row>
    <row r="513">
      <c r="B513" s="721"/>
      <c r="C513" s="722"/>
    </row>
    <row r="514">
      <c r="B514" s="721"/>
      <c r="C514" s="722"/>
    </row>
    <row r="515">
      <c r="B515" s="721"/>
      <c r="C515" s="722"/>
    </row>
    <row r="516">
      <c r="B516" s="721"/>
      <c r="C516" s="722"/>
    </row>
    <row r="517">
      <c r="B517" s="721"/>
      <c r="C517" s="722"/>
    </row>
    <row r="518">
      <c r="B518" s="721"/>
      <c r="C518" s="722"/>
    </row>
    <row r="519">
      <c r="B519" s="721"/>
      <c r="C519" s="722"/>
    </row>
    <row r="520">
      <c r="B520" s="721"/>
      <c r="C520" s="722"/>
    </row>
    <row r="521">
      <c r="B521" s="721"/>
      <c r="C521" s="722"/>
    </row>
    <row r="522">
      <c r="B522" s="721"/>
      <c r="C522" s="722"/>
    </row>
    <row r="523">
      <c r="B523" s="721"/>
      <c r="C523" s="722"/>
    </row>
    <row r="524">
      <c r="B524" s="721"/>
      <c r="C524" s="722"/>
    </row>
    <row r="525">
      <c r="B525" s="721"/>
      <c r="C525" s="722"/>
    </row>
    <row r="526">
      <c r="B526" s="721"/>
      <c r="C526" s="722"/>
    </row>
    <row r="527">
      <c r="B527" s="721"/>
      <c r="C527" s="722"/>
    </row>
    <row r="528">
      <c r="B528" s="721"/>
      <c r="C528" s="722"/>
    </row>
    <row r="529">
      <c r="B529" s="721"/>
      <c r="C529" s="722"/>
    </row>
    <row r="530">
      <c r="B530" s="721"/>
      <c r="C530" s="722"/>
    </row>
    <row r="531">
      <c r="B531" s="721"/>
      <c r="C531" s="722"/>
    </row>
    <row r="532">
      <c r="B532" s="721"/>
      <c r="C532" s="722"/>
    </row>
    <row r="533">
      <c r="B533" s="721"/>
      <c r="C533" s="722"/>
    </row>
    <row r="534">
      <c r="B534" s="721"/>
      <c r="C534" s="722"/>
    </row>
    <row r="535">
      <c r="B535" s="721"/>
      <c r="C535" s="722"/>
    </row>
    <row r="536">
      <c r="B536" s="721"/>
      <c r="C536" s="722"/>
    </row>
    <row r="537">
      <c r="B537" s="721"/>
      <c r="C537" s="722"/>
    </row>
    <row r="538">
      <c r="B538" s="721"/>
      <c r="C538" s="722"/>
    </row>
    <row r="539">
      <c r="B539" s="721"/>
      <c r="C539" s="722"/>
    </row>
    <row r="540">
      <c r="B540" s="721"/>
      <c r="C540" s="722"/>
    </row>
    <row r="541">
      <c r="B541" s="721"/>
      <c r="C541" s="722"/>
    </row>
    <row r="542">
      <c r="B542" s="721"/>
      <c r="C542" s="722"/>
    </row>
    <row r="543">
      <c r="B543" s="721"/>
      <c r="C543" s="722"/>
    </row>
    <row r="544">
      <c r="B544" s="721"/>
      <c r="C544" s="722"/>
    </row>
    <row r="545">
      <c r="B545" s="721"/>
      <c r="C545" s="722"/>
    </row>
    <row r="546">
      <c r="B546" s="721"/>
      <c r="C546" s="722"/>
    </row>
    <row r="547">
      <c r="B547" s="721"/>
      <c r="C547" s="722"/>
    </row>
    <row r="548">
      <c r="B548" s="721"/>
      <c r="C548" s="722"/>
    </row>
    <row r="549">
      <c r="B549" s="721"/>
      <c r="C549" s="722"/>
    </row>
    <row r="550">
      <c r="B550" s="721"/>
      <c r="C550" s="722"/>
    </row>
    <row r="551">
      <c r="B551" s="721"/>
      <c r="C551" s="722"/>
    </row>
    <row r="552">
      <c r="B552" s="721"/>
      <c r="C552" s="722"/>
    </row>
    <row r="553">
      <c r="B553" s="721"/>
      <c r="C553" s="722"/>
    </row>
    <row r="554">
      <c r="B554" s="721"/>
      <c r="C554" s="722"/>
    </row>
    <row r="555">
      <c r="B555" s="721"/>
      <c r="C555" s="722"/>
    </row>
    <row r="556">
      <c r="B556" s="721"/>
      <c r="C556" s="722"/>
    </row>
    <row r="557">
      <c r="B557" s="721"/>
      <c r="C557" s="722"/>
    </row>
    <row r="558">
      <c r="B558" s="721"/>
      <c r="C558" s="722"/>
    </row>
    <row r="559">
      <c r="B559" s="721"/>
      <c r="C559" s="722"/>
    </row>
    <row r="560">
      <c r="B560" s="721"/>
      <c r="C560" s="722"/>
    </row>
    <row r="561">
      <c r="B561" s="721"/>
      <c r="C561" s="722"/>
    </row>
    <row r="562">
      <c r="B562" s="721"/>
      <c r="C562" s="722"/>
    </row>
    <row r="563">
      <c r="B563" s="721"/>
      <c r="C563" s="722"/>
    </row>
    <row r="564">
      <c r="B564" s="721"/>
      <c r="C564" s="722"/>
    </row>
    <row r="565">
      <c r="B565" s="721"/>
      <c r="C565" s="722"/>
    </row>
    <row r="566">
      <c r="B566" s="721"/>
      <c r="C566" s="722"/>
    </row>
    <row r="567">
      <c r="B567" s="721"/>
      <c r="C567" s="722"/>
    </row>
    <row r="568">
      <c r="B568" s="721"/>
      <c r="C568" s="722"/>
    </row>
    <row r="569">
      <c r="B569" s="721"/>
      <c r="C569" s="722"/>
    </row>
    <row r="570">
      <c r="B570" s="721"/>
      <c r="C570" s="722"/>
    </row>
    <row r="571">
      <c r="B571" s="721"/>
      <c r="C571" s="722"/>
    </row>
    <row r="572">
      <c r="B572" s="721"/>
      <c r="C572" s="722"/>
    </row>
    <row r="573">
      <c r="B573" s="721"/>
      <c r="C573" s="722"/>
    </row>
    <row r="574">
      <c r="B574" s="721"/>
      <c r="C574" s="722"/>
    </row>
    <row r="575">
      <c r="B575" s="721"/>
      <c r="C575" s="722"/>
    </row>
    <row r="576">
      <c r="B576" s="721"/>
      <c r="C576" s="722"/>
    </row>
    <row r="577">
      <c r="B577" s="721"/>
      <c r="C577" s="722"/>
    </row>
    <row r="578">
      <c r="B578" s="721"/>
      <c r="C578" s="722"/>
    </row>
    <row r="579">
      <c r="B579" s="721"/>
      <c r="C579" s="722"/>
    </row>
    <row r="580">
      <c r="B580" s="721"/>
      <c r="C580" s="722"/>
    </row>
    <row r="581">
      <c r="B581" s="721"/>
      <c r="C581" s="722"/>
    </row>
    <row r="582">
      <c r="B582" s="721"/>
      <c r="C582" s="722"/>
    </row>
    <row r="583">
      <c r="B583" s="721"/>
      <c r="C583" s="722"/>
    </row>
    <row r="584">
      <c r="B584" s="721"/>
      <c r="C584" s="722"/>
    </row>
    <row r="585">
      <c r="B585" s="721"/>
      <c r="C585" s="722"/>
    </row>
    <row r="586">
      <c r="B586" s="721"/>
      <c r="C586" s="722"/>
    </row>
    <row r="587">
      <c r="B587" s="721"/>
      <c r="C587" s="722"/>
    </row>
    <row r="588">
      <c r="B588" s="721"/>
      <c r="C588" s="722"/>
    </row>
    <row r="589">
      <c r="B589" s="721"/>
      <c r="C589" s="722"/>
    </row>
    <row r="590">
      <c r="B590" s="721"/>
      <c r="C590" s="722"/>
    </row>
    <row r="591">
      <c r="B591" s="721"/>
      <c r="C591" s="722"/>
    </row>
    <row r="592">
      <c r="B592" s="721"/>
      <c r="C592" s="722"/>
    </row>
    <row r="593">
      <c r="B593" s="721"/>
      <c r="C593" s="722"/>
    </row>
    <row r="594">
      <c r="B594" s="721"/>
      <c r="C594" s="722"/>
    </row>
    <row r="595">
      <c r="B595" s="721"/>
      <c r="C595" s="722"/>
    </row>
    <row r="596">
      <c r="B596" s="721"/>
      <c r="C596" s="722"/>
    </row>
    <row r="597">
      <c r="B597" s="721"/>
      <c r="C597" s="722"/>
    </row>
    <row r="598">
      <c r="B598" s="721"/>
      <c r="C598" s="722"/>
    </row>
    <row r="599">
      <c r="B599" s="721"/>
      <c r="C599" s="722"/>
    </row>
    <row r="600">
      <c r="B600" s="721"/>
      <c r="C600" s="722"/>
    </row>
    <row r="601">
      <c r="B601" s="721"/>
      <c r="C601" s="722"/>
    </row>
    <row r="602">
      <c r="B602" s="721"/>
      <c r="C602" s="722"/>
    </row>
    <row r="603">
      <c r="B603" s="721"/>
      <c r="C603" s="722"/>
    </row>
    <row r="604">
      <c r="B604" s="721"/>
      <c r="C604" s="722"/>
    </row>
    <row r="605">
      <c r="B605" s="721"/>
      <c r="C605" s="722"/>
    </row>
    <row r="606">
      <c r="B606" s="721"/>
      <c r="C606" s="722"/>
    </row>
    <row r="607">
      <c r="B607" s="721"/>
      <c r="C607" s="722"/>
    </row>
    <row r="608">
      <c r="B608" s="721"/>
      <c r="C608" s="722"/>
    </row>
    <row r="609">
      <c r="B609" s="721"/>
      <c r="C609" s="722"/>
    </row>
    <row r="610">
      <c r="B610" s="721"/>
      <c r="C610" s="722"/>
    </row>
    <row r="611">
      <c r="B611" s="721"/>
      <c r="C611" s="722"/>
    </row>
    <row r="612">
      <c r="B612" s="721"/>
      <c r="C612" s="722"/>
    </row>
    <row r="613">
      <c r="B613" s="721"/>
      <c r="C613" s="722"/>
    </row>
    <row r="614">
      <c r="B614" s="721"/>
      <c r="C614" s="722"/>
    </row>
    <row r="615">
      <c r="B615" s="721"/>
      <c r="C615" s="722"/>
    </row>
    <row r="616">
      <c r="B616" s="721"/>
      <c r="C616" s="722"/>
    </row>
    <row r="617">
      <c r="B617" s="721"/>
      <c r="C617" s="722"/>
    </row>
    <row r="618">
      <c r="B618" s="721"/>
      <c r="C618" s="722"/>
    </row>
    <row r="619">
      <c r="B619" s="721"/>
      <c r="C619" s="722"/>
    </row>
    <row r="620">
      <c r="B620" s="721"/>
      <c r="C620" s="722"/>
    </row>
    <row r="621">
      <c r="B621" s="721"/>
      <c r="C621" s="722"/>
    </row>
    <row r="622">
      <c r="B622" s="721"/>
      <c r="C622" s="722"/>
    </row>
    <row r="623">
      <c r="B623" s="721"/>
      <c r="C623" s="722"/>
    </row>
    <row r="624">
      <c r="B624" s="721"/>
      <c r="C624" s="722"/>
    </row>
    <row r="625">
      <c r="B625" s="721"/>
      <c r="C625" s="722"/>
    </row>
    <row r="626">
      <c r="B626" s="721"/>
      <c r="C626" s="722"/>
    </row>
    <row r="627">
      <c r="B627" s="721"/>
      <c r="C627" s="722"/>
    </row>
    <row r="628">
      <c r="B628" s="721"/>
      <c r="C628" s="722"/>
    </row>
    <row r="629">
      <c r="B629" s="721"/>
      <c r="C629" s="722"/>
    </row>
    <row r="630">
      <c r="B630" s="721"/>
      <c r="C630" s="722"/>
    </row>
    <row r="631">
      <c r="B631" s="721"/>
      <c r="C631" s="722"/>
    </row>
    <row r="632">
      <c r="B632" s="721"/>
      <c r="C632" s="722"/>
    </row>
    <row r="633">
      <c r="B633" s="721"/>
      <c r="C633" s="722"/>
    </row>
    <row r="634">
      <c r="B634" s="721"/>
      <c r="C634" s="722"/>
    </row>
    <row r="635">
      <c r="B635" s="721"/>
      <c r="C635" s="722"/>
    </row>
    <row r="636">
      <c r="B636" s="721"/>
      <c r="C636" s="722"/>
    </row>
    <row r="637">
      <c r="B637" s="721"/>
      <c r="C637" s="722"/>
    </row>
    <row r="638">
      <c r="B638" s="721"/>
      <c r="C638" s="722"/>
    </row>
    <row r="639">
      <c r="B639" s="721"/>
      <c r="C639" s="722"/>
    </row>
    <row r="640">
      <c r="B640" s="721"/>
      <c r="C640" s="722"/>
    </row>
    <row r="641">
      <c r="B641" s="721"/>
      <c r="C641" s="722"/>
    </row>
    <row r="642">
      <c r="B642" s="721"/>
      <c r="C642" s="722"/>
    </row>
    <row r="643">
      <c r="B643" s="721"/>
      <c r="C643" s="722"/>
    </row>
    <row r="644">
      <c r="B644" s="721"/>
      <c r="C644" s="722"/>
    </row>
    <row r="645">
      <c r="B645" s="721"/>
      <c r="C645" s="722"/>
    </row>
    <row r="646">
      <c r="B646" s="721"/>
      <c r="C646" s="722"/>
    </row>
    <row r="647">
      <c r="B647" s="721"/>
      <c r="C647" s="722"/>
    </row>
    <row r="648">
      <c r="B648" s="721"/>
      <c r="C648" s="722"/>
    </row>
    <row r="649">
      <c r="B649" s="721"/>
      <c r="C649" s="722"/>
    </row>
    <row r="650">
      <c r="B650" s="721"/>
      <c r="C650" s="722"/>
    </row>
    <row r="651">
      <c r="B651" s="721"/>
      <c r="C651" s="722"/>
    </row>
    <row r="652">
      <c r="B652" s="721"/>
      <c r="C652" s="722"/>
    </row>
    <row r="653">
      <c r="B653" s="721"/>
      <c r="C653" s="722"/>
    </row>
    <row r="654">
      <c r="B654" s="721"/>
      <c r="C654" s="722"/>
    </row>
    <row r="655">
      <c r="B655" s="721"/>
      <c r="C655" s="722"/>
    </row>
    <row r="656">
      <c r="B656" s="721"/>
      <c r="C656" s="722"/>
    </row>
    <row r="657">
      <c r="B657" s="721"/>
      <c r="C657" s="722"/>
    </row>
    <row r="658">
      <c r="B658" s="721"/>
      <c r="C658" s="722"/>
    </row>
    <row r="659">
      <c r="B659" s="721"/>
      <c r="C659" s="722"/>
    </row>
    <row r="660">
      <c r="B660" s="721"/>
      <c r="C660" s="722"/>
    </row>
    <row r="661">
      <c r="B661" s="721"/>
      <c r="C661" s="722"/>
    </row>
    <row r="662">
      <c r="B662" s="721"/>
      <c r="C662" s="722"/>
    </row>
    <row r="663">
      <c r="B663" s="721"/>
      <c r="C663" s="722"/>
    </row>
    <row r="664">
      <c r="B664" s="721"/>
      <c r="C664" s="722"/>
    </row>
    <row r="665">
      <c r="B665" s="721"/>
      <c r="C665" s="722"/>
    </row>
    <row r="666">
      <c r="B666" s="721"/>
      <c r="C666" s="722"/>
    </row>
    <row r="667">
      <c r="B667" s="721"/>
      <c r="C667" s="722"/>
    </row>
    <row r="668">
      <c r="B668" s="721"/>
      <c r="C668" s="722"/>
    </row>
    <row r="669">
      <c r="B669" s="721"/>
      <c r="C669" s="722"/>
    </row>
    <row r="670">
      <c r="B670" s="721"/>
      <c r="C670" s="722"/>
    </row>
    <row r="671">
      <c r="B671" s="721"/>
      <c r="C671" s="722"/>
    </row>
    <row r="672">
      <c r="B672" s="721"/>
      <c r="C672" s="722"/>
    </row>
    <row r="673">
      <c r="B673" s="721"/>
      <c r="C673" s="722"/>
    </row>
    <row r="674">
      <c r="B674" s="721"/>
      <c r="C674" s="722"/>
    </row>
    <row r="675">
      <c r="B675" s="721"/>
      <c r="C675" s="722"/>
    </row>
    <row r="676">
      <c r="B676" s="721"/>
      <c r="C676" s="722"/>
    </row>
    <row r="677">
      <c r="B677" s="721"/>
      <c r="C677" s="722"/>
    </row>
    <row r="678">
      <c r="B678" s="721"/>
      <c r="C678" s="722"/>
    </row>
    <row r="679">
      <c r="B679" s="721"/>
      <c r="C679" s="722"/>
    </row>
    <row r="680">
      <c r="B680" s="721"/>
      <c r="C680" s="722"/>
    </row>
    <row r="681">
      <c r="B681" s="721"/>
      <c r="C681" s="722"/>
    </row>
    <row r="682">
      <c r="B682" s="721"/>
      <c r="C682" s="722"/>
    </row>
    <row r="683">
      <c r="B683" s="721"/>
      <c r="C683" s="722"/>
    </row>
    <row r="684">
      <c r="B684" s="721"/>
      <c r="C684" s="722"/>
    </row>
    <row r="685">
      <c r="B685" s="721"/>
      <c r="C685" s="722"/>
    </row>
    <row r="686">
      <c r="B686" s="721"/>
      <c r="C686" s="722"/>
    </row>
    <row r="687">
      <c r="B687" s="721"/>
      <c r="C687" s="722"/>
    </row>
    <row r="688">
      <c r="B688" s="721"/>
      <c r="C688" s="722"/>
    </row>
    <row r="689">
      <c r="B689" s="721"/>
      <c r="C689" s="722"/>
    </row>
    <row r="690">
      <c r="B690" s="721"/>
      <c r="C690" s="722"/>
    </row>
    <row r="691">
      <c r="B691" s="721"/>
      <c r="C691" s="722"/>
    </row>
    <row r="692">
      <c r="B692" s="721"/>
      <c r="C692" s="722"/>
    </row>
    <row r="693">
      <c r="B693" s="721"/>
      <c r="C693" s="722"/>
    </row>
    <row r="694">
      <c r="B694" s="721"/>
      <c r="C694" s="722"/>
    </row>
    <row r="695">
      <c r="B695" s="721"/>
      <c r="C695" s="722"/>
    </row>
    <row r="696">
      <c r="B696" s="721"/>
      <c r="C696" s="722"/>
    </row>
    <row r="697">
      <c r="B697" s="721"/>
      <c r="C697" s="722"/>
    </row>
    <row r="698">
      <c r="B698" s="721"/>
      <c r="C698" s="722"/>
    </row>
    <row r="699">
      <c r="B699" s="721"/>
      <c r="C699" s="722"/>
    </row>
    <row r="700">
      <c r="B700" s="721"/>
      <c r="C700" s="722"/>
    </row>
    <row r="701">
      <c r="B701" s="721"/>
      <c r="C701" s="722"/>
    </row>
    <row r="702">
      <c r="B702" s="721"/>
      <c r="C702" s="722"/>
    </row>
    <row r="703">
      <c r="B703" s="721"/>
      <c r="C703" s="722"/>
    </row>
    <row r="704">
      <c r="B704" s="721"/>
      <c r="C704" s="722"/>
    </row>
    <row r="705">
      <c r="B705" s="721"/>
      <c r="C705" s="722"/>
    </row>
    <row r="706">
      <c r="B706" s="721"/>
      <c r="C706" s="722"/>
    </row>
    <row r="707">
      <c r="B707" s="721"/>
      <c r="C707" s="722"/>
    </row>
    <row r="708">
      <c r="B708" s="721"/>
      <c r="C708" s="722"/>
    </row>
    <row r="709">
      <c r="B709" s="721"/>
      <c r="C709" s="722"/>
    </row>
    <row r="710">
      <c r="B710" s="721"/>
      <c r="C710" s="722"/>
    </row>
    <row r="711">
      <c r="B711" s="721"/>
      <c r="C711" s="722"/>
    </row>
    <row r="712">
      <c r="B712" s="721"/>
      <c r="C712" s="722"/>
    </row>
    <row r="713">
      <c r="B713" s="721"/>
      <c r="C713" s="722"/>
    </row>
    <row r="714">
      <c r="B714" s="721"/>
      <c r="C714" s="722"/>
    </row>
    <row r="715">
      <c r="B715" s="721"/>
      <c r="C715" s="722"/>
    </row>
    <row r="716">
      <c r="B716" s="721"/>
      <c r="C716" s="722"/>
    </row>
    <row r="717">
      <c r="B717" s="721"/>
      <c r="C717" s="722"/>
    </row>
    <row r="718">
      <c r="B718" s="721"/>
      <c r="C718" s="722"/>
    </row>
    <row r="719">
      <c r="B719" s="721"/>
      <c r="C719" s="722"/>
    </row>
    <row r="720">
      <c r="B720" s="721"/>
      <c r="C720" s="722"/>
    </row>
    <row r="721">
      <c r="B721" s="721"/>
      <c r="C721" s="722"/>
    </row>
    <row r="722">
      <c r="B722" s="721"/>
      <c r="C722" s="722"/>
    </row>
    <row r="723">
      <c r="B723" s="721"/>
      <c r="C723" s="722"/>
    </row>
    <row r="724">
      <c r="B724" s="721"/>
      <c r="C724" s="722"/>
    </row>
    <row r="725">
      <c r="B725" s="721"/>
      <c r="C725" s="722"/>
    </row>
    <row r="726">
      <c r="B726" s="721"/>
      <c r="C726" s="722"/>
    </row>
    <row r="727">
      <c r="B727" s="721"/>
      <c r="C727" s="722"/>
    </row>
    <row r="728">
      <c r="B728" s="721"/>
      <c r="C728" s="722"/>
    </row>
    <row r="729">
      <c r="B729" s="721"/>
      <c r="C729" s="722"/>
    </row>
    <row r="730">
      <c r="B730" s="721"/>
      <c r="C730" s="722"/>
    </row>
    <row r="731">
      <c r="B731" s="721"/>
      <c r="C731" s="722"/>
    </row>
    <row r="732">
      <c r="B732" s="721"/>
      <c r="C732" s="722"/>
    </row>
    <row r="733">
      <c r="B733" s="721"/>
      <c r="C733" s="722"/>
    </row>
    <row r="734">
      <c r="B734" s="721"/>
      <c r="C734" s="722"/>
    </row>
    <row r="735">
      <c r="B735" s="721"/>
      <c r="C735" s="722"/>
    </row>
    <row r="736">
      <c r="B736" s="721"/>
      <c r="C736" s="722"/>
    </row>
    <row r="737">
      <c r="B737" s="721"/>
      <c r="C737" s="722"/>
    </row>
    <row r="738">
      <c r="B738" s="721"/>
      <c r="C738" s="722"/>
    </row>
    <row r="739">
      <c r="B739" s="721"/>
      <c r="C739" s="722"/>
    </row>
    <row r="740">
      <c r="B740" s="721"/>
      <c r="C740" s="722"/>
    </row>
    <row r="741">
      <c r="B741" s="721"/>
      <c r="C741" s="722"/>
    </row>
    <row r="742">
      <c r="B742" s="721"/>
      <c r="C742" s="722"/>
    </row>
    <row r="743">
      <c r="B743" s="721"/>
      <c r="C743" s="722"/>
    </row>
    <row r="744">
      <c r="B744" s="721"/>
      <c r="C744" s="722"/>
    </row>
    <row r="745">
      <c r="B745" s="721"/>
      <c r="C745" s="722"/>
    </row>
    <row r="746">
      <c r="B746" s="721"/>
      <c r="C746" s="722"/>
    </row>
    <row r="747">
      <c r="B747" s="721"/>
      <c r="C747" s="722"/>
    </row>
    <row r="748">
      <c r="B748" s="721"/>
      <c r="C748" s="722"/>
    </row>
    <row r="749">
      <c r="B749" s="721"/>
      <c r="C749" s="722"/>
    </row>
    <row r="750">
      <c r="B750" s="721"/>
      <c r="C750" s="722"/>
    </row>
    <row r="751">
      <c r="B751" s="721"/>
      <c r="C751" s="722"/>
    </row>
    <row r="752">
      <c r="B752" s="721"/>
      <c r="C752" s="722"/>
    </row>
    <row r="753">
      <c r="B753" s="721"/>
      <c r="C753" s="722"/>
    </row>
    <row r="754">
      <c r="B754" s="721"/>
      <c r="C754" s="722"/>
    </row>
    <row r="755">
      <c r="B755" s="721"/>
      <c r="C755" s="722"/>
    </row>
    <row r="756">
      <c r="B756" s="721"/>
      <c r="C756" s="722"/>
    </row>
    <row r="757">
      <c r="B757" s="721"/>
      <c r="C757" s="722"/>
    </row>
    <row r="758">
      <c r="B758" s="721"/>
      <c r="C758" s="722"/>
    </row>
    <row r="759">
      <c r="B759" s="721"/>
      <c r="C759" s="722"/>
    </row>
    <row r="760">
      <c r="B760" s="721"/>
      <c r="C760" s="722"/>
    </row>
    <row r="761">
      <c r="B761" s="721"/>
      <c r="C761" s="722"/>
    </row>
    <row r="762">
      <c r="B762" s="721"/>
      <c r="C762" s="722"/>
    </row>
    <row r="763">
      <c r="B763" s="721"/>
      <c r="C763" s="722"/>
    </row>
    <row r="764">
      <c r="B764" s="721"/>
      <c r="C764" s="722"/>
    </row>
    <row r="765">
      <c r="B765" s="721"/>
      <c r="C765" s="722"/>
    </row>
    <row r="766">
      <c r="B766" s="721"/>
      <c r="C766" s="722"/>
    </row>
    <row r="767">
      <c r="B767" s="721"/>
      <c r="C767" s="722"/>
    </row>
    <row r="768">
      <c r="B768" s="721"/>
      <c r="C768" s="722"/>
    </row>
    <row r="769">
      <c r="B769" s="721"/>
      <c r="C769" s="722"/>
    </row>
    <row r="770">
      <c r="B770" s="721"/>
      <c r="C770" s="722"/>
    </row>
    <row r="771">
      <c r="B771" s="721"/>
      <c r="C771" s="722"/>
    </row>
    <row r="772">
      <c r="B772" s="721"/>
      <c r="C772" s="722"/>
    </row>
    <row r="773">
      <c r="B773" s="721"/>
      <c r="C773" s="722"/>
    </row>
    <row r="774">
      <c r="B774" s="721"/>
      <c r="C774" s="722"/>
    </row>
    <row r="775">
      <c r="B775" s="721"/>
      <c r="C775" s="722"/>
    </row>
    <row r="776">
      <c r="B776" s="721"/>
      <c r="C776" s="722"/>
    </row>
    <row r="777">
      <c r="B777" s="721"/>
      <c r="C777" s="722"/>
    </row>
    <row r="778">
      <c r="B778" s="721"/>
      <c r="C778" s="722"/>
    </row>
    <row r="779">
      <c r="B779" s="721"/>
      <c r="C779" s="722"/>
    </row>
    <row r="780">
      <c r="B780" s="721"/>
      <c r="C780" s="722"/>
    </row>
    <row r="781">
      <c r="B781" s="721"/>
      <c r="C781" s="722"/>
    </row>
    <row r="782">
      <c r="B782" s="721"/>
      <c r="C782" s="722"/>
    </row>
    <row r="783">
      <c r="B783" s="721"/>
      <c r="C783" s="722"/>
    </row>
    <row r="784">
      <c r="B784" s="721"/>
      <c r="C784" s="722"/>
    </row>
    <row r="785">
      <c r="B785" s="721"/>
      <c r="C785" s="722"/>
    </row>
    <row r="786">
      <c r="B786" s="721"/>
      <c r="C786" s="722"/>
    </row>
    <row r="787">
      <c r="B787" s="721"/>
      <c r="C787" s="722"/>
    </row>
    <row r="788">
      <c r="B788" s="721"/>
      <c r="C788" s="722"/>
    </row>
    <row r="789">
      <c r="B789" s="721"/>
      <c r="C789" s="722"/>
    </row>
    <row r="790">
      <c r="B790" s="721"/>
      <c r="C790" s="722"/>
    </row>
    <row r="791">
      <c r="B791" s="721"/>
      <c r="C791" s="722"/>
    </row>
    <row r="792">
      <c r="B792" s="721"/>
      <c r="C792" s="722"/>
    </row>
    <row r="793">
      <c r="B793" s="721"/>
      <c r="C793" s="722"/>
    </row>
    <row r="794">
      <c r="B794" s="721"/>
      <c r="C794" s="722"/>
    </row>
    <row r="795">
      <c r="B795" s="721"/>
      <c r="C795" s="722"/>
    </row>
    <row r="796">
      <c r="B796" s="721"/>
      <c r="C796" s="722"/>
    </row>
    <row r="797">
      <c r="B797" s="721"/>
      <c r="C797" s="722"/>
    </row>
    <row r="798">
      <c r="B798" s="721"/>
      <c r="C798" s="722"/>
    </row>
    <row r="799">
      <c r="B799" s="721"/>
      <c r="C799" s="722"/>
    </row>
    <row r="800">
      <c r="B800" s="721"/>
      <c r="C800" s="722"/>
    </row>
    <row r="801">
      <c r="B801" s="721"/>
      <c r="C801" s="722"/>
    </row>
    <row r="802">
      <c r="B802" s="721"/>
      <c r="C802" s="722"/>
    </row>
    <row r="803">
      <c r="B803" s="721"/>
      <c r="C803" s="722"/>
    </row>
    <row r="804">
      <c r="B804" s="721"/>
      <c r="C804" s="722"/>
    </row>
    <row r="805">
      <c r="B805" s="721"/>
      <c r="C805" s="722"/>
    </row>
    <row r="806">
      <c r="B806" s="721"/>
      <c r="C806" s="722"/>
    </row>
    <row r="807">
      <c r="B807" s="721"/>
      <c r="C807" s="722"/>
    </row>
    <row r="808">
      <c r="B808" s="721"/>
      <c r="C808" s="722"/>
    </row>
    <row r="809">
      <c r="B809" s="721"/>
      <c r="C809" s="722"/>
    </row>
    <row r="810">
      <c r="B810" s="721"/>
      <c r="C810" s="722"/>
    </row>
    <row r="811">
      <c r="B811" s="721"/>
      <c r="C811" s="722"/>
    </row>
    <row r="812">
      <c r="B812" s="721"/>
      <c r="C812" s="722"/>
    </row>
    <row r="813">
      <c r="B813" s="721"/>
      <c r="C813" s="722"/>
    </row>
    <row r="814">
      <c r="B814" s="721"/>
      <c r="C814" s="722"/>
    </row>
    <row r="815">
      <c r="B815" s="721"/>
      <c r="C815" s="722"/>
    </row>
    <row r="816">
      <c r="B816" s="721"/>
      <c r="C816" s="722"/>
    </row>
    <row r="817">
      <c r="B817" s="721"/>
      <c r="C817" s="722"/>
    </row>
    <row r="818">
      <c r="B818" s="721"/>
      <c r="C818" s="722"/>
    </row>
    <row r="819">
      <c r="B819" s="721"/>
      <c r="C819" s="722"/>
    </row>
    <row r="820">
      <c r="B820" s="721"/>
      <c r="C820" s="722"/>
    </row>
    <row r="821">
      <c r="B821" s="721"/>
      <c r="C821" s="722"/>
    </row>
    <row r="822">
      <c r="B822" s="721"/>
      <c r="C822" s="722"/>
    </row>
    <row r="823">
      <c r="B823" s="721"/>
      <c r="C823" s="722"/>
    </row>
    <row r="824">
      <c r="B824" s="721"/>
      <c r="C824" s="722"/>
    </row>
    <row r="825">
      <c r="B825" s="721"/>
      <c r="C825" s="722"/>
    </row>
    <row r="826">
      <c r="B826" s="721"/>
      <c r="C826" s="722"/>
    </row>
    <row r="827">
      <c r="B827" s="721"/>
      <c r="C827" s="722"/>
    </row>
    <row r="828">
      <c r="B828" s="721"/>
      <c r="C828" s="722"/>
    </row>
    <row r="829">
      <c r="B829" s="721"/>
      <c r="C829" s="722"/>
    </row>
    <row r="830">
      <c r="B830" s="721"/>
      <c r="C830" s="722"/>
    </row>
    <row r="831">
      <c r="B831" s="721"/>
      <c r="C831" s="722"/>
    </row>
    <row r="832">
      <c r="B832" s="721"/>
      <c r="C832" s="722"/>
    </row>
    <row r="833">
      <c r="B833" s="721"/>
      <c r="C833" s="722"/>
    </row>
    <row r="834">
      <c r="B834" s="721"/>
      <c r="C834" s="722"/>
    </row>
    <row r="835">
      <c r="B835" s="721"/>
      <c r="C835" s="722"/>
    </row>
    <row r="836">
      <c r="B836" s="721"/>
      <c r="C836" s="722"/>
    </row>
    <row r="837">
      <c r="B837" s="721"/>
      <c r="C837" s="722"/>
    </row>
    <row r="838">
      <c r="B838" s="721"/>
      <c r="C838" s="722"/>
    </row>
    <row r="839">
      <c r="B839" s="721"/>
      <c r="C839" s="722"/>
    </row>
    <row r="840">
      <c r="B840" s="721"/>
      <c r="C840" s="722"/>
    </row>
    <row r="841">
      <c r="B841" s="721"/>
      <c r="C841" s="722"/>
    </row>
    <row r="842">
      <c r="B842" s="721"/>
      <c r="C842" s="722"/>
    </row>
    <row r="843">
      <c r="B843" s="721"/>
      <c r="C843" s="722"/>
    </row>
    <row r="844">
      <c r="B844" s="721"/>
      <c r="C844" s="722"/>
    </row>
    <row r="845">
      <c r="B845" s="721"/>
      <c r="C845" s="722"/>
    </row>
    <row r="846">
      <c r="B846" s="721"/>
      <c r="C846" s="722"/>
    </row>
    <row r="847">
      <c r="B847" s="721"/>
      <c r="C847" s="722"/>
    </row>
    <row r="848">
      <c r="B848" s="721"/>
      <c r="C848" s="722"/>
    </row>
    <row r="849">
      <c r="B849" s="721"/>
      <c r="C849" s="722"/>
    </row>
    <row r="850">
      <c r="B850" s="721"/>
      <c r="C850" s="722"/>
    </row>
    <row r="851">
      <c r="B851" s="721"/>
      <c r="C851" s="722"/>
    </row>
    <row r="852">
      <c r="B852" s="721"/>
      <c r="C852" s="722"/>
    </row>
    <row r="853">
      <c r="B853" s="721"/>
      <c r="C853" s="722"/>
    </row>
    <row r="854">
      <c r="B854" s="721"/>
      <c r="C854" s="722"/>
    </row>
    <row r="855">
      <c r="B855" s="721"/>
      <c r="C855" s="722"/>
    </row>
    <row r="856">
      <c r="B856" s="721"/>
      <c r="C856" s="722"/>
    </row>
    <row r="857">
      <c r="B857" s="721"/>
      <c r="C857" s="722"/>
    </row>
    <row r="858">
      <c r="B858" s="721"/>
      <c r="C858" s="722"/>
    </row>
    <row r="859">
      <c r="B859" s="721"/>
      <c r="C859" s="722"/>
    </row>
    <row r="860">
      <c r="B860" s="721"/>
      <c r="C860" s="722"/>
    </row>
    <row r="861">
      <c r="B861" s="721"/>
      <c r="C861" s="722"/>
    </row>
    <row r="862">
      <c r="B862" s="721"/>
      <c r="C862" s="722"/>
    </row>
    <row r="863">
      <c r="B863" s="721"/>
      <c r="C863" s="722"/>
    </row>
    <row r="864">
      <c r="B864" s="721"/>
      <c r="C864" s="722"/>
    </row>
    <row r="865">
      <c r="B865" s="721"/>
      <c r="C865" s="722"/>
    </row>
    <row r="866">
      <c r="B866" s="721"/>
      <c r="C866" s="722"/>
    </row>
    <row r="867">
      <c r="B867" s="721"/>
      <c r="C867" s="722"/>
    </row>
    <row r="868">
      <c r="B868" s="721"/>
      <c r="C868" s="722"/>
    </row>
    <row r="869">
      <c r="B869" s="721"/>
      <c r="C869" s="722"/>
    </row>
    <row r="870">
      <c r="B870" s="721"/>
      <c r="C870" s="722"/>
    </row>
    <row r="871">
      <c r="B871" s="721"/>
      <c r="C871" s="722"/>
    </row>
    <row r="872">
      <c r="B872" s="721"/>
      <c r="C872" s="722"/>
    </row>
    <row r="873">
      <c r="B873" s="721"/>
      <c r="C873" s="722"/>
    </row>
    <row r="874">
      <c r="B874" s="721"/>
      <c r="C874" s="722"/>
    </row>
    <row r="875">
      <c r="B875" s="721"/>
      <c r="C875" s="722"/>
    </row>
    <row r="876">
      <c r="B876" s="721"/>
      <c r="C876" s="722"/>
    </row>
    <row r="877">
      <c r="B877" s="721"/>
      <c r="C877" s="722"/>
    </row>
    <row r="878">
      <c r="B878" s="721"/>
      <c r="C878" s="722"/>
    </row>
    <row r="879">
      <c r="B879" s="721"/>
      <c r="C879" s="722"/>
    </row>
    <row r="880">
      <c r="B880" s="721"/>
      <c r="C880" s="722"/>
    </row>
    <row r="881">
      <c r="B881" s="721"/>
      <c r="C881" s="722"/>
    </row>
    <row r="882">
      <c r="B882" s="721"/>
      <c r="C882" s="722"/>
    </row>
    <row r="883">
      <c r="B883" s="721"/>
      <c r="C883" s="722"/>
    </row>
    <row r="884">
      <c r="B884" s="721"/>
      <c r="C884" s="722"/>
    </row>
    <row r="885">
      <c r="B885" s="721"/>
      <c r="C885" s="722"/>
    </row>
    <row r="886">
      <c r="B886" s="721"/>
      <c r="C886" s="722"/>
    </row>
    <row r="887">
      <c r="B887" s="721"/>
      <c r="C887" s="722"/>
    </row>
    <row r="888">
      <c r="B888" s="721"/>
      <c r="C888" s="722"/>
    </row>
    <row r="889">
      <c r="B889" s="721"/>
      <c r="C889" s="722"/>
    </row>
    <row r="890">
      <c r="B890" s="721"/>
      <c r="C890" s="722"/>
    </row>
    <row r="891">
      <c r="B891" s="721"/>
      <c r="C891" s="722"/>
    </row>
    <row r="892">
      <c r="B892" s="721"/>
      <c r="C892" s="722"/>
    </row>
    <row r="893">
      <c r="B893" s="721"/>
      <c r="C893" s="722"/>
    </row>
    <row r="894">
      <c r="B894" s="721"/>
      <c r="C894" s="722"/>
    </row>
    <row r="895">
      <c r="B895" s="721"/>
      <c r="C895" s="722"/>
    </row>
    <row r="896">
      <c r="B896" s="721"/>
      <c r="C896" s="722"/>
    </row>
    <row r="897">
      <c r="B897" s="721"/>
      <c r="C897" s="722"/>
    </row>
    <row r="898">
      <c r="B898" s="721"/>
      <c r="C898" s="722"/>
    </row>
    <row r="899">
      <c r="B899" s="721"/>
      <c r="C899" s="722"/>
    </row>
    <row r="900">
      <c r="B900" s="721"/>
      <c r="C900" s="722"/>
    </row>
    <row r="901">
      <c r="B901" s="721"/>
      <c r="C901" s="722"/>
    </row>
    <row r="902">
      <c r="B902" s="721"/>
      <c r="C902" s="722"/>
    </row>
    <row r="903">
      <c r="B903" s="721"/>
      <c r="C903" s="722"/>
    </row>
    <row r="904">
      <c r="B904" s="721"/>
      <c r="C904" s="722"/>
    </row>
    <row r="905">
      <c r="B905" s="721"/>
      <c r="C905" s="722"/>
    </row>
    <row r="906">
      <c r="B906" s="721"/>
      <c r="C906" s="722"/>
    </row>
    <row r="907">
      <c r="B907" s="721"/>
      <c r="C907" s="722"/>
    </row>
    <row r="908">
      <c r="B908" s="721"/>
      <c r="C908" s="722"/>
    </row>
    <row r="909">
      <c r="B909" s="721"/>
      <c r="C909" s="722"/>
    </row>
    <row r="910">
      <c r="B910" s="721"/>
      <c r="C910" s="722"/>
    </row>
    <row r="911">
      <c r="B911" s="721"/>
      <c r="C911" s="722"/>
    </row>
    <row r="912">
      <c r="B912" s="721"/>
      <c r="C912" s="722"/>
    </row>
    <row r="913">
      <c r="B913" s="721"/>
      <c r="C913" s="722"/>
    </row>
    <row r="914">
      <c r="B914" s="721"/>
      <c r="C914" s="722"/>
    </row>
    <row r="915">
      <c r="B915" s="721"/>
      <c r="C915" s="722"/>
    </row>
    <row r="916">
      <c r="B916" s="721"/>
      <c r="C916" s="722"/>
    </row>
    <row r="917">
      <c r="B917" s="721"/>
      <c r="C917" s="722"/>
    </row>
    <row r="918">
      <c r="B918" s="721"/>
      <c r="C918" s="722"/>
    </row>
    <row r="919">
      <c r="B919" s="721"/>
      <c r="C919" s="722"/>
    </row>
    <row r="920">
      <c r="B920" s="721"/>
      <c r="C920" s="722"/>
    </row>
    <row r="921">
      <c r="B921" s="721"/>
      <c r="C921" s="722"/>
    </row>
    <row r="922">
      <c r="B922" s="721"/>
      <c r="C922" s="722"/>
    </row>
    <row r="923">
      <c r="B923" s="721"/>
      <c r="C923" s="722"/>
    </row>
    <row r="924">
      <c r="B924" s="721"/>
      <c r="C924" s="722"/>
    </row>
    <row r="925">
      <c r="B925" s="721"/>
      <c r="C925" s="722"/>
    </row>
    <row r="926">
      <c r="B926" s="721"/>
      <c r="C926" s="722"/>
    </row>
    <row r="927">
      <c r="B927" s="721"/>
      <c r="C927" s="722"/>
    </row>
    <row r="928">
      <c r="B928" s="721"/>
      <c r="C928" s="722"/>
    </row>
    <row r="929">
      <c r="B929" s="721"/>
      <c r="C929" s="722"/>
    </row>
    <row r="930">
      <c r="B930" s="721"/>
      <c r="C930" s="722"/>
    </row>
    <row r="931">
      <c r="B931" s="721"/>
      <c r="C931" s="722"/>
    </row>
    <row r="932">
      <c r="B932" s="721"/>
      <c r="C932" s="722"/>
    </row>
    <row r="933">
      <c r="B933" s="721"/>
      <c r="C933" s="722"/>
    </row>
    <row r="934">
      <c r="B934" s="721"/>
      <c r="C934" s="722"/>
    </row>
    <row r="935">
      <c r="B935" s="721"/>
      <c r="C935" s="722"/>
    </row>
    <row r="936">
      <c r="B936" s="721"/>
      <c r="C936" s="722"/>
    </row>
    <row r="937">
      <c r="B937" s="721"/>
      <c r="C937" s="722"/>
    </row>
    <row r="938">
      <c r="B938" s="721"/>
      <c r="C938" s="722"/>
    </row>
    <row r="939">
      <c r="B939" s="721"/>
      <c r="C939" s="722"/>
    </row>
    <row r="940">
      <c r="B940" s="721"/>
      <c r="C940" s="722"/>
    </row>
    <row r="941">
      <c r="B941" s="721"/>
      <c r="C941" s="722"/>
    </row>
    <row r="942">
      <c r="B942" s="721"/>
      <c r="C942" s="722"/>
    </row>
    <row r="943">
      <c r="B943" s="721"/>
      <c r="C943" s="722"/>
    </row>
    <row r="944">
      <c r="B944" s="721"/>
      <c r="C944" s="722"/>
    </row>
    <row r="945">
      <c r="B945" s="721"/>
      <c r="C945" s="722"/>
    </row>
    <row r="946">
      <c r="B946" s="721"/>
      <c r="C946" s="722"/>
    </row>
    <row r="947">
      <c r="B947" s="721"/>
      <c r="C947" s="722"/>
    </row>
    <row r="948">
      <c r="B948" s="721"/>
      <c r="C948" s="722"/>
    </row>
    <row r="949">
      <c r="B949" s="721"/>
      <c r="C949" s="722"/>
    </row>
    <row r="950">
      <c r="B950" s="721"/>
      <c r="C950" s="722"/>
    </row>
    <row r="951">
      <c r="B951" s="721"/>
      <c r="C951" s="722"/>
    </row>
    <row r="952">
      <c r="B952" s="721"/>
      <c r="C952" s="722"/>
    </row>
    <row r="953">
      <c r="B953" s="721"/>
      <c r="C953" s="722"/>
    </row>
    <row r="954">
      <c r="B954" s="721"/>
      <c r="C954" s="722"/>
    </row>
    <row r="955">
      <c r="B955" s="721"/>
      <c r="C955" s="722"/>
    </row>
    <row r="956">
      <c r="B956" s="721"/>
      <c r="C956" s="722"/>
    </row>
    <row r="957">
      <c r="B957" s="721"/>
      <c r="C957" s="722"/>
    </row>
    <row r="958">
      <c r="B958" s="721"/>
      <c r="C958" s="722"/>
    </row>
    <row r="959">
      <c r="B959" s="721"/>
      <c r="C959" s="722"/>
    </row>
    <row r="960">
      <c r="B960" s="721"/>
      <c r="C960" s="722"/>
    </row>
    <row r="961">
      <c r="B961" s="721"/>
      <c r="C961" s="722"/>
    </row>
    <row r="962">
      <c r="B962" s="721"/>
      <c r="C962" s="722"/>
    </row>
    <row r="963">
      <c r="B963" s="721"/>
      <c r="C963" s="722"/>
    </row>
    <row r="964">
      <c r="B964" s="721"/>
      <c r="C964" s="722"/>
    </row>
    <row r="965">
      <c r="B965" s="721"/>
      <c r="C965" s="722"/>
    </row>
    <row r="966">
      <c r="B966" s="721"/>
      <c r="C966" s="722"/>
    </row>
    <row r="967">
      <c r="B967" s="721"/>
      <c r="C967" s="722"/>
    </row>
    <row r="968">
      <c r="B968" s="721"/>
      <c r="C968" s="722"/>
    </row>
    <row r="969">
      <c r="B969" s="721"/>
      <c r="C969" s="722"/>
    </row>
    <row r="970">
      <c r="B970" s="721"/>
      <c r="C970" s="722"/>
    </row>
    <row r="971">
      <c r="B971" s="721"/>
      <c r="C971" s="722"/>
    </row>
    <row r="972">
      <c r="B972" s="721"/>
      <c r="C972" s="722"/>
    </row>
    <row r="973">
      <c r="B973" s="721"/>
      <c r="C973" s="722"/>
    </row>
    <row r="974">
      <c r="B974" s="721"/>
      <c r="C974" s="722"/>
    </row>
    <row r="975">
      <c r="B975" s="721"/>
      <c r="C975" s="722"/>
    </row>
    <row r="976">
      <c r="B976" s="721"/>
      <c r="C976" s="722"/>
    </row>
    <row r="977">
      <c r="B977" s="721"/>
      <c r="C977" s="722"/>
    </row>
    <row r="978">
      <c r="B978" s="721"/>
      <c r="C978" s="722"/>
    </row>
    <row r="979">
      <c r="B979" s="721"/>
      <c r="C979" s="722"/>
    </row>
    <row r="980">
      <c r="B980" s="721"/>
      <c r="C980" s="722"/>
    </row>
    <row r="981">
      <c r="B981" s="721"/>
      <c r="C981" s="722"/>
    </row>
    <row r="982">
      <c r="B982" s="721"/>
      <c r="C982" s="722"/>
    </row>
    <row r="983">
      <c r="B983" s="721"/>
      <c r="C983" s="722"/>
    </row>
    <row r="984">
      <c r="B984" s="721"/>
      <c r="C984" s="722"/>
    </row>
    <row r="985">
      <c r="B985" s="721"/>
      <c r="C985" s="722"/>
    </row>
    <row r="986">
      <c r="B986" s="721"/>
      <c r="C986" s="722"/>
    </row>
    <row r="987">
      <c r="B987" s="721"/>
      <c r="C987" s="722"/>
    </row>
    <row r="988">
      <c r="B988" s="721"/>
      <c r="C988" s="722"/>
    </row>
    <row r="989">
      <c r="B989" s="721"/>
      <c r="C989" s="722"/>
    </row>
    <row r="990">
      <c r="B990" s="721"/>
      <c r="C990" s="722"/>
    </row>
    <row r="991">
      <c r="B991" s="721"/>
      <c r="C991" s="722"/>
    </row>
    <row r="992">
      <c r="B992" s="721"/>
      <c r="C992" s="722"/>
    </row>
    <row r="993">
      <c r="B993" s="721"/>
      <c r="C993" s="722"/>
    </row>
    <row r="994">
      <c r="B994" s="721"/>
      <c r="C994" s="722"/>
    </row>
    <row r="995">
      <c r="B995" s="721"/>
      <c r="C995" s="722"/>
    </row>
    <row r="996">
      <c r="B996" s="721"/>
      <c r="C996" s="722"/>
    </row>
    <row r="997">
      <c r="B997" s="721"/>
      <c r="C997" s="722"/>
    </row>
    <row r="998">
      <c r="B998" s="721"/>
      <c r="C998" s="722"/>
    </row>
    <row r="999">
      <c r="B999" s="721"/>
      <c r="C999" s="722"/>
    </row>
    <row r="1000">
      <c r="B1000" s="721"/>
      <c r="C1000" s="722"/>
    </row>
    <row r="1001">
      <c r="B1001" s="721"/>
      <c r="C1001" s="722"/>
    </row>
    <row r="1002">
      <c r="B1002" s="721"/>
      <c r="C1002" s="722"/>
    </row>
    <row r="1003">
      <c r="B1003" s="721"/>
      <c r="C1003" s="722"/>
    </row>
    <row r="1004">
      <c r="B1004" s="721"/>
      <c r="C1004" s="722"/>
    </row>
    <row r="1005">
      <c r="B1005" s="721"/>
      <c r="C1005" s="722"/>
    </row>
    <row r="1006">
      <c r="B1006" s="721"/>
      <c r="C1006" s="722"/>
    </row>
    <row r="1007">
      <c r="B1007" s="721"/>
      <c r="C1007" s="722"/>
    </row>
    <row r="1008">
      <c r="B1008" s="721"/>
      <c r="C1008" s="722"/>
    </row>
    <row r="1009">
      <c r="B1009" s="721"/>
      <c r="C1009" s="722"/>
    </row>
    <row r="1010">
      <c r="B1010" s="721"/>
      <c r="C1010" s="722"/>
    </row>
    <row r="1011">
      <c r="B1011" s="721"/>
      <c r="C1011" s="722"/>
    </row>
    <row r="1012">
      <c r="B1012" s="721"/>
      <c r="C1012" s="722"/>
    </row>
    <row r="1013">
      <c r="B1013" s="721"/>
      <c r="C1013" s="722"/>
    </row>
    <row r="1014">
      <c r="B1014" s="721"/>
      <c r="C1014" s="722"/>
    </row>
    <row r="1015">
      <c r="B1015" s="721"/>
      <c r="C1015" s="722"/>
    </row>
    <row r="1016">
      <c r="B1016" s="721"/>
      <c r="C1016" s="722"/>
    </row>
    <row r="1017">
      <c r="B1017" s="721"/>
      <c r="C1017" s="722"/>
    </row>
    <row r="1018">
      <c r="B1018" s="721"/>
      <c r="C1018" s="722"/>
    </row>
    <row r="1019">
      <c r="B1019" s="721"/>
      <c r="C1019" s="722"/>
    </row>
    <row r="1020">
      <c r="B1020" s="721"/>
      <c r="C1020" s="722"/>
    </row>
    <row r="1021">
      <c r="B1021" s="721"/>
      <c r="C1021" s="722"/>
    </row>
    <row r="1022">
      <c r="B1022" s="721"/>
      <c r="C1022" s="722"/>
    </row>
    <row r="1023">
      <c r="B1023" s="721"/>
      <c r="C1023" s="722"/>
    </row>
    <row r="1024">
      <c r="B1024" s="721"/>
      <c r="C1024" s="722"/>
    </row>
    <row r="1025">
      <c r="B1025" s="721"/>
      <c r="C1025" s="722"/>
    </row>
    <row r="1026">
      <c r="B1026" s="721"/>
      <c r="C1026" s="722"/>
    </row>
    <row r="1027">
      <c r="B1027" s="721"/>
      <c r="C1027" s="722"/>
    </row>
    <row r="1028">
      <c r="B1028" s="721"/>
      <c r="C1028" s="722"/>
    </row>
    <row r="1029">
      <c r="B1029" s="721"/>
      <c r="C1029" s="722"/>
    </row>
    <row r="1030">
      <c r="B1030" s="721"/>
      <c r="C1030" s="722"/>
    </row>
    <row r="1031">
      <c r="B1031" s="721"/>
      <c r="C1031" s="722"/>
    </row>
    <row r="1032">
      <c r="B1032" s="721"/>
      <c r="C1032" s="722"/>
    </row>
    <row r="1033">
      <c r="B1033" s="721"/>
      <c r="C1033" s="722"/>
    </row>
    <row r="1034">
      <c r="B1034" s="721"/>
      <c r="C1034" s="722"/>
    </row>
    <row r="1035">
      <c r="B1035" s="721"/>
      <c r="C1035" s="722"/>
    </row>
    <row r="1036">
      <c r="B1036" s="721"/>
      <c r="C1036" s="722"/>
    </row>
    <row r="1037">
      <c r="B1037" s="721"/>
      <c r="C1037" s="722"/>
    </row>
    <row r="1038">
      <c r="B1038" s="721"/>
      <c r="C1038" s="722"/>
    </row>
    <row r="1039">
      <c r="B1039" s="721"/>
      <c r="C1039" s="722"/>
    </row>
    <row r="1040">
      <c r="B1040" s="721"/>
      <c r="C1040" s="722"/>
    </row>
    <row r="1041">
      <c r="B1041" s="721"/>
      <c r="C1041" s="722"/>
    </row>
    <row r="1042">
      <c r="B1042" s="721"/>
      <c r="C1042" s="722"/>
    </row>
    <row r="1043">
      <c r="B1043" s="721"/>
      <c r="C1043" s="722"/>
    </row>
    <row r="1044">
      <c r="B1044" s="721"/>
      <c r="C1044" s="722"/>
    </row>
    <row r="1045">
      <c r="B1045" s="721"/>
      <c r="C1045" s="722"/>
    </row>
    <row r="1046">
      <c r="B1046" s="721"/>
      <c r="C1046" s="722"/>
    </row>
    <row r="1047">
      <c r="B1047" s="721"/>
      <c r="C1047" s="722"/>
    </row>
    <row r="1048">
      <c r="B1048" s="721"/>
      <c r="C1048" s="722"/>
    </row>
    <row r="1049">
      <c r="B1049" s="721"/>
      <c r="C1049" s="722"/>
    </row>
    <row r="1050">
      <c r="B1050" s="721"/>
      <c r="C1050" s="722"/>
    </row>
    <row r="1051">
      <c r="B1051" s="721"/>
      <c r="C1051" s="722"/>
    </row>
    <row r="1052">
      <c r="B1052" s="721"/>
      <c r="C1052" s="722"/>
    </row>
    <row r="1053">
      <c r="B1053" s="721"/>
      <c r="C1053" s="722"/>
    </row>
    <row r="1054">
      <c r="B1054" s="721"/>
      <c r="C1054" s="722"/>
    </row>
    <row r="1055">
      <c r="B1055" s="721"/>
      <c r="C1055" s="722"/>
    </row>
    <row r="1056">
      <c r="B1056" s="721"/>
      <c r="C1056" s="722"/>
    </row>
    <row r="1057">
      <c r="B1057" s="721"/>
      <c r="C1057" s="722"/>
    </row>
    <row r="1058">
      <c r="B1058" s="721"/>
      <c r="C1058" s="722"/>
    </row>
    <row r="1059">
      <c r="B1059" s="721"/>
      <c r="C1059" s="722"/>
    </row>
    <row r="1060">
      <c r="B1060" s="721"/>
      <c r="C1060" s="722"/>
    </row>
    <row r="1061">
      <c r="B1061" s="721"/>
      <c r="C1061" s="722"/>
    </row>
    <row r="1062">
      <c r="B1062" s="721"/>
      <c r="C1062" s="722"/>
    </row>
    <row r="1063">
      <c r="B1063" s="721"/>
      <c r="C1063" s="722"/>
    </row>
    <row r="1064">
      <c r="B1064" s="721"/>
      <c r="C1064" s="722"/>
    </row>
    <row r="1065">
      <c r="B1065" s="721"/>
      <c r="C1065" s="722"/>
    </row>
    <row r="1066">
      <c r="B1066" s="721"/>
      <c r="C1066" s="722"/>
    </row>
    <row r="1067">
      <c r="B1067" s="721"/>
      <c r="C1067" s="722"/>
    </row>
    <row r="1068">
      <c r="B1068" s="721"/>
      <c r="C1068" s="722"/>
    </row>
    <row r="1069">
      <c r="B1069" s="721"/>
      <c r="C1069" s="722"/>
    </row>
    <row r="1070">
      <c r="B1070" s="721"/>
      <c r="C1070" s="722"/>
    </row>
    <row r="1071">
      <c r="B1071" s="721"/>
      <c r="C1071" s="722"/>
    </row>
    <row r="1072">
      <c r="B1072" s="721"/>
      <c r="C1072" s="722"/>
    </row>
    <row r="1073">
      <c r="B1073" s="721"/>
      <c r="C1073" s="722"/>
    </row>
    <row r="1074">
      <c r="B1074" s="721"/>
      <c r="C1074" s="722"/>
    </row>
    <row r="1075">
      <c r="B1075" s="721"/>
      <c r="C1075" s="722"/>
    </row>
    <row r="1076">
      <c r="B1076" s="721"/>
      <c r="C1076" s="722"/>
    </row>
    <row r="1077">
      <c r="B1077" s="721"/>
      <c r="C1077" s="722"/>
    </row>
    <row r="1078">
      <c r="B1078" s="721"/>
      <c r="C1078" s="722"/>
    </row>
    <row r="1079">
      <c r="B1079" s="721"/>
      <c r="C1079" s="722"/>
    </row>
    <row r="1080">
      <c r="B1080" s="721"/>
      <c r="C1080" s="722"/>
    </row>
    <row r="1081">
      <c r="B1081" s="721"/>
      <c r="C1081" s="722"/>
    </row>
    <row r="1082">
      <c r="B1082" s="721"/>
      <c r="C1082" s="722"/>
    </row>
    <row r="1083">
      <c r="B1083" s="721"/>
      <c r="C1083" s="722"/>
    </row>
    <row r="1084">
      <c r="B1084" s="721"/>
      <c r="C1084" s="722"/>
    </row>
    <row r="1085">
      <c r="B1085" s="721"/>
      <c r="C1085" s="722"/>
    </row>
    <row r="1086">
      <c r="B1086" s="721"/>
      <c r="C1086" s="722"/>
    </row>
    <row r="1087">
      <c r="B1087" s="721"/>
      <c r="C1087" s="722"/>
    </row>
    <row r="1088">
      <c r="B1088" s="721"/>
      <c r="C1088" s="722"/>
    </row>
    <row r="1089">
      <c r="B1089" s="721"/>
      <c r="C1089" s="722"/>
    </row>
    <row r="1090">
      <c r="B1090" s="721"/>
      <c r="C1090" s="722"/>
    </row>
  </sheetData>
  <mergeCells count="134">
    <mergeCell ref="A119:A121"/>
    <mergeCell ref="A123:A126"/>
    <mergeCell ref="A129:A130"/>
    <mergeCell ref="A131:A132"/>
    <mergeCell ref="A133:A136"/>
    <mergeCell ref="A137:A138"/>
    <mergeCell ref="A139:A140"/>
    <mergeCell ref="A143:A144"/>
    <mergeCell ref="A147:A149"/>
    <mergeCell ref="A150:A155"/>
    <mergeCell ref="A160:A161"/>
    <mergeCell ref="A162:A163"/>
    <mergeCell ref="A168:A169"/>
    <mergeCell ref="A170:A171"/>
    <mergeCell ref="A176:A181"/>
    <mergeCell ref="A183:A184"/>
    <mergeCell ref="A189:A191"/>
    <mergeCell ref="A194:A199"/>
    <mergeCell ref="A200:A201"/>
    <mergeCell ref="A202:A203"/>
    <mergeCell ref="A204:A205"/>
    <mergeCell ref="A210:A212"/>
    <mergeCell ref="A213:A217"/>
    <mergeCell ref="A218:A219"/>
    <mergeCell ref="A228:A236"/>
    <mergeCell ref="A237:A243"/>
    <mergeCell ref="A244:A245"/>
    <mergeCell ref="A248:A266"/>
    <mergeCell ref="A270:A271"/>
    <mergeCell ref="A272:A274"/>
    <mergeCell ref="A284:A287"/>
    <mergeCell ref="A290:A291"/>
    <mergeCell ref="A293:A295"/>
    <mergeCell ref="A298:A299"/>
    <mergeCell ref="A307:A314"/>
    <mergeCell ref="A347:A348"/>
    <mergeCell ref="A349:A368"/>
    <mergeCell ref="A369:A385"/>
    <mergeCell ref="A386:A403"/>
    <mergeCell ref="A404:A408"/>
    <mergeCell ref="A448:A449"/>
    <mergeCell ref="A319:A320"/>
    <mergeCell ref="A324:A325"/>
    <mergeCell ref="A326:A328"/>
    <mergeCell ref="A330:A331"/>
    <mergeCell ref="A334:A340"/>
    <mergeCell ref="A341:A342"/>
    <mergeCell ref="A343:A345"/>
    <mergeCell ref="B147:B149"/>
    <mergeCell ref="B150:B155"/>
    <mergeCell ref="B160:B161"/>
    <mergeCell ref="B162:B163"/>
    <mergeCell ref="B168:B169"/>
    <mergeCell ref="B170:B171"/>
    <mergeCell ref="B176:B181"/>
    <mergeCell ref="B183:B184"/>
    <mergeCell ref="B189:B191"/>
    <mergeCell ref="B194:B199"/>
    <mergeCell ref="B200:B201"/>
    <mergeCell ref="B202:B203"/>
    <mergeCell ref="B204:B205"/>
    <mergeCell ref="B210:B212"/>
    <mergeCell ref="B213:B217"/>
    <mergeCell ref="B218:B219"/>
    <mergeCell ref="B228:B236"/>
    <mergeCell ref="B237:B243"/>
    <mergeCell ref="B244:B245"/>
    <mergeCell ref="B248:B266"/>
    <mergeCell ref="B270:B271"/>
    <mergeCell ref="B324:B325"/>
    <mergeCell ref="B326:B328"/>
    <mergeCell ref="B330:B331"/>
    <mergeCell ref="B334:B340"/>
    <mergeCell ref="B341:B342"/>
    <mergeCell ref="B343:B345"/>
    <mergeCell ref="B347:B348"/>
    <mergeCell ref="A419:E419"/>
    <mergeCell ref="B272:B274"/>
    <mergeCell ref="B284:B287"/>
    <mergeCell ref="B290:B291"/>
    <mergeCell ref="B293:B295"/>
    <mergeCell ref="B298:B299"/>
    <mergeCell ref="B307:B314"/>
    <mergeCell ref="B319:B320"/>
    <mergeCell ref="B448:B449"/>
    <mergeCell ref="A1:E1"/>
    <mergeCell ref="A12:A13"/>
    <mergeCell ref="B12:B13"/>
    <mergeCell ref="A16:A17"/>
    <mergeCell ref="B16:B17"/>
    <mergeCell ref="A21:A22"/>
    <mergeCell ref="B21:B22"/>
    <mergeCell ref="A24:A26"/>
    <mergeCell ref="B24:B26"/>
    <mergeCell ref="A27:A29"/>
    <mergeCell ref="B27:B29"/>
    <mergeCell ref="A33:A35"/>
    <mergeCell ref="B33:B35"/>
    <mergeCell ref="B41:B43"/>
    <mergeCell ref="A41:A43"/>
    <mergeCell ref="A46:A47"/>
    <mergeCell ref="B46:B47"/>
    <mergeCell ref="A52:A53"/>
    <mergeCell ref="B52:B53"/>
    <mergeCell ref="A56:A58"/>
    <mergeCell ref="B56:B58"/>
    <mergeCell ref="A60:A64"/>
    <mergeCell ref="B60:B64"/>
    <mergeCell ref="A68:A69"/>
    <mergeCell ref="B68:B69"/>
    <mergeCell ref="A70:A71"/>
    <mergeCell ref="B70:B71"/>
    <mergeCell ref="B74:B84"/>
    <mergeCell ref="A74:A84"/>
    <mergeCell ref="A89:A94"/>
    <mergeCell ref="A95:A97"/>
    <mergeCell ref="A100:A101"/>
    <mergeCell ref="A103:A105"/>
    <mergeCell ref="A109:A114"/>
    <mergeCell ref="A115:A116"/>
    <mergeCell ref="B89:B94"/>
    <mergeCell ref="B95:B97"/>
    <mergeCell ref="B100:B101"/>
    <mergeCell ref="B103:B105"/>
    <mergeCell ref="B109:B114"/>
    <mergeCell ref="B115:B116"/>
    <mergeCell ref="B119:B121"/>
    <mergeCell ref="B123:B126"/>
    <mergeCell ref="B129:B130"/>
    <mergeCell ref="B131:B132"/>
    <mergeCell ref="B133:B136"/>
    <mergeCell ref="B137:B138"/>
    <mergeCell ref="B139:B140"/>
    <mergeCell ref="B143:B144"/>
  </mergeCells>
  <hyperlinks>
    <hyperlink r:id="rId1" ref="C3"/>
    <hyperlink r:id="rId2" ref="C5"/>
    <hyperlink r:id="rId3" ref="C6"/>
    <hyperlink r:id="rId4" ref="C7"/>
    <hyperlink r:id="rId5" ref="C8"/>
    <hyperlink r:id="rId6" ref="C9"/>
    <hyperlink r:id="rId7" ref="C10"/>
    <hyperlink r:id="rId8" ref="C12"/>
    <hyperlink r:id="rId9" ref="C13"/>
    <hyperlink r:id="rId10" ref="C14"/>
    <hyperlink r:id="rId11" location="bib14" ref="C15"/>
    <hyperlink r:id="rId12" ref="C16"/>
    <hyperlink r:id="rId13" ref="C17"/>
    <hyperlink r:id="rId14" ref="C18"/>
    <hyperlink r:id="rId15" ref="C19"/>
    <hyperlink r:id="rId16" ref="C20"/>
    <hyperlink r:id="rId17" ref="C21"/>
    <hyperlink r:id="rId18" ref="C22"/>
    <hyperlink r:id="rId19" ref="C23"/>
    <hyperlink r:id="rId20" ref="C24"/>
    <hyperlink r:id="rId21" ref="C25"/>
    <hyperlink r:id="rId22" ref="C26"/>
    <hyperlink r:id="rId23" ref="C27"/>
    <hyperlink r:id="rId24" ref="C28"/>
    <hyperlink r:id="rId25" ref="C29"/>
    <hyperlink r:id="rId26" ref="C30"/>
    <hyperlink r:id="rId27" ref="C31"/>
    <hyperlink r:id="rId28" ref="C32"/>
    <hyperlink r:id="rId29" ref="C33"/>
    <hyperlink r:id="rId30" ref="C34"/>
    <hyperlink r:id="rId31" ref="C35"/>
    <hyperlink r:id="rId32" ref="C36"/>
    <hyperlink r:id="rId33" ref="C37"/>
    <hyperlink r:id="rId34" ref="C38"/>
    <hyperlink r:id="rId35" ref="C39"/>
    <hyperlink r:id="rId36" ref="C40"/>
    <hyperlink r:id="rId37" ref="C41"/>
    <hyperlink r:id="rId38" ref="C42"/>
    <hyperlink r:id="rId39" ref="C43"/>
    <hyperlink r:id="rId40" ref="C44"/>
    <hyperlink r:id="rId41" ref="C45"/>
    <hyperlink r:id="rId42" ref="C46"/>
    <hyperlink r:id="rId43" ref="C47"/>
    <hyperlink r:id="rId44" ref="C48"/>
    <hyperlink r:id="rId45" ref="C49"/>
    <hyperlink r:id="rId46" ref="C50"/>
    <hyperlink r:id="rId47" ref="C51"/>
    <hyperlink r:id="rId48" ref="C52"/>
    <hyperlink r:id="rId49" ref="C56"/>
    <hyperlink r:id="rId50" ref="C57"/>
    <hyperlink r:id="rId51" ref="C58"/>
    <hyperlink r:id="rId52" ref="C60"/>
    <hyperlink r:id="rId53" ref="C61"/>
    <hyperlink r:id="rId54" ref="C62"/>
    <hyperlink r:id="rId55" ref="C63"/>
    <hyperlink r:id="rId56" ref="C64"/>
    <hyperlink r:id="rId57" ref="C65"/>
    <hyperlink r:id="rId58" ref="C66"/>
    <hyperlink r:id="rId59" ref="C67"/>
    <hyperlink r:id="rId60" ref="C68"/>
    <hyperlink r:id="rId61" ref="C69"/>
    <hyperlink r:id="rId62" ref="C70"/>
    <hyperlink r:id="rId63" ref="C71"/>
    <hyperlink r:id="rId64" ref="C72"/>
    <hyperlink r:id="rId65" ref="C73"/>
    <hyperlink r:id="rId66" ref="C76"/>
    <hyperlink r:id="rId67" ref="C77"/>
    <hyperlink r:id="rId68" ref="C78"/>
    <hyperlink r:id="rId69" ref="C79"/>
    <hyperlink r:id="rId70" ref="C80"/>
    <hyperlink r:id="rId71" ref="C81"/>
    <hyperlink r:id="rId72" ref="C82"/>
    <hyperlink r:id="rId73" ref="C83"/>
    <hyperlink r:id="rId74" ref="C84"/>
    <hyperlink r:id="rId75" ref="C86"/>
    <hyperlink r:id="rId76" ref="C87"/>
    <hyperlink r:id="rId77" ref="C88"/>
    <hyperlink r:id="rId78" ref="C89"/>
    <hyperlink r:id="rId79" ref="C90"/>
    <hyperlink r:id="rId80" ref="C91"/>
    <hyperlink r:id="rId81" ref="C92"/>
    <hyperlink r:id="rId82" ref="C93"/>
    <hyperlink r:id="rId83" ref="C94"/>
    <hyperlink r:id="rId84" ref="C95"/>
    <hyperlink r:id="rId85" ref="C96"/>
    <hyperlink r:id="rId86" ref="C97"/>
    <hyperlink r:id="rId87" ref="C98"/>
    <hyperlink r:id="rId88" ref="C99"/>
    <hyperlink r:id="rId89" ref="C100"/>
    <hyperlink r:id="rId90" ref="C101"/>
    <hyperlink r:id="rId91" ref="C102"/>
    <hyperlink r:id="rId92" ref="C104"/>
    <hyperlink r:id="rId93" ref="C105"/>
    <hyperlink r:id="rId94" ref="C106"/>
    <hyperlink r:id="rId95" ref="C107"/>
    <hyperlink r:id="rId96" ref="C108"/>
    <hyperlink r:id="rId97" ref="C109"/>
    <hyperlink r:id="rId98" ref="C110"/>
    <hyperlink r:id="rId99" ref="C111"/>
    <hyperlink r:id="rId100" ref="C112"/>
    <hyperlink r:id="rId101" ref="C113"/>
    <hyperlink r:id="rId102" ref="C114"/>
    <hyperlink r:id="rId103" ref="C116"/>
    <hyperlink r:id="rId104" ref="C117"/>
    <hyperlink r:id="rId105" ref="C118"/>
    <hyperlink r:id="rId106" ref="C119"/>
    <hyperlink r:id="rId107" ref="C120"/>
    <hyperlink r:id="rId108" ref="C121"/>
    <hyperlink r:id="rId109" ref="C122"/>
    <hyperlink r:id="rId110" ref="C123"/>
    <hyperlink r:id="rId111" ref="C124"/>
    <hyperlink r:id="rId112" ref="C125"/>
    <hyperlink r:id="rId113" ref="C126"/>
    <hyperlink r:id="rId114" ref="C127"/>
    <hyperlink r:id="rId115" ref="C128"/>
    <hyperlink r:id="rId116" ref="C129"/>
    <hyperlink r:id="rId117" ref="C130"/>
    <hyperlink r:id="rId118" ref="C131"/>
    <hyperlink r:id="rId119" ref="C132"/>
    <hyperlink r:id="rId120" ref="C134"/>
    <hyperlink r:id="rId121" ref="C135"/>
    <hyperlink r:id="rId122" ref="C136"/>
    <hyperlink r:id="rId123" ref="C137"/>
    <hyperlink r:id="rId124" ref="C138"/>
    <hyperlink r:id="rId125" ref="C139"/>
    <hyperlink r:id="rId126" ref="C140"/>
    <hyperlink r:id="rId127" ref="C142"/>
    <hyperlink r:id="rId128" ref="C143"/>
    <hyperlink r:id="rId129" ref="C144"/>
    <hyperlink r:id="rId130" ref="C145"/>
    <hyperlink r:id="rId131" ref="C146"/>
    <hyperlink r:id="rId132" ref="C148"/>
    <hyperlink r:id="rId133" ref="C150"/>
    <hyperlink r:id="rId134" ref="C151"/>
    <hyperlink r:id="rId135" ref="C152"/>
    <hyperlink r:id="rId136" ref="C153"/>
    <hyperlink r:id="rId137" ref="C154"/>
    <hyperlink r:id="rId138" ref="C155"/>
    <hyperlink r:id="rId139" ref="C156"/>
    <hyperlink r:id="rId140" ref="C158"/>
    <hyperlink r:id="rId141" ref="C162"/>
    <hyperlink r:id="rId142" ref="C163"/>
    <hyperlink r:id="rId143" ref="C164"/>
    <hyperlink r:id="rId144" ref="C165"/>
    <hyperlink r:id="rId145" ref="C166"/>
    <hyperlink r:id="rId146" ref="C168"/>
    <hyperlink r:id="rId147" ref="C169"/>
    <hyperlink r:id="rId148" ref="C172"/>
    <hyperlink r:id="rId149" ref="C173"/>
    <hyperlink r:id="rId150" ref="C174"/>
    <hyperlink r:id="rId151" ref="C175"/>
    <hyperlink r:id="rId152" ref="C177"/>
    <hyperlink r:id="rId153" ref="C178"/>
    <hyperlink r:id="rId154" ref="C179"/>
    <hyperlink r:id="rId155" ref="C180"/>
    <hyperlink r:id="rId156" ref="C181"/>
    <hyperlink r:id="rId157" ref="C182"/>
    <hyperlink r:id="rId158" ref="C183"/>
    <hyperlink r:id="rId159" ref="C184"/>
    <hyperlink r:id="rId160" ref="C186"/>
    <hyperlink r:id="rId161" ref="C188"/>
    <hyperlink r:id="rId162" ref="C189"/>
    <hyperlink r:id="rId163" ref="C191"/>
    <hyperlink r:id="rId164" ref="C192"/>
    <hyperlink r:id="rId165" ref="C193"/>
    <hyperlink r:id="rId166" ref="C194"/>
    <hyperlink r:id="rId167" ref="C195"/>
    <hyperlink r:id="rId168" ref="C196"/>
    <hyperlink r:id="rId169" ref="C199"/>
    <hyperlink r:id="rId170" ref="C200"/>
    <hyperlink r:id="rId171" ref="C201"/>
    <hyperlink r:id="rId172" ref="C202"/>
    <hyperlink r:id="rId173" ref="C203"/>
    <hyperlink r:id="rId174" ref="C204"/>
    <hyperlink r:id="rId175" ref="C205"/>
    <hyperlink r:id="rId176" ref="C206"/>
    <hyperlink r:id="rId177" ref="C207"/>
    <hyperlink r:id="rId178" ref="C208"/>
    <hyperlink r:id="rId179" ref="C209"/>
    <hyperlink r:id="rId180" ref="C210"/>
    <hyperlink r:id="rId181" ref="C212"/>
    <hyperlink r:id="rId182" ref="C213"/>
    <hyperlink r:id="rId183" ref="C214"/>
    <hyperlink r:id="rId184" ref="C215"/>
    <hyperlink r:id="rId185" ref="C217"/>
    <hyperlink r:id="rId186" ref="C218"/>
    <hyperlink r:id="rId187" ref="C219"/>
    <hyperlink r:id="rId188" ref="C220"/>
    <hyperlink r:id="rId189" ref="C221"/>
    <hyperlink r:id="rId190" ref="C222"/>
    <hyperlink r:id="rId191" ref="C223"/>
    <hyperlink r:id="rId192" ref="C224"/>
    <hyperlink r:id="rId193" ref="C225"/>
    <hyperlink r:id="rId194" ref="C226"/>
    <hyperlink r:id="rId195" ref="C227"/>
    <hyperlink r:id="rId196" ref="C228"/>
    <hyperlink r:id="rId197" ref="C229"/>
    <hyperlink r:id="rId198" ref="C230"/>
    <hyperlink r:id="rId199" ref="C231"/>
    <hyperlink r:id="rId200" ref="C232"/>
    <hyperlink r:id="rId201" ref="C233"/>
    <hyperlink r:id="rId202" ref="C234"/>
    <hyperlink r:id="rId203" ref="C235"/>
    <hyperlink r:id="rId204" ref="C236"/>
    <hyperlink r:id="rId205" ref="C237"/>
    <hyperlink r:id="rId206" ref="C238"/>
    <hyperlink r:id="rId207" ref="C239"/>
    <hyperlink r:id="rId208" ref="C240"/>
    <hyperlink r:id="rId209" ref="C241"/>
    <hyperlink r:id="rId210" ref="C242"/>
    <hyperlink r:id="rId211" ref="C243"/>
    <hyperlink r:id="rId212" ref="C244"/>
    <hyperlink r:id="rId213" ref="C245"/>
    <hyperlink r:id="rId214" ref="C246"/>
    <hyperlink r:id="rId215" ref="C247"/>
    <hyperlink r:id="rId216" ref="C248"/>
    <hyperlink r:id="rId217" ref="C249"/>
    <hyperlink r:id="rId218" ref="C250"/>
    <hyperlink r:id="rId219" ref="C251"/>
    <hyperlink r:id="rId220" ref="C252"/>
    <hyperlink r:id="rId221" ref="C253"/>
    <hyperlink r:id="rId222" ref="C254"/>
    <hyperlink r:id="rId223" ref="C255"/>
    <hyperlink r:id="rId224" ref="C256"/>
    <hyperlink r:id="rId225" ref="C257"/>
    <hyperlink r:id="rId226" ref="C258"/>
    <hyperlink r:id="rId227" ref="C259"/>
    <hyperlink r:id="rId228" ref="C260"/>
    <hyperlink r:id="rId229" ref="C261"/>
    <hyperlink r:id="rId230" ref="C262"/>
    <hyperlink r:id="rId231" ref="C263"/>
    <hyperlink r:id="rId232" ref="C264"/>
    <hyperlink r:id="rId233" ref="C265"/>
    <hyperlink r:id="rId234" ref="C266"/>
    <hyperlink r:id="rId235" ref="C268"/>
    <hyperlink r:id="rId236" ref="C269"/>
    <hyperlink r:id="rId237" ref="C270"/>
    <hyperlink r:id="rId238" ref="C272"/>
    <hyperlink r:id="rId239" ref="C274"/>
    <hyperlink r:id="rId240" ref="C275"/>
    <hyperlink r:id="rId241" ref="C276"/>
    <hyperlink r:id="rId242" ref="C277"/>
    <hyperlink r:id="rId243" ref="C278"/>
    <hyperlink r:id="rId244" ref="C280"/>
    <hyperlink r:id="rId245" ref="C281"/>
    <hyperlink r:id="rId246" ref="C282"/>
    <hyperlink r:id="rId247" ref="C283"/>
    <hyperlink r:id="rId248" ref="C285"/>
    <hyperlink r:id="rId249" ref="C286"/>
    <hyperlink r:id="rId250" ref="C287"/>
    <hyperlink r:id="rId251" ref="C289"/>
    <hyperlink r:id="rId252" ref="C290"/>
    <hyperlink r:id="rId253" ref="C291"/>
    <hyperlink r:id="rId254" ref="C292"/>
    <hyperlink r:id="rId255" ref="C293"/>
    <hyperlink r:id="rId256" ref="C294"/>
    <hyperlink r:id="rId257" ref="C295"/>
    <hyperlink r:id="rId258" ref="C296"/>
    <hyperlink r:id="rId259" ref="C297"/>
    <hyperlink r:id="rId260" ref="C298"/>
    <hyperlink r:id="rId261" ref="C299"/>
    <hyperlink r:id="rId262" ref="C300"/>
    <hyperlink r:id="rId263" ref="C301"/>
    <hyperlink r:id="rId264" ref="C302"/>
    <hyperlink r:id="rId265" ref="C303"/>
    <hyperlink r:id="rId266" ref="C306"/>
    <hyperlink r:id="rId267" ref="C307"/>
    <hyperlink r:id="rId268" ref="C308"/>
    <hyperlink r:id="rId269" ref="C309"/>
    <hyperlink r:id="rId270" ref="C310"/>
    <hyperlink r:id="rId271" ref="C311"/>
    <hyperlink r:id="rId272" ref="C312"/>
    <hyperlink r:id="rId273" ref="C313"/>
    <hyperlink r:id="rId274" ref="C314"/>
    <hyperlink r:id="rId275" ref="C316"/>
    <hyperlink r:id="rId276" ref="C317"/>
    <hyperlink r:id="rId277" ref="C318"/>
    <hyperlink r:id="rId278" ref="C321"/>
    <hyperlink r:id="rId279" ref="C322"/>
    <hyperlink r:id="rId280" ref="C323"/>
    <hyperlink r:id="rId281" ref="C324"/>
    <hyperlink r:id="rId282" ref="C325"/>
    <hyperlink r:id="rId283" ref="C326"/>
    <hyperlink r:id="rId284" ref="C327"/>
    <hyperlink r:id="rId285" ref="C328"/>
    <hyperlink r:id="rId286" ref="C329"/>
    <hyperlink r:id="rId287" ref="C332"/>
    <hyperlink r:id="rId288" ref="C333"/>
    <hyperlink r:id="rId289" ref="C334"/>
    <hyperlink r:id="rId290" ref="C335"/>
    <hyperlink r:id="rId291" ref="C336"/>
    <hyperlink r:id="rId292" ref="C337"/>
    <hyperlink r:id="rId293" ref="C338"/>
    <hyperlink r:id="rId294" ref="C339"/>
    <hyperlink r:id="rId295" ref="C340"/>
    <hyperlink r:id="rId296" ref="C341"/>
    <hyperlink r:id="rId297" ref="C342"/>
    <hyperlink r:id="rId298" ref="C343"/>
    <hyperlink r:id="rId299" ref="C345"/>
    <hyperlink r:id="rId300" ref="C346"/>
    <hyperlink r:id="rId301" ref="C347"/>
    <hyperlink r:id="rId302" ref="C348"/>
    <hyperlink r:id="rId303" ref="C349"/>
    <hyperlink r:id="rId304" ref="C350"/>
    <hyperlink r:id="rId305" ref="C351"/>
    <hyperlink r:id="rId306" ref="C352"/>
    <hyperlink r:id="rId307" ref="C353"/>
    <hyperlink r:id="rId308" ref="C354"/>
    <hyperlink r:id="rId309" ref="C355"/>
    <hyperlink r:id="rId310" ref="C356"/>
    <hyperlink r:id="rId311" ref="C357"/>
    <hyperlink r:id="rId312" ref="C358"/>
    <hyperlink r:id="rId313" ref="C359"/>
    <hyperlink r:id="rId314" ref="C360"/>
    <hyperlink r:id="rId315" ref="C361"/>
    <hyperlink r:id="rId316" ref="C362"/>
    <hyperlink r:id="rId317" ref="C363"/>
    <hyperlink r:id="rId318" ref="C364"/>
    <hyperlink r:id="rId319" ref="C365"/>
    <hyperlink r:id="rId320" ref="C366"/>
    <hyperlink r:id="rId321" ref="C367"/>
    <hyperlink r:id="rId322" ref="C368"/>
    <hyperlink r:id="rId323" ref="C369"/>
    <hyperlink r:id="rId324" ref="C370"/>
    <hyperlink r:id="rId325" ref="C371"/>
    <hyperlink r:id="rId326" ref="C372"/>
    <hyperlink r:id="rId327" ref="C373"/>
    <hyperlink r:id="rId328" ref="C374"/>
    <hyperlink r:id="rId329" ref="C375"/>
    <hyperlink r:id="rId330" ref="C376"/>
    <hyperlink r:id="rId331" ref="C377"/>
    <hyperlink r:id="rId332" ref="C378"/>
    <hyperlink r:id="rId333" ref="C379"/>
    <hyperlink r:id="rId334" ref="C380"/>
    <hyperlink r:id="rId335" ref="C381"/>
    <hyperlink r:id="rId336" ref="C382"/>
    <hyperlink r:id="rId337" ref="C383"/>
    <hyperlink r:id="rId338" ref="C384"/>
    <hyperlink r:id="rId339" ref="C385"/>
    <hyperlink r:id="rId340" ref="C386"/>
    <hyperlink r:id="rId341" ref="C387"/>
    <hyperlink r:id="rId342" ref="C388"/>
    <hyperlink r:id="rId343" ref="C389"/>
    <hyperlink r:id="rId344" ref="C390"/>
    <hyperlink r:id="rId345" ref="C391"/>
    <hyperlink r:id="rId346" ref="C392"/>
    <hyperlink r:id="rId347" ref="C393"/>
    <hyperlink r:id="rId348" ref="C394"/>
    <hyperlink r:id="rId349" ref="C395"/>
    <hyperlink r:id="rId350" ref="C396"/>
    <hyperlink r:id="rId351" ref="C397"/>
    <hyperlink r:id="rId352" ref="C398"/>
    <hyperlink r:id="rId353" ref="C399"/>
    <hyperlink r:id="rId354" ref="C400"/>
    <hyperlink r:id="rId355" ref="C401"/>
    <hyperlink r:id="rId356" ref="C402"/>
    <hyperlink r:id="rId357" ref="C403"/>
    <hyperlink r:id="rId358" ref="C404"/>
    <hyperlink r:id="rId359" ref="C405"/>
    <hyperlink r:id="rId360" ref="C406"/>
    <hyperlink r:id="rId361" ref="C407"/>
    <hyperlink r:id="rId362" ref="C408"/>
    <hyperlink r:id="rId363" ref="C410"/>
    <hyperlink r:id="rId364" ref="C412"/>
    <hyperlink r:id="rId365" location="B45" ref="C413"/>
    <hyperlink r:id="rId366" ref="C416"/>
    <hyperlink r:id="rId367" ref="C417"/>
    <hyperlink r:id="rId368" ref="C418"/>
    <hyperlink r:id="rId369" ref="C420"/>
    <hyperlink r:id="rId370" ref="C421"/>
    <hyperlink r:id="rId371" ref="C422"/>
    <hyperlink r:id="rId372" ref="C423"/>
    <hyperlink r:id="rId373" ref="C424"/>
    <hyperlink r:id="rId374" ref="C425"/>
    <hyperlink r:id="rId375" ref="C426"/>
    <hyperlink r:id="rId376" ref="C427"/>
    <hyperlink r:id="rId377" ref="C428"/>
    <hyperlink r:id="rId378" ref="C429"/>
    <hyperlink r:id="rId379" ref="C430"/>
    <hyperlink r:id="rId380" ref="C431"/>
    <hyperlink r:id="rId381" ref="C432"/>
    <hyperlink r:id="rId382" ref="C433"/>
    <hyperlink r:id="rId383" ref="C434"/>
    <hyperlink r:id="rId384" ref="C435"/>
    <hyperlink r:id="rId385" ref="C436"/>
    <hyperlink r:id="rId386" ref="C437"/>
    <hyperlink r:id="rId387" ref="C438"/>
    <hyperlink r:id="rId388" ref="C439"/>
    <hyperlink r:id="rId389" ref="C440"/>
    <hyperlink r:id="rId390" ref="C441"/>
    <hyperlink r:id="rId391" ref="C442"/>
    <hyperlink r:id="rId392" ref="C443"/>
    <hyperlink r:id="rId393" ref="C444"/>
    <hyperlink r:id="rId394" ref="C445"/>
    <hyperlink r:id="rId395" ref="C446"/>
    <hyperlink r:id="rId396" ref="C447"/>
    <hyperlink r:id="rId397" ref="C448"/>
    <hyperlink r:id="rId398" ref="C449"/>
    <hyperlink r:id="rId399" ref="C450"/>
  </hyperlinks>
  <drawing r:id="rId400"/>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75"/>
    <col customWidth="1" min="2" max="2" width="1.38"/>
    <col customWidth="1" min="3" max="3" width="79.13"/>
    <col customWidth="1" min="4" max="4" width="86.13"/>
    <col customWidth="1" min="5" max="5" width="18.88"/>
  </cols>
  <sheetData>
    <row r="1" ht="24.75" customHeight="1">
      <c r="A1" s="723" t="s">
        <v>39143</v>
      </c>
      <c r="B1" s="724"/>
      <c r="C1" s="725" t="s">
        <v>20</v>
      </c>
      <c r="D1" s="726" t="s">
        <v>36914</v>
      </c>
    </row>
    <row r="2">
      <c r="A2" s="727" t="s">
        <v>39144</v>
      </c>
      <c r="B2" s="728"/>
      <c r="C2" s="729" t="str">
        <f>HYPERLINK("https://www.theenergyblueprint.com/red-light-therapy-ultimate-guide/","The Ultimate Guide To Red Light Therapy And Near-Infrared Light Therapy (2018)")</f>
        <v>The Ultimate Guide To Red Light Therapy And Near-Infrared Light Therapy (2018)</v>
      </c>
      <c r="D2" s="730" t="s">
        <v>39145</v>
      </c>
    </row>
    <row r="3">
      <c r="C3" s="729" t="str">
        <f>HYPERLINK("https://www.naturebuildshealth.com/blog/red_light_therapy","Red Light Therapy: A Fountain Of Eternal Youth And Health? (2018)")</f>
        <v>Red Light Therapy: A Fountain Of Eternal Youth And Health? (2018)</v>
      </c>
      <c r="D3" s="730" t="s">
        <v>39146</v>
      </c>
    </row>
    <row r="4">
      <c r="A4" s="431"/>
      <c r="B4" s="431"/>
      <c r="C4" s="731" t="str">
        <f>HYPERLINK("https://endalldisease.com/red-light-therapy/","Your Complete Guide to Infrared &amp; Red Light Therapy (2018)")</f>
        <v>Your Complete Guide to Infrared &amp; Red Light Therapy (2018)</v>
      </c>
      <c r="D4" s="732" t="s">
        <v>39147</v>
      </c>
    </row>
    <row r="5">
      <c r="A5" s="733" t="s">
        <v>39148</v>
      </c>
      <c r="B5" s="734"/>
      <c r="C5" s="731" t="str">
        <f>HYPERLINK("http://valtsus.blogspot.com/2017/05/the-therapeutic-effects-of-red-and-near.html","The Therapeutic Effects of Red and Near-Infrared Light (2017)")</f>
        <v>The Therapeutic Effects of Red and Near-Infrared Light (2017)</v>
      </c>
      <c r="D5" s="732" t="s">
        <v>39149</v>
      </c>
    </row>
    <row r="6">
      <c r="A6" s="735" t="s">
        <v>39150</v>
      </c>
      <c r="B6" s="736"/>
      <c r="C6" s="737" t="str">
        <f>HYPERLINK("https://www.amazon.com/Ultimate-Guide-Light-Therapy-Near-Infrared-ebook/dp/B07FJNZ821","Ari Whitten: The Ultimate Guide To Red Light Therapy (2018)")</f>
        <v>Ari Whitten: The Ultimate Guide To Red Light Therapy (2018)</v>
      </c>
      <c r="D6" s="738" t="s">
        <v>39151</v>
      </c>
    </row>
    <row r="7">
      <c r="A7" s="727" t="s">
        <v>39152</v>
      </c>
      <c r="B7" s="728"/>
      <c r="C7" s="739" t="s">
        <v>39153</v>
      </c>
      <c r="D7" s="730" t="s">
        <v>39154</v>
      </c>
    </row>
    <row r="8">
      <c r="C8" s="729" t="str">
        <f>HYPERLINK("https://link.springer.com/book/10.1007/978-3-030-29604-9#toc","Lasers in Oral and Maxillofacial Surgery (2020)")</f>
        <v>Lasers in Oral and Maxillofacial Surgery (2020)</v>
      </c>
      <c r="D8" s="730" t="s">
        <v>39155</v>
      </c>
    </row>
    <row r="9">
      <c r="C9" s="729" t="str">
        <f>HYPERLINK("https://iopscience.iop.org/book/978-1-64327-720-2.pdf","Run in the Light: Exploring exercise and photobiomodulation in Parkinson's disease (2019)")</f>
        <v>Run in the Light: Exploring exercise and photobiomodulation in Parkinson's disease (2019)</v>
      </c>
      <c r="D9" s="730" t="s">
        <v>39156</v>
      </c>
    </row>
    <row r="10">
      <c r="C10" s="729" t="str">
        <f>HYPERLINK("https://www.sciencedirect.com/book/9780128153055/photobiomodulation-in-the-brain","Photobiomodulation in the Brain: Low-Level Laser (Light) Therapy in Neurology and Neuroscience (2019)")</f>
        <v>Photobiomodulation in the Brain: Low-Level Laser (Light) Therapy in Neurology and Neuroscience (2019)</v>
      </c>
      <c r="D10" s="730" t="s">
        <v>39157</v>
      </c>
    </row>
    <row r="11">
      <c r="C11" s="729" t="str">
        <f>HYPERLINK("http://spie.org/Publications/Book/2295637?SSO=1","Low-Level Light Therapy: Photobiomodulation (2018)")</f>
        <v>Low-Level Light Therapy: Photobiomodulation (2018)</v>
      </c>
      <c r="D11" s="730" t="s">
        <v>39158</v>
      </c>
    </row>
    <row r="12">
      <c r="C12" s="729" t="str">
        <f>HYPERLINK("https://www.wiley.com/en-fi/Laser+Therapy+in+Veterinary+Medicine:+Photobiomodulation-p-9781119220114","Laser Therapy in Veterinary Medicine. Photobiomodulation (2017)")</f>
        <v>Laser Therapy in Veterinary Medicine. Photobiomodulation (2017)</v>
      </c>
      <c r="D12" s="730" t="s">
        <v>39159</v>
      </c>
    </row>
    <row r="13">
      <c r="C13" s="729" t="str">
        <f>HYPERLINK("https://www.crcpress.com/Handbook-of-Low-Level-Laser-Therapy/Hamblin-Agrawal-de-Sousa/p/book/9789814669603","Handbook of Low-Level Laser Therapy (2016)")</f>
        <v>Handbook of Low-Level Laser Therapy (2016)</v>
      </c>
      <c r="D13" s="730" t="s">
        <v>39160</v>
      </c>
    </row>
    <row r="14">
      <c r="C14" s="729" t="str">
        <f>HYPERLINK("http://lasertherapybooks.com/","Laser Phototherapy: Clinical Practice and Scientific Background (2015)")</f>
        <v>Laser Phototherapy: Clinical Practice and Scientific Background (2015)</v>
      </c>
      <c r="D14" s="730" t="s">
        <v>39161</v>
      </c>
    </row>
    <row r="15">
      <c r="C15" s="729" t="str">
        <f>HYPERLINK("https://www.crcpress.com/Handbook-of-Photomedicine/Hamblin-Huang/p/book/9781439884690","Handbook of Photomedicine (2013)")</f>
        <v>Handbook of Photomedicine (2013)</v>
      </c>
      <c r="D15" s="730" t="s">
        <v>39162</v>
      </c>
    </row>
    <row r="16">
      <c r="A16" s="431"/>
      <c r="B16" s="431"/>
      <c r="C16" s="731" t="str">
        <f>HYPERLINK("https://www.isan.troitsk.ru/dls/publ3/PPmina.pdf","Ten lectures on basic science of laser phototherapy (2007)")</f>
        <v>Ten lectures on basic science of laser phototherapy (2007)</v>
      </c>
      <c r="D16" s="740" t="s">
        <v>39163</v>
      </c>
    </row>
    <row r="17">
      <c r="A17" s="727" t="s">
        <v>39164</v>
      </c>
      <c r="B17" s="728"/>
      <c r="C17" s="729" t="str">
        <f>HYPERLINK("https://www.facebook.com/groups/414712655404400/","Low Level Laser Therapy (LLLT) and Photobiomodulation (PBM) Discussions")</f>
        <v>Low Level Laser Therapy (LLLT) and Photobiomodulation (PBM) Discussions</v>
      </c>
      <c r="D17" s="730" t="s">
        <v>39165</v>
      </c>
    </row>
    <row r="18">
      <c r="A18" s="431"/>
      <c r="B18" s="431"/>
      <c r="C18" s="731" t="str">
        <f>HYPERLINK("https://www.facebook.com/NAALTpage/","NAALT - North American Association for Photobiomodulation Therapy")</f>
        <v>NAALT - North American Association for Photobiomodulation Therapy</v>
      </c>
      <c r="D18" s="732" t="s">
        <v>39166</v>
      </c>
    </row>
    <row r="19">
      <c r="A19" s="727" t="s">
        <v>39167</v>
      </c>
      <c r="B19" s="741"/>
      <c r="C19" s="742" t="s">
        <v>39168</v>
      </c>
      <c r="D19" s="730" t="s">
        <v>39169</v>
      </c>
    </row>
    <row r="20">
      <c r="C20" s="743" t="str">
        <f>HYPERLINK("https://phys.org/news/2019-05-device-memory-retention-astronauts.html","LED device could increase memory retention among astronauts (Phys.org 2019)")</f>
        <v>LED device could increase memory retention among astronauts (Phys.org 2019)</v>
      </c>
      <c r="D20" s="730" t="s">
        <v>39170</v>
      </c>
    </row>
    <row r="21">
      <c r="C21" s="743" t="str">
        <f>HYPERLINK("https://www.seeker.com/led-light-therapy-could-radically-change-the-treatment-of-brain-diseas-2294712527.html","LED Light Therapy Could Radically Change Our Treatment of Brain Disease (Seeker 2017)")</f>
        <v>LED Light Therapy Could Radically Change Our Treatment of Brain Disease (Seeker 2017)</v>
      </c>
      <c r="D21" s="730" t="s">
        <v>39171</v>
      </c>
    </row>
    <row r="22">
      <c r="C22" s="743" t="str">
        <f>HYPERLINK("https://www.theaustralian.com.au/weekend-australian-magazine/let-there-be-light/news-story/7a35f2886a153ff69696caf333a7a611","Let there be light (The Australian 2017)")</f>
        <v>Let there be light (The Australian 2017)</v>
      </c>
      <c r="D22" s="730" t="s">
        <v>39172</v>
      </c>
    </row>
    <row r="23">
      <c r="C23" s="743" t="str">
        <f>HYPERLINK("https://www.massgeneral.org/News/pressrelease.aspx?id=1967","Low-level laser therapy may improve treatment of dangerous bleeding disorder (Massachusetts General Hospital 2016)")</f>
        <v>Low-level laser therapy may improve treatment of dangerous bleeding disorder (Massachusetts General Hospital 2016)</v>
      </c>
      <c r="D23" s="730" t="s">
        <v>39173</v>
      </c>
    </row>
    <row r="24">
      <c r="C24" s="729" t="str">
        <f>HYPERLINK("https://www.wisconsinacademy.org/magazine/light-medicine","Light As Medicine? (Wisconsin Academy 2014)")</f>
        <v>Light As Medicine? (Wisconsin Academy 2014)</v>
      </c>
      <c r="D24" s="730" t="s">
        <v>39174</v>
      </c>
    </row>
    <row r="25">
      <c r="C25" s="744" t="str">
        <f>HYPERLINK("http://inspired.sydney.edu.au/shining-a-red-light-on-parkinsons-disease/","Shining a (red) light on Parkinson’s disease (University of Sydney 2013)")</f>
        <v>Shining a (red) light on Parkinson’s disease (University of Sydney 2013)</v>
      </c>
      <c r="D25" s="730" t="s">
        <v>39175</v>
      </c>
    </row>
    <row r="26">
      <c r="C26" s="745" t="str">
        <f>HYPERLINK("https://www.sciencedaily.com/releases/2011/08/110811083820.htm","Lasers stimulate stem cells and reduce heart scarring after heart attack, study suggests (ScienceDaily 2011)")</f>
        <v>Lasers stimulate stem cells and reduce heart scarring after heart attack, study suggests (ScienceDaily 2011)</v>
      </c>
      <c r="D26" s="730" t="s">
        <v>39176</v>
      </c>
    </row>
    <row r="27">
      <c r="A27" s="431"/>
      <c r="B27" s="431"/>
      <c r="C27" s="746" t="str">
        <f>HYPERLINK("https://www.nature.com/articles/443901a","Cell biology: Power games (Nature 2006)")</f>
        <v>Cell biology: Power games (Nature 2006)</v>
      </c>
      <c r="D27" s="747" t="s">
        <v>39177</v>
      </c>
    </row>
    <row r="28">
      <c r="A28" s="727" t="s">
        <v>39178</v>
      </c>
      <c r="B28" s="728"/>
      <c r="C28" s="744" t="s">
        <v>39179</v>
      </c>
      <c r="D28" s="748" t="s">
        <v>39180</v>
      </c>
    </row>
    <row r="29">
      <c r="A29" s="733"/>
      <c r="B29" s="734"/>
      <c r="C29" s="749" t="s">
        <v>39181</v>
      </c>
      <c r="D29" s="747" t="s">
        <v>39182</v>
      </c>
    </row>
    <row r="30">
      <c r="A30" s="727" t="s">
        <v>39183</v>
      </c>
      <c r="B30" s="728"/>
      <c r="C30" s="744" t="str">
        <f>HYPERLINK("https://www.thorlaser.com/","THOR Laser")</f>
        <v>THOR Laser</v>
      </c>
      <c r="D30" s="748" t="s">
        <v>39184</v>
      </c>
    </row>
    <row r="31">
      <c r="C31" s="744" t="str">
        <f>HYPERLINK("https://www.irradia.com/","Irradia")</f>
        <v>Irradia</v>
      </c>
      <c r="D31" s="748" t="s">
        <v>39185</v>
      </c>
    </row>
    <row r="32">
      <c r="C32" s="744" t="str">
        <f>HYPERLINK("http://www.spectravet.com/","SpectraVET")</f>
        <v>SpectraVET</v>
      </c>
      <c r="D32" s="748" t="s">
        <v>39186</v>
      </c>
    </row>
    <row r="33">
      <c r="C33" s="744" t="s">
        <v>39187</v>
      </c>
      <c r="D33" s="750" t="s">
        <v>39188</v>
      </c>
    </row>
    <row r="34">
      <c r="C34" s="744" t="str">
        <f>HYPERLINK("https://lightstim.com/ledbed/","LightStim")</f>
        <v>LightStim</v>
      </c>
      <c r="D34" s="748" t="s">
        <v>39189</v>
      </c>
    </row>
    <row r="35">
      <c r="C35" s="744" t="s">
        <v>39190</v>
      </c>
      <c r="D35" s="748" t="s">
        <v>39191</v>
      </c>
    </row>
    <row r="36">
      <c r="C36" s="744" t="str">
        <f>HYPERLINK("https://www.carewear.net/","CareWear")</f>
        <v>CareWear</v>
      </c>
      <c r="D36" s="748" t="s">
        <v>39192</v>
      </c>
    </row>
    <row r="37">
      <c r="C37" s="751" t="s">
        <v>39193</v>
      </c>
      <c r="D37" s="748" t="s">
        <v>39194</v>
      </c>
    </row>
    <row r="38">
      <c r="C38" s="744" t="str">
        <f>HYPERLINK("https://lasotronic.ch/?lang=en","Lasotronic")</f>
        <v>Lasotronic</v>
      </c>
      <c r="D38" s="748" t="s">
        <v>39195</v>
      </c>
    </row>
    <row r="39">
      <c r="C39" s="751" t="s">
        <v>39196</v>
      </c>
      <c r="D39" s="748" t="s">
        <v>39197</v>
      </c>
    </row>
    <row r="40">
      <c r="C40" s="744" t="str">
        <f>HYPERLINK("https://www.minilaser.at/","HELBO")</f>
        <v>HELBO</v>
      </c>
      <c r="D40" s="748" t="s">
        <v>39198</v>
      </c>
    </row>
    <row r="41">
      <c r="C41" s="744" t="str">
        <f>HYPERLINK("https://www.webermedical.com/index.php?id=1&amp;lang=en","Weber Medical")</f>
        <v>Weber Medical</v>
      </c>
      <c r="D41" s="747" t="s">
        <v>39199</v>
      </c>
    </row>
    <row r="42">
      <c r="A42" s="431"/>
      <c r="B42" s="431"/>
      <c r="C42" s="749" t="str">
        <f>HYPERLINK("https://www.rj-laser.com/","RJ Laser")</f>
        <v>RJ Laser</v>
      </c>
      <c r="D42" s="747" t="s">
        <v>39200</v>
      </c>
    </row>
    <row r="43">
      <c r="A43" s="727" t="s">
        <v>39201</v>
      </c>
      <c r="B43" s="728"/>
      <c r="C43" s="744" t="str">
        <f>HYPERLINK("https://waltza.co.za/","WALT (World Association for Laser Therapy)")</f>
        <v>WALT (World Association for Laser Therapy)</v>
      </c>
      <c r="D43" s="748" t="s">
        <v>39202</v>
      </c>
    </row>
    <row r="44">
      <c r="C44" s="744" t="str">
        <f>HYPERLINK("https://www.naalt.org/","NAALT (North American Association for Photobiomodulation Therapy)")</f>
        <v>NAALT (North American Association for Photobiomodulation Therapy)</v>
      </c>
      <c r="D44" s="748" t="s">
        <v>39203</v>
      </c>
    </row>
    <row r="45">
      <c r="C45" s="744" t="str">
        <f>HYPERLINK("http://www.amla.org.au/","AMLA (Australian Medical Laser Association)")</f>
        <v>AMLA (Australian Medical Laser Association)</v>
      </c>
      <c r="D45" s="748" t="s">
        <v>39204</v>
      </c>
    </row>
    <row r="46">
      <c r="C46" s="744" t="str">
        <f>HYPERLINK("http://www.laser.nu/","SLMS (Swedish Laser Medical Society)")</f>
        <v>SLMS (Swedish Laser Medical Society)</v>
      </c>
      <c r="D46" s="752" t="s">
        <v>39205</v>
      </c>
    </row>
    <row r="47">
      <c r="A47" s="431"/>
      <c r="B47" s="431"/>
      <c r="C47" s="749" t="str">
        <f>HYPERLINK("https://www.colll.org/index.php?spr=en","College for Laser-Phototherapy (Colll)")</f>
        <v>College for Laser-Phototherapy (Colll)</v>
      </c>
      <c r="D47" s="747" t="s">
        <v>39206</v>
      </c>
    </row>
    <row r="48">
      <c r="A48" s="727" t="s">
        <v>39207</v>
      </c>
      <c r="B48" s="728"/>
      <c r="C48" s="744" t="s">
        <v>39208</v>
      </c>
      <c r="D48" s="748" t="s">
        <v>39209</v>
      </c>
    </row>
    <row r="49">
      <c r="A49" s="727"/>
      <c r="C49" s="744" t="str">
        <f>HYPERLINK("https://redlightman.com/","Red Light Man")</f>
        <v>Red Light Man</v>
      </c>
      <c r="D49" s="748" t="s">
        <v>39210</v>
      </c>
    </row>
    <row r="50">
      <c r="A50" s="727"/>
      <c r="C50" s="744" t="str">
        <f>HYPERLINK("https://redlightrising.co.uk/","Red Light Rising")</f>
        <v>Red Light Rising</v>
      </c>
      <c r="D50" s="748" t="s">
        <v>39211</v>
      </c>
    </row>
    <row r="51">
      <c r="A51" s="727"/>
      <c r="C51" s="744" t="str">
        <f>HYPERLINK("https://carelamps.com/","CareLamps")</f>
        <v>CareLamps</v>
      </c>
      <c r="D51" s="748" t="s">
        <v>39212</v>
      </c>
    </row>
    <row r="52">
      <c r="A52" s="727"/>
      <c r="C52" s="744" t="str">
        <f>HYPERLINK("https://luminousred.com/","LuminousRed")</f>
        <v>LuminousRed</v>
      </c>
      <c r="D52" s="748" t="s">
        <v>39213</v>
      </c>
    </row>
    <row r="53">
      <c r="A53" s="727"/>
      <c r="C53" s="744" t="str">
        <f>HYPERLINK("https://cytoled.com/","CytoLED")</f>
        <v>CytoLED</v>
      </c>
      <c r="D53" s="748" t="s">
        <v>39213</v>
      </c>
    </row>
    <row r="54">
      <c r="A54" s="727"/>
      <c r="C54" s="744" t="str">
        <f>HYPERLINK("https://norahlux.red/","NorahLux")</f>
        <v>NorahLux</v>
      </c>
      <c r="D54" s="748" t="s">
        <v>39214</v>
      </c>
    </row>
    <row r="55">
      <c r="A55" s="727"/>
      <c r="C55" s="744" t="str">
        <f>HYPERLINK("https://joovv.com/","Joovv")</f>
        <v>Joovv</v>
      </c>
      <c r="D55" s="748" t="s">
        <v>39215</v>
      </c>
    </row>
    <row r="56">
      <c r="A56" s="727"/>
      <c r="C56" s="744" t="str">
        <f>HYPERLINK("https://platinumtherapylights.com/products/bio-rlt?variant=7095073374274","PlatinumLED Therapy Lights")</f>
        <v>PlatinumLED Therapy Lights</v>
      </c>
      <c r="D56" s="748" t="s">
        <v>39213</v>
      </c>
    </row>
    <row r="57">
      <c r="A57" s="727"/>
      <c r="C57" s="744" t="str">
        <f>HYPERLINK("https://gembared.com/","GembaRed")</f>
        <v>GembaRed</v>
      </c>
      <c r="D57" s="748" t="s">
        <v>39216</v>
      </c>
    </row>
    <row r="58">
      <c r="A58" s="727"/>
      <c r="C58" s="744" t="str">
        <f>HYPERLINK("https://redtherapy.co/","Red Therapy Co")</f>
        <v>Red Therapy Co</v>
      </c>
      <c r="D58" s="748" t="s">
        <v>39217</v>
      </c>
    </row>
    <row r="59">
      <c r="A59" s="727"/>
      <c r="C59" s="744" t="str">
        <f>HYPERLINK("https://hairmax.com/","Hairmax")</f>
        <v>Hairmax</v>
      </c>
      <c r="D59" s="748" t="s">
        <v>39218</v>
      </c>
    </row>
    <row r="60">
      <c r="A60" s="727"/>
      <c r="C60" s="744" t="str">
        <f>HYPERLINK("https://igrowlaser.com/","iGrow ")</f>
        <v>iGrow </v>
      </c>
      <c r="D60" s="748" t="s">
        <v>39218</v>
      </c>
    </row>
    <row r="61">
      <c r="A61" s="727"/>
      <c r="C61" s="751" t="s">
        <v>39219</v>
      </c>
      <c r="D61" s="748" t="s">
        <v>39220</v>
      </c>
    </row>
    <row r="62">
      <c r="A62" s="727"/>
      <c r="C62" s="744" t="s">
        <v>39221</v>
      </c>
      <c r="D62" s="748" t="s">
        <v>39222</v>
      </c>
    </row>
    <row r="63">
      <c r="A63" s="727"/>
      <c r="C63" s="744" t="str">
        <f>HYPERLINK("https://lifespandynamics.com.au/","Lifespan Dynamics")</f>
        <v>Lifespan Dynamics</v>
      </c>
      <c r="D63" s="748" t="s">
        <v>39223</v>
      </c>
    </row>
    <row r="64">
      <c r="A64" s="727"/>
      <c r="C64" s="751" t="s">
        <v>39224</v>
      </c>
      <c r="D64" s="748" t="s">
        <v>39223</v>
      </c>
    </row>
    <row r="65">
      <c r="A65" s="727"/>
      <c r="C65" s="751" t="s">
        <v>39225</v>
      </c>
      <c r="D65" s="748" t="s">
        <v>39226</v>
      </c>
    </row>
    <row r="66">
      <c r="A66" s="727"/>
      <c r="C66" s="751" t="s">
        <v>39227</v>
      </c>
      <c r="D66" s="747" t="s">
        <v>39228</v>
      </c>
    </row>
    <row r="67">
      <c r="A67" s="733"/>
      <c r="B67" s="431"/>
      <c r="C67" s="749" t="str">
        <f>HYPERLINK("https://vielight.com/","Vielight")</f>
        <v>Vielight</v>
      </c>
      <c r="D67" s="747" t="s">
        <v>39229</v>
      </c>
    </row>
    <row r="68">
      <c r="A68" s="727" t="s">
        <v>39230</v>
      </c>
      <c r="B68" s="728"/>
      <c r="C68" s="743" t="str">
        <f>HYPERLINK("https://www.youtube.com/watch?v=0jVbjVQLlgg","Janis Eells - Pt. 1: How I Started Researching Low Level Laser Therapy (by Multi Radiance Medical 2018)")</f>
        <v>Janis Eells - Pt. 1: How I Started Researching Low Level Laser Therapy (by Multi Radiance Medical 2018)</v>
      </c>
      <c r="D68" s="730"/>
    </row>
    <row r="69">
      <c r="C69" s="743" t="str">
        <f>HYPERLINK("https://www.youtube.com/watch?v=nnOZcRKHonE","Janis Eells - Pt. 2: Photobiomodulation Research in New Disciplines")</f>
        <v>Janis Eells - Pt. 2: Photobiomodulation Research in New Disciplines</v>
      </c>
      <c r="D69" s="730"/>
    </row>
    <row r="70">
      <c r="C70" s="743" t="str">
        <f>HYPERLINK("https://www.youtube.com/watch?v=tpkPzNkGa2o","Janis Eells - Pt. 3: Photobiomodulation's Impact on Medicine")</f>
        <v>Janis Eells - Pt. 3: Photobiomodulation's Impact on Medicine</v>
      </c>
      <c r="D70" s="730"/>
    </row>
    <row r="71">
      <c r="C71" s="743" t="str">
        <f>HYPERLINK("https://www.youtube.com/watch?v=7Cpz-veVWF8","Janis Eells - Pt. 4: The Future of Photobiomodulation")</f>
        <v>Janis Eells - Pt. 4: The Future of Photobiomodulation</v>
      </c>
      <c r="D71" s="730"/>
    </row>
    <row r="72">
      <c r="C72" s="743" t="str">
        <f>HYPERLINK("https://www.youtube.com/watch?v=n-hMvUobLEE","James Carroll - Harnessing the Power of Sunlight for Healing (by Bliss Revealed 2018)")</f>
        <v>James Carroll - Harnessing the Power of Sunlight for Healing (by Bliss Revealed 2018)</v>
      </c>
      <c r="D72" s="730"/>
    </row>
    <row r="73">
      <c r="C73" s="743" t="str">
        <f>HYPERLINK("https://www.youtube.com/watch?v=Pr3kuabexV4","Michael Hamblin (by Joseph Mercola 2017)")</f>
        <v>Michael Hamblin (by Joseph Mercola 2017)</v>
      </c>
      <c r="D73" s="730"/>
    </row>
    <row r="74">
      <c r="C74" s="743" t="str">
        <f>HYPERLINK("https://www.youtube.com/watch?v=xJ5Lwca7dAE#t=9m20s","Daniel Johnstone (by Diffusion Science Radio 2016)")</f>
        <v>Daniel Johnstone (by Diffusion Science Radio 2016)</v>
      </c>
      <c r="D74" s="730" t="s">
        <v>39231</v>
      </c>
    </row>
    <row r="75">
      <c r="A75" s="431"/>
      <c r="B75" s="431"/>
      <c r="C75" s="753" t="str">
        <f>HYPERLINK("https://www.youtube.com/watch?v=wAW8Fvg-TJQ","Michael Hamblin (by Joe Cohen 2015)")</f>
        <v>Michael Hamblin (by Joe Cohen 2015)</v>
      </c>
      <c r="D75" s="732"/>
    </row>
    <row r="76">
      <c r="A76" s="727" t="s">
        <v>39232</v>
      </c>
      <c r="B76" s="728"/>
      <c r="C76" s="743" t="str">
        <f>HYPERLINK("https://www.youtube.com/watch?v=0MMewRIP51M","Juanita J. Anders - Photobiomodulation Therapy: What is It? (2018)")</f>
        <v>Juanita J. Anders - Photobiomodulation Therapy: What is It? (2018)</v>
      </c>
      <c r="D76" s="730" t="s">
        <v>39233</v>
      </c>
    </row>
    <row r="77">
      <c r="C77" s="743" t="str">
        <f>HYPERLINK("https://www.youtube.com/watch?v=0zhE02ZL-4o","Paolo Cassano - Invisible Light! Can the Treatment of Depression Be Beyond What is Seen? (2018)")</f>
        <v>Paolo Cassano - Invisible Light! Can the Treatment of Depression Be Beyond What is Seen? (2018)</v>
      </c>
      <c r="D77" s="730"/>
    </row>
    <row r="78">
      <c r="C78" s="743" t="str">
        <f>HYPERLINK("https://www.youtube.com/watch?v=8_0tlabo1Zc","Andrei Barasch - Photobiomodulation Effect On Oral Cancer Prior to Radiation Therapy (2018)")</f>
        <v>Andrei Barasch - Photobiomodulation Effect On Oral Cancer Prior to Radiation Therapy (2018)</v>
      </c>
      <c r="D78" s="730" t="s">
        <v>39234</v>
      </c>
    </row>
    <row r="79">
      <c r="C79" s="743" t="str">
        <f>HYPERLINK("https://www.youtube.com/watch?v=VoTvySabiHc","Tiina Karu - Cellular and Molecular Mechanisms of Photobiomodulation (2015)")</f>
        <v>Tiina Karu - Cellular and Molecular Mechanisms of Photobiomodulation (2015)</v>
      </c>
      <c r="D79" s="730" t="s">
        <v>39235</v>
      </c>
    </row>
    <row r="80">
      <c r="C80" s="743" t="str">
        <f>HYPERLINK("https://www.youtube.com/watch?v=5nltOGcOnJ4","Janis Eells - Unblinded by the Light: Light Therapy in Eye Disease (2016)")</f>
        <v>Janis Eells - Unblinded by the Light: Light Therapy in Eye Disease (2016)</v>
      </c>
      <c r="D80" s="730" t="s">
        <v>39236</v>
      </c>
    </row>
    <row r="81">
      <c r="A81" s="431"/>
      <c r="B81" s="431"/>
      <c r="C81" s="753" t="str">
        <f>HYPERLINK("https://www.youtube.com/watch?v=XxRIds1EKqk","Juanita Anders - Central and Peripheral Nervous System Light Therapy Applications (2010)")</f>
        <v>Juanita Anders - Central and Peripheral Nervous System Light Therapy Applications (2010)</v>
      </c>
      <c r="D81" s="732" t="s">
        <v>39237</v>
      </c>
    </row>
    <row r="82">
      <c r="A82" s="393"/>
      <c r="B82" s="754"/>
      <c r="C82" s="755"/>
      <c r="D82" s="756"/>
    </row>
    <row r="83">
      <c r="A83" s="393"/>
      <c r="B83" s="754"/>
      <c r="C83" s="755"/>
      <c r="D83" s="756"/>
    </row>
    <row r="84">
      <c r="A84" s="393"/>
      <c r="B84" s="754"/>
      <c r="C84" s="755"/>
      <c r="D84" s="756"/>
    </row>
    <row r="85">
      <c r="A85" s="393"/>
      <c r="B85" s="754"/>
      <c r="C85" s="755"/>
      <c r="D85" s="756"/>
    </row>
    <row r="86">
      <c r="A86" s="393"/>
      <c r="B86" s="754"/>
      <c r="C86" s="755"/>
      <c r="D86" s="756"/>
    </row>
    <row r="87">
      <c r="A87" s="393"/>
      <c r="B87" s="754"/>
      <c r="C87" s="755"/>
      <c r="D87" s="756"/>
    </row>
    <row r="88">
      <c r="A88" s="393"/>
      <c r="B88" s="754"/>
      <c r="C88" s="755"/>
      <c r="D88" s="756"/>
    </row>
    <row r="89">
      <c r="A89" s="393"/>
      <c r="B89" s="754"/>
      <c r="C89" s="755"/>
      <c r="D89" s="756"/>
    </row>
    <row r="90">
      <c r="A90" s="393"/>
      <c r="B90" s="754"/>
      <c r="C90" s="755"/>
      <c r="D90" s="756"/>
    </row>
    <row r="91">
      <c r="A91" s="393"/>
      <c r="B91" s="754"/>
      <c r="C91" s="755"/>
      <c r="D91" s="756"/>
    </row>
    <row r="92">
      <c r="A92" s="393"/>
      <c r="B92" s="754"/>
      <c r="C92" s="755"/>
      <c r="D92" s="756"/>
    </row>
    <row r="93">
      <c r="A93" s="393"/>
      <c r="B93" s="754"/>
      <c r="C93" s="755"/>
      <c r="D93" s="756"/>
    </row>
    <row r="94">
      <c r="A94" s="393"/>
      <c r="B94" s="754"/>
      <c r="C94" s="755"/>
      <c r="D94" s="756"/>
    </row>
    <row r="95">
      <c r="A95" s="393"/>
      <c r="B95" s="754"/>
      <c r="C95" s="755"/>
      <c r="D95" s="756"/>
    </row>
    <row r="96">
      <c r="A96" s="393"/>
      <c r="B96" s="754"/>
      <c r="C96" s="755"/>
      <c r="D96" s="756"/>
    </row>
    <row r="97">
      <c r="A97" s="393"/>
      <c r="B97" s="754"/>
      <c r="C97" s="755"/>
      <c r="D97" s="756"/>
    </row>
    <row r="98">
      <c r="A98" s="393"/>
      <c r="B98" s="754"/>
      <c r="C98" s="755"/>
      <c r="D98" s="756"/>
    </row>
    <row r="99">
      <c r="A99" s="393"/>
      <c r="B99" s="754"/>
      <c r="C99" s="755"/>
      <c r="D99" s="756"/>
    </row>
    <row r="100">
      <c r="A100" s="393"/>
      <c r="B100" s="754"/>
      <c r="C100" s="755"/>
      <c r="D100" s="756"/>
    </row>
    <row r="101">
      <c r="A101" s="393"/>
      <c r="B101" s="754"/>
      <c r="C101" s="755"/>
      <c r="D101" s="756"/>
    </row>
    <row r="102">
      <c r="A102" s="393"/>
      <c r="B102" s="754"/>
      <c r="C102" s="755"/>
      <c r="D102" s="756"/>
    </row>
    <row r="103">
      <c r="A103" s="393"/>
      <c r="B103" s="754"/>
      <c r="C103" s="755"/>
      <c r="D103" s="756"/>
    </row>
    <row r="104">
      <c r="A104" s="393"/>
      <c r="B104" s="754"/>
      <c r="C104" s="755"/>
      <c r="D104" s="756"/>
    </row>
    <row r="105">
      <c r="A105" s="393"/>
      <c r="B105" s="754"/>
      <c r="C105" s="755"/>
      <c r="D105" s="756"/>
    </row>
    <row r="106">
      <c r="A106" s="393"/>
      <c r="B106" s="754"/>
      <c r="C106" s="755"/>
      <c r="D106" s="756"/>
    </row>
    <row r="107">
      <c r="A107" s="393"/>
      <c r="B107" s="754"/>
      <c r="C107" s="755"/>
      <c r="D107" s="756"/>
    </row>
    <row r="108">
      <c r="A108" s="393"/>
      <c r="B108" s="754"/>
      <c r="C108" s="755"/>
      <c r="D108" s="756"/>
    </row>
    <row r="109">
      <c r="A109" s="393"/>
      <c r="B109" s="754"/>
      <c r="C109" s="755"/>
      <c r="D109" s="756"/>
    </row>
    <row r="110">
      <c r="A110" s="393"/>
      <c r="B110" s="754"/>
      <c r="C110" s="755"/>
      <c r="D110" s="756"/>
    </row>
    <row r="111">
      <c r="A111" s="393"/>
      <c r="B111" s="754"/>
      <c r="C111" s="755"/>
      <c r="D111" s="756"/>
    </row>
    <row r="112">
      <c r="A112" s="393"/>
      <c r="B112" s="754"/>
      <c r="C112" s="755"/>
      <c r="D112" s="756"/>
    </row>
    <row r="113">
      <c r="A113" s="393"/>
      <c r="B113" s="754"/>
      <c r="C113" s="755"/>
      <c r="D113" s="756"/>
    </row>
    <row r="114">
      <c r="A114" s="393"/>
      <c r="B114" s="754"/>
      <c r="C114" s="755"/>
      <c r="D114" s="756"/>
    </row>
    <row r="115">
      <c r="A115" s="393"/>
      <c r="B115" s="754"/>
      <c r="C115" s="755"/>
      <c r="D115" s="756"/>
    </row>
    <row r="116">
      <c r="A116" s="393"/>
      <c r="B116" s="754"/>
      <c r="C116" s="755"/>
      <c r="D116" s="756"/>
    </row>
    <row r="117">
      <c r="A117" s="393"/>
      <c r="B117" s="754"/>
      <c r="C117" s="755"/>
      <c r="D117" s="756"/>
    </row>
    <row r="118">
      <c r="A118" s="393"/>
      <c r="B118" s="754"/>
      <c r="C118" s="755"/>
      <c r="D118" s="756"/>
    </row>
    <row r="119">
      <c r="A119" s="393"/>
      <c r="B119" s="754"/>
      <c r="C119" s="755"/>
      <c r="D119" s="756"/>
    </row>
    <row r="120">
      <c r="A120" s="393"/>
      <c r="B120" s="754"/>
      <c r="C120" s="755"/>
      <c r="D120" s="756"/>
    </row>
    <row r="121">
      <c r="A121" s="393"/>
      <c r="B121" s="754"/>
      <c r="C121" s="755"/>
      <c r="D121" s="756"/>
    </row>
    <row r="122">
      <c r="A122" s="393"/>
      <c r="B122" s="754"/>
      <c r="C122" s="755"/>
      <c r="D122" s="756"/>
    </row>
    <row r="123">
      <c r="A123" s="393"/>
      <c r="B123" s="754"/>
      <c r="C123" s="755"/>
      <c r="D123" s="756"/>
    </row>
    <row r="124">
      <c r="A124" s="393"/>
      <c r="B124" s="754"/>
      <c r="C124" s="755"/>
      <c r="D124" s="756"/>
    </row>
    <row r="125">
      <c r="A125" s="393"/>
      <c r="B125" s="754"/>
      <c r="C125" s="755"/>
      <c r="D125" s="756"/>
    </row>
    <row r="126">
      <c r="A126" s="393"/>
      <c r="B126" s="754"/>
      <c r="C126" s="755"/>
      <c r="D126" s="756"/>
    </row>
    <row r="127">
      <c r="A127" s="393"/>
      <c r="B127" s="754"/>
      <c r="C127" s="755"/>
      <c r="D127" s="756"/>
    </row>
    <row r="128">
      <c r="A128" s="393"/>
      <c r="B128" s="754"/>
      <c r="C128" s="755"/>
      <c r="D128" s="756"/>
    </row>
    <row r="129">
      <c r="A129" s="393"/>
      <c r="B129" s="754"/>
      <c r="C129" s="755"/>
      <c r="D129" s="756"/>
    </row>
    <row r="130">
      <c r="A130" s="393"/>
      <c r="B130" s="754"/>
      <c r="C130" s="755"/>
      <c r="D130" s="756"/>
    </row>
    <row r="131">
      <c r="A131" s="393"/>
      <c r="B131" s="754"/>
      <c r="C131" s="755"/>
      <c r="D131" s="756"/>
    </row>
    <row r="132">
      <c r="A132" s="393"/>
      <c r="B132" s="754"/>
      <c r="C132" s="755"/>
      <c r="D132" s="756"/>
    </row>
    <row r="133">
      <c r="A133" s="393"/>
      <c r="B133" s="754"/>
      <c r="C133" s="755"/>
      <c r="D133" s="756"/>
    </row>
    <row r="134">
      <c r="A134" s="393"/>
      <c r="B134" s="754"/>
      <c r="C134" s="755"/>
      <c r="D134" s="756"/>
    </row>
    <row r="135">
      <c r="A135" s="393"/>
      <c r="B135" s="754"/>
      <c r="C135" s="755"/>
      <c r="D135" s="756"/>
    </row>
    <row r="136">
      <c r="A136" s="393"/>
      <c r="B136" s="754"/>
      <c r="C136" s="755"/>
      <c r="D136" s="756"/>
    </row>
    <row r="137">
      <c r="A137" s="393"/>
      <c r="B137" s="754"/>
      <c r="C137" s="755"/>
      <c r="D137" s="756"/>
    </row>
    <row r="138">
      <c r="A138" s="393"/>
      <c r="B138" s="754"/>
      <c r="C138" s="755"/>
      <c r="D138" s="756"/>
    </row>
    <row r="139">
      <c r="A139" s="393"/>
      <c r="B139" s="754"/>
      <c r="C139" s="755"/>
      <c r="D139" s="756"/>
    </row>
    <row r="140">
      <c r="A140" s="393"/>
      <c r="B140" s="754"/>
      <c r="C140" s="755"/>
      <c r="D140" s="756"/>
    </row>
    <row r="141">
      <c r="A141" s="393"/>
      <c r="B141" s="754"/>
      <c r="C141" s="755"/>
      <c r="D141" s="756"/>
    </row>
    <row r="142">
      <c r="A142" s="393"/>
      <c r="B142" s="754"/>
      <c r="C142" s="755"/>
      <c r="D142" s="756"/>
    </row>
    <row r="143">
      <c r="A143" s="393"/>
      <c r="B143" s="754"/>
      <c r="C143" s="755"/>
      <c r="D143" s="756"/>
    </row>
    <row r="144">
      <c r="A144" s="393"/>
      <c r="B144" s="754"/>
      <c r="C144" s="755"/>
      <c r="D144" s="756"/>
    </row>
    <row r="145">
      <c r="A145" s="393"/>
      <c r="B145" s="754"/>
      <c r="C145" s="755"/>
      <c r="D145" s="756"/>
    </row>
    <row r="146">
      <c r="A146" s="393"/>
      <c r="B146" s="754"/>
      <c r="C146" s="755"/>
      <c r="D146" s="756"/>
    </row>
    <row r="147">
      <c r="A147" s="393"/>
      <c r="B147" s="754"/>
      <c r="C147" s="755"/>
      <c r="D147" s="756"/>
    </row>
    <row r="148">
      <c r="A148" s="393"/>
      <c r="B148" s="754"/>
      <c r="C148" s="755"/>
      <c r="D148" s="756"/>
    </row>
    <row r="149">
      <c r="A149" s="393"/>
      <c r="B149" s="754"/>
      <c r="C149" s="755"/>
      <c r="D149" s="756"/>
    </row>
    <row r="150">
      <c r="A150" s="393"/>
      <c r="B150" s="754"/>
      <c r="C150" s="755"/>
      <c r="D150" s="756"/>
    </row>
    <row r="151">
      <c r="A151" s="393"/>
      <c r="B151" s="754"/>
      <c r="C151" s="755"/>
      <c r="D151" s="756"/>
    </row>
    <row r="152">
      <c r="A152" s="393"/>
      <c r="B152" s="754"/>
      <c r="C152" s="755"/>
      <c r="D152" s="756"/>
    </row>
    <row r="153">
      <c r="A153" s="393"/>
      <c r="B153" s="754"/>
      <c r="C153" s="755"/>
      <c r="D153" s="756"/>
    </row>
    <row r="154">
      <c r="A154" s="393"/>
      <c r="B154" s="754"/>
      <c r="C154" s="755"/>
      <c r="D154" s="756"/>
    </row>
    <row r="155">
      <c r="A155" s="393"/>
      <c r="B155" s="754"/>
      <c r="C155" s="755"/>
      <c r="D155" s="756"/>
    </row>
    <row r="156">
      <c r="A156" s="393"/>
      <c r="B156" s="754"/>
      <c r="C156" s="755"/>
      <c r="D156" s="756"/>
    </row>
    <row r="157">
      <c r="A157" s="393"/>
      <c r="B157" s="754"/>
      <c r="C157" s="755"/>
      <c r="D157" s="756"/>
    </row>
    <row r="158">
      <c r="A158" s="393"/>
      <c r="B158" s="754"/>
      <c r="C158" s="755"/>
      <c r="D158" s="756"/>
    </row>
    <row r="159">
      <c r="A159" s="393"/>
      <c r="B159" s="754"/>
      <c r="C159" s="755"/>
      <c r="D159" s="756"/>
    </row>
    <row r="160">
      <c r="A160" s="393"/>
      <c r="B160" s="754"/>
      <c r="C160" s="755"/>
      <c r="D160" s="756"/>
    </row>
    <row r="161">
      <c r="A161" s="393"/>
      <c r="B161" s="754"/>
      <c r="C161" s="755"/>
      <c r="D161" s="756"/>
    </row>
    <row r="162">
      <c r="A162" s="393"/>
      <c r="B162" s="754"/>
      <c r="C162" s="755"/>
      <c r="D162" s="756"/>
    </row>
    <row r="163">
      <c r="A163" s="393"/>
      <c r="B163" s="754"/>
      <c r="C163" s="755"/>
      <c r="D163" s="756"/>
    </row>
    <row r="164">
      <c r="A164" s="393"/>
      <c r="B164" s="754"/>
      <c r="C164" s="755"/>
      <c r="D164" s="756"/>
    </row>
    <row r="165">
      <c r="A165" s="393"/>
      <c r="B165" s="754"/>
      <c r="C165" s="755"/>
      <c r="D165" s="756"/>
    </row>
    <row r="166">
      <c r="A166" s="393"/>
      <c r="B166" s="754"/>
      <c r="C166" s="755"/>
      <c r="D166" s="756"/>
    </row>
    <row r="167">
      <c r="A167" s="393"/>
      <c r="B167" s="754"/>
      <c r="C167" s="755"/>
      <c r="D167" s="756"/>
    </row>
    <row r="168">
      <c r="A168" s="393"/>
      <c r="B168" s="754"/>
      <c r="C168" s="755"/>
      <c r="D168" s="756"/>
    </row>
    <row r="169">
      <c r="A169" s="393"/>
      <c r="B169" s="754"/>
      <c r="C169" s="755"/>
      <c r="D169" s="756"/>
    </row>
    <row r="170">
      <c r="A170" s="393"/>
      <c r="B170" s="754"/>
      <c r="C170" s="755"/>
      <c r="D170" s="756"/>
    </row>
    <row r="171">
      <c r="A171" s="393"/>
      <c r="B171" s="754"/>
      <c r="C171" s="755"/>
      <c r="D171" s="756"/>
    </row>
    <row r="172">
      <c r="A172" s="393"/>
      <c r="B172" s="754"/>
      <c r="C172" s="755"/>
      <c r="D172" s="756"/>
    </row>
    <row r="173">
      <c r="A173" s="393"/>
      <c r="B173" s="754"/>
      <c r="C173" s="755"/>
      <c r="D173" s="756"/>
    </row>
    <row r="174">
      <c r="A174" s="393"/>
      <c r="B174" s="754"/>
      <c r="C174" s="755"/>
      <c r="D174" s="756"/>
    </row>
    <row r="175">
      <c r="A175" s="393"/>
      <c r="B175" s="754"/>
      <c r="C175" s="755"/>
      <c r="D175" s="756"/>
    </row>
    <row r="176">
      <c r="A176" s="393"/>
      <c r="B176" s="754"/>
      <c r="C176" s="755"/>
      <c r="D176" s="756"/>
    </row>
    <row r="177">
      <c r="A177" s="393"/>
      <c r="B177" s="754"/>
      <c r="C177" s="755"/>
      <c r="D177" s="756"/>
    </row>
    <row r="178">
      <c r="A178" s="393"/>
      <c r="B178" s="754"/>
      <c r="C178" s="755"/>
      <c r="D178" s="756"/>
    </row>
    <row r="179">
      <c r="A179" s="393"/>
      <c r="B179" s="754"/>
      <c r="C179" s="755"/>
      <c r="D179" s="756"/>
    </row>
    <row r="180">
      <c r="A180" s="393"/>
      <c r="B180" s="754"/>
      <c r="C180" s="755"/>
      <c r="D180" s="756"/>
    </row>
    <row r="181">
      <c r="A181" s="393"/>
      <c r="B181" s="754"/>
      <c r="C181" s="755"/>
      <c r="D181" s="756"/>
    </row>
    <row r="182">
      <c r="A182" s="393"/>
      <c r="B182" s="754"/>
      <c r="C182" s="755"/>
      <c r="D182" s="756"/>
    </row>
    <row r="183">
      <c r="A183" s="393"/>
      <c r="B183" s="754"/>
      <c r="C183" s="755"/>
      <c r="D183" s="756"/>
    </row>
    <row r="184">
      <c r="A184" s="393"/>
      <c r="B184" s="754"/>
      <c r="C184" s="755"/>
      <c r="D184" s="756"/>
    </row>
    <row r="185">
      <c r="A185" s="393"/>
      <c r="B185" s="754"/>
      <c r="C185" s="755"/>
      <c r="D185" s="756"/>
    </row>
    <row r="186">
      <c r="A186" s="393"/>
      <c r="B186" s="754"/>
      <c r="C186" s="755"/>
      <c r="D186" s="756"/>
    </row>
    <row r="187">
      <c r="A187" s="393"/>
      <c r="B187" s="754"/>
      <c r="C187" s="755"/>
      <c r="D187" s="756"/>
    </row>
    <row r="188">
      <c r="A188" s="393"/>
      <c r="B188" s="754"/>
      <c r="C188" s="755"/>
      <c r="D188" s="756"/>
    </row>
    <row r="189">
      <c r="A189" s="393"/>
      <c r="B189" s="754"/>
      <c r="C189" s="755"/>
      <c r="D189" s="756"/>
    </row>
    <row r="190">
      <c r="A190" s="393"/>
      <c r="B190" s="754"/>
      <c r="C190" s="755"/>
      <c r="D190" s="756"/>
    </row>
    <row r="191">
      <c r="A191" s="393"/>
      <c r="B191" s="754"/>
      <c r="C191" s="755"/>
      <c r="D191" s="756"/>
    </row>
    <row r="192">
      <c r="A192" s="393"/>
      <c r="B192" s="754"/>
      <c r="C192" s="755"/>
      <c r="D192" s="756"/>
    </row>
    <row r="193">
      <c r="A193" s="393"/>
      <c r="B193" s="754"/>
      <c r="C193" s="755"/>
      <c r="D193" s="756"/>
    </row>
    <row r="194">
      <c r="A194" s="393"/>
      <c r="B194" s="754"/>
      <c r="C194" s="755"/>
      <c r="D194" s="756"/>
    </row>
    <row r="195">
      <c r="A195" s="393"/>
      <c r="B195" s="754"/>
      <c r="C195" s="755"/>
      <c r="D195" s="756"/>
    </row>
    <row r="196">
      <c r="A196" s="393"/>
      <c r="B196" s="754"/>
      <c r="C196" s="755"/>
      <c r="D196" s="756"/>
    </row>
    <row r="197">
      <c r="A197" s="393"/>
      <c r="B197" s="754"/>
      <c r="C197" s="755"/>
      <c r="D197" s="756"/>
    </row>
    <row r="198">
      <c r="A198" s="393"/>
      <c r="B198" s="754"/>
      <c r="C198" s="755"/>
      <c r="D198" s="756"/>
    </row>
    <row r="199">
      <c r="A199" s="393"/>
      <c r="B199" s="754"/>
      <c r="C199" s="755"/>
      <c r="D199" s="756"/>
    </row>
    <row r="200">
      <c r="A200" s="393"/>
      <c r="B200" s="754"/>
      <c r="C200" s="755"/>
      <c r="D200" s="756"/>
    </row>
    <row r="201">
      <c r="A201" s="393"/>
      <c r="B201" s="754"/>
      <c r="C201" s="755"/>
      <c r="D201" s="756"/>
    </row>
    <row r="202">
      <c r="A202" s="393"/>
      <c r="B202" s="754"/>
      <c r="C202" s="755"/>
      <c r="D202" s="756"/>
    </row>
    <row r="203">
      <c r="A203" s="393"/>
      <c r="B203" s="754"/>
      <c r="C203" s="755"/>
      <c r="D203" s="756"/>
    </row>
    <row r="204">
      <c r="A204" s="393"/>
      <c r="B204" s="754"/>
      <c r="C204" s="755"/>
      <c r="D204" s="756"/>
    </row>
    <row r="205">
      <c r="A205" s="393"/>
      <c r="B205" s="754"/>
      <c r="C205" s="755"/>
      <c r="D205" s="756"/>
    </row>
    <row r="206">
      <c r="A206" s="393"/>
      <c r="B206" s="754"/>
      <c r="C206" s="755"/>
      <c r="D206" s="756"/>
    </row>
    <row r="207">
      <c r="A207" s="393"/>
      <c r="B207" s="754"/>
      <c r="C207" s="755"/>
      <c r="D207" s="756"/>
    </row>
    <row r="208">
      <c r="A208" s="393"/>
      <c r="B208" s="754"/>
      <c r="C208" s="755"/>
      <c r="D208" s="756"/>
    </row>
    <row r="209">
      <c r="A209" s="393"/>
      <c r="B209" s="754"/>
      <c r="C209" s="755"/>
      <c r="D209" s="756"/>
    </row>
    <row r="210">
      <c r="A210" s="393"/>
      <c r="B210" s="754"/>
      <c r="C210" s="755"/>
      <c r="D210" s="756"/>
    </row>
    <row r="211">
      <c r="A211" s="393"/>
      <c r="B211" s="754"/>
      <c r="C211" s="755"/>
      <c r="D211" s="756"/>
    </row>
    <row r="212">
      <c r="A212" s="393"/>
      <c r="B212" s="754"/>
      <c r="C212" s="755"/>
      <c r="D212" s="756"/>
    </row>
    <row r="213">
      <c r="A213" s="393"/>
      <c r="B213" s="754"/>
      <c r="C213" s="755"/>
      <c r="D213" s="756"/>
    </row>
    <row r="214">
      <c r="A214" s="393"/>
      <c r="B214" s="754"/>
      <c r="C214" s="755"/>
      <c r="D214" s="756"/>
    </row>
    <row r="215">
      <c r="A215" s="393"/>
      <c r="B215" s="754"/>
      <c r="C215" s="755"/>
      <c r="D215" s="756"/>
    </row>
    <row r="216">
      <c r="A216" s="393"/>
      <c r="B216" s="754"/>
      <c r="C216" s="755"/>
      <c r="D216" s="756"/>
    </row>
    <row r="217">
      <c r="A217" s="393"/>
      <c r="B217" s="754"/>
      <c r="C217" s="755"/>
      <c r="D217" s="756"/>
    </row>
    <row r="218">
      <c r="A218" s="393"/>
      <c r="B218" s="754"/>
      <c r="C218" s="755"/>
      <c r="D218" s="756"/>
    </row>
    <row r="219">
      <c r="A219" s="393"/>
      <c r="B219" s="754"/>
      <c r="C219" s="755"/>
      <c r="D219" s="756"/>
    </row>
    <row r="220">
      <c r="A220" s="393"/>
      <c r="B220" s="754"/>
      <c r="C220" s="755"/>
      <c r="D220" s="756"/>
    </row>
    <row r="221">
      <c r="A221" s="393"/>
      <c r="B221" s="754"/>
      <c r="C221" s="755"/>
      <c r="D221" s="756"/>
    </row>
    <row r="222">
      <c r="A222" s="393"/>
      <c r="B222" s="754"/>
      <c r="C222" s="755"/>
      <c r="D222" s="756"/>
    </row>
    <row r="223">
      <c r="A223" s="393"/>
      <c r="B223" s="754"/>
      <c r="C223" s="755"/>
      <c r="D223" s="756"/>
    </row>
    <row r="224">
      <c r="A224" s="393"/>
      <c r="B224" s="754"/>
      <c r="C224" s="755"/>
      <c r="D224" s="756"/>
    </row>
    <row r="225">
      <c r="A225" s="393"/>
      <c r="B225" s="754"/>
      <c r="C225" s="755"/>
      <c r="D225" s="756"/>
    </row>
    <row r="226">
      <c r="A226" s="393"/>
      <c r="B226" s="754"/>
      <c r="C226" s="755"/>
      <c r="D226" s="756"/>
    </row>
    <row r="227">
      <c r="A227" s="393"/>
      <c r="B227" s="754"/>
      <c r="C227" s="755"/>
      <c r="D227" s="756"/>
    </row>
    <row r="228">
      <c r="A228" s="393"/>
      <c r="B228" s="754"/>
      <c r="C228" s="755"/>
      <c r="D228" s="756"/>
    </row>
    <row r="229">
      <c r="A229" s="393"/>
      <c r="B229" s="754"/>
      <c r="C229" s="755"/>
      <c r="D229" s="756"/>
    </row>
    <row r="230">
      <c r="A230" s="393"/>
      <c r="B230" s="754"/>
      <c r="C230" s="755"/>
      <c r="D230" s="756"/>
    </row>
    <row r="231">
      <c r="A231" s="393"/>
      <c r="B231" s="754"/>
      <c r="C231" s="755"/>
      <c r="D231" s="756"/>
    </row>
    <row r="232">
      <c r="A232" s="393"/>
      <c r="B232" s="754"/>
      <c r="C232" s="755"/>
      <c r="D232" s="756"/>
    </row>
    <row r="233">
      <c r="A233" s="393"/>
      <c r="B233" s="754"/>
      <c r="C233" s="755"/>
      <c r="D233" s="756"/>
    </row>
    <row r="234">
      <c r="A234" s="393"/>
      <c r="B234" s="754"/>
      <c r="C234" s="755"/>
      <c r="D234" s="756"/>
    </row>
    <row r="235">
      <c r="A235" s="393"/>
      <c r="B235" s="754"/>
      <c r="C235" s="755"/>
      <c r="D235" s="756"/>
    </row>
    <row r="236">
      <c r="A236" s="393"/>
      <c r="B236" s="754"/>
      <c r="C236" s="755"/>
      <c r="D236" s="756"/>
    </row>
    <row r="237">
      <c r="A237" s="393"/>
      <c r="B237" s="754"/>
      <c r="C237" s="755"/>
      <c r="D237" s="756"/>
    </row>
    <row r="238">
      <c r="A238" s="393"/>
      <c r="B238" s="754"/>
      <c r="C238" s="755"/>
      <c r="D238" s="756"/>
    </row>
    <row r="239">
      <c r="A239" s="393"/>
      <c r="B239" s="754"/>
      <c r="C239" s="755"/>
      <c r="D239" s="756"/>
    </row>
    <row r="240">
      <c r="A240" s="393"/>
      <c r="B240" s="754"/>
      <c r="C240" s="755"/>
      <c r="D240" s="756"/>
    </row>
    <row r="241">
      <c r="A241" s="393"/>
      <c r="B241" s="754"/>
      <c r="C241" s="755"/>
      <c r="D241" s="756"/>
    </row>
    <row r="242">
      <c r="A242" s="393"/>
      <c r="B242" s="754"/>
      <c r="C242" s="755"/>
      <c r="D242" s="756"/>
    </row>
    <row r="243">
      <c r="A243" s="393"/>
      <c r="B243" s="754"/>
      <c r="C243" s="755"/>
      <c r="D243" s="756"/>
    </row>
    <row r="244">
      <c r="A244" s="393"/>
      <c r="B244" s="754"/>
      <c r="C244" s="755"/>
      <c r="D244" s="756"/>
    </row>
    <row r="245">
      <c r="A245" s="393"/>
      <c r="B245" s="754"/>
      <c r="C245" s="755"/>
      <c r="D245" s="756"/>
    </row>
    <row r="246">
      <c r="A246" s="393"/>
      <c r="B246" s="754"/>
      <c r="C246" s="755"/>
      <c r="D246" s="756"/>
    </row>
    <row r="247">
      <c r="A247" s="393"/>
      <c r="B247" s="754"/>
      <c r="C247" s="755"/>
      <c r="D247" s="756"/>
    </row>
    <row r="248">
      <c r="A248" s="393"/>
      <c r="B248" s="754"/>
      <c r="C248" s="755"/>
      <c r="D248" s="756"/>
    </row>
    <row r="249">
      <c r="A249" s="393"/>
      <c r="B249" s="754"/>
      <c r="C249" s="755"/>
      <c r="D249" s="756"/>
    </row>
    <row r="250">
      <c r="A250" s="393"/>
      <c r="B250" s="754"/>
      <c r="C250" s="755"/>
      <c r="D250" s="756"/>
    </row>
    <row r="251">
      <c r="A251" s="393"/>
      <c r="B251" s="754"/>
      <c r="C251" s="755"/>
      <c r="D251" s="756"/>
    </row>
    <row r="252">
      <c r="A252" s="393"/>
      <c r="B252" s="754"/>
      <c r="C252" s="755"/>
      <c r="D252" s="756"/>
    </row>
    <row r="253">
      <c r="A253" s="393"/>
      <c r="B253" s="754"/>
      <c r="C253" s="755"/>
      <c r="D253" s="756"/>
    </row>
    <row r="254">
      <c r="A254" s="393"/>
      <c r="B254" s="754"/>
      <c r="C254" s="755"/>
      <c r="D254" s="756"/>
    </row>
    <row r="255">
      <c r="A255" s="393"/>
      <c r="B255" s="754"/>
      <c r="C255" s="755"/>
      <c r="D255" s="756"/>
    </row>
    <row r="256">
      <c r="A256" s="393"/>
      <c r="B256" s="754"/>
      <c r="C256" s="755"/>
      <c r="D256" s="756"/>
    </row>
    <row r="257">
      <c r="A257" s="393"/>
      <c r="B257" s="754"/>
      <c r="C257" s="755"/>
      <c r="D257" s="756"/>
    </row>
    <row r="258">
      <c r="A258" s="393"/>
      <c r="B258" s="754"/>
      <c r="C258" s="755"/>
      <c r="D258" s="756"/>
    </row>
    <row r="259">
      <c r="A259" s="393"/>
      <c r="B259" s="754"/>
      <c r="C259" s="755"/>
      <c r="D259" s="756"/>
    </row>
    <row r="260">
      <c r="A260" s="393"/>
      <c r="B260" s="754"/>
      <c r="C260" s="755"/>
      <c r="D260" s="756"/>
    </row>
    <row r="261">
      <c r="A261" s="393"/>
      <c r="B261" s="754"/>
      <c r="C261" s="755"/>
      <c r="D261" s="756"/>
    </row>
    <row r="262">
      <c r="A262" s="393"/>
      <c r="B262" s="754"/>
      <c r="C262" s="755"/>
      <c r="D262" s="756"/>
    </row>
    <row r="263">
      <c r="A263" s="393"/>
      <c r="B263" s="754"/>
      <c r="C263" s="755"/>
      <c r="D263" s="756"/>
    </row>
    <row r="264">
      <c r="A264" s="393"/>
      <c r="B264" s="754"/>
      <c r="C264" s="755"/>
      <c r="D264" s="756"/>
    </row>
    <row r="265">
      <c r="A265" s="393"/>
      <c r="B265" s="754"/>
      <c r="C265" s="755"/>
      <c r="D265" s="756"/>
    </row>
    <row r="266">
      <c r="A266" s="393"/>
      <c r="B266" s="754"/>
      <c r="C266" s="755"/>
      <c r="D266" s="756"/>
    </row>
    <row r="267">
      <c r="A267" s="393"/>
      <c r="B267" s="754"/>
      <c r="C267" s="755"/>
      <c r="D267" s="756"/>
    </row>
    <row r="268">
      <c r="A268" s="393"/>
      <c r="B268" s="754"/>
      <c r="C268" s="755"/>
      <c r="D268" s="756"/>
    </row>
    <row r="269">
      <c r="A269" s="393"/>
      <c r="B269" s="754"/>
      <c r="C269" s="755"/>
      <c r="D269" s="756"/>
    </row>
    <row r="270">
      <c r="A270" s="393"/>
      <c r="B270" s="754"/>
      <c r="C270" s="755"/>
      <c r="D270" s="756"/>
    </row>
    <row r="271">
      <c r="A271" s="393"/>
      <c r="B271" s="754"/>
      <c r="C271" s="755"/>
      <c r="D271" s="756"/>
    </row>
    <row r="272">
      <c r="A272" s="393"/>
      <c r="B272" s="754"/>
      <c r="C272" s="755"/>
      <c r="D272" s="756"/>
    </row>
    <row r="273">
      <c r="A273" s="393"/>
      <c r="B273" s="754"/>
      <c r="C273" s="755"/>
      <c r="D273" s="756"/>
    </row>
    <row r="274">
      <c r="A274" s="393"/>
      <c r="B274" s="754"/>
      <c r="C274" s="755"/>
      <c r="D274" s="756"/>
    </row>
    <row r="275">
      <c r="A275" s="393"/>
      <c r="B275" s="754"/>
      <c r="C275" s="755"/>
      <c r="D275" s="756"/>
    </row>
    <row r="276">
      <c r="A276" s="393"/>
      <c r="B276" s="754"/>
      <c r="C276" s="755"/>
      <c r="D276" s="756"/>
    </row>
    <row r="277">
      <c r="A277" s="393"/>
      <c r="B277" s="754"/>
      <c r="C277" s="755"/>
      <c r="D277" s="756"/>
    </row>
    <row r="278">
      <c r="A278" s="393"/>
      <c r="B278" s="754"/>
      <c r="C278" s="755"/>
      <c r="D278" s="756"/>
    </row>
    <row r="279">
      <c r="A279" s="393"/>
      <c r="B279" s="754"/>
      <c r="C279" s="755"/>
      <c r="D279" s="756"/>
    </row>
    <row r="280">
      <c r="A280" s="393"/>
      <c r="B280" s="754"/>
      <c r="C280" s="755"/>
      <c r="D280" s="756"/>
    </row>
    <row r="281">
      <c r="A281" s="393"/>
      <c r="B281" s="754"/>
      <c r="C281" s="755"/>
      <c r="D281" s="756"/>
    </row>
    <row r="282">
      <c r="A282" s="393"/>
      <c r="B282" s="754"/>
      <c r="C282" s="755"/>
      <c r="D282" s="756"/>
    </row>
    <row r="283">
      <c r="A283" s="393"/>
      <c r="B283" s="754"/>
      <c r="C283" s="755"/>
      <c r="D283" s="756"/>
    </row>
    <row r="284">
      <c r="A284" s="393"/>
      <c r="B284" s="754"/>
      <c r="C284" s="755"/>
      <c r="D284" s="756"/>
    </row>
    <row r="285">
      <c r="A285" s="393"/>
      <c r="B285" s="754"/>
      <c r="C285" s="755"/>
      <c r="D285" s="756"/>
    </row>
    <row r="286">
      <c r="A286" s="393"/>
      <c r="B286" s="754"/>
      <c r="C286" s="755"/>
      <c r="D286" s="756"/>
    </row>
    <row r="287">
      <c r="A287" s="393"/>
      <c r="B287" s="754"/>
      <c r="C287" s="755"/>
      <c r="D287" s="756"/>
    </row>
    <row r="288">
      <c r="A288" s="393"/>
      <c r="B288" s="754"/>
      <c r="C288" s="755"/>
      <c r="D288" s="756"/>
    </row>
    <row r="289">
      <c r="A289" s="393"/>
      <c r="B289" s="754"/>
      <c r="C289" s="755"/>
      <c r="D289" s="756"/>
    </row>
    <row r="290">
      <c r="A290" s="393"/>
      <c r="B290" s="754"/>
      <c r="C290" s="755"/>
      <c r="D290" s="756"/>
    </row>
    <row r="291">
      <c r="A291" s="393"/>
      <c r="B291" s="754"/>
      <c r="C291" s="755"/>
      <c r="D291" s="756"/>
    </row>
    <row r="292">
      <c r="A292" s="393"/>
      <c r="B292" s="754"/>
      <c r="C292" s="755"/>
      <c r="D292" s="756"/>
    </row>
    <row r="293">
      <c r="A293" s="393"/>
      <c r="B293" s="754"/>
      <c r="C293" s="755"/>
      <c r="D293" s="756"/>
    </row>
    <row r="294">
      <c r="A294" s="393"/>
      <c r="B294" s="754"/>
      <c r="C294" s="755"/>
      <c r="D294" s="756"/>
    </row>
    <row r="295">
      <c r="A295" s="393"/>
      <c r="B295" s="754"/>
      <c r="C295" s="755"/>
      <c r="D295" s="756"/>
    </row>
    <row r="296">
      <c r="A296" s="393"/>
      <c r="B296" s="754"/>
      <c r="C296" s="755"/>
      <c r="D296" s="756"/>
    </row>
    <row r="297">
      <c r="A297" s="393"/>
      <c r="B297" s="754"/>
      <c r="C297" s="755"/>
      <c r="D297" s="756"/>
    </row>
    <row r="298">
      <c r="A298" s="393"/>
      <c r="B298" s="754"/>
      <c r="C298" s="755"/>
      <c r="D298" s="756"/>
    </row>
    <row r="299">
      <c r="A299" s="393"/>
      <c r="B299" s="754"/>
      <c r="C299" s="755"/>
      <c r="D299" s="756"/>
    </row>
    <row r="300">
      <c r="A300" s="393"/>
      <c r="B300" s="754"/>
      <c r="C300" s="755"/>
      <c r="D300" s="756"/>
    </row>
    <row r="301">
      <c r="A301" s="393"/>
      <c r="B301" s="754"/>
      <c r="C301" s="755"/>
      <c r="D301" s="756"/>
    </row>
    <row r="302">
      <c r="A302" s="393"/>
      <c r="B302" s="754"/>
      <c r="C302" s="755"/>
      <c r="D302" s="756"/>
    </row>
    <row r="303">
      <c r="A303" s="393"/>
      <c r="B303" s="754"/>
      <c r="C303" s="755"/>
      <c r="D303" s="756"/>
    </row>
    <row r="304">
      <c r="A304" s="393"/>
      <c r="B304" s="754"/>
      <c r="C304" s="755"/>
      <c r="D304" s="756"/>
    </row>
    <row r="305">
      <c r="A305" s="393"/>
      <c r="B305" s="754"/>
      <c r="C305" s="755"/>
      <c r="D305" s="756"/>
    </row>
    <row r="306">
      <c r="A306" s="393"/>
      <c r="B306" s="754"/>
      <c r="C306" s="755"/>
      <c r="D306" s="756"/>
    </row>
    <row r="307">
      <c r="A307" s="393"/>
      <c r="B307" s="754"/>
      <c r="C307" s="755"/>
      <c r="D307" s="756"/>
    </row>
    <row r="308">
      <c r="A308" s="393"/>
      <c r="B308" s="754"/>
      <c r="C308" s="755"/>
      <c r="D308" s="756"/>
    </row>
    <row r="309">
      <c r="A309" s="393"/>
      <c r="B309" s="754"/>
      <c r="C309" s="755"/>
      <c r="D309" s="756"/>
    </row>
    <row r="310">
      <c r="A310" s="393"/>
      <c r="B310" s="754"/>
      <c r="C310" s="755"/>
      <c r="D310" s="756"/>
    </row>
    <row r="311">
      <c r="A311" s="393"/>
      <c r="B311" s="754"/>
      <c r="C311" s="755"/>
      <c r="D311" s="756"/>
    </row>
    <row r="312">
      <c r="A312" s="393"/>
      <c r="B312" s="754"/>
      <c r="C312" s="755"/>
      <c r="D312" s="756"/>
    </row>
    <row r="313">
      <c r="A313" s="393"/>
      <c r="B313" s="754"/>
      <c r="C313" s="755"/>
      <c r="D313" s="756"/>
    </row>
    <row r="314">
      <c r="A314" s="393"/>
      <c r="B314" s="754"/>
      <c r="C314" s="755"/>
      <c r="D314" s="756"/>
    </row>
    <row r="315">
      <c r="A315" s="393"/>
      <c r="B315" s="754"/>
      <c r="C315" s="755"/>
      <c r="D315" s="756"/>
    </row>
    <row r="316">
      <c r="A316" s="393"/>
      <c r="B316" s="754"/>
      <c r="C316" s="755"/>
      <c r="D316" s="756"/>
    </row>
    <row r="317">
      <c r="A317" s="393"/>
      <c r="B317" s="754"/>
      <c r="C317" s="755"/>
      <c r="D317" s="756"/>
    </row>
    <row r="318">
      <c r="A318" s="393"/>
      <c r="B318" s="754"/>
      <c r="C318" s="755"/>
      <c r="D318" s="756"/>
    </row>
    <row r="319">
      <c r="A319" s="393"/>
      <c r="B319" s="754"/>
      <c r="C319" s="755"/>
      <c r="D319" s="756"/>
    </row>
    <row r="320">
      <c r="A320" s="393"/>
      <c r="B320" s="754"/>
      <c r="C320" s="755"/>
      <c r="D320" s="756"/>
    </row>
    <row r="321">
      <c r="A321" s="393"/>
      <c r="B321" s="754"/>
      <c r="C321" s="755"/>
      <c r="D321" s="756"/>
    </row>
    <row r="322">
      <c r="A322" s="393"/>
      <c r="B322" s="754"/>
      <c r="C322" s="755"/>
      <c r="D322" s="756"/>
    </row>
    <row r="323">
      <c r="A323" s="393"/>
      <c r="B323" s="754"/>
      <c r="C323" s="755"/>
      <c r="D323" s="756"/>
    </row>
    <row r="324">
      <c r="A324" s="393"/>
      <c r="B324" s="754"/>
      <c r="C324" s="755"/>
      <c r="D324" s="756"/>
    </row>
    <row r="325">
      <c r="A325" s="393"/>
      <c r="B325" s="754"/>
      <c r="C325" s="755"/>
      <c r="D325" s="756"/>
    </row>
    <row r="326">
      <c r="A326" s="393"/>
      <c r="B326" s="754"/>
      <c r="C326" s="755"/>
      <c r="D326" s="756"/>
    </row>
    <row r="327">
      <c r="A327" s="393"/>
      <c r="B327" s="754"/>
      <c r="C327" s="755"/>
      <c r="D327" s="756"/>
    </row>
    <row r="328">
      <c r="A328" s="393"/>
      <c r="B328" s="754"/>
      <c r="C328" s="755"/>
      <c r="D328" s="756"/>
    </row>
    <row r="329">
      <c r="A329" s="393"/>
      <c r="B329" s="754"/>
      <c r="C329" s="755"/>
      <c r="D329" s="756"/>
    </row>
    <row r="330">
      <c r="A330" s="393"/>
      <c r="B330" s="754"/>
      <c r="C330" s="755"/>
      <c r="D330" s="756"/>
    </row>
    <row r="331">
      <c r="A331" s="393"/>
      <c r="B331" s="754"/>
      <c r="C331" s="755"/>
      <c r="D331" s="756"/>
    </row>
    <row r="332">
      <c r="A332" s="393"/>
      <c r="B332" s="754"/>
      <c r="C332" s="755"/>
      <c r="D332" s="756"/>
    </row>
    <row r="333">
      <c r="A333" s="393"/>
      <c r="B333" s="754"/>
      <c r="C333" s="755"/>
      <c r="D333" s="756"/>
    </row>
    <row r="334">
      <c r="A334" s="393"/>
      <c r="B334" s="754"/>
      <c r="C334" s="755"/>
      <c r="D334" s="756"/>
    </row>
    <row r="335">
      <c r="A335" s="393"/>
      <c r="B335" s="754"/>
      <c r="C335" s="755"/>
      <c r="D335" s="756"/>
    </row>
    <row r="336">
      <c r="A336" s="393"/>
      <c r="B336" s="754"/>
      <c r="C336" s="755"/>
      <c r="D336" s="756"/>
    </row>
    <row r="337">
      <c r="A337" s="393"/>
      <c r="B337" s="754"/>
      <c r="C337" s="755"/>
      <c r="D337" s="756"/>
    </row>
    <row r="338">
      <c r="A338" s="393"/>
      <c r="B338" s="754"/>
      <c r="C338" s="755"/>
      <c r="D338" s="756"/>
    </row>
    <row r="339">
      <c r="A339" s="393"/>
      <c r="B339" s="754"/>
      <c r="C339" s="755"/>
      <c r="D339" s="756"/>
    </row>
    <row r="340">
      <c r="A340" s="393"/>
      <c r="B340" s="754"/>
      <c r="C340" s="755"/>
      <c r="D340" s="756"/>
    </row>
    <row r="341">
      <c r="A341" s="393"/>
      <c r="B341" s="754"/>
      <c r="C341" s="755"/>
      <c r="D341" s="756"/>
    </row>
    <row r="342">
      <c r="A342" s="393"/>
      <c r="B342" s="754"/>
      <c r="C342" s="755"/>
      <c r="D342" s="756"/>
    </row>
    <row r="343">
      <c r="A343" s="393"/>
      <c r="B343" s="754"/>
      <c r="C343" s="755"/>
      <c r="D343" s="756"/>
    </row>
    <row r="344">
      <c r="A344" s="393"/>
      <c r="B344" s="754"/>
      <c r="C344" s="755"/>
      <c r="D344" s="756"/>
    </row>
    <row r="345">
      <c r="A345" s="393"/>
      <c r="B345" s="754"/>
      <c r="C345" s="755"/>
      <c r="D345" s="756"/>
    </row>
    <row r="346">
      <c r="A346" s="393"/>
      <c r="B346" s="754"/>
      <c r="C346" s="755"/>
      <c r="D346" s="756"/>
    </row>
    <row r="347">
      <c r="A347" s="393"/>
      <c r="B347" s="754"/>
      <c r="C347" s="755"/>
      <c r="D347" s="756"/>
    </row>
    <row r="348">
      <c r="A348" s="393"/>
      <c r="B348" s="754"/>
      <c r="C348" s="755"/>
      <c r="D348" s="756"/>
    </row>
    <row r="349">
      <c r="A349" s="393"/>
      <c r="B349" s="754"/>
      <c r="C349" s="755"/>
      <c r="D349" s="756"/>
    </row>
    <row r="350">
      <c r="A350" s="393"/>
      <c r="B350" s="754"/>
      <c r="C350" s="755"/>
      <c r="D350" s="756"/>
    </row>
    <row r="351">
      <c r="A351" s="393"/>
      <c r="B351" s="754"/>
      <c r="C351" s="755"/>
      <c r="D351" s="756"/>
    </row>
    <row r="352">
      <c r="A352" s="393"/>
      <c r="B352" s="754"/>
      <c r="C352" s="755"/>
      <c r="D352" s="756"/>
    </row>
    <row r="353">
      <c r="A353" s="393"/>
      <c r="B353" s="754"/>
      <c r="C353" s="755"/>
      <c r="D353" s="756"/>
    </row>
    <row r="354">
      <c r="A354" s="393"/>
      <c r="B354" s="754"/>
      <c r="C354" s="755"/>
      <c r="D354" s="756"/>
    </row>
    <row r="355">
      <c r="A355" s="393"/>
      <c r="B355" s="754"/>
      <c r="C355" s="755"/>
      <c r="D355" s="756"/>
    </row>
    <row r="356">
      <c r="A356" s="393"/>
      <c r="B356" s="754"/>
      <c r="C356" s="755"/>
      <c r="D356" s="756"/>
    </row>
    <row r="357">
      <c r="A357" s="393"/>
      <c r="B357" s="754"/>
      <c r="C357" s="755"/>
      <c r="D357" s="756"/>
    </row>
    <row r="358">
      <c r="A358" s="393"/>
      <c r="B358" s="754"/>
      <c r="C358" s="755"/>
      <c r="D358" s="756"/>
    </row>
    <row r="359">
      <c r="A359" s="393"/>
      <c r="B359" s="754"/>
      <c r="C359" s="755"/>
      <c r="D359" s="756"/>
    </row>
    <row r="360">
      <c r="A360" s="393"/>
      <c r="B360" s="754"/>
      <c r="C360" s="755"/>
      <c r="D360" s="756"/>
    </row>
    <row r="361">
      <c r="A361" s="393"/>
      <c r="B361" s="754"/>
      <c r="C361" s="755"/>
      <c r="D361" s="756"/>
    </row>
    <row r="362">
      <c r="A362" s="393"/>
      <c r="B362" s="754"/>
      <c r="C362" s="755"/>
      <c r="D362" s="756"/>
    </row>
    <row r="363">
      <c r="A363" s="393"/>
      <c r="B363" s="754"/>
      <c r="C363" s="755"/>
      <c r="D363" s="756"/>
    </row>
    <row r="364">
      <c r="A364" s="393"/>
      <c r="B364" s="754"/>
      <c r="C364" s="755"/>
      <c r="D364" s="756"/>
    </row>
    <row r="365">
      <c r="A365" s="393"/>
      <c r="B365" s="754"/>
      <c r="C365" s="755"/>
      <c r="D365" s="756"/>
    </row>
    <row r="366">
      <c r="A366" s="393"/>
      <c r="B366" s="754"/>
      <c r="C366" s="755"/>
      <c r="D366" s="756"/>
    </row>
    <row r="367">
      <c r="A367" s="393"/>
      <c r="B367" s="754"/>
      <c r="C367" s="755"/>
      <c r="D367" s="756"/>
    </row>
    <row r="368">
      <c r="A368" s="393"/>
      <c r="B368" s="754"/>
      <c r="C368" s="755"/>
      <c r="D368" s="756"/>
    </row>
    <row r="369">
      <c r="A369" s="393"/>
      <c r="B369" s="754"/>
      <c r="C369" s="755"/>
      <c r="D369" s="756"/>
    </row>
    <row r="370">
      <c r="A370" s="393"/>
      <c r="B370" s="754"/>
      <c r="C370" s="755"/>
      <c r="D370" s="756"/>
    </row>
    <row r="371">
      <c r="A371" s="393"/>
      <c r="B371" s="754"/>
      <c r="C371" s="755"/>
      <c r="D371" s="756"/>
    </row>
    <row r="372">
      <c r="A372" s="393"/>
      <c r="B372" s="754"/>
      <c r="C372" s="755"/>
      <c r="D372" s="756"/>
    </row>
    <row r="373">
      <c r="A373" s="393"/>
      <c r="B373" s="754"/>
      <c r="C373" s="755"/>
      <c r="D373" s="756"/>
    </row>
    <row r="374">
      <c r="A374" s="393"/>
      <c r="B374" s="754"/>
      <c r="C374" s="755"/>
      <c r="D374" s="756"/>
    </row>
    <row r="375">
      <c r="A375" s="393"/>
      <c r="B375" s="754"/>
      <c r="C375" s="755"/>
      <c r="D375" s="756"/>
    </row>
    <row r="376">
      <c r="A376" s="393"/>
      <c r="B376" s="754"/>
      <c r="C376" s="755"/>
      <c r="D376" s="756"/>
    </row>
    <row r="377">
      <c r="A377" s="393"/>
      <c r="B377" s="754"/>
      <c r="C377" s="755"/>
      <c r="D377" s="756"/>
    </row>
    <row r="378">
      <c r="A378" s="393"/>
      <c r="B378" s="754"/>
      <c r="C378" s="755"/>
      <c r="D378" s="756"/>
    </row>
    <row r="379">
      <c r="A379" s="393"/>
      <c r="B379" s="754"/>
      <c r="C379" s="755"/>
      <c r="D379" s="756"/>
    </row>
    <row r="380">
      <c r="A380" s="393"/>
      <c r="B380" s="754"/>
      <c r="C380" s="755"/>
      <c r="D380" s="756"/>
    </row>
    <row r="381">
      <c r="A381" s="393"/>
      <c r="B381" s="754"/>
      <c r="C381" s="755"/>
      <c r="D381" s="756"/>
    </row>
    <row r="382">
      <c r="A382" s="393"/>
      <c r="B382" s="754"/>
      <c r="C382" s="755"/>
      <c r="D382" s="756"/>
    </row>
    <row r="383">
      <c r="A383" s="393"/>
      <c r="B383" s="754"/>
      <c r="C383" s="755"/>
      <c r="D383" s="756"/>
    </row>
    <row r="384">
      <c r="A384" s="393"/>
      <c r="B384" s="754"/>
      <c r="C384" s="755"/>
      <c r="D384" s="756"/>
    </row>
    <row r="385">
      <c r="A385" s="393"/>
      <c r="B385" s="754"/>
      <c r="C385" s="755"/>
      <c r="D385" s="756"/>
    </row>
    <row r="386">
      <c r="A386" s="393"/>
      <c r="B386" s="754"/>
      <c r="C386" s="755"/>
      <c r="D386" s="756"/>
    </row>
    <row r="387">
      <c r="A387" s="393"/>
      <c r="B387" s="754"/>
      <c r="C387" s="755"/>
      <c r="D387" s="756"/>
    </row>
    <row r="388">
      <c r="A388" s="393"/>
      <c r="B388" s="754"/>
      <c r="C388" s="755"/>
      <c r="D388" s="756"/>
    </row>
    <row r="389">
      <c r="A389" s="393"/>
      <c r="B389" s="754"/>
      <c r="C389" s="755"/>
      <c r="D389" s="756"/>
    </row>
    <row r="390">
      <c r="A390" s="393"/>
      <c r="B390" s="754"/>
      <c r="C390" s="755"/>
      <c r="D390" s="756"/>
    </row>
    <row r="391">
      <c r="A391" s="393"/>
      <c r="B391" s="754"/>
      <c r="C391" s="755"/>
      <c r="D391" s="756"/>
    </row>
    <row r="392">
      <c r="A392" s="393"/>
      <c r="B392" s="754"/>
      <c r="C392" s="755"/>
      <c r="D392" s="756"/>
    </row>
    <row r="393">
      <c r="A393" s="393"/>
      <c r="B393" s="754"/>
      <c r="C393" s="755"/>
      <c r="D393" s="756"/>
    </row>
    <row r="394">
      <c r="A394" s="393"/>
      <c r="B394" s="754"/>
      <c r="C394" s="755"/>
      <c r="D394" s="756"/>
    </row>
    <row r="395">
      <c r="A395" s="393"/>
      <c r="B395" s="754"/>
      <c r="C395" s="755"/>
      <c r="D395" s="756"/>
    </row>
    <row r="396">
      <c r="A396" s="393"/>
      <c r="B396" s="754"/>
      <c r="C396" s="755"/>
      <c r="D396" s="756"/>
    </row>
    <row r="397">
      <c r="A397" s="393"/>
      <c r="B397" s="754"/>
      <c r="C397" s="755"/>
      <c r="D397" s="756"/>
    </row>
    <row r="398">
      <c r="A398" s="393"/>
      <c r="B398" s="754"/>
      <c r="C398" s="755"/>
      <c r="D398" s="756"/>
    </row>
    <row r="399">
      <c r="A399" s="393"/>
      <c r="B399" s="754"/>
      <c r="C399" s="755"/>
      <c r="D399" s="756"/>
    </row>
    <row r="400">
      <c r="A400" s="393"/>
      <c r="B400" s="754"/>
      <c r="C400" s="755"/>
      <c r="D400" s="756"/>
    </row>
    <row r="401">
      <c r="A401" s="393"/>
      <c r="B401" s="754"/>
      <c r="C401" s="755"/>
      <c r="D401" s="756"/>
    </row>
    <row r="402">
      <c r="A402" s="393"/>
      <c r="B402" s="754"/>
      <c r="C402" s="755"/>
      <c r="D402" s="756"/>
    </row>
    <row r="403">
      <c r="A403" s="393"/>
      <c r="B403" s="754"/>
      <c r="C403" s="755"/>
      <c r="D403" s="756"/>
    </row>
    <row r="404">
      <c r="A404" s="393"/>
      <c r="B404" s="754"/>
      <c r="C404" s="755"/>
      <c r="D404" s="756"/>
    </row>
    <row r="405">
      <c r="A405" s="393"/>
      <c r="B405" s="754"/>
      <c r="C405" s="755"/>
      <c r="D405" s="756"/>
    </row>
    <row r="406">
      <c r="A406" s="393"/>
      <c r="B406" s="754"/>
      <c r="C406" s="755"/>
      <c r="D406" s="756"/>
    </row>
    <row r="407">
      <c r="A407" s="393"/>
      <c r="B407" s="754"/>
      <c r="C407" s="755"/>
      <c r="D407" s="756"/>
    </row>
    <row r="408">
      <c r="A408" s="393"/>
      <c r="B408" s="754"/>
      <c r="C408" s="755"/>
      <c r="D408" s="756"/>
    </row>
    <row r="409">
      <c r="A409" s="393"/>
      <c r="B409" s="754"/>
      <c r="C409" s="755"/>
      <c r="D409" s="756"/>
    </row>
    <row r="410">
      <c r="A410" s="393"/>
      <c r="B410" s="754"/>
      <c r="C410" s="755"/>
      <c r="D410" s="756"/>
    </row>
    <row r="411">
      <c r="A411" s="393"/>
      <c r="B411" s="754"/>
      <c r="C411" s="755"/>
      <c r="D411" s="756"/>
    </row>
    <row r="412">
      <c r="A412" s="393"/>
      <c r="B412" s="754"/>
      <c r="C412" s="755"/>
      <c r="D412" s="756"/>
    </row>
    <row r="413">
      <c r="A413" s="393"/>
      <c r="B413" s="754"/>
      <c r="C413" s="755"/>
      <c r="D413" s="756"/>
    </row>
    <row r="414">
      <c r="A414" s="393"/>
      <c r="B414" s="754"/>
      <c r="C414" s="755"/>
      <c r="D414" s="756"/>
    </row>
    <row r="415">
      <c r="A415" s="393"/>
      <c r="B415" s="754"/>
      <c r="C415" s="755"/>
      <c r="D415" s="756"/>
    </row>
    <row r="416">
      <c r="A416" s="393"/>
      <c r="B416" s="754"/>
      <c r="C416" s="755"/>
      <c r="D416" s="756"/>
    </row>
    <row r="417">
      <c r="A417" s="393"/>
      <c r="B417" s="754"/>
      <c r="C417" s="755"/>
      <c r="D417" s="756"/>
    </row>
    <row r="418">
      <c r="A418" s="393"/>
      <c r="B418" s="754"/>
      <c r="C418" s="755"/>
      <c r="D418" s="756"/>
    </row>
    <row r="419">
      <c r="A419" s="393"/>
      <c r="B419" s="754"/>
      <c r="C419" s="755"/>
      <c r="D419" s="756"/>
    </row>
    <row r="420">
      <c r="A420" s="393"/>
      <c r="B420" s="754"/>
      <c r="C420" s="755"/>
      <c r="D420" s="756"/>
    </row>
    <row r="421">
      <c r="A421" s="393"/>
      <c r="B421" s="754"/>
      <c r="C421" s="755"/>
      <c r="D421" s="756"/>
    </row>
    <row r="422">
      <c r="A422" s="393"/>
      <c r="B422" s="754"/>
      <c r="C422" s="755"/>
      <c r="D422" s="756"/>
    </row>
    <row r="423">
      <c r="A423" s="393"/>
      <c r="B423" s="754"/>
      <c r="C423" s="755"/>
      <c r="D423" s="756"/>
    </row>
    <row r="424">
      <c r="A424" s="393"/>
      <c r="B424" s="754"/>
      <c r="C424" s="755"/>
      <c r="D424" s="756"/>
    </row>
    <row r="425">
      <c r="A425" s="393"/>
      <c r="B425" s="754"/>
      <c r="C425" s="755"/>
      <c r="D425" s="756"/>
    </row>
    <row r="426">
      <c r="A426" s="393"/>
      <c r="B426" s="754"/>
      <c r="C426" s="755"/>
      <c r="D426" s="756"/>
    </row>
    <row r="427">
      <c r="A427" s="393"/>
      <c r="B427" s="754"/>
      <c r="C427" s="755"/>
      <c r="D427" s="756"/>
    </row>
    <row r="428">
      <c r="A428" s="393"/>
      <c r="B428" s="754"/>
      <c r="C428" s="755"/>
      <c r="D428" s="756"/>
    </row>
    <row r="429">
      <c r="A429" s="393"/>
      <c r="B429" s="754"/>
      <c r="C429" s="755"/>
      <c r="D429" s="756"/>
    </row>
    <row r="430">
      <c r="A430" s="393"/>
      <c r="B430" s="754"/>
      <c r="C430" s="755"/>
      <c r="D430" s="756"/>
    </row>
    <row r="431">
      <c r="A431" s="393"/>
      <c r="B431" s="754"/>
      <c r="C431" s="755"/>
      <c r="D431" s="756"/>
    </row>
    <row r="432">
      <c r="A432" s="393"/>
      <c r="B432" s="754"/>
      <c r="C432" s="755"/>
      <c r="D432" s="756"/>
    </row>
    <row r="433">
      <c r="A433" s="393"/>
      <c r="B433" s="754"/>
      <c r="C433" s="755"/>
      <c r="D433" s="756"/>
    </row>
    <row r="434">
      <c r="A434" s="393"/>
      <c r="B434" s="754"/>
      <c r="C434" s="755"/>
      <c r="D434" s="756"/>
    </row>
    <row r="435">
      <c r="A435" s="393"/>
      <c r="B435" s="754"/>
      <c r="C435" s="755"/>
      <c r="D435" s="756"/>
    </row>
    <row r="436">
      <c r="A436" s="393"/>
      <c r="B436" s="754"/>
      <c r="C436" s="755"/>
      <c r="D436" s="756"/>
    </row>
    <row r="437">
      <c r="A437" s="393"/>
      <c r="B437" s="754"/>
      <c r="C437" s="755"/>
      <c r="D437" s="756"/>
    </row>
    <row r="438">
      <c r="A438" s="393"/>
      <c r="B438" s="754"/>
      <c r="C438" s="755"/>
      <c r="D438" s="756"/>
    </row>
    <row r="439">
      <c r="A439" s="393"/>
      <c r="B439" s="754"/>
      <c r="C439" s="755"/>
      <c r="D439" s="756"/>
    </row>
    <row r="440">
      <c r="A440" s="393"/>
      <c r="B440" s="754"/>
      <c r="C440" s="755"/>
      <c r="D440" s="756"/>
    </row>
    <row r="441">
      <c r="A441" s="393"/>
      <c r="B441" s="754"/>
      <c r="C441" s="755"/>
      <c r="D441" s="756"/>
    </row>
    <row r="442">
      <c r="A442" s="393"/>
      <c r="B442" s="754"/>
      <c r="C442" s="755"/>
      <c r="D442" s="756"/>
    </row>
    <row r="443">
      <c r="A443" s="393"/>
      <c r="B443" s="754"/>
      <c r="C443" s="755"/>
      <c r="D443" s="756"/>
    </row>
    <row r="444">
      <c r="A444" s="393"/>
      <c r="B444" s="754"/>
      <c r="C444" s="755"/>
      <c r="D444" s="756"/>
    </row>
    <row r="445">
      <c r="A445" s="393"/>
      <c r="B445" s="754"/>
      <c r="C445" s="755"/>
      <c r="D445" s="756"/>
    </row>
    <row r="446">
      <c r="A446" s="393"/>
      <c r="B446" s="754"/>
      <c r="C446" s="755"/>
      <c r="D446" s="756"/>
    </row>
    <row r="447">
      <c r="A447" s="393"/>
      <c r="B447" s="754"/>
      <c r="C447" s="755"/>
      <c r="D447" s="756"/>
    </row>
    <row r="448">
      <c r="A448" s="393"/>
      <c r="B448" s="754"/>
      <c r="C448" s="755"/>
      <c r="D448" s="756"/>
    </row>
    <row r="449">
      <c r="A449" s="393"/>
      <c r="B449" s="754"/>
      <c r="C449" s="755"/>
      <c r="D449" s="756"/>
    </row>
    <row r="450">
      <c r="A450" s="393"/>
      <c r="B450" s="754"/>
      <c r="C450" s="755"/>
      <c r="D450" s="756"/>
    </row>
    <row r="451">
      <c r="A451" s="393"/>
      <c r="B451" s="754"/>
      <c r="C451" s="755"/>
      <c r="D451" s="756"/>
    </row>
    <row r="452">
      <c r="A452" s="393"/>
      <c r="B452" s="754"/>
      <c r="C452" s="755"/>
      <c r="D452" s="756"/>
    </row>
    <row r="453">
      <c r="A453" s="393"/>
      <c r="B453" s="754"/>
      <c r="C453" s="755"/>
      <c r="D453" s="756"/>
    </row>
    <row r="454">
      <c r="A454" s="393"/>
      <c r="B454" s="754"/>
      <c r="C454" s="755"/>
      <c r="D454" s="756"/>
    </row>
    <row r="455">
      <c r="A455" s="393"/>
      <c r="B455" s="754"/>
      <c r="C455" s="755"/>
      <c r="D455" s="756"/>
    </row>
    <row r="456">
      <c r="A456" s="393"/>
      <c r="B456" s="754"/>
      <c r="C456" s="755"/>
      <c r="D456" s="756"/>
    </row>
    <row r="457">
      <c r="A457" s="393"/>
      <c r="B457" s="754"/>
      <c r="C457" s="755"/>
      <c r="D457" s="756"/>
    </row>
    <row r="458">
      <c r="A458" s="393"/>
      <c r="B458" s="754"/>
      <c r="C458" s="755"/>
      <c r="D458" s="756"/>
    </row>
    <row r="459">
      <c r="A459" s="393"/>
      <c r="B459" s="754"/>
      <c r="C459" s="755"/>
      <c r="D459" s="756"/>
    </row>
    <row r="460">
      <c r="A460" s="393"/>
      <c r="B460" s="754"/>
      <c r="C460" s="755"/>
      <c r="D460" s="756"/>
    </row>
    <row r="461">
      <c r="A461" s="393"/>
      <c r="B461" s="754"/>
      <c r="C461" s="755"/>
      <c r="D461" s="756"/>
    </row>
    <row r="462">
      <c r="A462" s="393"/>
      <c r="B462" s="754"/>
      <c r="C462" s="755"/>
      <c r="D462" s="756"/>
    </row>
    <row r="463">
      <c r="A463" s="393"/>
      <c r="B463" s="754"/>
      <c r="C463" s="755"/>
      <c r="D463" s="756"/>
    </row>
    <row r="464">
      <c r="A464" s="393"/>
      <c r="B464" s="754"/>
      <c r="C464" s="755"/>
      <c r="D464" s="756"/>
    </row>
    <row r="465">
      <c r="A465" s="393"/>
      <c r="B465" s="754"/>
      <c r="C465" s="755"/>
      <c r="D465" s="756"/>
    </row>
    <row r="466">
      <c r="A466" s="393"/>
      <c r="B466" s="754"/>
      <c r="C466" s="755"/>
      <c r="D466" s="756"/>
    </row>
    <row r="467">
      <c r="A467" s="393"/>
      <c r="B467" s="754"/>
      <c r="C467" s="755"/>
      <c r="D467" s="756"/>
    </row>
    <row r="468">
      <c r="A468" s="393"/>
      <c r="B468" s="754"/>
      <c r="C468" s="755"/>
      <c r="D468" s="756"/>
    </row>
    <row r="469">
      <c r="A469" s="393"/>
      <c r="B469" s="754"/>
      <c r="C469" s="755"/>
      <c r="D469" s="756"/>
    </row>
    <row r="470">
      <c r="A470" s="393"/>
      <c r="B470" s="754"/>
      <c r="C470" s="755"/>
      <c r="D470" s="756"/>
    </row>
    <row r="471">
      <c r="A471" s="393"/>
      <c r="B471" s="754"/>
      <c r="C471" s="755"/>
      <c r="D471" s="756"/>
    </row>
    <row r="472">
      <c r="A472" s="393"/>
      <c r="B472" s="754"/>
      <c r="C472" s="755"/>
      <c r="D472" s="756"/>
    </row>
    <row r="473">
      <c r="A473" s="393"/>
      <c r="B473" s="754"/>
      <c r="C473" s="755"/>
      <c r="D473" s="756"/>
    </row>
    <row r="474">
      <c r="A474" s="393"/>
      <c r="B474" s="754"/>
      <c r="C474" s="755"/>
      <c r="D474" s="756"/>
    </row>
    <row r="475">
      <c r="A475" s="393"/>
      <c r="B475" s="754"/>
      <c r="C475" s="755"/>
      <c r="D475" s="756"/>
    </row>
    <row r="476">
      <c r="A476" s="393"/>
      <c r="B476" s="754"/>
      <c r="C476" s="755"/>
      <c r="D476" s="756"/>
    </row>
    <row r="477">
      <c r="A477" s="393"/>
      <c r="B477" s="754"/>
      <c r="C477" s="755"/>
      <c r="D477" s="756"/>
    </row>
    <row r="478">
      <c r="A478" s="393"/>
      <c r="B478" s="754"/>
      <c r="C478" s="755"/>
      <c r="D478" s="756"/>
    </row>
    <row r="479">
      <c r="A479" s="393"/>
      <c r="B479" s="754"/>
      <c r="C479" s="755"/>
      <c r="D479" s="756"/>
    </row>
    <row r="480">
      <c r="A480" s="393"/>
      <c r="B480" s="754"/>
      <c r="C480" s="755"/>
      <c r="D480" s="756"/>
    </row>
    <row r="481">
      <c r="A481" s="393"/>
      <c r="B481" s="754"/>
      <c r="C481" s="755"/>
      <c r="D481" s="756"/>
    </row>
    <row r="482">
      <c r="A482" s="393"/>
      <c r="B482" s="754"/>
      <c r="C482" s="755"/>
      <c r="D482" s="756"/>
    </row>
    <row r="483">
      <c r="A483" s="393"/>
      <c r="B483" s="754"/>
      <c r="C483" s="755"/>
      <c r="D483" s="756"/>
    </row>
    <row r="484">
      <c r="A484" s="393"/>
      <c r="B484" s="754"/>
      <c r="C484" s="755"/>
      <c r="D484" s="756"/>
    </row>
    <row r="485">
      <c r="A485" s="393"/>
      <c r="B485" s="754"/>
      <c r="C485" s="755"/>
      <c r="D485" s="756"/>
    </row>
    <row r="486">
      <c r="A486" s="393"/>
      <c r="B486" s="754"/>
      <c r="C486" s="755"/>
      <c r="D486" s="756"/>
    </row>
    <row r="487">
      <c r="A487" s="393"/>
      <c r="B487" s="754"/>
      <c r="C487" s="755"/>
      <c r="D487" s="756"/>
    </row>
    <row r="488">
      <c r="A488" s="393"/>
      <c r="B488" s="754"/>
      <c r="C488" s="755"/>
      <c r="D488" s="756"/>
    </row>
    <row r="489">
      <c r="A489" s="393"/>
      <c r="B489" s="754"/>
      <c r="C489" s="755"/>
      <c r="D489" s="756"/>
    </row>
    <row r="490">
      <c r="A490" s="393"/>
      <c r="B490" s="754"/>
      <c r="C490" s="755"/>
      <c r="D490" s="756"/>
    </row>
    <row r="491">
      <c r="A491" s="393"/>
      <c r="B491" s="754"/>
      <c r="C491" s="755"/>
      <c r="D491" s="756"/>
    </row>
    <row r="492">
      <c r="A492" s="393"/>
      <c r="B492" s="754"/>
      <c r="C492" s="755"/>
      <c r="D492" s="756"/>
    </row>
    <row r="493">
      <c r="A493" s="393"/>
      <c r="B493" s="754"/>
      <c r="C493" s="755"/>
      <c r="D493" s="756"/>
    </row>
    <row r="494">
      <c r="A494" s="393"/>
      <c r="B494" s="754"/>
      <c r="C494" s="755"/>
      <c r="D494" s="756"/>
    </row>
    <row r="495">
      <c r="A495" s="393"/>
      <c r="B495" s="754"/>
      <c r="C495" s="755"/>
      <c r="D495" s="756"/>
    </row>
    <row r="496">
      <c r="A496" s="393"/>
      <c r="B496" s="754"/>
      <c r="C496" s="755"/>
      <c r="D496" s="756"/>
    </row>
    <row r="497">
      <c r="A497" s="393"/>
      <c r="B497" s="754"/>
      <c r="C497" s="755"/>
      <c r="D497" s="756"/>
    </row>
    <row r="498">
      <c r="A498" s="393"/>
      <c r="B498" s="754"/>
      <c r="C498" s="755"/>
      <c r="D498" s="756"/>
    </row>
    <row r="499">
      <c r="A499" s="393"/>
      <c r="B499" s="754"/>
      <c r="C499" s="755"/>
      <c r="D499" s="756"/>
    </row>
    <row r="500">
      <c r="A500" s="393"/>
      <c r="B500" s="754"/>
      <c r="C500" s="755"/>
      <c r="D500" s="756"/>
    </row>
    <row r="501">
      <c r="A501" s="393"/>
      <c r="B501" s="754"/>
      <c r="C501" s="755"/>
      <c r="D501" s="756"/>
    </row>
    <row r="502">
      <c r="A502" s="393"/>
      <c r="B502" s="754"/>
      <c r="C502" s="755"/>
      <c r="D502" s="756"/>
    </row>
    <row r="503">
      <c r="A503" s="393"/>
      <c r="B503" s="754"/>
      <c r="C503" s="755"/>
      <c r="D503" s="756"/>
    </row>
    <row r="504">
      <c r="A504" s="393"/>
      <c r="B504" s="754"/>
      <c r="C504" s="755"/>
      <c r="D504" s="756"/>
    </row>
    <row r="505">
      <c r="A505" s="393"/>
      <c r="B505" s="754"/>
      <c r="C505" s="755"/>
      <c r="D505" s="756"/>
    </row>
    <row r="506">
      <c r="A506" s="393"/>
      <c r="B506" s="754"/>
      <c r="C506" s="755"/>
      <c r="D506" s="756"/>
    </row>
    <row r="507">
      <c r="A507" s="393"/>
      <c r="B507" s="754"/>
      <c r="C507" s="755"/>
      <c r="D507" s="756"/>
    </row>
    <row r="508">
      <c r="A508" s="393"/>
      <c r="B508" s="754"/>
      <c r="C508" s="755"/>
      <c r="D508" s="756"/>
    </row>
    <row r="509">
      <c r="A509" s="393"/>
      <c r="B509" s="754"/>
      <c r="C509" s="755"/>
      <c r="D509" s="756"/>
    </row>
    <row r="510">
      <c r="A510" s="393"/>
      <c r="B510" s="754"/>
      <c r="C510" s="755"/>
      <c r="D510" s="756"/>
    </row>
    <row r="511">
      <c r="A511" s="393"/>
      <c r="B511" s="754"/>
      <c r="C511" s="755"/>
      <c r="D511" s="756"/>
    </row>
    <row r="512">
      <c r="A512" s="393"/>
      <c r="B512" s="754"/>
      <c r="C512" s="755"/>
      <c r="D512" s="756"/>
    </row>
    <row r="513">
      <c r="A513" s="393"/>
      <c r="B513" s="754"/>
      <c r="C513" s="755"/>
      <c r="D513" s="756"/>
    </row>
    <row r="514">
      <c r="A514" s="393"/>
      <c r="B514" s="754"/>
      <c r="C514" s="755"/>
      <c r="D514" s="756"/>
    </row>
    <row r="515">
      <c r="A515" s="393"/>
      <c r="B515" s="754"/>
      <c r="C515" s="755"/>
      <c r="D515" s="756"/>
    </row>
    <row r="516">
      <c r="A516" s="393"/>
      <c r="B516" s="754"/>
      <c r="C516" s="755"/>
      <c r="D516" s="756"/>
    </row>
    <row r="517">
      <c r="A517" s="393"/>
      <c r="B517" s="754"/>
      <c r="C517" s="755"/>
      <c r="D517" s="756"/>
    </row>
    <row r="518">
      <c r="A518" s="393"/>
      <c r="B518" s="754"/>
      <c r="C518" s="755"/>
      <c r="D518" s="756"/>
    </row>
    <row r="519">
      <c r="A519" s="393"/>
      <c r="B519" s="754"/>
      <c r="C519" s="755"/>
      <c r="D519" s="756"/>
    </row>
    <row r="520">
      <c r="A520" s="393"/>
      <c r="B520" s="754"/>
      <c r="C520" s="755"/>
      <c r="D520" s="756"/>
    </row>
    <row r="521">
      <c r="A521" s="393"/>
      <c r="B521" s="754"/>
      <c r="C521" s="755"/>
      <c r="D521" s="756"/>
    </row>
    <row r="522">
      <c r="A522" s="393"/>
      <c r="B522" s="754"/>
      <c r="C522" s="755"/>
      <c r="D522" s="756"/>
    </row>
    <row r="523">
      <c r="A523" s="393"/>
      <c r="B523" s="754"/>
      <c r="C523" s="755"/>
      <c r="D523" s="756"/>
    </row>
    <row r="524">
      <c r="A524" s="393"/>
      <c r="B524" s="754"/>
      <c r="C524" s="755"/>
      <c r="D524" s="756"/>
    </row>
    <row r="525">
      <c r="A525" s="393"/>
      <c r="B525" s="754"/>
      <c r="C525" s="755"/>
      <c r="D525" s="756"/>
    </row>
    <row r="526">
      <c r="A526" s="393"/>
      <c r="B526" s="754"/>
      <c r="C526" s="755"/>
      <c r="D526" s="756"/>
    </row>
    <row r="527">
      <c r="A527" s="393"/>
      <c r="B527" s="754"/>
      <c r="C527" s="755"/>
      <c r="D527" s="756"/>
    </row>
    <row r="528">
      <c r="A528" s="393"/>
      <c r="B528" s="754"/>
      <c r="C528" s="755"/>
      <c r="D528" s="756"/>
    </row>
    <row r="529">
      <c r="A529" s="393"/>
      <c r="B529" s="754"/>
      <c r="C529" s="755"/>
      <c r="D529" s="756"/>
    </row>
    <row r="530">
      <c r="A530" s="393"/>
      <c r="B530" s="754"/>
      <c r="C530" s="755"/>
      <c r="D530" s="756"/>
    </row>
    <row r="531">
      <c r="A531" s="393"/>
      <c r="B531" s="754"/>
      <c r="C531" s="755"/>
      <c r="D531" s="756"/>
    </row>
    <row r="532">
      <c r="A532" s="393"/>
      <c r="B532" s="754"/>
      <c r="C532" s="755"/>
      <c r="D532" s="756"/>
    </row>
    <row r="533">
      <c r="A533" s="393"/>
      <c r="B533" s="754"/>
      <c r="C533" s="755"/>
      <c r="D533" s="756"/>
    </row>
    <row r="534">
      <c r="A534" s="393"/>
      <c r="B534" s="754"/>
      <c r="C534" s="755"/>
      <c r="D534" s="756"/>
    </row>
    <row r="535">
      <c r="A535" s="393"/>
      <c r="B535" s="754"/>
      <c r="C535" s="755"/>
      <c r="D535" s="756"/>
    </row>
    <row r="536">
      <c r="A536" s="393"/>
      <c r="B536" s="754"/>
      <c r="C536" s="755"/>
      <c r="D536" s="756"/>
    </row>
    <row r="537">
      <c r="A537" s="393"/>
      <c r="B537" s="754"/>
      <c r="C537" s="755"/>
      <c r="D537" s="756"/>
    </row>
    <row r="538">
      <c r="A538" s="393"/>
      <c r="B538" s="754"/>
      <c r="C538" s="755"/>
      <c r="D538" s="756"/>
    </row>
    <row r="539">
      <c r="A539" s="393"/>
      <c r="B539" s="754"/>
      <c r="C539" s="755"/>
      <c r="D539" s="756"/>
    </row>
    <row r="540">
      <c r="A540" s="393"/>
      <c r="B540" s="754"/>
      <c r="C540" s="755"/>
      <c r="D540" s="756"/>
    </row>
    <row r="541">
      <c r="A541" s="393"/>
      <c r="B541" s="754"/>
      <c r="C541" s="755"/>
      <c r="D541" s="756"/>
    </row>
    <row r="542">
      <c r="A542" s="393"/>
      <c r="B542" s="754"/>
      <c r="C542" s="755"/>
      <c r="D542" s="756"/>
    </row>
    <row r="543">
      <c r="A543" s="393"/>
      <c r="B543" s="754"/>
      <c r="C543" s="755"/>
      <c r="D543" s="756"/>
    </row>
    <row r="544">
      <c r="A544" s="393"/>
      <c r="B544" s="754"/>
      <c r="C544" s="755"/>
      <c r="D544" s="756"/>
    </row>
    <row r="545">
      <c r="A545" s="393"/>
      <c r="B545" s="754"/>
      <c r="C545" s="755"/>
      <c r="D545" s="756"/>
    </row>
    <row r="546">
      <c r="A546" s="393"/>
      <c r="B546" s="754"/>
      <c r="C546" s="755"/>
      <c r="D546" s="756"/>
    </row>
    <row r="547">
      <c r="A547" s="393"/>
      <c r="B547" s="754"/>
      <c r="C547" s="755"/>
      <c r="D547" s="756"/>
    </row>
    <row r="548">
      <c r="A548" s="393"/>
      <c r="B548" s="754"/>
      <c r="C548" s="755"/>
      <c r="D548" s="756"/>
    </row>
    <row r="549">
      <c r="A549" s="393"/>
      <c r="B549" s="754"/>
      <c r="C549" s="755"/>
      <c r="D549" s="756"/>
    </row>
    <row r="550">
      <c r="A550" s="393"/>
      <c r="B550" s="754"/>
      <c r="C550" s="755"/>
      <c r="D550" s="756"/>
    </row>
    <row r="551">
      <c r="A551" s="393"/>
      <c r="B551" s="754"/>
      <c r="C551" s="755"/>
      <c r="D551" s="756"/>
    </row>
    <row r="552">
      <c r="A552" s="393"/>
      <c r="B552" s="754"/>
      <c r="C552" s="755"/>
      <c r="D552" s="756"/>
    </row>
    <row r="553">
      <c r="A553" s="393"/>
      <c r="B553" s="754"/>
      <c r="C553" s="755"/>
      <c r="D553" s="756"/>
    </row>
    <row r="554">
      <c r="A554" s="393"/>
      <c r="B554" s="754"/>
      <c r="C554" s="755"/>
      <c r="D554" s="756"/>
    </row>
    <row r="555">
      <c r="A555" s="393"/>
      <c r="B555" s="754"/>
      <c r="C555" s="755"/>
      <c r="D555" s="756"/>
    </row>
    <row r="556">
      <c r="A556" s="393"/>
      <c r="B556" s="754"/>
      <c r="C556" s="755"/>
      <c r="D556" s="756"/>
    </row>
    <row r="557">
      <c r="A557" s="393"/>
      <c r="B557" s="754"/>
      <c r="C557" s="755"/>
      <c r="D557" s="756"/>
    </row>
    <row r="558">
      <c r="A558" s="393"/>
      <c r="B558" s="754"/>
      <c r="C558" s="755"/>
      <c r="D558" s="756"/>
    </row>
    <row r="559">
      <c r="A559" s="393"/>
      <c r="B559" s="754"/>
      <c r="C559" s="755"/>
      <c r="D559" s="756"/>
    </row>
    <row r="560">
      <c r="A560" s="393"/>
      <c r="B560" s="754"/>
      <c r="C560" s="755"/>
      <c r="D560" s="756"/>
    </row>
    <row r="561">
      <c r="A561" s="393"/>
      <c r="B561" s="754"/>
      <c r="C561" s="755"/>
      <c r="D561" s="756"/>
    </row>
    <row r="562">
      <c r="A562" s="393"/>
      <c r="B562" s="754"/>
      <c r="C562" s="755"/>
      <c r="D562" s="756"/>
    </row>
    <row r="563">
      <c r="A563" s="393"/>
      <c r="B563" s="754"/>
      <c r="C563" s="755"/>
      <c r="D563" s="756"/>
    </row>
    <row r="564">
      <c r="A564" s="393"/>
      <c r="B564" s="754"/>
      <c r="C564" s="755"/>
      <c r="D564" s="756"/>
    </row>
    <row r="565">
      <c r="A565" s="393"/>
      <c r="B565" s="754"/>
      <c r="C565" s="755"/>
      <c r="D565" s="756"/>
    </row>
    <row r="566">
      <c r="A566" s="393"/>
      <c r="B566" s="754"/>
      <c r="C566" s="755"/>
      <c r="D566" s="756"/>
    </row>
    <row r="567">
      <c r="A567" s="393"/>
      <c r="B567" s="754"/>
      <c r="C567" s="755"/>
      <c r="D567" s="756"/>
    </row>
    <row r="568">
      <c r="A568" s="393"/>
      <c r="B568" s="754"/>
      <c r="C568" s="755"/>
      <c r="D568" s="756"/>
    </row>
    <row r="569">
      <c r="A569" s="393"/>
      <c r="B569" s="754"/>
      <c r="C569" s="755"/>
      <c r="D569" s="756"/>
    </row>
    <row r="570">
      <c r="A570" s="393"/>
      <c r="B570" s="754"/>
      <c r="C570" s="755"/>
      <c r="D570" s="756"/>
    </row>
    <row r="571">
      <c r="A571" s="393"/>
      <c r="B571" s="754"/>
      <c r="C571" s="755"/>
      <c r="D571" s="756"/>
    </row>
    <row r="572">
      <c r="A572" s="393"/>
      <c r="B572" s="754"/>
      <c r="C572" s="755"/>
      <c r="D572" s="756"/>
    </row>
    <row r="573">
      <c r="A573" s="393"/>
      <c r="B573" s="754"/>
      <c r="C573" s="755"/>
      <c r="D573" s="756"/>
    </row>
    <row r="574">
      <c r="A574" s="393"/>
      <c r="B574" s="754"/>
      <c r="C574" s="755"/>
      <c r="D574" s="756"/>
    </row>
    <row r="575">
      <c r="A575" s="393"/>
      <c r="B575" s="754"/>
      <c r="C575" s="755"/>
      <c r="D575" s="756"/>
    </row>
    <row r="576">
      <c r="A576" s="393"/>
      <c r="B576" s="754"/>
      <c r="C576" s="755"/>
      <c r="D576" s="756"/>
    </row>
    <row r="577">
      <c r="A577" s="393"/>
      <c r="B577" s="754"/>
      <c r="C577" s="755"/>
      <c r="D577" s="756"/>
    </row>
    <row r="578">
      <c r="A578" s="393"/>
      <c r="B578" s="754"/>
      <c r="C578" s="755"/>
      <c r="D578" s="756"/>
    </row>
    <row r="579">
      <c r="A579" s="393"/>
      <c r="B579" s="754"/>
      <c r="C579" s="755"/>
      <c r="D579" s="756"/>
    </row>
    <row r="580">
      <c r="A580" s="393"/>
      <c r="B580" s="754"/>
      <c r="C580" s="755"/>
      <c r="D580" s="756"/>
    </row>
    <row r="581">
      <c r="A581" s="393"/>
      <c r="B581" s="754"/>
      <c r="C581" s="755"/>
      <c r="D581" s="756"/>
    </row>
    <row r="582">
      <c r="A582" s="393"/>
      <c r="B582" s="754"/>
      <c r="C582" s="755"/>
      <c r="D582" s="756"/>
    </row>
    <row r="583">
      <c r="A583" s="393"/>
      <c r="B583" s="754"/>
      <c r="C583" s="755"/>
      <c r="D583" s="756"/>
    </row>
    <row r="584">
      <c r="A584" s="393"/>
      <c r="B584" s="754"/>
      <c r="C584" s="755"/>
      <c r="D584" s="756"/>
    </row>
    <row r="585">
      <c r="A585" s="393"/>
      <c r="B585" s="754"/>
      <c r="C585" s="755"/>
      <c r="D585" s="756"/>
    </row>
    <row r="586">
      <c r="A586" s="393"/>
      <c r="B586" s="754"/>
      <c r="C586" s="755"/>
      <c r="D586" s="756"/>
    </row>
    <row r="587">
      <c r="A587" s="393"/>
      <c r="B587" s="754"/>
      <c r="C587" s="755"/>
      <c r="D587" s="756"/>
    </row>
    <row r="588">
      <c r="A588" s="393"/>
      <c r="B588" s="754"/>
      <c r="C588" s="755"/>
      <c r="D588" s="756"/>
    </row>
    <row r="589">
      <c r="A589" s="393"/>
      <c r="B589" s="754"/>
      <c r="C589" s="755"/>
      <c r="D589" s="756"/>
    </row>
    <row r="590">
      <c r="A590" s="393"/>
      <c r="B590" s="754"/>
      <c r="C590" s="755"/>
      <c r="D590" s="756"/>
    </row>
    <row r="591">
      <c r="A591" s="393"/>
      <c r="B591" s="754"/>
      <c r="C591" s="755"/>
      <c r="D591" s="756"/>
    </row>
    <row r="592">
      <c r="A592" s="393"/>
      <c r="B592" s="754"/>
      <c r="C592" s="755"/>
      <c r="D592" s="756"/>
    </row>
    <row r="593">
      <c r="A593" s="393"/>
      <c r="B593" s="754"/>
      <c r="C593" s="755"/>
      <c r="D593" s="756"/>
    </row>
    <row r="594">
      <c r="A594" s="393"/>
      <c r="B594" s="754"/>
      <c r="C594" s="755"/>
      <c r="D594" s="756"/>
    </row>
    <row r="595">
      <c r="A595" s="393"/>
      <c r="B595" s="754"/>
      <c r="C595" s="755"/>
      <c r="D595" s="756"/>
    </row>
    <row r="596">
      <c r="A596" s="393"/>
      <c r="B596" s="754"/>
      <c r="C596" s="755"/>
      <c r="D596" s="756"/>
    </row>
    <row r="597">
      <c r="A597" s="393"/>
      <c r="B597" s="754"/>
      <c r="C597" s="755"/>
      <c r="D597" s="756"/>
    </row>
    <row r="598">
      <c r="A598" s="393"/>
      <c r="B598" s="754"/>
      <c r="C598" s="755"/>
      <c r="D598" s="756"/>
    </row>
    <row r="599">
      <c r="A599" s="393"/>
      <c r="B599" s="754"/>
      <c r="C599" s="755"/>
      <c r="D599" s="756"/>
    </row>
    <row r="600">
      <c r="A600" s="393"/>
      <c r="B600" s="754"/>
      <c r="C600" s="755"/>
      <c r="D600" s="756"/>
    </row>
    <row r="601">
      <c r="A601" s="393"/>
      <c r="B601" s="754"/>
      <c r="C601" s="755"/>
      <c r="D601" s="756"/>
    </row>
    <row r="602">
      <c r="A602" s="393"/>
      <c r="B602" s="754"/>
      <c r="C602" s="755"/>
      <c r="D602" s="756"/>
    </row>
    <row r="603">
      <c r="A603" s="393"/>
      <c r="B603" s="754"/>
      <c r="C603" s="755"/>
      <c r="D603" s="756"/>
    </row>
    <row r="604">
      <c r="A604" s="393"/>
      <c r="B604" s="754"/>
      <c r="C604" s="755"/>
      <c r="D604" s="756"/>
    </row>
    <row r="605">
      <c r="A605" s="393"/>
      <c r="B605" s="754"/>
      <c r="C605" s="755"/>
      <c r="D605" s="756"/>
    </row>
    <row r="606">
      <c r="A606" s="393"/>
      <c r="B606" s="754"/>
      <c r="C606" s="755"/>
      <c r="D606" s="756"/>
    </row>
    <row r="607">
      <c r="A607" s="393"/>
      <c r="B607" s="754"/>
      <c r="C607" s="755"/>
      <c r="D607" s="756"/>
    </row>
    <row r="608">
      <c r="A608" s="393"/>
      <c r="B608" s="754"/>
      <c r="C608" s="755"/>
      <c r="D608" s="756"/>
    </row>
    <row r="609">
      <c r="A609" s="393"/>
      <c r="B609" s="754"/>
      <c r="C609" s="755"/>
      <c r="D609" s="756"/>
    </row>
    <row r="610">
      <c r="A610" s="393"/>
      <c r="B610" s="754"/>
      <c r="C610" s="755"/>
      <c r="D610" s="756"/>
    </row>
    <row r="611">
      <c r="A611" s="393"/>
      <c r="B611" s="754"/>
      <c r="C611" s="755"/>
      <c r="D611" s="756"/>
    </row>
    <row r="612">
      <c r="A612" s="393"/>
      <c r="B612" s="754"/>
      <c r="C612" s="755"/>
      <c r="D612" s="756"/>
    </row>
    <row r="613">
      <c r="A613" s="393"/>
      <c r="B613" s="754"/>
      <c r="C613" s="755"/>
      <c r="D613" s="756"/>
    </row>
    <row r="614">
      <c r="A614" s="393"/>
      <c r="B614" s="754"/>
      <c r="C614" s="755"/>
      <c r="D614" s="756"/>
    </row>
    <row r="615">
      <c r="A615" s="393"/>
      <c r="B615" s="754"/>
      <c r="C615" s="755"/>
      <c r="D615" s="756"/>
    </row>
    <row r="616">
      <c r="A616" s="393"/>
      <c r="B616" s="754"/>
      <c r="C616" s="755"/>
      <c r="D616" s="756"/>
    </row>
    <row r="617">
      <c r="A617" s="393"/>
      <c r="B617" s="754"/>
      <c r="C617" s="755"/>
      <c r="D617" s="756"/>
    </row>
    <row r="618">
      <c r="A618" s="393"/>
      <c r="B618" s="754"/>
      <c r="C618" s="755"/>
      <c r="D618" s="756"/>
    </row>
    <row r="619">
      <c r="A619" s="393"/>
      <c r="B619" s="754"/>
      <c r="C619" s="755"/>
      <c r="D619" s="756"/>
    </row>
    <row r="620">
      <c r="A620" s="393"/>
      <c r="B620" s="754"/>
      <c r="C620" s="755"/>
      <c r="D620" s="756"/>
    </row>
    <row r="621">
      <c r="A621" s="393"/>
      <c r="B621" s="754"/>
      <c r="C621" s="755"/>
      <c r="D621" s="756"/>
    </row>
    <row r="622">
      <c r="A622" s="393"/>
      <c r="B622" s="754"/>
      <c r="C622" s="755"/>
      <c r="D622" s="756"/>
    </row>
    <row r="623">
      <c r="A623" s="393"/>
      <c r="B623" s="754"/>
      <c r="C623" s="755"/>
      <c r="D623" s="756"/>
    </row>
    <row r="624">
      <c r="A624" s="393"/>
      <c r="B624" s="754"/>
      <c r="C624" s="755"/>
      <c r="D624" s="756"/>
    </row>
    <row r="625">
      <c r="A625" s="393"/>
      <c r="B625" s="754"/>
      <c r="C625" s="755"/>
      <c r="D625" s="756"/>
    </row>
    <row r="626">
      <c r="A626" s="393"/>
      <c r="B626" s="754"/>
      <c r="C626" s="755"/>
      <c r="D626" s="756"/>
    </row>
    <row r="627">
      <c r="A627" s="393"/>
      <c r="B627" s="754"/>
      <c r="C627" s="755"/>
      <c r="D627" s="756"/>
    </row>
    <row r="628">
      <c r="A628" s="393"/>
      <c r="B628" s="754"/>
      <c r="C628" s="755"/>
      <c r="D628" s="756"/>
    </row>
    <row r="629">
      <c r="A629" s="393"/>
      <c r="B629" s="754"/>
      <c r="C629" s="755"/>
      <c r="D629" s="756"/>
    </row>
    <row r="630">
      <c r="A630" s="393"/>
      <c r="B630" s="754"/>
      <c r="C630" s="755"/>
      <c r="D630" s="756"/>
    </row>
    <row r="631">
      <c r="A631" s="393"/>
      <c r="B631" s="754"/>
      <c r="C631" s="755"/>
      <c r="D631" s="756"/>
    </row>
    <row r="632">
      <c r="A632" s="393"/>
      <c r="B632" s="754"/>
      <c r="C632" s="755"/>
      <c r="D632" s="756"/>
    </row>
    <row r="633">
      <c r="A633" s="393"/>
      <c r="B633" s="754"/>
      <c r="C633" s="755"/>
      <c r="D633" s="756"/>
    </row>
    <row r="634">
      <c r="A634" s="393"/>
      <c r="B634" s="754"/>
      <c r="C634" s="755"/>
      <c r="D634" s="756"/>
    </row>
    <row r="635">
      <c r="A635" s="393"/>
      <c r="B635" s="754"/>
      <c r="C635" s="755"/>
      <c r="D635" s="756"/>
    </row>
    <row r="636">
      <c r="A636" s="393"/>
      <c r="B636" s="754"/>
      <c r="C636" s="755"/>
      <c r="D636" s="756"/>
    </row>
    <row r="637">
      <c r="A637" s="393"/>
      <c r="B637" s="754"/>
      <c r="C637" s="755"/>
      <c r="D637" s="756"/>
    </row>
    <row r="638">
      <c r="A638" s="393"/>
      <c r="B638" s="754"/>
      <c r="C638" s="755"/>
      <c r="D638" s="756"/>
    </row>
    <row r="639">
      <c r="A639" s="393"/>
      <c r="B639" s="754"/>
      <c r="C639" s="755"/>
      <c r="D639" s="756"/>
    </row>
    <row r="640">
      <c r="A640" s="393"/>
      <c r="B640" s="754"/>
      <c r="C640" s="755"/>
      <c r="D640" s="756"/>
    </row>
    <row r="641">
      <c r="A641" s="393"/>
      <c r="B641" s="754"/>
      <c r="C641" s="755"/>
      <c r="D641" s="756"/>
    </row>
    <row r="642">
      <c r="A642" s="393"/>
      <c r="B642" s="754"/>
      <c r="C642" s="755"/>
      <c r="D642" s="756"/>
    </row>
    <row r="643">
      <c r="A643" s="393"/>
      <c r="B643" s="754"/>
      <c r="C643" s="755"/>
      <c r="D643" s="756"/>
    </row>
    <row r="644">
      <c r="A644" s="393"/>
      <c r="B644" s="754"/>
      <c r="C644" s="755"/>
      <c r="D644" s="756"/>
    </row>
    <row r="645">
      <c r="A645" s="393"/>
      <c r="B645" s="754"/>
      <c r="C645" s="755"/>
      <c r="D645" s="756"/>
    </row>
    <row r="646">
      <c r="A646" s="393"/>
      <c r="B646" s="754"/>
      <c r="C646" s="755"/>
      <c r="D646" s="756"/>
    </row>
    <row r="647">
      <c r="A647" s="393"/>
      <c r="B647" s="754"/>
      <c r="C647" s="755"/>
      <c r="D647" s="756"/>
    </row>
    <row r="648">
      <c r="A648" s="393"/>
      <c r="B648" s="754"/>
      <c r="C648" s="755"/>
      <c r="D648" s="756"/>
    </row>
    <row r="649">
      <c r="A649" s="393"/>
      <c r="B649" s="754"/>
      <c r="C649" s="755"/>
      <c r="D649" s="756"/>
    </row>
    <row r="650">
      <c r="A650" s="393"/>
      <c r="B650" s="754"/>
      <c r="C650" s="755"/>
      <c r="D650" s="756"/>
    </row>
    <row r="651">
      <c r="A651" s="393"/>
      <c r="B651" s="754"/>
      <c r="C651" s="755"/>
      <c r="D651" s="756"/>
    </row>
    <row r="652">
      <c r="A652" s="393"/>
      <c r="B652" s="754"/>
      <c r="C652" s="755"/>
      <c r="D652" s="756"/>
    </row>
    <row r="653">
      <c r="A653" s="393"/>
      <c r="B653" s="754"/>
      <c r="C653" s="755"/>
      <c r="D653" s="756"/>
    </row>
    <row r="654">
      <c r="A654" s="393"/>
      <c r="B654" s="754"/>
      <c r="C654" s="755"/>
      <c r="D654" s="756"/>
    </row>
    <row r="655">
      <c r="A655" s="393"/>
      <c r="B655" s="754"/>
      <c r="C655" s="755"/>
      <c r="D655" s="756"/>
    </row>
    <row r="656">
      <c r="A656" s="393"/>
      <c r="B656" s="754"/>
      <c r="C656" s="755"/>
      <c r="D656" s="756"/>
    </row>
    <row r="657">
      <c r="A657" s="393"/>
      <c r="B657" s="754"/>
      <c r="C657" s="755"/>
      <c r="D657" s="756"/>
    </row>
    <row r="658">
      <c r="A658" s="393"/>
      <c r="B658" s="754"/>
      <c r="C658" s="755"/>
      <c r="D658" s="756"/>
    </row>
    <row r="659">
      <c r="A659" s="393"/>
      <c r="B659" s="754"/>
      <c r="C659" s="755"/>
      <c r="D659" s="756"/>
    </row>
    <row r="660">
      <c r="A660" s="393"/>
      <c r="B660" s="754"/>
      <c r="C660" s="755"/>
      <c r="D660" s="756"/>
    </row>
    <row r="661">
      <c r="A661" s="393"/>
      <c r="B661" s="754"/>
      <c r="C661" s="755"/>
      <c r="D661" s="756"/>
    </row>
    <row r="662">
      <c r="A662" s="393"/>
      <c r="B662" s="754"/>
      <c r="C662" s="755"/>
      <c r="D662" s="756"/>
    </row>
    <row r="663">
      <c r="A663" s="393"/>
      <c r="B663" s="754"/>
      <c r="C663" s="755"/>
      <c r="D663" s="756"/>
    </row>
    <row r="664">
      <c r="A664" s="393"/>
      <c r="B664" s="754"/>
      <c r="C664" s="755"/>
      <c r="D664" s="756"/>
    </row>
    <row r="665">
      <c r="A665" s="393"/>
      <c r="B665" s="754"/>
      <c r="C665" s="755"/>
      <c r="D665" s="756"/>
    </row>
    <row r="666">
      <c r="A666" s="393"/>
      <c r="B666" s="754"/>
      <c r="C666" s="755"/>
      <c r="D666" s="756"/>
    </row>
    <row r="667">
      <c r="A667" s="393"/>
      <c r="B667" s="754"/>
      <c r="C667" s="755"/>
      <c r="D667" s="756"/>
    </row>
    <row r="668">
      <c r="A668" s="393"/>
      <c r="B668" s="754"/>
      <c r="C668" s="755"/>
      <c r="D668" s="756"/>
    </row>
    <row r="669">
      <c r="A669" s="393"/>
      <c r="B669" s="754"/>
      <c r="C669" s="755"/>
      <c r="D669" s="756"/>
    </row>
    <row r="670">
      <c r="A670" s="393"/>
      <c r="B670" s="754"/>
      <c r="C670" s="755"/>
      <c r="D670" s="756"/>
    </row>
    <row r="671">
      <c r="A671" s="393"/>
      <c r="B671" s="754"/>
      <c r="C671" s="755"/>
      <c r="D671" s="756"/>
    </row>
    <row r="672">
      <c r="A672" s="393"/>
      <c r="B672" s="754"/>
      <c r="C672" s="755"/>
      <c r="D672" s="756"/>
    </row>
    <row r="673">
      <c r="A673" s="393"/>
      <c r="B673" s="754"/>
      <c r="C673" s="755"/>
      <c r="D673" s="756"/>
    </row>
    <row r="674">
      <c r="A674" s="393"/>
      <c r="B674" s="754"/>
      <c r="C674" s="755"/>
      <c r="D674" s="756"/>
    </row>
    <row r="675">
      <c r="A675" s="393"/>
      <c r="B675" s="754"/>
      <c r="C675" s="755"/>
      <c r="D675" s="756"/>
    </row>
    <row r="676">
      <c r="A676" s="393"/>
      <c r="B676" s="754"/>
      <c r="C676" s="755"/>
      <c r="D676" s="756"/>
    </row>
    <row r="677">
      <c r="A677" s="393"/>
      <c r="B677" s="754"/>
      <c r="C677" s="755"/>
      <c r="D677" s="756"/>
    </row>
    <row r="678">
      <c r="A678" s="393"/>
      <c r="B678" s="754"/>
      <c r="C678" s="755"/>
      <c r="D678" s="756"/>
    </row>
    <row r="679">
      <c r="A679" s="393"/>
      <c r="B679" s="754"/>
      <c r="C679" s="755"/>
      <c r="D679" s="756"/>
    </row>
    <row r="680">
      <c r="A680" s="393"/>
      <c r="B680" s="754"/>
      <c r="C680" s="755"/>
      <c r="D680" s="756"/>
    </row>
    <row r="681">
      <c r="A681" s="393"/>
      <c r="B681" s="754"/>
      <c r="C681" s="755"/>
      <c r="D681" s="756"/>
    </row>
    <row r="682">
      <c r="A682" s="393"/>
      <c r="B682" s="754"/>
      <c r="C682" s="755"/>
      <c r="D682" s="756"/>
    </row>
    <row r="683">
      <c r="A683" s="393"/>
      <c r="B683" s="754"/>
      <c r="C683" s="755"/>
      <c r="D683" s="756"/>
    </row>
    <row r="684">
      <c r="A684" s="393"/>
      <c r="B684" s="754"/>
      <c r="C684" s="755"/>
      <c r="D684" s="756"/>
    </row>
    <row r="685">
      <c r="A685" s="393"/>
      <c r="B685" s="754"/>
      <c r="C685" s="755"/>
      <c r="D685" s="756"/>
    </row>
    <row r="686">
      <c r="A686" s="393"/>
      <c r="B686" s="754"/>
      <c r="C686" s="755"/>
      <c r="D686" s="756"/>
    </row>
    <row r="687">
      <c r="A687" s="393"/>
      <c r="B687" s="754"/>
      <c r="C687" s="755"/>
      <c r="D687" s="756"/>
    </row>
    <row r="688">
      <c r="A688" s="393"/>
      <c r="B688" s="754"/>
      <c r="C688" s="755"/>
      <c r="D688" s="756"/>
    </row>
    <row r="689">
      <c r="A689" s="393"/>
      <c r="B689" s="754"/>
      <c r="C689" s="755"/>
      <c r="D689" s="756"/>
    </row>
    <row r="690">
      <c r="A690" s="393"/>
      <c r="B690" s="754"/>
      <c r="C690" s="755"/>
      <c r="D690" s="756"/>
    </row>
    <row r="691">
      <c r="A691" s="393"/>
      <c r="B691" s="754"/>
      <c r="C691" s="755"/>
      <c r="D691" s="756"/>
    </row>
    <row r="692">
      <c r="A692" s="393"/>
      <c r="B692" s="754"/>
      <c r="C692" s="755"/>
      <c r="D692" s="756"/>
    </row>
    <row r="693">
      <c r="A693" s="393"/>
      <c r="B693" s="754"/>
      <c r="C693" s="755"/>
      <c r="D693" s="756"/>
    </row>
    <row r="694">
      <c r="A694" s="393"/>
      <c r="B694" s="754"/>
      <c r="C694" s="755"/>
      <c r="D694" s="756"/>
    </row>
    <row r="695">
      <c r="A695" s="393"/>
      <c r="B695" s="754"/>
      <c r="C695" s="755"/>
      <c r="D695" s="756"/>
    </row>
    <row r="696">
      <c r="A696" s="393"/>
      <c r="B696" s="754"/>
      <c r="C696" s="755"/>
      <c r="D696" s="756"/>
    </row>
    <row r="697">
      <c r="A697" s="393"/>
      <c r="B697" s="754"/>
      <c r="C697" s="755"/>
      <c r="D697" s="756"/>
    </row>
    <row r="698">
      <c r="A698" s="393"/>
      <c r="B698" s="754"/>
      <c r="C698" s="755"/>
      <c r="D698" s="756"/>
    </row>
    <row r="699">
      <c r="A699" s="393"/>
      <c r="B699" s="754"/>
      <c r="C699" s="755"/>
      <c r="D699" s="756"/>
    </row>
    <row r="700">
      <c r="A700" s="393"/>
      <c r="B700" s="754"/>
      <c r="C700" s="755"/>
      <c r="D700" s="756"/>
    </row>
    <row r="701">
      <c r="A701" s="393"/>
      <c r="B701" s="754"/>
      <c r="C701" s="755"/>
      <c r="D701" s="756"/>
    </row>
    <row r="702">
      <c r="A702" s="393"/>
      <c r="B702" s="754"/>
      <c r="C702" s="755"/>
      <c r="D702" s="756"/>
    </row>
    <row r="703">
      <c r="A703" s="393"/>
      <c r="B703" s="754"/>
      <c r="C703" s="755"/>
      <c r="D703" s="756"/>
    </row>
    <row r="704">
      <c r="A704" s="393"/>
      <c r="B704" s="754"/>
      <c r="C704" s="755"/>
      <c r="D704" s="756"/>
    </row>
    <row r="705">
      <c r="A705" s="393"/>
      <c r="B705" s="754"/>
      <c r="C705" s="755"/>
      <c r="D705" s="756"/>
    </row>
    <row r="706">
      <c r="A706" s="393"/>
      <c r="B706" s="754"/>
      <c r="C706" s="755"/>
      <c r="D706" s="756"/>
    </row>
    <row r="707">
      <c r="A707" s="393"/>
      <c r="B707" s="754"/>
      <c r="C707" s="755"/>
      <c r="D707" s="756"/>
    </row>
    <row r="708">
      <c r="A708" s="393"/>
      <c r="B708" s="754"/>
      <c r="C708" s="755"/>
      <c r="D708" s="756"/>
    </row>
    <row r="709">
      <c r="A709" s="393"/>
      <c r="B709" s="754"/>
      <c r="C709" s="755"/>
      <c r="D709" s="756"/>
    </row>
    <row r="710">
      <c r="A710" s="393"/>
      <c r="B710" s="754"/>
      <c r="C710" s="755"/>
      <c r="D710" s="756"/>
    </row>
    <row r="711">
      <c r="A711" s="393"/>
      <c r="B711" s="754"/>
      <c r="C711" s="755"/>
      <c r="D711" s="756"/>
    </row>
    <row r="712">
      <c r="A712" s="393"/>
      <c r="B712" s="754"/>
      <c r="C712" s="755"/>
      <c r="D712" s="756"/>
    </row>
    <row r="713">
      <c r="A713" s="393"/>
      <c r="B713" s="754"/>
      <c r="C713" s="755"/>
      <c r="D713" s="756"/>
    </row>
    <row r="714">
      <c r="A714" s="393"/>
      <c r="B714" s="754"/>
      <c r="C714" s="755"/>
      <c r="D714" s="756"/>
    </row>
    <row r="715">
      <c r="A715" s="393"/>
      <c r="B715" s="754"/>
      <c r="C715" s="755"/>
      <c r="D715" s="756"/>
    </row>
    <row r="716">
      <c r="A716" s="393"/>
      <c r="B716" s="754"/>
      <c r="C716" s="755"/>
      <c r="D716" s="756"/>
    </row>
    <row r="717">
      <c r="A717" s="393"/>
      <c r="B717" s="754"/>
      <c r="C717" s="755"/>
      <c r="D717" s="756"/>
    </row>
    <row r="718">
      <c r="A718" s="393"/>
      <c r="B718" s="754"/>
      <c r="C718" s="755"/>
      <c r="D718" s="756"/>
    </row>
    <row r="719">
      <c r="A719" s="393"/>
      <c r="B719" s="754"/>
      <c r="C719" s="755"/>
      <c r="D719" s="756"/>
    </row>
    <row r="720">
      <c r="A720" s="393"/>
      <c r="B720" s="754"/>
      <c r="C720" s="755"/>
      <c r="D720" s="756"/>
    </row>
    <row r="721">
      <c r="A721" s="393"/>
      <c r="B721" s="754"/>
      <c r="C721" s="755"/>
      <c r="D721" s="756"/>
    </row>
    <row r="722">
      <c r="A722" s="393"/>
      <c r="B722" s="754"/>
      <c r="C722" s="755"/>
      <c r="D722" s="756"/>
    </row>
    <row r="723">
      <c r="A723" s="393"/>
      <c r="B723" s="754"/>
      <c r="C723" s="755"/>
      <c r="D723" s="756"/>
    </row>
    <row r="724">
      <c r="A724" s="393"/>
      <c r="B724" s="754"/>
      <c r="C724" s="755"/>
      <c r="D724" s="756"/>
    </row>
    <row r="725">
      <c r="A725" s="393"/>
      <c r="B725" s="754"/>
      <c r="C725" s="755"/>
      <c r="D725" s="756"/>
    </row>
    <row r="726">
      <c r="A726" s="393"/>
      <c r="B726" s="754"/>
      <c r="C726" s="755"/>
      <c r="D726" s="756"/>
    </row>
    <row r="727">
      <c r="A727" s="393"/>
      <c r="B727" s="754"/>
      <c r="C727" s="755"/>
      <c r="D727" s="756"/>
    </row>
    <row r="728">
      <c r="A728" s="393"/>
      <c r="B728" s="754"/>
      <c r="C728" s="755"/>
      <c r="D728" s="756"/>
    </row>
    <row r="729">
      <c r="A729" s="393"/>
      <c r="B729" s="754"/>
      <c r="C729" s="755"/>
      <c r="D729" s="756"/>
    </row>
    <row r="730">
      <c r="A730" s="393"/>
      <c r="B730" s="754"/>
      <c r="C730" s="755"/>
      <c r="D730" s="756"/>
    </row>
    <row r="731">
      <c r="A731" s="393"/>
      <c r="B731" s="754"/>
      <c r="C731" s="755"/>
      <c r="D731" s="756"/>
    </row>
    <row r="732">
      <c r="A732" s="393"/>
      <c r="B732" s="754"/>
      <c r="C732" s="755"/>
      <c r="D732" s="756"/>
    </row>
    <row r="733">
      <c r="A733" s="393"/>
      <c r="B733" s="754"/>
      <c r="C733" s="755"/>
      <c r="D733" s="756"/>
    </row>
    <row r="734">
      <c r="A734" s="393"/>
      <c r="B734" s="754"/>
      <c r="C734" s="755"/>
      <c r="D734" s="756"/>
    </row>
    <row r="735">
      <c r="A735" s="393"/>
      <c r="B735" s="754"/>
      <c r="C735" s="755"/>
      <c r="D735" s="756"/>
    </row>
    <row r="736">
      <c r="A736" s="393"/>
      <c r="B736" s="754"/>
      <c r="C736" s="755"/>
      <c r="D736" s="756"/>
    </row>
    <row r="737">
      <c r="A737" s="393"/>
      <c r="B737" s="754"/>
      <c r="C737" s="755"/>
      <c r="D737" s="756"/>
    </row>
    <row r="738">
      <c r="A738" s="393"/>
      <c r="B738" s="754"/>
      <c r="C738" s="755"/>
      <c r="D738" s="756"/>
    </row>
    <row r="739">
      <c r="A739" s="393"/>
      <c r="B739" s="754"/>
      <c r="C739" s="755"/>
      <c r="D739" s="756"/>
    </row>
    <row r="740">
      <c r="A740" s="393"/>
      <c r="B740" s="754"/>
      <c r="C740" s="755"/>
      <c r="D740" s="756"/>
    </row>
    <row r="741">
      <c r="A741" s="393"/>
      <c r="B741" s="754"/>
      <c r="C741" s="755"/>
      <c r="D741" s="756"/>
    </row>
    <row r="742">
      <c r="A742" s="393"/>
      <c r="B742" s="754"/>
      <c r="C742" s="755"/>
      <c r="D742" s="756"/>
    </row>
    <row r="743">
      <c r="A743" s="393"/>
      <c r="B743" s="754"/>
      <c r="C743" s="755"/>
      <c r="D743" s="756"/>
    </row>
    <row r="744">
      <c r="A744" s="393"/>
      <c r="B744" s="754"/>
      <c r="C744" s="755"/>
      <c r="D744" s="756"/>
    </row>
    <row r="745">
      <c r="A745" s="393"/>
      <c r="B745" s="754"/>
      <c r="C745" s="755"/>
      <c r="D745" s="756"/>
    </row>
    <row r="746">
      <c r="A746" s="393"/>
      <c r="B746" s="754"/>
      <c r="C746" s="755"/>
      <c r="D746" s="756"/>
    </row>
    <row r="747">
      <c r="A747" s="393"/>
      <c r="B747" s="754"/>
      <c r="C747" s="755"/>
      <c r="D747" s="756"/>
    </row>
    <row r="748">
      <c r="A748" s="393"/>
      <c r="B748" s="754"/>
      <c r="C748" s="755"/>
      <c r="D748" s="756"/>
    </row>
    <row r="749">
      <c r="A749" s="393"/>
      <c r="B749" s="754"/>
      <c r="C749" s="755"/>
      <c r="D749" s="756"/>
    </row>
    <row r="750">
      <c r="A750" s="393"/>
      <c r="B750" s="754"/>
      <c r="C750" s="755"/>
      <c r="D750" s="756"/>
    </row>
    <row r="751">
      <c r="A751" s="393"/>
      <c r="B751" s="754"/>
      <c r="C751" s="755"/>
      <c r="D751" s="756"/>
    </row>
    <row r="752">
      <c r="A752" s="393"/>
      <c r="B752" s="754"/>
      <c r="C752" s="755"/>
      <c r="D752" s="756"/>
    </row>
    <row r="753">
      <c r="A753" s="393"/>
      <c r="B753" s="754"/>
      <c r="C753" s="755"/>
      <c r="D753" s="756"/>
    </row>
    <row r="754">
      <c r="A754" s="393"/>
      <c r="B754" s="754"/>
      <c r="C754" s="755"/>
      <c r="D754" s="756"/>
    </row>
    <row r="755">
      <c r="A755" s="393"/>
      <c r="B755" s="754"/>
      <c r="C755" s="755"/>
      <c r="D755" s="756"/>
    </row>
    <row r="756">
      <c r="A756" s="393"/>
      <c r="B756" s="754"/>
      <c r="C756" s="755"/>
      <c r="D756" s="756"/>
    </row>
    <row r="757">
      <c r="A757" s="393"/>
      <c r="B757" s="754"/>
      <c r="C757" s="755"/>
      <c r="D757" s="756"/>
    </row>
    <row r="758">
      <c r="A758" s="393"/>
      <c r="B758" s="754"/>
      <c r="C758" s="755"/>
      <c r="D758" s="756"/>
    </row>
    <row r="759">
      <c r="A759" s="393"/>
      <c r="B759" s="754"/>
      <c r="C759" s="755"/>
      <c r="D759" s="756"/>
    </row>
    <row r="760">
      <c r="A760" s="393"/>
      <c r="B760" s="754"/>
      <c r="C760" s="755"/>
      <c r="D760" s="756"/>
    </row>
    <row r="761">
      <c r="A761" s="393"/>
      <c r="B761" s="754"/>
      <c r="C761" s="755"/>
      <c r="D761" s="756"/>
    </row>
    <row r="762">
      <c r="A762" s="393"/>
      <c r="B762" s="754"/>
      <c r="C762" s="755"/>
      <c r="D762" s="756"/>
    </row>
    <row r="763">
      <c r="A763" s="393"/>
      <c r="B763" s="754"/>
      <c r="C763" s="755"/>
      <c r="D763" s="756"/>
    </row>
    <row r="764">
      <c r="A764" s="393"/>
      <c r="B764" s="754"/>
      <c r="C764" s="755"/>
      <c r="D764" s="756"/>
    </row>
    <row r="765">
      <c r="A765" s="393"/>
      <c r="B765" s="754"/>
      <c r="C765" s="755"/>
      <c r="D765" s="756"/>
    </row>
    <row r="766">
      <c r="A766" s="393"/>
      <c r="B766" s="754"/>
      <c r="C766" s="755"/>
      <c r="D766" s="756"/>
    </row>
    <row r="767">
      <c r="A767" s="393"/>
      <c r="B767" s="754"/>
      <c r="C767" s="755"/>
      <c r="D767" s="756"/>
    </row>
    <row r="768">
      <c r="A768" s="393"/>
      <c r="B768" s="754"/>
      <c r="C768" s="755"/>
      <c r="D768" s="756"/>
    </row>
    <row r="769">
      <c r="A769" s="393"/>
      <c r="B769" s="754"/>
      <c r="C769" s="755"/>
      <c r="D769" s="756"/>
    </row>
    <row r="770">
      <c r="A770" s="393"/>
      <c r="B770" s="754"/>
      <c r="C770" s="755"/>
      <c r="D770" s="756"/>
    </row>
    <row r="771">
      <c r="A771" s="393"/>
      <c r="B771" s="754"/>
      <c r="C771" s="755"/>
      <c r="D771" s="756"/>
    </row>
    <row r="772">
      <c r="A772" s="393"/>
      <c r="B772" s="754"/>
      <c r="C772" s="755"/>
      <c r="D772" s="756"/>
    </row>
    <row r="773">
      <c r="A773" s="393"/>
      <c r="B773" s="754"/>
      <c r="C773" s="755"/>
      <c r="D773" s="756"/>
    </row>
    <row r="774">
      <c r="A774" s="393"/>
      <c r="B774" s="754"/>
      <c r="C774" s="755"/>
      <c r="D774" s="756"/>
    </row>
    <row r="775">
      <c r="A775" s="393"/>
      <c r="B775" s="754"/>
      <c r="C775" s="755"/>
      <c r="D775" s="756"/>
    </row>
    <row r="776">
      <c r="A776" s="393"/>
      <c r="B776" s="754"/>
      <c r="C776" s="755"/>
      <c r="D776" s="756"/>
    </row>
    <row r="777">
      <c r="A777" s="393"/>
      <c r="B777" s="754"/>
      <c r="C777" s="755"/>
      <c r="D777" s="756"/>
    </row>
    <row r="778">
      <c r="A778" s="393"/>
      <c r="B778" s="754"/>
      <c r="C778" s="755"/>
      <c r="D778" s="756"/>
    </row>
    <row r="779">
      <c r="A779" s="393"/>
      <c r="B779" s="754"/>
      <c r="C779" s="755"/>
      <c r="D779" s="756"/>
    </row>
    <row r="780">
      <c r="A780" s="393"/>
      <c r="B780" s="754"/>
      <c r="C780" s="755"/>
      <c r="D780" s="756"/>
    </row>
    <row r="781">
      <c r="A781" s="393"/>
      <c r="B781" s="754"/>
      <c r="C781" s="755"/>
      <c r="D781" s="756"/>
    </row>
    <row r="782">
      <c r="A782" s="393"/>
      <c r="B782" s="754"/>
      <c r="C782" s="755"/>
      <c r="D782" s="756"/>
    </row>
    <row r="783">
      <c r="A783" s="393"/>
      <c r="B783" s="754"/>
      <c r="C783" s="755"/>
      <c r="D783" s="756"/>
    </row>
    <row r="784">
      <c r="A784" s="393"/>
      <c r="B784" s="754"/>
      <c r="C784" s="755"/>
      <c r="D784" s="756"/>
    </row>
    <row r="785">
      <c r="A785" s="393"/>
      <c r="B785" s="754"/>
      <c r="C785" s="755"/>
      <c r="D785" s="756"/>
    </row>
    <row r="786">
      <c r="A786" s="393"/>
      <c r="B786" s="754"/>
      <c r="C786" s="755"/>
      <c r="D786" s="756"/>
    </row>
    <row r="787">
      <c r="A787" s="393"/>
      <c r="B787" s="754"/>
      <c r="C787" s="755"/>
      <c r="D787" s="756"/>
    </row>
    <row r="788">
      <c r="A788" s="393"/>
      <c r="B788" s="754"/>
      <c r="C788" s="755"/>
      <c r="D788" s="756"/>
    </row>
    <row r="789">
      <c r="A789" s="393"/>
      <c r="B789" s="754"/>
      <c r="C789" s="755"/>
      <c r="D789" s="756"/>
    </row>
    <row r="790">
      <c r="A790" s="393"/>
      <c r="B790" s="754"/>
      <c r="C790" s="755"/>
      <c r="D790" s="756"/>
    </row>
    <row r="791">
      <c r="A791" s="393"/>
      <c r="B791" s="754"/>
      <c r="C791" s="755"/>
      <c r="D791" s="756"/>
    </row>
    <row r="792">
      <c r="A792" s="393"/>
      <c r="B792" s="754"/>
      <c r="C792" s="755"/>
      <c r="D792" s="756"/>
    </row>
    <row r="793">
      <c r="A793" s="393"/>
      <c r="B793" s="754"/>
      <c r="C793" s="755"/>
      <c r="D793" s="756"/>
    </row>
    <row r="794">
      <c r="A794" s="393"/>
      <c r="B794" s="754"/>
      <c r="C794" s="755"/>
      <c r="D794" s="756"/>
    </row>
    <row r="795">
      <c r="A795" s="393"/>
      <c r="B795" s="754"/>
      <c r="C795" s="755"/>
      <c r="D795" s="756"/>
    </row>
    <row r="796">
      <c r="A796" s="393"/>
      <c r="B796" s="754"/>
      <c r="C796" s="755"/>
      <c r="D796" s="756"/>
    </row>
    <row r="797">
      <c r="A797" s="393"/>
      <c r="B797" s="754"/>
      <c r="C797" s="755"/>
      <c r="D797" s="756"/>
    </row>
    <row r="798">
      <c r="A798" s="393"/>
      <c r="B798" s="754"/>
      <c r="C798" s="755"/>
      <c r="D798" s="756"/>
    </row>
    <row r="799">
      <c r="A799" s="393"/>
      <c r="B799" s="754"/>
      <c r="C799" s="755"/>
      <c r="D799" s="756"/>
    </row>
    <row r="800">
      <c r="A800" s="393"/>
      <c r="B800" s="754"/>
      <c r="C800" s="755"/>
      <c r="D800" s="756"/>
    </row>
    <row r="801">
      <c r="A801" s="393"/>
      <c r="B801" s="754"/>
      <c r="C801" s="755"/>
      <c r="D801" s="756"/>
    </row>
    <row r="802">
      <c r="A802" s="393"/>
      <c r="B802" s="754"/>
      <c r="C802" s="755"/>
      <c r="D802" s="756"/>
    </row>
    <row r="803">
      <c r="A803" s="393"/>
      <c r="B803" s="754"/>
      <c r="C803" s="755"/>
      <c r="D803" s="756"/>
    </row>
    <row r="804">
      <c r="A804" s="393"/>
      <c r="B804" s="754"/>
      <c r="C804" s="755"/>
      <c r="D804" s="756"/>
    </row>
    <row r="805">
      <c r="A805" s="393"/>
      <c r="B805" s="754"/>
      <c r="C805" s="755"/>
      <c r="D805" s="756"/>
    </row>
    <row r="806">
      <c r="A806" s="393"/>
      <c r="B806" s="754"/>
      <c r="C806" s="755"/>
      <c r="D806" s="756"/>
    </row>
    <row r="807">
      <c r="A807" s="393"/>
      <c r="B807" s="754"/>
      <c r="C807" s="755"/>
      <c r="D807" s="756"/>
    </row>
    <row r="808">
      <c r="A808" s="393"/>
      <c r="B808" s="754"/>
      <c r="C808" s="755"/>
      <c r="D808" s="756"/>
    </row>
    <row r="809">
      <c r="A809" s="393"/>
      <c r="B809" s="754"/>
      <c r="C809" s="755"/>
      <c r="D809" s="756"/>
    </row>
    <row r="810">
      <c r="A810" s="393"/>
      <c r="B810" s="754"/>
      <c r="C810" s="755"/>
      <c r="D810" s="756"/>
    </row>
    <row r="811">
      <c r="A811" s="393"/>
      <c r="B811" s="754"/>
      <c r="C811" s="755"/>
      <c r="D811" s="756"/>
    </row>
    <row r="812">
      <c r="A812" s="393"/>
      <c r="B812" s="754"/>
      <c r="C812" s="755"/>
      <c r="D812" s="756"/>
    </row>
    <row r="813">
      <c r="A813" s="393"/>
      <c r="B813" s="754"/>
      <c r="C813" s="755"/>
      <c r="D813" s="756"/>
    </row>
    <row r="814">
      <c r="A814" s="393"/>
      <c r="B814" s="754"/>
      <c r="C814" s="755"/>
      <c r="D814" s="756"/>
    </row>
    <row r="815">
      <c r="A815" s="393"/>
      <c r="B815" s="754"/>
      <c r="C815" s="755"/>
      <c r="D815" s="756"/>
    </row>
    <row r="816">
      <c r="A816" s="393"/>
      <c r="B816" s="754"/>
      <c r="C816" s="755"/>
      <c r="D816" s="756"/>
    </row>
    <row r="817">
      <c r="A817" s="393"/>
      <c r="B817" s="754"/>
      <c r="C817" s="755"/>
      <c r="D817" s="756"/>
    </row>
    <row r="818">
      <c r="A818" s="393"/>
      <c r="B818" s="754"/>
      <c r="C818" s="755"/>
      <c r="D818" s="756"/>
    </row>
    <row r="819">
      <c r="A819" s="393"/>
      <c r="B819" s="754"/>
      <c r="C819" s="755"/>
      <c r="D819" s="756"/>
    </row>
    <row r="820">
      <c r="A820" s="393"/>
      <c r="B820" s="754"/>
      <c r="C820" s="755"/>
      <c r="D820" s="756"/>
    </row>
    <row r="821">
      <c r="A821" s="393"/>
      <c r="B821" s="754"/>
      <c r="C821" s="755"/>
      <c r="D821" s="756"/>
    </row>
    <row r="822">
      <c r="A822" s="393"/>
      <c r="B822" s="754"/>
      <c r="C822" s="755"/>
      <c r="D822" s="756"/>
    </row>
    <row r="823">
      <c r="A823" s="393"/>
      <c r="B823" s="754"/>
      <c r="C823" s="755"/>
      <c r="D823" s="756"/>
    </row>
    <row r="824">
      <c r="A824" s="393"/>
      <c r="B824" s="754"/>
      <c r="C824" s="755"/>
      <c r="D824" s="756"/>
    </row>
    <row r="825">
      <c r="A825" s="393"/>
      <c r="B825" s="754"/>
      <c r="C825" s="755"/>
      <c r="D825" s="756"/>
    </row>
    <row r="826">
      <c r="A826" s="393"/>
      <c r="B826" s="754"/>
      <c r="C826" s="755"/>
      <c r="D826" s="756"/>
    </row>
    <row r="827">
      <c r="A827" s="393"/>
      <c r="B827" s="754"/>
      <c r="C827" s="755"/>
      <c r="D827" s="756"/>
    </row>
    <row r="828">
      <c r="A828" s="393"/>
      <c r="B828" s="754"/>
      <c r="C828" s="755"/>
      <c r="D828" s="756"/>
    </row>
    <row r="829">
      <c r="A829" s="393"/>
      <c r="B829" s="754"/>
      <c r="C829" s="755"/>
      <c r="D829" s="756"/>
    </row>
    <row r="830">
      <c r="A830" s="393"/>
      <c r="B830" s="754"/>
      <c r="C830" s="755"/>
      <c r="D830" s="756"/>
    </row>
    <row r="831">
      <c r="A831" s="393"/>
      <c r="B831" s="754"/>
      <c r="C831" s="755"/>
      <c r="D831" s="756"/>
    </row>
    <row r="832">
      <c r="A832" s="393"/>
      <c r="B832" s="754"/>
      <c r="C832" s="755"/>
      <c r="D832" s="756"/>
    </row>
    <row r="833">
      <c r="A833" s="393"/>
      <c r="B833" s="754"/>
      <c r="C833" s="755"/>
      <c r="D833" s="756"/>
    </row>
    <row r="834">
      <c r="A834" s="393"/>
      <c r="B834" s="754"/>
      <c r="C834" s="755"/>
      <c r="D834" s="756"/>
    </row>
    <row r="835">
      <c r="A835" s="393"/>
      <c r="B835" s="754"/>
      <c r="C835" s="755"/>
      <c r="D835" s="756"/>
    </row>
    <row r="836">
      <c r="A836" s="393"/>
      <c r="B836" s="754"/>
      <c r="C836" s="755"/>
      <c r="D836" s="756"/>
    </row>
    <row r="837">
      <c r="A837" s="393"/>
      <c r="B837" s="754"/>
      <c r="C837" s="755"/>
      <c r="D837" s="756"/>
    </row>
    <row r="838">
      <c r="A838" s="393"/>
      <c r="B838" s="754"/>
      <c r="C838" s="755"/>
      <c r="D838" s="756"/>
    </row>
    <row r="839">
      <c r="A839" s="393"/>
      <c r="B839" s="754"/>
      <c r="C839" s="755"/>
      <c r="D839" s="756"/>
    </row>
    <row r="840">
      <c r="A840" s="393"/>
      <c r="B840" s="754"/>
      <c r="C840" s="755"/>
      <c r="D840" s="756"/>
    </row>
    <row r="841">
      <c r="A841" s="393"/>
      <c r="B841" s="754"/>
      <c r="C841" s="755"/>
      <c r="D841" s="756"/>
    </row>
    <row r="842">
      <c r="A842" s="393"/>
      <c r="B842" s="754"/>
      <c r="C842" s="755"/>
      <c r="D842" s="756"/>
    </row>
    <row r="843">
      <c r="A843" s="393"/>
      <c r="B843" s="754"/>
      <c r="C843" s="755"/>
      <c r="D843" s="756"/>
    </row>
    <row r="844">
      <c r="A844" s="393"/>
      <c r="B844" s="754"/>
      <c r="C844" s="755"/>
      <c r="D844" s="756"/>
    </row>
    <row r="845">
      <c r="A845" s="393"/>
      <c r="B845" s="754"/>
      <c r="C845" s="755"/>
      <c r="D845" s="756"/>
    </row>
    <row r="846">
      <c r="A846" s="393"/>
      <c r="B846" s="754"/>
      <c r="C846" s="755"/>
      <c r="D846" s="756"/>
    </row>
    <row r="847">
      <c r="A847" s="393"/>
      <c r="B847" s="754"/>
      <c r="C847" s="755"/>
      <c r="D847" s="756"/>
    </row>
    <row r="848">
      <c r="A848" s="393"/>
      <c r="B848" s="754"/>
      <c r="C848" s="755"/>
      <c r="D848" s="756"/>
    </row>
    <row r="849">
      <c r="A849" s="393"/>
      <c r="B849" s="754"/>
      <c r="C849" s="755"/>
      <c r="D849" s="756"/>
    </row>
    <row r="850">
      <c r="A850" s="393"/>
      <c r="B850" s="754"/>
      <c r="C850" s="755"/>
      <c r="D850" s="756"/>
    </row>
    <row r="851">
      <c r="A851" s="393"/>
      <c r="B851" s="754"/>
      <c r="C851" s="755"/>
      <c r="D851" s="756"/>
    </row>
    <row r="852">
      <c r="A852" s="393"/>
      <c r="B852" s="754"/>
      <c r="C852" s="755"/>
      <c r="D852" s="756"/>
    </row>
    <row r="853">
      <c r="A853" s="393"/>
      <c r="B853" s="754"/>
      <c r="C853" s="755"/>
      <c r="D853" s="756"/>
    </row>
    <row r="854">
      <c r="A854" s="393"/>
      <c r="B854" s="754"/>
      <c r="C854" s="755"/>
      <c r="D854" s="756"/>
    </row>
    <row r="855">
      <c r="A855" s="393"/>
      <c r="B855" s="754"/>
      <c r="C855" s="755"/>
      <c r="D855" s="756"/>
    </row>
    <row r="856">
      <c r="A856" s="393"/>
      <c r="B856" s="754"/>
      <c r="C856" s="755"/>
      <c r="D856" s="756"/>
    </row>
    <row r="857">
      <c r="A857" s="393"/>
      <c r="B857" s="754"/>
      <c r="C857" s="755"/>
      <c r="D857" s="756"/>
    </row>
    <row r="858">
      <c r="A858" s="393"/>
      <c r="B858" s="754"/>
      <c r="C858" s="755"/>
      <c r="D858" s="756"/>
    </row>
    <row r="859">
      <c r="A859" s="393"/>
      <c r="B859" s="754"/>
      <c r="C859" s="755"/>
      <c r="D859" s="756"/>
    </row>
    <row r="860">
      <c r="A860" s="393"/>
      <c r="B860" s="754"/>
      <c r="C860" s="755"/>
      <c r="D860" s="756"/>
    </row>
    <row r="861">
      <c r="A861" s="393"/>
      <c r="B861" s="754"/>
      <c r="C861" s="755"/>
      <c r="D861" s="756"/>
    </row>
    <row r="862">
      <c r="A862" s="393"/>
      <c r="B862" s="754"/>
      <c r="C862" s="755"/>
      <c r="D862" s="756"/>
    </row>
    <row r="863">
      <c r="A863" s="393"/>
      <c r="B863" s="754"/>
      <c r="C863" s="755"/>
      <c r="D863" s="756"/>
    </row>
    <row r="864">
      <c r="A864" s="393"/>
      <c r="B864" s="754"/>
      <c r="C864" s="755"/>
      <c r="D864" s="756"/>
    </row>
    <row r="865">
      <c r="A865" s="393"/>
      <c r="B865" s="754"/>
      <c r="C865" s="755"/>
      <c r="D865" s="756"/>
    </row>
    <row r="866">
      <c r="A866" s="393"/>
      <c r="B866" s="754"/>
      <c r="C866" s="755"/>
      <c r="D866" s="756"/>
    </row>
    <row r="867">
      <c r="A867" s="393"/>
      <c r="B867" s="754"/>
      <c r="C867" s="755"/>
      <c r="D867" s="756"/>
    </row>
    <row r="868">
      <c r="A868" s="393"/>
      <c r="B868" s="754"/>
      <c r="C868" s="755"/>
      <c r="D868" s="756"/>
    </row>
    <row r="869">
      <c r="A869" s="393"/>
      <c r="B869" s="754"/>
      <c r="C869" s="755"/>
      <c r="D869" s="756"/>
    </row>
    <row r="870">
      <c r="A870" s="393"/>
      <c r="B870" s="754"/>
      <c r="C870" s="755"/>
      <c r="D870" s="756"/>
    </row>
    <row r="871">
      <c r="A871" s="393"/>
      <c r="B871" s="754"/>
      <c r="C871" s="755"/>
      <c r="D871" s="756"/>
    </row>
    <row r="872">
      <c r="A872" s="393"/>
      <c r="B872" s="754"/>
      <c r="C872" s="755"/>
      <c r="D872" s="756"/>
    </row>
    <row r="873">
      <c r="A873" s="393"/>
      <c r="B873" s="754"/>
      <c r="C873" s="755"/>
      <c r="D873" s="756"/>
    </row>
    <row r="874">
      <c r="A874" s="393"/>
      <c r="B874" s="754"/>
      <c r="C874" s="755"/>
      <c r="D874" s="756"/>
    </row>
    <row r="875">
      <c r="A875" s="393"/>
      <c r="B875" s="754"/>
      <c r="C875" s="755"/>
      <c r="D875" s="756"/>
    </row>
    <row r="876">
      <c r="A876" s="393"/>
      <c r="B876" s="754"/>
      <c r="C876" s="755"/>
      <c r="D876" s="756"/>
    </row>
    <row r="877">
      <c r="A877" s="393"/>
      <c r="B877" s="754"/>
      <c r="C877" s="755"/>
      <c r="D877" s="756"/>
    </row>
    <row r="878">
      <c r="A878" s="393"/>
      <c r="B878" s="754"/>
      <c r="C878" s="755"/>
      <c r="D878" s="756"/>
    </row>
    <row r="879">
      <c r="A879" s="393"/>
      <c r="B879" s="754"/>
      <c r="C879" s="755"/>
      <c r="D879" s="756"/>
    </row>
    <row r="880">
      <c r="A880" s="393"/>
      <c r="B880" s="754"/>
      <c r="C880" s="755"/>
      <c r="D880" s="756"/>
    </row>
    <row r="881">
      <c r="A881" s="393"/>
      <c r="B881" s="754"/>
      <c r="C881" s="755"/>
      <c r="D881" s="756"/>
    </row>
    <row r="882">
      <c r="A882" s="393"/>
      <c r="B882" s="754"/>
      <c r="C882" s="755"/>
      <c r="D882" s="756"/>
    </row>
    <row r="883">
      <c r="A883" s="393"/>
      <c r="B883" s="754"/>
      <c r="C883" s="755"/>
      <c r="D883" s="756"/>
    </row>
    <row r="884">
      <c r="A884" s="393"/>
      <c r="B884" s="754"/>
      <c r="C884" s="755"/>
      <c r="D884" s="756"/>
    </row>
    <row r="885">
      <c r="A885" s="393"/>
      <c r="B885" s="754"/>
      <c r="C885" s="755"/>
      <c r="D885" s="756"/>
    </row>
    <row r="886">
      <c r="A886" s="393"/>
      <c r="B886" s="754"/>
      <c r="C886" s="755"/>
      <c r="D886" s="756"/>
    </row>
    <row r="887">
      <c r="A887" s="393"/>
      <c r="B887" s="754"/>
      <c r="C887" s="755"/>
      <c r="D887" s="756"/>
    </row>
    <row r="888">
      <c r="A888" s="393"/>
      <c r="B888" s="754"/>
      <c r="C888" s="755"/>
      <c r="D888" s="756"/>
    </row>
    <row r="889">
      <c r="A889" s="393"/>
      <c r="B889" s="754"/>
      <c r="C889" s="755"/>
      <c r="D889" s="756"/>
    </row>
    <row r="890">
      <c r="A890" s="393"/>
      <c r="B890" s="754"/>
      <c r="C890" s="755"/>
      <c r="D890" s="756"/>
    </row>
    <row r="891">
      <c r="A891" s="393"/>
      <c r="B891" s="754"/>
      <c r="C891" s="755"/>
      <c r="D891" s="756"/>
    </row>
    <row r="892">
      <c r="A892" s="393"/>
      <c r="B892" s="754"/>
      <c r="C892" s="755"/>
      <c r="D892" s="756"/>
    </row>
    <row r="893">
      <c r="A893" s="393"/>
      <c r="B893" s="754"/>
      <c r="C893" s="755"/>
      <c r="D893" s="756"/>
    </row>
    <row r="894">
      <c r="A894" s="393"/>
      <c r="B894" s="754"/>
      <c r="C894" s="755"/>
      <c r="D894" s="756"/>
    </row>
    <row r="895">
      <c r="A895" s="393"/>
      <c r="B895" s="754"/>
      <c r="C895" s="755"/>
      <c r="D895" s="756"/>
    </row>
    <row r="896">
      <c r="A896" s="393"/>
      <c r="B896" s="754"/>
      <c r="C896" s="755"/>
      <c r="D896" s="756"/>
    </row>
    <row r="897">
      <c r="A897" s="393"/>
      <c r="B897" s="754"/>
      <c r="C897" s="755"/>
      <c r="D897" s="756"/>
    </row>
    <row r="898">
      <c r="A898" s="393"/>
      <c r="B898" s="754"/>
      <c r="C898" s="755"/>
      <c r="D898" s="756"/>
    </row>
    <row r="899">
      <c r="A899" s="393"/>
      <c r="B899" s="754"/>
      <c r="C899" s="755"/>
      <c r="D899" s="756"/>
    </row>
    <row r="900">
      <c r="A900" s="393"/>
      <c r="B900" s="754"/>
      <c r="C900" s="755"/>
      <c r="D900" s="756"/>
    </row>
    <row r="901">
      <c r="A901" s="393"/>
      <c r="B901" s="754"/>
      <c r="C901" s="755"/>
      <c r="D901" s="756"/>
    </row>
    <row r="902">
      <c r="A902" s="393"/>
      <c r="B902" s="754"/>
      <c r="C902" s="755"/>
      <c r="D902" s="756"/>
    </row>
    <row r="903">
      <c r="A903" s="393"/>
      <c r="B903" s="754"/>
      <c r="C903" s="755"/>
      <c r="D903" s="756"/>
    </row>
    <row r="904">
      <c r="A904" s="393"/>
      <c r="B904" s="754"/>
      <c r="C904" s="755"/>
      <c r="D904" s="756"/>
    </row>
    <row r="905">
      <c r="A905" s="393"/>
      <c r="B905" s="754"/>
      <c r="C905" s="755"/>
      <c r="D905" s="756"/>
    </row>
    <row r="906">
      <c r="A906" s="393"/>
      <c r="B906" s="754"/>
      <c r="C906" s="755"/>
      <c r="D906" s="756"/>
    </row>
    <row r="907">
      <c r="A907" s="393"/>
      <c r="B907" s="754"/>
      <c r="C907" s="755"/>
      <c r="D907" s="756"/>
    </row>
    <row r="908">
      <c r="A908" s="393"/>
      <c r="B908" s="754"/>
      <c r="C908" s="755"/>
      <c r="D908" s="756"/>
    </row>
    <row r="909">
      <c r="A909" s="393"/>
      <c r="B909" s="754"/>
      <c r="C909" s="755"/>
      <c r="D909" s="756"/>
    </row>
    <row r="910">
      <c r="A910" s="393"/>
      <c r="B910" s="754"/>
      <c r="C910" s="755"/>
      <c r="D910" s="756"/>
    </row>
    <row r="911">
      <c r="A911" s="393"/>
      <c r="B911" s="754"/>
      <c r="C911" s="755"/>
      <c r="D911" s="756"/>
    </row>
    <row r="912">
      <c r="A912" s="393"/>
      <c r="B912" s="754"/>
      <c r="C912" s="755"/>
      <c r="D912" s="756"/>
    </row>
    <row r="913">
      <c r="A913" s="393"/>
      <c r="B913" s="754"/>
      <c r="C913" s="755"/>
      <c r="D913" s="756"/>
    </row>
    <row r="914">
      <c r="A914" s="393"/>
      <c r="B914" s="754"/>
      <c r="C914" s="755"/>
      <c r="D914" s="756"/>
    </row>
    <row r="915">
      <c r="A915" s="393"/>
      <c r="B915" s="754"/>
      <c r="C915" s="755"/>
      <c r="D915" s="756"/>
    </row>
    <row r="916">
      <c r="A916" s="393"/>
      <c r="B916" s="754"/>
      <c r="C916" s="755"/>
      <c r="D916" s="756"/>
    </row>
    <row r="917">
      <c r="A917" s="393"/>
      <c r="B917" s="754"/>
      <c r="C917" s="755"/>
      <c r="D917" s="756"/>
    </row>
    <row r="918">
      <c r="A918" s="393"/>
      <c r="B918" s="754"/>
      <c r="C918" s="755"/>
      <c r="D918" s="756"/>
    </row>
    <row r="919">
      <c r="A919" s="393"/>
      <c r="B919" s="754"/>
      <c r="C919" s="755"/>
      <c r="D919" s="756"/>
    </row>
    <row r="920">
      <c r="A920" s="393"/>
      <c r="B920" s="754"/>
      <c r="C920" s="755"/>
      <c r="D920" s="756"/>
    </row>
    <row r="921">
      <c r="A921" s="393"/>
      <c r="B921" s="754"/>
      <c r="C921" s="755"/>
      <c r="D921" s="756"/>
    </row>
    <row r="922">
      <c r="A922" s="393"/>
      <c r="B922" s="754"/>
      <c r="C922" s="755"/>
      <c r="D922" s="756"/>
    </row>
    <row r="923">
      <c r="A923" s="393"/>
      <c r="B923" s="754"/>
      <c r="C923" s="755"/>
      <c r="D923" s="756"/>
    </row>
    <row r="924">
      <c r="A924" s="393"/>
      <c r="B924" s="754"/>
      <c r="C924" s="755"/>
      <c r="D924" s="756"/>
    </row>
    <row r="925">
      <c r="A925" s="393"/>
      <c r="B925" s="754"/>
      <c r="C925" s="755"/>
      <c r="D925" s="756"/>
    </row>
    <row r="926">
      <c r="A926" s="393"/>
      <c r="B926" s="754"/>
      <c r="C926" s="755"/>
      <c r="D926" s="756"/>
    </row>
    <row r="927">
      <c r="A927" s="393"/>
      <c r="B927" s="754"/>
      <c r="C927" s="755"/>
      <c r="D927" s="756"/>
    </row>
    <row r="928">
      <c r="A928" s="393"/>
      <c r="B928" s="754"/>
      <c r="C928" s="755"/>
      <c r="D928" s="756"/>
    </row>
    <row r="929">
      <c r="A929" s="393"/>
      <c r="B929" s="754"/>
      <c r="C929" s="755"/>
      <c r="D929" s="756"/>
    </row>
    <row r="930">
      <c r="A930" s="393"/>
      <c r="B930" s="754"/>
      <c r="C930" s="755"/>
      <c r="D930" s="756"/>
    </row>
    <row r="931">
      <c r="A931" s="393"/>
      <c r="B931" s="754"/>
      <c r="C931" s="755"/>
      <c r="D931" s="756"/>
    </row>
    <row r="932">
      <c r="A932" s="393"/>
      <c r="B932" s="754"/>
      <c r="C932" s="755"/>
      <c r="D932" s="756"/>
    </row>
    <row r="933">
      <c r="A933" s="393"/>
      <c r="B933" s="754"/>
      <c r="C933" s="755"/>
      <c r="D933" s="756"/>
    </row>
    <row r="934">
      <c r="A934" s="393"/>
      <c r="B934" s="754"/>
      <c r="C934" s="755"/>
      <c r="D934" s="756"/>
    </row>
    <row r="935">
      <c r="A935" s="393"/>
      <c r="B935" s="754"/>
      <c r="C935" s="755"/>
      <c r="D935" s="756"/>
    </row>
    <row r="936">
      <c r="A936" s="393"/>
      <c r="B936" s="754"/>
      <c r="C936" s="755"/>
      <c r="D936" s="756"/>
    </row>
    <row r="937">
      <c r="A937" s="393"/>
      <c r="B937" s="754"/>
      <c r="C937" s="755"/>
      <c r="D937" s="756"/>
    </row>
    <row r="938">
      <c r="A938" s="393"/>
      <c r="B938" s="754"/>
      <c r="C938" s="755"/>
      <c r="D938" s="756"/>
    </row>
    <row r="939">
      <c r="A939" s="393"/>
      <c r="B939" s="754"/>
      <c r="C939" s="755"/>
      <c r="D939" s="756"/>
    </row>
    <row r="940">
      <c r="A940" s="393"/>
      <c r="B940" s="754"/>
      <c r="C940" s="755"/>
      <c r="D940" s="756"/>
    </row>
    <row r="941">
      <c r="A941" s="393"/>
      <c r="B941" s="754"/>
      <c r="C941" s="755"/>
      <c r="D941" s="756"/>
    </row>
    <row r="942">
      <c r="A942" s="393"/>
      <c r="B942" s="754"/>
      <c r="C942" s="755"/>
      <c r="D942" s="756"/>
    </row>
    <row r="943">
      <c r="A943" s="393"/>
      <c r="B943" s="754"/>
      <c r="C943" s="755"/>
      <c r="D943" s="756"/>
    </row>
    <row r="944">
      <c r="A944" s="393"/>
      <c r="B944" s="754"/>
      <c r="C944" s="755"/>
      <c r="D944" s="756"/>
    </row>
    <row r="945">
      <c r="A945" s="393"/>
      <c r="B945" s="754"/>
      <c r="C945" s="755"/>
      <c r="D945" s="756"/>
    </row>
    <row r="946">
      <c r="A946" s="393"/>
      <c r="B946" s="754"/>
      <c r="C946" s="755"/>
      <c r="D946" s="756"/>
    </row>
    <row r="947">
      <c r="A947" s="393"/>
      <c r="B947" s="754"/>
      <c r="C947" s="755"/>
      <c r="D947" s="756"/>
    </row>
    <row r="948">
      <c r="A948" s="393"/>
      <c r="B948" s="754"/>
      <c r="C948" s="755"/>
      <c r="D948" s="756"/>
    </row>
    <row r="949">
      <c r="A949" s="393"/>
      <c r="B949" s="754"/>
      <c r="C949" s="755"/>
      <c r="D949" s="756"/>
    </row>
    <row r="950">
      <c r="A950" s="393"/>
      <c r="B950" s="754"/>
      <c r="C950" s="755"/>
      <c r="D950" s="756"/>
    </row>
    <row r="951">
      <c r="A951" s="393"/>
      <c r="B951" s="754"/>
      <c r="C951" s="755"/>
      <c r="D951" s="756"/>
    </row>
    <row r="952">
      <c r="A952" s="393"/>
      <c r="B952" s="754"/>
      <c r="C952" s="755"/>
      <c r="D952" s="756"/>
    </row>
    <row r="953">
      <c r="A953" s="393"/>
      <c r="B953" s="754"/>
      <c r="C953" s="755"/>
      <c r="D953" s="756"/>
    </row>
    <row r="954">
      <c r="A954" s="393"/>
      <c r="B954" s="754"/>
      <c r="C954" s="755"/>
      <c r="D954" s="756"/>
    </row>
    <row r="955">
      <c r="A955" s="393"/>
      <c r="B955" s="754"/>
      <c r="C955" s="755"/>
      <c r="D955" s="756"/>
    </row>
    <row r="956">
      <c r="A956" s="393"/>
      <c r="B956" s="754"/>
      <c r="C956" s="755"/>
      <c r="D956" s="756"/>
    </row>
    <row r="957">
      <c r="A957" s="393"/>
      <c r="B957" s="754"/>
      <c r="C957" s="755"/>
      <c r="D957" s="756"/>
    </row>
    <row r="958">
      <c r="A958" s="393"/>
      <c r="B958" s="754"/>
      <c r="C958" s="755"/>
      <c r="D958" s="756"/>
    </row>
    <row r="959">
      <c r="A959" s="393"/>
      <c r="B959" s="754"/>
      <c r="C959" s="755"/>
      <c r="D959" s="756"/>
    </row>
    <row r="960">
      <c r="A960" s="393"/>
      <c r="B960" s="754"/>
      <c r="C960" s="755"/>
      <c r="D960" s="756"/>
    </row>
    <row r="961">
      <c r="A961" s="393"/>
      <c r="B961" s="754"/>
      <c r="C961" s="755"/>
      <c r="D961" s="756"/>
    </row>
    <row r="962">
      <c r="A962" s="393"/>
      <c r="B962" s="754"/>
      <c r="C962" s="755"/>
      <c r="D962" s="756"/>
    </row>
    <row r="963">
      <c r="A963" s="393"/>
      <c r="B963" s="754"/>
      <c r="C963" s="755"/>
      <c r="D963" s="756"/>
    </row>
    <row r="964">
      <c r="A964" s="393"/>
      <c r="B964" s="754"/>
      <c r="C964" s="755"/>
      <c r="D964" s="756"/>
    </row>
    <row r="965">
      <c r="A965" s="393"/>
      <c r="B965" s="754"/>
      <c r="C965" s="755"/>
      <c r="D965" s="756"/>
    </row>
    <row r="966">
      <c r="A966" s="393"/>
      <c r="B966" s="754"/>
      <c r="C966" s="755"/>
      <c r="D966" s="756"/>
    </row>
    <row r="967">
      <c r="A967" s="393"/>
      <c r="B967" s="754"/>
      <c r="C967" s="755"/>
      <c r="D967" s="756"/>
    </row>
    <row r="968">
      <c r="A968" s="393"/>
      <c r="B968" s="754"/>
      <c r="C968" s="755"/>
      <c r="D968" s="756"/>
    </row>
    <row r="969">
      <c r="A969" s="393"/>
      <c r="B969" s="754"/>
      <c r="C969" s="755"/>
      <c r="D969" s="756"/>
    </row>
    <row r="970">
      <c r="A970" s="393"/>
      <c r="B970" s="754"/>
      <c r="C970" s="755"/>
      <c r="D970" s="756"/>
    </row>
    <row r="971">
      <c r="A971" s="393"/>
      <c r="B971" s="754"/>
      <c r="C971" s="755"/>
      <c r="D971" s="756"/>
    </row>
    <row r="972">
      <c r="A972" s="393"/>
      <c r="B972" s="754"/>
      <c r="C972" s="755"/>
      <c r="D972" s="756"/>
    </row>
    <row r="973">
      <c r="A973" s="393"/>
      <c r="B973" s="754"/>
      <c r="C973" s="755"/>
      <c r="D973" s="756"/>
    </row>
    <row r="974">
      <c r="A974" s="393"/>
      <c r="B974" s="754"/>
      <c r="C974" s="755"/>
      <c r="D974" s="756"/>
    </row>
    <row r="975">
      <c r="A975" s="393"/>
      <c r="B975" s="754"/>
      <c r="C975" s="755"/>
      <c r="D975" s="756"/>
    </row>
    <row r="976">
      <c r="A976" s="393"/>
      <c r="B976" s="754"/>
      <c r="C976" s="755"/>
      <c r="D976" s="756"/>
    </row>
    <row r="977">
      <c r="A977" s="393"/>
      <c r="B977" s="754"/>
      <c r="C977" s="755"/>
      <c r="D977" s="756"/>
    </row>
    <row r="978">
      <c r="A978" s="393"/>
      <c r="B978" s="754"/>
      <c r="C978" s="755"/>
      <c r="D978" s="756"/>
    </row>
    <row r="979">
      <c r="A979" s="393"/>
      <c r="B979" s="754"/>
      <c r="C979" s="755"/>
      <c r="D979" s="756"/>
    </row>
    <row r="980">
      <c r="A980" s="393"/>
      <c r="B980" s="754"/>
      <c r="C980" s="755"/>
      <c r="D980" s="756"/>
    </row>
    <row r="981">
      <c r="A981" s="393"/>
      <c r="B981" s="754"/>
      <c r="C981" s="755"/>
      <c r="D981" s="756"/>
    </row>
    <row r="982">
      <c r="A982" s="393"/>
      <c r="B982" s="754"/>
      <c r="C982" s="755"/>
      <c r="D982" s="756"/>
    </row>
    <row r="983">
      <c r="A983" s="393"/>
      <c r="B983" s="754"/>
      <c r="C983" s="755"/>
      <c r="D983" s="756"/>
    </row>
    <row r="984">
      <c r="A984" s="393"/>
      <c r="B984" s="754"/>
      <c r="C984" s="755"/>
      <c r="D984" s="756"/>
    </row>
    <row r="985">
      <c r="A985" s="393"/>
      <c r="B985" s="754"/>
      <c r="C985" s="755"/>
      <c r="D985" s="756"/>
    </row>
    <row r="986">
      <c r="A986" s="393"/>
      <c r="B986" s="754"/>
      <c r="C986" s="755"/>
      <c r="D986" s="756"/>
    </row>
    <row r="987">
      <c r="A987" s="393"/>
      <c r="B987" s="754"/>
      <c r="C987" s="755"/>
      <c r="D987" s="756"/>
    </row>
    <row r="988">
      <c r="A988" s="393"/>
      <c r="B988" s="754"/>
      <c r="C988" s="755"/>
      <c r="D988" s="756"/>
    </row>
    <row r="989">
      <c r="A989" s="393"/>
      <c r="B989" s="754"/>
      <c r="C989" s="755"/>
      <c r="D989" s="756"/>
    </row>
    <row r="990">
      <c r="A990" s="393"/>
      <c r="B990" s="754"/>
      <c r="C990" s="755"/>
      <c r="D990" s="756"/>
    </row>
    <row r="991">
      <c r="A991" s="393"/>
      <c r="B991" s="754"/>
      <c r="C991" s="755"/>
      <c r="D991" s="756"/>
    </row>
    <row r="992">
      <c r="A992" s="393"/>
      <c r="B992" s="754"/>
      <c r="C992" s="755"/>
      <c r="D992" s="756"/>
    </row>
    <row r="993">
      <c r="A993" s="393"/>
      <c r="B993" s="754"/>
      <c r="C993" s="755"/>
      <c r="D993" s="756"/>
    </row>
    <row r="994">
      <c r="A994" s="393"/>
      <c r="B994" s="754"/>
      <c r="C994" s="755"/>
      <c r="D994" s="756"/>
    </row>
    <row r="995">
      <c r="A995" s="393"/>
      <c r="B995" s="754"/>
      <c r="C995" s="755"/>
      <c r="D995" s="756"/>
    </row>
    <row r="996">
      <c r="A996" s="393"/>
      <c r="B996" s="754"/>
      <c r="C996" s="755"/>
      <c r="D996" s="756"/>
    </row>
    <row r="997">
      <c r="A997" s="393"/>
      <c r="B997" s="754"/>
      <c r="C997" s="755"/>
      <c r="D997" s="756"/>
    </row>
    <row r="998">
      <c r="A998" s="393"/>
      <c r="B998" s="754"/>
      <c r="C998" s="755"/>
      <c r="D998" s="756"/>
    </row>
    <row r="999">
      <c r="A999" s="393"/>
      <c r="B999" s="754"/>
      <c r="C999" s="755"/>
      <c r="D999" s="756"/>
    </row>
    <row r="1000">
      <c r="A1000" s="393"/>
      <c r="B1000" s="754"/>
      <c r="C1000" s="755"/>
      <c r="D1000" s="756"/>
    </row>
    <row r="1001">
      <c r="A1001" s="393"/>
      <c r="B1001" s="754"/>
      <c r="C1001" s="755"/>
      <c r="D1001" s="756"/>
    </row>
    <row r="1002">
      <c r="A1002" s="393"/>
      <c r="B1002" s="754"/>
      <c r="C1002" s="755"/>
      <c r="D1002" s="756"/>
    </row>
    <row r="1003">
      <c r="A1003" s="393"/>
      <c r="B1003" s="754"/>
      <c r="C1003" s="755"/>
      <c r="D1003" s="756"/>
    </row>
    <row r="1004">
      <c r="A1004" s="393"/>
      <c r="B1004" s="754"/>
      <c r="C1004" s="755"/>
      <c r="D1004" s="756"/>
    </row>
    <row r="1005">
      <c r="A1005" s="393"/>
      <c r="B1005" s="754"/>
      <c r="C1005" s="755"/>
      <c r="D1005" s="756"/>
    </row>
    <row r="1006">
      <c r="A1006" s="393"/>
      <c r="B1006" s="754"/>
      <c r="C1006" s="755"/>
      <c r="D1006" s="756"/>
    </row>
    <row r="1007">
      <c r="A1007" s="393"/>
      <c r="B1007" s="754"/>
      <c r="C1007" s="755"/>
      <c r="D1007" s="756"/>
    </row>
    <row r="1008">
      <c r="A1008" s="393"/>
      <c r="B1008" s="754"/>
      <c r="C1008" s="755"/>
      <c r="D1008" s="756"/>
    </row>
    <row r="1009">
      <c r="A1009" s="393"/>
      <c r="B1009" s="754"/>
      <c r="C1009" s="755"/>
      <c r="D1009" s="756"/>
    </row>
    <row r="1010">
      <c r="A1010" s="393"/>
      <c r="B1010" s="754"/>
      <c r="C1010" s="755"/>
      <c r="D1010" s="756"/>
    </row>
    <row r="1011">
      <c r="A1011" s="393"/>
      <c r="B1011" s="754"/>
      <c r="C1011" s="755"/>
      <c r="D1011" s="756"/>
    </row>
    <row r="1012">
      <c r="A1012" s="393"/>
      <c r="B1012" s="754"/>
      <c r="C1012" s="755"/>
      <c r="D1012" s="756"/>
    </row>
    <row r="1013">
      <c r="A1013" s="393"/>
      <c r="B1013" s="754"/>
      <c r="C1013" s="755"/>
      <c r="D1013" s="756"/>
    </row>
    <row r="1014">
      <c r="A1014" s="393"/>
      <c r="B1014" s="754"/>
      <c r="C1014" s="755"/>
      <c r="D1014" s="756"/>
    </row>
    <row r="1015">
      <c r="A1015" s="393"/>
      <c r="B1015" s="754"/>
      <c r="C1015" s="755"/>
      <c r="D1015" s="756"/>
    </row>
    <row r="1016">
      <c r="A1016" s="393"/>
      <c r="B1016" s="754"/>
      <c r="C1016" s="755"/>
      <c r="D1016" s="756"/>
    </row>
    <row r="1017">
      <c r="A1017" s="393"/>
      <c r="B1017" s="754"/>
      <c r="C1017" s="755"/>
      <c r="D1017" s="756"/>
    </row>
    <row r="1018">
      <c r="A1018" s="393"/>
      <c r="B1018" s="754"/>
      <c r="C1018" s="755"/>
      <c r="D1018" s="756"/>
    </row>
    <row r="1019">
      <c r="A1019" s="393"/>
      <c r="B1019" s="754"/>
      <c r="C1019" s="755"/>
      <c r="D1019" s="756"/>
    </row>
    <row r="1020">
      <c r="A1020" s="393"/>
      <c r="B1020" s="754"/>
      <c r="C1020" s="755"/>
      <c r="D1020" s="756"/>
    </row>
    <row r="1021">
      <c r="A1021" s="393"/>
      <c r="B1021" s="754"/>
      <c r="C1021" s="755"/>
      <c r="D1021" s="756"/>
    </row>
    <row r="1022">
      <c r="A1022" s="393"/>
      <c r="B1022" s="754"/>
      <c r="C1022" s="755"/>
      <c r="D1022" s="756"/>
    </row>
    <row r="1023">
      <c r="A1023" s="393"/>
      <c r="B1023" s="754"/>
      <c r="C1023" s="755"/>
      <c r="D1023" s="756"/>
    </row>
    <row r="1024">
      <c r="A1024" s="393"/>
      <c r="B1024" s="754"/>
      <c r="C1024" s="755"/>
      <c r="D1024" s="756"/>
    </row>
    <row r="1025">
      <c r="A1025" s="393"/>
      <c r="B1025" s="754"/>
      <c r="C1025" s="755"/>
      <c r="D1025" s="756"/>
    </row>
    <row r="1026">
      <c r="A1026" s="393"/>
      <c r="B1026" s="754"/>
      <c r="C1026" s="755"/>
      <c r="D1026" s="756"/>
    </row>
    <row r="1027">
      <c r="A1027" s="393"/>
      <c r="B1027" s="754"/>
      <c r="C1027" s="755"/>
      <c r="D1027" s="756"/>
    </row>
    <row r="1028">
      <c r="A1028" s="393"/>
      <c r="B1028" s="754"/>
      <c r="C1028" s="755"/>
      <c r="D1028" s="756"/>
    </row>
    <row r="1029">
      <c r="A1029" s="393"/>
      <c r="B1029" s="754"/>
      <c r="C1029" s="755"/>
      <c r="D1029" s="756"/>
    </row>
    <row r="1030">
      <c r="A1030" s="393"/>
      <c r="B1030" s="754"/>
      <c r="C1030" s="755"/>
      <c r="D1030" s="756"/>
    </row>
    <row r="1031">
      <c r="A1031" s="393"/>
      <c r="B1031" s="754"/>
      <c r="C1031" s="755"/>
      <c r="D1031" s="756"/>
    </row>
    <row r="1032">
      <c r="A1032" s="393"/>
      <c r="B1032" s="754"/>
      <c r="C1032" s="755"/>
      <c r="D1032" s="756"/>
    </row>
    <row r="1033">
      <c r="A1033" s="393"/>
      <c r="B1033" s="754"/>
      <c r="C1033" s="755"/>
      <c r="D1033" s="756"/>
    </row>
    <row r="1034">
      <c r="A1034" s="393"/>
      <c r="B1034" s="754"/>
      <c r="C1034" s="755"/>
      <c r="D1034" s="756"/>
    </row>
    <row r="1035">
      <c r="A1035" s="393"/>
      <c r="B1035" s="754"/>
      <c r="C1035" s="755"/>
      <c r="D1035" s="756"/>
    </row>
    <row r="1036">
      <c r="A1036" s="393"/>
      <c r="B1036" s="754"/>
      <c r="C1036" s="755"/>
      <c r="D1036" s="756"/>
    </row>
    <row r="1037">
      <c r="A1037" s="393"/>
      <c r="B1037" s="754"/>
      <c r="C1037" s="755"/>
      <c r="D1037" s="756"/>
    </row>
    <row r="1038">
      <c r="A1038" s="393"/>
      <c r="B1038" s="754"/>
      <c r="C1038" s="755"/>
      <c r="D1038" s="756"/>
    </row>
    <row r="1039">
      <c r="A1039" s="393"/>
      <c r="B1039" s="754"/>
      <c r="C1039" s="755"/>
      <c r="D1039" s="756"/>
    </row>
    <row r="1040">
      <c r="A1040" s="393"/>
      <c r="B1040" s="754"/>
      <c r="C1040" s="755"/>
      <c r="D1040" s="756"/>
    </row>
    <row r="1041">
      <c r="A1041" s="393"/>
      <c r="B1041" s="754"/>
      <c r="C1041" s="755"/>
      <c r="D1041" s="756"/>
    </row>
    <row r="1042">
      <c r="A1042" s="393"/>
      <c r="B1042" s="754"/>
      <c r="C1042" s="755"/>
      <c r="D1042" s="756"/>
    </row>
    <row r="1043">
      <c r="A1043" s="393"/>
      <c r="B1043" s="754"/>
      <c r="C1043" s="755"/>
      <c r="D1043" s="756"/>
    </row>
    <row r="1044">
      <c r="A1044" s="393"/>
      <c r="B1044" s="754"/>
      <c r="C1044" s="755"/>
      <c r="D1044" s="756"/>
    </row>
    <row r="1045">
      <c r="A1045" s="393"/>
      <c r="B1045" s="754"/>
      <c r="C1045" s="755"/>
      <c r="D1045" s="756"/>
    </row>
    <row r="1046">
      <c r="A1046" s="393"/>
      <c r="B1046" s="754"/>
      <c r="C1046" s="755"/>
      <c r="D1046" s="756"/>
    </row>
    <row r="1047">
      <c r="A1047" s="393"/>
      <c r="B1047" s="754"/>
      <c r="C1047" s="755"/>
      <c r="D1047" s="756"/>
    </row>
    <row r="1048">
      <c r="A1048" s="393"/>
      <c r="B1048" s="754"/>
      <c r="C1048" s="755"/>
      <c r="D1048" s="756"/>
    </row>
    <row r="1049">
      <c r="A1049" s="393"/>
      <c r="B1049" s="754"/>
      <c r="C1049" s="755"/>
      <c r="D1049" s="756"/>
    </row>
    <row r="1050">
      <c r="A1050" s="393"/>
      <c r="B1050" s="754"/>
      <c r="C1050" s="755"/>
      <c r="D1050" s="756"/>
    </row>
    <row r="1051">
      <c r="A1051" s="393"/>
      <c r="B1051" s="754"/>
      <c r="C1051" s="755"/>
      <c r="D1051" s="756"/>
    </row>
    <row r="1052">
      <c r="A1052" s="393"/>
      <c r="B1052" s="754"/>
      <c r="C1052" s="755"/>
      <c r="D1052" s="756"/>
    </row>
    <row r="1053">
      <c r="A1053" s="393"/>
      <c r="B1053" s="754"/>
      <c r="C1053" s="755"/>
      <c r="D1053" s="756"/>
    </row>
    <row r="1054">
      <c r="A1054" s="393"/>
      <c r="B1054" s="754"/>
      <c r="C1054" s="755"/>
      <c r="D1054" s="756"/>
    </row>
    <row r="1055">
      <c r="A1055" s="393"/>
      <c r="B1055" s="754"/>
      <c r="C1055" s="755"/>
      <c r="D1055" s="756"/>
    </row>
    <row r="1056">
      <c r="A1056" s="393"/>
      <c r="B1056" s="754"/>
      <c r="C1056" s="755"/>
      <c r="D1056" s="756"/>
    </row>
    <row r="1057">
      <c r="A1057" s="393"/>
      <c r="B1057" s="754"/>
      <c r="C1057" s="755"/>
      <c r="D1057" s="756"/>
    </row>
    <row r="1058">
      <c r="A1058" s="393"/>
      <c r="B1058" s="754"/>
      <c r="C1058" s="755"/>
      <c r="D1058" s="756"/>
    </row>
    <row r="1059">
      <c r="A1059" s="393"/>
      <c r="B1059" s="754"/>
      <c r="C1059" s="755"/>
      <c r="D1059" s="756"/>
    </row>
    <row r="1060">
      <c r="A1060" s="393"/>
      <c r="B1060" s="754"/>
      <c r="C1060" s="755"/>
      <c r="D1060" s="756"/>
    </row>
    <row r="1061">
      <c r="A1061" s="393"/>
      <c r="B1061" s="754"/>
      <c r="C1061" s="755"/>
      <c r="D1061" s="756"/>
    </row>
    <row r="1062">
      <c r="A1062" s="393"/>
      <c r="B1062" s="754"/>
      <c r="C1062" s="755"/>
      <c r="D1062" s="756"/>
    </row>
    <row r="1063">
      <c r="A1063" s="393"/>
      <c r="B1063" s="754"/>
      <c r="C1063" s="755"/>
      <c r="D1063" s="756"/>
    </row>
    <row r="1064">
      <c r="A1064" s="393"/>
      <c r="B1064" s="754"/>
      <c r="C1064" s="755"/>
      <c r="D1064" s="756"/>
    </row>
    <row r="1065">
      <c r="A1065" s="393"/>
      <c r="B1065" s="754"/>
      <c r="C1065" s="755"/>
      <c r="D1065" s="756"/>
    </row>
    <row r="1066">
      <c r="A1066" s="393"/>
      <c r="B1066" s="754"/>
      <c r="C1066" s="755"/>
      <c r="D1066" s="756"/>
    </row>
    <row r="1067">
      <c r="A1067" s="393"/>
      <c r="B1067" s="754"/>
      <c r="C1067" s="755"/>
      <c r="D1067" s="756"/>
    </row>
    <row r="1068">
      <c r="A1068" s="393"/>
      <c r="B1068" s="754"/>
      <c r="C1068" s="755"/>
      <c r="D1068" s="756"/>
    </row>
  </sheetData>
  <mergeCells count="17">
    <mergeCell ref="A2:A4"/>
    <mergeCell ref="B2:B4"/>
    <mergeCell ref="A7:A16"/>
    <mergeCell ref="B7:B16"/>
    <mergeCell ref="A17:A18"/>
    <mergeCell ref="B17:B18"/>
    <mergeCell ref="B19:B27"/>
    <mergeCell ref="A68:A75"/>
    <mergeCell ref="A76:A81"/>
    <mergeCell ref="A19:A27"/>
    <mergeCell ref="A30:A42"/>
    <mergeCell ref="B30:B42"/>
    <mergeCell ref="A43:A47"/>
    <mergeCell ref="B43:B47"/>
    <mergeCell ref="B48:B67"/>
    <mergeCell ref="B68:B75"/>
    <mergeCell ref="B76:B81"/>
  </mergeCells>
  <hyperlinks>
    <hyperlink r:id="rId1" ref="C7"/>
    <hyperlink r:id="rId2" ref="C19"/>
    <hyperlink r:id="rId3" ref="C28"/>
    <hyperlink r:id="rId4" ref="C29"/>
    <hyperlink r:id="rId5" ref="C33"/>
    <hyperlink r:id="rId6" ref="C35"/>
    <hyperlink r:id="rId7" ref="C37"/>
    <hyperlink r:id="rId8" ref="C39"/>
    <hyperlink r:id="rId9" ref="C48"/>
    <hyperlink r:id="rId10" ref="C61"/>
    <hyperlink r:id="rId11" ref="C62"/>
    <hyperlink r:id="rId12" ref="C64"/>
    <hyperlink r:id="rId13" ref="C65"/>
    <hyperlink r:id="rId14" ref="C66"/>
  </hyperlinks>
  <drawing r:id="rId1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6.88"/>
    <col customWidth="1" min="2" max="2" width="16.38"/>
    <col customWidth="1" min="3" max="3" width="16.88"/>
    <col customWidth="1" min="4" max="4" width="44.25"/>
    <col customWidth="1" min="5" max="5" width="25.5"/>
    <col customWidth="1" min="6" max="6" width="28.63"/>
  </cols>
  <sheetData>
    <row r="1">
      <c r="A1" s="757"/>
      <c r="B1" s="757" t="s">
        <v>39238</v>
      </c>
      <c r="C1" s="757" t="s">
        <v>39239</v>
      </c>
      <c r="D1" s="757" t="s">
        <v>39240</v>
      </c>
      <c r="E1" s="757" t="s">
        <v>39241</v>
      </c>
      <c r="F1" s="616" t="s">
        <v>39242</v>
      </c>
    </row>
    <row r="2" ht="100.5" customHeight="1">
      <c r="A2" s="758"/>
      <c r="B2" s="338" t="s">
        <v>39243</v>
      </c>
      <c r="C2" s="338" t="s">
        <v>39244</v>
      </c>
      <c r="D2" s="338" t="s">
        <v>39245</v>
      </c>
      <c r="E2" s="759" t="s">
        <v>39246</v>
      </c>
      <c r="F2" s="760" t="s">
        <v>39247</v>
      </c>
    </row>
    <row r="3" ht="95.25" customHeight="1">
      <c r="A3" s="758"/>
      <c r="B3" s="758"/>
      <c r="C3" s="759"/>
      <c r="D3" s="758"/>
      <c r="E3" s="758"/>
      <c r="F3" s="758"/>
    </row>
    <row r="4">
      <c r="C4" s="759"/>
    </row>
    <row r="5">
      <c r="C5" s="759"/>
    </row>
    <row r="7">
      <c r="B7" s="616"/>
    </row>
  </sheetData>
  <hyperlinks>
    <hyperlink r:id="rId1" ref="F2"/>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86.25"/>
    <col customWidth="1" min="3" max="3" width="44.88"/>
  </cols>
  <sheetData>
    <row r="1">
      <c r="A1" s="761" t="s">
        <v>39248</v>
      </c>
      <c r="C1" s="762"/>
    </row>
    <row r="2" ht="306.75" customHeight="1">
      <c r="A2" s="763" t="s">
        <v>39249</v>
      </c>
    </row>
    <row r="3">
      <c r="A3" s="338" t="s">
        <v>39250</v>
      </c>
    </row>
    <row r="4">
      <c r="A4" s="764" t="s">
        <v>39251</v>
      </c>
    </row>
    <row r="5">
      <c r="A5" s="764"/>
    </row>
    <row r="6">
      <c r="A6" s="765"/>
    </row>
    <row r="8">
      <c r="A8" s="764"/>
    </row>
  </sheetData>
  <drawing r:id="rId1"/>
</worksheet>
</file>